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Jul-26\"/>
    </mc:Choice>
  </mc:AlternateContent>
  <xr:revisionPtr revIDLastSave="0" documentId="13_ncr:1_{02D7564D-E89D-4B55-8D0A-4C5C55A66C8F}" xr6:coauthVersionLast="47" xr6:coauthVersionMax="47" xr10:uidLastSave="{00000000-0000-0000-0000-000000000000}"/>
  <bookViews>
    <workbookView xWindow="-120" yWindow="-120" windowWidth="29040" windowHeight="15720" tabRatio="882" activeTab="1" xr2:uid="{00000000-000D-0000-FFFF-FFFF00000000}"/>
  </bookViews>
  <sheets>
    <sheet name="PDF" sheetId="7" r:id="rId1"/>
    <sheet name="Shayak Income " sheetId="1" r:id="rId2"/>
    <sheet name="Sheet1" sheetId="8" r:id="rId3"/>
    <sheet name="Sheet2" sheetId="10" r:id="rId4"/>
    <sheet name="MPG Payment " sheetId="3" r:id="rId5"/>
    <sheet name="Monthly Deduction" sheetId="5" r:id="rId6"/>
    <sheet name="Hold DP Pending" sheetId="9" r:id="rId7"/>
  </sheets>
  <definedNames>
    <definedName name="_xlnm._FilterDatabase" localSheetId="6" hidden="1">'Hold DP Pending'!$C$2:$F$103</definedName>
    <definedName name="_xlnm._FilterDatabase" localSheetId="5" hidden="1">'Monthly Deduction'!$D$2:$F$802</definedName>
    <definedName name="_xlnm._FilterDatabase" localSheetId="4" hidden="1">'MPG Payment '!$A$2:$AM$3953</definedName>
    <definedName name="_xlnm._FilterDatabase" localSheetId="1" hidden="1">'Shayak Income '!$A$3:$AV$1057</definedName>
    <definedName name="_xlnm.Print_Area" localSheetId="1">'Shayak Income '!#REF!</definedName>
    <definedName name="_xlnm.Print_Titles" localSheetId="0">PDF!$1:$4</definedName>
  </definedNames>
  <calcPr calcId="191029"/>
  <pivotCaches>
    <pivotCache cacheId="2" r:id="rId8"/>
    <pivotCache cacheId="3" r:id="rId9"/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11" i="1" l="1"/>
  <c r="O1064" i="1" l="1"/>
  <c r="O1063" i="1"/>
  <c r="U7" i="1" l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6" i="1"/>
  <c r="U5" i="1"/>
  <c r="U4" i="1"/>
  <c r="Q5" i="1" l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AA5" i="1"/>
  <c r="AA6" i="1"/>
  <c r="AA8" i="1"/>
  <c r="AA11" i="1"/>
  <c r="AA12" i="1"/>
  <c r="AA13" i="1"/>
  <c r="AA14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5" i="1"/>
  <c r="AA66" i="1"/>
  <c r="AA68" i="1"/>
  <c r="AA69" i="1"/>
  <c r="AA71" i="1"/>
  <c r="AA72" i="1"/>
  <c r="AA73" i="1"/>
  <c r="AA74" i="1"/>
  <c r="AA75" i="1"/>
  <c r="AA76" i="1"/>
  <c r="AA77" i="1"/>
  <c r="AA78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1" i="1"/>
  <c r="AA112" i="1"/>
  <c r="AA113" i="1"/>
  <c r="AA114" i="1"/>
  <c r="AA115" i="1"/>
  <c r="AA116" i="1"/>
  <c r="AA117" i="1"/>
  <c r="AA118" i="1"/>
  <c r="AA119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4" i="1"/>
  <c r="AA135" i="1"/>
  <c r="AA136" i="1"/>
  <c r="AA138" i="1"/>
  <c r="AA139" i="1"/>
  <c r="AA140" i="1"/>
  <c r="AA141" i="1"/>
  <c r="AA142" i="1"/>
  <c r="AA143" i="1"/>
  <c r="AA145" i="1"/>
  <c r="AA146" i="1"/>
  <c r="AA147" i="1"/>
  <c r="AA148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3" i="1"/>
  <c r="AA164" i="1"/>
  <c r="AA166" i="1"/>
  <c r="AA169" i="1"/>
  <c r="AA170" i="1"/>
  <c r="AA171" i="1"/>
  <c r="AA172" i="1"/>
  <c r="AA173" i="1"/>
  <c r="AA176" i="1"/>
  <c r="AA177" i="1"/>
  <c r="AA179" i="1"/>
  <c r="AA180" i="1"/>
  <c r="AA182" i="1"/>
  <c r="AA183" i="1"/>
  <c r="AA185" i="1"/>
  <c r="AA186" i="1"/>
  <c r="AA187" i="1"/>
  <c r="AA188" i="1"/>
  <c r="AA191" i="1"/>
  <c r="AA192" i="1"/>
  <c r="AA193" i="1"/>
  <c r="AA194" i="1"/>
  <c r="AA195" i="1"/>
  <c r="AA198" i="1"/>
  <c r="AA199" i="1"/>
  <c r="AA200" i="1"/>
  <c r="AA201" i="1"/>
  <c r="AA202" i="1"/>
  <c r="AA203" i="1"/>
  <c r="AA204" i="1"/>
  <c r="AA206" i="1"/>
  <c r="AA207" i="1"/>
  <c r="AA208" i="1"/>
  <c r="AA210" i="1"/>
  <c r="AA211" i="1"/>
  <c r="AA214" i="1"/>
  <c r="AA216" i="1"/>
  <c r="AA217" i="1"/>
  <c r="AA218" i="1"/>
  <c r="AA219" i="1"/>
  <c r="AA220" i="1"/>
  <c r="AA221" i="1"/>
  <c r="AA223" i="1"/>
  <c r="AA224" i="1"/>
  <c r="AA226" i="1"/>
  <c r="AA227" i="1"/>
  <c r="AA228" i="1"/>
  <c r="AA231" i="1"/>
  <c r="AA232" i="1"/>
  <c r="AA233" i="1"/>
  <c r="AA234" i="1"/>
  <c r="AA235" i="1"/>
  <c r="AA236" i="1"/>
  <c r="AA237" i="1"/>
  <c r="AA238" i="1"/>
  <c r="AA239" i="1"/>
  <c r="AA240" i="1"/>
  <c r="AA241" i="1"/>
  <c r="AA243" i="1"/>
  <c r="AA244" i="1"/>
  <c r="AA245" i="1"/>
  <c r="AA246" i="1"/>
  <c r="AA247" i="1"/>
  <c r="AA248" i="1"/>
  <c r="AA249" i="1"/>
  <c r="AA250" i="1"/>
  <c r="AA254" i="1"/>
  <c r="AA255" i="1"/>
  <c r="AA257" i="1"/>
  <c r="AA262" i="1"/>
  <c r="AA263" i="1"/>
  <c r="AA264" i="1"/>
  <c r="AA265" i="1"/>
  <c r="AA266" i="1"/>
  <c r="AA267" i="1"/>
  <c r="AA269" i="1"/>
  <c r="AA271" i="1"/>
  <c r="AA272" i="1"/>
  <c r="AA273" i="1"/>
  <c r="AA276" i="1"/>
  <c r="AA277" i="1"/>
  <c r="AA278" i="1"/>
  <c r="AA279" i="1"/>
  <c r="AA280" i="1"/>
  <c r="AA281" i="1"/>
  <c r="AA282" i="1"/>
  <c r="AA283" i="1"/>
  <c r="AA284" i="1"/>
  <c r="AA285" i="1"/>
  <c r="AA287" i="1"/>
  <c r="AA288" i="1"/>
  <c r="AA289" i="1"/>
  <c r="AA290" i="1"/>
  <c r="AA291" i="1"/>
  <c r="AA293" i="1"/>
  <c r="AA294" i="1"/>
  <c r="AA296" i="1"/>
  <c r="AA297" i="1"/>
  <c r="AA298" i="1"/>
  <c r="AA299" i="1"/>
  <c r="AA300" i="1"/>
  <c r="AA301" i="1"/>
  <c r="AA302" i="1"/>
  <c r="AA303" i="1"/>
  <c r="AA305" i="1"/>
  <c r="AA307" i="1"/>
  <c r="AA308" i="1"/>
  <c r="AA312" i="1"/>
  <c r="AA313" i="1"/>
  <c r="AA315" i="1"/>
  <c r="AA317" i="1"/>
  <c r="AA318" i="1"/>
  <c r="AA319" i="1"/>
  <c r="AA320" i="1"/>
  <c r="AA322" i="1"/>
  <c r="AA324" i="1"/>
  <c r="AA326" i="1"/>
  <c r="AA327" i="1"/>
  <c r="AA328" i="1"/>
  <c r="AA329" i="1"/>
  <c r="AA330" i="1"/>
  <c r="AA331" i="1"/>
  <c r="AA332" i="1"/>
  <c r="AA333" i="1"/>
  <c r="AA334" i="1"/>
  <c r="AA335" i="1"/>
  <c r="AA336" i="1"/>
  <c r="AA339" i="1"/>
  <c r="AA340" i="1"/>
  <c r="AA341" i="1"/>
  <c r="AA343" i="1"/>
  <c r="AA344" i="1"/>
  <c r="AA345" i="1"/>
  <c r="AA346" i="1"/>
  <c r="AA347" i="1"/>
  <c r="AA348" i="1"/>
  <c r="AA350" i="1"/>
  <c r="AA351" i="1"/>
  <c r="AA354" i="1"/>
  <c r="AA356" i="1"/>
  <c r="AA358" i="1"/>
  <c r="AA359" i="1"/>
  <c r="AA361" i="1"/>
  <c r="AA363" i="1"/>
  <c r="AA364" i="1"/>
  <c r="AA365" i="1"/>
  <c r="AA367" i="1"/>
  <c r="AA369" i="1"/>
  <c r="AA371" i="1"/>
  <c r="AA373" i="1"/>
  <c r="AA375" i="1"/>
  <c r="AA376" i="1"/>
  <c r="AA377" i="1"/>
  <c r="AA379" i="1"/>
  <c r="AA380" i="1"/>
  <c r="AA381" i="1"/>
  <c r="AA382" i="1"/>
  <c r="AA383" i="1"/>
  <c r="AA384" i="1"/>
  <c r="AA385" i="1"/>
  <c r="AA386" i="1"/>
  <c r="AA387" i="1"/>
  <c r="AA391" i="1"/>
  <c r="AA392" i="1"/>
  <c r="AA393" i="1"/>
  <c r="AA394" i="1"/>
  <c r="AA396" i="1"/>
  <c r="AA397" i="1"/>
  <c r="AA398" i="1"/>
  <c r="AA399" i="1"/>
  <c r="AA400" i="1"/>
  <c r="AA403" i="1"/>
  <c r="AA406" i="1"/>
  <c r="AA407" i="1"/>
  <c r="AA409" i="1"/>
  <c r="AA410" i="1"/>
  <c r="AA411" i="1"/>
  <c r="AA412" i="1"/>
  <c r="AA413" i="1"/>
  <c r="AA414" i="1"/>
  <c r="AA416" i="1"/>
  <c r="AA422" i="1"/>
  <c r="AA424" i="1"/>
  <c r="AA425" i="1"/>
  <c r="AA426" i="1"/>
  <c r="AA427" i="1"/>
  <c r="AA428" i="1"/>
  <c r="AA429" i="1"/>
  <c r="AA430" i="1"/>
  <c r="AA431" i="1"/>
  <c r="AA433" i="1"/>
  <c r="AA435" i="1"/>
  <c r="AA436" i="1"/>
  <c r="AA439" i="1"/>
  <c r="AA445" i="1"/>
  <c r="AA446" i="1"/>
  <c r="AA447" i="1"/>
  <c r="AA450" i="1"/>
  <c r="AA452" i="1"/>
  <c r="AA453" i="1"/>
  <c r="AA460" i="1"/>
  <c r="AA462" i="1"/>
  <c r="AA464" i="1"/>
  <c r="AA465" i="1"/>
  <c r="AA466" i="1"/>
  <c r="AA468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2" i="1"/>
  <c r="AA533" i="1"/>
  <c r="AA534" i="1"/>
  <c r="AA537" i="1"/>
  <c r="AA538" i="1"/>
  <c r="AA539" i="1"/>
  <c r="AA540" i="1"/>
  <c r="AA541" i="1"/>
  <c r="AA542" i="1"/>
  <c r="AA543" i="1"/>
  <c r="AA544" i="1"/>
  <c r="AA546" i="1"/>
  <c r="AA547" i="1"/>
  <c r="AA549" i="1"/>
  <c r="AA551" i="1"/>
  <c r="AA552" i="1"/>
  <c r="AA553" i="1"/>
  <c r="AA556" i="1"/>
  <c r="AA557" i="1"/>
  <c r="AA558" i="1"/>
  <c r="AA561" i="1"/>
  <c r="AA564" i="1"/>
  <c r="AA565" i="1"/>
  <c r="AA567" i="1"/>
  <c r="AA568" i="1"/>
  <c r="AA570" i="1"/>
  <c r="AA572" i="1"/>
  <c r="AA575" i="1"/>
  <c r="AA576" i="1"/>
  <c r="AA577" i="1"/>
  <c r="AA578" i="1"/>
  <c r="AA580" i="1"/>
  <c r="AA581" i="1"/>
  <c r="AA584" i="1"/>
  <c r="AA585" i="1"/>
  <c r="AA586" i="1"/>
  <c r="AA587" i="1"/>
  <c r="AA588" i="1"/>
  <c r="AA589" i="1"/>
  <c r="AA590" i="1"/>
  <c r="AA594" i="1"/>
  <c r="AA595" i="1"/>
  <c r="AA596" i="1"/>
  <c r="AA597" i="1"/>
  <c r="AA598" i="1"/>
  <c r="AA599" i="1"/>
  <c r="AA601" i="1"/>
  <c r="AA604" i="1"/>
  <c r="AA605" i="1"/>
  <c r="AA606" i="1"/>
  <c r="AA608" i="1"/>
  <c r="AA609" i="1"/>
  <c r="AA611" i="1"/>
  <c r="AA612" i="1"/>
  <c r="AA613" i="1"/>
  <c r="AA615" i="1"/>
  <c r="AA616" i="1"/>
  <c r="AA617" i="1"/>
  <c r="AA618" i="1"/>
  <c r="AA619" i="1"/>
  <c r="AA620" i="1"/>
  <c r="AA621" i="1"/>
  <c r="AA622" i="1"/>
  <c r="AA623" i="1"/>
  <c r="AA625" i="1"/>
  <c r="AA626" i="1"/>
  <c r="AA627" i="1"/>
  <c r="AA629" i="1"/>
  <c r="AA630" i="1"/>
  <c r="AA631" i="1"/>
  <c r="AA633" i="1"/>
  <c r="AA634" i="1"/>
  <c r="AA635" i="1"/>
  <c r="AA637" i="1"/>
  <c r="AA639" i="1"/>
  <c r="AA640" i="1"/>
  <c r="AA641" i="1"/>
  <c r="AA642" i="1"/>
  <c r="AA643" i="1"/>
  <c r="AA644" i="1"/>
  <c r="AA646" i="1"/>
  <c r="AA648" i="1"/>
  <c r="AA649" i="1"/>
  <c r="AA650" i="1"/>
  <c r="AA651" i="1"/>
  <c r="AA652" i="1"/>
  <c r="AA654" i="1"/>
  <c r="AA657" i="1"/>
  <c r="AA658" i="1"/>
  <c r="AA664" i="1"/>
  <c r="AA665" i="1"/>
  <c r="AA666" i="1"/>
  <c r="AA667" i="1"/>
  <c r="AA669" i="1"/>
  <c r="AA670" i="1"/>
  <c r="AA671" i="1"/>
  <c r="AA672" i="1"/>
  <c r="AA674" i="1"/>
  <c r="AA678" i="1"/>
  <c r="AA681" i="1"/>
  <c r="AA682" i="1"/>
  <c r="AA683" i="1"/>
  <c r="AA685" i="1"/>
  <c r="AA686" i="1"/>
  <c r="AA687" i="1"/>
  <c r="AA688" i="1"/>
  <c r="AA689" i="1"/>
  <c r="AA690" i="1"/>
  <c r="AA691" i="1"/>
  <c r="AA692" i="1"/>
  <c r="AA693" i="1"/>
  <c r="AA695" i="1"/>
  <c r="AA698" i="1"/>
  <c r="AA699" i="1"/>
  <c r="AA703" i="1"/>
  <c r="AA704" i="1"/>
  <c r="AA705" i="1"/>
  <c r="AA706" i="1"/>
  <c r="AA707" i="1"/>
  <c r="AA709" i="1"/>
  <c r="AA710" i="1"/>
  <c r="AA711" i="1"/>
  <c r="AA712" i="1"/>
  <c r="AA713" i="1"/>
  <c r="AA714" i="1"/>
  <c r="AA715" i="1"/>
  <c r="AA719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40" i="1"/>
  <c r="AA741" i="1"/>
  <c r="AA742" i="1"/>
  <c r="AA743" i="1"/>
  <c r="AA744" i="1"/>
  <c r="AA745" i="1"/>
  <c r="AA746" i="1"/>
  <c r="AA747" i="1"/>
  <c r="AA748" i="1"/>
  <c r="AA749" i="1"/>
  <c r="AA750" i="1"/>
  <c r="AA753" i="1"/>
  <c r="AA754" i="1"/>
  <c r="AA758" i="1"/>
  <c r="AA759" i="1"/>
  <c r="AA761" i="1"/>
  <c r="AA762" i="1"/>
  <c r="AA763" i="1"/>
  <c r="AA764" i="1"/>
  <c r="AA765" i="1"/>
  <c r="AA766" i="1"/>
  <c r="AA767" i="1"/>
  <c r="AA769" i="1"/>
  <c r="AA770" i="1"/>
  <c r="AA771" i="1"/>
  <c r="AA772" i="1"/>
  <c r="AA773" i="1"/>
  <c r="AA775" i="1"/>
  <c r="AA776" i="1"/>
  <c r="AA777" i="1"/>
  <c r="AA779" i="1"/>
  <c r="AA782" i="1"/>
  <c r="AA784" i="1"/>
  <c r="AA786" i="1"/>
  <c r="AA787" i="1"/>
  <c r="AA788" i="1"/>
  <c r="AA789" i="1"/>
  <c r="AA790" i="1"/>
  <c r="AA791" i="1"/>
  <c r="AA792" i="1"/>
  <c r="AA795" i="1"/>
  <c r="AA796" i="1"/>
  <c r="AA799" i="1"/>
  <c r="AA801" i="1"/>
  <c r="AA802" i="1"/>
  <c r="AA803" i="1"/>
  <c r="AA806" i="1"/>
  <c r="AA809" i="1"/>
  <c r="AA810" i="1"/>
  <c r="AA812" i="1"/>
  <c r="AA817" i="1"/>
  <c r="AA818" i="1"/>
  <c r="AA820" i="1"/>
  <c r="AA821" i="1"/>
  <c r="AA822" i="1"/>
  <c r="AA823" i="1"/>
  <c r="AA824" i="1"/>
  <c r="AA825" i="1"/>
  <c r="AA826" i="1"/>
  <c r="AA827" i="1"/>
  <c r="AA828" i="1"/>
  <c r="AA830" i="1"/>
  <c r="AA832" i="1"/>
  <c r="AA833" i="1"/>
  <c r="AA834" i="1"/>
  <c r="AA837" i="1"/>
  <c r="AA840" i="1"/>
  <c r="AA841" i="1"/>
  <c r="AA843" i="1"/>
  <c r="AA845" i="1"/>
  <c r="AA846" i="1"/>
  <c r="AA847" i="1"/>
  <c r="AA848" i="1"/>
  <c r="AA849" i="1"/>
  <c r="AA850" i="1"/>
  <c r="AA851" i="1"/>
  <c r="AA852" i="1"/>
  <c r="AA856" i="1"/>
  <c r="AA858" i="1"/>
  <c r="AA859" i="1"/>
  <c r="AA861" i="1"/>
  <c r="AA862" i="1"/>
  <c r="AA863" i="1"/>
  <c r="AA864" i="1"/>
  <c r="AA865" i="1"/>
  <c r="AA866" i="1"/>
  <c r="AA867" i="1"/>
  <c r="AA869" i="1"/>
  <c r="AA870" i="1"/>
  <c r="AA872" i="1"/>
  <c r="AA874" i="1"/>
  <c r="AA875" i="1"/>
  <c r="AA876" i="1"/>
  <c r="AA877" i="1"/>
  <c r="AA878" i="1"/>
  <c r="AA879" i="1"/>
  <c r="AA880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20" i="1"/>
  <c r="AA921" i="1"/>
  <c r="AA922" i="1"/>
  <c r="AA923" i="1"/>
  <c r="AA924" i="1"/>
  <c r="AA925" i="1"/>
  <c r="AA927" i="1"/>
  <c r="AA928" i="1"/>
  <c r="AA929" i="1"/>
  <c r="AA930" i="1"/>
  <c r="AA931" i="1"/>
  <c r="AA932" i="1"/>
  <c r="AA933" i="1"/>
  <c r="AA934" i="1"/>
  <c r="AA936" i="1"/>
  <c r="AA938" i="1"/>
  <c r="AA940" i="1"/>
  <c r="AA941" i="1"/>
  <c r="AA942" i="1"/>
  <c r="AA943" i="1"/>
  <c r="AA944" i="1"/>
  <c r="AA945" i="1"/>
  <c r="AA946" i="1"/>
  <c r="AA947" i="1"/>
  <c r="AA948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70" i="1"/>
  <c r="AA972" i="1"/>
  <c r="AA974" i="1"/>
  <c r="AA975" i="1"/>
  <c r="AA976" i="1"/>
  <c r="AA977" i="1"/>
  <c r="AA978" i="1"/>
  <c r="AA980" i="1"/>
  <c r="AA981" i="1"/>
  <c r="AA982" i="1"/>
  <c r="AA983" i="1"/>
  <c r="AA984" i="1"/>
  <c r="AA986" i="1"/>
  <c r="AA987" i="1"/>
  <c r="AA988" i="1"/>
  <c r="AA989" i="1"/>
  <c r="AA990" i="1"/>
  <c r="AA991" i="1"/>
  <c r="AA992" i="1"/>
  <c r="AA993" i="1"/>
  <c r="AA996" i="1"/>
  <c r="AA997" i="1"/>
  <c r="AA999" i="1"/>
  <c r="AA1000" i="1"/>
  <c r="AA1002" i="1"/>
  <c r="AA1003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2" i="1"/>
  <c r="AA1024" i="1"/>
  <c r="AA1025" i="1"/>
  <c r="AA1029" i="1"/>
  <c r="AA1030" i="1"/>
  <c r="AA1031" i="1"/>
  <c r="AA1032" i="1"/>
  <c r="AA1033" i="1"/>
  <c r="AA1034" i="1"/>
  <c r="AA1035" i="1"/>
  <c r="AA1036" i="1"/>
  <c r="AA1037" i="1"/>
  <c r="AA1039" i="1"/>
  <c r="AA1040" i="1"/>
  <c r="AA1041" i="1"/>
  <c r="AA1043" i="1"/>
  <c r="AA1044" i="1"/>
  <c r="AA1045" i="1"/>
  <c r="AA1046" i="1"/>
  <c r="AA1047" i="1"/>
  <c r="AA1048" i="1"/>
  <c r="AA1050" i="1"/>
  <c r="AA1051" i="1"/>
  <c r="AA1052" i="1"/>
  <c r="AA1054" i="1"/>
  <c r="AA1055" i="1"/>
  <c r="AA1056" i="1"/>
  <c r="AA1057" i="1"/>
  <c r="Y5" i="1"/>
  <c r="Y6" i="1"/>
  <c r="Y8" i="1"/>
  <c r="Y11" i="1"/>
  <c r="Y13" i="1"/>
  <c r="Y14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5" i="1"/>
  <c r="Y66" i="1"/>
  <c r="Y68" i="1"/>
  <c r="Y69" i="1"/>
  <c r="Y71" i="1"/>
  <c r="Y72" i="1"/>
  <c r="Y73" i="1"/>
  <c r="Y74" i="1"/>
  <c r="Y75" i="1"/>
  <c r="Y76" i="1"/>
  <c r="Y77" i="1"/>
  <c r="Y78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11" i="1"/>
  <c r="Y112" i="1"/>
  <c r="Y113" i="1"/>
  <c r="Y114" i="1"/>
  <c r="Y115" i="1"/>
  <c r="Y116" i="1"/>
  <c r="Y117" i="1"/>
  <c r="Y118" i="1"/>
  <c r="Y119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4" i="1"/>
  <c r="Y135" i="1"/>
  <c r="Y136" i="1"/>
  <c r="Y138" i="1"/>
  <c r="Y139" i="1"/>
  <c r="Y140" i="1"/>
  <c r="Y141" i="1"/>
  <c r="Y142" i="1"/>
  <c r="Y143" i="1"/>
  <c r="Y145" i="1"/>
  <c r="Y146" i="1"/>
  <c r="Y147" i="1"/>
  <c r="Y148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3" i="1"/>
  <c r="Y164" i="1"/>
  <c r="Y166" i="1"/>
  <c r="Y169" i="1"/>
  <c r="Y170" i="1"/>
  <c r="Y171" i="1"/>
  <c r="Y172" i="1"/>
  <c r="Y173" i="1"/>
  <c r="Y176" i="1"/>
  <c r="Y177" i="1"/>
  <c r="Y179" i="1"/>
  <c r="Y180" i="1"/>
  <c r="Y182" i="1"/>
  <c r="Y183" i="1"/>
  <c r="Y184" i="1"/>
  <c r="Y185" i="1"/>
  <c r="Y186" i="1"/>
  <c r="Y187" i="1"/>
  <c r="Y188" i="1"/>
  <c r="Y191" i="1"/>
  <c r="Y192" i="1"/>
  <c r="Y193" i="1"/>
  <c r="Y194" i="1"/>
  <c r="Y195" i="1"/>
  <c r="Y198" i="1"/>
  <c r="Y199" i="1"/>
  <c r="Y200" i="1"/>
  <c r="Y201" i="1"/>
  <c r="Y202" i="1"/>
  <c r="Y203" i="1"/>
  <c r="Y204" i="1"/>
  <c r="Y206" i="1"/>
  <c r="Y207" i="1"/>
  <c r="Y208" i="1"/>
  <c r="Y210" i="1"/>
  <c r="Y211" i="1"/>
  <c r="Y214" i="1"/>
  <c r="Y216" i="1"/>
  <c r="Y217" i="1"/>
  <c r="Y218" i="1"/>
  <c r="Y219" i="1"/>
  <c r="Y220" i="1"/>
  <c r="Y221" i="1"/>
  <c r="Y223" i="1"/>
  <c r="Y224" i="1"/>
  <c r="Y226" i="1"/>
  <c r="Y227" i="1"/>
  <c r="Y228" i="1"/>
  <c r="Y231" i="1"/>
  <c r="Y232" i="1"/>
  <c r="Y233" i="1"/>
  <c r="Y234" i="1"/>
  <c r="Y235" i="1"/>
  <c r="Y236" i="1"/>
  <c r="Y237" i="1"/>
  <c r="Y239" i="1"/>
  <c r="Y240" i="1"/>
  <c r="Y241" i="1"/>
  <c r="Y243" i="1"/>
  <c r="Y244" i="1"/>
  <c r="Y245" i="1"/>
  <c r="Y246" i="1"/>
  <c r="Y247" i="1"/>
  <c r="Y248" i="1"/>
  <c r="Y249" i="1"/>
  <c r="Y250" i="1"/>
  <c r="Y253" i="1"/>
  <c r="Y254" i="1"/>
  <c r="Y255" i="1"/>
  <c r="Y257" i="1"/>
  <c r="Y261" i="1"/>
  <c r="Y262" i="1"/>
  <c r="Y263" i="1"/>
  <c r="Y264" i="1"/>
  <c r="Y265" i="1"/>
  <c r="Y266" i="1"/>
  <c r="Y267" i="1"/>
  <c r="Y269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7" i="1"/>
  <c r="Y288" i="1"/>
  <c r="Y289" i="1"/>
  <c r="Y290" i="1"/>
  <c r="Y291" i="1"/>
  <c r="Y293" i="1"/>
  <c r="Y294" i="1"/>
  <c r="Y296" i="1"/>
  <c r="Y297" i="1"/>
  <c r="Y298" i="1"/>
  <c r="Y299" i="1"/>
  <c r="Y300" i="1"/>
  <c r="Y301" i="1"/>
  <c r="Y302" i="1"/>
  <c r="Y305" i="1"/>
  <c r="Y306" i="1"/>
  <c r="Y307" i="1"/>
  <c r="Y308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9" i="1"/>
  <c r="Y340" i="1"/>
  <c r="Y341" i="1"/>
  <c r="Y343" i="1"/>
  <c r="Y344" i="1"/>
  <c r="Y345" i="1"/>
  <c r="Y346" i="1"/>
  <c r="Y347" i="1"/>
  <c r="Y348" i="1"/>
  <c r="Y349" i="1"/>
  <c r="Y350" i="1"/>
  <c r="Y351" i="1"/>
  <c r="Y352" i="1"/>
  <c r="Y354" i="1"/>
  <c r="Y356" i="1"/>
  <c r="Y358" i="1"/>
  <c r="Y359" i="1"/>
  <c r="Y363" i="1"/>
  <c r="Y364" i="1"/>
  <c r="Y365" i="1"/>
  <c r="Y366" i="1"/>
  <c r="Y367" i="1"/>
  <c r="Y369" i="1"/>
  <c r="Y371" i="1"/>
  <c r="Y373" i="1"/>
  <c r="Y375" i="1"/>
  <c r="Y376" i="1"/>
  <c r="Y377" i="1"/>
  <c r="Y379" i="1"/>
  <c r="Y380" i="1"/>
  <c r="Y381" i="1"/>
  <c r="Y382" i="1"/>
  <c r="Y383" i="1"/>
  <c r="Y385" i="1"/>
  <c r="Y386" i="1"/>
  <c r="Y387" i="1"/>
  <c r="Y391" i="1"/>
  <c r="Y392" i="1"/>
  <c r="Y393" i="1"/>
  <c r="Y394" i="1"/>
  <c r="Y396" i="1"/>
  <c r="Y397" i="1"/>
  <c r="Y398" i="1"/>
  <c r="Y400" i="1"/>
  <c r="Y403" i="1"/>
  <c r="Y406" i="1"/>
  <c r="Y409" i="1"/>
  <c r="Y410" i="1"/>
  <c r="Y411" i="1"/>
  <c r="Y412" i="1"/>
  <c r="Y413" i="1"/>
  <c r="Y414" i="1"/>
  <c r="Y416" i="1"/>
  <c r="Y422" i="1"/>
  <c r="Y424" i="1"/>
  <c r="Y425" i="1"/>
  <c r="Y426" i="1"/>
  <c r="Y427" i="1"/>
  <c r="Y428" i="1"/>
  <c r="Y429" i="1"/>
  <c r="Y430" i="1"/>
  <c r="Y431" i="1"/>
  <c r="Y433" i="1"/>
  <c r="Y435" i="1"/>
  <c r="Y436" i="1"/>
  <c r="Y439" i="1"/>
  <c r="Y440" i="1"/>
  <c r="Y441" i="1"/>
  <c r="Y442" i="1"/>
  <c r="Y445" i="1"/>
  <c r="Y446" i="1"/>
  <c r="Y447" i="1"/>
  <c r="Y450" i="1"/>
  <c r="Y452" i="1"/>
  <c r="Y453" i="1"/>
  <c r="Y454" i="1"/>
  <c r="Y458" i="1"/>
  <c r="Y460" i="1"/>
  <c r="Y462" i="1"/>
  <c r="Y463" i="1"/>
  <c r="Y464" i="1"/>
  <c r="Y465" i="1"/>
  <c r="Y466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7" i="1"/>
  <c r="Y538" i="1"/>
  <c r="Y539" i="1"/>
  <c r="Y540" i="1"/>
  <c r="Y541" i="1"/>
  <c r="Y542" i="1"/>
  <c r="Y543" i="1"/>
  <c r="Y544" i="1"/>
  <c r="Y545" i="1"/>
  <c r="Y546" i="1"/>
  <c r="Y547" i="1"/>
  <c r="Y549" i="1"/>
  <c r="Y551" i="1"/>
  <c r="Y552" i="1"/>
  <c r="Y553" i="1"/>
  <c r="Y554" i="1"/>
  <c r="Y556" i="1"/>
  <c r="Y557" i="1"/>
  <c r="Y558" i="1"/>
  <c r="Y560" i="1"/>
  <c r="Y561" i="1"/>
  <c r="Y562" i="1"/>
  <c r="Y564" i="1"/>
  <c r="Y565" i="1"/>
  <c r="Y566" i="1"/>
  <c r="Y567" i="1"/>
  <c r="Y568" i="1"/>
  <c r="Y570" i="1"/>
  <c r="Y572" i="1"/>
  <c r="Y575" i="1"/>
  <c r="Y576" i="1"/>
  <c r="Y577" i="1"/>
  <c r="Y578" i="1"/>
  <c r="Y580" i="1"/>
  <c r="Y581" i="1"/>
  <c r="Y583" i="1"/>
  <c r="Y584" i="1"/>
  <c r="Y585" i="1"/>
  <c r="Y586" i="1"/>
  <c r="Y587" i="1"/>
  <c r="Y588" i="1"/>
  <c r="Y589" i="1"/>
  <c r="Y590" i="1"/>
  <c r="Y594" i="1"/>
  <c r="Y595" i="1"/>
  <c r="Y596" i="1"/>
  <c r="Y597" i="1"/>
  <c r="Y598" i="1"/>
  <c r="Y599" i="1"/>
  <c r="Y601" i="1"/>
  <c r="Y602" i="1"/>
  <c r="Y604" i="1"/>
  <c r="Y605" i="1"/>
  <c r="Y606" i="1"/>
  <c r="Y608" i="1"/>
  <c r="Y609" i="1"/>
  <c r="Y610" i="1"/>
  <c r="Y611" i="1"/>
  <c r="Y612" i="1"/>
  <c r="Y613" i="1"/>
  <c r="Y615" i="1"/>
  <c r="Y616" i="1"/>
  <c r="Y617" i="1"/>
  <c r="Y618" i="1"/>
  <c r="Y619" i="1"/>
  <c r="Y620" i="1"/>
  <c r="Y621" i="1"/>
  <c r="Y622" i="1"/>
  <c r="Y623" i="1"/>
  <c r="Y625" i="1"/>
  <c r="Y626" i="1"/>
  <c r="Y627" i="1"/>
  <c r="Y629" i="1"/>
  <c r="Y630" i="1"/>
  <c r="Y631" i="1"/>
  <c r="Y633" i="1"/>
  <c r="Y634" i="1"/>
  <c r="Y635" i="1"/>
  <c r="Y637" i="1"/>
  <c r="Y639" i="1"/>
  <c r="Y640" i="1"/>
  <c r="Y641" i="1"/>
  <c r="Y642" i="1"/>
  <c r="Y643" i="1"/>
  <c r="Y644" i="1"/>
  <c r="Y646" i="1"/>
  <c r="Y648" i="1"/>
  <c r="Y649" i="1"/>
  <c r="Y650" i="1"/>
  <c r="Y651" i="1"/>
  <c r="Y652" i="1"/>
  <c r="Y654" i="1"/>
  <c r="Y656" i="1"/>
  <c r="Y657" i="1"/>
  <c r="Y658" i="1"/>
  <c r="Y659" i="1"/>
  <c r="Y661" i="1"/>
  <c r="Y663" i="1"/>
  <c r="Y664" i="1"/>
  <c r="Y665" i="1"/>
  <c r="Y666" i="1"/>
  <c r="Y667" i="1"/>
  <c r="Y669" i="1"/>
  <c r="Y670" i="1"/>
  <c r="Y671" i="1"/>
  <c r="Y672" i="1"/>
  <c r="Y674" i="1"/>
  <c r="Y678" i="1"/>
  <c r="Y680" i="1"/>
  <c r="Y681" i="1"/>
  <c r="Y682" i="1"/>
  <c r="Y683" i="1"/>
  <c r="Y685" i="1"/>
  <c r="Y686" i="1"/>
  <c r="Y687" i="1"/>
  <c r="Y688" i="1"/>
  <c r="Y689" i="1"/>
  <c r="Y690" i="1"/>
  <c r="Y691" i="1"/>
  <c r="Y692" i="1"/>
  <c r="Y693" i="1"/>
  <c r="Y695" i="1"/>
  <c r="Y698" i="1"/>
  <c r="Y699" i="1"/>
  <c r="Y703" i="1"/>
  <c r="Y704" i="1"/>
  <c r="Y705" i="1"/>
  <c r="Y706" i="1"/>
  <c r="Y707" i="1"/>
  <c r="Y709" i="1"/>
  <c r="Y710" i="1"/>
  <c r="Y711" i="1"/>
  <c r="Y712" i="1"/>
  <c r="Y713" i="1"/>
  <c r="Y714" i="1"/>
  <c r="Y715" i="1"/>
  <c r="Y717" i="1"/>
  <c r="Y719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40" i="1"/>
  <c r="Y741" i="1"/>
  <c r="Y742" i="1"/>
  <c r="Y743" i="1"/>
  <c r="Y744" i="1"/>
  <c r="Y745" i="1"/>
  <c r="Y746" i="1"/>
  <c r="Y747" i="1"/>
  <c r="Y748" i="1"/>
  <c r="Y749" i="1"/>
  <c r="Y750" i="1"/>
  <c r="Y753" i="1"/>
  <c r="Y754" i="1"/>
  <c r="Y758" i="1"/>
  <c r="Y759" i="1"/>
  <c r="Y760" i="1"/>
  <c r="Y761" i="1"/>
  <c r="Y762" i="1"/>
  <c r="Y763" i="1"/>
  <c r="Y764" i="1"/>
  <c r="Y765" i="1"/>
  <c r="Y766" i="1"/>
  <c r="Y767" i="1"/>
  <c r="Y769" i="1"/>
  <c r="Y770" i="1"/>
  <c r="Y771" i="1"/>
  <c r="Y772" i="1"/>
  <c r="Y773" i="1"/>
  <c r="Y774" i="1"/>
  <c r="Y775" i="1"/>
  <c r="Y776" i="1"/>
  <c r="Y777" i="1"/>
  <c r="Y779" i="1"/>
  <c r="Y782" i="1"/>
  <c r="Y783" i="1"/>
  <c r="Y784" i="1"/>
  <c r="Y786" i="1"/>
  <c r="Y787" i="1"/>
  <c r="Y788" i="1"/>
  <c r="Y789" i="1"/>
  <c r="Y790" i="1"/>
  <c r="Y791" i="1"/>
  <c r="Y792" i="1"/>
  <c r="Y795" i="1"/>
  <c r="Y796" i="1"/>
  <c r="Y799" i="1"/>
  <c r="Y801" i="1"/>
  <c r="Y802" i="1"/>
  <c r="Y803" i="1"/>
  <c r="Y805" i="1"/>
  <c r="Y806" i="1"/>
  <c r="Y809" i="1"/>
  <c r="Y810" i="1"/>
  <c r="Y812" i="1"/>
  <c r="Y817" i="1"/>
  <c r="Y818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7" i="1"/>
  <c r="Y840" i="1"/>
  <c r="Y841" i="1"/>
  <c r="Y843" i="1"/>
  <c r="Y845" i="1"/>
  <c r="Y846" i="1"/>
  <c r="Y847" i="1"/>
  <c r="Y848" i="1"/>
  <c r="Y849" i="1"/>
  <c r="Y850" i="1"/>
  <c r="Y851" i="1"/>
  <c r="Y852" i="1"/>
  <c r="Y854" i="1"/>
  <c r="Y856" i="1"/>
  <c r="Y858" i="1"/>
  <c r="Y859" i="1"/>
  <c r="Y861" i="1"/>
  <c r="Y862" i="1"/>
  <c r="Y863" i="1"/>
  <c r="Y864" i="1"/>
  <c r="Y865" i="1"/>
  <c r="Y866" i="1"/>
  <c r="Y867" i="1"/>
  <c r="Y869" i="1"/>
  <c r="Y870" i="1"/>
  <c r="Y872" i="1"/>
  <c r="Y874" i="1"/>
  <c r="Y875" i="1"/>
  <c r="Y876" i="1"/>
  <c r="Y877" i="1"/>
  <c r="Y878" i="1"/>
  <c r="Y879" i="1"/>
  <c r="Y880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9" i="1"/>
  <c r="Y920" i="1"/>
  <c r="Y921" i="1"/>
  <c r="Y922" i="1"/>
  <c r="Y923" i="1"/>
  <c r="Y924" i="1"/>
  <c r="Y925" i="1"/>
  <c r="Y927" i="1"/>
  <c r="Y928" i="1"/>
  <c r="Y929" i="1"/>
  <c r="Y930" i="1"/>
  <c r="Y931" i="1"/>
  <c r="Y932" i="1"/>
  <c r="Y933" i="1"/>
  <c r="Y934" i="1"/>
  <c r="Y936" i="1"/>
  <c r="Y938" i="1"/>
  <c r="Y940" i="1"/>
  <c r="Y941" i="1"/>
  <c r="Y942" i="1"/>
  <c r="Y943" i="1"/>
  <c r="Y944" i="1"/>
  <c r="Y945" i="1"/>
  <c r="Y946" i="1"/>
  <c r="Y947" i="1"/>
  <c r="Y948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70" i="1"/>
  <c r="Y972" i="1"/>
  <c r="Y974" i="1"/>
  <c r="Y975" i="1"/>
  <c r="Y976" i="1"/>
  <c r="Y977" i="1"/>
  <c r="Y978" i="1"/>
  <c r="Y980" i="1"/>
  <c r="Y981" i="1"/>
  <c r="Y982" i="1"/>
  <c r="Y983" i="1"/>
  <c r="Y984" i="1"/>
  <c r="Y986" i="1"/>
  <c r="Y987" i="1"/>
  <c r="Y988" i="1"/>
  <c r="Y989" i="1"/>
  <c r="Y990" i="1"/>
  <c r="Y991" i="1"/>
  <c r="Y992" i="1"/>
  <c r="Y993" i="1"/>
  <c r="Y996" i="1"/>
  <c r="Y997" i="1"/>
  <c r="Y999" i="1"/>
  <c r="Y1000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2" i="1"/>
  <c r="Y1024" i="1"/>
  <c r="Y1025" i="1"/>
  <c r="Y1026" i="1"/>
  <c r="Y1029" i="1"/>
  <c r="Y1030" i="1"/>
  <c r="Y1031" i="1"/>
  <c r="Y1032" i="1"/>
  <c r="Y1033" i="1"/>
  <c r="Y1034" i="1"/>
  <c r="Y1035" i="1"/>
  <c r="Y1036" i="1"/>
  <c r="Y1037" i="1"/>
  <c r="Y1039" i="1"/>
  <c r="Y1040" i="1"/>
  <c r="Y1041" i="1"/>
  <c r="Y1043" i="1"/>
  <c r="Y1044" i="1"/>
  <c r="Y1045" i="1"/>
  <c r="Y1046" i="1"/>
  <c r="Y1047" i="1"/>
  <c r="Y1048" i="1"/>
  <c r="Y1050" i="1"/>
  <c r="Y1051" i="1"/>
  <c r="Y1052" i="1"/>
  <c r="Y1054" i="1"/>
  <c r="Y1055" i="1"/>
  <c r="Y1056" i="1"/>
  <c r="Y1057" i="1"/>
  <c r="Y4" i="1" l="1"/>
  <c r="Q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4" i="1"/>
  <c r="M5" i="1"/>
  <c r="T5" i="1" s="1"/>
  <c r="M6" i="1"/>
  <c r="T6" i="1" s="1"/>
  <c r="M7" i="1"/>
  <c r="T7" i="1" s="1"/>
  <c r="M8" i="1"/>
  <c r="T8" i="1" s="1"/>
  <c r="M9" i="1"/>
  <c r="T9" i="1" s="1"/>
  <c r="M10" i="1"/>
  <c r="T10" i="1" s="1"/>
  <c r="M11" i="1"/>
  <c r="T11" i="1" s="1"/>
  <c r="M12" i="1"/>
  <c r="T12" i="1" s="1"/>
  <c r="M13" i="1"/>
  <c r="T13" i="1" s="1"/>
  <c r="M14" i="1"/>
  <c r="T14" i="1" s="1"/>
  <c r="M15" i="1"/>
  <c r="T15" i="1" s="1"/>
  <c r="M16" i="1"/>
  <c r="T16" i="1" s="1"/>
  <c r="M17" i="1"/>
  <c r="T17" i="1" s="1"/>
  <c r="M18" i="1"/>
  <c r="T18" i="1" s="1"/>
  <c r="M19" i="1"/>
  <c r="T19" i="1" s="1"/>
  <c r="M20" i="1"/>
  <c r="T20" i="1" s="1"/>
  <c r="M21" i="1"/>
  <c r="T21" i="1" s="1"/>
  <c r="M22" i="1"/>
  <c r="T22" i="1" s="1"/>
  <c r="M23" i="1"/>
  <c r="T23" i="1" s="1"/>
  <c r="M24" i="1"/>
  <c r="T24" i="1" s="1"/>
  <c r="M25" i="1"/>
  <c r="T25" i="1" s="1"/>
  <c r="M26" i="1"/>
  <c r="T26" i="1" s="1"/>
  <c r="M27" i="1"/>
  <c r="T27" i="1" s="1"/>
  <c r="M28" i="1"/>
  <c r="T28" i="1" s="1"/>
  <c r="M29" i="1"/>
  <c r="T29" i="1" s="1"/>
  <c r="M30" i="1"/>
  <c r="T30" i="1" s="1"/>
  <c r="M31" i="1"/>
  <c r="T31" i="1" s="1"/>
  <c r="M32" i="1"/>
  <c r="T32" i="1" s="1"/>
  <c r="M33" i="1"/>
  <c r="T33" i="1" s="1"/>
  <c r="M34" i="1"/>
  <c r="T34" i="1" s="1"/>
  <c r="M35" i="1"/>
  <c r="T35" i="1" s="1"/>
  <c r="M36" i="1"/>
  <c r="T36" i="1" s="1"/>
  <c r="M37" i="1"/>
  <c r="T37" i="1" s="1"/>
  <c r="M38" i="1"/>
  <c r="T38" i="1" s="1"/>
  <c r="M39" i="1"/>
  <c r="T39" i="1" s="1"/>
  <c r="M40" i="1"/>
  <c r="T40" i="1" s="1"/>
  <c r="M41" i="1"/>
  <c r="T41" i="1" s="1"/>
  <c r="M42" i="1"/>
  <c r="T42" i="1" s="1"/>
  <c r="M43" i="1"/>
  <c r="T43" i="1" s="1"/>
  <c r="M44" i="1"/>
  <c r="T44" i="1" s="1"/>
  <c r="M45" i="1"/>
  <c r="T45" i="1" s="1"/>
  <c r="M46" i="1"/>
  <c r="T46" i="1" s="1"/>
  <c r="M47" i="1"/>
  <c r="T47" i="1" s="1"/>
  <c r="M48" i="1"/>
  <c r="T48" i="1" s="1"/>
  <c r="M49" i="1"/>
  <c r="T49" i="1" s="1"/>
  <c r="M50" i="1"/>
  <c r="T50" i="1" s="1"/>
  <c r="M51" i="1"/>
  <c r="T51" i="1" s="1"/>
  <c r="M52" i="1"/>
  <c r="T52" i="1" s="1"/>
  <c r="M53" i="1"/>
  <c r="T53" i="1" s="1"/>
  <c r="M54" i="1"/>
  <c r="T54" i="1" s="1"/>
  <c r="M55" i="1"/>
  <c r="T55" i="1" s="1"/>
  <c r="M56" i="1"/>
  <c r="T56" i="1" s="1"/>
  <c r="M57" i="1"/>
  <c r="T57" i="1" s="1"/>
  <c r="M58" i="1"/>
  <c r="T58" i="1" s="1"/>
  <c r="M59" i="1"/>
  <c r="T59" i="1" s="1"/>
  <c r="M60" i="1"/>
  <c r="T60" i="1" s="1"/>
  <c r="M61" i="1"/>
  <c r="T61" i="1" s="1"/>
  <c r="M62" i="1"/>
  <c r="T62" i="1" s="1"/>
  <c r="M63" i="1"/>
  <c r="T63" i="1" s="1"/>
  <c r="M64" i="1"/>
  <c r="T64" i="1" s="1"/>
  <c r="M65" i="1"/>
  <c r="T65" i="1" s="1"/>
  <c r="M66" i="1"/>
  <c r="T66" i="1" s="1"/>
  <c r="M67" i="1"/>
  <c r="T67" i="1" s="1"/>
  <c r="M68" i="1"/>
  <c r="T68" i="1" s="1"/>
  <c r="M69" i="1"/>
  <c r="T69" i="1" s="1"/>
  <c r="M70" i="1"/>
  <c r="T70" i="1" s="1"/>
  <c r="M71" i="1"/>
  <c r="T71" i="1" s="1"/>
  <c r="M72" i="1"/>
  <c r="T72" i="1" s="1"/>
  <c r="M73" i="1"/>
  <c r="T73" i="1" s="1"/>
  <c r="M74" i="1"/>
  <c r="T74" i="1" s="1"/>
  <c r="M75" i="1"/>
  <c r="T75" i="1" s="1"/>
  <c r="M76" i="1"/>
  <c r="T76" i="1" s="1"/>
  <c r="M77" i="1"/>
  <c r="T77" i="1" s="1"/>
  <c r="M78" i="1"/>
  <c r="T78" i="1" s="1"/>
  <c r="M79" i="1"/>
  <c r="T79" i="1" s="1"/>
  <c r="M80" i="1"/>
  <c r="T80" i="1" s="1"/>
  <c r="M81" i="1"/>
  <c r="T81" i="1" s="1"/>
  <c r="M82" i="1"/>
  <c r="T82" i="1" s="1"/>
  <c r="M83" i="1"/>
  <c r="T83" i="1" s="1"/>
  <c r="M84" i="1"/>
  <c r="T84" i="1" s="1"/>
  <c r="M85" i="1"/>
  <c r="T85" i="1" s="1"/>
  <c r="M86" i="1"/>
  <c r="T86" i="1" s="1"/>
  <c r="M87" i="1"/>
  <c r="T87" i="1" s="1"/>
  <c r="M88" i="1"/>
  <c r="T88" i="1" s="1"/>
  <c r="M89" i="1"/>
  <c r="T89" i="1" s="1"/>
  <c r="M90" i="1"/>
  <c r="T90" i="1" s="1"/>
  <c r="M91" i="1"/>
  <c r="T91" i="1" s="1"/>
  <c r="M92" i="1"/>
  <c r="T92" i="1" s="1"/>
  <c r="M93" i="1"/>
  <c r="T93" i="1" s="1"/>
  <c r="M94" i="1"/>
  <c r="T94" i="1" s="1"/>
  <c r="M95" i="1"/>
  <c r="T95" i="1" s="1"/>
  <c r="M96" i="1"/>
  <c r="T96" i="1" s="1"/>
  <c r="M97" i="1"/>
  <c r="T97" i="1" s="1"/>
  <c r="M98" i="1"/>
  <c r="T98" i="1" s="1"/>
  <c r="M99" i="1"/>
  <c r="T99" i="1" s="1"/>
  <c r="M100" i="1"/>
  <c r="T100" i="1" s="1"/>
  <c r="M101" i="1"/>
  <c r="T101" i="1" s="1"/>
  <c r="M102" i="1"/>
  <c r="T102" i="1" s="1"/>
  <c r="M103" i="1"/>
  <c r="T103" i="1" s="1"/>
  <c r="M104" i="1"/>
  <c r="T104" i="1" s="1"/>
  <c r="M105" i="1"/>
  <c r="T105" i="1" s="1"/>
  <c r="M106" i="1"/>
  <c r="T106" i="1" s="1"/>
  <c r="M107" i="1"/>
  <c r="T107" i="1" s="1"/>
  <c r="M108" i="1"/>
  <c r="T108" i="1" s="1"/>
  <c r="M109" i="1"/>
  <c r="T109" i="1" s="1"/>
  <c r="M110" i="1"/>
  <c r="T110" i="1" s="1"/>
  <c r="M111" i="1"/>
  <c r="T111" i="1" s="1"/>
  <c r="M112" i="1"/>
  <c r="T112" i="1" s="1"/>
  <c r="M113" i="1"/>
  <c r="T113" i="1" s="1"/>
  <c r="M114" i="1"/>
  <c r="T114" i="1" s="1"/>
  <c r="M115" i="1"/>
  <c r="T115" i="1" s="1"/>
  <c r="M116" i="1"/>
  <c r="T116" i="1" s="1"/>
  <c r="M117" i="1"/>
  <c r="T117" i="1" s="1"/>
  <c r="M118" i="1"/>
  <c r="T118" i="1" s="1"/>
  <c r="M119" i="1"/>
  <c r="T119" i="1" s="1"/>
  <c r="M120" i="1"/>
  <c r="T120" i="1" s="1"/>
  <c r="M121" i="1"/>
  <c r="T121" i="1" s="1"/>
  <c r="M122" i="1"/>
  <c r="T122" i="1" s="1"/>
  <c r="M123" i="1"/>
  <c r="T123" i="1" s="1"/>
  <c r="M124" i="1"/>
  <c r="T124" i="1" s="1"/>
  <c r="M125" i="1"/>
  <c r="T125" i="1" s="1"/>
  <c r="M126" i="1"/>
  <c r="T126" i="1" s="1"/>
  <c r="M127" i="1"/>
  <c r="T127" i="1" s="1"/>
  <c r="M128" i="1"/>
  <c r="T128" i="1" s="1"/>
  <c r="M129" i="1"/>
  <c r="T129" i="1" s="1"/>
  <c r="M130" i="1"/>
  <c r="T130" i="1" s="1"/>
  <c r="M131" i="1"/>
  <c r="T131" i="1" s="1"/>
  <c r="M132" i="1"/>
  <c r="T132" i="1" s="1"/>
  <c r="M133" i="1"/>
  <c r="T133" i="1" s="1"/>
  <c r="M134" i="1"/>
  <c r="T134" i="1" s="1"/>
  <c r="M135" i="1"/>
  <c r="T135" i="1" s="1"/>
  <c r="M136" i="1"/>
  <c r="T136" i="1" s="1"/>
  <c r="M137" i="1"/>
  <c r="T137" i="1" s="1"/>
  <c r="M138" i="1"/>
  <c r="T138" i="1" s="1"/>
  <c r="M139" i="1"/>
  <c r="T139" i="1" s="1"/>
  <c r="M140" i="1"/>
  <c r="T140" i="1" s="1"/>
  <c r="M141" i="1"/>
  <c r="T141" i="1" s="1"/>
  <c r="M142" i="1"/>
  <c r="T142" i="1" s="1"/>
  <c r="M143" i="1"/>
  <c r="T143" i="1" s="1"/>
  <c r="M144" i="1"/>
  <c r="T144" i="1" s="1"/>
  <c r="M145" i="1"/>
  <c r="T145" i="1" s="1"/>
  <c r="M146" i="1"/>
  <c r="T146" i="1" s="1"/>
  <c r="M147" i="1"/>
  <c r="T147" i="1" s="1"/>
  <c r="M148" i="1"/>
  <c r="T148" i="1" s="1"/>
  <c r="M149" i="1"/>
  <c r="T149" i="1" s="1"/>
  <c r="M150" i="1"/>
  <c r="T150" i="1" s="1"/>
  <c r="M151" i="1"/>
  <c r="T151" i="1" s="1"/>
  <c r="M152" i="1"/>
  <c r="T152" i="1" s="1"/>
  <c r="M153" i="1"/>
  <c r="T153" i="1" s="1"/>
  <c r="M154" i="1"/>
  <c r="T154" i="1" s="1"/>
  <c r="M155" i="1"/>
  <c r="T155" i="1" s="1"/>
  <c r="M156" i="1"/>
  <c r="T156" i="1" s="1"/>
  <c r="M157" i="1"/>
  <c r="T157" i="1" s="1"/>
  <c r="M158" i="1"/>
  <c r="T158" i="1" s="1"/>
  <c r="M159" i="1"/>
  <c r="T159" i="1" s="1"/>
  <c r="M160" i="1"/>
  <c r="T160" i="1" s="1"/>
  <c r="M161" i="1"/>
  <c r="T161" i="1" s="1"/>
  <c r="M162" i="1"/>
  <c r="T162" i="1" s="1"/>
  <c r="M163" i="1"/>
  <c r="T163" i="1" s="1"/>
  <c r="M164" i="1"/>
  <c r="T164" i="1" s="1"/>
  <c r="M165" i="1"/>
  <c r="T165" i="1" s="1"/>
  <c r="M166" i="1"/>
  <c r="T166" i="1" s="1"/>
  <c r="M167" i="1"/>
  <c r="T167" i="1" s="1"/>
  <c r="M168" i="1"/>
  <c r="T168" i="1" s="1"/>
  <c r="M169" i="1"/>
  <c r="T169" i="1" s="1"/>
  <c r="M170" i="1"/>
  <c r="T170" i="1" s="1"/>
  <c r="M171" i="1"/>
  <c r="T171" i="1" s="1"/>
  <c r="M172" i="1"/>
  <c r="T172" i="1" s="1"/>
  <c r="M173" i="1"/>
  <c r="T173" i="1" s="1"/>
  <c r="M174" i="1"/>
  <c r="T174" i="1" s="1"/>
  <c r="M175" i="1"/>
  <c r="T175" i="1" s="1"/>
  <c r="M176" i="1"/>
  <c r="T176" i="1" s="1"/>
  <c r="M177" i="1"/>
  <c r="T177" i="1" s="1"/>
  <c r="M178" i="1"/>
  <c r="T178" i="1" s="1"/>
  <c r="M179" i="1"/>
  <c r="T179" i="1" s="1"/>
  <c r="M180" i="1"/>
  <c r="T180" i="1" s="1"/>
  <c r="M181" i="1"/>
  <c r="T181" i="1" s="1"/>
  <c r="M182" i="1"/>
  <c r="T182" i="1" s="1"/>
  <c r="M183" i="1"/>
  <c r="T183" i="1" s="1"/>
  <c r="M184" i="1"/>
  <c r="T184" i="1" s="1"/>
  <c r="M185" i="1"/>
  <c r="T185" i="1" s="1"/>
  <c r="M186" i="1"/>
  <c r="T186" i="1" s="1"/>
  <c r="M187" i="1"/>
  <c r="T187" i="1" s="1"/>
  <c r="M188" i="1"/>
  <c r="T188" i="1" s="1"/>
  <c r="M189" i="1"/>
  <c r="T189" i="1" s="1"/>
  <c r="M190" i="1"/>
  <c r="T190" i="1" s="1"/>
  <c r="M191" i="1"/>
  <c r="T191" i="1" s="1"/>
  <c r="M192" i="1"/>
  <c r="T192" i="1" s="1"/>
  <c r="M193" i="1"/>
  <c r="T193" i="1" s="1"/>
  <c r="M194" i="1"/>
  <c r="T194" i="1" s="1"/>
  <c r="M195" i="1"/>
  <c r="T195" i="1" s="1"/>
  <c r="M196" i="1"/>
  <c r="T196" i="1" s="1"/>
  <c r="M197" i="1"/>
  <c r="T197" i="1" s="1"/>
  <c r="M198" i="1"/>
  <c r="T198" i="1" s="1"/>
  <c r="M199" i="1"/>
  <c r="T199" i="1" s="1"/>
  <c r="M200" i="1"/>
  <c r="T200" i="1" s="1"/>
  <c r="M201" i="1"/>
  <c r="T201" i="1" s="1"/>
  <c r="M202" i="1"/>
  <c r="T202" i="1" s="1"/>
  <c r="M203" i="1"/>
  <c r="T203" i="1" s="1"/>
  <c r="M204" i="1"/>
  <c r="T204" i="1" s="1"/>
  <c r="M205" i="1"/>
  <c r="T205" i="1" s="1"/>
  <c r="M206" i="1"/>
  <c r="T206" i="1" s="1"/>
  <c r="M207" i="1"/>
  <c r="T207" i="1" s="1"/>
  <c r="M208" i="1"/>
  <c r="T208" i="1" s="1"/>
  <c r="M209" i="1"/>
  <c r="T209" i="1" s="1"/>
  <c r="M210" i="1"/>
  <c r="T210" i="1" s="1"/>
  <c r="M211" i="1"/>
  <c r="T211" i="1" s="1"/>
  <c r="M212" i="1"/>
  <c r="T212" i="1" s="1"/>
  <c r="M213" i="1"/>
  <c r="T213" i="1" s="1"/>
  <c r="M214" i="1"/>
  <c r="T214" i="1" s="1"/>
  <c r="M215" i="1"/>
  <c r="T215" i="1" s="1"/>
  <c r="M216" i="1"/>
  <c r="T216" i="1" s="1"/>
  <c r="M217" i="1"/>
  <c r="T217" i="1" s="1"/>
  <c r="M218" i="1"/>
  <c r="T218" i="1" s="1"/>
  <c r="M219" i="1"/>
  <c r="T219" i="1" s="1"/>
  <c r="M220" i="1"/>
  <c r="T220" i="1" s="1"/>
  <c r="M221" i="1"/>
  <c r="T221" i="1" s="1"/>
  <c r="M222" i="1"/>
  <c r="T222" i="1" s="1"/>
  <c r="M223" i="1"/>
  <c r="T223" i="1" s="1"/>
  <c r="M224" i="1"/>
  <c r="T224" i="1" s="1"/>
  <c r="M225" i="1"/>
  <c r="T225" i="1" s="1"/>
  <c r="M226" i="1"/>
  <c r="T226" i="1" s="1"/>
  <c r="M227" i="1"/>
  <c r="T227" i="1" s="1"/>
  <c r="M228" i="1"/>
  <c r="T228" i="1" s="1"/>
  <c r="M229" i="1"/>
  <c r="T229" i="1" s="1"/>
  <c r="M230" i="1"/>
  <c r="T230" i="1" s="1"/>
  <c r="M231" i="1"/>
  <c r="T231" i="1" s="1"/>
  <c r="M232" i="1"/>
  <c r="T232" i="1" s="1"/>
  <c r="M233" i="1"/>
  <c r="T233" i="1" s="1"/>
  <c r="M234" i="1"/>
  <c r="T234" i="1" s="1"/>
  <c r="M235" i="1"/>
  <c r="T235" i="1" s="1"/>
  <c r="M236" i="1"/>
  <c r="T236" i="1" s="1"/>
  <c r="M237" i="1"/>
  <c r="T237" i="1" s="1"/>
  <c r="M238" i="1"/>
  <c r="T238" i="1" s="1"/>
  <c r="M239" i="1"/>
  <c r="T239" i="1" s="1"/>
  <c r="M240" i="1"/>
  <c r="T240" i="1" s="1"/>
  <c r="M241" i="1"/>
  <c r="T241" i="1" s="1"/>
  <c r="M242" i="1"/>
  <c r="T242" i="1" s="1"/>
  <c r="M243" i="1"/>
  <c r="T243" i="1" s="1"/>
  <c r="M244" i="1"/>
  <c r="T244" i="1" s="1"/>
  <c r="M245" i="1"/>
  <c r="T245" i="1" s="1"/>
  <c r="M246" i="1"/>
  <c r="T246" i="1" s="1"/>
  <c r="M247" i="1"/>
  <c r="T247" i="1" s="1"/>
  <c r="M248" i="1"/>
  <c r="T248" i="1" s="1"/>
  <c r="M249" i="1"/>
  <c r="T249" i="1" s="1"/>
  <c r="M250" i="1"/>
  <c r="T250" i="1" s="1"/>
  <c r="M251" i="1"/>
  <c r="T251" i="1" s="1"/>
  <c r="M252" i="1"/>
  <c r="T252" i="1" s="1"/>
  <c r="M253" i="1"/>
  <c r="T253" i="1" s="1"/>
  <c r="M254" i="1"/>
  <c r="T254" i="1" s="1"/>
  <c r="M255" i="1"/>
  <c r="T255" i="1" s="1"/>
  <c r="M256" i="1"/>
  <c r="T256" i="1" s="1"/>
  <c r="M257" i="1"/>
  <c r="T257" i="1" s="1"/>
  <c r="M258" i="1"/>
  <c r="T258" i="1" s="1"/>
  <c r="M259" i="1"/>
  <c r="T259" i="1" s="1"/>
  <c r="M260" i="1"/>
  <c r="T260" i="1" s="1"/>
  <c r="M261" i="1"/>
  <c r="T261" i="1" s="1"/>
  <c r="M262" i="1"/>
  <c r="T262" i="1" s="1"/>
  <c r="M263" i="1"/>
  <c r="T263" i="1" s="1"/>
  <c r="M264" i="1"/>
  <c r="T264" i="1" s="1"/>
  <c r="M265" i="1"/>
  <c r="T265" i="1" s="1"/>
  <c r="M266" i="1"/>
  <c r="T266" i="1" s="1"/>
  <c r="M267" i="1"/>
  <c r="T267" i="1" s="1"/>
  <c r="M268" i="1"/>
  <c r="T268" i="1" s="1"/>
  <c r="M269" i="1"/>
  <c r="T269" i="1" s="1"/>
  <c r="M270" i="1"/>
  <c r="T270" i="1" s="1"/>
  <c r="M271" i="1"/>
  <c r="T271" i="1" s="1"/>
  <c r="M272" i="1"/>
  <c r="T272" i="1" s="1"/>
  <c r="M273" i="1"/>
  <c r="T273" i="1" s="1"/>
  <c r="M274" i="1"/>
  <c r="T274" i="1" s="1"/>
  <c r="M275" i="1"/>
  <c r="T275" i="1" s="1"/>
  <c r="M276" i="1"/>
  <c r="T276" i="1" s="1"/>
  <c r="M277" i="1"/>
  <c r="T277" i="1" s="1"/>
  <c r="M278" i="1"/>
  <c r="T278" i="1" s="1"/>
  <c r="M279" i="1"/>
  <c r="T279" i="1" s="1"/>
  <c r="M280" i="1"/>
  <c r="T280" i="1" s="1"/>
  <c r="M281" i="1"/>
  <c r="T281" i="1" s="1"/>
  <c r="M282" i="1"/>
  <c r="T282" i="1" s="1"/>
  <c r="M283" i="1"/>
  <c r="T283" i="1" s="1"/>
  <c r="M284" i="1"/>
  <c r="T284" i="1" s="1"/>
  <c r="M285" i="1"/>
  <c r="T285" i="1" s="1"/>
  <c r="M286" i="1"/>
  <c r="T286" i="1" s="1"/>
  <c r="M287" i="1"/>
  <c r="T287" i="1" s="1"/>
  <c r="M288" i="1"/>
  <c r="T288" i="1" s="1"/>
  <c r="M289" i="1"/>
  <c r="T289" i="1" s="1"/>
  <c r="M290" i="1"/>
  <c r="T290" i="1" s="1"/>
  <c r="M291" i="1"/>
  <c r="T291" i="1" s="1"/>
  <c r="M292" i="1"/>
  <c r="T292" i="1" s="1"/>
  <c r="M293" i="1"/>
  <c r="T293" i="1" s="1"/>
  <c r="M294" i="1"/>
  <c r="T294" i="1" s="1"/>
  <c r="M295" i="1"/>
  <c r="T295" i="1" s="1"/>
  <c r="M296" i="1"/>
  <c r="T296" i="1" s="1"/>
  <c r="M297" i="1"/>
  <c r="T297" i="1" s="1"/>
  <c r="M298" i="1"/>
  <c r="T298" i="1" s="1"/>
  <c r="M299" i="1"/>
  <c r="T299" i="1" s="1"/>
  <c r="M300" i="1"/>
  <c r="T300" i="1" s="1"/>
  <c r="M301" i="1"/>
  <c r="T301" i="1" s="1"/>
  <c r="M302" i="1"/>
  <c r="T302" i="1" s="1"/>
  <c r="M303" i="1"/>
  <c r="T303" i="1" s="1"/>
  <c r="M304" i="1"/>
  <c r="T304" i="1" s="1"/>
  <c r="M305" i="1"/>
  <c r="T305" i="1" s="1"/>
  <c r="M306" i="1"/>
  <c r="T306" i="1" s="1"/>
  <c r="M307" i="1"/>
  <c r="T307" i="1" s="1"/>
  <c r="M308" i="1"/>
  <c r="T308" i="1" s="1"/>
  <c r="M309" i="1"/>
  <c r="T309" i="1" s="1"/>
  <c r="M310" i="1"/>
  <c r="T310" i="1" s="1"/>
  <c r="M311" i="1"/>
  <c r="T311" i="1" s="1"/>
  <c r="M312" i="1"/>
  <c r="T312" i="1" s="1"/>
  <c r="M313" i="1"/>
  <c r="T313" i="1" s="1"/>
  <c r="M314" i="1"/>
  <c r="T314" i="1" s="1"/>
  <c r="M315" i="1"/>
  <c r="T315" i="1" s="1"/>
  <c r="M316" i="1"/>
  <c r="T316" i="1" s="1"/>
  <c r="M317" i="1"/>
  <c r="T317" i="1" s="1"/>
  <c r="M318" i="1"/>
  <c r="T318" i="1" s="1"/>
  <c r="M319" i="1"/>
  <c r="T319" i="1" s="1"/>
  <c r="M320" i="1"/>
  <c r="T320" i="1" s="1"/>
  <c r="M321" i="1"/>
  <c r="T321" i="1" s="1"/>
  <c r="M322" i="1"/>
  <c r="T322" i="1" s="1"/>
  <c r="M323" i="1"/>
  <c r="T323" i="1" s="1"/>
  <c r="M324" i="1"/>
  <c r="T324" i="1" s="1"/>
  <c r="M325" i="1"/>
  <c r="T325" i="1" s="1"/>
  <c r="M326" i="1"/>
  <c r="T326" i="1" s="1"/>
  <c r="M327" i="1"/>
  <c r="T327" i="1" s="1"/>
  <c r="M328" i="1"/>
  <c r="T328" i="1" s="1"/>
  <c r="M329" i="1"/>
  <c r="T329" i="1" s="1"/>
  <c r="M330" i="1"/>
  <c r="T330" i="1" s="1"/>
  <c r="M331" i="1"/>
  <c r="T331" i="1" s="1"/>
  <c r="M332" i="1"/>
  <c r="T332" i="1" s="1"/>
  <c r="M333" i="1"/>
  <c r="T333" i="1" s="1"/>
  <c r="M334" i="1"/>
  <c r="T334" i="1" s="1"/>
  <c r="M335" i="1"/>
  <c r="T335" i="1" s="1"/>
  <c r="M336" i="1"/>
  <c r="T336" i="1" s="1"/>
  <c r="M337" i="1"/>
  <c r="T337" i="1" s="1"/>
  <c r="M338" i="1"/>
  <c r="T338" i="1" s="1"/>
  <c r="M339" i="1"/>
  <c r="T339" i="1" s="1"/>
  <c r="M340" i="1"/>
  <c r="T340" i="1" s="1"/>
  <c r="M341" i="1"/>
  <c r="T341" i="1" s="1"/>
  <c r="M342" i="1"/>
  <c r="T342" i="1" s="1"/>
  <c r="M343" i="1"/>
  <c r="T343" i="1" s="1"/>
  <c r="M344" i="1"/>
  <c r="T344" i="1" s="1"/>
  <c r="M345" i="1"/>
  <c r="T345" i="1" s="1"/>
  <c r="M346" i="1"/>
  <c r="T346" i="1" s="1"/>
  <c r="M347" i="1"/>
  <c r="T347" i="1" s="1"/>
  <c r="M348" i="1"/>
  <c r="T348" i="1" s="1"/>
  <c r="M349" i="1"/>
  <c r="T349" i="1" s="1"/>
  <c r="M350" i="1"/>
  <c r="T350" i="1" s="1"/>
  <c r="M351" i="1"/>
  <c r="T351" i="1" s="1"/>
  <c r="M352" i="1"/>
  <c r="T352" i="1" s="1"/>
  <c r="M353" i="1"/>
  <c r="T353" i="1" s="1"/>
  <c r="M354" i="1"/>
  <c r="T354" i="1" s="1"/>
  <c r="M355" i="1"/>
  <c r="T355" i="1" s="1"/>
  <c r="M356" i="1"/>
  <c r="T356" i="1" s="1"/>
  <c r="M357" i="1"/>
  <c r="T357" i="1" s="1"/>
  <c r="M358" i="1"/>
  <c r="T358" i="1" s="1"/>
  <c r="M359" i="1"/>
  <c r="T359" i="1" s="1"/>
  <c r="M360" i="1"/>
  <c r="T360" i="1" s="1"/>
  <c r="M361" i="1"/>
  <c r="T361" i="1" s="1"/>
  <c r="M362" i="1"/>
  <c r="T362" i="1" s="1"/>
  <c r="M363" i="1"/>
  <c r="T363" i="1" s="1"/>
  <c r="M364" i="1"/>
  <c r="T364" i="1" s="1"/>
  <c r="M365" i="1"/>
  <c r="T365" i="1" s="1"/>
  <c r="M366" i="1"/>
  <c r="T366" i="1" s="1"/>
  <c r="M367" i="1"/>
  <c r="T367" i="1" s="1"/>
  <c r="M368" i="1"/>
  <c r="T368" i="1" s="1"/>
  <c r="M369" i="1"/>
  <c r="T369" i="1" s="1"/>
  <c r="M370" i="1"/>
  <c r="T370" i="1" s="1"/>
  <c r="M371" i="1"/>
  <c r="T371" i="1" s="1"/>
  <c r="M372" i="1"/>
  <c r="T372" i="1" s="1"/>
  <c r="M373" i="1"/>
  <c r="T373" i="1" s="1"/>
  <c r="M374" i="1"/>
  <c r="T374" i="1" s="1"/>
  <c r="M375" i="1"/>
  <c r="T375" i="1" s="1"/>
  <c r="M376" i="1"/>
  <c r="T376" i="1" s="1"/>
  <c r="M377" i="1"/>
  <c r="T377" i="1" s="1"/>
  <c r="M378" i="1"/>
  <c r="T378" i="1" s="1"/>
  <c r="M379" i="1"/>
  <c r="T379" i="1" s="1"/>
  <c r="M380" i="1"/>
  <c r="T380" i="1" s="1"/>
  <c r="M381" i="1"/>
  <c r="T381" i="1" s="1"/>
  <c r="M382" i="1"/>
  <c r="T382" i="1" s="1"/>
  <c r="M383" i="1"/>
  <c r="T383" i="1" s="1"/>
  <c r="M384" i="1"/>
  <c r="T384" i="1" s="1"/>
  <c r="M385" i="1"/>
  <c r="T385" i="1" s="1"/>
  <c r="M386" i="1"/>
  <c r="T386" i="1" s="1"/>
  <c r="M387" i="1"/>
  <c r="T387" i="1" s="1"/>
  <c r="M388" i="1"/>
  <c r="T388" i="1" s="1"/>
  <c r="M389" i="1"/>
  <c r="T389" i="1" s="1"/>
  <c r="M390" i="1"/>
  <c r="T390" i="1" s="1"/>
  <c r="M391" i="1"/>
  <c r="T391" i="1" s="1"/>
  <c r="M392" i="1"/>
  <c r="T392" i="1" s="1"/>
  <c r="M393" i="1"/>
  <c r="T393" i="1" s="1"/>
  <c r="M394" i="1"/>
  <c r="T394" i="1" s="1"/>
  <c r="M395" i="1"/>
  <c r="T395" i="1" s="1"/>
  <c r="M396" i="1"/>
  <c r="T396" i="1" s="1"/>
  <c r="M397" i="1"/>
  <c r="T397" i="1" s="1"/>
  <c r="M398" i="1"/>
  <c r="T398" i="1" s="1"/>
  <c r="M399" i="1"/>
  <c r="T399" i="1" s="1"/>
  <c r="M400" i="1"/>
  <c r="T400" i="1" s="1"/>
  <c r="M401" i="1"/>
  <c r="T401" i="1" s="1"/>
  <c r="M402" i="1"/>
  <c r="T402" i="1" s="1"/>
  <c r="M403" i="1"/>
  <c r="T403" i="1" s="1"/>
  <c r="M404" i="1"/>
  <c r="T404" i="1" s="1"/>
  <c r="M405" i="1"/>
  <c r="T405" i="1" s="1"/>
  <c r="M406" i="1"/>
  <c r="T406" i="1" s="1"/>
  <c r="M407" i="1"/>
  <c r="T407" i="1" s="1"/>
  <c r="M408" i="1"/>
  <c r="T408" i="1" s="1"/>
  <c r="M409" i="1"/>
  <c r="T409" i="1" s="1"/>
  <c r="M410" i="1"/>
  <c r="T410" i="1" s="1"/>
  <c r="M411" i="1"/>
  <c r="T411" i="1" s="1"/>
  <c r="M412" i="1"/>
  <c r="T412" i="1" s="1"/>
  <c r="M413" i="1"/>
  <c r="T413" i="1" s="1"/>
  <c r="M414" i="1"/>
  <c r="T414" i="1" s="1"/>
  <c r="M415" i="1"/>
  <c r="T415" i="1" s="1"/>
  <c r="M416" i="1"/>
  <c r="T416" i="1" s="1"/>
  <c r="M417" i="1"/>
  <c r="T417" i="1" s="1"/>
  <c r="M418" i="1"/>
  <c r="T418" i="1" s="1"/>
  <c r="M419" i="1"/>
  <c r="T419" i="1" s="1"/>
  <c r="M420" i="1"/>
  <c r="T420" i="1" s="1"/>
  <c r="M421" i="1"/>
  <c r="T421" i="1" s="1"/>
  <c r="M422" i="1"/>
  <c r="T422" i="1" s="1"/>
  <c r="M423" i="1"/>
  <c r="T423" i="1" s="1"/>
  <c r="M424" i="1"/>
  <c r="T424" i="1" s="1"/>
  <c r="M425" i="1"/>
  <c r="T425" i="1" s="1"/>
  <c r="M426" i="1"/>
  <c r="T426" i="1" s="1"/>
  <c r="M427" i="1"/>
  <c r="T427" i="1" s="1"/>
  <c r="M428" i="1"/>
  <c r="T428" i="1" s="1"/>
  <c r="M429" i="1"/>
  <c r="T429" i="1" s="1"/>
  <c r="M430" i="1"/>
  <c r="T430" i="1" s="1"/>
  <c r="M431" i="1"/>
  <c r="T431" i="1" s="1"/>
  <c r="M432" i="1"/>
  <c r="T432" i="1" s="1"/>
  <c r="M433" i="1"/>
  <c r="T433" i="1" s="1"/>
  <c r="M434" i="1"/>
  <c r="T434" i="1" s="1"/>
  <c r="M435" i="1"/>
  <c r="T435" i="1" s="1"/>
  <c r="M436" i="1"/>
  <c r="T436" i="1" s="1"/>
  <c r="M437" i="1"/>
  <c r="T437" i="1" s="1"/>
  <c r="M438" i="1"/>
  <c r="T438" i="1" s="1"/>
  <c r="M439" i="1"/>
  <c r="T439" i="1" s="1"/>
  <c r="M440" i="1"/>
  <c r="T440" i="1" s="1"/>
  <c r="M441" i="1"/>
  <c r="T441" i="1" s="1"/>
  <c r="M442" i="1"/>
  <c r="T442" i="1" s="1"/>
  <c r="M443" i="1"/>
  <c r="T443" i="1" s="1"/>
  <c r="M444" i="1"/>
  <c r="T444" i="1" s="1"/>
  <c r="M445" i="1"/>
  <c r="T445" i="1" s="1"/>
  <c r="M446" i="1"/>
  <c r="T446" i="1" s="1"/>
  <c r="M447" i="1"/>
  <c r="T447" i="1" s="1"/>
  <c r="M448" i="1"/>
  <c r="T448" i="1" s="1"/>
  <c r="M449" i="1"/>
  <c r="T449" i="1" s="1"/>
  <c r="M450" i="1"/>
  <c r="T450" i="1" s="1"/>
  <c r="M451" i="1"/>
  <c r="T451" i="1" s="1"/>
  <c r="M452" i="1"/>
  <c r="T452" i="1" s="1"/>
  <c r="M453" i="1"/>
  <c r="T453" i="1" s="1"/>
  <c r="M454" i="1"/>
  <c r="T454" i="1" s="1"/>
  <c r="M455" i="1"/>
  <c r="T455" i="1" s="1"/>
  <c r="M456" i="1"/>
  <c r="T456" i="1" s="1"/>
  <c r="M457" i="1"/>
  <c r="T457" i="1" s="1"/>
  <c r="M458" i="1"/>
  <c r="T458" i="1" s="1"/>
  <c r="M459" i="1"/>
  <c r="T459" i="1" s="1"/>
  <c r="M460" i="1"/>
  <c r="T460" i="1" s="1"/>
  <c r="M461" i="1"/>
  <c r="T461" i="1" s="1"/>
  <c r="M462" i="1"/>
  <c r="T462" i="1" s="1"/>
  <c r="M463" i="1"/>
  <c r="T463" i="1" s="1"/>
  <c r="M464" i="1"/>
  <c r="T464" i="1" s="1"/>
  <c r="M465" i="1"/>
  <c r="T465" i="1" s="1"/>
  <c r="M466" i="1"/>
  <c r="T466" i="1" s="1"/>
  <c r="M467" i="1"/>
  <c r="T467" i="1" s="1"/>
  <c r="M468" i="1"/>
  <c r="T468" i="1" s="1"/>
  <c r="M469" i="1"/>
  <c r="T469" i="1" s="1"/>
  <c r="M470" i="1"/>
  <c r="T470" i="1" s="1"/>
  <c r="M471" i="1"/>
  <c r="T471" i="1" s="1"/>
  <c r="M472" i="1"/>
  <c r="T472" i="1" s="1"/>
  <c r="M473" i="1"/>
  <c r="T473" i="1" s="1"/>
  <c r="M474" i="1"/>
  <c r="T474" i="1" s="1"/>
  <c r="M475" i="1"/>
  <c r="T475" i="1" s="1"/>
  <c r="M476" i="1"/>
  <c r="T476" i="1" s="1"/>
  <c r="M477" i="1"/>
  <c r="T477" i="1" s="1"/>
  <c r="M478" i="1"/>
  <c r="T478" i="1" s="1"/>
  <c r="M479" i="1"/>
  <c r="T479" i="1" s="1"/>
  <c r="M480" i="1"/>
  <c r="T480" i="1" s="1"/>
  <c r="M481" i="1"/>
  <c r="T481" i="1" s="1"/>
  <c r="M482" i="1"/>
  <c r="T482" i="1" s="1"/>
  <c r="M483" i="1"/>
  <c r="T483" i="1" s="1"/>
  <c r="M484" i="1"/>
  <c r="T484" i="1" s="1"/>
  <c r="M485" i="1"/>
  <c r="T485" i="1" s="1"/>
  <c r="M486" i="1"/>
  <c r="T486" i="1" s="1"/>
  <c r="M487" i="1"/>
  <c r="T487" i="1" s="1"/>
  <c r="M488" i="1"/>
  <c r="T488" i="1" s="1"/>
  <c r="M489" i="1"/>
  <c r="T489" i="1" s="1"/>
  <c r="M490" i="1"/>
  <c r="T490" i="1" s="1"/>
  <c r="M491" i="1"/>
  <c r="T491" i="1" s="1"/>
  <c r="M492" i="1"/>
  <c r="T492" i="1" s="1"/>
  <c r="M493" i="1"/>
  <c r="T493" i="1" s="1"/>
  <c r="M494" i="1"/>
  <c r="T494" i="1" s="1"/>
  <c r="M495" i="1"/>
  <c r="T495" i="1" s="1"/>
  <c r="M496" i="1"/>
  <c r="T496" i="1" s="1"/>
  <c r="M497" i="1"/>
  <c r="T497" i="1" s="1"/>
  <c r="M498" i="1"/>
  <c r="T498" i="1" s="1"/>
  <c r="M499" i="1"/>
  <c r="T499" i="1" s="1"/>
  <c r="M500" i="1"/>
  <c r="T500" i="1" s="1"/>
  <c r="M501" i="1"/>
  <c r="T501" i="1" s="1"/>
  <c r="M502" i="1"/>
  <c r="M503" i="1"/>
  <c r="T503" i="1" s="1"/>
  <c r="M504" i="1"/>
  <c r="T504" i="1" s="1"/>
  <c r="M505" i="1"/>
  <c r="T505" i="1" s="1"/>
  <c r="M506" i="1"/>
  <c r="T506" i="1" s="1"/>
  <c r="M507" i="1"/>
  <c r="T507" i="1" s="1"/>
  <c r="M508" i="1"/>
  <c r="T508" i="1" s="1"/>
  <c r="M509" i="1"/>
  <c r="T509" i="1" s="1"/>
  <c r="M510" i="1"/>
  <c r="T510" i="1" s="1"/>
  <c r="M511" i="1"/>
  <c r="T511" i="1" s="1"/>
  <c r="M512" i="1"/>
  <c r="T512" i="1" s="1"/>
  <c r="M513" i="1"/>
  <c r="T513" i="1" s="1"/>
  <c r="M514" i="1"/>
  <c r="T514" i="1" s="1"/>
  <c r="M515" i="1"/>
  <c r="T515" i="1" s="1"/>
  <c r="M516" i="1"/>
  <c r="T516" i="1" s="1"/>
  <c r="M517" i="1"/>
  <c r="T517" i="1" s="1"/>
  <c r="M518" i="1"/>
  <c r="T518" i="1" s="1"/>
  <c r="M519" i="1"/>
  <c r="T519" i="1" s="1"/>
  <c r="M520" i="1"/>
  <c r="T520" i="1" s="1"/>
  <c r="M521" i="1"/>
  <c r="T521" i="1" s="1"/>
  <c r="M522" i="1"/>
  <c r="T522" i="1" s="1"/>
  <c r="M523" i="1"/>
  <c r="T523" i="1" s="1"/>
  <c r="M524" i="1"/>
  <c r="T524" i="1" s="1"/>
  <c r="M525" i="1"/>
  <c r="T525" i="1" s="1"/>
  <c r="M526" i="1"/>
  <c r="T526" i="1" s="1"/>
  <c r="M527" i="1"/>
  <c r="T527" i="1" s="1"/>
  <c r="M528" i="1"/>
  <c r="T528" i="1" s="1"/>
  <c r="M529" i="1"/>
  <c r="T529" i="1" s="1"/>
  <c r="M530" i="1"/>
  <c r="T530" i="1" s="1"/>
  <c r="M531" i="1"/>
  <c r="T531" i="1" s="1"/>
  <c r="M532" i="1"/>
  <c r="T532" i="1" s="1"/>
  <c r="M533" i="1"/>
  <c r="T533" i="1" s="1"/>
  <c r="M534" i="1"/>
  <c r="T534" i="1" s="1"/>
  <c r="M535" i="1"/>
  <c r="T535" i="1" s="1"/>
  <c r="M536" i="1"/>
  <c r="T536" i="1" s="1"/>
  <c r="M537" i="1"/>
  <c r="T537" i="1" s="1"/>
  <c r="M538" i="1"/>
  <c r="T538" i="1" s="1"/>
  <c r="M539" i="1"/>
  <c r="T539" i="1" s="1"/>
  <c r="M540" i="1"/>
  <c r="T540" i="1" s="1"/>
  <c r="M541" i="1"/>
  <c r="T541" i="1" s="1"/>
  <c r="M542" i="1"/>
  <c r="T542" i="1" s="1"/>
  <c r="M543" i="1"/>
  <c r="T543" i="1" s="1"/>
  <c r="M544" i="1"/>
  <c r="T544" i="1" s="1"/>
  <c r="M545" i="1"/>
  <c r="T545" i="1" s="1"/>
  <c r="M546" i="1"/>
  <c r="T546" i="1" s="1"/>
  <c r="M547" i="1"/>
  <c r="T547" i="1" s="1"/>
  <c r="M548" i="1"/>
  <c r="T548" i="1" s="1"/>
  <c r="M549" i="1"/>
  <c r="T549" i="1" s="1"/>
  <c r="M550" i="1"/>
  <c r="T550" i="1" s="1"/>
  <c r="M551" i="1"/>
  <c r="T551" i="1" s="1"/>
  <c r="M552" i="1"/>
  <c r="T552" i="1" s="1"/>
  <c r="M553" i="1"/>
  <c r="T553" i="1" s="1"/>
  <c r="M554" i="1"/>
  <c r="T554" i="1" s="1"/>
  <c r="M555" i="1"/>
  <c r="T555" i="1" s="1"/>
  <c r="M556" i="1"/>
  <c r="T556" i="1" s="1"/>
  <c r="M557" i="1"/>
  <c r="T557" i="1" s="1"/>
  <c r="M558" i="1"/>
  <c r="T558" i="1" s="1"/>
  <c r="M559" i="1"/>
  <c r="T559" i="1" s="1"/>
  <c r="M560" i="1"/>
  <c r="T560" i="1" s="1"/>
  <c r="M561" i="1"/>
  <c r="T561" i="1" s="1"/>
  <c r="M562" i="1"/>
  <c r="T562" i="1" s="1"/>
  <c r="M563" i="1"/>
  <c r="T563" i="1" s="1"/>
  <c r="M564" i="1"/>
  <c r="T564" i="1" s="1"/>
  <c r="M565" i="1"/>
  <c r="T565" i="1" s="1"/>
  <c r="M566" i="1"/>
  <c r="T566" i="1" s="1"/>
  <c r="M567" i="1"/>
  <c r="T567" i="1" s="1"/>
  <c r="M568" i="1"/>
  <c r="T568" i="1" s="1"/>
  <c r="M569" i="1"/>
  <c r="T569" i="1" s="1"/>
  <c r="M570" i="1"/>
  <c r="T570" i="1" s="1"/>
  <c r="M571" i="1"/>
  <c r="T571" i="1" s="1"/>
  <c r="M572" i="1"/>
  <c r="T572" i="1" s="1"/>
  <c r="M573" i="1"/>
  <c r="T573" i="1" s="1"/>
  <c r="M574" i="1"/>
  <c r="T574" i="1" s="1"/>
  <c r="M575" i="1"/>
  <c r="T575" i="1" s="1"/>
  <c r="M576" i="1"/>
  <c r="T576" i="1" s="1"/>
  <c r="M577" i="1"/>
  <c r="T577" i="1" s="1"/>
  <c r="M578" i="1"/>
  <c r="T578" i="1" s="1"/>
  <c r="M579" i="1"/>
  <c r="T579" i="1" s="1"/>
  <c r="M580" i="1"/>
  <c r="T580" i="1" s="1"/>
  <c r="M581" i="1"/>
  <c r="T581" i="1" s="1"/>
  <c r="M582" i="1"/>
  <c r="T582" i="1" s="1"/>
  <c r="M583" i="1"/>
  <c r="T583" i="1" s="1"/>
  <c r="M584" i="1"/>
  <c r="T584" i="1" s="1"/>
  <c r="M585" i="1"/>
  <c r="T585" i="1" s="1"/>
  <c r="M586" i="1"/>
  <c r="T586" i="1" s="1"/>
  <c r="M587" i="1"/>
  <c r="T587" i="1" s="1"/>
  <c r="M588" i="1"/>
  <c r="T588" i="1" s="1"/>
  <c r="M589" i="1"/>
  <c r="T589" i="1" s="1"/>
  <c r="M590" i="1"/>
  <c r="T590" i="1" s="1"/>
  <c r="M591" i="1"/>
  <c r="T591" i="1" s="1"/>
  <c r="M592" i="1"/>
  <c r="T592" i="1" s="1"/>
  <c r="M593" i="1"/>
  <c r="T593" i="1" s="1"/>
  <c r="M594" i="1"/>
  <c r="T594" i="1" s="1"/>
  <c r="M595" i="1"/>
  <c r="T595" i="1" s="1"/>
  <c r="M596" i="1"/>
  <c r="T596" i="1" s="1"/>
  <c r="M597" i="1"/>
  <c r="T597" i="1" s="1"/>
  <c r="M598" i="1"/>
  <c r="T598" i="1" s="1"/>
  <c r="M599" i="1"/>
  <c r="T599" i="1" s="1"/>
  <c r="M600" i="1"/>
  <c r="T600" i="1" s="1"/>
  <c r="M601" i="1"/>
  <c r="T601" i="1" s="1"/>
  <c r="M602" i="1"/>
  <c r="T602" i="1" s="1"/>
  <c r="M603" i="1"/>
  <c r="T603" i="1" s="1"/>
  <c r="M604" i="1"/>
  <c r="T604" i="1" s="1"/>
  <c r="M605" i="1"/>
  <c r="T605" i="1" s="1"/>
  <c r="M606" i="1"/>
  <c r="T606" i="1" s="1"/>
  <c r="M607" i="1"/>
  <c r="T607" i="1" s="1"/>
  <c r="M608" i="1"/>
  <c r="T608" i="1" s="1"/>
  <c r="M609" i="1"/>
  <c r="T609" i="1" s="1"/>
  <c r="M610" i="1"/>
  <c r="T610" i="1" s="1"/>
  <c r="M611" i="1"/>
  <c r="T611" i="1" s="1"/>
  <c r="M612" i="1"/>
  <c r="T612" i="1" s="1"/>
  <c r="M613" i="1"/>
  <c r="T613" i="1" s="1"/>
  <c r="M614" i="1"/>
  <c r="T614" i="1" s="1"/>
  <c r="M615" i="1"/>
  <c r="T615" i="1" s="1"/>
  <c r="M616" i="1"/>
  <c r="T616" i="1" s="1"/>
  <c r="M617" i="1"/>
  <c r="T617" i="1" s="1"/>
  <c r="M618" i="1"/>
  <c r="T618" i="1" s="1"/>
  <c r="M619" i="1"/>
  <c r="T619" i="1" s="1"/>
  <c r="M620" i="1"/>
  <c r="T620" i="1" s="1"/>
  <c r="M621" i="1"/>
  <c r="T621" i="1" s="1"/>
  <c r="M622" i="1"/>
  <c r="T622" i="1" s="1"/>
  <c r="M623" i="1"/>
  <c r="T623" i="1" s="1"/>
  <c r="M624" i="1"/>
  <c r="T624" i="1" s="1"/>
  <c r="M625" i="1"/>
  <c r="T625" i="1" s="1"/>
  <c r="M626" i="1"/>
  <c r="T626" i="1" s="1"/>
  <c r="M627" i="1"/>
  <c r="T627" i="1" s="1"/>
  <c r="M628" i="1"/>
  <c r="T628" i="1" s="1"/>
  <c r="M629" i="1"/>
  <c r="T629" i="1" s="1"/>
  <c r="M630" i="1"/>
  <c r="T630" i="1" s="1"/>
  <c r="M631" i="1"/>
  <c r="T631" i="1" s="1"/>
  <c r="M632" i="1"/>
  <c r="T632" i="1" s="1"/>
  <c r="M633" i="1"/>
  <c r="T633" i="1" s="1"/>
  <c r="M634" i="1"/>
  <c r="T634" i="1" s="1"/>
  <c r="M635" i="1"/>
  <c r="T635" i="1" s="1"/>
  <c r="M636" i="1"/>
  <c r="T636" i="1" s="1"/>
  <c r="M637" i="1"/>
  <c r="T637" i="1" s="1"/>
  <c r="M638" i="1"/>
  <c r="T638" i="1" s="1"/>
  <c r="M639" i="1"/>
  <c r="T639" i="1" s="1"/>
  <c r="M640" i="1"/>
  <c r="T640" i="1" s="1"/>
  <c r="M641" i="1"/>
  <c r="T641" i="1" s="1"/>
  <c r="M642" i="1"/>
  <c r="T642" i="1" s="1"/>
  <c r="M643" i="1"/>
  <c r="T643" i="1" s="1"/>
  <c r="M644" i="1"/>
  <c r="T644" i="1" s="1"/>
  <c r="M645" i="1"/>
  <c r="T645" i="1" s="1"/>
  <c r="M646" i="1"/>
  <c r="T646" i="1" s="1"/>
  <c r="M647" i="1"/>
  <c r="T647" i="1" s="1"/>
  <c r="M648" i="1"/>
  <c r="T648" i="1" s="1"/>
  <c r="M649" i="1"/>
  <c r="T649" i="1" s="1"/>
  <c r="M650" i="1"/>
  <c r="T650" i="1" s="1"/>
  <c r="M651" i="1"/>
  <c r="T651" i="1" s="1"/>
  <c r="M652" i="1"/>
  <c r="T652" i="1" s="1"/>
  <c r="M653" i="1"/>
  <c r="T653" i="1" s="1"/>
  <c r="M654" i="1"/>
  <c r="T654" i="1" s="1"/>
  <c r="M655" i="1"/>
  <c r="T655" i="1" s="1"/>
  <c r="M656" i="1"/>
  <c r="T656" i="1" s="1"/>
  <c r="M657" i="1"/>
  <c r="T657" i="1" s="1"/>
  <c r="M658" i="1"/>
  <c r="T658" i="1" s="1"/>
  <c r="M659" i="1"/>
  <c r="T659" i="1" s="1"/>
  <c r="M660" i="1"/>
  <c r="T660" i="1" s="1"/>
  <c r="M661" i="1"/>
  <c r="T661" i="1" s="1"/>
  <c r="M662" i="1"/>
  <c r="T662" i="1" s="1"/>
  <c r="M663" i="1"/>
  <c r="T663" i="1" s="1"/>
  <c r="M664" i="1"/>
  <c r="T664" i="1" s="1"/>
  <c r="M665" i="1"/>
  <c r="T665" i="1" s="1"/>
  <c r="M666" i="1"/>
  <c r="T666" i="1" s="1"/>
  <c r="M667" i="1"/>
  <c r="T667" i="1" s="1"/>
  <c r="M668" i="1"/>
  <c r="T668" i="1" s="1"/>
  <c r="M669" i="1"/>
  <c r="T669" i="1" s="1"/>
  <c r="M670" i="1"/>
  <c r="T670" i="1" s="1"/>
  <c r="M671" i="1"/>
  <c r="T671" i="1" s="1"/>
  <c r="M672" i="1"/>
  <c r="T672" i="1" s="1"/>
  <c r="M673" i="1"/>
  <c r="T673" i="1" s="1"/>
  <c r="M674" i="1"/>
  <c r="T674" i="1" s="1"/>
  <c r="M675" i="1"/>
  <c r="T675" i="1" s="1"/>
  <c r="M676" i="1"/>
  <c r="T676" i="1" s="1"/>
  <c r="M677" i="1"/>
  <c r="T677" i="1" s="1"/>
  <c r="M678" i="1"/>
  <c r="T678" i="1" s="1"/>
  <c r="M679" i="1"/>
  <c r="T679" i="1" s="1"/>
  <c r="M680" i="1"/>
  <c r="T680" i="1" s="1"/>
  <c r="M681" i="1"/>
  <c r="T681" i="1" s="1"/>
  <c r="M682" i="1"/>
  <c r="T682" i="1" s="1"/>
  <c r="M683" i="1"/>
  <c r="M684" i="1"/>
  <c r="T684" i="1" s="1"/>
  <c r="M685" i="1"/>
  <c r="T685" i="1" s="1"/>
  <c r="M686" i="1"/>
  <c r="T686" i="1" s="1"/>
  <c r="M687" i="1"/>
  <c r="T687" i="1" s="1"/>
  <c r="M688" i="1"/>
  <c r="T688" i="1" s="1"/>
  <c r="M689" i="1"/>
  <c r="T689" i="1" s="1"/>
  <c r="M690" i="1"/>
  <c r="T690" i="1" s="1"/>
  <c r="M691" i="1"/>
  <c r="T691" i="1" s="1"/>
  <c r="M692" i="1"/>
  <c r="T692" i="1" s="1"/>
  <c r="M693" i="1"/>
  <c r="T693" i="1" s="1"/>
  <c r="M694" i="1"/>
  <c r="T694" i="1" s="1"/>
  <c r="M695" i="1"/>
  <c r="T695" i="1" s="1"/>
  <c r="M696" i="1"/>
  <c r="T696" i="1" s="1"/>
  <c r="M697" i="1"/>
  <c r="T697" i="1" s="1"/>
  <c r="M698" i="1"/>
  <c r="T698" i="1" s="1"/>
  <c r="M699" i="1"/>
  <c r="T699" i="1" s="1"/>
  <c r="M700" i="1"/>
  <c r="T700" i="1" s="1"/>
  <c r="M701" i="1"/>
  <c r="T701" i="1" s="1"/>
  <c r="M702" i="1"/>
  <c r="T702" i="1" s="1"/>
  <c r="M703" i="1"/>
  <c r="T703" i="1" s="1"/>
  <c r="M704" i="1"/>
  <c r="T704" i="1" s="1"/>
  <c r="M705" i="1"/>
  <c r="T705" i="1" s="1"/>
  <c r="M706" i="1"/>
  <c r="T706" i="1" s="1"/>
  <c r="M707" i="1"/>
  <c r="T707" i="1" s="1"/>
  <c r="M708" i="1"/>
  <c r="T708" i="1" s="1"/>
  <c r="M709" i="1"/>
  <c r="T709" i="1" s="1"/>
  <c r="M710" i="1"/>
  <c r="T710" i="1" s="1"/>
  <c r="M711" i="1"/>
  <c r="T711" i="1" s="1"/>
  <c r="M712" i="1"/>
  <c r="T712" i="1" s="1"/>
  <c r="M713" i="1"/>
  <c r="T713" i="1" s="1"/>
  <c r="M714" i="1"/>
  <c r="T714" i="1" s="1"/>
  <c r="M715" i="1"/>
  <c r="T715" i="1" s="1"/>
  <c r="M716" i="1"/>
  <c r="T716" i="1" s="1"/>
  <c r="M717" i="1"/>
  <c r="T717" i="1" s="1"/>
  <c r="M718" i="1"/>
  <c r="T718" i="1" s="1"/>
  <c r="M719" i="1"/>
  <c r="T719" i="1" s="1"/>
  <c r="M720" i="1"/>
  <c r="T720" i="1" s="1"/>
  <c r="M721" i="1"/>
  <c r="T721" i="1" s="1"/>
  <c r="M722" i="1"/>
  <c r="T722" i="1" s="1"/>
  <c r="M723" i="1"/>
  <c r="T723" i="1" s="1"/>
  <c r="M724" i="1"/>
  <c r="T724" i="1" s="1"/>
  <c r="M725" i="1"/>
  <c r="T725" i="1" s="1"/>
  <c r="M726" i="1"/>
  <c r="T726" i="1" s="1"/>
  <c r="M727" i="1"/>
  <c r="T727" i="1" s="1"/>
  <c r="M728" i="1"/>
  <c r="T728" i="1" s="1"/>
  <c r="M729" i="1"/>
  <c r="T729" i="1" s="1"/>
  <c r="M730" i="1"/>
  <c r="T730" i="1" s="1"/>
  <c r="M731" i="1"/>
  <c r="T731" i="1" s="1"/>
  <c r="M732" i="1"/>
  <c r="T732" i="1" s="1"/>
  <c r="M733" i="1"/>
  <c r="T733" i="1" s="1"/>
  <c r="M734" i="1"/>
  <c r="T734" i="1" s="1"/>
  <c r="M735" i="1"/>
  <c r="T735" i="1" s="1"/>
  <c r="M736" i="1"/>
  <c r="T736" i="1" s="1"/>
  <c r="M737" i="1"/>
  <c r="T737" i="1" s="1"/>
  <c r="M738" i="1"/>
  <c r="T738" i="1" s="1"/>
  <c r="M739" i="1"/>
  <c r="T739" i="1" s="1"/>
  <c r="M740" i="1"/>
  <c r="T740" i="1" s="1"/>
  <c r="M741" i="1"/>
  <c r="T741" i="1" s="1"/>
  <c r="M742" i="1"/>
  <c r="T742" i="1" s="1"/>
  <c r="M743" i="1"/>
  <c r="T743" i="1" s="1"/>
  <c r="M744" i="1"/>
  <c r="T744" i="1" s="1"/>
  <c r="M745" i="1"/>
  <c r="T745" i="1" s="1"/>
  <c r="M746" i="1"/>
  <c r="T746" i="1" s="1"/>
  <c r="M747" i="1"/>
  <c r="T747" i="1" s="1"/>
  <c r="M748" i="1"/>
  <c r="T748" i="1" s="1"/>
  <c r="M749" i="1"/>
  <c r="T749" i="1" s="1"/>
  <c r="M750" i="1"/>
  <c r="T750" i="1" s="1"/>
  <c r="M751" i="1"/>
  <c r="T751" i="1" s="1"/>
  <c r="M752" i="1"/>
  <c r="T752" i="1" s="1"/>
  <c r="M753" i="1"/>
  <c r="T753" i="1" s="1"/>
  <c r="M754" i="1"/>
  <c r="T754" i="1" s="1"/>
  <c r="M755" i="1"/>
  <c r="T755" i="1" s="1"/>
  <c r="M756" i="1"/>
  <c r="T756" i="1" s="1"/>
  <c r="M757" i="1"/>
  <c r="T757" i="1" s="1"/>
  <c r="M758" i="1"/>
  <c r="T758" i="1" s="1"/>
  <c r="M759" i="1"/>
  <c r="T759" i="1" s="1"/>
  <c r="M760" i="1"/>
  <c r="T760" i="1" s="1"/>
  <c r="M761" i="1"/>
  <c r="T761" i="1" s="1"/>
  <c r="M762" i="1"/>
  <c r="T762" i="1" s="1"/>
  <c r="M763" i="1"/>
  <c r="T763" i="1" s="1"/>
  <c r="M764" i="1"/>
  <c r="T764" i="1" s="1"/>
  <c r="M765" i="1"/>
  <c r="T765" i="1" s="1"/>
  <c r="M766" i="1"/>
  <c r="T766" i="1" s="1"/>
  <c r="M767" i="1"/>
  <c r="T767" i="1" s="1"/>
  <c r="M768" i="1"/>
  <c r="T768" i="1" s="1"/>
  <c r="M769" i="1"/>
  <c r="T769" i="1" s="1"/>
  <c r="M770" i="1"/>
  <c r="T770" i="1" s="1"/>
  <c r="M771" i="1"/>
  <c r="T771" i="1" s="1"/>
  <c r="M772" i="1"/>
  <c r="T772" i="1" s="1"/>
  <c r="M773" i="1"/>
  <c r="T773" i="1" s="1"/>
  <c r="M774" i="1"/>
  <c r="T774" i="1" s="1"/>
  <c r="M775" i="1"/>
  <c r="T775" i="1" s="1"/>
  <c r="M776" i="1"/>
  <c r="T776" i="1" s="1"/>
  <c r="M777" i="1"/>
  <c r="T777" i="1" s="1"/>
  <c r="M778" i="1"/>
  <c r="T778" i="1" s="1"/>
  <c r="M779" i="1"/>
  <c r="T779" i="1" s="1"/>
  <c r="M780" i="1"/>
  <c r="T780" i="1" s="1"/>
  <c r="M781" i="1"/>
  <c r="T781" i="1" s="1"/>
  <c r="M782" i="1"/>
  <c r="T782" i="1" s="1"/>
  <c r="M783" i="1"/>
  <c r="T783" i="1" s="1"/>
  <c r="M784" i="1"/>
  <c r="T784" i="1" s="1"/>
  <c r="M785" i="1"/>
  <c r="T785" i="1" s="1"/>
  <c r="M786" i="1"/>
  <c r="T786" i="1" s="1"/>
  <c r="M787" i="1"/>
  <c r="T787" i="1" s="1"/>
  <c r="M788" i="1"/>
  <c r="T788" i="1" s="1"/>
  <c r="M789" i="1"/>
  <c r="T789" i="1" s="1"/>
  <c r="M790" i="1"/>
  <c r="T790" i="1" s="1"/>
  <c r="M791" i="1"/>
  <c r="T791" i="1" s="1"/>
  <c r="M792" i="1"/>
  <c r="T792" i="1" s="1"/>
  <c r="M793" i="1"/>
  <c r="T793" i="1" s="1"/>
  <c r="M794" i="1"/>
  <c r="T794" i="1" s="1"/>
  <c r="M795" i="1"/>
  <c r="T795" i="1" s="1"/>
  <c r="M796" i="1"/>
  <c r="T796" i="1" s="1"/>
  <c r="M797" i="1"/>
  <c r="T797" i="1" s="1"/>
  <c r="M798" i="1"/>
  <c r="T798" i="1" s="1"/>
  <c r="M799" i="1"/>
  <c r="T799" i="1" s="1"/>
  <c r="M800" i="1"/>
  <c r="T800" i="1" s="1"/>
  <c r="M801" i="1"/>
  <c r="T801" i="1" s="1"/>
  <c r="M802" i="1"/>
  <c r="T802" i="1" s="1"/>
  <c r="M803" i="1"/>
  <c r="T803" i="1" s="1"/>
  <c r="M804" i="1"/>
  <c r="T804" i="1" s="1"/>
  <c r="M805" i="1"/>
  <c r="T805" i="1" s="1"/>
  <c r="M806" i="1"/>
  <c r="T806" i="1" s="1"/>
  <c r="M807" i="1"/>
  <c r="T807" i="1" s="1"/>
  <c r="M808" i="1"/>
  <c r="T808" i="1" s="1"/>
  <c r="M809" i="1"/>
  <c r="T809" i="1" s="1"/>
  <c r="M810" i="1"/>
  <c r="T810" i="1" s="1"/>
  <c r="M811" i="1"/>
  <c r="T811" i="1" s="1"/>
  <c r="M812" i="1"/>
  <c r="T812" i="1" s="1"/>
  <c r="M813" i="1"/>
  <c r="T813" i="1" s="1"/>
  <c r="M814" i="1"/>
  <c r="T814" i="1" s="1"/>
  <c r="M815" i="1"/>
  <c r="T815" i="1" s="1"/>
  <c r="M816" i="1"/>
  <c r="T816" i="1" s="1"/>
  <c r="M817" i="1"/>
  <c r="T817" i="1" s="1"/>
  <c r="M818" i="1"/>
  <c r="T818" i="1" s="1"/>
  <c r="M819" i="1"/>
  <c r="T819" i="1" s="1"/>
  <c r="M820" i="1"/>
  <c r="T820" i="1" s="1"/>
  <c r="M821" i="1"/>
  <c r="T821" i="1" s="1"/>
  <c r="M822" i="1"/>
  <c r="T822" i="1" s="1"/>
  <c r="M823" i="1"/>
  <c r="T823" i="1" s="1"/>
  <c r="M824" i="1"/>
  <c r="T824" i="1" s="1"/>
  <c r="M825" i="1"/>
  <c r="T825" i="1" s="1"/>
  <c r="M826" i="1"/>
  <c r="T826" i="1" s="1"/>
  <c r="M827" i="1"/>
  <c r="T827" i="1" s="1"/>
  <c r="M828" i="1"/>
  <c r="T828" i="1" s="1"/>
  <c r="M829" i="1"/>
  <c r="T829" i="1" s="1"/>
  <c r="M830" i="1"/>
  <c r="T830" i="1" s="1"/>
  <c r="M831" i="1"/>
  <c r="T831" i="1" s="1"/>
  <c r="M832" i="1"/>
  <c r="T832" i="1" s="1"/>
  <c r="M833" i="1"/>
  <c r="T833" i="1" s="1"/>
  <c r="M834" i="1"/>
  <c r="T834" i="1" s="1"/>
  <c r="M835" i="1"/>
  <c r="T835" i="1" s="1"/>
  <c r="M836" i="1"/>
  <c r="T836" i="1" s="1"/>
  <c r="M837" i="1"/>
  <c r="T837" i="1" s="1"/>
  <c r="M838" i="1"/>
  <c r="T838" i="1" s="1"/>
  <c r="M839" i="1"/>
  <c r="T839" i="1" s="1"/>
  <c r="M840" i="1"/>
  <c r="T840" i="1" s="1"/>
  <c r="M841" i="1"/>
  <c r="T841" i="1" s="1"/>
  <c r="M842" i="1"/>
  <c r="T842" i="1" s="1"/>
  <c r="M843" i="1"/>
  <c r="T843" i="1" s="1"/>
  <c r="M844" i="1"/>
  <c r="T844" i="1" s="1"/>
  <c r="M845" i="1"/>
  <c r="T845" i="1" s="1"/>
  <c r="M846" i="1"/>
  <c r="T846" i="1" s="1"/>
  <c r="M847" i="1"/>
  <c r="T847" i="1" s="1"/>
  <c r="M848" i="1"/>
  <c r="T848" i="1" s="1"/>
  <c r="M849" i="1"/>
  <c r="T849" i="1" s="1"/>
  <c r="M850" i="1"/>
  <c r="T850" i="1" s="1"/>
  <c r="M851" i="1"/>
  <c r="T851" i="1" s="1"/>
  <c r="M852" i="1"/>
  <c r="T852" i="1" s="1"/>
  <c r="M853" i="1"/>
  <c r="T853" i="1" s="1"/>
  <c r="M854" i="1"/>
  <c r="T854" i="1" s="1"/>
  <c r="M855" i="1"/>
  <c r="T855" i="1" s="1"/>
  <c r="M856" i="1"/>
  <c r="T856" i="1" s="1"/>
  <c r="M857" i="1"/>
  <c r="T857" i="1" s="1"/>
  <c r="M858" i="1"/>
  <c r="T858" i="1" s="1"/>
  <c r="M859" i="1"/>
  <c r="T859" i="1" s="1"/>
  <c r="M860" i="1"/>
  <c r="T860" i="1" s="1"/>
  <c r="M861" i="1"/>
  <c r="M862" i="1"/>
  <c r="T862" i="1" s="1"/>
  <c r="M863" i="1"/>
  <c r="T863" i="1" s="1"/>
  <c r="M864" i="1"/>
  <c r="T864" i="1" s="1"/>
  <c r="M865" i="1"/>
  <c r="T865" i="1" s="1"/>
  <c r="M866" i="1"/>
  <c r="T866" i="1" s="1"/>
  <c r="M867" i="1"/>
  <c r="T867" i="1" s="1"/>
  <c r="M868" i="1"/>
  <c r="T868" i="1" s="1"/>
  <c r="M869" i="1"/>
  <c r="T869" i="1" s="1"/>
  <c r="M870" i="1"/>
  <c r="T870" i="1" s="1"/>
  <c r="M871" i="1"/>
  <c r="T871" i="1" s="1"/>
  <c r="M872" i="1"/>
  <c r="T872" i="1" s="1"/>
  <c r="M873" i="1"/>
  <c r="T873" i="1" s="1"/>
  <c r="M874" i="1"/>
  <c r="T874" i="1" s="1"/>
  <c r="M875" i="1"/>
  <c r="T875" i="1" s="1"/>
  <c r="M876" i="1"/>
  <c r="T876" i="1" s="1"/>
  <c r="M877" i="1"/>
  <c r="T877" i="1" s="1"/>
  <c r="M878" i="1"/>
  <c r="T878" i="1" s="1"/>
  <c r="M879" i="1"/>
  <c r="T879" i="1" s="1"/>
  <c r="M880" i="1"/>
  <c r="T880" i="1" s="1"/>
  <c r="M881" i="1"/>
  <c r="T881" i="1" s="1"/>
  <c r="M882" i="1"/>
  <c r="T882" i="1" s="1"/>
  <c r="M883" i="1"/>
  <c r="T883" i="1" s="1"/>
  <c r="M884" i="1"/>
  <c r="T884" i="1" s="1"/>
  <c r="M885" i="1"/>
  <c r="T885" i="1" s="1"/>
  <c r="M886" i="1"/>
  <c r="T886" i="1" s="1"/>
  <c r="M887" i="1"/>
  <c r="T887" i="1" s="1"/>
  <c r="M888" i="1"/>
  <c r="T888" i="1" s="1"/>
  <c r="M889" i="1"/>
  <c r="T889" i="1" s="1"/>
  <c r="M890" i="1"/>
  <c r="T890" i="1" s="1"/>
  <c r="M891" i="1"/>
  <c r="T891" i="1" s="1"/>
  <c r="M892" i="1"/>
  <c r="T892" i="1" s="1"/>
  <c r="M893" i="1"/>
  <c r="T893" i="1" s="1"/>
  <c r="M894" i="1"/>
  <c r="T894" i="1" s="1"/>
  <c r="M895" i="1"/>
  <c r="T895" i="1" s="1"/>
  <c r="M896" i="1"/>
  <c r="T896" i="1" s="1"/>
  <c r="M897" i="1"/>
  <c r="T897" i="1" s="1"/>
  <c r="M898" i="1"/>
  <c r="T898" i="1" s="1"/>
  <c r="M899" i="1"/>
  <c r="T899" i="1" s="1"/>
  <c r="M900" i="1"/>
  <c r="T900" i="1" s="1"/>
  <c r="M901" i="1"/>
  <c r="T901" i="1" s="1"/>
  <c r="M902" i="1"/>
  <c r="T902" i="1" s="1"/>
  <c r="M903" i="1"/>
  <c r="T903" i="1" s="1"/>
  <c r="M904" i="1"/>
  <c r="T904" i="1" s="1"/>
  <c r="M905" i="1"/>
  <c r="T905" i="1" s="1"/>
  <c r="M906" i="1"/>
  <c r="T906" i="1" s="1"/>
  <c r="M907" i="1"/>
  <c r="T907" i="1" s="1"/>
  <c r="M908" i="1"/>
  <c r="T908" i="1" s="1"/>
  <c r="M909" i="1"/>
  <c r="T909" i="1" s="1"/>
  <c r="M910" i="1"/>
  <c r="T910" i="1" s="1"/>
  <c r="M911" i="1"/>
  <c r="T911" i="1" s="1"/>
  <c r="M912" i="1"/>
  <c r="T912" i="1" s="1"/>
  <c r="M913" i="1"/>
  <c r="T913" i="1" s="1"/>
  <c r="M914" i="1"/>
  <c r="T914" i="1" s="1"/>
  <c r="M915" i="1"/>
  <c r="T915" i="1" s="1"/>
  <c r="M916" i="1"/>
  <c r="T916" i="1" s="1"/>
  <c r="M917" i="1"/>
  <c r="T917" i="1" s="1"/>
  <c r="M918" i="1"/>
  <c r="T918" i="1" s="1"/>
  <c r="M919" i="1"/>
  <c r="T919" i="1" s="1"/>
  <c r="M920" i="1"/>
  <c r="T920" i="1" s="1"/>
  <c r="M921" i="1"/>
  <c r="T921" i="1" s="1"/>
  <c r="M922" i="1"/>
  <c r="T922" i="1" s="1"/>
  <c r="M923" i="1"/>
  <c r="T923" i="1" s="1"/>
  <c r="M924" i="1"/>
  <c r="T924" i="1" s="1"/>
  <c r="M925" i="1"/>
  <c r="T925" i="1" s="1"/>
  <c r="M926" i="1"/>
  <c r="T926" i="1" s="1"/>
  <c r="M927" i="1"/>
  <c r="T927" i="1" s="1"/>
  <c r="M928" i="1"/>
  <c r="T928" i="1" s="1"/>
  <c r="M929" i="1"/>
  <c r="T929" i="1" s="1"/>
  <c r="M930" i="1"/>
  <c r="T930" i="1" s="1"/>
  <c r="M931" i="1"/>
  <c r="T931" i="1" s="1"/>
  <c r="M932" i="1"/>
  <c r="T932" i="1" s="1"/>
  <c r="M933" i="1"/>
  <c r="T933" i="1" s="1"/>
  <c r="M934" i="1"/>
  <c r="T934" i="1" s="1"/>
  <c r="M935" i="1"/>
  <c r="T935" i="1" s="1"/>
  <c r="M936" i="1"/>
  <c r="T936" i="1" s="1"/>
  <c r="M937" i="1"/>
  <c r="T937" i="1" s="1"/>
  <c r="M938" i="1"/>
  <c r="T938" i="1" s="1"/>
  <c r="M939" i="1"/>
  <c r="T939" i="1" s="1"/>
  <c r="M940" i="1"/>
  <c r="T940" i="1" s="1"/>
  <c r="M941" i="1"/>
  <c r="T941" i="1" s="1"/>
  <c r="M942" i="1"/>
  <c r="T942" i="1" s="1"/>
  <c r="M943" i="1"/>
  <c r="T943" i="1" s="1"/>
  <c r="M944" i="1"/>
  <c r="T944" i="1" s="1"/>
  <c r="M945" i="1"/>
  <c r="T945" i="1" s="1"/>
  <c r="M946" i="1"/>
  <c r="T946" i="1" s="1"/>
  <c r="M947" i="1"/>
  <c r="T947" i="1" s="1"/>
  <c r="M948" i="1"/>
  <c r="T948" i="1" s="1"/>
  <c r="M949" i="1"/>
  <c r="T949" i="1" s="1"/>
  <c r="M950" i="1"/>
  <c r="T950" i="1" s="1"/>
  <c r="M951" i="1"/>
  <c r="T951" i="1" s="1"/>
  <c r="M952" i="1"/>
  <c r="T952" i="1" s="1"/>
  <c r="M953" i="1"/>
  <c r="T953" i="1" s="1"/>
  <c r="M954" i="1"/>
  <c r="T954" i="1" s="1"/>
  <c r="M955" i="1"/>
  <c r="T955" i="1" s="1"/>
  <c r="M956" i="1"/>
  <c r="T956" i="1" s="1"/>
  <c r="M957" i="1"/>
  <c r="T957" i="1" s="1"/>
  <c r="M958" i="1"/>
  <c r="T958" i="1" s="1"/>
  <c r="M959" i="1"/>
  <c r="T959" i="1" s="1"/>
  <c r="M960" i="1"/>
  <c r="T960" i="1" s="1"/>
  <c r="M961" i="1"/>
  <c r="T961" i="1" s="1"/>
  <c r="M962" i="1"/>
  <c r="T962" i="1" s="1"/>
  <c r="M963" i="1"/>
  <c r="T963" i="1" s="1"/>
  <c r="M964" i="1"/>
  <c r="T964" i="1" s="1"/>
  <c r="M965" i="1"/>
  <c r="T965" i="1" s="1"/>
  <c r="M966" i="1"/>
  <c r="T966" i="1" s="1"/>
  <c r="M967" i="1"/>
  <c r="T967" i="1" s="1"/>
  <c r="M968" i="1"/>
  <c r="T968" i="1" s="1"/>
  <c r="M969" i="1"/>
  <c r="T969" i="1" s="1"/>
  <c r="M970" i="1"/>
  <c r="T970" i="1" s="1"/>
  <c r="M971" i="1"/>
  <c r="T971" i="1" s="1"/>
  <c r="M972" i="1"/>
  <c r="T972" i="1" s="1"/>
  <c r="M973" i="1"/>
  <c r="T973" i="1" s="1"/>
  <c r="M974" i="1"/>
  <c r="T974" i="1" s="1"/>
  <c r="M975" i="1"/>
  <c r="T975" i="1" s="1"/>
  <c r="M976" i="1"/>
  <c r="T976" i="1" s="1"/>
  <c r="M977" i="1"/>
  <c r="T977" i="1" s="1"/>
  <c r="M978" i="1"/>
  <c r="T978" i="1" s="1"/>
  <c r="M979" i="1"/>
  <c r="T979" i="1" s="1"/>
  <c r="M980" i="1"/>
  <c r="T980" i="1" s="1"/>
  <c r="M981" i="1"/>
  <c r="T981" i="1" s="1"/>
  <c r="M982" i="1"/>
  <c r="T982" i="1" s="1"/>
  <c r="M983" i="1"/>
  <c r="T983" i="1" s="1"/>
  <c r="M984" i="1"/>
  <c r="T984" i="1" s="1"/>
  <c r="M985" i="1"/>
  <c r="T985" i="1" s="1"/>
  <c r="M986" i="1"/>
  <c r="T986" i="1" s="1"/>
  <c r="M987" i="1"/>
  <c r="T987" i="1" s="1"/>
  <c r="M988" i="1"/>
  <c r="T988" i="1" s="1"/>
  <c r="M989" i="1"/>
  <c r="T989" i="1" s="1"/>
  <c r="M990" i="1"/>
  <c r="T990" i="1" s="1"/>
  <c r="M991" i="1"/>
  <c r="T991" i="1" s="1"/>
  <c r="M992" i="1"/>
  <c r="T992" i="1" s="1"/>
  <c r="M993" i="1"/>
  <c r="T993" i="1" s="1"/>
  <c r="M994" i="1"/>
  <c r="T994" i="1" s="1"/>
  <c r="M995" i="1"/>
  <c r="T995" i="1" s="1"/>
  <c r="M996" i="1"/>
  <c r="T996" i="1" s="1"/>
  <c r="M997" i="1"/>
  <c r="T997" i="1" s="1"/>
  <c r="M998" i="1"/>
  <c r="T998" i="1" s="1"/>
  <c r="M999" i="1"/>
  <c r="T999" i="1" s="1"/>
  <c r="M1000" i="1"/>
  <c r="T1000" i="1" s="1"/>
  <c r="M1001" i="1"/>
  <c r="T1001" i="1" s="1"/>
  <c r="M1002" i="1"/>
  <c r="T1002" i="1" s="1"/>
  <c r="M1003" i="1"/>
  <c r="T1003" i="1" s="1"/>
  <c r="M1004" i="1"/>
  <c r="T1004" i="1" s="1"/>
  <c r="M1005" i="1"/>
  <c r="T1005" i="1" s="1"/>
  <c r="M1006" i="1"/>
  <c r="T1006" i="1" s="1"/>
  <c r="M1007" i="1"/>
  <c r="T1007" i="1" s="1"/>
  <c r="M1008" i="1"/>
  <c r="T1008" i="1" s="1"/>
  <c r="M1009" i="1"/>
  <c r="T1009" i="1" s="1"/>
  <c r="M1010" i="1"/>
  <c r="T1010" i="1" s="1"/>
  <c r="M1011" i="1"/>
  <c r="T1011" i="1" s="1"/>
  <c r="M1012" i="1"/>
  <c r="T1012" i="1" s="1"/>
  <c r="M1013" i="1"/>
  <c r="T1013" i="1" s="1"/>
  <c r="M1014" i="1"/>
  <c r="T1014" i="1" s="1"/>
  <c r="M1015" i="1"/>
  <c r="T1015" i="1" s="1"/>
  <c r="M1016" i="1"/>
  <c r="T1016" i="1" s="1"/>
  <c r="M1017" i="1"/>
  <c r="T1017" i="1" s="1"/>
  <c r="M1018" i="1"/>
  <c r="T1018" i="1" s="1"/>
  <c r="M1019" i="1"/>
  <c r="T1019" i="1" s="1"/>
  <c r="M1020" i="1"/>
  <c r="T1020" i="1" s="1"/>
  <c r="M1021" i="1"/>
  <c r="T1021" i="1" s="1"/>
  <c r="M1022" i="1"/>
  <c r="T1022" i="1" s="1"/>
  <c r="M1023" i="1"/>
  <c r="T1023" i="1" s="1"/>
  <c r="M1024" i="1"/>
  <c r="T1024" i="1" s="1"/>
  <c r="M1025" i="1"/>
  <c r="T1025" i="1" s="1"/>
  <c r="M1026" i="1"/>
  <c r="T1026" i="1" s="1"/>
  <c r="M1027" i="1"/>
  <c r="T1027" i="1" s="1"/>
  <c r="M1028" i="1"/>
  <c r="T1028" i="1" s="1"/>
  <c r="M1029" i="1"/>
  <c r="T1029" i="1" s="1"/>
  <c r="M1030" i="1"/>
  <c r="T1030" i="1" s="1"/>
  <c r="M1031" i="1"/>
  <c r="T1031" i="1" s="1"/>
  <c r="M1032" i="1"/>
  <c r="T1032" i="1" s="1"/>
  <c r="M1033" i="1"/>
  <c r="T1033" i="1" s="1"/>
  <c r="M1034" i="1"/>
  <c r="T1034" i="1" s="1"/>
  <c r="M1035" i="1"/>
  <c r="T1035" i="1" s="1"/>
  <c r="M1036" i="1"/>
  <c r="T1036" i="1" s="1"/>
  <c r="M1037" i="1"/>
  <c r="T1037" i="1" s="1"/>
  <c r="M1038" i="1"/>
  <c r="T1038" i="1" s="1"/>
  <c r="M1039" i="1"/>
  <c r="T1039" i="1" s="1"/>
  <c r="M1040" i="1"/>
  <c r="T1040" i="1" s="1"/>
  <c r="M1041" i="1"/>
  <c r="T1041" i="1" s="1"/>
  <c r="M1042" i="1"/>
  <c r="T1042" i="1" s="1"/>
  <c r="M1043" i="1"/>
  <c r="T1043" i="1" s="1"/>
  <c r="M1044" i="1"/>
  <c r="T1044" i="1" s="1"/>
  <c r="M1045" i="1"/>
  <c r="T1045" i="1" s="1"/>
  <c r="M1046" i="1"/>
  <c r="T1046" i="1" s="1"/>
  <c r="M1047" i="1"/>
  <c r="T1047" i="1" s="1"/>
  <c r="M1048" i="1"/>
  <c r="T1048" i="1" s="1"/>
  <c r="M1049" i="1"/>
  <c r="T1049" i="1" s="1"/>
  <c r="M1050" i="1"/>
  <c r="T1050" i="1" s="1"/>
  <c r="M1051" i="1"/>
  <c r="T1051" i="1" s="1"/>
  <c r="M1052" i="1"/>
  <c r="T1052" i="1" s="1"/>
  <c r="M1053" i="1"/>
  <c r="T1053" i="1" s="1"/>
  <c r="M1054" i="1"/>
  <c r="T1054" i="1" s="1"/>
  <c r="M1055" i="1"/>
  <c r="T1055" i="1" s="1"/>
  <c r="M1056" i="1"/>
  <c r="T1056" i="1" s="1"/>
  <c r="M1057" i="1"/>
  <c r="T1057" i="1" s="1"/>
  <c r="M4" i="1"/>
  <c r="J3953" i="3"/>
  <c r="I3953" i="3"/>
  <c r="F803" i="5"/>
  <c r="A1033" i="1" l="1"/>
  <c r="AN1033" i="1" s="1"/>
  <c r="B1033" i="1"/>
  <c r="X1033" i="1" s="1"/>
  <c r="E1033" i="1"/>
  <c r="F1033" i="1"/>
  <c r="G1033" i="1"/>
  <c r="H1033" i="1"/>
  <c r="I1033" i="1"/>
  <c r="J1033" i="1"/>
  <c r="P1033" i="1"/>
  <c r="R1033" i="1"/>
  <c r="AE1033" i="1"/>
  <c r="AL1033" i="1"/>
  <c r="AO1033" i="1"/>
  <c r="A1034" i="1"/>
  <c r="B1034" i="1"/>
  <c r="X1034" i="1" s="1"/>
  <c r="E1034" i="1"/>
  <c r="F1034" i="1"/>
  <c r="G1034" i="1"/>
  <c r="H1034" i="1"/>
  <c r="I1034" i="1"/>
  <c r="J1034" i="1"/>
  <c r="R1034" i="1"/>
  <c r="AL1034" i="1"/>
  <c r="AO1034" i="1"/>
  <c r="A1035" i="1"/>
  <c r="AN1035" i="1" s="1"/>
  <c r="B1035" i="1"/>
  <c r="X1035" i="1" s="1"/>
  <c r="E1035" i="1"/>
  <c r="F1035" i="1"/>
  <c r="G1035" i="1"/>
  <c r="H1035" i="1"/>
  <c r="I1035" i="1"/>
  <c r="J1035" i="1"/>
  <c r="O1035" i="1"/>
  <c r="R1035" i="1"/>
  <c r="AL1035" i="1"/>
  <c r="AO1035" i="1"/>
  <c r="A1036" i="1"/>
  <c r="AN1036" i="1" s="1"/>
  <c r="B1036" i="1"/>
  <c r="X1036" i="1" s="1"/>
  <c r="E1036" i="1"/>
  <c r="F1036" i="1"/>
  <c r="G1036" i="1"/>
  <c r="H1036" i="1"/>
  <c r="I1036" i="1"/>
  <c r="J1036" i="1"/>
  <c r="P1036" i="1"/>
  <c r="R1036" i="1"/>
  <c r="AE1036" i="1"/>
  <c r="AL1036" i="1"/>
  <c r="AO1036" i="1"/>
  <c r="A1014" i="1"/>
  <c r="B1014" i="1"/>
  <c r="X1014" i="1" s="1"/>
  <c r="E1014" i="1"/>
  <c r="F1014" i="1"/>
  <c r="G1014" i="1"/>
  <c r="H1014" i="1"/>
  <c r="I1014" i="1"/>
  <c r="J1014" i="1"/>
  <c r="P1014" i="1"/>
  <c r="R1014" i="1"/>
  <c r="AL1014" i="1"/>
  <c r="AO1014" i="1"/>
  <c r="A1015" i="1"/>
  <c r="AN1015" i="1" s="1"/>
  <c r="B1015" i="1"/>
  <c r="X1015" i="1" s="1"/>
  <c r="E1015" i="1"/>
  <c r="F1015" i="1"/>
  <c r="G1015" i="1"/>
  <c r="H1015" i="1"/>
  <c r="I1015" i="1"/>
  <c r="J1015" i="1"/>
  <c r="R1015" i="1"/>
  <c r="AL1015" i="1"/>
  <c r="AO1015" i="1"/>
  <c r="A1016" i="1"/>
  <c r="AN1016" i="1" s="1"/>
  <c r="B1016" i="1"/>
  <c r="X1016" i="1" s="1"/>
  <c r="E1016" i="1"/>
  <c r="F1016" i="1"/>
  <c r="G1016" i="1"/>
  <c r="H1016" i="1"/>
  <c r="I1016" i="1"/>
  <c r="J1016" i="1"/>
  <c r="O1016" i="1"/>
  <c r="R1016" i="1"/>
  <c r="AL1016" i="1"/>
  <c r="AO1016" i="1"/>
  <c r="A1017" i="1"/>
  <c r="AN1017" i="1" s="1"/>
  <c r="B1017" i="1"/>
  <c r="X1017" i="1" s="1"/>
  <c r="E1017" i="1"/>
  <c r="F1017" i="1"/>
  <c r="G1017" i="1"/>
  <c r="H1017" i="1"/>
  <c r="I1017" i="1"/>
  <c r="J1017" i="1"/>
  <c r="P1017" i="1"/>
  <c r="R1017" i="1"/>
  <c r="AE1017" i="1"/>
  <c r="AL1017" i="1"/>
  <c r="AO1017" i="1"/>
  <c r="A1018" i="1"/>
  <c r="B1018" i="1"/>
  <c r="X1018" i="1" s="1"/>
  <c r="E1018" i="1"/>
  <c r="F1018" i="1"/>
  <c r="G1018" i="1"/>
  <c r="H1018" i="1"/>
  <c r="I1018" i="1"/>
  <c r="J1018" i="1"/>
  <c r="R1018" i="1"/>
  <c r="AL1018" i="1"/>
  <c r="AO1018" i="1"/>
  <c r="A1019" i="1"/>
  <c r="B1019" i="1"/>
  <c r="X1019" i="1" s="1"/>
  <c r="E1019" i="1"/>
  <c r="F1019" i="1"/>
  <c r="G1019" i="1"/>
  <c r="H1019" i="1"/>
  <c r="I1019" i="1"/>
  <c r="J1019" i="1"/>
  <c r="R1019" i="1"/>
  <c r="AL1019" i="1"/>
  <c r="AO1019" i="1"/>
  <c r="A1020" i="1"/>
  <c r="B1020" i="1"/>
  <c r="X1020" i="1" s="1"/>
  <c r="E1020" i="1"/>
  <c r="F1020" i="1"/>
  <c r="G1020" i="1"/>
  <c r="H1020" i="1"/>
  <c r="I1020" i="1"/>
  <c r="J1020" i="1"/>
  <c r="P1020" i="1"/>
  <c r="R1020" i="1"/>
  <c r="AL1020" i="1"/>
  <c r="AO1020" i="1"/>
  <c r="A1021" i="1"/>
  <c r="B1021" i="1"/>
  <c r="E1021" i="1"/>
  <c r="F1021" i="1"/>
  <c r="G1021" i="1"/>
  <c r="H1021" i="1"/>
  <c r="I1021" i="1"/>
  <c r="J1021" i="1"/>
  <c r="R1021" i="1"/>
  <c r="AL1021" i="1"/>
  <c r="AO1021" i="1"/>
  <c r="A1022" i="1"/>
  <c r="AN1022" i="1" s="1"/>
  <c r="B1022" i="1"/>
  <c r="X1022" i="1" s="1"/>
  <c r="E1022" i="1"/>
  <c r="F1022" i="1"/>
  <c r="G1022" i="1"/>
  <c r="H1022" i="1"/>
  <c r="I1022" i="1"/>
  <c r="J1022" i="1"/>
  <c r="O1022" i="1"/>
  <c r="R1022" i="1"/>
  <c r="AL1022" i="1"/>
  <c r="AO1022" i="1"/>
  <c r="A1023" i="1"/>
  <c r="B1023" i="1"/>
  <c r="E1023" i="1"/>
  <c r="F1023" i="1"/>
  <c r="G1023" i="1"/>
  <c r="H1023" i="1"/>
  <c r="I1023" i="1"/>
  <c r="J1023" i="1"/>
  <c r="P1023" i="1"/>
  <c r="R1023" i="1"/>
  <c r="AL1023" i="1"/>
  <c r="AO1023" i="1"/>
  <c r="A1024" i="1"/>
  <c r="B1024" i="1"/>
  <c r="X1024" i="1" s="1"/>
  <c r="E1024" i="1"/>
  <c r="F1024" i="1"/>
  <c r="G1024" i="1"/>
  <c r="H1024" i="1"/>
  <c r="I1024" i="1"/>
  <c r="J1024" i="1"/>
  <c r="R1024" i="1"/>
  <c r="AL1024" i="1"/>
  <c r="AO1024" i="1"/>
  <c r="A1025" i="1"/>
  <c r="AN1025" i="1" s="1"/>
  <c r="B1025" i="1"/>
  <c r="X1025" i="1" s="1"/>
  <c r="E1025" i="1"/>
  <c r="F1025" i="1"/>
  <c r="G1025" i="1"/>
  <c r="H1025" i="1"/>
  <c r="I1025" i="1"/>
  <c r="J1025" i="1"/>
  <c r="O1025" i="1"/>
  <c r="R1025" i="1"/>
  <c r="AL1025" i="1"/>
  <c r="AO1025" i="1"/>
  <c r="A1026" i="1"/>
  <c r="B1026" i="1"/>
  <c r="E1026" i="1"/>
  <c r="F1026" i="1"/>
  <c r="G1026" i="1"/>
  <c r="H1026" i="1"/>
  <c r="I1026" i="1"/>
  <c r="J1026" i="1"/>
  <c r="P1026" i="1"/>
  <c r="R1026" i="1"/>
  <c r="AL1026" i="1"/>
  <c r="AO1026" i="1"/>
  <c r="A1027" i="1"/>
  <c r="AN1027" i="1" s="1"/>
  <c r="B1027" i="1"/>
  <c r="E1027" i="1"/>
  <c r="F1027" i="1"/>
  <c r="G1027" i="1"/>
  <c r="H1027" i="1"/>
  <c r="I1027" i="1"/>
  <c r="J1027" i="1"/>
  <c r="R1027" i="1"/>
  <c r="AL1027" i="1"/>
  <c r="AO1027" i="1"/>
  <c r="A1028" i="1"/>
  <c r="AN1028" i="1" s="1"/>
  <c r="B1028" i="1"/>
  <c r="E1028" i="1"/>
  <c r="F1028" i="1"/>
  <c r="G1028" i="1"/>
  <c r="H1028" i="1"/>
  <c r="I1028" i="1"/>
  <c r="J1028" i="1"/>
  <c r="R1028" i="1"/>
  <c r="AE1028" i="1"/>
  <c r="AL1028" i="1"/>
  <c r="AO1028" i="1"/>
  <c r="A1029" i="1"/>
  <c r="B1029" i="1"/>
  <c r="X1029" i="1" s="1"/>
  <c r="E1029" i="1"/>
  <c r="F1029" i="1"/>
  <c r="G1029" i="1"/>
  <c r="H1029" i="1"/>
  <c r="I1029" i="1"/>
  <c r="J1029" i="1"/>
  <c r="P1029" i="1"/>
  <c r="R1029" i="1"/>
  <c r="AL1029" i="1"/>
  <c r="AO1029" i="1"/>
  <c r="A1030" i="1"/>
  <c r="B1030" i="1"/>
  <c r="X1030" i="1" s="1"/>
  <c r="E1030" i="1"/>
  <c r="F1030" i="1"/>
  <c r="G1030" i="1"/>
  <c r="H1030" i="1"/>
  <c r="I1030" i="1"/>
  <c r="J1030" i="1"/>
  <c r="R1030" i="1"/>
  <c r="AE1030" i="1"/>
  <c r="AL1030" i="1"/>
  <c r="AO1030" i="1"/>
  <c r="A1031" i="1"/>
  <c r="AN1031" i="1" s="1"/>
  <c r="B1031" i="1"/>
  <c r="X1031" i="1" s="1"/>
  <c r="E1031" i="1"/>
  <c r="F1031" i="1"/>
  <c r="G1031" i="1"/>
  <c r="H1031" i="1"/>
  <c r="I1031" i="1"/>
  <c r="J1031" i="1"/>
  <c r="O1031" i="1"/>
  <c r="R1031" i="1"/>
  <c r="AE1031" i="1"/>
  <c r="AL1031" i="1"/>
  <c r="AO1031" i="1"/>
  <c r="A1032" i="1"/>
  <c r="AN1032" i="1" s="1"/>
  <c r="B1032" i="1"/>
  <c r="X1032" i="1" s="1"/>
  <c r="E1032" i="1"/>
  <c r="F1032" i="1"/>
  <c r="G1032" i="1"/>
  <c r="H1032" i="1"/>
  <c r="I1032" i="1"/>
  <c r="J1032" i="1"/>
  <c r="P1032" i="1"/>
  <c r="R1032" i="1"/>
  <c r="AL1032" i="1"/>
  <c r="AO1032" i="1"/>
  <c r="W1022" i="1" l="1"/>
  <c r="AP1022" i="1" s="1"/>
  <c r="AQ1022" i="1" s="1"/>
  <c r="AP1015" i="1"/>
  <c r="AQ1015" i="1" s="1"/>
  <c r="AP1032" i="1"/>
  <c r="AQ1032" i="1" s="1"/>
  <c r="AP1017" i="1"/>
  <c r="AQ1017" i="1" s="1"/>
  <c r="AP1016" i="1"/>
  <c r="AQ1016" i="1" s="1"/>
  <c r="AP1036" i="1"/>
  <c r="AQ1036" i="1" s="1"/>
  <c r="AP1031" i="1"/>
  <c r="AQ1031" i="1" s="1"/>
  <c r="AP1035" i="1"/>
  <c r="AQ1035" i="1" s="1"/>
  <c r="AP1033" i="1"/>
  <c r="AQ1033" i="1" s="1"/>
  <c r="AP1028" i="1"/>
  <c r="AQ1028" i="1" s="1"/>
  <c r="AP1027" i="1"/>
  <c r="AQ1027" i="1" s="1"/>
  <c r="AP1025" i="1"/>
  <c r="AQ1025" i="1" s="1"/>
  <c r="AS1035" i="1"/>
  <c r="AS1029" i="1"/>
  <c r="AS1026" i="1"/>
  <c r="AS1023" i="1"/>
  <c r="AS1020" i="1"/>
  <c r="AS1017" i="1"/>
  <c r="AS1014" i="1"/>
  <c r="AS1031" i="1"/>
  <c r="AS1028" i="1"/>
  <c r="AS1025" i="1"/>
  <c r="AS1022" i="1"/>
  <c r="AS1016" i="1"/>
  <c r="AS1033" i="1"/>
  <c r="AN1019" i="1"/>
  <c r="AN1024" i="1"/>
  <c r="W1024" i="1" s="1"/>
  <c r="AN1021" i="1"/>
  <c r="AN1018" i="1"/>
  <c r="AN1020" i="1"/>
  <c r="AN1034" i="1"/>
  <c r="AS1019" i="1"/>
  <c r="C1035" i="1"/>
  <c r="S1014" i="1"/>
  <c r="C1034" i="1"/>
  <c r="S1036" i="1"/>
  <c r="C1015" i="1"/>
  <c r="C1017" i="1"/>
  <c r="O1033" i="1"/>
  <c r="V1033" i="1" s="1"/>
  <c r="S1033" i="1"/>
  <c r="C1018" i="1"/>
  <c r="C1030" i="1"/>
  <c r="C1027" i="1"/>
  <c r="C1026" i="1"/>
  <c r="O1023" i="1"/>
  <c r="V1023" i="1" s="1"/>
  <c r="C1024" i="1"/>
  <c r="S1023" i="1"/>
  <c r="P1031" i="1"/>
  <c r="S1031" i="1" s="1"/>
  <c r="AN1030" i="1"/>
  <c r="O1029" i="1"/>
  <c r="V1029" i="1" s="1"/>
  <c r="S1029" i="1"/>
  <c r="C1032" i="1"/>
  <c r="S1020" i="1"/>
  <c r="C1019" i="1"/>
  <c r="C1036" i="1"/>
  <c r="AS1032" i="1"/>
  <c r="O1032" i="1"/>
  <c r="V1032" i="1" s="1"/>
  <c r="C1022" i="1"/>
  <c r="P1019" i="1"/>
  <c r="S1019" i="1" s="1"/>
  <c r="P1016" i="1"/>
  <c r="V1016" i="1" s="1"/>
  <c r="O1014" i="1"/>
  <c r="V1014" i="1" s="1"/>
  <c r="S1032" i="1"/>
  <c r="C1020" i="1"/>
  <c r="O1019" i="1"/>
  <c r="O1026" i="1"/>
  <c r="V1026" i="1" s="1"/>
  <c r="S1026" i="1"/>
  <c r="O1017" i="1"/>
  <c r="V1017" i="1" s="1"/>
  <c r="C1029" i="1"/>
  <c r="S1017" i="1"/>
  <c r="P1035" i="1"/>
  <c r="V1035" i="1" s="1"/>
  <c r="C1014" i="1"/>
  <c r="AN1026" i="1"/>
  <c r="P1030" i="1"/>
  <c r="S1030" i="1" s="1"/>
  <c r="P1028" i="1"/>
  <c r="S1028" i="1" s="1"/>
  <c r="P1025" i="1"/>
  <c r="V1025" i="1" s="1"/>
  <c r="C1023" i="1"/>
  <c r="C1021" i="1"/>
  <c r="AN1014" i="1"/>
  <c r="AS1036" i="1"/>
  <c r="O1028" i="1"/>
  <c r="C1033" i="1"/>
  <c r="O1036" i="1"/>
  <c r="V1036" i="1" s="1"/>
  <c r="P1034" i="1"/>
  <c r="S1034" i="1" s="1"/>
  <c r="O1034" i="1"/>
  <c r="AS1034" i="1"/>
  <c r="C1031" i="1"/>
  <c r="C1025" i="1"/>
  <c r="AN1023" i="1"/>
  <c r="O1020" i="1"/>
  <c r="V1020" i="1" s="1"/>
  <c r="C1016" i="1"/>
  <c r="AN1029" i="1"/>
  <c r="W1029" i="1" s="1"/>
  <c r="C1028" i="1"/>
  <c r="P1022" i="1"/>
  <c r="S1022" i="1" s="1"/>
  <c r="P1027" i="1"/>
  <c r="S1027" i="1" s="1"/>
  <c r="P1024" i="1"/>
  <c r="S1024" i="1" s="1"/>
  <c r="P1021" i="1"/>
  <c r="S1021" i="1" s="1"/>
  <c r="P1018" i="1"/>
  <c r="S1018" i="1" s="1"/>
  <c r="P1015" i="1"/>
  <c r="S1015" i="1" s="1"/>
  <c r="O1030" i="1"/>
  <c r="O1027" i="1"/>
  <c r="O1024" i="1"/>
  <c r="O1021" i="1"/>
  <c r="O1018" i="1"/>
  <c r="O1015" i="1"/>
  <c r="AS1030" i="1"/>
  <c r="AS1027" i="1"/>
  <c r="AS1021" i="1"/>
  <c r="AS1018" i="1"/>
  <c r="AS1015" i="1"/>
  <c r="AS1024" i="1"/>
  <c r="V1034" i="1" l="1"/>
  <c r="AB1032" i="1"/>
  <c r="AC1032" i="1" s="1"/>
  <c r="V1018" i="1"/>
  <c r="AB1018" i="1" s="1"/>
  <c r="AC1018" i="1" s="1"/>
  <c r="AB1017" i="1"/>
  <c r="V1021" i="1"/>
  <c r="V1024" i="1"/>
  <c r="AB1024" i="1" s="1"/>
  <c r="AB1026" i="1"/>
  <c r="AC1026" i="1" s="1"/>
  <c r="V1019" i="1"/>
  <c r="AB1019" i="1" s="1"/>
  <c r="AC1019" i="1" s="1"/>
  <c r="AB1020" i="1"/>
  <c r="AC1020" i="1" s="1"/>
  <c r="AE1020" i="1" s="1"/>
  <c r="V1027" i="1"/>
  <c r="AB1027" i="1" s="1"/>
  <c r="V1030" i="1"/>
  <c r="AB1030" i="1" s="1"/>
  <c r="AD1030" i="1" s="1"/>
  <c r="AB1033" i="1"/>
  <c r="AD1033" i="1" s="1"/>
  <c r="V1022" i="1"/>
  <c r="AB1022" i="1" s="1"/>
  <c r="AB1025" i="1"/>
  <c r="AB1016" i="1"/>
  <c r="AB1023" i="1"/>
  <c r="AC1023" i="1" s="1"/>
  <c r="AE1023" i="1" s="1"/>
  <c r="AB1035" i="1"/>
  <c r="AB1014" i="1"/>
  <c r="AP1034" i="1"/>
  <c r="AQ1034" i="1" s="1"/>
  <c r="AB1029" i="1"/>
  <c r="AC1029" i="1" s="1"/>
  <c r="AE1029" i="1" s="1"/>
  <c r="V1031" i="1"/>
  <c r="AB1031" i="1" s="1"/>
  <c r="AB1036" i="1"/>
  <c r="AD1036" i="1" s="1"/>
  <c r="V1015" i="1"/>
  <c r="AB1015" i="1" s="1"/>
  <c r="AC1015" i="1" s="1"/>
  <c r="V1028" i="1"/>
  <c r="AB1028" i="1" s="1"/>
  <c r="AD1028" i="1" s="1"/>
  <c r="AP1023" i="1"/>
  <c r="AQ1023" i="1" s="1"/>
  <c r="AP1014" i="1"/>
  <c r="AQ1014" i="1" s="1"/>
  <c r="AP1020" i="1"/>
  <c r="AQ1020" i="1" s="1"/>
  <c r="AP1024" i="1"/>
  <c r="AQ1024" i="1" s="1"/>
  <c r="AP1018" i="1"/>
  <c r="AQ1018" i="1" s="1"/>
  <c r="AP1029" i="1"/>
  <c r="AQ1029" i="1" s="1"/>
  <c r="AP1030" i="1"/>
  <c r="AQ1030" i="1" s="1"/>
  <c r="AP1026" i="1"/>
  <c r="AQ1026" i="1" s="1"/>
  <c r="S1016" i="1"/>
  <c r="S1035" i="1"/>
  <c r="S1025" i="1"/>
  <c r="AC1035" i="1" l="1"/>
  <c r="AE1035" i="1" s="1"/>
  <c r="AB1021" i="1"/>
  <c r="AC1021" i="1" s="1"/>
  <c r="AE1021" i="1" s="1"/>
  <c r="AB1034" i="1"/>
  <c r="AC1034" i="1" s="1"/>
  <c r="AE1034" i="1" s="1"/>
  <c r="AP1019" i="1"/>
  <c r="AQ1019" i="1" s="1"/>
  <c r="AP1021" i="1"/>
  <c r="AQ1021" i="1" s="1"/>
  <c r="AE1016" i="1"/>
  <c r="AE1025" i="1"/>
  <c r="AE1032" i="1"/>
  <c r="AE1027" i="1"/>
  <c r="AE1022" i="1"/>
  <c r="AD1035" i="1" l="1"/>
  <c r="AD1025" i="1"/>
  <c r="AD1034" i="1"/>
  <c r="AD1021" i="1"/>
  <c r="AD1027" i="1"/>
  <c r="AD1016" i="1"/>
  <c r="AD1022" i="1"/>
  <c r="AE1014" i="1"/>
  <c r="AE1026" i="1"/>
  <c r="AD1032" i="1"/>
  <c r="AE1024" i="1"/>
  <c r="AD4" i="3"/>
  <c r="AC4" i="3" s="1"/>
  <c r="AD5" i="3"/>
  <c r="AC5" i="3" s="1"/>
  <c r="AD6" i="3"/>
  <c r="AC6" i="3" s="1"/>
  <c r="AD7" i="3"/>
  <c r="AC7" i="3" s="1"/>
  <c r="AD8" i="3"/>
  <c r="AC8" i="3" s="1"/>
  <c r="AD9" i="3"/>
  <c r="AC9" i="3" s="1"/>
  <c r="AD10" i="3"/>
  <c r="AC10" i="3" s="1"/>
  <c r="AD11" i="3"/>
  <c r="AC11" i="3" s="1"/>
  <c r="AD12" i="3"/>
  <c r="AC12" i="3" s="1"/>
  <c r="AD13" i="3"/>
  <c r="AC13" i="3" s="1"/>
  <c r="AD14" i="3"/>
  <c r="AC14" i="3" s="1"/>
  <c r="AD15" i="3"/>
  <c r="AC15" i="3" s="1"/>
  <c r="AD16" i="3"/>
  <c r="AC16" i="3" s="1"/>
  <c r="AD17" i="3"/>
  <c r="AC17" i="3" s="1"/>
  <c r="AD18" i="3"/>
  <c r="AC18" i="3" s="1"/>
  <c r="AD19" i="3"/>
  <c r="AC19" i="3" s="1"/>
  <c r="AD20" i="3"/>
  <c r="AC20" i="3" s="1"/>
  <c r="AD21" i="3"/>
  <c r="AC21" i="3" s="1"/>
  <c r="AD22" i="3"/>
  <c r="AC22" i="3" s="1"/>
  <c r="AD23" i="3"/>
  <c r="AC23" i="3" s="1"/>
  <c r="AD24" i="3"/>
  <c r="AC24" i="3" s="1"/>
  <c r="AD25" i="3"/>
  <c r="AC25" i="3" s="1"/>
  <c r="AD26" i="3"/>
  <c r="AC26" i="3" s="1"/>
  <c r="AD27" i="3"/>
  <c r="AC27" i="3" s="1"/>
  <c r="AD28" i="3"/>
  <c r="AC28" i="3" s="1"/>
  <c r="AD29" i="3"/>
  <c r="AC29" i="3" s="1"/>
  <c r="AD30" i="3"/>
  <c r="AC30" i="3" s="1"/>
  <c r="AD31" i="3"/>
  <c r="AC31" i="3" s="1"/>
  <c r="AD32" i="3"/>
  <c r="AC32" i="3" s="1"/>
  <c r="AD33" i="3"/>
  <c r="AC33" i="3" s="1"/>
  <c r="AD34" i="3"/>
  <c r="AC34" i="3" s="1"/>
  <c r="AD35" i="3"/>
  <c r="AC35" i="3" s="1"/>
  <c r="AD36" i="3"/>
  <c r="AC36" i="3" s="1"/>
  <c r="AD37" i="3"/>
  <c r="AC37" i="3" s="1"/>
  <c r="AD38" i="3"/>
  <c r="AC38" i="3" s="1"/>
  <c r="AD39" i="3"/>
  <c r="AC39" i="3" s="1"/>
  <c r="AD40" i="3"/>
  <c r="AC40" i="3" s="1"/>
  <c r="AD41" i="3"/>
  <c r="AC41" i="3" s="1"/>
  <c r="AD42" i="3"/>
  <c r="AC42" i="3" s="1"/>
  <c r="AD43" i="3"/>
  <c r="AC43" i="3" s="1"/>
  <c r="AD44" i="3"/>
  <c r="AC44" i="3" s="1"/>
  <c r="AD45" i="3"/>
  <c r="AC45" i="3" s="1"/>
  <c r="AD46" i="3"/>
  <c r="AC46" i="3" s="1"/>
  <c r="AD47" i="3"/>
  <c r="AC47" i="3" s="1"/>
  <c r="AD48" i="3"/>
  <c r="AC48" i="3" s="1"/>
  <c r="AD49" i="3"/>
  <c r="AC49" i="3" s="1"/>
  <c r="AD50" i="3"/>
  <c r="AC50" i="3" s="1"/>
  <c r="AD51" i="3"/>
  <c r="AC51" i="3" s="1"/>
  <c r="AD52" i="3"/>
  <c r="AC52" i="3" s="1"/>
  <c r="AD53" i="3"/>
  <c r="AC53" i="3" s="1"/>
  <c r="AD54" i="3"/>
  <c r="AC54" i="3" s="1"/>
  <c r="AD55" i="3"/>
  <c r="AC55" i="3" s="1"/>
  <c r="AD56" i="3"/>
  <c r="AC56" i="3" s="1"/>
  <c r="AD57" i="3"/>
  <c r="AC57" i="3" s="1"/>
  <c r="AD58" i="3"/>
  <c r="AC58" i="3" s="1"/>
  <c r="AD59" i="3"/>
  <c r="AC59" i="3" s="1"/>
  <c r="AD60" i="3"/>
  <c r="AC60" i="3" s="1"/>
  <c r="AD61" i="3"/>
  <c r="AC61" i="3" s="1"/>
  <c r="AD62" i="3"/>
  <c r="AC62" i="3" s="1"/>
  <c r="AD63" i="3"/>
  <c r="AC63" i="3" s="1"/>
  <c r="AD64" i="3"/>
  <c r="AC64" i="3" s="1"/>
  <c r="AD65" i="3"/>
  <c r="AC65" i="3" s="1"/>
  <c r="AD66" i="3"/>
  <c r="AC66" i="3" s="1"/>
  <c r="AD67" i="3"/>
  <c r="AC67" i="3" s="1"/>
  <c r="AD68" i="3"/>
  <c r="AC68" i="3" s="1"/>
  <c r="AD69" i="3"/>
  <c r="AC69" i="3" s="1"/>
  <c r="AD70" i="3"/>
  <c r="AC70" i="3" s="1"/>
  <c r="AD71" i="3"/>
  <c r="AC71" i="3" s="1"/>
  <c r="AD72" i="3"/>
  <c r="AC72" i="3" s="1"/>
  <c r="AD73" i="3"/>
  <c r="AC73" i="3" s="1"/>
  <c r="AD74" i="3"/>
  <c r="AC74" i="3" s="1"/>
  <c r="AD75" i="3"/>
  <c r="AC75" i="3" s="1"/>
  <c r="AD76" i="3"/>
  <c r="AC76" i="3" s="1"/>
  <c r="AD77" i="3"/>
  <c r="AC77" i="3" s="1"/>
  <c r="AD78" i="3"/>
  <c r="AC78" i="3" s="1"/>
  <c r="AD79" i="3"/>
  <c r="AC79" i="3" s="1"/>
  <c r="AD80" i="3"/>
  <c r="AC80" i="3" s="1"/>
  <c r="AD81" i="3"/>
  <c r="AC81" i="3" s="1"/>
  <c r="AD82" i="3"/>
  <c r="AC82" i="3" s="1"/>
  <c r="AD83" i="3"/>
  <c r="AC83" i="3" s="1"/>
  <c r="AD84" i="3"/>
  <c r="AC84" i="3" s="1"/>
  <c r="AD85" i="3"/>
  <c r="AC85" i="3" s="1"/>
  <c r="AD86" i="3"/>
  <c r="AC86" i="3" s="1"/>
  <c r="AD87" i="3"/>
  <c r="AC87" i="3" s="1"/>
  <c r="AD88" i="3"/>
  <c r="AC88" i="3" s="1"/>
  <c r="AD89" i="3"/>
  <c r="AC89" i="3" s="1"/>
  <c r="AD90" i="3"/>
  <c r="AC90" i="3" s="1"/>
  <c r="AD91" i="3"/>
  <c r="AC91" i="3" s="1"/>
  <c r="AD92" i="3"/>
  <c r="AC92" i="3" s="1"/>
  <c r="AD93" i="3"/>
  <c r="AC93" i="3" s="1"/>
  <c r="AD94" i="3"/>
  <c r="AC94" i="3" s="1"/>
  <c r="AD95" i="3"/>
  <c r="AC95" i="3" s="1"/>
  <c r="AD96" i="3"/>
  <c r="AC96" i="3" s="1"/>
  <c r="AD97" i="3"/>
  <c r="AC97" i="3" s="1"/>
  <c r="AD98" i="3"/>
  <c r="AC98" i="3" s="1"/>
  <c r="AD99" i="3"/>
  <c r="AC99" i="3" s="1"/>
  <c r="AD100" i="3"/>
  <c r="AC100" i="3" s="1"/>
  <c r="AD101" i="3"/>
  <c r="AC101" i="3" s="1"/>
  <c r="AD102" i="3"/>
  <c r="AC102" i="3" s="1"/>
  <c r="AD103" i="3"/>
  <c r="AC103" i="3" s="1"/>
  <c r="AD104" i="3"/>
  <c r="AC104" i="3" s="1"/>
  <c r="AD105" i="3"/>
  <c r="AC105" i="3" s="1"/>
  <c r="AD106" i="3"/>
  <c r="AC106" i="3" s="1"/>
  <c r="AD107" i="3"/>
  <c r="AC107" i="3" s="1"/>
  <c r="AD108" i="3"/>
  <c r="AC108" i="3" s="1"/>
  <c r="AD109" i="3"/>
  <c r="AC109" i="3" s="1"/>
  <c r="AD110" i="3"/>
  <c r="AC110" i="3" s="1"/>
  <c r="AD111" i="3"/>
  <c r="AC111" i="3" s="1"/>
  <c r="AD112" i="3"/>
  <c r="AC112" i="3" s="1"/>
  <c r="AD113" i="3"/>
  <c r="AC113" i="3" s="1"/>
  <c r="AD114" i="3"/>
  <c r="AC114" i="3" s="1"/>
  <c r="AD115" i="3"/>
  <c r="AC115" i="3" s="1"/>
  <c r="AD116" i="3"/>
  <c r="AC116" i="3" s="1"/>
  <c r="AD117" i="3"/>
  <c r="AC117" i="3" s="1"/>
  <c r="AD118" i="3"/>
  <c r="AC118" i="3" s="1"/>
  <c r="AD119" i="3"/>
  <c r="AC119" i="3" s="1"/>
  <c r="AD120" i="3"/>
  <c r="AC120" i="3" s="1"/>
  <c r="AD121" i="3"/>
  <c r="AC121" i="3" s="1"/>
  <c r="AD122" i="3"/>
  <c r="AC122" i="3" s="1"/>
  <c r="AD123" i="3"/>
  <c r="AC123" i="3" s="1"/>
  <c r="AD124" i="3"/>
  <c r="AC124" i="3" s="1"/>
  <c r="AD125" i="3"/>
  <c r="AC125" i="3" s="1"/>
  <c r="AD126" i="3"/>
  <c r="AC126" i="3" s="1"/>
  <c r="AD127" i="3"/>
  <c r="AC127" i="3" s="1"/>
  <c r="AD128" i="3"/>
  <c r="AC128" i="3" s="1"/>
  <c r="AD129" i="3"/>
  <c r="AC129" i="3" s="1"/>
  <c r="AD130" i="3"/>
  <c r="AC130" i="3" s="1"/>
  <c r="AD131" i="3"/>
  <c r="AC131" i="3" s="1"/>
  <c r="AD132" i="3"/>
  <c r="AC132" i="3" s="1"/>
  <c r="AD133" i="3"/>
  <c r="AC133" i="3" s="1"/>
  <c r="AD134" i="3"/>
  <c r="AC134" i="3" s="1"/>
  <c r="AD135" i="3"/>
  <c r="AC135" i="3" s="1"/>
  <c r="AD136" i="3"/>
  <c r="AC136" i="3" s="1"/>
  <c r="AD137" i="3"/>
  <c r="AC137" i="3" s="1"/>
  <c r="AD138" i="3"/>
  <c r="AC138" i="3" s="1"/>
  <c r="AD139" i="3"/>
  <c r="AC139" i="3" s="1"/>
  <c r="AD140" i="3"/>
  <c r="AC140" i="3" s="1"/>
  <c r="AD141" i="3"/>
  <c r="AC141" i="3" s="1"/>
  <c r="AD142" i="3"/>
  <c r="AC142" i="3" s="1"/>
  <c r="AD143" i="3"/>
  <c r="AC143" i="3" s="1"/>
  <c r="AD144" i="3"/>
  <c r="AC144" i="3" s="1"/>
  <c r="AD145" i="3"/>
  <c r="AC145" i="3" s="1"/>
  <c r="AD146" i="3"/>
  <c r="AC146" i="3" s="1"/>
  <c r="AD147" i="3"/>
  <c r="AC147" i="3" s="1"/>
  <c r="AD148" i="3"/>
  <c r="AC148" i="3" s="1"/>
  <c r="AD149" i="3"/>
  <c r="AC149" i="3" s="1"/>
  <c r="AD150" i="3"/>
  <c r="AC150" i="3" s="1"/>
  <c r="AD151" i="3"/>
  <c r="AC151" i="3" s="1"/>
  <c r="AD152" i="3"/>
  <c r="AC152" i="3" s="1"/>
  <c r="AD153" i="3"/>
  <c r="AC153" i="3" s="1"/>
  <c r="AD154" i="3"/>
  <c r="AC154" i="3" s="1"/>
  <c r="AD155" i="3"/>
  <c r="AC155" i="3" s="1"/>
  <c r="AD156" i="3"/>
  <c r="AC156" i="3" s="1"/>
  <c r="AD157" i="3"/>
  <c r="AC157" i="3" s="1"/>
  <c r="AD158" i="3"/>
  <c r="AC158" i="3" s="1"/>
  <c r="AD159" i="3"/>
  <c r="AC159" i="3" s="1"/>
  <c r="AD160" i="3"/>
  <c r="AC160" i="3" s="1"/>
  <c r="AD161" i="3"/>
  <c r="AC161" i="3" s="1"/>
  <c r="AD162" i="3"/>
  <c r="AC162" i="3" s="1"/>
  <c r="AD163" i="3"/>
  <c r="AC163" i="3" s="1"/>
  <c r="AD164" i="3"/>
  <c r="AC164" i="3" s="1"/>
  <c r="AD165" i="3"/>
  <c r="AC165" i="3" s="1"/>
  <c r="AD166" i="3"/>
  <c r="AC166" i="3" s="1"/>
  <c r="AD167" i="3"/>
  <c r="AC167" i="3" s="1"/>
  <c r="AD168" i="3"/>
  <c r="AC168" i="3" s="1"/>
  <c r="AD169" i="3"/>
  <c r="AC169" i="3" s="1"/>
  <c r="AD170" i="3"/>
  <c r="AC170" i="3" s="1"/>
  <c r="AD171" i="3"/>
  <c r="AC171" i="3" s="1"/>
  <c r="AD172" i="3"/>
  <c r="AC172" i="3" s="1"/>
  <c r="AD173" i="3"/>
  <c r="AC173" i="3" s="1"/>
  <c r="AD174" i="3"/>
  <c r="AC174" i="3" s="1"/>
  <c r="AD175" i="3"/>
  <c r="AC175" i="3" s="1"/>
  <c r="AD176" i="3"/>
  <c r="AC176" i="3" s="1"/>
  <c r="AD177" i="3"/>
  <c r="AC177" i="3" s="1"/>
  <c r="AD178" i="3"/>
  <c r="AC178" i="3" s="1"/>
  <c r="AD179" i="3"/>
  <c r="AC179" i="3" s="1"/>
  <c r="AD180" i="3"/>
  <c r="AC180" i="3" s="1"/>
  <c r="AD181" i="3"/>
  <c r="AC181" i="3" s="1"/>
  <c r="AD182" i="3"/>
  <c r="AC182" i="3" s="1"/>
  <c r="AD183" i="3"/>
  <c r="AC183" i="3" s="1"/>
  <c r="AD184" i="3"/>
  <c r="AC184" i="3" s="1"/>
  <c r="AD185" i="3"/>
  <c r="AC185" i="3" s="1"/>
  <c r="AD186" i="3"/>
  <c r="AC186" i="3" s="1"/>
  <c r="AD187" i="3"/>
  <c r="AC187" i="3" s="1"/>
  <c r="AD188" i="3"/>
  <c r="AC188" i="3" s="1"/>
  <c r="AD189" i="3"/>
  <c r="AC189" i="3" s="1"/>
  <c r="AD190" i="3"/>
  <c r="AC190" i="3" s="1"/>
  <c r="AD191" i="3"/>
  <c r="AC191" i="3" s="1"/>
  <c r="AD192" i="3"/>
  <c r="AC192" i="3" s="1"/>
  <c r="AD193" i="3"/>
  <c r="AC193" i="3" s="1"/>
  <c r="AD194" i="3"/>
  <c r="AC194" i="3" s="1"/>
  <c r="AD195" i="3"/>
  <c r="AC195" i="3" s="1"/>
  <c r="AD196" i="3"/>
  <c r="AC196" i="3" s="1"/>
  <c r="AD197" i="3"/>
  <c r="AC197" i="3" s="1"/>
  <c r="AD198" i="3"/>
  <c r="AC198" i="3" s="1"/>
  <c r="AD199" i="3"/>
  <c r="AC199" i="3" s="1"/>
  <c r="AD200" i="3"/>
  <c r="AC200" i="3" s="1"/>
  <c r="AD201" i="3"/>
  <c r="AC201" i="3" s="1"/>
  <c r="AD202" i="3"/>
  <c r="AC202" i="3" s="1"/>
  <c r="AD203" i="3"/>
  <c r="AC203" i="3" s="1"/>
  <c r="AD204" i="3"/>
  <c r="AC204" i="3" s="1"/>
  <c r="AD205" i="3"/>
  <c r="AC205" i="3" s="1"/>
  <c r="AD206" i="3"/>
  <c r="AC206" i="3" s="1"/>
  <c r="AD207" i="3"/>
  <c r="AC207" i="3" s="1"/>
  <c r="AD208" i="3"/>
  <c r="AC208" i="3" s="1"/>
  <c r="AD209" i="3"/>
  <c r="AC209" i="3" s="1"/>
  <c r="AD210" i="3"/>
  <c r="AC210" i="3" s="1"/>
  <c r="AD211" i="3"/>
  <c r="AC211" i="3" s="1"/>
  <c r="AD212" i="3"/>
  <c r="AC212" i="3" s="1"/>
  <c r="AD213" i="3"/>
  <c r="AC213" i="3" s="1"/>
  <c r="AD214" i="3"/>
  <c r="AC214" i="3" s="1"/>
  <c r="AD215" i="3"/>
  <c r="AC215" i="3" s="1"/>
  <c r="AD216" i="3"/>
  <c r="AC216" i="3" s="1"/>
  <c r="AD217" i="3"/>
  <c r="AC217" i="3" s="1"/>
  <c r="AD218" i="3"/>
  <c r="AC218" i="3" s="1"/>
  <c r="AD219" i="3"/>
  <c r="AC219" i="3" s="1"/>
  <c r="AD220" i="3"/>
  <c r="AC220" i="3" s="1"/>
  <c r="AD221" i="3"/>
  <c r="AC221" i="3" s="1"/>
  <c r="AD222" i="3"/>
  <c r="AC222" i="3" s="1"/>
  <c r="AD223" i="3"/>
  <c r="AC223" i="3" s="1"/>
  <c r="AD224" i="3"/>
  <c r="AC224" i="3" s="1"/>
  <c r="AD225" i="3"/>
  <c r="AC225" i="3" s="1"/>
  <c r="AD226" i="3"/>
  <c r="AC226" i="3" s="1"/>
  <c r="AD227" i="3"/>
  <c r="AC227" i="3" s="1"/>
  <c r="AD228" i="3"/>
  <c r="AC228" i="3" s="1"/>
  <c r="AD229" i="3"/>
  <c r="AC229" i="3" s="1"/>
  <c r="AD230" i="3"/>
  <c r="AC230" i="3" s="1"/>
  <c r="AD231" i="3"/>
  <c r="AC231" i="3" s="1"/>
  <c r="AD232" i="3"/>
  <c r="AC232" i="3" s="1"/>
  <c r="AD233" i="3"/>
  <c r="AC233" i="3" s="1"/>
  <c r="AD234" i="3"/>
  <c r="AC234" i="3" s="1"/>
  <c r="AD235" i="3"/>
  <c r="AC235" i="3" s="1"/>
  <c r="AD236" i="3"/>
  <c r="AC236" i="3" s="1"/>
  <c r="AD237" i="3"/>
  <c r="AC237" i="3" s="1"/>
  <c r="AD238" i="3"/>
  <c r="AC238" i="3" s="1"/>
  <c r="AD239" i="3"/>
  <c r="AC239" i="3" s="1"/>
  <c r="AD240" i="3"/>
  <c r="AC240" i="3" s="1"/>
  <c r="AD241" i="3"/>
  <c r="AC241" i="3" s="1"/>
  <c r="AD242" i="3"/>
  <c r="AC242" i="3" s="1"/>
  <c r="AD243" i="3"/>
  <c r="AC243" i="3" s="1"/>
  <c r="AD244" i="3"/>
  <c r="AC244" i="3" s="1"/>
  <c r="AD245" i="3"/>
  <c r="AC245" i="3" s="1"/>
  <c r="AD246" i="3"/>
  <c r="AC246" i="3" s="1"/>
  <c r="AD247" i="3"/>
  <c r="AC247" i="3" s="1"/>
  <c r="AD248" i="3"/>
  <c r="AC248" i="3" s="1"/>
  <c r="AD249" i="3"/>
  <c r="AC249" i="3" s="1"/>
  <c r="AD250" i="3"/>
  <c r="AC250" i="3" s="1"/>
  <c r="AD251" i="3"/>
  <c r="AC251" i="3" s="1"/>
  <c r="AD252" i="3"/>
  <c r="AC252" i="3" s="1"/>
  <c r="AD253" i="3"/>
  <c r="AC253" i="3" s="1"/>
  <c r="AD254" i="3"/>
  <c r="AC254" i="3" s="1"/>
  <c r="AD255" i="3"/>
  <c r="AC255" i="3" s="1"/>
  <c r="AD256" i="3"/>
  <c r="AC256" i="3" s="1"/>
  <c r="AD257" i="3"/>
  <c r="AC257" i="3" s="1"/>
  <c r="AD258" i="3"/>
  <c r="AC258" i="3" s="1"/>
  <c r="AD259" i="3"/>
  <c r="AC259" i="3" s="1"/>
  <c r="AD260" i="3"/>
  <c r="AC260" i="3" s="1"/>
  <c r="AD261" i="3"/>
  <c r="AC261" i="3" s="1"/>
  <c r="AD262" i="3"/>
  <c r="AC262" i="3" s="1"/>
  <c r="AD263" i="3"/>
  <c r="AC263" i="3" s="1"/>
  <c r="AD264" i="3"/>
  <c r="AC264" i="3" s="1"/>
  <c r="AD265" i="3"/>
  <c r="AC265" i="3" s="1"/>
  <c r="AD266" i="3"/>
  <c r="AC266" i="3" s="1"/>
  <c r="AD267" i="3"/>
  <c r="AC267" i="3" s="1"/>
  <c r="AD268" i="3"/>
  <c r="AC268" i="3" s="1"/>
  <c r="AD269" i="3"/>
  <c r="AC269" i="3" s="1"/>
  <c r="AD270" i="3"/>
  <c r="AC270" i="3" s="1"/>
  <c r="AD271" i="3"/>
  <c r="AC271" i="3" s="1"/>
  <c r="AD272" i="3"/>
  <c r="AC272" i="3" s="1"/>
  <c r="AD273" i="3"/>
  <c r="AC273" i="3" s="1"/>
  <c r="AD274" i="3"/>
  <c r="AC274" i="3" s="1"/>
  <c r="AD275" i="3"/>
  <c r="AC275" i="3" s="1"/>
  <c r="AD276" i="3"/>
  <c r="AC276" i="3" s="1"/>
  <c r="AD277" i="3"/>
  <c r="AC277" i="3" s="1"/>
  <c r="AD278" i="3"/>
  <c r="AC278" i="3" s="1"/>
  <c r="AD279" i="3"/>
  <c r="AC279" i="3" s="1"/>
  <c r="AD280" i="3"/>
  <c r="AC280" i="3" s="1"/>
  <c r="AD281" i="3"/>
  <c r="AC281" i="3" s="1"/>
  <c r="AD282" i="3"/>
  <c r="AC282" i="3" s="1"/>
  <c r="AD283" i="3"/>
  <c r="AC283" i="3" s="1"/>
  <c r="AD284" i="3"/>
  <c r="AC284" i="3" s="1"/>
  <c r="AD285" i="3"/>
  <c r="AC285" i="3" s="1"/>
  <c r="AD286" i="3"/>
  <c r="AC286" i="3" s="1"/>
  <c r="AD287" i="3"/>
  <c r="AC287" i="3" s="1"/>
  <c r="AD288" i="3"/>
  <c r="AC288" i="3" s="1"/>
  <c r="AD289" i="3"/>
  <c r="AC289" i="3" s="1"/>
  <c r="AD290" i="3"/>
  <c r="AC290" i="3" s="1"/>
  <c r="AD291" i="3"/>
  <c r="AC291" i="3" s="1"/>
  <c r="AD292" i="3"/>
  <c r="AC292" i="3" s="1"/>
  <c r="AD293" i="3"/>
  <c r="AC293" i="3" s="1"/>
  <c r="AD294" i="3"/>
  <c r="AC294" i="3" s="1"/>
  <c r="AD295" i="3"/>
  <c r="AC295" i="3" s="1"/>
  <c r="AD296" i="3"/>
  <c r="AC296" i="3" s="1"/>
  <c r="AD297" i="3"/>
  <c r="AC297" i="3" s="1"/>
  <c r="AD298" i="3"/>
  <c r="AC298" i="3" s="1"/>
  <c r="AD299" i="3"/>
  <c r="AC299" i="3" s="1"/>
  <c r="AD300" i="3"/>
  <c r="AC300" i="3" s="1"/>
  <c r="AD301" i="3"/>
  <c r="AC301" i="3" s="1"/>
  <c r="AD302" i="3"/>
  <c r="AC302" i="3" s="1"/>
  <c r="AD303" i="3"/>
  <c r="AC303" i="3" s="1"/>
  <c r="AD304" i="3"/>
  <c r="AC304" i="3" s="1"/>
  <c r="AD305" i="3"/>
  <c r="AC305" i="3" s="1"/>
  <c r="AD306" i="3"/>
  <c r="AC306" i="3" s="1"/>
  <c r="AD307" i="3"/>
  <c r="AC307" i="3" s="1"/>
  <c r="AD308" i="3"/>
  <c r="AC308" i="3" s="1"/>
  <c r="AD309" i="3"/>
  <c r="AC309" i="3" s="1"/>
  <c r="AD310" i="3"/>
  <c r="AC310" i="3" s="1"/>
  <c r="AD311" i="3"/>
  <c r="AC311" i="3" s="1"/>
  <c r="AD312" i="3"/>
  <c r="AC312" i="3" s="1"/>
  <c r="AD313" i="3"/>
  <c r="AC313" i="3" s="1"/>
  <c r="AD314" i="3"/>
  <c r="AC314" i="3" s="1"/>
  <c r="AD315" i="3"/>
  <c r="AC315" i="3" s="1"/>
  <c r="AD316" i="3"/>
  <c r="AC316" i="3" s="1"/>
  <c r="AD317" i="3"/>
  <c r="AC317" i="3" s="1"/>
  <c r="AD318" i="3"/>
  <c r="AC318" i="3" s="1"/>
  <c r="AD319" i="3"/>
  <c r="AC319" i="3" s="1"/>
  <c r="AD320" i="3"/>
  <c r="AC320" i="3" s="1"/>
  <c r="AD321" i="3"/>
  <c r="AC321" i="3" s="1"/>
  <c r="AD322" i="3"/>
  <c r="AC322" i="3" s="1"/>
  <c r="AD323" i="3"/>
  <c r="AC323" i="3" s="1"/>
  <c r="AD324" i="3"/>
  <c r="AC324" i="3" s="1"/>
  <c r="AD325" i="3"/>
  <c r="AC325" i="3" s="1"/>
  <c r="AD326" i="3"/>
  <c r="AC326" i="3" s="1"/>
  <c r="AD327" i="3"/>
  <c r="AC327" i="3" s="1"/>
  <c r="AD328" i="3"/>
  <c r="AC328" i="3" s="1"/>
  <c r="AD329" i="3"/>
  <c r="AC329" i="3" s="1"/>
  <c r="AD330" i="3"/>
  <c r="AC330" i="3" s="1"/>
  <c r="AD331" i="3"/>
  <c r="AC331" i="3" s="1"/>
  <c r="AD332" i="3"/>
  <c r="AC332" i="3" s="1"/>
  <c r="AD333" i="3"/>
  <c r="AC333" i="3" s="1"/>
  <c r="AD334" i="3"/>
  <c r="AC334" i="3" s="1"/>
  <c r="AD335" i="3"/>
  <c r="AC335" i="3" s="1"/>
  <c r="AD336" i="3"/>
  <c r="AC336" i="3" s="1"/>
  <c r="AD337" i="3"/>
  <c r="AC337" i="3" s="1"/>
  <c r="AD338" i="3"/>
  <c r="AC338" i="3" s="1"/>
  <c r="AD339" i="3"/>
  <c r="AC339" i="3" s="1"/>
  <c r="AD340" i="3"/>
  <c r="AC340" i="3" s="1"/>
  <c r="AD341" i="3"/>
  <c r="AC341" i="3" s="1"/>
  <c r="AD342" i="3"/>
  <c r="AC342" i="3" s="1"/>
  <c r="AD343" i="3"/>
  <c r="AC343" i="3" s="1"/>
  <c r="AD344" i="3"/>
  <c r="AC344" i="3" s="1"/>
  <c r="AD345" i="3"/>
  <c r="AC345" i="3" s="1"/>
  <c r="AD346" i="3"/>
  <c r="AC346" i="3" s="1"/>
  <c r="AD347" i="3"/>
  <c r="AC347" i="3" s="1"/>
  <c r="AD348" i="3"/>
  <c r="AC348" i="3" s="1"/>
  <c r="AD349" i="3"/>
  <c r="AC349" i="3" s="1"/>
  <c r="AD350" i="3"/>
  <c r="AC350" i="3" s="1"/>
  <c r="AD351" i="3"/>
  <c r="AC351" i="3" s="1"/>
  <c r="AD352" i="3"/>
  <c r="AC352" i="3" s="1"/>
  <c r="AD353" i="3"/>
  <c r="AC353" i="3" s="1"/>
  <c r="AD354" i="3"/>
  <c r="AC354" i="3" s="1"/>
  <c r="AD355" i="3"/>
  <c r="AC355" i="3" s="1"/>
  <c r="AD356" i="3"/>
  <c r="AC356" i="3" s="1"/>
  <c r="AD357" i="3"/>
  <c r="AC357" i="3" s="1"/>
  <c r="AD358" i="3"/>
  <c r="AC358" i="3" s="1"/>
  <c r="AD359" i="3"/>
  <c r="AC359" i="3" s="1"/>
  <c r="AD360" i="3"/>
  <c r="AC360" i="3" s="1"/>
  <c r="AD361" i="3"/>
  <c r="AC361" i="3" s="1"/>
  <c r="AD362" i="3"/>
  <c r="AC362" i="3" s="1"/>
  <c r="AD363" i="3"/>
  <c r="AC363" i="3" s="1"/>
  <c r="AD364" i="3"/>
  <c r="AC364" i="3" s="1"/>
  <c r="AD365" i="3"/>
  <c r="AC365" i="3" s="1"/>
  <c r="AD366" i="3"/>
  <c r="AC366" i="3" s="1"/>
  <c r="AD367" i="3"/>
  <c r="AC367" i="3" s="1"/>
  <c r="AD368" i="3"/>
  <c r="AC368" i="3" s="1"/>
  <c r="AD369" i="3"/>
  <c r="AC369" i="3" s="1"/>
  <c r="AD370" i="3"/>
  <c r="AC370" i="3" s="1"/>
  <c r="AD371" i="3"/>
  <c r="AC371" i="3" s="1"/>
  <c r="AD372" i="3"/>
  <c r="AC372" i="3" s="1"/>
  <c r="AD373" i="3"/>
  <c r="AC373" i="3" s="1"/>
  <c r="AD374" i="3"/>
  <c r="AC374" i="3" s="1"/>
  <c r="AD375" i="3"/>
  <c r="AC375" i="3" s="1"/>
  <c r="AD376" i="3"/>
  <c r="AC376" i="3" s="1"/>
  <c r="AD377" i="3"/>
  <c r="AC377" i="3" s="1"/>
  <c r="AD378" i="3"/>
  <c r="AC378" i="3" s="1"/>
  <c r="AD379" i="3"/>
  <c r="AC379" i="3" s="1"/>
  <c r="AD380" i="3"/>
  <c r="AC380" i="3" s="1"/>
  <c r="AD381" i="3"/>
  <c r="AC381" i="3" s="1"/>
  <c r="AD382" i="3"/>
  <c r="AC382" i="3" s="1"/>
  <c r="AD383" i="3"/>
  <c r="AC383" i="3" s="1"/>
  <c r="AD384" i="3"/>
  <c r="AC384" i="3" s="1"/>
  <c r="AD385" i="3"/>
  <c r="AC385" i="3" s="1"/>
  <c r="AD386" i="3"/>
  <c r="AC386" i="3" s="1"/>
  <c r="AD387" i="3"/>
  <c r="AC387" i="3" s="1"/>
  <c r="AD388" i="3"/>
  <c r="AC388" i="3" s="1"/>
  <c r="AD389" i="3"/>
  <c r="AC389" i="3" s="1"/>
  <c r="AD390" i="3"/>
  <c r="AC390" i="3" s="1"/>
  <c r="AD391" i="3"/>
  <c r="AC391" i="3" s="1"/>
  <c r="AD392" i="3"/>
  <c r="AC392" i="3" s="1"/>
  <c r="AD393" i="3"/>
  <c r="AC393" i="3" s="1"/>
  <c r="AD394" i="3"/>
  <c r="AC394" i="3" s="1"/>
  <c r="AD395" i="3"/>
  <c r="AC395" i="3" s="1"/>
  <c r="AD396" i="3"/>
  <c r="AC396" i="3" s="1"/>
  <c r="AD397" i="3"/>
  <c r="AC397" i="3" s="1"/>
  <c r="AD398" i="3"/>
  <c r="AC398" i="3" s="1"/>
  <c r="AD399" i="3"/>
  <c r="AC399" i="3" s="1"/>
  <c r="AD400" i="3"/>
  <c r="AC400" i="3" s="1"/>
  <c r="AD401" i="3"/>
  <c r="AC401" i="3" s="1"/>
  <c r="AD402" i="3"/>
  <c r="AC402" i="3" s="1"/>
  <c r="AD403" i="3"/>
  <c r="AC403" i="3" s="1"/>
  <c r="AD404" i="3"/>
  <c r="AC404" i="3" s="1"/>
  <c r="AD405" i="3"/>
  <c r="AC405" i="3" s="1"/>
  <c r="AD406" i="3"/>
  <c r="AC406" i="3" s="1"/>
  <c r="AD407" i="3"/>
  <c r="AC407" i="3" s="1"/>
  <c r="AD408" i="3"/>
  <c r="AC408" i="3" s="1"/>
  <c r="AD409" i="3"/>
  <c r="AC409" i="3" s="1"/>
  <c r="AD410" i="3"/>
  <c r="AC410" i="3" s="1"/>
  <c r="AD411" i="3"/>
  <c r="AC411" i="3" s="1"/>
  <c r="AD412" i="3"/>
  <c r="AC412" i="3" s="1"/>
  <c r="AD413" i="3"/>
  <c r="AC413" i="3" s="1"/>
  <c r="AD414" i="3"/>
  <c r="AC414" i="3" s="1"/>
  <c r="AD415" i="3"/>
  <c r="AC415" i="3" s="1"/>
  <c r="AD416" i="3"/>
  <c r="AC416" i="3" s="1"/>
  <c r="AD417" i="3"/>
  <c r="AC417" i="3" s="1"/>
  <c r="AD418" i="3"/>
  <c r="AC418" i="3" s="1"/>
  <c r="AD419" i="3"/>
  <c r="AC419" i="3" s="1"/>
  <c r="AD420" i="3"/>
  <c r="AC420" i="3" s="1"/>
  <c r="AD421" i="3"/>
  <c r="AC421" i="3" s="1"/>
  <c r="AD422" i="3"/>
  <c r="AC422" i="3" s="1"/>
  <c r="AD423" i="3"/>
  <c r="AC423" i="3" s="1"/>
  <c r="AD424" i="3"/>
  <c r="AC424" i="3" s="1"/>
  <c r="AD425" i="3"/>
  <c r="AC425" i="3" s="1"/>
  <c r="AD426" i="3"/>
  <c r="AC426" i="3" s="1"/>
  <c r="AD427" i="3"/>
  <c r="AC427" i="3" s="1"/>
  <c r="AD428" i="3"/>
  <c r="AC428" i="3" s="1"/>
  <c r="AD429" i="3"/>
  <c r="AC429" i="3" s="1"/>
  <c r="AD430" i="3"/>
  <c r="AC430" i="3" s="1"/>
  <c r="AD431" i="3"/>
  <c r="AC431" i="3" s="1"/>
  <c r="AD432" i="3"/>
  <c r="AC432" i="3" s="1"/>
  <c r="AD433" i="3"/>
  <c r="AC433" i="3" s="1"/>
  <c r="AD434" i="3"/>
  <c r="AC434" i="3" s="1"/>
  <c r="AD435" i="3"/>
  <c r="AC435" i="3" s="1"/>
  <c r="AD436" i="3"/>
  <c r="AC436" i="3" s="1"/>
  <c r="AD437" i="3"/>
  <c r="AC437" i="3" s="1"/>
  <c r="AD438" i="3"/>
  <c r="AC438" i="3" s="1"/>
  <c r="AD439" i="3"/>
  <c r="AC439" i="3" s="1"/>
  <c r="AD440" i="3"/>
  <c r="AC440" i="3" s="1"/>
  <c r="AD441" i="3"/>
  <c r="AC441" i="3" s="1"/>
  <c r="AD442" i="3"/>
  <c r="AC442" i="3" s="1"/>
  <c r="AD443" i="3"/>
  <c r="AC443" i="3" s="1"/>
  <c r="AD444" i="3"/>
  <c r="AC444" i="3" s="1"/>
  <c r="AD445" i="3"/>
  <c r="AC445" i="3" s="1"/>
  <c r="AD446" i="3"/>
  <c r="AC446" i="3" s="1"/>
  <c r="AD447" i="3"/>
  <c r="AC447" i="3" s="1"/>
  <c r="AD448" i="3"/>
  <c r="AC448" i="3" s="1"/>
  <c r="AD449" i="3"/>
  <c r="AC449" i="3" s="1"/>
  <c r="AD450" i="3"/>
  <c r="AC450" i="3" s="1"/>
  <c r="AD451" i="3"/>
  <c r="AC451" i="3" s="1"/>
  <c r="AD452" i="3"/>
  <c r="AC452" i="3" s="1"/>
  <c r="AD453" i="3"/>
  <c r="AC453" i="3" s="1"/>
  <c r="AD454" i="3"/>
  <c r="AC454" i="3" s="1"/>
  <c r="AD455" i="3"/>
  <c r="AC455" i="3" s="1"/>
  <c r="AD456" i="3"/>
  <c r="AC456" i="3" s="1"/>
  <c r="AD457" i="3"/>
  <c r="AC457" i="3" s="1"/>
  <c r="AD458" i="3"/>
  <c r="AC458" i="3" s="1"/>
  <c r="AD459" i="3"/>
  <c r="AC459" i="3" s="1"/>
  <c r="AD460" i="3"/>
  <c r="AC460" i="3" s="1"/>
  <c r="AD461" i="3"/>
  <c r="AC461" i="3" s="1"/>
  <c r="AD462" i="3"/>
  <c r="AC462" i="3" s="1"/>
  <c r="AD463" i="3"/>
  <c r="AC463" i="3" s="1"/>
  <c r="AD464" i="3"/>
  <c r="AC464" i="3" s="1"/>
  <c r="AD465" i="3"/>
  <c r="AC465" i="3" s="1"/>
  <c r="AD466" i="3"/>
  <c r="AC466" i="3" s="1"/>
  <c r="AD467" i="3"/>
  <c r="AC467" i="3" s="1"/>
  <c r="AD468" i="3"/>
  <c r="AC468" i="3" s="1"/>
  <c r="AD469" i="3"/>
  <c r="AC469" i="3" s="1"/>
  <c r="AD470" i="3"/>
  <c r="AC470" i="3" s="1"/>
  <c r="AD471" i="3"/>
  <c r="AC471" i="3" s="1"/>
  <c r="AD472" i="3"/>
  <c r="AC472" i="3" s="1"/>
  <c r="AD473" i="3"/>
  <c r="AC473" i="3" s="1"/>
  <c r="AD474" i="3"/>
  <c r="AC474" i="3" s="1"/>
  <c r="AD475" i="3"/>
  <c r="AC475" i="3" s="1"/>
  <c r="AD476" i="3"/>
  <c r="AC476" i="3" s="1"/>
  <c r="AD477" i="3"/>
  <c r="AC477" i="3" s="1"/>
  <c r="AD478" i="3"/>
  <c r="AC478" i="3" s="1"/>
  <c r="AD479" i="3"/>
  <c r="AC479" i="3" s="1"/>
  <c r="AD480" i="3"/>
  <c r="AC480" i="3" s="1"/>
  <c r="AD481" i="3"/>
  <c r="AC481" i="3" s="1"/>
  <c r="AD482" i="3"/>
  <c r="AC482" i="3" s="1"/>
  <c r="AD483" i="3"/>
  <c r="AC483" i="3" s="1"/>
  <c r="AD484" i="3"/>
  <c r="AC484" i="3" s="1"/>
  <c r="AD485" i="3"/>
  <c r="AC485" i="3" s="1"/>
  <c r="AD486" i="3"/>
  <c r="AC486" i="3" s="1"/>
  <c r="AD487" i="3"/>
  <c r="AC487" i="3" s="1"/>
  <c r="AD488" i="3"/>
  <c r="AC488" i="3" s="1"/>
  <c r="AD489" i="3"/>
  <c r="AC489" i="3" s="1"/>
  <c r="AD490" i="3"/>
  <c r="AC490" i="3" s="1"/>
  <c r="AD491" i="3"/>
  <c r="AC491" i="3" s="1"/>
  <c r="AD492" i="3"/>
  <c r="AC492" i="3" s="1"/>
  <c r="AD493" i="3"/>
  <c r="AC493" i="3" s="1"/>
  <c r="AD494" i="3"/>
  <c r="AC494" i="3" s="1"/>
  <c r="AD495" i="3"/>
  <c r="AC495" i="3" s="1"/>
  <c r="AD496" i="3"/>
  <c r="AC496" i="3" s="1"/>
  <c r="AD497" i="3"/>
  <c r="AC497" i="3" s="1"/>
  <c r="AD498" i="3"/>
  <c r="AC498" i="3" s="1"/>
  <c r="AD499" i="3"/>
  <c r="AC499" i="3" s="1"/>
  <c r="AD500" i="3"/>
  <c r="AC500" i="3" s="1"/>
  <c r="AD501" i="3"/>
  <c r="AC501" i="3" s="1"/>
  <c r="AD502" i="3"/>
  <c r="AC502" i="3" s="1"/>
  <c r="AD503" i="3"/>
  <c r="AC503" i="3" s="1"/>
  <c r="AD504" i="3"/>
  <c r="AC504" i="3" s="1"/>
  <c r="AD505" i="3"/>
  <c r="AC505" i="3" s="1"/>
  <c r="AD506" i="3"/>
  <c r="AC506" i="3" s="1"/>
  <c r="AD507" i="3"/>
  <c r="AC507" i="3" s="1"/>
  <c r="AD508" i="3"/>
  <c r="AC508" i="3" s="1"/>
  <c r="AD509" i="3"/>
  <c r="AC509" i="3" s="1"/>
  <c r="AD510" i="3"/>
  <c r="AC510" i="3" s="1"/>
  <c r="AD511" i="3"/>
  <c r="AC511" i="3" s="1"/>
  <c r="AD512" i="3"/>
  <c r="AC512" i="3" s="1"/>
  <c r="AD513" i="3"/>
  <c r="AC513" i="3" s="1"/>
  <c r="AD514" i="3"/>
  <c r="AC514" i="3" s="1"/>
  <c r="AD515" i="3"/>
  <c r="AC515" i="3" s="1"/>
  <c r="AD516" i="3"/>
  <c r="AC516" i="3" s="1"/>
  <c r="AD517" i="3"/>
  <c r="AC517" i="3" s="1"/>
  <c r="AD518" i="3"/>
  <c r="AC518" i="3" s="1"/>
  <c r="AD519" i="3"/>
  <c r="AC519" i="3" s="1"/>
  <c r="AD520" i="3"/>
  <c r="AC520" i="3" s="1"/>
  <c r="AD521" i="3"/>
  <c r="AC521" i="3" s="1"/>
  <c r="AD522" i="3"/>
  <c r="AC522" i="3" s="1"/>
  <c r="AD523" i="3"/>
  <c r="AC523" i="3" s="1"/>
  <c r="AD524" i="3"/>
  <c r="AC524" i="3" s="1"/>
  <c r="AD525" i="3"/>
  <c r="AC525" i="3" s="1"/>
  <c r="AD526" i="3"/>
  <c r="AC526" i="3" s="1"/>
  <c r="AD527" i="3"/>
  <c r="AC527" i="3" s="1"/>
  <c r="AD528" i="3"/>
  <c r="AC528" i="3" s="1"/>
  <c r="AD529" i="3"/>
  <c r="AC529" i="3" s="1"/>
  <c r="AD530" i="3"/>
  <c r="AC530" i="3" s="1"/>
  <c r="AD531" i="3"/>
  <c r="AC531" i="3" s="1"/>
  <c r="AD532" i="3"/>
  <c r="AC532" i="3" s="1"/>
  <c r="AD533" i="3"/>
  <c r="AC533" i="3" s="1"/>
  <c r="AD534" i="3"/>
  <c r="AC534" i="3" s="1"/>
  <c r="AD535" i="3"/>
  <c r="AC535" i="3" s="1"/>
  <c r="AD536" i="3"/>
  <c r="AC536" i="3" s="1"/>
  <c r="AD537" i="3"/>
  <c r="AC537" i="3" s="1"/>
  <c r="AD538" i="3"/>
  <c r="AC538" i="3" s="1"/>
  <c r="AD539" i="3"/>
  <c r="AC539" i="3" s="1"/>
  <c r="AD540" i="3"/>
  <c r="AC540" i="3" s="1"/>
  <c r="AD541" i="3"/>
  <c r="AC541" i="3" s="1"/>
  <c r="AD542" i="3"/>
  <c r="AC542" i="3" s="1"/>
  <c r="AD543" i="3"/>
  <c r="AC543" i="3" s="1"/>
  <c r="AD544" i="3"/>
  <c r="AC544" i="3" s="1"/>
  <c r="AD545" i="3"/>
  <c r="AC545" i="3" s="1"/>
  <c r="AD546" i="3"/>
  <c r="AC546" i="3" s="1"/>
  <c r="AD547" i="3"/>
  <c r="AC547" i="3" s="1"/>
  <c r="AD548" i="3"/>
  <c r="AC548" i="3" s="1"/>
  <c r="AD549" i="3"/>
  <c r="AC549" i="3" s="1"/>
  <c r="AD550" i="3"/>
  <c r="AC550" i="3" s="1"/>
  <c r="AD551" i="3"/>
  <c r="AC551" i="3" s="1"/>
  <c r="AD552" i="3"/>
  <c r="AC552" i="3" s="1"/>
  <c r="AD553" i="3"/>
  <c r="AC553" i="3" s="1"/>
  <c r="AD554" i="3"/>
  <c r="AC554" i="3" s="1"/>
  <c r="AD555" i="3"/>
  <c r="AC555" i="3" s="1"/>
  <c r="AD556" i="3"/>
  <c r="AC556" i="3" s="1"/>
  <c r="AD557" i="3"/>
  <c r="AC557" i="3" s="1"/>
  <c r="AD558" i="3"/>
  <c r="AC558" i="3" s="1"/>
  <c r="AD559" i="3"/>
  <c r="AC559" i="3" s="1"/>
  <c r="AD560" i="3"/>
  <c r="AC560" i="3" s="1"/>
  <c r="AD561" i="3"/>
  <c r="AC561" i="3" s="1"/>
  <c r="AD562" i="3"/>
  <c r="AC562" i="3" s="1"/>
  <c r="AD563" i="3"/>
  <c r="AC563" i="3" s="1"/>
  <c r="AD564" i="3"/>
  <c r="AC564" i="3" s="1"/>
  <c r="AD565" i="3"/>
  <c r="AC565" i="3" s="1"/>
  <c r="AD566" i="3"/>
  <c r="AC566" i="3" s="1"/>
  <c r="AD567" i="3"/>
  <c r="AC567" i="3" s="1"/>
  <c r="AD568" i="3"/>
  <c r="AC568" i="3" s="1"/>
  <c r="AD569" i="3"/>
  <c r="AC569" i="3" s="1"/>
  <c r="AD570" i="3"/>
  <c r="AC570" i="3" s="1"/>
  <c r="AD571" i="3"/>
  <c r="AC571" i="3" s="1"/>
  <c r="AD572" i="3"/>
  <c r="AC572" i="3" s="1"/>
  <c r="AD573" i="3"/>
  <c r="AC573" i="3" s="1"/>
  <c r="AD574" i="3"/>
  <c r="AC574" i="3" s="1"/>
  <c r="AD575" i="3"/>
  <c r="AC575" i="3" s="1"/>
  <c r="AD576" i="3"/>
  <c r="AC576" i="3" s="1"/>
  <c r="AD577" i="3"/>
  <c r="AC577" i="3" s="1"/>
  <c r="AD578" i="3"/>
  <c r="AC578" i="3" s="1"/>
  <c r="AD579" i="3"/>
  <c r="AC579" i="3" s="1"/>
  <c r="AD580" i="3"/>
  <c r="AC580" i="3" s="1"/>
  <c r="AD581" i="3"/>
  <c r="AC581" i="3" s="1"/>
  <c r="AD582" i="3"/>
  <c r="AC582" i="3" s="1"/>
  <c r="AD583" i="3"/>
  <c r="AC583" i="3" s="1"/>
  <c r="AD584" i="3"/>
  <c r="AC584" i="3" s="1"/>
  <c r="AD585" i="3"/>
  <c r="AC585" i="3" s="1"/>
  <c r="AD586" i="3"/>
  <c r="AC586" i="3" s="1"/>
  <c r="AD587" i="3"/>
  <c r="AC587" i="3" s="1"/>
  <c r="AD588" i="3"/>
  <c r="AC588" i="3" s="1"/>
  <c r="AD589" i="3"/>
  <c r="AC589" i="3" s="1"/>
  <c r="AD590" i="3"/>
  <c r="AC590" i="3" s="1"/>
  <c r="AD591" i="3"/>
  <c r="AC591" i="3" s="1"/>
  <c r="AD592" i="3"/>
  <c r="AC592" i="3" s="1"/>
  <c r="AD593" i="3"/>
  <c r="AC593" i="3" s="1"/>
  <c r="AD594" i="3"/>
  <c r="AC594" i="3" s="1"/>
  <c r="AD595" i="3"/>
  <c r="AC595" i="3" s="1"/>
  <c r="AD596" i="3"/>
  <c r="AC596" i="3" s="1"/>
  <c r="AD597" i="3"/>
  <c r="AC597" i="3" s="1"/>
  <c r="AD598" i="3"/>
  <c r="AC598" i="3" s="1"/>
  <c r="AD599" i="3"/>
  <c r="AC599" i="3" s="1"/>
  <c r="AD600" i="3"/>
  <c r="AC600" i="3" s="1"/>
  <c r="AD601" i="3"/>
  <c r="AC601" i="3" s="1"/>
  <c r="AD602" i="3"/>
  <c r="AC602" i="3" s="1"/>
  <c r="AD603" i="3"/>
  <c r="AC603" i="3" s="1"/>
  <c r="AD604" i="3"/>
  <c r="AC604" i="3" s="1"/>
  <c r="AD605" i="3"/>
  <c r="AC605" i="3" s="1"/>
  <c r="AD606" i="3"/>
  <c r="AC606" i="3" s="1"/>
  <c r="AD607" i="3"/>
  <c r="AC607" i="3" s="1"/>
  <c r="AD608" i="3"/>
  <c r="AC608" i="3" s="1"/>
  <c r="AD609" i="3"/>
  <c r="AC609" i="3" s="1"/>
  <c r="AD610" i="3"/>
  <c r="AC610" i="3" s="1"/>
  <c r="AD611" i="3"/>
  <c r="AC611" i="3" s="1"/>
  <c r="AD612" i="3"/>
  <c r="AC612" i="3" s="1"/>
  <c r="AD613" i="3"/>
  <c r="AC613" i="3" s="1"/>
  <c r="AD614" i="3"/>
  <c r="AC614" i="3" s="1"/>
  <c r="AD615" i="3"/>
  <c r="AC615" i="3" s="1"/>
  <c r="AD616" i="3"/>
  <c r="AC616" i="3" s="1"/>
  <c r="AD617" i="3"/>
  <c r="AC617" i="3" s="1"/>
  <c r="AD618" i="3"/>
  <c r="AC618" i="3" s="1"/>
  <c r="AD619" i="3"/>
  <c r="AC619" i="3" s="1"/>
  <c r="AD620" i="3"/>
  <c r="AC620" i="3" s="1"/>
  <c r="AD621" i="3"/>
  <c r="AC621" i="3" s="1"/>
  <c r="AD622" i="3"/>
  <c r="AC622" i="3" s="1"/>
  <c r="AD623" i="3"/>
  <c r="AC623" i="3" s="1"/>
  <c r="AD624" i="3"/>
  <c r="AC624" i="3" s="1"/>
  <c r="AD625" i="3"/>
  <c r="AC625" i="3" s="1"/>
  <c r="AD626" i="3"/>
  <c r="AC626" i="3" s="1"/>
  <c r="AD627" i="3"/>
  <c r="AC627" i="3" s="1"/>
  <c r="AD628" i="3"/>
  <c r="AC628" i="3" s="1"/>
  <c r="AD629" i="3"/>
  <c r="AC629" i="3" s="1"/>
  <c r="AD630" i="3"/>
  <c r="AC630" i="3" s="1"/>
  <c r="AD631" i="3"/>
  <c r="AC631" i="3" s="1"/>
  <c r="AD632" i="3"/>
  <c r="AC632" i="3" s="1"/>
  <c r="AD633" i="3"/>
  <c r="AC633" i="3" s="1"/>
  <c r="AD634" i="3"/>
  <c r="AC634" i="3" s="1"/>
  <c r="AD635" i="3"/>
  <c r="AC635" i="3" s="1"/>
  <c r="AD636" i="3"/>
  <c r="AC636" i="3" s="1"/>
  <c r="AD637" i="3"/>
  <c r="AC637" i="3" s="1"/>
  <c r="AD638" i="3"/>
  <c r="AC638" i="3" s="1"/>
  <c r="AD639" i="3"/>
  <c r="AC639" i="3" s="1"/>
  <c r="AD640" i="3"/>
  <c r="AC640" i="3" s="1"/>
  <c r="AD641" i="3"/>
  <c r="AC641" i="3" s="1"/>
  <c r="AD642" i="3"/>
  <c r="AC642" i="3" s="1"/>
  <c r="AD643" i="3"/>
  <c r="AC643" i="3" s="1"/>
  <c r="AD644" i="3"/>
  <c r="AC644" i="3" s="1"/>
  <c r="AD645" i="3"/>
  <c r="AC645" i="3" s="1"/>
  <c r="AD646" i="3"/>
  <c r="AC646" i="3" s="1"/>
  <c r="AD647" i="3"/>
  <c r="AC647" i="3" s="1"/>
  <c r="AD648" i="3"/>
  <c r="AC648" i="3" s="1"/>
  <c r="AD649" i="3"/>
  <c r="AC649" i="3" s="1"/>
  <c r="AD650" i="3"/>
  <c r="AC650" i="3" s="1"/>
  <c r="AD651" i="3"/>
  <c r="AC651" i="3" s="1"/>
  <c r="AD652" i="3"/>
  <c r="AC652" i="3" s="1"/>
  <c r="AD653" i="3"/>
  <c r="AC653" i="3" s="1"/>
  <c r="AD654" i="3"/>
  <c r="AC654" i="3" s="1"/>
  <c r="AD655" i="3"/>
  <c r="AC655" i="3" s="1"/>
  <c r="AD656" i="3"/>
  <c r="AC656" i="3" s="1"/>
  <c r="AD657" i="3"/>
  <c r="AC657" i="3" s="1"/>
  <c r="AD658" i="3"/>
  <c r="AC658" i="3" s="1"/>
  <c r="AD659" i="3"/>
  <c r="AC659" i="3" s="1"/>
  <c r="AD660" i="3"/>
  <c r="AC660" i="3" s="1"/>
  <c r="AD661" i="3"/>
  <c r="AC661" i="3" s="1"/>
  <c r="AD662" i="3"/>
  <c r="AC662" i="3" s="1"/>
  <c r="AD663" i="3"/>
  <c r="AC663" i="3" s="1"/>
  <c r="AD664" i="3"/>
  <c r="AC664" i="3" s="1"/>
  <c r="AD665" i="3"/>
  <c r="AC665" i="3" s="1"/>
  <c r="AD666" i="3"/>
  <c r="AC666" i="3" s="1"/>
  <c r="AD667" i="3"/>
  <c r="AC667" i="3" s="1"/>
  <c r="AD668" i="3"/>
  <c r="AC668" i="3" s="1"/>
  <c r="AD669" i="3"/>
  <c r="AC669" i="3" s="1"/>
  <c r="AD670" i="3"/>
  <c r="AC670" i="3" s="1"/>
  <c r="AD671" i="3"/>
  <c r="AC671" i="3" s="1"/>
  <c r="AD672" i="3"/>
  <c r="AC672" i="3" s="1"/>
  <c r="AD673" i="3"/>
  <c r="AC673" i="3" s="1"/>
  <c r="AD674" i="3"/>
  <c r="AC674" i="3" s="1"/>
  <c r="AD675" i="3"/>
  <c r="AC675" i="3" s="1"/>
  <c r="AD676" i="3"/>
  <c r="AC676" i="3" s="1"/>
  <c r="AD677" i="3"/>
  <c r="AC677" i="3" s="1"/>
  <c r="AD678" i="3"/>
  <c r="AC678" i="3" s="1"/>
  <c r="AD679" i="3"/>
  <c r="AC679" i="3" s="1"/>
  <c r="AD680" i="3"/>
  <c r="AC680" i="3" s="1"/>
  <c r="AD681" i="3"/>
  <c r="AC681" i="3" s="1"/>
  <c r="AD682" i="3"/>
  <c r="AC682" i="3" s="1"/>
  <c r="AD683" i="3"/>
  <c r="AC683" i="3" s="1"/>
  <c r="AD684" i="3"/>
  <c r="AC684" i="3" s="1"/>
  <c r="AD685" i="3"/>
  <c r="AC685" i="3" s="1"/>
  <c r="AD686" i="3"/>
  <c r="AC686" i="3" s="1"/>
  <c r="AD687" i="3"/>
  <c r="AC687" i="3" s="1"/>
  <c r="AD688" i="3"/>
  <c r="AC688" i="3" s="1"/>
  <c r="AD689" i="3"/>
  <c r="AC689" i="3" s="1"/>
  <c r="AD690" i="3"/>
  <c r="AC690" i="3" s="1"/>
  <c r="AD691" i="3"/>
  <c r="AC691" i="3" s="1"/>
  <c r="AD692" i="3"/>
  <c r="AC692" i="3" s="1"/>
  <c r="AD693" i="3"/>
  <c r="AC693" i="3" s="1"/>
  <c r="AD694" i="3"/>
  <c r="AC694" i="3" s="1"/>
  <c r="AD695" i="3"/>
  <c r="AC695" i="3" s="1"/>
  <c r="AD696" i="3"/>
  <c r="AC696" i="3" s="1"/>
  <c r="AD697" i="3"/>
  <c r="AC697" i="3" s="1"/>
  <c r="AD698" i="3"/>
  <c r="AC698" i="3" s="1"/>
  <c r="AD699" i="3"/>
  <c r="AC699" i="3" s="1"/>
  <c r="AD700" i="3"/>
  <c r="AC700" i="3" s="1"/>
  <c r="AD701" i="3"/>
  <c r="AC701" i="3" s="1"/>
  <c r="AD702" i="3"/>
  <c r="AC702" i="3" s="1"/>
  <c r="AD703" i="3"/>
  <c r="AC703" i="3" s="1"/>
  <c r="AD704" i="3"/>
  <c r="AC704" i="3" s="1"/>
  <c r="AD705" i="3"/>
  <c r="AC705" i="3" s="1"/>
  <c r="AD706" i="3"/>
  <c r="AC706" i="3" s="1"/>
  <c r="AD707" i="3"/>
  <c r="AC707" i="3" s="1"/>
  <c r="AD708" i="3"/>
  <c r="AC708" i="3" s="1"/>
  <c r="AD709" i="3"/>
  <c r="AC709" i="3" s="1"/>
  <c r="AD710" i="3"/>
  <c r="AC710" i="3" s="1"/>
  <c r="AD711" i="3"/>
  <c r="AC711" i="3" s="1"/>
  <c r="AD712" i="3"/>
  <c r="AC712" i="3" s="1"/>
  <c r="AD713" i="3"/>
  <c r="AC713" i="3" s="1"/>
  <c r="AD714" i="3"/>
  <c r="AC714" i="3" s="1"/>
  <c r="AD715" i="3"/>
  <c r="AC715" i="3" s="1"/>
  <c r="AD716" i="3"/>
  <c r="AC716" i="3" s="1"/>
  <c r="AD717" i="3"/>
  <c r="AC717" i="3" s="1"/>
  <c r="AD718" i="3"/>
  <c r="AC718" i="3" s="1"/>
  <c r="AD719" i="3"/>
  <c r="AC719" i="3" s="1"/>
  <c r="AD720" i="3"/>
  <c r="AC720" i="3" s="1"/>
  <c r="AD721" i="3"/>
  <c r="AC721" i="3" s="1"/>
  <c r="AD722" i="3"/>
  <c r="AC722" i="3" s="1"/>
  <c r="AD723" i="3"/>
  <c r="AC723" i="3" s="1"/>
  <c r="AD724" i="3"/>
  <c r="AC724" i="3" s="1"/>
  <c r="AD725" i="3"/>
  <c r="AC725" i="3" s="1"/>
  <c r="AD726" i="3"/>
  <c r="AC726" i="3" s="1"/>
  <c r="AD727" i="3"/>
  <c r="AC727" i="3" s="1"/>
  <c r="AD728" i="3"/>
  <c r="AC728" i="3" s="1"/>
  <c r="AD729" i="3"/>
  <c r="AC729" i="3" s="1"/>
  <c r="AD730" i="3"/>
  <c r="AC730" i="3" s="1"/>
  <c r="AD731" i="3"/>
  <c r="AC731" i="3" s="1"/>
  <c r="AD732" i="3"/>
  <c r="AC732" i="3" s="1"/>
  <c r="AD733" i="3"/>
  <c r="AC733" i="3" s="1"/>
  <c r="AD734" i="3"/>
  <c r="AC734" i="3" s="1"/>
  <c r="AD735" i="3"/>
  <c r="AC735" i="3" s="1"/>
  <c r="AD736" i="3"/>
  <c r="AC736" i="3" s="1"/>
  <c r="AD737" i="3"/>
  <c r="AC737" i="3" s="1"/>
  <c r="AD738" i="3"/>
  <c r="AC738" i="3" s="1"/>
  <c r="AD739" i="3"/>
  <c r="AC739" i="3" s="1"/>
  <c r="AD740" i="3"/>
  <c r="AC740" i="3" s="1"/>
  <c r="AD741" i="3"/>
  <c r="AC741" i="3" s="1"/>
  <c r="AD742" i="3"/>
  <c r="AC742" i="3" s="1"/>
  <c r="AD743" i="3"/>
  <c r="AC743" i="3" s="1"/>
  <c r="AD744" i="3"/>
  <c r="AC744" i="3" s="1"/>
  <c r="AD745" i="3"/>
  <c r="AC745" i="3" s="1"/>
  <c r="AD746" i="3"/>
  <c r="AC746" i="3" s="1"/>
  <c r="AD747" i="3"/>
  <c r="AC747" i="3" s="1"/>
  <c r="AD748" i="3"/>
  <c r="AC748" i="3" s="1"/>
  <c r="AD749" i="3"/>
  <c r="AC749" i="3" s="1"/>
  <c r="AD750" i="3"/>
  <c r="AC750" i="3" s="1"/>
  <c r="AD751" i="3"/>
  <c r="AC751" i="3" s="1"/>
  <c r="AD752" i="3"/>
  <c r="AC752" i="3" s="1"/>
  <c r="AD753" i="3"/>
  <c r="AC753" i="3" s="1"/>
  <c r="AD754" i="3"/>
  <c r="AC754" i="3" s="1"/>
  <c r="AD755" i="3"/>
  <c r="AC755" i="3" s="1"/>
  <c r="AD756" i="3"/>
  <c r="AC756" i="3" s="1"/>
  <c r="AD757" i="3"/>
  <c r="AC757" i="3" s="1"/>
  <c r="AD758" i="3"/>
  <c r="AC758" i="3" s="1"/>
  <c r="AD759" i="3"/>
  <c r="AC759" i="3" s="1"/>
  <c r="AD760" i="3"/>
  <c r="AC760" i="3" s="1"/>
  <c r="AD761" i="3"/>
  <c r="AC761" i="3" s="1"/>
  <c r="AD762" i="3"/>
  <c r="AC762" i="3" s="1"/>
  <c r="AD763" i="3"/>
  <c r="AC763" i="3" s="1"/>
  <c r="AD764" i="3"/>
  <c r="AC764" i="3" s="1"/>
  <c r="AD765" i="3"/>
  <c r="AC765" i="3" s="1"/>
  <c r="AD766" i="3"/>
  <c r="AC766" i="3" s="1"/>
  <c r="AD767" i="3"/>
  <c r="AC767" i="3" s="1"/>
  <c r="AD768" i="3"/>
  <c r="AC768" i="3" s="1"/>
  <c r="AD769" i="3"/>
  <c r="AC769" i="3" s="1"/>
  <c r="AD770" i="3"/>
  <c r="AC770" i="3" s="1"/>
  <c r="AD771" i="3"/>
  <c r="AC771" i="3" s="1"/>
  <c r="AD772" i="3"/>
  <c r="AC772" i="3" s="1"/>
  <c r="AD773" i="3"/>
  <c r="AC773" i="3" s="1"/>
  <c r="AD774" i="3"/>
  <c r="AC774" i="3" s="1"/>
  <c r="AD775" i="3"/>
  <c r="AC775" i="3" s="1"/>
  <c r="AD776" i="3"/>
  <c r="AC776" i="3" s="1"/>
  <c r="AD777" i="3"/>
  <c r="AC777" i="3" s="1"/>
  <c r="AD778" i="3"/>
  <c r="AC778" i="3" s="1"/>
  <c r="AD779" i="3"/>
  <c r="AC779" i="3" s="1"/>
  <c r="AD780" i="3"/>
  <c r="AC780" i="3" s="1"/>
  <c r="AD781" i="3"/>
  <c r="AC781" i="3" s="1"/>
  <c r="AD782" i="3"/>
  <c r="AC782" i="3" s="1"/>
  <c r="AD783" i="3"/>
  <c r="AC783" i="3" s="1"/>
  <c r="AD784" i="3"/>
  <c r="AC784" i="3" s="1"/>
  <c r="AD785" i="3"/>
  <c r="AC785" i="3" s="1"/>
  <c r="AD786" i="3"/>
  <c r="AC786" i="3" s="1"/>
  <c r="AD787" i="3"/>
  <c r="AC787" i="3" s="1"/>
  <c r="AD788" i="3"/>
  <c r="AC788" i="3" s="1"/>
  <c r="AD789" i="3"/>
  <c r="AC789" i="3" s="1"/>
  <c r="AD790" i="3"/>
  <c r="AC790" i="3" s="1"/>
  <c r="AD791" i="3"/>
  <c r="AC791" i="3" s="1"/>
  <c r="AD792" i="3"/>
  <c r="AC792" i="3" s="1"/>
  <c r="AD793" i="3"/>
  <c r="AC793" i="3" s="1"/>
  <c r="AD794" i="3"/>
  <c r="AC794" i="3" s="1"/>
  <c r="AD795" i="3"/>
  <c r="AC795" i="3" s="1"/>
  <c r="AD796" i="3"/>
  <c r="AC796" i="3" s="1"/>
  <c r="AD797" i="3"/>
  <c r="AC797" i="3" s="1"/>
  <c r="AD798" i="3"/>
  <c r="AC798" i="3" s="1"/>
  <c r="AD799" i="3"/>
  <c r="AC799" i="3" s="1"/>
  <c r="AD800" i="3"/>
  <c r="AC800" i="3" s="1"/>
  <c r="AD801" i="3"/>
  <c r="AC801" i="3" s="1"/>
  <c r="AD802" i="3"/>
  <c r="AC802" i="3" s="1"/>
  <c r="AD803" i="3"/>
  <c r="AC803" i="3" s="1"/>
  <c r="AD804" i="3"/>
  <c r="AC804" i="3" s="1"/>
  <c r="AD805" i="3"/>
  <c r="AC805" i="3" s="1"/>
  <c r="AD806" i="3"/>
  <c r="AC806" i="3" s="1"/>
  <c r="AD807" i="3"/>
  <c r="AC807" i="3" s="1"/>
  <c r="AD808" i="3"/>
  <c r="AC808" i="3" s="1"/>
  <c r="AD809" i="3"/>
  <c r="AC809" i="3" s="1"/>
  <c r="AD810" i="3"/>
  <c r="AC810" i="3" s="1"/>
  <c r="AD811" i="3"/>
  <c r="AC811" i="3" s="1"/>
  <c r="AD812" i="3"/>
  <c r="AC812" i="3" s="1"/>
  <c r="AD813" i="3"/>
  <c r="AC813" i="3" s="1"/>
  <c r="AD814" i="3"/>
  <c r="AC814" i="3" s="1"/>
  <c r="AD815" i="3"/>
  <c r="AC815" i="3" s="1"/>
  <c r="AD816" i="3"/>
  <c r="AC816" i="3" s="1"/>
  <c r="AD817" i="3"/>
  <c r="AC817" i="3" s="1"/>
  <c r="AD818" i="3"/>
  <c r="AC818" i="3" s="1"/>
  <c r="AD819" i="3"/>
  <c r="AC819" i="3" s="1"/>
  <c r="AD820" i="3"/>
  <c r="AC820" i="3" s="1"/>
  <c r="AD821" i="3"/>
  <c r="AC821" i="3" s="1"/>
  <c r="AD822" i="3"/>
  <c r="AC822" i="3" s="1"/>
  <c r="AD823" i="3"/>
  <c r="AC823" i="3" s="1"/>
  <c r="AD824" i="3"/>
  <c r="AC824" i="3" s="1"/>
  <c r="AD825" i="3"/>
  <c r="AC825" i="3" s="1"/>
  <c r="AD826" i="3"/>
  <c r="AC826" i="3" s="1"/>
  <c r="AD827" i="3"/>
  <c r="AC827" i="3" s="1"/>
  <c r="AD828" i="3"/>
  <c r="AC828" i="3" s="1"/>
  <c r="AD829" i="3"/>
  <c r="AC829" i="3" s="1"/>
  <c r="AD830" i="3"/>
  <c r="AC830" i="3" s="1"/>
  <c r="AD831" i="3"/>
  <c r="AC831" i="3" s="1"/>
  <c r="AD832" i="3"/>
  <c r="AC832" i="3" s="1"/>
  <c r="AD833" i="3"/>
  <c r="AC833" i="3" s="1"/>
  <c r="AD834" i="3"/>
  <c r="AC834" i="3" s="1"/>
  <c r="AD835" i="3"/>
  <c r="AC835" i="3" s="1"/>
  <c r="AD836" i="3"/>
  <c r="AC836" i="3" s="1"/>
  <c r="AD837" i="3"/>
  <c r="AC837" i="3" s="1"/>
  <c r="AD838" i="3"/>
  <c r="AC838" i="3" s="1"/>
  <c r="AD839" i="3"/>
  <c r="AC839" i="3" s="1"/>
  <c r="AD840" i="3"/>
  <c r="AC840" i="3" s="1"/>
  <c r="AD841" i="3"/>
  <c r="AC841" i="3" s="1"/>
  <c r="AD842" i="3"/>
  <c r="AC842" i="3" s="1"/>
  <c r="AD843" i="3"/>
  <c r="AC843" i="3" s="1"/>
  <c r="AD844" i="3"/>
  <c r="AC844" i="3" s="1"/>
  <c r="AD845" i="3"/>
  <c r="AC845" i="3" s="1"/>
  <c r="AD846" i="3"/>
  <c r="AC846" i="3" s="1"/>
  <c r="AD847" i="3"/>
  <c r="AC847" i="3" s="1"/>
  <c r="AD848" i="3"/>
  <c r="AC848" i="3" s="1"/>
  <c r="AD849" i="3"/>
  <c r="AC849" i="3" s="1"/>
  <c r="AD850" i="3"/>
  <c r="AC850" i="3" s="1"/>
  <c r="AD851" i="3"/>
  <c r="AC851" i="3" s="1"/>
  <c r="AD852" i="3"/>
  <c r="AC852" i="3" s="1"/>
  <c r="AD853" i="3"/>
  <c r="AC853" i="3" s="1"/>
  <c r="AD854" i="3"/>
  <c r="AC854" i="3" s="1"/>
  <c r="AD855" i="3"/>
  <c r="AC855" i="3" s="1"/>
  <c r="AD856" i="3"/>
  <c r="AC856" i="3" s="1"/>
  <c r="AD857" i="3"/>
  <c r="AC857" i="3" s="1"/>
  <c r="AD858" i="3"/>
  <c r="AC858" i="3" s="1"/>
  <c r="AD859" i="3"/>
  <c r="AC859" i="3" s="1"/>
  <c r="AD860" i="3"/>
  <c r="AC860" i="3" s="1"/>
  <c r="AD861" i="3"/>
  <c r="AC861" i="3" s="1"/>
  <c r="AD862" i="3"/>
  <c r="AC862" i="3" s="1"/>
  <c r="AD863" i="3"/>
  <c r="AC863" i="3" s="1"/>
  <c r="AD864" i="3"/>
  <c r="AC864" i="3" s="1"/>
  <c r="AD865" i="3"/>
  <c r="AC865" i="3" s="1"/>
  <c r="AD866" i="3"/>
  <c r="AC866" i="3" s="1"/>
  <c r="AD867" i="3"/>
  <c r="AC867" i="3" s="1"/>
  <c r="AD868" i="3"/>
  <c r="AC868" i="3" s="1"/>
  <c r="AD869" i="3"/>
  <c r="AC869" i="3" s="1"/>
  <c r="AD870" i="3"/>
  <c r="AC870" i="3" s="1"/>
  <c r="AD871" i="3"/>
  <c r="AC871" i="3" s="1"/>
  <c r="AD872" i="3"/>
  <c r="AC872" i="3" s="1"/>
  <c r="AD873" i="3"/>
  <c r="AC873" i="3" s="1"/>
  <c r="AD874" i="3"/>
  <c r="AC874" i="3" s="1"/>
  <c r="AD875" i="3"/>
  <c r="AC875" i="3" s="1"/>
  <c r="AD876" i="3"/>
  <c r="AC876" i="3" s="1"/>
  <c r="AD877" i="3"/>
  <c r="AC877" i="3" s="1"/>
  <c r="AD878" i="3"/>
  <c r="AC878" i="3" s="1"/>
  <c r="AD879" i="3"/>
  <c r="AC879" i="3" s="1"/>
  <c r="AD880" i="3"/>
  <c r="AC880" i="3" s="1"/>
  <c r="AD881" i="3"/>
  <c r="AC881" i="3" s="1"/>
  <c r="AD882" i="3"/>
  <c r="AC882" i="3" s="1"/>
  <c r="AD883" i="3"/>
  <c r="AC883" i="3" s="1"/>
  <c r="AD884" i="3"/>
  <c r="AC884" i="3" s="1"/>
  <c r="AD885" i="3"/>
  <c r="AC885" i="3" s="1"/>
  <c r="AD886" i="3"/>
  <c r="AC886" i="3" s="1"/>
  <c r="AD887" i="3"/>
  <c r="AC887" i="3" s="1"/>
  <c r="AD888" i="3"/>
  <c r="AC888" i="3" s="1"/>
  <c r="AD889" i="3"/>
  <c r="AC889" i="3" s="1"/>
  <c r="AD890" i="3"/>
  <c r="AC890" i="3" s="1"/>
  <c r="AD891" i="3"/>
  <c r="AC891" i="3" s="1"/>
  <c r="AD892" i="3"/>
  <c r="AC892" i="3" s="1"/>
  <c r="AD893" i="3"/>
  <c r="AC893" i="3" s="1"/>
  <c r="AD894" i="3"/>
  <c r="AC894" i="3" s="1"/>
  <c r="AD895" i="3"/>
  <c r="AC895" i="3" s="1"/>
  <c r="AD896" i="3"/>
  <c r="AC896" i="3" s="1"/>
  <c r="AD897" i="3"/>
  <c r="AC897" i="3" s="1"/>
  <c r="AD898" i="3"/>
  <c r="AC898" i="3" s="1"/>
  <c r="AD899" i="3"/>
  <c r="AC899" i="3" s="1"/>
  <c r="AD900" i="3"/>
  <c r="AC900" i="3" s="1"/>
  <c r="AD901" i="3"/>
  <c r="AC901" i="3" s="1"/>
  <c r="AD902" i="3"/>
  <c r="AC902" i="3" s="1"/>
  <c r="AD903" i="3"/>
  <c r="AC903" i="3" s="1"/>
  <c r="AD904" i="3"/>
  <c r="AC904" i="3" s="1"/>
  <c r="AD905" i="3"/>
  <c r="AC905" i="3" s="1"/>
  <c r="AD906" i="3"/>
  <c r="AC906" i="3" s="1"/>
  <c r="AD907" i="3"/>
  <c r="AC907" i="3" s="1"/>
  <c r="AD908" i="3"/>
  <c r="AC908" i="3" s="1"/>
  <c r="AD909" i="3"/>
  <c r="AC909" i="3" s="1"/>
  <c r="AD910" i="3"/>
  <c r="AC910" i="3" s="1"/>
  <c r="AD911" i="3"/>
  <c r="AC911" i="3" s="1"/>
  <c r="AD912" i="3"/>
  <c r="AC912" i="3" s="1"/>
  <c r="AD913" i="3"/>
  <c r="AC913" i="3" s="1"/>
  <c r="AD914" i="3"/>
  <c r="AC914" i="3" s="1"/>
  <c r="AD915" i="3"/>
  <c r="AC915" i="3" s="1"/>
  <c r="AD916" i="3"/>
  <c r="AC916" i="3" s="1"/>
  <c r="AD917" i="3"/>
  <c r="AC917" i="3" s="1"/>
  <c r="AD918" i="3"/>
  <c r="AC918" i="3" s="1"/>
  <c r="AD919" i="3"/>
  <c r="AC919" i="3" s="1"/>
  <c r="AD920" i="3"/>
  <c r="AC920" i="3" s="1"/>
  <c r="AD921" i="3"/>
  <c r="AC921" i="3" s="1"/>
  <c r="AD922" i="3"/>
  <c r="AC922" i="3" s="1"/>
  <c r="AD923" i="3"/>
  <c r="AC923" i="3" s="1"/>
  <c r="AD924" i="3"/>
  <c r="AC924" i="3" s="1"/>
  <c r="AD925" i="3"/>
  <c r="AC925" i="3" s="1"/>
  <c r="AD926" i="3"/>
  <c r="AC926" i="3" s="1"/>
  <c r="AD927" i="3"/>
  <c r="AC927" i="3" s="1"/>
  <c r="AD928" i="3"/>
  <c r="AC928" i="3" s="1"/>
  <c r="AD929" i="3"/>
  <c r="AC929" i="3" s="1"/>
  <c r="AD930" i="3"/>
  <c r="AC930" i="3" s="1"/>
  <c r="AD931" i="3"/>
  <c r="AC931" i="3" s="1"/>
  <c r="AD932" i="3"/>
  <c r="AC932" i="3" s="1"/>
  <c r="AD933" i="3"/>
  <c r="AC933" i="3" s="1"/>
  <c r="AD934" i="3"/>
  <c r="AC934" i="3" s="1"/>
  <c r="AD935" i="3"/>
  <c r="AC935" i="3" s="1"/>
  <c r="AD936" i="3"/>
  <c r="AC936" i="3" s="1"/>
  <c r="AD937" i="3"/>
  <c r="AC937" i="3" s="1"/>
  <c r="AD938" i="3"/>
  <c r="AC938" i="3" s="1"/>
  <c r="AD939" i="3"/>
  <c r="AC939" i="3" s="1"/>
  <c r="AD940" i="3"/>
  <c r="AC940" i="3" s="1"/>
  <c r="AD941" i="3"/>
  <c r="AC941" i="3" s="1"/>
  <c r="AD942" i="3"/>
  <c r="AC942" i="3" s="1"/>
  <c r="AD943" i="3"/>
  <c r="AC943" i="3" s="1"/>
  <c r="AD944" i="3"/>
  <c r="AC944" i="3" s="1"/>
  <c r="AD945" i="3"/>
  <c r="AC945" i="3" s="1"/>
  <c r="AD946" i="3"/>
  <c r="AC946" i="3" s="1"/>
  <c r="AD947" i="3"/>
  <c r="AC947" i="3" s="1"/>
  <c r="AD948" i="3"/>
  <c r="AC948" i="3" s="1"/>
  <c r="AD949" i="3"/>
  <c r="AC949" i="3" s="1"/>
  <c r="AD950" i="3"/>
  <c r="AC950" i="3" s="1"/>
  <c r="AD951" i="3"/>
  <c r="AC951" i="3" s="1"/>
  <c r="AD952" i="3"/>
  <c r="AC952" i="3" s="1"/>
  <c r="AD953" i="3"/>
  <c r="AC953" i="3" s="1"/>
  <c r="AD954" i="3"/>
  <c r="AC954" i="3" s="1"/>
  <c r="AD955" i="3"/>
  <c r="AC955" i="3" s="1"/>
  <c r="AD956" i="3"/>
  <c r="AC956" i="3" s="1"/>
  <c r="AD957" i="3"/>
  <c r="AC957" i="3" s="1"/>
  <c r="AD958" i="3"/>
  <c r="AC958" i="3" s="1"/>
  <c r="AD959" i="3"/>
  <c r="AC959" i="3" s="1"/>
  <c r="AD960" i="3"/>
  <c r="AC960" i="3" s="1"/>
  <c r="AD961" i="3"/>
  <c r="AC961" i="3" s="1"/>
  <c r="AD962" i="3"/>
  <c r="AC962" i="3" s="1"/>
  <c r="AD963" i="3"/>
  <c r="AC963" i="3" s="1"/>
  <c r="AD964" i="3"/>
  <c r="AC964" i="3" s="1"/>
  <c r="AD965" i="3"/>
  <c r="AC965" i="3" s="1"/>
  <c r="AD966" i="3"/>
  <c r="AC966" i="3" s="1"/>
  <c r="AD967" i="3"/>
  <c r="AC967" i="3" s="1"/>
  <c r="AD968" i="3"/>
  <c r="AC968" i="3" s="1"/>
  <c r="AD969" i="3"/>
  <c r="AC969" i="3" s="1"/>
  <c r="AD970" i="3"/>
  <c r="AC970" i="3" s="1"/>
  <c r="AD971" i="3"/>
  <c r="AC971" i="3" s="1"/>
  <c r="AD972" i="3"/>
  <c r="AC972" i="3" s="1"/>
  <c r="AD973" i="3"/>
  <c r="AC973" i="3" s="1"/>
  <c r="AD974" i="3"/>
  <c r="AC974" i="3" s="1"/>
  <c r="AD975" i="3"/>
  <c r="AC975" i="3" s="1"/>
  <c r="AD976" i="3"/>
  <c r="AC976" i="3" s="1"/>
  <c r="AD977" i="3"/>
  <c r="AC977" i="3" s="1"/>
  <c r="AD978" i="3"/>
  <c r="AC978" i="3" s="1"/>
  <c r="AD979" i="3"/>
  <c r="AC979" i="3" s="1"/>
  <c r="AD980" i="3"/>
  <c r="AC980" i="3" s="1"/>
  <c r="AD981" i="3"/>
  <c r="AC981" i="3" s="1"/>
  <c r="AD982" i="3"/>
  <c r="AC982" i="3" s="1"/>
  <c r="AD983" i="3"/>
  <c r="AC983" i="3" s="1"/>
  <c r="AD984" i="3"/>
  <c r="AC984" i="3" s="1"/>
  <c r="AD985" i="3"/>
  <c r="AC985" i="3" s="1"/>
  <c r="AD986" i="3"/>
  <c r="AC986" i="3" s="1"/>
  <c r="AD987" i="3"/>
  <c r="AC987" i="3" s="1"/>
  <c r="AD988" i="3"/>
  <c r="AC988" i="3" s="1"/>
  <c r="AD989" i="3"/>
  <c r="AC989" i="3" s="1"/>
  <c r="AD990" i="3"/>
  <c r="AC990" i="3" s="1"/>
  <c r="AD991" i="3"/>
  <c r="AC991" i="3" s="1"/>
  <c r="AD992" i="3"/>
  <c r="AC992" i="3" s="1"/>
  <c r="AD993" i="3"/>
  <c r="AC993" i="3" s="1"/>
  <c r="AD994" i="3"/>
  <c r="AC994" i="3" s="1"/>
  <c r="AD995" i="3"/>
  <c r="AC995" i="3" s="1"/>
  <c r="AD996" i="3"/>
  <c r="AC996" i="3" s="1"/>
  <c r="AD997" i="3"/>
  <c r="AC997" i="3" s="1"/>
  <c r="AD998" i="3"/>
  <c r="AC998" i="3" s="1"/>
  <c r="AD999" i="3"/>
  <c r="AC999" i="3" s="1"/>
  <c r="AD1000" i="3"/>
  <c r="AC1000" i="3" s="1"/>
  <c r="AD1001" i="3"/>
  <c r="AC1001" i="3" s="1"/>
  <c r="AD1002" i="3"/>
  <c r="AC1002" i="3" s="1"/>
  <c r="AD1003" i="3"/>
  <c r="AC1003" i="3" s="1"/>
  <c r="AD1004" i="3"/>
  <c r="AC1004" i="3" s="1"/>
  <c r="AD1005" i="3"/>
  <c r="AC1005" i="3" s="1"/>
  <c r="AD1006" i="3"/>
  <c r="AC1006" i="3" s="1"/>
  <c r="AD1007" i="3"/>
  <c r="AC1007" i="3" s="1"/>
  <c r="AD1008" i="3"/>
  <c r="AC1008" i="3" s="1"/>
  <c r="AD1009" i="3"/>
  <c r="AC1009" i="3" s="1"/>
  <c r="AD1010" i="3"/>
  <c r="AC1010" i="3" s="1"/>
  <c r="AD1011" i="3"/>
  <c r="AC1011" i="3" s="1"/>
  <c r="AD1012" i="3"/>
  <c r="AC1012" i="3" s="1"/>
  <c r="AD1013" i="3"/>
  <c r="AC1013" i="3" s="1"/>
  <c r="AD1014" i="3"/>
  <c r="AC1014" i="3" s="1"/>
  <c r="AD1015" i="3"/>
  <c r="AC1015" i="3" s="1"/>
  <c r="AD1016" i="3"/>
  <c r="AC1016" i="3" s="1"/>
  <c r="AD1017" i="3"/>
  <c r="AC1017" i="3" s="1"/>
  <c r="AD1018" i="3"/>
  <c r="AC1018" i="3" s="1"/>
  <c r="AD1019" i="3"/>
  <c r="AC1019" i="3" s="1"/>
  <c r="AD1020" i="3"/>
  <c r="AC1020" i="3" s="1"/>
  <c r="AD1021" i="3"/>
  <c r="AC1021" i="3" s="1"/>
  <c r="AD1022" i="3"/>
  <c r="AC1022" i="3" s="1"/>
  <c r="AD1023" i="3"/>
  <c r="AC1023" i="3" s="1"/>
  <c r="AD1024" i="3"/>
  <c r="AC1024" i="3" s="1"/>
  <c r="AD1025" i="3"/>
  <c r="AC1025" i="3" s="1"/>
  <c r="AD1026" i="3"/>
  <c r="AC1026" i="3" s="1"/>
  <c r="AD1027" i="3"/>
  <c r="AC1027" i="3" s="1"/>
  <c r="AD1028" i="3"/>
  <c r="AC1028" i="3" s="1"/>
  <c r="AD1029" i="3"/>
  <c r="AC1029" i="3" s="1"/>
  <c r="AD1030" i="3"/>
  <c r="AC1030" i="3" s="1"/>
  <c r="AD1031" i="3"/>
  <c r="AC1031" i="3" s="1"/>
  <c r="AD1032" i="3"/>
  <c r="AC1032" i="3" s="1"/>
  <c r="AD1033" i="3"/>
  <c r="AC1033" i="3" s="1"/>
  <c r="AD1034" i="3"/>
  <c r="AC1034" i="3" s="1"/>
  <c r="AD1035" i="3"/>
  <c r="AC1035" i="3" s="1"/>
  <c r="AD1036" i="3"/>
  <c r="AC1036" i="3" s="1"/>
  <c r="AD1037" i="3"/>
  <c r="AC1037" i="3" s="1"/>
  <c r="AD1038" i="3"/>
  <c r="AC1038" i="3" s="1"/>
  <c r="AD1039" i="3"/>
  <c r="AC1039" i="3" s="1"/>
  <c r="AD1040" i="3"/>
  <c r="AC1040" i="3" s="1"/>
  <c r="AD1041" i="3"/>
  <c r="AC1041" i="3" s="1"/>
  <c r="AD1042" i="3"/>
  <c r="AC1042" i="3" s="1"/>
  <c r="AD1043" i="3"/>
  <c r="AC1043" i="3" s="1"/>
  <c r="AD1044" i="3"/>
  <c r="AC1044" i="3" s="1"/>
  <c r="AD1045" i="3"/>
  <c r="AC1045" i="3" s="1"/>
  <c r="AD1046" i="3"/>
  <c r="AC1046" i="3" s="1"/>
  <c r="AD1047" i="3"/>
  <c r="AC1047" i="3" s="1"/>
  <c r="AD1048" i="3"/>
  <c r="AC1048" i="3" s="1"/>
  <c r="AD1049" i="3"/>
  <c r="AC1049" i="3" s="1"/>
  <c r="AD1050" i="3"/>
  <c r="AC1050" i="3" s="1"/>
  <c r="AD1051" i="3"/>
  <c r="AC1051" i="3" s="1"/>
  <c r="AD1052" i="3"/>
  <c r="AC1052" i="3" s="1"/>
  <c r="AD1053" i="3"/>
  <c r="AC1053" i="3" s="1"/>
  <c r="AD1054" i="3"/>
  <c r="AC1054" i="3" s="1"/>
  <c r="AD1055" i="3"/>
  <c r="AC1055" i="3" s="1"/>
  <c r="AD1056" i="3"/>
  <c r="AC1056" i="3" s="1"/>
  <c r="AD1057" i="3"/>
  <c r="AC1057" i="3" s="1"/>
  <c r="AD1058" i="3"/>
  <c r="AC1058" i="3" s="1"/>
  <c r="AD1059" i="3"/>
  <c r="AC1059" i="3" s="1"/>
  <c r="AD1060" i="3"/>
  <c r="AC1060" i="3" s="1"/>
  <c r="AD1061" i="3"/>
  <c r="AC1061" i="3" s="1"/>
  <c r="AD1062" i="3"/>
  <c r="AC1062" i="3" s="1"/>
  <c r="AD1063" i="3"/>
  <c r="AC1063" i="3" s="1"/>
  <c r="AD1064" i="3"/>
  <c r="AC1064" i="3" s="1"/>
  <c r="AD1065" i="3"/>
  <c r="AC1065" i="3" s="1"/>
  <c r="AD1066" i="3"/>
  <c r="AC1066" i="3" s="1"/>
  <c r="AD1067" i="3"/>
  <c r="AC1067" i="3" s="1"/>
  <c r="AD1068" i="3"/>
  <c r="AC1068" i="3" s="1"/>
  <c r="AD1069" i="3"/>
  <c r="AC1069" i="3" s="1"/>
  <c r="AD1070" i="3"/>
  <c r="AC1070" i="3" s="1"/>
  <c r="AD1071" i="3"/>
  <c r="AC1071" i="3" s="1"/>
  <c r="AD1072" i="3"/>
  <c r="AC1072" i="3" s="1"/>
  <c r="AD1073" i="3"/>
  <c r="AC1073" i="3" s="1"/>
  <c r="AD1074" i="3"/>
  <c r="AC1074" i="3" s="1"/>
  <c r="AD1075" i="3"/>
  <c r="AC1075" i="3" s="1"/>
  <c r="AD1076" i="3"/>
  <c r="AC1076" i="3" s="1"/>
  <c r="AD1077" i="3"/>
  <c r="AC1077" i="3" s="1"/>
  <c r="AD1078" i="3"/>
  <c r="AC1078" i="3" s="1"/>
  <c r="AD1079" i="3"/>
  <c r="AC1079" i="3" s="1"/>
  <c r="AD1080" i="3"/>
  <c r="AC1080" i="3" s="1"/>
  <c r="AD1081" i="3"/>
  <c r="AC1081" i="3" s="1"/>
  <c r="AD1082" i="3"/>
  <c r="AC1082" i="3" s="1"/>
  <c r="AD1083" i="3"/>
  <c r="AC1083" i="3" s="1"/>
  <c r="AD1084" i="3"/>
  <c r="AC1084" i="3" s="1"/>
  <c r="AD1085" i="3"/>
  <c r="AC1085" i="3" s="1"/>
  <c r="AD1086" i="3"/>
  <c r="AC1086" i="3" s="1"/>
  <c r="AD1087" i="3"/>
  <c r="AC1087" i="3" s="1"/>
  <c r="AD1088" i="3"/>
  <c r="AC1088" i="3" s="1"/>
  <c r="AD1089" i="3"/>
  <c r="AC1089" i="3" s="1"/>
  <c r="AD1090" i="3"/>
  <c r="AC1090" i="3" s="1"/>
  <c r="AD1091" i="3"/>
  <c r="AC1091" i="3" s="1"/>
  <c r="AD1092" i="3"/>
  <c r="AC1092" i="3" s="1"/>
  <c r="AD1093" i="3"/>
  <c r="AC1093" i="3" s="1"/>
  <c r="AD1094" i="3"/>
  <c r="AC1094" i="3" s="1"/>
  <c r="AD1095" i="3"/>
  <c r="AC1095" i="3" s="1"/>
  <c r="AD1096" i="3"/>
  <c r="AC1096" i="3" s="1"/>
  <c r="AD1097" i="3"/>
  <c r="AC1097" i="3" s="1"/>
  <c r="AD1098" i="3"/>
  <c r="AC1098" i="3" s="1"/>
  <c r="AD1099" i="3"/>
  <c r="AC1099" i="3" s="1"/>
  <c r="AD1100" i="3"/>
  <c r="AC1100" i="3" s="1"/>
  <c r="AD1101" i="3"/>
  <c r="AC1101" i="3" s="1"/>
  <c r="AD1102" i="3"/>
  <c r="AC1102" i="3" s="1"/>
  <c r="AD1103" i="3"/>
  <c r="AC1103" i="3" s="1"/>
  <c r="AD1104" i="3"/>
  <c r="AC1104" i="3" s="1"/>
  <c r="AD1105" i="3"/>
  <c r="AC1105" i="3" s="1"/>
  <c r="AD1106" i="3"/>
  <c r="AC1106" i="3" s="1"/>
  <c r="AD1107" i="3"/>
  <c r="AC1107" i="3" s="1"/>
  <c r="AD1108" i="3"/>
  <c r="AC1108" i="3" s="1"/>
  <c r="AD1109" i="3"/>
  <c r="AC1109" i="3" s="1"/>
  <c r="AD1110" i="3"/>
  <c r="AC1110" i="3" s="1"/>
  <c r="AD1111" i="3"/>
  <c r="AC1111" i="3" s="1"/>
  <c r="AD1112" i="3"/>
  <c r="AC1112" i="3" s="1"/>
  <c r="AD1113" i="3"/>
  <c r="AC1113" i="3" s="1"/>
  <c r="AD1114" i="3"/>
  <c r="AC1114" i="3" s="1"/>
  <c r="AD1115" i="3"/>
  <c r="AC1115" i="3" s="1"/>
  <c r="AD1116" i="3"/>
  <c r="AC1116" i="3" s="1"/>
  <c r="AD1117" i="3"/>
  <c r="AC1117" i="3" s="1"/>
  <c r="AD1118" i="3"/>
  <c r="AC1118" i="3" s="1"/>
  <c r="AD1119" i="3"/>
  <c r="AC1119" i="3" s="1"/>
  <c r="AD1120" i="3"/>
  <c r="AC1120" i="3" s="1"/>
  <c r="AD1121" i="3"/>
  <c r="AC1121" i="3" s="1"/>
  <c r="AD1122" i="3"/>
  <c r="AC1122" i="3" s="1"/>
  <c r="AD1123" i="3"/>
  <c r="AC1123" i="3" s="1"/>
  <c r="AD1124" i="3"/>
  <c r="AC1124" i="3" s="1"/>
  <c r="AD1125" i="3"/>
  <c r="AC1125" i="3" s="1"/>
  <c r="AD1126" i="3"/>
  <c r="AC1126" i="3" s="1"/>
  <c r="AD1127" i="3"/>
  <c r="AC1127" i="3" s="1"/>
  <c r="AD1128" i="3"/>
  <c r="AC1128" i="3" s="1"/>
  <c r="AD1129" i="3"/>
  <c r="AC1129" i="3" s="1"/>
  <c r="AD1130" i="3"/>
  <c r="AC1130" i="3" s="1"/>
  <c r="AD1131" i="3"/>
  <c r="AC1131" i="3" s="1"/>
  <c r="AD1132" i="3"/>
  <c r="AC1132" i="3" s="1"/>
  <c r="AD1133" i="3"/>
  <c r="AC1133" i="3" s="1"/>
  <c r="AD1134" i="3"/>
  <c r="AC1134" i="3" s="1"/>
  <c r="AD1135" i="3"/>
  <c r="AC1135" i="3" s="1"/>
  <c r="AD1136" i="3"/>
  <c r="AC1136" i="3" s="1"/>
  <c r="AD1137" i="3"/>
  <c r="AC1137" i="3" s="1"/>
  <c r="AD1138" i="3"/>
  <c r="AC1138" i="3" s="1"/>
  <c r="AD1139" i="3"/>
  <c r="AC1139" i="3" s="1"/>
  <c r="AD1140" i="3"/>
  <c r="AC1140" i="3" s="1"/>
  <c r="AD1141" i="3"/>
  <c r="AC1141" i="3" s="1"/>
  <c r="AD1142" i="3"/>
  <c r="AC1142" i="3" s="1"/>
  <c r="AD1143" i="3"/>
  <c r="AC1143" i="3" s="1"/>
  <c r="AD1144" i="3"/>
  <c r="AC1144" i="3" s="1"/>
  <c r="AD1145" i="3"/>
  <c r="AC1145" i="3" s="1"/>
  <c r="AD1146" i="3"/>
  <c r="AC1146" i="3" s="1"/>
  <c r="AD1147" i="3"/>
  <c r="AC1147" i="3" s="1"/>
  <c r="AD1148" i="3"/>
  <c r="AC1148" i="3" s="1"/>
  <c r="AD1149" i="3"/>
  <c r="AC1149" i="3" s="1"/>
  <c r="AD1150" i="3"/>
  <c r="AC1150" i="3" s="1"/>
  <c r="AD1151" i="3"/>
  <c r="AC1151" i="3" s="1"/>
  <c r="AD1152" i="3"/>
  <c r="AC1152" i="3" s="1"/>
  <c r="AD1153" i="3"/>
  <c r="AC1153" i="3" s="1"/>
  <c r="AD1154" i="3"/>
  <c r="AC1154" i="3" s="1"/>
  <c r="AD1155" i="3"/>
  <c r="AC1155" i="3" s="1"/>
  <c r="AD1156" i="3"/>
  <c r="AC1156" i="3" s="1"/>
  <c r="AD1157" i="3"/>
  <c r="AC1157" i="3" s="1"/>
  <c r="AD1158" i="3"/>
  <c r="AC1158" i="3" s="1"/>
  <c r="AD1159" i="3"/>
  <c r="AC1159" i="3" s="1"/>
  <c r="AD1160" i="3"/>
  <c r="AC1160" i="3" s="1"/>
  <c r="AD1161" i="3"/>
  <c r="AC1161" i="3" s="1"/>
  <c r="AD1162" i="3"/>
  <c r="AC1162" i="3" s="1"/>
  <c r="AD1163" i="3"/>
  <c r="AC1163" i="3" s="1"/>
  <c r="AD1164" i="3"/>
  <c r="AC1164" i="3" s="1"/>
  <c r="AD1165" i="3"/>
  <c r="AC1165" i="3" s="1"/>
  <c r="AD1166" i="3"/>
  <c r="AC1166" i="3" s="1"/>
  <c r="AD1167" i="3"/>
  <c r="AC1167" i="3" s="1"/>
  <c r="AD1168" i="3"/>
  <c r="AC1168" i="3" s="1"/>
  <c r="AD1169" i="3"/>
  <c r="AC1169" i="3" s="1"/>
  <c r="AD1170" i="3"/>
  <c r="AC1170" i="3" s="1"/>
  <c r="AD1171" i="3"/>
  <c r="AC1171" i="3" s="1"/>
  <c r="AD1172" i="3"/>
  <c r="AC1172" i="3" s="1"/>
  <c r="AD1173" i="3"/>
  <c r="AC1173" i="3" s="1"/>
  <c r="AD1174" i="3"/>
  <c r="AC1174" i="3" s="1"/>
  <c r="AD1175" i="3"/>
  <c r="AC1175" i="3" s="1"/>
  <c r="AD1176" i="3"/>
  <c r="AC1176" i="3" s="1"/>
  <c r="AD1177" i="3"/>
  <c r="AC1177" i="3" s="1"/>
  <c r="AD1178" i="3"/>
  <c r="AC1178" i="3" s="1"/>
  <c r="AD1179" i="3"/>
  <c r="AC1179" i="3" s="1"/>
  <c r="AD1180" i="3"/>
  <c r="AC1180" i="3" s="1"/>
  <c r="AD1181" i="3"/>
  <c r="AC1181" i="3" s="1"/>
  <c r="AD1182" i="3"/>
  <c r="AC1182" i="3" s="1"/>
  <c r="AD1183" i="3"/>
  <c r="AC1183" i="3" s="1"/>
  <c r="AD1184" i="3"/>
  <c r="AC1184" i="3" s="1"/>
  <c r="AD1185" i="3"/>
  <c r="AC1185" i="3" s="1"/>
  <c r="AD1186" i="3"/>
  <c r="AC1186" i="3" s="1"/>
  <c r="AD1187" i="3"/>
  <c r="AC1187" i="3" s="1"/>
  <c r="AD1188" i="3"/>
  <c r="AC1188" i="3" s="1"/>
  <c r="AD1189" i="3"/>
  <c r="AC1189" i="3" s="1"/>
  <c r="AD1190" i="3"/>
  <c r="AC1190" i="3" s="1"/>
  <c r="AD1191" i="3"/>
  <c r="AC1191" i="3" s="1"/>
  <c r="AD1192" i="3"/>
  <c r="AC1192" i="3" s="1"/>
  <c r="AD1193" i="3"/>
  <c r="AC1193" i="3" s="1"/>
  <c r="AD1194" i="3"/>
  <c r="AC1194" i="3" s="1"/>
  <c r="AD1195" i="3"/>
  <c r="AC1195" i="3" s="1"/>
  <c r="AD1196" i="3"/>
  <c r="AC1196" i="3" s="1"/>
  <c r="AD1197" i="3"/>
  <c r="AC1197" i="3" s="1"/>
  <c r="AD1198" i="3"/>
  <c r="AC1198" i="3" s="1"/>
  <c r="AD1199" i="3"/>
  <c r="AC1199" i="3" s="1"/>
  <c r="AD1200" i="3"/>
  <c r="AC1200" i="3" s="1"/>
  <c r="AD1201" i="3"/>
  <c r="AC1201" i="3" s="1"/>
  <c r="AD1202" i="3"/>
  <c r="AC1202" i="3" s="1"/>
  <c r="AD1203" i="3"/>
  <c r="AC1203" i="3" s="1"/>
  <c r="AD1204" i="3"/>
  <c r="AC1204" i="3" s="1"/>
  <c r="AD1205" i="3"/>
  <c r="AC1205" i="3" s="1"/>
  <c r="AD1206" i="3"/>
  <c r="AC1206" i="3" s="1"/>
  <c r="AD1207" i="3"/>
  <c r="AC1207" i="3" s="1"/>
  <c r="AD1208" i="3"/>
  <c r="AC1208" i="3" s="1"/>
  <c r="AD1209" i="3"/>
  <c r="AC1209" i="3" s="1"/>
  <c r="AD1210" i="3"/>
  <c r="AC1210" i="3" s="1"/>
  <c r="AD1211" i="3"/>
  <c r="AC1211" i="3" s="1"/>
  <c r="AD1212" i="3"/>
  <c r="AC1212" i="3" s="1"/>
  <c r="AD1213" i="3"/>
  <c r="AC1213" i="3" s="1"/>
  <c r="AD1214" i="3"/>
  <c r="AC1214" i="3" s="1"/>
  <c r="AD1215" i="3"/>
  <c r="AC1215" i="3" s="1"/>
  <c r="AD1216" i="3"/>
  <c r="AC1216" i="3" s="1"/>
  <c r="AD1217" i="3"/>
  <c r="AC1217" i="3" s="1"/>
  <c r="AD1218" i="3"/>
  <c r="AC1218" i="3" s="1"/>
  <c r="AD1219" i="3"/>
  <c r="AC1219" i="3" s="1"/>
  <c r="AD1220" i="3"/>
  <c r="AC1220" i="3" s="1"/>
  <c r="AD1221" i="3"/>
  <c r="AC1221" i="3" s="1"/>
  <c r="AD1222" i="3"/>
  <c r="AC1222" i="3" s="1"/>
  <c r="AD1223" i="3"/>
  <c r="AC1223" i="3" s="1"/>
  <c r="AD1224" i="3"/>
  <c r="AC1224" i="3" s="1"/>
  <c r="AD1225" i="3"/>
  <c r="AC1225" i="3" s="1"/>
  <c r="AD1226" i="3"/>
  <c r="AC1226" i="3" s="1"/>
  <c r="AD1227" i="3"/>
  <c r="AC1227" i="3" s="1"/>
  <c r="AD1228" i="3"/>
  <c r="AC1228" i="3" s="1"/>
  <c r="AD1229" i="3"/>
  <c r="AC1229" i="3" s="1"/>
  <c r="AD1230" i="3"/>
  <c r="AC1230" i="3" s="1"/>
  <c r="AD1231" i="3"/>
  <c r="AC1231" i="3" s="1"/>
  <c r="AD1232" i="3"/>
  <c r="AC1232" i="3" s="1"/>
  <c r="AD1233" i="3"/>
  <c r="AC1233" i="3" s="1"/>
  <c r="AD1234" i="3"/>
  <c r="AC1234" i="3" s="1"/>
  <c r="AD1235" i="3"/>
  <c r="AC1235" i="3" s="1"/>
  <c r="AD1236" i="3"/>
  <c r="AC1236" i="3" s="1"/>
  <c r="AD1237" i="3"/>
  <c r="AC1237" i="3" s="1"/>
  <c r="AD1238" i="3"/>
  <c r="AC1238" i="3" s="1"/>
  <c r="AD1239" i="3"/>
  <c r="AC1239" i="3" s="1"/>
  <c r="AD1240" i="3"/>
  <c r="AC1240" i="3" s="1"/>
  <c r="AD1241" i="3"/>
  <c r="AC1241" i="3" s="1"/>
  <c r="AD1242" i="3"/>
  <c r="AC1242" i="3" s="1"/>
  <c r="AD1243" i="3"/>
  <c r="AC1243" i="3" s="1"/>
  <c r="AD1244" i="3"/>
  <c r="AC1244" i="3" s="1"/>
  <c r="AD1245" i="3"/>
  <c r="AC1245" i="3" s="1"/>
  <c r="AD1246" i="3"/>
  <c r="AC1246" i="3" s="1"/>
  <c r="AD1247" i="3"/>
  <c r="AC1247" i="3" s="1"/>
  <c r="AD1248" i="3"/>
  <c r="AC1248" i="3" s="1"/>
  <c r="AD1249" i="3"/>
  <c r="AC1249" i="3" s="1"/>
  <c r="AD1250" i="3"/>
  <c r="AC1250" i="3" s="1"/>
  <c r="AD1251" i="3"/>
  <c r="AC1251" i="3" s="1"/>
  <c r="AD1252" i="3"/>
  <c r="AC1252" i="3" s="1"/>
  <c r="AD1253" i="3"/>
  <c r="AC1253" i="3" s="1"/>
  <c r="AD1254" i="3"/>
  <c r="AC1254" i="3" s="1"/>
  <c r="AD1255" i="3"/>
  <c r="AC1255" i="3" s="1"/>
  <c r="AD1256" i="3"/>
  <c r="AC1256" i="3" s="1"/>
  <c r="AD1257" i="3"/>
  <c r="AC1257" i="3" s="1"/>
  <c r="AD1258" i="3"/>
  <c r="AC1258" i="3" s="1"/>
  <c r="AD1259" i="3"/>
  <c r="AC1259" i="3" s="1"/>
  <c r="AD1260" i="3"/>
  <c r="AC1260" i="3" s="1"/>
  <c r="AD1261" i="3"/>
  <c r="AC1261" i="3" s="1"/>
  <c r="AD1262" i="3"/>
  <c r="AC1262" i="3" s="1"/>
  <c r="AD1263" i="3"/>
  <c r="AC1263" i="3" s="1"/>
  <c r="AD1264" i="3"/>
  <c r="AC1264" i="3" s="1"/>
  <c r="AD1265" i="3"/>
  <c r="AC1265" i="3" s="1"/>
  <c r="AD1266" i="3"/>
  <c r="AC1266" i="3" s="1"/>
  <c r="AD1267" i="3"/>
  <c r="AC1267" i="3" s="1"/>
  <c r="AD1268" i="3"/>
  <c r="AC1268" i="3" s="1"/>
  <c r="AD1269" i="3"/>
  <c r="AC1269" i="3" s="1"/>
  <c r="AD1270" i="3"/>
  <c r="AC1270" i="3" s="1"/>
  <c r="AD1271" i="3"/>
  <c r="AC1271" i="3" s="1"/>
  <c r="AD1272" i="3"/>
  <c r="AC1272" i="3" s="1"/>
  <c r="AD1273" i="3"/>
  <c r="AC1273" i="3" s="1"/>
  <c r="AD1274" i="3"/>
  <c r="AC1274" i="3" s="1"/>
  <c r="AD1275" i="3"/>
  <c r="AC1275" i="3" s="1"/>
  <c r="AD1276" i="3"/>
  <c r="AC1276" i="3" s="1"/>
  <c r="AD1277" i="3"/>
  <c r="AC1277" i="3" s="1"/>
  <c r="AD1278" i="3"/>
  <c r="AC1278" i="3" s="1"/>
  <c r="AD1279" i="3"/>
  <c r="AC1279" i="3" s="1"/>
  <c r="AD1280" i="3"/>
  <c r="AC1280" i="3" s="1"/>
  <c r="AD1281" i="3"/>
  <c r="AC1281" i="3" s="1"/>
  <c r="AD1282" i="3"/>
  <c r="AC1282" i="3" s="1"/>
  <c r="AD1283" i="3"/>
  <c r="AC1283" i="3" s="1"/>
  <c r="AD1284" i="3"/>
  <c r="AC1284" i="3" s="1"/>
  <c r="AD1285" i="3"/>
  <c r="AC1285" i="3" s="1"/>
  <c r="AD1286" i="3"/>
  <c r="AC1286" i="3" s="1"/>
  <c r="AD1287" i="3"/>
  <c r="AC1287" i="3" s="1"/>
  <c r="AD1288" i="3"/>
  <c r="AC1288" i="3" s="1"/>
  <c r="AD1289" i="3"/>
  <c r="AC1289" i="3" s="1"/>
  <c r="AD1290" i="3"/>
  <c r="AC1290" i="3" s="1"/>
  <c r="AD1291" i="3"/>
  <c r="AC1291" i="3" s="1"/>
  <c r="AD1292" i="3"/>
  <c r="AC1292" i="3" s="1"/>
  <c r="AD1293" i="3"/>
  <c r="AC1293" i="3" s="1"/>
  <c r="AD1294" i="3"/>
  <c r="AC1294" i="3" s="1"/>
  <c r="AD1295" i="3"/>
  <c r="AC1295" i="3" s="1"/>
  <c r="AD1296" i="3"/>
  <c r="AC1296" i="3" s="1"/>
  <c r="AD1297" i="3"/>
  <c r="AC1297" i="3" s="1"/>
  <c r="AD1298" i="3"/>
  <c r="AC1298" i="3" s="1"/>
  <c r="AD1299" i="3"/>
  <c r="AC1299" i="3" s="1"/>
  <c r="AD1300" i="3"/>
  <c r="AC1300" i="3" s="1"/>
  <c r="AD1301" i="3"/>
  <c r="AC1301" i="3" s="1"/>
  <c r="AD1302" i="3"/>
  <c r="AC1302" i="3" s="1"/>
  <c r="AD1303" i="3"/>
  <c r="AC1303" i="3" s="1"/>
  <c r="AD1304" i="3"/>
  <c r="AC1304" i="3" s="1"/>
  <c r="AD1305" i="3"/>
  <c r="AC1305" i="3" s="1"/>
  <c r="AD1306" i="3"/>
  <c r="AC1306" i="3" s="1"/>
  <c r="AD1307" i="3"/>
  <c r="AC1307" i="3" s="1"/>
  <c r="AD1308" i="3"/>
  <c r="AC1308" i="3" s="1"/>
  <c r="AD1309" i="3"/>
  <c r="AC1309" i="3" s="1"/>
  <c r="AD1310" i="3"/>
  <c r="AC1310" i="3" s="1"/>
  <c r="AD1311" i="3"/>
  <c r="AC1311" i="3" s="1"/>
  <c r="AD1312" i="3"/>
  <c r="AC1312" i="3" s="1"/>
  <c r="AD1313" i="3"/>
  <c r="AC1313" i="3" s="1"/>
  <c r="AD1314" i="3"/>
  <c r="AC1314" i="3" s="1"/>
  <c r="AD1315" i="3"/>
  <c r="AC1315" i="3" s="1"/>
  <c r="AD1316" i="3"/>
  <c r="AC1316" i="3" s="1"/>
  <c r="AD1317" i="3"/>
  <c r="AC1317" i="3" s="1"/>
  <c r="AD1318" i="3"/>
  <c r="AC1318" i="3" s="1"/>
  <c r="AD1319" i="3"/>
  <c r="AC1319" i="3" s="1"/>
  <c r="AD1320" i="3"/>
  <c r="AC1320" i="3" s="1"/>
  <c r="AD1321" i="3"/>
  <c r="AC1321" i="3" s="1"/>
  <c r="AD1322" i="3"/>
  <c r="AC1322" i="3" s="1"/>
  <c r="AD1323" i="3"/>
  <c r="AC1323" i="3" s="1"/>
  <c r="AD1324" i="3"/>
  <c r="AC1324" i="3" s="1"/>
  <c r="AD1325" i="3"/>
  <c r="AC1325" i="3" s="1"/>
  <c r="AD1326" i="3"/>
  <c r="AC1326" i="3" s="1"/>
  <c r="AD1327" i="3"/>
  <c r="AC1327" i="3" s="1"/>
  <c r="AD1328" i="3"/>
  <c r="AC1328" i="3" s="1"/>
  <c r="AD1329" i="3"/>
  <c r="AC1329" i="3" s="1"/>
  <c r="AD1330" i="3"/>
  <c r="AC1330" i="3" s="1"/>
  <c r="AD1331" i="3"/>
  <c r="AC1331" i="3" s="1"/>
  <c r="AD1332" i="3"/>
  <c r="AC1332" i="3" s="1"/>
  <c r="AD1333" i="3"/>
  <c r="AC1333" i="3" s="1"/>
  <c r="AD1334" i="3"/>
  <c r="AC1334" i="3" s="1"/>
  <c r="AD1335" i="3"/>
  <c r="AC1335" i="3" s="1"/>
  <c r="AD1336" i="3"/>
  <c r="AC1336" i="3" s="1"/>
  <c r="AD1337" i="3"/>
  <c r="AC1337" i="3" s="1"/>
  <c r="AD1338" i="3"/>
  <c r="AC1338" i="3" s="1"/>
  <c r="AD1339" i="3"/>
  <c r="AC1339" i="3" s="1"/>
  <c r="AD1340" i="3"/>
  <c r="AC1340" i="3" s="1"/>
  <c r="AD1341" i="3"/>
  <c r="AC1341" i="3" s="1"/>
  <c r="AD1342" i="3"/>
  <c r="AC1342" i="3" s="1"/>
  <c r="AD1343" i="3"/>
  <c r="AC1343" i="3" s="1"/>
  <c r="AD1344" i="3"/>
  <c r="AC1344" i="3" s="1"/>
  <c r="AD1345" i="3"/>
  <c r="AC1345" i="3" s="1"/>
  <c r="AD1346" i="3"/>
  <c r="AC1346" i="3" s="1"/>
  <c r="AD1347" i="3"/>
  <c r="AC1347" i="3" s="1"/>
  <c r="AD1348" i="3"/>
  <c r="AC1348" i="3" s="1"/>
  <c r="AD1349" i="3"/>
  <c r="AC1349" i="3" s="1"/>
  <c r="AD1350" i="3"/>
  <c r="AC1350" i="3" s="1"/>
  <c r="AD1351" i="3"/>
  <c r="AC1351" i="3" s="1"/>
  <c r="AD1352" i="3"/>
  <c r="AC1352" i="3" s="1"/>
  <c r="AD1353" i="3"/>
  <c r="AC1353" i="3" s="1"/>
  <c r="AD1354" i="3"/>
  <c r="AC1354" i="3" s="1"/>
  <c r="AD1355" i="3"/>
  <c r="AC1355" i="3" s="1"/>
  <c r="AD1356" i="3"/>
  <c r="AC1356" i="3" s="1"/>
  <c r="AD1357" i="3"/>
  <c r="AC1357" i="3" s="1"/>
  <c r="AD1358" i="3"/>
  <c r="AC1358" i="3" s="1"/>
  <c r="AD1359" i="3"/>
  <c r="AC1359" i="3" s="1"/>
  <c r="AD1360" i="3"/>
  <c r="AC1360" i="3" s="1"/>
  <c r="AD1361" i="3"/>
  <c r="AC1361" i="3" s="1"/>
  <c r="AD1362" i="3"/>
  <c r="AC1362" i="3" s="1"/>
  <c r="AD1363" i="3"/>
  <c r="AC1363" i="3" s="1"/>
  <c r="AD1364" i="3"/>
  <c r="AC1364" i="3" s="1"/>
  <c r="AD1365" i="3"/>
  <c r="AC1365" i="3" s="1"/>
  <c r="AD1366" i="3"/>
  <c r="AC1366" i="3" s="1"/>
  <c r="AD1367" i="3"/>
  <c r="AC1367" i="3" s="1"/>
  <c r="AD1368" i="3"/>
  <c r="AC1368" i="3" s="1"/>
  <c r="AD1369" i="3"/>
  <c r="AC1369" i="3" s="1"/>
  <c r="AD1370" i="3"/>
  <c r="AC1370" i="3" s="1"/>
  <c r="AD1371" i="3"/>
  <c r="AC1371" i="3" s="1"/>
  <c r="AD1372" i="3"/>
  <c r="AC1372" i="3" s="1"/>
  <c r="AD1373" i="3"/>
  <c r="AC1373" i="3" s="1"/>
  <c r="AD1374" i="3"/>
  <c r="AC1374" i="3" s="1"/>
  <c r="AD1375" i="3"/>
  <c r="AC1375" i="3" s="1"/>
  <c r="AD1376" i="3"/>
  <c r="AC1376" i="3" s="1"/>
  <c r="AD1377" i="3"/>
  <c r="AC1377" i="3" s="1"/>
  <c r="AD1378" i="3"/>
  <c r="AC1378" i="3" s="1"/>
  <c r="AD1379" i="3"/>
  <c r="AC1379" i="3" s="1"/>
  <c r="AD1380" i="3"/>
  <c r="AC1380" i="3" s="1"/>
  <c r="AD1381" i="3"/>
  <c r="AC1381" i="3" s="1"/>
  <c r="AD1382" i="3"/>
  <c r="AC1382" i="3" s="1"/>
  <c r="AD1383" i="3"/>
  <c r="AC1383" i="3" s="1"/>
  <c r="AD1384" i="3"/>
  <c r="AC1384" i="3" s="1"/>
  <c r="AD1385" i="3"/>
  <c r="AC1385" i="3" s="1"/>
  <c r="AD1386" i="3"/>
  <c r="AC1386" i="3" s="1"/>
  <c r="AD1387" i="3"/>
  <c r="AC1387" i="3" s="1"/>
  <c r="AD1388" i="3"/>
  <c r="AC1388" i="3" s="1"/>
  <c r="AD1389" i="3"/>
  <c r="AC1389" i="3" s="1"/>
  <c r="AD1390" i="3"/>
  <c r="AC1390" i="3" s="1"/>
  <c r="AD1391" i="3"/>
  <c r="AC1391" i="3" s="1"/>
  <c r="AD1392" i="3"/>
  <c r="AC1392" i="3" s="1"/>
  <c r="AD1393" i="3"/>
  <c r="AC1393" i="3" s="1"/>
  <c r="AD1394" i="3"/>
  <c r="AC1394" i="3" s="1"/>
  <c r="AD1395" i="3"/>
  <c r="AC1395" i="3" s="1"/>
  <c r="AD1396" i="3"/>
  <c r="AC1396" i="3" s="1"/>
  <c r="AD1397" i="3"/>
  <c r="AC1397" i="3" s="1"/>
  <c r="AD1398" i="3"/>
  <c r="AC1398" i="3" s="1"/>
  <c r="AD1399" i="3"/>
  <c r="AC1399" i="3" s="1"/>
  <c r="AD1400" i="3"/>
  <c r="AC1400" i="3" s="1"/>
  <c r="AD1401" i="3"/>
  <c r="AC1401" i="3" s="1"/>
  <c r="AD1402" i="3"/>
  <c r="AC1402" i="3" s="1"/>
  <c r="AD1403" i="3"/>
  <c r="AC1403" i="3" s="1"/>
  <c r="AD1404" i="3"/>
  <c r="AC1404" i="3" s="1"/>
  <c r="AD1405" i="3"/>
  <c r="AC1405" i="3" s="1"/>
  <c r="AD1406" i="3"/>
  <c r="AC1406" i="3" s="1"/>
  <c r="AD1407" i="3"/>
  <c r="AC1407" i="3" s="1"/>
  <c r="AD1408" i="3"/>
  <c r="AC1408" i="3" s="1"/>
  <c r="AD1409" i="3"/>
  <c r="AC1409" i="3" s="1"/>
  <c r="AD1410" i="3"/>
  <c r="AC1410" i="3" s="1"/>
  <c r="AD1411" i="3"/>
  <c r="AC1411" i="3" s="1"/>
  <c r="AD1412" i="3"/>
  <c r="AC1412" i="3" s="1"/>
  <c r="AD1413" i="3"/>
  <c r="AC1413" i="3" s="1"/>
  <c r="AD1414" i="3"/>
  <c r="AC1414" i="3" s="1"/>
  <c r="AD1415" i="3"/>
  <c r="AC1415" i="3" s="1"/>
  <c r="AD1416" i="3"/>
  <c r="AC1416" i="3" s="1"/>
  <c r="AD1417" i="3"/>
  <c r="AC1417" i="3" s="1"/>
  <c r="AD1418" i="3"/>
  <c r="AC1418" i="3" s="1"/>
  <c r="AD1419" i="3"/>
  <c r="AC1419" i="3" s="1"/>
  <c r="AD1420" i="3"/>
  <c r="AC1420" i="3" s="1"/>
  <c r="AD1421" i="3"/>
  <c r="AC1421" i="3" s="1"/>
  <c r="AD1422" i="3"/>
  <c r="AC1422" i="3" s="1"/>
  <c r="AD1423" i="3"/>
  <c r="AC1423" i="3" s="1"/>
  <c r="AD1424" i="3"/>
  <c r="AC1424" i="3" s="1"/>
  <c r="AD1425" i="3"/>
  <c r="AC1425" i="3" s="1"/>
  <c r="AD1426" i="3"/>
  <c r="AC1426" i="3" s="1"/>
  <c r="AD1427" i="3"/>
  <c r="AC1427" i="3" s="1"/>
  <c r="AD1428" i="3"/>
  <c r="AC1428" i="3" s="1"/>
  <c r="AD1429" i="3"/>
  <c r="AC1429" i="3" s="1"/>
  <c r="AD1430" i="3"/>
  <c r="AC1430" i="3" s="1"/>
  <c r="AD1431" i="3"/>
  <c r="AC1431" i="3" s="1"/>
  <c r="AD1432" i="3"/>
  <c r="AC1432" i="3" s="1"/>
  <c r="AD1433" i="3"/>
  <c r="AC1433" i="3" s="1"/>
  <c r="AD1434" i="3"/>
  <c r="AC1434" i="3" s="1"/>
  <c r="AD1435" i="3"/>
  <c r="AC1435" i="3" s="1"/>
  <c r="AD1436" i="3"/>
  <c r="AC1436" i="3" s="1"/>
  <c r="AD1437" i="3"/>
  <c r="AC1437" i="3" s="1"/>
  <c r="AD1438" i="3"/>
  <c r="AC1438" i="3" s="1"/>
  <c r="AD1439" i="3"/>
  <c r="AC1439" i="3" s="1"/>
  <c r="AD1440" i="3"/>
  <c r="AC1440" i="3" s="1"/>
  <c r="AD1441" i="3"/>
  <c r="AC1441" i="3" s="1"/>
  <c r="AD1442" i="3"/>
  <c r="AC1442" i="3" s="1"/>
  <c r="AD1443" i="3"/>
  <c r="AC1443" i="3" s="1"/>
  <c r="AD1444" i="3"/>
  <c r="AC1444" i="3" s="1"/>
  <c r="AD1445" i="3"/>
  <c r="AC1445" i="3" s="1"/>
  <c r="AD1446" i="3"/>
  <c r="AC1446" i="3" s="1"/>
  <c r="AD1447" i="3"/>
  <c r="AC1447" i="3" s="1"/>
  <c r="AD1448" i="3"/>
  <c r="AC1448" i="3" s="1"/>
  <c r="AD1449" i="3"/>
  <c r="AC1449" i="3" s="1"/>
  <c r="AD1450" i="3"/>
  <c r="AC1450" i="3" s="1"/>
  <c r="AD1451" i="3"/>
  <c r="AC1451" i="3" s="1"/>
  <c r="AD1452" i="3"/>
  <c r="AC1452" i="3" s="1"/>
  <c r="AD1453" i="3"/>
  <c r="AC1453" i="3" s="1"/>
  <c r="AD1454" i="3"/>
  <c r="AC1454" i="3" s="1"/>
  <c r="AD1455" i="3"/>
  <c r="AC1455" i="3" s="1"/>
  <c r="AD1456" i="3"/>
  <c r="AC1456" i="3" s="1"/>
  <c r="AD1457" i="3"/>
  <c r="AC1457" i="3" s="1"/>
  <c r="AD1458" i="3"/>
  <c r="AC1458" i="3" s="1"/>
  <c r="AD1459" i="3"/>
  <c r="AC1459" i="3" s="1"/>
  <c r="AD1460" i="3"/>
  <c r="AC1460" i="3" s="1"/>
  <c r="AD1461" i="3"/>
  <c r="AC1461" i="3" s="1"/>
  <c r="AD1462" i="3"/>
  <c r="AC1462" i="3" s="1"/>
  <c r="AD1463" i="3"/>
  <c r="AC1463" i="3" s="1"/>
  <c r="AD1464" i="3"/>
  <c r="AC1464" i="3" s="1"/>
  <c r="AD1465" i="3"/>
  <c r="AC1465" i="3" s="1"/>
  <c r="AD1466" i="3"/>
  <c r="AC1466" i="3" s="1"/>
  <c r="AD1467" i="3"/>
  <c r="AC1467" i="3" s="1"/>
  <c r="AD1468" i="3"/>
  <c r="AC1468" i="3" s="1"/>
  <c r="AD1469" i="3"/>
  <c r="AC1469" i="3" s="1"/>
  <c r="AD1470" i="3"/>
  <c r="AC1470" i="3" s="1"/>
  <c r="AD1471" i="3"/>
  <c r="AC1471" i="3" s="1"/>
  <c r="AD1472" i="3"/>
  <c r="AC1472" i="3" s="1"/>
  <c r="AD1473" i="3"/>
  <c r="AC1473" i="3" s="1"/>
  <c r="AD1474" i="3"/>
  <c r="AC1474" i="3" s="1"/>
  <c r="AD1475" i="3"/>
  <c r="AC1475" i="3" s="1"/>
  <c r="AD1476" i="3"/>
  <c r="AC1476" i="3" s="1"/>
  <c r="AD1477" i="3"/>
  <c r="AC1477" i="3" s="1"/>
  <c r="AD1478" i="3"/>
  <c r="AC1478" i="3" s="1"/>
  <c r="AD1479" i="3"/>
  <c r="AC1479" i="3" s="1"/>
  <c r="AD1480" i="3"/>
  <c r="AC1480" i="3" s="1"/>
  <c r="AD1481" i="3"/>
  <c r="AC1481" i="3" s="1"/>
  <c r="AD1482" i="3"/>
  <c r="AC1482" i="3" s="1"/>
  <c r="AD1483" i="3"/>
  <c r="AC1483" i="3" s="1"/>
  <c r="AD1484" i="3"/>
  <c r="AC1484" i="3" s="1"/>
  <c r="AD1485" i="3"/>
  <c r="AC1485" i="3" s="1"/>
  <c r="AD1486" i="3"/>
  <c r="AC1486" i="3" s="1"/>
  <c r="AD1487" i="3"/>
  <c r="AC1487" i="3" s="1"/>
  <c r="AD1488" i="3"/>
  <c r="AC1488" i="3" s="1"/>
  <c r="AD1489" i="3"/>
  <c r="AC1489" i="3" s="1"/>
  <c r="AD1490" i="3"/>
  <c r="AC1490" i="3" s="1"/>
  <c r="AD1491" i="3"/>
  <c r="AC1491" i="3" s="1"/>
  <c r="AD1492" i="3"/>
  <c r="AC1492" i="3" s="1"/>
  <c r="AD1493" i="3"/>
  <c r="AC1493" i="3" s="1"/>
  <c r="AD1494" i="3"/>
  <c r="AC1494" i="3" s="1"/>
  <c r="AD1495" i="3"/>
  <c r="AC1495" i="3" s="1"/>
  <c r="AD1496" i="3"/>
  <c r="AC1496" i="3" s="1"/>
  <c r="AD1497" i="3"/>
  <c r="AC1497" i="3" s="1"/>
  <c r="AD1498" i="3"/>
  <c r="AC1498" i="3" s="1"/>
  <c r="AD1499" i="3"/>
  <c r="AC1499" i="3" s="1"/>
  <c r="AD1500" i="3"/>
  <c r="AC1500" i="3" s="1"/>
  <c r="AD1501" i="3"/>
  <c r="AC1501" i="3" s="1"/>
  <c r="AD1502" i="3"/>
  <c r="AC1502" i="3" s="1"/>
  <c r="AD1503" i="3"/>
  <c r="AC1503" i="3" s="1"/>
  <c r="AD1504" i="3"/>
  <c r="AC1504" i="3" s="1"/>
  <c r="AD1505" i="3"/>
  <c r="AC1505" i="3" s="1"/>
  <c r="AD1506" i="3"/>
  <c r="AC1506" i="3" s="1"/>
  <c r="AD1507" i="3"/>
  <c r="AC1507" i="3" s="1"/>
  <c r="AD1508" i="3"/>
  <c r="AC1508" i="3" s="1"/>
  <c r="AD1509" i="3"/>
  <c r="AC1509" i="3" s="1"/>
  <c r="AD1510" i="3"/>
  <c r="AC1510" i="3" s="1"/>
  <c r="AD1511" i="3"/>
  <c r="AC1511" i="3" s="1"/>
  <c r="AD1512" i="3"/>
  <c r="AC1512" i="3" s="1"/>
  <c r="AD1513" i="3"/>
  <c r="AC1513" i="3" s="1"/>
  <c r="AD1514" i="3"/>
  <c r="AC1514" i="3" s="1"/>
  <c r="AD1515" i="3"/>
  <c r="AC1515" i="3" s="1"/>
  <c r="AD1516" i="3"/>
  <c r="AC1516" i="3" s="1"/>
  <c r="AD1517" i="3"/>
  <c r="AC1517" i="3" s="1"/>
  <c r="AD1518" i="3"/>
  <c r="AC1518" i="3" s="1"/>
  <c r="AD1519" i="3"/>
  <c r="AC1519" i="3" s="1"/>
  <c r="AD1520" i="3"/>
  <c r="AC1520" i="3" s="1"/>
  <c r="AD1521" i="3"/>
  <c r="AC1521" i="3" s="1"/>
  <c r="AD1522" i="3"/>
  <c r="AC1522" i="3" s="1"/>
  <c r="AD1523" i="3"/>
  <c r="AC1523" i="3" s="1"/>
  <c r="AD1524" i="3"/>
  <c r="AC1524" i="3" s="1"/>
  <c r="AD1525" i="3"/>
  <c r="AC1525" i="3" s="1"/>
  <c r="AD1526" i="3"/>
  <c r="AC1526" i="3" s="1"/>
  <c r="AD1527" i="3"/>
  <c r="AC1527" i="3" s="1"/>
  <c r="AD1528" i="3"/>
  <c r="AC1528" i="3" s="1"/>
  <c r="AD1529" i="3"/>
  <c r="AC1529" i="3" s="1"/>
  <c r="AD1530" i="3"/>
  <c r="AC1530" i="3" s="1"/>
  <c r="AD1531" i="3"/>
  <c r="AC1531" i="3" s="1"/>
  <c r="AD1532" i="3"/>
  <c r="AC1532" i="3" s="1"/>
  <c r="AD1533" i="3"/>
  <c r="AC1533" i="3" s="1"/>
  <c r="AD1534" i="3"/>
  <c r="AC1534" i="3" s="1"/>
  <c r="AD1535" i="3"/>
  <c r="AC1535" i="3" s="1"/>
  <c r="AD1536" i="3"/>
  <c r="AC1536" i="3" s="1"/>
  <c r="AD1537" i="3"/>
  <c r="AC1537" i="3" s="1"/>
  <c r="AD1538" i="3"/>
  <c r="AC1538" i="3" s="1"/>
  <c r="AD1539" i="3"/>
  <c r="AC1539" i="3" s="1"/>
  <c r="AD1540" i="3"/>
  <c r="AC1540" i="3" s="1"/>
  <c r="AD1541" i="3"/>
  <c r="AC1541" i="3" s="1"/>
  <c r="AD1542" i="3"/>
  <c r="AC1542" i="3" s="1"/>
  <c r="AD1543" i="3"/>
  <c r="AC1543" i="3" s="1"/>
  <c r="AD1544" i="3"/>
  <c r="AC1544" i="3" s="1"/>
  <c r="AD1545" i="3"/>
  <c r="AC1545" i="3" s="1"/>
  <c r="AD1546" i="3"/>
  <c r="AC1546" i="3" s="1"/>
  <c r="AD1547" i="3"/>
  <c r="AC1547" i="3" s="1"/>
  <c r="AD1548" i="3"/>
  <c r="AC1548" i="3" s="1"/>
  <c r="AD1549" i="3"/>
  <c r="AC1549" i="3" s="1"/>
  <c r="AD1550" i="3"/>
  <c r="AC1550" i="3" s="1"/>
  <c r="AD1551" i="3"/>
  <c r="AC1551" i="3" s="1"/>
  <c r="AD1552" i="3"/>
  <c r="AC1552" i="3" s="1"/>
  <c r="AD1553" i="3"/>
  <c r="AC1553" i="3" s="1"/>
  <c r="AD1554" i="3"/>
  <c r="AC1554" i="3" s="1"/>
  <c r="AD1555" i="3"/>
  <c r="AC1555" i="3" s="1"/>
  <c r="AD1556" i="3"/>
  <c r="AC1556" i="3" s="1"/>
  <c r="AD1557" i="3"/>
  <c r="AC1557" i="3" s="1"/>
  <c r="AD1558" i="3"/>
  <c r="AC1558" i="3" s="1"/>
  <c r="AD1559" i="3"/>
  <c r="AC1559" i="3" s="1"/>
  <c r="AD1560" i="3"/>
  <c r="AC1560" i="3" s="1"/>
  <c r="AD1561" i="3"/>
  <c r="AC1561" i="3" s="1"/>
  <c r="AD1562" i="3"/>
  <c r="AC1562" i="3" s="1"/>
  <c r="AD1563" i="3"/>
  <c r="AC1563" i="3" s="1"/>
  <c r="AD1564" i="3"/>
  <c r="AC1564" i="3" s="1"/>
  <c r="AD1565" i="3"/>
  <c r="AC1565" i="3" s="1"/>
  <c r="AD1566" i="3"/>
  <c r="AC1566" i="3" s="1"/>
  <c r="AD1567" i="3"/>
  <c r="AC1567" i="3" s="1"/>
  <c r="AD1568" i="3"/>
  <c r="AC1568" i="3" s="1"/>
  <c r="AD1569" i="3"/>
  <c r="AC1569" i="3" s="1"/>
  <c r="AD1570" i="3"/>
  <c r="AC1570" i="3" s="1"/>
  <c r="AD1571" i="3"/>
  <c r="AC1571" i="3" s="1"/>
  <c r="AD1572" i="3"/>
  <c r="AC1572" i="3" s="1"/>
  <c r="AD1573" i="3"/>
  <c r="AC1573" i="3" s="1"/>
  <c r="AD1574" i="3"/>
  <c r="AC1574" i="3" s="1"/>
  <c r="AD1575" i="3"/>
  <c r="AC1575" i="3" s="1"/>
  <c r="AD1576" i="3"/>
  <c r="AC1576" i="3" s="1"/>
  <c r="AD1577" i="3"/>
  <c r="AC1577" i="3" s="1"/>
  <c r="AD1578" i="3"/>
  <c r="AC1578" i="3" s="1"/>
  <c r="AD1579" i="3"/>
  <c r="AC1579" i="3" s="1"/>
  <c r="AD1580" i="3"/>
  <c r="AC1580" i="3" s="1"/>
  <c r="AD1581" i="3"/>
  <c r="AC1581" i="3" s="1"/>
  <c r="AD1582" i="3"/>
  <c r="AC1582" i="3" s="1"/>
  <c r="AD1583" i="3"/>
  <c r="AC1583" i="3" s="1"/>
  <c r="AD1584" i="3"/>
  <c r="AC1584" i="3" s="1"/>
  <c r="AD1585" i="3"/>
  <c r="AC1585" i="3" s="1"/>
  <c r="AD1586" i="3"/>
  <c r="AC1586" i="3" s="1"/>
  <c r="AD1587" i="3"/>
  <c r="AC1587" i="3" s="1"/>
  <c r="AD1588" i="3"/>
  <c r="AC1588" i="3" s="1"/>
  <c r="AD1589" i="3"/>
  <c r="AC1589" i="3" s="1"/>
  <c r="AD1590" i="3"/>
  <c r="AC1590" i="3" s="1"/>
  <c r="AD1591" i="3"/>
  <c r="AC1591" i="3" s="1"/>
  <c r="AD1592" i="3"/>
  <c r="AC1592" i="3" s="1"/>
  <c r="AD1593" i="3"/>
  <c r="AC1593" i="3" s="1"/>
  <c r="AD1594" i="3"/>
  <c r="AC1594" i="3" s="1"/>
  <c r="AD1595" i="3"/>
  <c r="AC1595" i="3" s="1"/>
  <c r="AD1596" i="3"/>
  <c r="AC1596" i="3" s="1"/>
  <c r="AD1597" i="3"/>
  <c r="AC1597" i="3" s="1"/>
  <c r="AD1598" i="3"/>
  <c r="AC1598" i="3" s="1"/>
  <c r="AD1599" i="3"/>
  <c r="AC1599" i="3" s="1"/>
  <c r="AD1600" i="3"/>
  <c r="AC1600" i="3" s="1"/>
  <c r="AD1601" i="3"/>
  <c r="AC1601" i="3" s="1"/>
  <c r="AD1602" i="3"/>
  <c r="AC1602" i="3" s="1"/>
  <c r="AD1603" i="3"/>
  <c r="AC1603" i="3" s="1"/>
  <c r="AD1604" i="3"/>
  <c r="AC1604" i="3" s="1"/>
  <c r="AD1605" i="3"/>
  <c r="AC1605" i="3" s="1"/>
  <c r="AD1606" i="3"/>
  <c r="AC1606" i="3" s="1"/>
  <c r="AD1607" i="3"/>
  <c r="AC1607" i="3" s="1"/>
  <c r="AD1608" i="3"/>
  <c r="AC1608" i="3" s="1"/>
  <c r="AD1609" i="3"/>
  <c r="AC1609" i="3" s="1"/>
  <c r="AD1610" i="3"/>
  <c r="AC1610" i="3" s="1"/>
  <c r="AD1611" i="3"/>
  <c r="AC1611" i="3" s="1"/>
  <c r="AD1612" i="3"/>
  <c r="AC1612" i="3" s="1"/>
  <c r="AD1613" i="3"/>
  <c r="AC1613" i="3" s="1"/>
  <c r="AD1614" i="3"/>
  <c r="AC1614" i="3" s="1"/>
  <c r="AD1615" i="3"/>
  <c r="AC1615" i="3" s="1"/>
  <c r="AD1616" i="3"/>
  <c r="AC1616" i="3" s="1"/>
  <c r="AD1617" i="3"/>
  <c r="AC1617" i="3" s="1"/>
  <c r="AD1618" i="3"/>
  <c r="AC1618" i="3" s="1"/>
  <c r="AD1619" i="3"/>
  <c r="AC1619" i="3" s="1"/>
  <c r="AD1620" i="3"/>
  <c r="AC1620" i="3" s="1"/>
  <c r="AD1621" i="3"/>
  <c r="AC1621" i="3" s="1"/>
  <c r="AD1622" i="3"/>
  <c r="AC1622" i="3" s="1"/>
  <c r="AD1623" i="3"/>
  <c r="AC1623" i="3" s="1"/>
  <c r="AD1624" i="3"/>
  <c r="AC1624" i="3" s="1"/>
  <c r="AD1625" i="3"/>
  <c r="AC1625" i="3" s="1"/>
  <c r="AD1626" i="3"/>
  <c r="AC1626" i="3" s="1"/>
  <c r="AD1627" i="3"/>
  <c r="AC1627" i="3" s="1"/>
  <c r="AD1628" i="3"/>
  <c r="AC1628" i="3" s="1"/>
  <c r="AD1629" i="3"/>
  <c r="AC1629" i="3" s="1"/>
  <c r="AD1630" i="3"/>
  <c r="AC1630" i="3" s="1"/>
  <c r="AD1631" i="3"/>
  <c r="AC1631" i="3" s="1"/>
  <c r="AD1632" i="3"/>
  <c r="AC1632" i="3" s="1"/>
  <c r="AD1633" i="3"/>
  <c r="AC1633" i="3" s="1"/>
  <c r="AD1634" i="3"/>
  <c r="AC1634" i="3" s="1"/>
  <c r="AD1635" i="3"/>
  <c r="AC1635" i="3" s="1"/>
  <c r="AD1636" i="3"/>
  <c r="AC1636" i="3" s="1"/>
  <c r="AD1637" i="3"/>
  <c r="AC1637" i="3" s="1"/>
  <c r="AD1638" i="3"/>
  <c r="AC1638" i="3" s="1"/>
  <c r="AD1639" i="3"/>
  <c r="AC1639" i="3" s="1"/>
  <c r="AD1640" i="3"/>
  <c r="AC1640" i="3" s="1"/>
  <c r="AD1641" i="3"/>
  <c r="AC1641" i="3" s="1"/>
  <c r="AD1642" i="3"/>
  <c r="AC1642" i="3" s="1"/>
  <c r="AD1643" i="3"/>
  <c r="AC1643" i="3" s="1"/>
  <c r="AD1644" i="3"/>
  <c r="AC1644" i="3" s="1"/>
  <c r="AD1645" i="3"/>
  <c r="AC1645" i="3" s="1"/>
  <c r="AD1646" i="3"/>
  <c r="AC1646" i="3" s="1"/>
  <c r="AD1647" i="3"/>
  <c r="AC1647" i="3" s="1"/>
  <c r="AD1648" i="3"/>
  <c r="AC1648" i="3" s="1"/>
  <c r="AD1649" i="3"/>
  <c r="AC1649" i="3" s="1"/>
  <c r="AD1650" i="3"/>
  <c r="AC1650" i="3" s="1"/>
  <c r="AD1651" i="3"/>
  <c r="AC1651" i="3" s="1"/>
  <c r="AD1652" i="3"/>
  <c r="AC1652" i="3" s="1"/>
  <c r="AD1653" i="3"/>
  <c r="AC1653" i="3" s="1"/>
  <c r="AD1654" i="3"/>
  <c r="AC1654" i="3" s="1"/>
  <c r="AD1655" i="3"/>
  <c r="AC1655" i="3" s="1"/>
  <c r="AD1656" i="3"/>
  <c r="AC1656" i="3" s="1"/>
  <c r="AD1657" i="3"/>
  <c r="AC1657" i="3" s="1"/>
  <c r="AD1658" i="3"/>
  <c r="AC1658" i="3" s="1"/>
  <c r="AD1659" i="3"/>
  <c r="AC1659" i="3" s="1"/>
  <c r="AD1660" i="3"/>
  <c r="AC1660" i="3" s="1"/>
  <c r="AD1661" i="3"/>
  <c r="AC1661" i="3" s="1"/>
  <c r="AD1662" i="3"/>
  <c r="AC1662" i="3" s="1"/>
  <c r="AD1663" i="3"/>
  <c r="AC1663" i="3" s="1"/>
  <c r="AD1664" i="3"/>
  <c r="AC1664" i="3" s="1"/>
  <c r="AD1665" i="3"/>
  <c r="AC1665" i="3" s="1"/>
  <c r="AD1666" i="3"/>
  <c r="AC1666" i="3" s="1"/>
  <c r="AD1667" i="3"/>
  <c r="AC1667" i="3" s="1"/>
  <c r="AD1668" i="3"/>
  <c r="AC1668" i="3" s="1"/>
  <c r="AD1669" i="3"/>
  <c r="AC1669" i="3" s="1"/>
  <c r="AD1670" i="3"/>
  <c r="AC1670" i="3" s="1"/>
  <c r="AD1671" i="3"/>
  <c r="AC1671" i="3" s="1"/>
  <c r="AD1672" i="3"/>
  <c r="AC1672" i="3" s="1"/>
  <c r="AD1673" i="3"/>
  <c r="AC1673" i="3" s="1"/>
  <c r="AD1674" i="3"/>
  <c r="AC1674" i="3" s="1"/>
  <c r="AD1675" i="3"/>
  <c r="AC1675" i="3" s="1"/>
  <c r="AD1676" i="3"/>
  <c r="AC1676" i="3" s="1"/>
  <c r="AD1677" i="3"/>
  <c r="AC1677" i="3" s="1"/>
  <c r="AD1678" i="3"/>
  <c r="AC1678" i="3" s="1"/>
  <c r="AD1679" i="3"/>
  <c r="AC1679" i="3" s="1"/>
  <c r="AD1680" i="3"/>
  <c r="AC1680" i="3" s="1"/>
  <c r="AD1681" i="3"/>
  <c r="AC1681" i="3" s="1"/>
  <c r="AD1682" i="3"/>
  <c r="AC1682" i="3" s="1"/>
  <c r="AD1683" i="3"/>
  <c r="AC1683" i="3" s="1"/>
  <c r="AD1684" i="3"/>
  <c r="AC1684" i="3" s="1"/>
  <c r="AD1685" i="3"/>
  <c r="AC1685" i="3" s="1"/>
  <c r="AD1686" i="3"/>
  <c r="AC1686" i="3" s="1"/>
  <c r="AD1687" i="3"/>
  <c r="AC1687" i="3" s="1"/>
  <c r="AD1688" i="3"/>
  <c r="AC1688" i="3" s="1"/>
  <c r="AD1689" i="3"/>
  <c r="AC1689" i="3" s="1"/>
  <c r="AD1690" i="3"/>
  <c r="AC1690" i="3" s="1"/>
  <c r="AD1691" i="3"/>
  <c r="AC1691" i="3" s="1"/>
  <c r="AD1692" i="3"/>
  <c r="AC1692" i="3" s="1"/>
  <c r="AD1693" i="3"/>
  <c r="AC1693" i="3" s="1"/>
  <c r="AD1694" i="3"/>
  <c r="AC1694" i="3" s="1"/>
  <c r="AD1695" i="3"/>
  <c r="AC1695" i="3" s="1"/>
  <c r="AD1696" i="3"/>
  <c r="AC1696" i="3" s="1"/>
  <c r="AD1697" i="3"/>
  <c r="AC1697" i="3" s="1"/>
  <c r="AD1698" i="3"/>
  <c r="AC1698" i="3" s="1"/>
  <c r="AD1699" i="3"/>
  <c r="AC1699" i="3" s="1"/>
  <c r="AD1700" i="3"/>
  <c r="AC1700" i="3" s="1"/>
  <c r="AD1701" i="3"/>
  <c r="AC1701" i="3" s="1"/>
  <c r="AD1702" i="3"/>
  <c r="AC1702" i="3" s="1"/>
  <c r="AD1703" i="3"/>
  <c r="AC1703" i="3" s="1"/>
  <c r="AD1704" i="3"/>
  <c r="AC1704" i="3" s="1"/>
  <c r="AD1705" i="3"/>
  <c r="AC1705" i="3" s="1"/>
  <c r="AD1706" i="3"/>
  <c r="AC1706" i="3" s="1"/>
  <c r="AD1707" i="3"/>
  <c r="AC1707" i="3" s="1"/>
  <c r="AD1708" i="3"/>
  <c r="AC1708" i="3" s="1"/>
  <c r="AD1709" i="3"/>
  <c r="AC1709" i="3" s="1"/>
  <c r="AD1710" i="3"/>
  <c r="AC1710" i="3" s="1"/>
  <c r="AD1711" i="3"/>
  <c r="AC1711" i="3" s="1"/>
  <c r="AD1712" i="3"/>
  <c r="AC1712" i="3" s="1"/>
  <c r="AD1713" i="3"/>
  <c r="AC1713" i="3" s="1"/>
  <c r="AD1714" i="3"/>
  <c r="AC1714" i="3" s="1"/>
  <c r="AD1715" i="3"/>
  <c r="AC1715" i="3" s="1"/>
  <c r="AD1716" i="3"/>
  <c r="AC1716" i="3" s="1"/>
  <c r="AD1717" i="3"/>
  <c r="AC1717" i="3" s="1"/>
  <c r="AD1718" i="3"/>
  <c r="AC1718" i="3" s="1"/>
  <c r="AD1719" i="3"/>
  <c r="AC1719" i="3" s="1"/>
  <c r="AD1720" i="3"/>
  <c r="AC1720" i="3" s="1"/>
  <c r="AD1721" i="3"/>
  <c r="AC1721" i="3" s="1"/>
  <c r="AD1722" i="3"/>
  <c r="AC1722" i="3" s="1"/>
  <c r="AD1723" i="3"/>
  <c r="AC1723" i="3" s="1"/>
  <c r="AD1724" i="3"/>
  <c r="AC1724" i="3" s="1"/>
  <c r="AD1725" i="3"/>
  <c r="AC1725" i="3" s="1"/>
  <c r="AD1726" i="3"/>
  <c r="AC1726" i="3" s="1"/>
  <c r="AD1727" i="3"/>
  <c r="AC1727" i="3" s="1"/>
  <c r="AD1728" i="3"/>
  <c r="AC1728" i="3" s="1"/>
  <c r="AD1729" i="3"/>
  <c r="AC1729" i="3" s="1"/>
  <c r="AD1730" i="3"/>
  <c r="AC1730" i="3" s="1"/>
  <c r="AD1731" i="3"/>
  <c r="AC1731" i="3" s="1"/>
  <c r="AD1732" i="3"/>
  <c r="AC1732" i="3" s="1"/>
  <c r="AD1733" i="3"/>
  <c r="AC1733" i="3" s="1"/>
  <c r="AD1734" i="3"/>
  <c r="AC1734" i="3" s="1"/>
  <c r="AD1735" i="3"/>
  <c r="AC1735" i="3" s="1"/>
  <c r="AD1736" i="3"/>
  <c r="AC1736" i="3" s="1"/>
  <c r="AD1737" i="3"/>
  <c r="AC1737" i="3" s="1"/>
  <c r="AD1738" i="3"/>
  <c r="AC1738" i="3" s="1"/>
  <c r="AD1739" i="3"/>
  <c r="AC1739" i="3" s="1"/>
  <c r="AD1740" i="3"/>
  <c r="AC1740" i="3" s="1"/>
  <c r="AD1741" i="3"/>
  <c r="AC1741" i="3" s="1"/>
  <c r="AD1742" i="3"/>
  <c r="AC1742" i="3" s="1"/>
  <c r="AD1743" i="3"/>
  <c r="AC1743" i="3" s="1"/>
  <c r="AD1744" i="3"/>
  <c r="AC1744" i="3" s="1"/>
  <c r="AD1745" i="3"/>
  <c r="AC1745" i="3" s="1"/>
  <c r="AD1746" i="3"/>
  <c r="AC1746" i="3" s="1"/>
  <c r="AD1747" i="3"/>
  <c r="AC1747" i="3" s="1"/>
  <c r="AD1748" i="3"/>
  <c r="AC1748" i="3" s="1"/>
  <c r="AD1749" i="3"/>
  <c r="AC1749" i="3" s="1"/>
  <c r="AD1750" i="3"/>
  <c r="AC1750" i="3" s="1"/>
  <c r="AD1751" i="3"/>
  <c r="AC1751" i="3" s="1"/>
  <c r="AD1752" i="3"/>
  <c r="AC1752" i="3" s="1"/>
  <c r="AD1753" i="3"/>
  <c r="AC1753" i="3" s="1"/>
  <c r="AD1754" i="3"/>
  <c r="AC1754" i="3" s="1"/>
  <c r="AD1755" i="3"/>
  <c r="AC1755" i="3" s="1"/>
  <c r="AD1756" i="3"/>
  <c r="AC1756" i="3" s="1"/>
  <c r="AD1757" i="3"/>
  <c r="AC1757" i="3" s="1"/>
  <c r="AD1758" i="3"/>
  <c r="AC1758" i="3" s="1"/>
  <c r="AD1759" i="3"/>
  <c r="AC1759" i="3" s="1"/>
  <c r="AD1760" i="3"/>
  <c r="AC1760" i="3" s="1"/>
  <c r="AD1761" i="3"/>
  <c r="AC1761" i="3" s="1"/>
  <c r="AD1762" i="3"/>
  <c r="AC1762" i="3" s="1"/>
  <c r="AD1763" i="3"/>
  <c r="AC1763" i="3" s="1"/>
  <c r="AD1764" i="3"/>
  <c r="AC1764" i="3" s="1"/>
  <c r="AD1765" i="3"/>
  <c r="AC1765" i="3" s="1"/>
  <c r="AD1766" i="3"/>
  <c r="AC1766" i="3" s="1"/>
  <c r="AD1767" i="3"/>
  <c r="AC1767" i="3" s="1"/>
  <c r="AD1768" i="3"/>
  <c r="AC1768" i="3" s="1"/>
  <c r="AD1769" i="3"/>
  <c r="AC1769" i="3" s="1"/>
  <c r="AD1770" i="3"/>
  <c r="AC1770" i="3" s="1"/>
  <c r="AD1771" i="3"/>
  <c r="AC1771" i="3" s="1"/>
  <c r="AD1772" i="3"/>
  <c r="AC1772" i="3" s="1"/>
  <c r="AD1773" i="3"/>
  <c r="AC1773" i="3" s="1"/>
  <c r="AD1774" i="3"/>
  <c r="AC1774" i="3" s="1"/>
  <c r="AD1775" i="3"/>
  <c r="AC1775" i="3" s="1"/>
  <c r="AD1776" i="3"/>
  <c r="AC1776" i="3" s="1"/>
  <c r="AD1777" i="3"/>
  <c r="AC1777" i="3" s="1"/>
  <c r="AD1778" i="3"/>
  <c r="AC1778" i="3" s="1"/>
  <c r="AD1779" i="3"/>
  <c r="AC1779" i="3" s="1"/>
  <c r="AD1780" i="3"/>
  <c r="AC1780" i="3" s="1"/>
  <c r="AD1781" i="3"/>
  <c r="AC1781" i="3" s="1"/>
  <c r="AD1782" i="3"/>
  <c r="AC1782" i="3" s="1"/>
  <c r="AD1783" i="3"/>
  <c r="AC1783" i="3" s="1"/>
  <c r="AD1784" i="3"/>
  <c r="AC1784" i="3" s="1"/>
  <c r="AD1785" i="3"/>
  <c r="AC1785" i="3" s="1"/>
  <c r="AD1786" i="3"/>
  <c r="AC1786" i="3" s="1"/>
  <c r="AD1787" i="3"/>
  <c r="AC1787" i="3" s="1"/>
  <c r="AD1788" i="3"/>
  <c r="AC1788" i="3" s="1"/>
  <c r="AD1789" i="3"/>
  <c r="AC1789" i="3" s="1"/>
  <c r="AD1790" i="3"/>
  <c r="AC1790" i="3" s="1"/>
  <c r="AD1791" i="3"/>
  <c r="AC1791" i="3" s="1"/>
  <c r="AD1792" i="3"/>
  <c r="AC1792" i="3" s="1"/>
  <c r="AD1793" i="3"/>
  <c r="AC1793" i="3" s="1"/>
  <c r="AD1794" i="3"/>
  <c r="AC1794" i="3" s="1"/>
  <c r="AD1795" i="3"/>
  <c r="AC1795" i="3" s="1"/>
  <c r="AD1796" i="3"/>
  <c r="AC1796" i="3" s="1"/>
  <c r="AD1797" i="3"/>
  <c r="AC1797" i="3" s="1"/>
  <c r="AD1798" i="3"/>
  <c r="AC1798" i="3" s="1"/>
  <c r="AD1799" i="3"/>
  <c r="AC1799" i="3" s="1"/>
  <c r="AD1800" i="3"/>
  <c r="AC1800" i="3" s="1"/>
  <c r="AD1801" i="3"/>
  <c r="AC1801" i="3" s="1"/>
  <c r="AD1802" i="3"/>
  <c r="AC1802" i="3" s="1"/>
  <c r="AD1803" i="3"/>
  <c r="AC1803" i="3" s="1"/>
  <c r="AD1804" i="3"/>
  <c r="AC1804" i="3" s="1"/>
  <c r="AD1805" i="3"/>
  <c r="AC1805" i="3" s="1"/>
  <c r="AD1806" i="3"/>
  <c r="AC1806" i="3" s="1"/>
  <c r="AD1807" i="3"/>
  <c r="AC1807" i="3" s="1"/>
  <c r="AD1808" i="3"/>
  <c r="AC1808" i="3" s="1"/>
  <c r="AD1809" i="3"/>
  <c r="AC1809" i="3" s="1"/>
  <c r="AD1810" i="3"/>
  <c r="AC1810" i="3" s="1"/>
  <c r="AD1811" i="3"/>
  <c r="AC1811" i="3" s="1"/>
  <c r="AD1812" i="3"/>
  <c r="AC1812" i="3" s="1"/>
  <c r="AD1813" i="3"/>
  <c r="AC1813" i="3" s="1"/>
  <c r="AD1814" i="3"/>
  <c r="AC1814" i="3" s="1"/>
  <c r="AD1815" i="3"/>
  <c r="AC1815" i="3" s="1"/>
  <c r="AD1816" i="3"/>
  <c r="AC1816" i="3" s="1"/>
  <c r="AD1817" i="3"/>
  <c r="AC1817" i="3" s="1"/>
  <c r="AD1818" i="3"/>
  <c r="AC1818" i="3" s="1"/>
  <c r="AD1819" i="3"/>
  <c r="AC1819" i="3" s="1"/>
  <c r="AD1820" i="3"/>
  <c r="AC1820" i="3" s="1"/>
  <c r="AD1821" i="3"/>
  <c r="AC1821" i="3" s="1"/>
  <c r="AD1822" i="3"/>
  <c r="AC1822" i="3" s="1"/>
  <c r="AD1823" i="3"/>
  <c r="AC1823" i="3" s="1"/>
  <c r="AD1824" i="3"/>
  <c r="AC1824" i="3" s="1"/>
  <c r="AD1825" i="3"/>
  <c r="AC1825" i="3" s="1"/>
  <c r="AD1826" i="3"/>
  <c r="AC1826" i="3" s="1"/>
  <c r="AD1827" i="3"/>
  <c r="AC1827" i="3" s="1"/>
  <c r="AD1828" i="3"/>
  <c r="AC1828" i="3" s="1"/>
  <c r="AD1829" i="3"/>
  <c r="AC1829" i="3" s="1"/>
  <c r="AD1830" i="3"/>
  <c r="AC1830" i="3" s="1"/>
  <c r="AD1831" i="3"/>
  <c r="AC1831" i="3" s="1"/>
  <c r="AD1832" i="3"/>
  <c r="AC1832" i="3" s="1"/>
  <c r="AD1833" i="3"/>
  <c r="AC1833" i="3" s="1"/>
  <c r="AD1834" i="3"/>
  <c r="AC1834" i="3" s="1"/>
  <c r="AD1835" i="3"/>
  <c r="AC1835" i="3" s="1"/>
  <c r="AD1836" i="3"/>
  <c r="AC1836" i="3" s="1"/>
  <c r="AD1837" i="3"/>
  <c r="AC1837" i="3" s="1"/>
  <c r="AD1838" i="3"/>
  <c r="AC1838" i="3" s="1"/>
  <c r="AD1839" i="3"/>
  <c r="AC1839" i="3" s="1"/>
  <c r="AD1840" i="3"/>
  <c r="AC1840" i="3" s="1"/>
  <c r="AD1841" i="3"/>
  <c r="AC1841" i="3" s="1"/>
  <c r="AD1842" i="3"/>
  <c r="AC1842" i="3" s="1"/>
  <c r="AD1843" i="3"/>
  <c r="AC1843" i="3" s="1"/>
  <c r="AD1844" i="3"/>
  <c r="AC1844" i="3" s="1"/>
  <c r="AD1845" i="3"/>
  <c r="AC1845" i="3" s="1"/>
  <c r="AD1846" i="3"/>
  <c r="AC1846" i="3" s="1"/>
  <c r="AD1847" i="3"/>
  <c r="AC1847" i="3" s="1"/>
  <c r="AD1848" i="3"/>
  <c r="AC1848" i="3" s="1"/>
  <c r="AD1849" i="3"/>
  <c r="AC1849" i="3" s="1"/>
  <c r="AD1850" i="3"/>
  <c r="AC1850" i="3" s="1"/>
  <c r="AD1851" i="3"/>
  <c r="AC1851" i="3" s="1"/>
  <c r="AD1852" i="3"/>
  <c r="AC1852" i="3" s="1"/>
  <c r="AD1853" i="3"/>
  <c r="AC1853" i="3" s="1"/>
  <c r="AD1854" i="3"/>
  <c r="AC1854" i="3" s="1"/>
  <c r="AD1855" i="3"/>
  <c r="AC1855" i="3" s="1"/>
  <c r="AD1856" i="3"/>
  <c r="AC1856" i="3" s="1"/>
  <c r="AD1857" i="3"/>
  <c r="AC1857" i="3" s="1"/>
  <c r="AD1858" i="3"/>
  <c r="AC1858" i="3" s="1"/>
  <c r="AD1859" i="3"/>
  <c r="AC1859" i="3" s="1"/>
  <c r="AD1860" i="3"/>
  <c r="AC1860" i="3" s="1"/>
  <c r="AD1861" i="3"/>
  <c r="AC1861" i="3" s="1"/>
  <c r="AD1862" i="3"/>
  <c r="AC1862" i="3" s="1"/>
  <c r="AD1863" i="3"/>
  <c r="AC1863" i="3" s="1"/>
  <c r="AD1864" i="3"/>
  <c r="AC1864" i="3" s="1"/>
  <c r="AD1865" i="3"/>
  <c r="AC1865" i="3" s="1"/>
  <c r="AD1866" i="3"/>
  <c r="AC1866" i="3" s="1"/>
  <c r="AD1867" i="3"/>
  <c r="AC1867" i="3" s="1"/>
  <c r="AD1868" i="3"/>
  <c r="AC1868" i="3" s="1"/>
  <c r="AD1869" i="3"/>
  <c r="AC1869" i="3" s="1"/>
  <c r="AD1870" i="3"/>
  <c r="AC1870" i="3" s="1"/>
  <c r="AD1871" i="3"/>
  <c r="AC1871" i="3" s="1"/>
  <c r="AD1872" i="3"/>
  <c r="AC1872" i="3" s="1"/>
  <c r="AD1873" i="3"/>
  <c r="AC1873" i="3" s="1"/>
  <c r="AD1874" i="3"/>
  <c r="AC1874" i="3" s="1"/>
  <c r="AD1875" i="3"/>
  <c r="AC1875" i="3" s="1"/>
  <c r="AD1876" i="3"/>
  <c r="AC1876" i="3" s="1"/>
  <c r="AD1877" i="3"/>
  <c r="AC1877" i="3" s="1"/>
  <c r="AD1878" i="3"/>
  <c r="AC1878" i="3" s="1"/>
  <c r="AD1879" i="3"/>
  <c r="AC1879" i="3" s="1"/>
  <c r="AD1880" i="3"/>
  <c r="AC1880" i="3" s="1"/>
  <c r="AD1881" i="3"/>
  <c r="AC1881" i="3" s="1"/>
  <c r="AD1882" i="3"/>
  <c r="AC1882" i="3" s="1"/>
  <c r="AD1883" i="3"/>
  <c r="AC1883" i="3" s="1"/>
  <c r="AD1884" i="3"/>
  <c r="AC1884" i="3" s="1"/>
  <c r="AD1885" i="3"/>
  <c r="AC1885" i="3" s="1"/>
  <c r="AD1886" i="3"/>
  <c r="AC1886" i="3" s="1"/>
  <c r="AD1887" i="3"/>
  <c r="AC1887" i="3" s="1"/>
  <c r="AD1888" i="3"/>
  <c r="AC1888" i="3" s="1"/>
  <c r="AD1889" i="3"/>
  <c r="AC1889" i="3" s="1"/>
  <c r="AD1890" i="3"/>
  <c r="AC1890" i="3" s="1"/>
  <c r="AD1891" i="3"/>
  <c r="AC1891" i="3" s="1"/>
  <c r="AD1892" i="3"/>
  <c r="AC1892" i="3" s="1"/>
  <c r="AD1893" i="3"/>
  <c r="AC1893" i="3" s="1"/>
  <c r="AD1894" i="3"/>
  <c r="AC1894" i="3" s="1"/>
  <c r="AD1895" i="3"/>
  <c r="AC1895" i="3" s="1"/>
  <c r="AD1896" i="3"/>
  <c r="AC1896" i="3" s="1"/>
  <c r="AD1897" i="3"/>
  <c r="AC1897" i="3" s="1"/>
  <c r="AD1898" i="3"/>
  <c r="AC1898" i="3" s="1"/>
  <c r="AD1899" i="3"/>
  <c r="AC1899" i="3" s="1"/>
  <c r="AD1900" i="3"/>
  <c r="AC1900" i="3" s="1"/>
  <c r="AD1901" i="3"/>
  <c r="AC1901" i="3" s="1"/>
  <c r="AD1902" i="3"/>
  <c r="AC1902" i="3" s="1"/>
  <c r="AD1903" i="3"/>
  <c r="AC1903" i="3" s="1"/>
  <c r="AD1904" i="3"/>
  <c r="AC1904" i="3" s="1"/>
  <c r="AD1905" i="3"/>
  <c r="AC1905" i="3" s="1"/>
  <c r="AD1906" i="3"/>
  <c r="AC1906" i="3" s="1"/>
  <c r="AD1907" i="3"/>
  <c r="AC1907" i="3" s="1"/>
  <c r="AD1908" i="3"/>
  <c r="AC1908" i="3" s="1"/>
  <c r="AD1909" i="3"/>
  <c r="AC1909" i="3" s="1"/>
  <c r="AD1910" i="3"/>
  <c r="AC1910" i="3" s="1"/>
  <c r="AD1911" i="3"/>
  <c r="AC1911" i="3" s="1"/>
  <c r="AD1912" i="3"/>
  <c r="AC1912" i="3" s="1"/>
  <c r="AD1913" i="3"/>
  <c r="AC1913" i="3" s="1"/>
  <c r="AD1914" i="3"/>
  <c r="AC1914" i="3" s="1"/>
  <c r="AD1915" i="3"/>
  <c r="AC1915" i="3" s="1"/>
  <c r="AD1916" i="3"/>
  <c r="AC1916" i="3" s="1"/>
  <c r="AD1917" i="3"/>
  <c r="AC1917" i="3" s="1"/>
  <c r="AD1918" i="3"/>
  <c r="AC1918" i="3" s="1"/>
  <c r="AD1919" i="3"/>
  <c r="AC1919" i="3" s="1"/>
  <c r="AD1920" i="3"/>
  <c r="AC1920" i="3" s="1"/>
  <c r="AD1921" i="3"/>
  <c r="AC1921" i="3" s="1"/>
  <c r="AD1922" i="3"/>
  <c r="AC1922" i="3" s="1"/>
  <c r="AD1923" i="3"/>
  <c r="AC1923" i="3" s="1"/>
  <c r="AD1924" i="3"/>
  <c r="AC1924" i="3" s="1"/>
  <c r="AD1925" i="3"/>
  <c r="AC1925" i="3" s="1"/>
  <c r="AD1926" i="3"/>
  <c r="AC1926" i="3" s="1"/>
  <c r="AD1927" i="3"/>
  <c r="AC1927" i="3" s="1"/>
  <c r="AD1928" i="3"/>
  <c r="AC1928" i="3" s="1"/>
  <c r="AD1929" i="3"/>
  <c r="AC1929" i="3" s="1"/>
  <c r="AD1930" i="3"/>
  <c r="AC1930" i="3" s="1"/>
  <c r="AD1931" i="3"/>
  <c r="AC1931" i="3" s="1"/>
  <c r="AD1932" i="3"/>
  <c r="AC1932" i="3" s="1"/>
  <c r="AD1933" i="3"/>
  <c r="AC1933" i="3" s="1"/>
  <c r="AD1934" i="3"/>
  <c r="AC1934" i="3" s="1"/>
  <c r="AD1935" i="3"/>
  <c r="AC1935" i="3" s="1"/>
  <c r="AD1936" i="3"/>
  <c r="AC1936" i="3" s="1"/>
  <c r="AD1937" i="3"/>
  <c r="AC1937" i="3" s="1"/>
  <c r="AD1938" i="3"/>
  <c r="AC1938" i="3" s="1"/>
  <c r="AD1939" i="3"/>
  <c r="AC1939" i="3" s="1"/>
  <c r="AD1940" i="3"/>
  <c r="AC1940" i="3" s="1"/>
  <c r="AD1941" i="3"/>
  <c r="AC1941" i="3" s="1"/>
  <c r="AD1942" i="3"/>
  <c r="AC1942" i="3" s="1"/>
  <c r="AD1943" i="3"/>
  <c r="AC1943" i="3" s="1"/>
  <c r="AD1944" i="3"/>
  <c r="AC1944" i="3" s="1"/>
  <c r="AD1945" i="3"/>
  <c r="AC1945" i="3" s="1"/>
  <c r="AD1946" i="3"/>
  <c r="AC1946" i="3" s="1"/>
  <c r="AD1947" i="3"/>
  <c r="AC1947" i="3" s="1"/>
  <c r="AD1948" i="3"/>
  <c r="AC1948" i="3" s="1"/>
  <c r="AD1949" i="3"/>
  <c r="AC1949" i="3" s="1"/>
  <c r="AD1950" i="3"/>
  <c r="AC1950" i="3" s="1"/>
  <c r="AD1951" i="3"/>
  <c r="AC1951" i="3" s="1"/>
  <c r="AD1952" i="3"/>
  <c r="AC1952" i="3" s="1"/>
  <c r="AD1953" i="3"/>
  <c r="AC1953" i="3" s="1"/>
  <c r="AD1954" i="3"/>
  <c r="AC1954" i="3" s="1"/>
  <c r="AD1955" i="3"/>
  <c r="AC1955" i="3" s="1"/>
  <c r="AD1956" i="3"/>
  <c r="AC1956" i="3" s="1"/>
  <c r="AD1957" i="3"/>
  <c r="AC1957" i="3" s="1"/>
  <c r="AD1958" i="3"/>
  <c r="AC1958" i="3" s="1"/>
  <c r="AD1959" i="3"/>
  <c r="AC1959" i="3" s="1"/>
  <c r="AD1960" i="3"/>
  <c r="AC1960" i="3" s="1"/>
  <c r="AD1961" i="3"/>
  <c r="AC1961" i="3" s="1"/>
  <c r="AD1962" i="3"/>
  <c r="AC1962" i="3" s="1"/>
  <c r="AD1963" i="3"/>
  <c r="AC1963" i="3" s="1"/>
  <c r="AD1964" i="3"/>
  <c r="AC1964" i="3" s="1"/>
  <c r="AD1965" i="3"/>
  <c r="AC1965" i="3" s="1"/>
  <c r="AD1966" i="3"/>
  <c r="AC1966" i="3" s="1"/>
  <c r="AD1967" i="3"/>
  <c r="AC1967" i="3" s="1"/>
  <c r="AD1968" i="3"/>
  <c r="AC1968" i="3" s="1"/>
  <c r="AD1969" i="3"/>
  <c r="AC1969" i="3" s="1"/>
  <c r="AD1970" i="3"/>
  <c r="AC1970" i="3" s="1"/>
  <c r="AD1971" i="3"/>
  <c r="AC1971" i="3" s="1"/>
  <c r="AD1972" i="3"/>
  <c r="AC1972" i="3" s="1"/>
  <c r="AD1973" i="3"/>
  <c r="AC1973" i="3" s="1"/>
  <c r="AD1974" i="3"/>
  <c r="AC1974" i="3" s="1"/>
  <c r="AD1975" i="3"/>
  <c r="AC1975" i="3" s="1"/>
  <c r="AD1976" i="3"/>
  <c r="AC1976" i="3" s="1"/>
  <c r="AD1977" i="3"/>
  <c r="AC1977" i="3" s="1"/>
  <c r="AD1978" i="3"/>
  <c r="AC1978" i="3" s="1"/>
  <c r="AD1979" i="3"/>
  <c r="AC1979" i="3" s="1"/>
  <c r="AD1980" i="3"/>
  <c r="AC1980" i="3" s="1"/>
  <c r="AD1981" i="3"/>
  <c r="AC1981" i="3" s="1"/>
  <c r="AD1982" i="3"/>
  <c r="AC1982" i="3" s="1"/>
  <c r="AD1983" i="3"/>
  <c r="AC1983" i="3" s="1"/>
  <c r="AD1984" i="3"/>
  <c r="AC1984" i="3" s="1"/>
  <c r="AD1985" i="3"/>
  <c r="AC1985" i="3" s="1"/>
  <c r="AD1986" i="3"/>
  <c r="AC1986" i="3" s="1"/>
  <c r="AD1987" i="3"/>
  <c r="AC1987" i="3" s="1"/>
  <c r="AD1988" i="3"/>
  <c r="AC1988" i="3" s="1"/>
  <c r="AD1989" i="3"/>
  <c r="AC1989" i="3" s="1"/>
  <c r="AD1990" i="3"/>
  <c r="AC1990" i="3" s="1"/>
  <c r="AD1991" i="3"/>
  <c r="AC1991" i="3" s="1"/>
  <c r="AD1992" i="3"/>
  <c r="AC1992" i="3" s="1"/>
  <c r="AD1993" i="3"/>
  <c r="AC1993" i="3" s="1"/>
  <c r="AD1994" i="3"/>
  <c r="AC1994" i="3" s="1"/>
  <c r="AD1995" i="3"/>
  <c r="AC1995" i="3" s="1"/>
  <c r="AD1996" i="3"/>
  <c r="AC1996" i="3" s="1"/>
  <c r="AD1997" i="3"/>
  <c r="AC1997" i="3" s="1"/>
  <c r="AD1998" i="3"/>
  <c r="AC1998" i="3" s="1"/>
  <c r="AD1999" i="3"/>
  <c r="AC1999" i="3" s="1"/>
  <c r="AD2000" i="3"/>
  <c r="AC2000" i="3" s="1"/>
  <c r="AD2001" i="3"/>
  <c r="AC2001" i="3" s="1"/>
  <c r="AD2002" i="3"/>
  <c r="AC2002" i="3" s="1"/>
  <c r="AD2003" i="3"/>
  <c r="AC2003" i="3" s="1"/>
  <c r="AD2004" i="3"/>
  <c r="AC2004" i="3" s="1"/>
  <c r="AD2005" i="3"/>
  <c r="AC2005" i="3" s="1"/>
  <c r="AD2006" i="3"/>
  <c r="AC2006" i="3" s="1"/>
  <c r="AD2007" i="3"/>
  <c r="AC2007" i="3" s="1"/>
  <c r="AD2008" i="3"/>
  <c r="AC2008" i="3" s="1"/>
  <c r="AD2009" i="3"/>
  <c r="AC2009" i="3" s="1"/>
  <c r="AD2010" i="3"/>
  <c r="AC2010" i="3" s="1"/>
  <c r="AD2011" i="3"/>
  <c r="AC2011" i="3" s="1"/>
  <c r="AD2012" i="3"/>
  <c r="AC2012" i="3" s="1"/>
  <c r="AD2013" i="3"/>
  <c r="AC2013" i="3" s="1"/>
  <c r="AD2014" i="3"/>
  <c r="AC2014" i="3" s="1"/>
  <c r="AD2015" i="3"/>
  <c r="AC2015" i="3" s="1"/>
  <c r="AD2016" i="3"/>
  <c r="AC2016" i="3" s="1"/>
  <c r="AD2017" i="3"/>
  <c r="AC2017" i="3" s="1"/>
  <c r="AD2018" i="3"/>
  <c r="AC2018" i="3" s="1"/>
  <c r="AD2019" i="3"/>
  <c r="AC2019" i="3" s="1"/>
  <c r="AD2020" i="3"/>
  <c r="AC2020" i="3" s="1"/>
  <c r="AD2021" i="3"/>
  <c r="AC2021" i="3" s="1"/>
  <c r="AD2022" i="3"/>
  <c r="AC2022" i="3" s="1"/>
  <c r="AD2023" i="3"/>
  <c r="AC2023" i="3" s="1"/>
  <c r="AD2024" i="3"/>
  <c r="AC2024" i="3" s="1"/>
  <c r="AD2025" i="3"/>
  <c r="AC2025" i="3" s="1"/>
  <c r="AD2026" i="3"/>
  <c r="AC2026" i="3" s="1"/>
  <c r="AD2027" i="3"/>
  <c r="AC2027" i="3" s="1"/>
  <c r="AD2028" i="3"/>
  <c r="AC2028" i="3" s="1"/>
  <c r="AD2029" i="3"/>
  <c r="AC2029" i="3" s="1"/>
  <c r="AD2030" i="3"/>
  <c r="AC2030" i="3" s="1"/>
  <c r="AD2031" i="3"/>
  <c r="AC2031" i="3" s="1"/>
  <c r="AD2032" i="3"/>
  <c r="AC2032" i="3" s="1"/>
  <c r="AD2033" i="3"/>
  <c r="AC2033" i="3" s="1"/>
  <c r="AD2034" i="3"/>
  <c r="AC2034" i="3" s="1"/>
  <c r="AD2035" i="3"/>
  <c r="AC2035" i="3" s="1"/>
  <c r="AD2036" i="3"/>
  <c r="AC2036" i="3" s="1"/>
  <c r="AD2037" i="3"/>
  <c r="AC2037" i="3" s="1"/>
  <c r="AD2038" i="3"/>
  <c r="AC2038" i="3" s="1"/>
  <c r="AD2039" i="3"/>
  <c r="AC2039" i="3" s="1"/>
  <c r="AD2040" i="3"/>
  <c r="AC2040" i="3" s="1"/>
  <c r="AD2041" i="3"/>
  <c r="AC2041" i="3" s="1"/>
  <c r="AD2042" i="3"/>
  <c r="AC2042" i="3" s="1"/>
  <c r="AD2043" i="3"/>
  <c r="AC2043" i="3" s="1"/>
  <c r="AD2044" i="3"/>
  <c r="AC2044" i="3" s="1"/>
  <c r="AD2045" i="3"/>
  <c r="AC2045" i="3" s="1"/>
  <c r="AD2046" i="3"/>
  <c r="AC2046" i="3" s="1"/>
  <c r="AD2047" i="3"/>
  <c r="AC2047" i="3" s="1"/>
  <c r="AD2048" i="3"/>
  <c r="AC2048" i="3" s="1"/>
  <c r="AD2049" i="3"/>
  <c r="AC2049" i="3" s="1"/>
  <c r="AD2050" i="3"/>
  <c r="AC2050" i="3" s="1"/>
  <c r="AD2051" i="3"/>
  <c r="AC2051" i="3" s="1"/>
  <c r="AD2052" i="3"/>
  <c r="AC2052" i="3" s="1"/>
  <c r="AD2053" i="3"/>
  <c r="AC2053" i="3" s="1"/>
  <c r="AD2054" i="3"/>
  <c r="AC2054" i="3" s="1"/>
  <c r="AD2055" i="3"/>
  <c r="AC2055" i="3" s="1"/>
  <c r="AD2056" i="3"/>
  <c r="AC2056" i="3" s="1"/>
  <c r="AD2057" i="3"/>
  <c r="AC2057" i="3" s="1"/>
  <c r="AD2058" i="3"/>
  <c r="AC2058" i="3" s="1"/>
  <c r="AD2059" i="3"/>
  <c r="AC2059" i="3" s="1"/>
  <c r="AD2060" i="3"/>
  <c r="AC2060" i="3" s="1"/>
  <c r="AD2061" i="3"/>
  <c r="AC2061" i="3" s="1"/>
  <c r="AD2062" i="3"/>
  <c r="AC2062" i="3" s="1"/>
  <c r="AD2063" i="3"/>
  <c r="AC2063" i="3" s="1"/>
  <c r="AD2064" i="3"/>
  <c r="AC2064" i="3" s="1"/>
  <c r="AD2065" i="3"/>
  <c r="AC2065" i="3" s="1"/>
  <c r="AD2066" i="3"/>
  <c r="AC2066" i="3" s="1"/>
  <c r="AD2067" i="3"/>
  <c r="AC2067" i="3" s="1"/>
  <c r="AD2068" i="3"/>
  <c r="AC2068" i="3" s="1"/>
  <c r="AD2069" i="3"/>
  <c r="AC2069" i="3" s="1"/>
  <c r="AD2070" i="3"/>
  <c r="AC2070" i="3" s="1"/>
  <c r="AD2071" i="3"/>
  <c r="AC2071" i="3" s="1"/>
  <c r="AD2072" i="3"/>
  <c r="AC2072" i="3" s="1"/>
  <c r="AD2073" i="3"/>
  <c r="AC2073" i="3" s="1"/>
  <c r="AD2074" i="3"/>
  <c r="AC2074" i="3" s="1"/>
  <c r="AD2075" i="3"/>
  <c r="AC2075" i="3" s="1"/>
  <c r="AD2076" i="3"/>
  <c r="AC2076" i="3" s="1"/>
  <c r="AD2077" i="3"/>
  <c r="AC2077" i="3" s="1"/>
  <c r="AD2078" i="3"/>
  <c r="AC2078" i="3" s="1"/>
  <c r="AD2079" i="3"/>
  <c r="AC2079" i="3" s="1"/>
  <c r="AD2080" i="3"/>
  <c r="AC2080" i="3" s="1"/>
  <c r="AD2081" i="3"/>
  <c r="AC2081" i="3" s="1"/>
  <c r="AD2082" i="3"/>
  <c r="AC2082" i="3" s="1"/>
  <c r="AD2083" i="3"/>
  <c r="AC2083" i="3" s="1"/>
  <c r="AD2084" i="3"/>
  <c r="AC2084" i="3" s="1"/>
  <c r="AD2085" i="3"/>
  <c r="AC2085" i="3" s="1"/>
  <c r="AD2086" i="3"/>
  <c r="AC2086" i="3" s="1"/>
  <c r="AD2087" i="3"/>
  <c r="AC2087" i="3" s="1"/>
  <c r="AD2088" i="3"/>
  <c r="AC2088" i="3" s="1"/>
  <c r="AD2089" i="3"/>
  <c r="AC2089" i="3" s="1"/>
  <c r="AD2090" i="3"/>
  <c r="AC2090" i="3" s="1"/>
  <c r="AD2091" i="3"/>
  <c r="AC2091" i="3" s="1"/>
  <c r="AD2092" i="3"/>
  <c r="AC2092" i="3" s="1"/>
  <c r="AD2093" i="3"/>
  <c r="AC2093" i="3" s="1"/>
  <c r="AD2094" i="3"/>
  <c r="AC2094" i="3" s="1"/>
  <c r="AD2095" i="3"/>
  <c r="AC2095" i="3" s="1"/>
  <c r="AD2096" i="3"/>
  <c r="AC2096" i="3" s="1"/>
  <c r="AD2097" i="3"/>
  <c r="AC2097" i="3" s="1"/>
  <c r="AD2098" i="3"/>
  <c r="AC2098" i="3" s="1"/>
  <c r="AD2099" i="3"/>
  <c r="AC2099" i="3" s="1"/>
  <c r="AD2100" i="3"/>
  <c r="AC2100" i="3" s="1"/>
  <c r="AD2101" i="3"/>
  <c r="AC2101" i="3" s="1"/>
  <c r="AD2102" i="3"/>
  <c r="AC2102" i="3" s="1"/>
  <c r="AD2103" i="3"/>
  <c r="AC2103" i="3" s="1"/>
  <c r="AD2104" i="3"/>
  <c r="AC2104" i="3" s="1"/>
  <c r="AD2105" i="3"/>
  <c r="AC2105" i="3" s="1"/>
  <c r="AD2106" i="3"/>
  <c r="AC2106" i="3" s="1"/>
  <c r="AD2107" i="3"/>
  <c r="AC2107" i="3" s="1"/>
  <c r="AD2108" i="3"/>
  <c r="AC2108" i="3" s="1"/>
  <c r="AD2109" i="3"/>
  <c r="AC2109" i="3" s="1"/>
  <c r="AD2110" i="3"/>
  <c r="AC2110" i="3" s="1"/>
  <c r="AD2111" i="3"/>
  <c r="AC2111" i="3" s="1"/>
  <c r="AD2112" i="3"/>
  <c r="AC2112" i="3" s="1"/>
  <c r="AD2113" i="3"/>
  <c r="AC2113" i="3" s="1"/>
  <c r="AD2114" i="3"/>
  <c r="AC2114" i="3" s="1"/>
  <c r="AD2115" i="3"/>
  <c r="AC2115" i="3" s="1"/>
  <c r="AD2116" i="3"/>
  <c r="AC2116" i="3" s="1"/>
  <c r="AD2117" i="3"/>
  <c r="AC2117" i="3" s="1"/>
  <c r="AD2118" i="3"/>
  <c r="AC2118" i="3" s="1"/>
  <c r="AD2119" i="3"/>
  <c r="AC2119" i="3" s="1"/>
  <c r="AD2120" i="3"/>
  <c r="AC2120" i="3" s="1"/>
  <c r="AD2121" i="3"/>
  <c r="AC2121" i="3" s="1"/>
  <c r="AD2122" i="3"/>
  <c r="AC2122" i="3" s="1"/>
  <c r="AD2123" i="3"/>
  <c r="AC2123" i="3" s="1"/>
  <c r="AD2124" i="3"/>
  <c r="AC2124" i="3" s="1"/>
  <c r="AD2125" i="3"/>
  <c r="AC2125" i="3" s="1"/>
  <c r="AD2126" i="3"/>
  <c r="AC2126" i="3" s="1"/>
  <c r="AD2127" i="3"/>
  <c r="AC2127" i="3" s="1"/>
  <c r="AD2128" i="3"/>
  <c r="AC2128" i="3" s="1"/>
  <c r="AD2129" i="3"/>
  <c r="AC2129" i="3" s="1"/>
  <c r="AD2130" i="3"/>
  <c r="AC2130" i="3" s="1"/>
  <c r="AD2131" i="3"/>
  <c r="AC2131" i="3" s="1"/>
  <c r="AD2132" i="3"/>
  <c r="AC2132" i="3" s="1"/>
  <c r="AD2133" i="3"/>
  <c r="AC2133" i="3" s="1"/>
  <c r="AD2134" i="3"/>
  <c r="AC2134" i="3" s="1"/>
  <c r="AD2135" i="3"/>
  <c r="AC2135" i="3" s="1"/>
  <c r="AD2136" i="3"/>
  <c r="AC2136" i="3" s="1"/>
  <c r="AD2137" i="3"/>
  <c r="AC2137" i="3" s="1"/>
  <c r="AD2138" i="3"/>
  <c r="AC2138" i="3" s="1"/>
  <c r="AD2139" i="3"/>
  <c r="AC2139" i="3" s="1"/>
  <c r="AD2140" i="3"/>
  <c r="AC2140" i="3" s="1"/>
  <c r="AD2141" i="3"/>
  <c r="AC2141" i="3" s="1"/>
  <c r="AD2142" i="3"/>
  <c r="AC2142" i="3" s="1"/>
  <c r="AD2143" i="3"/>
  <c r="AC2143" i="3" s="1"/>
  <c r="AD2144" i="3"/>
  <c r="AC2144" i="3" s="1"/>
  <c r="AD2145" i="3"/>
  <c r="AC2145" i="3" s="1"/>
  <c r="AD2146" i="3"/>
  <c r="AC2146" i="3" s="1"/>
  <c r="AD2147" i="3"/>
  <c r="AC2147" i="3" s="1"/>
  <c r="AD2148" i="3"/>
  <c r="AC2148" i="3" s="1"/>
  <c r="AD2149" i="3"/>
  <c r="AC2149" i="3" s="1"/>
  <c r="AD2150" i="3"/>
  <c r="AC2150" i="3" s="1"/>
  <c r="AD2151" i="3"/>
  <c r="AC2151" i="3" s="1"/>
  <c r="AD2152" i="3"/>
  <c r="AC2152" i="3" s="1"/>
  <c r="AD2153" i="3"/>
  <c r="AC2153" i="3" s="1"/>
  <c r="AD2154" i="3"/>
  <c r="AC2154" i="3" s="1"/>
  <c r="AD2155" i="3"/>
  <c r="AC2155" i="3" s="1"/>
  <c r="AD2156" i="3"/>
  <c r="AC2156" i="3" s="1"/>
  <c r="AD2157" i="3"/>
  <c r="AC2157" i="3" s="1"/>
  <c r="AD2158" i="3"/>
  <c r="AC2158" i="3" s="1"/>
  <c r="AD2159" i="3"/>
  <c r="AC2159" i="3" s="1"/>
  <c r="AD2160" i="3"/>
  <c r="AC2160" i="3" s="1"/>
  <c r="AD2161" i="3"/>
  <c r="AC2161" i="3" s="1"/>
  <c r="AD2162" i="3"/>
  <c r="AC2162" i="3" s="1"/>
  <c r="AD2163" i="3"/>
  <c r="AC2163" i="3" s="1"/>
  <c r="AD2164" i="3"/>
  <c r="AC2164" i="3" s="1"/>
  <c r="AD2165" i="3"/>
  <c r="AC2165" i="3" s="1"/>
  <c r="AD2166" i="3"/>
  <c r="AC2166" i="3" s="1"/>
  <c r="AD2167" i="3"/>
  <c r="AC2167" i="3" s="1"/>
  <c r="AD2168" i="3"/>
  <c r="AC2168" i="3" s="1"/>
  <c r="AD2169" i="3"/>
  <c r="AC2169" i="3" s="1"/>
  <c r="AD2170" i="3"/>
  <c r="AC2170" i="3" s="1"/>
  <c r="AD2171" i="3"/>
  <c r="AC2171" i="3" s="1"/>
  <c r="AD2172" i="3"/>
  <c r="AC2172" i="3" s="1"/>
  <c r="AD2173" i="3"/>
  <c r="AC2173" i="3" s="1"/>
  <c r="AD2174" i="3"/>
  <c r="AC2174" i="3" s="1"/>
  <c r="AD2175" i="3"/>
  <c r="AC2175" i="3" s="1"/>
  <c r="AD2176" i="3"/>
  <c r="AC2176" i="3" s="1"/>
  <c r="AD2177" i="3"/>
  <c r="AC2177" i="3" s="1"/>
  <c r="AD2178" i="3"/>
  <c r="AC2178" i="3" s="1"/>
  <c r="AD2179" i="3"/>
  <c r="AC2179" i="3" s="1"/>
  <c r="AD2180" i="3"/>
  <c r="AC2180" i="3" s="1"/>
  <c r="AD2181" i="3"/>
  <c r="AC2181" i="3" s="1"/>
  <c r="AD2182" i="3"/>
  <c r="AC2182" i="3" s="1"/>
  <c r="AD2183" i="3"/>
  <c r="AC2183" i="3" s="1"/>
  <c r="AD2184" i="3"/>
  <c r="AC2184" i="3" s="1"/>
  <c r="AD2185" i="3"/>
  <c r="AC2185" i="3" s="1"/>
  <c r="AD2186" i="3"/>
  <c r="AC2186" i="3" s="1"/>
  <c r="AD2187" i="3"/>
  <c r="AC2187" i="3" s="1"/>
  <c r="AD2188" i="3"/>
  <c r="AC2188" i="3" s="1"/>
  <c r="AD2189" i="3"/>
  <c r="AC2189" i="3" s="1"/>
  <c r="AD2190" i="3"/>
  <c r="AC2190" i="3" s="1"/>
  <c r="AD2191" i="3"/>
  <c r="AC2191" i="3" s="1"/>
  <c r="AD2192" i="3"/>
  <c r="AC2192" i="3" s="1"/>
  <c r="AD2193" i="3"/>
  <c r="AC2193" i="3" s="1"/>
  <c r="AD2194" i="3"/>
  <c r="AC2194" i="3" s="1"/>
  <c r="AD2195" i="3"/>
  <c r="AC2195" i="3" s="1"/>
  <c r="AD2196" i="3"/>
  <c r="AC2196" i="3" s="1"/>
  <c r="AD2197" i="3"/>
  <c r="AC2197" i="3" s="1"/>
  <c r="AD2198" i="3"/>
  <c r="AC2198" i="3" s="1"/>
  <c r="AD2199" i="3"/>
  <c r="AC2199" i="3" s="1"/>
  <c r="AD2200" i="3"/>
  <c r="AC2200" i="3" s="1"/>
  <c r="AD2201" i="3"/>
  <c r="AC2201" i="3" s="1"/>
  <c r="AD2202" i="3"/>
  <c r="AC2202" i="3" s="1"/>
  <c r="AD2203" i="3"/>
  <c r="AC2203" i="3" s="1"/>
  <c r="AD2204" i="3"/>
  <c r="AC2204" i="3" s="1"/>
  <c r="AD2205" i="3"/>
  <c r="AC2205" i="3" s="1"/>
  <c r="AD2206" i="3"/>
  <c r="AC2206" i="3" s="1"/>
  <c r="AD2207" i="3"/>
  <c r="AC2207" i="3" s="1"/>
  <c r="AD2208" i="3"/>
  <c r="AC2208" i="3" s="1"/>
  <c r="AD2209" i="3"/>
  <c r="AC2209" i="3" s="1"/>
  <c r="AD2210" i="3"/>
  <c r="AC2210" i="3" s="1"/>
  <c r="AD2211" i="3"/>
  <c r="AC2211" i="3" s="1"/>
  <c r="AD2212" i="3"/>
  <c r="AC2212" i="3" s="1"/>
  <c r="AD2213" i="3"/>
  <c r="AC2213" i="3" s="1"/>
  <c r="AD2214" i="3"/>
  <c r="AC2214" i="3" s="1"/>
  <c r="AD2215" i="3"/>
  <c r="AC2215" i="3" s="1"/>
  <c r="AD2216" i="3"/>
  <c r="AC2216" i="3" s="1"/>
  <c r="AD2217" i="3"/>
  <c r="AC2217" i="3" s="1"/>
  <c r="AD2218" i="3"/>
  <c r="AC2218" i="3" s="1"/>
  <c r="AD2219" i="3"/>
  <c r="AC2219" i="3" s="1"/>
  <c r="AD2220" i="3"/>
  <c r="AC2220" i="3" s="1"/>
  <c r="AD2221" i="3"/>
  <c r="AC2221" i="3" s="1"/>
  <c r="AD2222" i="3"/>
  <c r="AC2222" i="3" s="1"/>
  <c r="AD2223" i="3"/>
  <c r="AC2223" i="3" s="1"/>
  <c r="AD2224" i="3"/>
  <c r="AC2224" i="3" s="1"/>
  <c r="AD2225" i="3"/>
  <c r="AC2225" i="3" s="1"/>
  <c r="AD2226" i="3"/>
  <c r="AC2226" i="3" s="1"/>
  <c r="AD2227" i="3"/>
  <c r="AC2227" i="3" s="1"/>
  <c r="AD2228" i="3"/>
  <c r="AC2228" i="3" s="1"/>
  <c r="AD2229" i="3"/>
  <c r="AC2229" i="3" s="1"/>
  <c r="AD2230" i="3"/>
  <c r="AC2230" i="3" s="1"/>
  <c r="AD2231" i="3"/>
  <c r="AC2231" i="3" s="1"/>
  <c r="AD2232" i="3"/>
  <c r="AC2232" i="3" s="1"/>
  <c r="AD2233" i="3"/>
  <c r="AC2233" i="3" s="1"/>
  <c r="AD2234" i="3"/>
  <c r="AC2234" i="3" s="1"/>
  <c r="AD2235" i="3"/>
  <c r="AC2235" i="3" s="1"/>
  <c r="AD2236" i="3"/>
  <c r="AC2236" i="3" s="1"/>
  <c r="AD2237" i="3"/>
  <c r="AC2237" i="3" s="1"/>
  <c r="AD2238" i="3"/>
  <c r="AC2238" i="3" s="1"/>
  <c r="AD2239" i="3"/>
  <c r="AC2239" i="3" s="1"/>
  <c r="AD2240" i="3"/>
  <c r="AC2240" i="3" s="1"/>
  <c r="AD2241" i="3"/>
  <c r="AC2241" i="3" s="1"/>
  <c r="AD2242" i="3"/>
  <c r="AC2242" i="3" s="1"/>
  <c r="AD2243" i="3"/>
  <c r="AC2243" i="3" s="1"/>
  <c r="AD2244" i="3"/>
  <c r="AC2244" i="3" s="1"/>
  <c r="AD2245" i="3"/>
  <c r="AC2245" i="3" s="1"/>
  <c r="AD2246" i="3"/>
  <c r="AC2246" i="3" s="1"/>
  <c r="AD2247" i="3"/>
  <c r="AC2247" i="3" s="1"/>
  <c r="AD2248" i="3"/>
  <c r="AC2248" i="3" s="1"/>
  <c r="AD2249" i="3"/>
  <c r="AC2249" i="3" s="1"/>
  <c r="AD2250" i="3"/>
  <c r="AC2250" i="3" s="1"/>
  <c r="AD2251" i="3"/>
  <c r="AC2251" i="3" s="1"/>
  <c r="AD2252" i="3"/>
  <c r="AC2252" i="3" s="1"/>
  <c r="AD2253" i="3"/>
  <c r="AC2253" i="3" s="1"/>
  <c r="AD2254" i="3"/>
  <c r="AC2254" i="3" s="1"/>
  <c r="AD2255" i="3"/>
  <c r="AC2255" i="3" s="1"/>
  <c r="AD2256" i="3"/>
  <c r="AC2256" i="3" s="1"/>
  <c r="AD2257" i="3"/>
  <c r="AC2257" i="3" s="1"/>
  <c r="AD2258" i="3"/>
  <c r="AC2258" i="3" s="1"/>
  <c r="AD2259" i="3"/>
  <c r="AC2259" i="3" s="1"/>
  <c r="AD2260" i="3"/>
  <c r="AC2260" i="3" s="1"/>
  <c r="AD2261" i="3"/>
  <c r="AC2261" i="3" s="1"/>
  <c r="AD2262" i="3"/>
  <c r="AC2262" i="3" s="1"/>
  <c r="AD2263" i="3"/>
  <c r="AC2263" i="3" s="1"/>
  <c r="AD2264" i="3"/>
  <c r="AC2264" i="3" s="1"/>
  <c r="AD2265" i="3"/>
  <c r="AC2265" i="3" s="1"/>
  <c r="AD2266" i="3"/>
  <c r="AC2266" i="3" s="1"/>
  <c r="AD2267" i="3"/>
  <c r="AC2267" i="3" s="1"/>
  <c r="AD2268" i="3"/>
  <c r="AC2268" i="3" s="1"/>
  <c r="AD2269" i="3"/>
  <c r="AC2269" i="3" s="1"/>
  <c r="AD2270" i="3"/>
  <c r="AC2270" i="3" s="1"/>
  <c r="AD2271" i="3"/>
  <c r="AC2271" i="3" s="1"/>
  <c r="AD2272" i="3"/>
  <c r="AC2272" i="3" s="1"/>
  <c r="AD2273" i="3"/>
  <c r="AC2273" i="3" s="1"/>
  <c r="AD2274" i="3"/>
  <c r="AC2274" i="3" s="1"/>
  <c r="AD2275" i="3"/>
  <c r="AC2275" i="3" s="1"/>
  <c r="AD2276" i="3"/>
  <c r="AC2276" i="3" s="1"/>
  <c r="AD2277" i="3"/>
  <c r="AC2277" i="3" s="1"/>
  <c r="AD2278" i="3"/>
  <c r="AC2278" i="3" s="1"/>
  <c r="AD2279" i="3"/>
  <c r="AC2279" i="3" s="1"/>
  <c r="AD2280" i="3"/>
  <c r="AC2280" i="3" s="1"/>
  <c r="AD2281" i="3"/>
  <c r="AC2281" i="3" s="1"/>
  <c r="AD2282" i="3"/>
  <c r="AC2282" i="3" s="1"/>
  <c r="AD2283" i="3"/>
  <c r="AC2283" i="3" s="1"/>
  <c r="AD2284" i="3"/>
  <c r="AC2284" i="3" s="1"/>
  <c r="AD2285" i="3"/>
  <c r="AC2285" i="3" s="1"/>
  <c r="AD2286" i="3"/>
  <c r="AC2286" i="3" s="1"/>
  <c r="AD2287" i="3"/>
  <c r="AC2287" i="3" s="1"/>
  <c r="AD2288" i="3"/>
  <c r="AC2288" i="3" s="1"/>
  <c r="AD2289" i="3"/>
  <c r="AC2289" i="3" s="1"/>
  <c r="AD2290" i="3"/>
  <c r="AC2290" i="3" s="1"/>
  <c r="AD2291" i="3"/>
  <c r="AC2291" i="3" s="1"/>
  <c r="AD2292" i="3"/>
  <c r="AC2292" i="3" s="1"/>
  <c r="AD2293" i="3"/>
  <c r="AC2293" i="3" s="1"/>
  <c r="AD2294" i="3"/>
  <c r="AC2294" i="3" s="1"/>
  <c r="AD2295" i="3"/>
  <c r="AC2295" i="3" s="1"/>
  <c r="AD2296" i="3"/>
  <c r="AC2296" i="3" s="1"/>
  <c r="AD2297" i="3"/>
  <c r="AC2297" i="3" s="1"/>
  <c r="AD2298" i="3"/>
  <c r="AC2298" i="3" s="1"/>
  <c r="AD2299" i="3"/>
  <c r="AC2299" i="3" s="1"/>
  <c r="AD2300" i="3"/>
  <c r="AC2300" i="3" s="1"/>
  <c r="AD2301" i="3"/>
  <c r="AC2301" i="3" s="1"/>
  <c r="AD2302" i="3"/>
  <c r="AC2302" i="3" s="1"/>
  <c r="AD2303" i="3"/>
  <c r="AC2303" i="3" s="1"/>
  <c r="AD2304" i="3"/>
  <c r="AC2304" i="3" s="1"/>
  <c r="AD2305" i="3"/>
  <c r="AC2305" i="3" s="1"/>
  <c r="AD2306" i="3"/>
  <c r="AC2306" i="3" s="1"/>
  <c r="AD2307" i="3"/>
  <c r="AC2307" i="3" s="1"/>
  <c r="AD2308" i="3"/>
  <c r="AC2308" i="3" s="1"/>
  <c r="AD2309" i="3"/>
  <c r="AC2309" i="3" s="1"/>
  <c r="AD2310" i="3"/>
  <c r="AC2310" i="3" s="1"/>
  <c r="AD2311" i="3"/>
  <c r="AC2311" i="3" s="1"/>
  <c r="AD2312" i="3"/>
  <c r="AC2312" i="3" s="1"/>
  <c r="AD2313" i="3"/>
  <c r="AC2313" i="3" s="1"/>
  <c r="AD2314" i="3"/>
  <c r="AC2314" i="3" s="1"/>
  <c r="AD2315" i="3"/>
  <c r="AC2315" i="3" s="1"/>
  <c r="AD2316" i="3"/>
  <c r="AC2316" i="3" s="1"/>
  <c r="AD2317" i="3"/>
  <c r="AC2317" i="3" s="1"/>
  <c r="AD2318" i="3"/>
  <c r="AC2318" i="3" s="1"/>
  <c r="AD2319" i="3"/>
  <c r="AC2319" i="3" s="1"/>
  <c r="AD2320" i="3"/>
  <c r="AC2320" i="3" s="1"/>
  <c r="AD2321" i="3"/>
  <c r="AC2321" i="3" s="1"/>
  <c r="AD2322" i="3"/>
  <c r="AC2322" i="3" s="1"/>
  <c r="AD2323" i="3"/>
  <c r="AC2323" i="3" s="1"/>
  <c r="AD2324" i="3"/>
  <c r="AC2324" i="3" s="1"/>
  <c r="AD2325" i="3"/>
  <c r="AC2325" i="3" s="1"/>
  <c r="AD2326" i="3"/>
  <c r="AC2326" i="3" s="1"/>
  <c r="AD2327" i="3"/>
  <c r="AC2327" i="3" s="1"/>
  <c r="AD2328" i="3"/>
  <c r="AC2328" i="3" s="1"/>
  <c r="AD2329" i="3"/>
  <c r="AC2329" i="3" s="1"/>
  <c r="AD2330" i="3"/>
  <c r="AC2330" i="3" s="1"/>
  <c r="AD2331" i="3"/>
  <c r="AC2331" i="3" s="1"/>
  <c r="AD2332" i="3"/>
  <c r="AC2332" i="3" s="1"/>
  <c r="AD2333" i="3"/>
  <c r="AC2333" i="3" s="1"/>
  <c r="AD2334" i="3"/>
  <c r="AC2334" i="3" s="1"/>
  <c r="AD2335" i="3"/>
  <c r="AC2335" i="3" s="1"/>
  <c r="AD2336" i="3"/>
  <c r="AC2336" i="3" s="1"/>
  <c r="AD2337" i="3"/>
  <c r="AC2337" i="3" s="1"/>
  <c r="AD2338" i="3"/>
  <c r="AC2338" i="3" s="1"/>
  <c r="AD2339" i="3"/>
  <c r="AC2339" i="3" s="1"/>
  <c r="AD2340" i="3"/>
  <c r="AC2340" i="3" s="1"/>
  <c r="AD2341" i="3"/>
  <c r="AC2341" i="3" s="1"/>
  <c r="AD2342" i="3"/>
  <c r="AC2342" i="3" s="1"/>
  <c r="AD2343" i="3"/>
  <c r="AC2343" i="3" s="1"/>
  <c r="AD2344" i="3"/>
  <c r="AC2344" i="3" s="1"/>
  <c r="AD2345" i="3"/>
  <c r="AC2345" i="3" s="1"/>
  <c r="AD2346" i="3"/>
  <c r="AC2346" i="3" s="1"/>
  <c r="AD2347" i="3"/>
  <c r="AC2347" i="3" s="1"/>
  <c r="AD2348" i="3"/>
  <c r="AC2348" i="3" s="1"/>
  <c r="AD2349" i="3"/>
  <c r="AC2349" i="3" s="1"/>
  <c r="AD2350" i="3"/>
  <c r="AC2350" i="3" s="1"/>
  <c r="AD2351" i="3"/>
  <c r="AC2351" i="3" s="1"/>
  <c r="AD2352" i="3"/>
  <c r="AC2352" i="3" s="1"/>
  <c r="AD2353" i="3"/>
  <c r="AC2353" i="3" s="1"/>
  <c r="AD2354" i="3"/>
  <c r="AC2354" i="3" s="1"/>
  <c r="AD2355" i="3"/>
  <c r="AC2355" i="3" s="1"/>
  <c r="AD2356" i="3"/>
  <c r="AC2356" i="3" s="1"/>
  <c r="AD2357" i="3"/>
  <c r="AC2357" i="3" s="1"/>
  <c r="AD2358" i="3"/>
  <c r="AC2358" i="3" s="1"/>
  <c r="AD2359" i="3"/>
  <c r="AC2359" i="3" s="1"/>
  <c r="AD2360" i="3"/>
  <c r="AC2360" i="3" s="1"/>
  <c r="AD2361" i="3"/>
  <c r="AC2361" i="3" s="1"/>
  <c r="AD2362" i="3"/>
  <c r="AC2362" i="3" s="1"/>
  <c r="AD2363" i="3"/>
  <c r="AC2363" i="3" s="1"/>
  <c r="AD2364" i="3"/>
  <c r="AC2364" i="3" s="1"/>
  <c r="AD2365" i="3"/>
  <c r="AC2365" i="3" s="1"/>
  <c r="AD2366" i="3"/>
  <c r="AC2366" i="3" s="1"/>
  <c r="AD2367" i="3"/>
  <c r="AC2367" i="3" s="1"/>
  <c r="AD2368" i="3"/>
  <c r="AC2368" i="3" s="1"/>
  <c r="AD2369" i="3"/>
  <c r="AC2369" i="3" s="1"/>
  <c r="AD2370" i="3"/>
  <c r="AC2370" i="3" s="1"/>
  <c r="AD2371" i="3"/>
  <c r="AC2371" i="3" s="1"/>
  <c r="AD2372" i="3"/>
  <c r="AC2372" i="3" s="1"/>
  <c r="AD2373" i="3"/>
  <c r="AC2373" i="3" s="1"/>
  <c r="AD2374" i="3"/>
  <c r="AC2374" i="3" s="1"/>
  <c r="AD2375" i="3"/>
  <c r="AC2375" i="3" s="1"/>
  <c r="AD2376" i="3"/>
  <c r="AC2376" i="3" s="1"/>
  <c r="AD2377" i="3"/>
  <c r="AC2377" i="3" s="1"/>
  <c r="AD2378" i="3"/>
  <c r="AC2378" i="3" s="1"/>
  <c r="AD2379" i="3"/>
  <c r="AC2379" i="3" s="1"/>
  <c r="AD2380" i="3"/>
  <c r="AC2380" i="3" s="1"/>
  <c r="AD2381" i="3"/>
  <c r="AC2381" i="3" s="1"/>
  <c r="AD2382" i="3"/>
  <c r="AC2382" i="3" s="1"/>
  <c r="AD2383" i="3"/>
  <c r="AC2383" i="3" s="1"/>
  <c r="AD2384" i="3"/>
  <c r="AC2384" i="3" s="1"/>
  <c r="AD2385" i="3"/>
  <c r="AC2385" i="3" s="1"/>
  <c r="AD2386" i="3"/>
  <c r="AC2386" i="3" s="1"/>
  <c r="AD2387" i="3"/>
  <c r="AC2387" i="3" s="1"/>
  <c r="AD2388" i="3"/>
  <c r="AC2388" i="3" s="1"/>
  <c r="AD2389" i="3"/>
  <c r="AC2389" i="3" s="1"/>
  <c r="AD2390" i="3"/>
  <c r="AC2390" i="3" s="1"/>
  <c r="AD2391" i="3"/>
  <c r="AC2391" i="3" s="1"/>
  <c r="AD2392" i="3"/>
  <c r="AC2392" i="3" s="1"/>
  <c r="AD2393" i="3"/>
  <c r="AC2393" i="3" s="1"/>
  <c r="AD2394" i="3"/>
  <c r="AC2394" i="3" s="1"/>
  <c r="AD2395" i="3"/>
  <c r="AC2395" i="3" s="1"/>
  <c r="AD2396" i="3"/>
  <c r="AC2396" i="3" s="1"/>
  <c r="AD2397" i="3"/>
  <c r="AC2397" i="3" s="1"/>
  <c r="AD2398" i="3"/>
  <c r="AC2398" i="3" s="1"/>
  <c r="AD2399" i="3"/>
  <c r="AC2399" i="3" s="1"/>
  <c r="AD2400" i="3"/>
  <c r="AC2400" i="3" s="1"/>
  <c r="AD2401" i="3"/>
  <c r="AC2401" i="3" s="1"/>
  <c r="AD2402" i="3"/>
  <c r="AC2402" i="3" s="1"/>
  <c r="AD2403" i="3"/>
  <c r="AC2403" i="3" s="1"/>
  <c r="AD2404" i="3"/>
  <c r="AC2404" i="3" s="1"/>
  <c r="AD2405" i="3"/>
  <c r="AC2405" i="3" s="1"/>
  <c r="AD2406" i="3"/>
  <c r="AC2406" i="3" s="1"/>
  <c r="AD2407" i="3"/>
  <c r="AC2407" i="3" s="1"/>
  <c r="AD2408" i="3"/>
  <c r="AC2408" i="3" s="1"/>
  <c r="AD2409" i="3"/>
  <c r="AC2409" i="3" s="1"/>
  <c r="AD2410" i="3"/>
  <c r="AC2410" i="3" s="1"/>
  <c r="AD2411" i="3"/>
  <c r="AC2411" i="3" s="1"/>
  <c r="AD2412" i="3"/>
  <c r="AC2412" i="3" s="1"/>
  <c r="AD2413" i="3"/>
  <c r="AC2413" i="3" s="1"/>
  <c r="AD2414" i="3"/>
  <c r="AC2414" i="3" s="1"/>
  <c r="AD2415" i="3"/>
  <c r="AC2415" i="3" s="1"/>
  <c r="AD2416" i="3"/>
  <c r="AC2416" i="3" s="1"/>
  <c r="AD2417" i="3"/>
  <c r="AC2417" i="3" s="1"/>
  <c r="AD2418" i="3"/>
  <c r="AC2418" i="3" s="1"/>
  <c r="AD2419" i="3"/>
  <c r="AC2419" i="3" s="1"/>
  <c r="AD2420" i="3"/>
  <c r="AC2420" i="3" s="1"/>
  <c r="AD2421" i="3"/>
  <c r="AC2421" i="3" s="1"/>
  <c r="AD2422" i="3"/>
  <c r="AC2422" i="3" s="1"/>
  <c r="AD2423" i="3"/>
  <c r="AC2423" i="3" s="1"/>
  <c r="AD2424" i="3"/>
  <c r="AC2424" i="3" s="1"/>
  <c r="AD2425" i="3"/>
  <c r="AC2425" i="3" s="1"/>
  <c r="AD2426" i="3"/>
  <c r="AC2426" i="3" s="1"/>
  <c r="AD2427" i="3"/>
  <c r="AC2427" i="3" s="1"/>
  <c r="AD2428" i="3"/>
  <c r="AC2428" i="3" s="1"/>
  <c r="AD2429" i="3"/>
  <c r="AC2429" i="3" s="1"/>
  <c r="AD2430" i="3"/>
  <c r="AC2430" i="3" s="1"/>
  <c r="AD2431" i="3"/>
  <c r="AC2431" i="3" s="1"/>
  <c r="AD2432" i="3"/>
  <c r="AC2432" i="3" s="1"/>
  <c r="AD2433" i="3"/>
  <c r="AC2433" i="3" s="1"/>
  <c r="AD2434" i="3"/>
  <c r="AC2434" i="3" s="1"/>
  <c r="AD2435" i="3"/>
  <c r="AC2435" i="3" s="1"/>
  <c r="AD2436" i="3"/>
  <c r="AC2436" i="3" s="1"/>
  <c r="AD2437" i="3"/>
  <c r="AC2437" i="3" s="1"/>
  <c r="AD2438" i="3"/>
  <c r="AC2438" i="3" s="1"/>
  <c r="AD2439" i="3"/>
  <c r="AC2439" i="3" s="1"/>
  <c r="AD2440" i="3"/>
  <c r="AC2440" i="3" s="1"/>
  <c r="AD2441" i="3"/>
  <c r="AC2441" i="3" s="1"/>
  <c r="AD2442" i="3"/>
  <c r="AC2442" i="3" s="1"/>
  <c r="AD2443" i="3"/>
  <c r="AC2443" i="3" s="1"/>
  <c r="AD2444" i="3"/>
  <c r="AC2444" i="3" s="1"/>
  <c r="AD2445" i="3"/>
  <c r="AC2445" i="3" s="1"/>
  <c r="AD2446" i="3"/>
  <c r="AC2446" i="3" s="1"/>
  <c r="AD2447" i="3"/>
  <c r="AC2447" i="3" s="1"/>
  <c r="AD2448" i="3"/>
  <c r="AC2448" i="3" s="1"/>
  <c r="AD2449" i="3"/>
  <c r="AC2449" i="3" s="1"/>
  <c r="AD2450" i="3"/>
  <c r="AC2450" i="3" s="1"/>
  <c r="AD2451" i="3"/>
  <c r="AC2451" i="3" s="1"/>
  <c r="AD2452" i="3"/>
  <c r="AC2452" i="3" s="1"/>
  <c r="AD2453" i="3"/>
  <c r="AC2453" i="3" s="1"/>
  <c r="AD2454" i="3"/>
  <c r="AC2454" i="3" s="1"/>
  <c r="AD2455" i="3"/>
  <c r="AC2455" i="3" s="1"/>
  <c r="AD2456" i="3"/>
  <c r="AC2456" i="3" s="1"/>
  <c r="AD2457" i="3"/>
  <c r="AC2457" i="3" s="1"/>
  <c r="AD2458" i="3"/>
  <c r="AC2458" i="3" s="1"/>
  <c r="AD2459" i="3"/>
  <c r="AC2459" i="3" s="1"/>
  <c r="AD2460" i="3"/>
  <c r="AC2460" i="3" s="1"/>
  <c r="AD2461" i="3"/>
  <c r="AC2461" i="3" s="1"/>
  <c r="AD2462" i="3"/>
  <c r="AC2462" i="3" s="1"/>
  <c r="AD2463" i="3"/>
  <c r="AC2463" i="3" s="1"/>
  <c r="AD2464" i="3"/>
  <c r="AC2464" i="3" s="1"/>
  <c r="AD2465" i="3"/>
  <c r="AC2465" i="3" s="1"/>
  <c r="AD2466" i="3"/>
  <c r="AC2466" i="3" s="1"/>
  <c r="AD2467" i="3"/>
  <c r="AC2467" i="3" s="1"/>
  <c r="AD2468" i="3"/>
  <c r="AC2468" i="3" s="1"/>
  <c r="AD2469" i="3"/>
  <c r="AC2469" i="3" s="1"/>
  <c r="AD2470" i="3"/>
  <c r="AC2470" i="3" s="1"/>
  <c r="AD2471" i="3"/>
  <c r="AC2471" i="3" s="1"/>
  <c r="AD2472" i="3"/>
  <c r="AC2472" i="3" s="1"/>
  <c r="AD2473" i="3"/>
  <c r="AC2473" i="3" s="1"/>
  <c r="AD2474" i="3"/>
  <c r="AC2474" i="3" s="1"/>
  <c r="AD2475" i="3"/>
  <c r="AC2475" i="3" s="1"/>
  <c r="AD2476" i="3"/>
  <c r="AC2476" i="3" s="1"/>
  <c r="AD2477" i="3"/>
  <c r="AC2477" i="3" s="1"/>
  <c r="AD2478" i="3"/>
  <c r="AC2478" i="3" s="1"/>
  <c r="AD2479" i="3"/>
  <c r="AC2479" i="3" s="1"/>
  <c r="AD2480" i="3"/>
  <c r="AC2480" i="3" s="1"/>
  <c r="AD2481" i="3"/>
  <c r="AC2481" i="3" s="1"/>
  <c r="AD2482" i="3"/>
  <c r="AC2482" i="3" s="1"/>
  <c r="AD2483" i="3"/>
  <c r="AC2483" i="3" s="1"/>
  <c r="AD2484" i="3"/>
  <c r="AC2484" i="3" s="1"/>
  <c r="AD2485" i="3"/>
  <c r="AC2485" i="3" s="1"/>
  <c r="AD2486" i="3"/>
  <c r="AC2486" i="3" s="1"/>
  <c r="AD2487" i="3"/>
  <c r="AC2487" i="3" s="1"/>
  <c r="AD2488" i="3"/>
  <c r="AC2488" i="3" s="1"/>
  <c r="AD2489" i="3"/>
  <c r="AC2489" i="3" s="1"/>
  <c r="AD2490" i="3"/>
  <c r="AC2490" i="3" s="1"/>
  <c r="AD2491" i="3"/>
  <c r="AC2491" i="3" s="1"/>
  <c r="AD2492" i="3"/>
  <c r="AC2492" i="3" s="1"/>
  <c r="AD2493" i="3"/>
  <c r="AC2493" i="3" s="1"/>
  <c r="AD2494" i="3"/>
  <c r="AC2494" i="3" s="1"/>
  <c r="AD2495" i="3"/>
  <c r="AC2495" i="3" s="1"/>
  <c r="AD2496" i="3"/>
  <c r="AC2496" i="3" s="1"/>
  <c r="AD2497" i="3"/>
  <c r="AC2497" i="3" s="1"/>
  <c r="AD2498" i="3"/>
  <c r="AC2498" i="3" s="1"/>
  <c r="AD2499" i="3"/>
  <c r="AC2499" i="3" s="1"/>
  <c r="AD2500" i="3"/>
  <c r="AC2500" i="3" s="1"/>
  <c r="AD2501" i="3"/>
  <c r="AC2501" i="3" s="1"/>
  <c r="AD2502" i="3"/>
  <c r="AC2502" i="3" s="1"/>
  <c r="AD2503" i="3"/>
  <c r="AC2503" i="3" s="1"/>
  <c r="AD2504" i="3"/>
  <c r="AC2504" i="3" s="1"/>
  <c r="AD2505" i="3"/>
  <c r="AC2505" i="3" s="1"/>
  <c r="AD2506" i="3"/>
  <c r="AC2506" i="3" s="1"/>
  <c r="AD2507" i="3"/>
  <c r="AC2507" i="3" s="1"/>
  <c r="AD2508" i="3"/>
  <c r="AC2508" i="3" s="1"/>
  <c r="AD2509" i="3"/>
  <c r="AC2509" i="3" s="1"/>
  <c r="AD2510" i="3"/>
  <c r="AC2510" i="3" s="1"/>
  <c r="AD2511" i="3"/>
  <c r="AC2511" i="3" s="1"/>
  <c r="AD2512" i="3"/>
  <c r="AC2512" i="3" s="1"/>
  <c r="AD2513" i="3"/>
  <c r="AC2513" i="3" s="1"/>
  <c r="AD2514" i="3"/>
  <c r="AC2514" i="3" s="1"/>
  <c r="AD2515" i="3"/>
  <c r="AC2515" i="3" s="1"/>
  <c r="AD2516" i="3"/>
  <c r="AC2516" i="3" s="1"/>
  <c r="AD2517" i="3"/>
  <c r="AC2517" i="3" s="1"/>
  <c r="AD2518" i="3"/>
  <c r="AC2518" i="3" s="1"/>
  <c r="AD2519" i="3"/>
  <c r="AC2519" i="3" s="1"/>
  <c r="AD2520" i="3"/>
  <c r="AC2520" i="3" s="1"/>
  <c r="AD2521" i="3"/>
  <c r="AC2521" i="3" s="1"/>
  <c r="AD2522" i="3"/>
  <c r="AC2522" i="3" s="1"/>
  <c r="AD2523" i="3"/>
  <c r="AC2523" i="3" s="1"/>
  <c r="AD2524" i="3"/>
  <c r="AC2524" i="3" s="1"/>
  <c r="AD2525" i="3"/>
  <c r="AC2525" i="3" s="1"/>
  <c r="AD2526" i="3"/>
  <c r="AC2526" i="3" s="1"/>
  <c r="AD2527" i="3"/>
  <c r="AC2527" i="3" s="1"/>
  <c r="AD2528" i="3"/>
  <c r="AC2528" i="3" s="1"/>
  <c r="AD2529" i="3"/>
  <c r="AC2529" i="3" s="1"/>
  <c r="AD2530" i="3"/>
  <c r="AC2530" i="3" s="1"/>
  <c r="AD2531" i="3"/>
  <c r="AC2531" i="3" s="1"/>
  <c r="AD2532" i="3"/>
  <c r="AC2532" i="3" s="1"/>
  <c r="AD2533" i="3"/>
  <c r="AC2533" i="3" s="1"/>
  <c r="AD2534" i="3"/>
  <c r="AC2534" i="3" s="1"/>
  <c r="AD2535" i="3"/>
  <c r="AC2535" i="3" s="1"/>
  <c r="AD2536" i="3"/>
  <c r="AC2536" i="3" s="1"/>
  <c r="AD2537" i="3"/>
  <c r="AC2537" i="3" s="1"/>
  <c r="AD2538" i="3"/>
  <c r="AC2538" i="3" s="1"/>
  <c r="AD2539" i="3"/>
  <c r="AC2539" i="3" s="1"/>
  <c r="AD2540" i="3"/>
  <c r="AC2540" i="3" s="1"/>
  <c r="AD2541" i="3"/>
  <c r="AC2541" i="3" s="1"/>
  <c r="AD2542" i="3"/>
  <c r="AC2542" i="3" s="1"/>
  <c r="AD2543" i="3"/>
  <c r="AC2543" i="3" s="1"/>
  <c r="AD2544" i="3"/>
  <c r="AC2544" i="3" s="1"/>
  <c r="AD2545" i="3"/>
  <c r="AC2545" i="3" s="1"/>
  <c r="AD2546" i="3"/>
  <c r="AC2546" i="3" s="1"/>
  <c r="AD2547" i="3"/>
  <c r="AC2547" i="3" s="1"/>
  <c r="AD2548" i="3"/>
  <c r="AC2548" i="3" s="1"/>
  <c r="AD2549" i="3"/>
  <c r="AC2549" i="3" s="1"/>
  <c r="AD2550" i="3"/>
  <c r="AC2550" i="3" s="1"/>
  <c r="AD2551" i="3"/>
  <c r="AC2551" i="3" s="1"/>
  <c r="AD2552" i="3"/>
  <c r="AC2552" i="3" s="1"/>
  <c r="AD2553" i="3"/>
  <c r="AC2553" i="3" s="1"/>
  <c r="AD2554" i="3"/>
  <c r="AC2554" i="3" s="1"/>
  <c r="AD2555" i="3"/>
  <c r="AC2555" i="3" s="1"/>
  <c r="AD2556" i="3"/>
  <c r="AC2556" i="3" s="1"/>
  <c r="AD2557" i="3"/>
  <c r="AC2557" i="3" s="1"/>
  <c r="AD2558" i="3"/>
  <c r="AC2558" i="3" s="1"/>
  <c r="AD2559" i="3"/>
  <c r="AC2559" i="3" s="1"/>
  <c r="AD2560" i="3"/>
  <c r="AC2560" i="3" s="1"/>
  <c r="AD2561" i="3"/>
  <c r="AC2561" i="3" s="1"/>
  <c r="AD2562" i="3"/>
  <c r="AC2562" i="3" s="1"/>
  <c r="AD2563" i="3"/>
  <c r="AC2563" i="3" s="1"/>
  <c r="AD2564" i="3"/>
  <c r="AC2564" i="3" s="1"/>
  <c r="AD2565" i="3"/>
  <c r="AC2565" i="3" s="1"/>
  <c r="AD2566" i="3"/>
  <c r="AC2566" i="3" s="1"/>
  <c r="AD2567" i="3"/>
  <c r="AC2567" i="3" s="1"/>
  <c r="AD2568" i="3"/>
  <c r="AC2568" i="3" s="1"/>
  <c r="AD2569" i="3"/>
  <c r="AC2569" i="3" s="1"/>
  <c r="AD2570" i="3"/>
  <c r="AC2570" i="3" s="1"/>
  <c r="AD2571" i="3"/>
  <c r="AC2571" i="3" s="1"/>
  <c r="AD2572" i="3"/>
  <c r="AC2572" i="3" s="1"/>
  <c r="AD2573" i="3"/>
  <c r="AC2573" i="3" s="1"/>
  <c r="AD2574" i="3"/>
  <c r="AC2574" i="3" s="1"/>
  <c r="AD2575" i="3"/>
  <c r="AC2575" i="3" s="1"/>
  <c r="AD2576" i="3"/>
  <c r="AC2576" i="3" s="1"/>
  <c r="AD2577" i="3"/>
  <c r="AC2577" i="3" s="1"/>
  <c r="AD2578" i="3"/>
  <c r="AC2578" i="3" s="1"/>
  <c r="AD2579" i="3"/>
  <c r="AC2579" i="3" s="1"/>
  <c r="AD2580" i="3"/>
  <c r="AC2580" i="3" s="1"/>
  <c r="AD2581" i="3"/>
  <c r="AC2581" i="3" s="1"/>
  <c r="AD2582" i="3"/>
  <c r="AC2582" i="3" s="1"/>
  <c r="AD2583" i="3"/>
  <c r="AC2583" i="3" s="1"/>
  <c r="AD2584" i="3"/>
  <c r="AC2584" i="3" s="1"/>
  <c r="AD2585" i="3"/>
  <c r="AC2585" i="3" s="1"/>
  <c r="AD2586" i="3"/>
  <c r="AC2586" i="3" s="1"/>
  <c r="AD2587" i="3"/>
  <c r="AC2587" i="3" s="1"/>
  <c r="AD2588" i="3"/>
  <c r="AC2588" i="3" s="1"/>
  <c r="AD2589" i="3"/>
  <c r="AC2589" i="3" s="1"/>
  <c r="AD2590" i="3"/>
  <c r="AC2590" i="3" s="1"/>
  <c r="AD2591" i="3"/>
  <c r="AC2591" i="3" s="1"/>
  <c r="AD2592" i="3"/>
  <c r="AC2592" i="3" s="1"/>
  <c r="AD2593" i="3"/>
  <c r="AC2593" i="3" s="1"/>
  <c r="AD2594" i="3"/>
  <c r="AC2594" i="3" s="1"/>
  <c r="AD2595" i="3"/>
  <c r="AC2595" i="3" s="1"/>
  <c r="AD2596" i="3"/>
  <c r="AC2596" i="3" s="1"/>
  <c r="AD2597" i="3"/>
  <c r="AC2597" i="3" s="1"/>
  <c r="AD2598" i="3"/>
  <c r="AC2598" i="3" s="1"/>
  <c r="AD2599" i="3"/>
  <c r="AC2599" i="3" s="1"/>
  <c r="AD2600" i="3"/>
  <c r="AC2600" i="3" s="1"/>
  <c r="AD2601" i="3"/>
  <c r="AC2601" i="3" s="1"/>
  <c r="AD2602" i="3"/>
  <c r="AC2602" i="3" s="1"/>
  <c r="AD2603" i="3"/>
  <c r="AC2603" i="3" s="1"/>
  <c r="AD2604" i="3"/>
  <c r="AC2604" i="3" s="1"/>
  <c r="AD2605" i="3"/>
  <c r="AC2605" i="3" s="1"/>
  <c r="AD2606" i="3"/>
  <c r="AC2606" i="3" s="1"/>
  <c r="AD2607" i="3"/>
  <c r="AC2607" i="3" s="1"/>
  <c r="AD2608" i="3"/>
  <c r="AC2608" i="3" s="1"/>
  <c r="AD2609" i="3"/>
  <c r="AC2609" i="3" s="1"/>
  <c r="AD2610" i="3"/>
  <c r="AC2610" i="3" s="1"/>
  <c r="AD2611" i="3"/>
  <c r="AC2611" i="3" s="1"/>
  <c r="AD2612" i="3"/>
  <c r="AC2612" i="3" s="1"/>
  <c r="AD2613" i="3"/>
  <c r="AC2613" i="3" s="1"/>
  <c r="AD2614" i="3"/>
  <c r="AC2614" i="3" s="1"/>
  <c r="AD2615" i="3"/>
  <c r="AC2615" i="3" s="1"/>
  <c r="AD2616" i="3"/>
  <c r="AC2616" i="3" s="1"/>
  <c r="AD2617" i="3"/>
  <c r="AC2617" i="3" s="1"/>
  <c r="AD2618" i="3"/>
  <c r="AC2618" i="3" s="1"/>
  <c r="AD2619" i="3"/>
  <c r="AC2619" i="3" s="1"/>
  <c r="AD2620" i="3"/>
  <c r="AC2620" i="3" s="1"/>
  <c r="AD2621" i="3"/>
  <c r="AC2621" i="3" s="1"/>
  <c r="AD2622" i="3"/>
  <c r="AC2622" i="3" s="1"/>
  <c r="AD2623" i="3"/>
  <c r="AC2623" i="3" s="1"/>
  <c r="AD2624" i="3"/>
  <c r="AC2624" i="3" s="1"/>
  <c r="AD2625" i="3"/>
  <c r="AC2625" i="3" s="1"/>
  <c r="AD2626" i="3"/>
  <c r="AC2626" i="3" s="1"/>
  <c r="AD2627" i="3"/>
  <c r="AC2627" i="3" s="1"/>
  <c r="AD2628" i="3"/>
  <c r="AC2628" i="3" s="1"/>
  <c r="AD2629" i="3"/>
  <c r="AC2629" i="3" s="1"/>
  <c r="AD2630" i="3"/>
  <c r="AC2630" i="3" s="1"/>
  <c r="AD2631" i="3"/>
  <c r="AC2631" i="3" s="1"/>
  <c r="AD2632" i="3"/>
  <c r="AC2632" i="3" s="1"/>
  <c r="AD2633" i="3"/>
  <c r="AC2633" i="3" s="1"/>
  <c r="AD2634" i="3"/>
  <c r="AC2634" i="3" s="1"/>
  <c r="AD2635" i="3"/>
  <c r="AC2635" i="3" s="1"/>
  <c r="AD2636" i="3"/>
  <c r="AC2636" i="3" s="1"/>
  <c r="AD2637" i="3"/>
  <c r="AC2637" i="3" s="1"/>
  <c r="AD2638" i="3"/>
  <c r="AC2638" i="3" s="1"/>
  <c r="AD2639" i="3"/>
  <c r="AC2639" i="3" s="1"/>
  <c r="AD2640" i="3"/>
  <c r="AC2640" i="3" s="1"/>
  <c r="AD2641" i="3"/>
  <c r="AC2641" i="3" s="1"/>
  <c r="AD2642" i="3"/>
  <c r="AC2642" i="3" s="1"/>
  <c r="AD2643" i="3"/>
  <c r="AC2643" i="3" s="1"/>
  <c r="AD2644" i="3"/>
  <c r="AC2644" i="3" s="1"/>
  <c r="AD2645" i="3"/>
  <c r="AC2645" i="3" s="1"/>
  <c r="AD2646" i="3"/>
  <c r="AC2646" i="3" s="1"/>
  <c r="AD2647" i="3"/>
  <c r="AC2647" i="3" s="1"/>
  <c r="AD2648" i="3"/>
  <c r="AC2648" i="3" s="1"/>
  <c r="AD2649" i="3"/>
  <c r="AC2649" i="3" s="1"/>
  <c r="AD2650" i="3"/>
  <c r="AC2650" i="3" s="1"/>
  <c r="AD2651" i="3"/>
  <c r="AC2651" i="3" s="1"/>
  <c r="AD2652" i="3"/>
  <c r="AC2652" i="3" s="1"/>
  <c r="AD2653" i="3"/>
  <c r="AC2653" i="3" s="1"/>
  <c r="AD2654" i="3"/>
  <c r="AC2654" i="3" s="1"/>
  <c r="AD2655" i="3"/>
  <c r="AC2655" i="3" s="1"/>
  <c r="AD2656" i="3"/>
  <c r="AC2656" i="3" s="1"/>
  <c r="AD2657" i="3"/>
  <c r="AC2657" i="3" s="1"/>
  <c r="AD2658" i="3"/>
  <c r="AC2658" i="3" s="1"/>
  <c r="AD2659" i="3"/>
  <c r="AC2659" i="3" s="1"/>
  <c r="AD2660" i="3"/>
  <c r="AC2660" i="3" s="1"/>
  <c r="AD2661" i="3"/>
  <c r="AC2661" i="3" s="1"/>
  <c r="AD2662" i="3"/>
  <c r="AC2662" i="3" s="1"/>
  <c r="AD2663" i="3"/>
  <c r="AC2663" i="3" s="1"/>
  <c r="AD2664" i="3"/>
  <c r="AC2664" i="3" s="1"/>
  <c r="AD2665" i="3"/>
  <c r="AC2665" i="3" s="1"/>
  <c r="AD2666" i="3"/>
  <c r="AC2666" i="3" s="1"/>
  <c r="AD2667" i="3"/>
  <c r="AC2667" i="3" s="1"/>
  <c r="AD2668" i="3"/>
  <c r="AC2668" i="3" s="1"/>
  <c r="AD2669" i="3"/>
  <c r="AC2669" i="3" s="1"/>
  <c r="AD2670" i="3"/>
  <c r="AC2670" i="3" s="1"/>
  <c r="AD2671" i="3"/>
  <c r="AC2671" i="3" s="1"/>
  <c r="AD2672" i="3"/>
  <c r="AC2672" i="3" s="1"/>
  <c r="AD2673" i="3"/>
  <c r="AC2673" i="3" s="1"/>
  <c r="AD2674" i="3"/>
  <c r="AC2674" i="3" s="1"/>
  <c r="AD2675" i="3"/>
  <c r="AC2675" i="3" s="1"/>
  <c r="AD2676" i="3"/>
  <c r="AC2676" i="3" s="1"/>
  <c r="AD2677" i="3"/>
  <c r="AC2677" i="3" s="1"/>
  <c r="AD2678" i="3"/>
  <c r="AC2678" i="3" s="1"/>
  <c r="AD2679" i="3"/>
  <c r="AC2679" i="3" s="1"/>
  <c r="AD2680" i="3"/>
  <c r="AC2680" i="3" s="1"/>
  <c r="AD2681" i="3"/>
  <c r="AC2681" i="3" s="1"/>
  <c r="AD2682" i="3"/>
  <c r="AC2682" i="3" s="1"/>
  <c r="AD2683" i="3"/>
  <c r="AC2683" i="3" s="1"/>
  <c r="AD2684" i="3"/>
  <c r="AC2684" i="3" s="1"/>
  <c r="AD2685" i="3"/>
  <c r="AC2685" i="3" s="1"/>
  <c r="AD2686" i="3"/>
  <c r="AC2686" i="3" s="1"/>
  <c r="AD2687" i="3"/>
  <c r="AC2687" i="3" s="1"/>
  <c r="AD2688" i="3"/>
  <c r="AC2688" i="3" s="1"/>
  <c r="AD2689" i="3"/>
  <c r="AC2689" i="3" s="1"/>
  <c r="AD2690" i="3"/>
  <c r="AC2690" i="3" s="1"/>
  <c r="AD2691" i="3"/>
  <c r="AC2691" i="3" s="1"/>
  <c r="AD2692" i="3"/>
  <c r="AC2692" i="3" s="1"/>
  <c r="AD2693" i="3"/>
  <c r="AC2693" i="3" s="1"/>
  <c r="AD2694" i="3"/>
  <c r="AC2694" i="3" s="1"/>
  <c r="AD2695" i="3"/>
  <c r="AC2695" i="3" s="1"/>
  <c r="AD2696" i="3"/>
  <c r="AC2696" i="3" s="1"/>
  <c r="AD2697" i="3"/>
  <c r="AC2697" i="3" s="1"/>
  <c r="AD2698" i="3"/>
  <c r="AC2698" i="3" s="1"/>
  <c r="AD2699" i="3"/>
  <c r="AC2699" i="3" s="1"/>
  <c r="AD2700" i="3"/>
  <c r="AC2700" i="3" s="1"/>
  <c r="AD2701" i="3"/>
  <c r="AC2701" i="3" s="1"/>
  <c r="AD2702" i="3"/>
  <c r="AC2702" i="3" s="1"/>
  <c r="AD2703" i="3"/>
  <c r="AC2703" i="3" s="1"/>
  <c r="AD2704" i="3"/>
  <c r="AC2704" i="3" s="1"/>
  <c r="AD2705" i="3"/>
  <c r="AC2705" i="3" s="1"/>
  <c r="AD2706" i="3"/>
  <c r="AC2706" i="3" s="1"/>
  <c r="AD2707" i="3"/>
  <c r="AC2707" i="3" s="1"/>
  <c r="AD2708" i="3"/>
  <c r="AC2708" i="3" s="1"/>
  <c r="AD2709" i="3"/>
  <c r="AC2709" i="3" s="1"/>
  <c r="AD2710" i="3"/>
  <c r="AC2710" i="3" s="1"/>
  <c r="AD2711" i="3"/>
  <c r="AC2711" i="3" s="1"/>
  <c r="AD2712" i="3"/>
  <c r="AC2712" i="3" s="1"/>
  <c r="AD2713" i="3"/>
  <c r="AC2713" i="3" s="1"/>
  <c r="AD2714" i="3"/>
  <c r="AC2714" i="3" s="1"/>
  <c r="AD2715" i="3"/>
  <c r="AC2715" i="3" s="1"/>
  <c r="AD2716" i="3"/>
  <c r="AC2716" i="3" s="1"/>
  <c r="AD2717" i="3"/>
  <c r="AC2717" i="3" s="1"/>
  <c r="AD2718" i="3"/>
  <c r="AC2718" i="3" s="1"/>
  <c r="AD2719" i="3"/>
  <c r="AC2719" i="3" s="1"/>
  <c r="AD2720" i="3"/>
  <c r="AC2720" i="3" s="1"/>
  <c r="AD2721" i="3"/>
  <c r="AC2721" i="3" s="1"/>
  <c r="AD2722" i="3"/>
  <c r="AC2722" i="3" s="1"/>
  <c r="AD2723" i="3"/>
  <c r="AC2723" i="3" s="1"/>
  <c r="AD2724" i="3"/>
  <c r="AC2724" i="3" s="1"/>
  <c r="AD2725" i="3"/>
  <c r="AC2725" i="3" s="1"/>
  <c r="AD2726" i="3"/>
  <c r="AC2726" i="3" s="1"/>
  <c r="AD2727" i="3"/>
  <c r="AC2727" i="3" s="1"/>
  <c r="AD2728" i="3"/>
  <c r="AC2728" i="3" s="1"/>
  <c r="AD2729" i="3"/>
  <c r="AC2729" i="3" s="1"/>
  <c r="AD2730" i="3"/>
  <c r="AC2730" i="3" s="1"/>
  <c r="AD2731" i="3"/>
  <c r="AC2731" i="3" s="1"/>
  <c r="AD2732" i="3"/>
  <c r="AC2732" i="3" s="1"/>
  <c r="AD2733" i="3"/>
  <c r="AC2733" i="3" s="1"/>
  <c r="AD2734" i="3"/>
  <c r="AC2734" i="3" s="1"/>
  <c r="AD2735" i="3"/>
  <c r="AC2735" i="3" s="1"/>
  <c r="AD2736" i="3"/>
  <c r="AC2736" i="3" s="1"/>
  <c r="AD2737" i="3"/>
  <c r="AC2737" i="3" s="1"/>
  <c r="AD2738" i="3"/>
  <c r="AC2738" i="3" s="1"/>
  <c r="AD2739" i="3"/>
  <c r="AC2739" i="3" s="1"/>
  <c r="AD2740" i="3"/>
  <c r="AC2740" i="3" s="1"/>
  <c r="AD2741" i="3"/>
  <c r="AC2741" i="3" s="1"/>
  <c r="AD2742" i="3"/>
  <c r="AC2742" i="3" s="1"/>
  <c r="AD2743" i="3"/>
  <c r="AC2743" i="3" s="1"/>
  <c r="AD2744" i="3"/>
  <c r="AC2744" i="3" s="1"/>
  <c r="AD2745" i="3"/>
  <c r="AC2745" i="3" s="1"/>
  <c r="AD2746" i="3"/>
  <c r="AC2746" i="3" s="1"/>
  <c r="AD2747" i="3"/>
  <c r="AC2747" i="3" s="1"/>
  <c r="AD2748" i="3"/>
  <c r="AC2748" i="3" s="1"/>
  <c r="AD2749" i="3"/>
  <c r="AC2749" i="3" s="1"/>
  <c r="AD2750" i="3"/>
  <c r="AC2750" i="3" s="1"/>
  <c r="AD2751" i="3"/>
  <c r="AC2751" i="3" s="1"/>
  <c r="AD2752" i="3"/>
  <c r="AC2752" i="3" s="1"/>
  <c r="AD2753" i="3"/>
  <c r="AC2753" i="3" s="1"/>
  <c r="AD2754" i="3"/>
  <c r="AC2754" i="3" s="1"/>
  <c r="AD2755" i="3"/>
  <c r="AC2755" i="3" s="1"/>
  <c r="AD2756" i="3"/>
  <c r="AC2756" i="3" s="1"/>
  <c r="AD2757" i="3"/>
  <c r="AC2757" i="3" s="1"/>
  <c r="AD2758" i="3"/>
  <c r="AC2758" i="3" s="1"/>
  <c r="AD2759" i="3"/>
  <c r="AC2759" i="3" s="1"/>
  <c r="AD2760" i="3"/>
  <c r="AC2760" i="3" s="1"/>
  <c r="AD2761" i="3"/>
  <c r="AC2761" i="3" s="1"/>
  <c r="AD2762" i="3"/>
  <c r="AC2762" i="3" s="1"/>
  <c r="AD2763" i="3"/>
  <c r="AC2763" i="3" s="1"/>
  <c r="AD2764" i="3"/>
  <c r="AC2764" i="3" s="1"/>
  <c r="AD2765" i="3"/>
  <c r="AC2765" i="3" s="1"/>
  <c r="AD2766" i="3"/>
  <c r="AC2766" i="3" s="1"/>
  <c r="AD2767" i="3"/>
  <c r="AC2767" i="3" s="1"/>
  <c r="AD2768" i="3"/>
  <c r="AC2768" i="3" s="1"/>
  <c r="AD2769" i="3"/>
  <c r="AC2769" i="3" s="1"/>
  <c r="AD2770" i="3"/>
  <c r="AC2770" i="3" s="1"/>
  <c r="AD2771" i="3"/>
  <c r="AC2771" i="3" s="1"/>
  <c r="AD2772" i="3"/>
  <c r="AC2772" i="3" s="1"/>
  <c r="AD2773" i="3"/>
  <c r="AC2773" i="3" s="1"/>
  <c r="AD2774" i="3"/>
  <c r="AC2774" i="3" s="1"/>
  <c r="AD2775" i="3"/>
  <c r="AC2775" i="3" s="1"/>
  <c r="AD2776" i="3"/>
  <c r="AC2776" i="3" s="1"/>
  <c r="AD2777" i="3"/>
  <c r="AC2777" i="3" s="1"/>
  <c r="AD2778" i="3"/>
  <c r="AC2778" i="3" s="1"/>
  <c r="AD2779" i="3"/>
  <c r="AC2779" i="3" s="1"/>
  <c r="AD2780" i="3"/>
  <c r="AC2780" i="3" s="1"/>
  <c r="AD2781" i="3"/>
  <c r="AC2781" i="3" s="1"/>
  <c r="AD2782" i="3"/>
  <c r="AC2782" i="3" s="1"/>
  <c r="AD2783" i="3"/>
  <c r="AC2783" i="3" s="1"/>
  <c r="AD2784" i="3"/>
  <c r="AC2784" i="3" s="1"/>
  <c r="AD2785" i="3"/>
  <c r="AC2785" i="3" s="1"/>
  <c r="AD2786" i="3"/>
  <c r="AC2786" i="3" s="1"/>
  <c r="AD2787" i="3"/>
  <c r="AC2787" i="3" s="1"/>
  <c r="AD2788" i="3"/>
  <c r="AC2788" i="3" s="1"/>
  <c r="AD2789" i="3"/>
  <c r="AC2789" i="3" s="1"/>
  <c r="AD2790" i="3"/>
  <c r="AC2790" i="3" s="1"/>
  <c r="AD2791" i="3"/>
  <c r="AC2791" i="3" s="1"/>
  <c r="AD2792" i="3"/>
  <c r="AC2792" i="3" s="1"/>
  <c r="AD2793" i="3"/>
  <c r="AC2793" i="3" s="1"/>
  <c r="AD2794" i="3"/>
  <c r="AC2794" i="3" s="1"/>
  <c r="AD2795" i="3"/>
  <c r="AC2795" i="3" s="1"/>
  <c r="AD2796" i="3"/>
  <c r="AC2796" i="3" s="1"/>
  <c r="AD2797" i="3"/>
  <c r="AC2797" i="3" s="1"/>
  <c r="AD2798" i="3"/>
  <c r="AC2798" i="3" s="1"/>
  <c r="AD2799" i="3"/>
  <c r="AC2799" i="3" s="1"/>
  <c r="AD2800" i="3"/>
  <c r="AC2800" i="3" s="1"/>
  <c r="AD2801" i="3"/>
  <c r="AC2801" i="3" s="1"/>
  <c r="AD2802" i="3"/>
  <c r="AC2802" i="3" s="1"/>
  <c r="AD2803" i="3"/>
  <c r="AC2803" i="3" s="1"/>
  <c r="AD2804" i="3"/>
  <c r="AC2804" i="3" s="1"/>
  <c r="AD2805" i="3"/>
  <c r="AC2805" i="3" s="1"/>
  <c r="AD2806" i="3"/>
  <c r="AC2806" i="3" s="1"/>
  <c r="AD2807" i="3"/>
  <c r="AC2807" i="3" s="1"/>
  <c r="AD2808" i="3"/>
  <c r="AC2808" i="3" s="1"/>
  <c r="AD2809" i="3"/>
  <c r="AC2809" i="3" s="1"/>
  <c r="AD2810" i="3"/>
  <c r="AC2810" i="3" s="1"/>
  <c r="AD2811" i="3"/>
  <c r="AC2811" i="3" s="1"/>
  <c r="AD2812" i="3"/>
  <c r="AC2812" i="3" s="1"/>
  <c r="AD2813" i="3"/>
  <c r="AC2813" i="3" s="1"/>
  <c r="AD2814" i="3"/>
  <c r="AC2814" i="3" s="1"/>
  <c r="AD2815" i="3"/>
  <c r="AC2815" i="3" s="1"/>
  <c r="AD2816" i="3"/>
  <c r="AC2816" i="3" s="1"/>
  <c r="AD2817" i="3"/>
  <c r="AC2817" i="3" s="1"/>
  <c r="AD2818" i="3"/>
  <c r="AC2818" i="3" s="1"/>
  <c r="AD2819" i="3"/>
  <c r="AC2819" i="3" s="1"/>
  <c r="AD2820" i="3"/>
  <c r="AC2820" i="3" s="1"/>
  <c r="AD2821" i="3"/>
  <c r="AC2821" i="3" s="1"/>
  <c r="AD2822" i="3"/>
  <c r="AC2822" i="3" s="1"/>
  <c r="AD2823" i="3"/>
  <c r="AC2823" i="3" s="1"/>
  <c r="AD2824" i="3"/>
  <c r="AC2824" i="3" s="1"/>
  <c r="AD2825" i="3"/>
  <c r="AC2825" i="3" s="1"/>
  <c r="AD2826" i="3"/>
  <c r="AC2826" i="3" s="1"/>
  <c r="AD2827" i="3"/>
  <c r="AC2827" i="3" s="1"/>
  <c r="AD2828" i="3"/>
  <c r="AC2828" i="3" s="1"/>
  <c r="AD2829" i="3"/>
  <c r="AC2829" i="3" s="1"/>
  <c r="AD2830" i="3"/>
  <c r="AC2830" i="3" s="1"/>
  <c r="AD2831" i="3"/>
  <c r="AC2831" i="3" s="1"/>
  <c r="AD2832" i="3"/>
  <c r="AC2832" i="3" s="1"/>
  <c r="AD2833" i="3"/>
  <c r="AC2833" i="3" s="1"/>
  <c r="AD2834" i="3"/>
  <c r="AC2834" i="3" s="1"/>
  <c r="AD2835" i="3"/>
  <c r="AC2835" i="3" s="1"/>
  <c r="AD2836" i="3"/>
  <c r="AC2836" i="3" s="1"/>
  <c r="AD2837" i="3"/>
  <c r="AC2837" i="3" s="1"/>
  <c r="AD2838" i="3"/>
  <c r="AC2838" i="3" s="1"/>
  <c r="AD2839" i="3"/>
  <c r="AC2839" i="3" s="1"/>
  <c r="AD2840" i="3"/>
  <c r="AC2840" i="3" s="1"/>
  <c r="AD2841" i="3"/>
  <c r="AC2841" i="3" s="1"/>
  <c r="AD2842" i="3"/>
  <c r="AC2842" i="3" s="1"/>
  <c r="AD2843" i="3"/>
  <c r="AC2843" i="3" s="1"/>
  <c r="AD2844" i="3"/>
  <c r="AC2844" i="3" s="1"/>
  <c r="AD2845" i="3"/>
  <c r="AC2845" i="3" s="1"/>
  <c r="AD2846" i="3"/>
  <c r="AC2846" i="3" s="1"/>
  <c r="AD2847" i="3"/>
  <c r="AC2847" i="3" s="1"/>
  <c r="AD2848" i="3"/>
  <c r="AC2848" i="3" s="1"/>
  <c r="AD2849" i="3"/>
  <c r="AC2849" i="3" s="1"/>
  <c r="AD2850" i="3"/>
  <c r="AC2850" i="3" s="1"/>
  <c r="AD2851" i="3"/>
  <c r="AC2851" i="3" s="1"/>
  <c r="AD2852" i="3"/>
  <c r="AC2852" i="3" s="1"/>
  <c r="AD2853" i="3"/>
  <c r="AC2853" i="3" s="1"/>
  <c r="AD2854" i="3"/>
  <c r="AC2854" i="3" s="1"/>
  <c r="AD2855" i="3"/>
  <c r="AC2855" i="3" s="1"/>
  <c r="AD2856" i="3"/>
  <c r="AC2856" i="3" s="1"/>
  <c r="AD2857" i="3"/>
  <c r="AC2857" i="3" s="1"/>
  <c r="AD2858" i="3"/>
  <c r="AC2858" i="3" s="1"/>
  <c r="AD2859" i="3"/>
  <c r="AC2859" i="3" s="1"/>
  <c r="AD2860" i="3"/>
  <c r="AC2860" i="3" s="1"/>
  <c r="AD2861" i="3"/>
  <c r="AC2861" i="3" s="1"/>
  <c r="AD2862" i="3"/>
  <c r="AC2862" i="3" s="1"/>
  <c r="AD2863" i="3"/>
  <c r="AC2863" i="3" s="1"/>
  <c r="AD2864" i="3"/>
  <c r="AC2864" i="3" s="1"/>
  <c r="AD2865" i="3"/>
  <c r="AC2865" i="3" s="1"/>
  <c r="AD2866" i="3"/>
  <c r="AC2866" i="3" s="1"/>
  <c r="AD2867" i="3"/>
  <c r="AC2867" i="3" s="1"/>
  <c r="AD2868" i="3"/>
  <c r="AC2868" i="3" s="1"/>
  <c r="AD2869" i="3"/>
  <c r="AC2869" i="3" s="1"/>
  <c r="AD2870" i="3"/>
  <c r="AC2870" i="3" s="1"/>
  <c r="AD2871" i="3"/>
  <c r="AC2871" i="3" s="1"/>
  <c r="AD2872" i="3"/>
  <c r="AC2872" i="3" s="1"/>
  <c r="AD2873" i="3"/>
  <c r="AC2873" i="3" s="1"/>
  <c r="AD2874" i="3"/>
  <c r="AC2874" i="3" s="1"/>
  <c r="AD2875" i="3"/>
  <c r="AC2875" i="3" s="1"/>
  <c r="AD2876" i="3"/>
  <c r="AC2876" i="3" s="1"/>
  <c r="AD2877" i="3"/>
  <c r="AC2877" i="3" s="1"/>
  <c r="AD2878" i="3"/>
  <c r="AC2878" i="3" s="1"/>
  <c r="AD2879" i="3"/>
  <c r="AC2879" i="3" s="1"/>
  <c r="AD2880" i="3"/>
  <c r="AC2880" i="3" s="1"/>
  <c r="AD2881" i="3"/>
  <c r="AC2881" i="3" s="1"/>
  <c r="AD2882" i="3"/>
  <c r="AC2882" i="3" s="1"/>
  <c r="AD2883" i="3"/>
  <c r="AC2883" i="3" s="1"/>
  <c r="AD2884" i="3"/>
  <c r="AC2884" i="3" s="1"/>
  <c r="AD2885" i="3"/>
  <c r="AC2885" i="3" s="1"/>
  <c r="AD2886" i="3"/>
  <c r="AC2886" i="3" s="1"/>
  <c r="AD2887" i="3"/>
  <c r="AC2887" i="3" s="1"/>
  <c r="AD2888" i="3"/>
  <c r="AC2888" i="3" s="1"/>
  <c r="AD2889" i="3"/>
  <c r="AC2889" i="3" s="1"/>
  <c r="AD2890" i="3"/>
  <c r="AC2890" i="3" s="1"/>
  <c r="AD2891" i="3"/>
  <c r="AC2891" i="3" s="1"/>
  <c r="AD2892" i="3"/>
  <c r="AC2892" i="3" s="1"/>
  <c r="AD2893" i="3"/>
  <c r="AC2893" i="3" s="1"/>
  <c r="AD2894" i="3"/>
  <c r="AC2894" i="3" s="1"/>
  <c r="AD2895" i="3"/>
  <c r="AC2895" i="3" s="1"/>
  <c r="AD2896" i="3"/>
  <c r="AC2896" i="3" s="1"/>
  <c r="AD2897" i="3"/>
  <c r="AC2897" i="3" s="1"/>
  <c r="AD2898" i="3"/>
  <c r="AC2898" i="3" s="1"/>
  <c r="AD2899" i="3"/>
  <c r="AC2899" i="3" s="1"/>
  <c r="AD2900" i="3"/>
  <c r="AC2900" i="3" s="1"/>
  <c r="AD2901" i="3"/>
  <c r="AC2901" i="3" s="1"/>
  <c r="AD2902" i="3"/>
  <c r="AC2902" i="3" s="1"/>
  <c r="AD2903" i="3"/>
  <c r="AC2903" i="3" s="1"/>
  <c r="AD2904" i="3"/>
  <c r="AC2904" i="3" s="1"/>
  <c r="AD2905" i="3"/>
  <c r="AC2905" i="3" s="1"/>
  <c r="AD2906" i="3"/>
  <c r="AC2906" i="3" s="1"/>
  <c r="AD2907" i="3"/>
  <c r="AC2907" i="3" s="1"/>
  <c r="AD2908" i="3"/>
  <c r="AC2908" i="3" s="1"/>
  <c r="AD2909" i="3"/>
  <c r="AC2909" i="3" s="1"/>
  <c r="AD2910" i="3"/>
  <c r="AC2910" i="3" s="1"/>
  <c r="AD2911" i="3"/>
  <c r="AC2911" i="3" s="1"/>
  <c r="AD2912" i="3"/>
  <c r="AC2912" i="3" s="1"/>
  <c r="AD2913" i="3"/>
  <c r="AC2913" i="3" s="1"/>
  <c r="AD2914" i="3"/>
  <c r="AC2914" i="3" s="1"/>
  <c r="AD2915" i="3"/>
  <c r="AC2915" i="3" s="1"/>
  <c r="AD2916" i="3"/>
  <c r="AC2916" i="3" s="1"/>
  <c r="AD2917" i="3"/>
  <c r="AC2917" i="3" s="1"/>
  <c r="AD2918" i="3"/>
  <c r="AC2918" i="3" s="1"/>
  <c r="AD2919" i="3"/>
  <c r="AC2919" i="3" s="1"/>
  <c r="AD2920" i="3"/>
  <c r="AC2920" i="3" s="1"/>
  <c r="AD2921" i="3"/>
  <c r="AC2921" i="3" s="1"/>
  <c r="AD2922" i="3"/>
  <c r="AC2922" i="3" s="1"/>
  <c r="AD2923" i="3"/>
  <c r="AC2923" i="3" s="1"/>
  <c r="AD2924" i="3"/>
  <c r="AC2924" i="3" s="1"/>
  <c r="AD2925" i="3"/>
  <c r="AC2925" i="3" s="1"/>
  <c r="AD2926" i="3"/>
  <c r="AC2926" i="3" s="1"/>
  <c r="AD2927" i="3"/>
  <c r="AC2927" i="3" s="1"/>
  <c r="AD2928" i="3"/>
  <c r="AC2928" i="3" s="1"/>
  <c r="AD2929" i="3"/>
  <c r="AC2929" i="3" s="1"/>
  <c r="AD2930" i="3"/>
  <c r="AC2930" i="3" s="1"/>
  <c r="AD2931" i="3"/>
  <c r="AC2931" i="3" s="1"/>
  <c r="AD2932" i="3"/>
  <c r="AC2932" i="3" s="1"/>
  <c r="AD2933" i="3"/>
  <c r="AC2933" i="3" s="1"/>
  <c r="AD2934" i="3"/>
  <c r="AC2934" i="3" s="1"/>
  <c r="AD2935" i="3"/>
  <c r="AC2935" i="3" s="1"/>
  <c r="AD2936" i="3"/>
  <c r="AC2936" i="3" s="1"/>
  <c r="AD2937" i="3"/>
  <c r="AC2937" i="3" s="1"/>
  <c r="AD2938" i="3"/>
  <c r="AC2938" i="3" s="1"/>
  <c r="AD2939" i="3"/>
  <c r="AC2939" i="3" s="1"/>
  <c r="AD2940" i="3"/>
  <c r="AC2940" i="3" s="1"/>
  <c r="AD2941" i="3"/>
  <c r="AC2941" i="3" s="1"/>
  <c r="AD2942" i="3"/>
  <c r="AC2942" i="3" s="1"/>
  <c r="AD2943" i="3"/>
  <c r="AC2943" i="3" s="1"/>
  <c r="AD2944" i="3"/>
  <c r="AC2944" i="3" s="1"/>
  <c r="AD2945" i="3"/>
  <c r="AC2945" i="3" s="1"/>
  <c r="AD2946" i="3"/>
  <c r="AC2946" i="3" s="1"/>
  <c r="AD2947" i="3"/>
  <c r="AC2947" i="3" s="1"/>
  <c r="AD2948" i="3"/>
  <c r="AC2948" i="3" s="1"/>
  <c r="AD2949" i="3"/>
  <c r="AC2949" i="3" s="1"/>
  <c r="AD2950" i="3"/>
  <c r="AC2950" i="3" s="1"/>
  <c r="AD2951" i="3"/>
  <c r="AC2951" i="3" s="1"/>
  <c r="AD2952" i="3"/>
  <c r="AC2952" i="3" s="1"/>
  <c r="AD2953" i="3"/>
  <c r="AC2953" i="3" s="1"/>
  <c r="AD2954" i="3"/>
  <c r="AC2954" i="3" s="1"/>
  <c r="AD2955" i="3"/>
  <c r="AC2955" i="3" s="1"/>
  <c r="AD2956" i="3"/>
  <c r="AC2956" i="3" s="1"/>
  <c r="AD2957" i="3"/>
  <c r="AC2957" i="3" s="1"/>
  <c r="AD2958" i="3"/>
  <c r="AC2958" i="3" s="1"/>
  <c r="AD2959" i="3"/>
  <c r="AC2959" i="3" s="1"/>
  <c r="AD2960" i="3"/>
  <c r="AC2960" i="3" s="1"/>
  <c r="AD2961" i="3"/>
  <c r="AC2961" i="3" s="1"/>
  <c r="AD2962" i="3"/>
  <c r="AC2962" i="3" s="1"/>
  <c r="AD2963" i="3"/>
  <c r="AC2963" i="3" s="1"/>
  <c r="AD2964" i="3"/>
  <c r="AC2964" i="3" s="1"/>
  <c r="AD2965" i="3"/>
  <c r="AC2965" i="3" s="1"/>
  <c r="AD2966" i="3"/>
  <c r="AC2966" i="3" s="1"/>
  <c r="AD2967" i="3"/>
  <c r="AC2967" i="3" s="1"/>
  <c r="AD2968" i="3"/>
  <c r="AC2968" i="3" s="1"/>
  <c r="AD2969" i="3"/>
  <c r="AC2969" i="3" s="1"/>
  <c r="AD2970" i="3"/>
  <c r="AC2970" i="3" s="1"/>
  <c r="AD2971" i="3"/>
  <c r="AC2971" i="3" s="1"/>
  <c r="AD2972" i="3"/>
  <c r="AC2972" i="3" s="1"/>
  <c r="AD2973" i="3"/>
  <c r="AC2973" i="3" s="1"/>
  <c r="AD2974" i="3"/>
  <c r="AC2974" i="3" s="1"/>
  <c r="AD2975" i="3"/>
  <c r="AC2975" i="3" s="1"/>
  <c r="AD2976" i="3"/>
  <c r="AC2976" i="3" s="1"/>
  <c r="AD2977" i="3"/>
  <c r="AC2977" i="3" s="1"/>
  <c r="AD2978" i="3"/>
  <c r="AC2978" i="3" s="1"/>
  <c r="AD2979" i="3"/>
  <c r="AC2979" i="3" s="1"/>
  <c r="AD2980" i="3"/>
  <c r="AC2980" i="3" s="1"/>
  <c r="AD2981" i="3"/>
  <c r="AC2981" i="3" s="1"/>
  <c r="AD2982" i="3"/>
  <c r="AC2982" i="3" s="1"/>
  <c r="AD2983" i="3"/>
  <c r="AC2983" i="3" s="1"/>
  <c r="AD2984" i="3"/>
  <c r="AC2984" i="3" s="1"/>
  <c r="AD2985" i="3"/>
  <c r="AC2985" i="3" s="1"/>
  <c r="AD2986" i="3"/>
  <c r="AC2986" i="3" s="1"/>
  <c r="AD2987" i="3"/>
  <c r="AC2987" i="3" s="1"/>
  <c r="AD2988" i="3"/>
  <c r="AC2988" i="3" s="1"/>
  <c r="AD2989" i="3"/>
  <c r="AC2989" i="3" s="1"/>
  <c r="AD2990" i="3"/>
  <c r="AC2990" i="3" s="1"/>
  <c r="AD2991" i="3"/>
  <c r="AC2991" i="3" s="1"/>
  <c r="AD2992" i="3"/>
  <c r="AC2992" i="3" s="1"/>
  <c r="AD2993" i="3"/>
  <c r="AC2993" i="3" s="1"/>
  <c r="AD2994" i="3"/>
  <c r="AC2994" i="3" s="1"/>
  <c r="AD2995" i="3"/>
  <c r="AC2995" i="3" s="1"/>
  <c r="AD2996" i="3"/>
  <c r="AC2996" i="3" s="1"/>
  <c r="AD2997" i="3"/>
  <c r="AC2997" i="3" s="1"/>
  <c r="AD2998" i="3"/>
  <c r="AC2998" i="3" s="1"/>
  <c r="AD2999" i="3"/>
  <c r="AC2999" i="3" s="1"/>
  <c r="AD3000" i="3"/>
  <c r="AC3000" i="3" s="1"/>
  <c r="AD3001" i="3"/>
  <c r="AC3001" i="3" s="1"/>
  <c r="AD3002" i="3"/>
  <c r="AC3002" i="3" s="1"/>
  <c r="AD3003" i="3"/>
  <c r="AC3003" i="3" s="1"/>
  <c r="AD3004" i="3"/>
  <c r="AC3004" i="3" s="1"/>
  <c r="AD3005" i="3"/>
  <c r="AC3005" i="3" s="1"/>
  <c r="AD3006" i="3"/>
  <c r="AC3006" i="3" s="1"/>
  <c r="AD3007" i="3"/>
  <c r="AC3007" i="3" s="1"/>
  <c r="AD3008" i="3"/>
  <c r="AC3008" i="3" s="1"/>
  <c r="AD3009" i="3"/>
  <c r="AC3009" i="3" s="1"/>
  <c r="AD3010" i="3"/>
  <c r="AC3010" i="3" s="1"/>
  <c r="AD3011" i="3"/>
  <c r="AC3011" i="3" s="1"/>
  <c r="AD3012" i="3"/>
  <c r="AC3012" i="3" s="1"/>
  <c r="AD3013" i="3"/>
  <c r="AC3013" i="3" s="1"/>
  <c r="AD3014" i="3"/>
  <c r="AC3014" i="3" s="1"/>
  <c r="AD3015" i="3"/>
  <c r="AC3015" i="3" s="1"/>
  <c r="AD3016" i="3"/>
  <c r="AC3016" i="3" s="1"/>
  <c r="AD3017" i="3"/>
  <c r="AC3017" i="3" s="1"/>
  <c r="AD3018" i="3"/>
  <c r="AC3018" i="3" s="1"/>
  <c r="AD3019" i="3"/>
  <c r="AC3019" i="3" s="1"/>
  <c r="AD3020" i="3"/>
  <c r="AC3020" i="3" s="1"/>
  <c r="AD3021" i="3"/>
  <c r="AC3021" i="3" s="1"/>
  <c r="AD3022" i="3"/>
  <c r="AC3022" i="3" s="1"/>
  <c r="AD3023" i="3"/>
  <c r="AC3023" i="3" s="1"/>
  <c r="AD3024" i="3"/>
  <c r="AC3024" i="3" s="1"/>
  <c r="AD3025" i="3"/>
  <c r="AC3025" i="3" s="1"/>
  <c r="AD3026" i="3"/>
  <c r="AC3026" i="3" s="1"/>
  <c r="AD3027" i="3"/>
  <c r="AC3027" i="3" s="1"/>
  <c r="AD3028" i="3"/>
  <c r="AC3028" i="3" s="1"/>
  <c r="AD3029" i="3"/>
  <c r="AC3029" i="3" s="1"/>
  <c r="AD3030" i="3"/>
  <c r="AC3030" i="3" s="1"/>
  <c r="AD3031" i="3"/>
  <c r="AC3031" i="3" s="1"/>
  <c r="AD3032" i="3"/>
  <c r="AC3032" i="3" s="1"/>
  <c r="AD3033" i="3"/>
  <c r="AC3033" i="3" s="1"/>
  <c r="AD3034" i="3"/>
  <c r="AC3034" i="3" s="1"/>
  <c r="AD3035" i="3"/>
  <c r="AC3035" i="3" s="1"/>
  <c r="AD3036" i="3"/>
  <c r="AC3036" i="3" s="1"/>
  <c r="AD3037" i="3"/>
  <c r="AC3037" i="3" s="1"/>
  <c r="AD3038" i="3"/>
  <c r="AC3038" i="3" s="1"/>
  <c r="AD3039" i="3"/>
  <c r="AC3039" i="3" s="1"/>
  <c r="AD3040" i="3"/>
  <c r="AC3040" i="3" s="1"/>
  <c r="AD3041" i="3"/>
  <c r="AC3041" i="3" s="1"/>
  <c r="AD3042" i="3"/>
  <c r="AC3042" i="3" s="1"/>
  <c r="AD3043" i="3"/>
  <c r="AC3043" i="3" s="1"/>
  <c r="AD3044" i="3"/>
  <c r="AC3044" i="3" s="1"/>
  <c r="AD3045" i="3"/>
  <c r="AC3045" i="3" s="1"/>
  <c r="AD3046" i="3"/>
  <c r="AC3046" i="3" s="1"/>
  <c r="AD3047" i="3"/>
  <c r="AC3047" i="3" s="1"/>
  <c r="AD3048" i="3"/>
  <c r="AC3048" i="3" s="1"/>
  <c r="AD3049" i="3"/>
  <c r="AC3049" i="3" s="1"/>
  <c r="AD3050" i="3"/>
  <c r="AC3050" i="3" s="1"/>
  <c r="AD3051" i="3"/>
  <c r="AC3051" i="3" s="1"/>
  <c r="AD3052" i="3"/>
  <c r="AC3052" i="3" s="1"/>
  <c r="AD3053" i="3"/>
  <c r="AC3053" i="3" s="1"/>
  <c r="AD3054" i="3"/>
  <c r="AC3054" i="3" s="1"/>
  <c r="AD3055" i="3"/>
  <c r="AC3055" i="3" s="1"/>
  <c r="AD3056" i="3"/>
  <c r="AC3056" i="3" s="1"/>
  <c r="AD3057" i="3"/>
  <c r="AC3057" i="3" s="1"/>
  <c r="AD3058" i="3"/>
  <c r="AC3058" i="3" s="1"/>
  <c r="AD3059" i="3"/>
  <c r="AC3059" i="3" s="1"/>
  <c r="AD3060" i="3"/>
  <c r="AC3060" i="3" s="1"/>
  <c r="AD3061" i="3"/>
  <c r="AC3061" i="3" s="1"/>
  <c r="AD3062" i="3"/>
  <c r="AC3062" i="3" s="1"/>
  <c r="AD3063" i="3"/>
  <c r="AC3063" i="3" s="1"/>
  <c r="AD3064" i="3"/>
  <c r="AC3064" i="3" s="1"/>
  <c r="AD3065" i="3"/>
  <c r="AC3065" i="3" s="1"/>
  <c r="AD3066" i="3"/>
  <c r="AC3066" i="3" s="1"/>
  <c r="AD3067" i="3"/>
  <c r="AC3067" i="3" s="1"/>
  <c r="AD3068" i="3"/>
  <c r="AC3068" i="3" s="1"/>
  <c r="AD3069" i="3"/>
  <c r="AC3069" i="3" s="1"/>
  <c r="AD3070" i="3"/>
  <c r="AC3070" i="3" s="1"/>
  <c r="AD3071" i="3"/>
  <c r="AC3071" i="3" s="1"/>
  <c r="AD3072" i="3"/>
  <c r="AC3072" i="3" s="1"/>
  <c r="AD3073" i="3"/>
  <c r="AC3073" i="3" s="1"/>
  <c r="AD3074" i="3"/>
  <c r="AC3074" i="3" s="1"/>
  <c r="AD3075" i="3"/>
  <c r="AC3075" i="3" s="1"/>
  <c r="AD3076" i="3"/>
  <c r="AC3076" i="3" s="1"/>
  <c r="AD3077" i="3"/>
  <c r="AC3077" i="3" s="1"/>
  <c r="AD3078" i="3"/>
  <c r="AC3078" i="3" s="1"/>
  <c r="AD3079" i="3"/>
  <c r="AC3079" i="3" s="1"/>
  <c r="AD3080" i="3"/>
  <c r="AC3080" i="3" s="1"/>
  <c r="AD3081" i="3"/>
  <c r="AC3081" i="3" s="1"/>
  <c r="AD3082" i="3"/>
  <c r="AC3082" i="3" s="1"/>
  <c r="AD3083" i="3"/>
  <c r="AC3083" i="3" s="1"/>
  <c r="AD3084" i="3"/>
  <c r="AC3084" i="3" s="1"/>
  <c r="AD3085" i="3"/>
  <c r="AC3085" i="3" s="1"/>
  <c r="AD3086" i="3"/>
  <c r="AC3086" i="3" s="1"/>
  <c r="AD3087" i="3"/>
  <c r="AC3087" i="3" s="1"/>
  <c r="AD3088" i="3"/>
  <c r="AC3088" i="3" s="1"/>
  <c r="AD3089" i="3"/>
  <c r="AC3089" i="3" s="1"/>
  <c r="AD3090" i="3"/>
  <c r="AC3090" i="3" s="1"/>
  <c r="AD3091" i="3"/>
  <c r="AC3091" i="3" s="1"/>
  <c r="AD3092" i="3"/>
  <c r="AC3092" i="3" s="1"/>
  <c r="AD3093" i="3"/>
  <c r="AC3093" i="3" s="1"/>
  <c r="AD3094" i="3"/>
  <c r="AC3094" i="3" s="1"/>
  <c r="AD3095" i="3"/>
  <c r="AC3095" i="3" s="1"/>
  <c r="AD3096" i="3"/>
  <c r="AC3096" i="3" s="1"/>
  <c r="AD3097" i="3"/>
  <c r="AC3097" i="3" s="1"/>
  <c r="AD3098" i="3"/>
  <c r="AC3098" i="3" s="1"/>
  <c r="AD3099" i="3"/>
  <c r="AC3099" i="3" s="1"/>
  <c r="AD3100" i="3"/>
  <c r="AC3100" i="3" s="1"/>
  <c r="AD3101" i="3"/>
  <c r="AC3101" i="3" s="1"/>
  <c r="AD3102" i="3"/>
  <c r="AC3102" i="3" s="1"/>
  <c r="AD3103" i="3"/>
  <c r="AC3103" i="3" s="1"/>
  <c r="AD3104" i="3"/>
  <c r="AC3104" i="3" s="1"/>
  <c r="AD3105" i="3"/>
  <c r="AC3105" i="3" s="1"/>
  <c r="AD3106" i="3"/>
  <c r="AC3106" i="3" s="1"/>
  <c r="AD3107" i="3"/>
  <c r="AC3107" i="3" s="1"/>
  <c r="AD3108" i="3"/>
  <c r="AC3108" i="3" s="1"/>
  <c r="AD3109" i="3"/>
  <c r="AC3109" i="3" s="1"/>
  <c r="AD3110" i="3"/>
  <c r="AC3110" i="3" s="1"/>
  <c r="AD3111" i="3"/>
  <c r="AC3111" i="3" s="1"/>
  <c r="AD3112" i="3"/>
  <c r="AC3112" i="3" s="1"/>
  <c r="AD3113" i="3"/>
  <c r="AC3113" i="3" s="1"/>
  <c r="AD3114" i="3"/>
  <c r="AC3114" i="3" s="1"/>
  <c r="AD3115" i="3"/>
  <c r="AC3115" i="3" s="1"/>
  <c r="AD3116" i="3"/>
  <c r="AC3116" i="3" s="1"/>
  <c r="AD3117" i="3"/>
  <c r="AC3117" i="3" s="1"/>
  <c r="AD3118" i="3"/>
  <c r="AC3118" i="3" s="1"/>
  <c r="AD3119" i="3"/>
  <c r="AC3119" i="3" s="1"/>
  <c r="AD3120" i="3"/>
  <c r="AC3120" i="3" s="1"/>
  <c r="AD3121" i="3"/>
  <c r="AC3121" i="3" s="1"/>
  <c r="AD3122" i="3"/>
  <c r="AC3122" i="3" s="1"/>
  <c r="AD3123" i="3"/>
  <c r="AC3123" i="3" s="1"/>
  <c r="AD3124" i="3"/>
  <c r="AC3124" i="3" s="1"/>
  <c r="AD3125" i="3"/>
  <c r="AC3125" i="3" s="1"/>
  <c r="AD3126" i="3"/>
  <c r="AC3126" i="3" s="1"/>
  <c r="AD3127" i="3"/>
  <c r="AC3127" i="3" s="1"/>
  <c r="AD3128" i="3"/>
  <c r="AC3128" i="3" s="1"/>
  <c r="AD3129" i="3"/>
  <c r="AC3129" i="3" s="1"/>
  <c r="AD3130" i="3"/>
  <c r="AC3130" i="3" s="1"/>
  <c r="AD3131" i="3"/>
  <c r="AC3131" i="3" s="1"/>
  <c r="AD3132" i="3"/>
  <c r="AC3132" i="3" s="1"/>
  <c r="AD3133" i="3"/>
  <c r="AC3133" i="3" s="1"/>
  <c r="AD3134" i="3"/>
  <c r="AC3134" i="3" s="1"/>
  <c r="AD3135" i="3"/>
  <c r="AC3135" i="3" s="1"/>
  <c r="AD3136" i="3"/>
  <c r="AC3136" i="3" s="1"/>
  <c r="AD3137" i="3"/>
  <c r="AC3137" i="3" s="1"/>
  <c r="AD3138" i="3"/>
  <c r="AC3138" i="3" s="1"/>
  <c r="AD3139" i="3"/>
  <c r="AC3139" i="3" s="1"/>
  <c r="AD3140" i="3"/>
  <c r="AC3140" i="3" s="1"/>
  <c r="AD3141" i="3"/>
  <c r="AC3141" i="3" s="1"/>
  <c r="AD3142" i="3"/>
  <c r="AC3142" i="3" s="1"/>
  <c r="AD3143" i="3"/>
  <c r="AC3143" i="3" s="1"/>
  <c r="AD3144" i="3"/>
  <c r="AC3144" i="3" s="1"/>
  <c r="AD3145" i="3"/>
  <c r="AC3145" i="3" s="1"/>
  <c r="AD3146" i="3"/>
  <c r="AC3146" i="3" s="1"/>
  <c r="AD3147" i="3"/>
  <c r="AC3147" i="3" s="1"/>
  <c r="AD3148" i="3"/>
  <c r="AC3148" i="3" s="1"/>
  <c r="AD3149" i="3"/>
  <c r="AC3149" i="3" s="1"/>
  <c r="AD3150" i="3"/>
  <c r="AC3150" i="3" s="1"/>
  <c r="AD3151" i="3"/>
  <c r="AC3151" i="3" s="1"/>
  <c r="AD3152" i="3"/>
  <c r="AC3152" i="3" s="1"/>
  <c r="AD3153" i="3"/>
  <c r="AC3153" i="3" s="1"/>
  <c r="AD3154" i="3"/>
  <c r="AC3154" i="3" s="1"/>
  <c r="AD3155" i="3"/>
  <c r="AC3155" i="3" s="1"/>
  <c r="AD3156" i="3"/>
  <c r="AC3156" i="3" s="1"/>
  <c r="AD3157" i="3"/>
  <c r="AC3157" i="3" s="1"/>
  <c r="AD3158" i="3"/>
  <c r="AC3158" i="3" s="1"/>
  <c r="AD3159" i="3"/>
  <c r="AC3159" i="3" s="1"/>
  <c r="AD3160" i="3"/>
  <c r="AC3160" i="3" s="1"/>
  <c r="AD3161" i="3"/>
  <c r="AC3161" i="3" s="1"/>
  <c r="AD3162" i="3"/>
  <c r="AC3162" i="3" s="1"/>
  <c r="AD3163" i="3"/>
  <c r="AC3163" i="3" s="1"/>
  <c r="AD3164" i="3"/>
  <c r="AC3164" i="3" s="1"/>
  <c r="AD3165" i="3"/>
  <c r="AC3165" i="3" s="1"/>
  <c r="AD3166" i="3"/>
  <c r="AC3166" i="3" s="1"/>
  <c r="AD3167" i="3"/>
  <c r="AC3167" i="3" s="1"/>
  <c r="AD3168" i="3"/>
  <c r="AC3168" i="3" s="1"/>
  <c r="AD3169" i="3"/>
  <c r="AC3169" i="3" s="1"/>
  <c r="AD3170" i="3"/>
  <c r="AC3170" i="3" s="1"/>
  <c r="AD3171" i="3"/>
  <c r="AC3171" i="3" s="1"/>
  <c r="AD3172" i="3"/>
  <c r="AC3172" i="3" s="1"/>
  <c r="AD3173" i="3"/>
  <c r="AC3173" i="3" s="1"/>
  <c r="AD3174" i="3"/>
  <c r="AC3174" i="3" s="1"/>
  <c r="AD3175" i="3"/>
  <c r="AC3175" i="3" s="1"/>
  <c r="AD3176" i="3"/>
  <c r="AC3176" i="3" s="1"/>
  <c r="AD3177" i="3"/>
  <c r="AC3177" i="3" s="1"/>
  <c r="AD3178" i="3"/>
  <c r="AC3178" i="3" s="1"/>
  <c r="AD3179" i="3"/>
  <c r="AC3179" i="3" s="1"/>
  <c r="AD3180" i="3"/>
  <c r="AC3180" i="3" s="1"/>
  <c r="AD3181" i="3"/>
  <c r="AC3181" i="3" s="1"/>
  <c r="AD3182" i="3"/>
  <c r="AC3182" i="3" s="1"/>
  <c r="AD3183" i="3"/>
  <c r="AC3183" i="3" s="1"/>
  <c r="AD3184" i="3"/>
  <c r="AC3184" i="3" s="1"/>
  <c r="AD3185" i="3"/>
  <c r="AC3185" i="3" s="1"/>
  <c r="AD3186" i="3"/>
  <c r="AC3186" i="3" s="1"/>
  <c r="AD3187" i="3"/>
  <c r="AC3187" i="3" s="1"/>
  <c r="AD3188" i="3"/>
  <c r="AC3188" i="3" s="1"/>
  <c r="AD3189" i="3"/>
  <c r="AC3189" i="3" s="1"/>
  <c r="AD3190" i="3"/>
  <c r="AC3190" i="3" s="1"/>
  <c r="AD3191" i="3"/>
  <c r="AC3191" i="3" s="1"/>
  <c r="AD3192" i="3"/>
  <c r="AC3192" i="3" s="1"/>
  <c r="AD3193" i="3"/>
  <c r="AC3193" i="3" s="1"/>
  <c r="AD3194" i="3"/>
  <c r="AC3194" i="3" s="1"/>
  <c r="AD3195" i="3"/>
  <c r="AC3195" i="3" s="1"/>
  <c r="AD3196" i="3"/>
  <c r="AC3196" i="3" s="1"/>
  <c r="AD3197" i="3"/>
  <c r="AC3197" i="3" s="1"/>
  <c r="AD3198" i="3"/>
  <c r="AC3198" i="3" s="1"/>
  <c r="AD3199" i="3"/>
  <c r="AC3199" i="3" s="1"/>
  <c r="AD3200" i="3"/>
  <c r="AC3200" i="3" s="1"/>
  <c r="AD3201" i="3"/>
  <c r="AC3201" i="3" s="1"/>
  <c r="AD3202" i="3"/>
  <c r="AC3202" i="3" s="1"/>
  <c r="AD3203" i="3"/>
  <c r="AC3203" i="3" s="1"/>
  <c r="AD3204" i="3"/>
  <c r="AC3204" i="3" s="1"/>
  <c r="AD3205" i="3"/>
  <c r="AC3205" i="3" s="1"/>
  <c r="AD3206" i="3"/>
  <c r="AC3206" i="3" s="1"/>
  <c r="AD3207" i="3"/>
  <c r="AC3207" i="3" s="1"/>
  <c r="AD3208" i="3"/>
  <c r="AC3208" i="3" s="1"/>
  <c r="AD3209" i="3"/>
  <c r="AC3209" i="3" s="1"/>
  <c r="AD3210" i="3"/>
  <c r="AC3210" i="3" s="1"/>
  <c r="AD3211" i="3"/>
  <c r="AC3211" i="3" s="1"/>
  <c r="AD3212" i="3"/>
  <c r="AC3212" i="3" s="1"/>
  <c r="AD3213" i="3"/>
  <c r="AC3213" i="3" s="1"/>
  <c r="AD3214" i="3"/>
  <c r="AC3214" i="3" s="1"/>
  <c r="AD3215" i="3"/>
  <c r="AC3215" i="3" s="1"/>
  <c r="AD3216" i="3"/>
  <c r="AC3216" i="3" s="1"/>
  <c r="AD3217" i="3"/>
  <c r="AC3217" i="3" s="1"/>
  <c r="AD3218" i="3"/>
  <c r="AC3218" i="3" s="1"/>
  <c r="AD3219" i="3"/>
  <c r="AC3219" i="3" s="1"/>
  <c r="AD3220" i="3"/>
  <c r="AC3220" i="3" s="1"/>
  <c r="AD3221" i="3"/>
  <c r="AC3221" i="3" s="1"/>
  <c r="AD3222" i="3"/>
  <c r="AC3222" i="3" s="1"/>
  <c r="AD3223" i="3"/>
  <c r="AC3223" i="3" s="1"/>
  <c r="AD3224" i="3"/>
  <c r="AC3224" i="3" s="1"/>
  <c r="AD3225" i="3"/>
  <c r="AC3225" i="3" s="1"/>
  <c r="AD3226" i="3"/>
  <c r="AC3226" i="3" s="1"/>
  <c r="AD3227" i="3"/>
  <c r="AC3227" i="3" s="1"/>
  <c r="AD3228" i="3"/>
  <c r="AC3228" i="3" s="1"/>
  <c r="AD3229" i="3"/>
  <c r="AC3229" i="3" s="1"/>
  <c r="AD3230" i="3"/>
  <c r="AC3230" i="3" s="1"/>
  <c r="AD3231" i="3"/>
  <c r="AC3231" i="3" s="1"/>
  <c r="AD3232" i="3"/>
  <c r="AC3232" i="3" s="1"/>
  <c r="AD3233" i="3"/>
  <c r="AC3233" i="3" s="1"/>
  <c r="AD3234" i="3"/>
  <c r="AC3234" i="3" s="1"/>
  <c r="AD3235" i="3"/>
  <c r="AC3235" i="3" s="1"/>
  <c r="AD3236" i="3"/>
  <c r="AC3236" i="3" s="1"/>
  <c r="AD3237" i="3"/>
  <c r="AC3237" i="3" s="1"/>
  <c r="AD3238" i="3"/>
  <c r="AC3238" i="3" s="1"/>
  <c r="AD3239" i="3"/>
  <c r="AC3239" i="3" s="1"/>
  <c r="AD3240" i="3"/>
  <c r="AC3240" i="3" s="1"/>
  <c r="AD3241" i="3"/>
  <c r="AC3241" i="3" s="1"/>
  <c r="AD3242" i="3"/>
  <c r="AC3242" i="3" s="1"/>
  <c r="AD3243" i="3"/>
  <c r="AC3243" i="3" s="1"/>
  <c r="AD3244" i="3"/>
  <c r="AC3244" i="3" s="1"/>
  <c r="AD3245" i="3"/>
  <c r="AC3245" i="3" s="1"/>
  <c r="AD3246" i="3"/>
  <c r="AC3246" i="3" s="1"/>
  <c r="AD3247" i="3"/>
  <c r="AC3247" i="3" s="1"/>
  <c r="AD3248" i="3"/>
  <c r="AC3248" i="3" s="1"/>
  <c r="AD3249" i="3"/>
  <c r="AC3249" i="3" s="1"/>
  <c r="AD3250" i="3"/>
  <c r="AC3250" i="3" s="1"/>
  <c r="AD3251" i="3"/>
  <c r="AC3251" i="3" s="1"/>
  <c r="AD3252" i="3"/>
  <c r="AC3252" i="3" s="1"/>
  <c r="AD3253" i="3"/>
  <c r="AC3253" i="3" s="1"/>
  <c r="AD3254" i="3"/>
  <c r="AC3254" i="3" s="1"/>
  <c r="AD3255" i="3"/>
  <c r="AC3255" i="3" s="1"/>
  <c r="AD3256" i="3"/>
  <c r="AC3256" i="3" s="1"/>
  <c r="AD3257" i="3"/>
  <c r="AC3257" i="3" s="1"/>
  <c r="AD3258" i="3"/>
  <c r="AC3258" i="3" s="1"/>
  <c r="AD3259" i="3"/>
  <c r="AC3259" i="3" s="1"/>
  <c r="AD3260" i="3"/>
  <c r="AC3260" i="3" s="1"/>
  <c r="AD3261" i="3"/>
  <c r="AC3261" i="3" s="1"/>
  <c r="AD3262" i="3"/>
  <c r="AC3262" i="3" s="1"/>
  <c r="AD3263" i="3"/>
  <c r="AC3263" i="3" s="1"/>
  <c r="AD3264" i="3"/>
  <c r="AC3264" i="3" s="1"/>
  <c r="AD3265" i="3"/>
  <c r="AC3265" i="3" s="1"/>
  <c r="AD3266" i="3"/>
  <c r="AC3266" i="3" s="1"/>
  <c r="AD3267" i="3"/>
  <c r="AC3267" i="3" s="1"/>
  <c r="AD3268" i="3"/>
  <c r="AC3268" i="3" s="1"/>
  <c r="AD3269" i="3"/>
  <c r="AC3269" i="3" s="1"/>
  <c r="AD3270" i="3"/>
  <c r="AC3270" i="3" s="1"/>
  <c r="AD3271" i="3"/>
  <c r="AC3271" i="3" s="1"/>
  <c r="AD3272" i="3"/>
  <c r="AC3272" i="3" s="1"/>
  <c r="AD3273" i="3"/>
  <c r="AC3273" i="3" s="1"/>
  <c r="AD3274" i="3"/>
  <c r="AC3274" i="3" s="1"/>
  <c r="AD3275" i="3"/>
  <c r="AC3275" i="3" s="1"/>
  <c r="AD3276" i="3"/>
  <c r="AC3276" i="3" s="1"/>
  <c r="AD3277" i="3"/>
  <c r="AC3277" i="3" s="1"/>
  <c r="AD3278" i="3"/>
  <c r="AC3278" i="3" s="1"/>
  <c r="AD3279" i="3"/>
  <c r="AC3279" i="3" s="1"/>
  <c r="AD3280" i="3"/>
  <c r="AC3280" i="3" s="1"/>
  <c r="AD3281" i="3"/>
  <c r="AC3281" i="3" s="1"/>
  <c r="AD3282" i="3"/>
  <c r="AC3282" i="3" s="1"/>
  <c r="AD3283" i="3"/>
  <c r="AC3283" i="3" s="1"/>
  <c r="AD3284" i="3"/>
  <c r="AC3284" i="3" s="1"/>
  <c r="AD3285" i="3"/>
  <c r="AC3285" i="3" s="1"/>
  <c r="AD3286" i="3"/>
  <c r="AC3286" i="3" s="1"/>
  <c r="AD3287" i="3"/>
  <c r="AC3287" i="3" s="1"/>
  <c r="AD3288" i="3"/>
  <c r="AC3288" i="3" s="1"/>
  <c r="AD3289" i="3"/>
  <c r="AC3289" i="3" s="1"/>
  <c r="AD3290" i="3"/>
  <c r="AC3290" i="3" s="1"/>
  <c r="AD3291" i="3"/>
  <c r="AC3291" i="3" s="1"/>
  <c r="AD3292" i="3"/>
  <c r="AC3292" i="3" s="1"/>
  <c r="AD3293" i="3"/>
  <c r="AC3293" i="3" s="1"/>
  <c r="AD3294" i="3"/>
  <c r="AC3294" i="3" s="1"/>
  <c r="AD3295" i="3"/>
  <c r="AC3295" i="3" s="1"/>
  <c r="AD3296" i="3"/>
  <c r="AC3296" i="3" s="1"/>
  <c r="AD3297" i="3"/>
  <c r="AC3297" i="3" s="1"/>
  <c r="AD3298" i="3"/>
  <c r="AC3298" i="3" s="1"/>
  <c r="AD3299" i="3"/>
  <c r="AC3299" i="3" s="1"/>
  <c r="AD3300" i="3"/>
  <c r="AC3300" i="3" s="1"/>
  <c r="AD3301" i="3"/>
  <c r="AC3301" i="3" s="1"/>
  <c r="AD3302" i="3"/>
  <c r="AC3302" i="3" s="1"/>
  <c r="AD3303" i="3"/>
  <c r="AC3303" i="3" s="1"/>
  <c r="AD3304" i="3"/>
  <c r="AC3304" i="3" s="1"/>
  <c r="AD3305" i="3"/>
  <c r="AC3305" i="3" s="1"/>
  <c r="AD3306" i="3"/>
  <c r="AC3306" i="3" s="1"/>
  <c r="AD3307" i="3"/>
  <c r="AC3307" i="3" s="1"/>
  <c r="AD3308" i="3"/>
  <c r="AC3308" i="3" s="1"/>
  <c r="AD3309" i="3"/>
  <c r="AC3309" i="3" s="1"/>
  <c r="AD3310" i="3"/>
  <c r="AC3310" i="3" s="1"/>
  <c r="AD3311" i="3"/>
  <c r="AC3311" i="3" s="1"/>
  <c r="AD3312" i="3"/>
  <c r="AC3312" i="3" s="1"/>
  <c r="AD3313" i="3"/>
  <c r="AC3313" i="3" s="1"/>
  <c r="AD3314" i="3"/>
  <c r="AC3314" i="3" s="1"/>
  <c r="AD3315" i="3"/>
  <c r="AC3315" i="3" s="1"/>
  <c r="AD3316" i="3"/>
  <c r="AC3316" i="3" s="1"/>
  <c r="AD3317" i="3"/>
  <c r="AC3317" i="3" s="1"/>
  <c r="AD3318" i="3"/>
  <c r="AC3318" i="3" s="1"/>
  <c r="AD3319" i="3"/>
  <c r="AC3319" i="3" s="1"/>
  <c r="AD3320" i="3"/>
  <c r="AC3320" i="3" s="1"/>
  <c r="AD3321" i="3"/>
  <c r="AC3321" i="3" s="1"/>
  <c r="AD3322" i="3"/>
  <c r="AC3322" i="3" s="1"/>
  <c r="AD3323" i="3"/>
  <c r="AC3323" i="3" s="1"/>
  <c r="AD3324" i="3"/>
  <c r="AC3324" i="3" s="1"/>
  <c r="AD3325" i="3"/>
  <c r="AC3325" i="3" s="1"/>
  <c r="AD3326" i="3"/>
  <c r="AC3326" i="3" s="1"/>
  <c r="AD3327" i="3"/>
  <c r="AC3327" i="3" s="1"/>
  <c r="AD3328" i="3"/>
  <c r="AC3328" i="3" s="1"/>
  <c r="AD3329" i="3"/>
  <c r="AC3329" i="3" s="1"/>
  <c r="AD3330" i="3"/>
  <c r="AC3330" i="3" s="1"/>
  <c r="AD3331" i="3"/>
  <c r="AC3331" i="3" s="1"/>
  <c r="AD3332" i="3"/>
  <c r="AC3332" i="3" s="1"/>
  <c r="AD3333" i="3"/>
  <c r="AC3333" i="3" s="1"/>
  <c r="AD3334" i="3"/>
  <c r="AC3334" i="3" s="1"/>
  <c r="AD3335" i="3"/>
  <c r="AC3335" i="3" s="1"/>
  <c r="AD3336" i="3"/>
  <c r="AC3336" i="3" s="1"/>
  <c r="AD3337" i="3"/>
  <c r="AC3337" i="3" s="1"/>
  <c r="AD3338" i="3"/>
  <c r="AC3338" i="3" s="1"/>
  <c r="AD3339" i="3"/>
  <c r="AC3339" i="3" s="1"/>
  <c r="AD3340" i="3"/>
  <c r="AC3340" i="3" s="1"/>
  <c r="AD3341" i="3"/>
  <c r="AC3341" i="3" s="1"/>
  <c r="AD3342" i="3"/>
  <c r="AC3342" i="3" s="1"/>
  <c r="AD3343" i="3"/>
  <c r="AC3343" i="3" s="1"/>
  <c r="AD3344" i="3"/>
  <c r="AC3344" i="3" s="1"/>
  <c r="AD3345" i="3"/>
  <c r="AC3345" i="3" s="1"/>
  <c r="AD3346" i="3"/>
  <c r="AC3346" i="3" s="1"/>
  <c r="AD3347" i="3"/>
  <c r="AC3347" i="3" s="1"/>
  <c r="AD3348" i="3"/>
  <c r="AC3348" i="3" s="1"/>
  <c r="AD3349" i="3"/>
  <c r="AC3349" i="3" s="1"/>
  <c r="AD3350" i="3"/>
  <c r="AC3350" i="3" s="1"/>
  <c r="AD3351" i="3"/>
  <c r="AC3351" i="3" s="1"/>
  <c r="AD3352" i="3"/>
  <c r="AC3352" i="3" s="1"/>
  <c r="AD3353" i="3"/>
  <c r="AC3353" i="3" s="1"/>
  <c r="AD3354" i="3"/>
  <c r="AC3354" i="3" s="1"/>
  <c r="AD3355" i="3"/>
  <c r="AC3355" i="3" s="1"/>
  <c r="AD3356" i="3"/>
  <c r="AC3356" i="3" s="1"/>
  <c r="AD3357" i="3"/>
  <c r="AC3357" i="3" s="1"/>
  <c r="AD3358" i="3"/>
  <c r="AC3358" i="3" s="1"/>
  <c r="AD3359" i="3"/>
  <c r="AC3359" i="3" s="1"/>
  <c r="AD3360" i="3"/>
  <c r="AC3360" i="3" s="1"/>
  <c r="AD3361" i="3"/>
  <c r="AC3361" i="3" s="1"/>
  <c r="AD3362" i="3"/>
  <c r="AC3362" i="3" s="1"/>
  <c r="AD3363" i="3"/>
  <c r="AC3363" i="3" s="1"/>
  <c r="AD3364" i="3"/>
  <c r="AC3364" i="3" s="1"/>
  <c r="AD3365" i="3"/>
  <c r="AC3365" i="3" s="1"/>
  <c r="AD3366" i="3"/>
  <c r="AC3366" i="3" s="1"/>
  <c r="AD3367" i="3"/>
  <c r="AC3367" i="3" s="1"/>
  <c r="AD3368" i="3"/>
  <c r="AC3368" i="3" s="1"/>
  <c r="AD3369" i="3"/>
  <c r="AC3369" i="3" s="1"/>
  <c r="AD3370" i="3"/>
  <c r="AC3370" i="3" s="1"/>
  <c r="AD3371" i="3"/>
  <c r="AC3371" i="3" s="1"/>
  <c r="AD3372" i="3"/>
  <c r="AC3372" i="3" s="1"/>
  <c r="AD3373" i="3"/>
  <c r="AC3373" i="3" s="1"/>
  <c r="AD3374" i="3"/>
  <c r="AC3374" i="3" s="1"/>
  <c r="AD3375" i="3"/>
  <c r="AC3375" i="3" s="1"/>
  <c r="AD3376" i="3"/>
  <c r="AC3376" i="3" s="1"/>
  <c r="AD3377" i="3"/>
  <c r="AC3377" i="3" s="1"/>
  <c r="AD3378" i="3"/>
  <c r="AC3378" i="3" s="1"/>
  <c r="AD3379" i="3"/>
  <c r="AC3379" i="3" s="1"/>
  <c r="AD3380" i="3"/>
  <c r="AC3380" i="3" s="1"/>
  <c r="AD3381" i="3"/>
  <c r="AC3381" i="3" s="1"/>
  <c r="AD3382" i="3"/>
  <c r="AC3382" i="3" s="1"/>
  <c r="AD3383" i="3"/>
  <c r="AC3383" i="3" s="1"/>
  <c r="AD3384" i="3"/>
  <c r="AC3384" i="3" s="1"/>
  <c r="AD3385" i="3"/>
  <c r="AC3385" i="3" s="1"/>
  <c r="AD3386" i="3"/>
  <c r="AC3386" i="3" s="1"/>
  <c r="AD3387" i="3"/>
  <c r="AC3387" i="3" s="1"/>
  <c r="AD3388" i="3"/>
  <c r="AC3388" i="3" s="1"/>
  <c r="AD3389" i="3"/>
  <c r="AC3389" i="3" s="1"/>
  <c r="AD3390" i="3"/>
  <c r="AC3390" i="3" s="1"/>
  <c r="AD3391" i="3"/>
  <c r="AC3391" i="3" s="1"/>
  <c r="AD3392" i="3"/>
  <c r="AC3392" i="3" s="1"/>
  <c r="AD3393" i="3"/>
  <c r="AC3393" i="3" s="1"/>
  <c r="AD3394" i="3"/>
  <c r="AC3394" i="3" s="1"/>
  <c r="AD3395" i="3"/>
  <c r="AC3395" i="3" s="1"/>
  <c r="AD3396" i="3"/>
  <c r="AC3396" i="3" s="1"/>
  <c r="AD3397" i="3"/>
  <c r="AC3397" i="3" s="1"/>
  <c r="AD3398" i="3"/>
  <c r="AC3398" i="3" s="1"/>
  <c r="AD3399" i="3"/>
  <c r="AC3399" i="3" s="1"/>
  <c r="AD3400" i="3"/>
  <c r="AC3400" i="3" s="1"/>
  <c r="AD3401" i="3"/>
  <c r="AC3401" i="3" s="1"/>
  <c r="AD3402" i="3"/>
  <c r="AC3402" i="3" s="1"/>
  <c r="AD3403" i="3"/>
  <c r="AC3403" i="3" s="1"/>
  <c r="AD3404" i="3"/>
  <c r="AC3404" i="3" s="1"/>
  <c r="AD3405" i="3"/>
  <c r="AC3405" i="3" s="1"/>
  <c r="AD3406" i="3"/>
  <c r="AC3406" i="3" s="1"/>
  <c r="AD3407" i="3"/>
  <c r="AC3407" i="3" s="1"/>
  <c r="AD3408" i="3"/>
  <c r="AC3408" i="3" s="1"/>
  <c r="AD3409" i="3"/>
  <c r="AC3409" i="3" s="1"/>
  <c r="AD3410" i="3"/>
  <c r="AC3410" i="3" s="1"/>
  <c r="AD3411" i="3"/>
  <c r="AC3411" i="3" s="1"/>
  <c r="AD3412" i="3"/>
  <c r="AC3412" i="3" s="1"/>
  <c r="AD3413" i="3"/>
  <c r="AC3413" i="3" s="1"/>
  <c r="AD3414" i="3"/>
  <c r="AC3414" i="3" s="1"/>
  <c r="AD3415" i="3"/>
  <c r="AC3415" i="3" s="1"/>
  <c r="AD3416" i="3"/>
  <c r="AC3416" i="3" s="1"/>
  <c r="AD3417" i="3"/>
  <c r="AC3417" i="3" s="1"/>
  <c r="AD3418" i="3"/>
  <c r="AC3418" i="3" s="1"/>
  <c r="AD3419" i="3"/>
  <c r="AC3419" i="3" s="1"/>
  <c r="AD3420" i="3"/>
  <c r="AC3420" i="3" s="1"/>
  <c r="AD3421" i="3"/>
  <c r="AC3421" i="3" s="1"/>
  <c r="AD3422" i="3"/>
  <c r="AC3422" i="3" s="1"/>
  <c r="AD3423" i="3"/>
  <c r="AC3423" i="3" s="1"/>
  <c r="AD3424" i="3"/>
  <c r="AC3424" i="3" s="1"/>
  <c r="AD3425" i="3"/>
  <c r="AC3425" i="3" s="1"/>
  <c r="AD3426" i="3"/>
  <c r="AC3426" i="3" s="1"/>
  <c r="AD3427" i="3"/>
  <c r="AC3427" i="3" s="1"/>
  <c r="AD3428" i="3"/>
  <c r="AC3428" i="3" s="1"/>
  <c r="AD3429" i="3"/>
  <c r="AC3429" i="3" s="1"/>
  <c r="AD3430" i="3"/>
  <c r="AC3430" i="3" s="1"/>
  <c r="AD3431" i="3"/>
  <c r="AC3431" i="3" s="1"/>
  <c r="AD3432" i="3"/>
  <c r="AC3432" i="3" s="1"/>
  <c r="AD3433" i="3"/>
  <c r="AC3433" i="3" s="1"/>
  <c r="AD3434" i="3"/>
  <c r="AC3434" i="3" s="1"/>
  <c r="AD3435" i="3"/>
  <c r="AC3435" i="3" s="1"/>
  <c r="AD3436" i="3"/>
  <c r="AC3436" i="3" s="1"/>
  <c r="AD3437" i="3"/>
  <c r="AC3437" i="3" s="1"/>
  <c r="AD3438" i="3"/>
  <c r="AC3438" i="3" s="1"/>
  <c r="AD3439" i="3"/>
  <c r="AC3439" i="3" s="1"/>
  <c r="AD3440" i="3"/>
  <c r="AC3440" i="3" s="1"/>
  <c r="AD3441" i="3"/>
  <c r="AC3441" i="3" s="1"/>
  <c r="AD3442" i="3"/>
  <c r="AC3442" i="3" s="1"/>
  <c r="AD3443" i="3"/>
  <c r="AC3443" i="3" s="1"/>
  <c r="AD3444" i="3"/>
  <c r="AC3444" i="3" s="1"/>
  <c r="AD3445" i="3"/>
  <c r="AC3445" i="3" s="1"/>
  <c r="AD3446" i="3"/>
  <c r="AC3446" i="3" s="1"/>
  <c r="AD3447" i="3"/>
  <c r="AC3447" i="3" s="1"/>
  <c r="AD3448" i="3"/>
  <c r="AC3448" i="3" s="1"/>
  <c r="AD3449" i="3"/>
  <c r="AC3449" i="3" s="1"/>
  <c r="AD3450" i="3"/>
  <c r="AC3450" i="3" s="1"/>
  <c r="AD3451" i="3"/>
  <c r="AC3451" i="3" s="1"/>
  <c r="AD3452" i="3"/>
  <c r="AC3452" i="3" s="1"/>
  <c r="AD3453" i="3"/>
  <c r="AC3453" i="3" s="1"/>
  <c r="AD3454" i="3"/>
  <c r="AC3454" i="3" s="1"/>
  <c r="AD3455" i="3"/>
  <c r="AC3455" i="3" s="1"/>
  <c r="AD3456" i="3"/>
  <c r="AC3456" i="3" s="1"/>
  <c r="AD3457" i="3"/>
  <c r="AC3457" i="3" s="1"/>
  <c r="AD3458" i="3"/>
  <c r="AC3458" i="3" s="1"/>
  <c r="AD3459" i="3"/>
  <c r="AC3459" i="3" s="1"/>
  <c r="AD3460" i="3"/>
  <c r="AC3460" i="3" s="1"/>
  <c r="AD3461" i="3"/>
  <c r="AC3461" i="3" s="1"/>
  <c r="AD3462" i="3"/>
  <c r="AC3462" i="3" s="1"/>
  <c r="AD3463" i="3"/>
  <c r="AC3463" i="3" s="1"/>
  <c r="AD3464" i="3"/>
  <c r="AC3464" i="3" s="1"/>
  <c r="AD3465" i="3"/>
  <c r="AC3465" i="3" s="1"/>
  <c r="AD3466" i="3"/>
  <c r="AC3466" i="3" s="1"/>
  <c r="AD3467" i="3"/>
  <c r="AC3467" i="3" s="1"/>
  <c r="AD3468" i="3"/>
  <c r="AC3468" i="3" s="1"/>
  <c r="AD3469" i="3"/>
  <c r="AC3469" i="3" s="1"/>
  <c r="AD3470" i="3"/>
  <c r="AC3470" i="3" s="1"/>
  <c r="AD3471" i="3"/>
  <c r="AC3471" i="3" s="1"/>
  <c r="AD3472" i="3"/>
  <c r="AC3472" i="3" s="1"/>
  <c r="AD3473" i="3"/>
  <c r="AC3473" i="3" s="1"/>
  <c r="AD3474" i="3"/>
  <c r="AC3474" i="3" s="1"/>
  <c r="AD3475" i="3"/>
  <c r="AC3475" i="3" s="1"/>
  <c r="AD3476" i="3"/>
  <c r="AC3476" i="3" s="1"/>
  <c r="AD3477" i="3"/>
  <c r="AC3477" i="3" s="1"/>
  <c r="AD3478" i="3"/>
  <c r="AC3478" i="3" s="1"/>
  <c r="AD3479" i="3"/>
  <c r="AC3479" i="3" s="1"/>
  <c r="AD3480" i="3"/>
  <c r="AC3480" i="3" s="1"/>
  <c r="AD3481" i="3"/>
  <c r="AC3481" i="3" s="1"/>
  <c r="AD3482" i="3"/>
  <c r="AC3482" i="3" s="1"/>
  <c r="AD3483" i="3"/>
  <c r="AC3483" i="3" s="1"/>
  <c r="AD3484" i="3"/>
  <c r="AC3484" i="3" s="1"/>
  <c r="AD3485" i="3"/>
  <c r="AC3485" i="3" s="1"/>
  <c r="AD3486" i="3"/>
  <c r="AC3486" i="3" s="1"/>
  <c r="AD3487" i="3"/>
  <c r="AC3487" i="3" s="1"/>
  <c r="AD3488" i="3"/>
  <c r="AC3488" i="3" s="1"/>
  <c r="AD3489" i="3"/>
  <c r="AC3489" i="3" s="1"/>
  <c r="AD3490" i="3"/>
  <c r="AC3490" i="3" s="1"/>
  <c r="AD3491" i="3"/>
  <c r="AC3491" i="3" s="1"/>
  <c r="AD3492" i="3"/>
  <c r="AC3492" i="3" s="1"/>
  <c r="AD3493" i="3"/>
  <c r="AC3493" i="3" s="1"/>
  <c r="AD3494" i="3"/>
  <c r="AC3494" i="3" s="1"/>
  <c r="AD3495" i="3"/>
  <c r="AC3495" i="3" s="1"/>
  <c r="AD3496" i="3"/>
  <c r="AC3496" i="3" s="1"/>
  <c r="AD3497" i="3"/>
  <c r="AC3497" i="3" s="1"/>
  <c r="AD3498" i="3"/>
  <c r="AC3498" i="3" s="1"/>
  <c r="AD3499" i="3"/>
  <c r="AC3499" i="3" s="1"/>
  <c r="AD3500" i="3"/>
  <c r="AC3500" i="3" s="1"/>
  <c r="AD3501" i="3"/>
  <c r="AC3501" i="3" s="1"/>
  <c r="AD3502" i="3"/>
  <c r="AC3502" i="3" s="1"/>
  <c r="AD3503" i="3"/>
  <c r="AC3503" i="3" s="1"/>
  <c r="AD3504" i="3"/>
  <c r="AC3504" i="3" s="1"/>
  <c r="AD3505" i="3"/>
  <c r="AC3505" i="3" s="1"/>
  <c r="AD3506" i="3"/>
  <c r="AC3506" i="3" s="1"/>
  <c r="AD3507" i="3"/>
  <c r="AC3507" i="3" s="1"/>
  <c r="AD3508" i="3"/>
  <c r="AC3508" i="3" s="1"/>
  <c r="AD3509" i="3"/>
  <c r="AC3509" i="3" s="1"/>
  <c r="AD3510" i="3"/>
  <c r="AC3510" i="3" s="1"/>
  <c r="AD3511" i="3"/>
  <c r="AC3511" i="3" s="1"/>
  <c r="AD3512" i="3"/>
  <c r="AC3512" i="3" s="1"/>
  <c r="AD3513" i="3"/>
  <c r="AC3513" i="3" s="1"/>
  <c r="AD3514" i="3"/>
  <c r="AC3514" i="3" s="1"/>
  <c r="AD3515" i="3"/>
  <c r="AC3515" i="3" s="1"/>
  <c r="AD3516" i="3"/>
  <c r="AC3516" i="3" s="1"/>
  <c r="AD3517" i="3"/>
  <c r="AC3517" i="3" s="1"/>
  <c r="AD3518" i="3"/>
  <c r="AC3518" i="3" s="1"/>
  <c r="AD3519" i="3"/>
  <c r="AC3519" i="3" s="1"/>
  <c r="AD3520" i="3"/>
  <c r="AC3520" i="3" s="1"/>
  <c r="AD3521" i="3"/>
  <c r="AC3521" i="3" s="1"/>
  <c r="AD3522" i="3"/>
  <c r="AC3522" i="3" s="1"/>
  <c r="AD3523" i="3"/>
  <c r="AC3523" i="3" s="1"/>
  <c r="AD3524" i="3"/>
  <c r="AC3524" i="3" s="1"/>
  <c r="AD3525" i="3"/>
  <c r="AC3525" i="3" s="1"/>
  <c r="AD3526" i="3"/>
  <c r="AC3526" i="3" s="1"/>
  <c r="AD3527" i="3"/>
  <c r="AC3527" i="3" s="1"/>
  <c r="AD3528" i="3"/>
  <c r="AC3528" i="3" s="1"/>
  <c r="AD3529" i="3"/>
  <c r="AC3529" i="3" s="1"/>
  <c r="AD3530" i="3"/>
  <c r="AC3530" i="3" s="1"/>
  <c r="AD3531" i="3"/>
  <c r="AC3531" i="3" s="1"/>
  <c r="AD3532" i="3"/>
  <c r="AC3532" i="3" s="1"/>
  <c r="AD3533" i="3"/>
  <c r="AC3533" i="3" s="1"/>
  <c r="AD3534" i="3"/>
  <c r="AC3534" i="3" s="1"/>
  <c r="AD3535" i="3"/>
  <c r="AC3535" i="3" s="1"/>
  <c r="AD3536" i="3"/>
  <c r="AC3536" i="3" s="1"/>
  <c r="AD3537" i="3"/>
  <c r="AC3537" i="3" s="1"/>
  <c r="AD3538" i="3"/>
  <c r="AC3538" i="3" s="1"/>
  <c r="AD3539" i="3"/>
  <c r="AC3539" i="3" s="1"/>
  <c r="AD3540" i="3"/>
  <c r="AC3540" i="3" s="1"/>
  <c r="AD3541" i="3"/>
  <c r="AC3541" i="3" s="1"/>
  <c r="AD3542" i="3"/>
  <c r="AC3542" i="3" s="1"/>
  <c r="AD3543" i="3"/>
  <c r="AC3543" i="3" s="1"/>
  <c r="AD3544" i="3"/>
  <c r="AC3544" i="3" s="1"/>
  <c r="AD3545" i="3"/>
  <c r="AC3545" i="3" s="1"/>
  <c r="AD3546" i="3"/>
  <c r="AC3546" i="3" s="1"/>
  <c r="AD3547" i="3"/>
  <c r="AC3547" i="3" s="1"/>
  <c r="AD3548" i="3"/>
  <c r="AC3548" i="3" s="1"/>
  <c r="AD3549" i="3"/>
  <c r="AC3549" i="3" s="1"/>
  <c r="AD3550" i="3"/>
  <c r="AC3550" i="3" s="1"/>
  <c r="AD3551" i="3"/>
  <c r="AC3551" i="3" s="1"/>
  <c r="AD3552" i="3"/>
  <c r="AC3552" i="3" s="1"/>
  <c r="AD3553" i="3"/>
  <c r="AC3553" i="3" s="1"/>
  <c r="AD3554" i="3"/>
  <c r="AC3554" i="3" s="1"/>
  <c r="AD3555" i="3"/>
  <c r="AC3555" i="3" s="1"/>
  <c r="AD3556" i="3"/>
  <c r="AC3556" i="3" s="1"/>
  <c r="AD3557" i="3"/>
  <c r="AC3557" i="3" s="1"/>
  <c r="AD3558" i="3"/>
  <c r="AC3558" i="3" s="1"/>
  <c r="AD3559" i="3"/>
  <c r="AC3559" i="3" s="1"/>
  <c r="AD3560" i="3"/>
  <c r="AC3560" i="3" s="1"/>
  <c r="AD3561" i="3"/>
  <c r="AC3561" i="3" s="1"/>
  <c r="AD3562" i="3"/>
  <c r="AC3562" i="3" s="1"/>
  <c r="AD3563" i="3"/>
  <c r="AC3563" i="3" s="1"/>
  <c r="AD3564" i="3"/>
  <c r="AC3564" i="3" s="1"/>
  <c r="AD3565" i="3"/>
  <c r="AC3565" i="3" s="1"/>
  <c r="AD3566" i="3"/>
  <c r="AC3566" i="3" s="1"/>
  <c r="AD3567" i="3"/>
  <c r="AC3567" i="3" s="1"/>
  <c r="AD3568" i="3"/>
  <c r="AC3568" i="3" s="1"/>
  <c r="AD3569" i="3"/>
  <c r="AC3569" i="3" s="1"/>
  <c r="AD3570" i="3"/>
  <c r="AC3570" i="3" s="1"/>
  <c r="AD3571" i="3"/>
  <c r="AC3571" i="3" s="1"/>
  <c r="AD3572" i="3"/>
  <c r="AC3572" i="3" s="1"/>
  <c r="AD3573" i="3"/>
  <c r="AC3573" i="3" s="1"/>
  <c r="AD3574" i="3"/>
  <c r="AC3574" i="3" s="1"/>
  <c r="AD3575" i="3"/>
  <c r="AC3575" i="3" s="1"/>
  <c r="AD3576" i="3"/>
  <c r="AC3576" i="3" s="1"/>
  <c r="AD3577" i="3"/>
  <c r="AC3577" i="3" s="1"/>
  <c r="AD3578" i="3"/>
  <c r="AC3578" i="3" s="1"/>
  <c r="AD3579" i="3"/>
  <c r="AC3579" i="3" s="1"/>
  <c r="AD3580" i="3"/>
  <c r="AC3580" i="3" s="1"/>
  <c r="AD3581" i="3"/>
  <c r="AC3581" i="3" s="1"/>
  <c r="AD3582" i="3"/>
  <c r="AC3582" i="3" s="1"/>
  <c r="AD3583" i="3"/>
  <c r="AC3583" i="3" s="1"/>
  <c r="AD3584" i="3"/>
  <c r="AC3584" i="3" s="1"/>
  <c r="AD3585" i="3"/>
  <c r="AC3585" i="3" s="1"/>
  <c r="AD3586" i="3"/>
  <c r="AC3586" i="3" s="1"/>
  <c r="AD3587" i="3"/>
  <c r="AC3587" i="3" s="1"/>
  <c r="AD3588" i="3"/>
  <c r="AC3588" i="3" s="1"/>
  <c r="AD3589" i="3"/>
  <c r="AC3589" i="3" s="1"/>
  <c r="AD3590" i="3"/>
  <c r="AC3590" i="3" s="1"/>
  <c r="AD3591" i="3"/>
  <c r="AC3591" i="3" s="1"/>
  <c r="AD3592" i="3"/>
  <c r="AC3592" i="3" s="1"/>
  <c r="AD3593" i="3"/>
  <c r="AC3593" i="3" s="1"/>
  <c r="AD3594" i="3"/>
  <c r="AC3594" i="3" s="1"/>
  <c r="AD3595" i="3"/>
  <c r="AC3595" i="3" s="1"/>
  <c r="AD3596" i="3"/>
  <c r="AC3596" i="3" s="1"/>
  <c r="AD3597" i="3"/>
  <c r="AC3597" i="3" s="1"/>
  <c r="AD3598" i="3"/>
  <c r="AC3598" i="3" s="1"/>
  <c r="AD3599" i="3"/>
  <c r="AC3599" i="3" s="1"/>
  <c r="AD3600" i="3"/>
  <c r="AC3600" i="3" s="1"/>
  <c r="AD3601" i="3"/>
  <c r="AC3601" i="3" s="1"/>
  <c r="AD3602" i="3"/>
  <c r="AC3602" i="3" s="1"/>
  <c r="AD3603" i="3"/>
  <c r="AC3603" i="3" s="1"/>
  <c r="AD3604" i="3"/>
  <c r="AC3604" i="3" s="1"/>
  <c r="AD3605" i="3"/>
  <c r="AC3605" i="3" s="1"/>
  <c r="AD3606" i="3"/>
  <c r="AC3606" i="3" s="1"/>
  <c r="AD3607" i="3"/>
  <c r="AC3607" i="3" s="1"/>
  <c r="AD3608" i="3"/>
  <c r="AC3608" i="3" s="1"/>
  <c r="AD3609" i="3"/>
  <c r="AC3609" i="3" s="1"/>
  <c r="AD3610" i="3"/>
  <c r="AC3610" i="3" s="1"/>
  <c r="AD3611" i="3"/>
  <c r="AC3611" i="3" s="1"/>
  <c r="AD3612" i="3"/>
  <c r="AC3612" i="3" s="1"/>
  <c r="AD3613" i="3"/>
  <c r="AC3613" i="3" s="1"/>
  <c r="AD3614" i="3"/>
  <c r="AC3614" i="3" s="1"/>
  <c r="AD3615" i="3"/>
  <c r="AC3615" i="3" s="1"/>
  <c r="AD3616" i="3"/>
  <c r="AC3616" i="3" s="1"/>
  <c r="AD3617" i="3"/>
  <c r="AC3617" i="3" s="1"/>
  <c r="AD3618" i="3"/>
  <c r="AC3618" i="3" s="1"/>
  <c r="AD3619" i="3"/>
  <c r="AC3619" i="3" s="1"/>
  <c r="AD3620" i="3"/>
  <c r="AC3620" i="3" s="1"/>
  <c r="AD3621" i="3"/>
  <c r="AC3621" i="3" s="1"/>
  <c r="AD3622" i="3"/>
  <c r="AC3622" i="3" s="1"/>
  <c r="AD3623" i="3"/>
  <c r="AC3623" i="3" s="1"/>
  <c r="AD3624" i="3"/>
  <c r="AC3624" i="3" s="1"/>
  <c r="AD3625" i="3"/>
  <c r="AC3625" i="3" s="1"/>
  <c r="AD3626" i="3"/>
  <c r="AC3626" i="3" s="1"/>
  <c r="AD3627" i="3"/>
  <c r="AC3627" i="3" s="1"/>
  <c r="AD3628" i="3"/>
  <c r="AC3628" i="3" s="1"/>
  <c r="AD3629" i="3"/>
  <c r="AC3629" i="3" s="1"/>
  <c r="AD3630" i="3"/>
  <c r="AC3630" i="3" s="1"/>
  <c r="AD3631" i="3"/>
  <c r="AC3631" i="3" s="1"/>
  <c r="AD3632" i="3"/>
  <c r="AC3632" i="3" s="1"/>
  <c r="AD3633" i="3"/>
  <c r="AC3633" i="3" s="1"/>
  <c r="AD3634" i="3"/>
  <c r="AC3634" i="3" s="1"/>
  <c r="AD3635" i="3"/>
  <c r="AC3635" i="3" s="1"/>
  <c r="AD3636" i="3"/>
  <c r="AC3636" i="3" s="1"/>
  <c r="AD3637" i="3"/>
  <c r="AC3637" i="3" s="1"/>
  <c r="AD3638" i="3"/>
  <c r="AC3638" i="3" s="1"/>
  <c r="AD3639" i="3"/>
  <c r="AC3639" i="3" s="1"/>
  <c r="AD3640" i="3"/>
  <c r="AC3640" i="3" s="1"/>
  <c r="AD3641" i="3"/>
  <c r="AC3641" i="3" s="1"/>
  <c r="AD3642" i="3"/>
  <c r="AC3642" i="3" s="1"/>
  <c r="AD3643" i="3"/>
  <c r="AC3643" i="3" s="1"/>
  <c r="AD3644" i="3"/>
  <c r="AC3644" i="3" s="1"/>
  <c r="AD3645" i="3"/>
  <c r="AC3645" i="3" s="1"/>
  <c r="AD3646" i="3"/>
  <c r="AC3646" i="3" s="1"/>
  <c r="AD3647" i="3"/>
  <c r="AC3647" i="3" s="1"/>
  <c r="AD3648" i="3"/>
  <c r="AC3648" i="3" s="1"/>
  <c r="AD3649" i="3"/>
  <c r="AC3649" i="3" s="1"/>
  <c r="AD3650" i="3"/>
  <c r="AC3650" i="3" s="1"/>
  <c r="AD3651" i="3"/>
  <c r="AC3651" i="3" s="1"/>
  <c r="AD3652" i="3"/>
  <c r="AC3652" i="3" s="1"/>
  <c r="AD3653" i="3"/>
  <c r="AC3653" i="3" s="1"/>
  <c r="AD3654" i="3"/>
  <c r="AC3654" i="3" s="1"/>
  <c r="AD3655" i="3"/>
  <c r="AC3655" i="3" s="1"/>
  <c r="AD3656" i="3"/>
  <c r="AC3656" i="3" s="1"/>
  <c r="AD3657" i="3"/>
  <c r="AC3657" i="3" s="1"/>
  <c r="AD3658" i="3"/>
  <c r="AC3658" i="3" s="1"/>
  <c r="AD3659" i="3"/>
  <c r="AC3659" i="3" s="1"/>
  <c r="AD3660" i="3"/>
  <c r="AC3660" i="3" s="1"/>
  <c r="AD3661" i="3"/>
  <c r="AC3661" i="3" s="1"/>
  <c r="AD3662" i="3"/>
  <c r="AC3662" i="3" s="1"/>
  <c r="AD3663" i="3"/>
  <c r="AC3663" i="3" s="1"/>
  <c r="AD3664" i="3"/>
  <c r="AC3664" i="3" s="1"/>
  <c r="AD3665" i="3"/>
  <c r="AC3665" i="3" s="1"/>
  <c r="AD3666" i="3"/>
  <c r="AC3666" i="3" s="1"/>
  <c r="AD3667" i="3"/>
  <c r="AC3667" i="3" s="1"/>
  <c r="AD3668" i="3"/>
  <c r="AC3668" i="3" s="1"/>
  <c r="AD3669" i="3"/>
  <c r="AC3669" i="3" s="1"/>
  <c r="AD3670" i="3"/>
  <c r="AC3670" i="3" s="1"/>
  <c r="AD3671" i="3"/>
  <c r="AC3671" i="3" s="1"/>
  <c r="AD3672" i="3"/>
  <c r="AC3672" i="3" s="1"/>
  <c r="AD3673" i="3"/>
  <c r="AC3673" i="3" s="1"/>
  <c r="AD3674" i="3"/>
  <c r="AC3674" i="3" s="1"/>
  <c r="AD3675" i="3"/>
  <c r="AC3675" i="3" s="1"/>
  <c r="AD3676" i="3"/>
  <c r="AC3676" i="3" s="1"/>
  <c r="AD3677" i="3"/>
  <c r="AC3677" i="3" s="1"/>
  <c r="AD3678" i="3"/>
  <c r="AC3678" i="3" s="1"/>
  <c r="AD3679" i="3"/>
  <c r="AC3679" i="3" s="1"/>
  <c r="AD3680" i="3"/>
  <c r="AC3680" i="3" s="1"/>
  <c r="AD3681" i="3"/>
  <c r="AC3681" i="3" s="1"/>
  <c r="AD3682" i="3"/>
  <c r="AC3682" i="3" s="1"/>
  <c r="AD3683" i="3"/>
  <c r="AC3683" i="3" s="1"/>
  <c r="AD3684" i="3"/>
  <c r="AC3684" i="3" s="1"/>
  <c r="AD3685" i="3"/>
  <c r="AC3685" i="3" s="1"/>
  <c r="AD3686" i="3"/>
  <c r="AC3686" i="3" s="1"/>
  <c r="AD3687" i="3"/>
  <c r="AC3687" i="3" s="1"/>
  <c r="AD3688" i="3"/>
  <c r="AC3688" i="3" s="1"/>
  <c r="AD3689" i="3"/>
  <c r="AC3689" i="3" s="1"/>
  <c r="AD3690" i="3"/>
  <c r="AC3690" i="3" s="1"/>
  <c r="AD3691" i="3"/>
  <c r="AC3691" i="3" s="1"/>
  <c r="AD3692" i="3"/>
  <c r="AC3692" i="3" s="1"/>
  <c r="AD3693" i="3"/>
  <c r="AC3693" i="3" s="1"/>
  <c r="AD3694" i="3"/>
  <c r="AC3694" i="3" s="1"/>
  <c r="AD3695" i="3"/>
  <c r="AC3695" i="3" s="1"/>
  <c r="AD3696" i="3"/>
  <c r="AC3696" i="3" s="1"/>
  <c r="AD3697" i="3"/>
  <c r="AC3697" i="3" s="1"/>
  <c r="AD3698" i="3"/>
  <c r="AC3698" i="3" s="1"/>
  <c r="AD3699" i="3"/>
  <c r="AC3699" i="3" s="1"/>
  <c r="AD3700" i="3"/>
  <c r="AC3700" i="3" s="1"/>
  <c r="AD3701" i="3"/>
  <c r="AC3701" i="3" s="1"/>
  <c r="AD3702" i="3"/>
  <c r="AC3702" i="3" s="1"/>
  <c r="AD3703" i="3"/>
  <c r="AC3703" i="3" s="1"/>
  <c r="AD3704" i="3"/>
  <c r="AC3704" i="3" s="1"/>
  <c r="AD3705" i="3"/>
  <c r="AC3705" i="3" s="1"/>
  <c r="AD3706" i="3"/>
  <c r="AC3706" i="3" s="1"/>
  <c r="AD3707" i="3"/>
  <c r="AC3707" i="3" s="1"/>
  <c r="AD3708" i="3"/>
  <c r="AC3708" i="3" s="1"/>
  <c r="AD3709" i="3"/>
  <c r="AC3709" i="3" s="1"/>
  <c r="AD3710" i="3"/>
  <c r="AC3710" i="3" s="1"/>
  <c r="AD3711" i="3"/>
  <c r="AC3711" i="3" s="1"/>
  <c r="AD3712" i="3"/>
  <c r="AC3712" i="3" s="1"/>
  <c r="AD3713" i="3"/>
  <c r="AC3713" i="3" s="1"/>
  <c r="AD3714" i="3"/>
  <c r="AC3714" i="3" s="1"/>
  <c r="AD3715" i="3"/>
  <c r="AC3715" i="3" s="1"/>
  <c r="AD3716" i="3"/>
  <c r="AC3716" i="3" s="1"/>
  <c r="AD3717" i="3"/>
  <c r="AC3717" i="3" s="1"/>
  <c r="AD3718" i="3"/>
  <c r="AC3718" i="3" s="1"/>
  <c r="AD3719" i="3"/>
  <c r="AC3719" i="3" s="1"/>
  <c r="AD3720" i="3"/>
  <c r="AC3720" i="3" s="1"/>
  <c r="AD3721" i="3"/>
  <c r="AC3721" i="3" s="1"/>
  <c r="AD3722" i="3"/>
  <c r="AC3722" i="3" s="1"/>
  <c r="AD3723" i="3"/>
  <c r="AC3723" i="3" s="1"/>
  <c r="AD3724" i="3"/>
  <c r="AC3724" i="3" s="1"/>
  <c r="AD3725" i="3"/>
  <c r="AC3725" i="3" s="1"/>
  <c r="AD3726" i="3"/>
  <c r="AC3726" i="3" s="1"/>
  <c r="AD3727" i="3"/>
  <c r="AC3727" i="3" s="1"/>
  <c r="AD3728" i="3"/>
  <c r="AC3728" i="3" s="1"/>
  <c r="AD3729" i="3"/>
  <c r="AC3729" i="3" s="1"/>
  <c r="AD3730" i="3"/>
  <c r="AC3730" i="3" s="1"/>
  <c r="AD3731" i="3"/>
  <c r="AC3731" i="3" s="1"/>
  <c r="AD3732" i="3"/>
  <c r="AC3732" i="3" s="1"/>
  <c r="AD3733" i="3"/>
  <c r="AC3733" i="3" s="1"/>
  <c r="AD3734" i="3"/>
  <c r="AC3734" i="3" s="1"/>
  <c r="AD3735" i="3"/>
  <c r="AC3735" i="3" s="1"/>
  <c r="AD3736" i="3"/>
  <c r="AC3736" i="3" s="1"/>
  <c r="AD3737" i="3"/>
  <c r="AC3737" i="3" s="1"/>
  <c r="AD3738" i="3"/>
  <c r="AC3738" i="3" s="1"/>
  <c r="AD3739" i="3"/>
  <c r="AC3739" i="3" s="1"/>
  <c r="AD3740" i="3"/>
  <c r="AC3740" i="3" s="1"/>
  <c r="AD3741" i="3"/>
  <c r="AC3741" i="3" s="1"/>
  <c r="AD3742" i="3"/>
  <c r="AC3742" i="3" s="1"/>
  <c r="AD3743" i="3"/>
  <c r="AC3743" i="3" s="1"/>
  <c r="AD3744" i="3"/>
  <c r="AC3744" i="3" s="1"/>
  <c r="AD3745" i="3"/>
  <c r="AC3745" i="3" s="1"/>
  <c r="AD3746" i="3"/>
  <c r="AC3746" i="3" s="1"/>
  <c r="AD3747" i="3"/>
  <c r="AC3747" i="3" s="1"/>
  <c r="AD3748" i="3"/>
  <c r="AC3748" i="3" s="1"/>
  <c r="AD3749" i="3"/>
  <c r="AC3749" i="3" s="1"/>
  <c r="AD3750" i="3"/>
  <c r="AC3750" i="3" s="1"/>
  <c r="AD3751" i="3"/>
  <c r="AC3751" i="3" s="1"/>
  <c r="AD3752" i="3"/>
  <c r="AC3752" i="3" s="1"/>
  <c r="AD3753" i="3"/>
  <c r="AC3753" i="3" s="1"/>
  <c r="AD3754" i="3"/>
  <c r="AC3754" i="3" s="1"/>
  <c r="AD3755" i="3"/>
  <c r="AC3755" i="3" s="1"/>
  <c r="AD3756" i="3"/>
  <c r="AC3756" i="3" s="1"/>
  <c r="AD3757" i="3"/>
  <c r="AC3757" i="3" s="1"/>
  <c r="AD3758" i="3"/>
  <c r="AC3758" i="3" s="1"/>
  <c r="AD3759" i="3"/>
  <c r="AC3759" i="3" s="1"/>
  <c r="AD3760" i="3"/>
  <c r="AC3760" i="3" s="1"/>
  <c r="AD3761" i="3"/>
  <c r="AC3761" i="3" s="1"/>
  <c r="AD3762" i="3"/>
  <c r="AC3762" i="3" s="1"/>
  <c r="AD3763" i="3"/>
  <c r="AC3763" i="3" s="1"/>
  <c r="AD3764" i="3"/>
  <c r="AC3764" i="3" s="1"/>
  <c r="AD3765" i="3"/>
  <c r="AC3765" i="3" s="1"/>
  <c r="AD3766" i="3"/>
  <c r="AC3766" i="3" s="1"/>
  <c r="AD3767" i="3"/>
  <c r="AC3767" i="3" s="1"/>
  <c r="AD3768" i="3"/>
  <c r="AC3768" i="3" s="1"/>
  <c r="AD3769" i="3"/>
  <c r="AC3769" i="3" s="1"/>
  <c r="AD3770" i="3"/>
  <c r="AC3770" i="3" s="1"/>
  <c r="AD3771" i="3"/>
  <c r="AC3771" i="3" s="1"/>
  <c r="AD3772" i="3"/>
  <c r="AC3772" i="3" s="1"/>
  <c r="AD3773" i="3"/>
  <c r="AC3773" i="3" s="1"/>
  <c r="AD3774" i="3"/>
  <c r="AC3774" i="3" s="1"/>
  <c r="AD3775" i="3"/>
  <c r="AC3775" i="3" s="1"/>
  <c r="AD3776" i="3"/>
  <c r="AC3776" i="3" s="1"/>
  <c r="AD3777" i="3"/>
  <c r="AC3777" i="3" s="1"/>
  <c r="AD3778" i="3"/>
  <c r="AC3778" i="3" s="1"/>
  <c r="AD3779" i="3"/>
  <c r="AC3779" i="3" s="1"/>
  <c r="AD3780" i="3"/>
  <c r="AC3780" i="3" s="1"/>
  <c r="AD3781" i="3"/>
  <c r="AC3781" i="3" s="1"/>
  <c r="AD3782" i="3"/>
  <c r="AC3782" i="3" s="1"/>
  <c r="AD3783" i="3"/>
  <c r="AC3783" i="3" s="1"/>
  <c r="AD3784" i="3"/>
  <c r="AC3784" i="3" s="1"/>
  <c r="AD3785" i="3"/>
  <c r="AC3785" i="3" s="1"/>
  <c r="AD3786" i="3"/>
  <c r="AC3786" i="3" s="1"/>
  <c r="AD3787" i="3"/>
  <c r="AC3787" i="3" s="1"/>
  <c r="AD3788" i="3"/>
  <c r="AC3788" i="3" s="1"/>
  <c r="AD3789" i="3"/>
  <c r="AC3789" i="3" s="1"/>
  <c r="AD3790" i="3"/>
  <c r="AC3790" i="3" s="1"/>
  <c r="AD3791" i="3"/>
  <c r="AC3791" i="3" s="1"/>
  <c r="AD3792" i="3"/>
  <c r="AC3792" i="3" s="1"/>
  <c r="AD3793" i="3"/>
  <c r="AC3793" i="3" s="1"/>
  <c r="AD3794" i="3"/>
  <c r="AC3794" i="3" s="1"/>
  <c r="AD3795" i="3"/>
  <c r="AC3795" i="3" s="1"/>
  <c r="AD3796" i="3"/>
  <c r="AC3796" i="3" s="1"/>
  <c r="AD3797" i="3"/>
  <c r="AC3797" i="3" s="1"/>
  <c r="AD3798" i="3"/>
  <c r="AC3798" i="3" s="1"/>
  <c r="AD3799" i="3"/>
  <c r="AC3799" i="3" s="1"/>
  <c r="AD3800" i="3"/>
  <c r="AC3800" i="3" s="1"/>
  <c r="AD3801" i="3"/>
  <c r="AC3801" i="3" s="1"/>
  <c r="AD3802" i="3"/>
  <c r="AC3802" i="3" s="1"/>
  <c r="AD3803" i="3"/>
  <c r="AC3803" i="3" s="1"/>
  <c r="AD3804" i="3"/>
  <c r="AC3804" i="3" s="1"/>
  <c r="AD3805" i="3"/>
  <c r="AC3805" i="3" s="1"/>
  <c r="AD3806" i="3"/>
  <c r="AC3806" i="3" s="1"/>
  <c r="AD3807" i="3"/>
  <c r="AC3807" i="3" s="1"/>
  <c r="AD3808" i="3"/>
  <c r="AC3808" i="3" s="1"/>
  <c r="AD3809" i="3"/>
  <c r="AC3809" i="3" s="1"/>
  <c r="AD3810" i="3"/>
  <c r="AC3810" i="3" s="1"/>
  <c r="AD3811" i="3"/>
  <c r="AC3811" i="3" s="1"/>
  <c r="AD3812" i="3"/>
  <c r="AC3812" i="3" s="1"/>
  <c r="AD3813" i="3"/>
  <c r="AC3813" i="3" s="1"/>
  <c r="AD3814" i="3"/>
  <c r="AC3814" i="3" s="1"/>
  <c r="AD3815" i="3"/>
  <c r="AC3815" i="3" s="1"/>
  <c r="AD3816" i="3"/>
  <c r="AC3816" i="3" s="1"/>
  <c r="AD3817" i="3"/>
  <c r="AC3817" i="3" s="1"/>
  <c r="AD3818" i="3"/>
  <c r="AC3818" i="3" s="1"/>
  <c r="AD3819" i="3"/>
  <c r="AC3819" i="3" s="1"/>
  <c r="AD3820" i="3"/>
  <c r="AC3820" i="3" s="1"/>
  <c r="AD3821" i="3"/>
  <c r="AC3821" i="3" s="1"/>
  <c r="AD3822" i="3"/>
  <c r="AC3822" i="3" s="1"/>
  <c r="AD3823" i="3"/>
  <c r="AC3823" i="3" s="1"/>
  <c r="AD3824" i="3"/>
  <c r="AC3824" i="3" s="1"/>
  <c r="AD3825" i="3"/>
  <c r="AC3825" i="3" s="1"/>
  <c r="AD3826" i="3"/>
  <c r="AC3826" i="3" s="1"/>
  <c r="AD3827" i="3"/>
  <c r="AC3827" i="3" s="1"/>
  <c r="AD3828" i="3"/>
  <c r="AC3828" i="3" s="1"/>
  <c r="AD3829" i="3"/>
  <c r="AC3829" i="3" s="1"/>
  <c r="AD3830" i="3"/>
  <c r="AC3830" i="3" s="1"/>
  <c r="AD3831" i="3"/>
  <c r="AC3831" i="3" s="1"/>
  <c r="AD3832" i="3"/>
  <c r="AC3832" i="3" s="1"/>
  <c r="AD3833" i="3"/>
  <c r="AC3833" i="3" s="1"/>
  <c r="AD3834" i="3"/>
  <c r="AC3834" i="3" s="1"/>
  <c r="AD3835" i="3"/>
  <c r="AC3835" i="3" s="1"/>
  <c r="AD3836" i="3"/>
  <c r="AC3836" i="3" s="1"/>
  <c r="AD3837" i="3"/>
  <c r="AC3837" i="3" s="1"/>
  <c r="AD3838" i="3"/>
  <c r="AC3838" i="3" s="1"/>
  <c r="AD3839" i="3"/>
  <c r="AC3839" i="3" s="1"/>
  <c r="AD3840" i="3"/>
  <c r="AC3840" i="3" s="1"/>
  <c r="AD3841" i="3"/>
  <c r="AC3841" i="3" s="1"/>
  <c r="AD3842" i="3"/>
  <c r="AC3842" i="3" s="1"/>
  <c r="AD3843" i="3"/>
  <c r="AC3843" i="3" s="1"/>
  <c r="AD3844" i="3"/>
  <c r="AC3844" i="3" s="1"/>
  <c r="AD3845" i="3"/>
  <c r="AC3845" i="3" s="1"/>
  <c r="AD3846" i="3"/>
  <c r="AC3846" i="3" s="1"/>
  <c r="AD3847" i="3"/>
  <c r="AC3847" i="3" s="1"/>
  <c r="AD3848" i="3"/>
  <c r="AC3848" i="3" s="1"/>
  <c r="AD3849" i="3"/>
  <c r="AC3849" i="3" s="1"/>
  <c r="AD3850" i="3"/>
  <c r="AC3850" i="3" s="1"/>
  <c r="AD3851" i="3"/>
  <c r="AC3851" i="3" s="1"/>
  <c r="AD3852" i="3"/>
  <c r="AC3852" i="3" s="1"/>
  <c r="AD3853" i="3"/>
  <c r="AC3853" i="3" s="1"/>
  <c r="AD3854" i="3"/>
  <c r="AC3854" i="3" s="1"/>
  <c r="AD3855" i="3"/>
  <c r="AC3855" i="3" s="1"/>
  <c r="AD3856" i="3"/>
  <c r="AC3856" i="3" s="1"/>
  <c r="AD3857" i="3"/>
  <c r="AC3857" i="3" s="1"/>
  <c r="AD3858" i="3"/>
  <c r="AC3858" i="3" s="1"/>
  <c r="AD3859" i="3"/>
  <c r="AC3859" i="3" s="1"/>
  <c r="AD3860" i="3"/>
  <c r="AC3860" i="3" s="1"/>
  <c r="AD3861" i="3"/>
  <c r="AC3861" i="3" s="1"/>
  <c r="AD3862" i="3"/>
  <c r="AC3862" i="3" s="1"/>
  <c r="AD3863" i="3"/>
  <c r="AC3863" i="3" s="1"/>
  <c r="AD3864" i="3"/>
  <c r="AC3864" i="3" s="1"/>
  <c r="AD3865" i="3"/>
  <c r="AC3865" i="3" s="1"/>
  <c r="AD3866" i="3"/>
  <c r="AC3866" i="3" s="1"/>
  <c r="AD3867" i="3"/>
  <c r="AC3867" i="3" s="1"/>
  <c r="AD3868" i="3"/>
  <c r="AC3868" i="3" s="1"/>
  <c r="AD3869" i="3"/>
  <c r="AC3869" i="3" s="1"/>
  <c r="AD3870" i="3"/>
  <c r="AC3870" i="3" s="1"/>
  <c r="AD3871" i="3"/>
  <c r="AC3871" i="3" s="1"/>
  <c r="AD3872" i="3"/>
  <c r="AC3872" i="3" s="1"/>
  <c r="AD3873" i="3"/>
  <c r="AC3873" i="3" s="1"/>
  <c r="AD3874" i="3"/>
  <c r="AC3874" i="3" s="1"/>
  <c r="AD3875" i="3"/>
  <c r="AC3875" i="3" s="1"/>
  <c r="AD3876" i="3"/>
  <c r="AC3876" i="3" s="1"/>
  <c r="AD3877" i="3"/>
  <c r="AC3877" i="3" s="1"/>
  <c r="AD3878" i="3"/>
  <c r="AC3878" i="3" s="1"/>
  <c r="AD3879" i="3"/>
  <c r="AC3879" i="3" s="1"/>
  <c r="AD3880" i="3"/>
  <c r="AC3880" i="3" s="1"/>
  <c r="AD3881" i="3"/>
  <c r="AC3881" i="3" s="1"/>
  <c r="AD3882" i="3"/>
  <c r="AC3882" i="3" s="1"/>
  <c r="AD3883" i="3"/>
  <c r="AC3883" i="3" s="1"/>
  <c r="AD3884" i="3"/>
  <c r="AC3884" i="3" s="1"/>
  <c r="AD3885" i="3"/>
  <c r="AC3885" i="3" s="1"/>
  <c r="AD3886" i="3"/>
  <c r="AC3886" i="3" s="1"/>
  <c r="AD3887" i="3"/>
  <c r="AC3887" i="3" s="1"/>
  <c r="AD3888" i="3"/>
  <c r="AC3888" i="3" s="1"/>
  <c r="AD3889" i="3"/>
  <c r="AC3889" i="3" s="1"/>
  <c r="AD3890" i="3"/>
  <c r="AC3890" i="3" s="1"/>
  <c r="AD3891" i="3"/>
  <c r="AC3891" i="3" s="1"/>
  <c r="AD3892" i="3"/>
  <c r="AC3892" i="3" s="1"/>
  <c r="AD3893" i="3"/>
  <c r="AC3893" i="3" s="1"/>
  <c r="AD3894" i="3"/>
  <c r="AC3894" i="3" s="1"/>
  <c r="AD3895" i="3"/>
  <c r="AC3895" i="3" s="1"/>
  <c r="AD3896" i="3"/>
  <c r="AC3896" i="3" s="1"/>
  <c r="AD3897" i="3"/>
  <c r="AC3897" i="3" s="1"/>
  <c r="AD3898" i="3"/>
  <c r="AC3898" i="3" s="1"/>
  <c r="AD3899" i="3"/>
  <c r="AC3899" i="3" s="1"/>
  <c r="AD3900" i="3"/>
  <c r="AC3900" i="3" s="1"/>
  <c r="AD3901" i="3"/>
  <c r="AC3901" i="3" s="1"/>
  <c r="AD3902" i="3"/>
  <c r="AC3902" i="3" s="1"/>
  <c r="AD3903" i="3"/>
  <c r="AC3903" i="3" s="1"/>
  <c r="AD3904" i="3"/>
  <c r="AC3904" i="3" s="1"/>
  <c r="AD3905" i="3"/>
  <c r="AC3905" i="3" s="1"/>
  <c r="AD3906" i="3"/>
  <c r="AC3906" i="3" s="1"/>
  <c r="AD3907" i="3"/>
  <c r="AC3907" i="3" s="1"/>
  <c r="AD3908" i="3"/>
  <c r="AC3908" i="3" s="1"/>
  <c r="AD3909" i="3"/>
  <c r="AC3909" i="3" s="1"/>
  <c r="AD3910" i="3"/>
  <c r="AC3910" i="3" s="1"/>
  <c r="AD3911" i="3"/>
  <c r="AC3911" i="3" s="1"/>
  <c r="AD3912" i="3"/>
  <c r="AC3912" i="3" s="1"/>
  <c r="AD3913" i="3"/>
  <c r="AC3913" i="3" s="1"/>
  <c r="AD3914" i="3"/>
  <c r="AC3914" i="3" s="1"/>
  <c r="AD3915" i="3"/>
  <c r="AC3915" i="3" s="1"/>
  <c r="AD3916" i="3"/>
  <c r="AC3916" i="3" s="1"/>
  <c r="AD3917" i="3"/>
  <c r="AC3917" i="3" s="1"/>
  <c r="AD3918" i="3"/>
  <c r="AC3918" i="3" s="1"/>
  <c r="AD3919" i="3"/>
  <c r="AC3919" i="3" s="1"/>
  <c r="AD3920" i="3"/>
  <c r="AC3920" i="3" s="1"/>
  <c r="AD3921" i="3"/>
  <c r="AC3921" i="3" s="1"/>
  <c r="AD3922" i="3"/>
  <c r="AC3922" i="3" s="1"/>
  <c r="AD3923" i="3"/>
  <c r="AC3923" i="3" s="1"/>
  <c r="AD3924" i="3"/>
  <c r="AC3924" i="3" s="1"/>
  <c r="AD3925" i="3"/>
  <c r="AC3925" i="3" s="1"/>
  <c r="AD3926" i="3"/>
  <c r="AC3926" i="3" s="1"/>
  <c r="AD3927" i="3"/>
  <c r="AC3927" i="3" s="1"/>
  <c r="AD3928" i="3"/>
  <c r="AC3928" i="3" s="1"/>
  <c r="AD3929" i="3"/>
  <c r="AC3929" i="3" s="1"/>
  <c r="AD3930" i="3"/>
  <c r="AC3930" i="3" s="1"/>
  <c r="AD3931" i="3"/>
  <c r="AC3931" i="3" s="1"/>
  <c r="AD3932" i="3"/>
  <c r="AC3932" i="3" s="1"/>
  <c r="AD3933" i="3"/>
  <c r="AC3933" i="3" s="1"/>
  <c r="AD3934" i="3"/>
  <c r="AC3934" i="3" s="1"/>
  <c r="AD3935" i="3"/>
  <c r="AC3935" i="3" s="1"/>
  <c r="AD3936" i="3"/>
  <c r="AC3936" i="3" s="1"/>
  <c r="AD3937" i="3"/>
  <c r="AC3937" i="3" s="1"/>
  <c r="AD3938" i="3"/>
  <c r="AC3938" i="3" s="1"/>
  <c r="AD3939" i="3"/>
  <c r="AC3939" i="3" s="1"/>
  <c r="AD3940" i="3"/>
  <c r="AC3940" i="3" s="1"/>
  <c r="AD3941" i="3"/>
  <c r="AC3941" i="3" s="1"/>
  <c r="AD3942" i="3"/>
  <c r="AC3942" i="3" s="1"/>
  <c r="AD3943" i="3"/>
  <c r="AC3943" i="3" s="1"/>
  <c r="AD3944" i="3"/>
  <c r="AC3944" i="3" s="1"/>
  <c r="AD3945" i="3"/>
  <c r="AC3945" i="3" s="1"/>
  <c r="AD3946" i="3"/>
  <c r="AC3946" i="3" s="1"/>
  <c r="AD3947" i="3"/>
  <c r="AC3947" i="3" s="1"/>
  <c r="AD3948" i="3"/>
  <c r="AC3948" i="3" s="1"/>
  <c r="AD3949" i="3"/>
  <c r="AC3949" i="3" s="1"/>
  <c r="AD3950" i="3"/>
  <c r="AC3950" i="3" s="1"/>
  <c r="AD3951" i="3"/>
  <c r="AC3951" i="3" s="1"/>
  <c r="AD3952" i="3"/>
  <c r="AC3952" i="3" s="1"/>
  <c r="AD3" i="3"/>
  <c r="AC3" i="3" s="1"/>
  <c r="AE1019" i="1" l="1"/>
  <c r="AD1020" i="1"/>
  <c r="AE1015" i="1"/>
  <c r="AE1018" i="1"/>
  <c r="AD1031" i="1"/>
  <c r="AD1023" i="1"/>
  <c r="AD1029" i="1"/>
  <c r="AD1017" i="1"/>
  <c r="AD1024" i="1"/>
  <c r="AD1026" i="1"/>
  <c r="AD1014" i="1"/>
  <c r="T43" i="5"/>
  <c r="AD1018" i="1" l="1"/>
  <c r="AD1015" i="1"/>
  <c r="AD1019" i="1"/>
  <c r="A1006" i="1" l="1"/>
  <c r="B1006" i="1"/>
  <c r="X1006" i="1" s="1"/>
  <c r="E1006" i="1"/>
  <c r="F1006" i="1"/>
  <c r="G1006" i="1"/>
  <c r="H1006" i="1"/>
  <c r="I1006" i="1"/>
  <c r="J1006" i="1"/>
  <c r="R1006" i="1"/>
  <c r="AL1006" i="1"/>
  <c r="AO1006" i="1"/>
  <c r="A1007" i="1"/>
  <c r="B1007" i="1"/>
  <c r="X1007" i="1" s="1"/>
  <c r="E1007" i="1"/>
  <c r="F1007" i="1"/>
  <c r="G1007" i="1"/>
  <c r="H1007" i="1"/>
  <c r="I1007" i="1"/>
  <c r="J1007" i="1"/>
  <c r="R1007" i="1"/>
  <c r="AL1007" i="1"/>
  <c r="AO1007" i="1"/>
  <c r="A1008" i="1"/>
  <c r="B1008" i="1"/>
  <c r="X1008" i="1" s="1"/>
  <c r="E1008" i="1"/>
  <c r="F1008" i="1"/>
  <c r="G1008" i="1"/>
  <c r="H1008" i="1"/>
  <c r="I1008" i="1"/>
  <c r="J1008" i="1"/>
  <c r="R1008" i="1"/>
  <c r="AL1008" i="1"/>
  <c r="AO1008" i="1"/>
  <c r="A1009" i="1"/>
  <c r="B1009" i="1"/>
  <c r="X1009" i="1" s="1"/>
  <c r="E1009" i="1"/>
  <c r="F1009" i="1"/>
  <c r="G1009" i="1"/>
  <c r="H1009" i="1"/>
  <c r="I1009" i="1"/>
  <c r="J1009" i="1"/>
  <c r="R1009" i="1"/>
  <c r="AL1009" i="1"/>
  <c r="AO1009" i="1"/>
  <c r="A1010" i="1"/>
  <c r="B1010" i="1"/>
  <c r="X1010" i="1" s="1"/>
  <c r="E1010" i="1"/>
  <c r="F1010" i="1"/>
  <c r="G1010" i="1"/>
  <c r="H1010" i="1"/>
  <c r="I1010" i="1"/>
  <c r="J1010" i="1"/>
  <c r="R1010" i="1"/>
  <c r="AL1010" i="1"/>
  <c r="AO1010" i="1"/>
  <c r="A1011" i="1"/>
  <c r="B1011" i="1"/>
  <c r="X1011" i="1" s="1"/>
  <c r="E1011" i="1"/>
  <c r="F1011" i="1"/>
  <c r="G1011" i="1"/>
  <c r="H1011" i="1"/>
  <c r="I1011" i="1"/>
  <c r="J1011" i="1"/>
  <c r="R1011" i="1"/>
  <c r="AL1011" i="1"/>
  <c r="AO1011" i="1"/>
  <c r="A1012" i="1"/>
  <c r="B1012" i="1"/>
  <c r="X1012" i="1" s="1"/>
  <c r="E1012" i="1"/>
  <c r="F1012" i="1"/>
  <c r="G1012" i="1"/>
  <c r="H1012" i="1"/>
  <c r="I1012" i="1"/>
  <c r="J1012" i="1"/>
  <c r="R1012" i="1"/>
  <c r="AL1012" i="1"/>
  <c r="AO1012" i="1"/>
  <c r="A1013" i="1"/>
  <c r="B1013" i="1"/>
  <c r="X1013" i="1" s="1"/>
  <c r="E1013" i="1"/>
  <c r="F1013" i="1"/>
  <c r="G1013" i="1"/>
  <c r="H1013" i="1"/>
  <c r="I1013" i="1"/>
  <c r="J1013" i="1"/>
  <c r="R1013" i="1"/>
  <c r="AL1013" i="1"/>
  <c r="AO1013" i="1"/>
  <c r="A1037" i="1"/>
  <c r="B1037" i="1"/>
  <c r="X1037" i="1" s="1"/>
  <c r="E1037" i="1"/>
  <c r="F1037" i="1"/>
  <c r="G1037" i="1"/>
  <c r="H1037" i="1"/>
  <c r="I1037" i="1"/>
  <c r="J1037" i="1"/>
  <c r="R1037" i="1"/>
  <c r="AL1037" i="1"/>
  <c r="AO1037" i="1"/>
  <c r="A1038" i="1"/>
  <c r="B1038" i="1"/>
  <c r="E1038" i="1"/>
  <c r="F1038" i="1"/>
  <c r="G1038" i="1"/>
  <c r="H1038" i="1"/>
  <c r="I1038" i="1"/>
  <c r="J1038" i="1"/>
  <c r="R1038" i="1"/>
  <c r="AL1038" i="1"/>
  <c r="AO1038" i="1"/>
  <c r="A1039" i="1"/>
  <c r="B1039" i="1"/>
  <c r="X1039" i="1" s="1"/>
  <c r="E1039" i="1"/>
  <c r="F1039" i="1"/>
  <c r="G1039" i="1"/>
  <c r="H1039" i="1"/>
  <c r="I1039" i="1"/>
  <c r="J1039" i="1"/>
  <c r="R1039" i="1"/>
  <c r="AL1039" i="1"/>
  <c r="AO1039" i="1"/>
  <c r="A1040" i="1"/>
  <c r="B1040" i="1"/>
  <c r="E1040" i="1"/>
  <c r="F1040" i="1"/>
  <c r="G1040" i="1"/>
  <c r="H1040" i="1"/>
  <c r="I1040" i="1"/>
  <c r="J1040" i="1"/>
  <c r="R1040" i="1"/>
  <c r="AL1040" i="1"/>
  <c r="AO1040" i="1"/>
  <c r="A1041" i="1"/>
  <c r="B1041" i="1"/>
  <c r="X1041" i="1" s="1"/>
  <c r="E1041" i="1"/>
  <c r="F1041" i="1"/>
  <c r="G1041" i="1"/>
  <c r="H1041" i="1"/>
  <c r="I1041" i="1"/>
  <c r="J1041" i="1"/>
  <c r="R1041" i="1"/>
  <c r="AL1041" i="1"/>
  <c r="AO1041" i="1"/>
  <c r="A1042" i="1"/>
  <c r="B1042" i="1"/>
  <c r="E1042" i="1"/>
  <c r="F1042" i="1"/>
  <c r="G1042" i="1"/>
  <c r="H1042" i="1"/>
  <c r="I1042" i="1"/>
  <c r="J1042" i="1"/>
  <c r="R1042" i="1"/>
  <c r="AL1042" i="1"/>
  <c r="AO1042" i="1"/>
  <c r="A1043" i="1"/>
  <c r="B1043" i="1"/>
  <c r="X1043" i="1" s="1"/>
  <c r="E1043" i="1"/>
  <c r="F1043" i="1"/>
  <c r="G1043" i="1"/>
  <c r="H1043" i="1"/>
  <c r="I1043" i="1"/>
  <c r="J1043" i="1"/>
  <c r="R1043" i="1"/>
  <c r="AL1043" i="1"/>
  <c r="AO1043" i="1"/>
  <c r="A1044" i="1"/>
  <c r="B1044" i="1"/>
  <c r="X1044" i="1" s="1"/>
  <c r="E1044" i="1"/>
  <c r="F1044" i="1"/>
  <c r="G1044" i="1"/>
  <c r="H1044" i="1"/>
  <c r="I1044" i="1"/>
  <c r="J1044" i="1"/>
  <c r="R1044" i="1"/>
  <c r="AL1044" i="1"/>
  <c r="AO1044" i="1"/>
  <c r="A1045" i="1"/>
  <c r="B1045" i="1"/>
  <c r="X1045" i="1" s="1"/>
  <c r="E1045" i="1"/>
  <c r="F1045" i="1"/>
  <c r="G1045" i="1"/>
  <c r="H1045" i="1"/>
  <c r="I1045" i="1"/>
  <c r="J1045" i="1"/>
  <c r="R1045" i="1"/>
  <c r="AL1045" i="1"/>
  <c r="AO1045" i="1"/>
  <c r="A1046" i="1"/>
  <c r="B1046" i="1"/>
  <c r="X1046" i="1" s="1"/>
  <c r="E1046" i="1"/>
  <c r="F1046" i="1"/>
  <c r="G1046" i="1"/>
  <c r="H1046" i="1"/>
  <c r="I1046" i="1"/>
  <c r="J1046" i="1"/>
  <c r="R1046" i="1"/>
  <c r="AL1046" i="1"/>
  <c r="AO1046" i="1"/>
  <c r="A1047" i="1"/>
  <c r="B1047" i="1"/>
  <c r="X1047" i="1" s="1"/>
  <c r="E1047" i="1"/>
  <c r="F1047" i="1"/>
  <c r="G1047" i="1"/>
  <c r="H1047" i="1"/>
  <c r="I1047" i="1"/>
  <c r="J1047" i="1"/>
  <c r="R1047" i="1"/>
  <c r="AL1047" i="1"/>
  <c r="AO1047" i="1"/>
  <c r="A1048" i="1"/>
  <c r="B1048" i="1"/>
  <c r="X1048" i="1" s="1"/>
  <c r="E1048" i="1"/>
  <c r="F1048" i="1"/>
  <c r="G1048" i="1"/>
  <c r="H1048" i="1"/>
  <c r="I1048" i="1"/>
  <c r="J1048" i="1"/>
  <c r="R1048" i="1"/>
  <c r="AL1048" i="1"/>
  <c r="AO1048" i="1"/>
  <c r="A1049" i="1"/>
  <c r="B1049" i="1"/>
  <c r="E1049" i="1"/>
  <c r="F1049" i="1"/>
  <c r="G1049" i="1"/>
  <c r="H1049" i="1"/>
  <c r="I1049" i="1"/>
  <c r="J1049" i="1"/>
  <c r="R1049" i="1"/>
  <c r="AL1049" i="1"/>
  <c r="AO1049" i="1"/>
  <c r="A1050" i="1"/>
  <c r="AN1050" i="1" s="1"/>
  <c r="B1050" i="1"/>
  <c r="X1050" i="1" s="1"/>
  <c r="E1050" i="1"/>
  <c r="F1050" i="1"/>
  <c r="G1050" i="1"/>
  <c r="H1050" i="1"/>
  <c r="I1050" i="1"/>
  <c r="J1050" i="1"/>
  <c r="R1050" i="1"/>
  <c r="AL1050" i="1"/>
  <c r="AO1050" i="1"/>
  <c r="A1051" i="1"/>
  <c r="B1051" i="1"/>
  <c r="X1051" i="1" s="1"/>
  <c r="E1051" i="1"/>
  <c r="F1051" i="1"/>
  <c r="G1051" i="1"/>
  <c r="H1051" i="1"/>
  <c r="I1051" i="1"/>
  <c r="J1051" i="1"/>
  <c r="R1051" i="1"/>
  <c r="AL1051" i="1"/>
  <c r="AO1051" i="1"/>
  <c r="A1052" i="1"/>
  <c r="B1052" i="1"/>
  <c r="X1052" i="1" s="1"/>
  <c r="E1052" i="1"/>
  <c r="F1052" i="1"/>
  <c r="G1052" i="1"/>
  <c r="H1052" i="1"/>
  <c r="I1052" i="1"/>
  <c r="J1052" i="1"/>
  <c r="R1052" i="1"/>
  <c r="AL1052" i="1"/>
  <c r="AO1052" i="1"/>
  <c r="A1053" i="1"/>
  <c r="B1053" i="1"/>
  <c r="E1053" i="1"/>
  <c r="F1053" i="1"/>
  <c r="G1053" i="1"/>
  <c r="H1053" i="1"/>
  <c r="I1053" i="1"/>
  <c r="J1053" i="1"/>
  <c r="R1053" i="1"/>
  <c r="AL1053" i="1"/>
  <c r="AO1053" i="1"/>
  <c r="A1054" i="1"/>
  <c r="B1054" i="1"/>
  <c r="E1054" i="1"/>
  <c r="F1054" i="1"/>
  <c r="G1054" i="1"/>
  <c r="H1054" i="1"/>
  <c r="I1054" i="1"/>
  <c r="J1054" i="1"/>
  <c r="R1054" i="1"/>
  <c r="AL1054" i="1"/>
  <c r="AO1054" i="1"/>
  <c r="A1055" i="1"/>
  <c r="B1055" i="1"/>
  <c r="X1055" i="1" s="1"/>
  <c r="E1055" i="1"/>
  <c r="F1055" i="1"/>
  <c r="G1055" i="1"/>
  <c r="H1055" i="1"/>
  <c r="I1055" i="1"/>
  <c r="J1055" i="1"/>
  <c r="R1055" i="1"/>
  <c r="AL1055" i="1"/>
  <c r="AO1055" i="1"/>
  <c r="A1056" i="1"/>
  <c r="B1056" i="1"/>
  <c r="X1056" i="1" s="1"/>
  <c r="E1056" i="1"/>
  <c r="F1056" i="1"/>
  <c r="G1056" i="1"/>
  <c r="H1056" i="1"/>
  <c r="I1056" i="1"/>
  <c r="J1056" i="1"/>
  <c r="R1056" i="1"/>
  <c r="AL1056" i="1"/>
  <c r="AO1056" i="1"/>
  <c r="A1057" i="1"/>
  <c r="B1057" i="1"/>
  <c r="X1057" i="1" s="1"/>
  <c r="E1057" i="1"/>
  <c r="F1057" i="1"/>
  <c r="G1057" i="1"/>
  <c r="H1057" i="1"/>
  <c r="I1057" i="1"/>
  <c r="J1057" i="1"/>
  <c r="R1057" i="1"/>
  <c r="AL1057" i="1"/>
  <c r="AO1057" i="1"/>
  <c r="A950" i="1"/>
  <c r="B950" i="1"/>
  <c r="E950" i="1"/>
  <c r="F950" i="1"/>
  <c r="G950" i="1"/>
  <c r="H950" i="1"/>
  <c r="I950" i="1"/>
  <c r="J950" i="1"/>
  <c r="R950" i="1"/>
  <c r="AL950" i="1"/>
  <c r="AO950" i="1"/>
  <c r="A951" i="1"/>
  <c r="AN951" i="1" s="1"/>
  <c r="B951" i="1"/>
  <c r="X951" i="1" s="1"/>
  <c r="E951" i="1"/>
  <c r="F951" i="1"/>
  <c r="G951" i="1"/>
  <c r="H951" i="1"/>
  <c r="I951" i="1"/>
  <c r="J951" i="1"/>
  <c r="R951" i="1"/>
  <c r="AL951" i="1"/>
  <c r="AO951" i="1"/>
  <c r="A952" i="1"/>
  <c r="B952" i="1"/>
  <c r="X952" i="1" s="1"/>
  <c r="E952" i="1"/>
  <c r="F952" i="1"/>
  <c r="G952" i="1"/>
  <c r="H952" i="1"/>
  <c r="I952" i="1"/>
  <c r="J952" i="1"/>
  <c r="R952" i="1"/>
  <c r="AL952" i="1"/>
  <c r="AO952" i="1"/>
  <c r="A953" i="1"/>
  <c r="B953" i="1"/>
  <c r="X953" i="1" s="1"/>
  <c r="E953" i="1"/>
  <c r="F953" i="1"/>
  <c r="G953" i="1"/>
  <c r="H953" i="1"/>
  <c r="I953" i="1"/>
  <c r="J953" i="1"/>
  <c r="R953" i="1"/>
  <c r="AL953" i="1"/>
  <c r="AO953" i="1"/>
  <c r="A954" i="1"/>
  <c r="B954" i="1"/>
  <c r="X954" i="1" s="1"/>
  <c r="E954" i="1"/>
  <c r="F954" i="1"/>
  <c r="G954" i="1"/>
  <c r="H954" i="1"/>
  <c r="I954" i="1"/>
  <c r="J954" i="1"/>
  <c r="R954" i="1"/>
  <c r="AL954" i="1"/>
  <c r="AO954" i="1"/>
  <c r="A955" i="1"/>
  <c r="B955" i="1"/>
  <c r="X955" i="1" s="1"/>
  <c r="E955" i="1"/>
  <c r="F955" i="1"/>
  <c r="G955" i="1"/>
  <c r="H955" i="1"/>
  <c r="I955" i="1"/>
  <c r="J955" i="1"/>
  <c r="R955" i="1"/>
  <c r="AL955" i="1"/>
  <c r="AO955" i="1"/>
  <c r="A956" i="1"/>
  <c r="B956" i="1"/>
  <c r="X956" i="1" s="1"/>
  <c r="E956" i="1"/>
  <c r="F956" i="1"/>
  <c r="G956" i="1"/>
  <c r="H956" i="1"/>
  <c r="I956" i="1"/>
  <c r="J956" i="1"/>
  <c r="R956" i="1"/>
  <c r="AL956" i="1"/>
  <c r="AO956" i="1"/>
  <c r="A957" i="1"/>
  <c r="B957" i="1"/>
  <c r="X957" i="1" s="1"/>
  <c r="E957" i="1"/>
  <c r="F957" i="1"/>
  <c r="G957" i="1"/>
  <c r="H957" i="1"/>
  <c r="I957" i="1"/>
  <c r="J957" i="1"/>
  <c r="R957" i="1"/>
  <c r="AL957" i="1"/>
  <c r="AO957" i="1"/>
  <c r="A958" i="1"/>
  <c r="B958" i="1"/>
  <c r="X958" i="1" s="1"/>
  <c r="E958" i="1"/>
  <c r="F958" i="1"/>
  <c r="G958" i="1"/>
  <c r="H958" i="1"/>
  <c r="I958" i="1"/>
  <c r="J958" i="1"/>
  <c r="R958" i="1"/>
  <c r="AL958" i="1"/>
  <c r="AO958" i="1"/>
  <c r="A959" i="1"/>
  <c r="B959" i="1"/>
  <c r="X959" i="1" s="1"/>
  <c r="E959" i="1"/>
  <c r="F959" i="1"/>
  <c r="G959" i="1"/>
  <c r="H959" i="1"/>
  <c r="I959" i="1"/>
  <c r="J959" i="1"/>
  <c r="R959" i="1"/>
  <c r="AL959" i="1"/>
  <c r="AO959" i="1"/>
  <c r="A960" i="1"/>
  <c r="B960" i="1"/>
  <c r="X960" i="1" s="1"/>
  <c r="E960" i="1"/>
  <c r="F960" i="1"/>
  <c r="G960" i="1"/>
  <c r="H960" i="1"/>
  <c r="I960" i="1"/>
  <c r="J960" i="1"/>
  <c r="R960" i="1"/>
  <c r="AL960" i="1"/>
  <c r="AO960" i="1"/>
  <c r="A961" i="1"/>
  <c r="B961" i="1"/>
  <c r="X961" i="1" s="1"/>
  <c r="E961" i="1"/>
  <c r="F961" i="1"/>
  <c r="G961" i="1"/>
  <c r="H961" i="1"/>
  <c r="I961" i="1"/>
  <c r="J961" i="1"/>
  <c r="R961" i="1"/>
  <c r="AL961" i="1"/>
  <c r="AO961" i="1"/>
  <c r="A962" i="1"/>
  <c r="B962" i="1"/>
  <c r="X962" i="1" s="1"/>
  <c r="E962" i="1"/>
  <c r="F962" i="1"/>
  <c r="G962" i="1"/>
  <c r="H962" i="1"/>
  <c r="I962" i="1"/>
  <c r="J962" i="1"/>
  <c r="R962" i="1"/>
  <c r="AL962" i="1"/>
  <c r="AO962" i="1"/>
  <c r="A963" i="1"/>
  <c r="B963" i="1"/>
  <c r="X963" i="1" s="1"/>
  <c r="E963" i="1"/>
  <c r="F963" i="1"/>
  <c r="G963" i="1"/>
  <c r="H963" i="1"/>
  <c r="I963" i="1"/>
  <c r="J963" i="1"/>
  <c r="R963" i="1"/>
  <c r="AL963" i="1"/>
  <c r="AO963" i="1"/>
  <c r="A964" i="1"/>
  <c r="B964" i="1"/>
  <c r="X964" i="1" s="1"/>
  <c r="E964" i="1"/>
  <c r="F964" i="1"/>
  <c r="G964" i="1"/>
  <c r="H964" i="1"/>
  <c r="I964" i="1"/>
  <c r="J964" i="1"/>
  <c r="R964" i="1"/>
  <c r="AL964" i="1"/>
  <c r="AO964" i="1"/>
  <c r="A965" i="1"/>
  <c r="B965" i="1"/>
  <c r="X965" i="1" s="1"/>
  <c r="E965" i="1"/>
  <c r="F965" i="1"/>
  <c r="G965" i="1"/>
  <c r="H965" i="1"/>
  <c r="I965" i="1"/>
  <c r="J965" i="1"/>
  <c r="R965" i="1"/>
  <c r="AL965" i="1"/>
  <c r="AO965" i="1"/>
  <c r="A966" i="1"/>
  <c r="B966" i="1"/>
  <c r="X966" i="1" s="1"/>
  <c r="E966" i="1"/>
  <c r="F966" i="1"/>
  <c r="G966" i="1"/>
  <c r="H966" i="1"/>
  <c r="I966" i="1"/>
  <c r="J966" i="1"/>
  <c r="R966" i="1"/>
  <c r="AL966" i="1"/>
  <c r="AO966" i="1"/>
  <c r="A967" i="1"/>
  <c r="B967" i="1"/>
  <c r="X967" i="1" s="1"/>
  <c r="E967" i="1"/>
  <c r="F967" i="1"/>
  <c r="G967" i="1"/>
  <c r="H967" i="1"/>
  <c r="I967" i="1"/>
  <c r="J967" i="1"/>
  <c r="R967" i="1"/>
  <c r="AL967" i="1"/>
  <c r="AO967" i="1"/>
  <c r="A968" i="1"/>
  <c r="B968" i="1"/>
  <c r="X968" i="1" s="1"/>
  <c r="E968" i="1"/>
  <c r="F968" i="1"/>
  <c r="G968" i="1"/>
  <c r="H968" i="1"/>
  <c r="I968" i="1"/>
  <c r="J968" i="1"/>
  <c r="R968" i="1"/>
  <c r="AL968" i="1"/>
  <c r="AO968" i="1"/>
  <c r="A969" i="1"/>
  <c r="B969" i="1"/>
  <c r="E969" i="1"/>
  <c r="F969" i="1"/>
  <c r="G969" i="1"/>
  <c r="H969" i="1"/>
  <c r="I969" i="1"/>
  <c r="J969" i="1"/>
  <c r="R969" i="1"/>
  <c r="AL969" i="1"/>
  <c r="AO969" i="1"/>
  <c r="A970" i="1"/>
  <c r="B970" i="1"/>
  <c r="X970" i="1" s="1"/>
  <c r="E970" i="1"/>
  <c r="F970" i="1"/>
  <c r="G970" i="1"/>
  <c r="H970" i="1"/>
  <c r="I970" i="1"/>
  <c r="J970" i="1"/>
  <c r="R970" i="1"/>
  <c r="AL970" i="1"/>
  <c r="AO970" i="1"/>
  <c r="A971" i="1"/>
  <c r="AN971" i="1" s="1"/>
  <c r="B971" i="1"/>
  <c r="E971" i="1"/>
  <c r="F971" i="1"/>
  <c r="G971" i="1"/>
  <c r="H971" i="1"/>
  <c r="I971" i="1"/>
  <c r="J971" i="1"/>
  <c r="R971" i="1"/>
  <c r="AL971" i="1"/>
  <c r="AO971" i="1"/>
  <c r="A972" i="1"/>
  <c r="AN972" i="1" s="1"/>
  <c r="B972" i="1"/>
  <c r="X972" i="1" s="1"/>
  <c r="E972" i="1"/>
  <c r="F972" i="1"/>
  <c r="G972" i="1"/>
  <c r="H972" i="1"/>
  <c r="I972" i="1"/>
  <c r="J972" i="1"/>
  <c r="R972" i="1"/>
  <c r="AL972" i="1"/>
  <c r="AO972" i="1"/>
  <c r="A973" i="1"/>
  <c r="B973" i="1"/>
  <c r="E973" i="1"/>
  <c r="F973" i="1"/>
  <c r="G973" i="1"/>
  <c r="H973" i="1"/>
  <c r="I973" i="1"/>
  <c r="J973" i="1"/>
  <c r="R973" i="1"/>
  <c r="AL973" i="1"/>
  <c r="AO973" i="1"/>
  <c r="A974" i="1"/>
  <c r="B974" i="1"/>
  <c r="X974" i="1" s="1"/>
  <c r="E974" i="1"/>
  <c r="F974" i="1"/>
  <c r="G974" i="1"/>
  <c r="H974" i="1"/>
  <c r="I974" i="1"/>
  <c r="J974" i="1"/>
  <c r="R974" i="1"/>
  <c r="AL974" i="1"/>
  <c r="AO974" i="1"/>
  <c r="A975" i="1"/>
  <c r="B975" i="1"/>
  <c r="X975" i="1" s="1"/>
  <c r="E975" i="1"/>
  <c r="F975" i="1"/>
  <c r="G975" i="1"/>
  <c r="H975" i="1"/>
  <c r="I975" i="1"/>
  <c r="J975" i="1"/>
  <c r="R975" i="1"/>
  <c r="AL975" i="1"/>
  <c r="AO975" i="1"/>
  <c r="A976" i="1"/>
  <c r="B976" i="1"/>
  <c r="X976" i="1" s="1"/>
  <c r="E976" i="1"/>
  <c r="F976" i="1"/>
  <c r="G976" i="1"/>
  <c r="H976" i="1"/>
  <c r="I976" i="1"/>
  <c r="J976" i="1"/>
  <c r="R976" i="1"/>
  <c r="AL976" i="1"/>
  <c r="AO976" i="1"/>
  <c r="A977" i="1"/>
  <c r="B977" i="1"/>
  <c r="X977" i="1" s="1"/>
  <c r="E977" i="1"/>
  <c r="F977" i="1"/>
  <c r="G977" i="1"/>
  <c r="H977" i="1"/>
  <c r="I977" i="1"/>
  <c r="J977" i="1"/>
  <c r="R977" i="1"/>
  <c r="AL977" i="1"/>
  <c r="AO977" i="1"/>
  <c r="A978" i="1"/>
  <c r="B978" i="1"/>
  <c r="X978" i="1" s="1"/>
  <c r="E978" i="1"/>
  <c r="F978" i="1"/>
  <c r="G978" i="1"/>
  <c r="H978" i="1"/>
  <c r="I978" i="1"/>
  <c r="J978" i="1"/>
  <c r="R978" i="1"/>
  <c r="AL978" i="1"/>
  <c r="AO978" i="1"/>
  <c r="A979" i="1"/>
  <c r="AN979" i="1" s="1"/>
  <c r="B979" i="1"/>
  <c r="E979" i="1"/>
  <c r="F979" i="1"/>
  <c r="G979" i="1"/>
  <c r="H979" i="1"/>
  <c r="I979" i="1"/>
  <c r="J979" i="1"/>
  <c r="R979" i="1"/>
  <c r="AL979" i="1"/>
  <c r="AO979" i="1"/>
  <c r="A980" i="1"/>
  <c r="B980" i="1"/>
  <c r="X980" i="1" s="1"/>
  <c r="E980" i="1"/>
  <c r="F980" i="1"/>
  <c r="G980" i="1"/>
  <c r="H980" i="1"/>
  <c r="I980" i="1"/>
  <c r="J980" i="1"/>
  <c r="R980" i="1"/>
  <c r="AL980" i="1"/>
  <c r="AO980" i="1"/>
  <c r="A981" i="1"/>
  <c r="B981" i="1"/>
  <c r="X981" i="1" s="1"/>
  <c r="E981" i="1"/>
  <c r="F981" i="1"/>
  <c r="G981" i="1"/>
  <c r="H981" i="1"/>
  <c r="I981" i="1"/>
  <c r="J981" i="1"/>
  <c r="R981" i="1"/>
  <c r="AL981" i="1"/>
  <c r="AO981" i="1"/>
  <c r="A982" i="1"/>
  <c r="B982" i="1"/>
  <c r="X982" i="1" s="1"/>
  <c r="E982" i="1"/>
  <c r="F982" i="1"/>
  <c r="G982" i="1"/>
  <c r="H982" i="1"/>
  <c r="I982" i="1"/>
  <c r="J982" i="1"/>
  <c r="R982" i="1"/>
  <c r="AL982" i="1"/>
  <c r="AO982" i="1"/>
  <c r="A983" i="1"/>
  <c r="B983" i="1"/>
  <c r="X983" i="1" s="1"/>
  <c r="E983" i="1"/>
  <c r="F983" i="1"/>
  <c r="G983" i="1"/>
  <c r="H983" i="1"/>
  <c r="I983" i="1"/>
  <c r="J983" i="1"/>
  <c r="R983" i="1"/>
  <c r="AL983" i="1"/>
  <c r="AO983" i="1"/>
  <c r="A984" i="1"/>
  <c r="B984" i="1"/>
  <c r="X984" i="1" s="1"/>
  <c r="E984" i="1"/>
  <c r="F984" i="1"/>
  <c r="G984" i="1"/>
  <c r="H984" i="1"/>
  <c r="I984" i="1"/>
  <c r="J984" i="1"/>
  <c r="R984" i="1"/>
  <c r="AL984" i="1"/>
  <c r="AO984" i="1"/>
  <c r="A985" i="1"/>
  <c r="B985" i="1"/>
  <c r="E985" i="1"/>
  <c r="F985" i="1"/>
  <c r="G985" i="1"/>
  <c r="H985" i="1"/>
  <c r="I985" i="1"/>
  <c r="J985" i="1"/>
  <c r="R985" i="1"/>
  <c r="AL985" i="1"/>
  <c r="AO985" i="1"/>
  <c r="A986" i="1"/>
  <c r="B986" i="1"/>
  <c r="E986" i="1"/>
  <c r="F986" i="1"/>
  <c r="G986" i="1"/>
  <c r="H986" i="1"/>
  <c r="I986" i="1"/>
  <c r="J986" i="1"/>
  <c r="R986" i="1"/>
  <c r="AL986" i="1"/>
  <c r="AO986" i="1"/>
  <c r="A987" i="1"/>
  <c r="B987" i="1"/>
  <c r="X987" i="1" s="1"/>
  <c r="E987" i="1"/>
  <c r="F987" i="1"/>
  <c r="G987" i="1"/>
  <c r="H987" i="1"/>
  <c r="I987" i="1"/>
  <c r="J987" i="1"/>
  <c r="R987" i="1"/>
  <c r="AL987" i="1"/>
  <c r="AO987" i="1"/>
  <c r="A988" i="1"/>
  <c r="B988" i="1"/>
  <c r="X988" i="1" s="1"/>
  <c r="E988" i="1"/>
  <c r="F988" i="1"/>
  <c r="G988" i="1"/>
  <c r="H988" i="1"/>
  <c r="I988" i="1"/>
  <c r="J988" i="1"/>
  <c r="R988" i="1"/>
  <c r="AL988" i="1"/>
  <c r="AO988" i="1"/>
  <c r="A989" i="1"/>
  <c r="B989" i="1"/>
  <c r="X989" i="1" s="1"/>
  <c r="E989" i="1"/>
  <c r="F989" i="1"/>
  <c r="G989" i="1"/>
  <c r="H989" i="1"/>
  <c r="I989" i="1"/>
  <c r="J989" i="1"/>
  <c r="R989" i="1"/>
  <c r="AL989" i="1"/>
  <c r="AO989" i="1"/>
  <c r="A990" i="1"/>
  <c r="B990" i="1"/>
  <c r="X990" i="1" s="1"/>
  <c r="E990" i="1"/>
  <c r="F990" i="1"/>
  <c r="G990" i="1"/>
  <c r="H990" i="1"/>
  <c r="I990" i="1"/>
  <c r="J990" i="1"/>
  <c r="R990" i="1"/>
  <c r="AL990" i="1"/>
  <c r="AO990" i="1"/>
  <c r="A991" i="1"/>
  <c r="B991" i="1"/>
  <c r="X991" i="1" s="1"/>
  <c r="E991" i="1"/>
  <c r="F991" i="1"/>
  <c r="G991" i="1"/>
  <c r="H991" i="1"/>
  <c r="I991" i="1"/>
  <c r="J991" i="1"/>
  <c r="R991" i="1"/>
  <c r="AL991" i="1"/>
  <c r="AO991" i="1"/>
  <c r="A992" i="1"/>
  <c r="B992" i="1"/>
  <c r="X992" i="1" s="1"/>
  <c r="E992" i="1"/>
  <c r="F992" i="1"/>
  <c r="G992" i="1"/>
  <c r="H992" i="1"/>
  <c r="I992" i="1"/>
  <c r="J992" i="1"/>
  <c r="R992" i="1"/>
  <c r="AL992" i="1"/>
  <c r="AO992" i="1"/>
  <c r="A993" i="1"/>
  <c r="B993" i="1"/>
  <c r="X993" i="1" s="1"/>
  <c r="E993" i="1"/>
  <c r="F993" i="1"/>
  <c r="G993" i="1"/>
  <c r="H993" i="1"/>
  <c r="I993" i="1"/>
  <c r="J993" i="1"/>
  <c r="R993" i="1"/>
  <c r="AL993" i="1"/>
  <c r="AO993" i="1"/>
  <c r="A994" i="1"/>
  <c r="B994" i="1"/>
  <c r="E994" i="1"/>
  <c r="F994" i="1"/>
  <c r="G994" i="1"/>
  <c r="H994" i="1"/>
  <c r="I994" i="1"/>
  <c r="J994" i="1"/>
  <c r="R994" i="1"/>
  <c r="AL994" i="1"/>
  <c r="AO994" i="1"/>
  <c r="A995" i="1"/>
  <c r="B995" i="1"/>
  <c r="E995" i="1"/>
  <c r="F995" i="1"/>
  <c r="G995" i="1"/>
  <c r="H995" i="1"/>
  <c r="I995" i="1"/>
  <c r="J995" i="1"/>
  <c r="R995" i="1"/>
  <c r="AE995" i="1"/>
  <c r="AL995" i="1"/>
  <c r="AO995" i="1"/>
  <c r="A996" i="1"/>
  <c r="B996" i="1"/>
  <c r="X996" i="1" s="1"/>
  <c r="E996" i="1"/>
  <c r="F996" i="1"/>
  <c r="G996" i="1"/>
  <c r="H996" i="1"/>
  <c r="I996" i="1"/>
  <c r="J996" i="1"/>
  <c r="R996" i="1"/>
  <c r="AE996" i="1"/>
  <c r="AL996" i="1"/>
  <c r="AO996" i="1"/>
  <c r="A997" i="1"/>
  <c r="B997" i="1"/>
  <c r="X997" i="1" s="1"/>
  <c r="E997" i="1"/>
  <c r="F997" i="1"/>
  <c r="G997" i="1"/>
  <c r="H997" i="1"/>
  <c r="I997" i="1"/>
  <c r="J997" i="1"/>
  <c r="R997" i="1"/>
  <c r="AL997" i="1"/>
  <c r="AO997" i="1"/>
  <c r="A998" i="1"/>
  <c r="B998" i="1"/>
  <c r="E998" i="1"/>
  <c r="F998" i="1"/>
  <c r="G998" i="1"/>
  <c r="H998" i="1"/>
  <c r="I998" i="1"/>
  <c r="J998" i="1"/>
  <c r="R998" i="1"/>
  <c r="AL998" i="1"/>
  <c r="AO998" i="1"/>
  <c r="A999" i="1"/>
  <c r="B999" i="1"/>
  <c r="X999" i="1" s="1"/>
  <c r="E999" i="1"/>
  <c r="F999" i="1"/>
  <c r="G999" i="1"/>
  <c r="H999" i="1"/>
  <c r="I999" i="1"/>
  <c r="J999" i="1"/>
  <c r="R999" i="1"/>
  <c r="AL999" i="1"/>
  <c r="AO999" i="1"/>
  <c r="A909" i="1"/>
  <c r="B909" i="1"/>
  <c r="X909" i="1" s="1"/>
  <c r="E909" i="1"/>
  <c r="F909" i="1"/>
  <c r="G909" i="1"/>
  <c r="H909" i="1"/>
  <c r="I909" i="1"/>
  <c r="J909" i="1"/>
  <c r="R909" i="1"/>
  <c r="AL909" i="1"/>
  <c r="AO909" i="1"/>
  <c r="A910" i="1"/>
  <c r="B910" i="1"/>
  <c r="X910" i="1" s="1"/>
  <c r="E910" i="1"/>
  <c r="F910" i="1"/>
  <c r="G910" i="1"/>
  <c r="H910" i="1"/>
  <c r="I910" i="1"/>
  <c r="J910" i="1"/>
  <c r="R910" i="1"/>
  <c r="AL910" i="1"/>
  <c r="AO910" i="1"/>
  <c r="A911" i="1"/>
  <c r="B911" i="1"/>
  <c r="X911" i="1" s="1"/>
  <c r="E911" i="1"/>
  <c r="F911" i="1"/>
  <c r="G911" i="1"/>
  <c r="H911" i="1"/>
  <c r="I911" i="1"/>
  <c r="J911" i="1"/>
  <c r="R911" i="1"/>
  <c r="AL911" i="1"/>
  <c r="AO911" i="1"/>
  <c r="A912" i="1"/>
  <c r="B912" i="1"/>
  <c r="X912" i="1" s="1"/>
  <c r="E912" i="1"/>
  <c r="F912" i="1"/>
  <c r="G912" i="1"/>
  <c r="H912" i="1"/>
  <c r="I912" i="1"/>
  <c r="J912" i="1"/>
  <c r="R912" i="1"/>
  <c r="AL912" i="1"/>
  <c r="AO912" i="1"/>
  <c r="A913" i="1"/>
  <c r="B913" i="1"/>
  <c r="X913" i="1" s="1"/>
  <c r="E913" i="1"/>
  <c r="F913" i="1"/>
  <c r="G913" i="1"/>
  <c r="H913" i="1"/>
  <c r="I913" i="1"/>
  <c r="J913" i="1"/>
  <c r="R913" i="1"/>
  <c r="AL913" i="1"/>
  <c r="AO913" i="1"/>
  <c r="A914" i="1"/>
  <c r="B914" i="1"/>
  <c r="X914" i="1" s="1"/>
  <c r="E914" i="1"/>
  <c r="F914" i="1"/>
  <c r="G914" i="1"/>
  <c r="H914" i="1"/>
  <c r="I914" i="1"/>
  <c r="J914" i="1"/>
  <c r="R914" i="1"/>
  <c r="AL914" i="1"/>
  <c r="AO914" i="1"/>
  <c r="A915" i="1"/>
  <c r="B915" i="1"/>
  <c r="X915" i="1" s="1"/>
  <c r="E915" i="1"/>
  <c r="F915" i="1"/>
  <c r="G915" i="1"/>
  <c r="H915" i="1"/>
  <c r="I915" i="1"/>
  <c r="J915" i="1"/>
  <c r="R915" i="1"/>
  <c r="AL915" i="1"/>
  <c r="AO915" i="1"/>
  <c r="A916" i="1"/>
  <c r="B916" i="1"/>
  <c r="E916" i="1"/>
  <c r="F916" i="1"/>
  <c r="G916" i="1"/>
  <c r="H916" i="1"/>
  <c r="I916" i="1"/>
  <c r="J916" i="1"/>
  <c r="R916" i="1"/>
  <c r="AL916" i="1"/>
  <c r="AO916" i="1"/>
  <c r="A917" i="1"/>
  <c r="B917" i="1"/>
  <c r="X917" i="1" s="1"/>
  <c r="E917" i="1"/>
  <c r="F917" i="1"/>
  <c r="G917" i="1"/>
  <c r="H917" i="1"/>
  <c r="I917" i="1"/>
  <c r="J917" i="1"/>
  <c r="R917" i="1"/>
  <c r="AL917" i="1"/>
  <c r="AO917" i="1"/>
  <c r="A918" i="1"/>
  <c r="B918" i="1"/>
  <c r="E918" i="1"/>
  <c r="F918" i="1"/>
  <c r="G918" i="1"/>
  <c r="H918" i="1"/>
  <c r="I918" i="1"/>
  <c r="J918" i="1"/>
  <c r="R918" i="1"/>
  <c r="AL918" i="1"/>
  <c r="AO918" i="1"/>
  <c r="A919" i="1"/>
  <c r="B919" i="1"/>
  <c r="E919" i="1"/>
  <c r="F919" i="1"/>
  <c r="G919" i="1"/>
  <c r="H919" i="1"/>
  <c r="I919" i="1"/>
  <c r="J919" i="1"/>
  <c r="R919" i="1"/>
  <c r="AL919" i="1"/>
  <c r="AO919" i="1"/>
  <c r="A920" i="1"/>
  <c r="B920" i="1"/>
  <c r="X920" i="1" s="1"/>
  <c r="E920" i="1"/>
  <c r="F920" i="1"/>
  <c r="G920" i="1"/>
  <c r="H920" i="1"/>
  <c r="I920" i="1"/>
  <c r="J920" i="1"/>
  <c r="R920" i="1"/>
  <c r="AL920" i="1"/>
  <c r="AO920" i="1"/>
  <c r="A921" i="1"/>
  <c r="B921" i="1"/>
  <c r="X921" i="1" s="1"/>
  <c r="E921" i="1"/>
  <c r="F921" i="1"/>
  <c r="G921" i="1"/>
  <c r="H921" i="1"/>
  <c r="I921" i="1"/>
  <c r="J921" i="1"/>
  <c r="R921" i="1"/>
  <c r="AL921" i="1"/>
  <c r="AO921" i="1"/>
  <c r="A922" i="1"/>
  <c r="B922" i="1"/>
  <c r="E922" i="1"/>
  <c r="F922" i="1"/>
  <c r="G922" i="1"/>
  <c r="H922" i="1"/>
  <c r="I922" i="1"/>
  <c r="J922" i="1"/>
  <c r="R922" i="1"/>
  <c r="AL922" i="1"/>
  <c r="AO922" i="1"/>
  <c r="A923" i="1"/>
  <c r="B923" i="1"/>
  <c r="X923" i="1" s="1"/>
  <c r="E923" i="1"/>
  <c r="F923" i="1"/>
  <c r="G923" i="1"/>
  <c r="H923" i="1"/>
  <c r="I923" i="1"/>
  <c r="J923" i="1"/>
  <c r="R923" i="1"/>
  <c r="AL923" i="1"/>
  <c r="AO923" i="1"/>
  <c r="A924" i="1"/>
  <c r="B924" i="1"/>
  <c r="E924" i="1"/>
  <c r="F924" i="1"/>
  <c r="G924" i="1"/>
  <c r="H924" i="1"/>
  <c r="I924" i="1"/>
  <c r="J924" i="1"/>
  <c r="R924" i="1"/>
  <c r="AL924" i="1"/>
  <c r="AO924" i="1"/>
  <c r="A925" i="1"/>
  <c r="B925" i="1"/>
  <c r="X925" i="1" s="1"/>
  <c r="E925" i="1"/>
  <c r="F925" i="1"/>
  <c r="G925" i="1"/>
  <c r="H925" i="1"/>
  <c r="I925" i="1"/>
  <c r="J925" i="1"/>
  <c r="R925" i="1"/>
  <c r="AL925" i="1"/>
  <c r="AO925" i="1"/>
  <c r="A926" i="1"/>
  <c r="B926" i="1"/>
  <c r="E926" i="1"/>
  <c r="F926" i="1"/>
  <c r="G926" i="1"/>
  <c r="H926" i="1"/>
  <c r="I926" i="1"/>
  <c r="J926" i="1"/>
  <c r="R926" i="1"/>
  <c r="AL926" i="1"/>
  <c r="AO926" i="1"/>
  <c r="A927" i="1"/>
  <c r="B927" i="1"/>
  <c r="X927" i="1" s="1"/>
  <c r="E927" i="1"/>
  <c r="F927" i="1"/>
  <c r="G927" i="1"/>
  <c r="H927" i="1"/>
  <c r="I927" i="1"/>
  <c r="J927" i="1"/>
  <c r="R927" i="1"/>
  <c r="AL927" i="1"/>
  <c r="AO927" i="1"/>
  <c r="A928" i="1"/>
  <c r="B928" i="1"/>
  <c r="X928" i="1" s="1"/>
  <c r="E928" i="1"/>
  <c r="F928" i="1"/>
  <c r="G928" i="1"/>
  <c r="H928" i="1"/>
  <c r="I928" i="1"/>
  <c r="J928" i="1"/>
  <c r="R928" i="1"/>
  <c r="AL928" i="1"/>
  <c r="AO928" i="1"/>
  <c r="A929" i="1"/>
  <c r="B929" i="1"/>
  <c r="X929" i="1" s="1"/>
  <c r="E929" i="1"/>
  <c r="F929" i="1"/>
  <c r="G929" i="1"/>
  <c r="H929" i="1"/>
  <c r="I929" i="1"/>
  <c r="J929" i="1"/>
  <c r="R929" i="1"/>
  <c r="AL929" i="1"/>
  <c r="AO929" i="1"/>
  <c r="A930" i="1"/>
  <c r="B930" i="1"/>
  <c r="X930" i="1" s="1"/>
  <c r="E930" i="1"/>
  <c r="F930" i="1"/>
  <c r="G930" i="1"/>
  <c r="H930" i="1"/>
  <c r="I930" i="1"/>
  <c r="J930" i="1"/>
  <c r="R930" i="1"/>
  <c r="AL930" i="1"/>
  <c r="AO930" i="1"/>
  <c r="A931" i="1"/>
  <c r="B931" i="1"/>
  <c r="X931" i="1" s="1"/>
  <c r="E931" i="1"/>
  <c r="F931" i="1"/>
  <c r="G931" i="1"/>
  <c r="H931" i="1"/>
  <c r="I931" i="1"/>
  <c r="J931" i="1"/>
  <c r="R931" i="1"/>
  <c r="AL931" i="1"/>
  <c r="AO931" i="1"/>
  <c r="A932" i="1"/>
  <c r="B932" i="1"/>
  <c r="X932" i="1" s="1"/>
  <c r="E932" i="1"/>
  <c r="F932" i="1"/>
  <c r="G932" i="1"/>
  <c r="H932" i="1"/>
  <c r="I932" i="1"/>
  <c r="J932" i="1"/>
  <c r="R932" i="1"/>
  <c r="AL932" i="1"/>
  <c r="AO932" i="1"/>
  <c r="A933" i="1"/>
  <c r="AN933" i="1" s="1"/>
  <c r="B933" i="1"/>
  <c r="X933" i="1" s="1"/>
  <c r="E933" i="1"/>
  <c r="F933" i="1"/>
  <c r="G933" i="1"/>
  <c r="H933" i="1"/>
  <c r="I933" i="1"/>
  <c r="J933" i="1"/>
  <c r="R933" i="1"/>
  <c r="AL933" i="1"/>
  <c r="AO933" i="1"/>
  <c r="A934" i="1"/>
  <c r="B934" i="1"/>
  <c r="X934" i="1" s="1"/>
  <c r="E934" i="1"/>
  <c r="F934" i="1"/>
  <c r="G934" i="1"/>
  <c r="H934" i="1"/>
  <c r="I934" i="1"/>
  <c r="J934" i="1"/>
  <c r="R934" i="1"/>
  <c r="AL934" i="1"/>
  <c r="AO934" i="1"/>
  <c r="A935" i="1"/>
  <c r="B935" i="1"/>
  <c r="E935" i="1"/>
  <c r="F935" i="1"/>
  <c r="G935" i="1"/>
  <c r="H935" i="1"/>
  <c r="I935" i="1"/>
  <c r="J935" i="1"/>
  <c r="R935" i="1"/>
  <c r="AL935" i="1"/>
  <c r="AO935" i="1"/>
  <c r="A936" i="1"/>
  <c r="B936" i="1"/>
  <c r="X936" i="1" s="1"/>
  <c r="E936" i="1"/>
  <c r="F936" i="1"/>
  <c r="G936" i="1"/>
  <c r="H936" i="1"/>
  <c r="I936" i="1"/>
  <c r="J936" i="1"/>
  <c r="R936" i="1"/>
  <c r="AL936" i="1"/>
  <c r="AO936" i="1"/>
  <c r="A937" i="1"/>
  <c r="B937" i="1"/>
  <c r="E937" i="1"/>
  <c r="F937" i="1"/>
  <c r="G937" i="1"/>
  <c r="H937" i="1"/>
  <c r="I937" i="1"/>
  <c r="J937" i="1"/>
  <c r="R937" i="1"/>
  <c r="AL937" i="1"/>
  <c r="AO937" i="1"/>
  <c r="A938" i="1"/>
  <c r="B938" i="1"/>
  <c r="X938" i="1" s="1"/>
  <c r="E938" i="1"/>
  <c r="F938" i="1"/>
  <c r="G938" i="1"/>
  <c r="H938" i="1"/>
  <c r="I938" i="1"/>
  <c r="J938" i="1"/>
  <c r="R938" i="1"/>
  <c r="AL938" i="1"/>
  <c r="AO938" i="1"/>
  <c r="A939" i="1"/>
  <c r="B939" i="1"/>
  <c r="E939" i="1"/>
  <c r="F939" i="1"/>
  <c r="G939" i="1"/>
  <c r="H939" i="1"/>
  <c r="I939" i="1"/>
  <c r="J939" i="1"/>
  <c r="R939" i="1"/>
  <c r="AL939" i="1"/>
  <c r="AO939" i="1"/>
  <c r="A940" i="1"/>
  <c r="B940" i="1"/>
  <c r="X940" i="1" s="1"/>
  <c r="E940" i="1"/>
  <c r="F940" i="1"/>
  <c r="G940" i="1"/>
  <c r="H940" i="1"/>
  <c r="I940" i="1"/>
  <c r="J940" i="1"/>
  <c r="R940" i="1"/>
  <c r="AL940" i="1"/>
  <c r="AO940" i="1"/>
  <c r="A941" i="1"/>
  <c r="B941" i="1"/>
  <c r="X941" i="1" s="1"/>
  <c r="E941" i="1"/>
  <c r="F941" i="1"/>
  <c r="G941" i="1"/>
  <c r="H941" i="1"/>
  <c r="I941" i="1"/>
  <c r="J941" i="1"/>
  <c r="R941" i="1"/>
  <c r="AL941" i="1"/>
  <c r="AO941" i="1"/>
  <c r="A942" i="1"/>
  <c r="B942" i="1"/>
  <c r="X942" i="1" s="1"/>
  <c r="E942" i="1"/>
  <c r="F942" i="1"/>
  <c r="G942" i="1"/>
  <c r="H942" i="1"/>
  <c r="I942" i="1"/>
  <c r="J942" i="1"/>
  <c r="R942" i="1"/>
  <c r="AL942" i="1"/>
  <c r="AO942" i="1"/>
  <c r="A943" i="1"/>
  <c r="B943" i="1"/>
  <c r="X943" i="1" s="1"/>
  <c r="E943" i="1"/>
  <c r="F943" i="1"/>
  <c r="G943" i="1"/>
  <c r="H943" i="1"/>
  <c r="I943" i="1"/>
  <c r="J943" i="1"/>
  <c r="R943" i="1"/>
  <c r="AL943" i="1"/>
  <c r="AO943" i="1"/>
  <c r="A944" i="1"/>
  <c r="B944" i="1"/>
  <c r="X944" i="1" s="1"/>
  <c r="E944" i="1"/>
  <c r="F944" i="1"/>
  <c r="G944" i="1"/>
  <c r="H944" i="1"/>
  <c r="I944" i="1"/>
  <c r="J944" i="1"/>
  <c r="R944" i="1"/>
  <c r="AL944" i="1"/>
  <c r="AO944" i="1"/>
  <c r="A945" i="1"/>
  <c r="B945" i="1"/>
  <c r="X945" i="1" s="1"/>
  <c r="E945" i="1"/>
  <c r="F945" i="1"/>
  <c r="G945" i="1"/>
  <c r="H945" i="1"/>
  <c r="I945" i="1"/>
  <c r="J945" i="1"/>
  <c r="R945" i="1"/>
  <c r="AL945" i="1"/>
  <c r="AO945" i="1"/>
  <c r="A946" i="1"/>
  <c r="B946" i="1"/>
  <c r="X946" i="1" s="1"/>
  <c r="E946" i="1"/>
  <c r="F946" i="1"/>
  <c r="G946" i="1"/>
  <c r="H946" i="1"/>
  <c r="I946" i="1"/>
  <c r="J946" i="1"/>
  <c r="R946" i="1"/>
  <c r="AL946" i="1"/>
  <c r="AO946" i="1"/>
  <c r="A948" i="1"/>
  <c r="B948" i="1"/>
  <c r="X948" i="1" s="1"/>
  <c r="E948" i="1"/>
  <c r="F948" i="1"/>
  <c r="G948" i="1"/>
  <c r="H948" i="1"/>
  <c r="I948" i="1"/>
  <c r="J948" i="1"/>
  <c r="R948" i="1"/>
  <c r="AL948" i="1"/>
  <c r="AO948" i="1"/>
  <c r="A949" i="1"/>
  <c r="B949" i="1"/>
  <c r="E949" i="1"/>
  <c r="F949" i="1"/>
  <c r="G949" i="1"/>
  <c r="H949" i="1"/>
  <c r="I949" i="1"/>
  <c r="J949" i="1"/>
  <c r="R949" i="1"/>
  <c r="AL949" i="1"/>
  <c r="AO949" i="1"/>
  <c r="A1000" i="1"/>
  <c r="B1000" i="1"/>
  <c r="X1000" i="1" s="1"/>
  <c r="E1000" i="1"/>
  <c r="F1000" i="1"/>
  <c r="G1000" i="1"/>
  <c r="H1000" i="1"/>
  <c r="I1000" i="1"/>
  <c r="J1000" i="1"/>
  <c r="R1000" i="1"/>
  <c r="AL1000" i="1"/>
  <c r="AO1000" i="1"/>
  <c r="A1001" i="1"/>
  <c r="B1001" i="1"/>
  <c r="E1001" i="1"/>
  <c r="F1001" i="1"/>
  <c r="G1001" i="1"/>
  <c r="H1001" i="1"/>
  <c r="I1001" i="1"/>
  <c r="J1001" i="1"/>
  <c r="R1001" i="1"/>
  <c r="AL1001" i="1"/>
  <c r="AO1001" i="1"/>
  <c r="A1002" i="1"/>
  <c r="B1002" i="1"/>
  <c r="X1002" i="1" s="1"/>
  <c r="E1002" i="1"/>
  <c r="F1002" i="1"/>
  <c r="G1002" i="1"/>
  <c r="H1002" i="1"/>
  <c r="I1002" i="1"/>
  <c r="J1002" i="1"/>
  <c r="R1002" i="1"/>
  <c r="AL1002" i="1"/>
  <c r="AO1002" i="1"/>
  <c r="A1003" i="1"/>
  <c r="B1003" i="1"/>
  <c r="X1003" i="1" s="1"/>
  <c r="E1003" i="1"/>
  <c r="F1003" i="1"/>
  <c r="G1003" i="1"/>
  <c r="H1003" i="1"/>
  <c r="I1003" i="1"/>
  <c r="J1003" i="1"/>
  <c r="R1003" i="1"/>
  <c r="AL1003" i="1"/>
  <c r="AO1003" i="1"/>
  <c r="A1004" i="1"/>
  <c r="B1004" i="1"/>
  <c r="E1004" i="1"/>
  <c r="F1004" i="1"/>
  <c r="G1004" i="1"/>
  <c r="H1004" i="1"/>
  <c r="I1004" i="1"/>
  <c r="J1004" i="1"/>
  <c r="R1004" i="1"/>
  <c r="AL1004" i="1"/>
  <c r="AO1004" i="1"/>
  <c r="A1005" i="1"/>
  <c r="AN1005" i="1" s="1"/>
  <c r="B1005" i="1"/>
  <c r="X1005" i="1" s="1"/>
  <c r="E1005" i="1"/>
  <c r="F1005" i="1"/>
  <c r="G1005" i="1"/>
  <c r="H1005" i="1"/>
  <c r="I1005" i="1"/>
  <c r="J1005" i="1"/>
  <c r="R1005" i="1"/>
  <c r="AL1005" i="1"/>
  <c r="AO1005" i="1"/>
  <c r="AH2881" i="3"/>
  <c r="AH2882" i="3"/>
  <c r="AH2883" i="3"/>
  <c r="AH2884" i="3"/>
  <c r="AH2885" i="3"/>
  <c r="AH2886" i="3"/>
  <c r="AH2887" i="3"/>
  <c r="AH2888" i="3"/>
  <c r="AH2889" i="3"/>
  <c r="AH2890" i="3"/>
  <c r="AH2891" i="3"/>
  <c r="AH2892" i="3"/>
  <c r="AH2893" i="3"/>
  <c r="AH2894" i="3"/>
  <c r="AH2895" i="3"/>
  <c r="AH2896" i="3"/>
  <c r="AH2897" i="3"/>
  <c r="AH2898" i="3"/>
  <c r="AH2899" i="3"/>
  <c r="AH2900" i="3"/>
  <c r="AH2901" i="3"/>
  <c r="AH2902" i="3"/>
  <c r="AH2903" i="3"/>
  <c r="AH2904" i="3"/>
  <c r="AH2905" i="3"/>
  <c r="AH2906" i="3"/>
  <c r="AH2907" i="3"/>
  <c r="AH2908" i="3"/>
  <c r="AH2909" i="3"/>
  <c r="AH2910" i="3"/>
  <c r="AH2911" i="3"/>
  <c r="AH2912" i="3"/>
  <c r="AH2913" i="3"/>
  <c r="AH2914" i="3"/>
  <c r="AH2915" i="3"/>
  <c r="AH2916" i="3"/>
  <c r="AH2917" i="3"/>
  <c r="AH2918" i="3"/>
  <c r="AH2919" i="3"/>
  <c r="AH2920" i="3"/>
  <c r="AH2921" i="3"/>
  <c r="AH2922" i="3"/>
  <c r="AH2923" i="3"/>
  <c r="AH2924" i="3"/>
  <c r="AH2925" i="3"/>
  <c r="AH2926" i="3"/>
  <c r="AH2927" i="3"/>
  <c r="AH2928" i="3"/>
  <c r="AH2929" i="3"/>
  <c r="AH2930" i="3"/>
  <c r="AH2931" i="3"/>
  <c r="AH2932" i="3"/>
  <c r="AH2933" i="3"/>
  <c r="AH2934" i="3"/>
  <c r="AH2935" i="3"/>
  <c r="AH2936" i="3"/>
  <c r="AH2937" i="3"/>
  <c r="AH2938" i="3"/>
  <c r="AH2939" i="3"/>
  <c r="AH2940" i="3"/>
  <c r="AH2941" i="3"/>
  <c r="AH2942" i="3"/>
  <c r="AH2943" i="3"/>
  <c r="AH2944" i="3"/>
  <c r="AH2945" i="3"/>
  <c r="AH2946" i="3"/>
  <c r="AH2947" i="3"/>
  <c r="AH2948" i="3"/>
  <c r="AH2949" i="3"/>
  <c r="AH2950" i="3"/>
  <c r="AH2951" i="3"/>
  <c r="AH2952" i="3"/>
  <c r="AH2953" i="3"/>
  <c r="AH2954" i="3"/>
  <c r="AH2955" i="3"/>
  <c r="AH2956" i="3"/>
  <c r="AH2957" i="3"/>
  <c r="AH2958" i="3"/>
  <c r="AH2959" i="3"/>
  <c r="AH2960" i="3"/>
  <c r="AH2961" i="3"/>
  <c r="AH2962" i="3"/>
  <c r="AH2963" i="3"/>
  <c r="AH2964" i="3"/>
  <c r="AH2965" i="3"/>
  <c r="AH2966" i="3"/>
  <c r="AH2967" i="3"/>
  <c r="AH2968" i="3"/>
  <c r="AH2969" i="3"/>
  <c r="AH2970" i="3"/>
  <c r="AH2971" i="3"/>
  <c r="AH2972" i="3"/>
  <c r="AH2973" i="3"/>
  <c r="AH2974" i="3"/>
  <c r="AH2975" i="3"/>
  <c r="AH2976" i="3"/>
  <c r="AH2977" i="3"/>
  <c r="AH2978" i="3"/>
  <c r="AH2979" i="3"/>
  <c r="AH2980" i="3"/>
  <c r="AH2981" i="3"/>
  <c r="AH2982" i="3"/>
  <c r="AH2983" i="3"/>
  <c r="AH2984" i="3"/>
  <c r="AH2985" i="3"/>
  <c r="AH2986" i="3"/>
  <c r="AH2987" i="3"/>
  <c r="AH2988" i="3"/>
  <c r="AH2989" i="3"/>
  <c r="AH2990" i="3"/>
  <c r="AH2991" i="3"/>
  <c r="AH2992" i="3"/>
  <c r="AH2993" i="3"/>
  <c r="AH2994" i="3"/>
  <c r="AH2995" i="3"/>
  <c r="AH2996" i="3"/>
  <c r="AH2997" i="3"/>
  <c r="AH2998" i="3"/>
  <c r="AH2999" i="3"/>
  <c r="AH3000" i="3"/>
  <c r="AH3001" i="3"/>
  <c r="AH3002" i="3"/>
  <c r="AH3003" i="3"/>
  <c r="AH3004" i="3"/>
  <c r="AH3005" i="3"/>
  <c r="AH3006" i="3"/>
  <c r="AH3007" i="3"/>
  <c r="AH3008" i="3"/>
  <c r="AH3009" i="3"/>
  <c r="AH3010" i="3"/>
  <c r="AH3011" i="3"/>
  <c r="AH3012" i="3"/>
  <c r="AH3013" i="3"/>
  <c r="AH3014" i="3"/>
  <c r="AH3015" i="3"/>
  <c r="AH3016" i="3"/>
  <c r="AH3017" i="3"/>
  <c r="AH3018" i="3"/>
  <c r="AH3019" i="3"/>
  <c r="AH3020" i="3"/>
  <c r="AH3021" i="3"/>
  <c r="AH3022" i="3"/>
  <c r="AH3023" i="3"/>
  <c r="AH3024" i="3"/>
  <c r="AH3025" i="3"/>
  <c r="AH3026" i="3"/>
  <c r="AH3027" i="3"/>
  <c r="AH3028" i="3"/>
  <c r="AH3029" i="3"/>
  <c r="AH3030" i="3"/>
  <c r="AH3031" i="3"/>
  <c r="AH3032" i="3"/>
  <c r="AH3033" i="3"/>
  <c r="AH3034" i="3"/>
  <c r="AH3035" i="3"/>
  <c r="AH3036" i="3"/>
  <c r="AH3037" i="3"/>
  <c r="AH3038" i="3"/>
  <c r="AH3039" i="3"/>
  <c r="AH3040" i="3"/>
  <c r="AH3041" i="3"/>
  <c r="AH3042" i="3"/>
  <c r="AH3043" i="3"/>
  <c r="AH3044" i="3"/>
  <c r="AH3045" i="3"/>
  <c r="AH3046" i="3"/>
  <c r="AH3047" i="3"/>
  <c r="AH3048" i="3"/>
  <c r="AH3049" i="3"/>
  <c r="AH3050" i="3"/>
  <c r="AH3051" i="3"/>
  <c r="AH3052" i="3"/>
  <c r="AH3053" i="3"/>
  <c r="AH3054" i="3"/>
  <c r="AH3055" i="3"/>
  <c r="AH3056" i="3"/>
  <c r="AH3057" i="3"/>
  <c r="AH3058" i="3"/>
  <c r="AH3059" i="3"/>
  <c r="AH3060" i="3"/>
  <c r="AH3061" i="3"/>
  <c r="AH3062" i="3"/>
  <c r="AH3063" i="3"/>
  <c r="AH3064" i="3"/>
  <c r="AH3065" i="3"/>
  <c r="AH3066" i="3"/>
  <c r="AH3067" i="3"/>
  <c r="AH3068" i="3"/>
  <c r="AH3069" i="3"/>
  <c r="AH3070" i="3"/>
  <c r="AH3071" i="3"/>
  <c r="AH3072" i="3"/>
  <c r="AH3073" i="3"/>
  <c r="AH3074" i="3"/>
  <c r="AH3075" i="3"/>
  <c r="AH3076" i="3"/>
  <c r="AH3077" i="3"/>
  <c r="AH3078" i="3"/>
  <c r="AH3079" i="3"/>
  <c r="AH3080" i="3"/>
  <c r="AH3081" i="3"/>
  <c r="AH3082" i="3"/>
  <c r="AH3083" i="3"/>
  <c r="AH3084" i="3"/>
  <c r="AH3085" i="3"/>
  <c r="AH3086" i="3"/>
  <c r="AH3087" i="3"/>
  <c r="AH3088" i="3"/>
  <c r="AH3089" i="3"/>
  <c r="AH3090" i="3"/>
  <c r="AH3091" i="3"/>
  <c r="AH3092" i="3"/>
  <c r="AH3093" i="3"/>
  <c r="AH3094" i="3"/>
  <c r="AH3095" i="3"/>
  <c r="AH3096" i="3"/>
  <c r="AH3097" i="3"/>
  <c r="AH3098" i="3"/>
  <c r="AH3099" i="3"/>
  <c r="AH3100" i="3"/>
  <c r="AH3101" i="3"/>
  <c r="AH3102" i="3"/>
  <c r="AH3103" i="3"/>
  <c r="AH3104" i="3"/>
  <c r="AH3105" i="3"/>
  <c r="AH3106" i="3"/>
  <c r="AH3107" i="3"/>
  <c r="AH3108" i="3"/>
  <c r="AH3109" i="3"/>
  <c r="AH3110" i="3"/>
  <c r="AH3111" i="3"/>
  <c r="AH3112" i="3"/>
  <c r="AH3113" i="3"/>
  <c r="AH3114" i="3"/>
  <c r="AH3115" i="3"/>
  <c r="AH3116" i="3"/>
  <c r="AH3117" i="3"/>
  <c r="AH3118" i="3"/>
  <c r="AH3119" i="3"/>
  <c r="AH3120" i="3"/>
  <c r="AH3121" i="3"/>
  <c r="AH3122" i="3"/>
  <c r="AH3123" i="3"/>
  <c r="AH3124" i="3"/>
  <c r="AH3125" i="3"/>
  <c r="AH3126" i="3"/>
  <c r="AH3127" i="3"/>
  <c r="AH3128" i="3"/>
  <c r="AH3129" i="3"/>
  <c r="AH3130" i="3"/>
  <c r="AH3131" i="3"/>
  <c r="AH3132" i="3"/>
  <c r="AH3133" i="3"/>
  <c r="AH3134" i="3"/>
  <c r="AH3135" i="3"/>
  <c r="AH3136" i="3"/>
  <c r="AH3137" i="3"/>
  <c r="AH3138" i="3"/>
  <c r="AH3139" i="3"/>
  <c r="AH3140" i="3"/>
  <c r="AH3141" i="3"/>
  <c r="AH3142" i="3"/>
  <c r="AH3143" i="3"/>
  <c r="AH3144" i="3"/>
  <c r="AH3145" i="3"/>
  <c r="AH3146" i="3"/>
  <c r="AH3147" i="3"/>
  <c r="AH3148" i="3"/>
  <c r="AH3149" i="3"/>
  <c r="AH3150" i="3"/>
  <c r="AH3151" i="3"/>
  <c r="AH3152" i="3"/>
  <c r="AH3153" i="3"/>
  <c r="AH3154" i="3"/>
  <c r="AH3155" i="3"/>
  <c r="AH3156" i="3"/>
  <c r="AH3157" i="3"/>
  <c r="AH3158" i="3"/>
  <c r="AH3159" i="3"/>
  <c r="AH3160" i="3"/>
  <c r="AH3161" i="3"/>
  <c r="AH3162" i="3"/>
  <c r="AH3163" i="3"/>
  <c r="AH3164" i="3"/>
  <c r="AH3165" i="3"/>
  <c r="AH3166" i="3"/>
  <c r="AH3167" i="3"/>
  <c r="AH3168" i="3"/>
  <c r="AH3169" i="3"/>
  <c r="AH3170" i="3"/>
  <c r="AH3171" i="3"/>
  <c r="AH3172" i="3"/>
  <c r="AH3173" i="3"/>
  <c r="AH3174" i="3"/>
  <c r="AH3175" i="3"/>
  <c r="AH3176" i="3"/>
  <c r="AH3177" i="3"/>
  <c r="AH3178" i="3"/>
  <c r="AH3179" i="3"/>
  <c r="AH3180" i="3"/>
  <c r="AH3181" i="3"/>
  <c r="AH3182" i="3"/>
  <c r="AH3183" i="3"/>
  <c r="AH3184" i="3"/>
  <c r="AH3185" i="3"/>
  <c r="AH3186" i="3"/>
  <c r="AH3187" i="3"/>
  <c r="AH3188" i="3"/>
  <c r="AH3189" i="3"/>
  <c r="AH3190" i="3"/>
  <c r="AH3191" i="3"/>
  <c r="AH3192" i="3"/>
  <c r="AH3193" i="3"/>
  <c r="AH3194" i="3"/>
  <c r="AH3195" i="3"/>
  <c r="AH3196" i="3"/>
  <c r="AH3197" i="3"/>
  <c r="AH3198" i="3"/>
  <c r="AH3199" i="3"/>
  <c r="AH3200" i="3"/>
  <c r="AH3201" i="3"/>
  <c r="AH3202" i="3"/>
  <c r="AH3203" i="3"/>
  <c r="AH3204" i="3"/>
  <c r="AH3205" i="3"/>
  <c r="AH3206" i="3"/>
  <c r="AH3207" i="3"/>
  <c r="AH3208" i="3"/>
  <c r="AH3209" i="3"/>
  <c r="AH3210" i="3"/>
  <c r="AH3211" i="3"/>
  <c r="AH3212" i="3"/>
  <c r="AH3213" i="3"/>
  <c r="AH3214" i="3"/>
  <c r="AH3215" i="3"/>
  <c r="AH3216" i="3"/>
  <c r="AH3217" i="3"/>
  <c r="AH3218" i="3"/>
  <c r="AH3219" i="3"/>
  <c r="AH3220" i="3"/>
  <c r="AH3221" i="3"/>
  <c r="AH3222" i="3"/>
  <c r="AH3223" i="3"/>
  <c r="AH3224" i="3"/>
  <c r="AH3225" i="3"/>
  <c r="AH3226" i="3"/>
  <c r="AH3227" i="3"/>
  <c r="AH3228" i="3"/>
  <c r="AH3229" i="3"/>
  <c r="AH3230" i="3"/>
  <c r="AH3231" i="3"/>
  <c r="AH3232" i="3"/>
  <c r="AH3233" i="3"/>
  <c r="AH3234" i="3"/>
  <c r="AH3235" i="3"/>
  <c r="AH3236" i="3"/>
  <c r="AH3237" i="3"/>
  <c r="AH3238" i="3"/>
  <c r="AH3239" i="3"/>
  <c r="AH3240" i="3"/>
  <c r="AH3241" i="3"/>
  <c r="AH3242" i="3"/>
  <c r="AH3243" i="3"/>
  <c r="AH3244" i="3"/>
  <c r="AH3245" i="3"/>
  <c r="AH3246" i="3"/>
  <c r="AH3247" i="3"/>
  <c r="AH3248" i="3"/>
  <c r="AH3249" i="3"/>
  <c r="AH3250" i="3"/>
  <c r="AH3251" i="3"/>
  <c r="AH3252" i="3"/>
  <c r="AH3253" i="3"/>
  <c r="AH3254" i="3"/>
  <c r="AH3255" i="3"/>
  <c r="AH3256" i="3"/>
  <c r="AH3257" i="3"/>
  <c r="AH3258" i="3"/>
  <c r="AH3259" i="3"/>
  <c r="AH3260" i="3"/>
  <c r="AH3261" i="3"/>
  <c r="AH3262" i="3"/>
  <c r="AH3263" i="3"/>
  <c r="AH3264" i="3"/>
  <c r="AH3265" i="3"/>
  <c r="AH3266" i="3"/>
  <c r="AH3267" i="3"/>
  <c r="AH3268" i="3"/>
  <c r="AH3269" i="3"/>
  <c r="AH3270" i="3"/>
  <c r="AH3271" i="3"/>
  <c r="AH3272" i="3"/>
  <c r="AH3273" i="3"/>
  <c r="AH3274" i="3"/>
  <c r="AH3275" i="3"/>
  <c r="AH3276" i="3"/>
  <c r="AH3277" i="3"/>
  <c r="AH3278" i="3"/>
  <c r="AH3279" i="3"/>
  <c r="AH3280" i="3"/>
  <c r="AH3281" i="3"/>
  <c r="AH3282" i="3"/>
  <c r="AH3283" i="3"/>
  <c r="AH3284" i="3"/>
  <c r="AH3285" i="3"/>
  <c r="AH3286" i="3"/>
  <c r="AH3287" i="3"/>
  <c r="AH3288" i="3"/>
  <c r="AH3289" i="3"/>
  <c r="AH3290" i="3"/>
  <c r="AH3291" i="3"/>
  <c r="AH3292" i="3"/>
  <c r="AH3293" i="3"/>
  <c r="AH3294" i="3"/>
  <c r="AH3295" i="3"/>
  <c r="AH3296" i="3"/>
  <c r="AH3297" i="3"/>
  <c r="AH3298" i="3"/>
  <c r="AH3299" i="3"/>
  <c r="AH3300" i="3"/>
  <c r="AH3301" i="3"/>
  <c r="AH3302" i="3"/>
  <c r="AH3303" i="3"/>
  <c r="AH3304" i="3"/>
  <c r="AH3305" i="3"/>
  <c r="AH3306" i="3"/>
  <c r="AH3307" i="3"/>
  <c r="AH3308" i="3"/>
  <c r="AH3309" i="3"/>
  <c r="AH3310" i="3"/>
  <c r="AH3311" i="3"/>
  <c r="AH3312" i="3"/>
  <c r="AH3313" i="3"/>
  <c r="AH3314" i="3"/>
  <c r="AH3315" i="3"/>
  <c r="AH3316" i="3"/>
  <c r="AH3317" i="3"/>
  <c r="AH3318" i="3"/>
  <c r="AH3319" i="3"/>
  <c r="AH3320" i="3"/>
  <c r="AH3321" i="3"/>
  <c r="AH3322" i="3"/>
  <c r="AH3323" i="3"/>
  <c r="AH3324" i="3"/>
  <c r="AH3325" i="3"/>
  <c r="AH3326" i="3"/>
  <c r="AH3327" i="3"/>
  <c r="AH3328" i="3"/>
  <c r="AH3329" i="3"/>
  <c r="AH3330" i="3"/>
  <c r="AH3331" i="3"/>
  <c r="AH3332" i="3"/>
  <c r="AH3333" i="3"/>
  <c r="AH3334" i="3"/>
  <c r="AH3335" i="3"/>
  <c r="AH3336" i="3"/>
  <c r="AH3337" i="3"/>
  <c r="AH3338" i="3"/>
  <c r="AH3339" i="3"/>
  <c r="AH3340" i="3"/>
  <c r="AH3341" i="3"/>
  <c r="AH3342" i="3"/>
  <c r="AH3343" i="3"/>
  <c r="AH3344" i="3"/>
  <c r="AH3345" i="3"/>
  <c r="AH3346" i="3"/>
  <c r="AH3347" i="3"/>
  <c r="AH3348" i="3"/>
  <c r="AH3349" i="3"/>
  <c r="AH3350" i="3"/>
  <c r="AH3351" i="3"/>
  <c r="AH3352" i="3"/>
  <c r="AH3353" i="3"/>
  <c r="AH3354" i="3"/>
  <c r="AH3355" i="3"/>
  <c r="AH3356" i="3"/>
  <c r="AH3357" i="3"/>
  <c r="AH3358" i="3"/>
  <c r="AH3359" i="3"/>
  <c r="AH3360" i="3"/>
  <c r="AH3361" i="3"/>
  <c r="AH3362" i="3"/>
  <c r="AH3363" i="3"/>
  <c r="AH3364" i="3"/>
  <c r="AH3365" i="3"/>
  <c r="AH3366" i="3"/>
  <c r="AH3367" i="3"/>
  <c r="AH3368" i="3"/>
  <c r="AH3369" i="3"/>
  <c r="AH3370" i="3"/>
  <c r="AH3371" i="3"/>
  <c r="AH3372" i="3"/>
  <c r="AH3373" i="3"/>
  <c r="AH3374" i="3"/>
  <c r="AH3375" i="3"/>
  <c r="AH3376" i="3"/>
  <c r="AH3377" i="3"/>
  <c r="AH3378" i="3"/>
  <c r="AH3379" i="3"/>
  <c r="AH3380" i="3"/>
  <c r="AH3381" i="3"/>
  <c r="AH3382" i="3"/>
  <c r="AH3383" i="3"/>
  <c r="AH3384" i="3"/>
  <c r="AH3385" i="3"/>
  <c r="AH3386" i="3"/>
  <c r="AH3387" i="3"/>
  <c r="AH3388" i="3"/>
  <c r="AH3389" i="3"/>
  <c r="AH3390" i="3"/>
  <c r="AH3391" i="3"/>
  <c r="AH3392" i="3"/>
  <c r="AH3393" i="3"/>
  <c r="AH3394" i="3"/>
  <c r="AH3395" i="3"/>
  <c r="AH3396" i="3"/>
  <c r="AH3397" i="3"/>
  <c r="AH3398" i="3"/>
  <c r="AH3399" i="3"/>
  <c r="AH3400" i="3"/>
  <c r="AH3401" i="3"/>
  <c r="AH3402" i="3"/>
  <c r="AH3403" i="3"/>
  <c r="AH3404" i="3"/>
  <c r="AH3405" i="3"/>
  <c r="AH3406" i="3"/>
  <c r="AH3407" i="3"/>
  <c r="AH3408" i="3"/>
  <c r="AH3409" i="3"/>
  <c r="AH3410" i="3"/>
  <c r="AH3411" i="3"/>
  <c r="AH3412" i="3"/>
  <c r="AH3413" i="3"/>
  <c r="AH3414" i="3"/>
  <c r="AH3415" i="3"/>
  <c r="AH3416" i="3"/>
  <c r="AH3417" i="3"/>
  <c r="AH3418" i="3"/>
  <c r="AH3419" i="3"/>
  <c r="AH3420" i="3"/>
  <c r="AH3421" i="3"/>
  <c r="AH3422" i="3"/>
  <c r="AH3423" i="3"/>
  <c r="AH3424" i="3"/>
  <c r="AH3425" i="3"/>
  <c r="AH3426" i="3"/>
  <c r="AH3427" i="3"/>
  <c r="AH3428" i="3"/>
  <c r="AH3429" i="3"/>
  <c r="AH3430" i="3"/>
  <c r="AH3431" i="3"/>
  <c r="AH3432" i="3"/>
  <c r="AH3433" i="3"/>
  <c r="AH3434" i="3"/>
  <c r="AH3435" i="3"/>
  <c r="AH3436" i="3"/>
  <c r="AH3437" i="3"/>
  <c r="AH3438" i="3"/>
  <c r="AH3439" i="3"/>
  <c r="AH3440" i="3"/>
  <c r="AH3441" i="3"/>
  <c r="AH3442" i="3"/>
  <c r="AH3443" i="3"/>
  <c r="AH3444" i="3"/>
  <c r="AH3445" i="3"/>
  <c r="AH3446" i="3"/>
  <c r="AH3447" i="3"/>
  <c r="AH3448" i="3"/>
  <c r="AH3449" i="3"/>
  <c r="AH3450" i="3"/>
  <c r="AH3451" i="3"/>
  <c r="AH3452" i="3"/>
  <c r="AH3453" i="3"/>
  <c r="AH3454" i="3"/>
  <c r="AH3455" i="3"/>
  <c r="AH3456" i="3"/>
  <c r="AH3457" i="3"/>
  <c r="AH3458" i="3"/>
  <c r="AH3459" i="3"/>
  <c r="AH3460" i="3"/>
  <c r="AH3461" i="3"/>
  <c r="AH3462" i="3"/>
  <c r="AH3463" i="3"/>
  <c r="AH3464" i="3"/>
  <c r="AH3465" i="3"/>
  <c r="AH3466" i="3"/>
  <c r="AH3467" i="3"/>
  <c r="AH3468" i="3"/>
  <c r="AH3469" i="3"/>
  <c r="AH3470" i="3"/>
  <c r="AH3471" i="3"/>
  <c r="AH3472" i="3"/>
  <c r="AH3473" i="3"/>
  <c r="AH3474" i="3"/>
  <c r="AH3475" i="3"/>
  <c r="AH3476" i="3"/>
  <c r="AH3477" i="3"/>
  <c r="AH3478" i="3"/>
  <c r="AH3479" i="3"/>
  <c r="AH3480" i="3"/>
  <c r="AH3481" i="3"/>
  <c r="AH3482" i="3"/>
  <c r="AH3483" i="3"/>
  <c r="AH3484" i="3"/>
  <c r="AH3485" i="3"/>
  <c r="AH3486" i="3"/>
  <c r="AH3487" i="3"/>
  <c r="AH3488" i="3"/>
  <c r="AH3489" i="3"/>
  <c r="AH3490" i="3"/>
  <c r="AH3491" i="3"/>
  <c r="AH3492" i="3"/>
  <c r="AH3493" i="3"/>
  <c r="AH3494" i="3"/>
  <c r="AH3495" i="3"/>
  <c r="AH3496" i="3"/>
  <c r="AH3497" i="3"/>
  <c r="AH3498" i="3"/>
  <c r="AH3499" i="3"/>
  <c r="AH3500" i="3"/>
  <c r="AH3501" i="3"/>
  <c r="AH3502" i="3"/>
  <c r="AH3503" i="3"/>
  <c r="AH3504" i="3"/>
  <c r="AH3505" i="3"/>
  <c r="AH3506" i="3"/>
  <c r="AH3507" i="3"/>
  <c r="AH3508" i="3"/>
  <c r="AH3509" i="3"/>
  <c r="AH3510" i="3"/>
  <c r="AH3511" i="3"/>
  <c r="AH3512" i="3"/>
  <c r="AH3513" i="3"/>
  <c r="AH3514" i="3"/>
  <c r="AH3515" i="3"/>
  <c r="AH3516" i="3"/>
  <c r="AH3517" i="3"/>
  <c r="AH3518" i="3"/>
  <c r="AH3519" i="3"/>
  <c r="AH3520" i="3"/>
  <c r="AH3521" i="3"/>
  <c r="AH3522" i="3"/>
  <c r="AH3523" i="3"/>
  <c r="AH3524" i="3"/>
  <c r="AH3525" i="3"/>
  <c r="AH3526" i="3"/>
  <c r="AH3527" i="3"/>
  <c r="AH3528" i="3"/>
  <c r="AH3529" i="3"/>
  <c r="AH3530" i="3"/>
  <c r="AH3531" i="3"/>
  <c r="AH3532" i="3"/>
  <c r="AH3533" i="3"/>
  <c r="AH3534" i="3"/>
  <c r="AH3535" i="3"/>
  <c r="AH3536" i="3"/>
  <c r="AH3537" i="3"/>
  <c r="AH3538" i="3"/>
  <c r="AH3539" i="3"/>
  <c r="AH3540" i="3"/>
  <c r="AH3541" i="3"/>
  <c r="AH3542" i="3"/>
  <c r="AH3543" i="3"/>
  <c r="AH3544" i="3"/>
  <c r="AH3545" i="3"/>
  <c r="AH3546" i="3"/>
  <c r="AH3547" i="3"/>
  <c r="AH3548" i="3"/>
  <c r="AH3549" i="3"/>
  <c r="AH3550" i="3"/>
  <c r="AH3551" i="3"/>
  <c r="AH3552" i="3"/>
  <c r="AH3553" i="3"/>
  <c r="AH3554" i="3"/>
  <c r="AH3555" i="3"/>
  <c r="AH3556" i="3"/>
  <c r="AH3557" i="3"/>
  <c r="AH3558" i="3"/>
  <c r="AH3559" i="3"/>
  <c r="AH3560" i="3"/>
  <c r="AH3561" i="3"/>
  <c r="AH3562" i="3"/>
  <c r="AH3563" i="3"/>
  <c r="AH3564" i="3"/>
  <c r="AH3565" i="3"/>
  <c r="AH3566" i="3"/>
  <c r="AH3567" i="3"/>
  <c r="AH3568" i="3"/>
  <c r="AH3569" i="3"/>
  <c r="AH3570" i="3"/>
  <c r="AH3571" i="3"/>
  <c r="AH3572" i="3"/>
  <c r="AH3573" i="3"/>
  <c r="AH3574" i="3"/>
  <c r="AH3575" i="3"/>
  <c r="AH3576" i="3"/>
  <c r="AH3577" i="3"/>
  <c r="AH3578" i="3"/>
  <c r="AH3579" i="3"/>
  <c r="AH3580" i="3"/>
  <c r="AH3581" i="3"/>
  <c r="AH3582" i="3"/>
  <c r="AH3583" i="3"/>
  <c r="AH3584" i="3"/>
  <c r="AH3585" i="3"/>
  <c r="AH3586" i="3"/>
  <c r="AH3587" i="3"/>
  <c r="AH3588" i="3"/>
  <c r="AH3589" i="3"/>
  <c r="AH3590" i="3"/>
  <c r="AH3591" i="3"/>
  <c r="AH3592" i="3"/>
  <c r="AH3593" i="3"/>
  <c r="AH3594" i="3"/>
  <c r="AH3595" i="3"/>
  <c r="AH3596" i="3"/>
  <c r="AH3597" i="3"/>
  <c r="AH3598" i="3"/>
  <c r="AH3599" i="3"/>
  <c r="AH3600" i="3"/>
  <c r="AH3601" i="3"/>
  <c r="AH3602" i="3"/>
  <c r="AH3603" i="3"/>
  <c r="AH3604" i="3"/>
  <c r="AH3605" i="3"/>
  <c r="AH3606" i="3"/>
  <c r="AH3607" i="3"/>
  <c r="AH3608" i="3"/>
  <c r="AH3609" i="3"/>
  <c r="AH3610" i="3"/>
  <c r="AH3611" i="3"/>
  <c r="AH3612" i="3"/>
  <c r="AH3613" i="3"/>
  <c r="AH3614" i="3"/>
  <c r="AH3615" i="3"/>
  <c r="AH3616" i="3"/>
  <c r="AH3617" i="3"/>
  <c r="AH3618" i="3"/>
  <c r="AH3619" i="3"/>
  <c r="AH3620" i="3"/>
  <c r="AH3621" i="3"/>
  <c r="AH3622" i="3"/>
  <c r="AH3623" i="3"/>
  <c r="AH3624" i="3"/>
  <c r="AH3625" i="3"/>
  <c r="AH3626" i="3"/>
  <c r="AH3627" i="3"/>
  <c r="AH3628" i="3"/>
  <c r="AH3629" i="3"/>
  <c r="AH3630" i="3"/>
  <c r="AH3631" i="3"/>
  <c r="AH3632" i="3"/>
  <c r="AH3633" i="3"/>
  <c r="AH3634" i="3"/>
  <c r="AH3635" i="3"/>
  <c r="AH3636" i="3"/>
  <c r="AH3637" i="3"/>
  <c r="AH3638" i="3"/>
  <c r="AH3639" i="3"/>
  <c r="AH3640" i="3"/>
  <c r="AH3641" i="3"/>
  <c r="AH3642" i="3"/>
  <c r="AH3643" i="3"/>
  <c r="AH3644" i="3"/>
  <c r="AH3645" i="3"/>
  <c r="AH3646" i="3"/>
  <c r="AH3647" i="3"/>
  <c r="AH3648" i="3"/>
  <c r="AH3649" i="3"/>
  <c r="AH3650" i="3"/>
  <c r="AH3651" i="3"/>
  <c r="AH3652" i="3"/>
  <c r="AH3653" i="3"/>
  <c r="AH3654" i="3"/>
  <c r="AH3655" i="3"/>
  <c r="AH3656" i="3"/>
  <c r="AH3657" i="3"/>
  <c r="AH3658" i="3"/>
  <c r="AH3659" i="3"/>
  <c r="AH3660" i="3"/>
  <c r="AH3661" i="3"/>
  <c r="AH3662" i="3"/>
  <c r="AH3663" i="3"/>
  <c r="AH3664" i="3"/>
  <c r="AH3665" i="3"/>
  <c r="AH3666" i="3"/>
  <c r="AH3667" i="3"/>
  <c r="AH3668" i="3"/>
  <c r="AH3669" i="3"/>
  <c r="AH3670" i="3"/>
  <c r="AH3671" i="3"/>
  <c r="AH3672" i="3"/>
  <c r="AH3673" i="3"/>
  <c r="AH3674" i="3"/>
  <c r="AH3675" i="3"/>
  <c r="AH3676" i="3"/>
  <c r="AH3677" i="3"/>
  <c r="AH3678" i="3"/>
  <c r="AH3679" i="3"/>
  <c r="AH3680" i="3"/>
  <c r="AH3681" i="3"/>
  <c r="AH3682" i="3"/>
  <c r="AH3683" i="3"/>
  <c r="AH3684" i="3"/>
  <c r="AH3685" i="3"/>
  <c r="AH3686" i="3"/>
  <c r="AH3687" i="3"/>
  <c r="AH3688" i="3"/>
  <c r="AH3689" i="3"/>
  <c r="AH3690" i="3"/>
  <c r="AH3691" i="3"/>
  <c r="AH3692" i="3"/>
  <c r="AH3693" i="3"/>
  <c r="AH3694" i="3"/>
  <c r="AH3695" i="3"/>
  <c r="AH3696" i="3"/>
  <c r="AH3697" i="3"/>
  <c r="AH3698" i="3"/>
  <c r="AH3699" i="3"/>
  <c r="AH3700" i="3"/>
  <c r="AH3701" i="3"/>
  <c r="AH3702" i="3"/>
  <c r="AH3703" i="3"/>
  <c r="AH3704" i="3"/>
  <c r="AH3705" i="3"/>
  <c r="AH3706" i="3"/>
  <c r="AH3707" i="3"/>
  <c r="AH3708" i="3"/>
  <c r="AH3709" i="3"/>
  <c r="AH3710" i="3"/>
  <c r="AH3711" i="3"/>
  <c r="AH3712" i="3"/>
  <c r="AH3713" i="3"/>
  <c r="AH3714" i="3"/>
  <c r="AH3715" i="3"/>
  <c r="AH3716" i="3"/>
  <c r="AH3717" i="3"/>
  <c r="AH3718" i="3"/>
  <c r="AH3719" i="3"/>
  <c r="AH3720" i="3"/>
  <c r="AH3721" i="3"/>
  <c r="AH3722" i="3"/>
  <c r="AH3723" i="3"/>
  <c r="AH3724" i="3"/>
  <c r="AH3725" i="3"/>
  <c r="AH3726" i="3"/>
  <c r="AH3727" i="3"/>
  <c r="AH3728" i="3"/>
  <c r="AH3729" i="3"/>
  <c r="AH3730" i="3"/>
  <c r="AH3731" i="3"/>
  <c r="AH3732" i="3"/>
  <c r="AH3733" i="3"/>
  <c r="AH3734" i="3"/>
  <c r="AH3735" i="3"/>
  <c r="AH3736" i="3"/>
  <c r="AH3737" i="3"/>
  <c r="AH3738" i="3"/>
  <c r="AH3739" i="3"/>
  <c r="AH3740" i="3"/>
  <c r="AH3741" i="3"/>
  <c r="AH3742" i="3"/>
  <c r="AH3743" i="3"/>
  <c r="AH3744" i="3"/>
  <c r="AH3745" i="3"/>
  <c r="AH3746" i="3"/>
  <c r="AH3747" i="3"/>
  <c r="AH3748" i="3"/>
  <c r="AH3749" i="3"/>
  <c r="AH3750" i="3"/>
  <c r="AH3751" i="3"/>
  <c r="AH3752" i="3"/>
  <c r="AH3753" i="3"/>
  <c r="AH3754" i="3"/>
  <c r="AH3755" i="3"/>
  <c r="AH3756" i="3"/>
  <c r="AH3757" i="3"/>
  <c r="AH3758" i="3"/>
  <c r="AH3759" i="3"/>
  <c r="AH3760" i="3"/>
  <c r="AH3761" i="3"/>
  <c r="AH3762" i="3"/>
  <c r="AH3763" i="3"/>
  <c r="AH3764" i="3"/>
  <c r="AH3765" i="3"/>
  <c r="AH3766" i="3"/>
  <c r="AH3767" i="3"/>
  <c r="AH3768" i="3"/>
  <c r="AH3769" i="3"/>
  <c r="AH3770" i="3"/>
  <c r="AH3771" i="3"/>
  <c r="AH3772" i="3"/>
  <c r="AH3773" i="3"/>
  <c r="AH3774" i="3"/>
  <c r="AH3775" i="3"/>
  <c r="AH3776" i="3"/>
  <c r="AH3777" i="3"/>
  <c r="AH3778" i="3"/>
  <c r="AH3779" i="3"/>
  <c r="AH3780" i="3"/>
  <c r="AH3781" i="3"/>
  <c r="AH3782" i="3"/>
  <c r="AH3783" i="3"/>
  <c r="AH3784" i="3"/>
  <c r="AH3785" i="3"/>
  <c r="AH3786" i="3"/>
  <c r="AH3787" i="3"/>
  <c r="AH3788" i="3"/>
  <c r="AH3789" i="3"/>
  <c r="AH3790" i="3"/>
  <c r="AH3791" i="3"/>
  <c r="AH3792" i="3"/>
  <c r="AH3793" i="3"/>
  <c r="AH3794" i="3"/>
  <c r="AH3795" i="3"/>
  <c r="AH3796" i="3"/>
  <c r="AH3797" i="3"/>
  <c r="AH3798" i="3"/>
  <c r="AH3799" i="3"/>
  <c r="AH3800" i="3"/>
  <c r="AH3801" i="3"/>
  <c r="AH3802" i="3"/>
  <c r="AH3803" i="3"/>
  <c r="AH3804" i="3"/>
  <c r="AH3805" i="3"/>
  <c r="AH3806" i="3"/>
  <c r="AH3807" i="3"/>
  <c r="AH3808" i="3"/>
  <c r="AH3809" i="3"/>
  <c r="AH3810" i="3"/>
  <c r="AH3811" i="3"/>
  <c r="AH3812" i="3"/>
  <c r="AH3813" i="3"/>
  <c r="AH3814" i="3"/>
  <c r="AH3815" i="3"/>
  <c r="AH3816" i="3"/>
  <c r="AH3817" i="3"/>
  <c r="AH3818" i="3"/>
  <c r="AH3819" i="3"/>
  <c r="AH3820" i="3"/>
  <c r="AH3821" i="3"/>
  <c r="AH3822" i="3"/>
  <c r="AH3823" i="3"/>
  <c r="AH3824" i="3"/>
  <c r="AH3825" i="3"/>
  <c r="AH3826" i="3"/>
  <c r="AH3827" i="3"/>
  <c r="AH3828" i="3"/>
  <c r="AH3829" i="3"/>
  <c r="AH3830" i="3"/>
  <c r="AH3831" i="3"/>
  <c r="AH3832" i="3"/>
  <c r="AH3833" i="3"/>
  <c r="AH3834" i="3"/>
  <c r="AH3835" i="3"/>
  <c r="AH3836" i="3"/>
  <c r="AH3837" i="3"/>
  <c r="AH3838" i="3"/>
  <c r="AH3839" i="3"/>
  <c r="AH3840" i="3"/>
  <c r="AH3841" i="3"/>
  <c r="AH3842" i="3"/>
  <c r="AH3843" i="3"/>
  <c r="AH3844" i="3"/>
  <c r="AH3845" i="3"/>
  <c r="AH3846" i="3"/>
  <c r="AH3847" i="3"/>
  <c r="AH3848" i="3"/>
  <c r="AH3849" i="3"/>
  <c r="AH3850" i="3"/>
  <c r="AH3851" i="3"/>
  <c r="AH3852" i="3"/>
  <c r="AH3853" i="3"/>
  <c r="AH3854" i="3"/>
  <c r="AH3855" i="3"/>
  <c r="AH3856" i="3"/>
  <c r="AH3857" i="3"/>
  <c r="AH3858" i="3"/>
  <c r="AH3859" i="3"/>
  <c r="AH3860" i="3"/>
  <c r="AH3861" i="3"/>
  <c r="AH3862" i="3"/>
  <c r="AH3863" i="3"/>
  <c r="AH3864" i="3"/>
  <c r="AH3865" i="3"/>
  <c r="AH3866" i="3"/>
  <c r="AH3867" i="3"/>
  <c r="AH3868" i="3"/>
  <c r="AH3869" i="3"/>
  <c r="AH3870" i="3"/>
  <c r="AH3871" i="3"/>
  <c r="AH3872" i="3"/>
  <c r="AH3873" i="3"/>
  <c r="AH3874" i="3"/>
  <c r="AH3875" i="3"/>
  <c r="AH3876" i="3"/>
  <c r="AH3877" i="3"/>
  <c r="AH3878" i="3"/>
  <c r="AH3879" i="3"/>
  <c r="AH3880" i="3"/>
  <c r="AH3881" i="3"/>
  <c r="AH3882" i="3"/>
  <c r="AH3883" i="3"/>
  <c r="AH3884" i="3"/>
  <c r="AH3885" i="3"/>
  <c r="AH3886" i="3"/>
  <c r="AH3887" i="3"/>
  <c r="AH3888" i="3"/>
  <c r="AH3889" i="3"/>
  <c r="AH3890" i="3"/>
  <c r="AH3891" i="3"/>
  <c r="AH3892" i="3"/>
  <c r="AH3893" i="3"/>
  <c r="AH3894" i="3"/>
  <c r="AH3895" i="3"/>
  <c r="AH3896" i="3"/>
  <c r="AH3897" i="3"/>
  <c r="AH3898" i="3"/>
  <c r="AH3899" i="3"/>
  <c r="AH3900" i="3"/>
  <c r="AH3901" i="3"/>
  <c r="AH3902" i="3"/>
  <c r="AH3903" i="3"/>
  <c r="AH3904" i="3"/>
  <c r="AH3905" i="3"/>
  <c r="AH3906" i="3"/>
  <c r="AH3907" i="3"/>
  <c r="AH3908" i="3"/>
  <c r="AH3909" i="3"/>
  <c r="AH3910" i="3"/>
  <c r="AH3911" i="3"/>
  <c r="AH3912" i="3"/>
  <c r="AH3913" i="3"/>
  <c r="AH3914" i="3"/>
  <c r="AH3915" i="3"/>
  <c r="AH3916" i="3"/>
  <c r="AH3917" i="3"/>
  <c r="AH3918" i="3"/>
  <c r="AH3919" i="3"/>
  <c r="AH3920" i="3"/>
  <c r="AH3921" i="3"/>
  <c r="AH3922" i="3"/>
  <c r="AH3923" i="3"/>
  <c r="AH3924" i="3"/>
  <c r="AH3925" i="3"/>
  <c r="AH3926" i="3"/>
  <c r="AH3927" i="3"/>
  <c r="AH3928" i="3"/>
  <c r="AH3929" i="3"/>
  <c r="AH3930" i="3"/>
  <c r="AH3931" i="3"/>
  <c r="AH3932" i="3"/>
  <c r="AH3933" i="3"/>
  <c r="AH3934" i="3"/>
  <c r="AH3935" i="3"/>
  <c r="AH3936" i="3"/>
  <c r="AH3937" i="3"/>
  <c r="AH3938" i="3"/>
  <c r="AH3939" i="3"/>
  <c r="AH3940" i="3"/>
  <c r="AH3941" i="3"/>
  <c r="AH3942" i="3"/>
  <c r="AH3943" i="3"/>
  <c r="AH3944" i="3"/>
  <c r="AH3945" i="3"/>
  <c r="AH3946" i="3"/>
  <c r="AH3947" i="3"/>
  <c r="AH3948" i="3"/>
  <c r="AH3949" i="3"/>
  <c r="AH3950" i="3"/>
  <c r="AH3951" i="3"/>
  <c r="AH3952" i="3"/>
  <c r="W1005" i="1" l="1"/>
  <c r="AP1005" i="1" s="1"/>
  <c r="AQ1005" i="1" s="1"/>
  <c r="AP979" i="1"/>
  <c r="AQ979" i="1" s="1"/>
  <c r="AP951" i="1"/>
  <c r="AQ951" i="1" s="1"/>
  <c r="AP1050" i="1"/>
  <c r="AQ1050" i="1" s="1"/>
  <c r="AP971" i="1"/>
  <c r="AQ971" i="1" s="1"/>
  <c r="AP972" i="1"/>
  <c r="AQ972" i="1" s="1"/>
  <c r="AP933" i="1"/>
  <c r="AQ933" i="1" s="1"/>
  <c r="AS1042" i="1"/>
  <c r="AS987" i="1"/>
  <c r="AS986" i="1"/>
  <c r="AS983" i="1"/>
  <c r="AS980" i="1"/>
  <c r="AS970" i="1"/>
  <c r="AS961" i="1"/>
  <c r="AS958" i="1"/>
  <c r="AN949" i="1"/>
  <c r="AN952" i="1"/>
  <c r="AS910" i="1"/>
  <c r="AS957" i="1"/>
  <c r="AS1054" i="1"/>
  <c r="AS1053" i="1"/>
  <c r="AS1046" i="1"/>
  <c r="AS1037" i="1"/>
  <c r="AS1007" i="1"/>
  <c r="AS1006" i="1"/>
  <c r="AN969" i="1"/>
  <c r="AN910" i="1"/>
  <c r="AN996" i="1"/>
  <c r="W996" i="1" s="1"/>
  <c r="AN990" i="1"/>
  <c r="AN982" i="1"/>
  <c r="AN978" i="1"/>
  <c r="AN973" i="1"/>
  <c r="AN1056" i="1"/>
  <c r="AN1054" i="1"/>
  <c r="AN1053" i="1"/>
  <c r="P994" i="1"/>
  <c r="S994" i="1" s="1"/>
  <c r="O993" i="1"/>
  <c r="P986" i="1"/>
  <c r="S986" i="1" s="1"/>
  <c r="O985" i="1"/>
  <c r="P982" i="1"/>
  <c r="S982" i="1" s="1"/>
  <c r="O981" i="1"/>
  <c r="P978" i="1"/>
  <c r="S978" i="1" s="1"/>
  <c r="P974" i="1"/>
  <c r="S974" i="1" s="1"/>
  <c r="O972" i="1"/>
  <c r="P970" i="1"/>
  <c r="S970" i="1" s="1"/>
  <c r="O968" i="1"/>
  <c r="P966" i="1"/>
  <c r="S966" i="1" s="1"/>
  <c r="O964" i="1"/>
  <c r="P962" i="1"/>
  <c r="S962" i="1" s="1"/>
  <c r="O960" i="1"/>
  <c r="P958" i="1"/>
  <c r="S958" i="1" s="1"/>
  <c r="P954" i="1"/>
  <c r="S954" i="1" s="1"/>
  <c r="P953" i="1"/>
  <c r="S953" i="1" s="1"/>
  <c r="O952" i="1"/>
  <c r="O950" i="1"/>
  <c r="P1057" i="1"/>
  <c r="S1057" i="1" s="1"/>
  <c r="O1056" i="1"/>
  <c r="O1055" i="1"/>
  <c r="P1053" i="1"/>
  <c r="S1053" i="1" s="1"/>
  <c r="P1045" i="1"/>
  <c r="S1045" i="1" s="1"/>
  <c r="P1043" i="1"/>
  <c r="S1043" i="1" s="1"/>
  <c r="P1041" i="1"/>
  <c r="S1041" i="1" s="1"/>
  <c r="O1040" i="1"/>
  <c r="P1039" i="1"/>
  <c r="S1039" i="1" s="1"/>
  <c r="P1037" i="1"/>
  <c r="S1037" i="1" s="1"/>
  <c r="O1013" i="1"/>
  <c r="O1012" i="1"/>
  <c r="P1010" i="1"/>
  <c r="S1010" i="1" s="1"/>
  <c r="O1009" i="1"/>
  <c r="P1006" i="1"/>
  <c r="S1006" i="1" s="1"/>
  <c r="O941" i="1"/>
  <c r="O939" i="1"/>
  <c r="O988" i="1"/>
  <c r="P1005" i="1"/>
  <c r="S1005" i="1" s="1"/>
  <c r="P1002" i="1"/>
  <c r="S1002" i="1" s="1"/>
  <c r="O945" i="1"/>
  <c r="O943" i="1"/>
  <c r="P937" i="1"/>
  <c r="S937" i="1" s="1"/>
  <c r="O935" i="1"/>
  <c r="P1004" i="1"/>
  <c r="S1004" i="1" s="1"/>
  <c r="P948" i="1"/>
  <c r="S948" i="1" s="1"/>
  <c r="P933" i="1"/>
  <c r="S933" i="1" s="1"/>
  <c r="P929" i="1"/>
  <c r="S929" i="1" s="1"/>
  <c r="O928" i="1"/>
  <c r="O927" i="1"/>
  <c r="O925" i="1"/>
  <c r="P924" i="1"/>
  <c r="S924" i="1" s="1"/>
  <c r="P992" i="1"/>
  <c r="S992" i="1" s="1"/>
  <c r="O919" i="1"/>
  <c r="O917" i="1"/>
  <c r="O916" i="1"/>
  <c r="O915" i="1"/>
  <c r="O913" i="1"/>
  <c r="O912" i="1"/>
  <c r="O909" i="1"/>
  <c r="P998" i="1"/>
  <c r="S998" i="1" s="1"/>
  <c r="O997" i="1"/>
  <c r="AN999" i="1"/>
  <c r="W999" i="1" s="1"/>
  <c r="AS997" i="1"/>
  <c r="AN912" i="1"/>
  <c r="AN1003" i="1"/>
  <c r="AN970" i="1"/>
  <c r="AN956" i="1"/>
  <c r="AN955" i="1"/>
  <c r="AN909" i="1"/>
  <c r="W909" i="1" s="1"/>
  <c r="AN1001" i="1"/>
  <c r="AN913" i="1"/>
  <c r="AN987" i="1"/>
  <c r="W987" i="1" s="1"/>
  <c r="AN997" i="1"/>
  <c r="AN992" i="1"/>
  <c r="AN927" i="1"/>
  <c r="AN918" i="1"/>
  <c r="AN988" i="1"/>
  <c r="AN911" i="1"/>
  <c r="W911" i="1" s="1"/>
  <c r="AN960" i="1"/>
  <c r="AN1049" i="1"/>
  <c r="AS989" i="1"/>
  <c r="AS966" i="1"/>
  <c r="AS954" i="1"/>
  <c r="AS1056" i="1"/>
  <c r="AS1052" i="1"/>
  <c r="AS969" i="1"/>
  <c r="AS962" i="1"/>
  <c r="AS1040" i="1"/>
  <c r="AS982" i="1"/>
  <c r="AS953" i="1"/>
  <c r="AS965" i="1"/>
  <c r="AS998" i="1"/>
  <c r="AS995" i="1"/>
  <c r="AS981" i="1"/>
  <c r="AS978" i="1"/>
  <c r="AS974" i="1"/>
  <c r="AS944" i="1"/>
  <c r="AS932" i="1"/>
  <c r="AS925" i="1"/>
  <c r="AS1038" i="1"/>
  <c r="AS917" i="1"/>
  <c r="AS913" i="1"/>
  <c r="AS928" i="1"/>
  <c r="AS924" i="1"/>
  <c r="AS973" i="1"/>
  <c r="AS945" i="1"/>
  <c r="AS916" i="1"/>
  <c r="AS950" i="1"/>
  <c r="AS912" i="1"/>
  <c r="AS909" i="1"/>
  <c r="AS1049" i="1"/>
  <c r="AS1045" i="1"/>
  <c r="AN1039" i="1"/>
  <c r="AN940" i="1"/>
  <c r="AN991" i="1"/>
  <c r="AN977" i="1"/>
  <c r="AN964" i="1"/>
  <c r="AN1010" i="1"/>
  <c r="AN1009" i="1"/>
  <c r="AN953" i="1"/>
  <c r="W953" i="1" s="1"/>
  <c r="AN962" i="1"/>
  <c r="AN1052" i="1"/>
  <c r="AN926" i="1"/>
  <c r="AN1047" i="1"/>
  <c r="AN1012" i="1"/>
  <c r="AN1007" i="1"/>
  <c r="AN1000" i="1"/>
  <c r="W1000" i="1" s="1"/>
  <c r="AN1046" i="1"/>
  <c r="AN944" i="1"/>
  <c r="AN963" i="1"/>
  <c r="AN1041" i="1"/>
  <c r="AN1002" i="1"/>
  <c r="W1002" i="1" s="1"/>
  <c r="AN1048" i="1"/>
  <c r="AN1043" i="1"/>
  <c r="W1043" i="1" s="1"/>
  <c r="AN1008" i="1"/>
  <c r="P1008" i="1"/>
  <c r="S1008" i="1" s="1"/>
  <c r="C943" i="1"/>
  <c r="C968" i="1"/>
  <c r="C1037" i="1"/>
  <c r="C1041" i="1"/>
  <c r="O995" i="1"/>
  <c r="P1055" i="1"/>
  <c r="O1039" i="1"/>
  <c r="O942" i="1"/>
  <c r="C1039" i="1"/>
  <c r="C996" i="1"/>
  <c r="AN1013" i="1"/>
  <c r="C1013" i="1"/>
  <c r="C1051" i="1"/>
  <c r="C958" i="1"/>
  <c r="C1040" i="1"/>
  <c r="AN935" i="1"/>
  <c r="P910" i="1"/>
  <c r="S910" i="1" s="1"/>
  <c r="AN967" i="1"/>
  <c r="AN954" i="1"/>
  <c r="P1011" i="1"/>
  <c r="C1005" i="1"/>
  <c r="C1001" i="1"/>
  <c r="C976" i="1"/>
  <c r="AS1013" i="1"/>
  <c r="C914" i="1"/>
  <c r="P997" i="1"/>
  <c r="S997" i="1" s="1"/>
  <c r="O961" i="1"/>
  <c r="C1056" i="1"/>
  <c r="O1053" i="1"/>
  <c r="AN1045" i="1"/>
  <c r="AN938" i="1"/>
  <c r="AN998" i="1"/>
  <c r="P995" i="1"/>
  <c r="C951" i="1"/>
  <c r="O1038" i="1"/>
  <c r="AN923" i="1"/>
  <c r="AN919" i="1"/>
  <c r="AN915" i="1"/>
  <c r="C970" i="1"/>
  <c r="O1008" i="1"/>
  <c r="AN934" i="1"/>
  <c r="P945" i="1"/>
  <c r="S945" i="1" s="1"/>
  <c r="P988" i="1"/>
  <c r="S988" i="1" s="1"/>
  <c r="P967" i="1"/>
  <c r="S967" i="1" s="1"/>
  <c r="C955" i="1"/>
  <c r="P977" i="1"/>
  <c r="S977" i="1" s="1"/>
  <c r="AN975" i="1"/>
  <c r="O970" i="1"/>
  <c r="C960" i="1"/>
  <c r="C1046" i="1"/>
  <c r="AN1040" i="1"/>
  <c r="P1009" i="1"/>
  <c r="S1009" i="1" s="1"/>
  <c r="AN932" i="1"/>
  <c r="AN930" i="1"/>
  <c r="AN941" i="1"/>
  <c r="W941" i="1" s="1"/>
  <c r="P975" i="1"/>
  <c r="S975" i="1" s="1"/>
  <c r="P965" i="1"/>
  <c r="O962" i="1"/>
  <c r="P957" i="1"/>
  <c r="S957" i="1" s="1"/>
  <c r="O1057" i="1"/>
  <c r="P1048" i="1"/>
  <c r="C1010" i="1"/>
  <c r="O982" i="1"/>
  <c r="O975" i="1"/>
  <c r="AN974" i="1"/>
  <c r="O965" i="1"/>
  <c r="C950" i="1"/>
  <c r="O1048" i="1"/>
  <c r="AN1038" i="1"/>
  <c r="P963" i="1"/>
  <c r="S963" i="1" s="1"/>
  <c r="P912" i="1"/>
  <c r="S912" i="1" s="1"/>
  <c r="C981" i="1"/>
  <c r="O966" i="1"/>
  <c r="C964" i="1"/>
  <c r="O963" i="1"/>
  <c r="AN961" i="1"/>
  <c r="P935" i="1"/>
  <c r="P942" i="1"/>
  <c r="S942" i="1" s="1"/>
  <c r="C938" i="1"/>
  <c r="AN959" i="1"/>
  <c r="W959" i="1" s="1"/>
  <c r="AS1041" i="1"/>
  <c r="O1005" i="1"/>
  <c r="AS948" i="1"/>
  <c r="AN929" i="1"/>
  <c r="O998" i="1"/>
  <c r="AN976" i="1"/>
  <c r="O1054" i="1"/>
  <c r="P1040" i="1"/>
  <c r="S1040" i="1" s="1"/>
  <c r="C1012" i="1"/>
  <c r="O1011" i="1"/>
  <c r="P1007" i="1"/>
  <c r="S1007" i="1" s="1"/>
  <c r="AN942" i="1"/>
  <c r="O937" i="1"/>
  <c r="AN936" i="1"/>
  <c r="P976" i="1"/>
  <c r="S976" i="1" s="1"/>
  <c r="P973" i="1"/>
  <c r="AN968" i="1"/>
  <c r="C1044" i="1"/>
  <c r="C1008" i="1"/>
  <c r="O1007" i="1"/>
  <c r="AN1006" i="1"/>
  <c r="W1006" i="1" s="1"/>
  <c r="C911" i="1"/>
  <c r="O910" i="1"/>
  <c r="C977" i="1"/>
  <c r="O976" i="1"/>
  <c r="O973" i="1"/>
  <c r="AN965" i="1"/>
  <c r="C954" i="1"/>
  <c r="O953" i="1"/>
  <c r="AN1051" i="1"/>
  <c r="C1050" i="1"/>
  <c r="C1009" i="1"/>
  <c r="P949" i="1"/>
  <c r="S949" i="1" s="1"/>
  <c r="AN922" i="1"/>
  <c r="AS1005" i="1"/>
  <c r="C1000" i="1"/>
  <c r="O949" i="1"/>
  <c r="AN946" i="1"/>
  <c r="AN943" i="1"/>
  <c r="AN920" i="1"/>
  <c r="AN916" i="1"/>
  <c r="O999" i="1"/>
  <c r="P980" i="1"/>
  <c r="S980" i="1" s="1"/>
  <c r="C978" i="1"/>
  <c r="O977" i="1"/>
  <c r="O957" i="1"/>
  <c r="O954" i="1"/>
  <c r="P951" i="1"/>
  <c r="S951" i="1" s="1"/>
  <c r="P1047" i="1"/>
  <c r="S1047" i="1" s="1"/>
  <c r="O1004" i="1"/>
  <c r="P943" i="1"/>
  <c r="S943" i="1" s="1"/>
  <c r="O994" i="1"/>
  <c r="O980" i="1"/>
  <c r="AN966" i="1"/>
  <c r="AN958" i="1"/>
  <c r="O951" i="1"/>
  <c r="C1057" i="1"/>
  <c r="P1056" i="1"/>
  <c r="O1047" i="1"/>
  <c r="AN1037" i="1"/>
  <c r="W1037" i="1" s="1"/>
  <c r="C923" i="1"/>
  <c r="AN914" i="1"/>
  <c r="O992" i="1"/>
  <c r="P985" i="1"/>
  <c r="C952" i="1"/>
  <c r="AN1057" i="1"/>
  <c r="C1043" i="1"/>
  <c r="C1038" i="1"/>
  <c r="O1037" i="1"/>
  <c r="O1010" i="1"/>
  <c r="P1052" i="1"/>
  <c r="S1052" i="1" s="1"/>
  <c r="C1049" i="1"/>
  <c r="C1048" i="1"/>
  <c r="O1046" i="1"/>
  <c r="P1044" i="1"/>
  <c r="S1044" i="1" s="1"/>
  <c r="AS1057" i="1"/>
  <c r="O1052" i="1"/>
  <c r="C1047" i="1"/>
  <c r="O1045" i="1"/>
  <c r="AN1044" i="1"/>
  <c r="O1044" i="1"/>
  <c r="AS1010" i="1"/>
  <c r="O1006" i="1"/>
  <c r="AS994" i="1"/>
  <c r="AN950" i="1"/>
  <c r="C957" i="1"/>
  <c r="AS990" i="1"/>
  <c r="C989" i="1"/>
  <c r="AS937" i="1"/>
  <c r="P996" i="1"/>
  <c r="S996" i="1" s="1"/>
  <c r="C987" i="1"/>
  <c r="P964" i="1"/>
  <c r="S964" i="1" s="1"/>
  <c r="P1042" i="1"/>
  <c r="P1013" i="1"/>
  <c r="P1012" i="1"/>
  <c r="S1012" i="1" s="1"/>
  <c r="C937" i="1"/>
  <c r="C948" i="1"/>
  <c r="P941" i="1"/>
  <c r="S941" i="1" s="1"/>
  <c r="C924" i="1"/>
  <c r="O996" i="1"/>
  <c r="C991" i="1"/>
  <c r="AN989" i="1"/>
  <c r="P984" i="1"/>
  <c r="S984" i="1" s="1"/>
  <c r="C979" i="1"/>
  <c r="O978" i="1"/>
  <c r="O974" i="1"/>
  <c r="C972" i="1"/>
  <c r="O958" i="1"/>
  <c r="C1045" i="1"/>
  <c r="O1042" i="1"/>
  <c r="O948" i="1"/>
  <c r="C922" i="1"/>
  <c r="P993" i="1"/>
  <c r="S993" i="1" s="1"/>
  <c r="AS991" i="1"/>
  <c r="O984" i="1"/>
  <c r="P981" i="1"/>
  <c r="C966" i="1"/>
  <c r="P961" i="1"/>
  <c r="S961" i="1" s="1"/>
  <c r="C1054" i="1"/>
  <c r="C1053" i="1"/>
  <c r="P1046" i="1"/>
  <c r="S1046" i="1" s="1"/>
  <c r="O1043" i="1"/>
  <c r="AS1009" i="1"/>
  <c r="C1006" i="1"/>
  <c r="AS1039" i="1"/>
  <c r="AS1011" i="1"/>
  <c r="AN1042" i="1"/>
  <c r="C1042" i="1"/>
  <c r="AN1011" i="1"/>
  <c r="C1011" i="1"/>
  <c r="O1051" i="1"/>
  <c r="P1051" i="1"/>
  <c r="S1051" i="1" s="1"/>
  <c r="P1049" i="1"/>
  <c r="S1049" i="1" s="1"/>
  <c r="O1049" i="1"/>
  <c r="AN1055" i="1"/>
  <c r="C1055" i="1"/>
  <c r="P1050" i="1"/>
  <c r="S1050" i="1" s="1"/>
  <c r="C1052" i="1"/>
  <c r="O1050" i="1"/>
  <c r="AS1043" i="1"/>
  <c r="C1007" i="1"/>
  <c r="AS1008" i="1"/>
  <c r="P1054" i="1"/>
  <c r="O1041" i="1"/>
  <c r="P1038" i="1"/>
  <c r="AS1044" i="1"/>
  <c r="AS1012" i="1"/>
  <c r="AS1051" i="1"/>
  <c r="AS1048" i="1"/>
  <c r="AS1050" i="1"/>
  <c r="AS1047" i="1"/>
  <c r="AS1055" i="1"/>
  <c r="C997" i="1"/>
  <c r="C993" i="1"/>
  <c r="AN993" i="1"/>
  <c r="O989" i="1"/>
  <c r="P989" i="1"/>
  <c r="S989" i="1" s="1"/>
  <c r="C984" i="1"/>
  <c r="AN984" i="1"/>
  <c r="AN983" i="1"/>
  <c r="C983" i="1"/>
  <c r="O911" i="1"/>
  <c r="P990" i="1"/>
  <c r="S990" i="1" s="1"/>
  <c r="C1004" i="1"/>
  <c r="AN1004" i="1"/>
  <c r="C985" i="1"/>
  <c r="AN985" i="1"/>
  <c r="AS975" i="1"/>
  <c r="AS941" i="1"/>
  <c r="O979" i="1"/>
  <c r="P979" i="1"/>
  <c r="S979" i="1" s="1"/>
  <c r="O923" i="1"/>
  <c r="P923" i="1"/>
  <c r="S923" i="1" s="1"/>
  <c r="AN995" i="1"/>
  <c r="C995" i="1"/>
  <c r="O969" i="1"/>
  <c r="P969" i="1"/>
  <c r="S969" i="1" s="1"/>
  <c r="C986" i="1"/>
  <c r="AN986" i="1"/>
  <c r="W986" i="1" s="1"/>
  <c r="C980" i="1"/>
  <c r="AN980" i="1"/>
  <c r="O956" i="1"/>
  <c r="P956" i="1"/>
  <c r="S956" i="1" s="1"/>
  <c r="C994" i="1"/>
  <c r="AN994" i="1"/>
  <c r="O931" i="1"/>
  <c r="P931" i="1"/>
  <c r="S931" i="1" s="1"/>
  <c r="P920" i="1"/>
  <c r="S920" i="1" s="1"/>
  <c r="O991" i="1"/>
  <c r="AN981" i="1"/>
  <c r="C945" i="1"/>
  <c r="P968" i="1"/>
  <c r="O967" i="1"/>
  <c r="O1000" i="1"/>
  <c r="P939" i="1"/>
  <c r="S939" i="1" s="1"/>
  <c r="C931" i="1"/>
  <c r="C915" i="1"/>
  <c r="C990" i="1"/>
  <c r="C925" i="1"/>
  <c r="AS933" i="1"/>
  <c r="C939" i="1"/>
  <c r="C928" i="1"/>
  <c r="C917" i="1"/>
  <c r="AN925" i="1"/>
  <c r="AS940" i="1"/>
  <c r="C998" i="1"/>
  <c r="C982" i="1"/>
  <c r="C974" i="1"/>
  <c r="P971" i="1"/>
  <c r="S971" i="1" s="1"/>
  <c r="C962" i="1"/>
  <c r="P959" i="1"/>
  <c r="S959" i="1" s="1"/>
  <c r="AN957" i="1"/>
  <c r="W957" i="1" s="1"/>
  <c r="P999" i="1"/>
  <c r="S999" i="1" s="1"/>
  <c r="P972" i="1"/>
  <c r="O971" i="1"/>
  <c r="P960" i="1"/>
  <c r="S960" i="1" s="1"/>
  <c r="O959" i="1"/>
  <c r="AS996" i="1"/>
  <c r="P950" i="1"/>
  <c r="P987" i="1"/>
  <c r="S987" i="1" s="1"/>
  <c r="AS984" i="1"/>
  <c r="C992" i="1"/>
  <c r="O990" i="1"/>
  <c r="V990" i="1" s="1"/>
  <c r="O987" i="1"/>
  <c r="C973" i="1"/>
  <c r="AS972" i="1"/>
  <c r="C969" i="1"/>
  <c r="AS968" i="1"/>
  <c r="C965" i="1"/>
  <c r="AS964" i="1"/>
  <c r="C961" i="1"/>
  <c r="AS960" i="1"/>
  <c r="AS992" i="1"/>
  <c r="C975" i="1"/>
  <c r="C971" i="1"/>
  <c r="C967" i="1"/>
  <c r="C963" i="1"/>
  <c r="C959" i="1"/>
  <c r="C956" i="1"/>
  <c r="AS955" i="1"/>
  <c r="C953" i="1"/>
  <c r="AS951" i="1"/>
  <c r="AS985" i="1"/>
  <c r="AS971" i="1"/>
  <c r="AS967" i="1"/>
  <c r="AS963" i="1"/>
  <c r="AS959" i="1"/>
  <c r="AS956" i="1"/>
  <c r="AS952" i="1"/>
  <c r="AS999" i="1"/>
  <c r="P955" i="1"/>
  <c r="S955" i="1" s="1"/>
  <c r="AS976" i="1"/>
  <c r="P983" i="1"/>
  <c r="S983" i="1" s="1"/>
  <c r="AS979" i="1"/>
  <c r="C988" i="1"/>
  <c r="O986" i="1"/>
  <c r="O983" i="1"/>
  <c r="C999" i="1"/>
  <c r="P991" i="1"/>
  <c r="AS988" i="1"/>
  <c r="O955" i="1"/>
  <c r="P952" i="1"/>
  <c r="S952" i="1" s="1"/>
  <c r="AN948" i="1"/>
  <c r="W948" i="1" s="1"/>
  <c r="C935" i="1"/>
  <c r="P934" i="1"/>
  <c r="S934" i="1" s="1"/>
  <c r="O933" i="1"/>
  <c r="O922" i="1"/>
  <c r="AS921" i="1"/>
  <c r="O914" i="1"/>
  <c r="C912" i="1"/>
  <c r="P922" i="1"/>
  <c r="S922" i="1" s="1"/>
  <c r="P914" i="1"/>
  <c r="P1000" i="1"/>
  <c r="AS929" i="1"/>
  <c r="P927" i="1"/>
  <c r="S927" i="1" s="1"/>
  <c r="C940" i="1"/>
  <c r="P1001" i="1"/>
  <c r="S1001" i="1" s="1"/>
  <c r="AN924" i="1"/>
  <c r="O918" i="1"/>
  <c r="C921" i="1"/>
  <c r="C920" i="1"/>
  <c r="AN921" i="1"/>
  <c r="P918" i="1"/>
  <c r="S918" i="1" s="1"/>
  <c r="C916" i="1"/>
  <c r="AS1002" i="1"/>
  <c r="C1002" i="1"/>
  <c r="O1001" i="1"/>
  <c r="AN945" i="1"/>
  <c r="C941" i="1"/>
  <c r="AN939" i="1"/>
  <c r="AN928" i="1"/>
  <c r="C919" i="1"/>
  <c r="AN917" i="1"/>
  <c r="W917" i="1" s="1"/>
  <c r="P916" i="1"/>
  <c r="S916" i="1" s="1"/>
  <c r="C910" i="1"/>
  <c r="C933" i="1"/>
  <c r="AN931" i="1"/>
  <c r="AS920" i="1"/>
  <c r="C913" i="1"/>
  <c r="C929" i="1"/>
  <c r="O930" i="1"/>
  <c r="C909" i="1"/>
  <c r="AS939" i="1"/>
  <c r="P921" i="1"/>
  <c r="S921" i="1" s="1"/>
  <c r="P940" i="1"/>
  <c r="S940" i="1" s="1"/>
  <c r="O940" i="1"/>
  <c r="C936" i="1"/>
  <c r="AS938" i="1"/>
  <c r="P909" i="1"/>
  <c r="P938" i="1"/>
  <c r="S938" i="1" s="1"/>
  <c r="AS935" i="1"/>
  <c r="AS915" i="1"/>
  <c r="O938" i="1"/>
  <c r="O929" i="1"/>
  <c r="P925" i="1"/>
  <c r="AS923" i="1"/>
  <c r="AS922" i="1"/>
  <c r="P917" i="1"/>
  <c r="S917" i="1" s="1"/>
  <c r="AS914" i="1"/>
  <c r="C946" i="1"/>
  <c r="C944" i="1"/>
  <c r="P936" i="1"/>
  <c r="S936" i="1" s="1"/>
  <c r="O936" i="1"/>
  <c r="C934" i="1"/>
  <c r="C932" i="1"/>
  <c r="C927" i="1"/>
  <c r="P946" i="1"/>
  <c r="S946" i="1" s="1"/>
  <c r="AS943" i="1"/>
  <c r="AS931" i="1"/>
  <c r="C926" i="1"/>
  <c r="O946" i="1"/>
  <c r="AN937" i="1"/>
  <c r="AS936" i="1"/>
  <c r="O934" i="1"/>
  <c r="C930" i="1"/>
  <c r="AS926" i="1"/>
  <c r="AS911" i="1"/>
  <c r="P932" i="1"/>
  <c r="S932" i="1" s="1"/>
  <c r="O932" i="1"/>
  <c r="AS930" i="1"/>
  <c r="P926" i="1"/>
  <c r="S926" i="1" s="1"/>
  <c r="C918" i="1"/>
  <c r="P913" i="1"/>
  <c r="S913" i="1" s="1"/>
  <c r="AS946" i="1"/>
  <c r="AS934" i="1"/>
  <c r="AS927" i="1"/>
  <c r="O944" i="1"/>
  <c r="P944" i="1"/>
  <c r="S944" i="1" s="1"/>
  <c r="C942" i="1"/>
  <c r="AS942" i="1"/>
  <c r="P930" i="1"/>
  <c r="S930" i="1" s="1"/>
  <c r="O926" i="1"/>
  <c r="O921" i="1"/>
  <c r="AS919" i="1"/>
  <c r="AS918" i="1"/>
  <c r="P919" i="1"/>
  <c r="P915" i="1"/>
  <c r="S915" i="1" s="1"/>
  <c r="P911" i="1"/>
  <c r="S911" i="1" s="1"/>
  <c r="P928" i="1"/>
  <c r="O924" i="1"/>
  <c r="O920" i="1"/>
  <c r="AS1001" i="1"/>
  <c r="C1003" i="1"/>
  <c r="P1003" i="1"/>
  <c r="S1003" i="1" s="1"/>
  <c r="O1003" i="1"/>
  <c r="O1002" i="1"/>
  <c r="C949" i="1"/>
  <c r="AS1003" i="1"/>
  <c r="AS949" i="1"/>
  <c r="AS1004" i="1"/>
  <c r="AS1000" i="1"/>
  <c r="V1005" i="1" l="1"/>
  <c r="AB1005" i="1" s="1"/>
  <c r="V962" i="1"/>
  <c r="AB962" i="1" s="1"/>
  <c r="AC962" i="1" s="1"/>
  <c r="V934" i="1"/>
  <c r="AB934" i="1" s="1"/>
  <c r="V977" i="1"/>
  <c r="AB977" i="1" s="1"/>
  <c r="V1038" i="1"/>
  <c r="AB1038" i="1" s="1"/>
  <c r="V1011" i="1"/>
  <c r="AB1011" i="1" s="1"/>
  <c r="AC1011" i="1" s="1"/>
  <c r="V1053" i="1"/>
  <c r="AB1053" i="1" s="1"/>
  <c r="AC1053" i="1" s="1"/>
  <c r="V1012" i="1"/>
  <c r="AB1012" i="1" s="1"/>
  <c r="AC1012" i="1" s="1"/>
  <c r="V940" i="1"/>
  <c r="AB940" i="1" s="1"/>
  <c r="AC940" i="1" s="1"/>
  <c r="V966" i="1"/>
  <c r="AB966" i="1" s="1"/>
  <c r="AC966" i="1" s="1"/>
  <c r="V994" i="1"/>
  <c r="AB994" i="1" s="1"/>
  <c r="V929" i="1"/>
  <c r="AB929" i="1" s="1"/>
  <c r="V984" i="1"/>
  <c r="AB984" i="1" s="1"/>
  <c r="V1002" i="1"/>
  <c r="AB1002" i="1" s="1"/>
  <c r="V983" i="1"/>
  <c r="AB983" i="1" s="1"/>
  <c r="AC983" i="1" s="1"/>
  <c r="V943" i="1"/>
  <c r="AB943" i="1" s="1"/>
  <c r="V1044" i="1"/>
  <c r="AB1044" i="1" s="1"/>
  <c r="V946" i="1"/>
  <c r="AB946" i="1" s="1"/>
  <c r="AC946" i="1" s="1"/>
  <c r="V957" i="1"/>
  <c r="AB957" i="1" s="1"/>
  <c r="V1040" i="1"/>
  <c r="AB1040" i="1" s="1"/>
  <c r="AC1040" i="1" s="1"/>
  <c r="V944" i="1"/>
  <c r="AB944" i="1" s="1"/>
  <c r="V1050" i="1"/>
  <c r="AB1050" i="1" s="1"/>
  <c r="AC1050" i="1" s="1"/>
  <c r="V916" i="1"/>
  <c r="AB916" i="1" s="1"/>
  <c r="V935" i="1"/>
  <c r="AB935" i="1" s="1"/>
  <c r="V950" i="1"/>
  <c r="AB950" i="1" s="1"/>
  <c r="AC950" i="1" s="1"/>
  <c r="V937" i="1"/>
  <c r="AB937" i="1" s="1"/>
  <c r="AC937" i="1" s="1"/>
  <c r="V970" i="1"/>
  <c r="AB970" i="1" s="1"/>
  <c r="V945" i="1"/>
  <c r="AB945" i="1" s="1"/>
  <c r="V933" i="1"/>
  <c r="AB933" i="1" s="1"/>
  <c r="V976" i="1"/>
  <c r="AB976" i="1" s="1"/>
  <c r="V989" i="1"/>
  <c r="AB989" i="1" s="1"/>
  <c r="V958" i="1"/>
  <c r="AB958" i="1" s="1"/>
  <c r="V1013" i="1"/>
  <c r="AB1013" i="1" s="1"/>
  <c r="V996" i="1"/>
  <c r="AB996" i="1" s="1"/>
  <c r="V948" i="1"/>
  <c r="AB948" i="1" s="1"/>
  <c r="V985" i="1"/>
  <c r="AB985" i="1" s="1"/>
  <c r="AC985" i="1" s="1"/>
  <c r="V973" i="1"/>
  <c r="AB973" i="1" s="1"/>
  <c r="V1001" i="1"/>
  <c r="AB1001" i="1" s="1"/>
  <c r="AC1001" i="1" s="1"/>
  <c r="V971" i="1"/>
  <c r="AB971" i="1" s="1"/>
  <c r="V1006" i="1"/>
  <c r="AB1006" i="1" s="1"/>
  <c r="AC1006" i="1" s="1"/>
  <c r="V910" i="1"/>
  <c r="AB910" i="1" s="1"/>
  <c r="V941" i="1"/>
  <c r="AB941" i="1" s="1"/>
  <c r="AC941" i="1" s="1"/>
  <c r="V1047" i="1"/>
  <c r="AB1047" i="1" s="1"/>
  <c r="V955" i="1"/>
  <c r="AB955" i="1" s="1"/>
  <c r="V1007" i="1"/>
  <c r="AB1007" i="1" s="1"/>
  <c r="AC1007" i="1" s="1"/>
  <c r="V926" i="1"/>
  <c r="AB926" i="1" s="1"/>
  <c r="V986" i="1"/>
  <c r="AB986" i="1" s="1"/>
  <c r="V923" i="1"/>
  <c r="AB923" i="1" s="1"/>
  <c r="AC923" i="1" s="1"/>
  <c r="V1054" i="1"/>
  <c r="AB1054" i="1" s="1"/>
  <c r="AC1054" i="1" s="1"/>
  <c r="V997" i="1"/>
  <c r="AB997" i="1" s="1"/>
  <c r="AC997" i="1" s="1"/>
  <c r="V932" i="1"/>
  <c r="AB932" i="1" s="1"/>
  <c r="AC932" i="1" s="1"/>
  <c r="V1052" i="1"/>
  <c r="AB1052" i="1" s="1"/>
  <c r="V980" i="1"/>
  <c r="AB980" i="1" s="1"/>
  <c r="V953" i="1"/>
  <c r="AB953" i="1" s="1"/>
  <c r="V928" i="1"/>
  <c r="AB928" i="1" s="1"/>
  <c r="V1057" i="1"/>
  <c r="AB1057" i="1" s="1"/>
  <c r="V920" i="1"/>
  <c r="AB920" i="1" s="1"/>
  <c r="AC920" i="1" s="1"/>
  <c r="V967" i="1"/>
  <c r="AB967" i="1" s="1"/>
  <c r="AC967" i="1" s="1"/>
  <c r="V1010" i="1"/>
  <c r="AB1010" i="1" s="1"/>
  <c r="V978" i="1"/>
  <c r="AB978" i="1" s="1"/>
  <c r="V1037" i="1"/>
  <c r="AB1037" i="1" s="1"/>
  <c r="V1041" i="1"/>
  <c r="AB1041" i="1" s="1"/>
  <c r="AC1041" i="1" s="1"/>
  <c r="V1043" i="1"/>
  <c r="AB1043" i="1" s="1"/>
  <c r="V1004" i="1"/>
  <c r="AB1004" i="1" s="1"/>
  <c r="V1009" i="1"/>
  <c r="AB1009" i="1" s="1"/>
  <c r="AB990" i="1"/>
  <c r="AC990" i="1" s="1"/>
  <c r="V931" i="1"/>
  <c r="AB931" i="1" s="1"/>
  <c r="AC931" i="1" s="1"/>
  <c r="V922" i="1"/>
  <c r="AB922" i="1" s="1"/>
  <c r="V965" i="1"/>
  <c r="AB965" i="1" s="1"/>
  <c r="AC965" i="1" s="1"/>
  <c r="V956" i="1"/>
  <c r="AB956" i="1" s="1"/>
  <c r="V995" i="1"/>
  <c r="AB995" i="1" s="1"/>
  <c r="V924" i="1"/>
  <c r="AB924" i="1" s="1"/>
  <c r="AC924" i="1" s="1"/>
  <c r="V1042" i="1"/>
  <c r="AB1042" i="1" s="1"/>
  <c r="AC1042" i="1" s="1"/>
  <c r="V1046" i="1"/>
  <c r="AB1046" i="1" s="1"/>
  <c r="V998" i="1"/>
  <c r="AB998" i="1" s="1"/>
  <c r="V963" i="1"/>
  <c r="AB963" i="1" s="1"/>
  <c r="V982" i="1"/>
  <c r="AB982" i="1" s="1"/>
  <c r="V961" i="1"/>
  <c r="AB961" i="1" s="1"/>
  <c r="AC961" i="1" s="1"/>
  <c r="V913" i="1"/>
  <c r="AB913" i="1" s="1"/>
  <c r="AC913" i="1" s="1"/>
  <c r="V1056" i="1"/>
  <c r="AB1056" i="1" s="1"/>
  <c r="AC1056" i="1" s="1"/>
  <c r="V918" i="1"/>
  <c r="AB918" i="1" s="1"/>
  <c r="AC918" i="1" s="1"/>
  <c r="V979" i="1"/>
  <c r="AB979" i="1" s="1"/>
  <c r="AC979" i="1" s="1"/>
  <c r="V936" i="1"/>
  <c r="AB936" i="1" s="1"/>
  <c r="V949" i="1"/>
  <c r="V915" i="1"/>
  <c r="AB915" i="1" s="1"/>
  <c r="V972" i="1"/>
  <c r="AB972" i="1" s="1"/>
  <c r="AC972" i="1" s="1"/>
  <c r="V991" i="1"/>
  <c r="AB991" i="1" s="1"/>
  <c r="AC991" i="1" s="1"/>
  <c r="V1051" i="1"/>
  <c r="AB1051" i="1" s="1"/>
  <c r="V954" i="1"/>
  <c r="AB954" i="1" s="1"/>
  <c r="AC954" i="1" s="1"/>
  <c r="V917" i="1"/>
  <c r="AB917" i="1" s="1"/>
  <c r="V952" i="1"/>
  <c r="AB952" i="1" s="1"/>
  <c r="AC952" i="1" s="1"/>
  <c r="V987" i="1"/>
  <c r="AB987" i="1" s="1"/>
  <c r="V969" i="1"/>
  <c r="AB969" i="1" s="1"/>
  <c r="V974" i="1"/>
  <c r="AB974" i="1" s="1"/>
  <c r="V919" i="1"/>
  <c r="AB919" i="1" s="1"/>
  <c r="AC919" i="1" s="1"/>
  <c r="V981" i="1"/>
  <c r="AB981" i="1" s="1"/>
  <c r="AC981" i="1" s="1"/>
  <c r="V951" i="1"/>
  <c r="AB951" i="1" s="1"/>
  <c r="AP949" i="1"/>
  <c r="AQ949" i="1" s="1"/>
  <c r="V1003" i="1"/>
  <c r="AB1003" i="1" s="1"/>
  <c r="V921" i="1"/>
  <c r="AB921" i="1" s="1"/>
  <c r="AC921" i="1" s="1"/>
  <c r="V914" i="1"/>
  <c r="AB914" i="1" s="1"/>
  <c r="V1045" i="1"/>
  <c r="AB1045" i="1" s="1"/>
  <c r="AC1045" i="1" s="1"/>
  <c r="V1048" i="1"/>
  <c r="AB1048" i="1" s="1"/>
  <c r="V942" i="1"/>
  <c r="AB942" i="1" s="1"/>
  <c r="V925" i="1"/>
  <c r="AB925" i="1" s="1"/>
  <c r="V960" i="1"/>
  <c r="AB960" i="1" s="1"/>
  <c r="V911" i="1"/>
  <c r="AB911" i="1" s="1"/>
  <c r="V999" i="1"/>
  <c r="AB999" i="1" s="1"/>
  <c r="V1039" i="1"/>
  <c r="AB1039" i="1" s="1"/>
  <c r="V927" i="1"/>
  <c r="AB927" i="1" s="1"/>
  <c r="V988" i="1"/>
  <c r="AB988" i="1" s="1"/>
  <c r="AC988" i="1" s="1"/>
  <c r="V993" i="1"/>
  <c r="AB993" i="1" s="1"/>
  <c r="AC993" i="1" s="1"/>
  <c r="V939" i="1"/>
  <c r="AB939" i="1" s="1"/>
  <c r="AC939" i="1" s="1"/>
  <c r="V964" i="1"/>
  <c r="AB964" i="1" s="1"/>
  <c r="V1000" i="1"/>
  <c r="AB1000" i="1" s="1"/>
  <c r="V909" i="1"/>
  <c r="AB909" i="1" s="1"/>
  <c r="V938" i="1"/>
  <c r="AB938" i="1" s="1"/>
  <c r="V930" i="1"/>
  <c r="AB930" i="1" s="1"/>
  <c r="AC930" i="1" s="1"/>
  <c r="V959" i="1"/>
  <c r="AB959" i="1" s="1"/>
  <c r="V1049" i="1"/>
  <c r="AB1049" i="1" s="1"/>
  <c r="V992" i="1"/>
  <c r="AB992" i="1" s="1"/>
  <c r="AC992" i="1" s="1"/>
  <c r="V975" i="1"/>
  <c r="AB975" i="1" s="1"/>
  <c r="V1008" i="1"/>
  <c r="AB1008" i="1" s="1"/>
  <c r="V912" i="1"/>
  <c r="AB912" i="1" s="1"/>
  <c r="V1055" i="1"/>
  <c r="AB1055" i="1" s="1"/>
  <c r="AC1055" i="1" s="1"/>
  <c r="V968" i="1"/>
  <c r="AB968" i="1" s="1"/>
  <c r="AP910" i="1"/>
  <c r="AQ910" i="1" s="1"/>
  <c r="AP969" i="1"/>
  <c r="AQ969" i="1" s="1"/>
  <c r="AP982" i="1"/>
  <c r="AQ982" i="1" s="1"/>
  <c r="AP990" i="1"/>
  <c r="AQ990" i="1" s="1"/>
  <c r="AP952" i="1"/>
  <c r="AQ952" i="1" s="1"/>
  <c r="AP978" i="1"/>
  <c r="AQ978" i="1" s="1"/>
  <c r="AP927" i="1"/>
  <c r="AQ927" i="1" s="1"/>
  <c r="AP1053" i="1"/>
  <c r="AQ1053" i="1" s="1"/>
  <c r="AP996" i="1"/>
  <c r="AQ996" i="1" s="1"/>
  <c r="AP1056" i="1"/>
  <c r="AQ1056" i="1" s="1"/>
  <c r="AP1054" i="1"/>
  <c r="AQ1054" i="1" s="1"/>
  <c r="AP999" i="1"/>
  <c r="AQ999" i="1" s="1"/>
  <c r="AP973" i="1"/>
  <c r="AQ973" i="1" s="1"/>
  <c r="AP912" i="1"/>
  <c r="AQ912" i="1" s="1"/>
  <c r="AP955" i="1"/>
  <c r="AQ955" i="1" s="1"/>
  <c r="AP1001" i="1"/>
  <c r="AQ1001" i="1" s="1"/>
  <c r="AP987" i="1"/>
  <c r="AQ987" i="1" s="1"/>
  <c r="AP909" i="1"/>
  <c r="AQ909" i="1" s="1"/>
  <c r="AP988" i="1"/>
  <c r="AQ988" i="1" s="1"/>
  <c r="AP970" i="1"/>
  <c r="AQ970" i="1" s="1"/>
  <c r="AP1003" i="1"/>
  <c r="AQ1003" i="1" s="1"/>
  <c r="AP956" i="1"/>
  <c r="AQ956" i="1" s="1"/>
  <c r="AP913" i="1"/>
  <c r="AQ913" i="1" s="1"/>
  <c r="AP1049" i="1"/>
  <c r="AQ1049" i="1" s="1"/>
  <c r="AP960" i="1"/>
  <c r="AQ960" i="1" s="1"/>
  <c r="AP911" i="1"/>
  <c r="AQ911" i="1" s="1"/>
  <c r="AP992" i="1"/>
  <c r="AQ992" i="1" s="1"/>
  <c r="AP997" i="1"/>
  <c r="AQ997" i="1" s="1"/>
  <c r="AP918" i="1"/>
  <c r="AQ918" i="1" s="1"/>
  <c r="AP1043" i="1"/>
  <c r="AQ1043" i="1" s="1"/>
  <c r="AP1047" i="1"/>
  <c r="AQ1047" i="1" s="1"/>
  <c r="AP959" i="1"/>
  <c r="AQ959" i="1" s="1"/>
  <c r="AP1048" i="1"/>
  <c r="AQ1048" i="1" s="1"/>
  <c r="AP930" i="1"/>
  <c r="AQ930" i="1" s="1"/>
  <c r="AP1045" i="1"/>
  <c r="AQ1045" i="1" s="1"/>
  <c r="AP1013" i="1"/>
  <c r="AQ1013" i="1" s="1"/>
  <c r="AP1002" i="1"/>
  <c r="AQ1002" i="1" s="1"/>
  <c r="AP1052" i="1"/>
  <c r="AQ1052" i="1" s="1"/>
  <c r="AP977" i="1"/>
  <c r="AQ977" i="1" s="1"/>
  <c r="AP915" i="1"/>
  <c r="AQ915" i="1" s="1"/>
  <c r="AP1041" i="1"/>
  <c r="AQ1041" i="1" s="1"/>
  <c r="AP962" i="1"/>
  <c r="AQ962" i="1" s="1"/>
  <c r="AP929" i="1"/>
  <c r="AQ929" i="1" s="1"/>
  <c r="AP919" i="1"/>
  <c r="AQ919" i="1" s="1"/>
  <c r="AP963" i="1"/>
  <c r="AQ963" i="1" s="1"/>
  <c r="AP942" i="1"/>
  <c r="AQ942" i="1" s="1"/>
  <c r="AP944" i="1"/>
  <c r="AQ944" i="1" s="1"/>
  <c r="AP953" i="1"/>
  <c r="AQ953" i="1" s="1"/>
  <c r="AP935" i="1"/>
  <c r="AQ935" i="1" s="1"/>
  <c r="AP965" i="1"/>
  <c r="AQ965" i="1" s="1"/>
  <c r="AP1009" i="1"/>
  <c r="AQ1009" i="1" s="1"/>
  <c r="AP991" i="1"/>
  <c r="AQ991" i="1" s="1"/>
  <c r="AP1000" i="1"/>
  <c r="AQ1000" i="1" s="1"/>
  <c r="AP961" i="1"/>
  <c r="AQ961" i="1" s="1"/>
  <c r="AP1010" i="1"/>
  <c r="AQ1010" i="1" s="1"/>
  <c r="AP1039" i="1"/>
  <c r="AQ1039" i="1" s="1"/>
  <c r="AP1007" i="1"/>
  <c r="AQ1007" i="1" s="1"/>
  <c r="AP938" i="1"/>
  <c r="AQ938" i="1" s="1"/>
  <c r="AP1008" i="1"/>
  <c r="AQ1008" i="1" s="1"/>
  <c r="AP1012" i="1"/>
  <c r="AQ1012" i="1" s="1"/>
  <c r="AP964" i="1"/>
  <c r="AQ964" i="1" s="1"/>
  <c r="S1055" i="1"/>
  <c r="S981" i="1"/>
  <c r="S995" i="1"/>
  <c r="S1042" i="1"/>
  <c r="S968" i="1"/>
  <c r="S972" i="1"/>
  <c r="S919" i="1"/>
  <c r="S1013" i="1"/>
  <c r="S935" i="1"/>
  <c r="AP928" i="1"/>
  <c r="AQ928" i="1" s="1"/>
  <c r="AP921" i="1"/>
  <c r="AQ921" i="1" s="1"/>
  <c r="AP994" i="1"/>
  <c r="AQ994" i="1" s="1"/>
  <c r="AP950" i="1"/>
  <c r="AQ950" i="1" s="1"/>
  <c r="AP958" i="1"/>
  <c r="AQ958" i="1" s="1"/>
  <c r="AP924" i="1"/>
  <c r="AQ924" i="1" s="1"/>
  <c r="AP983" i="1"/>
  <c r="AQ983" i="1" s="1"/>
  <c r="AP966" i="1"/>
  <c r="AQ966" i="1" s="1"/>
  <c r="AP934" i="1"/>
  <c r="AQ934" i="1" s="1"/>
  <c r="AP939" i="1"/>
  <c r="AQ939" i="1" s="1"/>
  <c r="AP1042" i="1"/>
  <c r="AQ1042" i="1" s="1"/>
  <c r="AP936" i="1"/>
  <c r="AQ936" i="1" s="1"/>
  <c r="AP1040" i="1"/>
  <c r="AQ1040" i="1" s="1"/>
  <c r="AP1044" i="1"/>
  <c r="AQ1044" i="1" s="1"/>
  <c r="AP943" i="1"/>
  <c r="AQ943" i="1" s="1"/>
  <c r="AP1038" i="1"/>
  <c r="AQ1038" i="1" s="1"/>
  <c r="AP946" i="1"/>
  <c r="AQ946" i="1" s="1"/>
  <c r="AP945" i="1"/>
  <c r="AQ945" i="1" s="1"/>
  <c r="AP986" i="1"/>
  <c r="AQ986" i="1" s="1"/>
  <c r="AP937" i="1"/>
  <c r="AQ937" i="1" s="1"/>
  <c r="AP931" i="1"/>
  <c r="AQ931" i="1" s="1"/>
  <c r="AP948" i="1"/>
  <c r="AQ948" i="1" s="1"/>
  <c r="AP1055" i="1"/>
  <c r="AQ1055" i="1" s="1"/>
  <c r="AP1051" i="1"/>
  <c r="AQ1051" i="1" s="1"/>
  <c r="AP968" i="1"/>
  <c r="AQ968" i="1" s="1"/>
  <c r="AP941" i="1"/>
  <c r="AQ941" i="1" s="1"/>
  <c r="AP917" i="1"/>
  <c r="AQ917" i="1" s="1"/>
  <c r="AP925" i="1"/>
  <c r="AQ925" i="1" s="1"/>
  <c r="AP981" i="1"/>
  <c r="AQ981" i="1" s="1"/>
  <c r="AP954" i="1"/>
  <c r="AQ954" i="1" s="1"/>
  <c r="AP995" i="1"/>
  <c r="AQ995" i="1" s="1"/>
  <c r="AP1004" i="1"/>
  <c r="AQ1004" i="1" s="1"/>
  <c r="AP1037" i="1"/>
  <c r="AQ1037" i="1" s="1"/>
  <c r="AP916" i="1"/>
  <c r="AQ916" i="1" s="1"/>
  <c r="AP1006" i="1"/>
  <c r="AQ1006" i="1" s="1"/>
  <c r="AP932" i="1"/>
  <c r="AQ932" i="1" s="1"/>
  <c r="AP998" i="1"/>
  <c r="AQ998" i="1" s="1"/>
  <c r="AP967" i="1"/>
  <c r="AQ967" i="1" s="1"/>
  <c r="AP989" i="1"/>
  <c r="AQ989" i="1" s="1"/>
  <c r="AP920" i="1"/>
  <c r="AQ920" i="1" s="1"/>
  <c r="S1011" i="1"/>
  <c r="S1048" i="1"/>
  <c r="S965" i="1"/>
  <c r="S985" i="1"/>
  <c r="S973" i="1"/>
  <c r="S1056" i="1"/>
  <c r="S1038" i="1"/>
  <c r="S1054" i="1"/>
  <c r="S914" i="1"/>
  <c r="S1000" i="1"/>
  <c r="S991" i="1"/>
  <c r="AS993" i="1"/>
  <c r="S950" i="1"/>
  <c r="AS977" i="1"/>
  <c r="S909" i="1"/>
  <c r="S928" i="1"/>
  <c r="S925" i="1"/>
  <c r="AB949" i="1" l="1"/>
  <c r="AC949" i="1" s="1"/>
  <c r="AP974" i="1"/>
  <c r="AQ974" i="1" s="1"/>
  <c r="AP976" i="1"/>
  <c r="AQ976" i="1" s="1"/>
  <c r="AP975" i="1"/>
  <c r="AQ975" i="1" s="1"/>
  <c r="AE990" i="1"/>
  <c r="AE973" i="1"/>
  <c r="AD996" i="1"/>
  <c r="AE955" i="1"/>
  <c r="AE988" i="1"/>
  <c r="AE999" i="1"/>
  <c r="AE953" i="1"/>
  <c r="AE1000" i="1"/>
  <c r="AE1041" i="1"/>
  <c r="AE963" i="1"/>
  <c r="AE944" i="1"/>
  <c r="AE1008" i="1"/>
  <c r="AE1046" i="1"/>
  <c r="AE991" i="1"/>
  <c r="AE1002" i="1"/>
  <c r="AP940" i="1"/>
  <c r="AQ940" i="1" s="1"/>
  <c r="AE1043" i="1"/>
  <c r="AP926" i="1"/>
  <c r="AQ926" i="1" s="1"/>
  <c r="AP914" i="1"/>
  <c r="AQ914" i="1" s="1"/>
  <c r="AP1046" i="1"/>
  <c r="AQ1046" i="1" s="1"/>
  <c r="AE1045" i="1"/>
  <c r="AE915" i="1"/>
  <c r="AE951" i="1"/>
  <c r="AE926" i="1"/>
  <c r="AE1052" i="1"/>
  <c r="AE960" i="1"/>
  <c r="AE959" i="1"/>
  <c r="AE1005" i="1"/>
  <c r="AP985" i="1"/>
  <c r="AQ985" i="1" s="1"/>
  <c r="AP984" i="1"/>
  <c r="AQ984" i="1" s="1"/>
  <c r="AP957" i="1"/>
  <c r="AQ957" i="1" s="1"/>
  <c r="AD995" i="1"/>
  <c r="AP1011" i="1"/>
  <c r="AQ1011" i="1" s="1"/>
  <c r="AP993" i="1"/>
  <c r="AQ993" i="1" s="1"/>
  <c r="AP1057" i="1"/>
  <c r="AQ1057" i="1" s="1"/>
  <c r="AP980" i="1"/>
  <c r="AQ980" i="1" s="1"/>
  <c r="AP922" i="1"/>
  <c r="AQ922" i="1" s="1"/>
  <c r="AE1007" i="1" l="1"/>
  <c r="AE1013" i="1"/>
  <c r="AE1012" i="1"/>
  <c r="AE987" i="1"/>
  <c r="AP923" i="1"/>
  <c r="AQ923" i="1" s="1"/>
  <c r="AD918" i="1"/>
  <c r="AD940" i="1"/>
  <c r="AE930" i="1"/>
  <c r="AE942" i="1"/>
  <c r="AE964" i="1"/>
  <c r="AE962" i="1"/>
  <c r="AE1047" i="1"/>
  <c r="AD1010" i="1"/>
  <c r="AD961" i="1"/>
  <c r="AE937" i="1"/>
  <c r="AE956" i="1"/>
  <c r="AE1048" i="1"/>
  <c r="AE914" i="1"/>
  <c r="AD919" i="1"/>
  <c r="AE921" i="1"/>
  <c r="AD988" i="1"/>
  <c r="AE911" i="1"/>
  <c r="AE1009" i="1"/>
  <c r="AE992" i="1"/>
  <c r="AE941" i="1"/>
  <c r="AE1004" i="1"/>
  <c r="AE1049" i="1"/>
  <c r="AD999" i="1"/>
  <c r="AE928" i="1"/>
  <c r="AE997" i="1"/>
  <c r="AE927" i="1"/>
  <c r="AE935" i="1"/>
  <c r="AE929" i="1"/>
  <c r="AE1003" i="1"/>
  <c r="AD990" i="1"/>
  <c r="AE948" i="1"/>
  <c r="AE965" i="1"/>
  <c r="AE1001" i="1"/>
  <c r="AD1039" i="1"/>
  <c r="AE909" i="1"/>
  <c r="AD960" i="1"/>
  <c r="AD944" i="1"/>
  <c r="AD973" i="1"/>
  <c r="AD1041" i="1"/>
  <c r="AD915" i="1"/>
  <c r="AE1037" i="1"/>
  <c r="AE932" i="1"/>
  <c r="AE1011" i="1"/>
  <c r="AD1005" i="1"/>
  <c r="AD959" i="1"/>
  <c r="AD1008" i="1"/>
  <c r="AD926" i="1"/>
  <c r="AD953" i="1"/>
  <c r="AE1044" i="1"/>
  <c r="AE923" i="1"/>
  <c r="AE943" i="1"/>
  <c r="AD1052" i="1"/>
  <c r="AE925" i="1"/>
  <c r="AD991" i="1"/>
  <c r="AD1045" i="1"/>
  <c r="AE989" i="1"/>
  <c r="AE994" i="1"/>
  <c r="AE920" i="1"/>
  <c r="AE924" i="1"/>
  <c r="AE1042" i="1"/>
  <c r="AE958" i="1"/>
  <c r="AD951" i="1"/>
  <c r="AE936" i="1"/>
  <c r="AE916" i="1"/>
  <c r="AE934" i="1"/>
  <c r="AE922" i="1"/>
  <c r="AE939" i="1"/>
  <c r="AE993" i="1"/>
  <c r="AE946" i="1"/>
  <c r="AD1043" i="1"/>
  <c r="AD1002" i="1"/>
  <c r="AD955" i="1"/>
  <c r="AD963" i="1"/>
  <c r="AE1051" i="1"/>
  <c r="AE931" i="1"/>
  <c r="AE1038" i="1"/>
  <c r="AE1040" i="1"/>
  <c r="AE998" i="1"/>
  <c r="AE1006" i="1"/>
  <c r="AE917" i="1"/>
  <c r="AE945" i="1"/>
  <c r="AE954" i="1"/>
  <c r="AD1046" i="1"/>
  <c r="AD1000" i="1"/>
  <c r="AD1012" i="1" l="1"/>
  <c r="AD1013" i="1"/>
  <c r="AD1007" i="1"/>
  <c r="AD987" i="1"/>
  <c r="AD962" i="1"/>
  <c r="AD1047" i="1"/>
  <c r="AD937" i="1"/>
  <c r="AD914" i="1"/>
  <c r="AD942" i="1"/>
  <c r="AD921" i="1"/>
  <c r="AD956" i="1"/>
  <c r="AE961" i="1"/>
  <c r="AD1048" i="1"/>
  <c r="AD930" i="1"/>
  <c r="AE919" i="1"/>
  <c r="AE1010" i="1"/>
  <c r="AE940" i="1"/>
  <c r="AE918" i="1"/>
  <c r="AD964" i="1"/>
  <c r="AE1039" i="1"/>
  <c r="AD948" i="1"/>
  <c r="AD1009" i="1"/>
  <c r="AD1003" i="1"/>
  <c r="AD941" i="1"/>
  <c r="AD927" i="1"/>
  <c r="AD911" i="1"/>
  <c r="AD929" i="1"/>
  <c r="AD992" i="1"/>
  <c r="AD1001" i="1"/>
  <c r="AD965" i="1"/>
  <c r="AD935" i="1"/>
  <c r="AD1004" i="1"/>
  <c r="AD1049" i="1"/>
  <c r="AD997" i="1"/>
  <c r="AD909" i="1"/>
  <c r="AD928" i="1"/>
  <c r="AD954" i="1"/>
  <c r="AD939" i="1"/>
  <c r="AD1051" i="1"/>
  <c r="AD922" i="1"/>
  <c r="AD925" i="1"/>
  <c r="AD1040" i="1"/>
  <c r="AD934" i="1"/>
  <c r="AD920" i="1"/>
  <c r="AD1006" i="1"/>
  <c r="AD946" i="1"/>
  <c r="AD1042" i="1"/>
  <c r="AD923" i="1"/>
  <c r="AD998" i="1"/>
  <c r="AD993" i="1"/>
  <c r="AD916" i="1"/>
  <c r="AD924" i="1"/>
  <c r="AD1044" i="1"/>
  <c r="AD1011" i="1"/>
  <c r="AD1038" i="1"/>
  <c r="AD936" i="1"/>
  <c r="AD994" i="1"/>
  <c r="AD932" i="1"/>
  <c r="AD945" i="1"/>
  <c r="AD931" i="1"/>
  <c r="AD989" i="1"/>
  <c r="AD917" i="1"/>
  <c r="AD958" i="1"/>
  <c r="AD943" i="1"/>
  <c r="AD1037" i="1"/>
  <c r="S1070" i="1"/>
  <c r="Q1070" i="1"/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47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47" i="1"/>
  <c r="G4" i="1"/>
  <c r="A887" i="1" l="1"/>
  <c r="AN887" i="1" s="1"/>
  <c r="B887" i="1"/>
  <c r="X887" i="1" s="1"/>
  <c r="E887" i="1"/>
  <c r="F887" i="1"/>
  <c r="I887" i="1"/>
  <c r="J887" i="1"/>
  <c r="P887" i="1"/>
  <c r="R887" i="1"/>
  <c r="O887" i="1"/>
  <c r="AL887" i="1"/>
  <c r="AO887" i="1"/>
  <c r="A888" i="1"/>
  <c r="B888" i="1"/>
  <c r="X888" i="1" s="1"/>
  <c r="E888" i="1"/>
  <c r="F888" i="1"/>
  <c r="I888" i="1"/>
  <c r="J888" i="1"/>
  <c r="R888" i="1"/>
  <c r="AL888" i="1"/>
  <c r="AO888" i="1"/>
  <c r="A889" i="1"/>
  <c r="B889" i="1"/>
  <c r="X889" i="1" s="1"/>
  <c r="E889" i="1"/>
  <c r="F889" i="1"/>
  <c r="I889" i="1"/>
  <c r="J889" i="1"/>
  <c r="O889" i="1"/>
  <c r="R889" i="1"/>
  <c r="AL889" i="1"/>
  <c r="AO889" i="1"/>
  <c r="A890" i="1"/>
  <c r="B890" i="1"/>
  <c r="X890" i="1" s="1"/>
  <c r="E890" i="1"/>
  <c r="F890" i="1"/>
  <c r="I890" i="1"/>
  <c r="J890" i="1"/>
  <c r="P890" i="1"/>
  <c r="R890" i="1"/>
  <c r="AL890" i="1"/>
  <c r="AO890" i="1"/>
  <c r="A891" i="1"/>
  <c r="AN891" i="1" s="1"/>
  <c r="B891" i="1"/>
  <c r="X891" i="1" s="1"/>
  <c r="E891" i="1"/>
  <c r="F891" i="1"/>
  <c r="I891" i="1"/>
  <c r="J891" i="1"/>
  <c r="R891" i="1"/>
  <c r="AL891" i="1"/>
  <c r="AO891" i="1"/>
  <c r="A892" i="1"/>
  <c r="AN892" i="1" s="1"/>
  <c r="B892" i="1"/>
  <c r="X892" i="1" s="1"/>
  <c r="E892" i="1"/>
  <c r="F892" i="1"/>
  <c r="I892" i="1"/>
  <c r="J892" i="1"/>
  <c r="P892" i="1"/>
  <c r="R892" i="1"/>
  <c r="AL892" i="1"/>
  <c r="AO892" i="1"/>
  <c r="A893" i="1"/>
  <c r="AN893" i="1" s="1"/>
  <c r="B893" i="1"/>
  <c r="X893" i="1" s="1"/>
  <c r="E893" i="1"/>
  <c r="F893" i="1"/>
  <c r="I893" i="1"/>
  <c r="J893" i="1"/>
  <c r="P893" i="1"/>
  <c r="R893" i="1"/>
  <c r="AL893" i="1"/>
  <c r="AO893" i="1"/>
  <c r="A894" i="1"/>
  <c r="B894" i="1"/>
  <c r="X894" i="1" s="1"/>
  <c r="E894" i="1"/>
  <c r="F894" i="1"/>
  <c r="I894" i="1"/>
  <c r="J894" i="1"/>
  <c r="R894" i="1"/>
  <c r="AE894" i="1"/>
  <c r="AL894" i="1"/>
  <c r="AO894" i="1"/>
  <c r="A895" i="1"/>
  <c r="B895" i="1"/>
  <c r="X895" i="1" s="1"/>
  <c r="E895" i="1"/>
  <c r="F895" i="1"/>
  <c r="I895" i="1"/>
  <c r="J895" i="1"/>
  <c r="O895" i="1"/>
  <c r="R895" i="1"/>
  <c r="AL895" i="1"/>
  <c r="AO895" i="1"/>
  <c r="A896" i="1"/>
  <c r="B896" i="1"/>
  <c r="X896" i="1" s="1"/>
  <c r="E896" i="1"/>
  <c r="F896" i="1"/>
  <c r="I896" i="1"/>
  <c r="J896" i="1"/>
  <c r="P896" i="1"/>
  <c r="R896" i="1"/>
  <c r="AL896" i="1"/>
  <c r="AO896" i="1"/>
  <c r="A897" i="1"/>
  <c r="AN897" i="1" s="1"/>
  <c r="B897" i="1"/>
  <c r="X897" i="1" s="1"/>
  <c r="E897" i="1"/>
  <c r="F897" i="1"/>
  <c r="I897" i="1"/>
  <c r="J897" i="1"/>
  <c r="R897" i="1"/>
  <c r="AL897" i="1"/>
  <c r="AO897" i="1"/>
  <c r="A898" i="1"/>
  <c r="B898" i="1"/>
  <c r="X898" i="1" s="1"/>
  <c r="E898" i="1"/>
  <c r="F898" i="1"/>
  <c r="I898" i="1"/>
  <c r="J898" i="1"/>
  <c r="P898" i="1"/>
  <c r="R898" i="1"/>
  <c r="AL898" i="1"/>
  <c r="AO898" i="1"/>
  <c r="A899" i="1"/>
  <c r="B899" i="1"/>
  <c r="X899" i="1" s="1"/>
  <c r="E899" i="1"/>
  <c r="F899" i="1"/>
  <c r="I899" i="1"/>
  <c r="J899" i="1"/>
  <c r="P899" i="1"/>
  <c r="R899" i="1"/>
  <c r="AL899" i="1"/>
  <c r="AO899" i="1"/>
  <c r="A900" i="1"/>
  <c r="B900" i="1"/>
  <c r="X900" i="1" s="1"/>
  <c r="E900" i="1"/>
  <c r="F900" i="1"/>
  <c r="I900" i="1"/>
  <c r="J900" i="1"/>
  <c r="R900" i="1"/>
  <c r="AL900" i="1"/>
  <c r="AO900" i="1"/>
  <c r="A901" i="1"/>
  <c r="AN901" i="1" s="1"/>
  <c r="B901" i="1"/>
  <c r="X901" i="1" s="1"/>
  <c r="E901" i="1"/>
  <c r="F901" i="1"/>
  <c r="I901" i="1"/>
  <c r="J901" i="1"/>
  <c r="P901" i="1"/>
  <c r="R901" i="1"/>
  <c r="AL901" i="1"/>
  <c r="AO901" i="1"/>
  <c r="A902" i="1"/>
  <c r="B902" i="1"/>
  <c r="X902" i="1" s="1"/>
  <c r="E902" i="1"/>
  <c r="F902" i="1"/>
  <c r="I902" i="1"/>
  <c r="J902" i="1"/>
  <c r="P902" i="1"/>
  <c r="R902" i="1"/>
  <c r="AL902" i="1"/>
  <c r="AO902" i="1"/>
  <c r="A903" i="1"/>
  <c r="AN903" i="1" s="1"/>
  <c r="B903" i="1"/>
  <c r="X903" i="1" s="1"/>
  <c r="E903" i="1"/>
  <c r="F903" i="1"/>
  <c r="I903" i="1"/>
  <c r="J903" i="1"/>
  <c r="R903" i="1"/>
  <c r="AL903" i="1"/>
  <c r="AO903" i="1"/>
  <c r="A904" i="1"/>
  <c r="AN904" i="1" s="1"/>
  <c r="B904" i="1"/>
  <c r="X904" i="1" s="1"/>
  <c r="E904" i="1"/>
  <c r="F904" i="1"/>
  <c r="I904" i="1"/>
  <c r="J904" i="1"/>
  <c r="O904" i="1"/>
  <c r="R904" i="1"/>
  <c r="AL904" i="1"/>
  <c r="AO904" i="1"/>
  <c r="A905" i="1"/>
  <c r="B905" i="1"/>
  <c r="X905" i="1" s="1"/>
  <c r="E905" i="1"/>
  <c r="F905" i="1"/>
  <c r="I905" i="1"/>
  <c r="J905" i="1"/>
  <c r="P905" i="1"/>
  <c r="R905" i="1"/>
  <c r="AL905" i="1"/>
  <c r="AO905" i="1"/>
  <c r="A906" i="1"/>
  <c r="AN906" i="1" s="1"/>
  <c r="B906" i="1"/>
  <c r="X906" i="1" s="1"/>
  <c r="E906" i="1"/>
  <c r="F906" i="1"/>
  <c r="I906" i="1"/>
  <c r="J906" i="1"/>
  <c r="R906" i="1"/>
  <c r="AL906" i="1"/>
  <c r="AO906" i="1"/>
  <c r="A907" i="1"/>
  <c r="AN907" i="1" s="1"/>
  <c r="B907" i="1"/>
  <c r="E907" i="1"/>
  <c r="F907" i="1"/>
  <c r="I907" i="1"/>
  <c r="J907" i="1"/>
  <c r="O907" i="1"/>
  <c r="R907" i="1"/>
  <c r="AL907" i="1"/>
  <c r="AO907" i="1"/>
  <c r="A908" i="1"/>
  <c r="B908" i="1"/>
  <c r="X908" i="1" s="1"/>
  <c r="E908" i="1"/>
  <c r="F908" i="1"/>
  <c r="I908" i="1"/>
  <c r="J908" i="1"/>
  <c r="P908" i="1"/>
  <c r="R908" i="1"/>
  <c r="AL908" i="1"/>
  <c r="AO908" i="1"/>
  <c r="A947" i="1"/>
  <c r="AN947" i="1" s="1"/>
  <c r="B947" i="1"/>
  <c r="X947" i="1" s="1"/>
  <c r="E947" i="1"/>
  <c r="F947" i="1"/>
  <c r="I947" i="1"/>
  <c r="J947" i="1"/>
  <c r="R947" i="1"/>
  <c r="AL947" i="1"/>
  <c r="AO947" i="1"/>
  <c r="AA4" i="1"/>
  <c r="W947" i="1" l="1"/>
  <c r="AP947" i="1" s="1"/>
  <c r="AQ947" i="1" s="1"/>
  <c r="W907" i="1"/>
  <c r="AP907" i="1" s="1"/>
  <c r="AQ907" i="1" s="1"/>
  <c r="AP906" i="1"/>
  <c r="AQ906" i="1" s="1"/>
  <c r="AP891" i="1"/>
  <c r="AQ891" i="1" s="1"/>
  <c r="AP903" i="1"/>
  <c r="AQ903" i="1" s="1"/>
  <c r="AP904" i="1"/>
  <c r="AQ904" i="1" s="1"/>
  <c r="AP897" i="1"/>
  <c r="AQ897" i="1" s="1"/>
  <c r="W887" i="1"/>
  <c r="AP887" i="1" s="1"/>
  <c r="AQ887" i="1" s="1"/>
  <c r="AP901" i="1"/>
  <c r="AQ901" i="1" s="1"/>
  <c r="AP892" i="1"/>
  <c r="AQ892" i="1" s="1"/>
  <c r="AP893" i="1"/>
  <c r="AQ893" i="1" s="1"/>
  <c r="V887" i="1"/>
  <c r="AA2" i="1"/>
  <c r="AS907" i="1"/>
  <c r="AS899" i="1"/>
  <c r="AS898" i="1"/>
  <c r="AS887" i="1"/>
  <c r="AS896" i="1"/>
  <c r="AS895" i="1"/>
  <c r="AS893" i="1"/>
  <c r="AS904" i="1"/>
  <c r="AS892" i="1"/>
  <c r="AS890" i="1"/>
  <c r="AS901" i="1"/>
  <c r="AS889" i="1"/>
  <c r="O890" i="1"/>
  <c r="V890" i="1" s="1"/>
  <c r="C896" i="1"/>
  <c r="S890" i="1"/>
  <c r="O905" i="1"/>
  <c r="V905" i="1" s="1"/>
  <c r="C906" i="1"/>
  <c r="C900" i="1"/>
  <c r="O893" i="1"/>
  <c r="V893" i="1" s="1"/>
  <c r="S887" i="1"/>
  <c r="O908" i="1"/>
  <c r="V908" i="1" s="1"/>
  <c r="S908" i="1"/>
  <c r="C905" i="1"/>
  <c r="AN900" i="1"/>
  <c r="C894" i="1"/>
  <c r="P894" i="1"/>
  <c r="S894" i="1" s="1"/>
  <c r="P891" i="1"/>
  <c r="S891" i="1" s="1"/>
  <c r="C888" i="1"/>
  <c r="C947" i="1"/>
  <c r="O899" i="1"/>
  <c r="V899" i="1" s="1"/>
  <c r="C897" i="1"/>
  <c r="P906" i="1"/>
  <c r="S906" i="1" s="1"/>
  <c r="C904" i="1"/>
  <c r="S899" i="1"/>
  <c r="P888" i="1"/>
  <c r="S888" i="1" s="1"/>
  <c r="P897" i="1"/>
  <c r="S897" i="1" s="1"/>
  <c r="S893" i="1"/>
  <c r="C902" i="1"/>
  <c r="S901" i="1"/>
  <c r="C895" i="1"/>
  <c r="C889" i="1"/>
  <c r="O902" i="1"/>
  <c r="V902" i="1" s="1"/>
  <c r="C899" i="1"/>
  <c r="C891" i="1"/>
  <c r="C890" i="1"/>
  <c r="C903" i="1"/>
  <c r="S898" i="1"/>
  <c r="AN894" i="1"/>
  <c r="P889" i="1"/>
  <c r="S889" i="1" s="1"/>
  <c r="AN888" i="1"/>
  <c r="S892" i="1"/>
  <c r="C898" i="1"/>
  <c r="AN898" i="1"/>
  <c r="C907" i="1"/>
  <c r="P903" i="1"/>
  <c r="S903" i="1" s="1"/>
  <c r="O896" i="1"/>
  <c r="V896" i="1" s="1"/>
  <c r="AN895" i="1"/>
  <c r="C892" i="1"/>
  <c r="AS902" i="1"/>
  <c r="AN889" i="1"/>
  <c r="AS908" i="1"/>
  <c r="S896" i="1"/>
  <c r="AN890" i="1"/>
  <c r="C908" i="1"/>
  <c r="P900" i="1"/>
  <c r="S900" i="1" s="1"/>
  <c r="AS905" i="1"/>
  <c r="C901" i="1"/>
  <c r="C893" i="1"/>
  <c r="C887" i="1"/>
  <c r="S905" i="1"/>
  <c r="S902" i="1"/>
  <c r="P947" i="1"/>
  <c r="S947" i="1" s="1"/>
  <c r="O947" i="1"/>
  <c r="O906" i="1"/>
  <c r="O903" i="1"/>
  <c r="O900" i="1"/>
  <c r="O897" i="1"/>
  <c r="O894" i="1"/>
  <c r="O891" i="1"/>
  <c r="O888" i="1"/>
  <c r="AS947" i="1"/>
  <c r="P907" i="1"/>
  <c r="S907" i="1" s="1"/>
  <c r="AS906" i="1"/>
  <c r="P904" i="1"/>
  <c r="S904" i="1" s="1"/>
  <c r="AS903" i="1"/>
  <c r="P895" i="1"/>
  <c r="S895" i="1" s="1"/>
  <c r="AS894" i="1"/>
  <c r="O901" i="1"/>
  <c r="V901" i="1" s="1"/>
  <c r="AS900" i="1"/>
  <c r="AN899" i="1"/>
  <c r="O898" i="1"/>
  <c r="V898" i="1" s="1"/>
  <c r="AS897" i="1"/>
  <c r="AN896" i="1"/>
  <c r="O892" i="1"/>
  <c r="V892" i="1" s="1"/>
  <c r="AS891" i="1"/>
  <c r="AS888" i="1"/>
  <c r="AN908" i="1"/>
  <c r="W908" i="1" s="1"/>
  <c r="AN905" i="1"/>
  <c r="AN902" i="1"/>
  <c r="AB892" i="1" l="1"/>
  <c r="AB898" i="1"/>
  <c r="V903" i="1"/>
  <c r="AB903" i="1" s="1"/>
  <c r="AB901" i="1"/>
  <c r="AC901" i="1" s="1"/>
  <c r="V906" i="1"/>
  <c r="AB906" i="1" s="1"/>
  <c r="AC906" i="1" s="1"/>
  <c r="V947" i="1"/>
  <c r="AB947" i="1" s="1"/>
  <c r="AB887" i="1"/>
  <c r="V889" i="1"/>
  <c r="AB889" i="1" s="1"/>
  <c r="AC889" i="1" s="1"/>
  <c r="AB896" i="1"/>
  <c r="V894" i="1"/>
  <c r="AB894" i="1" s="1"/>
  <c r="AB902" i="1"/>
  <c r="AB899" i="1"/>
  <c r="V904" i="1"/>
  <c r="AB904" i="1" s="1"/>
  <c r="AC904" i="1" s="1"/>
  <c r="AB890" i="1"/>
  <c r="V895" i="1"/>
  <c r="AB895" i="1" s="1"/>
  <c r="AB908" i="1"/>
  <c r="V888" i="1"/>
  <c r="AB888" i="1" s="1"/>
  <c r="V891" i="1"/>
  <c r="AB891" i="1" s="1"/>
  <c r="AB893" i="1"/>
  <c r="V897" i="1"/>
  <c r="AB897" i="1" s="1"/>
  <c r="V907" i="1"/>
  <c r="AB907" i="1" s="1"/>
  <c r="AC907" i="1" s="1"/>
  <c r="V900" i="1"/>
  <c r="AB900" i="1" s="1"/>
  <c r="AB905" i="1"/>
  <c r="AP896" i="1"/>
  <c r="AQ896" i="1" s="1"/>
  <c r="AP895" i="1"/>
  <c r="AQ895" i="1" s="1"/>
  <c r="AP890" i="1"/>
  <c r="AQ890" i="1" s="1"/>
  <c r="AP898" i="1"/>
  <c r="AQ898" i="1" s="1"/>
  <c r="AP902" i="1"/>
  <c r="AQ902" i="1" s="1"/>
  <c r="AP888" i="1"/>
  <c r="AQ888" i="1" s="1"/>
  <c r="AP900" i="1"/>
  <c r="AQ900" i="1" s="1"/>
  <c r="AP905" i="1"/>
  <c r="AQ905" i="1" s="1"/>
  <c r="AP899" i="1"/>
  <c r="AQ899" i="1" s="1"/>
  <c r="AP889" i="1"/>
  <c r="AQ889" i="1" s="1"/>
  <c r="AP908" i="1"/>
  <c r="AQ908" i="1" s="1"/>
  <c r="AP894" i="1"/>
  <c r="AQ894" i="1" s="1"/>
  <c r="AE947" i="1" l="1"/>
  <c r="AE897" i="1"/>
  <c r="AD894" i="1"/>
  <c r="AE892" i="1"/>
  <c r="AE901" i="1"/>
  <c r="AE893" i="1"/>
  <c r="AE904" i="1"/>
  <c r="AE891" i="1"/>
  <c r="AE887" i="1"/>
  <c r="AE903" i="1"/>
  <c r="AE889" i="1" l="1"/>
  <c r="AE900" i="1"/>
  <c r="AD902" i="1"/>
  <c r="AD898" i="1"/>
  <c r="AE899" i="1"/>
  <c r="AE896" i="1"/>
  <c r="AD897" i="1"/>
  <c r="AD905" i="1"/>
  <c r="AD947" i="1"/>
  <c r="AD891" i="1"/>
  <c r="AD904" i="1"/>
  <c r="AD903" i="1"/>
  <c r="AD901" i="1"/>
  <c r="AD887" i="1"/>
  <c r="AD893" i="1"/>
  <c r="AD892" i="1"/>
  <c r="AE898" i="1" l="1"/>
  <c r="AE902" i="1"/>
  <c r="AD889" i="1"/>
  <c r="AD900" i="1"/>
  <c r="AD899" i="1"/>
  <c r="AE905" i="1"/>
  <c r="AD896" i="1"/>
  <c r="P611" i="1"/>
  <c r="A863" i="1" l="1"/>
  <c r="AN863" i="1" s="1"/>
  <c r="B863" i="1"/>
  <c r="X863" i="1" s="1"/>
  <c r="E863" i="1"/>
  <c r="F863" i="1"/>
  <c r="I863" i="1"/>
  <c r="J863" i="1"/>
  <c r="P863" i="1"/>
  <c r="R863" i="1"/>
  <c r="AL863" i="1"/>
  <c r="AO863" i="1"/>
  <c r="A864" i="1"/>
  <c r="AN864" i="1" s="1"/>
  <c r="B864" i="1"/>
  <c r="X864" i="1" s="1"/>
  <c r="E864" i="1"/>
  <c r="F864" i="1"/>
  <c r="I864" i="1"/>
  <c r="J864" i="1"/>
  <c r="R864" i="1"/>
  <c r="O864" i="1"/>
  <c r="AL864" i="1"/>
  <c r="AO864" i="1"/>
  <c r="A865" i="1"/>
  <c r="B865" i="1"/>
  <c r="X865" i="1" s="1"/>
  <c r="E865" i="1"/>
  <c r="F865" i="1"/>
  <c r="I865" i="1"/>
  <c r="J865" i="1"/>
  <c r="O865" i="1"/>
  <c r="R865" i="1"/>
  <c r="AL865" i="1"/>
  <c r="AO865" i="1"/>
  <c r="A866" i="1"/>
  <c r="AN866" i="1" s="1"/>
  <c r="B866" i="1"/>
  <c r="X866" i="1" s="1"/>
  <c r="E866" i="1"/>
  <c r="F866" i="1"/>
  <c r="I866" i="1"/>
  <c r="J866" i="1"/>
  <c r="R866" i="1"/>
  <c r="O866" i="1"/>
  <c r="P866" i="1"/>
  <c r="AL866" i="1"/>
  <c r="AO866" i="1"/>
  <c r="A867" i="1"/>
  <c r="B867" i="1"/>
  <c r="X867" i="1" s="1"/>
  <c r="E867" i="1"/>
  <c r="F867" i="1"/>
  <c r="I867" i="1"/>
  <c r="J867" i="1"/>
  <c r="P867" i="1"/>
  <c r="R867" i="1"/>
  <c r="O867" i="1"/>
  <c r="AL867" i="1"/>
  <c r="AO867" i="1"/>
  <c r="A868" i="1"/>
  <c r="AN868" i="1" s="1"/>
  <c r="B868" i="1"/>
  <c r="E868" i="1"/>
  <c r="F868" i="1"/>
  <c r="I868" i="1"/>
  <c r="J868" i="1"/>
  <c r="O868" i="1"/>
  <c r="P868" i="1"/>
  <c r="R868" i="1"/>
  <c r="AL868" i="1"/>
  <c r="AO868" i="1"/>
  <c r="A869" i="1"/>
  <c r="AN869" i="1" s="1"/>
  <c r="B869" i="1"/>
  <c r="E869" i="1"/>
  <c r="F869" i="1"/>
  <c r="I869" i="1"/>
  <c r="J869" i="1"/>
  <c r="P869" i="1"/>
  <c r="R869" i="1"/>
  <c r="AL869" i="1"/>
  <c r="AO869" i="1"/>
  <c r="A870" i="1"/>
  <c r="B870" i="1"/>
  <c r="X870" i="1" s="1"/>
  <c r="E870" i="1"/>
  <c r="F870" i="1"/>
  <c r="I870" i="1"/>
  <c r="J870" i="1"/>
  <c r="O870" i="1"/>
  <c r="R870" i="1"/>
  <c r="P870" i="1"/>
  <c r="AL870" i="1"/>
  <c r="AO870" i="1"/>
  <c r="A871" i="1"/>
  <c r="AN871" i="1" s="1"/>
  <c r="B871" i="1"/>
  <c r="E871" i="1"/>
  <c r="F871" i="1"/>
  <c r="I871" i="1"/>
  <c r="J871" i="1"/>
  <c r="P871" i="1"/>
  <c r="R871" i="1"/>
  <c r="O871" i="1"/>
  <c r="AL871" i="1"/>
  <c r="AO871" i="1"/>
  <c r="A872" i="1"/>
  <c r="AN872" i="1" s="1"/>
  <c r="B872" i="1"/>
  <c r="E872" i="1"/>
  <c r="F872" i="1"/>
  <c r="I872" i="1"/>
  <c r="J872" i="1"/>
  <c r="R872" i="1"/>
  <c r="AL872" i="1"/>
  <c r="AO872" i="1"/>
  <c r="A873" i="1"/>
  <c r="AN873" i="1" s="1"/>
  <c r="B873" i="1"/>
  <c r="E873" i="1"/>
  <c r="F873" i="1"/>
  <c r="I873" i="1"/>
  <c r="J873" i="1"/>
  <c r="O873" i="1"/>
  <c r="R873" i="1"/>
  <c r="AL873" i="1"/>
  <c r="AO873" i="1"/>
  <c r="A874" i="1"/>
  <c r="B874" i="1"/>
  <c r="X874" i="1" s="1"/>
  <c r="E874" i="1"/>
  <c r="F874" i="1"/>
  <c r="I874" i="1"/>
  <c r="J874" i="1"/>
  <c r="O874" i="1"/>
  <c r="AL874" i="1"/>
  <c r="AO874" i="1"/>
  <c r="A875" i="1"/>
  <c r="AN875" i="1" s="1"/>
  <c r="B875" i="1"/>
  <c r="E875" i="1"/>
  <c r="F875" i="1"/>
  <c r="I875" i="1"/>
  <c r="J875" i="1"/>
  <c r="P875" i="1"/>
  <c r="R875" i="1"/>
  <c r="O875" i="1"/>
  <c r="AL875" i="1"/>
  <c r="AO875" i="1"/>
  <c r="A876" i="1"/>
  <c r="AN876" i="1" s="1"/>
  <c r="B876" i="1"/>
  <c r="E876" i="1"/>
  <c r="F876" i="1"/>
  <c r="I876" i="1"/>
  <c r="J876" i="1"/>
  <c r="O876" i="1"/>
  <c r="R876" i="1"/>
  <c r="AL876" i="1"/>
  <c r="AO876" i="1"/>
  <c r="A877" i="1"/>
  <c r="B877" i="1"/>
  <c r="E877" i="1"/>
  <c r="F877" i="1"/>
  <c r="I877" i="1"/>
  <c r="J877" i="1"/>
  <c r="O877" i="1"/>
  <c r="R877" i="1"/>
  <c r="AL877" i="1"/>
  <c r="AO877" i="1"/>
  <c r="A878" i="1"/>
  <c r="B878" i="1"/>
  <c r="E878" i="1"/>
  <c r="F878" i="1"/>
  <c r="I878" i="1"/>
  <c r="J878" i="1"/>
  <c r="R878" i="1"/>
  <c r="O878" i="1"/>
  <c r="P878" i="1"/>
  <c r="AL878" i="1"/>
  <c r="AO878" i="1"/>
  <c r="A879" i="1"/>
  <c r="B879" i="1"/>
  <c r="E879" i="1"/>
  <c r="F879" i="1"/>
  <c r="I879" i="1"/>
  <c r="J879" i="1"/>
  <c r="P879" i="1"/>
  <c r="R879" i="1"/>
  <c r="O879" i="1"/>
  <c r="AL879" i="1"/>
  <c r="AO879" i="1"/>
  <c r="A880" i="1"/>
  <c r="AN880" i="1" s="1"/>
  <c r="B880" i="1"/>
  <c r="X880" i="1" s="1"/>
  <c r="E880" i="1"/>
  <c r="F880" i="1"/>
  <c r="I880" i="1"/>
  <c r="J880" i="1"/>
  <c r="R880" i="1"/>
  <c r="O880" i="1"/>
  <c r="P880" i="1"/>
  <c r="AL880" i="1"/>
  <c r="AO880" i="1"/>
  <c r="A881" i="1"/>
  <c r="B881" i="1"/>
  <c r="E881" i="1"/>
  <c r="F881" i="1"/>
  <c r="I881" i="1"/>
  <c r="J881" i="1"/>
  <c r="O881" i="1"/>
  <c r="R881" i="1"/>
  <c r="AL881" i="1"/>
  <c r="AO881" i="1"/>
  <c r="A882" i="1"/>
  <c r="B882" i="1"/>
  <c r="E882" i="1"/>
  <c r="F882" i="1"/>
  <c r="I882" i="1"/>
  <c r="J882" i="1"/>
  <c r="R882" i="1"/>
  <c r="O882" i="1"/>
  <c r="P882" i="1"/>
  <c r="AL882" i="1"/>
  <c r="AO882" i="1"/>
  <c r="A883" i="1"/>
  <c r="AN883" i="1" s="1"/>
  <c r="B883" i="1"/>
  <c r="X883" i="1" s="1"/>
  <c r="E883" i="1"/>
  <c r="F883" i="1"/>
  <c r="I883" i="1"/>
  <c r="J883" i="1"/>
  <c r="P883" i="1"/>
  <c r="R883" i="1"/>
  <c r="O883" i="1"/>
  <c r="AL883" i="1"/>
  <c r="AO883" i="1"/>
  <c r="A818" i="1"/>
  <c r="B818" i="1"/>
  <c r="E818" i="1"/>
  <c r="F818" i="1"/>
  <c r="I818" i="1"/>
  <c r="J818" i="1"/>
  <c r="O818" i="1"/>
  <c r="R818" i="1"/>
  <c r="AL818" i="1"/>
  <c r="AO818" i="1"/>
  <c r="A819" i="1"/>
  <c r="B819" i="1"/>
  <c r="E819" i="1"/>
  <c r="F819" i="1"/>
  <c r="I819" i="1"/>
  <c r="J819" i="1"/>
  <c r="R819" i="1"/>
  <c r="AL819" i="1"/>
  <c r="AO819" i="1"/>
  <c r="A820" i="1"/>
  <c r="AN820" i="1" s="1"/>
  <c r="B820" i="1"/>
  <c r="E820" i="1"/>
  <c r="F820" i="1"/>
  <c r="I820" i="1"/>
  <c r="J820" i="1"/>
  <c r="O820" i="1"/>
  <c r="P820" i="1"/>
  <c r="R820" i="1"/>
  <c r="AL820" i="1"/>
  <c r="AO820" i="1"/>
  <c r="A821" i="1"/>
  <c r="B821" i="1"/>
  <c r="X821" i="1" s="1"/>
  <c r="E821" i="1"/>
  <c r="F821" i="1"/>
  <c r="I821" i="1"/>
  <c r="J821" i="1"/>
  <c r="O821" i="1"/>
  <c r="R821" i="1"/>
  <c r="AL821" i="1"/>
  <c r="AO821" i="1"/>
  <c r="A822" i="1"/>
  <c r="B822" i="1"/>
  <c r="X822" i="1" s="1"/>
  <c r="E822" i="1"/>
  <c r="F822" i="1"/>
  <c r="I822" i="1"/>
  <c r="J822" i="1"/>
  <c r="O822" i="1"/>
  <c r="R822" i="1"/>
  <c r="AL822" i="1"/>
  <c r="AO822" i="1"/>
  <c r="A823" i="1"/>
  <c r="AN823" i="1" s="1"/>
  <c r="B823" i="1"/>
  <c r="X823" i="1" s="1"/>
  <c r="E823" i="1"/>
  <c r="F823" i="1"/>
  <c r="I823" i="1"/>
  <c r="J823" i="1"/>
  <c r="R823" i="1"/>
  <c r="O823" i="1"/>
  <c r="AL823" i="1"/>
  <c r="AO823" i="1"/>
  <c r="A824" i="1"/>
  <c r="AN824" i="1" s="1"/>
  <c r="B824" i="1"/>
  <c r="X824" i="1" s="1"/>
  <c r="E824" i="1"/>
  <c r="F824" i="1"/>
  <c r="I824" i="1"/>
  <c r="J824" i="1"/>
  <c r="O824" i="1"/>
  <c r="P824" i="1"/>
  <c r="R824" i="1"/>
  <c r="AL824" i="1"/>
  <c r="AO824" i="1"/>
  <c r="A825" i="1"/>
  <c r="B825" i="1"/>
  <c r="E825" i="1"/>
  <c r="F825" i="1"/>
  <c r="I825" i="1"/>
  <c r="J825" i="1"/>
  <c r="O825" i="1"/>
  <c r="R825" i="1"/>
  <c r="AL825" i="1"/>
  <c r="AO825" i="1"/>
  <c r="A826" i="1"/>
  <c r="AN826" i="1" s="1"/>
  <c r="B826" i="1"/>
  <c r="E826" i="1"/>
  <c r="F826" i="1"/>
  <c r="I826" i="1"/>
  <c r="J826" i="1"/>
  <c r="O826" i="1"/>
  <c r="R826" i="1"/>
  <c r="AL826" i="1"/>
  <c r="AO826" i="1"/>
  <c r="A827" i="1"/>
  <c r="AN827" i="1" s="1"/>
  <c r="B827" i="1"/>
  <c r="X827" i="1" s="1"/>
  <c r="E827" i="1"/>
  <c r="F827" i="1"/>
  <c r="I827" i="1"/>
  <c r="J827" i="1"/>
  <c r="R827" i="1"/>
  <c r="AL827" i="1"/>
  <c r="AO827" i="1"/>
  <c r="A828" i="1"/>
  <c r="AN828" i="1" s="1"/>
  <c r="B828" i="1"/>
  <c r="X828" i="1" s="1"/>
  <c r="E828" i="1"/>
  <c r="F828" i="1"/>
  <c r="I828" i="1"/>
  <c r="J828" i="1"/>
  <c r="O828" i="1"/>
  <c r="R828" i="1"/>
  <c r="AE828" i="1"/>
  <c r="AL828" i="1"/>
  <c r="AO828" i="1"/>
  <c r="A829" i="1"/>
  <c r="B829" i="1"/>
  <c r="X829" i="1" s="1"/>
  <c r="E829" i="1"/>
  <c r="F829" i="1"/>
  <c r="I829" i="1"/>
  <c r="J829" i="1"/>
  <c r="O829" i="1"/>
  <c r="R829" i="1"/>
  <c r="AL829" i="1"/>
  <c r="AO829" i="1"/>
  <c r="A830" i="1"/>
  <c r="B830" i="1"/>
  <c r="E830" i="1"/>
  <c r="F830" i="1"/>
  <c r="I830" i="1"/>
  <c r="J830" i="1"/>
  <c r="R830" i="1"/>
  <c r="AL830" i="1"/>
  <c r="AO830" i="1"/>
  <c r="A831" i="1"/>
  <c r="AN831" i="1" s="1"/>
  <c r="B831" i="1"/>
  <c r="E831" i="1"/>
  <c r="F831" i="1"/>
  <c r="I831" i="1"/>
  <c r="J831" i="1"/>
  <c r="R831" i="1"/>
  <c r="AL831" i="1"/>
  <c r="AO831" i="1"/>
  <c r="A832" i="1"/>
  <c r="AN832" i="1" s="1"/>
  <c r="B832" i="1"/>
  <c r="E832" i="1"/>
  <c r="F832" i="1"/>
  <c r="I832" i="1"/>
  <c r="J832" i="1"/>
  <c r="R832" i="1"/>
  <c r="AL832" i="1"/>
  <c r="AO832" i="1"/>
  <c r="A833" i="1"/>
  <c r="AN833" i="1" s="1"/>
  <c r="B833" i="1"/>
  <c r="E833" i="1"/>
  <c r="F833" i="1"/>
  <c r="I833" i="1"/>
  <c r="J833" i="1"/>
  <c r="O833" i="1"/>
  <c r="R833" i="1"/>
  <c r="P833" i="1"/>
  <c r="AL833" i="1"/>
  <c r="AO833" i="1"/>
  <c r="A834" i="1"/>
  <c r="AN834" i="1" s="1"/>
  <c r="B834" i="1"/>
  <c r="E834" i="1"/>
  <c r="F834" i="1"/>
  <c r="I834" i="1"/>
  <c r="J834" i="1"/>
  <c r="O834" i="1"/>
  <c r="R834" i="1"/>
  <c r="AL834" i="1"/>
  <c r="AO834" i="1"/>
  <c r="A835" i="1"/>
  <c r="AN835" i="1" s="1"/>
  <c r="B835" i="1"/>
  <c r="E835" i="1"/>
  <c r="F835" i="1"/>
  <c r="I835" i="1"/>
  <c r="J835" i="1"/>
  <c r="R835" i="1"/>
  <c r="O835" i="1"/>
  <c r="AL835" i="1"/>
  <c r="AO835" i="1"/>
  <c r="A836" i="1"/>
  <c r="B836" i="1"/>
  <c r="E836" i="1"/>
  <c r="F836" i="1"/>
  <c r="I836" i="1"/>
  <c r="J836" i="1"/>
  <c r="R836" i="1"/>
  <c r="AL836" i="1"/>
  <c r="AO836" i="1"/>
  <c r="A837" i="1"/>
  <c r="B837" i="1"/>
  <c r="E837" i="1"/>
  <c r="F837" i="1"/>
  <c r="I837" i="1"/>
  <c r="J837" i="1"/>
  <c r="O837" i="1"/>
  <c r="R837" i="1"/>
  <c r="AL837" i="1"/>
  <c r="AO837" i="1"/>
  <c r="A838" i="1"/>
  <c r="B838" i="1"/>
  <c r="E838" i="1"/>
  <c r="F838" i="1"/>
  <c r="I838" i="1"/>
  <c r="J838" i="1"/>
  <c r="O838" i="1"/>
  <c r="R838" i="1"/>
  <c r="AL838" i="1"/>
  <c r="AO838" i="1"/>
  <c r="A839" i="1"/>
  <c r="AN839" i="1" s="1"/>
  <c r="B839" i="1"/>
  <c r="E839" i="1"/>
  <c r="F839" i="1"/>
  <c r="I839" i="1"/>
  <c r="J839" i="1"/>
  <c r="R839" i="1"/>
  <c r="O839" i="1"/>
  <c r="AL839" i="1"/>
  <c r="AO839" i="1"/>
  <c r="A840" i="1"/>
  <c r="AN840" i="1" s="1"/>
  <c r="B840" i="1"/>
  <c r="E840" i="1"/>
  <c r="F840" i="1"/>
  <c r="I840" i="1"/>
  <c r="J840" i="1"/>
  <c r="O840" i="1"/>
  <c r="R840" i="1"/>
  <c r="AL840" i="1"/>
  <c r="AO840" i="1"/>
  <c r="A841" i="1"/>
  <c r="B841" i="1"/>
  <c r="E841" i="1"/>
  <c r="F841" i="1"/>
  <c r="I841" i="1"/>
  <c r="J841" i="1"/>
  <c r="O841" i="1"/>
  <c r="R841" i="1"/>
  <c r="AL841" i="1"/>
  <c r="AO841" i="1"/>
  <c r="A842" i="1"/>
  <c r="AN842" i="1" s="1"/>
  <c r="B842" i="1"/>
  <c r="E842" i="1"/>
  <c r="F842" i="1"/>
  <c r="I842" i="1"/>
  <c r="J842" i="1"/>
  <c r="R842" i="1"/>
  <c r="AL842" i="1"/>
  <c r="AO842" i="1"/>
  <c r="A843" i="1"/>
  <c r="B843" i="1"/>
  <c r="X843" i="1" s="1"/>
  <c r="E843" i="1"/>
  <c r="F843" i="1"/>
  <c r="I843" i="1"/>
  <c r="J843" i="1"/>
  <c r="R843" i="1"/>
  <c r="AL843" i="1"/>
  <c r="AO843" i="1"/>
  <c r="A844" i="1"/>
  <c r="B844" i="1"/>
  <c r="E844" i="1"/>
  <c r="F844" i="1"/>
  <c r="I844" i="1"/>
  <c r="J844" i="1"/>
  <c r="O844" i="1"/>
  <c r="R844" i="1"/>
  <c r="AL844" i="1"/>
  <c r="AO844" i="1"/>
  <c r="A845" i="1"/>
  <c r="B845" i="1"/>
  <c r="X845" i="1" s="1"/>
  <c r="E845" i="1"/>
  <c r="F845" i="1"/>
  <c r="I845" i="1"/>
  <c r="J845" i="1"/>
  <c r="O845" i="1"/>
  <c r="R845" i="1"/>
  <c r="AL845" i="1"/>
  <c r="AO845" i="1"/>
  <c r="A846" i="1"/>
  <c r="B846" i="1"/>
  <c r="X846" i="1" s="1"/>
  <c r="E846" i="1"/>
  <c r="F846" i="1"/>
  <c r="I846" i="1"/>
  <c r="J846" i="1"/>
  <c r="R846" i="1"/>
  <c r="AL846" i="1"/>
  <c r="AO846" i="1"/>
  <c r="A847" i="1"/>
  <c r="B847" i="1"/>
  <c r="X847" i="1" s="1"/>
  <c r="E847" i="1"/>
  <c r="F847" i="1"/>
  <c r="I847" i="1"/>
  <c r="J847" i="1"/>
  <c r="R847" i="1"/>
  <c r="O847" i="1"/>
  <c r="AL847" i="1"/>
  <c r="AO847" i="1"/>
  <c r="A848" i="1"/>
  <c r="B848" i="1"/>
  <c r="X848" i="1" s="1"/>
  <c r="E848" i="1"/>
  <c r="F848" i="1"/>
  <c r="I848" i="1"/>
  <c r="J848" i="1"/>
  <c r="O848" i="1"/>
  <c r="R848" i="1"/>
  <c r="AL848" i="1"/>
  <c r="AO848" i="1"/>
  <c r="A849" i="1"/>
  <c r="B849" i="1"/>
  <c r="X849" i="1" s="1"/>
  <c r="E849" i="1"/>
  <c r="F849" i="1"/>
  <c r="I849" i="1"/>
  <c r="J849" i="1"/>
  <c r="O849" i="1"/>
  <c r="R849" i="1"/>
  <c r="AL849" i="1"/>
  <c r="AO849" i="1"/>
  <c r="A850" i="1"/>
  <c r="B850" i="1"/>
  <c r="E850" i="1"/>
  <c r="F850" i="1"/>
  <c r="I850" i="1"/>
  <c r="J850" i="1"/>
  <c r="R850" i="1"/>
  <c r="AL850" i="1"/>
  <c r="AO850" i="1"/>
  <c r="A851" i="1"/>
  <c r="B851" i="1"/>
  <c r="E851" i="1"/>
  <c r="F851" i="1"/>
  <c r="I851" i="1"/>
  <c r="J851" i="1"/>
  <c r="R851" i="1"/>
  <c r="AL851" i="1"/>
  <c r="AO851" i="1"/>
  <c r="A852" i="1"/>
  <c r="B852" i="1"/>
  <c r="E852" i="1"/>
  <c r="F852" i="1"/>
  <c r="I852" i="1"/>
  <c r="J852" i="1"/>
  <c r="O852" i="1"/>
  <c r="R852" i="1"/>
  <c r="AL852" i="1"/>
  <c r="AO852" i="1"/>
  <c r="A853" i="1"/>
  <c r="B853" i="1"/>
  <c r="E853" i="1"/>
  <c r="F853" i="1"/>
  <c r="I853" i="1"/>
  <c r="J853" i="1"/>
  <c r="O853" i="1"/>
  <c r="R853" i="1"/>
  <c r="AL853" i="1"/>
  <c r="AO853" i="1"/>
  <c r="W834" i="1" l="1"/>
  <c r="AP834" i="1" s="1"/>
  <c r="AQ834" i="1" s="1"/>
  <c r="W883" i="1"/>
  <c r="AP883" i="1" s="1"/>
  <c r="AQ883" i="1" s="1"/>
  <c r="AP868" i="1"/>
  <c r="AQ868" i="1" s="1"/>
  <c r="W864" i="1"/>
  <c r="AP864" i="1" s="1"/>
  <c r="AQ864" i="1" s="1"/>
  <c r="W872" i="1"/>
  <c r="AP872" i="1" s="1"/>
  <c r="AQ872" i="1" s="1"/>
  <c r="W828" i="1"/>
  <c r="AP828" i="1" s="1"/>
  <c r="AQ828" i="1" s="1"/>
  <c r="W840" i="1"/>
  <c r="AP840" i="1" s="1"/>
  <c r="AQ840" i="1" s="1"/>
  <c r="W826" i="1"/>
  <c r="AP826" i="1" s="1"/>
  <c r="AQ826" i="1" s="1"/>
  <c r="W863" i="1"/>
  <c r="AP863" i="1" s="1"/>
  <c r="AQ863" i="1" s="1"/>
  <c r="AP839" i="1"/>
  <c r="AQ839" i="1" s="1"/>
  <c r="W833" i="1"/>
  <c r="AP833" i="1" s="1"/>
  <c r="AQ833" i="1" s="1"/>
  <c r="W823" i="1"/>
  <c r="AP823" i="1" s="1"/>
  <c r="AQ823" i="1" s="1"/>
  <c r="AP831" i="1"/>
  <c r="AQ831" i="1" s="1"/>
  <c r="W832" i="1"/>
  <c r="AP832" i="1" s="1"/>
  <c r="AQ832" i="1" s="1"/>
  <c r="W827" i="1"/>
  <c r="AP827" i="1" s="1"/>
  <c r="AQ827" i="1" s="1"/>
  <c r="AP880" i="1"/>
  <c r="AQ880" i="1" s="1"/>
  <c r="AP873" i="1"/>
  <c r="AQ873" i="1" s="1"/>
  <c r="W866" i="1"/>
  <c r="AP866" i="1" s="1"/>
  <c r="AQ866" i="1" s="1"/>
  <c r="AP835" i="1"/>
  <c r="AQ835" i="1" s="1"/>
  <c r="W824" i="1"/>
  <c r="AP824" i="1" s="1"/>
  <c r="AQ824" i="1" s="1"/>
  <c r="W869" i="1"/>
  <c r="AP869" i="1" s="1"/>
  <c r="AQ869" i="1" s="1"/>
  <c r="W876" i="1"/>
  <c r="AP876" i="1" s="1"/>
  <c r="AQ876" i="1" s="1"/>
  <c r="AP871" i="1"/>
  <c r="AQ871" i="1" s="1"/>
  <c r="V875" i="1"/>
  <c r="V871" i="1"/>
  <c r="V820" i="1"/>
  <c r="V868" i="1"/>
  <c r="V824" i="1"/>
  <c r="V870" i="1"/>
  <c r="V879" i="1"/>
  <c r="V878" i="1"/>
  <c r="V880" i="1"/>
  <c r="V867" i="1"/>
  <c r="V866" i="1"/>
  <c r="V833" i="1"/>
  <c r="V883" i="1"/>
  <c r="V882" i="1"/>
  <c r="S867" i="1"/>
  <c r="AS878" i="1"/>
  <c r="AS849" i="1"/>
  <c r="AS850" i="1"/>
  <c r="AS829" i="1"/>
  <c r="AS837" i="1"/>
  <c r="AS853" i="1"/>
  <c r="AS825" i="1"/>
  <c r="AS879" i="1"/>
  <c r="AS874" i="1"/>
  <c r="AS845" i="1"/>
  <c r="AS841" i="1"/>
  <c r="AS863" i="1"/>
  <c r="C848" i="1"/>
  <c r="C840" i="1"/>
  <c r="S824" i="1"/>
  <c r="S879" i="1"/>
  <c r="C851" i="1"/>
  <c r="C875" i="1"/>
  <c r="S868" i="1"/>
  <c r="C871" i="1"/>
  <c r="C869" i="1"/>
  <c r="S820" i="1"/>
  <c r="C868" i="1"/>
  <c r="C881" i="1"/>
  <c r="C879" i="1"/>
  <c r="C836" i="1"/>
  <c r="S875" i="1"/>
  <c r="C863" i="1"/>
  <c r="C844" i="1"/>
  <c r="C873" i="1"/>
  <c r="C883" i="1"/>
  <c r="C876" i="1"/>
  <c r="C867" i="1"/>
  <c r="S883" i="1"/>
  <c r="C872" i="1"/>
  <c r="C877" i="1"/>
  <c r="AN877" i="1"/>
  <c r="W877" i="1" s="1"/>
  <c r="C824" i="1"/>
  <c r="C865" i="1"/>
  <c r="AS883" i="1"/>
  <c r="P872" i="1"/>
  <c r="S872" i="1" s="1"/>
  <c r="AN836" i="1"/>
  <c r="O872" i="1"/>
  <c r="AS871" i="1"/>
  <c r="P852" i="1"/>
  <c r="S852" i="1" s="1"/>
  <c r="O850" i="1"/>
  <c r="AS818" i="1"/>
  <c r="AN878" i="1"/>
  <c r="W878" i="1" s="1"/>
  <c r="AS870" i="1"/>
  <c r="AN867" i="1"/>
  <c r="W867" i="1" s="1"/>
  <c r="O863" i="1"/>
  <c r="V863" i="1" s="1"/>
  <c r="S863" i="1"/>
  <c r="AS875" i="1"/>
  <c r="S880" i="1"/>
  <c r="AN822" i="1"/>
  <c r="W822" i="1" s="1"/>
  <c r="P821" i="1"/>
  <c r="S821" i="1" s="1"/>
  <c r="AN881" i="1"/>
  <c r="AN848" i="1"/>
  <c r="W848" i="1" s="1"/>
  <c r="AN851" i="1"/>
  <c r="AN846" i="1"/>
  <c r="W846" i="1" s="1"/>
  <c r="P845" i="1"/>
  <c r="S845" i="1" s="1"/>
  <c r="AN843" i="1"/>
  <c r="W843" i="1" s="1"/>
  <c r="O827" i="1"/>
  <c r="AS882" i="1"/>
  <c r="P851" i="1"/>
  <c r="S851" i="1" s="1"/>
  <c r="P835" i="1"/>
  <c r="S835" i="1" s="1"/>
  <c r="AS833" i="1"/>
  <c r="S878" i="1"/>
  <c r="C849" i="1"/>
  <c r="C837" i="1"/>
  <c r="C818" i="1"/>
  <c r="C870" i="1"/>
  <c r="S870" i="1"/>
  <c r="S869" i="1"/>
  <c r="P849" i="1"/>
  <c r="S849" i="1" s="1"/>
  <c r="AS838" i="1"/>
  <c r="P837" i="1"/>
  <c r="S837" i="1" s="1"/>
  <c r="P828" i="1"/>
  <c r="V828" i="1" s="1"/>
  <c r="AS826" i="1"/>
  <c r="AN819" i="1"/>
  <c r="P876" i="1"/>
  <c r="S876" i="1" s="1"/>
  <c r="R874" i="1"/>
  <c r="AS867" i="1"/>
  <c r="AS866" i="1"/>
  <c r="S866" i="1"/>
  <c r="C882" i="1"/>
  <c r="AS834" i="1"/>
  <c r="S882" i="1"/>
  <c r="AN829" i="1"/>
  <c r="W829" i="1" s="1"/>
  <c r="C874" i="1"/>
  <c r="C864" i="1"/>
  <c r="AS846" i="1"/>
  <c r="AS822" i="1"/>
  <c r="AN865" i="1"/>
  <c r="W865" i="1" s="1"/>
  <c r="O819" i="1"/>
  <c r="P874" i="1"/>
  <c r="V874" i="1" s="1"/>
  <c r="AS842" i="1"/>
  <c r="P850" i="1"/>
  <c r="S850" i="1" s="1"/>
  <c r="AN847" i="1"/>
  <c r="W847" i="1" s="1"/>
  <c r="AS830" i="1"/>
  <c r="P829" i="1"/>
  <c r="V829" i="1" s="1"/>
  <c r="P823" i="1"/>
  <c r="V823" i="1" s="1"/>
  <c r="C820" i="1"/>
  <c r="AN818" i="1"/>
  <c r="W818" i="1" s="1"/>
  <c r="C880" i="1"/>
  <c r="AN879" i="1"/>
  <c r="W879" i="1" s="1"/>
  <c r="P864" i="1"/>
  <c r="S864" i="1" s="1"/>
  <c r="S871" i="1"/>
  <c r="AN882" i="1"/>
  <c r="AN874" i="1"/>
  <c r="W874" i="1" s="1"/>
  <c r="AN870" i="1"/>
  <c r="W870" i="1" s="1"/>
  <c r="P881" i="1"/>
  <c r="S881" i="1" s="1"/>
  <c r="P877" i="1"/>
  <c r="S877" i="1" s="1"/>
  <c r="P873" i="1"/>
  <c r="S873" i="1" s="1"/>
  <c r="P865" i="1"/>
  <c r="S865" i="1" s="1"/>
  <c r="AS880" i="1"/>
  <c r="C878" i="1"/>
  <c r="AS876" i="1"/>
  <c r="AS872" i="1"/>
  <c r="O869" i="1"/>
  <c r="V869" i="1" s="1"/>
  <c r="AS868" i="1"/>
  <c r="C866" i="1"/>
  <c r="AS864" i="1"/>
  <c r="AS873" i="1"/>
  <c r="AS869" i="1"/>
  <c r="AS865" i="1"/>
  <c r="AS881" i="1"/>
  <c r="AS877" i="1"/>
  <c r="C838" i="1"/>
  <c r="AS821" i="1"/>
  <c r="C821" i="1"/>
  <c r="C845" i="1"/>
  <c r="AN845" i="1"/>
  <c r="W845" i="1" s="1"/>
  <c r="AN838" i="1"/>
  <c r="C822" i="1"/>
  <c r="C833" i="1"/>
  <c r="C841" i="1"/>
  <c r="C826" i="1"/>
  <c r="C825" i="1"/>
  <c r="C842" i="1"/>
  <c r="C832" i="1"/>
  <c r="P831" i="1"/>
  <c r="S831" i="1" s="1"/>
  <c r="C819" i="1"/>
  <c r="C830" i="1"/>
  <c r="C853" i="1"/>
  <c r="P853" i="1"/>
  <c r="S853" i="1" s="1"/>
  <c r="P841" i="1"/>
  <c r="S841" i="1" s="1"/>
  <c r="AN825" i="1"/>
  <c r="W825" i="1" s="1"/>
  <c r="P825" i="1"/>
  <c r="V825" i="1" s="1"/>
  <c r="C846" i="1"/>
  <c r="AN837" i="1"/>
  <c r="W837" i="1" s="1"/>
  <c r="C834" i="1"/>
  <c r="C829" i="1"/>
  <c r="AN821" i="1"/>
  <c r="W821" i="1" s="1"/>
  <c r="C852" i="1"/>
  <c r="AN844" i="1"/>
  <c r="O831" i="1"/>
  <c r="AN853" i="1"/>
  <c r="O843" i="1"/>
  <c r="AN841" i="1"/>
  <c r="W841" i="1" s="1"/>
  <c r="AN830" i="1"/>
  <c r="W830" i="1" s="1"/>
  <c r="P827" i="1"/>
  <c r="S827" i="1" s="1"/>
  <c r="P819" i="1"/>
  <c r="S819" i="1" s="1"/>
  <c r="AS848" i="1"/>
  <c r="AS844" i="1"/>
  <c r="AS840" i="1"/>
  <c r="C823" i="1"/>
  <c r="P818" i="1"/>
  <c r="S818" i="1" s="1"/>
  <c r="AS835" i="1"/>
  <c r="P846" i="1"/>
  <c r="S846" i="1" s="1"/>
  <c r="O851" i="1"/>
  <c r="C847" i="1"/>
  <c r="C843" i="1"/>
  <c r="C839" i="1"/>
  <c r="AS824" i="1"/>
  <c r="AS823" i="1"/>
  <c r="O836" i="1"/>
  <c r="P836" i="1"/>
  <c r="S836" i="1" s="1"/>
  <c r="P848" i="1"/>
  <c r="S848" i="1" s="1"/>
  <c r="AS847" i="1"/>
  <c r="P844" i="1"/>
  <c r="S844" i="1" s="1"/>
  <c r="AS843" i="1"/>
  <c r="P840" i="1"/>
  <c r="S840" i="1" s="1"/>
  <c r="AS839" i="1"/>
  <c r="AS832" i="1"/>
  <c r="P826" i="1"/>
  <c r="V826" i="1" s="1"/>
  <c r="AS828" i="1"/>
  <c r="P830" i="1"/>
  <c r="S830" i="1" s="1"/>
  <c r="AS851" i="1"/>
  <c r="P847" i="1"/>
  <c r="S847" i="1" s="1"/>
  <c r="P843" i="1"/>
  <c r="P839" i="1"/>
  <c r="V839" i="1" s="1"/>
  <c r="P834" i="1"/>
  <c r="S834" i="1" s="1"/>
  <c r="C831" i="1"/>
  <c r="AN852" i="1"/>
  <c r="W852" i="1" s="1"/>
  <c r="AS836" i="1"/>
  <c r="AS820" i="1"/>
  <c r="AS819" i="1"/>
  <c r="AN849" i="1"/>
  <c r="W849" i="1" s="1"/>
  <c r="AS827" i="1"/>
  <c r="P842" i="1"/>
  <c r="S842" i="1" s="1"/>
  <c r="C850" i="1"/>
  <c r="AN850" i="1"/>
  <c r="AS831" i="1"/>
  <c r="S833" i="1"/>
  <c r="P832" i="1"/>
  <c r="S832" i="1" s="1"/>
  <c r="O832" i="1"/>
  <c r="P822" i="1"/>
  <c r="S822" i="1" s="1"/>
  <c r="AS852" i="1"/>
  <c r="O846" i="1"/>
  <c r="O842" i="1"/>
  <c r="P838" i="1"/>
  <c r="S838" i="1" s="1"/>
  <c r="C835" i="1"/>
  <c r="O830" i="1"/>
  <c r="C828" i="1"/>
  <c r="C827" i="1"/>
  <c r="V831" i="1" l="1"/>
  <c r="AB831" i="1" s="1"/>
  <c r="AC831" i="1" s="1"/>
  <c r="V872" i="1"/>
  <c r="AB872" i="1" s="1"/>
  <c r="AC872" i="1" s="1"/>
  <c r="AB880" i="1"/>
  <c r="AB825" i="1"/>
  <c r="AB866" i="1"/>
  <c r="AB875" i="1"/>
  <c r="AC875" i="1" s="1"/>
  <c r="V864" i="1"/>
  <c r="AB864" i="1" s="1"/>
  <c r="AB829" i="1"/>
  <c r="AB828" i="1"/>
  <c r="AB820" i="1"/>
  <c r="AC820" i="1" s="1"/>
  <c r="V846" i="1"/>
  <c r="AB846" i="1" s="1"/>
  <c r="AB833" i="1"/>
  <c r="AC833" i="1" s="1"/>
  <c r="V836" i="1"/>
  <c r="AB836" i="1" s="1"/>
  <c r="V853" i="1"/>
  <c r="AB853" i="1" s="1"/>
  <c r="AC853" i="1" s="1"/>
  <c r="V832" i="1"/>
  <c r="AB832" i="1" s="1"/>
  <c r="AC832" i="1" s="1"/>
  <c r="V848" i="1"/>
  <c r="AB848" i="1" s="1"/>
  <c r="AB867" i="1"/>
  <c r="V847" i="1"/>
  <c r="AB847" i="1" s="1"/>
  <c r="AB839" i="1"/>
  <c r="AC839" i="1" s="1"/>
  <c r="AB824" i="1"/>
  <c r="V842" i="1"/>
  <c r="AB842" i="1" s="1"/>
  <c r="V881" i="1"/>
  <c r="AB881" i="1" s="1"/>
  <c r="V843" i="1"/>
  <c r="AB843" i="1" s="1"/>
  <c r="V877" i="1"/>
  <c r="AB877" i="1" s="1"/>
  <c r="AC877" i="1" s="1"/>
  <c r="AP820" i="1"/>
  <c r="AQ820" i="1" s="1"/>
  <c r="AB883" i="1"/>
  <c r="V845" i="1"/>
  <c r="AB845" i="1" s="1"/>
  <c r="V852" i="1"/>
  <c r="AB852" i="1" s="1"/>
  <c r="AC852" i="1" s="1"/>
  <c r="AB869" i="1"/>
  <c r="V834" i="1"/>
  <c r="AB834" i="1" s="1"/>
  <c r="AC834" i="1" s="1"/>
  <c r="V821" i="1"/>
  <c r="AB821" i="1" s="1"/>
  <c r="V876" i="1"/>
  <c r="AB876" i="1" s="1"/>
  <c r="AC876" i="1" s="1"/>
  <c r="V844" i="1"/>
  <c r="AB844" i="1" s="1"/>
  <c r="AB882" i="1"/>
  <c r="AC882" i="1" s="1"/>
  <c r="AB874" i="1"/>
  <c r="AB870" i="1"/>
  <c r="AB871" i="1"/>
  <c r="AB863" i="1"/>
  <c r="AB826" i="1"/>
  <c r="AC826" i="1" s="1"/>
  <c r="AB823" i="1"/>
  <c r="V822" i="1"/>
  <c r="AB822" i="1" s="1"/>
  <c r="V851" i="1"/>
  <c r="AB851" i="1" s="1"/>
  <c r="AC851" i="1" s="1"/>
  <c r="V827" i="1"/>
  <c r="AB827" i="1" s="1"/>
  <c r="V818" i="1"/>
  <c r="AB818" i="1" s="1"/>
  <c r="V840" i="1"/>
  <c r="AB840" i="1" s="1"/>
  <c r="AC840" i="1" s="1"/>
  <c r="V841" i="1"/>
  <c r="AB841" i="1" s="1"/>
  <c r="AC841" i="1" s="1"/>
  <c r="V865" i="1"/>
  <c r="AB865" i="1" s="1"/>
  <c r="V819" i="1"/>
  <c r="AB819" i="1" s="1"/>
  <c r="AC819" i="1" s="1"/>
  <c r="V873" i="1"/>
  <c r="AB873" i="1" s="1"/>
  <c r="V830" i="1"/>
  <c r="AB830" i="1" s="1"/>
  <c r="AC830" i="1" s="1"/>
  <c r="V850" i="1"/>
  <c r="AB850" i="1" s="1"/>
  <c r="AC850" i="1" s="1"/>
  <c r="V838" i="1"/>
  <c r="AB838" i="1" s="1"/>
  <c r="AC838" i="1" s="1"/>
  <c r="AB879" i="1"/>
  <c r="AC879" i="1" s="1"/>
  <c r="AB878" i="1"/>
  <c r="AC878" i="1" s="1"/>
  <c r="V849" i="1"/>
  <c r="AB849" i="1" s="1"/>
  <c r="V835" i="1"/>
  <c r="AB835" i="1" s="1"/>
  <c r="AC835" i="1" s="1"/>
  <c r="V837" i="1"/>
  <c r="AB837" i="1" s="1"/>
  <c r="AB868" i="1"/>
  <c r="AC868" i="1" s="1"/>
  <c r="AP875" i="1"/>
  <c r="AQ875" i="1" s="1"/>
  <c r="AP851" i="1"/>
  <c r="AQ851" i="1" s="1"/>
  <c r="AP849" i="1"/>
  <c r="AQ849" i="1" s="1"/>
  <c r="AP853" i="1"/>
  <c r="AQ853" i="1" s="1"/>
  <c r="AP848" i="1"/>
  <c r="AQ848" i="1" s="1"/>
  <c r="AP874" i="1"/>
  <c r="AQ874" i="1" s="1"/>
  <c r="AP847" i="1"/>
  <c r="AQ847" i="1" s="1"/>
  <c r="AP838" i="1"/>
  <c r="AQ838" i="1" s="1"/>
  <c r="AP837" i="1"/>
  <c r="AQ837" i="1" s="1"/>
  <c r="AP845" i="1"/>
  <c r="AQ845" i="1" s="1"/>
  <c r="AP870" i="1"/>
  <c r="AQ870" i="1" s="1"/>
  <c r="AP867" i="1"/>
  <c r="AQ867" i="1" s="1"/>
  <c r="AP852" i="1"/>
  <c r="AQ852" i="1" s="1"/>
  <c r="AP882" i="1"/>
  <c r="AQ882" i="1" s="1"/>
  <c r="AP878" i="1"/>
  <c r="AQ878" i="1" s="1"/>
  <c r="AP822" i="1"/>
  <c r="AQ822" i="1" s="1"/>
  <c r="AP879" i="1"/>
  <c r="AQ879" i="1" s="1"/>
  <c r="AP829" i="1"/>
  <c r="AQ829" i="1" s="1"/>
  <c r="AP843" i="1"/>
  <c r="AQ843" i="1" s="1"/>
  <c r="AP865" i="1"/>
  <c r="AQ865" i="1" s="1"/>
  <c r="AP844" i="1"/>
  <c r="AQ844" i="1" s="1"/>
  <c r="AP881" i="1"/>
  <c r="AQ881" i="1" s="1"/>
  <c r="AP819" i="1"/>
  <c r="AQ819" i="1" s="1"/>
  <c r="AP846" i="1"/>
  <c r="AQ846" i="1" s="1"/>
  <c r="AP841" i="1"/>
  <c r="AQ841" i="1" s="1"/>
  <c r="AP825" i="1"/>
  <c r="AQ825" i="1" s="1"/>
  <c r="AP877" i="1"/>
  <c r="AQ877" i="1" s="1"/>
  <c r="S874" i="1"/>
  <c r="S823" i="1"/>
  <c r="S839" i="1"/>
  <c r="S829" i="1"/>
  <c r="S828" i="1"/>
  <c r="S826" i="1"/>
  <c r="S825" i="1"/>
  <c r="S843" i="1"/>
  <c r="AP818" i="1" l="1"/>
  <c r="AQ818" i="1" s="1"/>
  <c r="AP836" i="1"/>
  <c r="AQ836" i="1" s="1"/>
  <c r="AP850" i="1"/>
  <c r="AQ850" i="1" s="1"/>
  <c r="AP830" i="1"/>
  <c r="AQ830" i="1" s="1"/>
  <c r="AP821" i="1"/>
  <c r="AQ821" i="1" s="1"/>
  <c r="AP842" i="1"/>
  <c r="AQ842" i="1" s="1"/>
  <c r="AE15" i="1"/>
  <c r="AE19" i="1"/>
  <c r="AE20" i="1"/>
  <c r="AE21" i="1"/>
  <c r="AE34" i="1"/>
  <c r="AE36" i="1"/>
  <c r="AE39" i="1"/>
  <c r="AE41" i="1"/>
  <c r="AE42" i="1"/>
  <c r="AE43" i="1"/>
  <c r="AE44" i="1"/>
  <c r="AE45" i="1"/>
  <c r="AE46" i="1"/>
  <c r="AE47" i="1"/>
  <c r="AE48" i="1"/>
  <c r="AE49" i="1"/>
  <c r="AE50" i="1"/>
  <c r="AE54" i="1"/>
  <c r="AE55" i="1"/>
  <c r="AE56" i="1"/>
  <c r="AE61" i="1"/>
  <c r="AE65" i="1"/>
  <c r="AE68" i="1"/>
  <c r="AE85" i="1"/>
  <c r="AE86" i="1"/>
  <c r="AE87" i="1"/>
  <c r="AE88" i="1"/>
  <c r="AE89" i="1"/>
  <c r="AE95" i="1"/>
  <c r="AE96" i="1"/>
  <c r="AE97" i="1"/>
  <c r="AE98" i="1"/>
  <c r="AE99" i="1"/>
  <c r="AE101" i="1"/>
  <c r="AE106" i="1"/>
  <c r="AE107" i="1"/>
  <c r="AE111" i="1"/>
  <c r="AE113" i="1"/>
  <c r="AE114" i="1"/>
  <c r="AE115" i="1"/>
  <c r="AE117" i="1"/>
  <c r="AE119" i="1"/>
  <c r="AE135" i="1"/>
  <c r="AE142" i="1"/>
  <c r="AE144" i="1"/>
  <c r="AE145" i="1"/>
  <c r="AE146" i="1"/>
  <c r="AE148" i="1"/>
  <c r="AE149" i="1"/>
  <c r="AE151" i="1"/>
  <c r="AE153" i="1"/>
  <c r="AE163" i="1"/>
  <c r="AE166" i="1"/>
  <c r="AE169" i="1"/>
  <c r="AE170" i="1"/>
  <c r="AE176" i="1"/>
  <c r="AE180" i="1"/>
  <c r="AE183" i="1"/>
  <c r="AE184" i="1"/>
  <c r="AE196" i="1"/>
  <c r="AE197" i="1"/>
  <c r="AE198" i="1"/>
  <c r="AE199" i="1"/>
  <c r="AE201" i="1"/>
  <c r="AE204" i="1"/>
  <c r="AE206" i="1"/>
  <c r="AE209" i="1"/>
  <c r="AE210" i="1"/>
  <c r="AE214" i="1"/>
  <c r="AE216" i="1"/>
  <c r="AE227" i="1"/>
  <c r="AE241" i="1"/>
  <c r="AE255" i="1"/>
  <c r="AE257" i="1"/>
  <c r="AE266" i="1"/>
  <c r="AE272" i="1"/>
  <c r="AE280" i="1"/>
  <c r="AE281" i="1"/>
  <c r="AE282" i="1"/>
  <c r="AE283" i="1"/>
  <c r="AE284" i="1"/>
  <c r="AE285" i="1"/>
  <c r="AE295" i="1"/>
  <c r="AE300" i="1"/>
  <c r="AE318" i="1"/>
  <c r="AE320" i="1"/>
  <c r="AE333" i="1"/>
  <c r="AE342" i="1"/>
  <c r="AE343" i="1"/>
  <c r="AE348" i="1"/>
  <c r="AE354" i="1"/>
  <c r="AE356" i="1"/>
  <c r="AE366" i="1"/>
  <c r="AE375" i="1"/>
  <c r="AE381" i="1"/>
  <c r="AE383" i="1"/>
  <c r="AE384" i="1"/>
  <c r="AE386" i="1"/>
  <c r="AE387" i="1"/>
  <c r="AE392" i="1"/>
  <c r="AE393" i="1"/>
  <c r="AE394" i="1"/>
  <c r="AE396" i="1"/>
  <c r="AE399" i="1"/>
  <c r="AE400" i="1"/>
  <c r="AE401" i="1"/>
  <c r="AE411" i="1"/>
  <c r="AE412" i="1"/>
  <c r="AE413" i="1"/>
  <c r="AE422" i="1"/>
  <c r="AE423" i="1"/>
  <c r="AE425" i="1"/>
  <c r="AE429" i="1"/>
  <c r="AE445" i="1"/>
  <c r="AE448" i="1"/>
  <c r="AE456" i="1"/>
  <c r="AE479" i="1"/>
  <c r="AE481" i="1"/>
  <c r="AE482" i="1"/>
  <c r="AE534" i="1"/>
  <c r="AE537" i="1"/>
  <c r="AE542" i="1"/>
  <c r="AE544" i="1"/>
  <c r="AE550" i="1"/>
  <c r="AE552" i="1"/>
  <c r="AE554" i="1"/>
  <c r="AE558" i="1"/>
  <c r="AE559" i="1"/>
  <c r="AE560" i="1"/>
  <c r="AE564" i="1"/>
  <c r="AE565" i="1"/>
  <c r="AE568" i="1"/>
  <c r="AE574" i="1"/>
  <c r="AE575" i="1"/>
  <c r="AE585" i="1"/>
  <c r="AE586" i="1"/>
  <c r="AE588" i="1"/>
  <c r="AE594" i="1"/>
  <c r="AE595" i="1"/>
  <c r="AE596" i="1"/>
  <c r="AE598" i="1"/>
  <c r="AE600" i="1"/>
  <c r="AE607" i="1"/>
  <c r="AE615" i="1"/>
  <c r="AE616" i="1"/>
  <c r="AE620" i="1"/>
  <c r="AE622" i="1"/>
  <c r="AE624" i="1"/>
  <c r="AE625" i="1"/>
  <c r="AE629" i="1"/>
  <c r="AE636" i="1"/>
  <c r="AE639" i="1"/>
  <c r="AE641" i="1"/>
  <c r="AE642" i="1"/>
  <c r="AE643" i="1"/>
  <c r="AE644" i="1"/>
  <c r="AE657" i="1"/>
  <c r="AE666" i="1"/>
  <c r="AE677" i="1"/>
  <c r="AE695" i="1"/>
  <c r="AE706" i="1"/>
  <c r="AL285" i="5"/>
  <c r="AL284" i="5"/>
  <c r="AL283" i="5"/>
  <c r="AL282" i="5"/>
  <c r="AL281" i="5"/>
  <c r="AL280" i="5"/>
  <c r="AL279" i="5"/>
  <c r="AL278" i="5"/>
  <c r="AL277" i="5"/>
  <c r="AL276" i="5"/>
  <c r="AL275" i="5"/>
  <c r="AL274" i="5"/>
  <c r="AL273" i="5"/>
  <c r="AL272" i="5"/>
  <c r="AL271" i="5"/>
  <c r="AL270" i="5"/>
  <c r="AL269" i="5"/>
  <c r="AL268" i="5"/>
  <c r="AL267" i="5"/>
  <c r="AL266" i="5"/>
  <c r="AL265" i="5"/>
  <c r="AL264" i="5"/>
  <c r="AL263" i="5"/>
  <c r="AL262" i="5"/>
  <c r="AL261" i="5"/>
  <c r="AL260" i="5"/>
  <c r="AL259" i="5"/>
  <c r="AL258" i="5"/>
  <c r="AL257" i="5"/>
  <c r="AL256" i="5"/>
  <c r="AL255" i="5"/>
  <c r="AL254" i="5"/>
  <c r="AL253" i="5"/>
  <c r="AL252" i="5"/>
  <c r="AL251" i="5"/>
  <c r="AL250" i="5"/>
  <c r="AL249" i="5"/>
  <c r="AL248" i="5"/>
  <c r="AL247" i="5"/>
  <c r="AL246" i="5"/>
  <c r="AL245" i="5"/>
  <c r="AL244" i="5"/>
  <c r="AL243" i="5"/>
  <c r="AL242" i="5"/>
  <c r="AL241" i="5"/>
  <c r="AL240" i="5"/>
  <c r="AL239" i="5"/>
  <c r="AL238" i="5"/>
  <c r="AL237" i="5"/>
  <c r="AL236" i="5"/>
  <c r="AL235" i="5"/>
  <c r="AL234" i="5"/>
  <c r="AL233" i="5"/>
  <c r="AL232" i="5"/>
  <c r="AL231" i="5"/>
  <c r="AL230" i="5"/>
  <c r="AL229" i="5"/>
  <c r="AL228" i="5"/>
  <c r="AL227" i="5"/>
  <c r="AL226" i="5"/>
  <c r="AL225" i="5"/>
  <c r="AL224" i="5"/>
  <c r="AL223" i="5"/>
  <c r="AL222" i="5"/>
  <c r="AL221" i="5"/>
  <c r="AL220" i="5"/>
  <c r="AL219" i="5"/>
  <c r="AL218" i="5"/>
  <c r="AL217" i="5"/>
  <c r="AL216" i="5"/>
  <c r="AL215" i="5"/>
  <c r="AL214" i="5"/>
  <c r="AL213" i="5"/>
  <c r="AL212" i="5"/>
  <c r="AL211" i="5"/>
  <c r="AL210" i="5"/>
  <c r="AL209" i="5"/>
  <c r="AL208" i="5"/>
  <c r="AL207" i="5"/>
  <c r="AL206" i="5"/>
  <c r="AL205" i="5"/>
  <c r="AL204" i="5"/>
  <c r="AL203" i="5"/>
  <c r="AL202" i="5"/>
  <c r="AL201" i="5"/>
  <c r="AL200" i="5"/>
  <c r="AL199" i="5"/>
  <c r="AL198" i="5"/>
  <c r="AL197" i="5"/>
  <c r="AL196" i="5"/>
  <c r="AL195" i="5"/>
  <c r="AL194" i="5"/>
  <c r="AL193" i="5"/>
  <c r="AL192" i="5"/>
  <c r="AL191" i="5"/>
  <c r="AL190" i="5"/>
  <c r="AL189" i="5"/>
  <c r="AL188" i="5"/>
  <c r="AL187" i="5"/>
  <c r="AL186" i="5"/>
  <c r="AL185" i="5"/>
  <c r="AL184" i="5"/>
  <c r="AL183" i="5"/>
  <c r="AL182" i="5"/>
  <c r="AL181" i="5"/>
  <c r="AL180" i="5"/>
  <c r="AL179" i="5"/>
  <c r="AL178" i="5"/>
  <c r="AL177" i="5"/>
  <c r="AL176" i="5"/>
  <c r="AL175" i="5"/>
  <c r="AL174" i="5"/>
  <c r="AL173" i="5"/>
  <c r="AL172" i="5"/>
  <c r="AL171" i="5"/>
  <c r="AL170" i="5"/>
  <c r="AL169" i="5"/>
  <c r="AL168" i="5"/>
  <c r="AL167" i="5"/>
  <c r="AL166" i="5"/>
  <c r="AL165" i="5"/>
  <c r="AL164" i="5"/>
  <c r="AL163" i="5"/>
  <c r="AL162" i="5"/>
  <c r="AL161" i="5"/>
  <c r="AL160" i="5"/>
  <c r="AL159" i="5"/>
  <c r="AL158" i="5"/>
  <c r="AL157" i="5"/>
  <c r="AL156" i="5"/>
  <c r="AL155" i="5"/>
  <c r="AL154" i="5"/>
  <c r="AL153" i="5"/>
  <c r="AL152" i="5"/>
  <c r="AL151" i="5"/>
  <c r="AL150" i="5"/>
  <c r="AL149" i="5"/>
  <c r="AL148" i="5"/>
  <c r="AL147" i="5"/>
  <c r="AL146" i="5"/>
  <c r="AL145" i="5"/>
  <c r="AL144" i="5"/>
  <c r="AL143" i="5"/>
  <c r="AL142" i="5"/>
  <c r="AL141" i="5"/>
  <c r="AL140" i="5"/>
  <c r="AL139" i="5"/>
  <c r="AL138" i="5"/>
  <c r="AL137" i="5"/>
  <c r="AL136" i="5"/>
  <c r="AL135" i="5"/>
  <c r="AL134" i="5"/>
  <c r="AV133" i="5"/>
  <c r="AL133" i="5"/>
  <c r="AV132" i="5"/>
  <c r="AL132" i="5"/>
  <c r="AV131" i="5"/>
  <c r="AL131" i="5"/>
  <c r="AV130" i="5"/>
  <c r="AL130" i="5"/>
  <c r="AV129" i="5"/>
  <c r="AL129" i="5"/>
  <c r="AV128" i="5"/>
  <c r="AL128" i="5"/>
  <c r="AV127" i="5"/>
  <c r="AL127" i="5"/>
  <c r="AV126" i="5"/>
  <c r="AL126" i="5"/>
  <c r="AV125" i="5"/>
  <c r="AL125" i="5"/>
  <c r="AV124" i="5"/>
  <c r="AL124" i="5"/>
  <c r="AV123" i="5"/>
  <c r="AL123" i="5"/>
  <c r="AV122" i="5"/>
  <c r="AL122" i="5"/>
  <c r="AV121" i="5"/>
  <c r="AL121" i="5"/>
  <c r="AV120" i="5"/>
  <c r="AL120" i="5"/>
  <c r="AV119" i="5"/>
  <c r="AL119" i="5"/>
  <c r="AV118" i="5"/>
  <c r="AL118" i="5"/>
  <c r="AV117" i="5"/>
  <c r="AL117" i="5"/>
  <c r="AV116" i="5"/>
  <c r="AL116" i="5"/>
  <c r="AV115" i="5"/>
  <c r="AL115" i="5"/>
  <c r="AV114" i="5"/>
  <c r="AL114" i="5"/>
  <c r="AV113" i="5"/>
  <c r="AL113" i="5"/>
  <c r="AV112" i="5"/>
  <c r="AL112" i="5"/>
  <c r="AV111" i="5"/>
  <c r="AL111" i="5"/>
  <c r="AV110" i="5"/>
  <c r="AL110" i="5"/>
  <c r="AV109" i="5"/>
  <c r="AL109" i="5"/>
  <c r="AV108" i="5"/>
  <c r="AL108" i="5"/>
  <c r="AV107" i="5"/>
  <c r="AL107" i="5"/>
  <c r="AV106" i="5"/>
  <c r="AL106" i="5"/>
  <c r="AV105" i="5"/>
  <c r="AL105" i="5"/>
  <c r="AV104" i="5"/>
  <c r="AL104" i="5"/>
  <c r="AV103" i="5"/>
  <c r="AL103" i="5"/>
  <c r="AV102" i="5"/>
  <c r="AL102" i="5"/>
  <c r="AV101" i="5"/>
  <c r="AL101" i="5"/>
  <c r="AV100" i="5"/>
  <c r="AL100" i="5"/>
  <c r="AV99" i="5"/>
  <c r="AL99" i="5"/>
  <c r="AV98" i="5"/>
  <c r="AL98" i="5"/>
  <c r="AV97" i="5"/>
  <c r="AL97" i="5"/>
  <c r="AV96" i="5"/>
  <c r="AL96" i="5"/>
  <c r="AV95" i="5"/>
  <c r="AL95" i="5"/>
  <c r="AV94" i="5"/>
  <c r="AL94" i="5"/>
  <c r="AV93" i="5"/>
  <c r="AL93" i="5"/>
  <c r="AV92" i="5"/>
  <c r="AL92" i="5"/>
  <c r="AV91" i="5"/>
  <c r="AL91" i="5"/>
  <c r="AV90" i="5"/>
  <c r="AL90" i="5"/>
  <c r="AV89" i="5"/>
  <c r="AL89" i="5"/>
  <c r="AV88" i="5"/>
  <c r="AL88" i="5"/>
  <c r="AV87" i="5"/>
  <c r="AL87" i="5"/>
  <c r="AV86" i="5"/>
  <c r="AL86" i="5"/>
  <c r="AV85" i="5"/>
  <c r="AL85" i="5"/>
  <c r="AV84" i="5"/>
  <c r="AL84" i="5"/>
  <c r="AV83" i="5"/>
  <c r="AL83" i="5"/>
  <c r="AV82" i="5"/>
  <c r="AL82" i="5"/>
  <c r="AV81" i="5"/>
  <c r="AL81" i="5"/>
  <c r="AV80" i="5"/>
  <c r="AL80" i="5"/>
  <c r="AV79" i="5"/>
  <c r="AL79" i="5"/>
  <c r="AV78" i="5"/>
  <c r="AL78" i="5"/>
  <c r="AV77" i="5"/>
  <c r="AL77" i="5"/>
  <c r="AV76" i="5"/>
  <c r="AL76" i="5"/>
  <c r="AV75" i="5"/>
  <c r="AL75" i="5"/>
  <c r="AV74" i="5"/>
  <c r="AL74" i="5"/>
  <c r="AV73" i="5"/>
  <c r="AL73" i="5"/>
  <c r="AV72" i="5"/>
  <c r="AL72" i="5"/>
  <c r="AV71" i="5"/>
  <c r="AL71" i="5"/>
  <c r="AV70" i="5"/>
  <c r="AL70" i="5"/>
  <c r="AV69" i="5"/>
  <c r="AL69" i="5"/>
  <c r="AV68" i="5"/>
  <c r="AL68" i="5"/>
  <c r="AV67" i="5"/>
  <c r="AL67" i="5"/>
  <c r="AV66" i="5"/>
  <c r="AL66" i="5"/>
  <c r="AV65" i="5"/>
  <c r="AL65" i="5"/>
  <c r="AV64" i="5"/>
  <c r="AL64" i="5"/>
  <c r="AV63" i="5"/>
  <c r="AL63" i="5"/>
  <c r="AV62" i="5"/>
  <c r="AL62" i="5"/>
  <c r="AV61" i="5"/>
  <c r="AL61" i="5"/>
  <c r="AV60" i="5"/>
  <c r="AL60" i="5"/>
  <c r="AV59" i="5"/>
  <c r="AL59" i="5"/>
  <c r="AV58" i="5"/>
  <c r="AL58" i="5"/>
  <c r="AV57" i="5"/>
  <c r="AL57" i="5"/>
  <c r="AV56" i="5"/>
  <c r="AL56" i="5"/>
  <c r="AV55" i="5"/>
  <c r="AL55" i="5"/>
  <c r="AV54" i="5"/>
  <c r="AL54" i="5"/>
  <c r="AV53" i="5"/>
  <c r="AL53" i="5"/>
  <c r="AV52" i="5"/>
  <c r="AL52" i="5"/>
  <c r="AV51" i="5"/>
  <c r="AL51" i="5"/>
  <c r="AV50" i="5"/>
  <c r="AL50" i="5"/>
  <c r="AV49" i="5"/>
  <c r="AL49" i="5"/>
  <c r="AV48" i="5"/>
  <c r="AL48" i="5"/>
  <c r="AV47" i="5"/>
  <c r="AL47" i="5"/>
  <c r="AV46" i="5"/>
  <c r="AL46" i="5"/>
  <c r="AV45" i="5"/>
  <c r="AL45" i="5"/>
  <c r="AV44" i="5"/>
  <c r="AL44" i="5"/>
  <c r="AV43" i="5"/>
  <c r="AL43" i="5"/>
  <c r="AV42" i="5"/>
  <c r="AL42" i="5"/>
  <c r="AV41" i="5"/>
  <c r="AL41" i="5"/>
  <c r="AV40" i="5"/>
  <c r="AL40" i="5"/>
  <c r="AV39" i="5"/>
  <c r="AL39" i="5"/>
  <c r="AV38" i="5"/>
  <c r="AL38" i="5"/>
  <c r="AV37" i="5"/>
  <c r="AL37" i="5"/>
  <c r="AV36" i="5"/>
  <c r="AL36" i="5"/>
  <c r="AV35" i="5"/>
  <c r="AL35" i="5"/>
  <c r="AV34" i="5"/>
  <c r="AL34" i="5"/>
  <c r="AV33" i="5"/>
  <c r="AL33" i="5"/>
  <c r="AV32" i="5"/>
  <c r="AL32" i="5"/>
  <c r="AV31" i="5"/>
  <c r="AL31" i="5"/>
  <c r="AV30" i="5"/>
  <c r="AL30" i="5"/>
  <c r="AV29" i="5"/>
  <c r="AL29" i="5"/>
  <c r="AV28" i="5"/>
  <c r="AL28" i="5"/>
  <c r="AV27" i="5"/>
  <c r="AL27" i="5"/>
  <c r="AV26" i="5"/>
  <c r="AL26" i="5"/>
  <c r="AV25" i="5"/>
  <c r="AL25" i="5"/>
  <c r="AV24" i="5"/>
  <c r="AL24" i="5"/>
  <c r="AV23" i="5"/>
  <c r="AL23" i="5"/>
  <c r="AV22" i="5"/>
  <c r="AL22" i="5"/>
  <c r="AV21" i="5"/>
  <c r="AL21" i="5"/>
  <c r="AV20" i="5"/>
  <c r="AL20" i="5"/>
  <c r="AV19" i="5"/>
  <c r="AL19" i="5"/>
  <c r="AV18" i="5"/>
  <c r="AL18" i="5"/>
  <c r="AV17" i="5"/>
  <c r="AL17" i="5"/>
  <c r="AV16" i="5"/>
  <c r="AL16" i="5"/>
  <c r="AV15" i="5"/>
  <c r="AL15" i="5"/>
  <c r="AV14" i="5"/>
  <c r="AL14" i="5"/>
  <c r="AV13" i="5"/>
  <c r="AL13" i="5"/>
  <c r="AV12" i="5"/>
  <c r="AL12" i="5"/>
  <c r="AV11" i="5"/>
  <c r="AL11" i="5"/>
  <c r="AV10" i="5"/>
  <c r="AL10" i="5"/>
  <c r="AV9" i="5"/>
  <c r="AL9" i="5"/>
  <c r="AV8" i="5"/>
  <c r="AL8" i="5"/>
  <c r="AV7" i="5"/>
  <c r="AL7" i="5"/>
  <c r="AV6" i="5"/>
  <c r="AL6" i="5"/>
  <c r="AV5" i="5"/>
  <c r="AL5" i="5"/>
  <c r="AV4" i="5"/>
  <c r="AL4" i="5"/>
  <c r="AV3" i="5"/>
  <c r="AL3" i="5"/>
  <c r="AH2880" i="3"/>
  <c r="AH2879" i="3"/>
  <c r="AH2878" i="3"/>
  <c r="AH2877" i="3"/>
  <c r="AH2876" i="3"/>
  <c r="AH2875" i="3"/>
  <c r="AH2874" i="3"/>
  <c r="AH2873" i="3"/>
  <c r="AH2872" i="3"/>
  <c r="AH2871" i="3"/>
  <c r="AH2870" i="3"/>
  <c r="AH2869" i="3"/>
  <c r="AH2868" i="3"/>
  <c r="AH2867" i="3"/>
  <c r="AH2866" i="3"/>
  <c r="AH2865" i="3"/>
  <c r="AH2864" i="3"/>
  <c r="AH2863" i="3"/>
  <c r="AH2862" i="3"/>
  <c r="AH2861" i="3"/>
  <c r="AH2860" i="3"/>
  <c r="AH2859" i="3"/>
  <c r="AH2858" i="3"/>
  <c r="AH2857" i="3"/>
  <c r="AH2856" i="3"/>
  <c r="AH2855" i="3"/>
  <c r="AH2854" i="3"/>
  <c r="AH2853" i="3"/>
  <c r="AH2852" i="3"/>
  <c r="AH2851" i="3"/>
  <c r="AH2850" i="3"/>
  <c r="AH2849" i="3"/>
  <c r="AH2848" i="3"/>
  <c r="AH2847" i="3"/>
  <c r="AH2846" i="3"/>
  <c r="AH2845" i="3"/>
  <c r="AH2844" i="3"/>
  <c r="AH2843" i="3"/>
  <c r="AH2842" i="3"/>
  <c r="AH2841" i="3"/>
  <c r="AH2840" i="3"/>
  <c r="AH2839" i="3"/>
  <c r="AH2838" i="3"/>
  <c r="AH2837" i="3"/>
  <c r="AH2836" i="3"/>
  <c r="AH2835" i="3"/>
  <c r="AH2834" i="3"/>
  <c r="AH2833" i="3"/>
  <c r="AH2832" i="3"/>
  <c r="AH2831" i="3"/>
  <c r="AH2830" i="3"/>
  <c r="AH2829" i="3"/>
  <c r="AH2828" i="3"/>
  <c r="AH2827" i="3"/>
  <c r="AH2826" i="3"/>
  <c r="AH2825" i="3"/>
  <c r="AH2824" i="3"/>
  <c r="AH2823" i="3"/>
  <c r="AH2822" i="3"/>
  <c r="AH2821" i="3"/>
  <c r="AH2820" i="3"/>
  <c r="AH2819" i="3"/>
  <c r="AH2818" i="3"/>
  <c r="AH2817" i="3"/>
  <c r="AH2816" i="3"/>
  <c r="AH2815" i="3"/>
  <c r="AH2814" i="3"/>
  <c r="AH2813" i="3"/>
  <c r="AH2812" i="3"/>
  <c r="AH2811" i="3"/>
  <c r="AH2810" i="3"/>
  <c r="AH2809" i="3"/>
  <c r="AH2808" i="3"/>
  <c r="AH2807" i="3"/>
  <c r="AH2806" i="3"/>
  <c r="AH2805" i="3"/>
  <c r="AH2804" i="3"/>
  <c r="AH2803" i="3"/>
  <c r="AH2802" i="3"/>
  <c r="AH2801" i="3"/>
  <c r="AH2800" i="3"/>
  <c r="AH2799" i="3"/>
  <c r="AH2798" i="3"/>
  <c r="AH2797" i="3"/>
  <c r="AH2796" i="3"/>
  <c r="AH2795" i="3"/>
  <c r="AH2794" i="3"/>
  <c r="AH2793" i="3"/>
  <c r="AH2792" i="3"/>
  <c r="AH2791" i="3"/>
  <c r="AH2790" i="3"/>
  <c r="AH2789" i="3"/>
  <c r="AH2788" i="3"/>
  <c r="AH2787" i="3"/>
  <c r="AH2786" i="3"/>
  <c r="AH2785" i="3"/>
  <c r="AH2784" i="3"/>
  <c r="AH2783" i="3"/>
  <c r="AH2782" i="3"/>
  <c r="AH2781" i="3"/>
  <c r="AH2780" i="3"/>
  <c r="AH2779" i="3"/>
  <c r="AH2778" i="3"/>
  <c r="AH2777" i="3"/>
  <c r="AH2776" i="3"/>
  <c r="AH2775" i="3"/>
  <c r="AH2774" i="3"/>
  <c r="AH2773" i="3"/>
  <c r="AH2772" i="3"/>
  <c r="AH2771" i="3"/>
  <c r="AH2770" i="3"/>
  <c r="AH2769" i="3"/>
  <c r="AH2768" i="3"/>
  <c r="AH2767" i="3"/>
  <c r="AH2766" i="3"/>
  <c r="AH2765" i="3"/>
  <c r="AH2764" i="3"/>
  <c r="AH2763" i="3"/>
  <c r="AH2762" i="3"/>
  <c r="AH2761" i="3"/>
  <c r="AH2760" i="3"/>
  <c r="AH2759" i="3"/>
  <c r="AH2758" i="3"/>
  <c r="AH2757" i="3"/>
  <c r="AH2756" i="3"/>
  <c r="AH2755" i="3"/>
  <c r="AH2754" i="3"/>
  <c r="AH2753" i="3"/>
  <c r="AH2752" i="3"/>
  <c r="AH2751" i="3"/>
  <c r="AH2750" i="3"/>
  <c r="AH2749" i="3"/>
  <c r="AH2748" i="3"/>
  <c r="AH2747" i="3"/>
  <c r="AH2746" i="3"/>
  <c r="AH2745" i="3"/>
  <c r="AH2744" i="3"/>
  <c r="AH2743" i="3"/>
  <c r="AH2742" i="3"/>
  <c r="AH2741" i="3"/>
  <c r="AH2740" i="3"/>
  <c r="AH2739" i="3"/>
  <c r="AH2738" i="3"/>
  <c r="AH2737" i="3"/>
  <c r="AH2736" i="3"/>
  <c r="AH2735" i="3"/>
  <c r="AH2734" i="3"/>
  <c r="AH2733" i="3"/>
  <c r="AH2732" i="3"/>
  <c r="AH2731" i="3"/>
  <c r="AH2730" i="3"/>
  <c r="AH2729" i="3"/>
  <c r="AH2728" i="3"/>
  <c r="AH2727" i="3"/>
  <c r="AH2726" i="3"/>
  <c r="AH2725" i="3"/>
  <c r="AH2724" i="3"/>
  <c r="AH2723" i="3"/>
  <c r="AH2722" i="3"/>
  <c r="AH2721" i="3"/>
  <c r="AH2720" i="3"/>
  <c r="AH2719" i="3"/>
  <c r="AH2718" i="3"/>
  <c r="AH2717" i="3"/>
  <c r="AH2716" i="3"/>
  <c r="AH2715" i="3"/>
  <c r="AH2714" i="3"/>
  <c r="AH2713" i="3"/>
  <c r="AH2712" i="3"/>
  <c r="AH2711" i="3"/>
  <c r="AH2710" i="3"/>
  <c r="AH2709" i="3"/>
  <c r="AH2708" i="3"/>
  <c r="AH2707" i="3"/>
  <c r="AH2706" i="3"/>
  <c r="AH2705" i="3"/>
  <c r="AH2704" i="3"/>
  <c r="AH2703" i="3"/>
  <c r="AH2702" i="3"/>
  <c r="AH2701" i="3"/>
  <c r="AH2700" i="3"/>
  <c r="AH2699" i="3"/>
  <c r="AH2698" i="3"/>
  <c r="AH2697" i="3"/>
  <c r="AH2696" i="3"/>
  <c r="AH2695" i="3"/>
  <c r="AH2694" i="3"/>
  <c r="AH2693" i="3"/>
  <c r="AH2692" i="3"/>
  <c r="AH2691" i="3"/>
  <c r="AH2690" i="3"/>
  <c r="AH2689" i="3"/>
  <c r="AH2688" i="3"/>
  <c r="AH2687" i="3"/>
  <c r="AH2686" i="3"/>
  <c r="AH2685" i="3"/>
  <c r="AH2684" i="3"/>
  <c r="AH2683" i="3"/>
  <c r="AH2682" i="3"/>
  <c r="AH2681" i="3"/>
  <c r="AH2680" i="3"/>
  <c r="AH2679" i="3"/>
  <c r="AH2678" i="3"/>
  <c r="AH2677" i="3"/>
  <c r="AH2676" i="3"/>
  <c r="AH2675" i="3"/>
  <c r="AH2674" i="3"/>
  <c r="AH2673" i="3"/>
  <c r="AH2672" i="3"/>
  <c r="AH2671" i="3"/>
  <c r="AH2670" i="3"/>
  <c r="AH2669" i="3"/>
  <c r="AH2668" i="3"/>
  <c r="AH2667" i="3"/>
  <c r="AH2666" i="3"/>
  <c r="AH2665" i="3"/>
  <c r="AH2664" i="3"/>
  <c r="AH2663" i="3"/>
  <c r="AH2662" i="3"/>
  <c r="AH2661" i="3"/>
  <c r="AH2660" i="3"/>
  <c r="AH2659" i="3"/>
  <c r="AH2658" i="3"/>
  <c r="AH2657" i="3"/>
  <c r="AH2656" i="3"/>
  <c r="AH2655" i="3"/>
  <c r="AH2654" i="3"/>
  <c r="AH2653" i="3"/>
  <c r="AH2652" i="3"/>
  <c r="AH2651" i="3"/>
  <c r="AH2650" i="3"/>
  <c r="AH2649" i="3"/>
  <c r="AH2648" i="3"/>
  <c r="AH2647" i="3"/>
  <c r="AH2646" i="3"/>
  <c r="AH2645" i="3"/>
  <c r="AH2644" i="3"/>
  <c r="AH2643" i="3"/>
  <c r="AH2642" i="3"/>
  <c r="AH2641" i="3"/>
  <c r="AH2640" i="3"/>
  <c r="AH2639" i="3"/>
  <c r="AH2638" i="3"/>
  <c r="AH2637" i="3"/>
  <c r="AH2636" i="3"/>
  <c r="AH2635" i="3"/>
  <c r="AH2634" i="3"/>
  <c r="AH2633" i="3"/>
  <c r="AH2632" i="3"/>
  <c r="AH2631" i="3"/>
  <c r="AH2630" i="3"/>
  <c r="AH2629" i="3"/>
  <c r="AH2628" i="3"/>
  <c r="AH2627" i="3"/>
  <c r="AH2626" i="3"/>
  <c r="AH2625" i="3"/>
  <c r="AH2624" i="3"/>
  <c r="AH2623" i="3"/>
  <c r="AH2622" i="3"/>
  <c r="AH2621" i="3"/>
  <c r="AH2620" i="3"/>
  <c r="AH2619" i="3"/>
  <c r="AH2618" i="3"/>
  <c r="AH2617" i="3"/>
  <c r="AH2616" i="3"/>
  <c r="AH2615" i="3"/>
  <c r="AH2614" i="3"/>
  <c r="AH2613" i="3"/>
  <c r="AH2612" i="3"/>
  <c r="AH2611" i="3"/>
  <c r="AH2610" i="3"/>
  <c r="AH2609" i="3"/>
  <c r="AH2608" i="3"/>
  <c r="AH2607" i="3"/>
  <c r="AH2606" i="3"/>
  <c r="AH2605" i="3"/>
  <c r="AH2604" i="3"/>
  <c r="AH2603" i="3"/>
  <c r="AH2602" i="3"/>
  <c r="AH2601" i="3"/>
  <c r="AH2600" i="3"/>
  <c r="AH2599" i="3"/>
  <c r="AH2598" i="3"/>
  <c r="AH2597" i="3"/>
  <c r="AH2596" i="3"/>
  <c r="AH2595" i="3"/>
  <c r="AH2594" i="3"/>
  <c r="AH2593" i="3"/>
  <c r="AH2592" i="3"/>
  <c r="AH2591" i="3"/>
  <c r="AH2590" i="3"/>
  <c r="AH2589" i="3"/>
  <c r="AH2588" i="3"/>
  <c r="AH2587" i="3"/>
  <c r="AH2586" i="3"/>
  <c r="AH2585" i="3"/>
  <c r="AH2584" i="3"/>
  <c r="AH2583" i="3"/>
  <c r="AH2582" i="3"/>
  <c r="AH2581" i="3"/>
  <c r="AH2580" i="3"/>
  <c r="AH2579" i="3"/>
  <c r="AH2578" i="3"/>
  <c r="AH2577" i="3"/>
  <c r="AH2576" i="3"/>
  <c r="AH2575" i="3"/>
  <c r="AH2574" i="3"/>
  <c r="AH2573" i="3"/>
  <c r="AH2572" i="3"/>
  <c r="AH2571" i="3"/>
  <c r="AH2570" i="3"/>
  <c r="AH2569" i="3"/>
  <c r="AH2568" i="3"/>
  <c r="AH2567" i="3"/>
  <c r="AH2566" i="3"/>
  <c r="AH2565" i="3"/>
  <c r="AH2564" i="3"/>
  <c r="AH2563" i="3"/>
  <c r="AH2562" i="3"/>
  <c r="AH2561" i="3"/>
  <c r="AH2560" i="3"/>
  <c r="AH2559" i="3"/>
  <c r="AH2558" i="3"/>
  <c r="AH2557" i="3"/>
  <c r="AH2556" i="3"/>
  <c r="AH2555" i="3"/>
  <c r="AH2554" i="3"/>
  <c r="AH2553" i="3"/>
  <c r="AH2552" i="3"/>
  <c r="AH2551" i="3"/>
  <c r="AH2550" i="3"/>
  <c r="AH2549" i="3"/>
  <c r="AH2548" i="3"/>
  <c r="AH2547" i="3"/>
  <c r="AH2546" i="3"/>
  <c r="AH2545" i="3"/>
  <c r="AH2544" i="3"/>
  <c r="AH2543" i="3"/>
  <c r="AH2542" i="3"/>
  <c r="AH2541" i="3"/>
  <c r="AH2540" i="3"/>
  <c r="AH2539" i="3"/>
  <c r="AH2538" i="3"/>
  <c r="AH2537" i="3"/>
  <c r="AH2536" i="3"/>
  <c r="AH2535" i="3"/>
  <c r="AH2534" i="3"/>
  <c r="AH2533" i="3"/>
  <c r="AH2532" i="3"/>
  <c r="AH2531" i="3"/>
  <c r="AH2530" i="3"/>
  <c r="AH2529" i="3"/>
  <c r="AH2528" i="3"/>
  <c r="AH2527" i="3"/>
  <c r="AH2526" i="3"/>
  <c r="AH2525" i="3"/>
  <c r="AH2524" i="3"/>
  <c r="AH2523" i="3"/>
  <c r="AH2522" i="3"/>
  <c r="AH2521" i="3"/>
  <c r="AH2520" i="3"/>
  <c r="AH2519" i="3"/>
  <c r="AH2518" i="3"/>
  <c r="AH2517" i="3"/>
  <c r="AH2516" i="3"/>
  <c r="AH2515" i="3"/>
  <c r="AH2514" i="3"/>
  <c r="AH2513" i="3"/>
  <c r="AH2512" i="3"/>
  <c r="AH2511" i="3"/>
  <c r="AH2510" i="3"/>
  <c r="AH2509" i="3"/>
  <c r="AH2508" i="3"/>
  <c r="AH2507" i="3"/>
  <c r="AH2506" i="3"/>
  <c r="AH2505" i="3"/>
  <c r="AH2504" i="3"/>
  <c r="AH2503" i="3"/>
  <c r="AH2502" i="3"/>
  <c r="AH2501" i="3"/>
  <c r="AH2500" i="3"/>
  <c r="AH2499" i="3"/>
  <c r="AH2498" i="3"/>
  <c r="AH2497" i="3"/>
  <c r="AH2496" i="3"/>
  <c r="AH2495" i="3"/>
  <c r="AH2494" i="3"/>
  <c r="AH2493" i="3"/>
  <c r="AH2492" i="3"/>
  <c r="AH2491" i="3"/>
  <c r="AH2490" i="3"/>
  <c r="AH2489" i="3"/>
  <c r="AH2488" i="3"/>
  <c r="AH2487" i="3"/>
  <c r="AH2486" i="3"/>
  <c r="AH2485" i="3"/>
  <c r="AH2484" i="3"/>
  <c r="AH2483" i="3"/>
  <c r="AH2482" i="3"/>
  <c r="AH2481" i="3"/>
  <c r="AH2480" i="3"/>
  <c r="AH2479" i="3"/>
  <c r="AH2478" i="3"/>
  <c r="AH2477" i="3"/>
  <c r="AH2476" i="3"/>
  <c r="AH2475" i="3"/>
  <c r="AH2474" i="3"/>
  <c r="AH2473" i="3"/>
  <c r="AH2472" i="3"/>
  <c r="AH2471" i="3"/>
  <c r="AH2470" i="3"/>
  <c r="AH2469" i="3"/>
  <c r="AH2468" i="3"/>
  <c r="AH2467" i="3"/>
  <c r="AH2466" i="3"/>
  <c r="AH2465" i="3"/>
  <c r="AH2464" i="3"/>
  <c r="AH2463" i="3"/>
  <c r="AH2462" i="3"/>
  <c r="AH2461" i="3"/>
  <c r="AH2460" i="3"/>
  <c r="AH2459" i="3"/>
  <c r="AH2458" i="3"/>
  <c r="AH2457" i="3"/>
  <c r="AH2456" i="3"/>
  <c r="AH2455" i="3"/>
  <c r="AH2454" i="3"/>
  <c r="AH2453" i="3"/>
  <c r="AH2452" i="3"/>
  <c r="AH2451" i="3"/>
  <c r="AH2450" i="3"/>
  <c r="AH2449" i="3"/>
  <c r="AH2448" i="3"/>
  <c r="AH2447" i="3"/>
  <c r="AH2446" i="3"/>
  <c r="AH2445" i="3"/>
  <c r="AH2444" i="3"/>
  <c r="AH2443" i="3"/>
  <c r="AH2442" i="3"/>
  <c r="AH2441" i="3"/>
  <c r="AH2440" i="3"/>
  <c r="AH2439" i="3"/>
  <c r="AH2438" i="3"/>
  <c r="AH2437" i="3"/>
  <c r="AH2436" i="3"/>
  <c r="AH2435" i="3"/>
  <c r="AH2434" i="3"/>
  <c r="AH2433" i="3"/>
  <c r="AH2432" i="3"/>
  <c r="AH2431" i="3"/>
  <c r="AH2430" i="3"/>
  <c r="AH2429" i="3"/>
  <c r="AH2428" i="3"/>
  <c r="AH2427" i="3"/>
  <c r="AH2426" i="3"/>
  <c r="AH2425" i="3"/>
  <c r="AH2424" i="3"/>
  <c r="AH2423" i="3"/>
  <c r="AH2422" i="3"/>
  <c r="AH2421" i="3"/>
  <c r="AH2420" i="3"/>
  <c r="AH2419" i="3"/>
  <c r="AH2418" i="3"/>
  <c r="AH2417" i="3"/>
  <c r="AH2416" i="3"/>
  <c r="AH2415" i="3"/>
  <c r="AH2414" i="3"/>
  <c r="AH2413" i="3"/>
  <c r="AH2412" i="3"/>
  <c r="AH2411" i="3"/>
  <c r="AH2410" i="3"/>
  <c r="AH2409" i="3"/>
  <c r="AH2408" i="3"/>
  <c r="AH2407" i="3"/>
  <c r="AH2406" i="3"/>
  <c r="AH2405" i="3"/>
  <c r="AH2404" i="3"/>
  <c r="AH2403" i="3"/>
  <c r="AH2402" i="3"/>
  <c r="AH2401" i="3"/>
  <c r="AH2400" i="3"/>
  <c r="AH2399" i="3"/>
  <c r="AH2398" i="3"/>
  <c r="AH2397" i="3"/>
  <c r="AH2396" i="3"/>
  <c r="AH2395" i="3"/>
  <c r="AH2394" i="3"/>
  <c r="AH2393" i="3"/>
  <c r="AH2392" i="3"/>
  <c r="AH2391" i="3"/>
  <c r="AH2390" i="3"/>
  <c r="AH2389" i="3"/>
  <c r="AH2388" i="3"/>
  <c r="AH2387" i="3"/>
  <c r="AH2386" i="3"/>
  <c r="AH2385" i="3"/>
  <c r="AH2384" i="3"/>
  <c r="AH2383" i="3"/>
  <c r="AH2382" i="3"/>
  <c r="AH2381" i="3"/>
  <c r="AH2380" i="3"/>
  <c r="AH2379" i="3"/>
  <c r="AH2378" i="3"/>
  <c r="AH2377" i="3"/>
  <c r="AH2376" i="3"/>
  <c r="AH2375" i="3"/>
  <c r="AH2374" i="3"/>
  <c r="AH2373" i="3"/>
  <c r="AH2372" i="3"/>
  <c r="AH2371" i="3"/>
  <c r="AH2370" i="3"/>
  <c r="AH2369" i="3"/>
  <c r="AH2368" i="3"/>
  <c r="AH2367" i="3"/>
  <c r="AH2366" i="3"/>
  <c r="AH2365" i="3"/>
  <c r="AH2364" i="3"/>
  <c r="AH2363" i="3"/>
  <c r="AH2362" i="3"/>
  <c r="AH2361" i="3"/>
  <c r="AH2360" i="3"/>
  <c r="AH2359" i="3"/>
  <c r="AH2358" i="3"/>
  <c r="AH2357" i="3"/>
  <c r="AH2356" i="3"/>
  <c r="AH2355" i="3"/>
  <c r="AH2354" i="3"/>
  <c r="AH2353" i="3"/>
  <c r="AH2352" i="3"/>
  <c r="AH2351" i="3"/>
  <c r="AH2350" i="3"/>
  <c r="AH2349" i="3"/>
  <c r="AH2348" i="3"/>
  <c r="AH2347" i="3"/>
  <c r="AH2346" i="3"/>
  <c r="AH2345" i="3"/>
  <c r="AH2344" i="3"/>
  <c r="AH2343" i="3"/>
  <c r="AH2342" i="3"/>
  <c r="AH2341" i="3"/>
  <c r="AH2340" i="3"/>
  <c r="AH2339" i="3"/>
  <c r="AH2338" i="3"/>
  <c r="AH2337" i="3"/>
  <c r="AH2336" i="3"/>
  <c r="AH2335" i="3"/>
  <c r="AH2334" i="3"/>
  <c r="AH2333" i="3"/>
  <c r="AH2332" i="3"/>
  <c r="AH2331" i="3"/>
  <c r="AH2330" i="3"/>
  <c r="AH2329" i="3"/>
  <c r="AH2328" i="3"/>
  <c r="AH2327" i="3"/>
  <c r="AH2326" i="3"/>
  <c r="AH2325" i="3"/>
  <c r="AH2324" i="3"/>
  <c r="AH2323" i="3"/>
  <c r="AH2322" i="3"/>
  <c r="AH2321" i="3"/>
  <c r="AH2320" i="3"/>
  <c r="AH2319" i="3"/>
  <c r="AH2318" i="3"/>
  <c r="AH2317" i="3"/>
  <c r="AH2316" i="3"/>
  <c r="AH2315" i="3"/>
  <c r="AH2314" i="3"/>
  <c r="AH2313" i="3"/>
  <c r="AH2312" i="3"/>
  <c r="AH2311" i="3"/>
  <c r="AH2310" i="3"/>
  <c r="AH2309" i="3"/>
  <c r="AH2308" i="3"/>
  <c r="AH2307" i="3"/>
  <c r="AH2306" i="3"/>
  <c r="AH2305" i="3"/>
  <c r="AH2304" i="3"/>
  <c r="AH2303" i="3"/>
  <c r="AH2302" i="3"/>
  <c r="AH2301" i="3"/>
  <c r="AH2300" i="3"/>
  <c r="AH2299" i="3"/>
  <c r="AH2298" i="3"/>
  <c r="AH2297" i="3"/>
  <c r="AH2296" i="3"/>
  <c r="AH2295" i="3"/>
  <c r="AH2294" i="3"/>
  <c r="AH2293" i="3"/>
  <c r="AH2292" i="3"/>
  <c r="AH2291" i="3"/>
  <c r="AH2290" i="3"/>
  <c r="AH2289" i="3"/>
  <c r="AH2288" i="3"/>
  <c r="AH2287" i="3"/>
  <c r="AH2286" i="3"/>
  <c r="AH2285" i="3"/>
  <c r="AH2284" i="3"/>
  <c r="AH2283" i="3"/>
  <c r="AH2282" i="3"/>
  <c r="AH2281" i="3"/>
  <c r="AH2280" i="3"/>
  <c r="AH2279" i="3"/>
  <c r="AH2278" i="3"/>
  <c r="AH2277" i="3"/>
  <c r="AH2276" i="3"/>
  <c r="AH2275" i="3"/>
  <c r="AH2274" i="3"/>
  <c r="AH2273" i="3"/>
  <c r="AH2272" i="3"/>
  <c r="AH2271" i="3"/>
  <c r="AH2270" i="3"/>
  <c r="AH2269" i="3"/>
  <c r="AH2268" i="3"/>
  <c r="AH2267" i="3"/>
  <c r="AH2266" i="3"/>
  <c r="AH2265" i="3"/>
  <c r="AH2264" i="3"/>
  <c r="AH2263" i="3"/>
  <c r="AH2262" i="3"/>
  <c r="AH2261" i="3"/>
  <c r="AH2260" i="3"/>
  <c r="AH2259" i="3"/>
  <c r="AH2258" i="3"/>
  <c r="AH2257" i="3"/>
  <c r="AH2256" i="3"/>
  <c r="AH2255" i="3"/>
  <c r="AH2254" i="3"/>
  <c r="AH2253" i="3"/>
  <c r="AH2252" i="3"/>
  <c r="AH2251" i="3"/>
  <c r="AH2250" i="3"/>
  <c r="AH2249" i="3"/>
  <c r="AH2248" i="3"/>
  <c r="AH2247" i="3"/>
  <c r="AH2246" i="3"/>
  <c r="AH2245" i="3"/>
  <c r="AH2244" i="3"/>
  <c r="AH2243" i="3"/>
  <c r="AH2242" i="3"/>
  <c r="AH2241" i="3"/>
  <c r="AH2240" i="3"/>
  <c r="AH2239" i="3"/>
  <c r="AH2238" i="3"/>
  <c r="AH2237" i="3"/>
  <c r="AH2236" i="3"/>
  <c r="AH2235" i="3"/>
  <c r="AH2234" i="3"/>
  <c r="AH2233" i="3"/>
  <c r="AH2232" i="3"/>
  <c r="AH2231" i="3"/>
  <c r="AH2230" i="3"/>
  <c r="AH2229" i="3"/>
  <c r="AH2228" i="3"/>
  <c r="AH2227" i="3"/>
  <c r="AH2226" i="3"/>
  <c r="AH2225" i="3"/>
  <c r="AH2224" i="3"/>
  <c r="AH2223" i="3"/>
  <c r="AH2222" i="3"/>
  <c r="AH2221" i="3"/>
  <c r="AH2220" i="3"/>
  <c r="AH2219" i="3"/>
  <c r="AH2218" i="3"/>
  <c r="AH2217" i="3"/>
  <c r="AH2216" i="3"/>
  <c r="AH2215" i="3"/>
  <c r="AH2214" i="3"/>
  <c r="AH2213" i="3"/>
  <c r="AH2212" i="3"/>
  <c r="AH2211" i="3"/>
  <c r="AH2210" i="3"/>
  <c r="AH2209" i="3"/>
  <c r="AH2208" i="3"/>
  <c r="AH2207" i="3"/>
  <c r="AH2206" i="3"/>
  <c r="AH2205" i="3"/>
  <c r="AH2204" i="3"/>
  <c r="AH2203" i="3"/>
  <c r="AH2202" i="3"/>
  <c r="AH2201" i="3"/>
  <c r="AH2200" i="3"/>
  <c r="AH2199" i="3"/>
  <c r="AH2198" i="3"/>
  <c r="AH2197" i="3"/>
  <c r="AH2196" i="3"/>
  <c r="AH2195" i="3"/>
  <c r="AH2194" i="3"/>
  <c r="AH2193" i="3"/>
  <c r="AH2192" i="3"/>
  <c r="AH2191" i="3"/>
  <c r="AH2190" i="3"/>
  <c r="AH2189" i="3"/>
  <c r="AH2188" i="3"/>
  <c r="AH2187" i="3"/>
  <c r="AH2186" i="3"/>
  <c r="AH2185" i="3"/>
  <c r="AH2184" i="3"/>
  <c r="AH2183" i="3"/>
  <c r="AH2182" i="3"/>
  <c r="AH2181" i="3"/>
  <c r="AH2180" i="3"/>
  <c r="AH2179" i="3"/>
  <c r="AH2178" i="3"/>
  <c r="AH2177" i="3"/>
  <c r="AH2176" i="3"/>
  <c r="AH2175" i="3"/>
  <c r="AH2174" i="3"/>
  <c r="AH2173" i="3"/>
  <c r="AH2172" i="3"/>
  <c r="AH2171" i="3"/>
  <c r="AH2170" i="3"/>
  <c r="AH2169" i="3"/>
  <c r="AH2168" i="3"/>
  <c r="AH2167" i="3"/>
  <c r="AH2166" i="3"/>
  <c r="AH2165" i="3"/>
  <c r="AH2164" i="3"/>
  <c r="AH2163" i="3"/>
  <c r="AH2162" i="3"/>
  <c r="AH2161" i="3"/>
  <c r="AH2160" i="3"/>
  <c r="AH2159" i="3"/>
  <c r="AH2158" i="3"/>
  <c r="AH2157" i="3"/>
  <c r="AH2156" i="3"/>
  <c r="AH2155" i="3"/>
  <c r="AH2154" i="3"/>
  <c r="AH2153" i="3"/>
  <c r="AH2152" i="3"/>
  <c r="AH2151" i="3"/>
  <c r="AH2150" i="3"/>
  <c r="AH2149" i="3"/>
  <c r="AH2148" i="3"/>
  <c r="AH2147" i="3"/>
  <c r="AH2146" i="3"/>
  <c r="AH2145" i="3"/>
  <c r="AH2144" i="3"/>
  <c r="AH2143" i="3"/>
  <c r="AH2142" i="3"/>
  <c r="AH2141" i="3"/>
  <c r="AH2140" i="3"/>
  <c r="AH2139" i="3"/>
  <c r="AH2138" i="3"/>
  <c r="AH2137" i="3"/>
  <c r="AH2136" i="3"/>
  <c r="AH2135" i="3"/>
  <c r="AH2134" i="3"/>
  <c r="AH2133" i="3"/>
  <c r="AH2132" i="3"/>
  <c r="AH2131" i="3"/>
  <c r="AH2130" i="3"/>
  <c r="AH2129" i="3"/>
  <c r="AH2128" i="3"/>
  <c r="AH2127" i="3"/>
  <c r="AH2126" i="3"/>
  <c r="AH2125" i="3"/>
  <c r="AH2124" i="3"/>
  <c r="AH2123" i="3"/>
  <c r="AH2122" i="3"/>
  <c r="AH2121" i="3"/>
  <c r="AH2120" i="3"/>
  <c r="AH2119" i="3"/>
  <c r="AH2118" i="3"/>
  <c r="AH2117" i="3"/>
  <c r="AH2116" i="3"/>
  <c r="AH2115" i="3"/>
  <c r="AH2114" i="3"/>
  <c r="AH2113" i="3"/>
  <c r="AH2112" i="3"/>
  <c r="AH2111" i="3"/>
  <c r="AH2110" i="3"/>
  <c r="AH2109" i="3"/>
  <c r="AH2108" i="3"/>
  <c r="AH2107" i="3"/>
  <c r="AH2106" i="3"/>
  <c r="AH2105" i="3"/>
  <c r="AH2104" i="3"/>
  <c r="AH2103" i="3"/>
  <c r="AH2102" i="3"/>
  <c r="AH2101" i="3"/>
  <c r="AH2100" i="3"/>
  <c r="AH2099" i="3"/>
  <c r="AH2098" i="3"/>
  <c r="AH2097" i="3"/>
  <c r="AH2096" i="3"/>
  <c r="AH2095" i="3"/>
  <c r="AH2094" i="3"/>
  <c r="AH2093" i="3"/>
  <c r="AH2092" i="3"/>
  <c r="AH2091" i="3"/>
  <c r="AH2090" i="3"/>
  <c r="AH2089" i="3"/>
  <c r="AH2088" i="3"/>
  <c r="AH2087" i="3"/>
  <c r="AH2086" i="3"/>
  <c r="AH2085" i="3"/>
  <c r="AH2084" i="3"/>
  <c r="AH2083" i="3"/>
  <c r="AH2082" i="3"/>
  <c r="AH2081" i="3"/>
  <c r="AH2080" i="3"/>
  <c r="AH2079" i="3"/>
  <c r="AH2078" i="3"/>
  <c r="AH2077" i="3"/>
  <c r="AH2076" i="3"/>
  <c r="AH2075" i="3"/>
  <c r="AH2074" i="3"/>
  <c r="AH2073" i="3"/>
  <c r="AH2072" i="3"/>
  <c r="AH2071" i="3"/>
  <c r="AH2070" i="3"/>
  <c r="AH2069" i="3"/>
  <c r="AH2068" i="3"/>
  <c r="AH2067" i="3"/>
  <c r="AH2066" i="3"/>
  <c r="AH2065" i="3"/>
  <c r="AH2064" i="3"/>
  <c r="AH2063" i="3"/>
  <c r="AH2062" i="3"/>
  <c r="AH2061" i="3"/>
  <c r="AH2060" i="3"/>
  <c r="AH2059" i="3"/>
  <c r="AH2058" i="3"/>
  <c r="AH2057" i="3"/>
  <c r="AH2056" i="3"/>
  <c r="AH2055" i="3"/>
  <c r="AH2054" i="3"/>
  <c r="AH2053" i="3"/>
  <c r="AH2052" i="3"/>
  <c r="AH2051" i="3"/>
  <c r="AH2050" i="3"/>
  <c r="AH2049" i="3"/>
  <c r="AH2048" i="3"/>
  <c r="AH2047" i="3"/>
  <c r="AH2046" i="3"/>
  <c r="AH2045" i="3"/>
  <c r="AH2044" i="3"/>
  <c r="AH2043" i="3"/>
  <c r="AH2042" i="3"/>
  <c r="AH2041" i="3"/>
  <c r="AH2040" i="3"/>
  <c r="AH2039" i="3"/>
  <c r="AH2038" i="3"/>
  <c r="AH2037" i="3"/>
  <c r="AH2036" i="3"/>
  <c r="AH2035" i="3"/>
  <c r="AH2034" i="3"/>
  <c r="AH2033" i="3"/>
  <c r="AH2032" i="3"/>
  <c r="AH2031" i="3"/>
  <c r="AH2030" i="3"/>
  <c r="AH2029" i="3"/>
  <c r="AH2028" i="3"/>
  <c r="AH2027" i="3"/>
  <c r="AH2026" i="3"/>
  <c r="AH2025" i="3"/>
  <c r="AH2024" i="3"/>
  <c r="AH2023" i="3"/>
  <c r="AH2022" i="3"/>
  <c r="AH2021" i="3"/>
  <c r="AH2020" i="3"/>
  <c r="AH2019" i="3"/>
  <c r="AH2018" i="3"/>
  <c r="AH2017" i="3"/>
  <c r="AH2016" i="3"/>
  <c r="AH2015" i="3"/>
  <c r="AH2014" i="3"/>
  <c r="AH2013" i="3"/>
  <c r="AH2012" i="3"/>
  <c r="AH2011" i="3"/>
  <c r="AH2010" i="3"/>
  <c r="AH2009" i="3"/>
  <c r="AH2008" i="3"/>
  <c r="AH2007" i="3"/>
  <c r="AH2006" i="3"/>
  <c r="AH2005" i="3"/>
  <c r="AH2004" i="3"/>
  <c r="AH2003" i="3"/>
  <c r="AH2002" i="3"/>
  <c r="AH2001" i="3"/>
  <c r="AH2000" i="3"/>
  <c r="AH1999" i="3"/>
  <c r="AH1998" i="3"/>
  <c r="AH1997" i="3"/>
  <c r="AH1996" i="3"/>
  <c r="AH1995" i="3"/>
  <c r="AH1994" i="3"/>
  <c r="AH1993" i="3"/>
  <c r="AH1992" i="3"/>
  <c r="AH1991" i="3"/>
  <c r="AH1990" i="3"/>
  <c r="AH1989" i="3"/>
  <c r="AH1988" i="3"/>
  <c r="AH1987" i="3"/>
  <c r="AH1986" i="3"/>
  <c r="AH1985" i="3"/>
  <c r="AH1984" i="3"/>
  <c r="AH1983" i="3"/>
  <c r="AH1982" i="3"/>
  <c r="AH1981" i="3"/>
  <c r="AH1980" i="3"/>
  <c r="AH1979" i="3"/>
  <c r="AH1978" i="3"/>
  <c r="AH1977" i="3"/>
  <c r="AH1976" i="3"/>
  <c r="AH1975" i="3"/>
  <c r="AH1974" i="3"/>
  <c r="AH1973" i="3"/>
  <c r="AH1972" i="3"/>
  <c r="AH1971" i="3"/>
  <c r="AH1970" i="3"/>
  <c r="AH1969" i="3"/>
  <c r="AH1968" i="3"/>
  <c r="AH1967" i="3"/>
  <c r="AH1966" i="3"/>
  <c r="AH1965" i="3"/>
  <c r="AH1964" i="3"/>
  <c r="AH1963" i="3"/>
  <c r="AH1962" i="3"/>
  <c r="AH1961" i="3"/>
  <c r="AH1960" i="3"/>
  <c r="AH1959" i="3"/>
  <c r="AH1958" i="3"/>
  <c r="AH1957" i="3"/>
  <c r="AH1956" i="3"/>
  <c r="AH1955" i="3"/>
  <c r="AH1954" i="3"/>
  <c r="AH1953" i="3"/>
  <c r="AH1952" i="3"/>
  <c r="AH1951" i="3"/>
  <c r="AH1950" i="3"/>
  <c r="AH1949" i="3"/>
  <c r="AH1948" i="3"/>
  <c r="AH1947" i="3"/>
  <c r="AH1946" i="3"/>
  <c r="AH1945" i="3"/>
  <c r="AH1944" i="3"/>
  <c r="AH1943" i="3"/>
  <c r="AH1942" i="3"/>
  <c r="AH1941" i="3"/>
  <c r="AH1940" i="3"/>
  <c r="AH1939" i="3"/>
  <c r="AH1938" i="3"/>
  <c r="AH1937" i="3"/>
  <c r="AH1936" i="3"/>
  <c r="AH1935" i="3"/>
  <c r="AH1934" i="3"/>
  <c r="AH1933" i="3"/>
  <c r="AH1932" i="3"/>
  <c r="AH1931" i="3"/>
  <c r="AH1930" i="3"/>
  <c r="AH1929" i="3"/>
  <c r="AH1928" i="3"/>
  <c r="AH1927" i="3"/>
  <c r="AH1926" i="3"/>
  <c r="AH1925" i="3"/>
  <c r="AH1924" i="3"/>
  <c r="AH1923" i="3"/>
  <c r="AH1922" i="3"/>
  <c r="AH1921" i="3"/>
  <c r="AH1920" i="3"/>
  <c r="AH1919" i="3"/>
  <c r="AH1918" i="3"/>
  <c r="AH1917" i="3"/>
  <c r="AH1916" i="3"/>
  <c r="AH1915" i="3"/>
  <c r="AH1914" i="3"/>
  <c r="AH1913" i="3"/>
  <c r="AH1912" i="3"/>
  <c r="AH1911" i="3"/>
  <c r="AH1910" i="3"/>
  <c r="AH1909" i="3"/>
  <c r="AH1908" i="3"/>
  <c r="AH1907" i="3"/>
  <c r="AH1906" i="3"/>
  <c r="AH1905" i="3"/>
  <c r="AH1904" i="3"/>
  <c r="AH1903" i="3"/>
  <c r="AH1902" i="3"/>
  <c r="AH1901" i="3"/>
  <c r="AH1900" i="3"/>
  <c r="AH1899" i="3"/>
  <c r="AH1898" i="3"/>
  <c r="AH1897" i="3"/>
  <c r="AH1896" i="3"/>
  <c r="AH1895" i="3"/>
  <c r="AH1894" i="3"/>
  <c r="AH1893" i="3"/>
  <c r="AH1892" i="3"/>
  <c r="AH1891" i="3"/>
  <c r="AH1890" i="3"/>
  <c r="AH1889" i="3"/>
  <c r="AH1888" i="3"/>
  <c r="AH1887" i="3"/>
  <c r="AH1886" i="3"/>
  <c r="AH1885" i="3"/>
  <c r="AH1884" i="3"/>
  <c r="AH1883" i="3"/>
  <c r="AH1882" i="3"/>
  <c r="AH1881" i="3"/>
  <c r="AH1880" i="3"/>
  <c r="AH1879" i="3"/>
  <c r="AH1878" i="3"/>
  <c r="AH1877" i="3"/>
  <c r="AH1876" i="3"/>
  <c r="AH1875" i="3"/>
  <c r="AH1874" i="3"/>
  <c r="AH1873" i="3"/>
  <c r="AH1872" i="3"/>
  <c r="AH1871" i="3"/>
  <c r="AH1870" i="3"/>
  <c r="AH1869" i="3"/>
  <c r="AH1868" i="3"/>
  <c r="AH1867" i="3"/>
  <c r="AH1866" i="3"/>
  <c r="AH1865" i="3"/>
  <c r="AH1864" i="3"/>
  <c r="AH1863" i="3"/>
  <c r="AH1862" i="3"/>
  <c r="AH1861" i="3"/>
  <c r="AH1860" i="3"/>
  <c r="AH1859" i="3"/>
  <c r="AH1858" i="3"/>
  <c r="AH1857" i="3"/>
  <c r="AH1856" i="3"/>
  <c r="AH1855" i="3"/>
  <c r="AH1854" i="3"/>
  <c r="AH1853" i="3"/>
  <c r="AH1852" i="3"/>
  <c r="AH1851" i="3"/>
  <c r="AH1850" i="3"/>
  <c r="AH1849" i="3"/>
  <c r="AH1848" i="3"/>
  <c r="AH1847" i="3"/>
  <c r="AH1846" i="3"/>
  <c r="AH1845" i="3"/>
  <c r="AH1844" i="3"/>
  <c r="AH1843" i="3"/>
  <c r="AH1842" i="3"/>
  <c r="AH1841" i="3"/>
  <c r="AH1840" i="3"/>
  <c r="AH1839" i="3"/>
  <c r="AH1838" i="3"/>
  <c r="AH1837" i="3"/>
  <c r="AH1836" i="3"/>
  <c r="AH1835" i="3"/>
  <c r="AH1834" i="3"/>
  <c r="AH1833" i="3"/>
  <c r="AH1832" i="3"/>
  <c r="AH1831" i="3"/>
  <c r="AH1830" i="3"/>
  <c r="AH1829" i="3"/>
  <c r="AH1828" i="3"/>
  <c r="AH1827" i="3"/>
  <c r="AH1826" i="3"/>
  <c r="AH1825" i="3"/>
  <c r="AH1824" i="3"/>
  <c r="AH1823" i="3"/>
  <c r="AH1822" i="3"/>
  <c r="AH1821" i="3"/>
  <c r="AH1820" i="3"/>
  <c r="AH1819" i="3"/>
  <c r="AH1818" i="3"/>
  <c r="AH1817" i="3"/>
  <c r="AH1816" i="3"/>
  <c r="AH1815" i="3"/>
  <c r="AH1814" i="3"/>
  <c r="AH1813" i="3"/>
  <c r="AH1812" i="3"/>
  <c r="AH1811" i="3"/>
  <c r="AH1810" i="3"/>
  <c r="AH1809" i="3"/>
  <c r="AH1808" i="3"/>
  <c r="AH1807" i="3"/>
  <c r="AH1806" i="3"/>
  <c r="AH1805" i="3"/>
  <c r="AH1804" i="3"/>
  <c r="AH1803" i="3"/>
  <c r="AH1802" i="3"/>
  <c r="AH1801" i="3"/>
  <c r="AH1800" i="3"/>
  <c r="AH1799" i="3"/>
  <c r="AH1798" i="3"/>
  <c r="AH1797" i="3"/>
  <c r="AH1796" i="3"/>
  <c r="AH1795" i="3"/>
  <c r="AH1794" i="3"/>
  <c r="AH1793" i="3"/>
  <c r="AH1792" i="3"/>
  <c r="AH1791" i="3"/>
  <c r="AH1790" i="3"/>
  <c r="AH1789" i="3"/>
  <c r="AH1788" i="3"/>
  <c r="AH1787" i="3"/>
  <c r="AH1786" i="3"/>
  <c r="AH1785" i="3"/>
  <c r="AH1784" i="3"/>
  <c r="AH1783" i="3"/>
  <c r="AH1782" i="3"/>
  <c r="AH1781" i="3"/>
  <c r="AH1780" i="3"/>
  <c r="AH1779" i="3"/>
  <c r="AH1778" i="3"/>
  <c r="AH1777" i="3"/>
  <c r="AH1776" i="3"/>
  <c r="AH1775" i="3"/>
  <c r="AH1774" i="3"/>
  <c r="AH1773" i="3"/>
  <c r="AH1772" i="3"/>
  <c r="AH1771" i="3"/>
  <c r="AH1770" i="3"/>
  <c r="AH1769" i="3"/>
  <c r="AH1768" i="3"/>
  <c r="AH1767" i="3"/>
  <c r="AH1766" i="3"/>
  <c r="AH1765" i="3"/>
  <c r="AH1764" i="3"/>
  <c r="AH1763" i="3"/>
  <c r="AH1762" i="3"/>
  <c r="AH1761" i="3"/>
  <c r="AH1760" i="3"/>
  <c r="AH1759" i="3"/>
  <c r="AH1758" i="3"/>
  <c r="AH1757" i="3"/>
  <c r="AH1756" i="3"/>
  <c r="AH1755" i="3"/>
  <c r="AH1754" i="3"/>
  <c r="AH1753" i="3"/>
  <c r="AH1752" i="3"/>
  <c r="AH1751" i="3"/>
  <c r="AH1750" i="3"/>
  <c r="AH1749" i="3"/>
  <c r="AH1748" i="3"/>
  <c r="AH1747" i="3"/>
  <c r="AH1746" i="3"/>
  <c r="AH1745" i="3"/>
  <c r="AH1744" i="3"/>
  <c r="AH1743" i="3"/>
  <c r="AH1742" i="3"/>
  <c r="AH1741" i="3"/>
  <c r="AH1740" i="3"/>
  <c r="AH1739" i="3"/>
  <c r="AH1738" i="3"/>
  <c r="AH1737" i="3"/>
  <c r="AH1736" i="3"/>
  <c r="AH1735" i="3"/>
  <c r="AH1734" i="3"/>
  <c r="AH1733" i="3"/>
  <c r="AH1732" i="3"/>
  <c r="AH1731" i="3"/>
  <c r="AH1730" i="3"/>
  <c r="AH1729" i="3"/>
  <c r="AH1728" i="3"/>
  <c r="AH1727" i="3"/>
  <c r="AH1726" i="3"/>
  <c r="AH1725" i="3"/>
  <c r="AH1724" i="3"/>
  <c r="AH1723" i="3"/>
  <c r="AH1722" i="3"/>
  <c r="AH1721" i="3"/>
  <c r="AH1720" i="3"/>
  <c r="AH1719" i="3"/>
  <c r="AH1718" i="3"/>
  <c r="AH1717" i="3"/>
  <c r="AH1716" i="3"/>
  <c r="AH1715" i="3"/>
  <c r="AH1714" i="3"/>
  <c r="AH1713" i="3"/>
  <c r="AH1712" i="3"/>
  <c r="AH1711" i="3"/>
  <c r="AH1710" i="3"/>
  <c r="AH1709" i="3"/>
  <c r="AH1708" i="3"/>
  <c r="AH1707" i="3"/>
  <c r="AH1706" i="3"/>
  <c r="AH1705" i="3"/>
  <c r="AH1704" i="3"/>
  <c r="AH1703" i="3"/>
  <c r="AH1702" i="3"/>
  <c r="AH1701" i="3"/>
  <c r="AH1700" i="3"/>
  <c r="AH1699" i="3"/>
  <c r="AH1698" i="3"/>
  <c r="AH1697" i="3"/>
  <c r="AH1696" i="3"/>
  <c r="AH1695" i="3"/>
  <c r="AH1694" i="3"/>
  <c r="AH1693" i="3"/>
  <c r="AH1692" i="3"/>
  <c r="AH1691" i="3"/>
  <c r="AH1690" i="3"/>
  <c r="AH1689" i="3"/>
  <c r="AH1688" i="3"/>
  <c r="AH1687" i="3"/>
  <c r="AH1686" i="3"/>
  <c r="AH1685" i="3"/>
  <c r="AH1684" i="3"/>
  <c r="AH1683" i="3"/>
  <c r="AH1682" i="3"/>
  <c r="AH1681" i="3"/>
  <c r="AH1680" i="3"/>
  <c r="AH1679" i="3"/>
  <c r="AH1678" i="3"/>
  <c r="AH1677" i="3"/>
  <c r="AH1676" i="3"/>
  <c r="AH1675" i="3"/>
  <c r="AH1674" i="3"/>
  <c r="AH1673" i="3"/>
  <c r="AH1672" i="3"/>
  <c r="AH1671" i="3"/>
  <c r="AH1670" i="3"/>
  <c r="AH1669" i="3"/>
  <c r="AH1668" i="3"/>
  <c r="AH1667" i="3"/>
  <c r="AH1666" i="3"/>
  <c r="AH1665" i="3"/>
  <c r="AH1664" i="3"/>
  <c r="AH1663" i="3"/>
  <c r="AH1662" i="3"/>
  <c r="AH1661" i="3"/>
  <c r="AH1660" i="3"/>
  <c r="AH1659" i="3"/>
  <c r="AH1658" i="3"/>
  <c r="AH1657" i="3"/>
  <c r="AH1656" i="3"/>
  <c r="AH1655" i="3"/>
  <c r="AH1654" i="3"/>
  <c r="AH1653" i="3"/>
  <c r="AH1652" i="3"/>
  <c r="AH1651" i="3"/>
  <c r="AH1650" i="3"/>
  <c r="AH1649" i="3"/>
  <c r="AH1648" i="3"/>
  <c r="AH1647" i="3"/>
  <c r="AH1646" i="3"/>
  <c r="AH1645" i="3"/>
  <c r="AH1644" i="3"/>
  <c r="AH1643" i="3"/>
  <c r="AH1642" i="3"/>
  <c r="AH1641" i="3"/>
  <c r="AH1640" i="3"/>
  <c r="AH1639" i="3"/>
  <c r="AH1638" i="3"/>
  <c r="AH1637" i="3"/>
  <c r="AH1636" i="3"/>
  <c r="AH1635" i="3"/>
  <c r="AH1634" i="3"/>
  <c r="AH1633" i="3"/>
  <c r="AH1632" i="3"/>
  <c r="AH1631" i="3"/>
  <c r="AH1630" i="3"/>
  <c r="AH1629" i="3"/>
  <c r="AH1628" i="3"/>
  <c r="AH1627" i="3"/>
  <c r="AH1626" i="3"/>
  <c r="AH1625" i="3"/>
  <c r="AH1624" i="3"/>
  <c r="AH1623" i="3"/>
  <c r="AH1622" i="3"/>
  <c r="AH1621" i="3"/>
  <c r="AH1620" i="3"/>
  <c r="AH1619" i="3"/>
  <c r="AH1618" i="3"/>
  <c r="AH1617" i="3"/>
  <c r="AH1616" i="3"/>
  <c r="AH1615" i="3"/>
  <c r="AH1614" i="3"/>
  <c r="AH1613" i="3"/>
  <c r="AH1612" i="3"/>
  <c r="AH1611" i="3"/>
  <c r="AH1610" i="3"/>
  <c r="AH1609" i="3"/>
  <c r="AH1608" i="3"/>
  <c r="AH1607" i="3"/>
  <c r="AH1606" i="3"/>
  <c r="AH1605" i="3"/>
  <c r="AH1604" i="3"/>
  <c r="AH1603" i="3"/>
  <c r="AH1602" i="3"/>
  <c r="AH1601" i="3"/>
  <c r="AH1600" i="3"/>
  <c r="AH1599" i="3"/>
  <c r="AH1598" i="3"/>
  <c r="AH1597" i="3"/>
  <c r="AH1596" i="3"/>
  <c r="AH1595" i="3"/>
  <c r="AH1594" i="3"/>
  <c r="AH1593" i="3"/>
  <c r="AH1592" i="3"/>
  <c r="AH1591" i="3"/>
  <c r="AH1590" i="3"/>
  <c r="AH1589" i="3"/>
  <c r="AH1588" i="3"/>
  <c r="AH1587" i="3"/>
  <c r="AH1586" i="3"/>
  <c r="AH1585" i="3"/>
  <c r="AH1584" i="3"/>
  <c r="AH1583" i="3"/>
  <c r="AH1582" i="3"/>
  <c r="AH1581" i="3"/>
  <c r="AH1580" i="3"/>
  <c r="AH1579" i="3"/>
  <c r="AH1578" i="3"/>
  <c r="AH1577" i="3"/>
  <c r="AH1576" i="3"/>
  <c r="AH1575" i="3"/>
  <c r="AH1574" i="3"/>
  <c r="AH1573" i="3"/>
  <c r="AH1572" i="3"/>
  <c r="AH1571" i="3"/>
  <c r="AH1570" i="3"/>
  <c r="AH1569" i="3"/>
  <c r="AH1568" i="3"/>
  <c r="AH1567" i="3"/>
  <c r="AH1566" i="3"/>
  <c r="AH1565" i="3"/>
  <c r="AH1564" i="3"/>
  <c r="AH1563" i="3"/>
  <c r="AH1562" i="3"/>
  <c r="AH1561" i="3"/>
  <c r="AH1560" i="3"/>
  <c r="AH1559" i="3"/>
  <c r="AH1558" i="3"/>
  <c r="AH1557" i="3"/>
  <c r="AH1556" i="3"/>
  <c r="AH1555" i="3"/>
  <c r="AH1554" i="3"/>
  <c r="AH1553" i="3"/>
  <c r="AH1552" i="3"/>
  <c r="AH1551" i="3"/>
  <c r="AH1550" i="3"/>
  <c r="AH1549" i="3"/>
  <c r="AH1548" i="3"/>
  <c r="AH1547" i="3"/>
  <c r="AH1546" i="3"/>
  <c r="AH1545" i="3"/>
  <c r="AH1544" i="3"/>
  <c r="AH1543" i="3"/>
  <c r="AH1542" i="3"/>
  <c r="AH1541" i="3"/>
  <c r="AH1540" i="3"/>
  <c r="AH1539" i="3"/>
  <c r="AH1538" i="3"/>
  <c r="AH1537" i="3"/>
  <c r="AH1536" i="3"/>
  <c r="AH1535" i="3"/>
  <c r="AH1534" i="3"/>
  <c r="AH1533" i="3"/>
  <c r="AH1532" i="3"/>
  <c r="AH1531" i="3"/>
  <c r="AH1530" i="3"/>
  <c r="AH1529" i="3"/>
  <c r="AH1528" i="3"/>
  <c r="AH1527" i="3"/>
  <c r="AH1526" i="3"/>
  <c r="AH1525" i="3"/>
  <c r="AH1524" i="3"/>
  <c r="AH1523" i="3"/>
  <c r="AH1522" i="3"/>
  <c r="AH1521" i="3"/>
  <c r="AH1520" i="3"/>
  <c r="AH1519" i="3"/>
  <c r="AH1518" i="3"/>
  <c r="AH1517" i="3"/>
  <c r="AH1516" i="3"/>
  <c r="AH1515" i="3"/>
  <c r="AH1514" i="3"/>
  <c r="AH1513" i="3"/>
  <c r="AH1512" i="3"/>
  <c r="AH1511" i="3"/>
  <c r="AH1510" i="3"/>
  <c r="AH1509" i="3"/>
  <c r="AH1508" i="3"/>
  <c r="AH1507" i="3"/>
  <c r="AH1506" i="3"/>
  <c r="AH1505" i="3"/>
  <c r="AH1504" i="3"/>
  <c r="AH1503" i="3"/>
  <c r="AH1502" i="3"/>
  <c r="AH1501" i="3"/>
  <c r="AH1500" i="3"/>
  <c r="AH1499" i="3"/>
  <c r="AH1498" i="3"/>
  <c r="AH1497" i="3"/>
  <c r="AH1496" i="3"/>
  <c r="AH1495" i="3"/>
  <c r="AH1494" i="3"/>
  <c r="AH1493" i="3"/>
  <c r="AH1492" i="3"/>
  <c r="AH1491" i="3"/>
  <c r="AH1490" i="3"/>
  <c r="AH1489" i="3"/>
  <c r="AH1488" i="3"/>
  <c r="AH1487" i="3"/>
  <c r="AH1486" i="3"/>
  <c r="AH1485" i="3"/>
  <c r="AH1484" i="3"/>
  <c r="AH1483" i="3"/>
  <c r="AH1482" i="3"/>
  <c r="AH1481" i="3"/>
  <c r="AH1480" i="3"/>
  <c r="AH1479" i="3"/>
  <c r="AH1478" i="3"/>
  <c r="AH1477" i="3"/>
  <c r="AH1476" i="3"/>
  <c r="AH1475" i="3"/>
  <c r="AH1474" i="3"/>
  <c r="AH1473" i="3"/>
  <c r="AH1472" i="3"/>
  <c r="AH1471" i="3"/>
  <c r="AH1470" i="3"/>
  <c r="AH1469" i="3"/>
  <c r="AH1468" i="3"/>
  <c r="AH1467" i="3"/>
  <c r="AH1466" i="3"/>
  <c r="AH1465" i="3"/>
  <c r="AH1464" i="3"/>
  <c r="AH1463" i="3"/>
  <c r="AH1462" i="3"/>
  <c r="AH1461" i="3"/>
  <c r="AH1460" i="3"/>
  <c r="AH1459" i="3"/>
  <c r="AH1458" i="3"/>
  <c r="AH1457" i="3"/>
  <c r="AH1456" i="3"/>
  <c r="AH1455" i="3"/>
  <c r="AH1454" i="3"/>
  <c r="AH1453" i="3"/>
  <c r="AH1452" i="3"/>
  <c r="AH1451" i="3"/>
  <c r="AH1450" i="3"/>
  <c r="AH1449" i="3"/>
  <c r="AH1448" i="3"/>
  <c r="AH1447" i="3"/>
  <c r="AH1446" i="3"/>
  <c r="AH1445" i="3"/>
  <c r="AH1444" i="3"/>
  <c r="AH1443" i="3"/>
  <c r="AH1442" i="3"/>
  <c r="AH1441" i="3"/>
  <c r="AH1440" i="3"/>
  <c r="AH1439" i="3"/>
  <c r="AH1438" i="3"/>
  <c r="AH1437" i="3"/>
  <c r="AH1436" i="3"/>
  <c r="AH1435" i="3"/>
  <c r="AH1434" i="3"/>
  <c r="AH1433" i="3"/>
  <c r="AH1432" i="3"/>
  <c r="AH1431" i="3"/>
  <c r="AH1430" i="3"/>
  <c r="AH1429" i="3"/>
  <c r="AH1428" i="3"/>
  <c r="AH1427" i="3"/>
  <c r="AH1426" i="3"/>
  <c r="AH1425" i="3"/>
  <c r="AH1424" i="3"/>
  <c r="AH1423" i="3"/>
  <c r="AH1422" i="3"/>
  <c r="AH1421" i="3"/>
  <c r="AH1420" i="3"/>
  <c r="AH1419" i="3"/>
  <c r="AH1418" i="3"/>
  <c r="AH1417" i="3"/>
  <c r="AH1416" i="3"/>
  <c r="AH1415" i="3"/>
  <c r="AH1414" i="3"/>
  <c r="AH1413" i="3"/>
  <c r="AH1412" i="3"/>
  <c r="AH1411" i="3"/>
  <c r="AH1410" i="3"/>
  <c r="AH1409" i="3"/>
  <c r="AH1408" i="3"/>
  <c r="AH1407" i="3"/>
  <c r="AH1406" i="3"/>
  <c r="AH1405" i="3"/>
  <c r="AH1404" i="3"/>
  <c r="AH1403" i="3"/>
  <c r="AH1402" i="3"/>
  <c r="AH1401" i="3"/>
  <c r="AH1400" i="3"/>
  <c r="AH1399" i="3"/>
  <c r="AH1398" i="3"/>
  <c r="AH1397" i="3"/>
  <c r="AH1396" i="3"/>
  <c r="AH1395" i="3"/>
  <c r="AH1394" i="3"/>
  <c r="AH1393" i="3"/>
  <c r="AH1392" i="3"/>
  <c r="AH1391" i="3"/>
  <c r="AH1390" i="3"/>
  <c r="AH1389" i="3"/>
  <c r="AH1388" i="3"/>
  <c r="AH1387" i="3"/>
  <c r="AH1386" i="3"/>
  <c r="AH1385" i="3"/>
  <c r="AH1384" i="3"/>
  <c r="AH1383" i="3"/>
  <c r="AH1382" i="3"/>
  <c r="AH1381" i="3"/>
  <c r="AH1380" i="3"/>
  <c r="AH1379" i="3"/>
  <c r="AH1378" i="3"/>
  <c r="AH1377" i="3"/>
  <c r="AH1376" i="3"/>
  <c r="AH1375" i="3"/>
  <c r="AH1374" i="3"/>
  <c r="AH1373" i="3"/>
  <c r="AH1372" i="3"/>
  <c r="AH1371" i="3"/>
  <c r="AH1370" i="3"/>
  <c r="AH1369" i="3"/>
  <c r="AH1368" i="3"/>
  <c r="AH1367" i="3"/>
  <c r="AH1366" i="3"/>
  <c r="AH1365" i="3"/>
  <c r="AH1364" i="3"/>
  <c r="AH1363" i="3"/>
  <c r="AH1362" i="3"/>
  <c r="AH1361" i="3"/>
  <c r="AH1360" i="3"/>
  <c r="AH1359" i="3"/>
  <c r="AH1358" i="3"/>
  <c r="AH1357" i="3"/>
  <c r="AH1356" i="3"/>
  <c r="AH1355" i="3"/>
  <c r="AH1354" i="3"/>
  <c r="AH1353" i="3"/>
  <c r="AH1352" i="3"/>
  <c r="AH1351" i="3"/>
  <c r="AH1350" i="3"/>
  <c r="AH1349" i="3"/>
  <c r="AH1348" i="3"/>
  <c r="AH1347" i="3"/>
  <c r="AH1346" i="3"/>
  <c r="AH1344" i="3"/>
  <c r="AH1343" i="3"/>
  <c r="AH1342" i="3"/>
  <c r="AH1341" i="3"/>
  <c r="AH1340" i="3"/>
  <c r="AH1339" i="3"/>
  <c r="AH1338" i="3"/>
  <c r="AH1337" i="3"/>
  <c r="AH1336" i="3"/>
  <c r="AH1335" i="3"/>
  <c r="AH1334" i="3"/>
  <c r="AH1333" i="3"/>
  <c r="AH1332" i="3"/>
  <c r="AH1331" i="3"/>
  <c r="AH1330" i="3"/>
  <c r="AH1329" i="3"/>
  <c r="AH1328" i="3"/>
  <c r="AH1327" i="3"/>
  <c r="AH1326" i="3"/>
  <c r="AH1325" i="3"/>
  <c r="AH1324" i="3"/>
  <c r="AH1323" i="3"/>
  <c r="AH1322" i="3"/>
  <c r="AH1321" i="3"/>
  <c r="AH1320" i="3"/>
  <c r="AH1319" i="3"/>
  <c r="AH1318" i="3"/>
  <c r="AH1317" i="3"/>
  <c r="AH1316" i="3"/>
  <c r="AH1315" i="3"/>
  <c r="AH1314" i="3"/>
  <c r="AH1313" i="3"/>
  <c r="AH1312" i="3"/>
  <c r="AH1311" i="3"/>
  <c r="AH1310" i="3"/>
  <c r="AH1309" i="3"/>
  <c r="AH1308" i="3"/>
  <c r="AH1307" i="3"/>
  <c r="AH1306" i="3"/>
  <c r="AH1305" i="3"/>
  <c r="AH1304" i="3"/>
  <c r="AH1303" i="3"/>
  <c r="AH1302" i="3"/>
  <c r="AH1301" i="3"/>
  <c r="AH1300" i="3"/>
  <c r="AH1299" i="3"/>
  <c r="AH1298" i="3"/>
  <c r="AH1297" i="3"/>
  <c r="AH1296" i="3"/>
  <c r="AH1295" i="3"/>
  <c r="AH1294" i="3"/>
  <c r="AH1293" i="3"/>
  <c r="AH1292" i="3"/>
  <c r="AH1291" i="3"/>
  <c r="AH1290" i="3"/>
  <c r="AH1289" i="3"/>
  <c r="AH1288" i="3"/>
  <c r="AH1287" i="3"/>
  <c r="AH1286" i="3"/>
  <c r="AH1285" i="3"/>
  <c r="AH1284" i="3"/>
  <c r="AH1283" i="3"/>
  <c r="AH1282" i="3"/>
  <c r="AH1281" i="3"/>
  <c r="AH1280" i="3"/>
  <c r="AH1279" i="3"/>
  <c r="AH1278" i="3"/>
  <c r="AH1277" i="3"/>
  <c r="AH1276" i="3"/>
  <c r="AH1275" i="3"/>
  <c r="AH1274" i="3"/>
  <c r="AH1273" i="3"/>
  <c r="AH1272" i="3"/>
  <c r="AH1271" i="3"/>
  <c r="AH1270" i="3"/>
  <c r="AH1269" i="3"/>
  <c r="AH1268" i="3"/>
  <c r="AH1267" i="3"/>
  <c r="AH1266" i="3"/>
  <c r="AH1265" i="3"/>
  <c r="AH1264" i="3"/>
  <c r="AH1263" i="3"/>
  <c r="AH1262" i="3"/>
  <c r="AH1261" i="3"/>
  <c r="AH1260" i="3"/>
  <c r="AH1259" i="3"/>
  <c r="AH1258" i="3"/>
  <c r="AH1257" i="3"/>
  <c r="AH1256" i="3"/>
  <c r="AH1255" i="3"/>
  <c r="AH1254" i="3"/>
  <c r="AH1253" i="3"/>
  <c r="AH1252" i="3"/>
  <c r="AH1251" i="3"/>
  <c r="AH1250" i="3"/>
  <c r="AH1249" i="3"/>
  <c r="AH1248" i="3"/>
  <c r="AH1247" i="3"/>
  <c r="AH1246" i="3"/>
  <c r="AH1245" i="3"/>
  <c r="AH1244" i="3"/>
  <c r="AH1243" i="3"/>
  <c r="AH1242" i="3"/>
  <c r="AH1241" i="3"/>
  <c r="AH1240" i="3"/>
  <c r="AH1239" i="3"/>
  <c r="AH1238" i="3"/>
  <c r="AH1237" i="3"/>
  <c r="AH1236" i="3"/>
  <c r="AH1235" i="3"/>
  <c r="AH1234" i="3"/>
  <c r="AH1233" i="3"/>
  <c r="AH1232" i="3"/>
  <c r="AH1231" i="3"/>
  <c r="AH1230" i="3"/>
  <c r="AH1229" i="3"/>
  <c r="AH1228" i="3"/>
  <c r="AH1227" i="3"/>
  <c r="AH1226" i="3"/>
  <c r="AH1225" i="3"/>
  <c r="AH1224" i="3"/>
  <c r="AH1223" i="3"/>
  <c r="AH1222" i="3"/>
  <c r="AH1221" i="3"/>
  <c r="AH1220" i="3"/>
  <c r="AH1219" i="3"/>
  <c r="AH1218" i="3"/>
  <c r="AH1217" i="3"/>
  <c r="AH1216" i="3"/>
  <c r="AH1215" i="3"/>
  <c r="AH1214" i="3"/>
  <c r="AH1213" i="3"/>
  <c r="AH1212" i="3"/>
  <c r="AH1211" i="3"/>
  <c r="AH1210" i="3"/>
  <c r="AH1209" i="3"/>
  <c r="AH1208" i="3"/>
  <c r="AH1207" i="3"/>
  <c r="AH1206" i="3"/>
  <c r="AH1205" i="3"/>
  <c r="AH1204" i="3"/>
  <c r="AH1203" i="3"/>
  <c r="AH1202" i="3"/>
  <c r="AH1201" i="3"/>
  <c r="AH1200" i="3"/>
  <c r="AH1199" i="3"/>
  <c r="AH1198" i="3"/>
  <c r="AH1197" i="3"/>
  <c r="AH1196" i="3"/>
  <c r="AH1195" i="3"/>
  <c r="AH1194" i="3"/>
  <c r="AH1193" i="3"/>
  <c r="AH1192" i="3"/>
  <c r="AH1191" i="3"/>
  <c r="AH1190" i="3"/>
  <c r="AH1189" i="3"/>
  <c r="AH1188" i="3"/>
  <c r="AH1187" i="3"/>
  <c r="AH1186" i="3"/>
  <c r="AH1185" i="3"/>
  <c r="AH1184" i="3"/>
  <c r="AH1183" i="3"/>
  <c r="AH1182" i="3"/>
  <c r="AH1181" i="3"/>
  <c r="AH1180" i="3"/>
  <c r="AH1179" i="3"/>
  <c r="AH1178" i="3"/>
  <c r="AH1177" i="3"/>
  <c r="AH1176" i="3"/>
  <c r="AH1175" i="3"/>
  <c r="AH1174" i="3"/>
  <c r="AH1173" i="3"/>
  <c r="AH1172" i="3"/>
  <c r="AH1171" i="3"/>
  <c r="AH1170" i="3"/>
  <c r="AH1169" i="3"/>
  <c r="AH1168" i="3"/>
  <c r="AH1167" i="3"/>
  <c r="AH1166" i="3"/>
  <c r="AH1165" i="3"/>
  <c r="AH1164" i="3"/>
  <c r="AH1163" i="3"/>
  <c r="AH1162" i="3"/>
  <c r="AH1161" i="3"/>
  <c r="AH1160" i="3"/>
  <c r="AH1159" i="3"/>
  <c r="AH1158" i="3"/>
  <c r="AH1157" i="3"/>
  <c r="AH1156" i="3"/>
  <c r="AH1155" i="3"/>
  <c r="AH1154" i="3"/>
  <c r="AH1153" i="3"/>
  <c r="AH1152" i="3"/>
  <c r="AH1151" i="3"/>
  <c r="AH1150" i="3"/>
  <c r="AH1149" i="3"/>
  <c r="AH1148" i="3"/>
  <c r="AH1147" i="3"/>
  <c r="AH1146" i="3"/>
  <c r="AH1145" i="3"/>
  <c r="AH1144" i="3"/>
  <c r="AH1143" i="3"/>
  <c r="AH1142" i="3"/>
  <c r="AH1141" i="3"/>
  <c r="AH1140" i="3"/>
  <c r="AH1139" i="3"/>
  <c r="AH1138" i="3"/>
  <c r="AH1137" i="3"/>
  <c r="AH1136" i="3"/>
  <c r="AH1135" i="3"/>
  <c r="AH1134" i="3"/>
  <c r="AH1133" i="3"/>
  <c r="AH1132" i="3"/>
  <c r="AH1131" i="3"/>
  <c r="AH1130" i="3"/>
  <c r="AH1129" i="3"/>
  <c r="AH1128" i="3"/>
  <c r="AH1127" i="3"/>
  <c r="AH1126" i="3"/>
  <c r="AH1125" i="3"/>
  <c r="AH1124" i="3"/>
  <c r="AH1123" i="3"/>
  <c r="AH1122" i="3"/>
  <c r="AH1121" i="3"/>
  <c r="AH1120" i="3"/>
  <c r="AH1119" i="3"/>
  <c r="AH1118" i="3"/>
  <c r="AH1117" i="3"/>
  <c r="AH1116" i="3"/>
  <c r="AH1115" i="3"/>
  <c r="AH1114" i="3"/>
  <c r="AH1113" i="3"/>
  <c r="AH1112" i="3"/>
  <c r="AH1111" i="3"/>
  <c r="AH1110" i="3"/>
  <c r="AH1109" i="3"/>
  <c r="AH1108" i="3"/>
  <c r="AH1107" i="3"/>
  <c r="AH1106" i="3"/>
  <c r="AH1105" i="3"/>
  <c r="AH1104" i="3"/>
  <c r="AH1103" i="3"/>
  <c r="AH1102" i="3"/>
  <c r="AH1101" i="3"/>
  <c r="AH1100" i="3"/>
  <c r="AH1099" i="3"/>
  <c r="AH1098" i="3"/>
  <c r="AH1097" i="3"/>
  <c r="AH1096" i="3"/>
  <c r="AH1095" i="3"/>
  <c r="AH1094" i="3"/>
  <c r="AH1093" i="3"/>
  <c r="AH1092" i="3"/>
  <c r="AH1091" i="3"/>
  <c r="AH1090" i="3"/>
  <c r="AH1089" i="3"/>
  <c r="AH1088" i="3"/>
  <c r="AH1087" i="3"/>
  <c r="AH1086" i="3"/>
  <c r="AH1085" i="3"/>
  <c r="AH1084" i="3"/>
  <c r="AH1083" i="3"/>
  <c r="AH1082" i="3"/>
  <c r="AH1081" i="3"/>
  <c r="AH1080" i="3"/>
  <c r="AH1079" i="3"/>
  <c r="AH1078" i="3"/>
  <c r="AH1077" i="3"/>
  <c r="AH1076" i="3"/>
  <c r="AH1075" i="3"/>
  <c r="AH1074" i="3"/>
  <c r="AH1073" i="3"/>
  <c r="AH1072" i="3"/>
  <c r="AH1071" i="3"/>
  <c r="AH1070" i="3"/>
  <c r="AH1069" i="3"/>
  <c r="AH1068" i="3"/>
  <c r="AH1067" i="3"/>
  <c r="AH1066" i="3"/>
  <c r="AH1065" i="3"/>
  <c r="AH1064" i="3"/>
  <c r="AH1063" i="3"/>
  <c r="AH1062" i="3"/>
  <c r="AH1061" i="3"/>
  <c r="AH1060" i="3"/>
  <c r="AH1059" i="3"/>
  <c r="AH1058" i="3"/>
  <c r="AH1057" i="3"/>
  <c r="AH1056" i="3"/>
  <c r="AH1055" i="3"/>
  <c r="AH1054" i="3"/>
  <c r="AH1053" i="3"/>
  <c r="AH1052" i="3"/>
  <c r="AH1051" i="3"/>
  <c r="AH1050" i="3"/>
  <c r="AH1049" i="3"/>
  <c r="AH1048" i="3"/>
  <c r="AH1047" i="3"/>
  <c r="AH1046" i="3"/>
  <c r="AH1045" i="3"/>
  <c r="AH1044" i="3"/>
  <c r="AH1043" i="3"/>
  <c r="AH1042" i="3"/>
  <c r="AH1041" i="3"/>
  <c r="AH1040" i="3"/>
  <c r="AH1039" i="3"/>
  <c r="AH1038" i="3"/>
  <c r="AH1037" i="3"/>
  <c r="AH1036" i="3"/>
  <c r="AH1035" i="3"/>
  <c r="AH1034" i="3"/>
  <c r="AH1033" i="3"/>
  <c r="AH1032" i="3"/>
  <c r="AH1031" i="3"/>
  <c r="AH1030" i="3"/>
  <c r="AH1029" i="3"/>
  <c r="AH1028" i="3"/>
  <c r="AH1027" i="3"/>
  <c r="AH1026" i="3"/>
  <c r="AH1025" i="3"/>
  <c r="AH1024" i="3"/>
  <c r="AH1023" i="3"/>
  <c r="AH1022" i="3"/>
  <c r="AH1021" i="3"/>
  <c r="AH1020" i="3"/>
  <c r="AH1019" i="3"/>
  <c r="AH1018" i="3"/>
  <c r="AH1017" i="3"/>
  <c r="AH1016" i="3"/>
  <c r="AH1015" i="3"/>
  <c r="AH1014" i="3"/>
  <c r="AH1013" i="3"/>
  <c r="AH1012" i="3"/>
  <c r="AH1011" i="3"/>
  <c r="AH1010" i="3"/>
  <c r="AH1009" i="3"/>
  <c r="AH1008" i="3"/>
  <c r="AH1007" i="3"/>
  <c r="AH1006" i="3"/>
  <c r="AH1005" i="3"/>
  <c r="AH1004" i="3"/>
  <c r="AH1003" i="3"/>
  <c r="AH1002" i="3"/>
  <c r="AH1001" i="3"/>
  <c r="AH1000" i="3"/>
  <c r="AH999" i="3"/>
  <c r="AH998" i="3"/>
  <c r="AH997" i="3"/>
  <c r="AH996" i="3"/>
  <c r="AH995" i="3"/>
  <c r="AH994" i="3"/>
  <c r="AH993" i="3"/>
  <c r="AH992" i="3"/>
  <c r="AH991" i="3"/>
  <c r="AH990" i="3"/>
  <c r="AH989" i="3"/>
  <c r="AH988" i="3"/>
  <c r="AH987" i="3"/>
  <c r="AH986" i="3"/>
  <c r="AH985" i="3"/>
  <c r="AH984" i="3"/>
  <c r="AH983" i="3"/>
  <c r="AH982" i="3"/>
  <c r="AH981" i="3"/>
  <c r="AH980" i="3"/>
  <c r="AH979" i="3"/>
  <c r="AH978" i="3"/>
  <c r="AH977" i="3"/>
  <c r="AH976" i="3"/>
  <c r="AH975" i="3"/>
  <c r="AH974" i="3"/>
  <c r="AH973" i="3"/>
  <c r="AH972" i="3"/>
  <c r="AH971" i="3"/>
  <c r="AH970" i="3"/>
  <c r="AH969" i="3"/>
  <c r="AH968" i="3"/>
  <c r="AH967" i="3"/>
  <c r="AH966" i="3"/>
  <c r="AH965" i="3"/>
  <c r="AH964" i="3"/>
  <c r="AH963" i="3"/>
  <c r="AH962" i="3"/>
  <c r="AH961" i="3"/>
  <c r="AH960" i="3"/>
  <c r="AH959" i="3"/>
  <c r="AH958" i="3"/>
  <c r="AH957" i="3"/>
  <c r="AH956" i="3"/>
  <c r="AH955" i="3"/>
  <c r="AH954" i="3"/>
  <c r="AH953" i="3"/>
  <c r="AH952" i="3"/>
  <c r="AH951" i="3"/>
  <c r="AH950" i="3"/>
  <c r="AH949" i="3"/>
  <c r="AH948" i="3"/>
  <c r="AH947" i="3"/>
  <c r="AH946" i="3"/>
  <c r="AH945" i="3"/>
  <c r="AH944" i="3"/>
  <c r="AH943" i="3"/>
  <c r="AH942" i="3"/>
  <c r="AH941" i="3"/>
  <c r="AH940" i="3"/>
  <c r="AH939" i="3"/>
  <c r="AH938" i="3"/>
  <c r="AH937" i="3"/>
  <c r="AH936" i="3"/>
  <c r="AH935" i="3"/>
  <c r="AH934" i="3"/>
  <c r="AH933" i="3"/>
  <c r="AH932" i="3"/>
  <c r="AH931" i="3"/>
  <c r="AH930" i="3"/>
  <c r="AH929" i="3"/>
  <c r="AH928" i="3"/>
  <c r="AH927" i="3"/>
  <c r="AH926" i="3"/>
  <c r="AH925" i="3"/>
  <c r="AH924" i="3"/>
  <c r="AH923" i="3"/>
  <c r="AH922" i="3"/>
  <c r="AH921" i="3"/>
  <c r="AH920" i="3"/>
  <c r="AH919" i="3"/>
  <c r="AH918" i="3"/>
  <c r="AH917" i="3"/>
  <c r="AH916" i="3"/>
  <c r="AH915" i="3"/>
  <c r="AH914" i="3"/>
  <c r="AH913" i="3"/>
  <c r="AH912" i="3"/>
  <c r="AH911" i="3"/>
  <c r="AH910" i="3"/>
  <c r="AH909" i="3"/>
  <c r="AH908" i="3"/>
  <c r="AH907" i="3"/>
  <c r="AH906" i="3"/>
  <c r="AH905" i="3"/>
  <c r="AH904" i="3"/>
  <c r="AH903" i="3"/>
  <c r="AH902" i="3"/>
  <c r="AH901" i="3"/>
  <c r="AH900" i="3"/>
  <c r="AH899" i="3"/>
  <c r="AH898" i="3"/>
  <c r="AH897" i="3"/>
  <c r="AH896" i="3"/>
  <c r="AH895" i="3"/>
  <c r="AH894" i="3"/>
  <c r="AH893" i="3"/>
  <c r="AH892" i="3"/>
  <c r="AH891" i="3"/>
  <c r="AH890" i="3"/>
  <c r="AH889" i="3"/>
  <c r="AH888" i="3"/>
  <c r="AH887" i="3"/>
  <c r="AH886" i="3"/>
  <c r="AH885" i="3"/>
  <c r="AH884" i="3"/>
  <c r="AH883" i="3"/>
  <c r="AH882" i="3"/>
  <c r="AH881" i="3"/>
  <c r="AH880" i="3"/>
  <c r="AH879" i="3"/>
  <c r="AH878" i="3"/>
  <c r="AH877" i="3"/>
  <c r="AH876" i="3"/>
  <c r="AH875" i="3"/>
  <c r="AH874" i="3"/>
  <c r="AH873" i="3"/>
  <c r="AH872" i="3"/>
  <c r="AH871" i="3"/>
  <c r="AH870" i="3"/>
  <c r="AH869" i="3"/>
  <c r="AH868" i="3"/>
  <c r="AH867" i="3"/>
  <c r="AH866" i="3"/>
  <c r="AH865" i="3"/>
  <c r="AH864" i="3"/>
  <c r="AH863" i="3"/>
  <c r="AH862" i="3"/>
  <c r="AH861" i="3"/>
  <c r="AH860" i="3"/>
  <c r="AH859" i="3"/>
  <c r="AH858" i="3"/>
  <c r="AH857" i="3"/>
  <c r="AH856" i="3"/>
  <c r="AH855" i="3"/>
  <c r="AH854" i="3"/>
  <c r="AH853" i="3"/>
  <c r="AH852" i="3"/>
  <c r="AH851" i="3"/>
  <c r="AH850" i="3"/>
  <c r="AH849" i="3"/>
  <c r="AH848" i="3"/>
  <c r="AH847" i="3"/>
  <c r="AH846" i="3"/>
  <c r="AH845" i="3"/>
  <c r="AH844" i="3"/>
  <c r="AH843" i="3"/>
  <c r="AH842" i="3"/>
  <c r="AH841" i="3"/>
  <c r="AH840" i="3"/>
  <c r="AH839" i="3"/>
  <c r="AH838" i="3"/>
  <c r="AH837" i="3"/>
  <c r="AH836" i="3"/>
  <c r="AH835" i="3"/>
  <c r="AH834" i="3"/>
  <c r="AH833" i="3"/>
  <c r="AH832" i="3"/>
  <c r="AH831" i="3"/>
  <c r="AH830" i="3"/>
  <c r="AH829" i="3"/>
  <c r="AH828" i="3"/>
  <c r="AH827" i="3"/>
  <c r="AH826" i="3"/>
  <c r="AH825" i="3"/>
  <c r="AH824" i="3"/>
  <c r="AH823" i="3"/>
  <c r="AH822" i="3"/>
  <c r="AH821" i="3"/>
  <c r="AH820" i="3"/>
  <c r="AH819" i="3"/>
  <c r="AH818" i="3"/>
  <c r="AH817" i="3"/>
  <c r="AH816" i="3"/>
  <c r="AH815" i="3"/>
  <c r="AH814" i="3"/>
  <c r="AH813" i="3"/>
  <c r="AH812" i="3"/>
  <c r="AH811" i="3"/>
  <c r="AH810" i="3"/>
  <c r="AH809" i="3"/>
  <c r="AH808" i="3"/>
  <c r="AH807" i="3"/>
  <c r="AH806" i="3"/>
  <c r="AH805" i="3"/>
  <c r="AH804" i="3"/>
  <c r="AH803" i="3"/>
  <c r="AH802" i="3"/>
  <c r="AH801" i="3"/>
  <c r="AH800" i="3"/>
  <c r="AH799" i="3"/>
  <c r="AH798" i="3"/>
  <c r="AH797" i="3"/>
  <c r="AH796" i="3"/>
  <c r="AH795" i="3"/>
  <c r="AH794" i="3"/>
  <c r="AH793" i="3"/>
  <c r="AH792" i="3"/>
  <c r="AH791" i="3"/>
  <c r="AH790" i="3"/>
  <c r="AH789" i="3"/>
  <c r="AH788" i="3"/>
  <c r="AH787" i="3"/>
  <c r="AH786" i="3"/>
  <c r="AH785" i="3"/>
  <c r="AH784" i="3"/>
  <c r="AH783" i="3"/>
  <c r="AH782" i="3"/>
  <c r="AH781" i="3"/>
  <c r="AH780" i="3"/>
  <c r="AH779" i="3"/>
  <c r="AH778" i="3"/>
  <c r="AH777" i="3"/>
  <c r="AH776" i="3"/>
  <c r="AH775" i="3"/>
  <c r="AH774" i="3"/>
  <c r="AH773" i="3"/>
  <c r="AH772" i="3"/>
  <c r="AH771" i="3"/>
  <c r="AH770" i="3"/>
  <c r="AH769" i="3"/>
  <c r="AH768" i="3"/>
  <c r="AH767" i="3"/>
  <c r="AH766" i="3"/>
  <c r="AH765" i="3"/>
  <c r="AH764" i="3"/>
  <c r="AH763" i="3"/>
  <c r="AH762" i="3"/>
  <c r="AH761" i="3"/>
  <c r="AH760" i="3"/>
  <c r="AH759" i="3"/>
  <c r="AH758" i="3"/>
  <c r="AH757" i="3"/>
  <c r="AH756" i="3"/>
  <c r="AH755" i="3"/>
  <c r="AH754" i="3"/>
  <c r="AH753" i="3"/>
  <c r="AH752" i="3"/>
  <c r="AH751" i="3"/>
  <c r="AH750" i="3"/>
  <c r="AH749" i="3"/>
  <c r="AH748" i="3"/>
  <c r="AH747" i="3"/>
  <c r="AH746" i="3"/>
  <c r="AH745" i="3"/>
  <c r="AH744" i="3"/>
  <c r="AH743" i="3"/>
  <c r="AH742" i="3"/>
  <c r="AH741" i="3"/>
  <c r="AH740" i="3"/>
  <c r="AH739" i="3"/>
  <c r="AH738" i="3"/>
  <c r="AH737" i="3"/>
  <c r="AH736" i="3"/>
  <c r="AH735" i="3"/>
  <c r="AH734" i="3"/>
  <c r="AH733" i="3"/>
  <c r="AH732" i="3"/>
  <c r="AH731" i="3"/>
  <c r="AH730" i="3"/>
  <c r="AH729" i="3"/>
  <c r="AH728" i="3"/>
  <c r="AH727" i="3"/>
  <c r="AH726" i="3"/>
  <c r="AH725" i="3"/>
  <c r="AH724" i="3"/>
  <c r="AH723" i="3"/>
  <c r="AH722" i="3"/>
  <c r="AH721" i="3"/>
  <c r="AH720" i="3"/>
  <c r="AH719" i="3"/>
  <c r="AH718" i="3"/>
  <c r="AH717" i="3"/>
  <c r="AH716" i="3"/>
  <c r="AH715" i="3"/>
  <c r="AH714" i="3"/>
  <c r="AH713" i="3"/>
  <c r="AH712" i="3"/>
  <c r="AH711" i="3"/>
  <c r="AH710" i="3"/>
  <c r="AH709" i="3"/>
  <c r="AH708" i="3"/>
  <c r="AH707" i="3"/>
  <c r="AH706" i="3"/>
  <c r="AH705" i="3"/>
  <c r="AH704" i="3"/>
  <c r="AH703" i="3"/>
  <c r="AH702" i="3"/>
  <c r="AH701" i="3"/>
  <c r="AH700" i="3"/>
  <c r="AH699" i="3"/>
  <c r="AH698" i="3"/>
  <c r="AH697" i="3"/>
  <c r="AH696" i="3"/>
  <c r="AH695" i="3"/>
  <c r="AH694" i="3"/>
  <c r="AH693" i="3"/>
  <c r="AH692" i="3"/>
  <c r="AH691" i="3"/>
  <c r="AH690" i="3"/>
  <c r="AH689" i="3"/>
  <c r="AH688" i="3"/>
  <c r="AH687" i="3"/>
  <c r="AH686" i="3"/>
  <c r="AH685" i="3"/>
  <c r="AH684" i="3"/>
  <c r="AH683" i="3"/>
  <c r="AH682" i="3"/>
  <c r="AH681" i="3"/>
  <c r="AH680" i="3"/>
  <c r="AH679" i="3"/>
  <c r="AH678" i="3"/>
  <c r="AH677" i="3"/>
  <c r="AH676" i="3"/>
  <c r="AH675" i="3"/>
  <c r="AH674" i="3"/>
  <c r="AH673" i="3"/>
  <c r="AH672" i="3"/>
  <c r="AH671" i="3"/>
  <c r="AH670" i="3"/>
  <c r="AH669" i="3"/>
  <c r="AH668" i="3"/>
  <c r="AH667" i="3"/>
  <c r="AH666" i="3"/>
  <c r="AH665" i="3"/>
  <c r="AH664" i="3"/>
  <c r="AH663" i="3"/>
  <c r="AH662" i="3"/>
  <c r="AH661" i="3"/>
  <c r="AH660" i="3"/>
  <c r="AH659" i="3"/>
  <c r="AH658" i="3"/>
  <c r="AH657" i="3"/>
  <c r="AH656" i="3"/>
  <c r="AH655" i="3"/>
  <c r="AH654" i="3"/>
  <c r="AH653" i="3"/>
  <c r="AH652" i="3"/>
  <c r="AH651" i="3"/>
  <c r="AH650" i="3"/>
  <c r="AH649" i="3"/>
  <c r="AH648" i="3"/>
  <c r="AH647" i="3"/>
  <c r="AH646" i="3"/>
  <c r="AH645" i="3"/>
  <c r="AH644" i="3"/>
  <c r="AH643" i="3"/>
  <c r="AH642" i="3"/>
  <c r="AH641" i="3"/>
  <c r="AH640" i="3"/>
  <c r="AH639" i="3"/>
  <c r="AH638" i="3"/>
  <c r="AH637" i="3"/>
  <c r="AH636" i="3"/>
  <c r="AH635" i="3"/>
  <c r="AH634" i="3"/>
  <c r="AH633" i="3"/>
  <c r="AH632" i="3"/>
  <c r="AH631" i="3"/>
  <c r="AH630" i="3"/>
  <c r="AH629" i="3"/>
  <c r="AH628" i="3"/>
  <c r="AH627" i="3"/>
  <c r="AH626" i="3"/>
  <c r="AH625" i="3"/>
  <c r="AH624" i="3"/>
  <c r="AH623" i="3"/>
  <c r="AH622" i="3"/>
  <c r="AH621" i="3"/>
  <c r="AH620" i="3"/>
  <c r="AH619" i="3"/>
  <c r="AH618" i="3"/>
  <c r="AH617" i="3"/>
  <c r="AH616" i="3"/>
  <c r="AH615" i="3"/>
  <c r="AH614" i="3"/>
  <c r="AH613" i="3"/>
  <c r="AH612" i="3"/>
  <c r="AH611" i="3"/>
  <c r="AH610" i="3"/>
  <c r="AH609" i="3"/>
  <c r="AH608" i="3"/>
  <c r="AH607" i="3"/>
  <c r="AH606" i="3"/>
  <c r="AH605" i="3"/>
  <c r="AH604" i="3"/>
  <c r="AH603" i="3"/>
  <c r="AH602" i="3"/>
  <c r="AH601" i="3"/>
  <c r="AH600" i="3"/>
  <c r="AH599" i="3"/>
  <c r="AH598" i="3"/>
  <c r="AH597" i="3"/>
  <c r="AH596" i="3"/>
  <c r="AH595" i="3"/>
  <c r="AH594" i="3"/>
  <c r="AH593" i="3"/>
  <c r="AH592" i="3"/>
  <c r="AH591" i="3"/>
  <c r="AH590" i="3"/>
  <c r="AH589" i="3"/>
  <c r="AH588" i="3"/>
  <c r="AH587" i="3"/>
  <c r="AH586" i="3"/>
  <c r="AH585" i="3"/>
  <c r="AH584" i="3"/>
  <c r="AH583" i="3"/>
  <c r="AH582" i="3"/>
  <c r="AH581" i="3"/>
  <c r="AH580" i="3"/>
  <c r="AH579" i="3"/>
  <c r="AH578" i="3"/>
  <c r="AH577" i="3"/>
  <c r="AH576" i="3"/>
  <c r="AH575" i="3"/>
  <c r="AH574" i="3"/>
  <c r="AH573" i="3"/>
  <c r="AH572" i="3"/>
  <c r="AH571" i="3"/>
  <c r="AH570" i="3"/>
  <c r="AH569" i="3"/>
  <c r="AH568" i="3"/>
  <c r="AH567" i="3"/>
  <c r="AH566" i="3"/>
  <c r="AH565" i="3"/>
  <c r="AH564" i="3"/>
  <c r="AH563" i="3"/>
  <c r="AH562" i="3"/>
  <c r="AH561" i="3"/>
  <c r="AH560" i="3"/>
  <c r="AH559" i="3"/>
  <c r="AH558" i="3"/>
  <c r="AH557" i="3"/>
  <c r="AH556" i="3"/>
  <c r="AH555" i="3"/>
  <c r="AH554" i="3"/>
  <c r="AH553" i="3"/>
  <c r="AH552" i="3"/>
  <c r="AH551" i="3"/>
  <c r="AH550" i="3"/>
  <c r="AH549" i="3"/>
  <c r="AH548" i="3"/>
  <c r="AH547" i="3"/>
  <c r="AH546" i="3"/>
  <c r="AH545" i="3"/>
  <c r="AH544" i="3"/>
  <c r="AH543" i="3"/>
  <c r="AH542" i="3"/>
  <c r="AH541" i="3"/>
  <c r="AH540" i="3"/>
  <c r="AH539" i="3"/>
  <c r="AH538" i="3"/>
  <c r="AH537" i="3"/>
  <c r="AH536" i="3"/>
  <c r="AH535" i="3"/>
  <c r="AH534" i="3"/>
  <c r="AH533" i="3"/>
  <c r="AH532" i="3"/>
  <c r="AH531" i="3"/>
  <c r="AH530" i="3"/>
  <c r="AH529" i="3"/>
  <c r="AH528" i="3"/>
  <c r="AH527" i="3"/>
  <c r="AH526" i="3"/>
  <c r="AH525" i="3"/>
  <c r="AH524" i="3"/>
  <c r="AH523" i="3"/>
  <c r="AH522" i="3"/>
  <c r="AH521" i="3"/>
  <c r="AH520" i="3"/>
  <c r="AH519" i="3"/>
  <c r="AH518" i="3"/>
  <c r="AH517" i="3"/>
  <c r="AH516" i="3"/>
  <c r="AH515" i="3"/>
  <c r="AH514" i="3"/>
  <c r="AH513" i="3"/>
  <c r="AH512" i="3"/>
  <c r="AH511" i="3"/>
  <c r="AH510" i="3"/>
  <c r="AH509" i="3"/>
  <c r="AH508" i="3"/>
  <c r="AH507" i="3"/>
  <c r="AH506" i="3"/>
  <c r="AH505" i="3"/>
  <c r="AH504" i="3"/>
  <c r="AH503" i="3"/>
  <c r="AH502" i="3"/>
  <c r="AH501" i="3"/>
  <c r="AH500" i="3"/>
  <c r="AH499" i="3"/>
  <c r="AH498" i="3"/>
  <c r="AH497" i="3"/>
  <c r="AH496" i="3"/>
  <c r="AH495" i="3"/>
  <c r="AH494" i="3"/>
  <c r="AH493" i="3"/>
  <c r="AH492" i="3"/>
  <c r="AH491" i="3"/>
  <c r="AH490" i="3"/>
  <c r="AH489" i="3"/>
  <c r="AH488" i="3"/>
  <c r="AH487" i="3"/>
  <c r="AH486" i="3"/>
  <c r="AH485" i="3"/>
  <c r="AH484" i="3"/>
  <c r="AH483" i="3"/>
  <c r="AH482" i="3"/>
  <c r="AH481" i="3"/>
  <c r="AH480" i="3"/>
  <c r="AH479" i="3"/>
  <c r="AH478" i="3"/>
  <c r="AH477" i="3"/>
  <c r="AH476" i="3"/>
  <c r="AH475" i="3"/>
  <c r="AH474" i="3"/>
  <c r="AH473" i="3"/>
  <c r="AH472" i="3"/>
  <c r="AH471" i="3"/>
  <c r="AH470" i="3"/>
  <c r="AH469" i="3"/>
  <c r="AH468" i="3"/>
  <c r="AH467" i="3"/>
  <c r="AH466" i="3"/>
  <c r="AH465" i="3"/>
  <c r="AH464" i="3"/>
  <c r="AH463" i="3"/>
  <c r="AH462" i="3"/>
  <c r="AH461" i="3"/>
  <c r="AH460" i="3"/>
  <c r="AH459" i="3"/>
  <c r="AH458" i="3"/>
  <c r="AH457" i="3"/>
  <c r="AH456" i="3"/>
  <c r="AH455" i="3"/>
  <c r="AH454" i="3"/>
  <c r="AH453" i="3"/>
  <c r="AH452" i="3"/>
  <c r="AH451" i="3"/>
  <c r="AH450" i="3"/>
  <c r="AH449" i="3"/>
  <c r="AH448" i="3"/>
  <c r="AH447" i="3"/>
  <c r="AH446" i="3"/>
  <c r="AH445" i="3"/>
  <c r="AH444" i="3"/>
  <c r="AH443" i="3"/>
  <c r="AH442" i="3"/>
  <c r="AH441" i="3"/>
  <c r="AH440" i="3"/>
  <c r="AH439" i="3"/>
  <c r="AH438" i="3"/>
  <c r="AH437" i="3"/>
  <c r="AH436" i="3"/>
  <c r="AH435" i="3"/>
  <c r="AH434" i="3"/>
  <c r="AH433" i="3"/>
  <c r="AH432" i="3"/>
  <c r="AH431" i="3"/>
  <c r="AH430" i="3"/>
  <c r="AH429" i="3"/>
  <c r="AH428" i="3"/>
  <c r="AH427" i="3"/>
  <c r="AH426" i="3"/>
  <c r="AH425" i="3"/>
  <c r="AH424" i="3"/>
  <c r="AH423" i="3"/>
  <c r="AH422" i="3"/>
  <c r="AH421" i="3"/>
  <c r="AH420" i="3"/>
  <c r="AH419" i="3"/>
  <c r="AH418" i="3"/>
  <c r="AH417" i="3"/>
  <c r="AH416" i="3"/>
  <c r="AH415" i="3"/>
  <c r="AH414" i="3"/>
  <c r="AH413" i="3"/>
  <c r="AH412" i="3"/>
  <c r="AH411" i="3"/>
  <c r="AH410" i="3"/>
  <c r="AH409" i="3"/>
  <c r="AH408" i="3"/>
  <c r="AH407" i="3"/>
  <c r="AH406" i="3"/>
  <c r="AH405" i="3"/>
  <c r="AH404" i="3"/>
  <c r="AH403" i="3"/>
  <c r="AH402" i="3"/>
  <c r="AH401" i="3"/>
  <c r="AH400" i="3"/>
  <c r="AH399" i="3"/>
  <c r="AH398" i="3"/>
  <c r="AH397" i="3"/>
  <c r="AH396" i="3"/>
  <c r="AH395" i="3"/>
  <c r="AH394" i="3"/>
  <c r="AH393" i="3"/>
  <c r="AH392" i="3"/>
  <c r="AH391" i="3"/>
  <c r="AH390" i="3"/>
  <c r="AH389" i="3"/>
  <c r="AH388" i="3"/>
  <c r="AH387" i="3"/>
  <c r="AH386" i="3"/>
  <c r="AH385" i="3"/>
  <c r="AH384" i="3"/>
  <c r="AH383" i="3"/>
  <c r="AH382" i="3"/>
  <c r="AH381" i="3"/>
  <c r="AH380" i="3"/>
  <c r="AH379" i="3"/>
  <c r="AH378" i="3"/>
  <c r="AH377" i="3"/>
  <c r="AH376" i="3"/>
  <c r="AH375" i="3"/>
  <c r="AH374" i="3"/>
  <c r="AH373" i="3"/>
  <c r="AH372" i="3"/>
  <c r="AH371" i="3"/>
  <c r="AH370" i="3"/>
  <c r="AH369" i="3"/>
  <c r="AH368" i="3"/>
  <c r="AH367" i="3"/>
  <c r="AH366" i="3"/>
  <c r="AH365" i="3"/>
  <c r="AH364" i="3"/>
  <c r="AH363" i="3"/>
  <c r="AH362" i="3"/>
  <c r="AH361" i="3"/>
  <c r="AH360" i="3"/>
  <c r="AH359" i="3"/>
  <c r="AH358" i="3"/>
  <c r="AH357" i="3"/>
  <c r="AH356" i="3"/>
  <c r="AH355" i="3"/>
  <c r="AH354" i="3"/>
  <c r="AH353" i="3"/>
  <c r="AH352" i="3"/>
  <c r="AH351" i="3"/>
  <c r="AH350" i="3"/>
  <c r="AH349" i="3"/>
  <c r="AH348" i="3"/>
  <c r="AH347" i="3"/>
  <c r="AH346" i="3"/>
  <c r="AH345" i="3"/>
  <c r="AH344" i="3"/>
  <c r="AH343" i="3"/>
  <c r="AH342" i="3"/>
  <c r="AH341" i="3"/>
  <c r="AH340" i="3"/>
  <c r="AH339" i="3"/>
  <c r="AH338" i="3"/>
  <c r="AH337" i="3"/>
  <c r="AH336" i="3"/>
  <c r="AH335" i="3"/>
  <c r="AH334" i="3"/>
  <c r="AH333" i="3"/>
  <c r="AH332" i="3"/>
  <c r="AH331" i="3"/>
  <c r="AH330" i="3"/>
  <c r="AH329" i="3"/>
  <c r="AH328" i="3"/>
  <c r="AH327" i="3"/>
  <c r="AH326" i="3"/>
  <c r="AH325" i="3"/>
  <c r="AH324" i="3"/>
  <c r="AH323" i="3"/>
  <c r="AH322" i="3"/>
  <c r="AH321" i="3"/>
  <c r="AH320" i="3"/>
  <c r="AH319" i="3"/>
  <c r="AH318" i="3"/>
  <c r="AH317" i="3"/>
  <c r="AH316" i="3"/>
  <c r="AH315" i="3"/>
  <c r="AH314" i="3"/>
  <c r="AH313" i="3"/>
  <c r="AH312" i="3"/>
  <c r="AH311" i="3"/>
  <c r="AH310" i="3"/>
  <c r="AH309" i="3"/>
  <c r="AH308" i="3"/>
  <c r="AH307" i="3"/>
  <c r="AH306" i="3"/>
  <c r="AH305" i="3"/>
  <c r="AH304" i="3"/>
  <c r="AH303" i="3"/>
  <c r="AH302" i="3"/>
  <c r="AH301" i="3"/>
  <c r="AH300" i="3"/>
  <c r="AH299" i="3"/>
  <c r="AH298" i="3"/>
  <c r="AH297" i="3"/>
  <c r="AH296" i="3"/>
  <c r="AH295" i="3"/>
  <c r="AH294" i="3"/>
  <c r="AH293" i="3"/>
  <c r="AH292" i="3"/>
  <c r="AH291" i="3"/>
  <c r="AH290" i="3"/>
  <c r="AH289" i="3"/>
  <c r="AH288" i="3"/>
  <c r="AH287" i="3"/>
  <c r="AH286" i="3"/>
  <c r="AH285" i="3"/>
  <c r="AH284" i="3"/>
  <c r="AH283" i="3"/>
  <c r="AH282" i="3"/>
  <c r="AH281" i="3"/>
  <c r="AH280" i="3"/>
  <c r="AH279" i="3"/>
  <c r="AH278" i="3"/>
  <c r="AH277" i="3"/>
  <c r="AH276" i="3"/>
  <c r="AH275" i="3"/>
  <c r="AH274" i="3"/>
  <c r="AH273" i="3"/>
  <c r="AH272" i="3"/>
  <c r="AH271" i="3"/>
  <c r="AH270" i="3"/>
  <c r="AH269" i="3"/>
  <c r="AH268" i="3"/>
  <c r="AH267" i="3"/>
  <c r="AH266" i="3"/>
  <c r="AH265" i="3"/>
  <c r="AH264" i="3"/>
  <c r="AH263" i="3"/>
  <c r="AH262" i="3"/>
  <c r="AH261" i="3"/>
  <c r="AH260" i="3"/>
  <c r="AH259" i="3"/>
  <c r="AH258" i="3"/>
  <c r="AH257" i="3"/>
  <c r="AH256" i="3"/>
  <c r="AH255" i="3"/>
  <c r="AH254" i="3"/>
  <c r="AH253" i="3"/>
  <c r="AH252" i="3"/>
  <c r="AH251" i="3"/>
  <c r="AH250" i="3"/>
  <c r="AH249" i="3"/>
  <c r="AH248" i="3"/>
  <c r="AH247" i="3"/>
  <c r="AH246" i="3"/>
  <c r="AH245" i="3"/>
  <c r="AH244" i="3"/>
  <c r="AH243" i="3"/>
  <c r="AH242" i="3"/>
  <c r="AH241" i="3"/>
  <c r="AH240" i="3"/>
  <c r="AH239" i="3"/>
  <c r="AH238" i="3"/>
  <c r="AH237" i="3"/>
  <c r="AH236" i="3"/>
  <c r="AH235" i="3"/>
  <c r="AH234" i="3"/>
  <c r="AH233" i="3"/>
  <c r="AH232" i="3"/>
  <c r="AH231" i="3"/>
  <c r="AH230" i="3"/>
  <c r="AH229" i="3"/>
  <c r="AH228" i="3"/>
  <c r="AH227" i="3"/>
  <c r="AH226" i="3"/>
  <c r="AH225" i="3"/>
  <c r="AH224" i="3"/>
  <c r="AH223" i="3"/>
  <c r="AH222" i="3"/>
  <c r="AH221" i="3"/>
  <c r="AH220" i="3"/>
  <c r="AH219" i="3"/>
  <c r="AH218" i="3"/>
  <c r="AH217" i="3"/>
  <c r="AH216" i="3"/>
  <c r="AH215" i="3"/>
  <c r="AH214" i="3"/>
  <c r="AH213" i="3"/>
  <c r="AH212" i="3"/>
  <c r="AH211" i="3"/>
  <c r="AH210" i="3"/>
  <c r="AH209" i="3"/>
  <c r="AH208" i="3"/>
  <c r="AH207" i="3"/>
  <c r="AH206" i="3"/>
  <c r="AH205" i="3"/>
  <c r="AH204" i="3"/>
  <c r="AH203" i="3"/>
  <c r="AH202" i="3"/>
  <c r="AH201" i="3"/>
  <c r="AH200" i="3"/>
  <c r="AH199" i="3"/>
  <c r="AH198" i="3"/>
  <c r="AH197" i="3"/>
  <c r="AH196" i="3"/>
  <c r="AH195" i="3"/>
  <c r="AH194" i="3"/>
  <c r="AH193" i="3"/>
  <c r="AH192" i="3"/>
  <c r="AH191" i="3"/>
  <c r="AH190" i="3"/>
  <c r="AH189" i="3"/>
  <c r="AH188" i="3"/>
  <c r="AH187" i="3"/>
  <c r="AH186" i="3"/>
  <c r="AH185" i="3"/>
  <c r="AH184" i="3"/>
  <c r="AH183" i="3"/>
  <c r="AH182" i="3"/>
  <c r="AH181" i="3"/>
  <c r="AH180" i="3"/>
  <c r="AH179" i="3"/>
  <c r="AH178" i="3"/>
  <c r="AH177" i="3"/>
  <c r="AH176" i="3"/>
  <c r="AH175" i="3"/>
  <c r="AH174" i="3"/>
  <c r="AH173" i="3"/>
  <c r="AH172" i="3"/>
  <c r="AH171" i="3"/>
  <c r="AH170" i="3"/>
  <c r="AH169" i="3"/>
  <c r="AH168" i="3"/>
  <c r="AH167" i="3"/>
  <c r="AH166" i="3"/>
  <c r="AH165" i="3"/>
  <c r="AH164" i="3"/>
  <c r="AH163" i="3"/>
  <c r="AH162" i="3"/>
  <c r="AH161" i="3"/>
  <c r="AH160" i="3"/>
  <c r="AH159" i="3"/>
  <c r="AH158" i="3"/>
  <c r="AH157" i="3"/>
  <c r="AH156" i="3"/>
  <c r="AH155" i="3"/>
  <c r="AH154" i="3"/>
  <c r="AH153" i="3"/>
  <c r="AH152" i="3"/>
  <c r="AH151" i="3"/>
  <c r="AH150" i="3"/>
  <c r="AH149" i="3"/>
  <c r="AH148" i="3"/>
  <c r="AH147" i="3"/>
  <c r="AH146" i="3"/>
  <c r="AH145" i="3"/>
  <c r="AH144" i="3"/>
  <c r="AH143" i="3"/>
  <c r="AH142" i="3"/>
  <c r="AH141" i="3"/>
  <c r="AH140" i="3"/>
  <c r="AH139" i="3"/>
  <c r="AH138" i="3"/>
  <c r="AH137" i="3"/>
  <c r="AH136" i="3"/>
  <c r="AH135" i="3"/>
  <c r="AH134" i="3"/>
  <c r="AH133" i="3"/>
  <c r="AH132" i="3"/>
  <c r="AH131" i="3"/>
  <c r="AH130" i="3"/>
  <c r="AH129" i="3"/>
  <c r="AH128" i="3"/>
  <c r="AH127" i="3"/>
  <c r="AH126" i="3"/>
  <c r="AH125" i="3"/>
  <c r="AH124" i="3"/>
  <c r="AH123" i="3"/>
  <c r="AH122" i="3"/>
  <c r="AH121" i="3"/>
  <c r="AH120" i="3"/>
  <c r="AH119" i="3"/>
  <c r="AH118" i="3"/>
  <c r="AH117" i="3"/>
  <c r="AH116" i="3"/>
  <c r="AH115" i="3"/>
  <c r="AH114" i="3"/>
  <c r="AH113" i="3"/>
  <c r="AH112" i="3"/>
  <c r="AH111" i="3"/>
  <c r="AH110" i="3"/>
  <c r="AH109" i="3"/>
  <c r="AH108" i="3"/>
  <c r="AH107" i="3"/>
  <c r="AH106" i="3"/>
  <c r="AH105" i="3"/>
  <c r="AH104" i="3"/>
  <c r="AH103" i="3"/>
  <c r="AH102" i="3"/>
  <c r="AH101" i="3"/>
  <c r="AH100" i="3"/>
  <c r="AH99" i="3"/>
  <c r="AH98" i="3"/>
  <c r="AH97" i="3"/>
  <c r="AH96" i="3"/>
  <c r="AH95" i="3"/>
  <c r="AH94" i="3"/>
  <c r="AH93" i="3"/>
  <c r="AH92" i="3"/>
  <c r="AH91" i="3"/>
  <c r="AH90" i="3"/>
  <c r="AH89" i="3"/>
  <c r="AH88" i="3"/>
  <c r="AH87" i="3"/>
  <c r="AH86" i="3"/>
  <c r="AH85" i="3"/>
  <c r="AH84" i="3"/>
  <c r="AH83" i="3"/>
  <c r="AH82" i="3"/>
  <c r="AH81" i="3"/>
  <c r="AH80" i="3"/>
  <c r="AH79" i="3"/>
  <c r="AH78" i="3"/>
  <c r="AH77" i="3"/>
  <c r="AH76" i="3"/>
  <c r="AH75" i="3"/>
  <c r="AH74" i="3"/>
  <c r="AH73" i="3"/>
  <c r="AH72" i="3"/>
  <c r="AH71" i="3"/>
  <c r="AH70" i="3"/>
  <c r="AH69" i="3"/>
  <c r="AH68" i="3"/>
  <c r="AH67" i="3"/>
  <c r="AH66" i="3"/>
  <c r="AH65" i="3"/>
  <c r="AH64" i="3"/>
  <c r="AH63" i="3"/>
  <c r="AH62" i="3"/>
  <c r="AH61" i="3"/>
  <c r="AH60" i="3"/>
  <c r="AH59" i="3"/>
  <c r="AH58" i="3"/>
  <c r="AH57" i="3"/>
  <c r="AH56" i="3"/>
  <c r="AH55" i="3"/>
  <c r="AH54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H6" i="3"/>
  <c r="AH5" i="3"/>
  <c r="AH4" i="3"/>
  <c r="AH3" i="3"/>
  <c r="K1064" i="1"/>
  <c r="D1058" i="1"/>
  <c r="AO886" i="1"/>
  <c r="AL886" i="1"/>
  <c r="J886" i="1"/>
  <c r="I886" i="1"/>
  <c r="F886" i="1"/>
  <c r="E886" i="1"/>
  <c r="B886" i="1"/>
  <c r="X886" i="1" s="1"/>
  <c r="A886" i="1"/>
  <c r="AO885" i="1"/>
  <c r="AL885" i="1"/>
  <c r="R885" i="1"/>
  <c r="J885" i="1"/>
  <c r="I885" i="1"/>
  <c r="F885" i="1"/>
  <c r="E885" i="1"/>
  <c r="B885" i="1"/>
  <c r="X885" i="1" s="1"/>
  <c r="A885" i="1"/>
  <c r="AN885" i="1" s="1"/>
  <c r="AO884" i="1"/>
  <c r="AL884" i="1"/>
  <c r="R884" i="1"/>
  <c r="J884" i="1"/>
  <c r="I884" i="1"/>
  <c r="F884" i="1"/>
  <c r="E884" i="1"/>
  <c r="B884" i="1"/>
  <c r="X884" i="1" s="1"/>
  <c r="A884" i="1"/>
  <c r="AN884" i="1" s="1"/>
  <c r="AO862" i="1"/>
  <c r="AL862" i="1"/>
  <c r="R862" i="1"/>
  <c r="J862" i="1"/>
  <c r="I862" i="1"/>
  <c r="F862" i="1"/>
  <c r="E862" i="1"/>
  <c r="B862" i="1"/>
  <c r="X862" i="1" s="1"/>
  <c r="A862" i="1"/>
  <c r="AO861" i="1"/>
  <c r="AL861" i="1"/>
  <c r="R861" i="1"/>
  <c r="J861" i="1"/>
  <c r="I861" i="1"/>
  <c r="F861" i="1"/>
  <c r="E861" i="1"/>
  <c r="B861" i="1"/>
  <c r="A861" i="1"/>
  <c r="AO860" i="1"/>
  <c r="AL860" i="1"/>
  <c r="R860" i="1"/>
  <c r="J860" i="1"/>
  <c r="I860" i="1"/>
  <c r="F860" i="1"/>
  <c r="E860" i="1"/>
  <c r="B860" i="1"/>
  <c r="A860" i="1"/>
  <c r="AO859" i="1"/>
  <c r="AL859" i="1"/>
  <c r="R859" i="1"/>
  <c r="J859" i="1"/>
  <c r="I859" i="1"/>
  <c r="F859" i="1"/>
  <c r="E859" i="1"/>
  <c r="B859" i="1"/>
  <c r="X859" i="1" s="1"/>
  <c r="A859" i="1"/>
  <c r="AO858" i="1"/>
  <c r="AL858" i="1"/>
  <c r="R858" i="1"/>
  <c r="O858" i="1"/>
  <c r="J858" i="1"/>
  <c r="I858" i="1"/>
  <c r="F858" i="1"/>
  <c r="E858" i="1"/>
  <c r="B858" i="1"/>
  <c r="A858" i="1"/>
  <c r="AO857" i="1"/>
  <c r="AL857" i="1"/>
  <c r="R857" i="1"/>
  <c r="O857" i="1"/>
  <c r="J857" i="1"/>
  <c r="I857" i="1"/>
  <c r="F857" i="1"/>
  <c r="E857" i="1"/>
  <c r="B857" i="1"/>
  <c r="A857" i="1"/>
  <c r="AO856" i="1"/>
  <c r="AL856" i="1"/>
  <c r="R856" i="1"/>
  <c r="J856" i="1"/>
  <c r="I856" i="1"/>
  <c r="F856" i="1"/>
  <c r="E856" i="1"/>
  <c r="B856" i="1"/>
  <c r="X856" i="1" s="1"/>
  <c r="A856" i="1"/>
  <c r="AO855" i="1"/>
  <c r="AL855" i="1"/>
  <c r="R855" i="1"/>
  <c r="O855" i="1"/>
  <c r="J855" i="1"/>
  <c r="I855" i="1"/>
  <c r="F855" i="1"/>
  <c r="E855" i="1"/>
  <c r="B855" i="1"/>
  <c r="A855" i="1"/>
  <c r="AO854" i="1"/>
  <c r="AL854" i="1"/>
  <c r="R854" i="1"/>
  <c r="O854" i="1"/>
  <c r="J854" i="1"/>
  <c r="I854" i="1"/>
  <c r="F854" i="1"/>
  <c r="E854" i="1"/>
  <c r="B854" i="1"/>
  <c r="A854" i="1"/>
  <c r="AO817" i="1"/>
  <c r="AL817" i="1"/>
  <c r="R817" i="1"/>
  <c r="O817" i="1"/>
  <c r="J817" i="1"/>
  <c r="I817" i="1"/>
  <c r="F817" i="1"/>
  <c r="E817" i="1"/>
  <c r="B817" i="1"/>
  <c r="A817" i="1"/>
  <c r="AO816" i="1"/>
  <c r="AL816" i="1"/>
  <c r="R816" i="1"/>
  <c r="J816" i="1"/>
  <c r="I816" i="1"/>
  <c r="F816" i="1"/>
  <c r="E816" i="1"/>
  <c r="B816" i="1"/>
  <c r="A816" i="1"/>
  <c r="AO815" i="1"/>
  <c r="AL815" i="1"/>
  <c r="R815" i="1"/>
  <c r="O815" i="1"/>
  <c r="J815" i="1"/>
  <c r="I815" i="1"/>
  <c r="F815" i="1"/>
  <c r="E815" i="1"/>
  <c r="B815" i="1"/>
  <c r="A815" i="1"/>
  <c r="AO814" i="1"/>
  <c r="AL814" i="1"/>
  <c r="R814" i="1"/>
  <c r="O814" i="1"/>
  <c r="J814" i="1"/>
  <c r="I814" i="1"/>
  <c r="F814" i="1"/>
  <c r="E814" i="1"/>
  <c r="B814" i="1"/>
  <c r="A814" i="1"/>
  <c r="AO813" i="1"/>
  <c r="AL813" i="1"/>
  <c r="R813" i="1"/>
  <c r="J813" i="1"/>
  <c r="I813" i="1"/>
  <c r="F813" i="1"/>
  <c r="E813" i="1"/>
  <c r="B813" i="1"/>
  <c r="A813" i="1"/>
  <c r="AO812" i="1"/>
  <c r="AL812" i="1"/>
  <c r="R812" i="1"/>
  <c r="J812" i="1"/>
  <c r="I812" i="1"/>
  <c r="F812" i="1"/>
  <c r="E812" i="1"/>
  <c r="B812" i="1"/>
  <c r="A812" i="1"/>
  <c r="AO811" i="1"/>
  <c r="AL811" i="1"/>
  <c r="R811" i="1"/>
  <c r="P811" i="1"/>
  <c r="J811" i="1"/>
  <c r="I811" i="1"/>
  <c r="F811" i="1"/>
  <c r="E811" i="1"/>
  <c r="B811" i="1"/>
  <c r="A811" i="1"/>
  <c r="AO810" i="1"/>
  <c r="AL810" i="1"/>
  <c r="R810" i="1"/>
  <c r="P810" i="1"/>
  <c r="J810" i="1"/>
  <c r="I810" i="1"/>
  <c r="F810" i="1"/>
  <c r="E810" i="1"/>
  <c r="B810" i="1"/>
  <c r="X810" i="1" s="1"/>
  <c r="A810" i="1"/>
  <c r="AO809" i="1"/>
  <c r="AL809" i="1"/>
  <c r="R809" i="1"/>
  <c r="J809" i="1"/>
  <c r="I809" i="1"/>
  <c r="F809" i="1"/>
  <c r="E809" i="1"/>
  <c r="B809" i="1"/>
  <c r="A809" i="1"/>
  <c r="AO808" i="1"/>
  <c r="AL808" i="1"/>
  <c r="R808" i="1"/>
  <c r="J808" i="1"/>
  <c r="I808" i="1"/>
  <c r="F808" i="1"/>
  <c r="E808" i="1"/>
  <c r="B808" i="1"/>
  <c r="A808" i="1"/>
  <c r="AO807" i="1"/>
  <c r="AL807" i="1"/>
  <c r="R807" i="1"/>
  <c r="J807" i="1"/>
  <c r="I807" i="1"/>
  <c r="F807" i="1"/>
  <c r="E807" i="1"/>
  <c r="B807" i="1"/>
  <c r="A807" i="1"/>
  <c r="AO806" i="1"/>
  <c r="AL806" i="1"/>
  <c r="R806" i="1"/>
  <c r="P806" i="1"/>
  <c r="J806" i="1"/>
  <c r="I806" i="1"/>
  <c r="F806" i="1"/>
  <c r="E806" i="1"/>
  <c r="B806" i="1"/>
  <c r="X806" i="1" s="1"/>
  <c r="A806" i="1"/>
  <c r="AO805" i="1"/>
  <c r="AL805" i="1"/>
  <c r="R805" i="1"/>
  <c r="J805" i="1"/>
  <c r="I805" i="1"/>
  <c r="F805" i="1"/>
  <c r="E805" i="1"/>
  <c r="B805" i="1"/>
  <c r="A805" i="1"/>
  <c r="AN805" i="1" s="1"/>
  <c r="AO804" i="1"/>
  <c r="AL804" i="1"/>
  <c r="J804" i="1"/>
  <c r="I804" i="1"/>
  <c r="F804" i="1"/>
  <c r="E804" i="1"/>
  <c r="B804" i="1"/>
  <c r="A804" i="1"/>
  <c r="AO803" i="1"/>
  <c r="AL803" i="1"/>
  <c r="J803" i="1"/>
  <c r="I803" i="1"/>
  <c r="F803" i="1"/>
  <c r="E803" i="1"/>
  <c r="B803" i="1"/>
  <c r="A803" i="1"/>
  <c r="AO802" i="1"/>
  <c r="AL802" i="1"/>
  <c r="R802" i="1"/>
  <c r="J802" i="1"/>
  <c r="I802" i="1"/>
  <c r="F802" i="1"/>
  <c r="E802" i="1"/>
  <c r="B802" i="1"/>
  <c r="A802" i="1"/>
  <c r="AO801" i="1"/>
  <c r="AL801" i="1"/>
  <c r="R801" i="1"/>
  <c r="J801" i="1"/>
  <c r="I801" i="1"/>
  <c r="F801" i="1"/>
  <c r="E801" i="1"/>
  <c r="B801" i="1"/>
  <c r="X801" i="1" s="1"/>
  <c r="A801" i="1"/>
  <c r="AO800" i="1"/>
  <c r="AL800" i="1"/>
  <c r="J800" i="1"/>
  <c r="I800" i="1"/>
  <c r="F800" i="1"/>
  <c r="E800" i="1"/>
  <c r="B800" i="1"/>
  <c r="A800" i="1"/>
  <c r="AO799" i="1"/>
  <c r="AL799" i="1"/>
  <c r="R799" i="1"/>
  <c r="O799" i="1"/>
  <c r="J799" i="1"/>
  <c r="I799" i="1"/>
  <c r="F799" i="1"/>
  <c r="E799" i="1"/>
  <c r="B799" i="1"/>
  <c r="X799" i="1" s="1"/>
  <c r="A799" i="1"/>
  <c r="AO798" i="1"/>
  <c r="AL798" i="1"/>
  <c r="R798" i="1"/>
  <c r="J798" i="1"/>
  <c r="I798" i="1"/>
  <c r="F798" i="1"/>
  <c r="E798" i="1"/>
  <c r="B798" i="1"/>
  <c r="A798" i="1"/>
  <c r="AO797" i="1"/>
  <c r="AL797" i="1"/>
  <c r="R797" i="1"/>
  <c r="J797" i="1"/>
  <c r="I797" i="1"/>
  <c r="F797" i="1"/>
  <c r="E797" i="1"/>
  <c r="B797" i="1"/>
  <c r="A797" i="1"/>
  <c r="AO796" i="1"/>
  <c r="AL796" i="1"/>
  <c r="R796" i="1"/>
  <c r="J796" i="1"/>
  <c r="I796" i="1"/>
  <c r="F796" i="1"/>
  <c r="E796" i="1"/>
  <c r="B796" i="1"/>
  <c r="A796" i="1"/>
  <c r="AO795" i="1"/>
  <c r="AL795" i="1"/>
  <c r="R795" i="1"/>
  <c r="J795" i="1"/>
  <c r="I795" i="1"/>
  <c r="F795" i="1"/>
  <c r="E795" i="1"/>
  <c r="B795" i="1"/>
  <c r="A795" i="1"/>
  <c r="AO794" i="1"/>
  <c r="AL794" i="1"/>
  <c r="R794" i="1"/>
  <c r="J794" i="1"/>
  <c r="I794" i="1"/>
  <c r="F794" i="1"/>
  <c r="E794" i="1"/>
  <c r="B794" i="1"/>
  <c r="A794" i="1"/>
  <c r="AN794" i="1" s="1"/>
  <c r="AO793" i="1"/>
  <c r="AL793" i="1"/>
  <c r="R793" i="1"/>
  <c r="J793" i="1"/>
  <c r="I793" i="1"/>
  <c r="F793" i="1"/>
  <c r="E793" i="1"/>
  <c r="B793" i="1"/>
  <c r="A793" i="1"/>
  <c r="AO792" i="1"/>
  <c r="AL792" i="1"/>
  <c r="R792" i="1"/>
  <c r="P792" i="1"/>
  <c r="J792" i="1"/>
  <c r="I792" i="1"/>
  <c r="F792" i="1"/>
  <c r="E792" i="1"/>
  <c r="B792" i="1"/>
  <c r="X792" i="1" s="1"/>
  <c r="A792" i="1"/>
  <c r="AO791" i="1"/>
  <c r="AL791" i="1"/>
  <c r="R791" i="1"/>
  <c r="J791" i="1"/>
  <c r="I791" i="1"/>
  <c r="F791" i="1"/>
  <c r="E791" i="1"/>
  <c r="B791" i="1"/>
  <c r="A791" i="1"/>
  <c r="AO790" i="1"/>
  <c r="AL790" i="1"/>
  <c r="R790" i="1"/>
  <c r="J790" i="1"/>
  <c r="I790" i="1"/>
  <c r="F790" i="1"/>
  <c r="E790" i="1"/>
  <c r="B790" i="1"/>
  <c r="A790" i="1"/>
  <c r="AO789" i="1"/>
  <c r="AL789" i="1"/>
  <c r="R789" i="1"/>
  <c r="J789" i="1"/>
  <c r="I789" i="1"/>
  <c r="F789" i="1"/>
  <c r="E789" i="1"/>
  <c r="B789" i="1"/>
  <c r="A789" i="1"/>
  <c r="AO788" i="1"/>
  <c r="AL788" i="1"/>
  <c r="J788" i="1"/>
  <c r="I788" i="1"/>
  <c r="F788" i="1"/>
  <c r="E788" i="1"/>
  <c r="B788" i="1"/>
  <c r="A788" i="1"/>
  <c r="AO787" i="1"/>
  <c r="AL787" i="1"/>
  <c r="R787" i="1"/>
  <c r="J787" i="1"/>
  <c r="I787" i="1"/>
  <c r="F787" i="1"/>
  <c r="E787" i="1"/>
  <c r="B787" i="1"/>
  <c r="A787" i="1"/>
  <c r="AO786" i="1"/>
  <c r="AL786" i="1"/>
  <c r="R786" i="1"/>
  <c r="J786" i="1"/>
  <c r="I786" i="1"/>
  <c r="F786" i="1"/>
  <c r="E786" i="1"/>
  <c r="B786" i="1"/>
  <c r="A786" i="1"/>
  <c r="AO785" i="1"/>
  <c r="AL785" i="1"/>
  <c r="R785" i="1"/>
  <c r="J785" i="1"/>
  <c r="I785" i="1"/>
  <c r="F785" i="1"/>
  <c r="E785" i="1"/>
  <c r="B785" i="1"/>
  <c r="A785" i="1"/>
  <c r="AO784" i="1"/>
  <c r="AL784" i="1"/>
  <c r="R784" i="1"/>
  <c r="O784" i="1"/>
  <c r="J784" i="1"/>
  <c r="I784" i="1"/>
  <c r="F784" i="1"/>
  <c r="E784" i="1"/>
  <c r="B784" i="1"/>
  <c r="A784" i="1"/>
  <c r="AO783" i="1"/>
  <c r="AL783" i="1"/>
  <c r="R783" i="1"/>
  <c r="O783" i="1"/>
  <c r="J783" i="1"/>
  <c r="I783" i="1"/>
  <c r="F783" i="1"/>
  <c r="E783" i="1"/>
  <c r="B783" i="1"/>
  <c r="A783" i="1"/>
  <c r="AO782" i="1"/>
  <c r="AL782" i="1"/>
  <c r="R782" i="1"/>
  <c r="O782" i="1"/>
  <c r="J782" i="1"/>
  <c r="I782" i="1"/>
  <c r="F782" i="1"/>
  <c r="E782" i="1"/>
  <c r="B782" i="1"/>
  <c r="X782" i="1" s="1"/>
  <c r="A782" i="1"/>
  <c r="AO781" i="1"/>
  <c r="AL781" i="1"/>
  <c r="R781" i="1"/>
  <c r="J781" i="1"/>
  <c r="I781" i="1"/>
  <c r="F781" i="1"/>
  <c r="E781" i="1"/>
  <c r="B781" i="1"/>
  <c r="A781" i="1"/>
  <c r="AO780" i="1"/>
  <c r="AL780" i="1"/>
  <c r="R780" i="1"/>
  <c r="O780" i="1"/>
  <c r="J780" i="1"/>
  <c r="I780" i="1"/>
  <c r="F780" i="1"/>
  <c r="E780" i="1"/>
  <c r="B780" i="1"/>
  <c r="A780" i="1"/>
  <c r="AO779" i="1"/>
  <c r="AL779" i="1"/>
  <c r="R779" i="1"/>
  <c r="J779" i="1"/>
  <c r="I779" i="1"/>
  <c r="F779" i="1"/>
  <c r="E779" i="1"/>
  <c r="B779" i="1"/>
  <c r="A779" i="1"/>
  <c r="AN779" i="1" s="1"/>
  <c r="AO778" i="1"/>
  <c r="AL778" i="1"/>
  <c r="R778" i="1"/>
  <c r="O778" i="1"/>
  <c r="J778" i="1"/>
  <c r="I778" i="1"/>
  <c r="F778" i="1"/>
  <c r="E778" i="1"/>
  <c r="B778" i="1"/>
  <c r="A778" i="1"/>
  <c r="AO777" i="1"/>
  <c r="AL777" i="1"/>
  <c r="R777" i="1"/>
  <c r="J777" i="1"/>
  <c r="I777" i="1"/>
  <c r="F777" i="1"/>
  <c r="E777" i="1"/>
  <c r="B777" i="1"/>
  <c r="A777" i="1"/>
  <c r="AO776" i="1"/>
  <c r="AL776" i="1"/>
  <c r="R776" i="1"/>
  <c r="O776" i="1"/>
  <c r="J776" i="1"/>
  <c r="I776" i="1"/>
  <c r="F776" i="1"/>
  <c r="E776" i="1"/>
  <c r="B776" i="1"/>
  <c r="A776" i="1"/>
  <c r="AO775" i="1"/>
  <c r="AL775" i="1"/>
  <c r="R775" i="1"/>
  <c r="J775" i="1"/>
  <c r="I775" i="1"/>
  <c r="F775" i="1"/>
  <c r="E775" i="1"/>
  <c r="B775" i="1"/>
  <c r="A775" i="1"/>
  <c r="AO774" i="1"/>
  <c r="AL774" i="1"/>
  <c r="R774" i="1"/>
  <c r="J774" i="1"/>
  <c r="I774" i="1"/>
  <c r="F774" i="1"/>
  <c r="E774" i="1"/>
  <c r="B774" i="1"/>
  <c r="A774" i="1"/>
  <c r="AO773" i="1"/>
  <c r="AL773" i="1"/>
  <c r="R773" i="1"/>
  <c r="J773" i="1"/>
  <c r="I773" i="1"/>
  <c r="F773" i="1"/>
  <c r="E773" i="1"/>
  <c r="B773" i="1"/>
  <c r="A773" i="1"/>
  <c r="AO772" i="1"/>
  <c r="AL772" i="1"/>
  <c r="R772" i="1"/>
  <c r="J772" i="1"/>
  <c r="I772" i="1"/>
  <c r="F772" i="1"/>
  <c r="E772" i="1"/>
  <c r="B772" i="1"/>
  <c r="A772" i="1"/>
  <c r="AO771" i="1"/>
  <c r="AL771" i="1"/>
  <c r="R771" i="1"/>
  <c r="J771" i="1"/>
  <c r="I771" i="1"/>
  <c r="F771" i="1"/>
  <c r="E771" i="1"/>
  <c r="B771" i="1"/>
  <c r="A771" i="1"/>
  <c r="AO770" i="1"/>
  <c r="AL770" i="1"/>
  <c r="R770" i="1"/>
  <c r="J770" i="1"/>
  <c r="I770" i="1"/>
  <c r="F770" i="1"/>
  <c r="E770" i="1"/>
  <c r="B770" i="1"/>
  <c r="A770" i="1"/>
  <c r="AN770" i="1" s="1"/>
  <c r="AO769" i="1"/>
  <c r="AL769" i="1"/>
  <c r="R769" i="1"/>
  <c r="J769" i="1"/>
  <c r="I769" i="1"/>
  <c r="F769" i="1"/>
  <c r="E769" i="1"/>
  <c r="B769" i="1"/>
  <c r="A769" i="1"/>
  <c r="AN769" i="1" s="1"/>
  <c r="AO768" i="1"/>
  <c r="AL768" i="1"/>
  <c r="R768" i="1"/>
  <c r="O768" i="1"/>
  <c r="J768" i="1"/>
  <c r="I768" i="1"/>
  <c r="F768" i="1"/>
  <c r="E768" i="1"/>
  <c r="B768" i="1"/>
  <c r="A768" i="1"/>
  <c r="AO767" i="1"/>
  <c r="AL767" i="1"/>
  <c r="R767" i="1"/>
  <c r="O767" i="1"/>
  <c r="J767" i="1"/>
  <c r="I767" i="1"/>
  <c r="F767" i="1"/>
  <c r="E767" i="1"/>
  <c r="B767" i="1"/>
  <c r="A767" i="1"/>
  <c r="AO766" i="1"/>
  <c r="AL766" i="1"/>
  <c r="R766" i="1"/>
  <c r="O766" i="1"/>
  <c r="J766" i="1"/>
  <c r="I766" i="1"/>
  <c r="F766" i="1"/>
  <c r="E766" i="1"/>
  <c r="B766" i="1"/>
  <c r="A766" i="1"/>
  <c r="AO765" i="1"/>
  <c r="AL765" i="1"/>
  <c r="R765" i="1"/>
  <c r="J765" i="1"/>
  <c r="I765" i="1"/>
  <c r="F765" i="1"/>
  <c r="E765" i="1"/>
  <c r="B765" i="1"/>
  <c r="A765" i="1"/>
  <c r="AO764" i="1"/>
  <c r="AL764" i="1"/>
  <c r="P764" i="1"/>
  <c r="J764" i="1"/>
  <c r="I764" i="1"/>
  <c r="F764" i="1"/>
  <c r="E764" i="1"/>
  <c r="B764" i="1"/>
  <c r="A764" i="1"/>
  <c r="AO763" i="1"/>
  <c r="AL763" i="1"/>
  <c r="R763" i="1"/>
  <c r="P763" i="1"/>
  <c r="J763" i="1"/>
  <c r="I763" i="1"/>
  <c r="F763" i="1"/>
  <c r="E763" i="1"/>
  <c r="B763" i="1"/>
  <c r="X763" i="1" s="1"/>
  <c r="A763" i="1"/>
  <c r="AO762" i="1"/>
  <c r="AL762" i="1"/>
  <c r="R762" i="1"/>
  <c r="J762" i="1"/>
  <c r="I762" i="1"/>
  <c r="F762" i="1"/>
  <c r="E762" i="1"/>
  <c r="B762" i="1"/>
  <c r="A762" i="1"/>
  <c r="AO761" i="1"/>
  <c r="AL761" i="1"/>
  <c r="R761" i="1"/>
  <c r="J761" i="1"/>
  <c r="I761" i="1"/>
  <c r="F761" i="1"/>
  <c r="E761" i="1"/>
  <c r="B761" i="1"/>
  <c r="A761" i="1"/>
  <c r="AO760" i="1"/>
  <c r="AL760" i="1"/>
  <c r="R760" i="1"/>
  <c r="J760" i="1"/>
  <c r="I760" i="1"/>
  <c r="F760" i="1"/>
  <c r="E760" i="1"/>
  <c r="B760" i="1"/>
  <c r="A760" i="1"/>
  <c r="AN760" i="1" s="1"/>
  <c r="AO759" i="1"/>
  <c r="AL759" i="1"/>
  <c r="R759" i="1"/>
  <c r="J759" i="1"/>
  <c r="I759" i="1"/>
  <c r="F759" i="1"/>
  <c r="E759" i="1"/>
  <c r="B759" i="1"/>
  <c r="X759" i="1" s="1"/>
  <c r="A759" i="1"/>
  <c r="AO758" i="1"/>
  <c r="AL758" i="1"/>
  <c r="R758" i="1"/>
  <c r="P758" i="1"/>
  <c r="J758" i="1"/>
  <c r="I758" i="1"/>
  <c r="F758" i="1"/>
  <c r="E758" i="1"/>
  <c r="B758" i="1"/>
  <c r="A758" i="1"/>
  <c r="AO757" i="1"/>
  <c r="AL757" i="1"/>
  <c r="R757" i="1"/>
  <c r="J757" i="1"/>
  <c r="I757" i="1"/>
  <c r="F757" i="1"/>
  <c r="E757" i="1"/>
  <c r="B757" i="1"/>
  <c r="A757" i="1"/>
  <c r="AO756" i="1"/>
  <c r="AL756" i="1"/>
  <c r="R756" i="1"/>
  <c r="J756" i="1"/>
  <c r="I756" i="1"/>
  <c r="F756" i="1"/>
  <c r="E756" i="1"/>
  <c r="B756" i="1"/>
  <c r="A756" i="1"/>
  <c r="AN756" i="1" s="1"/>
  <c r="AO755" i="1"/>
  <c r="AL755" i="1"/>
  <c r="R755" i="1"/>
  <c r="O755" i="1"/>
  <c r="J755" i="1"/>
  <c r="I755" i="1"/>
  <c r="F755" i="1"/>
  <c r="E755" i="1"/>
  <c r="B755" i="1"/>
  <c r="A755" i="1"/>
  <c r="AO754" i="1"/>
  <c r="AL754" i="1"/>
  <c r="R754" i="1"/>
  <c r="J754" i="1"/>
  <c r="I754" i="1"/>
  <c r="F754" i="1"/>
  <c r="E754" i="1"/>
  <c r="B754" i="1"/>
  <c r="X754" i="1" s="1"/>
  <c r="A754" i="1"/>
  <c r="AO753" i="1"/>
  <c r="AL753" i="1"/>
  <c r="R753" i="1"/>
  <c r="J753" i="1"/>
  <c r="I753" i="1"/>
  <c r="F753" i="1"/>
  <c r="E753" i="1"/>
  <c r="B753" i="1"/>
  <c r="A753" i="1"/>
  <c r="AO752" i="1"/>
  <c r="AL752" i="1"/>
  <c r="R752" i="1"/>
  <c r="P752" i="1"/>
  <c r="J752" i="1"/>
  <c r="I752" i="1"/>
  <c r="F752" i="1"/>
  <c r="E752" i="1"/>
  <c r="B752" i="1"/>
  <c r="A752" i="1"/>
  <c r="AO751" i="1"/>
  <c r="AL751" i="1"/>
  <c r="P751" i="1"/>
  <c r="J751" i="1"/>
  <c r="I751" i="1"/>
  <c r="F751" i="1"/>
  <c r="E751" i="1"/>
  <c r="B751" i="1"/>
  <c r="A751" i="1"/>
  <c r="AO750" i="1"/>
  <c r="AL750" i="1"/>
  <c r="R750" i="1"/>
  <c r="O750" i="1"/>
  <c r="J750" i="1"/>
  <c r="I750" i="1"/>
  <c r="F750" i="1"/>
  <c r="E750" i="1"/>
  <c r="B750" i="1"/>
  <c r="A750" i="1"/>
  <c r="AO749" i="1"/>
  <c r="AL749" i="1"/>
  <c r="R749" i="1"/>
  <c r="P749" i="1"/>
  <c r="J749" i="1"/>
  <c r="I749" i="1"/>
  <c r="F749" i="1"/>
  <c r="E749" i="1"/>
  <c r="B749" i="1"/>
  <c r="X749" i="1" s="1"/>
  <c r="A749" i="1"/>
  <c r="AO748" i="1"/>
  <c r="AL748" i="1"/>
  <c r="R748" i="1"/>
  <c r="J748" i="1"/>
  <c r="I748" i="1"/>
  <c r="F748" i="1"/>
  <c r="E748" i="1"/>
  <c r="B748" i="1"/>
  <c r="X748" i="1" s="1"/>
  <c r="A748" i="1"/>
  <c r="AO747" i="1"/>
  <c r="AL747" i="1"/>
  <c r="R747" i="1"/>
  <c r="J747" i="1"/>
  <c r="I747" i="1"/>
  <c r="F747" i="1"/>
  <c r="E747" i="1"/>
  <c r="B747" i="1"/>
  <c r="X747" i="1" s="1"/>
  <c r="A747" i="1"/>
  <c r="AN747" i="1" s="1"/>
  <c r="AO746" i="1"/>
  <c r="AL746" i="1"/>
  <c r="R746" i="1"/>
  <c r="J746" i="1"/>
  <c r="I746" i="1"/>
  <c r="F746" i="1"/>
  <c r="E746" i="1"/>
  <c r="B746" i="1"/>
  <c r="A746" i="1"/>
  <c r="AN746" i="1" s="1"/>
  <c r="AO745" i="1"/>
  <c r="AL745" i="1"/>
  <c r="R745" i="1"/>
  <c r="J745" i="1"/>
  <c r="I745" i="1"/>
  <c r="F745" i="1"/>
  <c r="E745" i="1"/>
  <c r="B745" i="1"/>
  <c r="A745" i="1"/>
  <c r="AO744" i="1"/>
  <c r="AL744" i="1"/>
  <c r="R744" i="1"/>
  <c r="J744" i="1"/>
  <c r="I744" i="1"/>
  <c r="F744" i="1"/>
  <c r="E744" i="1"/>
  <c r="B744" i="1"/>
  <c r="A744" i="1"/>
  <c r="AO743" i="1"/>
  <c r="AL743" i="1"/>
  <c r="R743" i="1"/>
  <c r="O743" i="1"/>
  <c r="J743" i="1"/>
  <c r="I743" i="1"/>
  <c r="F743" i="1"/>
  <c r="E743" i="1"/>
  <c r="B743" i="1"/>
  <c r="X743" i="1" s="1"/>
  <c r="A743" i="1"/>
  <c r="AO742" i="1"/>
  <c r="AL742" i="1"/>
  <c r="R742" i="1"/>
  <c r="J742" i="1"/>
  <c r="I742" i="1"/>
  <c r="F742" i="1"/>
  <c r="E742" i="1"/>
  <c r="B742" i="1"/>
  <c r="A742" i="1"/>
  <c r="AO741" i="1"/>
  <c r="AL741" i="1"/>
  <c r="R741" i="1"/>
  <c r="J741" i="1"/>
  <c r="I741" i="1"/>
  <c r="F741" i="1"/>
  <c r="E741" i="1"/>
  <c r="B741" i="1"/>
  <c r="X741" i="1" s="1"/>
  <c r="A741" i="1"/>
  <c r="AO740" i="1"/>
  <c r="AL740" i="1"/>
  <c r="R740" i="1"/>
  <c r="J740" i="1"/>
  <c r="I740" i="1"/>
  <c r="F740" i="1"/>
  <c r="E740" i="1"/>
  <c r="B740" i="1"/>
  <c r="A740" i="1"/>
  <c r="AO739" i="1"/>
  <c r="AL739" i="1"/>
  <c r="R739" i="1"/>
  <c r="P739" i="1"/>
  <c r="J739" i="1"/>
  <c r="I739" i="1"/>
  <c r="F739" i="1"/>
  <c r="E739" i="1"/>
  <c r="B739" i="1"/>
  <c r="A739" i="1"/>
  <c r="AO738" i="1"/>
  <c r="AL738" i="1"/>
  <c r="R738" i="1"/>
  <c r="J738" i="1"/>
  <c r="I738" i="1"/>
  <c r="F738" i="1"/>
  <c r="E738" i="1"/>
  <c r="B738" i="1"/>
  <c r="X738" i="1" s="1"/>
  <c r="A738" i="1"/>
  <c r="AN738" i="1" s="1"/>
  <c r="AO737" i="1"/>
  <c r="AL737" i="1"/>
  <c r="R737" i="1"/>
  <c r="P737" i="1"/>
  <c r="J737" i="1"/>
  <c r="I737" i="1"/>
  <c r="F737" i="1"/>
  <c r="E737" i="1"/>
  <c r="B737" i="1"/>
  <c r="X737" i="1" s="1"/>
  <c r="A737" i="1"/>
  <c r="AO736" i="1"/>
  <c r="AL736" i="1"/>
  <c r="J736" i="1"/>
  <c r="I736" i="1"/>
  <c r="F736" i="1"/>
  <c r="E736" i="1"/>
  <c r="B736" i="1"/>
  <c r="A736" i="1"/>
  <c r="AO735" i="1"/>
  <c r="AL735" i="1"/>
  <c r="R735" i="1"/>
  <c r="J735" i="1"/>
  <c r="I735" i="1"/>
  <c r="F735" i="1"/>
  <c r="E735" i="1"/>
  <c r="B735" i="1"/>
  <c r="X735" i="1" s="1"/>
  <c r="A735" i="1"/>
  <c r="AO734" i="1"/>
  <c r="AL734" i="1"/>
  <c r="R734" i="1"/>
  <c r="J734" i="1"/>
  <c r="I734" i="1"/>
  <c r="F734" i="1"/>
  <c r="E734" i="1"/>
  <c r="B734" i="1"/>
  <c r="A734" i="1"/>
  <c r="AN734" i="1" s="1"/>
  <c r="AO733" i="1"/>
  <c r="AL733" i="1"/>
  <c r="R733" i="1"/>
  <c r="O733" i="1"/>
  <c r="J733" i="1"/>
  <c r="I733" i="1"/>
  <c r="F733" i="1"/>
  <c r="E733" i="1"/>
  <c r="B733" i="1"/>
  <c r="A733" i="1"/>
  <c r="AO732" i="1"/>
  <c r="AL732" i="1"/>
  <c r="R732" i="1"/>
  <c r="J732" i="1"/>
  <c r="I732" i="1"/>
  <c r="F732" i="1"/>
  <c r="E732" i="1"/>
  <c r="B732" i="1"/>
  <c r="A732" i="1"/>
  <c r="AN732" i="1" s="1"/>
  <c r="AO731" i="1"/>
  <c r="AL731" i="1"/>
  <c r="R731" i="1"/>
  <c r="J731" i="1"/>
  <c r="I731" i="1"/>
  <c r="F731" i="1"/>
  <c r="E731" i="1"/>
  <c r="B731" i="1"/>
  <c r="A731" i="1"/>
  <c r="AO730" i="1"/>
  <c r="AL730" i="1"/>
  <c r="R730" i="1"/>
  <c r="J730" i="1"/>
  <c r="I730" i="1"/>
  <c r="F730" i="1"/>
  <c r="E730" i="1"/>
  <c r="B730" i="1"/>
  <c r="X730" i="1" s="1"/>
  <c r="A730" i="1"/>
  <c r="AO729" i="1"/>
  <c r="AL729" i="1"/>
  <c r="R729" i="1"/>
  <c r="J729" i="1"/>
  <c r="I729" i="1"/>
  <c r="F729" i="1"/>
  <c r="E729" i="1"/>
  <c r="B729" i="1"/>
  <c r="X729" i="1" s="1"/>
  <c r="A729" i="1"/>
  <c r="AO728" i="1"/>
  <c r="AL728" i="1"/>
  <c r="R728" i="1"/>
  <c r="P728" i="1"/>
  <c r="J728" i="1"/>
  <c r="I728" i="1"/>
  <c r="F728" i="1"/>
  <c r="E728" i="1"/>
  <c r="B728" i="1"/>
  <c r="A728" i="1"/>
  <c r="AO727" i="1"/>
  <c r="AL727" i="1"/>
  <c r="R727" i="1"/>
  <c r="P727" i="1"/>
  <c r="J727" i="1"/>
  <c r="I727" i="1"/>
  <c r="F727" i="1"/>
  <c r="E727" i="1"/>
  <c r="B727" i="1"/>
  <c r="A727" i="1"/>
  <c r="AO726" i="1"/>
  <c r="AL726" i="1"/>
  <c r="R726" i="1"/>
  <c r="P726" i="1"/>
  <c r="J726" i="1"/>
  <c r="I726" i="1"/>
  <c r="F726" i="1"/>
  <c r="E726" i="1"/>
  <c r="B726" i="1"/>
  <c r="A726" i="1"/>
  <c r="AO725" i="1"/>
  <c r="AL725" i="1"/>
  <c r="R725" i="1"/>
  <c r="J725" i="1"/>
  <c r="I725" i="1"/>
  <c r="F725" i="1"/>
  <c r="E725" i="1"/>
  <c r="B725" i="1"/>
  <c r="A725" i="1"/>
  <c r="AO724" i="1"/>
  <c r="AL724" i="1"/>
  <c r="R724" i="1"/>
  <c r="P724" i="1"/>
  <c r="J724" i="1"/>
  <c r="I724" i="1"/>
  <c r="F724" i="1"/>
  <c r="E724" i="1"/>
  <c r="B724" i="1"/>
  <c r="A724" i="1"/>
  <c r="AO723" i="1"/>
  <c r="AL723" i="1"/>
  <c r="R723" i="1"/>
  <c r="P723" i="1"/>
  <c r="J723" i="1"/>
  <c r="I723" i="1"/>
  <c r="F723" i="1"/>
  <c r="E723" i="1"/>
  <c r="B723" i="1"/>
  <c r="A723" i="1"/>
  <c r="AO722" i="1"/>
  <c r="AL722" i="1"/>
  <c r="R722" i="1"/>
  <c r="J722" i="1"/>
  <c r="I722" i="1"/>
  <c r="F722" i="1"/>
  <c r="E722" i="1"/>
  <c r="B722" i="1"/>
  <c r="A722" i="1"/>
  <c r="AO721" i="1"/>
  <c r="AL721" i="1"/>
  <c r="R721" i="1"/>
  <c r="P721" i="1"/>
  <c r="J721" i="1"/>
  <c r="I721" i="1"/>
  <c r="F721" i="1"/>
  <c r="E721" i="1"/>
  <c r="B721" i="1"/>
  <c r="A721" i="1"/>
  <c r="AO720" i="1"/>
  <c r="AL720" i="1"/>
  <c r="R720" i="1"/>
  <c r="J720" i="1"/>
  <c r="I720" i="1"/>
  <c r="F720" i="1"/>
  <c r="E720" i="1"/>
  <c r="B720" i="1"/>
  <c r="A720" i="1"/>
  <c r="AO719" i="1"/>
  <c r="AL719" i="1"/>
  <c r="R719" i="1"/>
  <c r="P719" i="1"/>
  <c r="J719" i="1"/>
  <c r="I719" i="1"/>
  <c r="F719" i="1"/>
  <c r="E719" i="1"/>
  <c r="B719" i="1"/>
  <c r="A719" i="1"/>
  <c r="AO718" i="1"/>
  <c r="AL718" i="1"/>
  <c r="R718" i="1"/>
  <c r="P718" i="1"/>
  <c r="J718" i="1"/>
  <c r="I718" i="1"/>
  <c r="F718" i="1"/>
  <c r="E718" i="1"/>
  <c r="B718" i="1"/>
  <c r="A718" i="1"/>
  <c r="AN718" i="1" s="1"/>
  <c r="AO717" i="1"/>
  <c r="AL717" i="1"/>
  <c r="R717" i="1"/>
  <c r="P717" i="1"/>
  <c r="J717" i="1"/>
  <c r="I717" i="1"/>
  <c r="F717" i="1"/>
  <c r="E717" i="1"/>
  <c r="B717" i="1"/>
  <c r="A717" i="1"/>
  <c r="AO716" i="1"/>
  <c r="AL716" i="1"/>
  <c r="R716" i="1"/>
  <c r="J716" i="1"/>
  <c r="I716" i="1"/>
  <c r="F716" i="1"/>
  <c r="E716" i="1"/>
  <c r="B716" i="1"/>
  <c r="A716" i="1"/>
  <c r="AO715" i="1"/>
  <c r="AL715" i="1"/>
  <c r="R715" i="1"/>
  <c r="J715" i="1"/>
  <c r="I715" i="1"/>
  <c r="F715" i="1"/>
  <c r="E715" i="1"/>
  <c r="B715" i="1"/>
  <c r="A715" i="1"/>
  <c r="AO714" i="1"/>
  <c r="AL714" i="1"/>
  <c r="R714" i="1"/>
  <c r="J714" i="1"/>
  <c r="I714" i="1"/>
  <c r="F714" i="1"/>
  <c r="E714" i="1"/>
  <c r="B714" i="1"/>
  <c r="A714" i="1"/>
  <c r="AO713" i="1"/>
  <c r="AL713" i="1"/>
  <c r="R713" i="1"/>
  <c r="J713" i="1"/>
  <c r="I713" i="1"/>
  <c r="F713" i="1"/>
  <c r="E713" i="1"/>
  <c r="B713" i="1"/>
  <c r="A713" i="1"/>
  <c r="AO712" i="1"/>
  <c r="AL712" i="1"/>
  <c r="R712" i="1"/>
  <c r="J712" i="1"/>
  <c r="I712" i="1"/>
  <c r="F712" i="1"/>
  <c r="E712" i="1"/>
  <c r="B712" i="1"/>
  <c r="A712" i="1"/>
  <c r="AN712" i="1" s="1"/>
  <c r="AO711" i="1"/>
  <c r="AL711" i="1"/>
  <c r="R711" i="1"/>
  <c r="J711" i="1"/>
  <c r="I711" i="1"/>
  <c r="F711" i="1"/>
  <c r="E711" i="1"/>
  <c r="B711" i="1"/>
  <c r="A711" i="1"/>
  <c r="AO710" i="1"/>
  <c r="AL710" i="1"/>
  <c r="R710" i="1"/>
  <c r="J710" i="1"/>
  <c r="I710" i="1"/>
  <c r="F710" i="1"/>
  <c r="E710" i="1"/>
  <c r="B710" i="1"/>
  <c r="X710" i="1" s="1"/>
  <c r="A710" i="1"/>
  <c r="AN710" i="1" s="1"/>
  <c r="AO709" i="1"/>
  <c r="AL709" i="1"/>
  <c r="R709" i="1"/>
  <c r="J709" i="1"/>
  <c r="I709" i="1"/>
  <c r="F709" i="1"/>
  <c r="E709" i="1"/>
  <c r="B709" i="1"/>
  <c r="X709" i="1" s="1"/>
  <c r="A709" i="1"/>
  <c r="AO708" i="1"/>
  <c r="AL708" i="1"/>
  <c r="R708" i="1"/>
  <c r="P708" i="1"/>
  <c r="J708" i="1"/>
  <c r="I708" i="1"/>
  <c r="F708" i="1"/>
  <c r="E708" i="1"/>
  <c r="B708" i="1"/>
  <c r="A708" i="1"/>
  <c r="AO707" i="1"/>
  <c r="AL707" i="1"/>
  <c r="R707" i="1"/>
  <c r="J707" i="1"/>
  <c r="I707" i="1"/>
  <c r="F707" i="1"/>
  <c r="E707" i="1"/>
  <c r="B707" i="1"/>
  <c r="A707" i="1"/>
  <c r="AO706" i="1"/>
  <c r="AL706" i="1"/>
  <c r="R706" i="1"/>
  <c r="O706" i="1"/>
  <c r="J706" i="1"/>
  <c r="I706" i="1"/>
  <c r="F706" i="1"/>
  <c r="E706" i="1"/>
  <c r="B706" i="1"/>
  <c r="A706" i="1"/>
  <c r="AO705" i="1"/>
  <c r="AL705" i="1"/>
  <c r="R705" i="1"/>
  <c r="O705" i="1"/>
  <c r="J705" i="1"/>
  <c r="I705" i="1"/>
  <c r="F705" i="1"/>
  <c r="E705" i="1"/>
  <c r="B705" i="1"/>
  <c r="A705" i="1"/>
  <c r="AO704" i="1"/>
  <c r="AL704" i="1"/>
  <c r="R704" i="1"/>
  <c r="J704" i="1"/>
  <c r="I704" i="1"/>
  <c r="F704" i="1"/>
  <c r="E704" i="1"/>
  <c r="B704" i="1"/>
  <c r="X704" i="1" s="1"/>
  <c r="A704" i="1"/>
  <c r="AO703" i="1"/>
  <c r="AL703" i="1"/>
  <c r="R703" i="1"/>
  <c r="J703" i="1"/>
  <c r="I703" i="1"/>
  <c r="F703" i="1"/>
  <c r="E703" i="1"/>
  <c r="B703" i="1"/>
  <c r="A703" i="1"/>
  <c r="AO702" i="1"/>
  <c r="AL702" i="1"/>
  <c r="R702" i="1"/>
  <c r="O702" i="1"/>
  <c r="J702" i="1"/>
  <c r="I702" i="1"/>
  <c r="F702" i="1"/>
  <c r="E702" i="1"/>
  <c r="B702" i="1"/>
  <c r="A702" i="1"/>
  <c r="AO701" i="1"/>
  <c r="AL701" i="1"/>
  <c r="R701" i="1"/>
  <c r="O701" i="1"/>
  <c r="J701" i="1"/>
  <c r="I701" i="1"/>
  <c r="F701" i="1"/>
  <c r="E701" i="1"/>
  <c r="B701" i="1"/>
  <c r="A701" i="1"/>
  <c r="AO700" i="1"/>
  <c r="AL700" i="1"/>
  <c r="R700" i="1"/>
  <c r="J700" i="1"/>
  <c r="I700" i="1"/>
  <c r="F700" i="1"/>
  <c r="E700" i="1"/>
  <c r="B700" i="1"/>
  <c r="A700" i="1"/>
  <c r="AO699" i="1"/>
  <c r="AL699" i="1"/>
  <c r="R699" i="1"/>
  <c r="O699" i="1"/>
  <c r="J699" i="1"/>
  <c r="I699" i="1"/>
  <c r="F699" i="1"/>
  <c r="E699" i="1"/>
  <c r="B699" i="1"/>
  <c r="A699" i="1"/>
  <c r="AO698" i="1"/>
  <c r="AL698" i="1"/>
  <c r="R698" i="1"/>
  <c r="J698" i="1"/>
  <c r="I698" i="1"/>
  <c r="F698" i="1"/>
  <c r="E698" i="1"/>
  <c r="B698" i="1"/>
  <c r="X698" i="1" s="1"/>
  <c r="A698" i="1"/>
  <c r="AN698" i="1" s="1"/>
  <c r="AO697" i="1"/>
  <c r="AL697" i="1"/>
  <c r="R697" i="1"/>
  <c r="O697" i="1"/>
  <c r="J697" i="1"/>
  <c r="I697" i="1"/>
  <c r="F697" i="1"/>
  <c r="E697" i="1"/>
  <c r="B697" i="1"/>
  <c r="A697" i="1"/>
  <c r="AO696" i="1"/>
  <c r="AL696" i="1"/>
  <c r="R696" i="1"/>
  <c r="O696" i="1"/>
  <c r="J696" i="1"/>
  <c r="I696" i="1"/>
  <c r="F696" i="1"/>
  <c r="E696" i="1"/>
  <c r="B696" i="1"/>
  <c r="A696" i="1"/>
  <c r="AO695" i="1"/>
  <c r="AL695" i="1"/>
  <c r="R695" i="1"/>
  <c r="J695" i="1"/>
  <c r="I695" i="1"/>
  <c r="F695" i="1"/>
  <c r="E695" i="1"/>
  <c r="B695" i="1"/>
  <c r="A695" i="1"/>
  <c r="AO694" i="1"/>
  <c r="AL694" i="1"/>
  <c r="R694" i="1"/>
  <c r="O694" i="1"/>
  <c r="J694" i="1"/>
  <c r="I694" i="1"/>
  <c r="F694" i="1"/>
  <c r="E694" i="1"/>
  <c r="B694" i="1"/>
  <c r="A694" i="1"/>
  <c r="AO693" i="1"/>
  <c r="AL693" i="1"/>
  <c r="R693" i="1"/>
  <c r="J693" i="1"/>
  <c r="I693" i="1"/>
  <c r="F693" i="1"/>
  <c r="E693" i="1"/>
  <c r="B693" i="1"/>
  <c r="A693" i="1"/>
  <c r="AO692" i="1"/>
  <c r="AL692" i="1"/>
  <c r="R692" i="1"/>
  <c r="J692" i="1"/>
  <c r="I692" i="1"/>
  <c r="F692" i="1"/>
  <c r="E692" i="1"/>
  <c r="B692" i="1"/>
  <c r="A692" i="1"/>
  <c r="AO691" i="1"/>
  <c r="AL691" i="1"/>
  <c r="R691" i="1"/>
  <c r="O691" i="1"/>
  <c r="J691" i="1"/>
  <c r="I691" i="1"/>
  <c r="F691" i="1"/>
  <c r="E691" i="1"/>
  <c r="B691" i="1"/>
  <c r="A691" i="1"/>
  <c r="AO690" i="1"/>
  <c r="AL690" i="1"/>
  <c r="R690" i="1"/>
  <c r="J690" i="1"/>
  <c r="I690" i="1"/>
  <c r="F690" i="1"/>
  <c r="E690" i="1"/>
  <c r="B690" i="1"/>
  <c r="A690" i="1"/>
  <c r="AO689" i="1"/>
  <c r="AL689" i="1"/>
  <c r="R689" i="1"/>
  <c r="J689" i="1"/>
  <c r="I689" i="1"/>
  <c r="F689" i="1"/>
  <c r="E689" i="1"/>
  <c r="B689" i="1"/>
  <c r="A689" i="1"/>
  <c r="AO688" i="1"/>
  <c r="AL688" i="1"/>
  <c r="R688" i="1"/>
  <c r="J688" i="1"/>
  <c r="I688" i="1"/>
  <c r="F688" i="1"/>
  <c r="E688" i="1"/>
  <c r="B688" i="1"/>
  <c r="X688" i="1" s="1"/>
  <c r="A688" i="1"/>
  <c r="AO687" i="1"/>
  <c r="AL687" i="1"/>
  <c r="R687" i="1"/>
  <c r="J687" i="1"/>
  <c r="I687" i="1"/>
  <c r="F687" i="1"/>
  <c r="E687" i="1"/>
  <c r="B687" i="1"/>
  <c r="X687" i="1" s="1"/>
  <c r="A687" i="1"/>
  <c r="AO686" i="1"/>
  <c r="AL686" i="1"/>
  <c r="R686" i="1"/>
  <c r="J686" i="1"/>
  <c r="I686" i="1"/>
  <c r="F686" i="1"/>
  <c r="E686" i="1"/>
  <c r="B686" i="1"/>
  <c r="X686" i="1" s="1"/>
  <c r="A686" i="1"/>
  <c r="AO685" i="1"/>
  <c r="AL685" i="1"/>
  <c r="R685" i="1"/>
  <c r="P685" i="1"/>
  <c r="J685" i="1"/>
  <c r="I685" i="1"/>
  <c r="F685" i="1"/>
  <c r="E685" i="1"/>
  <c r="B685" i="1"/>
  <c r="X685" i="1" s="1"/>
  <c r="A685" i="1"/>
  <c r="AO684" i="1"/>
  <c r="AL684" i="1"/>
  <c r="O684" i="1"/>
  <c r="J684" i="1"/>
  <c r="I684" i="1"/>
  <c r="F684" i="1"/>
  <c r="E684" i="1"/>
  <c r="B684" i="1"/>
  <c r="A684" i="1"/>
  <c r="AO683" i="1"/>
  <c r="AL683" i="1"/>
  <c r="R683" i="1"/>
  <c r="P683" i="1"/>
  <c r="J683" i="1"/>
  <c r="I683" i="1"/>
  <c r="F683" i="1"/>
  <c r="E683" i="1"/>
  <c r="B683" i="1"/>
  <c r="X683" i="1" s="1"/>
  <c r="A683" i="1"/>
  <c r="AO682" i="1"/>
  <c r="AL682" i="1"/>
  <c r="R682" i="1"/>
  <c r="P682" i="1"/>
  <c r="J682" i="1"/>
  <c r="I682" i="1"/>
  <c r="F682" i="1"/>
  <c r="E682" i="1"/>
  <c r="B682" i="1"/>
  <c r="X682" i="1" s="1"/>
  <c r="A682" i="1"/>
  <c r="AO681" i="1"/>
  <c r="AL681" i="1"/>
  <c r="R681" i="1"/>
  <c r="O681" i="1"/>
  <c r="J681" i="1"/>
  <c r="I681" i="1"/>
  <c r="F681" i="1"/>
  <c r="E681" i="1"/>
  <c r="B681" i="1"/>
  <c r="X681" i="1" s="1"/>
  <c r="A681" i="1"/>
  <c r="AN681" i="1" s="1"/>
  <c r="AO680" i="1"/>
  <c r="AL680" i="1"/>
  <c r="R680" i="1"/>
  <c r="J680" i="1"/>
  <c r="I680" i="1"/>
  <c r="F680" i="1"/>
  <c r="E680" i="1"/>
  <c r="B680" i="1"/>
  <c r="A680" i="1"/>
  <c r="AO679" i="1"/>
  <c r="AL679" i="1"/>
  <c r="R679" i="1"/>
  <c r="O679" i="1"/>
  <c r="J679" i="1"/>
  <c r="I679" i="1"/>
  <c r="F679" i="1"/>
  <c r="E679" i="1"/>
  <c r="B679" i="1"/>
  <c r="A679" i="1"/>
  <c r="AO678" i="1"/>
  <c r="AL678" i="1"/>
  <c r="R678" i="1"/>
  <c r="P678" i="1"/>
  <c r="J678" i="1"/>
  <c r="I678" i="1"/>
  <c r="F678" i="1"/>
  <c r="E678" i="1"/>
  <c r="B678" i="1"/>
  <c r="A678" i="1"/>
  <c r="AO677" i="1"/>
  <c r="AL677" i="1"/>
  <c r="R677" i="1"/>
  <c r="J677" i="1"/>
  <c r="I677" i="1"/>
  <c r="F677" i="1"/>
  <c r="E677" i="1"/>
  <c r="B677" i="1"/>
  <c r="A677" i="1"/>
  <c r="AN677" i="1" s="1"/>
  <c r="AO676" i="1"/>
  <c r="AL676" i="1"/>
  <c r="R676" i="1"/>
  <c r="O676" i="1"/>
  <c r="J676" i="1"/>
  <c r="I676" i="1"/>
  <c r="F676" i="1"/>
  <c r="E676" i="1"/>
  <c r="B676" i="1"/>
  <c r="A676" i="1"/>
  <c r="AO675" i="1"/>
  <c r="AL675" i="1"/>
  <c r="R675" i="1"/>
  <c r="P675" i="1"/>
  <c r="J675" i="1"/>
  <c r="I675" i="1"/>
  <c r="F675" i="1"/>
  <c r="E675" i="1"/>
  <c r="B675" i="1"/>
  <c r="A675" i="1"/>
  <c r="AO674" i="1"/>
  <c r="AL674" i="1"/>
  <c r="R674" i="1"/>
  <c r="J674" i="1"/>
  <c r="I674" i="1"/>
  <c r="F674" i="1"/>
  <c r="E674" i="1"/>
  <c r="B674" i="1"/>
  <c r="X674" i="1" s="1"/>
  <c r="A674" i="1"/>
  <c r="AO673" i="1"/>
  <c r="AL673" i="1"/>
  <c r="R673" i="1"/>
  <c r="P673" i="1"/>
  <c r="J673" i="1"/>
  <c r="I673" i="1"/>
  <c r="F673" i="1"/>
  <c r="E673" i="1"/>
  <c r="B673" i="1"/>
  <c r="A673" i="1"/>
  <c r="AO672" i="1"/>
  <c r="AL672" i="1"/>
  <c r="R672" i="1"/>
  <c r="O672" i="1"/>
  <c r="J672" i="1"/>
  <c r="I672" i="1"/>
  <c r="F672" i="1"/>
  <c r="E672" i="1"/>
  <c r="B672" i="1"/>
  <c r="A672" i="1"/>
  <c r="AO671" i="1"/>
  <c r="AL671" i="1"/>
  <c r="R671" i="1"/>
  <c r="J671" i="1"/>
  <c r="I671" i="1"/>
  <c r="F671" i="1"/>
  <c r="E671" i="1"/>
  <c r="B671" i="1"/>
  <c r="X671" i="1" s="1"/>
  <c r="A671" i="1"/>
  <c r="AO670" i="1"/>
  <c r="AL670" i="1"/>
  <c r="R670" i="1"/>
  <c r="O670" i="1"/>
  <c r="J670" i="1"/>
  <c r="I670" i="1"/>
  <c r="F670" i="1"/>
  <c r="E670" i="1"/>
  <c r="B670" i="1"/>
  <c r="A670" i="1"/>
  <c r="AO669" i="1"/>
  <c r="AL669" i="1"/>
  <c r="R669" i="1"/>
  <c r="O669" i="1"/>
  <c r="J669" i="1"/>
  <c r="I669" i="1"/>
  <c r="F669" i="1"/>
  <c r="E669" i="1"/>
  <c r="B669" i="1"/>
  <c r="A669" i="1"/>
  <c r="AO668" i="1"/>
  <c r="AL668" i="1"/>
  <c r="J668" i="1"/>
  <c r="I668" i="1"/>
  <c r="F668" i="1"/>
  <c r="E668" i="1"/>
  <c r="B668" i="1"/>
  <c r="A668" i="1"/>
  <c r="AO667" i="1"/>
  <c r="AL667" i="1"/>
  <c r="R667" i="1"/>
  <c r="J667" i="1"/>
  <c r="I667" i="1"/>
  <c r="F667" i="1"/>
  <c r="E667" i="1"/>
  <c r="B667" i="1"/>
  <c r="X667" i="1" s="1"/>
  <c r="A667" i="1"/>
  <c r="AO666" i="1"/>
  <c r="AL666" i="1"/>
  <c r="R666" i="1"/>
  <c r="P666" i="1"/>
  <c r="J666" i="1"/>
  <c r="I666" i="1"/>
  <c r="F666" i="1"/>
  <c r="E666" i="1"/>
  <c r="B666" i="1"/>
  <c r="X666" i="1" s="1"/>
  <c r="A666" i="1"/>
  <c r="AO665" i="1"/>
  <c r="AL665" i="1"/>
  <c r="R665" i="1"/>
  <c r="P665" i="1"/>
  <c r="J665" i="1"/>
  <c r="I665" i="1"/>
  <c r="F665" i="1"/>
  <c r="E665" i="1"/>
  <c r="B665" i="1"/>
  <c r="X665" i="1" s="1"/>
  <c r="A665" i="1"/>
  <c r="AO664" i="1"/>
  <c r="AL664" i="1"/>
  <c r="R664" i="1"/>
  <c r="J664" i="1"/>
  <c r="I664" i="1"/>
  <c r="F664" i="1"/>
  <c r="E664" i="1"/>
  <c r="B664" i="1"/>
  <c r="X664" i="1" s="1"/>
  <c r="A664" i="1"/>
  <c r="AO663" i="1"/>
  <c r="AL663" i="1"/>
  <c r="R663" i="1"/>
  <c r="P663" i="1"/>
  <c r="J663" i="1"/>
  <c r="I663" i="1"/>
  <c r="F663" i="1"/>
  <c r="E663" i="1"/>
  <c r="B663" i="1"/>
  <c r="A663" i="1"/>
  <c r="AO662" i="1"/>
  <c r="AL662" i="1"/>
  <c r="R662" i="1"/>
  <c r="J662" i="1"/>
  <c r="I662" i="1"/>
  <c r="F662" i="1"/>
  <c r="E662" i="1"/>
  <c r="B662" i="1"/>
  <c r="A662" i="1"/>
  <c r="AN662" i="1" s="1"/>
  <c r="AO661" i="1"/>
  <c r="AL661" i="1"/>
  <c r="R661" i="1"/>
  <c r="P661" i="1"/>
  <c r="J661" i="1"/>
  <c r="I661" i="1"/>
  <c r="F661" i="1"/>
  <c r="E661" i="1"/>
  <c r="B661" i="1"/>
  <c r="A661" i="1"/>
  <c r="AN661" i="1" s="1"/>
  <c r="AO660" i="1"/>
  <c r="AL660" i="1"/>
  <c r="R660" i="1"/>
  <c r="O660" i="1"/>
  <c r="J660" i="1"/>
  <c r="I660" i="1"/>
  <c r="F660" i="1"/>
  <c r="E660" i="1"/>
  <c r="B660" i="1"/>
  <c r="A660" i="1"/>
  <c r="AO659" i="1"/>
  <c r="AL659" i="1"/>
  <c r="R659" i="1"/>
  <c r="P659" i="1"/>
  <c r="J659" i="1"/>
  <c r="I659" i="1"/>
  <c r="F659" i="1"/>
  <c r="E659" i="1"/>
  <c r="B659" i="1"/>
  <c r="A659" i="1"/>
  <c r="AO658" i="1"/>
  <c r="AL658" i="1"/>
  <c r="R658" i="1"/>
  <c r="J658" i="1"/>
  <c r="I658" i="1"/>
  <c r="F658" i="1"/>
  <c r="E658" i="1"/>
  <c r="B658" i="1"/>
  <c r="X658" i="1" s="1"/>
  <c r="A658" i="1"/>
  <c r="AO657" i="1"/>
  <c r="AL657" i="1"/>
  <c r="R657" i="1"/>
  <c r="J657" i="1"/>
  <c r="I657" i="1"/>
  <c r="F657" i="1"/>
  <c r="E657" i="1"/>
  <c r="B657" i="1"/>
  <c r="X657" i="1" s="1"/>
  <c r="A657" i="1"/>
  <c r="AO656" i="1"/>
  <c r="AL656" i="1"/>
  <c r="R656" i="1"/>
  <c r="P656" i="1"/>
  <c r="J656" i="1"/>
  <c r="I656" i="1"/>
  <c r="F656" i="1"/>
  <c r="E656" i="1"/>
  <c r="B656" i="1"/>
  <c r="A656" i="1"/>
  <c r="AO655" i="1"/>
  <c r="AL655" i="1"/>
  <c r="R655" i="1"/>
  <c r="J655" i="1"/>
  <c r="I655" i="1"/>
  <c r="F655" i="1"/>
  <c r="E655" i="1"/>
  <c r="B655" i="1"/>
  <c r="A655" i="1"/>
  <c r="AO654" i="1"/>
  <c r="AL654" i="1"/>
  <c r="R654" i="1"/>
  <c r="P654" i="1"/>
  <c r="J654" i="1"/>
  <c r="I654" i="1"/>
  <c r="F654" i="1"/>
  <c r="E654" i="1"/>
  <c r="B654" i="1"/>
  <c r="X654" i="1" s="1"/>
  <c r="A654" i="1"/>
  <c r="AN654" i="1" s="1"/>
  <c r="AO653" i="1"/>
  <c r="AL653" i="1"/>
  <c r="R653" i="1"/>
  <c r="O653" i="1"/>
  <c r="J653" i="1"/>
  <c r="I653" i="1"/>
  <c r="F653" i="1"/>
  <c r="E653" i="1"/>
  <c r="B653" i="1"/>
  <c r="A653" i="1"/>
  <c r="AO652" i="1"/>
  <c r="AL652" i="1"/>
  <c r="R652" i="1"/>
  <c r="P652" i="1"/>
  <c r="J652" i="1"/>
  <c r="I652" i="1"/>
  <c r="F652" i="1"/>
  <c r="E652" i="1"/>
  <c r="B652" i="1"/>
  <c r="X652" i="1" s="1"/>
  <c r="A652" i="1"/>
  <c r="AO651" i="1"/>
  <c r="AL651" i="1"/>
  <c r="R651" i="1"/>
  <c r="O651" i="1"/>
  <c r="J651" i="1"/>
  <c r="I651" i="1"/>
  <c r="F651" i="1"/>
  <c r="E651" i="1"/>
  <c r="B651" i="1"/>
  <c r="X651" i="1" s="1"/>
  <c r="A651" i="1"/>
  <c r="AN651" i="1" s="1"/>
  <c r="AO650" i="1"/>
  <c r="AL650" i="1"/>
  <c r="P650" i="1"/>
  <c r="J650" i="1"/>
  <c r="I650" i="1"/>
  <c r="F650" i="1"/>
  <c r="E650" i="1"/>
  <c r="B650" i="1"/>
  <c r="X650" i="1" s="1"/>
  <c r="A650" i="1"/>
  <c r="AN650" i="1" s="1"/>
  <c r="AO649" i="1"/>
  <c r="AL649" i="1"/>
  <c r="R649" i="1"/>
  <c r="J649" i="1"/>
  <c r="I649" i="1"/>
  <c r="F649" i="1"/>
  <c r="E649" i="1"/>
  <c r="B649" i="1"/>
  <c r="A649" i="1"/>
  <c r="AO648" i="1"/>
  <c r="AL648" i="1"/>
  <c r="J648" i="1"/>
  <c r="I648" i="1"/>
  <c r="F648" i="1"/>
  <c r="E648" i="1"/>
  <c r="B648" i="1"/>
  <c r="X648" i="1" s="1"/>
  <c r="A648" i="1"/>
  <c r="AO647" i="1"/>
  <c r="AL647" i="1"/>
  <c r="R647" i="1"/>
  <c r="J647" i="1"/>
  <c r="I647" i="1"/>
  <c r="F647" i="1"/>
  <c r="E647" i="1"/>
  <c r="B647" i="1"/>
  <c r="A647" i="1"/>
  <c r="AO646" i="1"/>
  <c r="AL646" i="1"/>
  <c r="R646" i="1"/>
  <c r="J646" i="1"/>
  <c r="I646" i="1"/>
  <c r="F646" i="1"/>
  <c r="E646" i="1"/>
  <c r="B646" i="1"/>
  <c r="A646" i="1"/>
  <c r="AO645" i="1"/>
  <c r="AL645" i="1"/>
  <c r="R645" i="1"/>
  <c r="O645" i="1"/>
  <c r="J645" i="1"/>
  <c r="I645" i="1"/>
  <c r="F645" i="1"/>
  <c r="E645" i="1"/>
  <c r="B645" i="1"/>
  <c r="A645" i="1"/>
  <c r="AO644" i="1"/>
  <c r="AL644" i="1"/>
  <c r="J644" i="1"/>
  <c r="I644" i="1"/>
  <c r="F644" i="1"/>
  <c r="E644" i="1"/>
  <c r="B644" i="1"/>
  <c r="A644" i="1"/>
  <c r="AO643" i="1"/>
  <c r="AL643" i="1"/>
  <c r="R643" i="1"/>
  <c r="J643" i="1"/>
  <c r="I643" i="1"/>
  <c r="F643" i="1"/>
  <c r="E643" i="1"/>
  <c r="B643" i="1"/>
  <c r="A643" i="1"/>
  <c r="AO642" i="1"/>
  <c r="AL642" i="1"/>
  <c r="R642" i="1"/>
  <c r="O642" i="1"/>
  <c r="J642" i="1"/>
  <c r="I642" i="1"/>
  <c r="F642" i="1"/>
  <c r="E642" i="1"/>
  <c r="B642" i="1"/>
  <c r="A642" i="1"/>
  <c r="AO641" i="1"/>
  <c r="AL641" i="1"/>
  <c r="R641" i="1"/>
  <c r="O641" i="1"/>
  <c r="J641" i="1"/>
  <c r="I641" i="1"/>
  <c r="F641" i="1"/>
  <c r="E641" i="1"/>
  <c r="B641" i="1"/>
  <c r="A641" i="1"/>
  <c r="AN641" i="1" s="1"/>
  <c r="AO640" i="1"/>
  <c r="AL640" i="1"/>
  <c r="R640" i="1"/>
  <c r="J640" i="1"/>
  <c r="I640" i="1"/>
  <c r="F640" i="1"/>
  <c r="E640" i="1"/>
  <c r="B640" i="1"/>
  <c r="A640" i="1"/>
  <c r="AN640" i="1" s="1"/>
  <c r="AO639" i="1"/>
  <c r="AL639" i="1"/>
  <c r="R639" i="1"/>
  <c r="O639" i="1"/>
  <c r="J639" i="1"/>
  <c r="I639" i="1"/>
  <c r="F639" i="1"/>
  <c r="E639" i="1"/>
  <c r="B639" i="1"/>
  <c r="X639" i="1" s="1"/>
  <c r="A639" i="1"/>
  <c r="AO638" i="1"/>
  <c r="AL638" i="1"/>
  <c r="R638" i="1"/>
  <c r="J638" i="1"/>
  <c r="I638" i="1"/>
  <c r="F638" i="1"/>
  <c r="E638" i="1"/>
  <c r="B638" i="1"/>
  <c r="A638" i="1"/>
  <c r="AN638" i="1" s="1"/>
  <c r="AO637" i="1"/>
  <c r="AL637" i="1"/>
  <c r="R637" i="1"/>
  <c r="P637" i="1"/>
  <c r="J637" i="1"/>
  <c r="I637" i="1"/>
  <c r="F637" i="1"/>
  <c r="E637" i="1"/>
  <c r="B637" i="1"/>
  <c r="X637" i="1" s="1"/>
  <c r="A637" i="1"/>
  <c r="AO636" i="1"/>
  <c r="AL636" i="1"/>
  <c r="R636" i="1"/>
  <c r="P636" i="1"/>
  <c r="J636" i="1"/>
  <c r="I636" i="1"/>
  <c r="F636" i="1"/>
  <c r="E636" i="1"/>
  <c r="B636" i="1"/>
  <c r="A636" i="1"/>
  <c r="AN636" i="1" s="1"/>
  <c r="AO635" i="1"/>
  <c r="AL635" i="1"/>
  <c r="R635" i="1"/>
  <c r="J635" i="1"/>
  <c r="I635" i="1"/>
  <c r="F635" i="1"/>
  <c r="E635" i="1"/>
  <c r="B635" i="1"/>
  <c r="A635" i="1"/>
  <c r="AN635" i="1" s="1"/>
  <c r="AO634" i="1"/>
  <c r="AL634" i="1"/>
  <c r="R634" i="1"/>
  <c r="J634" i="1"/>
  <c r="I634" i="1"/>
  <c r="F634" i="1"/>
  <c r="E634" i="1"/>
  <c r="B634" i="1"/>
  <c r="A634" i="1"/>
  <c r="AO633" i="1"/>
  <c r="AL633" i="1"/>
  <c r="R633" i="1"/>
  <c r="P633" i="1"/>
  <c r="J633" i="1"/>
  <c r="I633" i="1"/>
  <c r="F633" i="1"/>
  <c r="E633" i="1"/>
  <c r="B633" i="1"/>
  <c r="A633" i="1"/>
  <c r="AO632" i="1"/>
  <c r="AL632" i="1"/>
  <c r="R632" i="1"/>
  <c r="J632" i="1"/>
  <c r="I632" i="1"/>
  <c r="F632" i="1"/>
  <c r="E632" i="1"/>
  <c r="B632" i="1"/>
  <c r="A632" i="1"/>
  <c r="AO631" i="1"/>
  <c r="AL631" i="1"/>
  <c r="R631" i="1"/>
  <c r="P631" i="1"/>
  <c r="J631" i="1"/>
  <c r="I631" i="1"/>
  <c r="F631" i="1"/>
  <c r="E631" i="1"/>
  <c r="B631" i="1"/>
  <c r="A631" i="1"/>
  <c r="AO630" i="1"/>
  <c r="AL630" i="1"/>
  <c r="R630" i="1"/>
  <c r="J630" i="1"/>
  <c r="I630" i="1"/>
  <c r="F630" i="1"/>
  <c r="E630" i="1"/>
  <c r="B630" i="1"/>
  <c r="A630" i="1"/>
  <c r="AO629" i="1"/>
  <c r="AL629" i="1"/>
  <c r="R629" i="1"/>
  <c r="J629" i="1"/>
  <c r="I629" i="1"/>
  <c r="F629" i="1"/>
  <c r="E629" i="1"/>
  <c r="B629" i="1"/>
  <c r="A629" i="1"/>
  <c r="AO628" i="1"/>
  <c r="AL628" i="1"/>
  <c r="R628" i="1"/>
  <c r="J628" i="1"/>
  <c r="I628" i="1"/>
  <c r="F628" i="1"/>
  <c r="E628" i="1"/>
  <c r="B628" i="1"/>
  <c r="A628" i="1"/>
  <c r="AO627" i="1"/>
  <c r="AL627" i="1"/>
  <c r="R627" i="1"/>
  <c r="J627" i="1"/>
  <c r="I627" i="1"/>
  <c r="F627" i="1"/>
  <c r="E627" i="1"/>
  <c r="B627" i="1"/>
  <c r="A627" i="1"/>
  <c r="AO626" i="1"/>
  <c r="AL626" i="1"/>
  <c r="R626" i="1"/>
  <c r="J626" i="1"/>
  <c r="I626" i="1"/>
  <c r="F626" i="1"/>
  <c r="E626" i="1"/>
  <c r="B626" i="1"/>
  <c r="A626" i="1"/>
  <c r="AO625" i="1"/>
  <c r="AL625" i="1"/>
  <c r="R625" i="1"/>
  <c r="P625" i="1"/>
  <c r="J625" i="1"/>
  <c r="I625" i="1"/>
  <c r="F625" i="1"/>
  <c r="E625" i="1"/>
  <c r="B625" i="1"/>
  <c r="X625" i="1" s="1"/>
  <c r="A625" i="1"/>
  <c r="AO624" i="1"/>
  <c r="AL624" i="1"/>
  <c r="R624" i="1"/>
  <c r="J624" i="1"/>
  <c r="I624" i="1"/>
  <c r="F624" i="1"/>
  <c r="E624" i="1"/>
  <c r="B624" i="1"/>
  <c r="A624" i="1"/>
  <c r="AO623" i="1"/>
  <c r="AL623" i="1"/>
  <c r="R623" i="1"/>
  <c r="J623" i="1"/>
  <c r="I623" i="1"/>
  <c r="F623" i="1"/>
  <c r="E623" i="1"/>
  <c r="B623" i="1"/>
  <c r="X623" i="1" s="1"/>
  <c r="A623" i="1"/>
  <c r="AO622" i="1"/>
  <c r="AL622" i="1"/>
  <c r="R622" i="1"/>
  <c r="J622" i="1"/>
  <c r="I622" i="1"/>
  <c r="F622" i="1"/>
  <c r="E622" i="1"/>
  <c r="B622" i="1"/>
  <c r="A622" i="1"/>
  <c r="AO621" i="1"/>
  <c r="AL621" i="1"/>
  <c r="R621" i="1"/>
  <c r="P621" i="1"/>
  <c r="J621" i="1"/>
  <c r="I621" i="1"/>
  <c r="F621" i="1"/>
  <c r="E621" i="1"/>
  <c r="B621" i="1"/>
  <c r="A621" i="1"/>
  <c r="AO620" i="1"/>
  <c r="AL620" i="1"/>
  <c r="R620" i="1"/>
  <c r="P620" i="1"/>
  <c r="J620" i="1"/>
  <c r="I620" i="1"/>
  <c r="F620" i="1"/>
  <c r="E620" i="1"/>
  <c r="B620" i="1"/>
  <c r="A620" i="1"/>
  <c r="AN620" i="1" s="1"/>
  <c r="AO619" i="1"/>
  <c r="AL619" i="1"/>
  <c r="R619" i="1"/>
  <c r="P619" i="1"/>
  <c r="J619" i="1"/>
  <c r="I619" i="1"/>
  <c r="F619" i="1"/>
  <c r="E619" i="1"/>
  <c r="B619" i="1"/>
  <c r="A619" i="1"/>
  <c r="AO618" i="1"/>
  <c r="AL618" i="1"/>
  <c r="R618" i="1"/>
  <c r="J618" i="1"/>
  <c r="I618" i="1"/>
  <c r="F618" i="1"/>
  <c r="E618" i="1"/>
  <c r="B618" i="1"/>
  <c r="A618" i="1"/>
  <c r="AN618" i="1" s="1"/>
  <c r="AO617" i="1"/>
  <c r="AL617" i="1"/>
  <c r="R617" i="1"/>
  <c r="P617" i="1"/>
  <c r="J617" i="1"/>
  <c r="I617" i="1"/>
  <c r="F617" i="1"/>
  <c r="E617" i="1"/>
  <c r="B617" i="1"/>
  <c r="X617" i="1" s="1"/>
  <c r="A617" i="1"/>
  <c r="AO616" i="1"/>
  <c r="AL616" i="1"/>
  <c r="R616" i="1"/>
  <c r="J616" i="1"/>
  <c r="I616" i="1"/>
  <c r="F616" i="1"/>
  <c r="E616" i="1"/>
  <c r="B616" i="1"/>
  <c r="A616" i="1"/>
  <c r="AO615" i="1"/>
  <c r="AL615" i="1"/>
  <c r="R615" i="1"/>
  <c r="J615" i="1"/>
  <c r="I615" i="1"/>
  <c r="F615" i="1"/>
  <c r="E615" i="1"/>
  <c r="B615" i="1"/>
  <c r="X615" i="1" s="1"/>
  <c r="A615" i="1"/>
  <c r="AO614" i="1"/>
  <c r="AL614" i="1"/>
  <c r="R614" i="1"/>
  <c r="O614" i="1"/>
  <c r="J614" i="1"/>
  <c r="I614" i="1"/>
  <c r="F614" i="1"/>
  <c r="E614" i="1"/>
  <c r="B614" i="1"/>
  <c r="A614" i="1"/>
  <c r="AN614" i="1" s="1"/>
  <c r="AO613" i="1"/>
  <c r="AL613" i="1"/>
  <c r="R613" i="1"/>
  <c r="O613" i="1"/>
  <c r="J613" i="1"/>
  <c r="I613" i="1"/>
  <c r="F613" i="1"/>
  <c r="E613" i="1"/>
  <c r="B613" i="1"/>
  <c r="A613" i="1"/>
  <c r="AO612" i="1"/>
  <c r="AL612" i="1"/>
  <c r="R612" i="1"/>
  <c r="J612" i="1"/>
  <c r="I612" i="1"/>
  <c r="F612" i="1"/>
  <c r="E612" i="1"/>
  <c r="B612" i="1"/>
  <c r="A612" i="1"/>
  <c r="AO611" i="1"/>
  <c r="AL611" i="1"/>
  <c r="R611" i="1"/>
  <c r="J611" i="1"/>
  <c r="I611" i="1"/>
  <c r="F611" i="1"/>
  <c r="E611" i="1"/>
  <c r="B611" i="1"/>
  <c r="A611" i="1"/>
  <c r="AO610" i="1"/>
  <c r="AL610" i="1"/>
  <c r="R610" i="1"/>
  <c r="J610" i="1"/>
  <c r="I610" i="1"/>
  <c r="F610" i="1"/>
  <c r="E610" i="1"/>
  <c r="B610" i="1"/>
  <c r="A610" i="1"/>
  <c r="AO609" i="1"/>
  <c r="AL609" i="1"/>
  <c r="R609" i="1"/>
  <c r="J609" i="1"/>
  <c r="I609" i="1"/>
  <c r="F609" i="1"/>
  <c r="E609" i="1"/>
  <c r="B609" i="1"/>
  <c r="X609" i="1" s="1"/>
  <c r="A609" i="1"/>
  <c r="AO608" i="1"/>
  <c r="AL608" i="1"/>
  <c r="R608" i="1"/>
  <c r="J608" i="1"/>
  <c r="I608" i="1"/>
  <c r="F608" i="1"/>
  <c r="E608" i="1"/>
  <c r="B608" i="1"/>
  <c r="A608" i="1"/>
  <c r="AO607" i="1"/>
  <c r="AL607" i="1"/>
  <c r="R607" i="1"/>
  <c r="J607" i="1"/>
  <c r="I607" i="1"/>
  <c r="F607" i="1"/>
  <c r="E607" i="1"/>
  <c r="B607" i="1"/>
  <c r="A607" i="1"/>
  <c r="AO606" i="1"/>
  <c r="AL606" i="1"/>
  <c r="R606" i="1"/>
  <c r="J606" i="1"/>
  <c r="I606" i="1"/>
  <c r="F606" i="1"/>
  <c r="E606" i="1"/>
  <c r="B606" i="1"/>
  <c r="A606" i="1"/>
  <c r="AN606" i="1" s="1"/>
  <c r="AO605" i="1"/>
  <c r="AL605" i="1"/>
  <c r="R605" i="1"/>
  <c r="J605" i="1"/>
  <c r="I605" i="1"/>
  <c r="F605" i="1"/>
  <c r="E605" i="1"/>
  <c r="B605" i="1"/>
  <c r="A605" i="1"/>
  <c r="AO604" i="1"/>
  <c r="AL604" i="1"/>
  <c r="R604" i="1"/>
  <c r="J604" i="1"/>
  <c r="I604" i="1"/>
  <c r="F604" i="1"/>
  <c r="E604" i="1"/>
  <c r="B604" i="1"/>
  <c r="X604" i="1" s="1"/>
  <c r="A604" i="1"/>
  <c r="AO603" i="1"/>
  <c r="AL603" i="1"/>
  <c r="R603" i="1"/>
  <c r="J603" i="1"/>
  <c r="I603" i="1"/>
  <c r="F603" i="1"/>
  <c r="E603" i="1"/>
  <c r="B603" i="1"/>
  <c r="A603" i="1"/>
  <c r="AO602" i="1"/>
  <c r="AL602" i="1"/>
  <c r="R602" i="1"/>
  <c r="J602" i="1"/>
  <c r="I602" i="1"/>
  <c r="F602" i="1"/>
  <c r="E602" i="1"/>
  <c r="B602" i="1"/>
  <c r="A602" i="1"/>
  <c r="AO601" i="1"/>
  <c r="AL601" i="1"/>
  <c r="R601" i="1"/>
  <c r="J601" i="1"/>
  <c r="I601" i="1"/>
  <c r="F601" i="1"/>
  <c r="E601" i="1"/>
  <c r="B601" i="1"/>
  <c r="A601" i="1"/>
  <c r="AN601" i="1" s="1"/>
  <c r="AO600" i="1"/>
  <c r="AL600" i="1"/>
  <c r="R600" i="1"/>
  <c r="P600" i="1"/>
  <c r="J600" i="1"/>
  <c r="I600" i="1"/>
  <c r="F600" i="1"/>
  <c r="E600" i="1"/>
  <c r="B600" i="1"/>
  <c r="A600" i="1"/>
  <c r="AO599" i="1"/>
  <c r="AL599" i="1"/>
  <c r="R599" i="1"/>
  <c r="J599" i="1"/>
  <c r="I599" i="1"/>
  <c r="F599" i="1"/>
  <c r="E599" i="1"/>
  <c r="B599" i="1"/>
  <c r="A599" i="1"/>
  <c r="AO598" i="1"/>
  <c r="AL598" i="1"/>
  <c r="R598" i="1"/>
  <c r="J598" i="1"/>
  <c r="I598" i="1"/>
  <c r="F598" i="1"/>
  <c r="E598" i="1"/>
  <c r="B598" i="1"/>
  <c r="A598" i="1"/>
  <c r="AN598" i="1" s="1"/>
  <c r="AO597" i="1"/>
  <c r="AL597" i="1"/>
  <c r="R597" i="1"/>
  <c r="P597" i="1"/>
  <c r="J597" i="1"/>
  <c r="I597" i="1"/>
  <c r="F597" i="1"/>
  <c r="E597" i="1"/>
  <c r="B597" i="1"/>
  <c r="X597" i="1" s="1"/>
  <c r="A597" i="1"/>
  <c r="AO596" i="1"/>
  <c r="AL596" i="1"/>
  <c r="J596" i="1"/>
  <c r="I596" i="1"/>
  <c r="F596" i="1"/>
  <c r="E596" i="1"/>
  <c r="B596" i="1"/>
  <c r="X596" i="1" s="1"/>
  <c r="A596" i="1"/>
  <c r="AO595" i="1"/>
  <c r="AL595" i="1"/>
  <c r="R595" i="1"/>
  <c r="P595" i="1"/>
  <c r="J595" i="1"/>
  <c r="I595" i="1"/>
  <c r="F595" i="1"/>
  <c r="E595" i="1"/>
  <c r="B595" i="1"/>
  <c r="X595" i="1" s="1"/>
  <c r="A595" i="1"/>
  <c r="AO594" i="1"/>
  <c r="AL594" i="1"/>
  <c r="J594" i="1"/>
  <c r="I594" i="1"/>
  <c r="F594" i="1"/>
  <c r="E594" i="1"/>
  <c r="B594" i="1"/>
  <c r="X594" i="1" s="1"/>
  <c r="A594" i="1"/>
  <c r="AO593" i="1"/>
  <c r="AL593" i="1"/>
  <c r="R593" i="1"/>
  <c r="P593" i="1"/>
  <c r="J593" i="1"/>
  <c r="I593" i="1"/>
  <c r="F593" i="1"/>
  <c r="E593" i="1"/>
  <c r="B593" i="1"/>
  <c r="A593" i="1"/>
  <c r="AO592" i="1"/>
  <c r="AL592" i="1"/>
  <c r="R592" i="1"/>
  <c r="O592" i="1"/>
  <c r="J592" i="1"/>
  <c r="I592" i="1"/>
  <c r="F592" i="1"/>
  <c r="E592" i="1"/>
  <c r="B592" i="1"/>
  <c r="A592" i="1"/>
  <c r="AO591" i="1"/>
  <c r="AL591" i="1"/>
  <c r="R591" i="1"/>
  <c r="P591" i="1"/>
  <c r="J591" i="1"/>
  <c r="I591" i="1"/>
  <c r="F591" i="1"/>
  <c r="E591" i="1"/>
  <c r="B591" i="1"/>
  <c r="A591" i="1"/>
  <c r="AO590" i="1"/>
  <c r="AL590" i="1"/>
  <c r="R590" i="1"/>
  <c r="J590" i="1"/>
  <c r="I590" i="1"/>
  <c r="F590" i="1"/>
  <c r="E590" i="1"/>
  <c r="B590" i="1"/>
  <c r="X590" i="1" s="1"/>
  <c r="A590" i="1"/>
  <c r="AO589" i="1"/>
  <c r="AL589" i="1"/>
  <c r="R589" i="1"/>
  <c r="J589" i="1"/>
  <c r="I589" i="1"/>
  <c r="F589" i="1"/>
  <c r="E589" i="1"/>
  <c r="B589" i="1"/>
  <c r="X589" i="1" s="1"/>
  <c r="A589" i="1"/>
  <c r="AO588" i="1"/>
  <c r="AL588" i="1"/>
  <c r="R588" i="1"/>
  <c r="O588" i="1"/>
  <c r="J588" i="1"/>
  <c r="I588" i="1"/>
  <c r="F588" i="1"/>
  <c r="E588" i="1"/>
  <c r="B588" i="1"/>
  <c r="A588" i="1"/>
  <c r="AO587" i="1"/>
  <c r="AL587" i="1"/>
  <c r="R587" i="1"/>
  <c r="O587" i="1"/>
  <c r="J587" i="1"/>
  <c r="I587" i="1"/>
  <c r="F587" i="1"/>
  <c r="E587" i="1"/>
  <c r="B587" i="1"/>
  <c r="X587" i="1" s="1"/>
  <c r="A587" i="1"/>
  <c r="AO586" i="1"/>
  <c r="AL586" i="1"/>
  <c r="R586" i="1"/>
  <c r="J586" i="1"/>
  <c r="I586" i="1"/>
  <c r="F586" i="1"/>
  <c r="E586" i="1"/>
  <c r="B586" i="1"/>
  <c r="X586" i="1" s="1"/>
  <c r="A586" i="1"/>
  <c r="AO585" i="1"/>
  <c r="AL585" i="1"/>
  <c r="R585" i="1"/>
  <c r="P585" i="1"/>
  <c r="J585" i="1"/>
  <c r="I585" i="1"/>
  <c r="F585" i="1"/>
  <c r="E585" i="1"/>
  <c r="B585" i="1"/>
  <c r="A585" i="1"/>
  <c r="AO584" i="1"/>
  <c r="AL584" i="1"/>
  <c r="R584" i="1"/>
  <c r="P584" i="1"/>
  <c r="J584" i="1"/>
  <c r="I584" i="1"/>
  <c r="F584" i="1"/>
  <c r="E584" i="1"/>
  <c r="B584" i="1"/>
  <c r="A584" i="1"/>
  <c r="AN584" i="1" s="1"/>
  <c r="AO583" i="1"/>
  <c r="AL583" i="1"/>
  <c r="R583" i="1"/>
  <c r="J583" i="1"/>
  <c r="I583" i="1"/>
  <c r="F583" i="1"/>
  <c r="E583" i="1"/>
  <c r="B583" i="1"/>
  <c r="A583" i="1"/>
  <c r="AO582" i="1"/>
  <c r="AL582" i="1"/>
  <c r="R582" i="1"/>
  <c r="O582" i="1"/>
  <c r="J582" i="1"/>
  <c r="I582" i="1"/>
  <c r="F582" i="1"/>
  <c r="E582" i="1"/>
  <c r="B582" i="1"/>
  <c r="A582" i="1"/>
  <c r="AO581" i="1"/>
  <c r="AL581" i="1"/>
  <c r="R581" i="1"/>
  <c r="J581" i="1"/>
  <c r="I581" i="1"/>
  <c r="F581" i="1"/>
  <c r="E581" i="1"/>
  <c r="B581" i="1"/>
  <c r="X581" i="1" s="1"/>
  <c r="A581" i="1"/>
  <c r="AO580" i="1"/>
  <c r="AL580" i="1"/>
  <c r="R580" i="1"/>
  <c r="J580" i="1"/>
  <c r="I580" i="1"/>
  <c r="F580" i="1"/>
  <c r="E580" i="1"/>
  <c r="B580" i="1"/>
  <c r="X580" i="1" s="1"/>
  <c r="A580" i="1"/>
  <c r="AO579" i="1"/>
  <c r="AL579" i="1"/>
  <c r="J579" i="1"/>
  <c r="I579" i="1"/>
  <c r="F579" i="1"/>
  <c r="E579" i="1"/>
  <c r="B579" i="1"/>
  <c r="A579" i="1"/>
  <c r="AO578" i="1"/>
  <c r="AL578" i="1"/>
  <c r="R578" i="1"/>
  <c r="P578" i="1"/>
  <c r="J578" i="1"/>
  <c r="I578" i="1"/>
  <c r="F578" i="1"/>
  <c r="E578" i="1"/>
  <c r="B578" i="1"/>
  <c r="X578" i="1" s="1"/>
  <c r="A578" i="1"/>
  <c r="AO577" i="1"/>
  <c r="AL577" i="1"/>
  <c r="R577" i="1"/>
  <c r="J577" i="1"/>
  <c r="I577" i="1"/>
  <c r="F577" i="1"/>
  <c r="E577" i="1"/>
  <c r="B577" i="1"/>
  <c r="X577" i="1" s="1"/>
  <c r="A577" i="1"/>
  <c r="AO576" i="1"/>
  <c r="AL576" i="1"/>
  <c r="P576" i="1"/>
  <c r="J576" i="1"/>
  <c r="I576" i="1"/>
  <c r="F576" i="1"/>
  <c r="E576" i="1"/>
  <c r="B576" i="1"/>
  <c r="X576" i="1" s="1"/>
  <c r="A576" i="1"/>
  <c r="AO575" i="1"/>
  <c r="AL575" i="1"/>
  <c r="R575" i="1"/>
  <c r="J575" i="1"/>
  <c r="I575" i="1"/>
  <c r="F575" i="1"/>
  <c r="E575" i="1"/>
  <c r="B575" i="1"/>
  <c r="X575" i="1" s="1"/>
  <c r="A575" i="1"/>
  <c r="AO574" i="1"/>
  <c r="AL574" i="1"/>
  <c r="R574" i="1"/>
  <c r="J574" i="1"/>
  <c r="I574" i="1"/>
  <c r="F574" i="1"/>
  <c r="E574" i="1"/>
  <c r="B574" i="1"/>
  <c r="A574" i="1"/>
  <c r="AO573" i="1"/>
  <c r="AL573" i="1"/>
  <c r="R573" i="1"/>
  <c r="P573" i="1"/>
  <c r="J573" i="1"/>
  <c r="I573" i="1"/>
  <c r="F573" i="1"/>
  <c r="E573" i="1"/>
  <c r="B573" i="1"/>
  <c r="A573" i="1"/>
  <c r="AO572" i="1"/>
  <c r="AL572" i="1"/>
  <c r="R572" i="1"/>
  <c r="P572" i="1"/>
  <c r="J572" i="1"/>
  <c r="I572" i="1"/>
  <c r="F572" i="1"/>
  <c r="E572" i="1"/>
  <c r="B572" i="1"/>
  <c r="A572" i="1"/>
  <c r="AO571" i="1"/>
  <c r="AL571" i="1"/>
  <c r="R571" i="1"/>
  <c r="J571" i="1"/>
  <c r="I571" i="1"/>
  <c r="F571" i="1"/>
  <c r="E571" i="1"/>
  <c r="B571" i="1"/>
  <c r="A571" i="1"/>
  <c r="AO570" i="1"/>
  <c r="AL570" i="1"/>
  <c r="R570" i="1"/>
  <c r="J570" i="1"/>
  <c r="I570" i="1"/>
  <c r="F570" i="1"/>
  <c r="E570" i="1"/>
  <c r="B570" i="1"/>
  <c r="A570" i="1"/>
  <c r="AO569" i="1"/>
  <c r="AL569" i="1"/>
  <c r="R569" i="1"/>
  <c r="P569" i="1"/>
  <c r="J569" i="1"/>
  <c r="I569" i="1"/>
  <c r="F569" i="1"/>
  <c r="E569" i="1"/>
  <c r="B569" i="1"/>
  <c r="A569" i="1"/>
  <c r="AO568" i="1"/>
  <c r="AL568" i="1"/>
  <c r="R568" i="1"/>
  <c r="P568" i="1"/>
  <c r="J568" i="1"/>
  <c r="I568" i="1"/>
  <c r="F568" i="1"/>
  <c r="E568" i="1"/>
  <c r="B568" i="1"/>
  <c r="A568" i="1"/>
  <c r="AO567" i="1"/>
  <c r="AL567" i="1"/>
  <c r="R567" i="1"/>
  <c r="J567" i="1"/>
  <c r="I567" i="1"/>
  <c r="F567" i="1"/>
  <c r="E567" i="1"/>
  <c r="B567" i="1"/>
  <c r="A567" i="1"/>
  <c r="AO566" i="1"/>
  <c r="AL566" i="1"/>
  <c r="R566" i="1"/>
  <c r="P566" i="1"/>
  <c r="J566" i="1"/>
  <c r="I566" i="1"/>
  <c r="F566" i="1"/>
  <c r="E566" i="1"/>
  <c r="B566" i="1"/>
  <c r="A566" i="1"/>
  <c r="AO565" i="1"/>
  <c r="AL565" i="1"/>
  <c r="R565" i="1"/>
  <c r="J565" i="1"/>
  <c r="I565" i="1"/>
  <c r="F565" i="1"/>
  <c r="E565" i="1"/>
  <c r="B565" i="1"/>
  <c r="X565" i="1" s="1"/>
  <c r="A565" i="1"/>
  <c r="AO564" i="1"/>
  <c r="AL564" i="1"/>
  <c r="R564" i="1"/>
  <c r="P564" i="1"/>
  <c r="J564" i="1"/>
  <c r="I564" i="1"/>
  <c r="F564" i="1"/>
  <c r="E564" i="1"/>
  <c r="B564" i="1"/>
  <c r="X564" i="1" s="1"/>
  <c r="A564" i="1"/>
  <c r="AO563" i="1"/>
  <c r="AL563" i="1"/>
  <c r="R563" i="1"/>
  <c r="J563" i="1"/>
  <c r="I563" i="1"/>
  <c r="F563" i="1"/>
  <c r="E563" i="1"/>
  <c r="B563" i="1"/>
  <c r="A563" i="1"/>
  <c r="AO562" i="1"/>
  <c r="AL562" i="1"/>
  <c r="R562" i="1"/>
  <c r="J562" i="1"/>
  <c r="I562" i="1"/>
  <c r="F562" i="1"/>
  <c r="E562" i="1"/>
  <c r="B562" i="1"/>
  <c r="A562" i="1"/>
  <c r="AO561" i="1"/>
  <c r="AL561" i="1"/>
  <c r="R561" i="1"/>
  <c r="J561" i="1"/>
  <c r="I561" i="1"/>
  <c r="F561" i="1"/>
  <c r="E561" i="1"/>
  <c r="B561" i="1"/>
  <c r="A561" i="1"/>
  <c r="AO560" i="1"/>
  <c r="AL560" i="1"/>
  <c r="J560" i="1"/>
  <c r="I560" i="1"/>
  <c r="F560" i="1"/>
  <c r="E560" i="1"/>
  <c r="B560" i="1"/>
  <c r="A560" i="1"/>
  <c r="AO559" i="1"/>
  <c r="AL559" i="1"/>
  <c r="R559" i="1"/>
  <c r="J559" i="1"/>
  <c r="I559" i="1"/>
  <c r="F559" i="1"/>
  <c r="E559" i="1"/>
  <c r="B559" i="1"/>
  <c r="A559" i="1"/>
  <c r="AO558" i="1"/>
  <c r="AL558" i="1"/>
  <c r="R558" i="1"/>
  <c r="P558" i="1"/>
  <c r="J558" i="1"/>
  <c r="I558" i="1"/>
  <c r="F558" i="1"/>
  <c r="E558" i="1"/>
  <c r="B558" i="1"/>
  <c r="X558" i="1" s="1"/>
  <c r="A558" i="1"/>
  <c r="AO557" i="1"/>
  <c r="AL557" i="1"/>
  <c r="R557" i="1"/>
  <c r="O557" i="1"/>
  <c r="J557" i="1"/>
  <c r="I557" i="1"/>
  <c r="F557" i="1"/>
  <c r="E557" i="1"/>
  <c r="B557" i="1"/>
  <c r="X557" i="1" s="1"/>
  <c r="A557" i="1"/>
  <c r="AO556" i="1"/>
  <c r="AL556" i="1"/>
  <c r="R556" i="1"/>
  <c r="P556" i="1"/>
  <c r="J556" i="1"/>
  <c r="I556" i="1"/>
  <c r="F556" i="1"/>
  <c r="E556" i="1"/>
  <c r="B556" i="1"/>
  <c r="A556" i="1"/>
  <c r="AO555" i="1"/>
  <c r="AL555" i="1"/>
  <c r="R555" i="1"/>
  <c r="P555" i="1"/>
  <c r="J555" i="1"/>
  <c r="I555" i="1"/>
  <c r="F555" i="1"/>
  <c r="E555" i="1"/>
  <c r="B555" i="1"/>
  <c r="A555" i="1"/>
  <c r="AO554" i="1"/>
  <c r="AL554" i="1"/>
  <c r="R554" i="1"/>
  <c r="P554" i="1"/>
  <c r="J554" i="1"/>
  <c r="I554" i="1"/>
  <c r="F554" i="1"/>
  <c r="E554" i="1"/>
  <c r="B554" i="1"/>
  <c r="A554" i="1"/>
  <c r="AN554" i="1" s="1"/>
  <c r="AO553" i="1"/>
  <c r="AL553" i="1"/>
  <c r="R553" i="1"/>
  <c r="J553" i="1"/>
  <c r="I553" i="1"/>
  <c r="F553" i="1"/>
  <c r="E553" i="1"/>
  <c r="B553" i="1"/>
  <c r="X553" i="1" s="1"/>
  <c r="A553" i="1"/>
  <c r="AO552" i="1"/>
  <c r="AL552" i="1"/>
  <c r="O552" i="1"/>
  <c r="J552" i="1"/>
  <c r="I552" i="1"/>
  <c r="F552" i="1"/>
  <c r="E552" i="1"/>
  <c r="B552" i="1"/>
  <c r="A552" i="1"/>
  <c r="AO551" i="1"/>
  <c r="AL551" i="1"/>
  <c r="R551" i="1"/>
  <c r="J551" i="1"/>
  <c r="I551" i="1"/>
  <c r="F551" i="1"/>
  <c r="E551" i="1"/>
  <c r="B551" i="1"/>
  <c r="A551" i="1"/>
  <c r="AO550" i="1"/>
  <c r="AL550" i="1"/>
  <c r="O550" i="1"/>
  <c r="J550" i="1"/>
  <c r="I550" i="1"/>
  <c r="F550" i="1"/>
  <c r="E550" i="1"/>
  <c r="B550" i="1"/>
  <c r="A550" i="1"/>
  <c r="AO549" i="1"/>
  <c r="AL549" i="1"/>
  <c r="R549" i="1"/>
  <c r="P549" i="1"/>
  <c r="J549" i="1"/>
  <c r="I549" i="1"/>
  <c r="F549" i="1"/>
  <c r="E549" i="1"/>
  <c r="B549" i="1"/>
  <c r="A549" i="1"/>
  <c r="AO548" i="1"/>
  <c r="AL548" i="1"/>
  <c r="R548" i="1"/>
  <c r="J548" i="1"/>
  <c r="I548" i="1"/>
  <c r="F548" i="1"/>
  <c r="E548" i="1"/>
  <c r="B548" i="1"/>
  <c r="A548" i="1"/>
  <c r="AO547" i="1"/>
  <c r="AL547" i="1"/>
  <c r="R547" i="1"/>
  <c r="P547" i="1"/>
  <c r="J547" i="1"/>
  <c r="I547" i="1"/>
  <c r="F547" i="1"/>
  <c r="E547" i="1"/>
  <c r="B547" i="1"/>
  <c r="A547" i="1"/>
  <c r="AO546" i="1"/>
  <c r="AL546" i="1"/>
  <c r="R546" i="1"/>
  <c r="J546" i="1"/>
  <c r="I546" i="1"/>
  <c r="F546" i="1"/>
  <c r="E546" i="1"/>
  <c r="B546" i="1"/>
  <c r="X546" i="1" s="1"/>
  <c r="A546" i="1"/>
  <c r="AO545" i="1"/>
  <c r="AL545" i="1"/>
  <c r="R545" i="1"/>
  <c r="J545" i="1"/>
  <c r="I545" i="1"/>
  <c r="F545" i="1"/>
  <c r="E545" i="1"/>
  <c r="B545" i="1"/>
  <c r="A545" i="1"/>
  <c r="AO544" i="1"/>
  <c r="AL544" i="1"/>
  <c r="R544" i="1"/>
  <c r="P544" i="1"/>
  <c r="J544" i="1"/>
  <c r="I544" i="1"/>
  <c r="F544" i="1"/>
  <c r="E544" i="1"/>
  <c r="B544" i="1"/>
  <c r="X544" i="1" s="1"/>
  <c r="A544" i="1"/>
  <c r="AO543" i="1"/>
  <c r="AL543" i="1"/>
  <c r="R543" i="1"/>
  <c r="P543" i="1"/>
  <c r="J543" i="1"/>
  <c r="I543" i="1"/>
  <c r="F543" i="1"/>
  <c r="E543" i="1"/>
  <c r="B543" i="1"/>
  <c r="A543" i="1"/>
  <c r="AO542" i="1"/>
  <c r="AL542" i="1"/>
  <c r="R542" i="1"/>
  <c r="J542" i="1"/>
  <c r="I542" i="1"/>
  <c r="F542" i="1"/>
  <c r="E542" i="1"/>
  <c r="B542" i="1"/>
  <c r="A542" i="1"/>
  <c r="AO541" i="1"/>
  <c r="AL541" i="1"/>
  <c r="R541" i="1"/>
  <c r="P541" i="1"/>
  <c r="J541" i="1"/>
  <c r="I541" i="1"/>
  <c r="F541" i="1"/>
  <c r="E541" i="1"/>
  <c r="B541" i="1"/>
  <c r="A541" i="1"/>
  <c r="AO540" i="1"/>
  <c r="AL540" i="1"/>
  <c r="R540" i="1"/>
  <c r="O540" i="1"/>
  <c r="J540" i="1"/>
  <c r="I540" i="1"/>
  <c r="F540" i="1"/>
  <c r="E540" i="1"/>
  <c r="B540" i="1"/>
  <c r="X540" i="1" s="1"/>
  <c r="A540" i="1"/>
  <c r="AO539" i="1"/>
  <c r="AL539" i="1"/>
  <c r="R539" i="1"/>
  <c r="J539" i="1"/>
  <c r="I539" i="1"/>
  <c r="F539" i="1"/>
  <c r="E539" i="1"/>
  <c r="B539" i="1"/>
  <c r="A539" i="1"/>
  <c r="AO538" i="1"/>
  <c r="AL538" i="1"/>
  <c r="R538" i="1"/>
  <c r="J538" i="1"/>
  <c r="I538" i="1"/>
  <c r="F538" i="1"/>
  <c r="E538" i="1"/>
  <c r="B538" i="1"/>
  <c r="X538" i="1" s="1"/>
  <c r="A538" i="1"/>
  <c r="AO537" i="1"/>
  <c r="AL537" i="1"/>
  <c r="R537" i="1"/>
  <c r="J537" i="1"/>
  <c r="I537" i="1"/>
  <c r="F537" i="1"/>
  <c r="E537" i="1"/>
  <c r="B537" i="1"/>
  <c r="X537" i="1" s="1"/>
  <c r="A537" i="1"/>
  <c r="AO536" i="1"/>
  <c r="AL536" i="1"/>
  <c r="P536" i="1"/>
  <c r="J536" i="1"/>
  <c r="I536" i="1"/>
  <c r="F536" i="1"/>
  <c r="E536" i="1"/>
  <c r="B536" i="1"/>
  <c r="A536" i="1"/>
  <c r="AO535" i="1"/>
  <c r="AL535" i="1"/>
  <c r="R535" i="1"/>
  <c r="P535" i="1"/>
  <c r="J535" i="1"/>
  <c r="I535" i="1"/>
  <c r="F535" i="1"/>
  <c r="E535" i="1"/>
  <c r="B535" i="1"/>
  <c r="A535" i="1"/>
  <c r="AO534" i="1"/>
  <c r="AL534" i="1"/>
  <c r="R534" i="1"/>
  <c r="P534" i="1"/>
  <c r="J534" i="1"/>
  <c r="I534" i="1"/>
  <c r="F534" i="1"/>
  <c r="E534" i="1"/>
  <c r="B534" i="1"/>
  <c r="A534" i="1"/>
  <c r="AO533" i="1"/>
  <c r="AL533" i="1"/>
  <c r="R533" i="1"/>
  <c r="J533" i="1"/>
  <c r="I533" i="1"/>
  <c r="F533" i="1"/>
  <c r="E533" i="1"/>
  <c r="B533" i="1"/>
  <c r="X533" i="1" s="1"/>
  <c r="A533" i="1"/>
  <c r="AO532" i="1"/>
  <c r="AL532" i="1"/>
  <c r="R532" i="1"/>
  <c r="P532" i="1"/>
  <c r="J532" i="1"/>
  <c r="I532" i="1"/>
  <c r="F532" i="1"/>
  <c r="E532" i="1"/>
  <c r="B532" i="1"/>
  <c r="X532" i="1" s="1"/>
  <c r="A532" i="1"/>
  <c r="AO531" i="1"/>
  <c r="AL531" i="1"/>
  <c r="R531" i="1"/>
  <c r="O531" i="1"/>
  <c r="J531" i="1"/>
  <c r="I531" i="1"/>
  <c r="F531" i="1"/>
  <c r="E531" i="1"/>
  <c r="B531" i="1"/>
  <c r="A531" i="1"/>
  <c r="AO530" i="1"/>
  <c r="AL530" i="1"/>
  <c r="R530" i="1"/>
  <c r="J530" i="1"/>
  <c r="I530" i="1"/>
  <c r="F530" i="1"/>
  <c r="E530" i="1"/>
  <c r="B530" i="1"/>
  <c r="A530" i="1"/>
  <c r="AO529" i="1"/>
  <c r="AL529" i="1"/>
  <c r="R529" i="1"/>
  <c r="P529" i="1"/>
  <c r="J529" i="1"/>
  <c r="I529" i="1"/>
  <c r="F529" i="1"/>
  <c r="E529" i="1"/>
  <c r="B529" i="1"/>
  <c r="X529" i="1" s="1"/>
  <c r="A529" i="1"/>
  <c r="AO528" i="1"/>
  <c r="AL528" i="1"/>
  <c r="J528" i="1"/>
  <c r="I528" i="1"/>
  <c r="F528" i="1"/>
  <c r="E528" i="1"/>
  <c r="B528" i="1"/>
  <c r="A528" i="1"/>
  <c r="AO527" i="1"/>
  <c r="AL527" i="1"/>
  <c r="R527" i="1"/>
  <c r="O527" i="1"/>
  <c r="J527" i="1"/>
  <c r="I527" i="1"/>
  <c r="F527" i="1"/>
  <c r="E527" i="1"/>
  <c r="B527" i="1"/>
  <c r="A527" i="1"/>
  <c r="AO526" i="1"/>
  <c r="AL526" i="1"/>
  <c r="R526" i="1"/>
  <c r="J526" i="1"/>
  <c r="I526" i="1"/>
  <c r="F526" i="1"/>
  <c r="E526" i="1"/>
  <c r="B526" i="1"/>
  <c r="X526" i="1" s="1"/>
  <c r="A526" i="1"/>
  <c r="AO525" i="1"/>
  <c r="AL525" i="1"/>
  <c r="R525" i="1"/>
  <c r="J525" i="1"/>
  <c r="I525" i="1"/>
  <c r="F525" i="1"/>
  <c r="E525" i="1"/>
  <c r="B525" i="1"/>
  <c r="A525" i="1"/>
  <c r="AO524" i="1"/>
  <c r="AL524" i="1"/>
  <c r="R524" i="1"/>
  <c r="P524" i="1"/>
  <c r="J524" i="1"/>
  <c r="I524" i="1"/>
  <c r="F524" i="1"/>
  <c r="E524" i="1"/>
  <c r="B524" i="1"/>
  <c r="A524" i="1"/>
  <c r="AO523" i="1"/>
  <c r="AL523" i="1"/>
  <c r="R523" i="1"/>
  <c r="J523" i="1"/>
  <c r="I523" i="1"/>
  <c r="F523" i="1"/>
  <c r="E523" i="1"/>
  <c r="B523" i="1"/>
  <c r="A523" i="1"/>
  <c r="AO522" i="1"/>
  <c r="AL522" i="1"/>
  <c r="R522" i="1"/>
  <c r="P522" i="1"/>
  <c r="J522" i="1"/>
  <c r="I522" i="1"/>
  <c r="F522" i="1"/>
  <c r="E522" i="1"/>
  <c r="B522" i="1"/>
  <c r="A522" i="1"/>
  <c r="AN522" i="1" s="1"/>
  <c r="AO521" i="1"/>
  <c r="AL521" i="1"/>
  <c r="R521" i="1"/>
  <c r="J521" i="1"/>
  <c r="I521" i="1"/>
  <c r="F521" i="1"/>
  <c r="E521" i="1"/>
  <c r="B521" i="1"/>
  <c r="X521" i="1" s="1"/>
  <c r="A521" i="1"/>
  <c r="AO520" i="1"/>
  <c r="AL520" i="1"/>
  <c r="R520" i="1"/>
  <c r="P520" i="1"/>
  <c r="J520" i="1"/>
  <c r="I520" i="1"/>
  <c r="F520" i="1"/>
  <c r="E520" i="1"/>
  <c r="B520" i="1"/>
  <c r="X520" i="1" s="1"/>
  <c r="A520" i="1"/>
  <c r="AO519" i="1"/>
  <c r="AL519" i="1"/>
  <c r="R519" i="1"/>
  <c r="P519" i="1"/>
  <c r="J519" i="1"/>
  <c r="I519" i="1"/>
  <c r="F519" i="1"/>
  <c r="E519" i="1"/>
  <c r="B519" i="1"/>
  <c r="X519" i="1" s="1"/>
  <c r="A519" i="1"/>
  <c r="AO518" i="1"/>
  <c r="AL518" i="1"/>
  <c r="R518" i="1"/>
  <c r="J518" i="1"/>
  <c r="I518" i="1"/>
  <c r="F518" i="1"/>
  <c r="E518" i="1"/>
  <c r="B518" i="1"/>
  <c r="X518" i="1" s="1"/>
  <c r="A518" i="1"/>
  <c r="AO517" i="1"/>
  <c r="AL517" i="1"/>
  <c r="R517" i="1"/>
  <c r="J517" i="1"/>
  <c r="I517" i="1"/>
  <c r="F517" i="1"/>
  <c r="E517" i="1"/>
  <c r="B517" i="1"/>
  <c r="X517" i="1" s="1"/>
  <c r="A517" i="1"/>
  <c r="AO516" i="1"/>
  <c r="AL516" i="1"/>
  <c r="R516" i="1"/>
  <c r="J516" i="1"/>
  <c r="I516" i="1"/>
  <c r="F516" i="1"/>
  <c r="E516" i="1"/>
  <c r="B516" i="1"/>
  <c r="X516" i="1" s="1"/>
  <c r="A516" i="1"/>
  <c r="AO515" i="1"/>
  <c r="AL515" i="1"/>
  <c r="R515" i="1"/>
  <c r="J515" i="1"/>
  <c r="I515" i="1"/>
  <c r="F515" i="1"/>
  <c r="E515" i="1"/>
  <c r="B515" i="1"/>
  <c r="X515" i="1" s="1"/>
  <c r="A515" i="1"/>
  <c r="AO514" i="1"/>
  <c r="AL514" i="1"/>
  <c r="R514" i="1"/>
  <c r="P514" i="1"/>
  <c r="J514" i="1"/>
  <c r="I514" i="1"/>
  <c r="F514" i="1"/>
  <c r="E514" i="1"/>
  <c r="B514" i="1"/>
  <c r="X514" i="1" s="1"/>
  <c r="A514" i="1"/>
  <c r="AO513" i="1"/>
  <c r="AL513" i="1"/>
  <c r="R513" i="1"/>
  <c r="P513" i="1"/>
  <c r="J513" i="1"/>
  <c r="I513" i="1"/>
  <c r="F513" i="1"/>
  <c r="E513" i="1"/>
  <c r="B513" i="1"/>
  <c r="X513" i="1" s="1"/>
  <c r="A513" i="1"/>
  <c r="AO512" i="1"/>
  <c r="AL512" i="1"/>
  <c r="R512" i="1"/>
  <c r="J512" i="1"/>
  <c r="I512" i="1"/>
  <c r="F512" i="1"/>
  <c r="E512" i="1"/>
  <c r="B512" i="1"/>
  <c r="X512" i="1" s="1"/>
  <c r="A512" i="1"/>
  <c r="AO511" i="1"/>
  <c r="AL511" i="1"/>
  <c r="R511" i="1"/>
  <c r="P511" i="1"/>
  <c r="J511" i="1"/>
  <c r="I511" i="1"/>
  <c r="F511" i="1"/>
  <c r="E511" i="1"/>
  <c r="B511" i="1"/>
  <c r="X511" i="1" s="1"/>
  <c r="A511" i="1"/>
  <c r="AO510" i="1"/>
  <c r="AL510" i="1"/>
  <c r="R510" i="1"/>
  <c r="O510" i="1"/>
  <c r="J510" i="1"/>
  <c r="I510" i="1"/>
  <c r="F510" i="1"/>
  <c r="E510" i="1"/>
  <c r="B510" i="1"/>
  <c r="X510" i="1" s="1"/>
  <c r="A510" i="1"/>
  <c r="AO509" i="1"/>
  <c r="AL509" i="1"/>
  <c r="R509" i="1"/>
  <c r="P509" i="1"/>
  <c r="J509" i="1"/>
  <c r="I509" i="1"/>
  <c r="F509" i="1"/>
  <c r="E509" i="1"/>
  <c r="B509" i="1"/>
  <c r="A509" i="1"/>
  <c r="AO508" i="1"/>
  <c r="AL508" i="1"/>
  <c r="R508" i="1"/>
  <c r="J508" i="1"/>
  <c r="I508" i="1"/>
  <c r="F508" i="1"/>
  <c r="E508" i="1"/>
  <c r="B508" i="1"/>
  <c r="A508" i="1"/>
  <c r="AO507" i="1"/>
  <c r="AL507" i="1"/>
  <c r="R507" i="1"/>
  <c r="P507" i="1"/>
  <c r="J507" i="1"/>
  <c r="I507" i="1"/>
  <c r="F507" i="1"/>
  <c r="E507" i="1"/>
  <c r="B507" i="1"/>
  <c r="A507" i="1"/>
  <c r="AO506" i="1"/>
  <c r="AL506" i="1"/>
  <c r="R506" i="1"/>
  <c r="J506" i="1"/>
  <c r="I506" i="1"/>
  <c r="F506" i="1"/>
  <c r="E506" i="1"/>
  <c r="B506" i="1"/>
  <c r="A506" i="1"/>
  <c r="AO505" i="1"/>
  <c r="AL505" i="1"/>
  <c r="R505" i="1"/>
  <c r="P505" i="1"/>
  <c r="J505" i="1"/>
  <c r="I505" i="1"/>
  <c r="F505" i="1"/>
  <c r="E505" i="1"/>
  <c r="B505" i="1"/>
  <c r="A505" i="1"/>
  <c r="AN505" i="1" s="1"/>
  <c r="AO504" i="1"/>
  <c r="AL504" i="1"/>
  <c r="R504" i="1"/>
  <c r="J504" i="1"/>
  <c r="I504" i="1"/>
  <c r="F504" i="1"/>
  <c r="E504" i="1"/>
  <c r="B504" i="1"/>
  <c r="A504" i="1"/>
  <c r="AO503" i="1"/>
  <c r="AL503" i="1"/>
  <c r="R503" i="1"/>
  <c r="J503" i="1"/>
  <c r="I503" i="1"/>
  <c r="F503" i="1"/>
  <c r="E503" i="1"/>
  <c r="B503" i="1"/>
  <c r="A503" i="1"/>
  <c r="AO502" i="1"/>
  <c r="AL502" i="1"/>
  <c r="R502" i="1"/>
  <c r="P502" i="1"/>
  <c r="J502" i="1"/>
  <c r="I502" i="1"/>
  <c r="F502" i="1"/>
  <c r="E502" i="1"/>
  <c r="B502" i="1"/>
  <c r="X502" i="1" s="1"/>
  <c r="A502" i="1"/>
  <c r="AO501" i="1"/>
  <c r="AL501" i="1"/>
  <c r="R501" i="1"/>
  <c r="P501" i="1"/>
  <c r="J501" i="1"/>
  <c r="I501" i="1"/>
  <c r="F501" i="1"/>
  <c r="E501" i="1"/>
  <c r="B501" i="1"/>
  <c r="X501" i="1" s="1"/>
  <c r="A501" i="1"/>
  <c r="AO500" i="1"/>
  <c r="AL500" i="1"/>
  <c r="R500" i="1"/>
  <c r="J500" i="1"/>
  <c r="I500" i="1"/>
  <c r="F500" i="1"/>
  <c r="E500" i="1"/>
  <c r="B500" i="1"/>
  <c r="X500" i="1" s="1"/>
  <c r="A500" i="1"/>
  <c r="AN500" i="1" s="1"/>
  <c r="AO499" i="1"/>
  <c r="AL499" i="1"/>
  <c r="R499" i="1"/>
  <c r="J499" i="1"/>
  <c r="I499" i="1"/>
  <c r="F499" i="1"/>
  <c r="E499" i="1"/>
  <c r="B499" i="1"/>
  <c r="X499" i="1" s="1"/>
  <c r="A499" i="1"/>
  <c r="AO498" i="1"/>
  <c r="AL498" i="1"/>
  <c r="R498" i="1"/>
  <c r="O498" i="1"/>
  <c r="J498" i="1"/>
  <c r="I498" i="1"/>
  <c r="F498" i="1"/>
  <c r="E498" i="1"/>
  <c r="B498" i="1"/>
  <c r="X498" i="1" s="1"/>
  <c r="A498" i="1"/>
  <c r="AO497" i="1"/>
  <c r="AL497" i="1"/>
  <c r="R497" i="1"/>
  <c r="J497" i="1"/>
  <c r="I497" i="1"/>
  <c r="F497" i="1"/>
  <c r="E497" i="1"/>
  <c r="B497" i="1"/>
  <c r="X497" i="1" s="1"/>
  <c r="A497" i="1"/>
  <c r="AO496" i="1"/>
  <c r="AL496" i="1"/>
  <c r="R496" i="1"/>
  <c r="J496" i="1"/>
  <c r="I496" i="1"/>
  <c r="F496" i="1"/>
  <c r="E496" i="1"/>
  <c r="B496" i="1"/>
  <c r="X496" i="1" s="1"/>
  <c r="A496" i="1"/>
  <c r="AO495" i="1"/>
  <c r="AL495" i="1"/>
  <c r="R495" i="1"/>
  <c r="J495" i="1"/>
  <c r="I495" i="1"/>
  <c r="F495" i="1"/>
  <c r="E495" i="1"/>
  <c r="B495" i="1"/>
  <c r="A495" i="1"/>
  <c r="AO494" i="1"/>
  <c r="AL494" i="1"/>
  <c r="R494" i="1"/>
  <c r="J494" i="1"/>
  <c r="I494" i="1"/>
  <c r="F494" i="1"/>
  <c r="E494" i="1"/>
  <c r="B494" i="1"/>
  <c r="A494" i="1"/>
  <c r="AO493" i="1"/>
  <c r="AL493" i="1"/>
  <c r="R493" i="1"/>
  <c r="O493" i="1"/>
  <c r="J493" i="1"/>
  <c r="I493" i="1"/>
  <c r="F493" i="1"/>
  <c r="E493" i="1"/>
  <c r="B493" i="1"/>
  <c r="A493" i="1"/>
  <c r="AO492" i="1"/>
  <c r="AL492" i="1"/>
  <c r="R492" i="1"/>
  <c r="P492" i="1"/>
  <c r="J492" i="1"/>
  <c r="I492" i="1"/>
  <c r="F492" i="1"/>
  <c r="E492" i="1"/>
  <c r="B492" i="1"/>
  <c r="A492" i="1"/>
  <c r="AN492" i="1" s="1"/>
  <c r="AO491" i="1"/>
  <c r="AL491" i="1"/>
  <c r="R491" i="1"/>
  <c r="J491" i="1"/>
  <c r="I491" i="1"/>
  <c r="F491" i="1"/>
  <c r="E491" i="1"/>
  <c r="B491" i="1"/>
  <c r="X491" i="1" s="1"/>
  <c r="A491" i="1"/>
  <c r="AN491" i="1" s="1"/>
  <c r="AO490" i="1"/>
  <c r="AL490" i="1"/>
  <c r="R490" i="1"/>
  <c r="J490" i="1"/>
  <c r="I490" i="1"/>
  <c r="F490" i="1"/>
  <c r="E490" i="1"/>
  <c r="B490" i="1"/>
  <c r="X490" i="1" s="1"/>
  <c r="A490" i="1"/>
  <c r="AN490" i="1" s="1"/>
  <c r="AO489" i="1"/>
  <c r="AL489" i="1"/>
  <c r="R489" i="1"/>
  <c r="O489" i="1"/>
  <c r="J489" i="1"/>
  <c r="I489" i="1"/>
  <c r="F489" i="1"/>
  <c r="E489" i="1"/>
  <c r="B489" i="1"/>
  <c r="A489" i="1"/>
  <c r="AO488" i="1"/>
  <c r="AL488" i="1"/>
  <c r="R488" i="1"/>
  <c r="J488" i="1"/>
  <c r="I488" i="1"/>
  <c r="F488" i="1"/>
  <c r="E488" i="1"/>
  <c r="B488" i="1"/>
  <c r="A488" i="1"/>
  <c r="AN488" i="1" s="1"/>
  <c r="AO487" i="1"/>
  <c r="AL487" i="1"/>
  <c r="R487" i="1"/>
  <c r="J487" i="1"/>
  <c r="I487" i="1"/>
  <c r="F487" i="1"/>
  <c r="E487" i="1"/>
  <c r="B487" i="1"/>
  <c r="X487" i="1" s="1"/>
  <c r="A487" i="1"/>
  <c r="AO486" i="1"/>
  <c r="AL486" i="1"/>
  <c r="R486" i="1"/>
  <c r="J486" i="1"/>
  <c r="I486" i="1"/>
  <c r="F486" i="1"/>
  <c r="E486" i="1"/>
  <c r="B486" i="1"/>
  <c r="A486" i="1"/>
  <c r="AN486" i="1" s="1"/>
  <c r="AO485" i="1"/>
  <c r="AL485" i="1"/>
  <c r="P485" i="1"/>
  <c r="J485" i="1"/>
  <c r="I485" i="1"/>
  <c r="F485" i="1"/>
  <c r="E485" i="1"/>
  <c r="B485" i="1"/>
  <c r="X485" i="1" s="1"/>
  <c r="A485" i="1"/>
  <c r="AO484" i="1"/>
  <c r="AL484" i="1"/>
  <c r="R484" i="1"/>
  <c r="J484" i="1"/>
  <c r="I484" i="1"/>
  <c r="F484" i="1"/>
  <c r="E484" i="1"/>
  <c r="B484" i="1"/>
  <c r="X484" i="1" s="1"/>
  <c r="A484" i="1"/>
  <c r="AO483" i="1"/>
  <c r="AL483" i="1"/>
  <c r="R483" i="1"/>
  <c r="O483" i="1"/>
  <c r="J483" i="1"/>
  <c r="I483" i="1"/>
  <c r="F483" i="1"/>
  <c r="E483" i="1"/>
  <c r="B483" i="1"/>
  <c r="X483" i="1" s="1"/>
  <c r="A483" i="1"/>
  <c r="AO482" i="1"/>
  <c r="AL482" i="1"/>
  <c r="R482" i="1"/>
  <c r="O482" i="1"/>
  <c r="J482" i="1"/>
  <c r="I482" i="1"/>
  <c r="F482" i="1"/>
  <c r="E482" i="1"/>
  <c r="B482" i="1"/>
  <c r="X482" i="1" s="1"/>
  <c r="A482" i="1"/>
  <c r="AO481" i="1"/>
  <c r="AL481" i="1"/>
  <c r="R481" i="1"/>
  <c r="P481" i="1"/>
  <c r="J481" i="1"/>
  <c r="I481" i="1"/>
  <c r="F481" i="1"/>
  <c r="E481" i="1"/>
  <c r="B481" i="1"/>
  <c r="X481" i="1" s="1"/>
  <c r="A481" i="1"/>
  <c r="AO480" i="1"/>
  <c r="AL480" i="1"/>
  <c r="R480" i="1"/>
  <c r="J480" i="1"/>
  <c r="I480" i="1"/>
  <c r="F480" i="1"/>
  <c r="E480" i="1"/>
  <c r="B480" i="1"/>
  <c r="X480" i="1" s="1"/>
  <c r="A480" i="1"/>
  <c r="AO479" i="1"/>
  <c r="AL479" i="1"/>
  <c r="R479" i="1"/>
  <c r="J479" i="1"/>
  <c r="I479" i="1"/>
  <c r="F479" i="1"/>
  <c r="E479" i="1"/>
  <c r="B479" i="1"/>
  <c r="X479" i="1" s="1"/>
  <c r="A479" i="1"/>
  <c r="AN479" i="1" s="1"/>
  <c r="AO478" i="1"/>
  <c r="AL478" i="1"/>
  <c r="R478" i="1"/>
  <c r="J478" i="1"/>
  <c r="I478" i="1"/>
  <c r="F478" i="1"/>
  <c r="E478" i="1"/>
  <c r="B478" i="1"/>
  <c r="X478" i="1" s="1"/>
  <c r="A478" i="1"/>
  <c r="AN478" i="1" s="1"/>
  <c r="AO477" i="1"/>
  <c r="AL477" i="1"/>
  <c r="R477" i="1"/>
  <c r="O477" i="1"/>
  <c r="J477" i="1"/>
  <c r="I477" i="1"/>
  <c r="F477" i="1"/>
  <c r="E477" i="1"/>
  <c r="B477" i="1"/>
  <c r="X477" i="1" s="1"/>
  <c r="A477" i="1"/>
  <c r="AO476" i="1"/>
  <c r="AL476" i="1"/>
  <c r="R476" i="1"/>
  <c r="P476" i="1"/>
  <c r="J476" i="1"/>
  <c r="I476" i="1"/>
  <c r="F476" i="1"/>
  <c r="E476" i="1"/>
  <c r="B476" i="1"/>
  <c r="X476" i="1" s="1"/>
  <c r="A476" i="1"/>
  <c r="AO475" i="1"/>
  <c r="AL475" i="1"/>
  <c r="R475" i="1"/>
  <c r="J475" i="1"/>
  <c r="I475" i="1"/>
  <c r="F475" i="1"/>
  <c r="E475" i="1"/>
  <c r="B475" i="1"/>
  <c r="X475" i="1" s="1"/>
  <c r="A475" i="1"/>
  <c r="AO474" i="1"/>
  <c r="AL474" i="1"/>
  <c r="R474" i="1"/>
  <c r="J474" i="1"/>
  <c r="I474" i="1"/>
  <c r="F474" i="1"/>
  <c r="E474" i="1"/>
  <c r="B474" i="1"/>
  <c r="X474" i="1" s="1"/>
  <c r="A474" i="1"/>
  <c r="AO473" i="1"/>
  <c r="AL473" i="1"/>
  <c r="R473" i="1"/>
  <c r="O473" i="1"/>
  <c r="J473" i="1"/>
  <c r="I473" i="1"/>
  <c r="F473" i="1"/>
  <c r="E473" i="1"/>
  <c r="B473" i="1"/>
  <c r="X473" i="1" s="1"/>
  <c r="A473" i="1"/>
  <c r="AO472" i="1"/>
  <c r="AL472" i="1"/>
  <c r="R472" i="1"/>
  <c r="P472" i="1"/>
  <c r="J472" i="1"/>
  <c r="I472" i="1"/>
  <c r="F472" i="1"/>
  <c r="E472" i="1"/>
  <c r="B472" i="1"/>
  <c r="X472" i="1" s="1"/>
  <c r="A472" i="1"/>
  <c r="AO471" i="1"/>
  <c r="AL471" i="1"/>
  <c r="R471" i="1"/>
  <c r="P471" i="1"/>
  <c r="J471" i="1"/>
  <c r="I471" i="1"/>
  <c r="F471" i="1"/>
  <c r="E471" i="1"/>
  <c r="B471" i="1"/>
  <c r="X471" i="1" s="1"/>
  <c r="A471" i="1"/>
  <c r="AO470" i="1"/>
  <c r="AL470" i="1"/>
  <c r="R470" i="1"/>
  <c r="J470" i="1"/>
  <c r="I470" i="1"/>
  <c r="F470" i="1"/>
  <c r="E470" i="1"/>
  <c r="B470" i="1"/>
  <c r="A470" i="1"/>
  <c r="AO469" i="1"/>
  <c r="AL469" i="1"/>
  <c r="R469" i="1"/>
  <c r="J469" i="1"/>
  <c r="I469" i="1"/>
  <c r="F469" i="1"/>
  <c r="E469" i="1"/>
  <c r="B469" i="1"/>
  <c r="A469" i="1"/>
  <c r="AO468" i="1"/>
  <c r="AL468" i="1"/>
  <c r="R468" i="1"/>
  <c r="P468" i="1"/>
  <c r="J468" i="1"/>
  <c r="I468" i="1"/>
  <c r="F468" i="1"/>
  <c r="E468" i="1"/>
  <c r="B468" i="1"/>
  <c r="A468" i="1"/>
  <c r="AO467" i="1"/>
  <c r="AL467" i="1"/>
  <c r="R467" i="1"/>
  <c r="J467" i="1"/>
  <c r="I467" i="1"/>
  <c r="F467" i="1"/>
  <c r="E467" i="1"/>
  <c r="B467" i="1"/>
  <c r="A467" i="1"/>
  <c r="AO466" i="1"/>
  <c r="AL466" i="1"/>
  <c r="R466" i="1"/>
  <c r="J466" i="1"/>
  <c r="I466" i="1"/>
  <c r="F466" i="1"/>
  <c r="E466" i="1"/>
  <c r="B466" i="1"/>
  <c r="A466" i="1"/>
  <c r="AO465" i="1"/>
  <c r="AL465" i="1"/>
  <c r="R465" i="1"/>
  <c r="P465" i="1"/>
  <c r="J465" i="1"/>
  <c r="I465" i="1"/>
  <c r="F465" i="1"/>
  <c r="E465" i="1"/>
  <c r="B465" i="1"/>
  <c r="A465" i="1"/>
  <c r="AO464" i="1"/>
  <c r="AL464" i="1"/>
  <c r="R464" i="1"/>
  <c r="J464" i="1"/>
  <c r="I464" i="1"/>
  <c r="F464" i="1"/>
  <c r="E464" i="1"/>
  <c r="B464" i="1"/>
  <c r="X464" i="1" s="1"/>
  <c r="A464" i="1"/>
  <c r="AO463" i="1"/>
  <c r="AL463" i="1"/>
  <c r="R463" i="1"/>
  <c r="P463" i="1"/>
  <c r="J463" i="1"/>
  <c r="I463" i="1"/>
  <c r="F463" i="1"/>
  <c r="E463" i="1"/>
  <c r="B463" i="1"/>
  <c r="A463" i="1"/>
  <c r="AO462" i="1"/>
  <c r="AL462" i="1"/>
  <c r="R462" i="1"/>
  <c r="P462" i="1"/>
  <c r="J462" i="1"/>
  <c r="I462" i="1"/>
  <c r="F462" i="1"/>
  <c r="E462" i="1"/>
  <c r="B462" i="1"/>
  <c r="A462" i="1"/>
  <c r="AN462" i="1" s="1"/>
  <c r="AO461" i="1"/>
  <c r="AL461" i="1"/>
  <c r="R461" i="1"/>
  <c r="P461" i="1"/>
  <c r="J461" i="1"/>
  <c r="I461" i="1"/>
  <c r="F461" i="1"/>
  <c r="E461" i="1"/>
  <c r="B461" i="1"/>
  <c r="A461" i="1"/>
  <c r="AO460" i="1"/>
  <c r="AL460" i="1"/>
  <c r="R460" i="1"/>
  <c r="P460" i="1"/>
  <c r="J460" i="1"/>
  <c r="I460" i="1"/>
  <c r="F460" i="1"/>
  <c r="E460" i="1"/>
  <c r="B460" i="1"/>
  <c r="X460" i="1" s="1"/>
  <c r="A460" i="1"/>
  <c r="AO459" i="1"/>
  <c r="AL459" i="1"/>
  <c r="R459" i="1"/>
  <c r="O459" i="1"/>
  <c r="J459" i="1"/>
  <c r="I459" i="1"/>
  <c r="F459" i="1"/>
  <c r="E459" i="1"/>
  <c r="B459" i="1"/>
  <c r="A459" i="1"/>
  <c r="AO458" i="1"/>
  <c r="AL458" i="1"/>
  <c r="R458" i="1"/>
  <c r="P458" i="1"/>
  <c r="J458" i="1"/>
  <c r="I458" i="1"/>
  <c r="F458" i="1"/>
  <c r="E458" i="1"/>
  <c r="B458" i="1"/>
  <c r="A458" i="1"/>
  <c r="AO457" i="1"/>
  <c r="AL457" i="1"/>
  <c r="R457" i="1"/>
  <c r="O457" i="1"/>
  <c r="J457" i="1"/>
  <c r="I457" i="1"/>
  <c r="F457" i="1"/>
  <c r="E457" i="1"/>
  <c r="B457" i="1"/>
  <c r="A457" i="1"/>
  <c r="AO456" i="1"/>
  <c r="AL456" i="1"/>
  <c r="R456" i="1"/>
  <c r="P456" i="1"/>
  <c r="J456" i="1"/>
  <c r="I456" i="1"/>
  <c r="F456" i="1"/>
  <c r="E456" i="1"/>
  <c r="B456" i="1"/>
  <c r="A456" i="1"/>
  <c r="AO455" i="1"/>
  <c r="AL455" i="1"/>
  <c r="R455" i="1"/>
  <c r="O455" i="1"/>
  <c r="J455" i="1"/>
  <c r="I455" i="1"/>
  <c r="F455" i="1"/>
  <c r="E455" i="1"/>
  <c r="B455" i="1"/>
  <c r="A455" i="1"/>
  <c r="AO454" i="1"/>
  <c r="AL454" i="1"/>
  <c r="R454" i="1"/>
  <c r="O454" i="1"/>
  <c r="J454" i="1"/>
  <c r="I454" i="1"/>
  <c r="F454" i="1"/>
  <c r="E454" i="1"/>
  <c r="B454" i="1"/>
  <c r="A454" i="1"/>
  <c r="AO453" i="1"/>
  <c r="AL453" i="1"/>
  <c r="R453" i="1"/>
  <c r="P453" i="1"/>
  <c r="J453" i="1"/>
  <c r="I453" i="1"/>
  <c r="F453" i="1"/>
  <c r="E453" i="1"/>
  <c r="B453" i="1"/>
  <c r="A453" i="1"/>
  <c r="AO452" i="1"/>
  <c r="AL452" i="1"/>
  <c r="R452" i="1"/>
  <c r="P452" i="1"/>
  <c r="J452" i="1"/>
  <c r="I452" i="1"/>
  <c r="F452" i="1"/>
  <c r="E452" i="1"/>
  <c r="B452" i="1"/>
  <c r="X452" i="1" s="1"/>
  <c r="A452" i="1"/>
  <c r="AO451" i="1"/>
  <c r="AL451" i="1"/>
  <c r="R451" i="1"/>
  <c r="J451" i="1"/>
  <c r="I451" i="1"/>
  <c r="F451" i="1"/>
  <c r="E451" i="1"/>
  <c r="B451" i="1"/>
  <c r="A451" i="1"/>
  <c r="AO450" i="1"/>
  <c r="AL450" i="1"/>
  <c r="R450" i="1"/>
  <c r="P450" i="1"/>
  <c r="J450" i="1"/>
  <c r="I450" i="1"/>
  <c r="F450" i="1"/>
  <c r="E450" i="1"/>
  <c r="B450" i="1"/>
  <c r="A450" i="1"/>
  <c r="AO449" i="1"/>
  <c r="AL449" i="1"/>
  <c r="R449" i="1"/>
  <c r="J449" i="1"/>
  <c r="I449" i="1"/>
  <c r="F449" i="1"/>
  <c r="E449" i="1"/>
  <c r="B449" i="1"/>
  <c r="A449" i="1"/>
  <c r="AO448" i="1"/>
  <c r="AL448" i="1"/>
  <c r="R448" i="1"/>
  <c r="O448" i="1"/>
  <c r="J448" i="1"/>
  <c r="I448" i="1"/>
  <c r="F448" i="1"/>
  <c r="E448" i="1"/>
  <c r="B448" i="1"/>
  <c r="A448" i="1"/>
  <c r="AO447" i="1"/>
  <c r="AL447" i="1"/>
  <c r="R447" i="1"/>
  <c r="J447" i="1"/>
  <c r="I447" i="1"/>
  <c r="F447" i="1"/>
  <c r="E447" i="1"/>
  <c r="B447" i="1"/>
  <c r="A447" i="1"/>
  <c r="AN447" i="1" s="1"/>
  <c r="AO446" i="1"/>
  <c r="AL446" i="1"/>
  <c r="R446" i="1"/>
  <c r="O446" i="1"/>
  <c r="J446" i="1"/>
  <c r="I446" i="1"/>
  <c r="F446" i="1"/>
  <c r="E446" i="1"/>
  <c r="B446" i="1"/>
  <c r="X446" i="1" s="1"/>
  <c r="A446" i="1"/>
  <c r="AO445" i="1"/>
  <c r="AL445" i="1"/>
  <c r="R445" i="1"/>
  <c r="P445" i="1"/>
  <c r="J445" i="1"/>
  <c r="I445" i="1"/>
  <c r="F445" i="1"/>
  <c r="E445" i="1"/>
  <c r="B445" i="1"/>
  <c r="A445" i="1"/>
  <c r="AO444" i="1"/>
  <c r="AL444" i="1"/>
  <c r="R444" i="1"/>
  <c r="J444" i="1"/>
  <c r="I444" i="1"/>
  <c r="F444" i="1"/>
  <c r="E444" i="1"/>
  <c r="B444" i="1"/>
  <c r="A444" i="1"/>
  <c r="AO443" i="1"/>
  <c r="AL443" i="1"/>
  <c r="R443" i="1"/>
  <c r="P443" i="1"/>
  <c r="J443" i="1"/>
  <c r="I443" i="1"/>
  <c r="F443" i="1"/>
  <c r="E443" i="1"/>
  <c r="B443" i="1"/>
  <c r="A443" i="1"/>
  <c r="AN443" i="1" s="1"/>
  <c r="AO442" i="1"/>
  <c r="AL442" i="1"/>
  <c r="R442" i="1"/>
  <c r="P442" i="1"/>
  <c r="J442" i="1"/>
  <c r="I442" i="1"/>
  <c r="F442" i="1"/>
  <c r="E442" i="1"/>
  <c r="B442" i="1"/>
  <c r="A442" i="1"/>
  <c r="AO441" i="1"/>
  <c r="AL441" i="1"/>
  <c r="R441" i="1"/>
  <c r="J441" i="1"/>
  <c r="I441" i="1"/>
  <c r="F441" i="1"/>
  <c r="E441" i="1"/>
  <c r="B441" i="1"/>
  <c r="A441" i="1"/>
  <c r="AO440" i="1"/>
  <c r="AL440" i="1"/>
  <c r="R440" i="1"/>
  <c r="J440" i="1"/>
  <c r="I440" i="1"/>
  <c r="F440" i="1"/>
  <c r="E440" i="1"/>
  <c r="B440" i="1"/>
  <c r="A440" i="1"/>
  <c r="AN440" i="1" s="1"/>
  <c r="AO439" i="1"/>
  <c r="AL439" i="1"/>
  <c r="R439" i="1"/>
  <c r="J439" i="1"/>
  <c r="I439" i="1"/>
  <c r="F439" i="1"/>
  <c r="E439" i="1"/>
  <c r="B439" i="1"/>
  <c r="X439" i="1" s="1"/>
  <c r="A439" i="1"/>
  <c r="AO438" i="1"/>
  <c r="AL438" i="1"/>
  <c r="R438" i="1"/>
  <c r="P438" i="1"/>
  <c r="J438" i="1"/>
  <c r="I438" i="1"/>
  <c r="F438" i="1"/>
  <c r="E438" i="1"/>
  <c r="B438" i="1"/>
  <c r="A438" i="1"/>
  <c r="AO437" i="1"/>
  <c r="AL437" i="1"/>
  <c r="R437" i="1"/>
  <c r="O437" i="1"/>
  <c r="J437" i="1"/>
  <c r="I437" i="1"/>
  <c r="F437" i="1"/>
  <c r="E437" i="1"/>
  <c r="B437" i="1"/>
  <c r="A437" i="1"/>
  <c r="AO436" i="1"/>
  <c r="AL436" i="1"/>
  <c r="R436" i="1"/>
  <c r="O436" i="1"/>
  <c r="J436" i="1"/>
  <c r="I436" i="1"/>
  <c r="F436" i="1"/>
  <c r="E436" i="1"/>
  <c r="B436" i="1"/>
  <c r="X436" i="1" s="1"/>
  <c r="A436" i="1"/>
  <c r="AO435" i="1"/>
  <c r="AL435" i="1"/>
  <c r="R435" i="1"/>
  <c r="J435" i="1"/>
  <c r="I435" i="1"/>
  <c r="F435" i="1"/>
  <c r="E435" i="1"/>
  <c r="B435" i="1"/>
  <c r="A435" i="1"/>
  <c r="AO434" i="1"/>
  <c r="AL434" i="1"/>
  <c r="R434" i="1"/>
  <c r="P434" i="1"/>
  <c r="J434" i="1"/>
  <c r="I434" i="1"/>
  <c r="F434" i="1"/>
  <c r="E434" i="1"/>
  <c r="B434" i="1"/>
  <c r="A434" i="1"/>
  <c r="AN434" i="1" s="1"/>
  <c r="AO433" i="1"/>
  <c r="AL433" i="1"/>
  <c r="R433" i="1"/>
  <c r="J433" i="1"/>
  <c r="I433" i="1"/>
  <c r="F433" i="1"/>
  <c r="E433" i="1"/>
  <c r="B433" i="1"/>
  <c r="X433" i="1" s="1"/>
  <c r="A433" i="1"/>
  <c r="AO432" i="1"/>
  <c r="AL432" i="1"/>
  <c r="R432" i="1"/>
  <c r="O432" i="1"/>
  <c r="J432" i="1"/>
  <c r="I432" i="1"/>
  <c r="F432" i="1"/>
  <c r="E432" i="1"/>
  <c r="B432" i="1"/>
  <c r="A432" i="1"/>
  <c r="AO431" i="1"/>
  <c r="AL431" i="1"/>
  <c r="R431" i="1"/>
  <c r="O431" i="1"/>
  <c r="J431" i="1"/>
  <c r="I431" i="1"/>
  <c r="F431" i="1"/>
  <c r="E431" i="1"/>
  <c r="B431" i="1"/>
  <c r="X431" i="1" s="1"/>
  <c r="A431" i="1"/>
  <c r="AN431" i="1" s="1"/>
  <c r="AO430" i="1"/>
  <c r="AL430" i="1"/>
  <c r="R430" i="1"/>
  <c r="P430" i="1"/>
  <c r="J430" i="1"/>
  <c r="I430" i="1"/>
  <c r="F430" i="1"/>
  <c r="E430" i="1"/>
  <c r="B430" i="1"/>
  <c r="X430" i="1" s="1"/>
  <c r="A430" i="1"/>
  <c r="AO429" i="1"/>
  <c r="AL429" i="1"/>
  <c r="R429" i="1"/>
  <c r="J429" i="1"/>
  <c r="I429" i="1"/>
  <c r="F429" i="1"/>
  <c r="E429" i="1"/>
  <c r="B429" i="1"/>
  <c r="X429" i="1" s="1"/>
  <c r="A429" i="1"/>
  <c r="AN429" i="1" s="1"/>
  <c r="AO428" i="1"/>
  <c r="AL428" i="1"/>
  <c r="R428" i="1"/>
  <c r="J428" i="1"/>
  <c r="I428" i="1"/>
  <c r="F428" i="1"/>
  <c r="E428" i="1"/>
  <c r="B428" i="1"/>
  <c r="X428" i="1" s="1"/>
  <c r="A428" i="1"/>
  <c r="AN428" i="1" s="1"/>
  <c r="AO427" i="1"/>
  <c r="AL427" i="1"/>
  <c r="R427" i="1"/>
  <c r="J427" i="1"/>
  <c r="I427" i="1"/>
  <c r="F427" i="1"/>
  <c r="E427" i="1"/>
  <c r="B427" i="1"/>
  <c r="X427" i="1" s="1"/>
  <c r="A427" i="1"/>
  <c r="AO426" i="1"/>
  <c r="AL426" i="1"/>
  <c r="R426" i="1"/>
  <c r="P426" i="1"/>
  <c r="J426" i="1"/>
  <c r="I426" i="1"/>
  <c r="F426" i="1"/>
  <c r="E426" i="1"/>
  <c r="B426" i="1"/>
  <c r="X426" i="1" s="1"/>
  <c r="A426" i="1"/>
  <c r="AO425" i="1"/>
  <c r="AL425" i="1"/>
  <c r="R425" i="1"/>
  <c r="O425" i="1"/>
  <c r="J425" i="1"/>
  <c r="I425" i="1"/>
  <c r="F425" i="1"/>
  <c r="E425" i="1"/>
  <c r="B425" i="1"/>
  <c r="X425" i="1" s="1"/>
  <c r="A425" i="1"/>
  <c r="AO424" i="1"/>
  <c r="AL424" i="1"/>
  <c r="R424" i="1"/>
  <c r="J424" i="1"/>
  <c r="I424" i="1"/>
  <c r="F424" i="1"/>
  <c r="E424" i="1"/>
  <c r="B424" i="1"/>
  <c r="X424" i="1" s="1"/>
  <c r="A424" i="1"/>
  <c r="AO423" i="1"/>
  <c r="AL423" i="1"/>
  <c r="R423" i="1"/>
  <c r="J423" i="1"/>
  <c r="I423" i="1"/>
  <c r="F423" i="1"/>
  <c r="E423" i="1"/>
  <c r="B423" i="1"/>
  <c r="X423" i="1" s="1"/>
  <c r="A423" i="1"/>
  <c r="AO422" i="1"/>
  <c r="AL422" i="1"/>
  <c r="R422" i="1"/>
  <c r="P422" i="1"/>
  <c r="J422" i="1"/>
  <c r="I422" i="1"/>
  <c r="F422" i="1"/>
  <c r="E422" i="1"/>
  <c r="B422" i="1"/>
  <c r="X422" i="1" s="1"/>
  <c r="A422" i="1"/>
  <c r="AO421" i="1"/>
  <c r="AL421" i="1"/>
  <c r="R421" i="1"/>
  <c r="J421" i="1"/>
  <c r="I421" i="1"/>
  <c r="F421" i="1"/>
  <c r="E421" i="1"/>
  <c r="B421" i="1"/>
  <c r="A421" i="1"/>
  <c r="AO420" i="1"/>
  <c r="AL420" i="1"/>
  <c r="R420" i="1"/>
  <c r="J420" i="1"/>
  <c r="I420" i="1"/>
  <c r="F420" i="1"/>
  <c r="E420" i="1"/>
  <c r="B420" i="1"/>
  <c r="A420" i="1"/>
  <c r="AO419" i="1"/>
  <c r="AL419" i="1"/>
  <c r="R419" i="1"/>
  <c r="O419" i="1"/>
  <c r="J419" i="1"/>
  <c r="I419" i="1"/>
  <c r="F419" i="1"/>
  <c r="E419" i="1"/>
  <c r="B419" i="1"/>
  <c r="A419" i="1"/>
  <c r="AO418" i="1"/>
  <c r="AL418" i="1"/>
  <c r="R418" i="1"/>
  <c r="J418" i="1"/>
  <c r="I418" i="1"/>
  <c r="F418" i="1"/>
  <c r="E418" i="1"/>
  <c r="B418" i="1"/>
  <c r="A418" i="1"/>
  <c r="AO417" i="1"/>
  <c r="AL417" i="1"/>
  <c r="R417" i="1"/>
  <c r="O417" i="1"/>
  <c r="J417" i="1"/>
  <c r="I417" i="1"/>
  <c r="F417" i="1"/>
  <c r="E417" i="1"/>
  <c r="B417" i="1"/>
  <c r="A417" i="1"/>
  <c r="AO416" i="1"/>
  <c r="AL416" i="1"/>
  <c r="R416" i="1"/>
  <c r="J416" i="1"/>
  <c r="I416" i="1"/>
  <c r="F416" i="1"/>
  <c r="E416" i="1"/>
  <c r="B416" i="1"/>
  <c r="X416" i="1" s="1"/>
  <c r="A416" i="1"/>
  <c r="AO415" i="1"/>
  <c r="AL415" i="1"/>
  <c r="R415" i="1"/>
  <c r="J415" i="1"/>
  <c r="I415" i="1"/>
  <c r="F415" i="1"/>
  <c r="E415" i="1"/>
  <c r="B415" i="1"/>
  <c r="A415" i="1"/>
  <c r="AO414" i="1"/>
  <c r="AL414" i="1"/>
  <c r="R414" i="1"/>
  <c r="J414" i="1"/>
  <c r="I414" i="1"/>
  <c r="F414" i="1"/>
  <c r="E414" i="1"/>
  <c r="B414" i="1"/>
  <c r="X414" i="1" s="1"/>
  <c r="A414" i="1"/>
  <c r="AO413" i="1"/>
  <c r="AL413" i="1"/>
  <c r="R413" i="1"/>
  <c r="J413" i="1"/>
  <c r="I413" i="1"/>
  <c r="F413" i="1"/>
  <c r="E413" i="1"/>
  <c r="B413" i="1"/>
  <c r="A413" i="1"/>
  <c r="AO412" i="1"/>
  <c r="AL412" i="1"/>
  <c r="R412" i="1"/>
  <c r="J412" i="1"/>
  <c r="I412" i="1"/>
  <c r="F412" i="1"/>
  <c r="E412" i="1"/>
  <c r="B412" i="1"/>
  <c r="X412" i="1" s="1"/>
  <c r="A412" i="1"/>
  <c r="AO411" i="1"/>
  <c r="AL411" i="1"/>
  <c r="R411" i="1"/>
  <c r="J411" i="1"/>
  <c r="I411" i="1"/>
  <c r="F411" i="1"/>
  <c r="E411" i="1"/>
  <c r="B411" i="1"/>
  <c r="X411" i="1" s="1"/>
  <c r="A411" i="1"/>
  <c r="AO410" i="1"/>
  <c r="AL410" i="1"/>
  <c r="R410" i="1"/>
  <c r="J410" i="1"/>
  <c r="I410" i="1"/>
  <c r="F410" i="1"/>
  <c r="E410" i="1"/>
  <c r="B410" i="1"/>
  <c r="A410" i="1"/>
  <c r="AO409" i="1"/>
  <c r="AL409" i="1"/>
  <c r="R409" i="1"/>
  <c r="J409" i="1"/>
  <c r="I409" i="1"/>
  <c r="F409" i="1"/>
  <c r="E409" i="1"/>
  <c r="B409" i="1"/>
  <c r="A409" i="1"/>
  <c r="AO408" i="1"/>
  <c r="AL408" i="1"/>
  <c r="R408" i="1"/>
  <c r="O408" i="1"/>
  <c r="J408" i="1"/>
  <c r="I408" i="1"/>
  <c r="F408" i="1"/>
  <c r="E408" i="1"/>
  <c r="B408" i="1"/>
  <c r="A408" i="1"/>
  <c r="AO407" i="1"/>
  <c r="AL407" i="1"/>
  <c r="R407" i="1"/>
  <c r="O407" i="1"/>
  <c r="J407" i="1"/>
  <c r="I407" i="1"/>
  <c r="F407" i="1"/>
  <c r="E407" i="1"/>
  <c r="B407" i="1"/>
  <c r="A407" i="1"/>
  <c r="AO406" i="1"/>
  <c r="AL406" i="1"/>
  <c r="R406" i="1"/>
  <c r="O406" i="1"/>
  <c r="J406" i="1"/>
  <c r="I406" i="1"/>
  <c r="F406" i="1"/>
  <c r="E406" i="1"/>
  <c r="B406" i="1"/>
  <c r="X406" i="1" s="1"/>
  <c r="A406" i="1"/>
  <c r="AO405" i="1"/>
  <c r="AL405" i="1"/>
  <c r="R405" i="1"/>
  <c r="J405" i="1"/>
  <c r="I405" i="1"/>
  <c r="F405" i="1"/>
  <c r="E405" i="1"/>
  <c r="B405" i="1"/>
  <c r="A405" i="1"/>
  <c r="AO404" i="1"/>
  <c r="AL404" i="1"/>
  <c r="R404" i="1"/>
  <c r="J404" i="1"/>
  <c r="I404" i="1"/>
  <c r="F404" i="1"/>
  <c r="E404" i="1"/>
  <c r="B404" i="1"/>
  <c r="A404" i="1"/>
  <c r="AO403" i="1"/>
  <c r="AL403" i="1"/>
  <c r="R403" i="1"/>
  <c r="J403" i="1"/>
  <c r="I403" i="1"/>
  <c r="F403" i="1"/>
  <c r="E403" i="1"/>
  <c r="B403" i="1"/>
  <c r="X403" i="1" s="1"/>
  <c r="A403" i="1"/>
  <c r="AO402" i="1"/>
  <c r="AL402" i="1"/>
  <c r="R402" i="1"/>
  <c r="O402" i="1"/>
  <c r="J402" i="1"/>
  <c r="I402" i="1"/>
  <c r="F402" i="1"/>
  <c r="E402" i="1"/>
  <c r="B402" i="1"/>
  <c r="A402" i="1"/>
  <c r="AO401" i="1"/>
  <c r="AL401" i="1"/>
  <c r="R401" i="1"/>
  <c r="J401" i="1"/>
  <c r="I401" i="1"/>
  <c r="F401" i="1"/>
  <c r="E401" i="1"/>
  <c r="B401" i="1"/>
  <c r="A401" i="1"/>
  <c r="AO400" i="1"/>
  <c r="AL400" i="1"/>
  <c r="R400" i="1"/>
  <c r="P400" i="1"/>
  <c r="J400" i="1"/>
  <c r="I400" i="1"/>
  <c r="F400" i="1"/>
  <c r="E400" i="1"/>
  <c r="B400" i="1"/>
  <c r="X400" i="1" s="1"/>
  <c r="A400" i="1"/>
  <c r="AO399" i="1"/>
  <c r="AL399" i="1"/>
  <c r="R399" i="1"/>
  <c r="J399" i="1"/>
  <c r="I399" i="1"/>
  <c r="F399" i="1"/>
  <c r="E399" i="1"/>
  <c r="B399" i="1"/>
  <c r="A399" i="1"/>
  <c r="AO398" i="1"/>
  <c r="AL398" i="1"/>
  <c r="R398" i="1"/>
  <c r="P398" i="1"/>
  <c r="J398" i="1"/>
  <c r="I398" i="1"/>
  <c r="F398" i="1"/>
  <c r="E398" i="1"/>
  <c r="B398" i="1"/>
  <c r="X398" i="1" s="1"/>
  <c r="A398" i="1"/>
  <c r="AO397" i="1"/>
  <c r="AL397" i="1"/>
  <c r="R397" i="1"/>
  <c r="J397" i="1"/>
  <c r="I397" i="1"/>
  <c r="F397" i="1"/>
  <c r="E397" i="1"/>
  <c r="B397" i="1"/>
  <c r="X397" i="1" s="1"/>
  <c r="A397" i="1"/>
  <c r="AO396" i="1"/>
  <c r="AL396" i="1"/>
  <c r="R396" i="1"/>
  <c r="J396" i="1"/>
  <c r="I396" i="1"/>
  <c r="F396" i="1"/>
  <c r="E396" i="1"/>
  <c r="B396" i="1"/>
  <c r="X396" i="1" s="1"/>
  <c r="A396" i="1"/>
  <c r="AO395" i="1"/>
  <c r="AL395" i="1"/>
  <c r="R395" i="1"/>
  <c r="J395" i="1"/>
  <c r="I395" i="1"/>
  <c r="F395" i="1"/>
  <c r="E395" i="1"/>
  <c r="B395" i="1"/>
  <c r="A395" i="1"/>
  <c r="AO394" i="1"/>
  <c r="AL394" i="1"/>
  <c r="R394" i="1"/>
  <c r="O394" i="1"/>
  <c r="J394" i="1"/>
  <c r="I394" i="1"/>
  <c r="F394" i="1"/>
  <c r="E394" i="1"/>
  <c r="B394" i="1"/>
  <c r="X394" i="1" s="1"/>
  <c r="A394" i="1"/>
  <c r="AO393" i="1"/>
  <c r="AL393" i="1"/>
  <c r="R393" i="1"/>
  <c r="J393" i="1"/>
  <c r="I393" i="1"/>
  <c r="F393" i="1"/>
  <c r="E393" i="1"/>
  <c r="B393" i="1"/>
  <c r="X393" i="1" s="1"/>
  <c r="A393" i="1"/>
  <c r="AO392" i="1"/>
  <c r="AL392" i="1"/>
  <c r="R392" i="1"/>
  <c r="O392" i="1"/>
  <c r="J392" i="1"/>
  <c r="I392" i="1"/>
  <c r="F392" i="1"/>
  <c r="E392" i="1"/>
  <c r="B392" i="1"/>
  <c r="X392" i="1" s="1"/>
  <c r="A392" i="1"/>
  <c r="AO391" i="1"/>
  <c r="AL391" i="1"/>
  <c r="R391" i="1"/>
  <c r="P391" i="1"/>
  <c r="J391" i="1"/>
  <c r="I391" i="1"/>
  <c r="F391" i="1"/>
  <c r="E391" i="1"/>
  <c r="B391" i="1"/>
  <c r="X391" i="1" s="1"/>
  <c r="A391" i="1"/>
  <c r="AO390" i="1"/>
  <c r="AL390" i="1"/>
  <c r="R390" i="1"/>
  <c r="J390" i="1"/>
  <c r="I390" i="1"/>
  <c r="F390" i="1"/>
  <c r="E390" i="1"/>
  <c r="B390" i="1"/>
  <c r="A390" i="1"/>
  <c r="AO389" i="1"/>
  <c r="AL389" i="1"/>
  <c r="R389" i="1"/>
  <c r="P389" i="1"/>
  <c r="J389" i="1"/>
  <c r="I389" i="1"/>
  <c r="F389" i="1"/>
  <c r="E389" i="1"/>
  <c r="B389" i="1"/>
  <c r="A389" i="1"/>
  <c r="AO388" i="1"/>
  <c r="AL388" i="1"/>
  <c r="R388" i="1"/>
  <c r="O388" i="1"/>
  <c r="J388" i="1"/>
  <c r="I388" i="1"/>
  <c r="F388" i="1"/>
  <c r="E388" i="1"/>
  <c r="B388" i="1"/>
  <c r="A388" i="1"/>
  <c r="AO387" i="1"/>
  <c r="AL387" i="1"/>
  <c r="R387" i="1"/>
  <c r="J387" i="1"/>
  <c r="I387" i="1"/>
  <c r="F387" i="1"/>
  <c r="E387" i="1"/>
  <c r="B387" i="1"/>
  <c r="A387" i="1"/>
  <c r="AO386" i="1"/>
  <c r="AL386" i="1"/>
  <c r="R386" i="1"/>
  <c r="P386" i="1"/>
  <c r="J386" i="1"/>
  <c r="I386" i="1"/>
  <c r="F386" i="1"/>
  <c r="E386" i="1"/>
  <c r="B386" i="1"/>
  <c r="A386" i="1"/>
  <c r="AO385" i="1"/>
  <c r="AL385" i="1"/>
  <c r="R385" i="1"/>
  <c r="P385" i="1"/>
  <c r="J385" i="1"/>
  <c r="I385" i="1"/>
  <c r="F385" i="1"/>
  <c r="E385" i="1"/>
  <c r="B385" i="1"/>
  <c r="A385" i="1"/>
  <c r="AO384" i="1"/>
  <c r="AL384" i="1"/>
  <c r="J384" i="1"/>
  <c r="I384" i="1"/>
  <c r="F384" i="1"/>
  <c r="E384" i="1"/>
  <c r="B384" i="1"/>
  <c r="A384" i="1"/>
  <c r="AO383" i="1"/>
  <c r="AL383" i="1"/>
  <c r="R383" i="1"/>
  <c r="P383" i="1"/>
  <c r="J383" i="1"/>
  <c r="I383" i="1"/>
  <c r="F383" i="1"/>
  <c r="E383" i="1"/>
  <c r="B383" i="1"/>
  <c r="X383" i="1" s="1"/>
  <c r="A383" i="1"/>
  <c r="AO382" i="1"/>
  <c r="AL382" i="1"/>
  <c r="J382" i="1"/>
  <c r="I382" i="1"/>
  <c r="F382" i="1"/>
  <c r="E382" i="1"/>
  <c r="B382" i="1"/>
  <c r="A382" i="1"/>
  <c r="AO381" i="1"/>
  <c r="AL381" i="1"/>
  <c r="P381" i="1"/>
  <c r="J381" i="1"/>
  <c r="I381" i="1"/>
  <c r="F381" i="1"/>
  <c r="E381" i="1"/>
  <c r="B381" i="1"/>
  <c r="X381" i="1" s="1"/>
  <c r="A381" i="1"/>
  <c r="AO380" i="1"/>
  <c r="AL380" i="1"/>
  <c r="R380" i="1"/>
  <c r="O380" i="1"/>
  <c r="J380" i="1"/>
  <c r="I380" i="1"/>
  <c r="F380" i="1"/>
  <c r="E380" i="1"/>
  <c r="B380" i="1"/>
  <c r="X380" i="1" s="1"/>
  <c r="A380" i="1"/>
  <c r="AO379" i="1"/>
  <c r="AL379" i="1"/>
  <c r="R379" i="1"/>
  <c r="O379" i="1"/>
  <c r="J379" i="1"/>
  <c r="I379" i="1"/>
  <c r="F379" i="1"/>
  <c r="E379" i="1"/>
  <c r="B379" i="1"/>
  <c r="X379" i="1" s="1"/>
  <c r="A379" i="1"/>
  <c r="AO378" i="1"/>
  <c r="AL378" i="1"/>
  <c r="R378" i="1"/>
  <c r="J378" i="1"/>
  <c r="I378" i="1"/>
  <c r="F378" i="1"/>
  <c r="E378" i="1"/>
  <c r="B378" i="1"/>
  <c r="A378" i="1"/>
  <c r="AO377" i="1"/>
  <c r="AL377" i="1"/>
  <c r="R377" i="1"/>
  <c r="J377" i="1"/>
  <c r="I377" i="1"/>
  <c r="F377" i="1"/>
  <c r="E377" i="1"/>
  <c r="B377" i="1"/>
  <c r="A377" i="1"/>
  <c r="AO376" i="1"/>
  <c r="AL376" i="1"/>
  <c r="R376" i="1"/>
  <c r="O376" i="1"/>
  <c r="J376" i="1"/>
  <c r="I376" i="1"/>
  <c r="F376" i="1"/>
  <c r="E376" i="1"/>
  <c r="B376" i="1"/>
  <c r="A376" i="1"/>
  <c r="AO375" i="1"/>
  <c r="AL375" i="1"/>
  <c r="R375" i="1"/>
  <c r="J375" i="1"/>
  <c r="I375" i="1"/>
  <c r="F375" i="1"/>
  <c r="E375" i="1"/>
  <c r="B375" i="1"/>
  <c r="A375" i="1"/>
  <c r="AO374" i="1"/>
  <c r="AL374" i="1"/>
  <c r="R374" i="1"/>
  <c r="O374" i="1"/>
  <c r="J374" i="1"/>
  <c r="I374" i="1"/>
  <c r="F374" i="1"/>
  <c r="E374" i="1"/>
  <c r="B374" i="1"/>
  <c r="A374" i="1"/>
  <c r="AO373" i="1"/>
  <c r="AL373" i="1"/>
  <c r="R373" i="1"/>
  <c r="O373" i="1"/>
  <c r="J373" i="1"/>
  <c r="I373" i="1"/>
  <c r="F373" i="1"/>
  <c r="E373" i="1"/>
  <c r="B373" i="1"/>
  <c r="X373" i="1" s="1"/>
  <c r="A373" i="1"/>
  <c r="AO372" i="1"/>
  <c r="AL372" i="1"/>
  <c r="R372" i="1"/>
  <c r="P372" i="1"/>
  <c r="J372" i="1"/>
  <c r="I372" i="1"/>
  <c r="F372" i="1"/>
  <c r="E372" i="1"/>
  <c r="B372" i="1"/>
  <c r="A372" i="1"/>
  <c r="AO371" i="1"/>
  <c r="AL371" i="1"/>
  <c r="J371" i="1"/>
  <c r="I371" i="1"/>
  <c r="F371" i="1"/>
  <c r="E371" i="1"/>
  <c r="B371" i="1"/>
  <c r="A371" i="1"/>
  <c r="AO370" i="1"/>
  <c r="AL370" i="1"/>
  <c r="R370" i="1"/>
  <c r="P370" i="1"/>
  <c r="J370" i="1"/>
  <c r="I370" i="1"/>
  <c r="F370" i="1"/>
  <c r="E370" i="1"/>
  <c r="B370" i="1"/>
  <c r="A370" i="1"/>
  <c r="AO369" i="1"/>
  <c r="AL369" i="1"/>
  <c r="R369" i="1"/>
  <c r="J369" i="1"/>
  <c r="I369" i="1"/>
  <c r="F369" i="1"/>
  <c r="E369" i="1"/>
  <c r="B369" i="1"/>
  <c r="X369" i="1" s="1"/>
  <c r="A369" i="1"/>
  <c r="AO368" i="1"/>
  <c r="AL368" i="1"/>
  <c r="J368" i="1"/>
  <c r="I368" i="1"/>
  <c r="F368" i="1"/>
  <c r="E368" i="1"/>
  <c r="B368" i="1"/>
  <c r="A368" i="1"/>
  <c r="AO367" i="1"/>
  <c r="AL367" i="1"/>
  <c r="R367" i="1"/>
  <c r="O367" i="1"/>
  <c r="J367" i="1"/>
  <c r="I367" i="1"/>
  <c r="F367" i="1"/>
  <c r="E367" i="1"/>
  <c r="B367" i="1"/>
  <c r="X367" i="1" s="1"/>
  <c r="A367" i="1"/>
  <c r="AO366" i="1"/>
  <c r="AL366" i="1"/>
  <c r="R366" i="1"/>
  <c r="J366" i="1"/>
  <c r="I366" i="1"/>
  <c r="F366" i="1"/>
  <c r="E366" i="1"/>
  <c r="B366" i="1"/>
  <c r="A366" i="1"/>
  <c r="AO365" i="1"/>
  <c r="AL365" i="1"/>
  <c r="R365" i="1"/>
  <c r="P365" i="1"/>
  <c r="J365" i="1"/>
  <c r="I365" i="1"/>
  <c r="F365" i="1"/>
  <c r="E365" i="1"/>
  <c r="B365" i="1"/>
  <c r="X365" i="1" s="1"/>
  <c r="A365" i="1"/>
  <c r="AO364" i="1"/>
  <c r="AL364" i="1"/>
  <c r="J364" i="1"/>
  <c r="I364" i="1"/>
  <c r="F364" i="1"/>
  <c r="E364" i="1"/>
  <c r="B364" i="1"/>
  <c r="X364" i="1" s="1"/>
  <c r="A364" i="1"/>
  <c r="AO363" i="1"/>
  <c r="AL363" i="1"/>
  <c r="R363" i="1"/>
  <c r="O363" i="1"/>
  <c r="J363" i="1"/>
  <c r="I363" i="1"/>
  <c r="F363" i="1"/>
  <c r="E363" i="1"/>
  <c r="B363" i="1"/>
  <c r="X363" i="1" s="1"/>
  <c r="A363" i="1"/>
  <c r="AO362" i="1"/>
  <c r="AL362" i="1"/>
  <c r="R362" i="1"/>
  <c r="J362" i="1"/>
  <c r="I362" i="1"/>
  <c r="F362" i="1"/>
  <c r="E362" i="1"/>
  <c r="B362" i="1"/>
  <c r="A362" i="1"/>
  <c r="AN362" i="1" s="1"/>
  <c r="AO361" i="1"/>
  <c r="AL361" i="1"/>
  <c r="R361" i="1"/>
  <c r="J361" i="1"/>
  <c r="I361" i="1"/>
  <c r="F361" i="1"/>
  <c r="E361" i="1"/>
  <c r="B361" i="1"/>
  <c r="A361" i="1"/>
  <c r="AO360" i="1"/>
  <c r="AL360" i="1"/>
  <c r="R360" i="1"/>
  <c r="J360" i="1"/>
  <c r="I360" i="1"/>
  <c r="F360" i="1"/>
  <c r="E360" i="1"/>
  <c r="B360" i="1"/>
  <c r="A360" i="1"/>
  <c r="AO359" i="1"/>
  <c r="AL359" i="1"/>
  <c r="R359" i="1"/>
  <c r="P359" i="1"/>
  <c r="J359" i="1"/>
  <c r="I359" i="1"/>
  <c r="F359" i="1"/>
  <c r="E359" i="1"/>
  <c r="B359" i="1"/>
  <c r="X359" i="1" s="1"/>
  <c r="A359" i="1"/>
  <c r="AO358" i="1"/>
  <c r="AL358" i="1"/>
  <c r="R358" i="1"/>
  <c r="J358" i="1"/>
  <c r="I358" i="1"/>
  <c r="F358" i="1"/>
  <c r="E358" i="1"/>
  <c r="B358" i="1"/>
  <c r="X358" i="1" s="1"/>
  <c r="A358" i="1"/>
  <c r="AO357" i="1"/>
  <c r="AL357" i="1"/>
  <c r="R357" i="1"/>
  <c r="O357" i="1"/>
  <c r="J357" i="1"/>
  <c r="I357" i="1"/>
  <c r="F357" i="1"/>
  <c r="E357" i="1"/>
  <c r="B357" i="1"/>
  <c r="A357" i="1"/>
  <c r="AO356" i="1"/>
  <c r="AL356" i="1"/>
  <c r="R356" i="1"/>
  <c r="J356" i="1"/>
  <c r="I356" i="1"/>
  <c r="F356" i="1"/>
  <c r="E356" i="1"/>
  <c r="B356" i="1"/>
  <c r="X356" i="1" s="1"/>
  <c r="A356" i="1"/>
  <c r="AO355" i="1"/>
  <c r="AL355" i="1"/>
  <c r="R355" i="1"/>
  <c r="O355" i="1"/>
  <c r="J355" i="1"/>
  <c r="I355" i="1"/>
  <c r="F355" i="1"/>
  <c r="E355" i="1"/>
  <c r="B355" i="1"/>
  <c r="A355" i="1"/>
  <c r="AO354" i="1"/>
  <c r="AL354" i="1"/>
  <c r="O354" i="1"/>
  <c r="J354" i="1"/>
  <c r="I354" i="1"/>
  <c r="F354" i="1"/>
  <c r="E354" i="1"/>
  <c r="B354" i="1"/>
  <c r="X354" i="1" s="1"/>
  <c r="A354" i="1"/>
  <c r="AO353" i="1"/>
  <c r="AL353" i="1"/>
  <c r="R353" i="1"/>
  <c r="J353" i="1"/>
  <c r="I353" i="1"/>
  <c r="F353" i="1"/>
  <c r="E353" i="1"/>
  <c r="B353" i="1"/>
  <c r="A353" i="1"/>
  <c r="AO352" i="1"/>
  <c r="AL352" i="1"/>
  <c r="R352" i="1"/>
  <c r="J352" i="1"/>
  <c r="I352" i="1"/>
  <c r="F352" i="1"/>
  <c r="E352" i="1"/>
  <c r="B352" i="1"/>
  <c r="A352" i="1"/>
  <c r="AO351" i="1"/>
  <c r="AL351" i="1"/>
  <c r="R351" i="1"/>
  <c r="O351" i="1"/>
  <c r="J351" i="1"/>
  <c r="I351" i="1"/>
  <c r="F351" i="1"/>
  <c r="E351" i="1"/>
  <c r="B351" i="1"/>
  <c r="X351" i="1" s="1"/>
  <c r="A351" i="1"/>
  <c r="AO350" i="1"/>
  <c r="AL350" i="1"/>
  <c r="R350" i="1"/>
  <c r="J350" i="1"/>
  <c r="I350" i="1"/>
  <c r="F350" i="1"/>
  <c r="E350" i="1"/>
  <c r="B350" i="1"/>
  <c r="X350" i="1" s="1"/>
  <c r="A350" i="1"/>
  <c r="AO349" i="1"/>
  <c r="AL349" i="1"/>
  <c r="R349" i="1"/>
  <c r="P349" i="1"/>
  <c r="J349" i="1"/>
  <c r="I349" i="1"/>
  <c r="F349" i="1"/>
  <c r="E349" i="1"/>
  <c r="B349" i="1"/>
  <c r="A349" i="1"/>
  <c r="AO348" i="1"/>
  <c r="AL348" i="1"/>
  <c r="J348" i="1"/>
  <c r="I348" i="1"/>
  <c r="F348" i="1"/>
  <c r="E348" i="1"/>
  <c r="B348" i="1"/>
  <c r="X348" i="1" s="1"/>
  <c r="A348" i="1"/>
  <c r="AO347" i="1"/>
  <c r="AL347" i="1"/>
  <c r="R347" i="1"/>
  <c r="J347" i="1"/>
  <c r="I347" i="1"/>
  <c r="F347" i="1"/>
  <c r="E347" i="1"/>
  <c r="B347" i="1"/>
  <c r="X347" i="1" s="1"/>
  <c r="A347" i="1"/>
  <c r="AO346" i="1"/>
  <c r="AL346" i="1"/>
  <c r="R346" i="1"/>
  <c r="P346" i="1"/>
  <c r="J346" i="1"/>
  <c r="I346" i="1"/>
  <c r="F346" i="1"/>
  <c r="E346" i="1"/>
  <c r="B346" i="1"/>
  <c r="X346" i="1" s="1"/>
  <c r="A346" i="1"/>
  <c r="AO345" i="1"/>
  <c r="AL345" i="1"/>
  <c r="R345" i="1"/>
  <c r="J345" i="1"/>
  <c r="I345" i="1"/>
  <c r="F345" i="1"/>
  <c r="E345" i="1"/>
  <c r="B345" i="1"/>
  <c r="X345" i="1" s="1"/>
  <c r="A345" i="1"/>
  <c r="AO344" i="1"/>
  <c r="AL344" i="1"/>
  <c r="R344" i="1"/>
  <c r="J344" i="1"/>
  <c r="I344" i="1"/>
  <c r="F344" i="1"/>
  <c r="E344" i="1"/>
  <c r="B344" i="1"/>
  <c r="X344" i="1" s="1"/>
  <c r="A344" i="1"/>
  <c r="AO343" i="1"/>
  <c r="AL343" i="1"/>
  <c r="R343" i="1"/>
  <c r="J343" i="1"/>
  <c r="I343" i="1"/>
  <c r="F343" i="1"/>
  <c r="E343" i="1"/>
  <c r="B343" i="1"/>
  <c r="X343" i="1" s="1"/>
  <c r="A343" i="1"/>
  <c r="AO342" i="1"/>
  <c r="AL342" i="1"/>
  <c r="R342" i="1"/>
  <c r="J342" i="1"/>
  <c r="I342" i="1"/>
  <c r="F342" i="1"/>
  <c r="E342" i="1"/>
  <c r="B342" i="1"/>
  <c r="A342" i="1"/>
  <c r="AO341" i="1"/>
  <c r="AL341" i="1"/>
  <c r="R341" i="1"/>
  <c r="J341" i="1"/>
  <c r="I341" i="1"/>
  <c r="F341" i="1"/>
  <c r="E341" i="1"/>
  <c r="B341" i="1"/>
  <c r="X341" i="1" s="1"/>
  <c r="A341" i="1"/>
  <c r="AO340" i="1"/>
  <c r="AL340" i="1"/>
  <c r="R340" i="1"/>
  <c r="J340" i="1"/>
  <c r="I340" i="1"/>
  <c r="F340" i="1"/>
  <c r="E340" i="1"/>
  <c r="B340" i="1"/>
  <c r="X340" i="1" s="1"/>
  <c r="A340" i="1"/>
  <c r="AO339" i="1"/>
  <c r="AL339" i="1"/>
  <c r="R339" i="1"/>
  <c r="J339" i="1"/>
  <c r="I339" i="1"/>
  <c r="F339" i="1"/>
  <c r="E339" i="1"/>
  <c r="B339" i="1"/>
  <c r="A339" i="1"/>
  <c r="AO338" i="1"/>
  <c r="AL338" i="1"/>
  <c r="R338" i="1"/>
  <c r="J338" i="1"/>
  <c r="I338" i="1"/>
  <c r="F338" i="1"/>
  <c r="E338" i="1"/>
  <c r="B338" i="1"/>
  <c r="X338" i="1" s="1"/>
  <c r="A338" i="1"/>
  <c r="AO337" i="1"/>
  <c r="AL337" i="1"/>
  <c r="R337" i="1"/>
  <c r="J337" i="1"/>
  <c r="I337" i="1"/>
  <c r="F337" i="1"/>
  <c r="E337" i="1"/>
  <c r="B337" i="1"/>
  <c r="X337" i="1" s="1"/>
  <c r="A337" i="1"/>
  <c r="AO336" i="1"/>
  <c r="AL336" i="1"/>
  <c r="R336" i="1"/>
  <c r="J336" i="1"/>
  <c r="I336" i="1"/>
  <c r="F336" i="1"/>
  <c r="E336" i="1"/>
  <c r="B336" i="1"/>
  <c r="X336" i="1" s="1"/>
  <c r="A336" i="1"/>
  <c r="AO335" i="1"/>
  <c r="AL335" i="1"/>
  <c r="R335" i="1"/>
  <c r="P335" i="1"/>
  <c r="J335" i="1"/>
  <c r="I335" i="1"/>
  <c r="F335" i="1"/>
  <c r="E335" i="1"/>
  <c r="B335" i="1"/>
  <c r="X335" i="1" s="1"/>
  <c r="A335" i="1"/>
  <c r="AO334" i="1"/>
  <c r="AL334" i="1"/>
  <c r="R334" i="1"/>
  <c r="J334" i="1"/>
  <c r="I334" i="1"/>
  <c r="F334" i="1"/>
  <c r="E334" i="1"/>
  <c r="B334" i="1"/>
  <c r="A334" i="1"/>
  <c r="AO333" i="1"/>
  <c r="AL333" i="1"/>
  <c r="R333" i="1"/>
  <c r="P333" i="1"/>
  <c r="J333" i="1"/>
  <c r="I333" i="1"/>
  <c r="F333" i="1"/>
  <c r="E333" i="1"/>
  <c r="B333" i="1"/>
  <c r="X333" i="1" s="1"/>
  <c r="A333" i="1"/>
  <c r="AO332" i="1"/>
  <c r="AL332" i="1"/>
  <c r="R332" i="1"/>
  <c r="P332" i="1"/>
  <c r="J332" i="1"/>
  <c r="I332" i="1"/>
  <c r="F332" i="1"/>
  <c r="E332" i="1"/>
  <c r="B332" i="1"/>
  <c r="X332" i="1" s="1"/>
  <c r="A332" i="1"/>
  <c r="AO331" i="1"/>
  <c r="AL331" i="1"/>
  <c r="R331" i="1"/>
  <c r="O331" i="1"/>
  <c r="J331" i="1"/>
  <c r="I331" i="1"/>
  <c r="F331" i="1"/>
  <c r="E331" i="1"/>
  <c r="B331" i="1"/>
  <c r="X331" i="1" s="1"/>
  <c r="A331" i="1"/>
  <c r="AO330" i="1"/>
  <c r="AL330" i="1"/>
  <c r="R330" i="1"/>
  <c r="J330" i="1"/>
  <c r="I330" i="1"/>
  <c r="F330" i="1"/>
  <c r="E330" i="1"/>
  <c r="B330" i="1"/>
  <c r="A330" i="1"/>
  <c r="AO329" i="1"/>
  <c r="AL329" i="1"/>
  <c r="R329" i="1"/>
  <c r="J329" i="1"/>
  <c r="I329" i="1"/>
  <c r="F329" i="1"/>
  <c r="E329" i="1"/>
  <c r="B329" i="1"/>
  <c r="X329" i="1" s="1"/>
  <c r="A329" i="1"/>
  <c r="AO328" i="1"/>
  <c r="AL328" i="1"/>
  <c r="R328" i="1"/>
  <c r="P328" i="1"/>
  <c r="J328" i="1"/>
  <c r="I328" i="1"/>
  <c r="F328" i="1"/>
  <c r="E328" i="1"/>
  <c r="B328" i="1"/>
  <c r="A328" i="1"/>
  <c r="AO327" i="1"/>
  <c r="AL327" i="1"/>
  <c r="R327" i="1"/>
  <c r="P327" i="1"/>
  <c r="J327" i="1"/>
  <c r="I327" i="1"/>
  <c r="F327" i="1"/>
  <c r="E327" i="1"/>
  <c r="B327" i="1"/>
  <c r="A327" i="1"/>
  <c r="AO326" i="1"/>
  <c r="AL326" i="1"/>
  <c r="R326" i="1"/>
  <c r="J326" i="1"/>
  <c r="I326" i="1"/>
  <c r="F326" i="1"/>
  <c r="E326" i="1"/>
  <c r="B326" i="1"/>
  <c r="A326" i="1"/>
  <c r="AO325" i="1"/>
  <c r="AL325" i="1"/>
  <c r="R325" i="1"/>
  <c r="J325" i="1"/>
  <c r="I325" i="1"/>
  <c r="F325" i="1"/>
  <c r="E325" i="1"/>
  <c r="B325" i="1"/>
  <c r="A325" i="1"/>
  <c r="AO324" i="1"/>
  <c r="AL324" i="1"/>
  <c r="R324" i="1"/>
  <c r="J324" i="1"/>
  <c r="I324" i="1"/>
  <c r="F324" i="1"/>
  <c r="E324" i="1"/>
  <c r="B324" i="1"/>
  <c r="A324" i="1"/>
  <c r="AO323" i="1"/>
  <c r="AL323" i="1"/>
  <c r="R323" i="1"/>
  <c r="J323" i="1"/>
  <c r="I323" i="1"/>
  <c r="F323" i="1"/>
  <c r="E323" i="1"/>
  <c r="B323" i="1"/>
  <c r="A323" i="1"/>
  <c r="AO322" i="1"/>
  <c r="AL322" i="1"/>
  <c r="R322" i="1"/>
  <c r="O322" i="1"/>
  <c r="J322" i="1"/>
  <c r="I322" i="1"/>
  <c r="F322" i="1"/>
  <c r="E322" i="1"/>
  <c r="B322" i="1"/>
  <c r="X322" i="1" s="1"/>
  <c r="A322" i="1"/>
  <c r="AO321" i="1"/>
  <c r="AL321" i="1"/>
  <c r="R321" i="1"/>
  <c r="P321" i="1"/>
  <c r="J321" i="1"/>
  <c r="I321" i="1"/>
  <c r="F321" i="1"/>
  <c r="E321" i="1"/>
  <c r="B321" i="1"/>
  <c r="X321" i="1" s="1"/>
  <c r="A321" i="1"/>
  <c r="AO320" i="1"/>
  <c r="AL320" i="1"/>
  <c r="R320" i="1"/>
  <c r="P320" i="1"/>
  <c r="J320" i="1"/>
  <c r="I320" i="1"/>
  <c r="F320" i="1"/>
  <c r="E320" i="1"/>
  <c r="B320" i="1"/>
  <c r="A320" i="1"/>
  <c r="AO319" i="1"/>
  <c r="AL319" i="1"/>
  <c r="R319" i="1"/>
  <c r="P319" i="1"/>
  <c r="J319" i="1"/>
  <c r="I319" i="1"/>
  <c r="F319" i="1"/>
  <c r="E319" i="1"/>
  <c r="B319" i="1"/>
  <c r="A319" i="1"/>
  <c r="AO318" i="1"/>
  <c r="AL318" i="1"/>
  <c r="R318" i="1"/>
  <c r="O318" i="1"/>
  <c r="J318" i="1"/>
  <c r="I318" i="1"/>
  <c r="F318" i="1"/>
  <c r="E318" i="1"/>
  <c r="B318" i="1"/>
  <c r="A318" i="1"/>
  <c r="AO317" i="1"/>
  <c r="AL317" i="1"/>
  <c r="R317" i="1"/>
  <c r="J317" i="1"/>
  <c r="I317" i="1"/>
  <c r="F317" i="1"/>
  <c r="E317" i="1"/>
  <c r="B317" i="1"/>
  <c r="A317" i="1"/>
  <c r="AO316" i="1"/>
  <c r="AL316" i="1"/>
  <c r="R316" i="1"/>
  <c r="P316" i="1"/>
  <c r="J316" i="1"/>
  <c r="I316" i="1"/>
  <c r="F316" i="1"/>
  <c r="E316" i="1"/>
  <c r="B316" i="1"/>
  <c r="A316" i="1"/>
  <c r="AO315" i="1"/>
  <c r="AL315" i="1"/>
  <c r="R315" i="1"/>
  <c r="J315" i="1"/>
  <c r="I315" i="1"/>
  <c r="F315" i="1"/>
  <c r="E315" i="1"/>
  <c r="B315" i="1"/>
  <c r="A315" i="1"/>
  <c r="AO314" i="1"/>
  <c r="AL314" i="1"/>
  <c r="R314" i="1"/>
  <c r="J314" i="1"/>
  <c r="I314" i="1"/>
  <c r="F314" i="1"/>
  <c r="E314" i="1"/>
  <c r="B314" i="1"/>
  <c r="A314" i="1"/>
  <c r="AO313" i="1"/>
  <c r="AL313" i="1"/>
  <c r="R313" i="1"/>
  <c r="P313" i="1"/>
  <c r="J313" i="1"/>
  <c r="I313" i="1"/>
  <c r="F313" i="1"/>
  <c r="E313" i="1"/>
  <c r="B313" i="1"/>
  <c r="A313" i="1"/>
  <c r="AN313" i="1" s="1"/>
  <c r="AO312" i="1"/>
  <c r="AL312" i="1"/>
  <c r="R312" i="1"/>
  <c r="P312" i="1"/>
  <c r="J312" i="1"/>
  <c r="I312" i="1"/>
  <c r="F312" i="1"/>
  <c r="E312" i="1"/>
  <c r="B312" i="1"/>
  <c r="A312" i="1"/>
  <c r="AO311" i="1"/>
  <c r="AL311" i="1"/>
  <c r="R311" i="1"/>
  <c r="P311" i="1"/>
  <c r="J311" i="1"/>
  <c r="I311" i="1"/>
  <c r="F311" i="1"/>
  <c r="E311" i="1"/>
  <c r="B311" i="1"/>
  <c r="A311" i="1"/>
  <c r="AO310" i="1"/>
  <c r="AL310" i="1"/>
  <c r="R310" i="1"/>
  <c r="J310" i="1"/>
  <c r="I310" i="1"/>
  <c r="F310" i="1"/>
  <c r="E310" i="1"/>
  <c r="B310" i="1"/>
  <c r="A310" i="1"/>
  <c r="AO309" i="1"/>
  <c r="AL309" i="1"/>
  <c r="R309" i="1"/>
  <c r="P309" i="1"/>
  <c r="J309" i="1"/>
  <c r="I309" i="1"/>
  <c r="F309" i="1"/>
  <c r="E309" i="1"/>
  <c r="B309" i="1"/>
  <c r="A309" i="1"/>
  <c r="AO308" i="1"/>
  <c r="AL308" i="1"/>
  <c r="R308" i="1"/>
  <c r="J308" i="1"/>
  <c r="I308" i="1"/>
  <c r="F308" i="1"/>
  <c r="E308" i="1"/>
  <c r="B308" i="1"/>
  <c r="A308" i="1"/>
  <c r="AO307" i="1"/>
  <c r="AL307" i="1"/>
  <c r="R307" i="1"/>
  <c r="P307" i="1"/>
  <c r="J307" i="1"/>
  <c r="I307" i="1"/>
  <c r="F307" i="1"/>
  <c r="E307" i="1"/>
  <c r="B307" i="1"/>
  <c r="X307" i="1" s="1"/>
  <c r="A307" i="1"/>
  <c r="AO306" i="1"/>
  <c r="AL306" i="1"/>
  <c r="R306" i="1"/>
  <c r="O306" i="1"/>
  <c r="J306" i="1"/>
  <c r="I306" i="1"/>
  <c r="F306" i="1"/>
  <c r="E306" i="1"/>
  <c r="B306" i="1"/>
  <c r="A306" i="1"/>
  <c r="AO305" i="1"/>
  <c r="AL305" i="1"/>
  <c r="R305" i="1"/>
  <c r="J305" i="1"/>
  <c r="I305" i="1"/>
  <c r="F305" i="1"/>
  <c r="E305" i="1"/>
  <c r="B305" i="1"/>
  <c r="X305" i="1" s="1"/>
  <c r="A305" i="1"/>
  <c r="AO304" i="1"/>
  <c r="AL304" i="1"/>
  <c r="R304" i="1"/>
  <c r="P304" i="1"/>
  <c r="J304" i="1"/>
  <c r="I304" i="1"/>
  <c r="F304" i="1"/>
  <c r="E304" i="1"/>
  <c r="B304" i="1"/>
  <c r="A304" i="1"/>
  <c r="AO303" i="1"/>
  <c r="AL303" i="1"/>
  <c r="R303" i="1"/>
  <c r="J303" i="1"/>
  <c r="I303" i="1"/>
  <c r="F303" i="1"/>
  <c r="E303" i="1"/>
  <c r="B303" i="1"/>
  <c r="A303" i="1"/>
  <c r="AN303" i="1" s="1"/>
  <c r="AO302" i="1"/>
  <c r="AL302" i="1"/>
  <c r="R302" i="1"/>
  <c r="J302" i="1"/>
  <c r="I302" i="1"/>
  <c r="F302" i="1"/>
  <c r="E302" i="1"/>
  <c r="B302" i="1"/>
  <c r="A302" i="1"/>
  <c r="AN302" i="1" s="1"/>
  <c r="AO301" i="1"/>
  <c r="AL301" i="1"/>
  <c r="R301" i="1"/>
  <c r="O301" i="1"/>
  <c r="J301" i="1"/>
  <c r="I301" i="1"/>
  <c r="F301" i="1"/>
  <c r="E301" i="1"/>
  <c r="B301" i="1"/>
  <c r="A301" i="1"/>
  <c r="AO300" i="1"/>
  <c r="AL300" i="1"/>
  <c r="R300" i="1"/>
  <c r="J300" i="1"/>
  <c r="I300" i="1"/>
  <c r="F300" i="1"/>
  <c r="E300" i="1"/>
  <c r="B300" i="1"/>
  <c r="A300" i="1"/>
  <c r="AN300" i="1" s="1"/>
  <c r="AO299" i="1"/>
  <c r="AL299" i="1"/>
  <c r="R299" i="1"/>
  <c r="J299" i="1"/>
  <c r="I299" i="1"/>
  <c r="F299" i="1"/>
  <c r="E299" i="1"/>
  <c r="B299" i="1"/>
  <c r="A299" i="1"/>
  <c r="AO298" i="1"/>
  <c r="AL298" i="1"/>
  <c r="R298" i="1"/>
  <c r="J298" i="1"/>
  <c r="I298" i="1"/>
  <c r="F298" i="1"/>
  <c r="E298" i="1"/>
  <c r="B298" i="1"/>
  <c r="A298" i="1"/>
  <c r="AN298" i="1" s="1"/>
  <c r="AO297" i="1"/>
  <c r="AL297" i="1"/>
  <c r="R297" i="1"/>
  <c r="J297" i="1"/>
  <c r="I297" i="1"/>
  <c r="F297" i="1"/>
  <c r="E297" i="1"/>
  <c r="B297" i="1"/>
  <c r="X297" i="1" s="1"/>
  <c r="A297" i="1"/>
  <c r="AN297" i="1" s="1"/>
  <c r="AO296" i="1"/>
  <c r="AL296" i="1"/>
  <c r="R296" i="1"/>
  <c r="P296" i="1"/>
  <c r="J296" i="1"/>
  <c r="I296" i="1"/>
  <c r="F296" i="1"/>
  <c r="E296" i="1"/>
  <c r="B296" i="1"/>
  <c r="A296" i="1"/>
  <c r="AO295" i="1"/>
  <c r="AL295" i="1"/>
  <c r="R295" i="1"/>
  <c r="P295" i="1"/>
  <c r="J295" i="1"/>
  <c r="I295" i="1"/>
  <c r="F295" i="1"/>
  <c r="E295" i="1"/>
  <c r="B295" i="1"/>
  <c r="A295" i="1"/>
  <c r="AN295" i="1" s="1"/>
  <c r="AO294" i="1"/>
  <c r="AL294" i="1"/>
  <c r="R294" i="1"/>
  <c r="J294" i="1"/>
  <c r="I294" i="1"/>
  <c r="F294" i="1"/>
  <c r="E294" i="1"/>
  <c r="B294" i="1"/>
  <c r="A294" i="1"/>
  <c r="AN294" i="1" s="1"/>
  <c r="AO293" i="1"/>
  <c r="AL293" i="1"/>
  <c r="R293" i="1"/>
  <c r="J293" i="1"/>
  <c r="I293" i="1"/>
  <c r="F293" i="1"/>
  <c r="E293" i="1"/>
  <c r="B293" i="1"/>
  <c r="A293" i="1"/>
  <c r="AO292" i="1"/>
  <c r="AL292" i="1"/>
  <c r="R292" i="1"/>
  <c r="J292" i="1"/>
  <c r="I292" i="1"/>
  <c r="F292" i="1"/>
  <c r="E292" i="1"/>
  <c r="B292" i="1"/>
  <c r="A292" i="1"/>
  <c r="AO291" i="1"/>
  <c r="AL291" i="1"/>
  <c r="R291" i="1"/>
  <c r="J291" i="1"/>
  <c r="I291" i="1"/>
  <c r="F291" i="1"/>
  <c r="E291" i="1"/>
  <c r="B291" i="1"/>
  <c r="A291" i="1"/>
  <c r="AN291" i="1" s="1"/>
  <c r="AO290" i="1"/>
  <c r="AL290" i="1"/>
  <c r="R290" i="1"/>
  <c r="J290" i="1"/>
  <c r="I290" i="1"/>
  <c r="F290" i="1"/>
  <c r="E290" i="1"/>
  <c r="B290" i="1"/>
  <c r="X290" i="1" s="1"/>
  <c r="A290" i="1"/>
  <c r="AO289" i="1"/>
  <c r="AL289" i="1"/>
  <c r="R289" i="1"/>
  <c r="J289" i="1"/>
  <c r="I289" i="1"/>
  <c r="F289" i="1"/>
  <c r="E289" i="1"/>
  <c r="B289" i="1"/>
  <c r="X289" i="1" s="1"/>
  <c r="A289" i="1"/>
  <c r="AN289" i="1" s="1"/>
  <c r="AO288" i="1"/>
  <c r="AL288" i="1"/>
  <c r="J288" i="1"/>
  <c r="I288" i="1"/>
  <c r="F288" i="1"/>
  <c r="E288" i="1"/>
  <c r="B288" i="1"/>
  <c r="X288" i="1" s="1"/>
  <c r="A288" i="1"/>
  <c r="AO287" i="1"/>
  <c r="AL287" i="1"/>
  <c r="R287" i="1"/>
  <c r="O287" i="1"/>
  <c r="J287" i="1"/>
  <c r="I287" i="1"/>
  <c r="F287" i="1"/>
  <c r="E287" i="1"/>
  <c r="B287" i="1"/>
  <c r="X287" i="1" s="1"/>
  <c r="A287" i="1"/>
  <c r="AO286" i="1"/>
  <c r="AL286" i="1"/>
  <c r="R286" i="1"/>
  <c r="P286" i="1"/>
  <c r="J286" i="1"/>
  <c r="I286" i="1"/>
  <c r="F286" i="1"/>
  <c r="E286" i="1"/>
  <c r="B286" i="1"/>
  <c r="A286" i="1"/>
  <c r="AO285" i="1"/>
  <c r="AL285" i="1"/>
  <c r="R285" i="1"/>
  <c r="P285" i="1"/>
  <c r="J285" i="1"/>
  <c r="I285" i="1"/>
  <c r="F285" i="1"/>
  <c r="E285" i="1"/>
  <c r="B285" i="1"/>
  <c r="X285" i="1" s="1"/>
  <c r="A285" i="1"/>
  <c r="AO284" i="1"/>
  <c r="AL284" i="1"/>
  <c r="R284" i="1"/>
  <c r="J284" i="1"/>
  <c r="I284" i="1"/>
  <c r="F284" i="1"/>
  <c r="E284" i="1"/>
  <c r="B284" i="1"/>
  <c r="X284" i="1" s="1"/>
  <c r="A284" i="1"/>
  <c r="AO283" i="1"/>
  <c r="AL283" i="1"/>
  <c r="R283" i="1"/>
  <c r="J283" i="1"/>
  <c r="I283" i="1"/>
  <c r="F283" i="1"/>
  <c r="E283" i="1"/>
  <c r="B283" i="1"/>
  <c r="X283" i="1" s="1"/>
  <c r="A283" i="1"/>
  <c r="AO282" i="1"/>
  <c r="AL282" i="1"/>
  <c r="R282" i="1"/>
  <c r="J282" i="1"/>
  <c r="I282" i="1"/>
  <c r="F282" i="1"/>
  <c r="E282" i="1"/>
  <c r="B282" i="1"/>
  <c r="X282" i="1" s="1"/>
  <c r="A282" i="1"/>
  <c r="AO281" i="1"/>
  <c r="AL281" i="1"/>
  <c r="R281" i="1"/>
  <c r="P281" i="1"/>
  <c r="J281" i="1"/>
  <c r="I281" i="1"/>
  <c r="F281" i="1"/>
  <c r="E281" i="1"/>
  <c r="B281" i="1"/>
  <c r="X281" i="1" s="1"/>
  <c r="A281" i="1"/>
  <c r="AO280" i="1"/>
  <c r="AL280" i="1"/>
  <c r="R280" i="1"/>
  <c r="J280" i="1"/>
  <c r="I280" i="1"/>
  <c r="F280" i="1"/>
  <c r="E280" i="1"/>
  <c r="B280" i="1"/>
  <c r="X280" i="1" s="1"/>
  <c r="A280" i="1"/>
  <c r="AO279" i="1"/>
  <c r="AL279" i="1"/>
  <c r="R279" i="1"/>
  <c r="O279" i="1"/>
  <c r="J279" i="1"/>
  <c r="I279" i="1"/>
  <c r="F279" i="1"/>
  <c r="E279" i="1"/>
  <c r="B279" i="1"/>
  <c r="X279" i="1" s="1"/>
  <c r="A279" i="1"/>
  <c r="AO278" i="1"/>
  <c r="AL278" i="1"/>
  <c r="R278" i="1"/>
  <c r="J278" i="1"/>
  <c r="I278" i="1"/>
  <c r="F278" i="1"/>
  <c r="E278" i="1"/>
  <c r="B278" i="1"/>
  <c r="X278" i="1" s="1"/>
  <c r="A278" i="1"/>
  <c r="AO277" i="1"/>
  <c r="AL277" i="1"/>
  <c r="R277" i="1"/>
  <c r="J277" i="1"/>
  <c r="I277" i="1"/>
  <c r="F277" i="1"/>
  <c r="E277" i="1"/>
  <c r="B277" i="1"/>
  <c r="X277" i="1" s="1"/>
  <c r="A277" i="1"/>
  <c r="AO276" i="1"/>
  <c r="AL276" i="1"/>
  <c r="R276" i="1"/>
  <c r="J276" i="1"/>
  <c r="I276" i="1"/>
  <c r="F276" i="1"/>
  <c r="E276" i="1"/>
  <c r="B276" i="1"/>
  <c r="X276" i="1" s="1"/>
  <c r="A276" i="1"/>
  <c r="AO275" i="1"/>
  <c r="AL275" i="1"/>
  <c r="R275" i="1"/>
  <c r="J275" i="1"/>
  <c r="I275" i="1"/>
  <c r="F275" i="1"/>
  <c r="E275" i="1"/>
  <c r="B275" i="1"/>
  <c r="A275" i="1"/>
  <c r="AO274" i="1"/>
  <c r="AL274" i="1"/>
  <c r="R274" i="1"/>
  <c r="P274" i="1"/>
  <c r="J274" i="1"/>
  <c r="I274" i="1"/>
  <c r="F274" i="1"/>
  <c r="E274" i="1"/>
  <c r="B274" i="1"/>
  <c r="A274" i="1"/>
  <c r="AO273" i="1"/>
  <c r="AL273" i="1"/>
  <c r="R273" i="1"/>
  <c r="P273" i="1"/>
  <c r="J273" i="1"/>
  <c r="I273" i="1"/>
  <c r="F273" i="1"/>
  <c r="E273" i="1"/>
  <c r="B273" i="1"/>
  <c r="A273" i="1"/>
  <c r="AO272" i="1"/>
  <c r="AL272" i="1"/>
  <c r="R272" i="1"/>
  <c r="J272" i="1"/>
  <c r="I272" i="1"/>
  <c r="F272" i="1"/>
  <c r="E272" i="1"/>
  <c r="B272" i="1"/>
  <c r="A272" i="1"/>
  <c r="AO271" i="1"/>
  <c r="AL271" i="1"/>
  <c r="R271" i="1"/>
  <c r="J271" i="1"/>
  <c r="I271" i="1"/>
  <c r="F271" i="1"/>
  <c r="E271" i="1"/>
  <c r="B271" i="1"/>
  <c r="A271" i="1"/>
  <c r="AO270" i="1"/>
  <c r="AL270" i="1"/>
  <c r="R270" i="1"/>
  <c r="J270" i="1"/>
  <c r="I270" i="1"/>
  <c r="F270" i="1"/>
  <c r="E270" i="1"/>
  <c r="B270" i="1"/>
  <c r="X270" i="1" s="1"/>
  <c r="A270" i="1"/>
  <c r="AO269" i="1"/>
  <c r="AL269" i="1"/>
  <c r="R269" i="1"/>
  <c r="O269" i="1"/>
  <c r="J269" i="1"/>
  <c r="I269" i="1"/>
  <c r="F269" i="1"/>
  <c r="E269" i="1"/>
  <c r="B269" i="1"/>
  <c r="A269" i="1"/>
  <c r="AO268" i="1"/>
  <c r="AL268" i="1"/>
  <c r="R268" i="1"/>
  <c r="J268" i="1"/>
  <c r="I268" i="1"/>
  <c r="F268" i="1"/>
  <c r="E268" i="1"/>
  <c r="B268" i="1"/>
  <c r="A268" i="1"/>
  <c r="AO267" i="1"/>
  <c r="AL267" i="1"/>
  <c r="J267" i="1"/>
  <c r="I267" i="1"/>
  <c r="F267" i="1"/>
  <c r="E267" i="1"/>
  <c r="B267" i="1"/>
  <c r="X267" i="1" s="1"/>
  <c r="A267" i="1"/>
  <c r="AO266" i="1"/>
  <c r="AL266" i="1"/>
  <c r="R266" i="1"/>
  <c r="O266" i="1"/>
  <c r="J266" i="1"/>
  <c r="I266" i="1"/>
  <c r="F266" i="1"/>
  <c r="E266" i="1"/>
  <c r="B266" i="1"/>
  <c r="A266" i="1"/>
  <c r="AO265" i="1"/>
  <c r="AL265" i="1"/>
  <c r="R265" i="1"/>
  <c r="P265" i="1"/>
  <c r="J265" i="1"/>
  <c r="I265" i="1"/>
  <c r="F265" i="1"/>
  <c r="E265" i="1"/>
  <c r="B265" i="1"/>
  <c r="X265" i="1" s="1"/>
  <c r="A265" i="1"/>
  <c r="AO264" i="1"/>
  <c r="AL264" i="1"/>
  <c r="R264" i="1"/>
  <c r="J264" i="1"/>
  <c r="I264" i="1"/>
  <c r="F264" i="1"/>
  <c r="E264" i="1"/>
  <c r="B264" i="1"/>
  <c r="X264" i="1" s="1"/>
  <c r="A264" i="1"/>
  <c r="AO263" i="1"/>
  <c r="AL263" i="1"/>
  <c r="R263" i="1"/>
  <c r="O263" i="1"/>
  <c r="J263" i="1"/>
  <c r="I263" i="1"/>
  <c r="F263" i="1"/>
  <c r="E263" i="1"/>
  <c r="B263" i="1"/>
  <c r="A263" i="1"/>
  <c r="AO262" i="1"/>
  <c r="AL262" i="1"/>
  <c r="R262" i="1"/>
  <c r="J262" i="1"/>
  <c r="I262" i="1"/>
  <c r="F262" i="1"/>
  <c r="E262" i="1"/>
  <c r="B262" i="1"/>
  <c r="A262" i="1"/>
  <c r="AN262" i="1" s="1"/>
  <c r="AO261" i="1"/>
  <c r="AL261" i="1"/>
  <c r="R261" i="1"/>
  <c r="J261" i="1"/>
  <c r="I261" i="1"/>
  <c r="F261" i="1"/>
  <c r="E261" i="1"/>
  <c r="B261" i="1"/>
  <c r="A261" i="1"/>
  <c r="AO260" i="1"/>
  <c r="AL260" i="1"/>
  <c r="R260" i="1"/>
  <c r="O260" i="1"/>
  <c r="J260" i="1"/>
  <c r="I260" i="1"/>
  <c r="F260" i="1"/>
  <c r="E260" i="1"/>
  <c r="B260" i="1"/>
  <c r="A260" i="1"/>
  <c r="AO259" i="1"/>
  <c r="AL259" i="1"/>
  <c r="R259" i="1"/>
  <c r="J259" i="1"/>
  <c r="I259" i="1"/>
  <c r="F259" i="1"/>
  <c r="E259" i="1"/>
  <c r="B259" i="1"/>
  <c r="A259" i="1"/>
  <c r="AO258" i="1"/>
  <c r="AL258" i="1"/>
  <c r="R258" i="1"/>
  <c r="O258" i="1"/>
  <c r="J258" i="1"/>
  <c r="I258" i="1"/>
  <c r="F258" i="1"/>
  <c r="E258" i="1"/>
  <c r="B258" i="1"/>
  <c r="A258" i="1"/>
  <c r="AO257" i="1"/>
  <c r="AL257" i="1"/>
  <c r="R257" i="1"/>
  <c r="J257" i="1"/>
  <c r="I257" i="1"/>
  <c r="F257" i="1"/>
  <c r="E257" i="1"/>
  <c r="B257" i="1"/>
  <c r="A257" i="1"/>
  <c r="AO256" i="1"/>
  <c r="AL256" i="1"/>
  <c r="R256" i="1"/>
  <c r="J256" i="1"/>
  <c r="I256" i="1"/>
  <c r="F256" i="1"/>
  <c r="E256" i="1"/>
  <c r="B256" i="1"/>
  <c r="A256" i="1"/>
  <c r="AO255" i="1"/>
  <c r="AL255" i="1"/>
  <c r="R255" i="1"/>
  <c r="J255" i="1"/>
  <c r="I255" i="1"/>
  <c r="F255" i="1"/>
  <c r="E255" i="1"/>
  <c r="B255" i="1"/>
  <c r="X255" i="1" s="1"/>
  <c r="A255" i="1"/>
  <c r="AO254" i="1"/>
  <c r="AL254" i="1"/>
  <c r="R254" i="1"/>
  <c r="P254" i="1"/>
  <c r="J254" i="1"/>
  <c r="I254" i="1"/>
  <c r="F254" i="1"/>
  <c r="E254" i="1"/>
  <c r="B254" i="1"/>
  <c r="X254" i="1" s="1"/>
  <c r="A254" i="1"/>
  <c r="AO253" i="1"/>
  <c r="AL253" i="1"/>
  <c r="R253" i="1"/>
  <c r="P253" i="1"/>
  <c r="J253" i="1"/>
  <c r="I253" i="1"/>
  <c r="F253" i="1"/>
  <c r="E253" i="1"/>
  <c r="B253" i="1"/>
  <c r="A253" i="1"/>
  <c r="AO252" i="1"/>
  <c r="AL252" i="1"/>
  <c r="R252" i="1"/>
  <c r="O252" i="1"/>
  <c r="J252" i="1"/>
  <c r="I252" i="1"/>
  <c r="F252" i="1"/>
  <c r="E252" i="1"/>
  <c r="B252" i="1"/>
  <c r="A252" i="1"/>
  <c r="AO251" i="1"/>
  <c r="AL251" i="1"/>
  <c r="R251" i="1"/>
  <c r="J251" i="1"/>
  <c r="I251" i="1"/>
  <c r="F251" i="1"/>
  <c r="E251" i="1"/>
  <c r="B251" i="1"/>
  <c r="A251" i="1"/>
  <c r="AO250" i="1"/>
  <c r="AL250" i="1"/>
  <c r="R250" i="1"/>
  <c r="J250" i="1"/>
  <c r="I250" i="1"/>
  <c r="F250" i="1"/>
  <c r="E250" i="1"/>
  <c r="B250" i="1"/>
  <c r="A250" i="1"/>
  <c r="AO249" i="1"/>
  <c r="AL249" i="1"/>
  <c r="R249" i="1"/>
  <c r="J249" i="1"/>
  <c r="I249" i="1"/>
  <c r="F249" i="1"/>
  <c r="E249" i="1"/>
  <c r="B249" i="1"/>
  <c r="X249" i="1" s="1"/>
  <c r="A249" i="1"/>
  <c r="AO248" i="1"/>
  <c r="AL248" i="1"/>
  <c r="R248" i="1"/>
  <c r="J248" i="1"/>
  <c r="I248" i="1"/>
  <c r="F248" i="1"/>
  <c r="E248" i="1"/>
  <c r="B248" i="1"/>
  <c r="A248" i="1"/>
  <c r="AO247" i="1"/>
  <c r="AL247" i="1"/>
  <c r="R247" i="1"/>
  <c r="J247" i="1"/>
  <c r="I247" i="1"/>
  <c r="F247" i="1"/>
  <c r="E247" i="1"/>
  <c r="B247" i="1"/>
  <c r="X247" i="1" s="1"/>
  <c r="A247" i="1"/>
  <c r="AN247" i="1" s="1"/>
  <c r="AO246" i="1"/>
  <c r="AL246" i="1"/>
  <c r="R246" i="1"/>
  <c r="O246" i="1"/>
  <c r="J246" i="1"/>
  <c r="I246" i="1"/>
  <c r="F246" i="1"/>
  <c r="E246" i="1"/>
  <c r="B246" i="1"/>
  <c r="X246" i="1" s="1"/>
  <c r="A246" i="1"/>
  <c r="AN246" i="1" s="1"/>
  <c r="AO245" i="1"/>
  <c r="AL245" i="1"/>
  <c r="R245" i="1"/>
  <c r="P245" i="1"/>
  <c r="J245" i="1"/>
  <c r="I245" i="1"/>
  <c r="F245" i="1"/>
  <c r="E245" i="1"/>
  <c r="B245" i="1"/>
  <c r="X245" i="1" s="1"/>
  <c r="A245" i="1"/>
  <c r="AO244" i="1"/>
  <c r="AL244" i="1"/>
  <c r="R244" i="1"/>
  <c r="O244" i="1"/>
  <c r="J244" i="1"/>
  <c r="I244" i="1"/>
  <c r="F244" i="1"/>
  <c r="E244" i="1"/>
  <c r="B244" i="1"/>
  <c r="X244" i="1" s="1"/>
  <c r="A244" i="1"/>
  <c r="AN244" i="1" s="1"/>
  <c r="AO243" i="1"/>
  <c r="AL243" i="1"/>
  <c r="R243" i="1"/>
  <c r="O243" i="1"/>
  <c r="J243" i="1"/>
  <c r="I243" i="1"/>
  <c r="F243" i="1"/>
  <c r="E243" i="1"/>
  <c r="B243" i="1"/>
  <c r="X243" i="1" s="1"/>
  <c r="A243" i="1"/>
  <c r="AO242" i="1"/>
  <c r="AL242" i="1"/>
  <c r="R242" i="1"/>
  <c r="J242" i="1"/>
  <c r="I242" i="1"/>
  <c r="F242" i="1"/>
  <c r="E242" i="1"/>
  <c r="B242" i="1"/>
  <c r="A242" i="1"/>
  <c r="AO241" i="1"/>
  <c r="AL241" i="1"/>
  <c r="R241" i="1"/>
  <c r="J241" i="1"/>
  <c r="I241" i="1"/>
  <c r="F241" i="1"/>
  <c r="E241" i="1"/>
  <c r="B241" i="1"/>
  <c r="X241" i="1" s="1"/>
  <c r="A241" i="1"/>
  <c r="AO240" i="1"/>
  <c r="AL240" i="1"/>
  <c r="R240" i="1"/>
  <c r="J240" i="1"/>
  <c r="I240" i="1"/>
  <c r="F240" i="1"/>
  <c r="E240" i="1"/>
  <c r="B240" i="1"/>
  <c r="X240" i="1" s="1"/>
  <c r="A240" i="1"/>
  <c r="AO239" i="1"/>
  <c r="AL239" i="1"/>
  <c r="R239" i="1"/>
  <c r="P239" i="1"/>
  <c r="J239" i="1"/>
  <c r="I239" i="1"/>
  <c r="F239" i="1"/>
  <c r="E239" i="1"/>
  <c r="B239" i="1"/>
  <c r="X239" i="1" s="1"/>
  <c r="A239" i="1"/>
  <c r="AO238" i="1"/>
  <c r="AL238" i="1"/>
  <c r="R238" i="1"/>
  <c r="P238" i="1"/>
  <c r="J238" i="1"/>
  <c r="I238" i="1"/>
  <c r="F238" i="1"/>
  <c r="E238" i="1"/>
  <c r="B238" i="1"/>
  <c r="X238" i="1" s="1"/>
  <c r="A238" i="1"/>
  <c r="AN238" i="1" s="1"/>
  <c r="AO237" i="1"/>
  <c r="AL237" i="1"/>
  <c r="R237" i="1"/>
  <c r="P237" i="1"/>
  <c r="J237" i="1"/>
  <c r="I237" i="1"/>
  <c r="F237" i="1"/>
  <c r="E237" i="1"/>
  <c r="B237" i="1"/>
  <c r="X237" i="1" s="1"/>
  <c r="A237" i="1"/>
  <c r="AO236" i="1"/>
  <c r="AL236" i="1"/>
  <c r="R236" i="1"/>
  <c r="P236" i="1"/>
  <c r="J236" i="1"/>
  <c r="I236" i="1"/>
  <c r="F236" i="1"/>
  <c r="E236" i="1"/>
  <c r="B236" i="1"/>
  <c r="X236" i="1" s="1"/>
  <c r="A236" i="1"/>
  <c r="AO235" i="1"/>
  <c r="AL235" i="1"/>
  <c r="R235" i="1"/>
  <c r="P235" i="1"/>
  <c r="J235" i="1"/>
  <c r="I235" i="1"/>
  <c r="F235" i="1"/>
  <c r="E235" i="1"/>
  <c r="B235" i="1"/>
  <c r="X235" i="1" s="1"/>
  <c r="A235" i="1"/>
  <c r="AO234" i="1"/>
  <c r="AL234" i="1"/>
  <c r="J234" i="1"/>
  <c r="I234" i="1"/>
  <c r="F234" i="1"/>
  <c r="E234" i="1"/>
  <c r="B234" i="1"/>
  <c r="X234" i="1" s="1"/>
  <c r="A234" i="1"/>
  <c r="AO233" i="1"/>
  <c r="AL233" i="1"/>
  <c r="R233" i="1"/>
  <c r="O233" i="1"/>
  <c r="J233" i="1"/>
  <c r="I233" i="1"/>
  <c r="F233" i="1"/>
  <c r="E233" i="1"/>
  <c r="B233" i="1"/>
  <c r="X233" i="1" s="1"/>
  <c r="A233" i="1"/>
  <c r="AN233" i="1" s="1"/>
  <c r="AO232" i="1"/>
  <c r="AL232" i="1"/>
  <c r="R232" i="1"/>
  <c r="P232" i="1"/>
  <c r="J232" i="1"/>
  <c r="I232" i="1"/>
  <c r="F232" i="1"/>
  <c r="E232" i="1"/>
  <c r="B232" i="1"/>
  <c r="X232" i="1" s="1"/>
  <c r="A232" i="1"/>
  <c r="AN232" i="1" s="1"/>
  <c r="AO231" i="1"/>
  <c r="AL231" i="1"/>
  <c r="R231" i="1"/>
  <c r="J231" i="1"/>
  <c r="I231" i="1"/>
  <c r="F231" i="1"/>
  <c r="E231" i="1"/>
  <c r="B231" i="1"/>
  <c r="X231" i="1" s="1"/>
  <c r="A231" i="1"/>
  <c r="AO230" i="1"/>
  <c r="AL230" i="1"/>
  <c r="R230" i="1"/>
  <c r="O230" i="1"/>
  <c r="J230" i="1"/>
  <c r="I230" i="1"/>
  <c r="F230" i="1"/>
  <c r="E230" i="1"/>
  <c r="B230" i="1"/>
  <c r="A230" i="1"/>
  <c r="AO229" i="1"/>
  <c r="AL229" i="1"/>
  <c r="R229" i="1"/>
  <c r="J229" i="1"/>
  <c r="I229" i="1"/>
  <c r="F229" i="1"/>
  <c r="E229" i="1"/>
  <c r="B229" i="1"/>
  <c r="A229" i="1"/>
  <c r="AO228" i="1"/>
  <c r="AL228" i="1"/>
  <c r="R228" i="1"/>
  <c r="P228" i="1"/>
  <c r="J228" i="1"/>
  <c r="I228" i="1"/>
  <c r="F228" i="1"/>
  <c r="E228" i="1"/>
  <c r="B228" i="1"/>
  <c r="X228" i="1" s="1"/>
  <c r="A228" i="1"/>
  <c r="AO227" i="1"/>
  <c r="AL227" i="1"/>
  <c r="R227" i="1"/>
  <c r="J227" i="1"/>
  <c r="I227" i="1"/>
  <c r="F227" i="1"/>
  <c r="E227" i="1"/>
  <c r="B227" i="1"/>
  <c r="X227" i="1" s="1"/>
  <c r="A227" i="1"/>
  <c r="AO226" i="1"/>
  <c r="AL226" i="1"/>
  <c r="R226" i="1"/>
  <c r="P226" i="1"/>
  <c r="J226" i="1"/>
  <c r="I226" i="1"/>
  <c r="F226" i="1"/>
  <c r="E226" i="1"/>
  <c r="B226" i="1"/>
  <c r="X226" i="1" s="1"/>
  <c r="A226" i="1"/>
  <c r="AO225" i="1"/>
  <c r="AL225" i="1"/>
  <c r="R225" i="1"/>
  <c r="O225" i="1"/>
  <c r="J225" i="1"/>
  <c r="I225" i="1"/>
  <c r="F225" i="1"/>
  <c r="E225" i="1"/>
  <c r="B225" i="1"/>
  <c r="A225" i="1"/>
  <c r="AO224" i="1"/>
  <c r="AL224" i="1"/>
  <c r="R224" i="1"/>
  <c r="O224" i="1"/>
  <c r="J224" i="1"/>
  <c r="I224" i="1"/>
  <c r="F224" i="1"/>
  <c r="E224" i="1"/>
  <c r="B224" i="1"/>
  <c r="A224" i="1"/>
  <c r="AO223" i="1"/>
  <c r="AL223" i="1"/>
  <c r="R223" i="1"/>
  <c r="P223" i="1"/>
  <c r="J223" i="1"/>
  <c r="I223" i="1"/>
  <c r="F223" i="1"/>
  <c r="E223" i="1"/>
  <c r="B223" i="1"/>
  <c r="X223" i="1" s="1"/>
  <c r="A223" i="1"/>
  <c r="AN223" i="1" s="1"/>
  <c r="AO222" i="1"/>
  <c r="AL222" i="1"/>
  <c r="R222" i="1"/>
  <c r="O222" i="1"/>
  <c r="J222" i="1"/>
  <c r="I222" i="1"/>
  <c r="F222" i="1"/>
  <c r="E222" i="1"/>
  <c r="B222" i="1"/>
  <c r="A222" i="1"/>
  <c r="AO221" i="1"/>
  <c r="AL221" i="1"/>
  <c r="R221" i="1"/>
  <c r="J221" i="1"/>
  <c r="I221" i="1"/>
  <c r="F221" i="1"/>
  <c r="E221" i="1"/>
  <c r="B221" i="1"/>
  <c r="A221" i="1"/>
  <c r="AO220" i="1"/>
  <c r="AL220" i="1"/>
  <c r="R220" i="1"/>
  <c r="J220" i="1"/>
  <c r="I220" i="1"/>
  <c r="F220" i="1"/>
  <c r="E220" i="1"/>
  <c r="B220" i="1"/>
  <c r="X220" i="1" s="1"/>
  <c r="A220" i="1"/>
  <c r="AO219" i="1"/>
  <c r="AL219" i="1"/>
  <c r="R219" i="1"/>
  <c r="J219" i="1"/>
  <c r="I219" i="1"/>
  <c r="F219" i="1"/>
  <c r="E219" i="1"/>
  <c r="B219" i="1"/>
  <c r="A219" i="1"/>
  <c r="AO218" i="1"/>
  <c r="AL218" i="1"/>
  <c r="R218" i="1"/>
  <c r="J218" i="1"/>
  <c r="I218" i="1"/>
  <c r="F218" i="1"/>
  <c r="E218" i="1"/>
  <c r="B218" i="1"/>
  <c r="A218" i="1"/>
  <c r="AO217" i="1"/>
  <c r="AL217" i="1"/>
  <c r="R217" i="1"/>
  <c r="P217" i="1"/>
  <c r="J217" i="1"/>
  <c r="I217" i="1"/>
  <c r="F217" i="1"/>
  <c r="E217" i="1"/>
  <c r="B217" i="1"/>
  <c r="A217" i="1"/>
  <c r="AO216" i="1"/>
  <c r="AL216" i="1"/>
  <c r="R216" i="1"/>
  <c r="O216" i="1"/>
  <c r="J216" i="1"/>
  <c r="I216" i="1"/>
  <c r="F216" i="1"/>
  <c r="E216" i="1"/>
  <c r="B216" i="1"/>
  <c r="X216" i="1" s="1"/>
  <c r="A216" i="1"/>
  <c r="AN216" i="1" s="1"/>
  <c r="AO215" i="1"/>
  <c r="AL215" i="1"/>
  <c r="R215" i="1"/>
  <c r="J215" i="1"/>
  <c r="I215" i="1"/>
  <c r="F215" i="1"/>
  <c r="E215" i="1"/>
  <c r="B215" i="1"/>
  <c r="A215" i="1"/>
  <c r="AN215" i="1" s="1"/>
  <c r="AO214" i="1"/>
  <c r="AL214" i="1"/>
  <c r="R214" i="1"/>
  <c r="J214" i="1"/>
  <c r="I214" i="1"/>
  <c r="F214" i="1"/>
  <c r="E214" i="1"/>
  <c r="B214" i="1"/>
  <c r="X214" i="1" s="1"/>
  <c r="A214" i="1"/>
  <c r="AO213" i="1"/>
  <c r="AL213" i="1"/>
  <c r="P213" i="1"/>
  <c r="J213" i="1"/>
  <c r="I213" i="1"/>
  <c r="F213" i="1"/>
  <c r="E213" i="1"/>
  <c r="B213" i="1"/>
  <c r="A213" i="1"/>
  <c r="AO212" i="1"/>
  <c r="AL212" i="1"/>
  <c r="R212" i="1"/>
  <c r="J212" i="1"/>
  <c r="I212" i="1"/>
  <c r="F212" i="1"/>
  <c r="E212" i="1"/>
  <c r="B212" i="1"/>
  <c r="A212" i="1"/>
  <c r="AO211" i="1"/>
  <c r="AL211" i="1"/>
  <c r="R211" i="1"/>
  <c r="P211" i="1"/>
  <c r="J211" i="1"/>
  <c r="I211" i="1"/>
  <c r="F211" i="1"/>
  <c r="E211" i="1"/>
  <c r="B211" i="1"/>
  <c r="A211" i="1"/>
  <c r="AO210" i="1"/>
  <c r="AL210" i="1"/>
  <c r="R210" i="1"/>
  <c r="J210" i="1"/>
  <c r="I210" i="1"/>
  <c r="F210" i="1"/>
  <c r="E210" i="1"/>
  <c r="B210" i="1"/>
  <c r="X210" i="1" s="1"/>
  <c r="A210" i="1"/>
  <c r="AO209" i="1"/>
  <c r="AL209" i="1"/>
  <c r="R209" i="1"/>
  <c r="J209" i="1"/>
  <c r="I209" i="1"/>
  <c r="F209" i="1"/>
  <c r="E209" i="1"/>
  <c r="B209" i="1"/>
  <c r="A209" i="1"/>
  <c r="AO208" i="1"/>
  <c r="AL208" i="1"/>
  <c r="R208" i="1"/>
  <c r="P208" i="1"/>
  <c r="J208" i="1"/>
  <c r="I208" i="1"/>
  <c r="F208" i="1"/>
  <c r="E208" i="1"/>
  <c r="B208" i="1"/>
  <c r="X208" i="1" s="1"/>
  <c r="A208" i="1"/>
  <c r="AN208" i="1" s="1"/>
  <c r="AO207" i="1"/>
  <c r="AL207" i="1"/>
  <c r="R207" i="1"/>
  <c r="O207" i="1"/>
  <c r="J207" i="1"/>
  <c r="I207" i="1"/>
  <c r="F207" i="1"/>
  <c r="E207" i="1"/>
  <c r="B207" i="1"/>
  <c r="A207" i="1"/>
  <c r="AO206" i="1"/>
  <c r="AL206" i="1"/>
  <c r="R206" i="1"/>
  <c r="P206" i="1"/>
  <c r="J206" i="1"/>
  <c r="I206" i="1"/>
  <c r="F206" i="1"/>
  <c r="E206" i="1"/>
  <c r="B206" i="1"/>
  <c r="X206" i="1" s="1"/>
  <c r="A206" i="1"/>
  <c r="AO205" i="1"/>
  <c r="AL205" i="1"/>
  <c r="R205" i="1"/>
  <c r="J205" i="1"/>
  <c r="I205" i="1"/>
  <c r="F205" i="1"/>
  <c r="E205" i="1"/>
  <c r="B205" i="1"/>
  <c r="A205" i="1"/>
  <c r="AO204" i="1"/>
  <c r="AL204" i="1"/>
  <c r="R204" i="1"/>
  <c r="P204" i="1"/>
  <c r="J204" i="1"/>
  <c r="I204" i="1"/>
  <c r="F204" i="1"/>
  <c r="E204" i="1"/>
  <c r="B204" i="1"/>
  <c r="A204" i="1"/>
  <c r="AO203" i="1"/>
  <c r="AL203" i="1"/>
  <c r="R203" i="1"/>
  <c r="P203" i="1"/>
  <c r="J203" i="1"/>
  <c r="I203" i="1"/>
  <c r="F203" i="1"/>
  <c r="E203" i="1"/>
  <c r="B203" i="1"/>
  <c r="A203" i="1"/>
  <c r="AO202" i="1"/>
  <c r="AL202" i="1"/>
  <c r="R202" i="1"/>
  <c r="J202" i="1"/>
  <c r="I202" i="1"/>
  <c r="F202" i="1"/>
  <c r="E202" i="1"/>
  <c r="B202" i="1"/>
  <c r="X202" i="1" s="1"/>
  <c r="A202" i="1"/>
  <c r="AO201" i="1"/>
  <c r="AL201" i="1"/>
  <c r="R201" i="1"/>
  <c r="J201" i="1"/>
  <c r="I201" i="1"/>
  <c r="F201" i="1"/>
  <c r="E201" i="1"/>
  <c r="B201" i="1"/>
  <c r="X201" i="1" s="1"/>
  <c r="A201" i="1"/>
  <c r="AN201" i="1" s="1"/>
  <c r="AO200" i="1"/>
  <c r="AL200" i="1"/>
  <c r="R200" i="1"/>
  <c r="P200" i="1"/>
  <c r="J200" i="1"/>
  <c r="I200" i="1"/>
  <c r="F200" i="1"/>
  <c r="E200" i="1"/>
  <c r="B200" i="1"/>
  <c r="A200" i="1"/>
  <c r="AO199" i="1"/>
  <c r="AL199" i="1"/>
  <c r="R199" i="1"/>
  <c r="J199" i="1"/>
  <c r="I199" i="1"/>
  <c r="F199" i="1"/>
  <c r="E199" i="1"/>
  <c r="B199" i="1"/>
  <c r="X199" i="1" s="1"/>
  <c r="A199" i="1"/>
  <c r="AO198" i="1"/>
  <c r="AL198" i="1"/>
  <c r="R198" i="1"/>
  <c r="P198" i="1"/>
  <c r="J198" i="1"/>
  <c r="I198" i="1"/>
  <c r="F198" i="1"/>
  <c r="E198" i="1"/>
  <c r="B198" i="1"/>
  <c r="X198" i="1" s="1"/>
  <c r="A198" i="1"/>
  <c r="AO197" i="1"/>
  <c r="AL197" i="1"/>
  <c r="R197" i="1"/>
  <c r="J197" i="1"/>
  <c r="I197" i="1"/>
  <c r="F197" i="1"/>
  <c r="E197" i="1"/>
  <c r="B197" i="1"/>
  <c r="A197" i="1"/>
  <c r="AO196" i="1"/>
  <c r="AL196" i="1"/>
  <c r="R196" i="1"/>
  <c r="P196" i="1"/>
  <c r="J196" i="1"/>
  <c r="I196" i="1"/>
  <c r="F196" i="1"/>
  <c r="E196" i="1"/>
  <c r="B196" i="1"/>
  <c r="A196" i="1"/>
  <c r="AO195" i="1"/>
  <c r="AL195" i="1"/>
  <c r="R195" i="1"/>
  <c r="P195" i="1"/>
  <c r="J195" i="1"/>
  <c r="I195" i="1"/>
  <c r="F195" i="1"/>
  <c r="E195" i="1"/>
  <c r="B195" i="1"/>
  <c r="X195" i="1" s="1"/>
  <c r="A195" i="1"/>
  <c r="AO194" i="1"/>
  <c r="AL194" i="1"/>
  <c r="R194" i="1"/>
  <c r="J194" i="1"/>
  <c r="I194" i="1"/>
  <c r="F194" i="1"/>
  <c r="E194" i="1"/>
  <c r="B194" i="1"/>
  <c r="X194" i="1" s="1"/>
  <c r="A194" i="1"/>
  <c r="AO193" i="1"/>
  <c r="AL193" i="1"/>
  <c r="R193" i="1"/>
  <c r="P193" i="1"/>
  <c r="J193" i="1"/>
  <c r="I193" i="1"/>
  <c r="F193" i="1"/>
  <c r="E193" i="1"/>
  <c r="B193" i="1"/>
  <c r="X193" i="1" s="1"/>
  <c r="A193" i="1"/>
  <c r="AO192" i="1"/>
  <c r="AL192" i="1"/>
  <c r="R192" i="1"/>
  <c r="J192" i="1"/>
  <c r="I192" i="1"/>
  <c r="F192" i="1"/>
  <c r="E192" i="1"/>
  <c r="B192" i="1"/>
  <c r="X192" i="1" s="1"/>
  <c r="A192" i="1"/>
  <c r="AO191" i="1"/>
  <c r="AL191" i="1"/>
  <c r="R191" i="1"/>
  <c r="J191" i="1"/>
  <c r="I191" i="1"/>
  <c r="F191" i="1"/>
  <c r="E191" i="1"/>
  <c r="B191" i="1"/>
  <c r="X191" i="1" s="1"/>
  <c r="A191" i="1"/>
  <c r="AO190" i="1"/>
  <c r="AL190" i="1"/>
  <c r="R190" i="1"/>
  <c r="P190" i="1"/>
  <c r="J190" i="1"/>
  <c r="I190" i="1"/>
  <c r="F190" i="1"/>
  <c r="E190" i="1"/>
  <c r="B190" i="1"/>
  <c r="A190" i="1"/>
  <c r="AN190" i="1" s="1"/>
  <c r="AO189" i="1"/>
  <c r="AL189" i="1"/>
  <c r="R189" i="1"/>
  <c r="O189" i="1"/>
  <c r="J189" i="1"/>
  <c r="I189" i="1"/>
  <c r="F189" i="1"/>
  <c r="E189" i="1"/>
  <c r="B189" i="1"/>
  <c r="A189" i="1"/>
  <c r="AO188" i="1"/>
  <c r="AL188" i="1"/>
  <c r="P188" i="1"/>
  <c r="J188" i="1"/>
  <c r="I188" i="1"/>
  <c r="F188" i="1"/>
  <c r="E188" i="1"/>
  <c r="B188" i="1"/>
  <c r="X188" i="1" s="1"/>
  <c r="A188" i="1"/>
  <c r="AO187" i="1"/>
  <c r="AL187" i="1"/>
  <c r="O187" i="1"/>
  <c r="J187" i="1"/>
  <c r="I187" i="1"/>
  <c r="F187" i="1"/>
  <c r="E187" i="1"/>
  <c r="B187" i="1"/>
  <c r="X187" i="1" s="1"/>
  <c r="A187" i="1"/>
  <c r="AO186" i="1"/>
  <c r="AL186" i="1"/>
  <c r="R186" i="1"/>
  <c r="J186" i="1"/>
  <c r="I186" i="1"/>
  <c r="F186" i="1"/>
  <c r="E186" i="1"/>
  <c r="B186" i="1"/>
  <c r="X186" i="1" s="1"/>
  <c r="A186" i="1"/>
  <c r="AO185" i="1"/>
  <c r="AL185" i="1"/>
  <c r="P185" i="1"/>
  <c r="J185" i="1"/>
  <c r="I185" i="1"/>
  <c r="F185" i="1"/>
  <c r="E185" i="1"/>
  <c r="B185" i="1"/>
  <c r="A185" i="1"/>
  <c r="AO184" i="1"/>
  <c r="AL184" i="1"/>
  <c r="R184" i="1"/>
  <c r="J184" i="1"/>
  <c r="I184" i="1"/>
  <c r="F184" i="1"/>
  <c r="E184" i="1"/>
  <c r="B184" i="1"/>
  <c r="A184" i="1"/>
  <c r="AO183" i="1"/>
  <c r="AL183" i="1"/>
  <c r="R183" i="1"/>
  <c r="J183" i="1"/>
  <c r="I183" i="1"/>
  <c r="F183" i="1"/>
  <c r="E183" i="1"/>
  <c r="B183" i="1"/>
  <c r="X183" i="1" s="1"/>
  <c r="A183" i="1"/>
  <c r="AO182" i="1"/>
  <c r="AL182" i="1"/>
  <c r="R182" i="1"/>
  <c r="J182" i="1"/>
  <c r="I182" i="1"/>
  <c r="F182" i="1"/>
  <c r="E182" i="1"/>
  <c r="B182" i="1"/>
  <c r="X182" i="1" s="1"/>
  <c r="A182" i="1"/>
  <c r="AO181" i="1"/>
  <c r="AL181" i="1"/>
  <c r="J181" i="1"/>
  <c r="I181" i="1"/>
  <c r="F181" i="1"/>
  <c r="E181" i="1"/>
  <c r="B181" i="1"/>
  <c r="A181" i="1"/>
  <c r="AO180" i="1"/>
  <c r="AL180" i="1"/>
  <c r="R180" i="1"/>
  <c r="O180" i="1"/>
  <c r="J180" i="1"/>
  <c r="I180" i="1"/>
  <c r="F180" i="1"/>
  <c r="E180" i="1"/>
  <c r="B180" i="1"/>
  <c r="A180" i="1"/>
  <c r="AO179" i="1"/>
  <c r="AL179" i="1"/>
  <c r="R179" i="1"/>
  <c r="J179" i="1"/>
  <c r="I179" i="1"/>
  <c r="F179" i="1"/>
  <c r="E179" i="1"/>
  <c r="B179" i="1"/>
  <c r="X179" i="1" s="1"/>
  <c r="A179" i="1"/>
  <c r="AO178" i="1"/>
  <c r="AL178" i="1"/>
  <c r="R178" i="1"/>
  <c r="P178" i="1"/>
  <c r="J178" i="1"/>
  <c r="I178" i="1"/>
  <c r="F178" i="1"/>
  <c r="E178" i="1"/>
  <c r="B178" i="1"/>
  <c r="A178" i="1"/>
  <c r="AO177" i="1"/>
  <c r="AL177" i="1"/>
  <c r="R177" i="1"/>
  <c r="O177" i="1"/>
  <c r="J177" i="1"/>
  <c r="I177" i="1"/>
  <c r="F177" i="1"/>
  <c r="E177" i="1"/>
  <c r="B177" i="1"/>
  <c r="X177" i="1" s="1"/>
  <c r="A177" i="1"/>
  <c r="AO176" i="1"/>
  <c r="AL176" i="1"/>
  <c r="R176" i="1"/>
  <c r="J176" i="1"/>
  <c r="I176" i="1"/>
  <c r="F176" i="1"/>
  <c r="E176" i="1"/>
  <c r="B176" i="1"/>
  <c r="A176" i="1"/>
  <c r="AO175" i="1"/>
  <c r="AL175" i="1"/>
  <c r="R175" i="1"/>
  <c r="J175" i="1"/>
  <c r="I175" i="1"/>
  <c r="F175" i="1"/>
  <c r="E175" i="1"/>
  <c r="B175" i="1"/>
  <c r="A175" i="1"/>
  <c r="AN175" i="1" s="1"/>
  <c r="AO174" i="1"/>
  <c r="AL174" i="1"/>
  <c r="R174" i="1"/>
  <c r="J174" i="1"/>
  <c r="I174" i="1"/>
  <c r="F174" i="1"/>
  <c r="E174" i="1"/>
  <c r="B174" i="1"/>
  <c r="A174" i="1"/>
  <c r="AN174" i="1" s="1"/>
  <c r="AO173" i="1"/>
  <c r="AL173" i="1"/>
  <c r="R173" i="1"/>
  <c r="P173" i="1"/>
  <c r="J173" i="1"/>
  <c r="I173" i="1"/>
  <c r="F173" i="1"/>
  <c r="E173" i="1"/>
  <c r="B173" i="1"/>
  <c r="X173" i="1" s="1"/>
  <c r="A173" i="1"/>
  <c r="AO172" i="1"/>
  <c r="AL172" i="1"/>
  <c r="R172" i="1"/>
  <c r="P172" i="1"/>
  <c r="J172" i="1"/>
  <c r="I172" i="1"/>
  <c r="F172" i="1"/>
  <c r="E172" i="1"/>
  <c r="B172" i="1"/>
  <c r="X172" i="1" s="1"/>
  <c r="A172" i="1"/>
  <c r="AO171" i="1"/>
  <c r="AL171" i="1"/>
  <c r="R171" i="1"/>
  <c r="J171" i="1"/>
  <c r="I171" i="1"/>
  <c r="F171" i="1"/>
  <c r="E171" i="1"/>
  <c r="B171" i="1"/>
  <c r="X171" i="1" s="1"/>
  <c r="A171" i="1"/>
  <c r="AO170" i="1"/>
  <c r="AL170" i="1"/>
  <c r="R170" i="1"/>
  <c r="P170" i="1"/>
  <c r="J170" i="1"/>
  <c r="I170" i="1"/>
  <c r="F170" i="1"/>
  <c r="E170" i="1"/>
  <c r="B170" i="1"/>
  <c r="X170" i="1" s="1"/>
  <c r="A170" i="1"/>
  <c r="AO169" i="1"/>
  <c r="AL169" i="1"/>
  <c r="R169" i="1"/>
  <c r="J169" i="1"/>
  <c r="I169" i="1"/>
  <c r="F169" i="1"/>
  <c r="E169" i="1"/>
  <c r="B169" i="1"/>
  <c r="X169" i="1" s="1"/>
  <c r="A169" i="1"/>
  <c r="AO168" i="1"/>
  <c r="AL168" i="1"/>
  <c r="R168" i="1"/>
  <c r="J168" i="1"/>
  <c r="I168" i="1"/>
  <c r="F168" i="1"/>
  <c r="E168" i="1"/>
  <c r="B168" i="1"/>
  <c r="A168" i="1"/>
  <c r="AN168" i="1" s="1"/>
  <c r="AO167" i="1"/>
  <c r="AL167" i="1"/>
  <c r="R167" i="1"/>
  <c r="P167" i="1"/>
  <c r="J167" i="1"/>
  <c r="I167" i="1"/>
  <c r="F167" i="1"/>
  <c r="E167" i="1"/>
  <c r="B167" i="1"/>
  <c r="A167" i="1"/>
  <c r="AO166" i="1"/>
  <c r="AL166" i="1"/>
  <c r="R166" i="1"/>
  <c r="P166" i="1"/>
  <c r="J166" i="1"/>
  <c r="I166" i="1"/>
  <c r="F166" i="1"/>
  <c r="E166" i="1"/>
  <c r="B166" i="1"/>
  <c r="X166" i="1" s="1"/>
  <c r="A166" i="1"/>
  <c r="AO165" i="1"/>
  <c r="AL165" i="1"/>
  <c r="R165" i="1"/>
  <c r="J165" i="1"/>
  <c r="I165" i="1"/>
  <c r="F165" i="1"/>
  <c r="E165" i="1"/>
  <c r="B165" i="1"/>
  <c r="A165" i="1"/>
  <c r="AN165" i="1" s="1"/>
  <c r="AO164" i="1"/>
  <c r="AL164" i="1"/>
  <c r="R164" i="1"/>
  <c r="J164" i="1"/>
  <c r="I164" i="1"/>
  <c r="F164" i="1"/>
  <c r="E164" i="1"/>
  <c r="B164" i="1"/>
  <c r="X164" i="1" s="1"/>
  <c r="A164" i="1"/>
  <c r="AO163" i="1"/>
  <c r="AL163" i="1"/>
  <c r="R163" i="1"/>
  <c r="J163" i="1"/>
  <c r="I163" i="1"/>
  <c r="F163" i="1"/>
  <c r="E163" i="1"/>
  <c r="B163" i="1"/>
  <c r="X163" i="1" s="1"/>
  <c r="A163" i="1"/>
  <c r="AO162" i="1"/>
  <c r="AL162" i="1"/>
  <c r="R162" i="1"/>
  <c r="J162" i="1"/>
  <c r="I162" i="1"/>
  <c r="F162" i="1"/>
  <c r="E162" i="1"/>
  <c r="B162" i="1"/>
  <c r="A162" i="1"/>
  <c r="AN162" i="1" s="1"/>
  <c r="AO161" i="1"/>
  <c r="AL161" i="1"/>
  <c r="R161" i="1"/>
  <c r="P161" i="1"/>
  <c r="J161" i="1"/>
  <c r="I161" i="1"/>
  <c r="F161" i="1"/>
  <c r="E161" i="1"/>
  <c r="B161" i="1"/>
  <c r="X161" i="1" s="1"/>
  <c r="A161" i="1"/>
  <c r="AN161" i="1" s="1"/>
  <c r="AO160" i="1"/>
  <c r="AL160" i="1"/>
  <c r="R160" i="1"/>
  <c r="J160" i="1"/>
  <c r="I160" i="1"/>
  <c r="F160" i="1"/>
  <c r="E160" i="1"/>
  <c r="B160" i="1"/>
  <c r="A160" i="1"/>
  <c r="AN160" i="1" s="1"/>
  <c r="AO159" i="1"/>
  <c r="AL159" i="1"/>
  <c r="R159" i="1"/>
  <c r="J159" i="1"/>
  <c r="I159" i="1"/>
  <c r="F159" i="1"/>
  <c r="E159" i="1"/>
  <c r="B159" i="1"/>
  <c r="X159" i="1" s="1"/>
  <c r="A159" i="1"/>
  <c r="AN159" i="1" s="1"/>
  <c r="AO158" i="1"/>
  <c r="AL158" i="1"/>
  <c r="R158" i="1"/>
  <c r="P158" i="1"/>
  <c r="J158" i="1"/>
  <c r="I158" i="1"/>
  <c r="F158" i="1"/>
  <c r="E158" i="1"/>
  <c r="B158" i="1"/>
  <c r="X158" i="1" s="1"/>
  <c r="A158" i="1"/>
  <c r="AN158" i="1" s="1"/>
  <c r="AO157" i="1"/>
  <c r="AL157" i="1"/>
  <c r="R157" i="1"/>
  <c r="J157" i="1"/>
  <c r="I157" i="1"/>
  <c r="F157" i="1"/>
  <c r="E157" i="1"/>
  <c r="B157" i="1"/>
  <c r="X157" i="1" s="1"/>
  <c r="A157" i="1"/>
  <c r="AN157" i="1" s="1"/>
  <c r="AO156" i="1"/>
  <c r="AL156" i="1"/>
  <c r="R156" i="1"/>
  <c r="J156" i="1"/>
  <c r="I156" i="1"/>
  <c r="F156" i="1"/>
  <c r="E156" i="1"/>
  <c r="B156" i="1"/>
  <c r="A156" i="1"/>
  <c r="AO155" i="1"/>
  <c r="AL155" i="1"/>
  <c r="R155" i="1"/>
  <c r="J155" i="1"/>
  <c r="I155" i="1"/>
  <c r="F155" i="1"/>
  <c r="E155" i="1"/>
  <c r="B155" i="1"/>
  <c r="X155" i="1" s="1"/>
  <c r="A155" i="1"/>
  <c r="AO154" i="1"/>
  <c r="AL154" i="1"/>
  <c r="R154" i="1"/>
  <c r="J154" i="1"/>
  <c r="I154" i="1"/>
  <c r="F154" i="1"/>
  <c r="E154" i="1"/>
  <c r="B154" i="1"/>
  <c r="X154" i="1" s="1"/>
  <c r="A154" i="1"/>
  <c r="AN154" i="1" s="1"/>
  <c r="AO153" i="1"/>
  <c r="AL153" i="1"/>
  <c r="R153" i="1"/>
  <c r="P153" i="1"/>
  <c r="J153" i="1"/>
  <c r="I153" i="1"/>
  <c r="F153" i="1"/>
  <c r="E153" i="1"/>
  <c r="B153" i="1"/>
  <c r="A153" i="1"/>
  <c r="AN153" i="1" s="1"/>
  <c r="AO152" i="1"/>
  <c r="AL152" i="1"/>
  <c r="R152" i="1"/>
  <c r="J152" i="1"/>
  <c r="I152" i="1"/>
  <c r="F152" i="1"/>
  <c r="E152" i="1"/>
  <c r="B152" i="1"/>
  <c r="X152" i="1" s="1"/>
  <c r="A152" i="1"/>
  <c r="AO151" i="1"/>
  <c r="AL151" i="1"/>
  <c r="R151" i="1"/>
  <c r="O151" i="1"/>
  <c r="J151" i="1"/>
  <c r="I151" i="1"/>
  <c r="F151" i="1"/>
  <c r="E151" i="1"/>
  <c r="B151" i="1"/>
  <c r="A151" i="1"/>
  <c r="AN151" i="1" s="1"/>
  <c r="AO150" i="1"/>
  <c r="AL150" i="1"/>
  <c r="R150" i="1"/>
  <c r="J150" i="1"/>
  <c r="I150" i="1"/>
  <c r="F150" i="1"/>
  <c r="E150" i="1"/>
  <c r="B150" i="1"/>
  <c r="A150" i="1"/>
  <c r="AN150" i="1" s="1"/>
  <c r="AO149" i="1"/>
  <c r="AL149" i="1"/>
  <c r="R149" i="1"/>
  <c r="J149" i="1"/>
  <c r="I149" i="1"/>
  <c r="F149" i="1"/>
  <c r="E149" i="1"/>
  <c r="B149" i="1"/>
  <c r="A149" i="1"/>
  <c r="AN149" i="1" s="1"/>
  <c r="AO148" i="1"/>
  <c r="AL148" i="1"/>
  <c r="R148" i="1"/>
  <c r="P148" i="1"/>
  <c r="J148" i="1"/>
  <c r="I148" i="1"/>
  <c r="F148" i="1"/>
  <c r="E148" i="1"/>
  <c r="B148" i="1"/>
  <c r="X148" i="1" s="1"/>
  <c r="A148" i="1"/>
  <c r="AO147" i="1"/>
  <c r="AL147" i="1"/>
  <c r="R147" i="1"/>
  <c r="J147" i="1"/>
  <c r="I147" i="1"/>
  <c r="F147" i="1"/>
  <c r="E147" i="1"/>
  <c r="B147" i="1"/>
  <c r="A147" i="1"/>
  <c r="AN147" i="1" s="1"/>
  <c r="AO146" i="1"/>
  <c r="AL146" i="1"/>
  <c r="R146" i="1"/>
  <c r="J146" i="1"/>
  <c r="I146" i="1"/>
  <c r="F146" i="1"/>
  <c r="E146" i="1"/>
  <c r="B146" i="1"/>
  <c r="A146" i="1"/>
  <c r="AO145" i="1"/>
  <c r="AL145" i="1"/>
  <c r="R145" i="1"/>
  <c r="J145" i="1"/>
  <c r="I145" i="1"/>
  <c r="F145" i="1"/>
  <c r="E145" i="1"/>
  <c r="B145" i="1"/>
  <c r="A145" i="1"/>
  <c r="AO144" i="1"/>
  <c r="AL144" i="1"/>
  <c r="R144" i="1"/>
  <c r="P144" i="1"/>
  <c r="J144" i="1"/>
  <c r="I144" i="1"/>
  <c r="F144" i="1"/>
  <c r="E144" i="1"/>
  <c r="B144" i="1"/>
  <c r="A144" i="1"/>
  <c r="AO143" i="1"/>
  <c r="AL143" i="1"/>
  <c r="R143" i="1"/>
  <c r="P143" i="1"/>
  <c r="J143" i="1"/>
  <c r="I143" i="1"/>
  <c r="F143" i="1"/>
  <c r="E143" i="1"/>
  <c r="B143" i="1"/>
  <c r="X143" i="1" s="1"/>
  <c r="A143" i="1"/>
  <c r="AO142" i="1"/>
  <c r="AL142" i="1"/>
  <c r="R142" i="1"/>
  <c r="P142" i="1"/>
  <c r="J142" i="1"/>
  <c r="I142" i="1"/>
  <c r="F142" i="1"/>
  <c r="E142" i="1"/>
  <c r="B142" i="1"/>
  <c r="A142" i="1"/>
  <c r="AO141" i="1"/>
  <c r="AL141" i="1"/>
  <c r="J141" i="1"/>
  <c r="I141" i="1"/>
  <c r="F141" i="1"/>
  <c r="E141" i="1"/>
  <c r="B141" i="1"/>
  <c r="X141" i="1" s="1"/>
  <c r="A141" i="1"/>
  <c r="AO140" i="1"/>
  <c r="AL140" i="1"/>
  <c r="R140" i="1"/>
  <c r="J140" i="1"/>
  <c r="I140" i="1"/>
  <c r="F140" i="1"/>
  <c r="E140" i="1"/>
  <c r="B140" i="1"/>
  <c r="X140" i="1" s="1"/>
  <c r="A140" i="1"/>
  <c r="AO139" i="1"/>
  <c r="AL139" i="1"/>
  <c r="R139" i="1"/>
  <c r="P139" i="1"/>
  <c r="J139" i="1"/>
  <c r="I139" i="1"/>
  <c r="F139" i="1"/>
  <c r="E139" i="1"/>
  <c r="B139" i="1"/>
  <c r="X139" i="1" s="1"/>
  <c r="A139" i="1"/>
  <c r="AO138" i="1"/>
  <c r="AL138" i="1"/>
  <c r="R138" i="1"/>
  <c r="O138" i="1"/>
  <c r="J138" i="1"/>
  <c r="I138" i="1"/>
  <c r="F138" i="1"/>
  <c r="E138" i="1"/>
  <c r="B138" i="1"/>
  <c r="X138" i="1" s="1"/>
  <c r="A138" i="1"/>
  <c r="AO137" i="1"/>
  <c r="AL137" i="1"/>
  <c r="R137" i="1"/>
  <c r="J137" i="1"/>
  <c r="I137" i="1"/>
  <c r="F137" i="1"/>
  <c r="E137" i="1"/>
  <c r="B137" i="1"/>
  <c r="A137" i="1"/>
  <c r="AO136" i="1"/>
  <c r="AL136" i="1"/>
  <c r="R136" i="1"/>
  <c r="O136" i="1"/>
  <c r="J136" i="1"/>
  <c r="I136" i="1"/>
  <c r="F136" i="1"/>
  <c r="E136" i="1"/>
  <c r="B136" i="1"/>
  <c r="X136" i="1" s="1"/>
  <c r="A136" i="1"/>
  <c r="AO135" i="1"/>
  <c r="AL135" i="1"/>
  <c r="R135" i="1"/>
  <c r="J135" i="1"/>
  <c r="I135" i="1"/>
  <c r="F135" i="1"/>
  <c r="E135" i="1"/>
  <c r="B135" i="1"/>
  <c r="X135" i="1" s="1"/>
  <c r="A135" i="1"/>
  <c r="AO134" i="1"/>
  <c r="AL134" i="1"/>
  <c r="R134" i="1"/>
  <c r="J134" i="1"/>
  <c r="I134" i="1"/>
  <c r="F134" i="1"/>
  <c r="E134" i="1"/>
  <c r="B134" i="1"/>
  <c r="X134" i="1" s="1"/>
  <c r="A134" i="1"/>
  <c r="AO133" i="1"/>
  <c r="AL133" i="1"/>
  <c r="R133" i="1"/>
  <c r="O133" i="1"/>
  <c r="J133" i="1"/>
  <c r="I133" i="1"/>
  <c r="F133" i="1"/>
  <c r="E133" i="1"/>
  <c r="B133" i="1"/>
  <c r="A133" i="1"/>
  <c r="AO132" i="1"/>
  <c r="AL132" i="1"/>
  <c r="P132" i="1"/>
  <c r="J132" i="1"/>
  <c r="I132" i="1"/>
  <c r="F132" i="1"/>
  <c r="E132" i="1"/>
  <c r="B132" i="1"/>
  <c r="X132" i="1" s="1"/>
  <c r="A132" i="1"/>
  <c r="AO131" i="1"/>
  <c r="AL131" i="1"/>
  <c r="R131" i="1"/>
  <c r="J131" i="1"/>
  <c r="I131" i="1"/>
  <c r="F131" i="1"/>
  <c r="E131" i="1"/>
  <c r="B131" i="1"/>
  <c r="A131" i="1"/>
  <c r="AO130" i="1"/>
  <c r="AL130" i="1"/>
  <c r="R130" i="1"/>
  <c r="P130" i="1"/>
  <c r="J130" i="1"/>
  <c r="I130" i="1"/>
  <c r="F130" i="1"/>
  <c r="E130" i="1"/>
  <c r="B130" i="1"/>
  <c r="X130" i="1" s="1"/>
  <c r="A130" i="1"/>
  <c r="AO129" i="1"/>
  <c r="AL129" i="1"/>
  <c r="R129" i="1"/>
  <c r="J129" i="1"/>
  <c r="I129" i="1"/>
  <c r="F129" i="1"/>
  <c r="E129" i="1"/>
  <c r="B129" i="1"/>
  <c r="X129" i="1" s="1"/>
  <c r="A129" i="1"/>
  <c r="AO128" i="1"/>
  <c r="AL128" i="1"/>
  <c r="R128" i="1"/>
  <c r="O128" i="1"/>
  <c r="J128" i="1"/>
  <c r="I128" i="1"/>
  <c r="F128" i="1"/>
  <c r="E128" i="1"/>
  <c r="B128" i="1"/>
  <c r="X128" i="1" s="1"/>
  <c r="A128" i="1"/>
  <c r="AO127" i="1"/>
  <c r="AL127" i="1"/>
  <c r="R127" i="1"/>
  <c r="J127" i="1"/>
  <c r="I127" i="1"/>
  <c r="F127" i="1"/>
  <c r="E127" i="1"/>
  <c r="B127" i="1"/>
  <c r="X127" i="1" s="1"/>
  <c r="A127" i="1"/>
  <c r="AO126" i="1"/>
  <c r="AL126" i="1"/>
  <c r="R126" i="1"/>
  <c r="J126" i="1"/>
  <c r="I126" i="1"/>
  <c r="F126" i="1"/>
  <c r="E126" i="1"/>
  <c r="B126" i="1"/>
  <c r="X126" i="1" s="1"/>
  <c r="A126" i="1"/>
  <c r="AO125" i="1"/>
  <c r="AL125" i="1"/>
  <c r="R125" i="1"/>
  <c r="O125" i="1"/>
  <c r="J125" i="1"/>
  <c r="I125" i="1"/>
  <c r="F125" i="1"/>
  <c r="E125" i="1"/>
  <c r="B125" i="1"/>
  <c r="X125" i="1" s="1"/>
  <c r="A125" i="1"/>
  <c r="AO124" i="1"/>
  <c r="AL124" i="1"/>
  <c r="R124" i="1"/>
  <c r="O124" i="1"/>
  <c r="J124" i="1"/>
  <c r="I124" i="1"/>
  <c r="F124" i="1"/>
  <c r="E124" i="1"/>
  <c r="B124" i="1"/>
  <c r="X124" i="1" s="1"/>
  <c r="A124" i="1"/>
  <c r="AN124" i="1" s="1"/>
  <c r="AO123" i="1"/>
  <c r="AL123" i="1"/>
  <c r="R123" i="1"/>
  <c r="J123" i="1"/>
  <c r="I123" i="1"/>
  <c r="F123" i="1"/>
  <c r="E123" i="1"/>
  <c r="B123" i="1"/>
  <c r="X123" i="1" s="1"/>
  <c r="A123" i="1"/>
  <c r="AO122" i="1"/>
  <c r="AL122" i="1"/>
  <c r="R122" i="1"/>
  <c r="P122" i="1"/>
  <c r="J122" i="1"/>
  <c r="I122" i="1"/>
  <c r="F122" i="1"/>
  <c r="E122" i="1"/>
  <c r="B122" i="1"/>
  <c r="A122" i="1"/>
  <c r="AN122" i="1" s="1"/>
  <c r="AO121" i="1"/>
  <c r="AL121" i="1"/>
  <c r="R121" i="1"/>
  <c r="O121" i="1"/>
  <c r="J121" i="1"/>
  <c r="I121" i="1"/>
  <c r="F121" i="1"/>
  <c r="E121" i="1"/>
  <c r="B121" i="1"/>
  <c r="A121" i="1"/>
  <c r="AN121" i="1" s="1"/>
  <c r="AO120" i="1"/>
  <c r="AL120" i="1"/>
  <c r="R120" i="1"/>
  <c r="J120" i="1"/>
  <c r="I120" i="1"/>
  <c r="F120" i="1"/>
  <c r="E120" i="1"/>
  <c r="B120" i="1"/>
  <c r="A120" i="1"/>
  <c r="AN120" i="1" s="1"/>
  <c r="AO119" i="1"/>
  <c r="AL119" i="1"/>
  <c r="R119" i="1"/>
  <c r="P119" i="1"/>
  <c r="J119" i="1"/>
  <c r="I119" i="1"/>
  <c r="F119" i="1"/>
  <c r="E119" i="1"/>
  <c r="B119" i="1"/>
  <c r="A119" i="1"/>
  <c r="AN119" i="1" s="1"/>
  <c r="AO118" i="1"/>
  <c r="AL118" i="1"/>
  <c r="R118" i="1"/>
  <c r="O118" i="1"/>
  <c r="J118" i="1"/>
  <c r="I118" i="1"/>
  <c r="F118" i="1"/>
  <c r="E118" i="1"/>
  <c r="B118" i="1"/>
  <c r="A118" i="1"/>
  <c r="AN118" i="1" s="1"/>
  <c r="AO117" i="1"/>
  <c r="AL117" i="1"/>
  <c r="J117" i="1"/>
  <c r="I117" i="1"/>
  <c r="F117" i="1"/>
  <c r="E117" i="1"/>
  <c r="B117" i="1"/>
  <c r="A117" i="1"/>
  <c r="AO116" i="1"/>
  <c r="AL116" i="1"/>
  <c r="R116" i="1"/>
  <c r="J116" i="1"/>
  <c r="I116" i="1"/>
  <c r="F116" i="1"/>
  <c r="E116" i="1"/>
  <c r="B116" i="1"/>
  <c r="X116" i="1" s="1"/>
  <c r="A116" i="1"/>
  <c r="AN116" i="1" s="1"/>
  <c r="AO115" i="1"/>
  <c r="AL115" i="1"/>
  <c r="R115" i="1"/>
  <c r="O115" i="1"/>
  <c r="J115" i="1"/>
  <c r="I115" i="1"/>
  <c r="F115" i="1"/>
  <c r="E115" i="1"/>
  <c r="B115" i="1"/>
  <c r="A115" i="1"/>
  <c r="AO114" i="1"/>
  <c r="AL114" i="1"/>
  <c r="R114" i="1"/>
  <c r="J114" i="1"/>
  <c r="I114" i="1"/>
  <c r="F114" i="1"/>
  <c r="E114" i="1"/>
  <c r="B114" i="1"/>
  <c r="A114" i="1"/>
  <c r="AN114" i="1" s="1"/>
  <c r="AO113" i="1"/>
  <c r="AL113" i="1"/>
  <c r="R113" i="1"/>
  <c r="P113" i="1"/>
  <c r="J113" i="1"/>
  <c r="I113" i="1"/>
  <c r="F113" i="1"/>
  <c r="E113" i="1"/>
  <c r="B113" i="1"/>
  <c r="A113" i="1"/>
  <c r="AO112" i="1"/>
  <c r="AL112" i="1"/>
  <c r="R112" i="1"/>
  <c r="O112" i="1"/>
  <c r="J112" i="1"/>
  <c r="I112" i="1"/>
  <c r="F112" i="1"/>
  <c r="E112" i="1"/>
  <c r="B112" i="1"/>
  <c r="A112" i="1"/>
  <c r="AO111" i="1"/>
  <c r="AL111" i="1"/>
  <c r="R111" i="1"/>
  <c r="J111" i="1"/>
  <c r="I111" i="1"/>
  <c r="F111" i="1"/>
  <c r="E111" i="1"/>
  <c r="B111" i="1"/>
  <c r="A111" i="1"/>
  <c r="AO110" i="1"/>
  <c r="AL110" i="1"/>
  <c r="R110" i="1"/>
  <c r="O110" i="1"/>
  <c r="J110" i="1"/>
  <c r="I110" i="1"/>
  <c r="F110" i="1"/>
  <c r="E110" i="1"/>
  <c r="B110" i="1"/>
  <c r="A110" i="1"/>
  <c r="AO109" i="1"/>
  <c r="AL109" i="1"/>
  <c r="R109" i="1"/>
  <c r="J109" i="1"/>
  <c r="I109" i="1"/>
  <c r="F109" i="1"/>
  <c r="E109" i="1"/>
  <c r="B109" i="1"/>
  <c r="A109" i="1"/>
  <c r="AO108" i="1"/>
  <c r="AL108" i="1"/>
  <c r="O108" i="1"/>
  <c r="J108" i="1"/>
  <c r="I108" i="1"/>
  <c r="F108" i="1"/>
  <c r="E108" i="1"/>
  <c r="B108" i="1"/>
  <c r="A108" i="1"/>
  <c r="AN108" i="1" s="1"/>
  <c r="AO107" i="1"/>
  <c r="AL107" i="1"/>
  <c r="R107" i="1"/>
  <c r="J107" i="1"/>
  <c r="I107" i="1"/>
  <c r="F107" i="1"/>
  <c r="E107" i="1"/>
  <c r="B107" i="1"/>
  <c r="X107" i="1" s="1"/>
  <c r="A107" i="1"/>
  <c r="AN107" i="1" s="1"/>
  <c r="AO106" i="1"/>
  <c r="AL106" i="1"/>
  <c r="J106" i="1"/>
  <c r="I106" i="1"/>
  <c r="F106" i="1"/>
  <c r="E106" i="1"/>
  <c r="B106" i="1"/>
  <c r="A106" i="1"/>
  <c r="AO105" i="1"/>
  <c r="AL105" i="1"/>
  <c r="R105" i="1"/>
  <c r="O105" i="1"/>
  <c r="J105" i="1"/>
  <c r="I105" i="1"/>
  <c r="F105" i="1"/>
  <c r="E105" i="1"/>
  <c r="B105" i="1"/>
  <c r="X105" i="1" s="1"/>
  <c r="A105" i="1"/>
  <c r="AO104" i="1"/>
  <c r="AL104" i="1"/>
  <c r="R104" i="1"/>
  <c r="J104" i="1"/>
  <c r="I104" i="1"/>
  <c r="F104" i="1"/>
  <c r="E104" i="1"/>
  <c r="B104" i="1"/>
  <c r="X104" i="1" s="1"/>
  <c r="A104" i="1"/>
  <c r="AO103" i="1"/>
  <c r="AL103" i="1"/>
  <c r="R103" i="1"/>
  <c r="P103" i="1"/>
  <c r="J103" i="1"/>
  <c r="I103" i="1"/>
  <c r="F103" i="1"/>
  <c r="E103" i="1"/>
  <c r="B103" i="1"/>
  <c r="X103" i="1" s="1"/>
  <c r="A103" i="1"/>
  <c r="AN103" i="1" s="1"/>
  <c r="AO102" i="1"/>
  <c r="AL102" i="1"/>
  <c r="R102" i="1"/>
  <c r="P102" i="1"/>
  <c r="J102" i="1"/>
  <c r="I102" i="1"/>
  <c r="F102" i="1"/>
  <c r="E102" i="1"/>
  <c r="B102" i="1"/>
  <c r="X102" i="1" s="1"/>
  <c r="A102" i="1"/>
  <c r="AO101" i="1"/>
  <c r="AL101" i="1"/>
  <c r="R101" i="1"/>
  <c r="J101" i="1"/>
  <c r="I101" i="1"/>
  <c r="F101" i="1"/>
  <c r="E101" i="1"/>
  <c r="B101" i="1"/>
  <c r="X101" i="1" s="1"/>
  <c r="A101" i="1"/>
  <c r="AN101" i="1" s="1"/>
  <c r="AO100" i="1"/>
  <c r="AL100" i="1"/>
  <c r="R100" i="1"/>
  <c r="P100" i="1"/>
  <c r="J100" i="1"/>
  <c r="I100" i="1"/>
  <c r="F100" i="1"/>
  <c r="E100" i="1"/>
  <c r="B100" i="1"/>
  <c r="X100" i="1" s="1"/>
  <c r="A100" i="1"/>
  <c r="AO99" i="1"/>
  <c r="AL99" i="1"/>
  <c r="R99" i="1"/>
  <c r="O99" i="1"/>
  <c r="J99" i="1"/>
  <c r="I99" i="1"/>
  <c r="F99" i="1"/>
  <c r="E99" i="1"/>
  <c r="B99" i="1"/>
  <c r="X99" i="1" s="1"/>
  <c r="A99" i="1"/>
  <c r="AO98" i="1"/>
  <c r="AL98" i="1"/>
  <c r="R98" i="1"/>
  <c r="P98" i="1"/>
  <c r="J98" i="1"/>
  <c r="I98" i="1"/>
  <c r="F98" i="1"/>
  <c r="E98" i="1"/>
  <c r="B98" i="1"/>
  <c r="X98" i="1" s="1"/>
  <c r="A98" i="1"/>
  <c r="AO97" i="1"/>
  <c r="AL97" i="1"/>
  <c r="R97" i="1"/>
  <c r="P97" i="1"/>
  <c r="J97" i="1"/>
  <c r="I97" i="1"/>
  <c r="F97" i="1"/>
  <c r="E97" i="1"/>
  <c r="B97" i="1"/>
  <c r="X97" i="1" s="1"/>
  <c r="A97" i="1"/>
  <c r="AO96" i="1"/>
  <c r="AL96" i="1"/>
  <c r="R96" i="1"/>
  <c r="J96" i="1"/>
  <c r="I96" i="1"/>
  <c r="F96" i="1"/>
  <c r="E96" i="1"/>
  <c r="B96" i="1"/>
  <c r="A96" i="1"/>
  <c r="AO95" i="1"/>
  <c r="AL95" i="1"/>
  <c r="R95" i="1"/>
  <c r="O95" i="1"/>
  <c r="J95" i="1"/>
  <c r="I95" i="1"/>
  <c r="F95" i="1"/>
  <c r="E95" i="1"/>
  <c r="B95" i="1"/>
  <c r="X95" i="1" s="1"/>
  <c r="A95" i="1"/>
  <c r="AO94" i="1"/>
  <c r="AL94" i="1"/>
  <c r="R94" i="1"/>
  <c r="J94" i="1"/>
  <c r="I94" i="1"/>
  <c r="F94" i="1"/>
  <c r="E94" i="1"/>
  <c r="B94" i="1"/>
  <c r="A94" i="1"/>
  <c r="AO93" i="1"/>
  <c r="AL93" i="1"/>
  <c r="R93" i="1"/>
  <c r="P93" i="1"/>
  <c r="J93" i="1"/>
  <c r="I93" i="1"/>
  <c r="F93" i="1"/>
  <c r="E93" i="1"/>
  <c r="B93" i="1"/>
  <c r="X93" i="1" s="1"/>
  <c r="A93" i="1"/>
  <c r="AO92" i="1"/>
  <c r="AL92" i="1"/>
  <c r="R92" i="1"/>
  <c r="P92" i="1"/>
  <c r="J92" i="1"/>
  <c r="I92" i="1"/>
  <c r="F92" i="1"/>
  <c r="E92" i="1"/>
  <c r="B92" i="1"/>
  <c r="X92" i="1" s="1"/>
  <c r="A92" i="1"/>
  <c r="AO91" i="1"/>
  <c r="AL91" i="1"/>
  <c r="R91" i="1"/>
  <c r="P91" i="1"/>
  <c r="J91" i="1"/>
  <c r="I91" i="1"/>
  <c r="F91" i="1"/>
  <c r="E91" i="1"/>
  <c r="B91" i="1"/>
  <c r="X91" i="1" s="1"/>
  <c r="A91" i="1"/>
  <c r="AN91" i="1" s="1"/>
  <c r="AO90" i="1"/>
  <c r="AL90" i="1"/>
  <c r="R90" i="1"/>
  <c r="P90" i="1"/>
  <c r="J90" i="1"/>
  <c r="I90" i="1"/>
  <c r="F90" i="1"/>
  <c r="E90" i="1"/>
  <c r="B90" i="1"/>
  <c r="X90" i="1" s="1"/>
  <c r="A90" i="1"/>
  <c r="AN90" i="1" s="1"/>
  <c r="AO89" i="1"/>
  <c r="AL89" i="1"/>
  <c r="R89" i="1"/>
  <c r="O89" i="1"/>
  <c r="J89" i="1"/>
  <c r="I89" i="1"/>
  <c r="F89" i="1"/>
  <c r="E89" i="1"/>
  <c r="B89" i="1"/>
  <c r="X89" i="1" s="1"/>
  <c r="A89" i="1"/>
  <c r="AN89" i="1" s="1"/>
  <c r="AO88" i="1"/>
  <c r="AL88" i="1"/>
  <c r="R88" i="1"/>
  <c r="O88" i="1"/>
  <c r="J88" i="1"/>
  <c r="I88" i="1"/>
  <c r="F88" i="1"/>
  <c r="E88" i="1"/>
  <c r="B88" i="1"/>
  <c r="X88" i="1" s="1"/>
  <c r="A88" i="1"/>
  <c r="AO87" i="1"/>
  <c r="AL87" i="1"/>
  <c r="R87" i="1"/>
  <c r="O87" i="1"/>
  <c r="J87" i="1"/>
  <c r="I87" i="1"/>
  <c r="F87" i="1"/>
  <c r="E87" i="1"/>
  <c r="B87" i="1"/>
  <c r="X87" i="1" s="1"/>
  <c r="A87" i="1"/>
  <c r="AO86" i="1"/>
  <c r="AL86" i="1"/>
  <c r="R86" i="1"/>
  <c r="J86" i="1"/>
  <c r="I86" i="1"/>
  <c r="F86" i="1"/>
  <c r="E86" i="1"/>
  <c r="B86" i="1"/>
  <c r="A86" i="1"/>
  <c r="AO85" i="1"/>
  <c r="AL85" i="1"/>
  <c r="P85" i="1"/>
  <c r="J85" i="1"/>
  <c r="I85" i="1"/>
  <c r="F85" i="1"/>
  <c r="E85" i="1"/>
  <c r="B85" i="1"/>
  <c r="X85" i="1" s="1"/>
  <c r="A85" i="1"/>
  <c r="AO84" i="1"/>
  <c r="AL84" i="1"/>
  <c r="R84" i="1"/>
  <c r="O84" i="1"/>
  <c r="J84" i="1"/>
  <c r="I84" i="1"/>
  <c r="F84" i="1"/>
  <c r="E84" i="1"/>
  <c r="B84" i="1"/>
  <c r="X84" i="1" s="1"/>
  <c r="A84" i="1"/>
  <c r="AO83" i="1"/>
  <c r="AL83" i="1"/>
  <c r="R83" i="1"/>
  <c r="P83" i="1"/>
  <c r="J83" i="1"/>
  <c r="I83" i="1"/>
  <c r="F83" i="1"/>
  <c r="E83" i="1"/>
  <c r="B83" i="1"/>
  <c r="X83" i="1" s="1"/>
  <c r="A83" i="1"/>
  <c r="AO82" i="1"/>
  <c r="AL82" i="1"/>
  <c r="R82" i="1"/>
  <c r="P82" i="1"/>
  <c r="J82" i="1"/>
  <c r="I82" i="1"/>
  <c r="F82" i="1"/>
  <c r="E82" i="1"/>
  <c r="B82" i="1"/>
  <c r="X82" i="1" s="1"/>
  <c r="A82" i="1"/>
  <c r="AO81" i="1"/>
  <c r="AL81" i="1"/>
  <c r="R81" i="1"/>
  <c r="J81" i="1"/>
  <c r="I81" i="1"/>
  <c r="F81" i="1"/>
  <c r="E81" i="1"/>
  <c r="B81" i="1"/>
  <c r="X81" i="1" s="1"/>
  <c r="A81" i="1"/>
  <c r="AO80" i="1"/>
  <c r="AL80" i="1"/>
  <c r="J80" i="1"/>
  <c r="I80" i="1"/>
  <c r="F80" i="1"/>
  <c r="E80" i="1"/>
  <c r="B80" i="1"/>
  <c r="A80" i="1"/>
  <c r="AO79" i="1"/>
  <c r="AL79" i="1"/>
  <c r="R79" i="1"/>
  <c r="J79" i="1"/>
  <c r="I79" i="1"/>
  <c r="F79" i="1"/>
  <c r="E79" i="1"/>
  <c r="B79" i="1"/>
  <c r="A79" i="1"/>
  <c r="AO78" i="1"/>
  <c r="AL78" i="1"/>
  <c r="R78" i="1"/>
  <c r="P78" i="1"/>
  <c r="J78" i="1"/>
  <c r="I78" i="1"/>
  <c r="F78" i="1"/>
  <c r="E78" i="1"/>
  <c r="B78" i="1"/>
  <c r="X78" i="1" s="1"/>
  <c r="A78" i="1"/>
  <c r="AO77" i="1"/>
  <c r="AL77" i="1"/>
  <c r="R77" i="1"/>
  <c r="J77" i="1"/>
  <c r="I77" i="1"/>
  <c r="F77" i="1"/>
  <c r="E77" i="1"/>
  <c r="B77" i="1"/>
  <c r="X77" i="1" s="1"/>
  <c r="A77" i="1"/>
  <c r="AO76" i="1"/>
  <c r="AL76" i="1"/>
  <c r="R76" i="1"/>
  <c r="P76" i="1"/>
  <c r="J76" i="1"/>
  <c r="I76" i="1"/>
  <c r="F76" i="1"/>
  <c r="E76" i="1"/>
  <c r="B76" i="1"/>
  <c r="X76" i="1" s="1"/>
  <c r="A76" i="1"/>
  <c r="AO75" i="1"/>
  <c r="AL75" i="1"/>
  <c r="R75" i="1"/>
  <c r="J75" i="1"/>
  <c r="I75" i="1"/>
  <c r="F75" i="1"/>
  <c r="E75" i="1"/>
  <c r="B75" i="1"/>
  <c r="A75" i="1"/>
  <c r="AO74" i="1"/>
  <c r="AL74" i="1"/>
  <c r="R74" i="1"/>
  <c r="O74" i="1"/>
  <c r="J74" i="1"/>
  <c r="I74" i="1"/>
  <c r="F74" i="1"/>
  <c r="E74" i="1"/>
  <c r="B74" i="1"/>
  <c r="X74" i="1" s="1"/>
  <c r="A74" i="1"/>
  <c r="AO73" i="1"/>
  <c r="AL73" i="1"/>
  <c r="R73" i="1"/>
  <c r="J73" i="1"/>
  <c r="I73" i="1"/>
  <c r="F73" i="1"/>
  <c r="E73" i="1"/>
  <c r="B73" i="1"/>
  <c r="X73" i="1" s="1"/>
  <c r="A73" i="1"/>
  <c r="AO72" i="1"/>
  <c r="AL72" i="1"/>
  <c r="R72" i="1"/>
  <c r="J72" i="1"/>
  <c r="I72" i="1"/>
  <c r="F72" i="1"/>
  <c r="E72" i="1"/>
  <c r="B72" i="1"/>
  <c r="X72" i="1" s="1"/>
  <c r="A72" i="1"/>
  <c r="AO71" i="1"/>
  <c r="AL71" i="1"/>
  <c r="R71" i="1"/>
  <c r="O71" i="1"/>
  <c r="J71" i="1"/>
  <c r="I71" i="1"/>
  <c r="F71" i="1"/>
  <c r="E71" i="1"/>
  <c r="B71" i="1"/>
  <c r="X71" i="1" s="1"/>
  <c r="A71" i="1"/>
  <c r="AO70" i="1"/>
  <c r="AL70" i="1"/>
  <c r="R70" i="1"/>
  <c r="J70" i="1"/>
  <c r="I70" i="1"/>
  <c r="F70" i="1"/>
  <c r="E70" i="1"/>
  <c r="B70" i="1"/>
  <c r="A70" i="1"/>
  <c r="AO69" i="1"/>
  <c r="AL69" i="1"/>
  <c r="R69" i="1"/>
  <c r="O69" i="1"/>
  <c r="J69" i="1"/>
  <c r="I69" i="1"/>
  <c r="F69" i="1"/>
  <c r="E69" i="1"/>
  <c r="B69" i="1"/>
  <c r="A69" i="1"/>
  <c r="AO68" i="1"/>
  <c r="AL68" i="1"/>
  <c r="R68" i="1"/>
  <c r="P68" i="1"/>
  <c r="J68" i="1"/>
  <c r="I68" i="1"/>
  <c r="F68" i="1"/>
  <c r="E68" i="1"/>
  <c r="B68" i="1"/>
  <c r="A68" i="1"/>
  <c r="AN68" i="1" s="1"/>
  <c r="AO67" i="1"/>
  <c r="AL67" i="1"/>
  <c r="R67" i="1"/>
  <c r="O67" i="1"/>
  <c r="J67" i="1"/>
  <c r="I67" i="1"/>
  <c r="F67" i="1"/>
  <c r="E67" i="1"/>
  <c r="B67" i="1"/>
  <c r="A67" i="1"/>
  <c r="AO66" i="1"/>
  <c r="AL66" i="1"/>
  <c r="R66" i="1"/>
  <c r="P66" i="1"/>
  <c r="J66" i="1"/>
  <c r="I66" i="1"/>
  <c r="F66" i="1"/>
  <c r="E66" i="1"/>
  <c r="B66" i="1"/>
  <c r="X66" i="1" s="1"/>
  <c r="A66" i="1"/>
  <c r="AO65" i="1"/>
  <c r="AL65" i="1"/>
  <c r="R65" i="1"/>
  <c r="O65" i="1"/>
  <c r="J65" i="1"/>
  <c r="I65" i="1"/>
  <c r="F65" i="1"/>
  <c r="E65" i="1"/>
  <c r="B65" i="1"/>
  <c r="A65" i="1"/>
  <c r="AO64" i="1"/>
  <c r="AL64" i="1"/>
  <c r="R64" i="1"/>
  <c r="O64" i="1"/>
  <c r="J64" i="1"/>
  <c r="I64" i="1"/>
  <c r="F64" i="1"/>
  <c r="E64" i="1"/>
  <c r="B64" i="1"/>
  <c r="A64" i="1"/>
  <c r="AO63" i="1"/>
  <c r="AL63" i="1"/>
  <c r="R63" i="1"/>
  <c r="P63" i="1"/>
  <c r="J63" i="1"/>
  <c r="I63" i="1"/>
  <c r="F63" i="1"/>
  <c r="E63" i="1"/>
  <c r="B63" i="1"/>
  <c r="A63" i="1"/>
  <c r="AO62" i="1"/>
  <c r="AL62" i="1"/>
  <c r="R62" i="1"/>
  <c r="J62" i="1"/>
  <c r="I62" i="1"/>
  <c r="F62" i="1"/>
  <c r="E62" i="1"/>
  <c r="B62" i="1"/>
  <c r="X62" i="1" s="1"/>
  <c r="A62" i="1"/>
  <c r="AO61" i="1"/>
  <c r="AL61" i="1"/>
  <c r="R61" i="1"/>
  <c r="P61" i="1"/>
  <c r="J61" i="1"/>
  <c r="I61" i="1"/>
  <c r="F61" i="1"/>
  <c r="E61" i="1"/>
  <c r="B61" i="1"/>
  <c r="X61" i="1" s="1"/>
  <c r="A61" i="1"/>
  <c r="AO60" i="1"/>
  <c r="AL60" i="1"/>
  <c r="R60" i="1"/>
  <c r="J60" i="1"/>
  <c r="I60" i="1"/>
  <c r="F60" i="1"/>
  <c r="E60" i="1"/>
  <c r="B60" i="1"/>
  <c r="X60" i="1" s="1"/>
  <c r="A60" i="1"/>
  <c r="AO59" i="1"/>
  <c r="AL59" i="1"/>
  <c r="R59" i="1"/>
  <c r="J59" i="1"/>
  <c r="I59" i="1"/>
  <c r="F59" i="1"/>
  <c r="E59" i="1"/>
  <c r="B59" i="1"/>
  <c r="A59" i="1"/>
  <c r="AN59" i="1" s="1"/>
  <c r="AO58" i="1"/>
  <c r="AL58" i="1"/>
  <c r="R58" i="1"/>
  <c r="O58" i="1"/>
  <c r="J58" i="1"/>
  <c r="I58" i="1"/>
  <c r="F58" i="1"/>
  <c r="E58" i="1"/>
  <c r="B58" i="1"/>
  <c r="X58" i="1" s="1"/>
  <c r="A58" i="1"/>
  <c r="AO57" i="1"/>
  <c r="AL57" i="1"/>
  <c r="R57" i="1"/>
  <c r="J57" i="1"/>
  <c r="I57" i="1"/>
  <c r="F57" i="1"/>
  <c r="E57" i="1"/>
  <c r="B57" i="1"/>
  <c r="X57" i="1" s="1"/>
  <c r="A57" i="1"/>
  <c r="AN57" i="1" s="1"/>
  <c r="AO56" i="1"/>
  <c r="AL56" i="1"/>
  <c r="R56" i="1"/>
  <c r="J56" i="1"/>
  <c r="I56" i="1"/>
  <c r="F56" i="1"/>
  <c r="E56" i="1"/>
  <c r="B56" i="1"/>
  <c r="X56" i="1" s="1"/>
  <c r="A56" i="1"/>
  <c r="AN56" i="1" s="1"/>
  <c r="AO55" i="1"/>
  <c r="AL55" i="1"/>
  <c r="R55" i="1"/>
  <c r="J55" i="1"/>
  <c r="I55" i="1"/>
  <c r="F55" i="1"/>
  <c r="E55" i="1"/>
  <c r="B55" i="1"/>
  <c r="X55" i="1" s="1"/>
  <c r="A55" i="1"/>
  <c r="AO54" i="1"/>
  <c r="AL54" i="1"/>
  <c r="R54" i="1"/>
  <c r="J54" i="1"/>
  <c r="I54" i="1"/>
  <c r="F54" i="1"/>
  <c r="E54" i="1"/>
  <c r="B54" i="1"/>
  <c r="X54" i="1" s="1"/>
  <c r="A54" i="1"/>
  <c r="AN54" i="1" s="1"/>
  <c r="AO53" i="1"/>
  <c r="AL53" i="1"/>
  <c r="R53" i="1"/>
  <c r="O53" i="1"/>
  <c r="J53" i="1"/>
  <c r="I53" i="1"/>
  <c r="F53" i="1"/>
  <c r="E53" i="1"/>
  <c r="B53" i="1"/>
  <c r="X53" i="1" s="1"/>
  <c r="A53" i="1"/>
  <c r="AN53" i="1" s="1"/>
  <c r="AO52" i="1"/>
  <c r="AL52" i="1"/>
  <c r="R52" i="1"/>
  <c r="O52" i="1"/>
  <c r="J52" i="1"/>
  <c r="I52" i="1"/>
  <c r="F52" i="1"/>
  <c r="E52" i="1"/>
  <c r="B52" i="1"/>
  <c r="X52" i="1" s="1"/>
  <c r="A52" i="1"/>
  <c r="AN52" i="1" s="1"/>
  <c r="AO51" i="1"/>
  <c r="AL51" i="1"/>
  <c r="R51" i="1"/>
  <c r="O51" i="1"/>
  <c r="J51" i="1"/>
  <c r="I51" i="1"/>
  <c r="F51" i="1"/>
  <c r="E51" i="1"/>
  <c r="B51" i="1"/>
  <c r="X51" i="1" s="1"/>
  <c r="A51" i="1"/>
  <c r="AO50" i="1"/>
  <c r="AL50" i="1"/>
  <c r="R50" i="1"/>
  <c r="J50" i="1"/>
  <c r="I50" i="1"/>
  <c r="F50" i="1"/>
  <c r="E50" i="1"/>
  <c r="B50" i="1"/>
  <c r="A50" i="1"/>
  <c r="AN50" i="1" s="1"/>
  <c r="AO49" i="1"/>
  <c r="AL49" i="1"/>
  <c r="R49" i="1"/>
  <c r="O49" i="1"/>
  <c r="J49" i="1"/>
  <c r="I49" i="1"/>
  <c r="F49" i="1"/>
  <c r="E49" i="1"/>
  <c r="B49" i="1"/>
  <c r="A49" i="1"/>
  <c r="AO48" i="1"/>
  <c r="AL48" i="1"/>
  <c r="R48" i="1"/>
  <c r="J48" i="1"/>
  <c r="I48" i="1"/>
  <c r="F48" i="1"/>
  <c r="E48" i="1"/>
  <c r="B48" i="1"/>
  <c r="A48" i="1"/>
  <c r="AN48" i="1" s="1"/>
  <c r="AO47" i="1"/>
  <c r="AL47" i="1"/>
  <c r="R47" i="1"/>
  <c r="J47" i="1"/>
  <c r="I47" i="1"/>
  <c r="F47" i="1"/>
  <c r="E47" i="1"/>
  <c r="B47" i="1"/>
  <c r="X47" i="1" s="1"/>
  <c r="A47" i="1"/>
  <c r="AN47" i="1" s="1"/>
  <c r="AO46" i="1"/>
  <c r="AL46" i="1"/>
  <c r="R46" i="1"/>
  <c r="J46" i="1"/>
  <c r="I46" i="1"/>
  <c r="F46" i="1"/>
  <c r="E46" i="1"/>
  <c r="B46" i="1"/>
  <c r="X46" i="1" s="1"/>
  <c r="A46" i="1"/>
  <c r="AN46" i="1" s="1"/>
  <c r="AO45" i="1"/>
  <c r="AL45" i="1"/>
  <c r="R45" i="1"/>
  <c r="O45" i="1"/>
  <c r="J45" i="1"/>
  <c r="I45" i="1"/>
  <c r="F45" i="1"/>
  <c r="E45" i="1"/>
  <c r="B45" i="1"/>
  <c r="X45" i="1" s="1"/>
  <c r="A45" i="1"/>
  <c r="AN45" i="1" s="1"/>
  <c r="AO44" i="1"/>
  <c r="AL44" i="1"/>
  <c r="R44" i="1"/>
  <c r="J44" i="1"/>
  <c r="I44" i="1"/>
  <c r="F44" i="1"/>
  <c r="E44" i="1"/>
  <c r="B44" i="1"/>
  <c r="X44" i="1" s="1"/>
  <c r="A44" i="1"/>
  <c r="AO43" i="1"/>
  <c r="AL43" i="1"/>
  <c r="R43" i="1"/>
  <c r="J43" i="1"/>
  <c r="I43" i="1"/>
  <c r="F43" i="1"/>
  <c r="E43" i="1"/>
  <c r="B43" i="1"/>
  <c r="X43" i="1" s="1"/>
  <c r="A43" i="1"/>
  <c r="AN43" i="1" s="1"/>
  <c r="AO42" i="1"/>
  <c r="AL42" i="1"/>
  <c r="R42" i="1"/>
  <c r="P42" i="1"/>
  <c r="J42" i="1"/>
  <c r="I42" i="1"/>
  <c r="F42" i="1"/>
  <c r="E42" i="1"/>
  <c r="B42" i="1"/>
  <c r="X42" i="1" s="1"/>
  <c r="A42" i="1"/>
  <c r="AO41" i="1"/>
  <c r="AL41" i="1"/>
  <c r="R41" i="1"/>
  <c r="J41" i="1"/>
  <c r="I41" i="1"/>
  <c r="F41" i="1"/>
  <c r="E41" i="1"/>
  <c r="B41" i="1"/>
  <c r="X41" i="1" s="1"/>
  <c r="A41" i="1"/>
  <c r="AN41" i="1" s="1"/>
  <c r="AO40" i="1"/>
  <c r="AL40" i="1"/>
  <c r="R40" i="1"/>
  <c r="J40" i="1"/>
  <c r="I40" i="1"/>
  <c r="F40" i="1"/>
  <c r="E40" i="1"/>
  <c r="B40" i="1"/>
  <c r="X40" i="1" s="1"/>
  <c r="A40" i="1"/>
  <c r="AO39" i="1"/>
  <c r="AL39" i="1"/>
  <c r="R39" i="1"/>
  <c r="O39" i="1"/>
  <c r="J39" i="1"/>
  <c r="I39" i="1"/>
  <c r="F39" i="1"/>
  <c r="E39" i="1"/>
  <c r="B39" i="1"/>
  <c r="X39" i="1" s="1"/>
  <c r="A39" i="1"/>
  <c r="AO38" i="1"/>
  <c r="AL38" i="1"/>
  <c r="R38" i="1"/>
  <c r="O38" i="1"/>
  <c r="J38" i="1"/>
  <c r="I38" i="1"/>
  <c r="F38" i="1"/>
  <c r="E38" i="1"/>
  <c r="B38" i="1"/>
  <c r="X38" i="1" s="1"/>
  <c r="A38" i="1"/>
  <c r="AO37" i="1"/>
  <c r="AL37" i="1"/>
  <c r="R37" i="1"/>
  <c r="J37" i="1"/>
  <c r="I37" i="1"/>
  <c r="F37" i="1"/>
  <c r="E37" i="1"/>
  <c r="B37" i="1"/>
  <c r="X37" i="1" s="1"/>
  <c r="A37" i="1"/>
  <c r="AO36" i="1"/>
  <c r="AL36" i="1"/>
  <c r="R36" i="1"/>
  <c r="J36" i="1"/>
  <c r="I36" i="1"/>
  <c r="F36" i="1"/>
  <c r="E36" i="1"/>
  <c r="B36" i="1"/>
  <c r="X36" i="1" s="1"/>
  <c r="A36" i="1"/>
  <c r="AO35" i="1"/>
  <c r="AL35" i="1"/>
  <c r="R35" i="1"/>
  <c r="O35" i="1"/>
  <c r="J35" i="1"/>
  <c r="I35" i="1"/>
  <c r="F35" i="1"/>
  <c r="E35" i="1"/>
  <c r="B35" i="1"/>
  <c r="X35" i="1" s="1"/>
  <c r="A35" i="1"/>
  <c r="AO34" i="1"/>
  <c r="AL34" i="1"/>
  <c r="R34" i="1"/>
  <c r="J34" i="1"/>
  <c r="I34" i="1"/>
  <c r="F34" i="1"/>
  <c r="E34" i="1"/>
  <c r="B34" i="1"/>
  <c r="X34" i="1" s="1"/>
  <c r="A34" i="1"/>
  <c r="AO33" i="1"/>
  <c r="AL33" i="1"/>
  <c r="R33" i="1"/>
  <c r="J33" i="1"/>
  <c r="I33" i="1"/>
  <c r="F33" i="1"/>
  <c r="E33" i="1"/>
  <c r="B33" i="1"/>
  <c r="A33" i="1"/>
  <c r="AO32" i="1"/>
  <c r="AL32" i="1"/>
  <c r="R32" i="1"/>
  <c r="O32" i="1"/>
  <c r="J32" i="1"/>
  <c r="I32" i="1"/>
  <c r="F32" i="1"/>
  <c r="E32" i="1"/>
  <c r="B32" i="1"/>
  <c r="X32" i="1" s="1"/>
  <c r="A32" i="1"/>
  <c r="AO31" i="1"/>
  <c r="AL31" i="1"/>
  <c r="R31" i="1"/>
  <c r="O31" i="1"/>
  <c r="J31" i="1"/>
  <c r="I31" i="1"/>
  <c r="F31" i="1"/>
  <c r="E31" i="1"/>
  <c r="B31" i="1"/>
  <c r="X31" i="1" s="1"/>
  <c r="A31" i="1"/>
  <c r="AO30" i="1"/>
  <c r="AL30" i="1"/>
  <c r="R30" i="1"/>
  <c r="J30" i="1"/>
  <c r="I30" i="1"/>
  <c r="F30" i="1"/>
  <c r="E30" i="1"/>
  <c r="B30" i="1"/>
  <c r="X30" i="1" s="1"/>
  <c r="A30" i="1"/>
  <c r="AO29" i="1"/>
  <c r="AL29" i="1"/>
  <c r="O29" i="1"/>
  <c r="J29" i="1"/>
  <c r="I29" i="1"/>
  <c r="F29" i="1"/>
  <c r="E29" i="1"/>
  <c r="B29" i="1"/>
  <c r="X29" i="1" s="1"/>
  <c r="A29" i="1"/>
  <c r="AO28" i="1"/>
  <c r="AL28" i="1"/>
  <c r="R28" i="1"/>
  <c r="O28" i="1"/>
  <c r="J28" i="1"/>
  <c r="I28" i="1"/>
  <c r="F28" i="1"/>
  <c r="E28" i="1"/>
  <c r="B28" i="1"/>
  <c r="X28" i="1" s="1"/>
  <c r="A28" i="1"/>
  <c r="AO27" i="1"/>
  <c r="AL27" i="1"/>
  <c r="R27" i="1"/>
  <c r="J27" i="1"/>
  <c r="I27" i="1"/>
  <c r="F27" i="1"/>
  <c r="E27" i="1"/>
  <c r="B27" i="1"/>
  <c r="A27" i="1"/>
  <c r="AO26" i="1"/>
  <c r="AL26" i="1"/>
  <c r="R26" i="1"/>
  <c r="J26" i="1"/>
  <c r="I26" i="1"/>
  <c r="F26" i="1"/>
  <c r="E26" i="1"/>
  <c r="B26" i="1"/>
  <c r="X26" i="1" s="1"/>
  <c r="A26" i="1"/>
  <c r="AO25" i="1"/>
  <c r="AL25" i="1"/>
  <c r="R25" i="1"/>
  <c r="J25" i="1"/>
  <c r="I25" i="1"/>
  <c r="F25" i="1"/>
  <c r="E25" i="1"/>
  <c r="B25" i="1"/>
  <c r="A25" i="1"/>
  <c r="AO24" i="1"/>
  <c r="AL24" i="1"/>
  <c r="R24" i="1"/>
  <c r="O24" i="1"/>
  <c r="J24" i="1"/>
  <c r="I24" i="1"/>
  <c r="F24" i="1"/>
  <c r="E24" i="1"/>
  <c r="B24" i="1"/>
  <c r="A24" i="1"/>
  <c r="AO23" i="1"/>
  <c r="AL23" i="1"/>
  <c r="R23" i="1"/>
  <c r="P23" i="1"/>
  <c r="J23" i="1"/>
  <c r="I23" i="1"/>
  <c r="F23" i="1"/>
  <c r="E23" i="1"/>
  <c r="B23" i="1"/>
  <c r="X23" i="1" s="1"/>
  <c r="A23" i="1"/>
  <c r="AO22" i="1"/>
  <c r="AL22" i="1"/>
  <c r="R22" i="1"/>
  <c r="P22" i="1"/>
  <c r="J22" i="1"/>
  <c r="I22" i="1"/>
  <c r="F22" i="1"/>
  <c r="E22" i="1"/>
  <c r="B22" i="1"/>
  <c r="A22" i="1"/>
  <c r="AO21" i="1"/>
  <c r="AL21" i="1"/>
  <c r="R21" i="1"/>
  <c r="P21" i="1"/>
  <c r="J21" i="1"/>
  <c r="I21" i="1"/>
  <c r="F21" i="1"/>
  <c r="E21" i="1"/>
  <c r="B21" i="1"/>
  <c r="A21" i="1"/>
  <c r="AO20" i="1"/>
  <c r="AL20" i="1"/>
  <c r="R20" i="1"/>
  <c r="P20" i="1"/>
  <c r="J20" i="1"/>
  <c r="I20" i="1"/>
  <c r="F20" i="1"/>
  <c r="E20" i="1"/>
  <c r="B20" i="1"/>
  <c r="A20" i="1"/>
  <c r="AO19" i="1"/>
  <c r="AL19" i="1"/>
  <c r="R19" i="1"/>
  <c r="P19" i="1"/>
  <c r="J19" i="1"/>
  <c r="I19" i="1"/>
  <c r="F19" i="1"/>
  <c r="E19" i="1"/>
  <c r="B19" i="1"/>
  <c r="A19" i="1"/>
  <c r="AO18" i="1"/>
  <c r="AL18" i="1"/>
  <c r="R18" i="1"/>
  <c r="J18" i="1"/>
  <c r="I18" i="1"/>
  <c r="F18" i="1"/>
  <c r="E18" i="1"/>
  <c r="B18" i="1"/>
  <c r="X18" i="1" s="1"/>
  <c r="A18" i="1"/>
  <c r="AO17" i="1"/>
  <c r="AL17" i="1"/>
  <c r="R17" i="1"/>
  <c r="J17" i="1"/>
  <c r="I17" i="1"/>
  <c r="F17" i="1"/>
  <c r="E17" i="1"/>
  <c r="B17" i="1"/>
  <c r="A17" i="1"/>
  <c r="AO16" i="1"/>
  <c r="AL16" i="1"/>
  <c r="R16" i="1"/>
  <c r="J16" i="1"/>
  <c r="I16" i="1"/>
  <c r="F16" i="1"/>
  <c r="E16" i="1"/>
  <c r="B16" i="1"/>
  <c r="A16" i="1"/>
  <c r="AO15" i="1"/>
  <c r="AL15" i="1"/>
  <c r="R15" i="1"/>
  <c r="P15" i="1"/>
  <c r="J15" i="1"/>
  <c r="I15" i="1"/>
  <c r="F15" i="1"/>
  <c r="E15" i="1"/>
  <c r="B15" i="1"/>
  <c r="A15" i="1"/>
  <c r="AO14" i="1"/>
  <c r="AL14" i="1"/>
  <c r="J14" i="1"/>
  <c r="I14" i="1"/>
  <c r="F14" i="1"/>
  <c r="E14" i="1"/>
  <c r="B14" i="1"/>
  <c r="X14" i="1" s="1"/>
  <c r="A14" i="1"/>
  <c r="AO13" i="1"/>
  <c r="AL13" i="1"/>
  <c r="R13" i="1"/>
  <c r="P13" i="1"/>
  <c r="J13" i="1"/>
  <c r="I13" i="1"/>
  <c r="F13" i="1"/>
  <c r="E13" i="1"/>
  <c r="B13" i="1"/>
  <c r="A13" i="1"/>
  <c r="AO12" i="1"/>
  <c r="AL12" i="1"/>
  <c r="R12" i="1"/>
  <c r="O12" i="1"/>
  <c r="J12" i="1"/>
  <c r="I12" i="1"/>
  <c r="F12" i="1"/>
  <c r="E12" i="1"/>
  <c r="B12" i="1"/>
  <c r="A12" i="1"/>
  <c r="AO11" i="1"/>
  <c r="AL11" i="1"/>
  <c r="R11" i="1"/>
  <c r="J11" i="1"/>
  <c r="I11" i="1"/>
  <c r="F11" i="1"/>
  <c r="E11" i="1"/>
  <c r="B11" i="1"/>
  <c r="X11" i="1" s="1"/>
  <c r="A11" i="1"/>
  <c r="AN11" i="1" s="1"/>
  <c r="AO10" i="1"/>
  <c r="AL10" i="1"/>
  <c r="R10" i="1"/>
  <c r="P10" i="1"/>
  <c r="J10" i="1"/>
  <c r="I10" i="1"/>
  <c r="F10" i="1"/>
  <c r="E10" i="1"/>
  <c r="B10" i="1"/>
  <c r="A10" i="1"/>
  <c r="AO9" i="1"/>
  <c r="AL9" i="1"/>
  <c r="R9" i="1"/>
  <c r="J9" i="1"/>
  <c r="I9" i="1"/>
  <c r="F9" i="1"/>
  <c r="E9" i="1"/>
  <c r="B9" i="1"/>
  <c r="A9" i="1"/>
  <c r="AO8" i="1"/>
  <c r="AL8" i="1"/>
  <c r="R8" i="1"/>
  <c r="P8" i="1"/>
  <c r="J8" i="1"/>
  <c r="I8" i="1"/>
  <c r="F8" i="1"/>
  <c r="E8" i="1"/>
  <c r="B8" i="1"/>
  <c r="A8" i="1"/>
  <c r="AO7" i="1"/>
  <c r="AL7" i="1"/>
  <c r="R7" i="1"/>
  <c r="J7" i="1"/>
  <c r="I7" i="1"/>
  <c r="F7" i="1"/>
  <c r="E7" i="1"/>
  <c r="B7" i="1"/>
  <c r="A7" i="1"/>
  <c r="AO6" i="1"/>
  <c r="AL6" i="1"/>
  <c r="R6" i="1"/>
  <c r="J6" i="1"/>
  <c r="I6" i="1"/>
  <c r="F6" i="1"/>
  <c r="E6" i="1"/>
  <c r="B6" i="1"/>
  <c r="A6" i="1"/>
  <c r="AO5" i="1"/>
  <c r="AL5" i="1"/>
  <c r="R5" i="1"/>
  <c r="J5" i="1"/>
  <c r="I5" i="1"/>
  <c r="F5" i="1"/>
  <c r="E5" i="1"/>
  <c r="B5" i="1"/>
  <c r="A5" i="1"/>
  <c r="AO4" i="1"/>
  <c r="AL4" i="1"/>
  <c r="R4" i="1"/>
  <c r="T4" i="1"/>
  <c r="J4" i="1"/>
  <c r="I4" i="1"/>
  <c r="F4" i="1"/>
  <c r="E4" i="1"/>
  <c r="B4" i="1"/>
  <c r="A4" i="1"/>
  <c r="W244" i="1" l="1"/>
  <c r="AP244" i="1" s="1"/>
  <c r="AQ244" i="1" s="1"/>
  <c r="W431" i="1"/>
  <c r="AP431" i="1" s="1"/>
  <c r="AQ431" i="1" s="1"/>
  <c r="W661" i="1"/>
  <c r="AP661" i="1" s="1"/>
  <c r="AQ661" i="1" s="1"/>
  <c r="W732" i="1"/>
  <c r="W41" i="1"/>
  <c r="AP41" i="1" s="1"/>
  <c r="AQ41" i="1" s="1"/>
  <c r="W50" i="1"/>
  <c r="AP50" i="1" s="1"/>
  <c r="AQ50" i="1" s="1"/>
  <c r="W490" i="1"/>
  <c r="AP490" i="1" s="1"/>
  <c r="AQ490" i="1" s="1"/>
  <c r="W262" i="1"/>
  <c r="W289" i="1"/>
  <c r="AP289" i="1" s="1"/>
  <c r="AQ289" i="1" s="1"/>
  <c r="W150" i="1"/>
  <c r="AP150" i="1" s="1"/>
  <c r="AQ150" i="1" s="1"/>
  <c r="W302" i="1"/>
  <c r="AP302" i="1" s="1"/>
  <c r="AQ302" i="1" s="1"/>
  <c r="W45" i="1"/>
  <c r="AP45" i="1" s="1"/>
  <c r="AQ45" i="1" s="1"/>
  <c r="W462" i="1"/>
  <c r="AP462" i="1" s="1"/>
  <c r="AQ462" i="1" s="1"/>
  <c r="AP486" i="1"/>
  <c r="AQ486" i="1" s="1"/>
  <c r="AP614" i="1"/>
  <c r="AQ614" i="1" s="1"/>
  <c r="W650" i="1"/>
  <c r="AP650" i="1" s="1"/>
  <c r="AQ650" i="1" s="1"/>
  <c r="W805" i="1"/>
  <c r="AP805" i="1" s="1"/>
  <c r="AQ805" i="1" s="1"/>
  <c r="AP108" i="1"/>
  <c r="AQ108" i="1" s="1"/>
  <c r="W122" i="1"/>
  <c r="AP122" i="1" s="1"/>
  <c r="AQ122" i="1" s="1"/>
  <c r="W223" i="1"/>
  <c r="AP223" i="1" s="1"/>
  <c r="AQ223" i="1" s="1"/>
  <c r="W885" i="1"/>
  <c r="AP885" i="1" s="1"/>
  <c r="AQ885" i="1" s="1"/>
  <c r="W479" i="1"/>
  <c r="AP479" i="1" s="1"/>
  <c r="AQ479" i="1" s="1"/>
  <c r="W488" i="1"/>
  <c r="AP488" i="1" s="1"/>
  <c r="AQ488" i="1" s="1"/>
  <c r="W738" i="1"/>
  <c r="AP738" i="1" s="1"/>
  <c r="AQ738" i="1" s="1"/>
  <c r="W300" i="1"/>
  <c r="AP300" i="1" s="1"/>
  <c r="AQ300" i="1" s="1"/>
  <c r="AP492" i="1"/>
  <c r="AQ492" i="1" s="1"/>
  <c r="AP120" i="1"/>
  <c r="AQ120" i="1" s="1"/>
  <c r="W157" i="1"/>
  <c r="AP157" i="1" s="1"/>
  <c r="AQ157" i="1" s="1"/>
  <c r="W298" i="1"/>
  <c r="AP298" i="1" s="1"/>
  <c r="AQ298" i="1" s="1"/>
  <c r="AP59" i="1"/>
  <c r="AQ59" i="1" s="1"/>
  <c r="W54" i="1"/>
  <c r="AP54" i="1" s="1"/>
  <c r="AQ54" i="1" s="1"/>
  <c r="AP440" i="1"/>
  <c r="AQ440" i="1" s="1"/>
  <c r="W601" i="1"/>
  <c r="AP601" i="1" s="1"/>
  <c r="AQ601" i="1" s="1"/>
  <c r="W618" i="1"/>
  <c r="AP618" i="1" s="1"/>
  <c r="AQ618" i="1" s="1"/>
  <c r="AP698" i="1"/>
  <c r="AQ698" i="1" s="1"/>
  <c r="W712" i="1"/>
  <c r="AP712" i="1" s="1"/>
  <c r="AQ712" i="1" s="1"/>
  <c r="W153" i="1"/>
  <c r="AP153" i="1" s="1"/>
  <c r="AQ153" i="1" s="1"/>
  <c r="W208" i="1"/>
  <c r="W505" i="1"/>
  <c r="AP505" i="1" s="1"/>
  <c r="AQ505" i="1" s="1"/>
  <c r="W584" i="1"/>
  <c r="AP584" i="1" s="1"/>
  <c r="AQ584" i="1" s="1"/>
  <c r="W620" i="1"/>
  <c r="AP620" i="1" s="1"/>
  <c r="AQ620" i="1" s="1"/>
  <c r="W651" i="1"/>
  <c r="AP651" i="1" s="1"/>
  <c r="AQ651" i="1" s="1"/>
  <c r="AP718" i="1"/>
  <c r="AQ718" i="1" s="1"/>
  <c r="W233" i="1"/>
  <c r="AP233" i="1" s="1"/>
  <c r="AQ233" i="1" s="1"/>
  <c r="W238" i="1"/>
  <c r="AP238" i="1" s="1"/>
  <c r="AQ238" i="1" s="1"/>
  <c r="AP636" i="1"/>
  <c r="AQ636" i="1" s="1"/>
  <c r="W641" i="1"/>
  <c r="AP641" i="1" s="1"/>
  <c r="AQ641" i="1" s="1"/>
  <c r="W429" i="1"/>
  <c r="AP429" i="1" s="1"/>
  <c r="AQ429" i="1" s="1"/>
  <c r="AP434" i="1"/>
  <c r="AQ434" i="1" s="1"/>
  <c r="AP554" i="1"/>
  <c r="AQ554" i="1" s="1"/>
  <c r="W779" i="1"/>
  <c r="AP779" i="1" s="1"/>
  <c r="AQ779" i="1" s="1"/>
  <c r="AP884" i="1"/>
  <c r="AQ884" i="1" s="1"/>
  <c r="W11" i="1"/>
  <c r="AP11" i="1" s="1"/>
  <c r="AQ11" i="1" s="1"/>
  <c r="W121" i="1"/>
  <c r="AP121" i="1" s="1"/>
  <c r="AQ121" i="1" s="1"/>
  <c r="W654" i="1"/>
  <c r="AP654" i="1" s="1"/>
  <c r="AQ654" i="1" s="1"/>
  <c r="AP149" i="1"/>
  <c r="AQ149" i="1" s="1"/>
  <c r="W635" i="1"/>
  <c r="AP635" i="1" s="1"/>
  <c r="AQ635" i="1" s="1"/>
  <c r="W640" i="1"/>
  <c r="AP640" i="1" s="1"/>
  <c r="AQ640" i="1" s="1"/>
  <c r="W747" i="1"/>
  <c r="AP747" i="1" s="1"/>
  <c r="AQ747" i="1" s="1"/>
  <c r="W770" i="1"/>
  <c r="AP770" i="1" s="1"/>
  <c r="AQ770" i="1" s="1"/>
  <c r="W57" i="1"/>
  <c r="AP57" i="1" s="1"/>
  <c r="AQ57" i="1" s="1"/>
  <c r="AP162" i="1"/>
  <c r="AQ162" i="1" s="1"/>
  <c r="AP443" i="1"/>
  <c r="AQ443" i="1" s="1"/>
  <c r="W734" i="1"/>
  <c r="AP756" i="1"/>
  <c r="AQ756" i="1" s="1"/>
  <c r="W103" i="1"/>
  <c r="AP103" i="1" s="1"/>
  <c r="AQ103" i="1" s="1"/>
  <c r="W154" i="1"/>
  <c r="W158" i="1"/>
  <c r="AP158" i="1" s="1"/>
  <c r="AQ158" i="1" s="1"/>
  <c r="W297" i="1"/>
  <c r="AP297" i="1" s="1"/>
  <c r="AQ297" i="1" s="1"/>
  <c r="W522" i="1"/>
  <c r="AP522" i="1" s="1"/>
  <c r="AQ522" i="1" s="1"/>
  <c r="W107" i="1"/>
  <c r="AP107" i="1" s="1"/>
  <c r="AQ107" i="1" s="1"/>
  <c r="W232" i="1"/>
  <c r="AP232" i="1" s="1"/>
  <c r="AQ232" i="1" s="1"/>
  <c r="AP116" i="1"/>
  <c r="AQ116" i="1" s="1"/>
  <c r="W47" i="1"/>
  <c r="AP47" i="1" s="1"/>
  <c r="AQ47" i="1" s="1"/>
  <c r="W161" i="1"/>
  <c r="AP161" i="1" s="1"/>
  <c r="AQ161" i="1" s="1"/>
  <c r="AP175" i="1"/>
  <c r="AQ175" i="1" s="1"/>
  <c r="W216" i="1"/>
  <c r="AP216" i="1" s="1"/>
  <c r="AQ216" i="1" s="1"/>
  <c r="W246" i="1"/>
  <c r="AP246" i="1" s="1"/>
  <c r="AQ246" i="1" s="1"/>
  <c r="W291" i="1"/>
  <c r="AP291" i="1" s="1"/>
  <c r="AQ291" i="1" s="1"/>
  <c r="AP295" i="1"/>
  <c r="AQ295" i="1" s="1"/>
  <c r="W428" i="1"/>
  <c r="AP428" i="1" s="1"/>
  <c r="AQ428" i="1" s="1"/>
  <c r="AP677" i="1"/>
  <c r="AQ677" i="1" s="1"/>
  <c r="AP760" i="1"/>
  <c r="AQ760" i="1" s="1"/>
  <c r="AP68" i="1"/>
  <c r="AQ68" i="1" s="1"/>
  <c r="AP662" i="1"/>
  <c r="AQ662" i="1" s="1"/>
  <c r="W710" i="1"/>
  <c r="AP710" i="1" s="1"/>
  <c r="AQ710" i="1" s="1"/>
  <c r="W746" i="1"/>
  <c r="AP746" i="1" s="1"/>
  <c r="AQ746" i="1" s="1"/>
  <c r="W769" i="1"/>
  <c r="AP769" i="1" s="1"/>
  <c r="AQ769" i="1" s="1"/>
  <c r="W247" i="1"/>
  <c r="AP247" i="1" s="1"/>
  <c r="AQ247" i="1" s="1"/>
  <c r="W43" i="1"/>
  <c r="AP43" i="1" s="1"/>
  <c r="AQ43" i="1" s="1"/>
  <c r="W147" i="1"/>
  <c r="AP147" i="1" s="1"/>
  <c r="AQ147" i="1" s="1"/>
  <c r="W447" i="1"/>
  <c r="AP447" i="1" s="1"/>
  <c r="AQ447" i="1" s="1"/>
  <c r="W478" i="1"/>
  <c r="W681" i="1"/>
  <c r="AP681" i="1" s="1"/>
  <c r="AQ681" i="1" s="1"/>
  <c r="W48" i="1"/>
  <c r="AP48" i="1" s="1"/>
  <c r="AQ48" i="1" s="1"/>
  <c r="W53" i="1"/>
  <c r="AP53" i="1" s="1"/>
  <c r="AQ53" i="1" s="1"/>
  <c r="W52" i="1"/>
  <c r="AP52" i="1" s="1"/>
  <c r="AQ52" i="1" s="1"/>
  <c r="W91" i="1"/>
  <c r="AP91" i="1" s="1"/>
  <c r="AQ91" i="1" s="1"/>
  <c r="W56" i="1"/>
  <c r="AP56" i="1" s="1"/>
  <c r="AQ56" i="1" s="1"/>
  <c r="W90" i="1"/>
  <c r="AP90" i="1" s="1"/>
  <c r="AQ90" i="1" s="1"/>
  <c r="W101" i="1"/>
  <c r="AP101" i="1" s="1"/>
  <c r="AQ101" i="1" s="1"/>
  <c r="W119" i="1"/>
  <c r="AP119" i="1" s="1"/>
  <c r="AQ119" i="1" s="1"/>
  <c r="W124" i="1"/>
  <c r="AP124" i="1" s="1"/>
  <c r="AQ124" i="1" s="1"/>
  <c r="AP165" i="1"/>
  <c r="AQ165" i="1" s="1"/>
  <c r="W46" i="1"/>
  <c r="AP46" i="1" s="1"/>
  <c r="AQ46" i="1" s="1"/>
  <c r="W89" i="1"/>
  <c r="AP89" i="1" s="1"/>
  <c r="AQ89" i="1" s="1"/>
  <c r="W114" i="1"/>
  <c r="W118" i="1"/>
  <c r="AP118" i="1" s="1"/>
  <c r="AQ118" i="1" s="1"/>
  <c r="W151" i="1"/>
  <c r="AP151" i="1" s="1"/>
  <c r="AQ151" i="1" s="1"/>
  <c r="AP160" i="1"/>
  <c r="AQ160" i="1" s="1"/>
  <c r="W201" i="1"/>
  <c r="AP201" i="1" s="1"/>
  <c r="AQ201" i="1" s="1"/>
  <c r="AP215" i="1"/>
  <c r="AQ215" i="1" s="1"/>
  <c r="W294" i="1"/>
  <c r="AP294" i="1" s="1"/>
  <c r="AQ294" i="1" s="1"/>
  <c r="W303" i="1"/>
  <c r="W313" i="1"/>
  <c r="AP313" i="1" s="1"/>
  <c r="AQ313" i="1" s="1"/>
  <c r="W491" i="1"/>
  <c r="AP491" i="1" s="1"/>
  <c r="AQ491" i="1" s="1"/>
  <c r="W500" i="1"/>
  <c r="AP500" i="1" s="1"/>
  <c r="AQ500" i="1" s="1"/>
  <c r="W598" i="1"/>
  <c r="AP598" i="1" s="1"/>
  <c r="AQ598" i="1" s="1"/>
  <c r="AP638" i="1"/>
  <c r="AQ638" i="1" s="1"/>
  <c r="AP606" i="1"/>
  <c r="AQ606" i="1" s="1"/>
  <c r="AP794" i="1"/>
  <c r="AQ794" i="1" s="1"/>
  <c r="AE972" i="1"/>
  <c r="AP159" i="1"/>
  <c r="AQ159" i="1" s="1"/>
  <c r="AP362" i="1"/>
  <c r="AQ362" i="1" s="1"/>
  <c r="AE910" i="1"/>
  <c r="AE865" i="1"/>
  <c r="AE1050" i="1"/>
  <c r="AE952" i="1"/>
  <c r="AE907" i="1"/>
  <c r="AE890" i="1"/>
  <c r="AE874" i="1"/>
  <c r="AE873" i="1"/>
  <c r="B1058" i="1"/>
  <c r="AE883" i="1"/>
  <c r="AE878" i="1"/>
  <c r="AE879" i="1"/>
  <c r="AE866" i="1"/>
  <c r="AE880" i="1"/>
  <c r="AD828" i="1"/>
  <c r="AN808" i="1"/>
  <c r="AN574" i="1"/>
  <c r="AS609" i="1"/>
  <c r="AN22" i="1"/>
  <c r="AS657" i="1"/>
  <c r="AN658" i="1"/>
  <c r="W658" i="1" s="1"/>
  <c r="AN802" i="1"/>
  <c r="AN72" i="1"/>
  <c r="W72" i="1" s="1"/>
  <c r="AN96" i="1"/>
  <c r="W96" i="1" s="1"/>
  <c r="AS167" i="1"/>
  <c r="AN441" i="1"/>
  <c r="AN801" i="1"/>
  <c r="W801" i="1" s="1"/>
  <c r="AS321" i="1"/>
  <c r="AN430" i="1"/>
  <c r="W430" i="1" s="1"/>
  <c r="AN622" i="1"/>
  <c r="W622" i="1" s="1"/>
  <c r="AS132" i="1"/>
  <c r="AS180" i="1"/>
  <c r="AS204" i="1"/>
  <c r="AS240" i="1"/>
  <c r="AS312" i="1"/>
  <c r="AS336" i="1"/>
  <c r="AS360" i="1"/>
  <c r="AS372" i="1"/>
  <c r="AN657" i="1"/>
  <c r="W657" i="1" s="1"/>
  <c r="AS57" i="1"/>
  <c r="AS249" i="1"/>
  <c r="AS441" i="1"/>
  <c r="AN694" i="1"/>
  <c r="AN33" i="1"/>
  <c r="AN357" i="1"/>
  <c r="AN465" i="1"/>
  <c r="AN729" i="1"/>
  <c r="W729" i="1" s="1"/>
  <c r="AN166" i="1"/>
  <c r="W166" i="1" s="1"/>
  <c r="AS24" i="1"/>
  <c r="AS72" i="1"/>
  <c r="AS96" i="1"/>
  <c r="AS309" i="1"/>
  <c r="AN310" i="1"/>
  <c r="AS429" i="1"/>
  <c r="AN93" i="1"/>
  <c r="W93" i="1" s="1"/>
  <c r="AN309" i="1"/>
  <c r="AN453" i="1"/>
  <c r="W453" i="1" s="1"/>
  <c r="AS141" i="1"/>
  <c r="AN214" i="1"/>
  <c r="W214" i="1" s="1"/>
  <c r="AS22" i="1"/>
  <c r="AN35" i="1"/>
  <c r="W35" i="1" s="1"/>
  <c r="AN179" i="1"/>
  <c r="W179" i="1" s="1"/>
  <c r="AS250" i="1"/>
  <c r="AN311" i="1"/>
  <c r="AS358" i="1"/>
  <c r="AS442" i="1"/>
  <c r="AS526" i="1"/>
  <c r="AN539" i="1"/>
  <c r="W539" i="1" s="1"/>
  <c r="AN563" i="1"/>
  <c r="AS622" i="1"/>
  <c r="AN623" i="1"/>
  <c r="W623" i="1" s="1"/>
  <c r="AN683" i="1"/>
  <c r="W683" i="1" s="1"/>
  <c r="AS179" i="1"/>
  <c r="AN180" i="1"/>
  <c r="W180" i="1" s="1"/>
  <c r="AN192" i="1"/>
  <c r="W192" i="1" s="1"/>
  <c r="AS215" i="1"/>
  <c r="AS239" i="1"/>
  <c r="AN240" i="1"/>
  <c r="W240" i="1" s="1"/>
  <c r="AN276" i="1"/>
  <c r="W276" i="1" s="1"/>
  <c r="AS311" i="1"/>
  <c r="AS335" i="1"/>
  <c r="AS359" i="1"/>
  <c r="AN360" i="1"/>
  <c r="AS371" i="1"/>
  <c r="AS455" i="1"/>
  <c r="AS503" i="1"/>
  <c r="AN504" i="1"/>
  <c r="W504" i="1" s="1"/>
  <c r="AN516" i="1"/>
  <c r="W516" i="1" s="1"/>
  <c r="AS527" i="1"/>
  <c r="AS539" i="1"/>
  <c r="AS563" i="1"/>
  <c r="AN612" i="1"/>
  <c r="W612" i="1" s="1"/>
  <c r="AN624" i="1"/>
  <c r="AS647" i="1"/>
  <c r="AN768" i="1"/>
  <c r="AS504" i="1"/>
  <c r="AS516" i="1"/>
  <c r="AS528" i="1"/>
  <c r="AS540" i="1"/>
  <c r="AS552" i="1"/>
  <c r="AS612" i="1"/>
  <c r="AS624" i="1"/>
  <c r="AS648" i="1"/>
  <c r="AN361" i="1"/>
  <c r="W361" i="1" s="1"/>
  <c r="AN613" i="1"/>
  <c r="W613" i="1" s="1"/>
  <c r="AN685" i="1"/>
  <c r="W685" i="1" s="1"/>
  <c r="AN781" i="1"/>
  <c r="AN205" i="1"/>
  <c r="AN457" i="1"/>
  <c r="W457" i="1" s="1"/>
  <c r="AS361" i="1"/>
  <c r="AN578" i="1"/>
  <c r="W578" i="1" s="1"/>
  <c r="AS817" i="1"/>
  <c r="AS325" i="1"/>
  <c r="AS373" i="1"/>
  <c r="AS529" i="1"/>
  <c r="AS541" i="1"/>
  <c r="AS254" i="1"/>
  <c r="AS314" i="1"/>
  <c r="AS530" i="1"/>
  <c r="AN771" i="1"/>
  <c r="W771" i="1" s="1"/>
  <c r="AS73" i="1"/>
  <c r="AS133" i="1"/>
  <c r="AS625" i="1"/>
  <c r="AS14" i="1"/>
  <c r="AS98" i="1"/>
  <c r="AS110" i="1"/>
  <c r="AS326" i="1"/>
  <c r="AS446" i="1"/>
  <c r="AN172" i="1"/>
  <c r="W172" i="1" s="1"/>
  <c r="AS183" i="1"/>
  <c r="AN304" i="1"/>
  <c r="AN352" i="1"/>
  <c r="AS375" i="1"/>
  <c r="AN109" i="1"/>
  <c r="AN541" i="1"/>
  <c r="W541" i="1" s="1"/>
  <c r="AN62" i="1"/>
  <c r="W62" i="1" s="1"/>
  <c r="AS109" i="1"/>
  <c r="AS265" i="1"/>
  <c r="AS457" i="1"/>
  <c r="AS493" i="1"/>
  <c r="AS74" i="1"/>
  <c r="AS386" i="1"/>
  <c r="AS27" i="1"/>
  <c r="AS75" i="1"/>
  <c r="AS159" i="1"/>
  <c r="AN460" i="1"/>
  <c r="AS627" i="1"/>
  <c r="AN688" i="1"/>
  <c r="W688" i="1" s="1"/>
  <c r="AN125" i="1"/>
  <c r="W125" i="1" s="1"/>
  <c r="AN305" i="1"/>
  <c r="W305" i="1" s="1"/>
  <c r="AS568" i="1"/>
  <c r="AS604" i="1"/>
  <c r="AN605" i="1"/>
  <c r="AS97" i="1"/>
  <c r="AS301" i="1"/>
  <c r="AS349" i="1"/>
  <c r="AS481" i="1"/>
  <c r="AS565" i="1"/>
  <c r="AN339" i="1"/>
  <c r="W339" i="1" s="1"/>
  <c r="AN507" i="1"/>
  <c r="W507" i="1" s="1"/>
  <c r="AS135" i="1"/>
  <c r="AN196" i="1"/>
  <c r="AS219" i="1"/>
  <c r="AS243" i="1"/>
  <c r="AS327" i="1"/>
  <c r="AS387" i="1"/>
  <c r="AS447" i="1"/>
  <c r="AN113" i="1"/>
  <c r="W113" i="1" s="1"/>
  <c r="AS160" i="1"/>
  <c r="AS280" i="1"/>
  <c r="AS316" i="1"/>
  <c r="AS352" i="1"/>
  <c r="AS628" i="1"/>
  <c r="AS652" i="1"/>
  <c r="AN653" i="1"/>
  <c r="AN665" i="1"/>
  <c r="W665" i="1" s="1"/>
  <c r="AS5" i="1"/>
  <c r="AN78" i="1"/>
  <c r="W78" i="1" s="1"/>
  <c r="AS101" i="1"/>
  <c r="AN126" i="1"/>
  <c r="W126" i="1" s="1"/>
  <c r="AS137" i="1"/>
  <c r="AS257" i="1"/>
  <c r="AN270" i="1"/>
  <c r="AS305" i="1"/>
  <c r="AS317" i="1"/>
  <c r="AN318" i="1"/>
  <c r="W318" i="1" s="1"/>
  <c r="AS377" i="1"/>
  <c r="AS437" i="1"/>
  <c r="AS449" i="1"/>
  <c r="AS509" i="1"/>
  <c r="AN510" i="1"/>
  <c r="W510" i="1" s="1"/>
  <c r="AS545" i="1"/>
  <c r="AN570" i="1"/>
  <c r="W570" i="1" s="1"/>
  <c r="AS605" i="1"/>
  <c r="AN702" i="1"/>
  <c r="AS181" i="1"/>
  <c r="AS205" i="1"/>
  <c r="AN254" i="1"/>
  <c r="W254" i="1" s="1"/>
  <c r="AS517" i="1"/>
  <c r="AS62" i="1"/>
  <c r="AS134" i="1"/>
  <c r="AS242" i="1"/>
  <c r="AN243" i="1"/>
  <c r="W243" i="1" s="1"/>
  <c r="AS362" i="1"/>
  <c r="AS566" i="1"/>
  <c r="AS626" i="1"/>
  <c r="AS111" i="1"/>
  <c r="AN472" i="1"/>
  <c r="W472" i="1" s="1"/>
  <c r="AS507" i="1"/>
  <c r="AS519" i="1"/>
  <c r="AS567" i="1"/>
  <c r="AS172" i="1"/>
  <c r="AN173" i="1"/>
  <c r="W173" i="1" s="1"/>
  <c r="AN197" i="1"/>
  <c r="AS220" i="1"/>
  <c r="AS364" i="1"/>
  <c r="AS472" i="1"/>
  <c r="AS484" i="1"/>
  <c r="AS496" i="1"/>
  <c r="AN497" i="1"/>
  <c r="W497" i="1" s="1"/>
  <c r="AN509" i="1"/>
  <c r="AS6" i="1"/>
  <c r="AS54" i="1"/>
  <c r="AS78" i="1"/>
  <c r="AS102" i="1"/>
  <c r="AS114" i="1"/>
  <c r="AS306" i="1"/>
  <c r="AS318" i="1"/>
  <c r="AN427" i="1"/>
  <c r="W427" i="1" s="1"/>
  <c r="AS510" i="1"/>
  <c r="AS522" i="1"/>
  <c r="AS534" i="1"/>
  <c r="AS570" i="1"/>
  <c r="AS606" i="1"/>
  <c r="AN655" i="1"/>
  <c r="AS738" i="1"/>
  <c r="AN763" i="1"/>
  <c r="W763" i="1" s="1"/>
  <c r="AN775" i="1"/>
  <c r="AS858" i="1"/>
  <c r="AN26" i="1"/>
  <c r="W26" i="1" s="1"/>
  <c r="AS313" i="1"/>
  <c r="AN446" i="1"/>
  <c r="W446" i="1" s="1"/>
  <c r="AS553" i="1"/>
  <c r="AS26" i="1"/>
  <c r="AS182" i="1"/>
  <c r="AS302" i="1"/>
  <c r="AS374" i="1"/>
  <c r="AS494" i="1"/>
  <c r="AN495" i="1"/>
  <c r="W495" i="1" s="1"/>
  <c r="AN627" i="1"/>
  <c r="W627" i="1" s="1"/>
  <c r="AS63" i="1"/>
  <c r="AS363" i="1"/>
  <c r="AS495" i="1"/>
  <c r="AN532" i="1"/>
  <c r="W532" i="1" s="1"/>
  <c r="AS555" i="1"/>
  <c r="AS28" i="1"/>
  <c r="AS112" i="1"/>
  <c r="AS136" i="1"/>
  <c r="AS304" i="1"/>
  <c r="AS436" i="1"/>
  <c r="AN437" i="1"/>
  <c r="AS448" i="1"/>
  <c r="AN533" i="1"/>
  <c r="W533" i="1" s="1"/>
  <c r="AS556" i="1"/>
  <c r="AN20" i="1"/>
  <c r="W20" i="1" s="1"/>
  <c r="AS67" i="1"/>
  <c r="AS79" i="1"/>
  <c r="AS91" i="1"/>
  <c r="AN104" i="1"/>
  <c r="W104" i="1" s="1"/>
  <c r="AN152" i="1"/>
  <c r="W152" i="1" s="1"/>
  <c r="AN164" i="1"/>
  <c r="W164" i="1" s="1"/>
  <c r="AN200" i="1"/>
  <c r="AS259" i="1"/>
  <c r="AN296" i="1"/>
  <c r="AS355" i="1"/>
  <c r="AS439" i="1"/>
  <c r="AS487" i="1"/>
  <c r="AN608" i="1"/>
  <c r="W608" i="1" s="1"/>
  <c r="AS655" i="1"/>
  <c r="AN61" i="1"/>
  <c r="W61" i="1" s="1"/>
  <c r="AN337" i="1"/>
  <c r="W337" i="1" s="1"/>
  <c r="AN242" i="1"/>
  <c r="AN458" i="1"/>
  <c r="AS4" i="1"/>
  <c r="AS350" i="1"/>
  <c r="AS542" i="1"/>
  <c r="AS650" i="1"/>
  <c r="AN256" i="1"/>
  <c r="AS184" i="1"/>
  <c r="AS256" i="1"/>
  <c r="AS328" i="1"/>
  <c r="AS460" i="1"/>
  <c r="AN545" i="1"/>
  <c r="AS270" i="1"/>
  <c r="AS56" i="1"/>
  <c r="AS80" i="1"/>
  <c r="AS104" i="1"/>
  <c r="AS164" i="1"/>
  <c r="AS296" i="1"/>
  <c r="AS344" i="1"/>
  <c r="AS548" i="1"/>
  <c r="AS560" i="1"/>
  <c r="AS608" i="1"/>
  <c r="AS656" i="1"/>
  <c r="AS131" i="1"/>
  <c r="AS228" i="1"/>
  <c r="AS237" i="1"/>
  <c r="AS381" i="1"/>
  <c r="AS492" i="1"/>
  <c r="AS502" i="1"/>
  <c r="AS512" i="1"/>
  <c r="AS533" i="1"/>
  <c r="AS561" i="1"/>
  <c r="AS726" i="1"/>
  <c r="AS89" i="1"/>
  <c r="AS716" i="1"/>
  <c r="AS34" i="1"/>
  <c r="AS333" i="1"/>
  <c r="AS430" i="1"/>
  <c r="AS451" i="1"/>
  <c r="AS461" i="1"/>
  <c r="AS582" i="1"/>
  <c r="AS8" i="1"/>
  <c r="AS69" i="1"/>
  <c r="AS144" i="1"/>
  <c r="AS211" i="1"/>
  <c r="AS248" i="1"/>
  <c r="AS324" i="1"/>
  <c r="AS334" i="1"/>
  <c r="AS343" i="1"/>
  <c r="AS546" i="1"/>
  <c r="AS593" i="1"/>
  <c r="AS681" i="1"/>
  <c r="AS693" i="1"/>
  <c r="AS705" i="1"/>
  <c r="AS25" i="1"/>
  <c r="AS90" i="1"/>
  <c r="AS293" i="1"/>
  <c r="AS125" i="1"/>
  <c r="AS155" i="1"/>
  <c r="AS185" i="1"/>
  <c r="AS203" i="1"/>
  <c r="AS212" i="1"/>
  <c r="AS221" i="1"/>
  <c r="AS269" i="1"/>
  <c r="AS353" i="1"/>
  <c r="AS392" i="1"/>
  <c r="AS485" i="1"/>
  <c r="AS525" i="1"/>
  <c r="AS535" i="1"/>
  <c r="AS583" i="1"/>
  <c r="AS594" i="1"/>
  <c r="AS617" i="1"/>
  <c r="AS750" i="1"/>
  <c r="AS60" i="1"/>
  <c r="AS115" i="1"/>
  <c r="AS165" i="1"/>
  <c r="AS175" i="1"/>
  <c r="AS365" i="1"/>
  <c r="AS475" i="1"/>
  <c r="AS547" i="1"/>
  <c r="AS13" i="1"/>
  <c r="AS143" i="1"/>
  <c r="AS18" i="1"/>
  <c r="AS81" i="1"/>
  <c r="AS10" i="1"/>
  <c r="AS19" i="1"/>
  <c r="AS30" i="1"/>
  <c r="AS82" i="1"/>
  <c r="AS93" i="1"/>
  <c r="AS126" i="1"/>
  <c r="AS166" i="1"/>
  <c r="AS186" i="1"/>
  <c r="AS213" i="1"/>
  <c r="AS222" i="1"/>
  <c r="AS260" i="1"/>
  <c r="AS295" i="1"/>
  <c r="AS307" i="1"/>
  <c r="AS445" i="1"/>
  <c r="AS464" i="1"/>
  <c r="AS476" i="1"/>
  <c r="AS497" i="1"/>
  <c r="AS537" i="1"/>
  <c r="AS584" i="1"/>
  <c r="AS595" i="1"/>
  <c r="AS32" i="1"/>
  <c r="AS173" i="1"/>
  <c r="AS9" i="1"/>
  <c r="AS29" i="1"/>
  <c r="AS105" i="1"/>
  <c r="AS117" i="1"/>
  <c r="AS176" i="1"/>
  <c r="AS261" i="1"/>
  <c r="AS271" i="1"/>
  <c r="AS287" i="1"/>
  <c r="AS319" i="1"/>
  <c r="AS404" i="1"/>
  <c r="AS415" i="1"/>
  <c r="AS425" i="1"/>
  <c r="AS454" i="1"/>
  <c r="AS465" i="1"/>
  <c r="AS477" i="1"/>
  <c r="AS498" i="1"/>
  <c r="AS538" i="1"/>
  <c r="AS557" i="1"/>
  <c r="AS576" i="1"/>
  <c r="AS585" i="1"/>
  <c r="AS596" i="1"/>
  <c r="AS649" i="1"/>
  <c r="AS258" i="1"/>
  <c r="AS20" i="1"/>
  <c r="AS31" i="1"/>
  <c r="AS41" i="1"/>
  <c r="AS94" i="1"/>
  <c r="AS106" i="1"/>
  <c r="AS127" i="1"/>
  <c r="AS138" i="1"/>
  <c r="AS168" i="1"/>
  <c r="AS177" i="1"/>
  <c r="AS187" i="1"/>
  <c r="AS197" i="1"/>
  <c r="AS252" i="1"/>
  <c r="AS288" i="1"/>
  <c r="AS308" i="1"/>
  <c r="AS368" i="1"/>
  <c r="AS378" i="1"/>
  <c r="AS405" i="1"/>
  <c r="AS621" i="1"/>
  <c r="AS765" i="1"/>
  <c r="AS7" i="1"/>
  <c r="AS17" i="1"/>
  <c r="AS21" i="1"/>
  <c r="AS139" i="1"/>
  <c r="AS178" i="1"/>
  <c r="AS224" i="1"/>
  <c r="AS263" i="1"/>
  <c r="AS272" i="1"/>
  <c r="AS330" i="1"/>
  <c r="AS347" i="1"/>
  <c r="AS357" i="1"/>
  <c r="AS395" i="1"/>
  <c r="AS417" i="1"/>
  <c r="AS427" i="1"/>
  <c r="AS478" i="1"/>
  <c r="AS489" i="1"/>
  <c r="AS549" i="1"/>
  <c r="AS558" i="1"/>
  <c r="AS569" i="1"/>
  <c r="AS610" i="1"/>
  <c r="AS631" i="1"/>
  <c r="AS65" i="1"/>
  <c r="AS119" i="1"/>
  <c r="AS128" i="1"/>
  <c r="AS151" i="1"/>
  <c r="AS188" i="1"/>
  <c r="AS198" i="1"/>
  <c r="AS245" i="1"/>
  <c r="AS282" i="1"/>
  <c r="AS310" i="1"/>
  <c r="AS331" i="1"/>
  <c r="AS348" i="1"/>
  <c r="AS369" i="1"/>
  <c r="AS379" i="1"/>
  <c r="AS396" i="1"/>
  <c r="AS406" i="1"/>
  <c r="AS438" i="1"/>
  <c r="AS468" i="1"/>
  <c r="AS559" i="1"/>
  <c r="AS611" i="1"/>
  <c r="AS623" i="1"/>
  <c r="AS129" i="1"/>
  <c r="AS140" i="1"/>
  <c r="AS161" i="1"/>
  <c r="AS199" i="1"/>
  <c r="AS226" i="1"/>
  <c r="AS235" i="1"/>
  <c r="AS273" i="1"/>
  <c r="AS370" i="1"/>
  <c r="AS389" i="1"/>
  <c r="AS407" i="1"/>
  <c r="AS501" i="1"/>
  <c r="AS521" i="1"/>
  <c r="AS550" i="1"/>
  <c r="AS600" i="1"/>
  <c r="AS632" i="1"/>
  <c r="AS23" i="1"/>
  <c r="AS44" i="1"/>
  <c r="AS77" i="1"/>
  <c r="AS130" i="1"/>
  <c r="AS152" i="1"/>
  <c r="AS189" i="1"/>
  <c r="AS209" i="1"/>
  <c r="AS283" i="1"/>
  <c r="AS322" i="1"/>
  <c r="AS332" i="1"/>
  <c r="AS341" i="1"/>
  <c r="AS390" i="1"/>
  <c r="AS419" i="1"/>
  <c r="AS450" i="1"/>
  <c r="AS511" i="1"/>
  <c r="AS572" i="1"/>
  <c r="AS581" i="1"/>
  <c r="AS692" i="1"/>
  <c r="AS704" i="1"/>
  <c r="AS798" i="1"/>
  <c r="AS672" i="1"/>
  <c r="AS706" i="1"/>
  <c r="AS695" i="1"/>
  <c r="AS707" i="1"/>
  <c r="AS751" i="1"/>
  <c r="AS799" i="1"/>
  <c r="AS684" i="1"/>
  <c r="AS791" i="1"/>
  <c r="AS653" i="1"/>
  <c r="AS728" i="1"/>
  <c r="AS633" i="1"/>
  <c r="AS642" i="1"/>
  <c r="AS761" i="1"/>
  <c r="AS809" i="1"/>
  <c r="AS643" i="1"/>
  <c r="AS607" i="1"/>
  <c r="AS644" i="1"/>
  <c r="AS678" i="1"/>
  <c r="AS645" i="1"/>
  <c r="AS689" i="1"/>
  <c r="AS701" i="1"/>
  <c r="AS713" i="1"/>
  <c r="AS860" i="1"/>
  <c r="AS281" i="1"/>
  <c r="AS320" i="1"/>
  <c r="AS329" i="1"/>
  <c r="AS337" i="1"/>
  <c r="AS345" i="1"/>
  <c r="AS354" i="1"/>
  <c r="AS366" i="1"/>
  <c r="AS383" i="1"/>
  <c r="AS402" i="1"/>
  <c r="AS413" i="1"/>
  <c r="AS473" i="1"/>
  <c r="AS523" i="1"/>
  <c r="AS571" i="1"/>
  <c r="AS646" i="1"/>
  <c r="AS668" i="1"/>
  <c r="AS679" i="1"/>
  <c r="AS714" i="1"/>
  <c r="AS740" i="1"/>
  <c r="AS755" i="1"/>
  <c r="AS367" i="1"/>
  <c r="AS384" i="1"/>
  <c r="AS393" i="1"/>
  <c r="AS403" i="1"/>
  <c r="AS414" i="1"/>
  <c r="AS453" i="1"/>
  <c r="AS463" i="1"/>
  <c r="AS474" i="1"/>
  <c r="AS513" i="1"/>
  <c r="AS658" i="1"/>
  <c r="AS669" i="1"/>
  <c r="AS691" i="1"/>
  <c r="AS715" i="1"/>
  <c r="AS725" i="1"/>
  <c r="AS764" i="1"/>
  <c r="AS781" i="1"/>
  <c r="AS794" i="1"/>
  <c r="AS699" i="1"/>
  <c r="AS733" i="1"/>
  <c r="AS758" i="1"/>
  <c r="AS795" i="1"/>
  <c r="AS433" i="1"/>
  <c r="AS123" i="1"/>
  <c r="AS206" i="1"/>
  <c r="AS194" i="1"/>
  <c r="AS266" i="1"/>
  <c r="AS399" i="1"/>
  <c r="AS662" i="1"/>
  <c r="AS51" i="1"/>
  <c r="AS64" i="1"/>
  <c r="AS148" i="1"/>
  <c r="AS86" i="1"/>
  <c r="AS100" i="1"/>
  <c r="AS267" i="1"/>
  <c r="AS338" i="1"/>
  <c r="AS351" i="1"/>
  <c r="AS388" i="1"/>
  <c r="AS422" i="1"/>
  <c r="AS769" i="1"/>
  <c r="AS37" i="1"/>
  <c r="AS195" i="1"/>
  <c r="AS412" i="1"/>
  <c r="AS458" i="1"/>
  <c r="AS531" i="1"/>
  <c r="AS589" i="1"/>
  <c r="AS675" i="1"/>
  <c r="AS700" i="1"/>
  <c r="AS469" i="1"/>
  <c r="AS792" i="1"/>
  <c r="AS83" i="1"/>
  <c r="AS124" i="1"/>
  <c r="AS169" i="1"/>
  <c r="AS602" i="1"/>
  <c r="AS782" i="1"/>
  <c r="AS230" i="1"/>
  <c r="AS423" i="1"/>
  <c r="AS696" i="1"/>
  <c r="AS241" i="1"/>
  <c r="AS268" i="1"/>
  <c r="AS747" i="1"/>
  <c r="AS49" i="1"/>
  <c r="AS207" i="1"/>
  <c r="AS217" i="1"/>
  <c r="AS382" i="1"/>
  <c r="AS409" i="1"/>
  <c r="AS420" i="1"/>
  <c r="AS520" i="1"/>
  <c r="AS574" i="1"/>
  <c r="AS673" i="1"/>
  <c r="AS676" i="1"/>
  <c r="AS712" i="1"/>
  <c r="AS720" i="1"/>
  <c r="AS730" i="1"/>
  <c r="AS805" i="1"/>
  <c r="AS400" i="1"/>
  <c r="AS577" i="1"/>
  <c r="AS614" i="1"/>
  <c r="AS723" i="1"/>
  <c r="AS253" i="1"/>
  <c r="AS156" i="1"/>
  <c r="AS277" i="1"/>
  <c r="AS424" i="1"/>
  <c r="AS470" i="1"/>
  <c r="AS551" i="1"/>
  <c r="AS590" i="1"/>
  <c r="AS686" i="1"/>
  <c r="AS39" i="1"/>
  <c r="AS88" i="1"/>
  <c r="AS95" i="1"/>
  <c r="AS146" i="1"/>
  <c r="AS227" i="1"/>
  <c r="AS346" i="1"/>
  <c r="AS398" i="1"/>
  <c r="AS471" i="1"/>
  <c r="AS615" i="1"/>
  <c r="AS635" i="1"/>
  <c r="AS651" i="1"/>
  <c r="AS664" i="1"/>
  <c r="AS697" i="1"/>
  <c r="AS708" i="1"/>
  <c r="AS731" i="1"/>
  <c r="AS735" i="1"/>
  <c r="AS748" i="1"/>
  <c r="AS767" i="1"/>
  <c r="AS142" i="1"/>
  <c r="AS264" i="1"/>
  <c r="AS274" i="1"/>
  <c r="AS286" i="1"/>
  <c r="AS289" i="1"/>
  <c r="AS428" i="1"/>
  <c r="AS435" i="1"/>
  <c r="AS452" i="1"/>
  <c r="AS456" i="1"/>
  <c r="AS482" i="1"/>
  <c r="AS514" i="1"/>
  <c r="AS524" i="1"/>
  <c r="AS586" i="1"/>
  <c r="AS599" i="1"/>
  <c r="AS603" i="1"/>
  <c r="AS680" i="1"/>
  <c r="AS709" i="1"/>
  <c r="AS721" i="1"/>
  <c r="AS806" i="1"/>
  <c r="AS87" i="1"/>
  <c r="AS385" i="1"/>
  <c r="AS408" i="1"/>
  <c r="AS506" i="1"/>
  <c r="AS724" i="1"/>
  <c r="AS170" i="1"/>
  <c r="AS410" i="1"/>
  <c r="AS579" i="1"/>
  <c r="AS587" i="1"/>
  <c r="AS591" i="1"/>
  <c r="AS754" i="1"/>
  <c r="AS532" i="1"/>
  <c r="AS685" i="1"/>
  <c r="AS711" i="1"/>
  <c r="AS84" i="1"/>
  <c r="AS421" i="1"/>
  <c r="AS432" i="1"/>
  <c r="AS575" i="1"/>
  <c r="AS807" i="1"/>
  <c r="AS15" i="1"/>
  <c r="AS99" i="1"/>
  <c r="AS193" i="1"/>
  <c r="AS275" i="1"/>
  <c r="AS279" i="1"/>
  <c r="AS394" i="1"/>
  <c r="AS411" i="1"/>
  <c r="AS467" i="1"/>
  <c r="AS490" i="1"/>
  <c r="AS508" i="1"/>
  <c r="AS588" i="1"/>
  <c r="AS592" i="1"/>
  <c r="AS636" i="1"/>
  <c r="AS671" i="1"/>
  <c r="AS674" i="1"/>
  <c r="AS688" i="1"/>
  <c r="AS698" i="1"/>
  <c r="AS886" i="1"/>
  <c r="AS554" i="1"/>
  <c r="AN381" i="1"/>
  <c r="W381" i="1" s="1"/>
  <c r="C280" i="1"/>
  <c r="AS380" i="1"/>
  <c r="AS376" i="1"/>
  <c r="AN565" i="1"/>
  <c r="W565" i="1" s="1"/>
  <c r="O861" i="1"/>
  <c r="P794" i="1"/>
  <c r="S794" i="1" s="1"/>
  <c r="O50" i="1"/>
  <c r="S737" i="1"/>
  <c r="AS444" i="1"/>
  <c r="O223" i="1"/>
  <c r="V223" i="1" s="1"/>
  <c r="S631" i="1"/>
  <c r="C646" i="1"/>
  <c r="AN647" i="1"/>
  <c r="C54" i="1"/>
  <c r="P58" i="1"/>
  <c r="S58" i="1" s="1"/>
  <c r="O786" i="1"/>
  <c r="O73" i="1"/>
  <c r="C267" i="1"/>
  <c r="C271" i="1"/>
  <c r="C648" i="1"/>
  <c r="C739" i="1"/>
  <c r="O66" i="1"/>
  <c r="V66" i="1" s="1"/>
  <c r="O268" i="1"/>
  <c r="C642" i="1"/>
  <c r="P482" i="1"/>
  <c r="V482" i="1" s="1"/>
  <c r="C206" i="1"/>
  <c r="AN260" i="1"/>
  <c r="C602" i="1"/>
  <c r="S811" i="1"/>
  <c r="P641" i="1"/>
  <c r="V641" i="1" s="1"/>
  <c r="C645" i="1"/>
  <c r="S119" i="1"/>
  <c r="C137" i="1"/>
  <c r="P207" i="1"/>
  <c r="V207" i="1" s="1"/>
  <c r="C468" i="1"/>
  <c r="AN475" i="1"/>
  <c r="W475" i="1" s="1"/>
  <c r="AS59" i="1"/>
  <c r="AN13" i="1"/>
  <c r="W13" i="1" s="1"/>
  <c r="C16" i="1"/>
  <c r="AN21" i="1"/>
  <c r="C138" i="1"/>
  <c r="C274" i="1"/>
  <c r="C363" i="1"/>
  <c r="AN375" i="1"/>
  <c r="W375" i="1" s="1"/>
  <c r="AO2" i="1"/>
  <c r="AN329" i="1"/>
  <c r="W329" i="1" s="1"/>
  <c r="AN95" i="1"/>
  <c r="W95" i="1" s="1"/>
  <c r="C450" i="1"/>
  <c r="S663" i="1"/>
  <c r="AS116" i="1"/>
  <c r="S328" i="1"/>
  <c r="C668" i="1"/>
  <c r="P671" i="1"/>
  <c r="S671" i="1" s="1"/>
  <c r="S739" i="1"/>
  <c r="AN759" i="1"/>
  <c r="W759" i="1" s="1"/>
  <c r="O116" i="1"/>
  <c r="P392" i="1"/>
  <c r="S392" i="1" s="1"/>
  <c r="C564" i="1"/>
  <c r="S564" i="1"/>
  <c r="O609" i="1"/>
  <c r="AS58" i="1"/>
  <c r="O48" i="1"/>
  <c r="C28" i="1"/>
  <c r="P48" i="1"/>
  <c r="S48" i="1" s="1"/>
  <c r="AN140" i="1"/>
  <c r="W140" i="1" s="1"/>
  <c r="O169" i="1"/>
  <c r="O217" i="1"/>
  <c r="V217" i="1" s="1"/>
  <c r="O314" i="1"/>
  <c r="C404" i="1"/>
  <c r="C513" i="1"/>
  <c r="O561" i="1"/>
  <c r="C686" i="1"/>
  <c r="O749" i="1"/>
  <c r="V749" i="1" s="1"/>
  <c r="AS772" i="1"/>
  <c r="P790" i="1"/>
  <c r="S790" i="1" s="1"/>
  <c r="O205" i="1"/>
  <c r="P225" i="1"/>
  <c r="S225" i="1" s="1"/>
  <c r="P330" i="1"/>
  <c r="S330" i="1" s="1"/>
  <c r="O70" i="1"/>
  <c r="AS103" i="1"/>
  <c r="C29" i="1"/>
  <c r="P41" i="1"/>
  <c r="S41" i="1" s="1"/>
  <c r="S142" i="1"/>
  <c r="S158" i="1"/>
  <c r="C202" i="1"/>
  <c r="S316" i="1"/>
  <c r="O386" i="1"/>
  <c r="V386" i="1" s="1"/>
  <c r="C445" i="1"/>
  <c r="S460" i="1"/>
  <c r="AN764" i="1"/>
  <c r="P799" i="1"/>
  <c r="V799" i="1" s="1"/>
  <c r="S810" i="1"/>
  <c r="O650" i="1"/>
  <c r="V650" i="1" s="1"/>
  <c r="AN697" i="1"/>
  <c r="O728" i="1"/>
  <c r="V728" i="1" s="1"/>
  <c r="O764" i="1"/>
  <c r="V764" i="1" s="1"/>
  <c r="S20" i="1"/>
  <c r="S461" i="1"/>
  <c r="S659" i="1"/>
  <c r="C721" i="1"/>
  <c r="AN761" i="1"/>
  <c r="W761" i="1" s="1"/>
  <c r="P64" i="1"/>
  <c r="V64" i="1" s="1"/>
  <c r="P70" i="1"/>
  <c r="S70" i="1" s="1"/>
  <c r="P73" i="1"/>
  <c r="S73" i="1" s="1"/>
  <c r="O81" i="1"/>
  <c r="C85" i="1"/>
  <c r="AN85" i="1"/>
  <c r="W85" i="1" s="1"/>
  <c r="C99" i="1"/>
  <c r="C144" i="1"/>
  <c r="C162" i="1"/>
  <c r="C187" i="1"/>
  <c r="C211" i="1"/>
  <c r="P222" i="1"/>
  <c r="V222" i="1" s="1"/>
  <c r="S296" i="1"/>
  <c r="P376" i="1"/>
  <c r="S376" i="1" s="1"/>
  <c r="P484" i="1"/>
  <c r="S484" i="1" s="1"/>
  <c r="C485" i="1"/>
  <c r="P672" i="1"/>
  <c r="V672" i="1" s="1"/>
  <c r="O714" i="1"/>
  <c r="O724" i="1"/>
  <c r="V724" i="1" s="1"/>
  <c r="AS777" i="1"/>
  <c r="C14" i="1"/>
  <c r="C65" i="1"/>
  <c r="O86" i="1"/>
  <c r="S91" i="1"/>
  <c r="C119" i="1"/>
  <c r="AN155" i="1"/>
  <c r="W155" i="1" s="1"/>
  <c r="C245" i="1"/>
  <c r="S313" i="1"/>
  <c r="C357" i="1"/>
  <c r="P379" i="1"/>
  <c r="V379" i="1" s="1"/>
  <c r="O478" i="1"/>
  <c r="P697" i="1"/>
  <c r="V697" i="1" s="1"/>
  <c r="P714" i="1"/>
  <c r="S714" i="1" s="1"/>
  <c r="C727" i="1"/>
  <c r="C108" i="1"/>
  <c r="O395" i="1"/>
  <c r="P478" i="1"/>
  <c r="S478" i="1" s="1"/>
  <c r="O495" i="1"/>
  <c r="S584" i="1"/>
  <c r="O631" i="1"/>
  <c r="V631" i="1" s="1"/>
  <c r="C32" i="1"/>
  <c r="P74" i="1"/>
  <c r="V74" i="1" s="1"/>
  <c r="S83" i="1"/>
  <c r="P87" i="1"/>
  <c r="S87" i="1" s="1"/>
  <c r="S92" i="1"/>
  <c r="S100" i="1"/>
  <c r="C117" i="1"/>
  <c r="C120" i="1"/>
  <c r="C272" i="1"/>
  <c r="C358" i="1"/>
  <c r="S438" i="1"/>
  <c r="S445" i="1"/>
  <c r="O449" i="1"/>
  <c r="O524" i="1"/>
  <c r="V524" i="1" s="1"/>
  <c r="AN547" i="1"/>
  <c r="W547" i="1" s="1"/>
  <c r="AN556" i="1"/>
  <c r="W556" i="1" s="1"/>
  <c r="AN575" i="1"/>
  <c r="W575" i="1" s="1"/>
  <c r="AN580" i="1"/>
  <c r="W580" i="1" s="1"/>
  <c r="C643" i="1"/>
  <c r="P681" i="1"/>
  <c r="V681" i="1" s="1"/>
  <c r="O756" i="1"/>
  <c r="O765" i="1"/>
  <c r="P767" i="1"/>
  <c r="S767" i="1" s="1"/>
  <c r="C712" i="1"/>
  <c r="C12" i="1"/>
  <c r="C52" i="1"/>
  <c r="S93" i="1"/>
  <c r="C106" i="1"/>
  <c r="C183" i="1"/>
  <c r="C268" i="1"/>
  <c r="S332" i="1"/>
  <c r="C356" i="1"/>
  <c r="S359" i="1"/>
  <c r="C371" i="1"/>
  <c r="C398" i="1"/>
  <c r="C492" i="1"/>
  <c r="S492" i="1"/>
  <c r="S513" i="1"/>
  <c r="AN534" i="1"/>
  <c r="W534" i="1" s="1"/>
  <c r="S678" i="1"/>
  <c r="C691" i="1"/>
  <c r="C703" i="1"/>
  <c r="C704" i="1"/>
  <c r="P768" i="1"/>
  <c r="V768" i="1" s="1"/>
  <c r="AS776" i="1"/>
  <c r="C4" i="1"/>
  <c r="P12" i="1"/>
  <c r="S12" i="1" s="1"/>
  <c r="O41" i="1"/>
  <c r="P84" i="1"/>
  <c r="S84" i="1" s="1"/>
  <c r="C115" i="1"/>
  <c r="AN307" i="1"/>
  <c r="W307" i="1" s="1"/>
  <c r="AN317" i="1"/>
  <c r="W317" i="1" s="1"/>
  <c r="AN321" i="1"/>
  <c r="O332" i="1"/>
  <c r="V332" i="1" s="1"/>
  <c r="C345" i="1"/>
  <c r="R381" i="1"/>
  <c r="S381" i="1" s="1"/>
  <c r="C382" i="1"/>
  <c r="P406" i="1"/>
  <c r="V406" i="1" s="1"/>
  <c r="AN407" i="1"/>
  <c r="C422" i="1"/>
  <c r="O450" i="1"/>
  <c r="V450" i="1" s="1"/>
  <c r="AN518" i="1"/>
  <c r="W518" i="1" s="1"/>
  <c r="C528" i="1"/>
  <c r="P538" i="1"/>
  <c r="S538" i="1" s="1"/>
  <c r="P557" i="1"/>
  <c r="S557" i="1" s="1"/>
  <c r="C594" i="1"/>
  <c r="AN600" i="1"/>
  <c r="AN626" i="1"/>
  <c r="W626" i="1" s="1"/>
  <c r="S682" i="1"/>
  <c r="C696" i="1"/>
  <c r="O700" i="1"/>
  <c r="C705" i="1"/>
  <c r="S792" i="1"/>
  <c r="O290" i="1"/>
  <c r="C6" i="1"/>
  <c r="C33" i="1"/>
  <c r="C53" i="1"/>
  <c r="P86" i="1"/>
  <c r="S86" i="1" s="1"/>
  <c r="P89" i="1"/>
  <c r="V89" i="1" s="1"/>
  <c r="C181" i="1"/>
  <c r="AN181" i="1"/>
  <c r="P189" i="1"/>
  <c r="S189" i="1" s="1"/>
  <c r="C234" i="1"/>
  <c r="C247" i="1"/>
  <c r="P310" i="1"/>
  <c r="S310" i="1" s="1"/>
  <c r="P345" i="1"/>
  <c r="S345" i="1" s="1"/>
  <c r="O369" i="1"/>
  <c r="P369" i="1"/>
  <c r="S369" i="1" s="1"/>
  <c r="C504" i="1"/>
  <c r="AN14" i="1"/>
  <c r="W14" i="1" s="1"/>
  <c r="N2" i="1"/>
  <c r="P6" i="1"/>
  <c r="S6" i="1" s="1"/>
  <c r="P14" i="1"/>
  <c r="O27" i="1"/>
  <c r="Y2" i="1"/>
  <c r="C41" i="1"/>
  <c r="C48" i="1"/>
  <c r="P53" i="1"/>
  <c r="S53" i="1" s="1"/>
  <c r="C63" i="1"/>
  <c r="O94" i="1"/>
  <c r="O101" i="1"/>
  <c r="AS122" i="1"/>
  <c r="AN136" i="1"/>
  <c r="W136" i="1" s="1"/>
  <c r="O155" i="1"/>
  <c r="O181" i="1"/>
  <c r="C182" i="1"/>
  <c r="AN202" i="1"/>
  <c r="W202" i="1" s="1"/>
  <c r="C205" i="1"/>
  <c r="C212" i="1"/>
  <c r="P230" i="1"/>
  <c r="S230" i="1" s="1"/>
  <c r="O234" i="1"/>
  <c r="P243" i="1"/>
  <c r="S243" i="1" s="1"/>
  <c r="C248" i="1"/>
  <c r="AN252" i="1"/>
  <c r="W252" i="1" s="1"/>
  <c r="O261" i="1"/>
  <c r="S265" i="1"/>
  <c r="C266" i="1"/>
  <c r="S274" i="1"/>
  <c r="C275" i="1"/>
  <c r="P283" i="1"/>
  <c r="S283" i="1" s="1"/>
  <c r="AN284" i="1"/>
  <c r="W284" i="1" s="1"/>
  <c r="P351" i="1"/>
  <c r="V351" i="1" s="1"/>
  <c r="AN421" i="1"/>
  <c r="C421" i="1"/>
  <c r="P421" i="1"/>
  <c r="S421" i="1" s="1"/>
  <c r="O421" i="1"/>
  <c r="P441" i="1"/>
  <c r="S441" i="1" s="1"/>
  <c r="O441" i="1"/>
  <c r="P488" i="1"/>
  <c r="O488" i="1"/>
  <c r="P27" i="1"/>
  <c r="S27" i="1" s="1"/>
  <c r="P261" i="1"/>
  <c r="S261" i="1" s="1"/>
  <c r="AS488" i="1"/>
  <c r="C488" i="1"/>
  <c r="P546" i="1"/>
  <c r="O546" i="1"/>
  <c r="P599" i="1"/>
  <c r="S599" i="1" s="1"/>
  <c r="O599" i="1"/>
  <c r="C7" i="1"/>
  <c r="C143" i="1"/>
  <c r="C177" i="1"/>
  <c r="AN183" i="1"/>
  <c r="W183" i="1" s="1"/>
  <c r="C194" i="1"/>
  <c r="AN221" i="1"/>
  <c r="C227" i="1"/>
  <c r="AN231" i="1"/>
  <c r="W231" i="1" s="1"/>
  <c r="AN332" i="1"/>
  <c r="W332" i="1" s="1"/>
  <c r="O404" i="1"/>
  <c r="P404" i="1"/>
  <c r="S404" i="1" s="1"/>
  <c r="C434" i="1"/>
  <c r="O574" i="1"/>
  <c r="AS85" i="1"/>
  <c r="O173" i="1"/>
  <c r="V173" i="1" s="1"/>
  <c r="O626" i="1"/>
  <c r="O7" i="1"/>
  <c r="P7" i="1"/>
  <c r="S7" i="1" s="1"/>
  <c r="O15" i="1"/>
  <c r="V15" i="1" s="1"/>
  <c r="C26" i="1"/>
  <c r="S42" i="1"/>
  <c r="P52" i="1"/>
  <c r="S52" i="1" s="1"/>
  <c r="C55" i="1"/>
  <c r="C68" i="1"/>
  <c r="P88" i="1"/>
  <c r="S88" i="1" s="1"/>
  <c r="P177" i="1"/>
  <c r="S177" i="1" s="1"/>
  <c r="O183" i="1"/>
  <c r="O238" i="1"/>
  <c r="V238" i="1" s="1"/>
  <c r="O327" i="1"/>
  <c r="V327" i="1" s="1"/>
  <c r="O400" i="1"/>
  <c r="V400" i="1" s="1"/>
  <c r="O415" i="1"/>
  <c r="P415" i="1"/>
  <c r="S415" i="1" s="1"/>
  <c r="P431" i="1"/>
  <c r="V431" i="1" s="1"/>
  <c r="AN680" i="1"/>
  <c r="C680" i="1"/>
  <c r="AN8" i="1"/>
  <c r="W8" i="1" s="1"/>
  <c r="O23" i="1"/>
  <c r="V23" i="1" s="1"/>
  <c r="O26" i="1"/>
  <c r="S103" i="1"/>
  <c r="P125" i="1"/>
  <c r="V125" i="1" s="1"/>
  <c r="C130" i="1"/>
  <c r="AN135" i="1"/>
  <c r="W135" i="1" s="1"/>
  <c r="O144" i="1"/>
  <c r="V144" i="1" s="1"/>
  <c r="C168" i="1"/>
  <c r="S200" i="1"/>
  <c r="O232" i="1"/>
  <c r="V232" i="1" s="1"/>
  <c r="S273" i="1"/>
  <c r="C279" i="1"/>
  <c r="S286" i="1"/>
  <c r="P289" i="1"/>
  <c r="S289" i="1" s="1"/>
  <c r="C324" i="1"/>
  <c r="O410" i="1"/>
  <c r="P427" i="1"/>
  <c r="S427" i="1" s="1"/>
  <c r="O427" i="1"/>
  <c r="S450" i="1"/>
  <c r="S458" i="1"/>
  <c r="C525" i="1"/>
  <c r="S543" i="1"/>
  <c r="S593" i="1"/>
  <c r="S763" i="1"/>
  <c r="C860" i="1"/>
  <c r="C455" i="1"/>
  <c r="C523" i="1"/>
  <c r="AN531" i="1"/>
  <c r="AS543" i="1"/>
  <c r="C701" i="1"/>
  <c r="AN728" i="1"/>
  <c r="W728" i="1" s="1"/>
  <c r="O763" i="1"/>
  <c r="V763" i="1" s="1"/>
  <c r="P778" i="1"/>
  <c r="S778" i="1" s="1"/>
  <c r="AN792" i="1"/>
  <c r="W792" i="1" s="1"/>
  <c r="S554" i="1"/>
  <c r="O607" i="1"/>
  <c r="C613" i="1"/>
  <c r="O616" i="1"/>
  <c r="P669" i="1"/>
  <c r="V669" i="1" s="1"/>
  <c r="AN754" i="1"/>
  <c r="W754" i="1" s="1"/>
  <c r="C787" i="1"/>
  <c r="C311" i="1"/>
  <c r="C312" i="1"/>
  <c r="S312" i="1"/>
  <c r="AN328" i="1"/>
  <c r="W328" i="1" s="1"/>
  <c r="AN344" i="1"/>
  <c r="W344" i="1" s="1"/>
  <c r="C378" i="1"/>
  <c r="C462" i="1"/>
  <c r="S462" i="1"/>
  <c r="C466" i="1"/>
  <c r="O471" i="1"/>
  <c r="V471" i="1" s="1"/>
  <c r="C483" i="1"/>
  <c r="S509" i="1"/>
  <c r="O523" i="1"/>
  <c r="C527" i="1"/>
  <c r="P540" i="1"/>
  <c r="S540" i="1" s="1"/>
  <c r="C601" i="1"/>
  <c r="P607" i="1"/>
  <c r="S607" i="1" s="1"/>
  <c r="C621" i="1"/>
  <c r="O624" i="1"/>
  <c r="P651" i="1"/>
  <c r="V651" i="1" s="1"/>
  <c r="S654" i="1"/>
  <c r="AN707" i="1"/>
  <c r="W707" i="1" s="1"/>
  <c r="C748" i="1"/>
  <c r="C802" i="1"/>
  <c r="O462" i="1"/>
  <c r="V462" i="1" s="1"/>
  <c r="AS466" i="1"/>
  <c r="O501" i="1"/>
  <c r="V501" i="1" s="1"/>
  <c r="S675" i="1"/>
  <c r="AN288" i="1"/>
  <c r="W288" i="1" s="1"/>
  <c r="P301" i="1"/>
  <c r="S301" i="1" s="1"/>
  <c r="P367" i="1"/>
  <c r="V367" i="1" s="1"/>
  <c r="C373" i="1"/>
  <c r="O381" i="1"/>
  <c r="V381" i="1" s="1"/>
  <c r="C384" i="1"/>
  <c r="O396" i="1"/>
  <c r="O399" i="1"/>
  <c r="P419" i="1"/>
  <c r="V419" i="1" s="1"/>
  <c r="P432" i="1"/>
  <c r="V432" i="1" s="1"/>
  <c r="P436" i="1"/>
  <c r="S436" i="1" s="1"/>
  <c r="AN452" i="1"/>
  <c r="W452" i="1" s="1"/>
  <c r="AN467" i="1"/>
  <c r="C477" i="1"/>
  <c r="C487" i="1"/>
  <c r="O675" i="1"/>
  <c r="V675" i="1" s="1"/>
  <c r="O695" i="1"/>
  <c r="C700" i="1"/>
  <c r="P702" i="1"/>
  <c r="S702" i="1" s="1"/>
  <c r="O719" i="1"/>
  <c r="V719" i="1" s="1"/>
  <c r="P733" i="1"/>
  <c r="V733" i="1" s="1"/>
  <c r="O739" i="1"/>
  <c r="V739" i="1" s="1"/>
  <c r="S752" i="1"/>
  <c r="C755" i="1"/>
  <c r="P759" i="1"/>
  <c r="S759" i="1" s="1"/>
  <c r="P785" i="1"/>
  <c r="S785" i="1" s="1"/>
  <c r="AN862" i="1"/>
  <c r="W862" i="1" s="1"/>
  <c r="C282" i="1"/>
  <c r="S295" i="1"/>
  <c r="C326" i="1"/>
  <c r="C331" i="1"/>
  <c r="C332" i="1"/>
  <c r="P363" i="1"/>
  <c r="V363" i="1" s="1"/>
  <c r="AN370" i="1"/>
  <c r="O391" i="1"/>
  <c r="V391" i="1" s="1"/>
  <c r="P394" i="1"/>
  <c r="V394" i="1" s="1"/>
  <c r="P396" i="1"/>
  <c r="S396" i="1" s="1"/>
  <c r="P402" i="1"/>
  <c r="V402" i="1" s="1"/>
  <c r="O412" i="1"/>
  <c r="AN413" i="1"/>
  <c r="P457" i="1"/>
  <c r="S457" i="1" s="1"/>
  <c r="C463" i="1"/>
  <c r="C473" i="1"/>
  <c r="AN511" i="1"/>
  <c r="W511" i="1" s="1"/>
  <c r="P528" i="1"/>
  <c r="AN553" i="1"/>
  <c r="W553" i="1" s="1"/>
  <c r="S568" i="1"/>
  <c r="P588" i="1"/>
  <c r="V588" i="1" s="1"/>
  <c r="P592" i="1"/>
  <c r="V592" i="1" s="1"/>
  <c r="C625" i="1"/>
  <c r="C652" i="1"/>
  <c r="O685" i="1"/>
  <c r="V685" i="1" s="1"/>
  <c r="AN715" i="1"/>
  <c r="W715" i="1" s="1"/>
  <c r="C720" i="1"/>
  <c r="S724" i="1"/>
  <c r="P750" i="1"/>
  <c r="S750" i="1" s="1"/>
  <c r="C768" i="1"/>
  <c r="P776" i="1"/>
  <c r="V776" i="1" s="1"/>
  <c r="P783" i="1"/>
  <c r="V783" i="1" s="1"/>
  <c r="C786" i="1"/>
  <c r="P793" i="1"/>
  <c r="S793" i="1" s="1"/>
  <c r="P800" i="1"/>
  <c r="AN18" i="1"/>
  <c r="W18" i="1" s="1"/>
  <c r="C21" i="1"/>
  <c r="C50" i="1"/>
  <c r="O68" i="1"/>
  <c r="V68" i="1" s="1"/>
  <c r="C82" i="1"/>
  <c r="AN184" i="1"/>
  <c r="P187" i="1"/>
  <c r="V187" i="1" s="1"/>
  <c r="C203" i="1"/>
  <c r="O245" i="1"/>
  <c r="V245" i="1" s="1"/>
  <c r="P263" i="1"/>
  <c r="V263" i="1" s="1"/>
  <c r="O270" i="1"/>
  <c r="O315" i="1"/>
  <c r="AN138" i="1"/>
  <c r="W138" i="1" s="1"/>
  <c r="C270" i="1"/>
  <c r="AS315" i="1"/>
  <c r="C315" i="1"/>
  <c r="P325" i="1"/>
  <c r="S325" i="1" s="1"/>
  <c r="P343" i="1"/>
  <c r="S343" i="1" s="1"/>
  <c r="O375" i="1"/>
  <c r="AN445" i="1"/>
  <c r="AN27" i="1"/>
  <c r="W27" i="1" s="1"/>
  <c r="C69" i="1"/>
  <c r="C75" i="1"/>
  <c r="C84" i="1"/>
  <c r="C90" i="1"/>
  <c r="C101" i="1"/>
  <c r="C114" i="1"/>
  <c r="C123" i="1"/>
  <c r="AN131" i="1"/>
  <c r="W131" i="1" s="1"/>
  <c r="C152" i="1"/>
  <c r="AN185" i="1"/>
  <c r="W185" i="1" s="1"/>
  <c r="C186" i="1"/>
  <c r="C207" i="1"/>
  <c r="AN220" i="1"/>
  <c r="W220" i="1" s="1"/>
  <c r="C265" i="1"/>
  <c r="AN265" i="1"/>
  <c r="W265" i="1" s="1"/>
  <c r="O271" i="1"/>
  <c r="P271" i="1"/>
  <c r="S271" i="1" s="1"/>
  <c r="C375" i="1"/>
  <c r="P378" i="1"/>
  <c r="S378" i="1" s="1"/>
  <c r="O378" i="1"/>
  <c r="O440" i="1"/>
  <c r="P440" i="1"/>
  <c r="S440" i="1" s="1"/>
  <c r="C5" i="1"/>
  <c r="P29" i="1"/>
  <c r="V29" i="1" s="1"/>
  <c r="O60" i="1"/>
  <c r="P67" i="1"/>
  <c r="V67" i="1" s="1"/>
  <c r="O150" i="1"/>
  <c r="O164" i="1"/>
  <c r="O171" i="1"/>
  <c r="O176" i="1"/>
  <c r="O282" i="1"/>
  <c r="P282" i="1"/>
  <c r="S282" i="1" s="1"/>
  <c r="P291" i="1"/>
  <c r="S291" i="1" s="1"/>
  <c r="O291" i="1"/>
  <c r="O325" i="1"/>
  <c r="P353" i="1"/>
  <c r="S353" i="1" s="1"/>
  <c r="AN6" i="1"/>
  <c r="W6" i="1" s="1"/>
  <c r="AS12" i="1"/>
  <c r="AN16" i="1"/>
  <c r="C30" i="1"/>
  <c r="C45" i="1"/>
  <c r="P51" i="1"/>
  <c r="S51" i="1" s="1"/>
  <c r="AS55" i="1"/>
  <c r="C58" i="1"/>
  <c r="P60" i="1"/>
  <c r="S60" i="1" s="1"/>
  <c r="AN63" i="1"/>
  <c r="W63" i="1" s="1"/>
  <c r="P65" i="1"/>
  <c r="V65" i="1" s="1"/>
  <c r="P69" i="1"/>
  <c r="S69" i="1" s="1"/>
  <c r="P71" i="1"/>
  <c r="S71" i="1" s="1"/>
  <c r="C76" i="1"/>
  <c r="S76" i="1"/>
  <c r="C77" i="1"/>
  <c r="AN80" i="1"/>
  <c r="W80" i="1" s="1"/>
  <c r="O83" i="1"/>
  <c r="V83" i="1" s="1"/>
  <c r="C87" i="1"/>
  <c r="P94" i="1"/>
  <c r="S94" i="1" s="1"/>
  <c r="O96" i="1"/>
  <c r="AN106" i="1"/>
  <c r="W106" i="1" s="1"/>
  <c r="O111" i="1"/>
  <c r="O120" i="1"/>
  <c r="O123" i="1"/>
  <c r="AN132" i="1"/>
  <c r="W132" i="1" s="1"/>
  <c r="P138" i="1"/>
  <c r="S138" i="1" s="1"/>
  <c r="O161" i="1"/>
  <c r="V161" i="1" s="1"/>
  <c r="S167" i="1"/>
  <c r="S170" i="1"/>
  <c r="P171" i="1"/>
  <c r="S171" i="1" s="1"/>
  <c r="P176" i="1"/>
  <c r="S176" i="1" s="1"/>
  <c r="R181" i="1"/>
  <c r="O186" i="1"/>
  <c r="AN188" i="1"/>
  <c r="W188" i="1" s="1"/>
  <c r="S190" i="1"/>
  <c r="O202" i="1"/>
  <c r="O213" i="1"/>
  <c r="V213" i="1" s="1"/>
  <c r="P216" i="1"/>
  <c r="V216" i="1" s="1"/>
  <c r="AS234" i="1"/>
  <c r="O241" i="1"/>
  <c r="O247" i="1"/>
  <c r="C262" i="1"/>
  <c r="O265" i="1"/>
  <c r="V265" i="1" s="1"/>
  <c r="P268" i="1"/>
  <c r="S268" i="1" s="1"/>
  <c r="C34" i="1"/>
  <c r="P49" i="1"/>
  <c r="S49" i="1" s="1"/>
  <c r="AS52" i="1"/>
  <c r="O80" i="1"/>
  <c r="C97" i="1"/>
  <c r="P99" i="1"/>
  <c r="S99" i="1" s="1"/>
  <c r="O106" i="1"/>
  <c r="C112" i="1"/>
  <c r="O132" i="1"/>
  <c r="V132" i="1" s="1"/>
  <c r="C133" i="1"/>
  <c r="C136" i="1"/>
  <c r="S148" i="1"/>
  <c r="O170" i="1"/>
  <c r="V170" i="1" s="1"/>
  <c r="C180" i="1"/>
  <c r="P186" i="1"/>
  <c r="S186" i="1" s="1"/>
  <c r="C189" i="1"/>
  <c r="C191" i="1"/>
  <c r="C195" i="1"/>
  <c r="O204" i="1"/>
  <c r="V204" i="1" s="1"/>
  <c r="C210" i="1"/>
  <c r="O218" i="1"/>
  <c r="AN226" i="1"/>
  <c r="W226" i="1" s="1"/>
  <c r="O228" i="1"/>
  <c r="V228" i="1" s="1"/>
  <c r="AN229" i="1"/>
  <c r="P241" i="1"/>
  <c r="S241" i="1" s="1"/>
  <c r="AN257" i="1"/>
  <c r="W257" i="1" s="1"/>
  <c r="C257" i="1"/>
  <c r="O272" i="1"/>
  <c r="O16" i="1"/>
  <c r="O11" i="1"/>
  <c r="P11" i="1"/>
  <c r="C102" i="1"/>
  <c r="O109" i="1"/>
  <c r="C124" i="1"/>
  <c r="O130" i="1"/>
  <c r="V130" i="1" s="1"/>
  <c r="O148" i="1"/>
  <c r="V148" i="1" s="1"/>
  <c r="P151" i="1"/>
  <c r="S151" i="1" s="1"/>
  <c r="O178" i="1"/>
  <c r="V178" i="1" s="1"/>
  <c r="P180" i="1"/>
  <c r="V180" i="1" s="1"/>
  <c r="O210" i="1"/>
  <c r="P214" i="1"/>
  <c r="S214" i="1" s="1"/>
  <c r="P218" i="1"/>
  <c r="S218" i="1" s="1"/>
  <c r="AS223" i="1"/>
  <c r="O368" i="1"/>
  <c r="C10" i="1"/>
  <c r="P26" i="1"/>
  <c r="S26" i="1" s="1"/>
  <c r="AN31" i="1"/>
  <c r="W31" i="1" s="1"/>
  <c r="P34" i="1"/>
  <c r="S34" i="1" s="1"/>
  <c r="C38" i="1"/>
  <c r="S61" i="1"/>
  <c r="S78" i="1"/>
  <c r="C125" i="1"/>
  <c r="AN163" i="1"/>
  <c r="W163" i="1" s="1"/>
  <c r="O175" i="1"/>
  <c r="AS202" i="1"/>
  <c r="C230" i="1"/>
  <c r="O235" i="1"/>
  <c r="V235" i="1" s="1"/>
  <c r="C255" i="1"/>
  <c r="O255" i="1"/>
  <c r="P255" i="1"/>
  <c r="S255" i="1" s="1"/>
  <c r="AN417" i="1"/>
  <c r="AN468" i="1"/>
  <c r="W468" i="1" s="1"/>
  <c r="P477" i="1"/>
  <c r="S477" i="1" s="1"/>
  <c r="O487" i="1"/>
  <c r="O490" i="1"/>
  <c r="C510" i="1"/>
  <c r="O567" i="1"/>
  <c r="AN663" i="1"/>
  <c r="C663" i="1"/>
  <c r="AN672" i="1"/>
  <c r="C672" i="1"/>
  <c r="AN689" i="1"/>
  <c r="W689" i="1" s="1"/>
  <c r="O787" i="1"/>
  <c r="O885" i="1"/>
  <c r="AN258" i="1"/>
  <c r="AN268" i="1"/>
  <c r="AN274" i="1"/>
  <c r="C277" i="1"/>
  <c r="C287" i="1"/>
  <c r="O289" i="1"/>
  <c r="AS291" i="1"/>
  <c r="P306" i="1"/>
  <c r="S306" i="1" s="1"/>
  <c r="C322" i="1"/>
  <c r="O330" i="1"/>
  <c r="C333" i="1"/>
  <c r="AN354" i="1"/>
  <c r="W354" i="1" s="1"/>
  <c r="S370" i="1"/>
  <c r="AN391" i="1"/>
  <c r="W391" i="1" s="1"/>
  <c r="AN393" i="1"/>
  <c r="W393" i="1" s="1"/>
  <c r="C406" i="1"/>
  <c r="C408" i="1"/>
  <c r="P417" i="1"/>
  <c r="V417" i="1" s="1"/>
  <c r="O430" i="1"/>
  <c r="V430" i="1" s="1"/>
  <c r="AS434" i="1"/>
  <c r="O444" i="1"/>
  <c r="S463" i="1"/>
  <c r="C472" i="1"/>
  <c r="S472" i="1"/>
  <c r="P487" i="1"/>
  <c r="S487" i="1" s="1"/>
  <c r="P510" i="1"/>
  <c r="V510" i="1" s="1"/>
  <c r="S514" i="1"/>
  <c r="O533" i="1"/>
  <c r="P533" i="1"/>
  <c r="S533" i="1" s="1"/>
  <c r="O544" i="1"/>
  <c r="V544" i="1" s="1"/>
  <c r="AN550" i="1"/>
  <c r="P574" i="1"/>
  <c r="S574" i="1" s="1"/>
  <c r="C608" i="1"/>
  <c r="C620" i="1"/>
  <c r="S620" i="1"/>
  <c r="P640" i="1"/>
  <c r="S640" i="1" s="1"/>
  <c r="O640" i="1"/>
  <c r="AN316" i="1"/>
  <c r="W316" i="1" s="1"/>
  <c r="C319" i="1"/>
  <c r="C350" i="1"/>
  <c r="C355" i="1"/>
  <c r="AN374" i="1"/>
  <c r="AN386" i="1"/>
  <c r="W386" i="1" s="1"/>
  <c r="AN394" i="1"/>
  <c r="W394" i="1" s="1"/>
  <c r="O451" i="1"/>
  <c r="C457" i="1"/>
  <c r="O463" i="1"/>
  <c r="V463" i="1" s="1"/>
  <c r="O466" i="1"/>
  <c r="C476" i="1"/>
  <c r="S476" i="1"/>
  <c r="C478" i="1"/>
  <c r="AN483" i="1"/>
  <c r="W483" i="1" s="1"/>
  <c r="C489" i="1"/>
  <c r="C495" i="1"/>
  <c r="C497" i="1"/>
  <c r="C500" i="1"/>
  <c r="S519" i="1"/>
  <c r="C537" i="1"/>
  <c r="S544" i="1"/>
  <c r="P550" i="1"/>
  <c r="V550" i="1" s="1"/>
  <c r="C551" i="1"/>
  <c r="AN551" i="1"/>
  <c r="W551" i="1" s="1"/>
  <c r="O553" i="1"/>
  <c r="AN564" i="1"/>
  <c r="W564" i="1" s="1"/>
  <c r="P567" i="1"/>
  <c r="S567" i="1" s="1"/>
  <c r="O575" i="1"/>
  <c r="P575" i="1"/>
  <c r="S575" i="1" s="1"/>
  <c r="O581" i="1"/>
  <c r="C617" i="1"/>
  <c r="P623" i="1"/>
  <c r="S623" i="1" s="1"/>
  <c r="C629" i="1"/>
  <c r="P662" i="1"/>
  <c r="S662" i="1" s="1"/>
  <c r="O662" i="1"/>
  <c r="P667" i="1"/>
  <c r="S667" i="1" s="1"/>
  <c r="O667" i="1"/>
  <c r="O683" i="1"/>
  <c r="V683" i="1" s="1"/>
  <c r="P686" i="1"/>
  <c r="S686" i="1" s="1"/>
  <c r="O686" i="1"/>
  <c r="P690" i="1"/>
  <c r="O690" i="1"/>
  <c r="O856" i="1"/>
  <c r="P856" i="1"/>
  <c r="S856" i="1" s="1"/>
  <c r="P451" i="1"/>
  <c r="S451" i="1" s="1"/>
  <c r="P466" i="1"/>
  <c r="S466" i="1" s="1"/>
  <c r="AN476" i="1"/>
  <c r="W476" i="1" s="1"/>
  <c r="P525" i="1"/>
  <c r="S525" i="1" s="1"/>
  <c r="O525" i="1"/>
  <c r="O648" i="1"/>
  <c r="P648" i="1"/>
  <c r="P722" i="1"/>
  <c r="S722" i="1" s="1"/>
  <c r="O722" i="1"/>
  <c r="O288" i="1"/>
  <c r="P357" i="1"/>
  <c r="S357" i="1" s="1"/>
  <c r="AN363" i="1"/>
  <c r="W363" i="1" s="1"/>
  <c r="C425" i="1"/>
  <c r="S434" i="1"/>
  <c r="S443" i="1"/>
  <c r="C446" i="1"/>
  <c r="O476" i="1"/>
  <c r="V476" i="1" s="1"/>
  <c r="S481" i="1"/>
  <c r="O502" i="1"/>
  <c r="P523" i="1"/>
  <c r="S523" i="1" s="1"/>
  <c r="P531" i="1"/>
  <c r="V531" i="1" s="1"/>
  <c r="O578" i="1"/>
  <c r="V578" i="1" s="1"/>
  <c r="O603" i="1"/>
  <c r="P603" i="1"/>
  <c r="S603" i="1" s="1"/>
  <c r="AN607" i="1"/>
  <c r="C607" i="1"/>
  <c r="C632" i="1"/>
  <c r="AN632" i="1"/>
  <c r="P632" i="1"/>
  <c r="S632" i="1" s="1"/>
  <c r="O632" i="1"/>
  <c r="AN643" i="1"/>
  <c r="W643" i="1" s="1"/>
  <c r="AN648" i="1"/>
  <c r="W648" i="1" s="1"/>
  <c r="O659" i="1"/>
  <c r="V659" i="1" s="1"/>
  <c r="O665" i="1"/>
  <c r="V665" i="1" s="1"/>
  <c r="C722" i="1"/>
  <c r="AS722" i="1"/>
  <c r="O741" i="1"/>
  <c r="P741" i="1"/>
  <c r="S741" i="1" s="1"/>
  <c r="S749" i="1"/>
  <c r="C269" i="1"/>
  <c r="P288" i="1"/>
  <c r="P290" i="1"/>
  <c r="S290" i="1" s="1"/>
  <c r="C298" i="1"/>
  <c r="S304" i="1"/>
  <c r="C308" i="1"/>
  <c r="AN335" i="1"/>
  <c r="W335" i="1" s="1"/>
  <c r="O345" i="1"/>
  <c r="AN351" i="1"/>
  <c r="W351" i="1" s="1"/>
  <c r="AN379" i="1"/>
  <c r="W379" i="1" s="1"/>
  <c r="AN383" i="1"/>
  <c r="W383" i="1" s="1"/>
  <c r="C390" i="1"/>
  <c r="P399" i="1"/>
  <c r="S399" i="1" s="1"/>
  <c r="C401" i="1"/>
  <c r="C410" i="1"/>
  <c r="C414" i="1"/>
  <c r="P425" i="1"/>
  <c r="S425" i="1" s="1"/>
  <c r="O434" i="1"/>
  <c r="V434" i="1" s="1"/>
  <c r="C441" i="1"/>
  <c r="O443" i="1"/>
  <c r="V443" i="1" s="1"/>
  <c r="P446" i="1"/>
  <c r="V446" i="1" s="1"/>
  <c r="AN450" i="1"/>
  <c r="W450" i="1" s="1"/>
  <c r="P455" i="1"/>
  <c r="V455" i="1" s="1"/>
  <c r="AN455" i="1"/>
  <c r="S471" i="1"/>
  <c r="P498" i="1"/>
  <c r="S498" i="1" s="1"/>
  <c r="C521" i="1"/>
  <c r="O521" i="1"/>
  <c r="C535" i="1"/>
  <c r="O538" i="1"/>
  <c r="P542" i="1"/>
  <c r="S542" i="1" s="1"/>
  <c r="C552" i="1"/>
  <c r="AN562" i="1"/>
  <c r="O565" i="1"/>
  <c r="C578" i="1"/>
  <c r="S578" i="1"/>
  <c r="AS641" i="1"/>
  <c r="S665" i="1"/>
  <c r="O688" i="1"/>
  <c r="P715" i="1"/>
  <c r="S715" i="1" s="1"/>
  <c r="O715" i="1"/>
  <c r="C789" i="1"/>
  <c r="AN789" i="1"/>
  <c r="C803" i="1"/>
  <c r="O555" i="1"/>
  <c r="V555" i="1" s="1"/>
  <c r="O594" i="1"/>
  <c r="P627" i="1"/>
  <c r="S627" i="1" s="1"/>
  <c r="O627" i="1"/>
  <c r="AN682" i="1"/>
  <c r="W682" i="1" s="1"/>
  <c r="C682" i="1"/>
  <c r="P754" i="1"/>
  <c r="S754" i="1" s="1"/>
  <c r="O754" i="1"/>
  <c r="C250" i="1"/>
  <c r="O283" i="1"/>
  <c r="C299" i="1"/>
  <c r="P314" i="1"/>
  <c r="S314" i="1" s="1"/>
  <c r="P318" i="1"/>
  <c r="V318" i="1" s="1"/>
  <c r="C325" i="1"/>
  <c r="C336" i="1"/>
  <c r="AN349" i="1"/>
  <c r="C364" i="1"/>
  <c r="AN411" i="1"/>
  <c r="W411" i="1" s="1"/>
  <c r="AN415" i="1"/>
  <c r="C423" i="1"/>
  <c r="C426" i="1"/>
  <c r="C444" i="1"/>
  <c r="AN456" i="1"/>
  <c r="S502" i="1"/>
  <c r="C529" i="1"/>
  <c r="AN536" i="1"/>
  <c r="C536" i="1"/>
  <c r="S555" i="1"/>
  <c r="C560" i="1"/>
  <c r="P560" i="1"/>
  <c r="O560" i="1"/>
  <c r="O563" i="1"/>
  <c r="P563" i="1"/>
  <c r="S563" i="1" s="1"/>
  <c r="C569" i="1"/>
  <c r="S569" i="1"/>
  <c r="P577" i="1"/>
  <c r="S577" i="1" s="1"/>
  <c r="O577" i="1"/>
  <c r="P587" i="1"/>
  <c r="V587" i="1" s="1"/>
  <c r="C590" i="1"/>
  <c r="O590" i="1"/>
  <c r="P590" i="1"/>
  <c r="S590" i="1" s="1"/>
  <c r="O636" i="1"/>
  <c r="V636" i="1" s="1"/>
  <c r="C639" i="1"/>
  <c r="AS812" i="1"/>
  <c r="S726" i="1"/>
  <c r="P756" i="1"/>
  <c r="S756" i="1" s="1"/>
  <c r="R764" i="1"/>
  <c r="S764" i="1" s="1"/>
  <c r="P765" i="1"/>
  <c r="S765" i="1" s="1"/>
  <c r="C799" i="1"/>
  <c r="AS814" i="1"/>
  <c r="C579" i="1"/>
  <c r="C582" i="1"/>
  <c r="S600" i="1"/>
  <c r="O680" i="1"/>
  <c r="C692" i="1"/>
  <c r="P704" i="1"/>
  <c r="S704" i="1" s="1"/>
  <c r="O708" i="1"/>
  <c r="V708" i="1" s="1"/>
  <c r="O721" i="1"/>
  <c r="V721" i="1" s="1"/>
  <c r="AN727" i="1"/>
  <c r="W727" i="1" s="1"/>
  <c r="AN730" i="1"/>
  <c r="W730" i="1" s="1"/>
  <c r="AN750" i="1"/>
  <c r="W750" i="1" s="1"/>
  <c r="O751" i="1"/>
  <c r="V751" i="1" s="1"/>
  <c r="P755" i="1"/>
  <c r="S755" i="1" s="1"/>
  <c r="C763" i="1"/>
  <c r="AS773" i="1"/>
  <c r="AN784" i="1"/>
  <c r="W784" i="1" s="1"/>
  <c r="P791" i="1"/>
  <c r="S791" i="1" s="1"/>
  <c r="P817" i="1"/>
  <c r="V817" i="1" s="1"/>
  <c r="AS857" i="1"/>
  <c r="O862" i="1"/>
  <c r="AS536" i="1"/>
  <c r="C556" i="1"/>
  <c r="AN674" i="1"/>
  <c r="W674" i="1" s="1"/>
  <c r="AN721" i="1"/>
  <c r="AS741" i="1"/>
  <c r="C747" i="1"/>
  <c r="S758" i="1"/>
  <c r="AS768" i="1"/>
  <c r="C808" i="1"/>
  <c r="C501" i="1"/>
  <c r="S524" i="1"/>
  <c r="C543" i="1"/>
  <c r="C545" i="1"/>
  <c r="S549" i="1"/>
  <c r="C561" i="1"/>
  <c r="C566" i="1"/>
  <c r="AN573" i="1"/>
  <c r="S585" i="1"/>
  <c r="S591" i="1"/>
  <c r="C592" i="1"/>
  <c r="AN599" i="1"/>
  <c r="W599" i="1" s="1"/>
  <c r="C626" i="1"/>
  <c r="C644" i="1"/>
  <c r="C687" i="1"/>
  <c r="P692" i="1"/>
  <c r="S692" i="1" s="1"/>
  <c r="P695" i="1"/>
  <c r="S695" i="1" s="1"/>
  <c r="P700" i="1"/>
  <c r="S700" i="1" s="1"/>
  <c r="C702" i="1"/>
  <c r="C706" i="1"/>
  <c r="S708" i="1"/>
  <c r="S721" i="1"/>
  <c r="C723" i="1"/>
  <c r="O759" i="1"/>
  <c r="C766" i="1"/>
  <c r="P782" i="1"/>
  <c r="V782" i="1" s="1"/>
  <c r="P784" i="1"/>
  <c r="S784" i="1" s="1"/>
  <c r="AS796" i="1"/>
  <c r="C800" i="1"/>
  <c r="AN800" i="1"/>
  <c r="O808" i="1"/>
  <c r="P855" i="1"/>
  <c r="S855" i="1" s="1"/>
  <c r="AN861" i="1"/>
  <c r="W861" i="1" s="1"/>
  <c r="O884" i="1"/>
  <c r="P886" i="1"/>
  <c r="O800" i="1"/>
  <c r="V800" i="1" s="1"/>
  <c r="P660" i="1"/>
  <c r="S660" i="1" s="1"/>
  <c r="C664" i="1"/>
  <c r="AN669" i="1"/>
  <c r="W669" i="1" s="1"/>
  <c r="O671" i="1"/>
  <c r="C675" i="1"/>
  <c r="AN676" i="1"/>
  <c r="P679" i="1"/>
  <c r="V679" i="1" s="1"/>
  <c r="S683" i="1"/>
  <c r="AN687" i="1"/>
  <c r="W687" i="1" s="1"/>
  <c r="O689" i="1"/>
  <c r="P706" i="1"/>
  <c r="S706" i="1" s="1"/>
  <c r="P712" i="1"/>
  <c r="S712" i="1" s="1"/>
  <c r="C728" i="1"/>
  <c r="O737" i="1"/>
  <c r="V737" i="1" s="1"/>
  <c r="C778" i="1"/>
  <c r="C785" i="1"/>
  <c r="C788" i="1"/>
  <c r="C673" i="1"/>
  <c r="C729" i="1"/>
  <c r="S10" i="1"/>
  <c r="P362" i="1"/>
  <c r="S362" i="1" s="1"/>
  <c r="O362" i="1"/>
  <c r="O6" i="1"/>
  <c r="AN9" i="1"/>
  <c r="AS11" i="1"/>
  <c r="O14" i="1"/>
  <c r="O18" i="1"/>
  <c r="C22" i="1"/>
  <c r="S22" i="1"/>
  <c r="AN29" i="1"/>
  <c r="W29" i="1" s="1"/>
  <c r="C31" i="1"/>
  <c r="C37" i="1"/>
  <c r="AN37" i="1"/>
  <c r="W37" i="1" s="1"/>
  <c r="P37" i="1"/>
  <c r="S37" i="1" s="1"/>
  <c r="O37" i="1"/>
  <c r="O40" i="1"/>
  <c r="P40" i="1"/>
  <c r="P77" i="1"/>
  <c r="S77" i="1" s="1"/>
  <c r="O77" i="1"/>
  <c r="P209" i="1"/>
  <c r="S209" i="1" s="1"/>
  <c r="O209" i="1"/>
  <c r="O4" i="1"/>
  <c r="O10" i="1"/>
  <c r="V10" i="1" s="1"/>
  <c r="C11" i="1"/>
  <c r="C17" i="1"/>
  <c r="C18" i="1"/>
  <c r="C24" i="1"/>
  <c r="AS121" i="1"/>
  <c r="C127" i="1"/>
  <c r="P127" i="1"/>
  <c r="S127" i="1" s="1"/>
  <c r="AN178" i="1"/>
  <c r="C178" i="1"/>
  <c r="S8" i="1"/>
  <c r="P4" i="1"/>
  <c r="S4" i="1" s="1"/>
  <c r="AS92" i="1"/>
  <c r="P156" i="1"/>
  <c r="S156" i="1" s="1"/>
  <c r="O156" i="1"/>
  <c r="P165" i="1"/>
  <c r="S165" i="1" s="1"/>
  <c r="P55" i="1"/>
  <c r="S55" i="1" s="1"/>
  <c r="O55" i="1"/>
  <c r="C9" i="1"/>
  <c r="AS35" i="1"/>
  <c r="AN7" i="1"/>
  <c r="C8" i="1"/>
  <c r="O9" i="1"/>
  <c r="AN10" i="1"/>
  <c r="S13" i="1"/>
  <c r="AS16" i="1"/>
  <c r="O17" i="1"/>
  <c r="AN17" i="1"/>
  <c r="W17" i="1" s="1"/>
  <c r="P24" i="1"/>
  <c r="S24" i="1" s="1"/>
  <c r="C27" i="1"/>
  <c r="AN32" i="1"/>
  <c r="W32" i="1" s="1"/>
  <c r="P35" i="1"/>
  <c r="V35" i="1" s="1"/>
  <c r="Y1058" i="1"/>
  <c r="AN105" i="1"/>
  <c r="W105" i="1" s="1"/>
  <c r="C105" i="1"/>
  <c r="O160" i="1"/>
  <c r="P126" i="1"/>
  <c r="S126" i="1" s="1"/>
  <c r="O126" i="1"/>
  <c r="AN5" i="1"/>
  <c r="W5" i="1" s="1"/>
  <c r="O8" i="1"/>
  <c r="V8" i="1" s="1"/>
  <c r="P9" i="1"/>
  <c r="S9" i="1" s="1"/>
  <c r="P17" i="1"/>
  <c r="AN38" i="1"/>
  <c r="W38" i="1" s="1"/>
  <c r="P129" i="1"/>
  <c r="S129" i="1" s="1"/>
  <c r="O129" i="1"/>
  <c r="AN145" i="1"/>
  <c r="W145" i="1" s="1"/>
  <c r="O220" i="1"/>
  <c r="P220" i="1"/>
  <c r="S220" i="1" s="1"/>
  <c r="P344" i="1"/>
  <c r="S344" i="1" s="1"/>
  <c r="O344" i="1"/>
  <c r="AN12" i="1"/>
  <c r="W12" i="1" s="1"/>
  <c r="C15" i="1"/>
  <c r="S15" i="1"/>
  <c r="C23" i="1"/>
  <c r="AN25" i="1"/>
  <c r="W25" i="1" s="1"/>
  <c r="AN67" i="1"/>
  <c r="C67" i="1"/>
  <c r="C79" i="1"/>
  <c r="AN79" i="1"/>
  <c r="AN94" i="1"/>
  <c r="W94" i="1" s="1"/>
  <c r="C94" i="1"/>
  <c r="O22" i="1"/>
  <c r="V22" i="1" s="1"/>
  <c r="AS36" i="1"/>
  <c r="C36" i="1"/>
  <c r="O36" i="1"/>
  <c r="P36" i="1"/>
  <c r="C44" i="1"/>
  <c r="AN44" i="1"/>
  <c r="W44" i="1" s="1"/>
  <c r="P44" i="1"/>
  <c r="S44" i="1" s="1"/>
  <c r="O44" i="1"/>
  <c r="AN71" i="1"/>
  <c r="W71" i="1" s="1"/>
  <c r="C71" i="1"/>
  <c r="C157" i="1"/>
  <c r="AS157" i="1"/>
  <c r="AN171" i="1"/>
  <c r="W171" i="1" s="1"/>
  <c r="C171" i="1"/>
  <c r="AN19" i="1"/>
  <c r="S19" i="1"/>
  <c r="AS40" i="1"/>
  <c r="P50" i="1"/>
  <c r="S50" i="1" s="1"/>
  <c r="O54" i="1"/>
  <c r="AN58" i="1"/>
  <c r="W58" i="1" s="1"/>
  <c r="C60" i="1"/>
  <c r="C64" i="1"/>
  <c r="AS71" i="1"/>
  <c r="O72" i="1"/>
  <c r="AN74" i="1"/>
  <c r="W74" i="1" s="1"/>
  <c r="O75" i="1"/>
  <c r="P81" i="1"/>
  <c r="S81" i="1" s="1"/>
  <c r="AN84" i="1"/>
  <c r="W84" i="1" s="1"/>
  <c r="O85" i="1"/>
  <c r="V85" i="1" s="1"/>
  <c r="O90" i="1"/>
  <c r="V90" i="1" s="1"/>
  <c r="O92" i="1"/>
  <c r="V92" i="1" s="1"/>
  <c r="P95" i="1"/>
  <c r="S95" i="1" s="1"/>
  <c r="P106" i="1"/>
  <c r="P108" i="1"/>
  <c r="V108" i="1" s="1"/>
  <c r="O114" i="1"/>
  <c r="P117" i="1"/>
  <c r="O119" i="1"/>
  <c r="V119" i="1" s="1"/>
  <c r="C121" i="1"/>
  <c r="C126" i="1"/>
  <c r="C135" i="1"/>
  <c r="O143" i="1"/>
  <c r="V143" i="1" s="1"/>
  <c r="O152" i="1"/>
  <c r="C160" i="1"/>
  <c r="S172" i="1"/>
  <c r="C199" i="1"/>
  <c r="AN199" i="1"/>
  <c r="W199" i="1" s="1"/>
  <c r="R213" i="1"/>
  <c r="S213" i="1" s="1"/>
  <c r="AN213" i="1"/>
  <c r="S321" i="1"/>
  <c r="P340" i="1"/>
  <c r="S340" i="1" s="1"/>
  <c r="O340" i="1"/>
  <c r="C344" i="1"/>
  <c r="C362" i="1"/>
  <c r="P75" i="1"/>
  <c r="S75" i="1" s="1"/>
  <c r="P114" i="1"/>
  <c r="S114" i="1" s="1"/>
  <c r="AN123" i="1"/>
  <c r="W123" i="1" s="1"/>
  <c r="R132" i="1"/>
  <c r="S132" i="1" s="1"/>
  <c r="AN137" i="1"/>
  <c r="AN144" i="1"/>
  <c r="P152" i="1"/>
  <c r="S152" i="1" s="1"/>
  <c r="O168" i="1"/>
  <c r="P168" i="1"/>
  <c r="S168" i="1" s="1"/>
  <c r="AN177" i="1"/>
  <c r="W177" i="1" s="1"/>
  <c r="AS218" i="1"/>
  <c r="P300" i="1"/>
  <c r="S300" i="1" s="1"/>
  <c r="O300" i="1"/>
  <c r="P303" i="1"/>
  <c r="S303" i="1" s="1"/>
  <c r="O303" i="1"/>
  <c r="AS340" i="1"/>
  <c r="C340" i="1"/>
  <c r="P350" i="1"/>
  <c r="S350" i="1" s="1"/>
  <c r="C39" i="1"/>
  <c r="C42" i="1"/>
  <c r="AS48" i="1"/>
  <c r="AS66" i="1"/>
  <c r="S66" i="1"/>
  <c r="AS70" i="1"/>
  <c r="C74" i="1"/>
  <c r="C88" i="1"/>
  <c r="C89" i="1"/>
  <c r="AN98" i="1"/>
  <c r="W98" i="1" s="1"/>
  <c r="S98" i="1"/>
  <c r="P105" i="1"/>
  <c r="V105" i="1" s="1"/>
  <c r="C110" i="1"/>
  <c r="C128" i="1"/>
  <c r="AN133" i="1"/>
  <c r="AN141" i="1"/>
  <c r="W141" i="1" s="1"/>
  <c r="C146" i="1"/>
  <c r="C151" i="1"/>
  <c r="C164" i="1"/>
  <c r="C173" i="1"/>
  <c r="S173" i="1"/>
  <c r="C184" i="1"/>
  <c r="O192" i="1"/>
  <c r="AN285" i="1"/>
  <c r="W285" i="1" s="1"/>
  <c r="C285" i="1"/>
  <c r="AS300" i="1"/>
  <c r="C300" i="1"/>
  <c r="AS303" i="1"/>
  <c r="C303" i="1"/>
  <c r="S97" i="1"/>
  <c r="AN100" i="1"/>
  <c r="W100" i="1" s="1"/>
  <c r="S102" i="1"/>
  <c r="C192" i="1"/>
  <c r="AS192" i="1"/>
  <c r="C264" i="1"/>
  <c r="AN264" i="1"/>
  <c r="W264" i="1" s="1"/>
  <c r="O292" i="1"/>
  <c r="P292" i="1"/>
  <c r="S292" i="1" s="1"/>
  <c r="P324" i="1"/>
  <c r="S324" i="1" s="1"/>
  <c r="O342" i="1"/>
  <c r="P342" i="1"/>
  <c r="S342" i="1" s="1"/>
  <c r="AN367" i="1"/>
  <c r="W367" i="1" s="1"/>
  <c r="C367" i="1"/>
  <c r="C59" i="1"/>
  <c r="AN65" i="1"/>
  <c r="W65" i="1" s="1"/>
  <c r="AN76" i="1"/>
  <c r="W76" i="1" s="1"/>
  <c r="S82" i="1"/>
  <c r="C118" i="1"/>
  <c r="C122" i="1"/>
  <c r="S122" i="1"/>
  <c r="AN128" i="1"/>
  <c r="W128" i="1" s="1"/>
  <c r="C139" i="1"/>
  <c r="S139" i="1"/>
  <c r="S153" i="1"/>
  <c r="O162" i="1"/>
  <c r="P164" i="1"/>
  <c r="S164" i="1" s="1"/>
  <c r="S166" i="1"/>
  <c r="AN182" i="1"/>
  <c r="W182" i="1" s="1"/>
  <c r="P308" i="1"/>
  <c r="S308" i="1" s="1"/>
  <c r="O308" i="1"/>
  <c r="AS342" i="1"/>
  <c r="C342" i="1"/>
  <c r="AS50" i="1"/>
  <c r="O59" i="1"/>
  <c r="S63" i="1"/>
  <c r="AS68" i="1"/>
  <c r="AN75" i="1"/>
  <c r="O82" i="1"/>
  <c r="V82" i="1" s="1"/>
  <c r="C91" i="1"/>
  <c r="C96" i="1"/>
  <c r="O97" i="1"/>
  <c r="V97" i="1" s="1"/>
  <c r="O102" i="1"/>
  <c r="V102" i="1" s="1"/>
  <c r="C109" i="1"/>
  <c r="C111" i="1"/>
  <c r="O122" i="1"/>
  <c r="V122" i="1" s="1"/>
  <c r="C132" i="1"/>
  <c r="P136" i="1"/>
  <c r="S136" i="1" s="1"/>
  <c r="O139" i="1"/>
  <c r="V139" i="1" s="1"/>
  <c r="C150" i="1"/>
  <c r="C161" i="1"/>
  <c r="S161" i="1"/>
  <c r="AN169" i="1"/>
  <c r="W169" i="1" s="1"/>
  <c r="C174" i="1"/>
  <c r="P215" i="1"/>
  <c r="S215" i="1" s="1"/>
  <c r="O215" i="1"/>
  <c r="AN281" i="1"/>
  <c r="W281" i="1" s="1"/>
  <c r="C281" i="1"/>
  <c r="P329" i="1"/>
  <c r="S329" i="1" s="1"/>
  <c r="O329" i="1"/>
  <c r="S335" i="1"/>
  <c r="C92" i="1"/>
  <c r="C95" i="1"/>
  <c r="C140" i="1"/>
  <c r="AN167" i="1"/>
  <c r="O194" i="1"/>
  <c r="P194" i="1"/>
  <c r="S194" i="1" s="1"/>
  <c r="P227" i="1"/>
  <c r="S227" i="1" s="1"/>
  <c r="O227" i="1"/>
  <c r="O250" i="1"/>
  <c r="P250" i="1"/>
  <c r="S250" i="1" s="1"/>
  <c r="P405" i="1"/>
  <c r="S405" i="1" s="1"/>
  <c r="C321" i="1"/>
  <c r="C347" i="1"/>
  <c r="C403" i="1"/>
  <c r="AS416" i="1"/>
  <c r="C416" i="1"/>
  <c r="AN588" i="1"/>
  <c r="W588" i="1" s="1"/>
  <c r="C233" i="1"/>
  <c r="C242" i="1"/>
  <c r="C246" i="1"/>
  <c r="AN266" i="1"/>
  <c r="AN269" i="1"/>
  <c r="W269" i="1" s="1"/>
  <c r="S281" i="1"/>
  <c r="C294" i="1"/>
  <c r="AS299" i="1"/>
  <c r="AN347" i="1"/>
  <c r="W347" i="1" s="1"/>
  <c r="P352" i="1"/>
  <c r="S352" i="1" s="1"/>
  <c r="P390" i="1"/>
  <c r="S390" i="1" s="1"/>
  <c r="AN439" i="1"/>
  <c r="W439" i="1" s="1"/>
  <c r="C439" i="1"/>
  <c r="P224" i="1"/>
  <c r="S224" i="1" s="1"/>
  <c r="C229" i="1"/>
  <c r="P233" i="1"/>
  <c r="V233" i="1" s="1"/>
  <c r="P244" i="1"/>
  <c r="V244" i="1" s="1"/>
  <c r="P246" i="1"/>
  <c r="V246" i="1" s="1"/>
  <c r="O248" i="1"/>
  <c r="P252" i="1"/>
  <c r="V252" i="1" s="1"/>
  <c r="O254" i="1"/>
  <c r="V254" i="1" s="1"/>
  <c r="AB254" i="1" s="1"/>
  <c r="P269" i="1"/>
  <c r="V269" i="1" s="1"/>
  <c r="O275" i="1"/>
  <c r="P279" i="1"/>
  <c r="S279" i="1" s="1"/>
  <c r="AN282" i="1"/>
  <c r="W282" i="1" s="1"/>
  <c r="O285" i="1"/>
  <c r="V285" i="1" s="1"/>
  <c r="R288" i="1"/>
  <c r="O294" i="1"/>
  <c r="C296" i="1"/>
  <c r="O299" i="1"/>
  <c r="AN322" i="1"/>
  <c r="W322" i="1" s="1"/>
  <c r="C335" i="1"/>
  <c r="O339" i="1"/>
  <c r="O347" i="1"/>
  <c r="C352" i="1"/>
  <c r="C354" i="1"/>
  <c r="C394" i="1"/>
  <c r="O403" i="1"/>
  <c r="C415" i="1"/>
  <c r="P424" i="1"/>
  <c r="S424" i="1" s="1"/>
  <c r="P437" i="1"/>
  <c r="V437" i="1" s="1"/>
  <c r="AB437" i="1" s="1"/>
  <c r="C443" i="1"/>
  <c r="C197" i="1"/>
  <c r="S203" i="1"/>
  <c r="C208" i="1"/>
  <c r="AN212" i="1"/>
  <c r="S217" i="1"/>
  <c r="C221" i="1"/>
  <c r="C223" i="1"/>
  <c r="S223" i="1"/>
  <c r="AS229" i="1"/>
  <c r="AN235" i="1"/>
  <c r="W235" i="1" s="1"/>
  <c r="C241" i="1"/>
  <c r="P248" i="1"/>
  <c r="S248" i="1" s="1"/>
  <c r="C260" i="1"/>
  <c r="C263" i="1"/>
  <c r="P266" i="1"/>
  <c r="V266" i="1" s="1"/>
  <c r="P275" i="1"/>
  <c r="S275" i="1" s="1"/>
  <c r="O277" i="1"/>
  <c r="P287" i="1"/>
  <c r="V287" i="1" s="1"/>
  <c r="P294" i="1"/>
  <c r="S294" i="1" s="1"/>
  <c r="O296" i="1"/>
  <c r="V296" i="1" s="1"/>
  <c r="P299" i="1"/>
  <c r="S299" i="1" s="1"/>
  <c r="C302" i="1"/>
  <c r="C305" i="1"/>
  <c r="C307" i="1"/>
  <c r="O310" i="1"/>
  <c r="O312" i="1"/>
  <c r="V312" i="1" s="1"/>
  <c r="P322" i="1"/>
  <c r="S322" i="1" s="1"/>
  <c r="P339" i="1"/>
  <c r="P347" i="1"/>
  <c r="S347" i="1" s="1"/>
  <c r="O349" i="1"/>
  <c r="V349" i="1" s="1"/>
  <c r="O352" i="1"/>
  <c r="P354" i="1"/>
  <c r="V354" i="1" s="1"/>
  <c r="AN356" i="1"/>
  <c r="W356" i="1" s="1"/>
  <c r="AN358" i="1"/>
  <c r="W358" i="1" s="1"/>
  <c r="O377" i="1"/>
  <c r="P377" i="1"/>
  <c r="S377" i="1" s="1"/>
  <c r="O390" i="1"/>
  <c r="P408" i="1"/>
  <c r="S408" i="1" s="1"/>
  <c r="C420" i="1"/>
  <c r="AN420" i="1"/>
  <c r="P420" i="1"/>
  <c r="S420" i="1" s="1"/>
  <c r="P435" i="1"/>
  <c r="S435" i="1" s="1"/>
  <c r="O464" i="1"/>
  <c r="P464" i="1"/>
  <c r="S464" i="1" s="1"/>
  <c r="S237" i="1"/>
  <c r="S253" i="1"/>
  <c r="P258" i="1"/>
  <c r="V258" i="1" s="1"/>
  <c r="P260" i="1"/>
  <c r="V260" i="1" s="1"/>
  <c r="P277" i="1"/>
  <c r="S277" i="1" s="1"/>
  <c r="AN280" i="1"/>
  <c r="W280" i="1" s="1"/>
  <c r="C291" i="1"/>
  <c r="C293" i="1"/>
  <c r="AN293" i="1"/>
  <c r="W293" i="1" s="1"/>
  <c r="O307" i="1"/>
  <c r="V307" i="1" s="1"/>
  <c r="S327" i="1"/>
  <c r="C328" i="1"/>
  <c r="C351" i="1"/>
  <c r="P355" i="1"/>
  <c r="V355" i="1" s="1"/>
  <c r="O358" i="1"/>
  <c r="P358" i="1"/>
  <c r="S358" i="1" s="1"/>
  <c r="AN366" i="1"/>
  <c r="C366" i="1"/>
  <c r="AN368" i="1"/>
  <c r="R368" i="1"/>
  <c r="C377" i="1"/>
  <c r="P407" i="1"/>
  <c r="V407" i="1" s="1"/>
  <c r="AB407" i="1" s="1"/>
  <c r="O424" i="1"/>
  <c r="AN436" i="1"/>
  <c r="W436" i="1" s="1"/>
  <c r="C436" i="1"/>
  <c r="AS171" i="1"/>
  <c r="AN191" i="1"/>
  <c r="W191" i="1" s="1"/>
  <c r="C193" i="1"/>
  <c r="S195" i="1"/>
  <c r="C204" i="1"/>
  <c r="AN210" i="1"/>
  <c r="W210" i="1" s="1"/>
  <c r="S226" i="1"/>
  <c r="C232" i="1"/>
  <c r="C238" i="1"/>
  <c r="AN245" i="1"/>
  <c r="W245" i="1" s="1"/>
  <c r="AN249" i="1"/>
  <c r="W249" i="1" s="1"/>
  <c r="AN251" i="1"/>
  <c r="AN271" i="1"/>
  <c r="W271" i="1" s="1"/>
  <c r="C288" i="1"/>
  <c r="C290" i="1"/>
  <c r="AS292" i="1"/>
  <c r="C306" i="1"/>
  <c r="S320" i="1"/>
  <c r="AN323" i="1"/>
  <c r="AN338" i="1"/>
  <c r="W338" i="1" s="1"/>
  <c r="S349" i="1"/>
  <c r="O397" i="1"/>
  <c r="P397" i="1"/>
  <c r="O422" i="1"/>
  <c r="V422" i="1" s="1"/>
  <c r="S204" i="1"/>
  <c r="C213" i="1"/>
  <c r="C218" i="1"/>
  <c r="AS225" i="1"/>
  <c r="AN228" i="1"/>
  <c r="W228" i="1" s="1"/>
  <c r="AS238" i="1"/>
  <c r="AN259" i="1"/>
  <c r="C261" i="1"/>
  <c r="AN278" i="1"/>
  <c r="W278" i="1" s="1"/>
  <c r="C283" i="1"/>
  <c r="AS285" i="1"/>
  <c r="S307" i="1"/>
  <c r="C314" i="1"/>
  <c r="AN334" i="1"/>
  <c r="W334" i="1" s="1"/>
  <c r="AN340" i="1"/>
  <c r="W340" i="1" s="1"/>
  <c r="AN342" i="1"/>
  <c r="C348" i="1"/>
  <c r="P374" i="1"/>
  <c r="V374" i="1" s="1"/>
  <c r="P393" i="1"/>
  <c r="S393" i="1" s="1"/>
  <c r="O393" i="1"/>
  <c r="AS397" i="1"/>
  <c r="C397" i="1"/>
  <c r="P414" i="1"/>
  <c r="S414" i="1" s="1"/>
  <c r="O414" i="1"/>
  <c r="AS418" i="1"/>
  <c r="C418" i="1"/>
  <c r="AS459" i="1"/>
  <c r="C376" i="1"/>
  <c r="AN377" i="1"/>
  <c r="W377" i="1" s="1"/>
  <c r="AN396" i="1"/>
  <c r="W396" i="1" s="1"/>
  <c r="AN404" i="1"/>
  <c r="AN444" i="1"/>
  <c r="W444" i="1" s="1"/>
  <c r="P537" i="1"/>
  <c r="S537" i="1" s="1"/>
  <c r="P604" i="1"/>
  <c r="S604" i="1" s="1"/>
  <c r="P716" i="1"/>
  <c r="O716" i="1"/>
  <c r="AN736" i="1"/>
  <c r="R736" i="1"/>
  <c r="C380" i="1"/>
  <c r="S386" i="1"/>
  <c r="AN387" i="1"/>
  <c r="W387" i="1" s="1"/>
  <c r="C389" i="1"/>
  <c r="S391" i="1"/>
  <c r="C392" i="1"/>
  <c r="C395" i="1"/>
  <c r="C412" i="1"/>
  <c r="C417" i="1"/>
  <c r="C419" i="1"/>
  <c r="S422" i="1"/>
  <c r="C449" i="1"/>
  <c r="P508" i="1"/>
  <c r="S508" i="1" s="1"/>
  <c r="O508" i="1"/>
  <c r="AN401" i="1"/>
  <c r="AN409" i="1"/>
  <c r="W409" i="1" s="1"/>
  <c r="AN423" i="1"/>
  <c r="W423" i="1" s="1"/>
  <c r="S426" i="1"/>
  <c r="C433" i="1"/>
  <c r="P454" i="1"/>
  <c r="V454" i="1" s="1"/>
  <c r="C458" i="1"/>
  <c r="C469" i="1"/>
  <c r="O469" i="1"/>
  <c r="C474" i="1"/>
  <c r="C496" i="1"/>
  <c r="AN496" i="1"/>
  <c r="W496" i="1" s="1"/>
  <c r="O496" i="1"/>
  <c r="P496" i="1"/>
  <c r="S496" i="1" s="1"/>
  <c r="O499" i="1"/>
  <c r="AN610" i="1"/>
  <c r="C610" i="1"/>
  <c r="O658" i="1"/>
  <c r="P658" i="1"/>
  <c r="S658" i="1" s="1"/>
  <c r="C370" i="1"/>
  <c r="P373" i="1"/>
  <c r="V373" i="1" s="1"/>
  <c r="P380" i="1"/>
  <c r="V380" i="1" s="1"/>
  <c r="AN380" i="1"/>
  <c r="W380" i="1" s="1"/>
  <c r="C383" i="1"/>
  <c r="O384" i="1"/>
  <c r="AN389" i="1"/>
  <c r="AS401" i="1"/>
  <c r="S456" i="1"/>
  <c r="O467" i="1"/>
  <c r="C368" i="1"/>
  <c r="C369" i="1"/>
  <c r="O370" i="1"/>
  <c r="V370" i="1" s="1"/>
  <c r="O371" i="1"/>
  <c r="S372" i="1"/>
  <c r="O383" i="1"/>
  <c r="V383" i="1" s="1"/>
  <c r="S385" i="1"/>
  <c r="C388" i="1"/>
  <c r="P395" i="1"/>
  <c r="S395" i="1" s="1"/>
  <c r="C402" i="1"/>
  <c r="P412" i="1"/>
  <c r="S412" i="1" s="1"/>
  <c r="AS426" i="1"/>
  <c r="C430" i="1"/>
  <c r="S430" i="1"/>
  <c r="C448" i="1"/>
  <c r="P449" i="1"/>
  <c r="C453" i="1"/>
  <c r="S453" i="1"/>
  <c r="C465" i="1"/>
  <c r="S465" i="1"/>
  <c r="P469" i="1"/>
  <c r="S469" i="1" s="1"/>
  <c r="C503" i="1"/>
  <c r="AN503" i="1"/>
  <c r="W503" i="1" s="1"/>
  <c r="O503" i="1"/>
  <c r="P503" i="1"/>
  <c r="S503" i="1" s="1"/>
  <c r="P506" i="1"/>
  <c r="S506" i="1" s="1"/>
  <c r="O506" i="1"/>
  <c r="AN582" i="1"/>
  <c r="AN656" i="1"/>
  <c r="C656" i="1"/>
  <c r="C452" i="1"/>
  <c r="O453" i="1"/>
  <c r="V453" i="1" s="1"/>
  <c r="C460" i="1"/>
  <c r="P467" i="1"/>
  <c r="S467" i="1" s="1"/>
  <c r="O548" i="1"/>
  <c r="AN345" i="1"/>
  <c r="W345" i="1" s="1"/>
  <c r="C349" i="1"/>
  <c r="C361" i="1"/>
  <c r="P368" i="1"/>
  <c r="P375" i="1"/>
  <c r="S375" i="1" s="1"/>
  <c r="C381" i="1"/>
  <c r="O382" i="1"/>
  <c r="P388" i="1"/>
  <c r="S388" i="1" s="1"/>
  <c r="C391" i="1"/>
  <c r="AN397" i="1"/>
  <c r="W397" i="1" s="1"/>
  <c r="C399" i="1"/>
  <c r="AN400" i="1"/>
  <c r="W400" i="1" s="1"/>
  <c r="P410" i="1"/>
  <c r="S410" i="1" s="1"/>
  <c r="AN418" i="1"/>
  <c r="C432" i="1"/>
  <c r="P444" i="1"/>
  <c r="O445" i="1"/>
  <c r="V445" i="1" s="1"/>
  <c r="P448" i="1"/>
  <c r="V448" i="1" s="1"/>
  <c r="AN448" i="1"/>
  <c r="AN449" i="1"/>
  <c r="C451" i="1"/>
  <c r="O452" i="1"/>
  <c r="V452" i="1" s="1"/>
  <c r="C459" i="1"/>
  <c r="P459" i="1"/>
  <c r="V459" i="1" s="1"/>
  <c r="C548" i="1"/>
  <c r="AS634" i="1"/>
  <c r="C634" i="1"/>
  <c r="AS654" i="1"/>
  <c r="C654" i="1"/>
  <c r="AN463" i="1"/>
  <c r="C467" i="1"/>
  <c r="O468" i="1"/>
  <c r="V468" i="1" s="1"/>
  <c r="C471" i="1"/>
  <c r="O472" i="1"/>
  <c r="V472" i="1" s="1"/>
  <c r="AN473" i="1"/>
  <c r="W473" i="1" s="1"/>
  <c r="O481" i="1"/>
  <c r="V481" i="1" s="1"/>
  <c r="AN487" i="1"/>
  <c r="W487" i="1" s="1"/>
  <c r="P490" i="1"/>
  <c r="S490" i="1" s="1"/>
  <c r="O492" i="1"/>
  <c r="V492" i="1" s="1"/>
  <c r="O497" i="1"/>
  <c r="O504" i="1"/>
  <c r="O513" i="1"/>
  <c r="V513" i="1" s="1"/>
  <c r="AN521" i="1"/>
  <c r="W521" i="1" s="1"/>
  <c r="C530" i="1"/>
  <c r="P552" i="1"/>
  <c r="V552" i="1" s="1"/>
  <c r="P561" i="1"/>
  <c r="S561" i="1" s="1"/>
  <c r="P565" i="1"/>
  <c r="S565" i="1" s="1"/>
  <c r="P594" i="1"/>
  <c r="O610" i="1"/>
  <c r="P610" i="1"/>
  <c r="S610" i="1" s="1"/>
  <c r="AN615" i="1"/>
  <c r="W615" i="1" s="1"/>
  <c r="C615" i="1"/>
  <c r="O623" i="1"/>
  <c r="P643" i="1"/>
  <c r="S643" i="1" s="1"/>
  <c r="O643" i="1"/>
  <c r="R648" i="1"/>
  <c r="O649" i="1"/>
  <c r="P649" i="1"/>
  <c r="S649" i="1" s="1"/>
  <c r="C658" i="1"/>
  <c r="AN666" i="1"/>
  <c r="W666" i="1" s="1"/>
  <c r="C666" i="1"/>
  <c r="R684" i="1"/>
  <c r="AN684" i="1"/>
  <c r="AS694" i="1"/>
  <c r="S501" i="1"/>
  <c r="AN526" i="1"/>
  <c r="W526" i="1" s="1"/>
  <c r="AN529" i="1"/>
  <c r="W529" i="1" s="1"/>
  <c r="C534" i="1"/>
  <c r="C538" i="1"/>
  <c r="AN543" i="1"/>
  <c r="W543" i="1" s="1"/>
  <c r="R550" i="1"/>
  <c r="C573" i="1"/>
  <c r="AN586" i="1"/>
  <c r="W586" i="1" s="1"/>
  <c r="AN602" i="1"/>
  <c r="C640" i="1"/>
  <c r="AS640" i="1"/>
  <c r="C709" i="1"/>
  <c r="AN709" i="1"/>
  <c r="W709" i="1" s="1"/>
  <c r="P709" i="1"/>
  <c r="S709" i="1" s="1"/>
  <c r="O709" i="1"/>
  <c r="AS753" i="1"/>
  <c r="P757" i="1"/>
  <c r="S757" i="1" s="1"/>
  <c r="O757" i="1"/>
  <c r="C498" i="1"/>
  <c r="S511" i="1"/>
  <c r="AN519" i="1"/>
  <c r="W519" i="1" s="1"/>
  <c r="C576" i="1"/>
  <c r="AN581" i="1"/>
  <c r="W581" i="1" s="1"/>
  <c r="C593" i="1"/>
  <c r="AN593" i="1"/>
  <c r="AN609" i="1"/>
  <c r="W609" i="1" s="1"/>
  <c r="C609" i="1"/>
  <c r="C612" i="1"/>
  <c r="P615" i="1"/>
  <c r="S615" i="1" s="1"/>
  <c r="O617" i="1"/>
  <c r="V617" i="1" s="1"/>
  <c r="O620" i="1"/>
  <c r="V620" i="1" s="1"/>
  <c r="P657" i="1"/>
  <c r="S657" i="1" s="1"/>
  <c r="P687" i="1"/>
  <c r="S687" i="1" s="1"/>
  <c r="P707" i="1"/>
  <c r="S707" i="1" s="1"/>
  <c r="O551" i="1"/>
  <c r="AN571" i="1"/>
  <c r="C571" i="1"/>
  <c r="AN589" i="1"/>
  <c r="W589" i="1" s="1"/>
  <c r="C589" i="1"/>
  <c r="C630" i="1"/>
  <c r="AS630" i="1"/>
  <c r="C661" i="1"/>
  <c r="S661" i="1"/>
  <c r="P710" i="1"/>
  <c r="S710" i="1" s="1"/>
  <c r="O710" i="1"/>
  <c r="P729" i="1"/>
  <c r="S729" i="1" s="1"/>
  <c r="O729" i="1"/>
  <c r="C461" i="1"/>
  <c r="P493" i="1"/>
  <c r="S493" i="1" s="1"/>
  <c r="AN501" i="1"/>
  <c r="W501" i="1" s="1"/>
  <c r="AN514" i="1"/>
  <c r="W514" i="1" s="1"/>
  <c r="C516" i="1"/>
  <c r="AN523" i="1"/>
  <c r="W523" i="1" s="1"/>
  <c r="O528" i="1"/>
  <c r="O529" i="1"/>
  <c r="V529" i="1" s="1"/>
  <c r="S535" i="1"/>
  <c r="O536" i="1"/>
  <c r="V536" i="1" s="1"/>
  <c r="AB536" i="1" s="1"/>
  <c r="C541" i="1"/>
  <c r="C544" i="1"/>
  <c r="AN555" i="1"/>
  <c r="C557" i="1"/>
  <c r="C559" i="1"/>
  <c r="O559" i="1"/>
  <c r="AN559" i="1"/>
  <c r="O576" i="1"/>
  <c r="V576" i="1" s="1"/>
  <c r="O579" i="1"/>
  <c r="P581" i="1"/>
  <c r="S617" i="1"/>
  <c r="AN630" i="1"/>
  <c r="W630" i="1" s="1"/>
  <c r="O646" i="1"/>
  <c r="P646" i="1"/>
  <c r="S646" i="1" s="1"/>
  <c r="O657" i="1"/>
  <c r="P670" i="1"/>
  <c r="V670" i="1" s="1"/>
  <c r="O687" i="1"/>
  <c r="P693" i="1"/>
  <c r="S693" i="1" s="1"/>
  <c r="O707" i="1"/>
  <c r="AS710" i="1"/>
  <c r="C710" i="1"/>
  <c r="AS780" i="1"/>
  <c r="AN513" i="1"/>
  <c r="W513" i="1" s="1"/>
  <c r="O516" i="1"/>
  <c r="AN525" i="1"/>
  <c r="W525" i="1" s="1"/>
  <c r="P527" i="1"/>
  <c r="V527" i="1" s="1"/>
  <c r="AN527" i="1"/>
  <c r="W527" i="1" s="1"/>
  <c r="O535" i="1"/>
  <c r="V535" i="1" s="1"/>
  <c r="O541" i="1"/>
  <c r="V541" i="1" s="1"/>
  <c r="AB541" i="1" s="1"/>
  <c r="AS544" i="1"/>
  <c r="AN566" i="1"/>
  <c r="AN569" i="1"/>
  <c r="O571" i="1"/>
  <c r="P609" i="1"/>
  <c r="S609" i="1" s="1"/>
  <c r="C611" i="1"/>
  <c r="S611" i="1"/>
  <c r="O611" i="1"/>
  <c r="V611" i="1" s="1"/>
  <c r="P614" i="1"/>
  <c r="V614" i="1" s="1"/>
  <c r="AB614" i="1" s="1"/>
  <c r="C619" i="1"/>
  <c r="S619" i="1"/>
  <c r="S621" i="1"/>
  <c r="P644" i="1"/>
  <c r="O644" i="1"/>
  <c r="C650" i="1"/>
  <c r="C670" i="1"/>
  <c r="AS670" i="1"/>
  <c r="O698" i="1"/>
  <c r="P698" i="1"/>
  <c r="S698" i="1" s="1"/>
  <c r="AN705" i="1"/>
  <c r="W705" i="1" s="1"/>
  <c r="AN470" i="1"/>
  <c r="C481" i="1"/>
  <c r="C490" i="1"/>
  <c r="AS505" i="1"/>
  <c r="S507" i="1"/>
  <c r="C509" i="1"/>
  <c r="S520" i="1"/>
  <c r="C522" i="1"/>
  <c r="C524" i="1"/>
  <c r="R536" i="1"/>
  <c r="S536" i="1" s="1"/>
  <c r="C540" i="1"/>
  <c r="O543" i="1"/>
  <c r="V543" i="1" s="1"/>
  <c r="AN546" i="1"/>
  <c r="W546" i="1" s="1"/>
  <c r="P553" i="1"/>
  <c r="S553" i="1" s="1"/>
  <c r="P559" i="1"/>
  <c r="S559" i="1" s="1"/>
  <c r="S572" i="1"/>
  <c r="P579" i="1"/>
  <c r="C584" i="1"/>
  <c r="O585" i="1"/>
  <c r="V585" i="1" s="1"/>
  <c r="C599" i="1"/>
  <c r="C606" i="1"/>
  <c r="AS613" i="1"/>
  <c r="P613" i="1"/>
  <c r="V613" i="1" s="1"/>
  <c r="O621" i="1"/>
  <c r="V621" i="1" s="1"/>
  <c r="P628" i="1"/>
  <c r="S628" i="1" s="1"/>
  <c r="O628" i="1"/>
  <c r="AN642" i="1"/>
  <c r="W642" i="1" s="1"/>
  <c r="AN644" i="1"/>
  <c r="W644" i="1" s="1"/>
  <c r="R644" i="1"/>
  <c r="AN646" i="1"/>
  <c r="W646" i="1" s="1"/>
  <c r="O654" i="1"/>
  <c r="V654" i="1" s="1"/>
  <c r="AS683" i="1"/>
  <c r="O693" i="1"/>
  <c r="P711" i="1"/>
  <c r="S711" i="1" s="1"/>
  <c r="O711" i="1"/>
  <c r="S719" i="1"/>
  <c r="AN668" i="1"/>
  <c r="S673" i="1"/>
  <c r="AN675" i="1"/>
  <c r="P680" i="1"/>
  <c r="S680" i="1" s="1"/>
  <c r="P688" i="1"/>
  <c r="S688" i="1" s="1"/>
  <c r="S727" i="1"/>
  <c r="P748" i="1"/>
  <c r="S748" i="1" s="1"/>
  <c r="O748" i="1"/>
  <c r="AS752" i="1"/>
  <c r="O777" i="1"/>
  <c r="P777" i="1"/>
  <c r="S777" i="1" s="1"/>
  <c r="P789" i="1"/>
  <c r="S789" i="1" s="1"/>
  <c r="O789" i="1"/>
  <c r="O812" i="1"/>
  <c r="P812" i="1"/>
  <c r="S812" i="1" s="1"/>
  <c r="O816" i="1"/>
  <c r="C624" i="1"/>
  <c r="C631" i="1"/>
  <c r="C635" i="1"/>
  <c r="O637" i="1"/>
  <c r="V637" i="1" s="1"/>
  <c r="P642" i="1"/>
  <c r="V642" i="1" s="1"/>
  <c r="C651" i="1"/>
  <c r="O652" i="1"/>
  <c r="V652" i="1" s="1"/>
  <c r="O656" i="1"/>
  <c r="V656" i="1" s="1"/>
  <c r="O666" i="1"/>
  <c r="V666" i="1" s="1"/>
  <c r="O668" i="1"/>
  <c r="AN671" i="1"/>
  <c r="W671" i="1" s="1"/>
  <c r="O673" i="1"/>
  <c r="V673" i="1" s="1"/>
  <c r="C681" i="1"/>
  <c r="C685" i="1"/>
  <c r="P691" i="1"/>
  <c r="V691" i="1" s="1"/>
  <c r="O692" i="1"/>
  <c r="V692" i="1" s="1"/>
  <c r="AS702" i="1"/>
  <c r="C714" i="1"/>
  <c r="AN714" i="1"/>
  <c r="C715" i="1"/>
  <c r="P743" i="1"/>
  <c r="S743" i="1" s="1"/>
  <c r="P753" i="1"/>
  <c r="S753" i="1" s="1"/>
  <c r="O753" i="1"/>
  <c r="P781" i="1"/>
  <c r="S781" i="1" s="1"/>
  <c r="AS789" i="1"/>
  <c r="AN791" i="1"/>
  <c r="W791" i="1" s="1"/>
  <c r="C791" i="1"/>
  <c r="AN703" i="1"/>
  <c r="W703" i="1" s="1"/>
  <c r="P730" i="1"/>
  <c r="S730" i="1" s="1"/>
  <c r="O730" i="1"/>
  <c r="AN737" i="1"/>
  <c r="W737" i="1" s="1"/>
  <c r="C737" i="1"/>
  <c r="C752" i="1"/>
  <c r="O779" i="1"/>
  <c r="P779" i="1"/>
  <c r="S779" i="1" s="1"/>
  <c r="C807" i="1"/>
  <c r="AN807" i="1"/>
  <c r="P807" i="1"/>
  <c r="S807" i="1" s="1"/>
  <c r="O807" i="1"/>
  <c r="C550" i="1"/>
  <c r="C565" i="1"/>
  <c r="C567" i="1"/>
  <c r="C577" i="1"/>
  <c r="AN587" i="1"/>
  <c r="W587" i="1" s="1"/>
  <c r="S597" i="1"/>
  <c r="C603" i="1"/>
  <c r="P624" i="1"/>
  <c r="S624" i="1" s="1"/>
  <c r="AN634" i="1"/>
  <c r="S636" i="1"/>
  <c r="S652" i="1"/>
  <c r="AS659" i="1"/>
  <c r="S666" i="1"/>
  <c r="C667" i="1"/>
  <c r="AN670" i="1"/>
  <c r="C671" i="1"/>
  <c r="C689" i="1"/>
  <c r="AN691" i="1"/>
  <c r="W691" i="1" s="1"/>
  <c r="S718" i="1"/>
  <c r="P735" i="1"/>
  <c r="S735" i="1" s="1"/>
  <c r="O735" i="1"/>
  <c r="AN744" i="1"/>
  <c r="W744" i="1" s="1"/>
  <c r="C744" i="1"/>
  <c r="AN774" i="1"/>
  <c r="C774" i="1"/>
  <c r="O774" i="1"/>
  <c r="P774" i="1"/>
  <c r="S774" i="1" s="1"/>
  <c r="AN793" i="1"/>
  <c r="C793" i="1"/>
  <c r="P796" i="1"/>
  <c r="S796" i="1" s="1"/>
  <c r="O796" i="1"/>
  <c r="O742" i="1"/>
  <c r="O752" i="1"/>
  <c r="V752" i="1" s="1"/>
  <c r="P766" i="1"/>
  <c r="V766" i="1" s="1"/>
  <c r="AS774" i="1"/>
  <c r="C674" i="1"/>
  <c r="O678" i="1"/>
  <c r="V678" i="1" s="1"/>
  <c r="C683" i="1"/>
  <c r="C684" i="1"/>
  <c r="P689" i="1"/>
  <c r="C694" i="1"/>
  <c r="P699" i="1"/>
  <c r="V699" i="1" s="1"/>
  <c r="P705" i="1"/>
  <c r="V705" i="1" s="1"/>
  <c r="C733" i="1"/>
  <c r="AN733" i="1"/>
  <c r="W733" i="1" s="1"/>
  <c r="AN751" i="1"/>
  <c r="R751" i="1"/>
  <c r="S751" i="1" s="1"/>
  <c r="AS756" i="1"/>
  <c r="C761" i="1"/>
  <c r="AS766" i="1"/>
  <c r="AN790" i="1"/>
  <c r="W790" i="1" s="1"/>
  <c r="C790" i="1"/>
  <c r="C588" i="1"/>
  <c r="S595" i="1"/>
  <c r="C653" i="1"/>
  <c r="C698" i="1"/>
  <c r="S717" i="1"/>
  <c r="AS757" i="1"/>
  <c r="AN773" i="1"/>
  <c r="W773" i="1" s="1"/>
  <c r="C773" i="1"/>
  <c r="O773" i="1"/>
  <c r="P773" i="1"/>
  <c r="S773" i="1" s="1"/>
  <c r="AN788" i="1"/>
  <c r="W788" i="1" s="1"/>
  <c r="R788" i="1"/>
  <c r="P780" i="1"/>
  <c r="V780" i="1" s="1"/>
  <c r="C781" i="1"/>
  <c r="P786" i="1"/>
  <c r="P787" i="1"/>
  <c r="O788" i="1"/>
  <c r="AS790" i="1"/>
  <c r="C792" i="1"/>
  <c r="AS793" i="1"/>
  <c r="AN799" i="1"/>
  <c r="W799" i="1" s="1"/>
  <c r="R800" i="1"/>
  <c r="P808" i="1"/>
  <c r="S808" i="1" s="1"/>
  <c r="AS810" i="1"/>
  <c r="P861" i="1"/>
  <c r="S861" i="1" s="1"/>
  <c r="P862" i="1"/>
  <c r="S862" i="1" s="1"/>
  <c r="P884" i="1"/>
  <c r="S884" i="1" s="1"/>
  <c r="P885" i="1"/>
  <c r="S885" i="1" s="1"/>
  <c r="AN785" i="1"/>
  <c r="AN786" i="1"/>
  <c r="W786" i="1" s="1"/>
  <c r="P788" i="1"/>
  <c r="AS855" i="1"/>
  <c r="S723" i="1"/>
  <c r="AS749" i="1"/>
  <c r="C754" i="1"/>
  <c r="AN755" i="1"/>
  <c r="C764" i="1"/>
  <c r="AN787" i="1"/>
  <c r="O790" i="1"/>
  <c r="O791" i="1"/>
  <c r="O793" i="1"/>
  <c r="C794" i="1"/>
  <c r="C801" i="1"/>
  <c r="P857" i="1"/>
  <c r="V857" i="1" s="1"/>
  <c r="AN860" i="1"/>
  <c r="C717" i="1"/>
  <c r="C724" i="1"/>
  <c r="C758" i="1"/>
  <c r="C783" i="1"/>
  <c r="C784" i="1"/>
  <c r="O794" i="1"/>
  <c r="C805" i="1"/>
  <c r="P814" i="1"/>
  <c r="V814" i="1" s="1"/>
  <c r="P815" i="1"/>
  <c r="V815" i="1" s="1"/>
  <c r="C886" i="1"/>
  <c r="C750" i="1"/>
  <c r="AS783" i="1"/>
  <c r="AS784" i="1"/>
  <c r="O758" i="1"/>
  <c r="V758" i="1" s="1"/>
  <c r="C765" i="1"/>
  <c r="AS785" i="1"/>
  <c r="AS786" i="1"/>
  <c r="AN739" i="1"/>
  <c r="C751" i="1"/>
  <c r="C756" i="1"/>
  <c r="O785" i="1"/>
  <c r="AS788" i="1"/>
  <c r="C861" i="1"/>
  <c r="C862" i="1"/>
  <c r="C884" i="1"/>
  <c r="C885" i="1"/>
  <c r="S21" i="1"/>
  <c r="C25" i="1"/>
  <c r="P43" i="1"/>
  <c r="S43" i="1" s="1"/>
  <c r="AS45" i="1"/>
  <c r="C51" i="1"/>
  <c r="AN51" i="1"/>
  <c r="W51" i="1" s="1"/>
  <c r="P79" i="1"/>
  <c r="S79" i="1" s="1"/>
  <c r="O79" i="1"/>
  <c r="AN87" i="1"/>
  <c r="W87" i="1" s="1"/>
  <c r="S113" i="1"/>
  <c r="P174" i="1"/>
  <c r="S174" i="1" s="1"/>
  <c r="O174" i="1"/>
  <c r="C176" i="1"/>
  <c r="AN176" i="1"/>
  <c r="W176" i="1" s="1"/>
  <c r="AN15" i="1"/>
  <c r="AO1058" i="1"/>
  <c r="P5" i="1"/>
  <c r="S5" i="1" s="1"/>
  <c r="C13" i="1"/>
  <c r="P16" i="1"/>
  <c r="S16" i="1" s="1"/>
  <c r="P18" i="1"/>
  <c r="S18" i="1" s="1"/>
  <c r="C19" i="1"/>
  <c r="AN23" i="1"/>
  <c r="W23" i="1" s="1"/>
  <c r="O25" i="1"/>
  <c r="O30" i="1"/>
  <c r="P31" i="1"/>
  <c r="V31" i="1" s="1"/>
  <c r="AS33" i="1"/>
  <c r="O42" i="1"/>
  <c r="V42" i="1" s="1"/>
  <c r="C43" i="1"/>
  <c r="C46" i="1"/>
  <c r="P46" i="1"/>
  <c r="S46" i="1" s="1"/>
  <c r="P47" i="1"/>
  <c r="S47" i="1" s="1"/>
  <c r="AN49" i="1"/>
  <c r="C49" i="1"/>
  <c r="P57" i="1"/>
  <c r="S57" i="1" s="1"/>
  <c r="C73" i="1"/>
  <c r="AN73" i="1"/>
  <c r="W73" i="1" s="1"/>
  <c r="C86" i="1"/>
  <c r="AN86" i="1"/>
  <c r="W86" i="1" s="1"/>
  <c r="S198" i="1"/>
  <c r="AN4" i="1"/>
  <c r="W4" i="1" s="1"/>
  <c r="AA1058" i="1"/>
  <c r="O13" i="1"/>
  <c r="V13" i="1" s="1"/>
  <c r="AB13" i="1" s="1"/>
  <c r="R14" i="1"/>
  <c r="O19" i="1"/>
  <c r="V19" i="1" s="1"/>
  <c r="AN24" i="1"/>
  <c r="W24" i="1" s="1"/>
  <c r="P25" i="1"/>
  <c r="S25" i="1" s="1"/>
  <c r="R29" i="1"/>
  <c r="P30" i="1"/>
  <c r="S30" i="1" s="1"/>
  <c r="P33" i="1"/>
  <c r="S33" i="1" s="1"/>
  <c r="AN36" i="1"/>
  <c r="W36" i="1" s="1"/>
  <c r="O43" i="1"/>
  <c r="AS46" i="1"/>
  <c r="C47" i="1"/>
  <c r="AS47" i="1"/>
  <c r="R108" i="1"/>
  <c r="AS108" i="1"/>
  <c r="P135" i="1"/>
  <c r="S135" i="1" s="1"/>
  <c r="O135" i="1"/>
  <c r="S196" i="1"/>
  <c r="A1058" i="1"/>
  <c r="AN30" i="1"/>
  <c r="W30" i="1" s="1"/>
  <c r="C40" i="1"/>
  <c r="AN40" i="1"/>
  <c r="W40" i="1" s="1"/>
  <c r="O46" i="1"/>
  <c r="O47" i="1"/>
  <c r="O57" i="1"/>
  <c r="P62" i="1"/>
  <c r="S62" i="1" s="1"/>
  <c r="O62" i="1"/>
  <c r="C66" i="1"/>
  <c r="AN66" i="1"/>
  <c r="W66" i="1" s="1"/>
  <c r="C83" i="1"/>
  <c r="AN83" i="1"/>
  <c r="W83" i="1" s="1"/>
  <c r="AN112" i="1"/>
  <c r="W112" i="1" s="1"/>
  <c r="Q1058" i="1"/>
  <c r="F1066" i="1" s="1"/>
  <c r="O5" i="1"/>
  <c r="M1058" i="1"/>
  <c r="F1062" i="1" s="1"/>
  <c r="C20" i="1"/>
  <c r="O21" i="1"/>
  <c r="V21" i="1" s="1"/>
  <c r="AN28" i="1"/>
  <c r="W28" i="1" s="1"/>
  <c r="P32" i="1"/>
  <c r="V32" i="1" s="1"/>
  <c r="O33" i="1"/>
  <c r="AN39" i="1"/>
  <c r="W39" i="1" s="1"/>
  <c r="AN42" i="1"/>
  <c r="W42" i="1" s="1"/>
  <c r="P56" i="1"/>
  <c r="S56" i="1" s="1"/>
  <c r="O56" i="1"/>
  <c r="P146" i="1"/>
  <c r="O146" i="1"/>
  <c r="N1058" i="1"/>
  <c r="F1063" i="1" s="1"/>
  <c r="O20" i="1"/>
  <c r="V20" i="1" s="1"/>
  <c r="P28" i="1"/>
  <c r="V28" i="1" s="1"/>
  <c r="O34" i="1"/>
  <c r="C35" i="1"/>
  <c r="AS38" i="1"/>
  <c r="P38" i="1"/>
  <c r="V38" i="1" s="1"/>
  <c r="M2" i="1"/>
  <c r="P39" i="1"/>
  <c r="V39" i="1" s="1"/>
  <c r="AS43" i="1"/>
  <c r="P45" i="1"/>
  <c r="V45" i="1" s="1"/>
  <c r="C56" i="1"/>
  <c r="S68" i="1"/>
  <c r="S90" i="1"/>
  <c r="AN99" i="1"/>
  <c r="W99" i="1" s="1"/>
  <c r="P137" i="1"/>
  <c r="S137" i="1" s="1"/>
  <c r="O137" i="1"/>
  <c r="AS42" i="1"/>
  <c r="C70" i="1"/>
  <c r="AN70" i="1"/>
  <c r="P107" i="1"/>
  <c r="S107" i="1" s="1"/>
  <c r="O107" i="1"/>
  <c r="S23" i="1"/>
  <c r="AS61" i="1"/>
  <c r="C61" i="1"/>
  <c r="AN81" i="1"/>
  <c r="W81" i="1" s="1"/>
  <c r="C81" i="1"/>
  <c r="P104" i="1"/>
  <c r="S104" i="1" s="1"/>
  <c r="O104" i="1"/>
  <c r="AS107" i="1"/>
  <c r="P141" i="1"/>
  <c r="O141" i="1"/>
  <c r="AS53" i="1"/>
  <c r="P54" i="1"/>
  <c r="S54" i="1" s="1"/>
  <c r="C57" i="1"/>
  <c r="P59" i="1"/>
  <c r="S59" i="1" s="1"/>
  <c r="C62" i="1"/>
  <c r="AN64" i="1"/>
  <c r="P72" i="1"/>
  <c r="S72" i="1" s="1"/>
  <c r="P80" i="1"/>
  <c r="AN88" i="1"/>
  <c r="W88" i="1" s="1"/>
  <c r="P96" i="1"/>
  <c r="S96" i="1" s="1"/>
  <c r="P101" i="1"/>
  <c r="S101" i="1" s="1"/>
  <c r="C104" i="1"/>
  <c r="C107" i="1"/>
  <c r="P109" i="1"/>
  <c r="AN110" i="1"/>
  <c r="P111" i="1"/>
  <c r="S111" i="1" s="1"/>
  <c r="P112" i="1"/>
  <c r="V112" i="1" s="1"/>
  <c r="AN115" i="1"/>
  <c r="W115" i="1" s="1"/>
  <c r="P116" i="1"/>
  <c r="S116" i="1" s="1"/>
  <c r="AS120" i="1"/>
  <c r="AN129" i="1"/>
  <c r="W129" i="1" s="1"/>
  <c r="C141" i="1"/>
  <c r="S143" i="1"/>
  <c r="AS174" i="1"/>
  <c r="P191" i="1"/>
  <c r="S191" i="1" s="1"/>
  <c r="O191" i="1"/>
  <c r="S206" i="1"/>
  <c r="S211" i="1"/>
  <c r="AS76" i="1"/>
  <c r="R85" i="1"/>
  <c r="S85" i="1" s="1"/>
  <c r="R106" i="1"/>
  <c r="AN127" i="1"/>
  <c r="W127" i="1" s="1"/>
  <c r="AN130" i="1"/>
  <c r="W130" i="1" s="1"/>
  <c r="P131" i="1"/>
  <c r="S131" i="1" s="1"/>
  <c r="O131" i="1"/>
  <c r="P134" i="1"/>
  <c r="S134" i="1" s="1"/>
  <c r="O134" i="1"/>
  <c r="P159" i="1"/>
  <c r="S159" i="1" s="1"/>
  <c r="O159" i="1"/>
  <c r="S178" i="1"/>
  <c r="P182" i="1"/>
  <c r="S182" i="1" s="1"/>
  <c r="O182" i="1"/>
  <c r="P184" i="1"/>
  <c r="S184" i="1" s="1"/>
  <c r="O184" i="1"/>
  <c r="AS191" i="1"/>
  <c r="P251" i="1"/>
  <c r="S251" i="1" s="1"/>
  <c r="O251" i="1"/>
  <c r="AN34" i="1"/>
  <c r="W34" i="1" s="1"/>
  <c r="AN69" i="1"/>
  <c r="W69" i="1" s="1"/>
  <c r="C78" i="1"/>
  <c r="R80" i="1"/>
  <c r="AN82" i="1"/>
  <c r="W82" i="1" s="1"/>
  <c r="C93" i="1"/>
  <c r="C98" i="1"/>
  <c r="C100" i="1"/>
  <c r="C103" i="1"/>
  <c r="C113" i="1"/>
  <c r="P128" i="1"/>
  <c r="S128" i="1" s="1"/>
  <c r="C129" i="1"/>
  <c r="C131" i="1"/>
  <c r="C134" i="1"/>
  <c r="P140" i="1"/>
  <c r="S140" i="1" s="1"/>
  <c r="O140" i="1"/>
  <c r="C142" i="1"/>
  <c r="AN142" i="1"/>
  <c r="W142" i="1" s="1"/>
  <c r="P147" i="1"/>
  <c r="S147" i="1" s="1"/>
  <c r="O147" i="1"/>
  <c r="P149" i="1"/>
  <c r="S149" i="1" s="1"/>
  <c r="O149" i="1"/>
  <c r="P154" i="1"/>
  <c r="S154" i="1" s="1"/>
  <c r="O154" i="1"/>
  <c r="P157" i="1"/>
  <c r="S157" i="1" s="1"/>
  <c r="O157" i="1"/>
  <c r="C159" i="1"/>
  <c r="P199" i="1"/>
  <c r="O199" i="1"/>
  <c r="AN207" i="1"/>
  <c r="W207" i="1" s="1"/>
  <c r="O212" i="1"/>
  <c r="P212" i="1"/>
  <c r="S212" i="1" s="1"/>
  <c r="AS214" i="1"/>
  <c r="AN217" i="1"/>
  <c r="C217" i="1"/>
  <c r="C249" i="1"/>
  <c r="P317" i="1"/>
  <c r="S317" i="1" s="1"/>
  <c r="O317" i="1"/>
  <c r="AN55" i="1"/>
  <c r="W55" i="1" s="1"/>
  <c r="AN60" i="1"/>
  <c r="W60" i="1" s="1"/>
  <c r="O61" i="1"/>
  <c r="V61" i="1" s="1"/>
  <c r="O63" i="1"/>
  <c r="V63" i="1" s="1"/>
  <c r="O76" i="1"/>
  <c r="V76" i="1" s="1"/>
  <c r="AN77" i="1"/>
  <c r="W77" i="1" s="1"/>
  <c r="O78" i="1"/>
  <c r="V78" i="1" s="1"/>
  <c r="O91" i="1"/>
  <c r="V91" i="1" s="1"/>
  <c r="AN92" i="1"/>
  <c r="W92" i="1" s="1"/>
  <c r="O93" i="1"/>
  <c r="V93" i="1" s="1"/>
  <c r="AB93" i="1" s="1"/>
  <c r="AN97" i="1"/>
  <c r="W97" i="1" s="1"/>
  <c r="O98" i="1"/>
  <c r="V98" i="1" s="1"/>
  <c r="O100" i="1"/>
  <c r="V100" i="1" s="1"/>
  <c r="AN102" i="1"/>
  <c r="W102" i="1" s="1"/>
  <c r="O103" i="1"/>
  <c r="V103" i="1" s="1"/>
  <c r="O113" i="1"/>
  <c r="V113" i="1" s="1"/>
  <c r="AS113" i="1"/>
  <c r="AN117" i="1"/>
  <c r="W117" i="1" s="1"/>
  <c r="R117" i="1"/>
  <c r="S130" i="1"/>
  <c r="P133" i="1"/>
  <c r="V133" i="1" s="1"/>
  <c r="P145" i="1"/>
  <c r="S145" i="1" s="1"/>
  <c r="O145" i="1"/>
  <c r="AS147" i="1"/>
  <c r="C147" i="1"/>
  <c r="AS149" i="1"/>
  <c r="C149" i="1"/>
  <c r="AS154" i="1"/>
  <c r="C154" i="1"/>
  <c r="AN156" i="1"/>
  <c r="W156" i="1" s="1"/>
  <c r="C156" i="1"/>
  <c r="P179" i="1"/>
  <c r="S179" i="1" s="1"/>
  <c r="O179" i="1"/>
  <c r="S193" i="1"/>
  <c r="AN194" i="1"/>
  <c r="W194" i="1" s="1"/>
  <c r="C201" i="1"/>
  <c r="P201" i="1"/>
  <c r="O201" i="1"/>
  <c r="AS297" i="1"/>
  <c r="P110" i="1"/>
  <c r="V110" i="1" s="1"/>
  <c r="AN111" i="1"/>
  <c r="W111" i="1" s="1"/>
  <c r="P115" i="1"/>
  <c r="S115" i="1" s="1"/>
  <c r="O117" i="1"/>
  <c r="P118" i="1"/>
  <c r="V118" i="1" s="1"/>
  <c r="AS118" i="1"/>
  <c r="P120" i="1"/>
  <c r="P121" i="1"/>
  <c r="V121" i="1" s="1"/>
  <c r="P123" i="1"/>
  <c r="P124" i="1"/>
  <c r="S124" i="1" s="1"/>
  <c r="O127" i="1"/>
  <c r="AN134" i="1"/>
  <c r="W134" i="1" s="1"/>
  <c r="AS145" i="1"/>
  <c r="C145" i="1"/>
  <c r="P163" i="1"/>
  <c r="S163" i="1" s="1"/>
  <c r="O163" i="1"/>
  <c r="AN170" i="1"/>
  <c r="W170" i="1" s="1"/>
  <c r="C170" i="1"/>
  <c r="P197" i="1"/>
  <c r="S197" i="1" s="1"/>
  <c r="O197" i="1"/>
  <c r="AS201" i="1"/>
  <c r="S208" i="1"/>
  <c r="C240" i="1"/>
  <c r="P242" i="1"/>
  <c r="O242" i="1"/>
  <c r="AN139" i="1"/>
  <c r="W139" i="1" s="1"/>
  <c r="AS163" i="1"/>
  <c r="C163" i="1"/>
  <c r="AN204" i="1"/>
  <c r="W204" i="1" s="1"/>
  <c r="C209" i="1"/>
  <c r="AN209" i="1"/>
  <c r="C219" i="1"/>
  <c r="AN219" i="1"/>
  <c r="W219" i="1" s="1"/>
  <c r="P219" i="1"/>
  <c r="S219" i="1" s="1"/>
  <c r="O219" i="1"/>
  <c r="P293" i="1"/>
  <c r="S293" i="1" s="1"/>
  <c r="O293" i="1"/>
  <c r="C72" i="1"/>
  <c r="C80" i="1"/>
  <c r="C116" i="1"/>
  <c r="AN143" i="1"/>
  <c r="W143" i="1" s="1"/>
  <c r="S144" i="1"/>
  <c r="AN148" i="1"/>
  <c r="W148" i="1" s="1"/>
  <c r="C148" i="1"/>
  <c r="AN187" i="1"/>
  <c r="W187" i="1" s="1"/>
  <c r="R187" i="1"/>
  <c r="P150" i="1"/>
  <c r="AS150" i="1"/>
  <c r="P155" i="1"/>
  <c r="P160" i="1"/>
  <c r="P162" i="1"/>
  <c r="S162" i="1" s="1"/>
  <c r="P169" i="1"/>
  <c r="P175" i="1"/>
  <c r="C179" i="1"/>
  <c r="P181" i="1"/>
  <c r="P183" i="1"/>
  <c r="AN186" i="1"/>
  <c r="W186" i="1" s="1"/>
  <c r="P192" i="1"/>
  <c r="S192" i="1" s="1"/>
  <c r="AN193" i="1"/>
  <c r="W193" i="1" s="1"/>
  <c r="P202" i="1"/>
  <c r="S202" i="1" s="1"/>
  <c r="P205" i="1"/>
  <c r="AN206" i="1"/>
  <c r="W206" i="1" s="1"/>
  <c r="P210" i="1"/>
  <c r="S210" i="1" s="1"/>
  <c r="O214" i="1"/>
  <c r="C220" i="1"/>
  <c r="AN222" i="1"/>
  <c r="C222" i="1"/>
  <c r="AN237" i="1"/>
  <c r="W237" i="1" s="1"/>
  <c r="C237" i="1"/>
  <c r="S238" i="1"/>
  <c r="S245" i="1"/>
  <c r="AS251" i="1"/>
  <c r="C251" i="1"/>
  <c r="AN273" i="1"/>
  <c r="W273" i="1" s="1"/>
  <c r="C273" i="1"/>
  <c r="S309" i="1"/>
  <c r="AN315" i="1"/>
  <c r="W315" i="1" s="1"/>
  <c r="C317" i="1"/>
  <c r="AN348" i="1"/>
  <c r="W348" i="1" s="1"/>
  <c r="R348" i="1"/>
  <c r="O428" i="1"/>
  <c r="P428" i="1"/>
  <c r="S428" i="1" s="1"/>
  <c r="AN198" i="1"/>
  <c r="W198" i="1" s="1"/>
  <c r="P259" i="1"/>
  <c r="S259" i="1" s="1"/>
  <c r="O259" i="1"/>
  <c r="C153" i="1"/>
  <c r="C158" i="1"/>
  <c r="C166" i="1"/>
  <c r="C167" i="1"/>
  <c r="C185" i="1"/>
  <c r="C188" i="1"/>
  <c r="C190" i="1"/>
  <c r="C196" i="1"/>
  <c r="C198" i="1"/>
  <c r="C200" i="1"/>
  <c r="AN203" i="1"/>
  <c r="AN234" i="1"/>
  <c r="W234" i="1" s="1"/>
  <c r="R234" i="1"/>
  <c r="AN239" i="1"/>
  <c r="W239" i="1" s="1"/>
  <c r="C239" i="1"/>
  <c r="C259" i="1"/>
  <c r="P264" i="1"/>
  <c r="S264" i="1" s="1"/>
  <c r="O264" i="1"/>
  <c r="P276" i="1"/>
  <c r="O276" i="1"/>
  <c r="AN292" i="1"/>
  <c r="C292" i="1"/>
  <c r="S319" i="1"/>
  <c r="AN327" i="1"/>
  <c r="W327" i="1" s="1"/>
  <c r="C327" i="1"/>
  <c r="AN146" i="1"/>
  <c r="W146" i="1" s="1"/>
  <c r="O153" i="1"/>
  <c r="V153" i="1" s="1"/>
  <c r="AS153" i="1"/>
  <c r="O158" i="1"/>
  <c r="V158" i="1" s="1"/>
  <c r="AS158" i="1"/>
  <c r="C165" i="1"/>
  <c r="O166" i="1"/>
  <c r="V166" i="1" s="1"/>
  <c r="O167" i="1"/>
  <c r="V167" i="1" s="1"/>
  <c r="C172" i="1"/>
  <c r="O185" i="1"/>
  <c r="V185" i="1" s="1"/>
  <c r="O188" i="1"/>
  <c r="V188" i="1" s="1"/>
  <c r="AN189" i="1"/>
  <c r="O190" i="1"/>
  <c r="V190" i="1" s="1"/>
  <c r="AS190" i="1"/>
  <c r="AN195" i="1"/>
  <c r="W195" i="1" s="1"/>
  <c r="O196" i="1"/>
  <c r="V196" i="1" s="1"/>
  <c r="AB196" i="1" s="1"/>
  <c r="AS196" i="1"/>
  <c r="O198" i="1"/>
  <c r="V198" i="1" s="1"/>
  <c r="O200" i="1"/>
  <c r="V200" i="1" s="1"/>
  <c r="AS200" i="1"/>
  <c r="C215" i="1"/>
  <c r="AN218" i="1"/>
  <c r="W218" i="1" s="1"/>
  <c r="O221" i="1"/>
  <c r="S235" i="1"/>
  <c r="AN236" i="1"/>
  <c r="W236" i="1" s="1"/>
  <c r="C236" i="1"/>
  <c r="AN267" i="1"/>
  <c r="W267" i="1" s="1"/>
  <c r="R267" i="1"/>
  <c r="AS276" i="1"/>
  <c r="C276" i="1"/>
  <c r="P278" i="1"/>
  <c r="S278" i="1" s="1"/>
  <c r="O278" i="1"/>
  <c r="S311" i="1"/>
  <c r="AN320" i="1"/>
  <c r="W320" i="1" s="1"/>
  <c r="C320" i="1"/>
  <c r="AN372" i="1"/>
  <c r="C372" i="1"/>
  <c r="R141" i="1"/>
  <c r="O142" i="1"/>
  <c r="V142" i="1" s="1"/>
  <c r="O165" i="1"/>
  <c r="O172" i="1"/>
  <c r="V172" i="1" s="1"/>
  <c r="O208" i="1"/>
  <c r="V208" i="1" s="1"/>
  <c r="AS208" i="1"/>
  <c r="AS210" i="1"/>
  <c r="C226" i="1"/>
  <c r="AS278" i="1"/>
  <c r="C278" i="1"/>
  <c r="P284" i="1"/>
  <c r="S284" i="1" s="1"/>
  <c r="O284" i="1"/>
  <c r="C301" i="1"/>
  <c r="AN301" i="1"/>
  <c r="W301" i="1" s="1"/>
  <c r="P323" i="1"/>
  <c r="S323" i="1" s="1"/>
  <c r="O323" i="1"/>
  <c r="AS162" i="1"/>
  <c r="O193" i="1"/>
  <c r="V193" i="1" s="1"/>
  <c r="O195" i="1"/>
  <c r="V195" i="1" s="1"/>
  <c r="O203" i="1"/>
  <c r="V203" i="1" s="1"/>
  <c r="O206" i="1"/>
  <c r="V206" i="1" s="1"/>
  <c r="AN211" i="1"/>
  <c r="AS216" i="1"/>
  <c r="P221" i="1"/>
  <c r="S221" i="1" s="1"/>
  <c r="S228" i="1"/>
  <c r="P229" i="1"/>
  <c r="S229" i="1" s="1"/>
  <c r="O229" i="1"/>
  <c r="P231" i="1"/>
  <c r="S231" i="1" s="1"/>
  <c r="O231" i="1"/>
  <c r="S232" i="1"/>
  <c r="S239" i="1"/>
  <c r="P256" i="1"/>
  <c r="S256" i="1" s="1"/>
  <c r="O256" i="1"/>
  <c r="AN272" i="1"/>
  <c r="W272" i="1" s="1"/>
  <c r="AS284" i="1"/>
  <c r="C284" i="1"/>
  <c r="S285" i="1"/>
  <c r="AS323" i="1"/>
  <c r="C323" i="1"/>
  <c r="C155" i="1"/>
  <c r="C169" i="1"/>
  <c r="C175" i="1"/>
  <c r="R185" i="1"/>
  <c r="S185" i="1" s="1"/>
  <c r="R188" i="1"/>
  <c r="S188" i="1" s="1"/>
  <c r="O211" i="1"/>
  <c r="V211" i="1" s="1"/>
  <c r="C214" i="1"/>
  <c r="C216" i="1"/>
  <c r="AN224" i="1"/>
  <c r="C224" i="1"/>
  <c r="AN225" i="1"/>
  <c r="C225" i="1"/>
  <c r="AS231" i="1"/>
  <c r="C231" i="1"/>
  <c r="S236" i="1"/>
  <c r="P240" i="1"/>
  <c r="S240" i="1" s="1"/>
  <c r="O240" i="1"/>
  <c r="P249" i="1"/>
  <c r="S249" i="1" s="1"/>
  <c r="O249" i="1"/>
  <c r="AN253" i="1"/>
  <c r="W253" i="1" s="1"/>
  <c r="C253" i="1"/>
  <c r="S254" i="1"/>
  <c r="C256" i="1"/>
  <c r="AN286" i="1"/>
  <c r="C286" i="1"/>
  <c r="P297" i="1"/>
  <c r="S297" i="1" s="1"/>
  <c r="O297" i="1"/>
  <c r="P409" i="1"/>
  <c r="O409" i="1"/>
  <c r="AS244" i="1"/>
  <c r="O257" i="1"/>
  <c r="AN261" i="1"/>
  <c r="W261" i="1" s="1"/>
  <c r="O262" i="1"/>
  <c r="AS262" i="1"/>
  <c r="O267" i="1"/>
  <c r="AN279" i="1"/>
  <c r="W279" i="1" s="1"/>
  <c r="O280" i="1"/>
  <c r="AS290" i="1"/>
  <c r="C297" i="1"/>
  <c r="O298" i="1"/>
  <c r="AS298" i="1"/>
  <c r="O302" i="1"/>
  <c r="O305" i="1"/>
  <c r="AN314" i="1"/>
  <c r="AN341" i="1"/>
  <c r="W341" i="1" s="1"/>
  <c r="C341" i="1"/>
  <c r="P341" i="1"/>
  <c r="S341" i="1" s="1"/>
  <c r="O341" i="1"/>
  <c r="R364" i="1"/>
  <c r="AN364" i="1"/>
  <c r="W364" i="1" s="1"/>
  <c r="C365" i="1"/>
  <c r="AN365" i="1"/>
  <c r="W365" i="1" s="1"/>
  <c r="O429" i="1"/>
  <c r="P429" i="1"/>
  <c r="S429" i="1" s="1"/>
  <c r="AN230" i="1"/>
  <c r="P234" i="1"/>
  <c r="AN241" i="1"/>
  <c r="W241" i="1" s="1"/>
  <c r="P247" i="1"/>
  <c r="AS247" i="1"/>
  <c r="AN248" i="1"/>
  <c r="W248" i="1" s="1"/>
  <c r="AN250" i="1"/>
  <c r="W250" i="1" s="1"/>
  <c r="AN255" i="1"/>
  <c r="W255" i="1" s="1"/>
  <c r="P257" i="1"/>
  <c r="S257" i="1" s="1"/>
  <c r="P262" i="1"/>
  <c r="S262" i="1" s="1"/>
  <c r="AN263" i="1"/>
  <c r="W263" i="1" s="1"/>
  <c r="P267" i="1"/>
  <c r="P270" i="1"/>
  <c r="S270" i="1" s="1"/>
  <c r="P272" i="1"/>
  <c r="AN275" i="1"/>
  <c r="AN277" i="1"/>
  <c r="W277" i="1" s="1"/>
  <c r="P280" i="1"/>
  <c r="S280" i="1" s="1"/>
  <c r="AN283" i="1"/>
  <c r="W283" i="1" s="1"/>
  <c r="AS294" i="1"/>
  <c r="P298" i="1"/>
  <c r="S298" i="1" s="1"/>
  <c r="P302" i="1"/>
  <c r="S302" i="1" s="1"/>
  <c r="P305" i="1"/>
  <c r="S305" i="1" s="1"/>
  <c r="P315" i="1"/>
  <c r="AN324" i="1"/>
  <c r="W324" i="1" s="1"/>
  <c r="O326" i="1"/>
  <c r="P337" i="1"/>
  <c r="S337" i="1" s="1"/>
  <c r="AN343" i="1"/>
  <c r="W343" i="1" s="1"/>
  <c r="C343" i="1"/>
  <c r="P360" i="1"/>
  <c r="S360" i="1" s="1"/>
  <c r="O360" i="1"/>
  <c r="S365" i="1"/>
  <c r="R384" i="1"/>
  <c r="AN384" i="1"/>
  <c r="W384" i="1" s="1"/>
  <c r="P387" i="1"/>
  <c r="S387" i="1" s="1"/>
  <c r="O387" i="1"/>
  <c r="C429" i="1"/>
  <c r="C442" i="1"/>
  <c r="AN442" i="1"/>
  <c r="AN506" i="1"/>
  <c r="W506" i="1" s="1"/>
  <c r="C506" i="1"/>
  <c r="O226" i="1"/>
  <c r="V226" i="1" s="1"/>
  <c r="AS232" i="1"/>
  <c r="O236" i="1"/>
  <c r="V236" i="1" s="1"/>
  <c r="O237" i="1"/>
  <c r="V237" i="1" s="1"/>
  <c r="O239" i="1"/>
  <c r="V239" i="1" s="1"/>
  <c r="C243" i="1"/>
  <c r="O253" i="1"/>
  <c r="V253" i="1" s="1"/>
  <c r="O273" i="1"/>
  <c r="V273" i="1" s="1"/>
  <c r="O286" i="1"/>
  <c r="V286" i="1" s="1"/>
  <c r="C310" i="1"/>
  <c r="AN319" i="1"/>
  <c r="W319" i="1" s="1"/>
  <c r="O320" i="1"/>
  <c r="V320" i="1" s="1"/>
  <c r="P334" i="1"/>
  <c r="S334" i="1" s="1"/>
  <c r="P336" i="1"/>
  <c r="S336" i="1" s="1"/>
  <c r="O336" i="1"/>
  <c r="C337" i="1"/>
  <c r="AN385" i="1"/>
  <c r="W385" i="1" s="1"/>
  <c r="C385" i="1"/>
  <c r="C387" i="1"/>
  <c r="S389" i="1"/>
  <c r="AN405" i="1"/>
  <c r="C405" i="1"/>
  <c r="C424" i="1"/>
  <c r="AN424" i="1"/>
  <c r="W424" i="1" s="1"/>
  <c r="AS431" i="1"/>
  <c r="C431" i="1"/>
  <c r="C228" i="1"/>
  <c r="C235" i="1"/>
  <c r="AS236" i="1"/>
  <c r="C254" i="1"/>
  <c r="AS255" i="1"/>
  <c r="AN287" i="1"/>
  <c r="W287" i="1" s="1"/>
  <c r="P326" i="1"/>
  <c r="S326" i="1" s="1"/>
  <c r="AN326" i="1"/>
  <c r="W326" i="1" s="1"/>
  <c r="O333" i="1"/>
  <c r="V333" i="1" s="1"/>
  <c r="C334" i="1"/>
  <c r="O335" i="1"/>
  <c r="V335" i="1" s="1"/>
  <c r="O337" i="1"/>
  <c r="AS339" i="1"/>
  <c r="AN346" i="1"/>
  <c r="W346" i="1" s="1"/>
  <c r="C346" i="1"/>
  <c r="AN350" i="1"/>
  <c r="W350" i="1" s="1"/>
  <c r="AN382" i="1"/>
  <c r="W382" i="1" s="1"/>
  <c r="R382" i="1"/>
  <c r="S400" i="1"/>
  <c r="P401" i="1"/>
  <c r="S401" i="1" s="1"/>
  <c r="O401" i="1"/>
  <c r="AN227" i="1"/>
  <c r="W227" i="1" s="1"/>
  <c r="AS233" i="1"/>
  <c r="AS246" i="1"/>
  <c r="AN290" i="1"/>
  <c r="C295" i="1"/>
  <c r="AN299" i="1"/>
  <c r="C304" i="1"/>
  <c r="AN306" i="1"/>
  <c r="C309" i="1"/>
  <c r="C313" i="1"/>
  <c r="C316" i="1"/>
  <c r="O321" i="1"/>
  <c r="V321" i="1" s="1"/>
  <c r="AB321" i="1" s="1"/>
  <c r="AC321" i="1" s="1"/>
  <c r="O328" i="1"/>
  <c r="V328" i="1" s="1"/>
  <c r="C330" i="1"/>
  <c r="AN330" i="1"/>
  <c r="W330" i="1" s="1"/>
  <c r="AN333" i="1"/>
  <c r="W333" i="1" s="1"/>
  <c r="O334" i="1"/>
  <c r="C339" i="1"/>
  <c r="S346" i="1"/>
  <c r="S383" i="1"/>
  <c r="S398" i="1"/>
  <c r="C244" i="1"/>
  <c r="C252" i="1"/>
  <c r="C258" i="1"/>
  <c r="O274" i="1"/>
  <c r="V274" i="1" s="1"/>
  <c r="O281" i="1"/>
  <c r="V281" i="1" s="1"/>
  <c r="O295" i="1"/>
  <c r="V295" i="1" s="1"/>
  <c r="O304" i="1"/>
  <c r="V304" i="1" s="1"/>
  <c r="AN308" i="1"/>
  <c r="W308" i="1" s="1"/>
  <c r="O309" i="1"/>
  <c r="V309" i="1" s="1"/>
  <c r="O311" i="1"/>
  <c r="V311" i="1" s="1"/>
  <c r="AN312" i="1"/>
  <c r="W312" i="1" s="1"/>
  <c r="O313" i="1"/>
  <c r="V313" i="1" s="1"/>
  <c r="O316" i="1"/>
  <c r="V316" i="1" s="1"/>
  <c r="AB316" i="1" s="1"/>
  <c r="C318" i="1"/>
  <c r="O319" i="1"/>
  <c r="V319" i="1" s="1"/>
  <c r="O324" i="1"/>
  <c r="AN325" i="1"/>
  <c r="C329" i="1"/>
  <c r="P331" i="1"/>
  <c r="V331" i="1" s="1"/>
  <c r="AN331" i="1"/>
  <c r="W331" i="1" s="1"/>
  <c r="AN336" i="1"/>
  <c r="W336" i="1" s="1"/>
  <c r="P356" i="1"/>
  <c r="S356" i="1" s="1"/>
  <c r="O356" i="1"/>
  <c r="AN398" i="1"/>
  <c r="W398" i="1" s="1"/>
  <c r="P413" i="1"/>
  <c r="S413" i="1" s="1"/>
  <c r="O413" i="1"/>
  <c r="C289" i="1"/>
  <c r="S333" i="1"/>
  <c r="C338" i="1"/>
  <c r="P338" i="1"/>
  <c r="S338" i="1" s="1"/>
  <c r="O338" i="1"/>
  <c r="AN353" i="1"/>
  <c r="C353" i="1"/>
  <c r="AS356" i="1"/>
  <c r="AN359" i="1"/>
  <c r="W359" i="1" s="1"/>
  <c r="C359" i="1"/>
  <c r="R371" i="1"/>
  <c r="AN371" i="1"/>
  <c r="W371" i="1" s="1"/>
  <c r="AN403" i="1"/>
  <c r="W403" i="1" s="1"/>
  <c r="P411" i="1"/>
  <c r="S411" i="1" s="1"/>
  <c r="O411" i="1"/>
  <c r="AN416" i="1"/>
  <c r="W416" i="1" s="1"/>
  <c r="AN425" i="1"/>
  <c r="W425" i="1" s="1"/>
  <c r="O348" i="1"/>
  <c r="R354" i="1"/>
  <c r="C360" i="1"/>
  <c r="O361" i="1"/>
  <c r="O364" i="1"/>
  <c r="O366" i="1"/>
  <c r="AN402" i="1"/>
  <c r="C409" i="1"/>
  <c r="C411" i="1"/>
  <c r="C413" i="1"/>
  <c r="O416" i="1"/>
  <c r="O418" i="1"/>
  <c r="AN422" i="1"/>
  <c r="W422" i="1" s="1"/>
  <c r="O423" i="1"/>
  <c r="C427" i="1"/>
  <c r="C428" i="1"/>
  <c r="S442" i="1"/>
  <c r="C480" i="1"/>
  <c r="AN480" i="1"/>
  <c r="W480" i="1" s="1"/>
  <c r="P480" i="1"/>
  <c r="S480" i="1" s="1"/>
  <c r="O480" i="1"/>
  <c r="AN485" i="1"/>
  <c r="W485" i="1" s="1"/>
  <c r="R485" i="1"/>
  <c r="S485" i="1" s="1"/>
  <c r="P348" i="1"/>
  <c r="AN355" i="1"/>
  <c r="P361" i="1"/>
  <c r="S361" i="1" s="1"/>
  <c r="P364" i="1"/>
  <c r="P366" i="1"/>
  <c r="P371" i="1"/>
  <c r="P382" i="1"/>
  <c r="P384" i="1"/>
  <c r="P403" i="1"/>
  <c r="S403" i="1" s="1"/>
  <c r="AN408" i="1"/>
  <c r="AN410" i="1"/>
  <c r="W410" i="1" s="1"/>
  <c r="AN412" i="1"/>
  <c r="W412" i="1" s="1"/>
  <c r="P416" i="1"/>
  <c r="S416" i="1" s="1"/>
  <c r="P418" i="1"/>
  <c r="S418" i="1" s="1"/>
  <c r="P423" i="1"/>
  <c r="S423" i="1" s="1"/>
  <c r="AN435" i="1"/>
  <c r="W435" i="1" s="1"/>
  <c r="C435" i="1"/>
  <c r="C438" i="1"/>
  <c r="AN438" i="1"/>
  <c r="P447" i="1"/>
  <c r="S447" i="1" s="1"/>
  <c r="O447" i="1"/>
  <c r="AN482" i="1"/>
  <c r="W482" i="1" s="1"/>
  <c r="C482" i="1"/>
  <c r="O343" i="1"/>
  <c r="O346" i="1"/>
  <c r="V346" i="1" s="1"/>
  <c r="O350" i="1"/>
  <c r="O353" i="1"/>
  <c r="O359" i="1"/>
  <c r="V359" i="1" s="1"/>
  <c r="O365" i="1"/>
  <c r="V365" i="1" s="1"/>
  <c r="O372" i="1"/>
  <c r="V372" i="1" s="1"/>
  <c r="C374" i="1"/>
  <c r="C379" i="1"/>
  <c r="O385" i="1"/>
  <c r="V385" i="1" s="1"/>
  <c r="AN388" i="1"/>
  <c r="O389" i="1"/>
  <c r="V389" i="1" s="1"/>
  <c r="AS391" i="1"/>
  <c r="C393" i="1"/>
  <c r="C396" i="1"/>
  <c r="O398" i="1"/>
  <c r="V398" i="1" s="1"/>
  <c r="O405" i="1"/>
  <c r="C407" i="1"/>
  <c r="AN419" i="1"/>
  <c r="O420" i="1"/>
  <c r="AN426" i="1"/>
  <c r="W426" i="1" s="1"/>
  <c r="AN466" i="1"/>
  <c r="W466" i="1" s="1"/>
  <c r="S468" i="1"/>
  <c r="P486" i="1"/>
  <c r="S486" i="1" s="1"/>
  <c r="O486" i="1"/>
  <c r="P491" i="1"/>
  <c r="S491" i="1" s="1"/>
  <c r="O491" i="1"/>
  <c r="C512" i="1"/>
  <c r="AN512" i="1"/>
  <c r="W512" i="1" s="1"/>
  <c r="P512" i="1"/>
  <c r="S512" i="1" s="1"/>
  <c r="O512" i="1"/>
  <c r="AN373" i="1"/>
  <c r="W373" i="1" s="1"/>
  <c r="AN378" i="1"/>
  <c r="C386" i="1"/>
  <c r="AN392" i="1"/>
  <c r="W392" i="1" s="1"/>
  <c r="AN395" i="1"/>
  <c r="C400" i="1"/>
  <c r="AN406" i="1"/>
  <c r="W406" i="1" s="1"/>
  <c r="AN414" i="1"/>
  <c r="S452" i="1"/>
  <c r="AN461" i="1"/>
  <c r="AS486" i="1"/>
  <c r="AS491" i="1"/>
  <c r="C491" i="1"/>
  <c r="AN558" i="1"/>
  <c r="W558" i="1" s="1"/>
  <c r="C558" i="1"/>
  <c r="AN369" i="1"/>
  <c r="W369" i="1" s="1"/>
  <c r="AN390" i="1"/>
  <c r="AN399" i="1"/>
  <c r="P433" i="1"/>
  <c r="S433" i="1" s="1"/>
  <c r="O433" i="1"/>
  <c r="AN454" i="1"/>
  <c r="C454" i="1"/>
  <c r="AN376" i="1"/>
  <c r="W376" i="1" s="1"/>
  <c r="O426" i="1"/>
  <c r="V426" i="1" s="1"/>
  <c r="AN433" i="1"/>
  <c r="AN464" i="1"/>
  <c r="W464" i="1" s="1"/>
  <c r="C464" i="1"/>
  <c r="AN517" i="1"/>
  <c r="W517" i="1" s="1"/>
  <c r="C517" i="1"/>
  <c r="P517" i="1"/>
  <c r="S517" i="1" s="1"/>
  <c r="O517" i="1"/>
  <c r="P470" i="1"/>
  <c r="S470" i="1" s="1"/>
  <c r="O470" i="1"/>
  <c r="O475" i="1"/>
  <c r="P475" i="1"/>
  <c r="S475" i="1" s="1"/>
  <c r="C494" i="1"/>
  <c r="AN494" i="1"/>
  <c r="W494" i="1" s="1"/>
  <c r="O494" i="1"/>
  <c r="P494" i="1"/>
  <c r="S494" i="1" s="1"/>
  <c r="O439" i="1"/>
  <c r="AS440" i="1"/>
  <c r="C447" i="1"/>
  <c r="AS462" i="1"/>
  <c r="C470" i="1"/>
  <c r="AN471" i="1"/>
  <c r="W471" i="1" s="1"/>
  <c r="O474" i="1"/>
  <c r="C475" i="1"/>
  <c r="AN477" i="1"/>
  <c r="W477" i="1" s="1"/>
  <c r="AS480" i="1"/>
  <c r="C486" i="1"/>
  <c r="C515" i="1"/>
  <c r="P515" i="1"/>
  <c r="S515" i="1" s="1"/>
  <c r="O515" i="1"/>
  <c r="C520" i="1"/>
  <c r="AN520" i="1"/>
  <c r="W520" i="1" s="1"/>
  <c r="P526" i="1"/>
  <c r="S526" i="1" s="1"/>
  <c r="O526" i="1"/>
  <c r="P539" i="1"/>
  <c r="S539" i="1" s="1"/>
  <c r="O539" i="1"/>
  <c r="P545" i="1"/>
  <c r="S545" i="1" s="1"/>
  <c r="O545" i="1"/>
  <c r="AN549" i="1"/>
  <c r="W549" i="1" s="1"/>
  <c r="C549" i="1"/>
  <c r="AN432" i="1"/>
  <c r="W432" i="1" s="1"/>
  <c r="P439" i="1"/>
  <c r="S439" i="1" s="1"/>
  <c r="AN469" i="1"/>
  <c r="P474" i="1"/>
  <c r="S474" i="1" s="1"/>
  <c r="AS483" i="1"/>
  <c r="AS515" i="1"/>
  <c r="C526" i="1"/>
  <c r="S532" i="1"/>
  <c r="C539" i="1"/>
  <c r="AN560" i="1"/>
  <c r="W560" i="1" s="1"/>
  <c r="R560" i="1"/>
  <c r="R579" i="1"/>
  <c r="AN579" i="1"/>
  <c r="O435" i="1"/>
  <c r="C437" i="1"/>
  <c r="O438" i="1"/>
  <c r="V438" i="1" s="1"/>
  <c r="O442" i="1"/>
  <c r="V442" i="1" s="1"/>
  <c r="C456" i="1"/>
  <c r="O461" i="1"/>
  <c r="V461" i="1" s="1"/>
  <c r="AN484" i="1"/>
  <c r="W484" i="1" s="1"/>
  <c r="AS500" i="1"/>
  <c r="P500" i="1"/>
  <c r="S500" i="1" s="1"/>
  <c r="O500" i="1"/>
  <c r="AN508" i="1"/>
  <c r="W508" i="1" s="1"/>
  <c r="C508" i="1"/>
  <c r="AN515" i="1"/>
  <c r="W515" i="1" s="1"/>
  <c r="P518" i="1"/>
  <c r="S518" i="1" s="1"/>
  <c r="O518" i="1"/>
  <c r="AN528" i="1"/>
  <c r="W528" i="1" s="1"/>
  <c r="R528" i="1"/>
  <c r="AN537" i="1"/>
  <c r="W537" i="1" s="1"/>
  <c r="AN552" i="1"/>
  <c r="W552" i="1" s="1"/>
  <c r="R552" i="1"/>
  <c r="S556" i="1"/>
  <c r="S558" i="1"/>
  <c r="S566" i="1"/>
  <c r="AN572" i="1"/>
  <c r="W572" i="1" s="1"/>
  <c r="C572" i="1"/>
  <c r="O456" i="1"/>
  <c r="V456" i="1" s="1"/>
  <c r="O458" i="1"/>
  <c r="V458" i="1" s="1"/>
  <c r="AB458" i="1" s="1"/>
  <c r="AN481" i="1"/>
  <c r="W481" i="1" s="1"/>
  <c r="P483" i="1"/>
  <c r="V483" i="1" s="1"/>
  <c r="P489" i="1"/>
  <c r="S489" i="1" s="1"/>
  <c r="C493" i="1"/>
  <c r="AN493" i="1"/>
  <c r="W493" i="1" s="1"/>
  <c r="AN499" i="1"/>
  <c r="W499" i="1" s="1"/>
  <c r="C499" i="1"/>
  <c r="AS518" i="1"/>
  <c r="C518" i="1"/>
  <c r="S541" i="1"/>
  <c r="C597" i="1"/>
  <c r="AN597" i="1"/>
  <c r="W597" i="1" s="1"/>
  <c r="AN451" i="1"/>
  <c r="AN459" i="1"/>
  <c r="W459" i="1" s="1"/>
  <c r="O460" i="1"/>
  <c r="V460" i="1" s="1"/>
  <c r="O465" i="1"/>
  <c r="V465" i="1" s="1"/>
  <c r="AB465" i="1" s="1"/>
  <c r="AC465" i="1" s="1"/>
  <c r="C479" i="1"/>
  <c r="AS479" i="1"/>
  <c r="C484" i="1"/>
  <c r="AS499" i="1"/>
  <c r="S522" i="1"/>
  <c r="S534" i="1"/>
  <c r="AN542" i="1"/>
  <c r="W542" i="1" s="1"/>
  <c r="C542" i="1"/>
  <c r="S547" i="1"/>
  <c r="P562" i="1"/>
  <c r="O562" i="1"/>
  <c r="P570" i="1"/>
  <c r="S570" i="1" s="1"/>
  <c r="O570" i="1"/>
  <c r="P605" i="1"/>
  <c r="S605" i="1" s="1"/>
  <c r="O605" i="1"/>
  <c r="C440" i="1"/>
  <c r="P473" i="1"/>
  <c r="V473" i="1" s="1"/>
  <c r="AN474" i="1"/>
  <c r="W474" i="1" s="1"/>
  <c r="O479" i="1"/>
  <c r="O484" i="1"/>
  <c r="AN489" i="1"/>
  <c r="P499" i="1"/>
  <c r="S499" i="1" s="1"/>
  <c r="S505" i="1"/>
  <c r="S529" i="1"/>
  <c r="AN548" i="1"/>
  <c r="AS562" i="1"/>
  <c r="C562" i="1"/>
  <c r="AN568" i="1"/>
  <c r="W568" i="1" s="1"/>
  <c r="C568" i="1"/>
  <c r="C570" i="1"/>
  <c r="P580" i="1"/>
  <c r="S580" i="1" s="1"/>
  <c r="O580" i="1"/>
  <c r="P479" i="1"/>
  <c r="S479" i="1" s="1"/>
  <c r="O485" i="1"/>
  <c r="V485" i="1" s="1"/>
  <c r="AN502" i="1"/>
  <c r="W502" i="1" s="1"/>
  <c r="C502" i="1"/>
  <c r="P530" i="1"/>
  <c r="S530" i="1" s="1"/>
  <c r="O530" i="1"/>
  <c r="R576" i="1"/>
  <c r="S576" i="1" s="1"/>
  <c r="AN576" i="1"/>
  <c r="W576" i="1" s="1"/>
  <c r="AS580" i="1"/>
  <c r="C580" i="1"/>
  <c r="C595" i="1"/>
  <c r="AN595" i="1"/>
  <c r="W595" i="1" s="1"/>
  <c r="S573" i="1"/>
  <c r="P495" i="1"/>
  <c r="S495" i="1" s="1"/>
  <c r="P497" i="1"/>
  <c r="P504" i="1"/>
  <c r="P516" i="1"/>
  <c r="S516" i="1" s="1"/>
  <c r="P521" i="1"/>
  <c r="AN538" i="1"/>
  <c r="W538" i="1" s="1"/>
  <c r="AN544" i="1"/>
  <c r="P548" i="1"/>
  <c r="S548" i="1" s="1"/>
  <c r="P551" i="1"/>
  <c r="AN561" i="1"/>
  <c r="W561" i="1" s="1"/>
  <c r="P571" i="1"/>
  <c r="P586" i="1"/>
  <c r="S586" i="1" s="1"/>
  <c r="O586" i="1"/>
  <c r="P589" i="1"/>
  <c r="S589" i="1" s="1"/>
  <c r="O589" i="1"/>
  <c r="AN498" i="1"/>
  <c r="W498" i="1" s="1"/>
  <c r="O520" i="1"/>
  <c r="V520" i="1" s="1"/>
  <c r="C531" i="1"/>
  <c r="C533" i="1"/>
  <c r="O537" i="1"/>
  <c r="O542" i="1"/>
  <c r="C546" i="1"/>
  <c r="O549" i="1"/>
  <c r="V549" i="1" s="1"/>
  <c r="C553" i="1"/>
  <c r="C555" i="1"/>
  <c r="AN557" i="1"/>
  <c r="W557" i="1" s="1"/>
  <c r="O558" i="1"/>
  <c r="V558" i="1" s="1"/>
  <c r="AN567" i="1"/>
  <c r="W567" i="1" s="1"/>
  <c r="O568" i="1"/>
  <c r="V568" i="1" s="1"/>
  <c r="O572" i="1"/>
  <c r="V572" i="1" s="1"/>
  <c r="AS573" i="1"/>
  <c r="C585" i="1"/>
  <c r="AN585" i="1"/>
  <c r="W585" i="1" s="1"/>
  <c r="C586" i="1"/>
  <c r="AN591" i="1"/>
  <c r="C591" i="1"/>
  <c r="P612" i="1"/>
  <c r="S612" i="1" s="1"/>
  <c r="O612" i="1"/>
  <c r="P618" i="1"/>
  <c r="S618" i="1" s="1"/>
  <c r="O618" i="1"/>
  <c r="AN530" i="1"/>
  <c r="AS564" i="1"/>
  <c r="AS578" i="1"/>
  <c r="AN583" i="1"/>
  <c r="C583" i="1"/>
  <c r="P583" i="1"/>
  <c r="S583" i="1" s="1"/>
  <c r="O583" i="1"/>
  <c r="AN594" i="1"/>
  <c r="W594" i="1" s="1"/>
  <c r="R594" i="1"/>
  <c r="AN604" i="1"/>
  <c r="W604" i="1" s="1"/>
  <c r="C604" i="1"/>
  <c r="C618" i="1"/>
  <c r="AS618" i="1"/>
  <c r="C505" i="1"/>
  <c r="C507" i="1"/>
  <c r="C511" i="1"/>
  <c r="C514" i="1"/>
  <c r="C519" i="1"/>
  <c r="AN524" i="1"/>
  <c r="W524" i="1" s="1"/>
  <c r="C532" i="1"/>
  <c r="AN535" i="1"/>
  <c r="AN540" i="1"/>
  <c r="W540" i="1" s="1"/>
  <c r="C547" i="1"/>
  <c r="C554" i="1"/>
  <c r="O566" i="1"/>
  <c r="V566" i="1" s="1"/>
  <c r="O569" i="1"/>
  <c r="V569" i="1" s="1"/>
  <c r="O505" i="1"/>
  <c r="V505" i="1" s="1"/>
  <c r="O507" i="1"/>
  <c r="V507" i="1" s="1"/>
  <c r="AB507" i="1" s="1"/>
  <c r="O509" i="1"/>
  <c r="V509" i="1" s="1"/>
  <c r="AB509" i="1" s="1"/>
  <c r="O511" i="1"/>
  <c r="V511" i="1" s="1"/>
  <c r="O514" i="1"/>
  <c r="V514" i="1" s="1"/>
  <c r="O519" i="1"/>
  <c r="V519" i="1" s="1"/>
  <c r="O522" i="1"/>
  <c r="V522" i="1" s="1"/>
  <c r="O532" i="1"/>
  <c r="V532" i="1" s="1"/>
  <c r="O534" i="1"/>
  <c r="V534" i="1" s="1"/>
  <c r="O547" i="1"/>
  <c r="V547" i="1" s="1"/>
  <c r="O554" i="1"/>
  <c r="V554" i="1" s="1"/>
  <c r="O556" i="1"/>
  <c r="V556" i="1" s="1"/>
  <c r="AB556" i="1" s="1"/>
  <c r="C563" i="1"/>
  <c r="O564" i="1"/>
  <c r="V564" i="1" s="1"/>
  <c r="O573" i="1"/>
  <c r="V573" i="1" s="1"/>
  <c r="C574" i="1"/>
  <c r="AN577" i="1"/>
  <c r="W577" i="1" s="1"/>
  <c r="P596" i="1"/>
  <c r="O596" i="1"/>
  <c r="AS598" i="1"/>
  <c r="P598" i="1"/>
  <c r="S598" i="1" s="1"/>
  <c r="O598" i="1"/>
  <c r="C575" i="1"/>
  <c r="C581" i="1"/>
  <c r="P582" i="1"/>
  <c r="S582" i="1" s="1"/>
  <c r="C596" i="1"/>
  <c r="R596" i="1"/>
  <c r="AN596" i="1"/>
  <c r="W596" i="1" s="1"/>
  <c r="C598" i="1"/>
  <c r="AS616" i="1"/>
  <c r="C616" i="1"/>
  <c r="AN628" i="1"/>
  <c r="C628" i="1"/>
  <c r="AS629" i="1"/>
  <c r="AN631" i="1"/>
  <c r="S633" i="1"/>
  <c r="AN637" i="1"/>
  <c r="W637" i="1" s="1"/>
  <c r="C637" i="1"/>
  <c r="C649" i="1"/>
  <c r="AN649" i="1"/>
  <c r="W649" i="1" s="1"/>
  <c r="O677" i="1"/>
  <c r="P677" i="1"/>
  <c r="S677" i="1" s="1"/>
  <c r="AN619" i="1"/>
  <c r="W619" i="1" s="1"/>
  <c r="O629" i="1"/>
  <c r="AS638" i="1"/>
  <c r="O638" i="1"/>
  <c r="O655" i="1"/>
  <c r="P655" i="1"/>
  <c r="S655" i="1" s="1"/>
  <c r="P664" i="1"/>
  <c r="S664" i="1" s="1"/>
  <c r="O664" i="1"/>
  <c r="O601" i="1"/>
  <c r="O602" i="1"/>
  <c r="C605" i="1"/>
  <c r="O606" i="1"/>
  <c r="O608" i="1"/>
  <c r="C622" i="1"/>
  <c r="C638" i="1"/>
  <c r="AS639" i="1"/>
  <c r="C655" i="1"/>
  <c r="S656" i="1"/>
  <c r="P601" i="1"/>
  <c r="S601" i="1" s="1"/>
  <c r="AS601" i="1"/>
  <c r="P602" i="1"/>
  <c r="P606" i="1"/>
  <c r="S606" i="1" s="1"/>
  <c r="P608" i="1"/>
  <c r="S608" i="1" s="1"/>
  <c r="AN611" i="1"/>
  <c r="W611" i="1" s="1"/>
  <c r="P616" i="1"/>
  <c r="S616" i="1" s="1"/>
  <c r="AS619" i="1"/>
  <c r="AN621" i="1"/>
  <c r="O622" i="1"/>
  <c r="O625" i="1"/>
  <c r="V625" i="1" s="1"/>
  <c r="AN625" i="1"/>
  <c r="W625" i="1" s="1"/>
  <c r="P626" i="1"/>
  <c r="S626" i="1" s="1"/>
  <c r="C627" i="1"/>
  <c r="P629" i="1"/>
  <c r="S629" i="1" s="1"/>
  <c r="O630" i="1"/>
  <c r="AN633" i="1"/>
  <c r="W633" i="1" s="1"/>
  <c r="C633" i="1"/>
  <c r="O634" i="1"/>
  <c r="C636" i="1"/>
  <c r="P638" i="1"/>
  <c r="S638" i="1" s="1"/>
  <c r="P639" i="1"/>
  <c r="V639" i="1" s="1"/>
  <c r="C641" i="1"/>
  <c r="P647" i="1"/>
  <c r="S647" i="1" s="1"/>
  <c r="R650" i="1"/>
  <c r="S650" i="1" s="1"/>
  <c r="C679" i="1"/>
  <c r="AN679" i="1"/>
  <c r="C587" i="1"/>
  <c r="AN590" i="1"/>
  <c r="W590" i="1" s="1"/>
  <c r="O591" i="1"/>
  <c r="V591" i="1" s="1"/>
  <c r="O595" i="1"/>
  <c r="V595" i="1" s="1"/>
  <c r="O597" i="1"/>
  <c r="V597" i="1" s="1"/>
  <c r="AS597" i="1"/>
  <c r="AN603" i="1"/>
  <c r="O604" i="1"/>
  <c r="AN617" i="1"/>
  <c r="W617" i="1" s="1"/>
  <c r="O619" i="1"/>
  <c r="V619" i="1" s="1"/>
  <c r="P622" i="1"/>
  <c r="S622" i="1" s="1"/>
  <c r="AN629" i="1"/>
  <c r="W629" i="1" s="1"/>
  <c r="P630" i="1"/>
  <c r="S630" i="1" s="1"/>
  <c r="O635" i="1"/>
  <c r="S637" i="1"/>
  <c r="C647" i="1"/>
  <c r="AN660" i="1"/>
  <c r="C660" i="1"/>
  <c r="P674" i="1"/>
  <c r="S674" i="1" s="1"/>
  <c r="O674" i="1"/>
  <c r="AN592" i="1"/>
  <c r="O593" i="1"/>
  <c r="V593" i="1" s="1"/>
  <c r="C600" i="1"/>
  <c r="C623" i="1"/>
  <c r="S625" i="1"/>
  <c r="O633" i="1"/>
  <c r="V633" i="1" s="1"/>
  <c r="P634" i="1"/>
  <c r="S634" i="1" s="1"/>
  <c r="AN639" i="1"/>
  <c r="W639" i="1" s="1"/>
  <c r="O647" i="1"/>
  <c r="O584" i="1"/>
  <c r="V584" i="1" s="1"/>
  <c r="O600" i="1"/>
  <c r="V600" i="1" s="1"/>
  <c r="C614" i="1"/>
  <c r="O615" i="1"/>
  <c r="AS620" i="1"/>
  <c r="P635" i="1"/>
  <c r="S635" i="1" s="1"/>
  <c r="P653" i="1"/>
  <c r="V653" i="1" s="1"/>
  <c r="AN616" i="1"/>
  <c r="W616" i="1" s="1"/>
  <c r="AS637" i="1"/>
  <c r="P645" i="1"/>
  <c r="V645" i="1" s="1"/>
  <c r="C662" i="1"/>
  <c r="AN664" i="1"/>
  <c r="W664" i="1" s="1"/>
  <c r="AS666" i="1"/>
  <c r="AN673" i="1"/>
  <c r="C693" i="1"/>
  <c r="AN693" i="1"/>
  <c r="W693" i="1" s="1"/>
  <c r="C697" i="1"/>
  <c r="C707" i="1"/>
  <c r="AN652" i="1"/>
  <c r="W652" i="1" s="1"/>
  <c r="AS660" i="1"/>
  <c r="AN686" i="1"/>
  <c r="W686" i="1" s="1"/>
  <c r="AN690" i="1"/>
  <c r="W690" i="1" s="1"/>
  <c r="C690" i="1"/>
  <c r="AN696" i="1"/>
  <c r="AN701" i="1"/>
  <c r="AS703" i="1"/>
  <c r="AN706" i="1"/>
  <c r="W706" i="1" s="1"/>
  <c r="AS667" i="1"/>
  <c r="P684" i="1"/>
  <c r="V684" i="1" s="1"/>
  <c r="C688" i="1"/>
  <c r="AS690" i="1"/>
  <c r="AN692" i="1"/>
  <c r="W692" i="1" s="1"/>
  <c r="C695" i="1"/>
  <c r="AN695" i="1"/>
  <c r="W695" i="1" s="1"/>
  <c r="P696" i="1"/>
  <c r="S696" i="1" s="1"/>
  <c r="P734" i="1"/>
  <c r="O734" i="1"/>
  <c r="AN645" i="1"/>
  <c r="AS661" i="1"/>
  <c r="C676" i="1"/>
  <c r="C699" i="1"/>
  <c r="AN699" i="1"/>
  <c r="W699" i="1" s="1"/>
  <c r="P703" i="1"/>
  <c r="S703" i="1" s="1"/>
  <c r="O703" i="1"/>
  <c r="O661" i="1"/>
  <c r="V661" i="1" s="1"/>
  <c r="C665" i="1"/>
  <c r="AS665" i="1"/>
  <c r="P668" i="1"/>
  <c r="P676" i="1"/>
  <c r="S676" i="1" s="1"/>
  <c r="C677" i="1"/>
  <c r="AN678" i="1"/>
  <c r="W678" i="1" s="1"/>
  <c r="C678" i="1"/>
  <c r="S685" i="1"/>
  <c r="O732" i="1"/>
  <c r="P732" i="1"/>
  <c r="S732" i="1" s="1"/>
  <c r="AN659" i="1"/>
  <c r="C659" i="1"/>
  <c r="AN667" i="1"/>
  <c r="W667" i="1" s="1"/>
  <c r="AS682" i="1"/>
  <c r="O682" i="1"/>
  <c r="V682" i="1" s="1"/>
  <c r="C713" i="1"/>
  <c r="AN713" i="1"/>
  <c r="W713" i="1" s="1"/>
  <c r="O713" i="1"/>
  <c r="P713" i="1"/>
  <c r="S713" i="1" s="1"/>
  <c r="C725" i="1"/>
  <c r="AN725" i="1"/>
  <c r="P725" i="1"/>
  <c r="S725" i="1" s="1"/>
  <c r="O725" i="1"/>
  <c r="C657" i="1"/>
  <c r="R668" i="1"/>
  <c r="P701" i="1"/>
  <c r="V701" i="1" s="1"/>
  <c r="AN723" i="1"/>
  <c r="C762" i="1"/>
  <c r="AN776" i="1"/>
  <c r="W776" i="1" s="1"/>
  <c r="C776" i="1"/>
  <c r="O770" i="1"/>
  <c r="P770" i="1"/>
  <c r="S770" i="1" s="1"/>
  <c r="AN717" i="1"/>
  <c r="S728" i="1"/>
  <c r="AS732" i="1"/>
  <c r="C732" i="1"/>
  <c r="AS734" i="1"/>
  <c r="C734" i="1"/>
  <c r="AS745" i="1"/>
  <c r="AN767" i="1"/>
  <c r="W767" i="1" s="1"/>
  <c r="C767" i="1"/>
  <c r="AS770" i="1"/>
  <c r="C782" i="1"/>
  <c r="AN782" i="1"/>
  <c r="W782" i="1" s="1"/>
  <c r="C669" i="1"/>
  <c r="P694" i="1"/>
  <c r="V694" i="1" s="1"/>
  <c r="AN700" i="1"/>
  <c r="AN704" i="1"/>
  <c r="AN708" i="1"/>
  <c r="C708" i="1"/>
  <c r="O717" i="1"/>
  <c r="V717" i="1" s="1"/>
  <c r="AS717" i="1"/>
  <c r="O727" i="1"/>
  <c r="V727" i="1" s="1"/>
  <c r="C736" i="1"/>
  <c r="P736" i="1"/>
  <c r="O736" i="1"/>
  <c r="C738" i="1"/>
  <c r="P738" i="1"/>
  <c r="S738" i="1" s="1"/>
  <c r="O738" i="1"/>
  <c r="C757" i="1"/>
  <c r="AN757" i="1"/>
  <c r="AS762" i="1"/>
  <c r="C716" i="1"/>
  <c r="AN716" i="1"/>
  <c r="O718" i="1"/>
  <c r="V718" i="1" s="1"/>
  <c r="AB718" i="1" s="1"/>
  <c r="AS719" i="1"/>
  <c r="AN731" i="1"/>
  <c r="C731" i="1"/>
  <c r="O731" i="1"/>
  <c r="AS736" i="1"/>
  <c r="AN740" i="1"/>
  <c r="W740" i="1" s="1"/>
  <c r="C740" i="1"/>
  <c r="P740" i="1"/>
  <c r="O740" i="1"/>
  <c r="C749" i="1"/>
  <c r="AN749" i="1"/>
  <c r="W749" i="1" s="1"/>
  <c r="O663" i="1"/>
  <c r="V663" i="1" s="1"/>
  <c r="AS663" i="1"/>
  <c r="AN711" i="1"/>
  <c r="W711" i="1" s="1"/>
  <c r="C711" i="1"/>
  <c r="AS718" i="1"/>
  <c r="C718" i="1"/>
  <c r="AN720" i="1"/>
  <c r="P760" i="1"/>
  <c r="S760" i="1" s="1"/>
  <c r="O760" i="1"/>
  <c r="O771" i="1"/>
  <c r="P771" i="1"/>
  <c r="S771" i="1" s="1"/>
  <c r="AS687" i="1"/>
  <c r="O720" i="1"/>
  <c r="P720" i="1"/>
  <c r="AN722" i="1"/>
  <c r="AN724" i="1"/>
  <c r="AN726" i="1"/>
  <c r="C726" i="1"/>
  <c r="O726" i="1"/>
  <c r="V726" i="1" s="1"/>
  <c r="C730" i="1"/>
  <c r="P731" i="1"/>
  <c r="S731" i="1" s="1"/>
  <c r="AN735" i="1"/>
  <c r="W735" i="1" s="1"/>
  <c r="C735" i="1"/>
  <c r="C759" i="1"/>
  <c r="AS759" i="1"/>
  <c r="AS727" i="1"/>
  <c r="AS743" i="1"/>
  <c r="AN745" i="1"/>
  <c r="W745" i="1" s="1"/>
  <c r="C745" i="1"/>
  <c r="P745" i="1"/>
  <c r="S745" i="1" s="1"/>
  <c r="O745" i="1"/>
  <c r="C753" i="1"/>
  <c r="AN753" i="1"/>
  <c r="W753" i="1" s="1"/>
  <c r="P762" i="1"/>
  <c r="S762" i="1" s="1"/>
  <c r="O762" i="1"/>
  <c r="AN777" i="1"/>
  <c r="W777" i="1" s="1"/>
  <c r="C777" i="1"/>
  <c r="O723" i="1"/>
  <c r="V723" i="1" s="1"/>
  <c r="AN741" i="1"/>
  <c r="W741" i="1" s="1"/>
  <c r="C741" i="1"/>
  <c r="P744" i="1"/>
  <c r="S744" i="1" s="1"/>
  <c r="O744" i="1"/>
  <c r="AS744" i="1"/>
  <c r="AN762" i="1"/>
  <c r="W762" i="1" s="1"/>
  <c r="C770" i="1"/>
  <c r="AS771" i="1"/>
  <c r="C771" i="1"/>
  <c r="C779" i="1"/>
  <c r="AN772" i="1"/>
  <c r="W772" i="1" s="1"/>
  <c r="C772" i="1"/>
  <c r="O772" i="1"/>
  <c r="P772" i="1"/>
  <c r="S772" i="1" s="1"/>
  <c r="AS775" i="1"/>
  <c r="O775" i="1"/>
  <c r="P775" i="1"/>
  <c r="S775" i="1" s="1"/>
  <c r="AN780" i="1"/>
  <c r="C780" i="1"/>
  <c r="P809" i="1"/>
  <c r="S809" i="1" s="1"/>
  <c r="O809" i="1"/>
  <c r="C760" i="1"/>
  <c r="AS760" i="1"/>
  <c r="AN766" i="1"/>
  <c r="W766" i="1" s="1"/>
  <c r="C769" i="1"/>
  <c r="C775" i="1"/>
  <c r="AN806" i="1"/>
  <c r="W806" i="1" s="1"/>
  <c r="C806" i="1"/>
  <c r="C809" i="1"/>
  <c r="AN742" i="1"/>
  <c r="W742" i="1" s="1"/>
  <c r="C742" i="1"/>
  <c r="O769" i="1"/>
  <c r="S806" i="1"/>
  <c r="P746" i="1"/>
  <c r="S746" i="1" s="1"/>
  <c r="O746" i="1"/>
  <c r="AS746" i="1"/>
  <c r="AN758" i="1"/>
  <c r="O761" i="1"/>
  <c r="AN765" i="1"/>
  <c r="W765" i="1" s="1"/>
  <c r="P769" i="1"/>
  <c r="S769" i="1" s="1"/>
  <c r="P804" i="1"/>
  <c r="O804" i="1"/>
  <c r="O704" i="1"/>
  <c r="O712" i="1"/>
  <c r="AN719" i="1"/>
  <c r="W719" i="1" s="1"/>
  <c r="C719" i="1"/>
  <c r="P742" i="1"/>
  <c r="AS742" i="1"/>
  <c r="C746" i="1"/>
  <c r="AN748" i="1"/>
  <c r="W748" i="1" s="1"/>
  <c r="AN752" i="1"/>
  <c r="P761" i="1"/>
  <c r="S761" i="1" s="1"/>
  <c r="AS763" i="1"/>
  <c r="AS804" i="1"/>
  <c r="C804" i="1"/>
  <c r="AS729" i="1"/>
  <c r="AS737" i="1"/>
  <c r="AS739" i="1"/>
  <c r="AN743" i="1"/>
  <c r="W743" i="1" s="1"/>
  <c r="C743" i="1"/>
  <c r="P747" i="1"/>
  <c r="S747" i="1" s="1"/>
  <c r="O747" i="1"/>
  <c r="AN795" i="1"/>
  <c r="W795" i="1" s="1"/>
  <c r="C795" i="1"/>
  <c r="P795" i="1"/>
  <c r="S795" i="1" s="1"/>
  <c r="O795" i="1"/>
  <c r="AS801" i="1"/>
  <c r="P801" i="1"/>
  <c r="S801" i="1" s="1"/>
  <c r="O801" i="1"/>
  <c r="AS778" i="1"/>
  <c r="R804" i="1"/>
  <c r="AN804" i="1"/>
  <c r="AN810" i="1"/>
  <c r="W810" i="1" s="1"/>
  <c r="C810" i="1"/>
  <c r="AN811" i="1"/>
  <c r="C811" i="1"/>
  <c r="AS815" i="1"/>
  <c r="AS803" i="1"/>
  <c r="P803" i="1"/>
  <c r="O803" i="1"/>
  <c r="AN796" i="1"/>
  <c r="C796" i="1"/>
  <c r="AS797" i="1"/>
  <c r="R803" i="1"/>
  <c r="AN803" i="1"/>
  <c r="W803" i="1" s="1"/>
  <c r="AN778" i="1"/>
  <c r="AN783" i="1"/>
  <c r="AS787" i="1"/>
  <c r="AN797" i="1"/>
  <c r="C797" i="1"/>
  <c r="P797" i="1"/>
  <c r="S797" i="1" s="1"/>
  <c r="O797" i="1"/>
  <c r="AN798" i="1"/>
  <c r="C798" i="1"/>
  <c r="P798" i="1"/>
  <c r="S798" i="1" s="1"/>
  <c r="O798" i="1"/>
  <c r="AS802" i="1"/>
  <c r="P802" i="1"/>
  <c r="S802" i="1" s="1"/>
  <c r="O802" i="1"/>
  <c r="P805" i="1"/>
  <c r="S805" i="1" s="1"/>
  <c r="O805" i="1"/>
  <c r="AN809" i="1"/>
  <c r="AN813" i="1"/>
  <c r="C813" i="1"/>
  <c r="O813" i="1"/>
  <c r="P813" i="1"/>
  <c r="S813" i="1" s="1"/>
  <c r="AN856" i="1"/>
  <c r="W856" i="1" s="1"/>
  <c r="C856" i="1"/>
  <c r="P858" i="1"/>
  <c r="V858" i="1" s="1"/>
  <c r="AN816" i="1"/>
  <c r="C816" i="1"/>
  <c r="AN859" i="1"/>
  <c r="W859" i="1" s="1"/>
  <c r="C859" i="1"/>
  <c r="P859" i="1"/>
  <c r="S859" i="1" s="1"/>
  <c r="O859" i="1"/>
  <c r="AS813" i="1"/>
  <c r="AN854" i="1"/>
  <c r="W854" i="1" s="1"/>
  <c r="C854" i="1"/>
  <c r="AS856" i="1"/>
  <c r="AS859" i="1"/>
  <c r="O806" i="1"/>
  <c r="V806" i="1" s="1"/>
  <c r="O810" i="1"/>
  <c r="V810" i="1" s="1"/>
  <c r="O811" i="1"/>
  <c r="V811" i="1" s="1"/>
  <c r="AN814" i="1"/>
  <c r="C814" i="1"/>
  <c r="P816" i="1"/>
  <c r="AS816" i="1"/>
  <c r="AN857" i="1"/>
  <c r="C857" i="1"/>
  <c r="P860" i="1"/>
  <c r="S860" i="1" s="1"/>
  <c r="O860" i="1"/>
  <c r="O792" i="1"/>
  <c r="V792" i="1" s="1"/>
  <c r="AS811" i="1"/>
  <c r="AN817" i="1"/>
  <c r="C817" i="1"/>
  <c r="P854" i="1"/>
  <c r="S854" i="1" s="1"/>
  <c r="AS854" i="1"/>
  <c r="AN886" i="1"/>
  <c r="R886" i="1"/>
  <c r="O781" i="1"/>
  <c r="AS800" i="1"/>
  <c r="AS808" i="1"/>
  <c r="AN812" i="1"/>
  <c r="C812" i="1"/>
  <c r="AN855" i="1"/>
  <c r="C855" i="1"/>
  <c r="O886" i="1"/>
  <c r="AN815" i="1"/>
  <c r="C815" i="1"/>
  <c r="AN858" i="1"/>
  <c r="W858" i="1" s="1"/>
  <c r="C858" i="1"/>
  <c r="AS861" i="1"/>
  <c r="AS862" i="1"/>
  <c r="AS884" i="1"/>
  <c r="AS885" i="1"/>
  <c r="V43" i="1" l="1"/>
  <c r="AB43" i="1" s="1"/>
  <c r="AD43" i="1" s="1"/>
  <c r="AB113" i="1"/>
  <c r="AB462" i="1"/>
  <c r="AB354" i="1"/>
  <c r="AB244" i="1"/>
  <c r="AB237" i="1"/>
  <c r="AB633" i="1"/>
  <c r="AB431" i="1"/>
  <c r="AB122" i="1"/>
  <c r="V416" i="1"/>
  <c r="AB416" i="1" s="1"/>
  <c r="AB811" i="1"/>
  <c r="V704" i="1"/>
  <c r="AB704" i="1" s="1"/>
  <c r="AC704" i="1" s="1"/>
  <c r="AB620" i="1"/>
  <c r="AD620" i="1" s="1"/>
  <c r="AB190" i="1"/>
  <c r="V484" i="1"/>
  <c r="AB484" i="1" s="1"/>
  <c r="V343" i="1"/>
  <c r="AB343" i="1" s="1"/>
  <c r="V712" i="1"/>
  <c r="AB712" i="1" s="1"/>
  <c r="V781" i="1"/>
  <c r="AB781" i="1" s="1"/>
  <c r="AB564" i="1"/>
  <c r="AB172" i="1"/>
  <c r="AB511" i="1"/>
  <c r="AB681" i="1"/>
  <c r="AB118" i="1"/>
  <c r="AB78" i="1"/>
  <c r="AB456" i="1"/>
  <c r="AB694" i="1"/>
  <c r="AC694" i="1" s="1"/>
  <c r="AB653" i="1"/>
  <c r="AB91" i="1"/>
  <c r="AB296" i="1"/>
  <c r="AB584" i="1"/>
  <c r="AB522" i="1"/>
  <c r="AB318" i="1"/>
  <c r="AB208" i="1"/>
  <c r="AC208" i="1" s="1"/>
  <c r="AE208" i="1" s="1"/>
  <c r="AB443" i="1"/>
  <c r="AC443" i="1" s="1"/>
  <c r="AB505" i="1"/>
  <c r="AB461" i="1"/>
  <c r="AC461" i="1" s="1"/>
  <c r="AB119" i="1"/>
  <c r="AD119" i="1" s="1"/>
  <c r="V405" i="1"/>
  <c r="AB405" i="1" s="1"/>
  <c r="AB641" i="1"/>
  <c r="V785" i="1"/>
  <c r="AB785" i="1" s="1"/>
  <c r="AC785" i="1" s="1"/>
  <c r="V221" i="1"/>
  <c r="AB221" i="1" s="1"/>
  <c r="AB188" i="1"/>
  <c r="V46" i="1"/>
  <c r="AB46" i="1" s="1"/>
  <c r="AB223" i="1"/>
  <c r="AB650" i="1"/>
  <c r="AC650" i="1" s="1"/>
  <c r="AB654" i="1"/>
  <c r="V859" i="1"/>
  <c r="AB859" i="1" s="1"/>
  <c r="V798" i="1"/>
  <c r="AB798" i="1" s="1"/>
  <c r="AC798" i="1" s="1"/>
  <c r="AB723" i="1"/>
  <c r="AC723" i="1" s="1"/>
  <c r="V674" i="1"/>
  <c r="AB674" i="1" s="1"/>
  <c r="V604" i="1"/>
  <c r="AB604" i="1" s="1"/>
  <c r="AC604" i="1" s="1"/>
  <c r="AB554" i="1"/>
  <c r="AD554" i="1" s="1"/>
  <c r="V530" i="1"/>
  <c r="AB530" i="1" s="1"/>
  <c r="V545" i="1"/>
  <c r="AB545" i="1" s="1"/>
  <c r="V366" i="1"/>
  <c r="AB366" i="1" s="1"/>
  <c r="V305" i="1"/>
  <c r="AB305" i="1" s="1"/>
  <c r="V257" i="1"/>
  <c r="AB257" i="1" s="1"/>
  <c r="V249" i="1"/>
  <c r="AB249" i="1" s="1"/>
  <c r="V259" i="1"/>
  <c r="AB259" i="1" s="1"/>
  <c r="AC259" i="1" s="1"/>
  <c r="AE259" i="1" s="1"/>
  <c r="V293" i="1"/>
  <c r="AB293" i="1" s="1"/>
  <c r="V242" i="1"/>
  <c r="AB242" i="1" s="1"/>
  <c r="AB63" i="1"/>
  <c r="AC63" i="1" s="1"/>
  <c r="AE63" i="1" s="1"/>
  <c r="AB112" i="1"/>
  <c r="AC112" i="1" s="1"/>
  <c r="AE112" i="1" s="1"/>
  <c r="V790" i="1"/>
  <c r="AB790" i="1" s="1"/>
  <c r="AB233" i="1"/>
  <c r="AB510" i="1"/>
  <c r="AB108" i="1"/>
  <c r="AB173" i="1"/>
  <c r="V33" i="1"/>
  <c r="AB33" i="1" s="1"/>
  <c r="V779" i="1"/>
  <c r="AB779" i="1" s="1"/>
  <c r="AC779" i="1" s="1"/>
  <c r="V812" i="1"/>
  <c r="AB812" i="1" s="1"/>
  <c r="AC812" i="1" s="1"/>
  <c r="AB355" i="1"/>
  <c r="V250" i="1"/>
  <c r="AB250" i="1" s="1"/>
  <c r="V369" i="1"/>
  <c r="AB369" i="1" s="1"/>
  <c r="V713" i="1"/>
  <c r="AB713" i="1" s="1"/>
  <c r="AC713" i="1" s="1"/>
  <c r="V622" i="1"/>
  <c r="AB622" i="1" s="1"/>
  <c r="AB372" i="1"/>
  <c r="AC372" i="1" s="1"/>
  <c r="AB273" i="1"/>
  <c r="AB206" i="1"/>
  <c r="V5" i="1"/>
  <c r="AB5" i="1" s="1"/>
  <c r="AB180" i="1"/>
  <c r="V655" i="1"/>
  <c r="AB655" i="1" s="1"/>
  <c r="AB532" i="1"/>
  <c r="AB460" i="1"/>
  <c r="AB792" i="1"/>
  <c r="AB625" i="1"/>
  <c r="V886" i="1"/>
  <c r="AB886" i="1" s="1"/>
  <c r="AC886" i="1" s="1"/>
  <c r="V802" i="1"/>
  <c r="AB802" i="1" s="1"/>
  <c r="V664" i="1"/>
  <c r="AB664" i="1" s="1"/>
  <c r="V480" i="1"/>
  <c r="AB480" i="1" s="1"/>
  <c r="AB274" i="1"/>
  <c r="V214" i="1"/>
  <c r="AB214" i="1" s="1"/>
  <c r="V163" i="1"/>
  <c r="AB163" i="1" s="1"/>
  <c r="V508" i="1"/>
  <c r="AB508" i="1" s="1"/>
  <c r="V754" i="1"/>
  <c r="AB754" i="1" s="1"/>
  <c r="V599" i="1"/>
  <c r="AB599" i="1" s="1"/>
  <c r="V421" i="1"/>
  <c r="AB421" i="1" s="1"/>
  <c r="AC421" i="1" s="1"/>
  <c r="V760" i="1"/>
  <c r="AB760" i="1" s="1"/>
  <c r="AC760" i="1" s="1"/>
  <c r="V433" i="1"/>
  <c r="AB433" i="1" s="1"/>
  <c r="V491" i="1"/>
  <c r="AB491" i="1" s="1"/>
  <c r="V348" i="1"/>
  <c r="AB348" i="1" s="1"/>
  <c r="V231" i="1"/>
  <c r="AB231" i="1" s="1"/>
  <c r="V197" i="1"/>
  <c r="AB197" i="1" s="1"/>
  <c r="V145" i="1"/>
  <c r="AB145" i="1" s="1"/>
  <c r="V141" i="1"/>
  <c r="AB141" i="1" s="1"/>
  <c r="V12" i="1"/>
  <c r="AB12" i="1" s="1"/>
  <c r="V339" i="1"/>
  <c r="AB339" i="1" s="1"/>
  <c r="V744" i="1"/>
  <c r="AB744" i="1" s="1"/>
  <c r="V601" i="1"/>
  <c r="AB601" i="1" s="1"/>
  <c r="V435" i="1"/>
  <c r="AB435" i="1" s="1"/>
  <c r="V515" i="1"/>
  <c r="AB515" i="1" s="1"/>
  <c r="V411" i="1"/>
  <c r="AB411" i="1" s="1"/>
  <c r="AB281" i="1"/>
  <c r="V149" i="1"/>
  <c r="AB149" i="1" s="1"/>
  <c r="AD149" i="1" s="1"/>
  <c r="V104" i="1"/>
  <c r="AB104" i="1" s="1"/>
  <c r="V137" i="1"/>
  <c r="AB137" i="1" s="1"/>
  <c r="V62" i="1"/>
  <c r="AB62" i="1" s="1"/>
  <c r="AC62" i="1" s="1"/>
  <c r="AB19" i="1"/>
  <c r="V79" i="1"/>
  <c r="AB79" i="1" s="1"/>
  <c r="AC79" i="1" s="1"/>
  <c r="V644" i="1"/>
  <c r="AB644" i="1" s="1"/>
  <c r="AB453" i="1"/>
  <c r="V384" i="1"/>
  <c r="AB384" i="1" s="1"/>
  <c r="AB252" i="1"/>
  <c r="V162" i="1"/>
  <c r="AB162" i="1" s="1"/>
  <c r="AC162" i="1" s="1"/>
  <c r="V300" i="1"/>
  <c r="AB300" i="1" s="1"/>
  <c r="AD300" i="1" s="1"/>
  <c r="AB90" i="1"/>
  <c r="AB35" i="1"/>
  <c r="AB782" i="1"/>
  <c r="V715" i="1"/>
  <c r="AB715" i="1" s="1"/>
  <c r="AC715" i="1" s="1"/>
  <c r="V686" i="1"/>
  <c r="AB686" i="1" s="1"/>
  <c r="AC686" i="1" s="1"/>
  <c r="AB544" i="1"/>
  <c r="AB417" i="1"/>
  <c r="AC417" i="1" s="1"/>
  <c r="V368" i="1"/>
  <c r="AB368" i="1" s="1"/>
  <c r="AB685" i="1"/>
  <c r="AC685" i="1" s="1"/>
  <c r="AB675" i="1"/>
  <c r="AB651" i="1"/>
  <c r="AB89" i="1"/>
  <c r="AD89" i="1" s="1"/>
  <c r="V772" i="1"/>
  <c r="AB772" i="1" s="1"/>
  <c r="V770" i="1"/>
  <c r="AB770" i="1" s="1"/>
  <c r="V494" i="1"/>
  <c r="AB494" i="1" s="1"/>
  <c r="V212" i="1"/>
  <c r="AB212" i="1" s="1"/>
  <c r="V791" i="1"/>
  <c r="AB791" i="1" s="1"/>
  <c r="V358" i="1"/>
  <c r="AB358" i="1" s="1"/>
  <c r="V342" i="1"/>
  <c r="AB342" i="1" s="1"/>
  <c r="V210" i="1"/>
  <c r="AB210" i="1" s="1"/>
  <c r="V80" i="1"/>
  <c r="AB80" i="1" s="1"/>
  <c r="AB394" i="1"/>
  <c r="V17" i="1"/>
  <c r="AB17" i="1" s="1"/>
  <c r="V290" i="1"/>
  <c r="AB290" i="1" s="1"/>
  <c r="V714" i="1"/>
  <c r="AB714" i="1" s="1"/>
  <c r="AC714" i="1" s="1"/>
  <c r="AB153" i="1"/>
  <c r="AD153" i="1" s="1"/>
  <c r="V793" i="1"/>
  <c r="AB793" i="1" s="1"/>
  <c r="AB246" i="1"/>
  <c r="AB402" i="1"/>
  <c r="AC402" i="1" s="1"/>
  <c r="AE402" i="1" s="1"/>
  <c r="V127" i="1"/>
  <c r="AB127" i="1" s="1"/>
  <c r="AB45" i="1"/>
  <c r="AD45" i="1" s="1"/>
  <c r="AB656" i="1"/>
  <c r="V403" i="1"/>
  <c r="AB403" i="1" s="1"/>
  <c r="V72" i="1"/>
  <c r="AB72" i="1" s="1"/>
  <c r="AB426" i="1"/>
  <c r="V647" i="1"/>
  <c r="AB647" i="1" s="1"/>
  <c r="V787" i="1"/>
  <c r="AB787" i="1" s="1"/>
  <c r="AC787" i="1" s="1"/>
  <c r="V186" i="1"/>
  <c r="AB186" i="1" s="1"/>
  <c r="V81" i="1"/>
  <c r="AB81" i="1" s="1"/>
  <c r="V353" i="1"/>
  <c r="AB353" i="1" s="1"/>
  <c r="AB166" i="1"/>
  <c r="AB446" i="1"/>
  <c r="AC446" i="1" s="1"/>
  <c r="AE446" i="1" s="1"/>
  <c r="AB269" i="1"/>
  <c r="V288" i="1"/>
  <c r="AB288" i="1" s="1"/>
  <c r="AB68" i="1"/>
  <c r="AD68" i="1" s="1"/>
  <c r="AB442" i="1"/>
  <c r="V805" i="1"/>
  <c r="AB805" i="1" s="1"/>
  <c r="V745" i="1"/>
  <c r="AB745" i="1" s="1"/>
  <c r="V738" i="1"/>
  <c r="AB738" i="1" s="1"/>
  <c r="V725" i="1"/>
  <c r="AB725" i="1" s="1"/>
  <c r="AC725" i="1" s="1"/>
  <c r="V703" i="1"/>
  <c r="AB703" i="1" s="1"/>
  <c r="V602" i="1"/>
  <c r="AB602" i="1" s="1"/>
  <c r="V486" i="1"/>
  <c r="AB486" i="1" s="1"/>
  <c r="V337" i="1"/>
  <c r="AB337" i="1" s="1"/>
  <c r="V360" i="1"/>
  <c r="AB360" i="1" s="1"/>
  <c r="V341" i="1"/>
  <c r="AB341" i="1" s="1"/>
  <c r="V229" i="1"/>
  <c r="AB229" i="1" s="1"/>
  <c r="V179" i="1"/>
  <c r="AB179" i="1" s="1"/>
  <c r="V807" i="1"/>
  <c r="AB807" i="1" s="1"/>
  <c r="V129" i="1"/>
  <c r="AB129" i="1" s="1"/>
  <c r="V538" i="1"/>
  <c r="AB538" i="1" s="1"/>
  <c r="AB531" i="1"/>
  <c r="V218" i="1"/>
  <c r="AB218" i="1" s="1"/>
  <c r="AB132" i="1"/>
  <c r="V26" i="1"/>
  <c r="AB26" i="1" s="1"/>
  <c r="V73" i="1"/>
  <c r="AB73" i="1" s="1"/>
  <c r="AB705" i="1"/>
  <c r="AC705" i="1" s="1"/>
  <c r="AB445" i="1"/>
  <c r="AB263" i="1"/>
  <c r="V860" i="1"/>
  <c r="AB860" i="1" s="1"/>
  <c r="AC860" i="1" s="1"/>
  <c r="V746" i="1"/>
  <c r="AB746" i="1" s="1"/>
  <c r="AC746" i="1" s="1"/>
  <c r="V638" i="1"/>
  <c r="AB638" i="1" s="1"/>
  <c r="AC638" i="1" s="1"/>
  <c r="V598" i="1"/>
  <c r="AB598" i="1" s="1"/>
  <c r="AD598" i="1" s="1"/>
  <c r="V618" i="1"/>
  <c r="AB618" i="1" s="1"/>
  <c r="V570" i="1"/>
  <c r="AB570" i="1" s="1"/>
  <c r="AC570" i="1" s="1"/>
  <c r="AE570" i="1" s="1"/>
  <c r="V512" i="1"/>
  <c r="AB512" i="1" s="1"/>
  <c r="V256" i="1"/>
  <c r="AB256" i="1" s="1"/>
  <c r="AB185" i="1"/>
  <c r="V789" i="1"/>
  <c r="AB789" i="1" s="1"/>
  <c r="V729" i="1"/>
  <c r="AB729" i="1" s="1"/>
  <c r="AC729" i="1" s="1"/>
  <c r="V506" i="1"/>
  <c r="AB506" i="1" s="1"/>
  <c r="AB370" i="1"/>
  <c r="AC370" i="1" s="1"/>
  <c r="V716" i="1"/>
  <c r="AB716" i="1" s="1"/>
  <c r="V414" i="1"/>
  <c r="AB414" i="1" s="1"/>
  <c r="AC414" i="1" s="1"/>
  <c r="V227" i="1"/>
  <c r="AB227" i="1" s="1"/>
  <c r="V168" i="1"/>
  <c r="AB168" i="1" s="1"/>
  <c r="V156" i="1"/>
  <c r="AB156" i="1" s="1"/>
  <c r="V590" i="1"/>
  <c r="AB590" i="1" s="1"/>
  <c r="AC590" i="1" s="1"/>
  <c r="V627" i="1"/>
  <c r="AB627" i="1" s="1"/>
  <c r="AC627" i="1" s="1"/>
  <c r="AE627" i="1" s="1"/>
  <c r="V662" i="1"/>
  <c r="AB662" i="1" s="1"/>
  <c r="AC662" i="1" s="1"/>
  <c r="V640" i="1"/>
  <c r="AB640" i="1" s="1"/>
  <c r="AB379" i="1"/>
  <c r="AB728" i="1"/>
  <c r="V408" i="1"/>
  <c r="AB408" i="1" s="1"/>
  <c r="V658" i="1"/>
  <c r="AB658" i="1" s="1"/>
  <c r="AC658" i="1" s="1"/>
  <c r="V397" i="1"/>
  <c r="AB397" i="1" s="1"/>
  <c r="V424" i="1"/>
  <c r="AB424" i="1" s="1"/>
  <c r="V464" i="1"/>
  <c r="AB464" i="1" s="1"/>
  <c r="V741" i="1"/>
  <c r="AB741" i="1" s="1"/>
  <c r="V375" i="1"/>
  <c r="AB375" i="1" s="1"/>
  <c r="V41" i="1"/>
  <c r="AB41" i="1" s="1"/>
  <c r="AD41" i="1" s="1"/>
  <c r="V493" i="1"/>
  <c r="AB493" i="1" s="1"/>
  <c r="V813" i="1"/>
  <c r="AB813" i="1" s="1"/>
  <c r="AC813" i="1" s="1"/>
  <c r="V769" i="1"/>
  <c r="AB769" i="1" s="1"/>
  <c r="AC769" i="1" s="1"/>
  <c r="V771" i="1"/>
  <c r="AB771" i="1" s="1"/>
  <c r="AB701" i="1"/>
  <c r="AB398" i="1"/>
  <c r="AB193" i="1"/>
  <c r="V428" i="1"/>
  <c r="AB428" i="1" s="1"/>
  <c r="AB758" i="1"/>
  <c r="AC758" i="1" s="1"/>
  <c r="AE758" i="1" s="1"/>
  <c r="V777" i="1"/>
  <c r="AB777" i="1" s="1"/>
  <c r="V698" i="1"/>
  <c r="AB698" i="1" s="1"/>
  <c r="AC698" i="1" s="1"/>
  <c r="V610" i="1"/>
  <c r="AB610" i="1" s="1"/>
  <c r="AC610" i="1" s="1"/>
  <c r="V503" i="1"/>
  <c r="AB503" i="1" s="1"/>
  <c r="AB349" i="1"/>
  <c r="AB287" i="1"/>
  <c r="V194" i="1"/>
  <c r="AB194" i="1" s="1"/>
  <c r="AC194" i="1" s="1"/>
  <c r="V160" i="1"/>
  <c r="AB160" i="1" s="1"/>
  <c r="V440" i="1"/>
  <c r="AB440" i="1" s="1"/>
  <c r="V399" i="1"/>
  <c r="AB399" i="1" s="1"/>
  <c r="V7" i="1"/>
  <c r="AB7" i="1" s="1"/>
  <c r="V116" i="1"/>
  <c r="AB116" i="1" s="1"/>
  <c r="V24" i="1"/>
  <c r="AB24" i="1" s="1"/>
  <c r="V629" i="1"/>
  <c r="AB629" i="1" s="1"/>
  <c r="V475" i="1"/>
  <c r="AB475" i="1" s="1"/>
  <c r="V606" i="1"/>
  <c r="AB606" i="1" s="1"/>
  <c r="AB519" i="1"/>
  <c r="V350" i="1"/>
  <c r="AB350" i="1" s="1"/>
  <c r="V334" i="1"/>
  <c r="AB334" i="1" s="1"/>
  <c r="V25" i="1"/>
  <c r="AB25" i="1" s="1"/>
  <c r="V774" i="1"/>
  <c r="AB774" i="1" s="1"/>
  <c r="AC774" i="1" s="1"/>
  <c r="V693" i="1"/>
  <c r="AB693" i="1" s="1"/>
  <c r="V548" i="1"/>
  <c r="AB548" i="1" s="1"/>
  <c r="AC548" i="1" s="1"/>
  <c r="V393" i="1"/>
  <c r="AB393" i="1" s="1"/>
  <c r="V277" i="1"/>
  <c r="AB277" i="1" s="1"/>
  <c r="V275" i="1"/>
  <c r="AB275" i="1" s="1"/>
  <c r="V220" i="1"/>
  <c r="AB220" i="1" s="1"/>
  <c r="V9" i="1"/>
  <c r="AB9" i="1" s="1"/>
  <c r="V209" i="1"/>
  <c r="AB209" i="1" s="1"/>
  <c r="V345" i="1"/>
  <c r="AB345" i="1" s="1"/>
  <c r="V603" i="1"/>
  <c r="AB603" i="1" s="1"/>
  <c r="V856" i="1"/>
  <c r="AB856" i="1" s="1"/>
  <c r="V451" i="1"/>
  <c r="AB451" i="1" s="1"/>
  <c r="V444" i="1"/>
  <c r="AB444" i="1" s="1"/>
  <c r="V255" i="1"/>
  <c r="AB255" i="1" s="1"/>
  <c r="V378" i="1"/>
  <c r="AB378" i="1" s="1"/>
  <c r="AC378" i="1" s="1"/>
  <c r="V396" i="1"/>
  <c r="AB396" i="1" s="1"/>
  <c r="V410" i="1"/>
  <c r="AB410" i="1" s="1"/>
  <c r="V626" i="1"/>
  <c r="AB626" i="1" s="1"/>
  <c r="AC626" i="1" s="1"/>
  <c r="V488" i="1"/>
  <c r="AB488" i="1" s="1"/>
  <c r="V27" i="1"/>
  <c r="AB27" i="1" s="1"/>
  <c r="V495" i="1"/>
  <c r="AB495" i="1" s="1"/>
  <c r="V50" i="1"/>
  <c r="AB50" i="1" s="1"/>
  <c r="AD50" i="1" s="1"/>
  <c r="V795" i="1"/>
  <c r="AB795" i="1" s="1"/>
  <c r="AC795" i="1" s="1"/>
  <c r="V804" i="1"/>
  <c r="AB804" i="1" s="1"/>
  <c r="AC804" i="1" s="1"/>
  <c r="V635" i="1"/>
  <c r="AB635" i="1" s="1"/>
  <c r="V583" i="1"/>
  <c r="AB583" i="1" s="1"/>
  <c r="AC583" i="1" s="1"/>
  <c r="AE583" i="1" s="1"/>
  <c r="AB549" i="1"/>
  <c r="V580" i="1"/>
  <c r="AB580" i="1" s="1"/>
  <c r="V518" i="1"/>
  <c r="AB518" i="1" s="1"/>
  <c r="AB331" i="1"/>
  <c r="AB304" i="1"/>
  <c r="V280" i="1"/>
  <c r="AB280" i="1" s="1"/>
  <c r="V579" i="1"/>
  <c r="AB579" i="1" s="1"/>
  <c r="V528" i="1"/>
  <c r="AB528" i="1" s="1"/>
  <c r="AB617" i="1"/>
  <c r="AB64" i="1"/>
  <c r="AC64" i="1" s="1"/>
  <c r="AE64" i="1" s="1"/>
  <c r="V169" i="1"/>
  <c r="AB169" i="1" s="1"/>
  <c r="V54" i="1"/>
  <c r="AB54" i="1" s="1"/>
  <c r="AD54" i="1" s="1"/>
  <c r="V18" i="1"/>
  <c r="AB18" i="1" s="1"/>
  <c r="V862" i="1"/>
  <c r="AB862" i="1" s="1"/>
  <c r="AB721" i="1"/>
  <c r="AC721" i="1" s="1"/>
  <c r="AE721" i="1" s="1"/>
  <c r="V283" i="1"/>
  <c r="AB283" i="1" s="1"/>
  <c r="V722" i="1"/>
  <c r="AB722" i="1" s="1"/>
  <c r="AC722" i="1" s="1"/>
  <c r="V109" i="1"/>
  <c r="AB109" i="1" s="1"/>
  <c r="V247" i="1"/>
  <c r="AB247" i="1" s="1"/>
  <c r="V616" i="1"/>
  <c r="AB616" i="1" s="1"/>
  <c r="V441" i="1"/>
  <c r="AB441" i="1" s="1"/>
  <c r="V155" i="1"/>
  <c r="AB155" i="1" s="1"/>
  <c r="AB768" i="1"/>
  <c r="AC768" i="1" s="1"/>
  <c r="V861" i="1"/>
  <c r="AB861" i="1" s="1"/>
  <c r="V436" i="1"/>
  <c r="AB436" i="1" s="1"/>
  <c r="V696" i="1"/>
  <c r="AB696" i="1" s="1"/>
  <c r="AC696" i="1" s="1"/>
  <c r="AB295" i="1"/>
  <c r="AD295" i="1" s="1"/>
  <c r="V707" i="1"/>
  <c r="AB707" i="1" s="1"/>
  <c r="AC707" i="1" s="1"/>
  <c r="AB552" i="1"/>
  <c r="V152" i="1"/>
  <c r="AB152" i="1" s="1"/>
  <c r="V241" i="1"/>
  <c r="AB241" i="1" s="1"/>
  <c r="V261" i="1"/>
  <c r="AB261" i="1" s="1"/>
  <c r="V86" i="1"/>
  <c r="AB86" i="1" s="1"/>
  <c r="V165" i="1"/>
  <c r="AB165" i="1" s="1"/>
  <c r="AC165" i="1" s="1"/>
  <c r="AB328" i="1"/>
  <c r="AB766" i="1"/>
  <c r="V115" i="1"/>
  <c r="AB115" i="1" s="1"/>
  <c r="V40" i="1"/>
  <c r="AB40" i="1" s="1"/>
  <c r="V648" i="1"/>
  <c r="AB648" i="1" s="1"/>
  <c r="AC648" i="1" s="1"/>
  <c r="V557" i="1"/>
  <c r="AB557" i="1" s="1"/>
  <c r="V95" i="1"/>
  <c r="AB95" i="1" s="1"/>
  <c r="V630" i="1"/>
  <c r="AB630" i="1" s="1"/>
  <c r="AB573" i="1"/>
  <c r="V47" i="1"/>
  <c r="AB47" i="1" s="1"/>
  <c r="AD47" i="1" s="1"/>
  <c r="V377" i="1"/>
  <c r="AB377" i="1" s="1"/>
  <c r="V36" i="1"/>
  <c r="AB36" i="1" s="1"/>
  <c r="V680" i="1"/>
  <c r="AB680" i="1" s="1"/>
  <c r="AC680" i="1" s="1"/>
  <c r="V404" i="1"/>
  <c r="AB404" i="1" s="1"/>
  <c r="AB260" i="1"/>
  <c r="AC260" i="1" s="1"/>
  <c r="AB806" i="1"/>
  <c r="AB858" i="1"/>
  <c r="AC858" i="1" s="1"/>
  <c r="AB572" i="1"/>
  <c r="AB20" i="1"/>
  <c r="AB670" i="1"/>
  <c r="AC670" i="1" s="1"/>
  <c r="AB448" i="1"/>
  <c r="AB380" i="1"/>
  <c r="AB258" i="1"/>
  <c r="AC258" i="1" s="1"/>
  <c r="AB67" i="1"/>
  <c r="AB232" i="1"/>
  <c r="AB697" i="1"/>
  <c r="AC697" i="1" s="1"/>
  <c r="AE697" i="1" s="1"/>
  <c r="AB482" i="1"/>
  <c r="AB216" i="1"/>
  <c r="AD216" i="1" s="1"/>
  <c r="AB32" i="1"/>
  <c r="AB367" i="1"/>
  <c r="AB319" i="1"/>
  <c r="AB814" i="1"/>
  <c r="AC814" i="1" s="1"/>
  <c r="AB566" i="1"/>
  <c r="AB568" i="1"/>
  <c r="AB547" i="1"/>
  <c r="AB29" i="1"/>
  <c r="AB783" i="1"/>
  <c r="AC783" i="1" s="1"/>
  <c r="AB391" i="1"/>
  <c r="AB501" i="1"/>
  <c r="AB763" i="1"/>
  <c r="AB351" i="1"/>
  <c r="AB74" i="1"/>
  <c r="AB817" i="1"/>
  <c r="AB815" i="1"/>
  <c r="AC815" i="1" s="1"/>
  <c r="AB161" i="1"/>
  <c r="AB28" i="1"/>
  <c r="AB8" i="1"/>
  <c r="AB663" i="1"/>
  <c r="AC663" i="1" s="1"/>
  <c r="AE663" i="1" s="1"/>
  <c r="AB600" i="1"/>
  <c r="AB639" i="1"/>
  <c r="AB61" i="1"/>
  <c r="AB699" i="1"/>
  <c r="AC699" i="1" s="1"/>
  <c r="AB527" i="1"/>
  <c r="AB534" i="1"/>
  <c r="AB558" i="1"/>
  <c r="AB253" i="1"/>
  <c r="AB780" i="1"/>
  <c r="AB455" i="1"/>
  <c r="AC455" i="1" s="1"/>
  <c r="AB550" i="1"/>
  <c r="AB65" i="1"/>
  <c r="AB432" i="1"/>
  <c r="AB672" i="1"/>
  <c r="AC672" i="1" s="1"/>
  <c r="AB613" i="1"/>
  <c r="AC613" i="1" s="1"/>
  <c r="AB717" i="1"/>
  <c r="AC717" i="1" s="1"/>
  <c r="AB682" i="1"/>
  <c r="AB359" i="1"/>
  <c r="AB311" i="1"/>
  <c r="AC311" i="1" s="1"/>
  <c r="AB195" i="1"/>
  <c r="AB100" i="1"/>
  <c r="AB454" i="1"/>
  <c r="AB105" i="1"/>
  <c r="AB679" i="1"/>
  <c r="AB751" i="1"/>
  <c r="AC751" i="1" s="1"/>
  <c r="AB463" i="1"/>
  <c r="AC463" i="1" s="1"/>
  <c r="AB187" i="1"/>
  <c r="AB363" i="1"/>
  <c r="AB733" i="1"/>
  <c r="AB684" i="1"/>
  <c r="AB592" i="1"/>
  <c r="AC592" i="1" s="1"/>
  <c r="AB669" i="1"/>
  <c r="AC669" i="1" s="1"/>
  <c r="AB485" i="1"/>
  <c r="AB483" i="1"/>
  <c r="AB307" i="1"/>
  <c r="AB555" i="1"/>
  <c r="AB266" i="1"/>
  <c r="AB587" i="1"/>
  <c r="AB588" i="1"/>
  <c r="AB239" i="1"/>
  <c r="AB39" i="1"/>
  <c r="AB645" i="1"/>
  <c r="AB591" i="1"/>
  <c r="AB198" i="1"/>
  <c r="AB121" i="1"/>
  <c r="AB642" i="1"/>
  <c r="AB529" i="1"/>
  <c r="AB459" i="1"/>
  <c r="AB130" i="1"/>
  <c r="AB228" i="1"/>
  <c r="AB265" i="1"/>
  <c r="AB125" i="1"/>
  <c r="AB238" i="1"/>
  <c r="AB406" i="1"/>
  <c r="AB799" i="1"/>
  <c r="AB217" i="1"/>
  <c r="AB419" i="1"/>
  <c r="AB661" i="1"/>
  <c r="AC661" i="1" s="1"/>
  <c r="AB514" i="1"/>
  <c r="AB438" i="1"/>
  <c r="AB236" i="1"/>
  <c r="AB38" i="1"/>
  <c r="AB637" i="1"/>
  <c r="AC637" i="1" s="1"/>
  <c r="AB578" i="1"/>
  <c r="AB726" i="1"/>
  <c r="AB158" i="1"/>
  <c r="AB133" i="1"/>
  <c r="AB857" i="1"/>
  <c r="AC857" i="1" s="1"/>
  <c r="AB691" i="1"/>
  <c r="AB585" i="1"/>
  <c r="AB576" i="1"/>
  <c r="AB472" i="1"/>
  <c r="AB452" i="1"/>
  <c r="AB374" i="1"/>
  <c r="AC374" i="1" s="1"/>
  <c r="AB82" i="1"/>
  <c r="AB92" i="1"/>
  <c r="AB434" i="1"/>
  <c r="AB430" i="1"/>
  <c r="AB235" i="1"/>
  <c r="AB83" i="1"/>
  <c r="AB381" i="1"/>
  <c r="AB222" i="1"/>
  <c r="AC222" i="1" s="1"/>
  <c r="AB110" i="1"/>
  <c r="AB31" i="1"/>
  <c r="V517" i="1"/>
  <c r="AB517" i="1" s="1"/>
  <c r="AB346" i="1"/>
  <c r="V418" i="1"/>
  <c r="AB418" i="1" s="1"/>
  <c r="AC418" i="1" s="1"/>
  <c r="AE418" i="1" s="1"/>
  <c r="V338" i="1"/>
  <c r="AB338" i="1" s="1"/>
  <c r="V336" i="1"/>
  <c r="AB336" i="1" s="1"/>
  <c r="V323" i="1"/>
  <c r="AB323" i="1" s="1"/>
  <c r="V264" i="1"/>
  <c r="AB264" i="1" s="1"/>
  <c r="V154" i="1"/>
  <c r="AB154" i="1" s="1"/>
  <c r="V251" i="1"/>
  <c r="AB251" i="1" s="1"/>
  <c r="V131" i="1"/>
  <c r="AB131" i="1" s="1"/>
  <c r="V135" i="1"/>
  <c r="AB135" i="1" s="1"/>
  <c r="V773" i="1"/>
  <c r="AB773" i="1" s="1"/>
  <c r="AB678" i="1"/>
  <c r="AC678" i="1" s="1"/>
  <c r="AB692" i="1"/>
  <c r="V748" i="1"/>
  <c r="AB748" i="1" s="1"/>
  <c r="V571" i="1"/>
  <c r="AB571" i="1" s="1"/>
  <c r="V757" i="1"/>
  <c r="AB757" i="1" s="1"/>
  <c r="V499" i="1"/>
  <c r="AB499" i="1" s="1"/>
  <c r="V347" i="1"/>
  <c r="AB347" i="1" s="1"/>
  <c r="V303" i="1"/>
  <c r="AB303" i="1" s="1"/>
  <c r="AC303" i="1" s="1"/>
  <c r="V44" i="1"/>
  <c r="AB44" i="1" s="1"/>
  <c r="V671" i="1"/>
  <c r="AB671" i="1" s="1"/>
  <c r="AC671" i="1" s="1"/>
  <c r="AB665" i="1"/>
  <c r="V690" i="1"/>
  <c r="AB690" i="1" s="1"/>
  <c r="V581" i="1"/>
  <c r="AB581" i="1" s="1"/>
  <c r="V282" i="1"/>
  <c r="AB282" i="1" s="1"/>
  <c r="AB471" i="1"/>
  <c r="V183" i="1"/>
  <c r="AB183" i="1" s="1"/>
  <c r="V181" i="1"/>
  <c r="AB181" i="1" s="1"/>
  <c r="V756" i="1"/>
  <c r="AB756" i="1" s="1"/>
  <c r="AC756" i="1" s="1"/>
  <c r="V854" i="1"/>
  <c r="AB854" i="1" s="1"/>
  <c r="AC854" i="1" s="1"/>
  <c r="AB207" i="1"/>
  <c r="AB473" i="1"/>
  <c r="V189" i="1"/>
  <c r="AB189" i="1" s="1"/>
  <c r="AC189" i="1" s="1"/>
  <c r="AB373" i="1"/>
  <c r="AB776" i="1"/>
  <c r="V14" i="1"/>
  <c r="AB14" i="1" s="1"/>
  <c r="V289" i="1"/>
  <c r="AB289" i="1" s="1"/>
  <c r="V205" i="1"/>
  <c r="AB205" i="1" s="1"/>
  <c r="AC205" i="1" s="1"/>
  <c r="AE205" i="1" s="1"/>
  <c r="V786" i="1"/>
  <c r="AB786" i="1" s="1"/>
  <c r="AC786" i="1" s="1"/>
  <c r="V582" i="1"/>
  <c r="AB582" i="1" s="1"/>
  <c r="AC582" i="1" s="1"/>
  <c r="AE582" i="1" s="1"/>
  <c r="V177" i="1"/>
  <c r="AB177" i="1" s="1"/>
  <c r="V376" i="1"/>
  <c r="AB376" i="1" s="1"/>
  <c r="AB708" i="1"/>
  <c r="AB23" i="1"/>
  <c r="V574" i="1"/>
  <c r="AB574" i="1" s="1"/>
  <c r="V731" i="1"/>
  <c r="AB731" i="1" s="1"/>
  <c r="AC731" i="1" s="1"/>
  <c r="V732" i="1"/>
  <c r="AB732" i="1" s="1"/>
  <c r="V537" i="1"/>
  <c r="AB537" i="1" s="1"/>
  <c r="V439" i="1"/>
  <c r="AB439" i="1" s="1"/>
  <c r="V324" i="1"/>
  <c r="AB324" i="1" s="1"/>
  <c r="AB320" i="1"/>
  <c r="V117" i="1"/>
  <c r="AB117" i="1" s="1"/>
  <c r="V184" i="1"/>
  <c r="AB184" i="1" s="1"/>
  <c r="V34" i="1"/>
  <c r="AB34" i="1" s="1"/>
  <c r="V559" i="1"/>
  <c r="AB559" i="1" s="1"/>
  <c r="V709" i="1"/>
  <c r="AB709" i="1" s="1"/>
  <c r="AB468" i="1"/>
  <c r="V390" i="1"/>
  <c r="AB390" i="1" s="1"/>
  <c r="V310" i="1"/>
  <c r="AB310" i="1" s="1"/>
  <c r="V248" i="1"/>
  <c r="AB248" i="1" s="1"/>
  <c r="AB139" i="1"/>
  <c r="AB143" i="1"/>
  <c r="AB85" i="1"/>
  <c r="V563" i="1"/>
  <c r="AB563" i="1" s="1"/>
  <c r="V521" i="1"/>
  <c r="AB521" i="1" s="1"/>
  <c r="AB502" i="1"/>
  <c r="V567" i="1"/>
  <c r="AB567" i="1" s="1"/>
  <c r="AB204" i="1"/>
  <c r="V106" i="1"/>
  <c r="AB106" i="1" s="1"/>
  <c r="V164" i="1"/>
  <c r="AB164" i="1" s="1"/>
  <c r="V271" i="1"/>
  <c r="AB271" i="1" s="1"/>
  <c r="V412" i="1"/>
  <c r="AB412" i="1" s="1"/>
  <c r="V624" i="1"/>
  <c r="AB624" i="1" s="1"/>
  <c r="V607" i="1"/>
  <c r="AB607" i="1" s="1"/>
  <c r="AB332" i="1"/>
  <c r="AB386" i="1"/>
  <c r="V784" i="1"/>
  <c r="AB784" i="1" s="1"/>
  <c r="AC784" i="1" s="1"/>
  <c r="V87" i="1"/>
  <c r="AB87" i="1" s="1"/>
  <c r="V457" i="1"/>
  <c r="AB457" i="1" s="1"/>
  <c r="V392" i="1"/>
  <c r="AB392" i="1" s="1"/>
  <c r="V765" i="1"/>
  <c r="AB765" i="1" s="1"/>
  <c r="V77" i="1"/>
  <c r="AB77" i="1" s="1"/>
  <c r="V775" i="1"/>
  <c r="AB775" i="1" s="1"/>
  <c r="AC775" i="1" s="1"/>
  <c r="AB142" i="1"/>
  <c r="V649" i="1"/>
  <c r="AB649" i="1" s="1"/>
  <c r="V496" i="1"/>
  <c r="AB496" i="1" s="1"/>
  <c r="AB312" i="1"/>
  <c r="AC312" i="1" s="1"/>
  <c r="AB737" i="1"/>
  <c r="V575" i="1"/>
  <c r="AB575" i="1" s="1"/>
  <c r="V171" i="1"/>
  <c r="AB171" i="1" s="1"/>
  <c r="AB810" i="1"/>
  <c r="V747" i="1"/>
  <c r="AB747" i="1" s="1"/>
  <c r="V761" i="1"/>
  <c r="AB761" i="1" s="1"/>
  <c r="V736" i="1"/>
  <c r="AB736" i="1" s="1"/>
  <c r="AC736" i="1" s="1"/>
  <c r="AB593" i="1"/>
  <c r="AB619" i="1"/>
  <c r="AC619" i="1" s="1"/>
  <c r="AB385" i="1"/>
  <c r="AC385" i="1" s="1"/>
  <c r="V447" i="1"/>
  <c r="AB447" i="1" s="1"/>
  <c r="V401" i="1"/>
  <c r="AB401" i="1" s="1"/>
  <c r="AB333" i="1"/>
  <c r="V262" i="1"/>
  <c r="AB262" i="1" s="1"/>
  <c r="V284" i="1"/>
  <c r="AB284" i="1" s="1"/>
  <c r="V147" i="1"/>
  <c r="AB147" i="1" s="1"/>
  <c r="AB21" i="1"/>
  <c r="V57" i="1"/>
  <c r="AB57" i="1" s="1"/>
  <c r="V788" i="1"/>
  <c r="AB788" i="1" s="1"/>
  <c r="AB752" i="1"/>
  <c r="AC752" i="1" s="1"/>
  <c r="V735" i="1"/>
  <c r="AB735" i="1" s="1"/>
  <c r="AB673" i="1"/>
  <c r="AC673" i="1" s="1"/>
  <c r="V816" i="1"/>
  <c r="AB816" i="1" s="1"/>
  <c r="AC816" i="1" s="1"/>
  <c r="V687" i="1"/>
  <c r="AB687" i="1" s="1"/>
  <c r="V643" i="1"/>
  <c r="AB643" i="1" s="1"/>
  <c r="V382" i="1"/>
  <c r="AB382" i="1" s="1"/>
  <c r="AB383" i="1"/>
  <c r="V299" i="1"/>
  <c r="AB299" i="1" s="1"/>
  <c r="V329" i="1"/>
  <c r="AB329" i="1" s="1"/>
  <c r="V55" i="1"/>
  <c r="AB55" i="1" s="1"/>
  <c r="AB800" i="1"/>
  <c r="V759" i="1"/>
  <c r="AB759" i="1" s="1"/>
  <c r="V560" i="1"/>
  <c r="AB560" i="1" s="1"/>
  <c r="V688" i="1"/>
  <c r="AB688" i="1" s="1"/>
  <c r="V632" i="1"/>
  <c r="AB632" i="1" s="1"/>
  <c r="AB683" i="1"/>
  <c r="V533" i="1"/>
  <c r="AB533" i="1" s="1"/>
  <c r="V175" i="1"/>
  <c r="AB175" i="1" s="1"/>
  <c r="V11" i="1"/>
  <c r="AB11" i="1" s="1"/>
  <c r="V150" i="1"/>
  <c r="AB150" i="1" s="1"/>
  <c r="AC150" i="1" s="1"/>
  <c r="V315" i="1"/>
  <c r="AB315" i="1" s="1"/>
  <c r="V101" i="1"/>
  <c r="AB101" i="1" s="1"/>
  <c r="AD101" i="1" s="1"/>
  <c r="V48" i="1"/>
  <c r="AB48" i="1" s="1"/>
  <c r="AD48" i="1" s="1"/>
  <c r="V743" i="1"/>
  <c r="AB743" i="1" s="1"/>
  <c r="V498" i="1"/>
  <c r="AB498" i="1" s="1"/>
  <c r="V58" i="1"/>
  <c r="AB58" i="1" s="1"/>
  <c r="V136" i="1"/>
  <c r="AB136" i="1" s="1"/>
  <c r="V767" i="1"/>
  <c r="AB767" i="1" s="1"/>
  <c r="V151" i="1"/>
  <c r="AB151" i="1" s="1"/>
  <c r="AD151" i="1" s="1"/>
  <c r="V70" i="1"/>
  <c r="AB70" i="1" s="1"/>
  <c r="AC70" i="1" s="1"/>
  <c r="AB659" i="1"/>
  <c r="AC659" i="1" s="1"/>
  <c r="V176" i="1"/>
  <c r="AB176" i="1" s="1"/>
  <c r="V695" i="1"/>
  <c r="AB695" i="1" s="1"/>
  <c r="V395" i="1"/>
  <c r="AB395" i="1" s="1"/>
  <c r="V542" i="1"/>
  <c r="AB542" i="1" s="1"/>
  <c r="AB389" i="1"/>
  <c r="AB335" i="1"/>
  <c r="AB226" i="1"/>
  <c r="V267" i="1"/>
  <c r="AB267" i="1" s="1"/>
  <c r="V615" i="1"/>
  <c r="AB615" i="1" s="1"/>
  <c r="AB569" i="1"/>
  <c r="V605" i="1"/>
  <c r="AB605" i="1" s="1"/>
  <c r="AC605" i="1" s="1"/>
  <c r="V500" i="1"/>
  <c r="AB500" i="1" s="1"/>
  <c r="V413" i="1"/>
  <c r="AB413" i="1" s="1"/>
  <c r="AB76" i="1"/>
  <c r="V182" i="1"/>
  <c r="AB182" i="1" s="1"/>
  <c r="V742" i="1"/>
  <c r="AB742" i="1" s="1"/>
  <c r="AC742" i="1" s="1"/>
  <c r="V753" i="1"/>
  <c r="AB753" i="1" s="1"/>
  <c r="AC753" i="1" s="1"/>
  <c r="AB535" i="1"/>
  <c r="AB513" i="1"/>
  <c r="V59" i="1"/>
  <c r="AB59" i="1" s="1"/>
  <c r="V340" i="1"/>
  <c r="AB340" i="1" s="1"/>
  <c r="V37" i="1"/>
  <c r="AB37" i="1" s="1"/>
  <c r="V6" i="1"/>
  <c r="AB6" i="1" s="1"/>
  <c r="AB636" i="1"/>
  <c r="AD636" i="1" s="1"/>
  <c r="AB476" i="1"/>
  <c r="V525" i="1"/>
  <c r="AB525" i="1" s="1"/>
  <c r="V667" i="1"/>
  <c r="AB667" i="1" s="1"/>
  <c r="V553" i="1"/>
  <c r="AB553" i="1" s="1"/>
  <c r="V490" i="1"/>
  <c r="AB490" i="1" s="1"/>
  <c r="V16" i="1"/>
  <c r="AB16" i="1" s="1"/>
  <c r="AC16" i="1" s="1"/>
  <c r="AB213" i="1"/>
  <c r="AC213" i="1" s="1"/>
  <c r="V270" i="1"/>
  <c r="AB270" i="1" s="1"/>
  <c r="V546" i="1"/>
  <c r="AB546" i="1" s="1"/>
  <c r="V94" i="1"/>
  <c r="AB94" i="1" s="1"/>
  <c r="AB749" i="1"/>
  <c r="AC749" i="1" s="1"/>
  <c r="V702" i="1"/>
  <c r="AB702" i="1" s="1"/>
  <c r="AC702" i="1" s="1"/>
  <c r="V53" i="1"/>
  <c r="AB53" i="1" s="1"/>
  <c r="V489" i="1"/>
  <c r="AB489" i="1" s="1"/>
  <c r="V425" i="1"/>
  <c r="AB425" i="1" s="1"/>
  <c r="V322" i="1"/>
  <c r="AB322" i="1" s="1"/>
  <c r="V750" i="1"/>
  <c r="AB750" i="1" s="1"/>
  <c r="V230" i="1"/>
  <c r="AB230" i="1" s="1"/>
  <c r="AC230" i="1" s="1"/>
  <c r="V755" i="1"/>
  <c r="AB755" i="1" s="1"/>
  <c r="V52" i="1"/>
  <c r="AB52" i="1" s="1"/>
  <c r="V794" i="1"/>
  <c r="AB794" i="1" s="1"/>
  <c r="V796" i="1"/>
  <c r="AB796" i="1" s="1"/>
  <c r="V668" i="1"/>
  <c r="AB668" i="1" s="1"/>
  <c r="V628" i="1"/>
  <c r="AB628" i="1" s="1"/>
  <c r="AC628" i="1" s="1"/>
  <c r="V657" i="1"/>
  <c r="AB657" i="1" s="1"/>
  <c r="V623" i="1"/>
  <c r="AB623" i="1" s="1"/>
  <c r="V504" i="1"/>
  <c r="AB504" i="1" s="1"/>
  <c r="V371" i="1"/>
  <c r="AB371" i="1" s="1"/>
  <c r="V469" i="1"/>
  <c r="AB469" i="1" s="1"/>
  <c r="AC469" i="1" s="1"/>
  <c r="AE469" i="1" s="1"/>
  <c r="V294" i="1"/>
  <c r="AB294" i="1" s="1"/>
  <c r="V75" i="1"/>
  <c r="AB75" i="1" s="1"/>
  <c r="V362" i="1"/>
  <c r="AB362" i="1" s="1"/>
  <c r="V689" i="1"/>
  <c r="AB689" i="1" s="1"/>
  <c r="V884" i="1"/>
  <c r="AB884" i="1" s="1"/>
  <c r="AC884" i="1" s="1"/>
  <c r="V487" i="1"/>
  <c r="AB487" i="1" s="1"/>
  <c r="V272" i="1"/>
  <c r="AB272" i="1" s="1"/>
  <c r="V202" i="1"/>
  <c r="AB202" i="1" s="1"/>
  <c r="V123" i="1"/>
  <c r="AB123" i="1" s="1"/>
  <c r="V60" i="1"/>
  <c r="AB60" i="1" s="1"/>
  <c r="V234" i="1"/>
  <c r="AB234" i="1" s="1"/>
  <c r="V478" i="1"/>
  <c r="AB478" i="1" s="1"/>
  <c r="AB724" i="1"/>
  <c r="AB764" i="1"/>
  <c r="V609" i="1"/>
  <c r="AB609" i="1" s="1"/>
  <c r="V49" i="1"/>
  <c r="AB49" i="1" s="1"/>
  <c r="V357" i="1"/>
  <c r="AB357" i="1" s="1"/>
  <c r="V99" i="1"/>
  <c r="AB99" i="1" s="1"/>
  <c r="V128" i="1"/>
  <c r="AB128" i="1" s="1"/>
  <c r="V225" i="1"/>
  <c r="AB225" i="1" s="1"/>
  <c r="AC225" i="1" s="1"/>
  <c r="AB481" i="1"/>
  <c r="V479" i="1"/>
  <c r="AB479" i="1" s="1"/>
  <c r="AD479" i="1" s="1"/>
  <c r="AB520" i="1"/>
  <c r="AB286" i="1"/>
  <c r="V720" i="1"/>
  <c r="AB720" i="1" s="1"/>
  <c r="AC720" i="1" s="1"/>
  <c r="V364" i="1"/>
  <c r="AB364" i="1" s="1"/>
  <c r="AB313" i="1"/>
  <c r="V302" i="1"/>
  <c r="AB302" i="1" s="1"/>
  <c r="AB211" i="1"/>
  <c r="AC211" i="1" s="1"/>
  <c r="AB103" i="1"/>
  <c r="V199" i="1"/>
  <c r="AB199" i="1" s="1"/>
  <c r="V146" i="1"/>
  <c r="AB146" i="1" s="1"/>
  <c r="AB42" i="1"/>
  <c r="AB666" i="1"/>
  <c r="V551" i="1"/>
  <c r="AB551" i="1" s="1"/>
  <c r="V497" i="1"/>
  <c r="AB497" i="1" s="1"/>
  <c r="AB422" i="1"/>
  <c r="V120" i="1"/>
  <c r="AB120" i="1" s="1"/>
  <c r="AB245" i="1"/>
  <c r="AB524" i="1"/>
  <c r="V561" i="1"/>
  <c r="AB561" i="1" s="1"/>
  <c r="V268" i="1"/>
  <c r="AB268" i="1" s="1"/>
  <c r="V388" i="1"/>
  <c r="AB388" i="1" s="1"/>
  <c r="V306" i="1"/>
  <c r="AB306" i="1" s="1"/>
  <c r="V88" i="1"/>
  <c r="AB88" i="1" s="1"/>
  <c r="V224" i="1"/>
  <c r="AB224" i="1" s="1"/>
  <c r="V676" i="1"/>
  <c r="AB676" i="1" s="1"/>
  <c r="V677" i="1"/>
  <c r="AB677" i="1" s="1"/>
  <c r="V420" i="1"/>
  <c r="AB420" i="1" s="1"/>
  <c r="AC420" i="1" s="1"/>
  <c r="AE420" i="1" s="1"/>
  <c r="V326" i="1"/>
  <c r="AB326" i="1" s="1"/>
  <c r="AB727" i="1"/>
  <c r="AC727" i="1" s="1"/>
  <c r="V734" i="1"/>
  <c r="AB734" i="1" s="1"/>
  <c r="V589" i="1"/>
  <c r="AB589" i="1" s="1"/>
  <c r="V539" i="1"/>
  <c r="AB539" i="1" s="1"/>
  <c r="AB365" i="1"/>
  <c r="V361" i="1"/>
  <c r="AB361" i="1" s="1"/>
  <c r="V356" i="1"/>
  <c r="AB356" i="1" s="1"/>
  <c r="V387" i="1"/>
  <c r="AB387" i="1" s="1"/>
  <c r="V429" i="1"/>
  <c r="AB429" i="1" s="1"/>
  <c r="AD429" i="1" s="1"/>
  <c r="V409" i="1"/>
  <c r="AB409" i="1" s="1"/>
  <c r="V240" i="1"/>
  <c r="AB240" i="1" s="1"/>
  <c r="AB203" i="1"/>
  <c r="V219" i="1"/>
  <c r="AB219" i="1" s="1"/>
  <c r="V201" i="1"/>
  <c r="AB201" i="1" s="1"/>
  <c r="AD201" i="1" s="1"/>
  <c r="V140" i="1"/>
  <c r="AB140" i="1" s="1"/>
  <c r="V159" i="1"/>
  <c r="AB159" i="1" s="1"/>
  <c r="AC159" i="1" s="1"/>
  <c r="AB621" i="1"/>
  <c r="AB543" i="1"/>
  <c r="AB611" i="1"/>
  <c r="AC611" i="1" s="1"/>
  <c r="AE611" i="1" s="1"/>
  <c r="V646" i="1"/>
  <c r="AB646" i="1" s="1"/>
  <c r="AB492" i="1"/>
  <c r="AB285" i="1"/>
  <c r="V215" i="1"/>
  <c r="AB215" i="1" s="1"/>
  <c r="AC215" i="1" s="1"/>
  <c r="V292" i="1"/>
  <c r="AB292" i="1" s="1"/>
  <c r="AB22" i="1"/>
  <c r="AC22" i="1" s="1"/>
  <c r="AE22" i="1" s="1"/>
  <c r="V344" i="1"/>
  <c r="AB344" i="1" s="1"/>
  <c r="V126" i="1"/>
  <c r="AB126" i="1" s="1"/>
  <c r="V466" i="1"/>
  <c r="AB466" i="1" s="1"/>
  <c r="V885" i="1"/>
  <c r="AB885" i="1" s="1"/>
  <c r="AB178" i="1"/>
  <c r="V111" i="1"/>
  <c r="AB111" i="1" s="1"/>
  <c r="V325" i="1"/>
  <c r="AB325" i="1" s="1"/>
  <c r="AB739" i="1"/>
  <c r="AB144" i="1"/>
  <c r="V415" i="1"/>
  <c r="AB415" i="1" s="1"/>
  <c r="AB15" i="1"/>
  <c r="AB450" i="1"/>
  <c r="V449" i="1"/>
  <c r="AB449" i="1" s="1"/>
  <c r="AB66" i="1"/>
  <c r="V84" i="1"/>
  <c r="AB84" i="1" s="1"/>
  <c r="V855" i="1"/>
  <c r="AB855" i="1" s="1"/>
  <c r="AC855" i="1" s="1"/>
  <c r="V243" i="1"/>
  <c r="AB243" i="1" s="1"/>
  <c r="V660" i="1"/>
  <c r="AB660" i="1" s="1"/>
  <c r="AC660" i="1" s="1"/>
  <c r="AE660" i="1" s="1"/>
  <c r="V138" i="1"/>
  <c r="AB138" i="1" s="1"/>
  <c r="V778" i="1"/>
  <c r="AB778" i="1" s="1"/>
  <c r="AC778" i="1" s="1"/>
  <c r="V801" i="1"/>
  <c r="AB801" i="1" s="1"/>
  <c r="V809" i="1"/>
  <c r="AB809" i="1" s="1"/>
  <c r="V762" i="1"/>
  <c r="AB762" i="1" s="1"/>
  <c r="AC762" i="1" s="1"/>
  <c r="AB597" i="1"/>
  <c r="V612" i="1"/>
  <c r="AB612" i="1" s="1"/>
  <c r="AC612" i="1" s="1"/>
  <c r="V562" i="1"/>
  <c r="AB562" i="1" s="1"/>
  <c r="V474" i="1"/>
  <c r="AB474" i="1" s="1"/>
  <c r="V298" i="1"/>
  <c r="AB298" i="1" s="1"/>
  <c r="V278" i="1"/>
  <c r="AB278" i="1" s="1"/>
  <c r="AB167" i="1"/>
  <c r="V191" i="1"/>
  <c r="AB191" i="1" s="1"/>
  <c r="V107" i="1"/>
  <c r="AB107" i="1" s="1"/>
  <c r="AD107" i="1" s="1"/>
  <c r="V56" i="1"/>
  <c r="AB56" i="1" s="1"/>
  <c r="AD56" i="1" s="1"/>
  <c r="AB652" i="1"/>
  <c r="V711" i="1"/>
  <c r="AB711" i="1" s="1"/>
  <c r="V516" i="1"/>
  <c r="AB516" i="1" s="1"/>
  <c r="V710" i="1"/>
  <c r="AB710" i="1" s="1"/>
  <c r="V352" i="1"/>
  <c r="AB352" i="1" s="1"/>
  <c r="AB102" i="1"/>
  <c r="V308" i="1"/>
  <c r="AB308" i="1" s="1"/>
  <c r="AC308" i="1" s="1"/>
  <c r="V114" i="1"/>
  <c r="AB114" i="1" s="1"/>
  <c r="AB10" i="1"/>
  <c r="V808" i="1"/>
  <c r="AB808" i="1" s="1"/>
  <c r="AC808" i="1" s="1"/>
  <c r="V594" i="1"/>
  <c r="AB594" i="1" s="1"/>
  <c r="V565" i="1"/>
  <c r="AB565" i="1" s="1"/>
  <c r="AB170" i="1"/>
  <c r="V291" i="1"/>
  <c r="AB291" i="1" s="1"/>
  <c r="V523" i="1"/>
  <c r="AB523" i="1" s="1"/>
  <c r="V427" i="1"/>
  <c r="AB427" i="1" s="1"/>
  <c r="AB400" i="1"/>
  <c r="AB631" i="1"/>
  <c r="V540" i="1"/>
  <c r="AB540" i="1" s="1"/>
  <c r="V301" i="1"/>
  <c r="AB301" i="1" s="1"/>
  <c r="AC301" i="1" s="1"/>
  <c r="V124" i="1"/>
  <c r="AB124" i="1" s="1"/>
  <c r="V477" i="1"/>
  <c r="AB477" i="1" s="1"/>
  <c r="V51" i="1"/>
  <c r="AB51" i="1" s="1"/>
  <c r="V706" i="1"/>
  <c r="AB706" i="1" s="1"/>
  <c r="V797" i="1"/>
  <c r="AB797" i="1" s="1"/>
  <c r="V803" i="1"/>
  <c r="AB803" i="1" s="1"/>
  <c r="V740" i="1"/>
  <c r="AB740" i="1" s="1"/>
  <c r="AC740" i="1" s="1"/>
  <c r="AB595" i="1"/>
  <c r="V634" i="1"/>
  <c r="AB634" i="1" s="1"/>
  <c r="V608" i="1"/>
  <c r="AB608" i="1" s="1"/>
  <c r="V596" i="1"/>
  <c r="AB596" i="1" s="1"/>
  <c r="V586" i="1"/>
  <c r="AB586" i="1" s="1"/>
  <c r="V526" i="1"/>
  <c r="AB526" i="1" s="1"/>
  <c r="V470" i="1"/>
  <c r="AB470" i="1" s="1"/>
  <c r="V423" i="1"/>
  <c r="AB423" i="1" s="1"/>
  <c r="AB309" i="1"/>
  <c r="V297" i="1"/>
  <c r="AB297" i="1" s="1"/>
  <c r="AB200" i="1"/>
  <c r="V276" i="1"/>
  <c r="AB276" i="1" s="1"/>
  <c r="AB98" i="1"/>
  <c r="V317" i="1"/>
  <c r="AB317" i="1" s="1"/>
  <c r="V157" i="1"/>
  <c r="AB157" i="1" s="1"/>
  <c r="V134" i="1"/>
  <c r="AB134" i="1" s="1"/>
  <c r="V30" i="1"/>
  <c r="AB30" i="1" s="1"/>
  <c r="V174" i="1"/>
  <c r="AB174" i="1" s="1"/>
  <c r="V730" i="1"/>
  <c r="AB730" i="1" s="1"/>
  <c r="V467" i="1"/>
  <c r="AB467" i="1" s="1"/>
  <c r="AB97" i="1"/>
  <c r="V192" i="1"/>
  <c r="AB192" i="1" s="1"/>
  <c r="V577" i="1"/>
  <c r="AB577" i="1" s="1"/>
  <c r="V330" i="1"/>
  <c r="AB330" i="1" s="1"/>
  <c r="AB148" i="1"/>
  <c r="V96" i="1"/>
  <c r="AB96" i="1" s="1"/>
  <c r="AB719" i="1"/>
  <c r="AB327" i="1"/>
  <c r="V700" i="1"/>
  <c r="AB700" i="1" s="1"/>
  <c r="V314" i="1"/>
  <c r="AB314" i="1" s="1"/>
  <c r="V279" i="1"/>
  <c r="AB279" i="1" s="1"/>
  <c r="V71" i="1"/>
  <c r="AB71" i="1" s="1"/>
  <c r="V69" i="1"/>
  <c r="AB69" i="1" s="1"/>
  <c r="AC69" i="1" s="1"/>
  <c r="AE895" i="1"/>
  <c r="AD972" i="1"/>
  <c r="AP208" i="1"/>
  <c r="AQ208" i="1" s="1"/>
  <c r="AP190" i="1"/>
  <c r="AQ190" i="1" s="1"/>
  <c r="AP759" i="1"/>
  <c r="AQ759" i="1" s="1"/>
  <c r="AE486" i="1"/>
  <c r="AE229" i="1"/>
  <c r="AE618" i="1"/>
  <c r="AE933" i="1"/>
  <c r="AE846" i="1"/>
  <c r="AE843" i="1"/>
  <c r="AE876" i="1"/>
  <c r="AE839" i="1"/>
  <c r="AD865" i="1"/>
  <c r="AE841" i="1"/>
  <c r="AD910" i="1"/>
  <c r="AD1050" i="1"/>
  <c r="AE819" i="1"/>
  <c r="AE1054" i="1"/>
  <c r="AE978" i="1"/>
  <c r="AE906" i="1"/>
  <c r="AE979" i="1"/>
  <c r="AE1056" i="1"/>
  <c r="AE818" i="1"/>
  <c r="AE949" i="1"/>
  <c r="AE967" i="1"/>
  <c r="AE835" i="1"/>
  <c r="AE986" i="1"/>
  <c r="AE974" i="1"/>
  <c r="AE968" i="1"/>
  <c r="AE868" i="1"/>
  <c r="AE938" i="1"/>
  <c r="AE950" i="1"/>
  <c r="AE1055" i="1"/>
  <c r="AE913" i="1"/>
  <c r="AE982" i="1"/>
  <c r="AE984" i="1"/>
  <c r="AE975" i="1"/>
  <c r="AE908" i="1"/>
  <c r="AE840" i="1"/>
  <c r="AE957" i="1"/>
  <c r="AE980" i="1"/>
  <c r="AE970" i="1"/>
  <c r="AE976" i="1"/>
  <c r="AE912" i="1"/>
  <c r="AE1057" i="1"/>
  <c r="AE985" i="1"/>
  <c r="AE977" i="1"/>
  <c r="AE966" i="1"/>
  <c r="AE881" i="1"/>
  <c r="AE971" i="1"/>
  <c r="AE1053" i="1"/>
  <c r="AE888" i="1"/>
  <c r="AE981" i="1"/>
  <c r="AE969" i="1"/>
  <c r="AE983" i="1"/>
  <c r="AE718" i="1"/>
  <c r="AD952" i="1"/>
  <c r="AE834" i="1"/>
  <c r="AE825" i="1"/>
  <c r="AE851" i="1"/>
  <c r="AE838" i="1"/>
  <c r="AD890" i="1"/>
  <c r="AD873" i="1"/>
  <c r="AD874" i="1"/>
  <c r="AE872" i="1"/>
  <c r="AE864" i="1"/>
  <c r="AE823" i="1"/>
  <c r="AD845" i="1"/>
  <c r="AE871" i="1"/>
  <c r="AE836" i="1"/>
  <c r="AE882" i="1"/>
  <c r="AE827" i="1"/>
  <c r="AE820" i="1"/>
  <c r="AE824" i="1"/>
  <c r="AE842" i="1"/>
  <c r="AD907" i="1"/>
  <c r="AE832" i="1"/>
  <c r="AE833" i="1"/>
  <c r="AE852" i="1"/>
  <c r="AE869" i="1"/>
  <c r="AE850" i="1"/>
  <c r="AE877" i="1"/>
  <c r="AE826" i="1"/>
  <c r="AE830" i="1"/>
  <c r="AE875" i="1"/>
  <c r="AE863" i="1"/>
  <c r="AE831" i="1"/>
  <c r="AD883" i="1"/>
  <c r="AP78" i="1"/>
  <c r="AQ78" i="1" s="1"/>
  <c r="AP799" i="1"/>
  <c r="AQ799" i="1" s="1"/>
  <c r="AP788" i="1"/>
  <c r="AQ788" i="1" s="1"/>
  <c r="AP751" i="1"/>
  <c r="AQ751" i="1" s="1"/>
  <c r="AP737" i="1"/>
  <c r="AQ737" i="1" s="1"/>
  <c r="AP559" i="1"/>
  <c r="AQ559" i="1" s="1"/>
  <c r="AP345" i="1"/>
  <c r="AQ345" i="1" s="1"/>
  <c r="AP377" i="1"/>
  <c r="AQ377" i="1" s="1"/>
  <c r="AP271" i="1"/>
  <c r="AQ271" i="1" s="1"/>
  <c r="AP347" i="1"/>
  <c r="AQ347" i="1" s="1"/>
  <c r="AP76" i="1"/>
  <c r="AQ76" i="1" s="1"/>
  <c r="AP264" i="1"/>
  <c r="AQ264" i="1" s="1"/>
  <c r="AP178" i="1"/>
  <c r="AQ178" i="1" s="1"/>
  <c r="AP391" i="1"/>
  <c r="AQ391" i="1" s="1"/>
  <c r="AP445" i="1"/>
  <c r="AQ445" i="1" s="1"/>
  <c r="AP407" i="1"/>
  <c r="AQ407" i="1" s="1"/>
  <c r="AP556" i="1"/>
  <c r="AQ556" i="1" s="1"/>
  <c r="AP437" i="1"/>
  <c r="AQ437" i="1" s="1"/>
  <c r="AP495" i="1"/>
  <c r="AQ495" i="1" s="1"/>
  <c r="AP763" i="1"/>
  <c r="AQ763" i="1" s="1"/>
  <c r="AP173" i="1"/>
  <c r="AQ173" i="1" s="1"/>
  <c r="AP605" i="1"/>
  <c r="AQ605" i="1" s="1"/>
  <c r="AP172" i="1"/>
  <c r="AQ172" i="1" s="1"/>
  <c r="AP613" i="1"/>
  <c r="AQ613" i="1" s="1"/>
  <c r="AP192" i="1"/>
  <c r="AQ192" i="1" s="1"/>
  <c r="AP309" i="1"/>
  <c r="AQ309" i="1" s="1"/>
  <c r="AP357" i="1"/>
  <c r="AQ357" i="1" s="1"/>
  <c r="AP802" i="1"/>
  <c r="AQ802" i="1" s="1"/>
  <c r="AP813" i="1"/>
  <c r="AQ813" i="1" s="1"/>
  <c r="AP798" i="1"/>
  <c r="AQ798" i="1" s="1"/>
  <c r="AP811" i="1"/>
  <c r="AQ811" i="1" s="1"/>
  <c r="AP766" i="1"/>
  <c r="AQ766" i="1" s="1"/>
  <c r="AP735" i="1"/>
  <c r="AQ735" i="1" s="1"/>
  <c r="AP557" i="1"/>
  <c r="AQ557" i="1" s="1"/>
  <c r="AP538" i="1"/>
  <c r="AQ538" i="1" s="1"/>
  <c r="AP552" i="1"/>
  <c r="AQ552" i="1" s="1"/>
  <c r="AP477" i="1"/>
  <c r="AQ477" i="1" s="1"/>
  <c r="AP461" i="1"/>
  <c r="AQ461" i="1" s="1"/>
  <c r="AP275" i="1"/>
  <c r="AQ275" i="1" s="1"/>
  <c r="AP203" i="1"/>
  <c r="AQ203" i="1" s="1"/>
  <c r="AP117" i="1"/>
  <c r="AQ117" i="1" s="1"/>
  <c r="AP88" i="1"/>
  <c r="AQ88" i="1" s="1"/>
  <c r="AP30" i="1"/>
  <c r="AQ30" i="1" s="1"/>
  <c r="AP860" i="1"/>
  <c r="AQ860" i="1" s="1"/>
  <c r="AP755" i="1"/>
  <c r="AQ755" i="1" s="1"/>
  <c r="AP744" i="1"/>
  <c r="AQ744" i="1" s="1"/>
  <c r="AP791" i="1"/>
  <c r="AQ791" i="1" s="1"/>
  <c r="AP581" i="1"/>
  <c r="AQ581" i="1" s="1"/>
  <c r="AP463" i="1"/>
  <c r="AQ463" i="1" s="1"/>
  <c r="AP423" i="1"/>
  <c r="AQ423" i="1" s="1"/>
  <c r="AP65" i="1"/>
  <c r="AQ65" i="1" s="1"/>
  <c r="AP123" i="1"/>
  <c r="AQ123" i="1" s="1"/>
  <c r="AP213" i="1"/>
  <c r="AQ213" i="1" s="1"/>
  <c r="AP44" i="1"/>
  <c r="AQ44" i="1" s="1"/>
  <c r="AP607" i="1"/>
  <c r="AQ607" i="1" s="1"/>
  <c r="AP185" i="1"/>
  <c r="AQ185" i="1" s="1"/>
  <c r="AP370" i="1"/>
  <c r="AQ370" i="1" s="1"/>
  <c r="AP547" i="1"/>
  <c r="AQ547" i="1" s="1"/>
  <c r="AP381" i="1"/>
  <c r="AQ381" i="1" s="1"/>
  <c r="AP200" i="1"/>
  <c r="AQ200" i="1" s="1"/>
  <c r="AP665" i="1"/>
  <c r="AQ665" i="1" s="1"/>
  <c r="AP361" i="1"/>
  <c r="AQ361" i="1" s="1"/>
  <c r="AP180" i="1"/>
  <c r="AQ180" i="1" s="1"/>
  <c r="AP93" i="1"/>
  <c r="AQ93" i="1" s="1"/>
  <c r="AP33" i="1"/>
  <c r="AQ33" i="1" s="1"/>
  <c r="AP410" i="1"/>
  <c r="AQ410" i="1" s="1"/>
  <c r="AP322" i="1"/>
  <c r="AQ322" i="1" s="1"/>
  <c r="AP141" i="1"/>
  <c r="AQ141" i="1" s="1"/>
  <c r="AP284" i="1"/>
  <c r="AQ284" i="1" s="1"/>
  <c r="AP181" i="1"/>
  <c r="AQ181" i="1" s="1"/>
  <c r="AP575" i="1"/>
  <c r="AQ575" i="1" s="1"/>
  <c r="AP155" i="1"/>
  <c r="AQ155" i="1" s="1"/>
  <c r="AP378" i="1"/>
  <c r="AQ378" i="1" s="1"/>
  <c r="AP186" i="1"/>
  <c r="AQ186" i="1" s="1"/>
  <c r="AP130" i="1"/>
  <c r="AQ130" i="1" s="1"/>
  <c r="AP49" i="1"/>
  <c r="AQ49" i="1" s="1"/>
  <c r="AP448" i="1"/>
  <c r="AQ448" i="1" s="1"/>
  <c r="AP249" i="1"/>
  <c r="AQ249" i="1" s="1"/>
  <c r="AP17" i="1"/>
  <c r="AQ17" i="1" s="1"/>
  <c r="AP394" i="1"/>
  <c r="AQ394" i="1" s="1"/>
  <c r="AP274" i="1"/>
  <c r="AQ274" i="1" s="1"/>
  <c r="AP31" i="1"/>
  <c r="AQ31" i="1" s="1"/>
  <c r="AP728" i="1"/>
  <c r="AQ728" i="1" s="1"/>
  <c r="AP85" i="1"/>
  <c r="AQ85" i="1" s="1"/>
  <c r="AP375" i="1"/>
  <c r="AQ375" i="1" s="1"/>
  <c r="AP458" i="1"/>
  <c r="AQ458" i="1" s="1"/>
  <c r="AP164" i="1"/>
  <c r="AQ164" i="1" s="1"/>
  <c r="AP655" i="1"/>
  <c r="AQ655" i="1" s="1"/>
  <c r="AP653" i="1"/>
  <c r="AQ653" i="1" s="1"/>
  <c r="AP311" i="1"/>
  <c r="AQ311" i="1" s="1"/>
  <c r="AP694" i="1"/>
  <c r="AQ694" i="1" s="1"/>
  <c r="AP753" i="1"/>
  <c r="AQ753" i="1" s="1"/>
  <c r="AP711" i="1"/>
  <c r="AQ711" i="1" s="1"/>
  <c r="AP498" i="1"/>
  <c r="AQ498" i="1" s="1"/>
  <c r="AP253" i="1"/>
  <c r="AQ253" i="1" s="1"/>
  <c r="AP348" i="1"/>
  <c r="AQ348" i="1" s="1"/>
  <c r="AP219" i="1"/>
  <c r="AQ219" i="1" s="1"/>
  <c r="AP99" i="1"/>
  <c r="AQ99" i="1" s="1"/>
  <c r="AP774" i="1"/>
  <c r="AQ774" i="1" s="1"/>
  <c r="AP527" i="1"/>
  <c r="AQ527" i="1" s="1"/>
  <c r="AP32" i="1"/>
  <c r="AQ32" i="1" s="1"/>
  <c r="AP727" i="1"/>
  <c r="AQ727" i="1" s="1"/>
  <c r="AP393" i="1"/>
  <c r="AQ393" i="1" s="1"/>
  <c r="AP63" i="1"/>
  <c r="AQ63" i="1" s="1"/>
  <c r="AP27" i="1"/>
  <c r="AQ27" i="1" s="1"/>
  <c r="AP792" i="1"/>
  <c r="AQ792" i="1" s="1"/>
  <c r="AP329" i="1"/>
  <c r="AQ329" i="1" s="1"/>
  <c r="AP296" i="1"/>
  <c r="AQ296" i="1" s="1"/>
  <c r="AP775" i="1"/>
  <c r="AQ775" i="1" s="1"/>
  <c r="AP197" i="1"/>
  <c r="AQ197" i="1" s="1"/>
  <c r="AP453" i="1"/>
  <c r="AQ453" i="1" s="1"/>
  <c r="AP465" i="1"/>
  <c r="AQ465" i="1" s="1"/>
  <c r="AP731" i="1"/>
  <c r="AQ731" i="1" s="1"/>
  <c r="AP723" i="1"/>
  <c r="AQ723" i="1" s="1"/>
  <c r="AP631" i="1"/>
  <c r="AQ631" i="1" s="1"/>
  <c r="AP408" i="1"/>
  <c r="AQ408" i="1" s="1"/>
  <c r="AP385" i="1"/>
  <c r="AQ385" i="1" s="1"/>
  <c r="AP277" i="1"/>
  <c r="AQ277" i="1" s="1"/>
  <c r="AP234" i="1"/>
  <c r="AQ234" i="1" s="1"/>
  <c r="AP222" i="1"/>
  <c r="AQ222" i="1" s="1"/>
  <c r="AP859" i="1"/>
  <c r="AQ859" i="1" s="1"/>
  <c r="AP809" i="1"/>
  <c r="AQ809" i="1" s="1"/>
  <c r="AP749" i="1"/>
  <c r="AQ749" i="1" s="1"/>
  <c r="AP583" i="1"/>
  <c r="AQ583" i="1" s="1"/>
  <c r="AP474" i="1"/>
  <c r="AQ474" i="1" s="1"/>
  <c r="AP469" i="1"/>
  <c r="AQ469" i="1" s="1"/>
  <c r="AP454" i="1"/>
  <c r="AQ454" i="1" s="1"/>
  <c r="AP858" i="1"/>
  <c r="AQ858" i="1" s="1"/>
  <c r="AP810" i="1"/>
  <c r="AQ810" i="1" s="1"/>
  <c r="AP795" i="1"/>
  <c r="AQ795" i="1" s="1"/>
  <c r="AP741" i="1"/>
  <c r="AQ741" i="1" s="1"/>
  <c r="AP625" i="1"/>
  <c r="AQ625" i="1" s="1"/>
  <c r="AP591" i="1"/>
  <c r="AQ591" i="1" s="1"/>
  <c r="AP579" i="1"/>
  <c r="AQ579" i="1" s="1"/>
  <c r="AP422" i="1"/>
  <c r="AQ422" i="1" s="1"/>
  <c r="AP241" i="1"/>
  <c r="AQ241" i="1" s="1"/>
  <c r="AP364" i="1"/>
  <c r="AQ364" i="1" s="1"/>
  <c r="AP272" i="1"/>
  <c r="AQ272" i="1" s="1"/>
  <c r="AP127" i="1"/>
  <c r="AQ127" i="1" s="1"/>
  <c r="AP23" i="1"/>
  <c r="AQ23" i="1" s="1"/>
  <c r="AP501" i="1"/>
  <c r="AQ501" i="1" s="1"/>
  <c r="AP496" i="1"/>
  <c r="AQ496" i="1" s="1"/>
  <c r="AP401" i="1"/>
  <c r="AQ401" i="1" s="1"/>
  <c r="AP245" i="1"/>
  <c r="AQ245" i="1" s="1"/>
  <c r="AP199" i="1"/>
  <c r="AQ199" i="1" s="1"/>
  <c r="AP19" i="1"/>
  <c r="AQ19" i="1" s="1"/>
  <c r="AP784" i="1"/>
  <c r="AQ784" i="1" s="1"/>
  <c r="AP268" i="1"/>
  <c r="AQ268" i="1" s="1"/>
  <c r="AP131" i="1"/>
  <c r="AQ131" i="1" s="1"/>
  <c r="AP715" i="1"/>
  <c r="AQ715" i="1" s="1"/>
  <c r="AP332" i="1"/>
  <c r="AQ332" i="1" s="1"/>
  <c r="AP626" i="1"/>
  <c r="AQ626" i="1" s="1"/>
  <c r="AP242" i="1"/>
  <c r="AQ242" i="1" s="1"/>
  <c r="AP152" i="1"/>
  <c r="AQ152" i="1" s="1"/>
  <c r="AP254" i="1"/>
  <c r="AQ254" i="1" s="1"/>
  <c r="AP318" i="1"/>
  <c r="AQ318" i="1" s="1"/>
  <c r="AP196" i="1"/>
  <c r="AQ196" i="1" s="1"/>
  <c r="AP305" i="1"/>
  <c r="AQ305" i="1" s="1"/>
  <c r="AP622" i="1"/>
  <c r="AQ622" i="1" s="1"/>
  <c r="AP22" i="1"/>
  <c r="AQ22" i="1" s="1"/>
  <c r="AP353" i="1"/>
  <c r="AQ353" i="1" s="1"/>
  <c r="AP506" i="1"/>
  <c r="AQ506" i="1" s="1"/>
  <c r="AP273" i="1"/>
  <c r="AQ273" i="1" s="1"/>
  <c r="AP206" i="1"/>
  <c r="AQ206" i="1" s="1"/>
  <c r="AP503" i="1"/>
  <c r="AQ503" i="1" s="1"/>
  <c r="AP259" i="1"/>
  <c r="AQ259" i="1" s="1"/>
  <c r="AP338" i="1"/>
  <c r="AQ338" i="1" s="1"/>
  <c r="AP269" i="1"/>
  <c r="AQ269" i="1" s="1"/>
  <c r="AP861" i="1"/>
  <c r="AQ861" i="1" s="1"/>
  <c r="AP363" i="1"/>
  <c r="AQ363" i="1" s="1"/>
  <c r="AP564" i="1"/>
  <c r="AQ564" i="1" s="1"/>
  <c r="AP374" i="1"/>
  <c r="AQ374" i="1" s="1"/>
  <c r="AP258" i="1"/>
  <c r="AQ258" i="1" s="1"/>
  <c r="AP80" i="1"/>
  <c r="AQ80" i="1" s="1"/>
  <c r="AP8" i="1"/>
  <c r="AQ8" i="1" s="1"/>
  <c r="AP545" i="1"/>
  <c r="AQ545" i="1" s="1"/>
  <c r="AP337" i="1"/>
  <c r="AQ337" i="1" s="1"/>
  <c r="AP509" i="1"/>
  <c r="AQ509" i="1" s="1"/>
  <c r="AP125" i="1"/>
  <c r="AQ125" i="1" s="1"/>
  <c r="AP768" i="1"/>
  <c r="AQ768" i="1" s="1"/>
  <c r="AP360" i="1"/>
  <c r="AQ360" i="1" s="1"/>
  <c r="AP179" i="1"/>
  <c r="AQ179" i="1" s="1"/>
  <c r="AP310" i="1"/>
  <c r="AQ310" i="1" s="1"/>
  <c r="AP430" i="1"/>
  <c r="AQ430" i="1" s="1"/>
  <c r="AP516" i="1"/>
  <c r="AQ516" i="1" s="1"/>
  <c r="AP886" i="1"/>
  <c r="AQ886" i="1" s="1"/>
  <c r="AP752" i="1"/>
  <c r="AQ752" i="1" s="1"/>
  <c r="AP678" i="1"/>
  <c r="AQ678" i="1" s="1"/>
  <c r="AP664" i="1"/>
  <c r="AQ664" i="1" s="1"/>
  <c r="AP782" i="1"/>
  <c r="AQ782" i="1" s="1"/>
  <c r="AP686" i="1"/>
  <c r="AQ686" i="1" s="1"/>
  <c r="AP399" i="1"/>
  <c r="AQ399" i="1" s="1"/>
  <c r="AP435" i="1"/>
  <c r="AQ435" i="1" s="1"/>
  <c r="AP485" i="1"/>
  <c r="AQ485" i="1" s="1"/>
  <c r="AP326" i="1"/>
  <c r="AQ326" i="1" s="1"/>
  <c r="AP442" i="1"/>
  <c r="AQ442" i="1" s="1"/>
  <c r="AP263" i="1"/>
  <c r="AQ263" i="1" s="1"/>
  <c r="AP279" i="1"/>
  <c r="AQ279" i="1" s="1"/>
  <c r="AP267" i="1"/>
  <c r="AQ267" i="1" s="1"/>
  <c r="AP170" i="1"/>
  <c r="AQ170" i="1" s="1"/>
  <c r="AP207" i="1"/>
  <c r="AQ207" i="1" s="1"/>
  <c r="AP4" i="1"/>
  <c r="AQ4" i="1" s="1"/>
  <c r="AP773" i="1"/>
  <c r="AQ773" i="1" s="1"/>
  <c r="AP807" i="1"/>
  <c r="AQ807" i="1" s="1"/>
  <c r="AP630" i="1"/>
  <c r="AQ630" i="1" s="1"/>
  <c r="AP555" i="1"/>
  <c r="AQ555" i="1" s="1"/>
  <c r="AP282" i="1"/>
  <c r="AQ282" i="1" s="1"/>
  <c r="AP266" i="1"/>
  <c r="AQ266" i="1" s="1"/>
  <c r="AP573" i="1"/>
  <c r="AQ573" i="1" s="1"/>
  <c r="AP550" i="1"/>
  <c r="AQ550" i="1" s="1"/>
  <c r="AP132" i="1"/>
  <c r="AQ132" i="1" s="1"/>
  <c r="AP18" i="1"/>
  <c r="AQ18" i="1" s="1"/>
  <c r="AP754" i="1"/>
  <c r="AQ754" i="1" s="1"/>
  <c r="AP231" i="1"/>
  <c r="AQ231" i="1" s="1"/>
  <c r="AP61" i="1"/>
  <c r="AQ61" i="1" s="1"/>
  <c r="AP497" i="1"/>
  <c r="AQ497" i="1" s="1"/>
  <c r="AP472" i="1"/>
  <c r="AQ472" i="1" s="1"/>
  <c r="AP507" i="1"/>
  <c r="AQ507" i="1" s="1"/>
  <c r="AP688" i="1"/>
  <c r="AQ688" i="1" s="1"/>
  <c r="AP35" i="1"/>
  <c r="AQ35" i="1" s="1"/>
  <c r="AP248" i="1"/>
  <c r="AQ248" i="1" s="1"/>
  <c r="AP816" i="1"/>
  <c r="AQ816" i="1" s="1"/>
  <c r="AP804" i="1"/>
  <c r="AQ804" i="1" s="1"/>
  <c r="AP742" i="1"/>
  <c r="AQ742" i="1" s="1"/>
  <c r="AP716" i="1"/>
  <c r="AQ716" i="1" s="1"/>
  <c r="AP568" i="1"/>
  <c r="AQ568" i="1" s="1"/>
  <c r="AP528" i="1"/>
  <c r="AQ528" i="1" s="1"/>
  <c r="AP797" i="1"/>
  <c r="AQ797" i="1" s="1"/>
  <c r="AP765" i="1"/>
  <c r="AQ765" i="1" s="1"/>
  <c r="AP772" i="1"/>
  <c r="AQ772" i="1" s="1"/>
  <c r="AP815" i="1"/>
  <c r="AQ815" i="1" s="1"/>
  <c r="AP560" i="1"/>
  <c r="AQ560" i="1" s="1"/>
  <c r="AP390" i="1"/>
  <c r="AQ390" i="1" s="1"/>
  <c r="AP388" i="1"/>
  <c r="AQ388" i="1" s="1"/>
  <c r="AP343" i="1"/>
  <c r="AQ343" i="1" s="1"/>
  <c r="AP139" i="1"/>
  <c r="AQ139" i="1" s="1"/>
  <c r="AP64" i="1"/>
  <c r="AQ64" i="1" s="1"/>
  <c r="AP87" i="1"/>
  <c r="AQ87" i="1" s="1"/>
  <c r="AP793" i="1"/>
  <c r="AQ793" i="1" s="1"/>
  <c r="AP586" i="1"/>
  <c r="AQ586" i="1" s="1"/>
  <c r="AP212" i="1"/>
  <c r="AQ212" i="1" s="1"/>
  <c r="AP10" i="1"/>
  <c r="AQ10" i="1" s="1"/>
  <c r="AP789" i="1"/>
  <c r="AQ789" i="1" s="1"/>
  <c r="AP229" i="1"/>
  <c r="AQ229" i="1" s="1"/>
  <c r="AP531" i="1"/>
  <c r="AQ531" i="1" s="1"/>
  <c r="AP252" i="1"/>
  <c r="AQ252" i="1" s="1"/>
  <c r="AP136" i="1"/>
  <c r="AQ136" i="1" s="1"/>
  <c r="AP321" i="1"/>
  <c r="AQ321" i="1" s="1"/>
  <c r="AP270" i="1"/>
  <c r="AQ270" i="1" s="1"/>
  <c r="AP339" i="1"/>
  <c r="AQ339" i="1" s="1"/>
  <c r="AP541" i="1"/>
  <c r="AQ541" i="1" s="1"/>
  <c r="AP578" i="1"/>
  <c r="AQ578" i="1" s="1"/>
  <c r="AP624" i="1"/>
  <c r="AQ624" i="1" s="1"/>
  <c r="AP683" i="1"/>
  <c r="AQ683" i="1" s="1"/>
  <c r="AP657" i="1"/>
  <c r="AQ657" i="1" s="1"/>
  <c r="AP384" i="1"/>
  <c r="AQ384" i="1" s="1"/>
  <c r="AP685" i="1"/>
  <c r="AQ685" i="1" s="1"/>
  <c r="AP857" i="1"/>
  <c r="AQ857" i="1" s="1"/>
  <c r="AP542" i="1"/>
  <c r="AQ542" i="1" s="1"/>
  <c r="AP748" i="1"/>
  <c r="AQ748" i="1" s="1"/>
  <c r="AP629" i="1"/>
  <c r="AQ629" i="1" s="1"/>
  <c r="AP783" i="1"/>
  <c r="AQ783" i="1" s="1"/>
  <c r="AP758" i="1"/>
  <c r="AQ758" i="1" s="1"/>
  <c r="AP726" i="1"/>
  <c r="AQ726" i="1" s="1"/>
  <c r="AP720" i="1"/>
  <c r="AQ720" i="1" s="1"/>
  <c r="AP740" i="1"/>
  <c r="AQ740" i="1" s="1"/>
  <c r="AP530" i="1"/>
  <c r="AQ530" i="1" s="1"/>
  <c r="AP502" i="1"/>
  <c r="AQ502" i="1" s="1"/>
  <c r="AP548" i="1"/>
  <c r="AQ548" i="1" s="1"/>
  <c r="AP331" i="1"/>
  <c r="AQ331" i="1" s="1"/>
  <c r="AP382" i="1"/>
  <c r="AQ382" i="1" s="1"/>
  <c r="AP319" i="1"/>
  <c r="AQ319" i="1" s="1"/>
  <c r="AP286" i="1"/>
  <c r="AQ286" i="1" s="1"/>
  <c r="AP372" i="1"/>
  <c r="AQ372" i="1" s="1"/>
  <c r="AP187" i="1"/>
  <c r="AQ187" i="1" s="1"/>
  <c r="AP739" i="1"/>
  <c r="AQ739" i="1" s="1"/>
  <c r="AP790" i="1"/>
  <c r="AQ790" i="1" s="1"/>
  <c r="AP566" i="1"/>
  <c r="AQ566" i="1" s="1"/>
  <c r="AP571" i="1"/>
  <c r="AQ571" i="1" s="1"/>
  <c r="AP169" i="1"/>
  <c r="AQ169" i="1" s="1"/>
  <c r="AP800" i="1"/>
  <c r="AQ800" i="1" s="1"/>
  <c r="AP721" i="1"/>
  <c r="AQ721" i="1" s="1"/>
  <c r="AP288" i="1"/>
  <c r="AQ288" i="1" s="1"/>
  <c r="AP608" i="1"/>
  <c r="AQ608" i="1" s="1"/>
  <c r="AP532" i="1"/>
  <c r="AQ532" i="1" s="1"/>
  <c r="AP446" i="1"/>
  <c r="AQ446" i="1" s="1"/>
  <c r="AP460" i="1"/>
  <c r="AQ460" i="1" s="1"/>
  <c r="AP109" i="1"/>
  <c r="AQ109" i="1" s="1"/>
  <c r="AP612" i="1"/>
  <c r="AQ612" i="1" s="1"/>
  <c r="AP623" i="1"/>
  <c r="AQ623" i="1" s="1"/>
  <c r="AP441" i="1"/>
  <c r="AQ441" i="1" s="1"/>
  <c r="AP778" i="1"/>
  <c r="AQ778" i="1" s="1"/>
  <c r="AP787" i="1"/>
  <c r="AQ787" i="1" s="1"/>
  <c r="AP786" i="1"/>
  <c r="AQ786" i="1" s="1"/>
  <c r="AP334" i="1"/>
  <c r="AQ334" i="1" s="1"/>
  <c r="AP210" i="1"/>
  <c r="AQ210" i="1" s="1"/>
  <c r="AP468" i="1"/>
  <c r="AQ468" i="1" s="1"/>
  <c r="AP188" i="1"/>
  <c r="AQ188" i="1" s="1"/>
  <c r="AP265" i="1"/>
  <c r="AQ265" i="1" s="1"/>
  <c r="AP452" i="1"/>
  <c r="AQ452" i="1" s="1"/>
  <c r="AP221" i="1"/>
  <c r="AQ221" i="1" s="1"/>
  <c r="AP307" i="1"/>
  <c r="AQ307" i="1" s="1"/>
  <c r="AP761" i="1"/>
  <c r="AQ761" i="1" s="1"/>
  <c r="AP20" i="1"/>
  <c r="AQ20" i="1" s="1"/>
  <c r="AP427" i="1"/>
  <c r="AQ427" i="1" s="1"/>
  <c r="AP570" i="1"/>
  <c r="AQ570" i="1" s="1"/>
  <c r="AP276" i="1"/>
  <c r="AQ276" i="1" s="1"/>
  <c r="AP817" i="1"/>
  <c r="AQ817" i="1" s="1"/>
  <c r="AP814" i="1"/>
  <c r="AQ814" i="1" s="1"/>
  <c r="AP803" i="1"/>
  <c r="AQ803" i="1" s="1"/>
  <c r="AP708" i="1"/>
  <c r="AQ708" i="1" s="1"/>
  <c r="AP725" i="1"/>
  <c r="AQ725" i="1" s="1"/>
  <c r="AP464" i="1"/>
  <c r="AQ464" i="1" s="1"/>
  <c r="AP333" i="1"/>
  <c r="AQ333" i="1" s="1"/>
  <c r="AP320" i="1"/>
  <c r="AQ320" i="1" s="1"/>
  <c r="AP785" i="1"/>
  <c r="AQ785" i="1" s="1"/>
  <c r="AP587" i="1"/>
  <c r="AQ587" i="1" s="1"/>
  <c r="AP582" i="1"/>
  <c r="AQ582" i="1" s="1"/>
  <c r="AP736" i="1"/>
  <c r="AQ736" i="1" s="1"/>
  <c r="AP368" i="1"/>
  <c r="AQ368" i="1" s="1"/>
  <c r="AP456" i="1"/>
  <c r="AQ456" i="1" s="1"/>
  <c r="AP383" i="1"/>
  <c r="AQ383" i="1" s="1"/>
  <c r="AP417" i="1"/>
  <c r="AQ417" i="1" s="1"/>
  <c r="AP106" i="1"/>
  <c r="AQ106" i="1" s="1"/>
  <c r="AP6" i="1"/>
  <c r="AQ6" i="1" s="1"/>
  <c r="AP184" i="1"/>
  <c r="AQ184" i="1" s="1"/>
  <c r="AP14" i="1"/>
  <c r="AQ14" i="1" s="1"/>
  <c r="AP518" i="1"/>
  <c r="AQ518" i="1" s="1"/>
  <c r="AP534" i="1"/>
  <c r="AQ534" i="1" s="1"/>
  <c r="AP764" i="1"/>
  <c r="AQ764" i="1" s="1"/>
  <c r="AP256" i="1"/>
  <c r="AQ256" i="1" s="1"/>
  <c r="AP26" i="1"/>
  <c r="AQ26" i="1" s="1"/>
  <c r="AP126" i="1"/>
  <c r="AQ126" i="1" s="1"/>
  <c r="AP113" i="1"/>
  <c r="AQ113" i="1" s="1"/>
  <c r="AP352" i="1"/>
  <c r="AQ352" i="1" s="1"/>
  <c r="AP240" i="1"/>
  <c r="AQ240" i="1" s="1"/>
  <c r="AP563" i="1"/>
  <c r="AQ563" i="1" s="1"/>
  <c r="AP214" i="1"/>
  <c r="AQ214" i="1" s="1"/>
  <c r="AP166" i="1"/>
  <c r="AQ166" i="1" s="1"/>
  <c r="AP808" i="1"/>
  <c r="AQ808" i="1" s="1"/>
  <c r="AP780" i="1"/>
  <c r="AQ780" i="1" s="1"/>
  <c r="AP724" i="1"/>
  <c r="AQ724" i="1" s="1"/>
  <c r="AP596" i="1"/>
  <c r="AQ596" i="1" s="1"/>
  <c r="AP572" i="1"/>
  <c r="AQ572" i="1" s="1"/>
  <c r="AP549" i="1"/>
  <c r="AQ549" i="1" s="1"/>
  <c r="AP395" i="1"/>
  <c r="AQ395" i="1" s="1"/>
  <c r="AP512" i="1"/>
  <c r="AQ512" i="1" s="1"/>
  <c r="AP350" i="1"/>
  <c r="AQ350" i="1" s="1"/>
  <c r="AP405" i="1"/>
  <c r="AQ405" i="1" s="1"/>
  <c r="AP341" i="1"/>
  <c r="AQ341" i="1" s="1"/>
  <c r="AP146" i="1"/>
  <c r="AQ146" i="1" s="1"/>
  <c r="AP855" i="1"/>
  <c r="AQ855" i="1" s="1"/>
  <c r="AP767" i="1"/>
  <c r="AQ767" i="1" s="1"/>
  <c r="AP392" i="1"/>
  <c r="AQ392" i="1" s="1"/>
  <c r="AP293" i="1"/>
  <c r="AQ293" i="1" s="1"/>
  <c r="AP588" i="1"/>
  <c r="AQ588" i="1" s="1"/>
  <c r="AP806" i="1"/>
  <c r="AQ806" i="1" s="1"/>
  <c r="AP762" i="1"/>
  <c r="AQ762" i="1" s="1"/>
  <c r="AP776" i="1"/>
  <c r="AQ776" i="1" s="1"/>
  <c r="AP679" i="1"/>
  <c r="AQ679" i="1" s="1"/>
  <c r="AP633" i="1"/>
  <c r="AQ633" i="1" s="1"/>
  <c r="AP577" i="1"/>
  <c r="AQ577" i="1" s="1"/>
  <c r="AP594" i="1"/>
  <c r="AQ594" i="1" s="1"/>
  <c r="AP567" i="1"/>
  <c r="AQ567" i="1" s="1"/>
  <c r="AP508" i="1"/>
  <c r="AQ508" i="1" s="1"/>
  <c r="AP433" i="1"/>
  <c r="AQ433" i="1" s="1"/>
  <c r="AP482" i="1"/>
  <c r="AQ482" i="1" s="1"/>
  <c r="AP412" i="1"/>
  <c r="AQ412" i="1" s="1"/>
  <c r="AP371" i="1"/>
  <c r="AQ371" i="1" s="1"/>
  <c r="AP346" i="1"/>
  <c r="AQ346" i="1" s="1"/>
  <c r="AP283" i="1"/>
  <c r="AQ283" i="1" s="1"/>
  <c r="AP237" i="1"/>
  <c r="AQ237" i="1" s="1"/>
  <c r="AP193" i="1"/>
  <c r="AQ193" i="1" s="1"/>
  <c r="AP111" i="1"/>
  <c r="AQ111" i="1" s="1"/>
  <c r="AP81" i="1"/>
  <c r="AQ81" i="1" s="1"/>
  <c r="AP546" i="1"/>
  <c r="AQ546" i="1" s="1"/>
  <c r="AP396" i="1"/>
  <c r="AQ396" i="1" s="1"/>
  <c r="AP144" i="1"/>
  <c r="AQ144" i="1" s="1"/>
  <c r="AP37" i="1"/>
  <c r="AQ37" i="1" s="1"/>
  <c r="AP730" i="1"/>
  <c r="AQ730" i="1" s="1"/>
  <c r="AP450" i="1"/>
  <c r="AQ450" i="1" s="1"/>
  <c r="AP379" i="1"/>
  <c r="AQ379" i="1" s="1"/>
  <c r="AP632" i="1"/>
  <c r="AQ632" i="1" s="1"/>
  <c r="AP220" i="1"/>
  <c r="AQ220" i="1" s="1"/>
  <c r="AP553" i="1"/>
  <c r="AQ553" i="1" s="1"/>
  <c r="AP344" i="1"/>
  <c r="AQ344" i="1" s="1"/>
  <c r="AP183" i="1"/>
  <c r="AQ183" i="1" s="1"/>
  <c r="AP580" i="1"/>
  <c r="AQ580" i="1" s="1"/>
  <c r="AP95" i="1"/>
  <c r="AQ95" i="1" s="1"/>
  <c r="AP533" i="1"/>
  <c r="AQ533" i="1" s="1"/>
  <c r="AP243" i="1"/>
  <c r="AQ243" i="1" s="1"/>
  <c r="AP510" i="1"/>
  <c r="AQ510" i="1" s="1"/>
  <c r="AP304" i="1"/>
  <c r="AQ304" i="1" s="1"/>
  <c r="AP781" i="1"/>
  <c r="AQ781" i="1" s="1"/>
  <c r="AP539" i="1"/>
  <c r="AQ539" i="1" s="1"/>
  <c r="AP729" i="1"/>
  <c r="AQ729" i="1" s="1"/>
  <c r="AP96" i="1"/>
  <c r="AQ96" i="1" s="1"/>
  <c r="AD879" i="1"/>
  <c r="AD878" i="1"/>
  <c r="AE849" i="1"/>
  <c r="AD866" i="1"/>
  <c r="AE821" i="1"/>
  <c r="AE848" i="1"/>
  <c r="AE829" i="1"/>
  <c r="AE844" i="1"/>
  <c r="AE853" i="1"/>
  <c r="AE870" i="1"/>
  <c r="AE847" i="1"/>
  <c r="AE837" i="1"/>
  <c r="AE867" i="1"/>
  <c r="AE822" i="1"/>
  <c r="AD880" i="1"/>
  <c r="AP104" i="1"/>
  <c r="AQ104" i="1" s="1"/>
  <c r="U1058" i="1"/>
  <c r="AP398" i="1"/>
  <c r="AQ398" i="1" s="1"/>
  <c r="S705" i="1"/>
  <c r="S766" i="1"/>
  <c r="AP675" i="1"/>
  <c r="AQ675" i="1" s="1"/>
  <c r="S581" i="1"/>
  <c r="AP514" i="1"/>
  <c r="AQ514" i="1" s="1"/>
  <c r="AP709" i="1"/>
  <c r="AQ709" i="1" s="1"/>
  <c r="AP543" i="1"/>
  <c r="AQ543" i="1" s="1"/>
  <c r="AP323" i="1"/>
  <c r="AQ323" i="1" s="1"/>
  <c r="AP366" i="1"/>
  <c r="AQ366" i="1" s="1"/>
  <c r="AP358" i="1"/>
  <c r="AQ358" i="1" s="1"/>
  <c r="S246" i="1"/>
  <c r="AP71" i="1"/>
  <c r="AQ71" i="1" s="1"/>
  <c r="AP425" i="1"/>
  <c r="AQ425" i="1" s="1"/>
  <c r="AP224" i="1"/>
  <c r="AQ224" i="1" s="1"/>
  <c r="AP189" i="1"/>
  <c r="AQ189" i="1" s="1"/>
  <c r="AP198" i="1"/>
  <c r="AQ198" i="1" s="1"/>
  <c r="S121" i="1"/>
  <c r="AP217" i="1"/>
  <c r="AQ217" i="1" s="1"/>
  <c r="AP142" i="1"/>
  <c r="AQ142" i="1" s="1"/>
  <c r="S699" i="1"/>
  <c r="AP646" i="1"/>
  <c r="AQ646" i="1" s="1"/>
  <c r="S448" i="1"/>
  <c r="S380" i="1"/>
  <c r="AP356" i="1"/>
  <c r="AQ356" i="1" s="1"/>
  <c r="S266" i="1"/>
  <c r="S244" i="1"/>
  <c r="AP137" i="1"/>
  <c r="AQ137" i="1" s="1"/>
  <c r="AP84" i="1"/>
  <c r="AQ84" i="1" s="1"/>
  <c r="S455" i="1"/>
  <c r="AP696" i="1"/>
  <c r="AQ696" i="1" s="1"/>
  <c r="AP611" i="1"/>
  <c r="AQ611" i="1" s="1"/>
  <c r="AP515" i="1"/>
  <c r="AQ515" i="1" s="1"/>
  <c r="AP376" i="1"/>
  <c r="AQ376" i="1" s="1"/>
  <c r="AP416" i="1"/>
  <c r="AQ416" i="1" s="1"/>
  <c r="AP312" i="1"/>
  <c r="AQ312" i="1" s="1"/>
  <c r="AP327" i="1"/>
  <c r="AQ327" i="1" s="1"/>
  <c r="S45" i="1"/>
  <c r="S28" i="1"/>
  <c r="AP42" i="1"/>
  <c r="AQ42" i="1" s="1"/>
  <c r="AP86" i="1"/>
  <c r="AQ86" i="1" s="1"/>
  <c r="AP671" i="1"/>
  <c r="AQ671" i="1" s="1"/>
  <c r="AP668" i="1"/>
  <c r="AQ668" i="1" s="1"/>
  <c r="AP470" i="1"/>
  <c r="AQ470" i="1" s="1"/>
  <c r="AP519" i="1"/>
  <c r="AQ519" i="1" s="1"/>
  <c r="AP280" i="1"/>
  <c r="AQ280" i="1" s="1"/>
  <c r="AP182" i="1"/>
  <c r="AQ182" i="1" s="1"/>
  <c r="S222" i="1"/>
  <c r="AP475" i="1"/>
  <c r="AQ475" i="1" s="1"/>
  <c r="AP369" i="1"/>
  <c r="AQ369" i="1" s="1"/>
  <c r="AP660" i="1"/>
  <c r="AQ660" i="1" s="1"/>
  <c r="AP690" i="1"/>
  <c r="AQ690" i="1" s="1"/>
  <c r="AP603" i="1"/>
  <c r="AQ603" i="1" s="1"/>
  <c r="AP544" i="1"/>
  <c r="AQ544" i="1" s="1"/>
  <c r="AP499" i="1"/>
  <c r="AQ499" i="1" s="1"/>
  <c r="S689" i="1"/>
  <c r="AP634" i="1"/>
  <c r="AQ634" i="1" s="1"/>
  <c r="AP714" i="1"/>
  <c r="AQ714" i="1" s="1"/>
  <c r="AP644" i="1"/>
  <c r="AQ644" i="1" s="1"/>
  <c r="AP705" i="1"/>
  <c r="AQ705" i="1" s="1"/>
  <c r="S614" i="1"/>
  <c r="S670" i="1"/>
  <c r="AP436" i="1"/>
  <c r="AQ436" i="1" s="1"/>
  <c r="S233" i="1"/>
  <c r="AP9" i="1"/>
  <c r="AQ9" i="1" s="1"/>
  <c r="AP411" i="1"/>
  <c r="AQ411" i="1" s="1"/>
  <c r="S531" i="1"/>
  <c r="AP706" i="1"/>
  <c r="AQ706" i="1" s="1"/>
  <c r="AP616" i="1"/>
  <c r="AQ616" i="1" s="1"/>
  <c r="AP315" i="1"/>
  <c r="AQ315" i="1" s="1"/>
  <c r="AP209" i="1"/>
  <c r="AQ209" i="1" s="1"/>
  <c r="AP703" i="1"/>
  <c r="AQ703" i="1" s="1"/>
  <c r="AP717" i="1"/>
  <c r="AQ717" i="1" s="1"/>
  <c r="AP673" i="1"/>
  <c r="AQ673" i="1" s="1"/>
  <c r="S123" i="1"/>
  <c r="AP649" i="1"/>
  <c r="AQ649" i="1" s="1"/>
  <c r="AP77" i="1"/>
  <c r="AQ77" i="1" s="1"/>
  <c r="AP667" i="1"/>
  <c r="AQ667" i="1" s="1"/>
  <c r="AP645" i="1"/>
  <c r="AQ645" i="1" s="1"/>
  <c r="AP520" i="1"/>
  <c r="AQ520" i="1" s="1"/>
  <c r="AP471" i="1"/>
  <c r="AQ471" i="1" s="1"/>
  <c r="AP255" i="1"/>
  <c r="AQ255" i="1" s="1"/>
  <c r="AP230" i="1"/>
  <c r="AQ230" i="1" s="1"/>
  <c r="AP239" i="1"/>
  <c r="AQ239" i="1" s="1"/>
  <c r="S118" i="1"/>
  <c r="AP194" i="1"/>
  <c r="AQ194" i="1" s="1"/>
  <c r="AP102" i="1"/>
  <c r="AQ102" i="1" s="1"/>
  <c r="AP115" i="1"/>
  <c r="AQ115" i="1" s="1"/>
  <c r="AP24" i="1"/>
  <c r="AQ24" i="1" s="1"/>
  <c r="AP691" i="1"/>
  <c r="AQ691" i="1" s="1"/>
  <c r="S35" i="1"/>
  <c r="AP674" i="1"/>
  <c r="AQ674" i="1" s="1"/>
  <c r="AP316" i="1"/>
  <c r="AQ316" i="1" s="1"/>
  <c r="AP663" i="1"/>
  <c r="AQ663" i="1" s="1"/>
  <c r="S402" i="1"/>
  <c r="AP406" i="1"/>
  <c r="AQ406" i="1" s="1"/>
  <c r="AP134" i="1"/>
  <c r="AQ134" i="1" s="1"/>
  <c r="AP722" i="1"/>
  <c r="AQ722" i="1" s="1"/>
  <c r="AP419" i="1"/>
  <c r="AQ419" i="1" s="1"/>
  <c r="AP637" i="1"/>
  <c r="AQ637" i="1" s="1"/>
  <c r="AP480" i="1"/>
  <c r="AQ480" i="1" s="1"/>
  <c r="AP402" i="1"/>
  <c r="AQ402" i="1" s="1"/>
  <c r="AP308" i="1"/>
  <c r="AQ308" i="1" s="1"/>
  <c r="AP314" i="1"/>
  <c r="AQ314" i="1" s="1"/>
  <c r="AP148" i="1"/>
  <c r="AQ148" i="1" s="1"/>
  <c r="AP60" i="1"/>
  <c r="AQ60" i="1" s="1"/>
  <c r="S39" i="1"/>
  <c r="AP73" i="1"/>
  <c r="AQ73" i="1" s="1"/>
  <c r="AP525" i="1"/>
  <c r="AQ525" i="1" s="1"/>
  <c r="S355" i="1"/>
  <c r="S258" i="1"/>
  <c r="S679" i="1"/>
  <c r="S546" i="1"/>
  <c r="S183" i="1"/>
  <c r="AP227" i="1"/>
  <c r="AQ227" i="1" s="1"/>
  <c r="S639" i="1"/>
  <c r="AP535" i="1"/>
  <c r="AQ535" i="1" s="1"/>
  <c r="AP604" i="1"/>
  <c r="AQ604" i="1" s="1"/>
  <c r="AP459" i="1"/>
  <c r="AQ459" i="1" s="1"/>
  <c r="S331" i="1"/>
  <c r="AP306" i="1"/>
  <c r="AQ306" i="1" s="1"/>
  <c r="AP387" i="1"/>
  <c r="AQ387" i="1" s="1"/>
  <c r="AP551" i="1"/>
  <c r="AQ551" i="1" s="1"/>
  <c r="AP699" i="1"/>
  <c r="AQ699" i="1" s="1"/>
  <c r="AP585" i="1"/>
  <c r="AQ585" i="1" s="1"/>
  <c r="S473" i="1"/>
  <c r="AP481" i="1"/>
  <c r="AQ481" i="1" s="1"/>
  <c r="AP414" i="1"/>
  <c r="AQ414" i="1" s="1"/>
  <c r="AP373" i="1"/>
  <c r="AQ373" i="1" s="1"/>
  <c r="AP424" i="1"/>
  <c r="AQ424" i="1" s="1"/>
  <c r="AP261" i="1"/>
  <c r="AQ261" i="1" s="1"/>
  <c r="AP301" i="1"/>
  <c r="AQ301" i="1" s="1"/>
  <c r="AP143" i="1"/>
  <c r="AQ143" i="1" s="1"/>
  <c r="AP97" i="1"/>
  <c r="AQ97" i="1" s="1"/>
  <c r="AP69" i="1"/>
  <c r="AQ69" i="1" s="1"/>
  <c r="AP28" i="1"/>
  <c r="AQ28" i="1" s="1"/>
  <c r="AP66" i="1"/>
  <c r="AQ66" i="1" s="1"/>
  <c r="S31" i="1"/>
  <c r="S815" i="1"/>
  <c r="AP526" i="1"/>
  <c r="AQ526" i="1" s="1"/>
  <c r="AP418" i="1"/>
  <c r="AQ418" i="1" s="1"/>
  <c r="S374" i="1"/>
  <c r="AP281" i="1"/>
  <c r="AQ281" i="1" s="1"/>
  <c r="AP562" i="1"/>
  <c r="AQ562" i="1" s="1"/>
  <c r="AP444" i="1"/>
  <c r="AQ444" i="1" s="1"/>
  <c r="S858" i="1"/>
  <c r="AP719" i="1"/>
  <c r="AQ719" i="1" s="1"/>
  <c r="AP704" i="1"/>
  <c r="AQ704" i="1" s="1"/>
  <c r="AP659" i="1"/>
  <c r="AQ659" i="1" s="1"/>
  <c r="AP652" i="1"/>
  <c r="AQ652" i="1" s="1"/>
  <c r="AP451" i="1"/>
  <c r="AQ451" i="1" s="1"/>
  <c r="S814" i="1"/>
  <c r="AP670" i="1"/>
  <c r="AQ670" i="1" s="1"/>
  <c r="S449" i="1"/>
  <c r="AP610" i="1"/>
  <c r="AQ610" i="1" s="1"/>
  <c r="S437" i="1"/>
  <c r="S269" i="1"/>
  <c r="AP439" i="1"/>
  <c r="AQ439" i="1" s="1"/>
  <c r="AP330" i="1"/>
  <c r="AQ330" i="1" s="1"/>
  <c r="AP365" i="1"/>
  <c r="AQ365" i="1" s="1"/>
  <c r="AP176" i="1"/>
  <c r="AQ176" i="1" s="1"/>
  <c r="S642" i="1"/>
  <c r="AP589" i="1"/>
  <c r="AQ589" i="1" s="1"/>
  <c r="AP389" i="1"/>
  <c r="AQ389" i="1" s="1"/>
  <c r="AP669" i="1"/>
  <c r="AQ669" i="1" s="1"/>
  <c r="S817" i="1"/>
  <c r="S701" i="1"/>
  <c r="AP695" i="1"/>
  <c r="AQ695" i="1" s="1"/>
  <c r="AP693" i="1"/>
  <c r="AQ693" i="1" s="1"/>
  <c r="AP639" i="1"/>
  <c r="AQ639" i="1" s="1"/>
  <c r="AP355" i="1"/>
  <c r="AQ355" i="1" s="1"/>
  <c r="AP290" i="1"/>
  <c r="AQ290" i="1" s="1"/>
  <c r="AP287" i="1"/>
  <c r="AQ287" i="1" s="1"/>
  <c r="S272" i="1"/>
  <c r="AP195" i="1"/>
  <c r="AQ195" i="1" s="1"/>
  <c r="S110" i="1"/>
  <c r="AP156" i="1"/>
  <c r="AQ156" i="1" s="1"/>
  <c r="AP129" i="1"/>
  <c r="AQ129" i="1" s="1"/>
  <c r="S857" i="1"/>
  <c r="AP733" i="1"/>
  <c r="AQ733" i="1" s="1"/>
  <c r="AP569" i="1"/>
  <c r="AQ569" i="1" s="1"/>
  <c r="AP523" i="1"/>
  <c r="AQ523" i="1" s="1"/>
  <c r="S454" i="1"/>
  <c r="S252" i="1"/>
  <c r="S318" i="1"/>
  <c r="AP682" i="1"/>
  <c r="AQ682" i="1" s="1"/>
  <c r="S690" i="1"/>
  <c r="S776" i="1"/>
  <c r="AP145" i="1"/>
  <c r="AQ145" i="1" s="1"/>
  <c r="AP713" i="1"/>
  <c r="AQ713" i="1" s="1"/>
  <c r="AP701" i="1"/>
  <c r="AQ701" i="1" s="1"/>
  <c r="S653" i="1"/>
  <c r="AP617" i="1"/>
  <c r="AQ617" i="1" s="1"/>
  <c r="AP561" i="1"/>
  <c r="AQ561" i="1" s="1"/>
  <c r="AP558" i="1"/>
  <c r="AQ558" i="1" s="1"/>
  <c r="AP225" i="1"/>
  <c r="AQ225" i="1" s="1"/>
  <c r="AP236" i="1"/>
  <c r="AQ236" i="1" s="1"/>
  <c r="AP204" i="1"/>
  <c r="AQ204" i="1" s="1"/>
  <c r="S109" i="1"/>
  <c r="S780" i="1"/>
  <c r="AP449" i="1"/>
  <c r="AQ449" i="1" s="1"/>
  <c r="AP400" i="1"/>
  <c r="AQ400" i="1" s="1"/>
  <c r="AP163" i="1"/>
  <c r="AQ163" i="1" s="1"/>
  <c r="AP487" i="1"/>
  <c r="AQ487" i="1" s="1"/>
  <c r="AP397" i="1"/>
  <c r="AQ397" i="1" s="1"/>
  <c r="AP656" i="1"/>
  <c r="AQ656" i="1" s="1"/>
  <c r="S373" i="1"/>
  <c r="AP228" i="1"/>
  <c r="AQ228" i="1" s="1"/>
  <c r="AP251" i="1"/>
  <c r="AQ251" i="1" s="1"/>
  <c r="S587" i="1"/>
  <c r="AP257" i="1"/>
  <c r="AQ257" i="1" s="1"/>
  <c r="S263" i="1"/>
  <c r="AP328" i="1"/>
  <c r="AQ328" i="1" s="1"/>
  <c r="S681" i="1"/>
  <c r="AP250" i="1"/>
  <c r="AQ250" i="1" s="1"/>
  <c r="AP292" i="1"/>
  <c r="AQ292" i="1" s="1"/>
  <c r="S112" i="1"/>
  <c r="AP513" i="1"/>
  <c r="AQ513" i="1" s="1"/>
  <c r="AP409" i="1"/>
  <c r="AQ409" i="1" s="1"/>
  <c r="AP235" i="1"/>
  <c r="AQ235" i="1" s="1"/>
  <c r="AP367" i="1"/>
  <c r="AQ367" i="1" s="1"/>
  <c r="AP171" i="1"/>
  <c r="AQ171" i="1" s="1"/>
  <c r="AP67" i="1"/>
  <c r="AQ67" i="1" s="1"/>
  <c r="AP599" i="1"/>
  <c r="AQ599" i="1" s="1"/>
  <c r="AP536" i="1"/>
  <c r="AQ536" i="1" s="1"/>
  <c r="AP386" i="1"/>
  <c r="AQ386" i="1" s="1"/>
  <c r="S394" i="1"/>
  <c r="S733" i="1"/>
  <c r="S697" i="1"/>
  <c r="AP666" i="1"/>
  <c r="AQ666" i="1" s="1"/>
  <c r="AP615" i="1"/>
  <c r="AQ615" i="1" s="1"/>
  <c r="AP473" i="1"/>
  <c r="AQ473" i="1" s="1"/>
  <c r="S459" i="1"/>
  <c r="AP342" i="1"/>
  <c r="AQ342" i="1" s="1"/>
  <c r="AP278" i="1"/>
  <c r="AQ278" i="1" s="1"/>
  <c r="AP191" i="1"/>
  <c r="AQ191" i="1" s="1"/>
  <c r="AP75" i="1"/>
  <c r="AQ75" i="1" s="1"/>
  <c r="AP128" i="1"/>
  <c r="AQ128" i="1" s="1"/>
  <c r="AP100" i="1"/>
  <c r="AQ100" i="1" s="1"/>
  <c r="AP349" i="1"/>
  <c r="AQ349" i="1" s="1"/>
  <c r="S446" i="1"/>
  <c r="AP648" i="1"/>
  <c r="AQ648" i="1" s="1"/>
  <c r="AP354" i="1"/>
  <c r="AQ354" i="1" s="1"/>
  <c r="AP672" i="1"/>
  <c r="AQ672" i="1" s="1"/>
  <c r="S180" i="1"/>
  <c r="AP16" i="1"/>
  <c r="AQ16" i="1" s="1"/>
  <c r="S89" i="1"/>
  <c r="AP140" i="1"/>
  <c r="AQ140" i="1" s="1"/>
  <c r="S482" i="1"/>
  <c r="AP700" i="1"/>
  <c r="AQ700" i="1" s="1"/>
  <c r="AP592" i="1"/>
  <c r="AQ592" i="1" s="1"/>
  <c r="AP590" i="1"/>
  <c r="AQ590" i="1" s="1"/>
  <c r="AP621" i="1"/>
  <c r="AQ621" i="1" s="1"/>
  <c r="AP524" i="1"/>
  <c r="AQ524" i="1" s="1"/>
  <c r="AP597" i="1"/>
  <c r="AQ597" i="1" s="1"/>
  <c r="AP494" i="1"/>
  <c r="AQ494" i="1" s="1"/>
  <c r="AP517" i="1"/>
  <c r="AQ517" i="1" s="1"/>
  <c r="AP438" i="1"/>
  <c r="AQ438" i="1" s="1"/>
  <c r="AP299" i="1"/>
  <c r="AQ299" i="1" s="1"/>
  <c r="AP211" i="1"/>
  <c r="AQ211" i="1" s="1"/>
  <c r="S133" i="1"/>
  <c r="AP110" i="1"/>
  <c r="AQ110" i="1" s="1"/>
  <c r="AP36" i="1"/>
  <c r="AQ36" i="1" s="1"/>
  <c r="AP15" i="1"/>
  <c r="AQ15" i="1" s="1"/>
  <c r="AP51" i="1"/>
  <c r="AQ51" i="1" s="1"/>
  <c r="AP404" i="1"/>
  <c r="AQ404" i="1" s="1"/>
  <c r="AP340" i="1"/>
  <c r="AQ340" i="1" s="1"/>
  <c r="S287" i="1"/>
  <c r="AP58" i="1"/>
  <c r="AQ58" i="1" s="1"/>
  <c r="AP29" i="1"/>
  <c r="AQ29" i="1" s="1"/>
  <c r="AP351" i="1"/>
  <c r="AQ351" i="1" s="1"/>
  <c r="AP643" i="1"/>
  <c r="AQ643" i="1" s="1"/>
  <c r="S65" i="1"/>
  <c r="S588" i="1"/>
  <c r="S207" i="1"/>
  <c r="S363" i="1"/>
  <c r="S367" i="1"/>
  <c r="S351" i="1"/>
  <c r="AP317" i="1"/>
  <c r="AQ317" i="1" s="1"/>
  <c r="S799" i="1"/>
  <c r="S67" i="1"/>
  <c r="S379" i="1"/>
  <c r="AP167" i="1"/>
  <c r="AQ167" i="1" s="1"/>
  <c r="AP335" i="1"/>
  <c r="AQ335" i="1" s="1"/>
  <c r="S417" i="1"/>
  <c r="AP680" i="1"/>
  <c r="AQ680" i="1" s="1"/>
  <c r="S216" i="1"/>
  <c r="S431" i="1"/>
  <c r="S74" i="1"/>
  <c r="AP260" i="1"/>
  <c r="AQ260" i="1" s="1"/>
  <c r="AP98" i="1"/>
  <c r="AQ98" i="1" s="1"/>
  <c r="AP177" i="1"/>
  <c r="AQ177" i="1" s="1"/>
  <c r="AP38" i="1"/>
  <c r="AQ38" i="1" s="1"/>
  <c r="AP105" i="1"/>
  <c r="AQ105" i="1" s="1"/>
  <c r="AP676" i="1"/>
  <c r="AQ676" i="1" s="1"/>
  <c r="S782" i="1"/>
  <c r="S510" i="1"/>
  <c r="S432" i="1"/>
  <c r="AP13" i="1"/>
  <c r="AQ13" i="1" s="1"/>
  <c r="AP285" i="1"/>
  <c r="AQ285" i="1" s="1"/>
  <c r="AP133" i="1"/>
  <c r="AQ133" i="1" s="1"/>
  <c r="AP94" i="1"/>
  <c r="AQ94" i="1" s="1"/>
  <c r="AP12" i="1"/>
  <c r="AQ12" i="1" s="1"/>
  <c r="AP511" i="1"/>
  <c r="AQ511" i="1" s="1"/>
  <c r="AP413" i="1"/>
  <c r="AQ413" i="1" s="1"/>
  <c r="S419" i="1"/>
  <c r="S669" i="1"/>
  <c r="AP135" i="1"/>
  <c r="AQ135" i="1" s="1"/>
  <c r="S641" i="1"/>
  <c r="AP647" i="1"/>
  <c r="AQ647" i="1" s="1"/>
  <c r="AP743" i="1"/>
  <c r="AQ743" i="1" s="1"/>
  <c r="AP489" i="1"/>
  <c r="AQ489" i="1" s="1"/>
  <c r="AP493" i="1"/>
  <c r="AQ493" i="1" s="1"/>
  <c r="AP432" i="1"/>
  <c r="AQ432" i="1" s="1"/>
  <c r="AP218" i="1"/>
  <c r="AQ218" i="1" s="1"/>
  <c r="AP82" i="1"/>
  <c r="AQ82" i="1" s="1"/>
  <c r="AP70" i="1"/>
  <c r="AQ70" i="1" s="1"/>
  <c r="AP112" i="1"/>
  <c r="AQ112" i="1" s="1"/>
  <c r="AP40" i="1"/>
  <c r="AQ40" i="1" s="1"/>
  <c r="AP642" i="1"/>
  <c r="AQ642" i="1" s="1"/>
  <c r="S527" i="1"/>
  <c r="AP609" i="1"/>
  <c r="AQ609" i="1" s="1"/>
  <c r="AP380" i="1"/>
  <c r="AQ380" i="1" s="1"/>
  <c r="S260" i="1"/>
  <c r="AP74" i="1"/>
  <c r="AQ74" i="1" s="1"/>
  <c r="AP7" i="1"/>
  <c r="AQ7" i="1" s="1"/>
  <c r="AP415" i="1"/>
  <c r="AQ415" i="1" s="1"/>
  <c r="AP483" i="1"/>
  <c r="AQ483" i="1" s="1"/>
  <c r="AP600" i="1"/>
  <c r="AQ600" i="1" s="1"/>
  <c r="S406" i="1"/>
  <c r="AP21" i="1"/>
  <c r="AQ21" i="1" s="1"/>
  <c r="AP202" i="1"/>
  <c r="AQ202" i="1" s="1"/>
  <c r="S187" i="1"/>
  <c r="S552" i="1"/>
  <c r="S29" i="1"/>
  <c r="S560" i="1"/>
  <c r="S594" i="1"/>
  <c r="V4" i="1"/>
  <c r="S716" i="1"/>
  <c r="S14" i="1"/>
  <c r="S786" i="1"/>
  <c r="S800" i="1"/>
  <c r="S648" i="1"/>
  <c r="S181" i="1"/>
  <c r="S787" i="1"/>
  <c r="S444" i="1"/>
  <c r="S684" i="1"/>
  <c r="S788" i="1"/>
  <c r="S64" i="1"/>
  <c r="S125" i="1"/>
  <c r="S117" i="1"/>
  <c r="S528" i="1"/>
  <c r="S691" i="1"/>
  <c r="S108" i="1"/>
  <c r="S804" i="1"/>
  <c r="S40" i="1"/>
  <c r="S550" i="1"/>
  <c r="S106" i="1"/>
  <c r="S740" i="1"/>
  <c r="S579" i="1"/>
  <c r="S672" i="1"/>
  <c r="S488" i="1"/>
  <c r="S592" i="1"/>
  <c r="S504" i="1"/>
  <c r="S736" i="1"/>
  <c r="S816" i="1"/>
  <c r="S596" i="1"/>
  <c r="S886" i="1"/>
  <c r="S651" i="1"/>
  <c r="S768" i="1"/>
  <c r="S354" i="1"/>
  <c r="S288" i="1"/>
  <c r="S141" i="1"/>
  <c r="S644" i="1"/>
  <c r="S339" i="1"/>
  <c r="S80" i="1"/>
  <c r="S11" i="1"/>
  <c r="S720" i="1"/>
  <c r="S613" i="1"/>
  <c r="S382" i="1"/>
  <c r="S397" i="1"/>
  <c r="S571" i="1"/>
  <c r="S234" i="1"/>
  <c r="S645" i="1"/>
  <c r="T1058" i="1"/>
  <c r="F1069" i="1" s="1"/>
  <c r="S242" i="1"/>
  <c r="S407" i="1"/>
  <c r="S105" i="1"/>
  <c r="S276" i="1"/>
  <c r="S160" i="1"/>
  <c r="S36" i="1"/>
  <c r="S371" i="1"/>
  <c r="S199" i="1"/>
  <c r="S150" i="1"/>
  <c r="S368" i="1"/>
  <c r="AS779" i="1"/>
  <c r="S146" i="1"/>
  <c r="P1058" i="1"/>
  <c r="F1065" i="1" s="1"/>
  <c r="S17" i="1"/>
  <c r="S409" i="1"/>
  <c r="S742" i="1"/>
  <c r="S32" i="1"/>
  <c r="S120" i="1"/>
  <c r="S734" i="1"/>
  <c r="X1058" i="1"/>
  <c r="AS677" i="1"/>
  <c r="X2" i="1"/>
  <c r="S694" i="1"/>
  <c r="S315" i="1"/>
  <c r="S155" i="1"/>
  <c r="O1058" i="1"/>
  <c r="O1061" i="1" s="1"/>
  <c r="S521" i="1"/>
  <c r="AS443" i="1"/>
  <c r="S497" i="1"/>
  <c r="S364" i="1"/>
  <c r="S175" i="1"/>
  <c r="S483" i="1"/>
  <c r="S384" i="1"/>
  <c r="S247" i="1"/>
  <c r="S205" i="1"/>
  <c r="S169" i="1"/>
  <c r="F1081" i="1"/>
  <c r="S551" i="1"/>
  <c r="S366" i="1"/>
  <c r="S267" i="1"/>
  <c r="S201" i="1"/>
  <c r="S38" i="1"/>
  <c r="AN2" i="1"/>
  <c r="AN1058" i="1"/>
  <c r="R1058" i="1"/>
  <c r="F1067" i="1" s="1"/>
  <c r="S348" i="1"/>
  <c r="S803" i="1"/>
  <c r="S668" i="1"/>
  <c r="AC118" i="1" l="1"/>
  <c r="AE118" i="1" s="1"/>
  <c r="AC122" i="1"/>
  <c r="AE122" i="1" s="1"/>
  <c r="AC120" i="1"/>
  <c r="AE120" i="1" s="1"/>
  <c r="AC116" i="1"/>
  <c r="AE116" i="1" s="1"/>
  <c r="AE108" i="1"/>
  <c r="AE103" i="1"/>
  <c r="AE121" i="1"/>
  <c r="AE650" i="1"/>
  <c r="AE884" i="1"/>
  <c r="AE651" i="1"/>
  <c r="AD895" i="1"/>
  <c r="AD208" i="1"/>
  <c r="AP504" i="1"/>
  <c r="AQ504" i="1" s="1"/>
  <c r="AP745" i="1"/>
  <c r="AQ745" i="1" s="1"/>
  <c r="AP574" i="1"/>
  <c r="AQ574" i="1" s="1"/>
  <c r="AP856" i="1"/>
  <c r="AQ856" i="1" s="1"/>
  <c r="AP205" i="1"/>
  <c r="AQ205" i="1" s="1"/>
  <c r="AP687" i="1"/>
  <c r="AQ687" i="1" s="1"/>
  <c r="AP420" i="1"/>
  <c r="AQ420" i="1" s="1"/>
  <c r="AP862" i="1"/>
  <c r="AQ862" i="1" s="1"/>
  <c r="AP777" i="1"/>
  <c r="AQ777" i="1" s="1"/>
  <c r="AP324" i="1"/>
  <c r="AQ324" i="1" s="1"/>
  <c r="AP689" i="1"/>
  <c r="AQ689" i="1" s="1"/>
  <c r="AP771" i="1"/>
  <c r="AQ771" i="1" s="1"/>
  <c r="AP796" i="1"/>
  <c r="AQ796" i="1" s="1"/>
  <c r="AP757" i="1"/>
  <c r="AQ757" i="1" s="1"/>
  <c r="AP627" i="1"/>
  <c r="AQ627" i="1" s="1"/>
  <c r="AP421" i="1"/>
  <c r="AQ421" i="1" s="1"/>
  <c r="AP466" i="1"/>
  <c r="AQ466" i="1" s="1"/>
  <c r="AP79" i="1"/>
  <c r="AQ79" i="1" s="1"/>
  <c r="AP467" i="1"/>
  <c r="AQ467" i="1" s="1"/>
  <c r="AP565" i="1"/>
  <c r="AQ565" i="1" s="1"/>
  <c r="AP62" i="1"/>
  <c r="AQ62" i="1" s="1"/>
  <c r="AP732" i="1"/>
  <c r="AQ732" i="1" s="1"/>
  <c r="AP734" i="1"/>
  <c r="AQ734" i="1" s="1"/>
  <c r="AP114" i="1"/>
  <c r="AQ114" i="1" s="1"/>
  <c r="AP168" i="1"/>
  <c r="AQ168" i="1" s="1"/>
  <c r="AP174" i="1"/>
  <c r="AQ174" i="1" s="1"/>
  <c r="AP154" i="1"/>
  <c r="AQ154" i="1" s="1"/>
  <c r="AP262" i="1"/>
  <c r="AQ262" i="1" s="1"/>
  <c r="AP303" i="1"/>
  <c r="AQ303" i="1" s="1"/>
  <c r="AP478" i="1"/>
  <c r="AQ478" i="1" s="1"/>
  <c r="AD839" i="1"/>
  <c r="AD843" i="1"/>
  <c r="AD846" i="1"/>
  <c r="AD876" i="1"/>
  <c r="AE606" i="1"/>
  <c r="AE661" i="1"/>
  <c r="AE584" i="1"/>
  <c r="AE440" i="1"/>
  <c r="AE443" i="1"/>
  <c r="AD841" i="1"/>
  <c r="AD933" i="1"/>
  <c r="F1070" i="1"/>
  <c r="O1062" i="1"/>
  <c r="AD969" i="1"/>
  <c r="AD981" i="1"/>
  <c r="AD986" i="1"/>
  <c r="AD971" i="1"/>
  <c r="AD966" i="1"/>
  <c r="AD868" i="1"/>
  <c r="AD983" i="1"/>
  <c r="AD912" i="1"/>
  <c r="AD968" i="1"/>
  <c r="AD982" i="1"/>
  <c r="AD979" i="1"/>
  <c r="AD913" i="1"/>
  <c r="AD906" i="1"/>
  <c r="AD888" i="1"/>
  <c r="AD840" i="1"/>
  <c r="AD1054" i="1"/>
  <c r="AD908" i="1"/>
  <c r="AD881" i="1"/>
  <c r="AE522" i="1"/>
  <c r="AE165" i="1"/>
  <c r="AD1057" i="1"/>
  <c r="AD957" i="1"/>
  <c r="AD984" i="1"/>
  <c r="AD1056" i="1"/>
  <c r="AE654" i="1"/>
  <c r="AE770" i="1"/>
  <c r="AE720" i="1"/>
  <c r="AD967" i="1"/>
  <c r="AE291" i="1"/>
  <c r="AE710" i="1"/>
  <c r="AE760" i="1"/>
  <c r="AE289" i="1"/>
  <c r="AD1053" i="1"/>
  <c r="AD977" i="1"/>
  <c r="AD976" i="1"/>
  <c r="AD1055" i="1"/>
  <c r="AD974" i="1"/>
  <c r="AD949" i="1"/>
  <c r="AD978" i="1"/>
  <c r="AE614" i="1"/>
  <c r="AE794" i="1"/>
  <c r="AE712" i="1"/>
  <c r="AD985" i="1"/>
  <c r="AD970" i="1"/>
  <c r="AD950" i="1"/>
  <c r="AE635" i="1"/>
  <c r="AE158" i="1"/>
  <c r="AD980" i="1"/>
  <c r="AD975" i="1"/>
  <c r="AD938" i="1"/>
  <c r="AD835" i="1"/>
  <c r="AD818" i="1"/>
  <c r="AD819" i="1"/>
  <c r="AD851" i="1"/>
  <c r="AE150" i="1"/>
  <c r="AE453" i="1"/>
  <c r="AE233" i="1"/>
  <c r="AE91" i="1"/>
  <c r="AE190" i="1"/>
  <c r="AE223" i="1"/>
  <c r="AE59" i="1"/>
  <c r="AE638" i="1"/>
  <c r="AE500" i="1"/>
  <c r="AE298" i="1"/>
  <c r="AE52" i="1"/>
  <c r="AE174" i="1"/>
  <c r="AD838" i="1"/>
  <c r="AE11" i="1"/>
  <c r="AE294" i="1"/>
  <c r="AE505" i="1"/>
  <c r="AE57" i="1"/>
  <c r="AE90" i="1"/>
  <c r="AD825" i="1"/>
  <c r="AE297" i="1"/>
  <c r="AD834" i="1"/>
  <c r="AD827" i="1"/>
  <c r="AD864" i="1"/>
  <c r="AE462" i="1"/>
  <c r="AE431" i="1"/>
  <c r="AD842" i="1"/>
  <c r="AD871" i="1"/>
  <c r="AE734" i="1"/>
  <c r="AE434" i="1"/>
  <c r="AE159" i="1"/>
  <c r="AE738" i="1"/>
  <c r="AD824" i="1"/>
  <c r="AE845" i="1"/>
  <c r="AE732" i="1"/>
  <c r="AE698" i="1"/>
  <c r="AE104" i="1"/>
  <c r="AE157" i="1"/>
  <c r="AE160" i="1"/>
  <c r="AD820" i="1"/>
  <c r="AD823" i="1"/>
  <c r="AE238" i="1"/>
  <c r="AE428" i="1"/>
  <c r="AE362" i="1"/>
  <c r="AE245" i="1"/>
  <c r="AE885" i="1"/>
  <c r="AE215" i="1"/>
  <c r="AD882" i="1"/>
  <c r="AD872" i="1"/>
  <c r="AE232" i="1"/>
  <c r="AE490" i="1"/>
  <c r="AE302" i="1"/>
  <c r="AD836" i="1"/>
  <c r="AE124" i="1"/>
  <c r="AD246" i="1"/>
  <c r="AE161" i="1"/>
  <c r="AE53" i="1"/>
  <c r="AE262" i="1"/>
  <c r="AE147" i="1"/>
  <c r="AE805" i="1"/>
  <c r="AE175" i="1"/>
  <c r="AD852" i="1"/>
  <c r="AD875" i="1"/>
  <c r="AE662" i="1"/>
  <c r="AD877" i="1"/>
  <c r="AE746" i="1"/>
  <c r="AE779" i="1"/>
  <c r="AE154" i="1"/>
  <c r="AD831" i="1"/>
  <c r="AD850" i="1"/>
  <c r="AD863" i="1"/>
  <c r="AD869" i="1"/>
  <c r="AE681" i="1"/>
  <c r="AE447" i="1"/>
  <c r="AE756" i="1"/>
  <c r="AE492" i="1"/>
  <c r="AD830" i="1"/>
  <c r="AD833" i="1"/>
  <c r="AE491" i="1"/>
  <c r="AE162" i="1"/>
  <c r="AE488" i="1"/>
  <c r="AE313" i="1"/>
  <c r="AD826" i="1"/>
  <c r="AD832" i="1"/>
  <c r="AD448" i="1"/>
  <c r="AD552" i="1"/>
  <c r="AD570" i="1"/>
  <c r="AE269" i="1"/>
  <c r="AE93" i="1"/>
  <c r="AD422" i="1"/>
  <c r="AD624" i="1"/>
  <c r="AD318" i="1"/>
  <c r="AD393" i="1"/>
  <c r="AE390" i="1"/>
  <c r="AE578" i="1"/>
  <c r="AD456" i="1"/>
  <c r="AD629" i="1"/>
  <c r="AE772" i="1"/>
  <c r="AD111" i="1"/>
  <c r="AD559" i="1"/>
  <c r="AD241" i="1"/>
  <c r="AD85" i="1"/>
  <c r="AD259" i="1"/>
  <c r="AE141" i="1"/>
  <c r="AD534" i="1"/>
  <c r="AE200" i="1"/>
  <c r="AE665" i="1"/>
  <c r="AD266" i="1"/>
  <c r="AD586" i="1"/>
  <c r="AD482" i="1"/>
  <c r="AD588" i="1"/>
  <c r="AE736" i="1"/>
  <c r="AE508" i="1"/>
  <c r="AD375" i="1"/>
  <c r="AD183" i="1"/>
  <c r="AE731" i="1"/>
  <c r="AE35" i="1"/>
  <c r="AD184" i="1"/>
  <c r="AD88" i="1"/>
  <c r="AE780" i="1"/>
  <c r="AD206" i="1"/>
  <c r="AD392" i="1"/>
  <c r="AD65" i="1"/>
  <c r="AD446" i="1"/>
  <c r="AE530" i="1"/>
  <c r="AD594" i="1"/>
  <c r="AD19" i="1"/>
  <c r="AE264" i="1"/>
  <c r="AD657" i="1"/>
  <c r="AD64" i="1"/>
  <c r="AD95" i="1"/>
  <c r="AE803" i="1"/>
  <c r="AD49" i="1"/>
  <c r="AE776" i="1"/>
  <c r="AE139" i="1"/>
  <c r="AD170" i="1"/>
  <c r="AD146" i="1"/>
  <c r="AD282" i="1"/>
  <c r="AD166" i="1"/>
  <c r="AE212" i="1"/>
  <c r="AD381" i="1"/>
  <c r="AD564" i="1"/>
  <c r="AD96" i="1"/>
  <c r="AD210" i="1"/>
  <c r="AD582" i="1"/>
  <c r="AD283" i="1"/>
  <c r="AD721" i="1"/>
  <c r="AD412" i="1"/>
  <c r="AD575" i="1"/>
  <c r="AD622" i="1"/>
  <c r="AD596" i="1"/>
  <c r="AD607" i="1"/>
  <c r="AE185" i="1"/>
  <c r="AD61" i="1"/>
  <c r="AD583" i="1"/>
  <c r="AE778" i="1"/>
  <c r="AD348" i="1"/>
  <c r="AE347" i="1"/>
  <c r="AD22" i="1"/>
  <c r="AD383" i="1"/>
  <c r="AD399" i="1"/>
  <c r="AE231" i="1"/>
  <c r="AD106" i="1"/>
  <c r="AD44" i="1"/>
  <c r="AE727" i="1"/>
  <c r="AD568" i="1"/>
  <c r="AD144" i="1"/>
  <c r="AD214" i="1"/>
  <c r="AB4" i="1"/>
  <c r="AE271" i="1"/>
  <c r="AD384" i="1"/>
  <c r="AE797" i="1"/>
  <c r="AD320" i="1"/>
  <c r="AD445" i="1"/>
  <c r="AE321" i="1"/>
  <c r="AD117" i="1"/>
  <c r="AD169" i="1"/>
  <c r="AD87" i="1"/>
  <c r="AD401" i="1"/>
  <c r="AD333" i="1"/>
  <c r="AE37" i="1"/>
  <c r="AD343" i="1"/>
  <c r="AD625" i="1"/>
  <c r="AD63" i="1"/>
  <c r="AD113" i="1"/>
  <c r="AD542" i="1"/>
  <c r="AD99" i="1"/>
  <c r="AD396" i="1"/>
  <c r="AE468" i="1"/>
  <c r="AD560" i="1"/>
  <c r="AD821" i="1"/>
  <c r="AD829" i="1"/>
  <c r="AD847" i="1"/>
  <c r="AE303" i="1"/>
  <c r="AE605" i="1"/>
  <c r="AD867" i="1"/>
  <c r="AD844" i="1"/>
  <c r="AD837" i="1"/>
  <c r="AE769" i="1"/>
  <c r="AD848" i="1"/>
  <c r="AE678" i="1"/>
  <c r="AE747" i="1"/>
  <c r="AE640" i="1"/>
  <c r="AD870" i="1"/>
  <c r="AE244" i="1"/>
  <c r="AE631" i="1"/>
  <c r="AE322" i="1"/>
  <c r="AE247" i="1"/>
  <c r="AD822" i="1"/>
  <c r="AD853" i="1"/>
  <c r="AD849" i="1"/>
  <c r="AD209" i="1"/>
  <c r="AD537" i="1"/>
  <c r="AD198" i="1"/>
  <c r="AD142" i="1"/>
  <c r="AE589" i="1"/>
  <c r="AD418" i="1"/>
  <c r="AE602" i="1"/>
  <c r="AD611" i="1"/>
  <c r="AD148" i="1"/>
  <c r="AD15" i="1"/>
  <c r="AD644" i="1"/>
  <c r="AD387" i="1"/>
  <c r="AE526" i="1"/>
  <c r="AD595" i="1"/>
  <c r="AD643" i="1"/>
  <c r="AD285" i="1"/>
  <c r="AD163" i="1"/>
  <c r="AD400" i="1"/>
  <c r="AD204" i="1"/>
  <c r="AP92" i="1"/>
  <c r="AQ92" i="1" s="1"/>
  <c r="AD616" i="1"/>
  <c r="AD281" i="1"/>
  <c r="AE156" i="1"/>
  <c r="AP476" i="1"/>
  <c r="AQ476" i="1" s="1"/>
  <c r="AD42" i="1"/>
  <c r="AD585" i="1"/>
  <c r="AD356" i="1"/>
  <c r="AD413" i="1"/>
  <c r="AE576" i="1"/>
  <c r="AD411" i="1"/>
  <c r="AD663" i="1"/>
  <c r="AD97" i="1"/>
  <c r="AE70" i="1"/>
  <c r="AP576" i="1"/>
  <c r="AQ576" i="1" s="1"/>
  <c r="AD666" i="1"/>
  <c r="AE290" i="1"/>
  <c r="AD86" i="1"/>
  <c r="AD639" i="1"/>
  <c r="AP226" i="1"/>
  <c r="AQ226" i="1" s="1"/>
  <c r="AP34" i="1"/>
  <c r="AQ34" i="1" s="1"/>
  <c r="AD135" i="1"/>
  <c r="AE628" i="1"/>
  <c r="AE406" i="1"/>
  <c r="AD112" i="1"/>
  <c r="AD115" i="1"/>
  <c r="AD55" i="1"/>
  <c r="AE143" i="1"/>
  <c r="AP707" i="1"/>
  <c r="AQ707" i="1" s="1"/>
  <c r="AP138" i="1"/>
  <c r="AQ138" i="1" s="1"/>
  <c r="AD402" i="1"/>
  <c r="AP25" i="1"/>
  <c r="AQ25" i="1" s="1"/>
  <c r="AD544" i="1"/>
  <c r="AP5" i="1"/>
  <c r="AQ5" i="1" s="1"/>
  <c r="AP602" i="1"/>
  <c r="AQ602" i="1" s="1"/>
  <c r="AP455" i="1"/>
  <c r="AQ455" i="1" s="1"/>
  <c r="AP521" i="1"/>
  <c r="AQ521" i="1" s="1"/>
  <c r="AP325" i="1"/>
  <c r="AQ325" i="1" s="1"/>
  <c r="AP426" i="1"/>
  <c r="AQ426" i="1" s="1"/>
  <c r="AP529" i="1"/>
  <c r="AQ529" i="1" s="1"/>
  <c r="AD342" i="1"/>
  <c r="AP55" i="1"/>
  <c r="AQ55" i="1" s="1"/>
  <c r="AD386" i="1"/>
  <c r="AP403" i="1"/>
  <c r="AQ403" i="1" s="1"/>
  <c r="AD176" i="1"/>
  <c r="AD227" i="1"/>
  <c r="AD145" i="1"/>
  <c r="AD354" i="1"/>
  <c r="AP537" i="1"/>
  <c r="AQ537" i="1" s="1"/>
  <c r="AD280" i="1"/>
  <c r="AP83" i="1"/>
  <c r="AQ83" i="1" s="1"/>
  <c r="AP359" i="1"/>
  <c r="AQ359" i="1" s="1"/>
  <c r="AD21" i="1"/>
  <c r="AP540" i="1"/>
  <c r="AQ540" i="1" s="1"/>
  <c r="AD615" i="1"/>
  <c r="AD697" i="1"/>
  <c r="AD558" i="1"/>
  <c r="AD706" i="1"/>
  <c r="AD366" i="1"/>
  <c r="AD98" i="1"/>
  <c r="AD425" i="1"/>
  <c r="AP697" i="1"/>
  <c r="AQ697" i="1" s="1"/>
  <c r="AP593" i="1"/>
  <c r="AQ593" i="1" s="1"/>
  <c r="AP595" i="1"/>
  <c r="AQ595" i="1" s="1"/>
  <c r="AP684" i="1"/>
  <c r="AQ684" i="1" s="1"/>
  <c r="AP628" i="1"/>
  <c r="AQ628" i="1" s="1"/>
  <c r="AP484" i="1"/>
  <c r="AQ484" i="1" s="1"/>
  <c r="AP692" i="1"/>
  <c r="AQ692" i="1" s="1"/>
  <c r="AP619" i="1"/>
  <c r="AQ619" i="1" s="1"/>
  <c r="AD600" i="1"/>
  <c r="AD255" i="1"/>
  <c r="AD758" i="1"/>
  <c r="S1058" i="1"/>
  <c r="F1068" i="1" s="1"/>
  <c r="AD677" i="1"/>
  <c r="F1064" i="1"/>
  <c r="AP39" i="1"/>
  <c r="V1058" i="1"/>
  <c r="F1071" i="1" s="1"/>
  <c r="AD122" i="1" l="1"/>
  <c r="AD116" i="1"/>
  <c r="AD120" i="1"/>
  <c r="AD118" i="1"/>
  <c r="AD884" i="1"/>
  <c r="AD121" i="1"/>
  <c r="AE546" i="1"/>
  <c r="AE811" i="1"/>
  <c r="AE632" i="1"/>
  <c r="AE563" i="1"/>
  <c r="AE66" i="1"/>
  <c r="AE707" i="1"/>
  <c r="AE270" i="1"/>
  <c r="AE38" i="1"/>
  <c r="AE67" i="1"/>
  <c r="AE590" i="1"/>
  <c r="AE621" i="1"/>
  <c r="AE109" i="1"/>
  <c r="AD103" i="1"/>
  <c r="AE567" i="1"/>
  <c r="AE123" i="1"/>
  <c r="AD651" i="1"/>
  <c r="AE325" i="1"/>
  <c r="AE612" i="1"/>
  <c r="AE164" i="1"/>
  <c r="AE430" i="1"/>
  <c r="AE717" i="1"/>
  <c r="AE391" i="1"/>
  <c r="AE475" i="1"/>
  <c r="AE634" i="1"/>
  <c r="AE217" i="1"/>
  <c r="AE529" i="1"/>
  <c r="AE652" i="1"/>
  <c r="AE702" i="1"/>
  <c r="AE110" i="1"/>
  <c r="AD650" i="1"/>
  <c r="AE10" i="1"/>
  <c r="AE221" i="1"/>
  <c r="AE699" i="1"/>
  <c r="AE647" i="1"/>
  <c r="AE194" i="1"/>
  <c r="AE723" i="1"/>
  <c r="AE125" i="1"/>
  <c r="AE648" i="1"/>
  <c r="AE649" i="1"/>
  <c r="AD108" i="1"/>
  <c r="AD420" i="1"/>
  <c r="AD627" i="1"/>
  <c r="AE689" i="1"/>
  <c r="AE862" i="1"/>
  <c r="AE504" i="1"/>
  <c r="AD574" i="1"/>
  <c r="AD205" i="1"/>
  <c r="AP457" i="1"/>
  <c r="AQ457" i="1" s="1"/>
  <c r="AE324" i="1"/>
  <c r="AE796" i="1"/>
  <c r="AE745" i="1"/>
  <c r="AD565" i="1"/>
  <c r="AP854" i="1"/>
  <c r="AQ854" i="1" s="1"/>
  <c r="AE777" i="1"/>
  <c r="AP336" i="1"/>
  <c r="AQ336" i="1" s="1"/>
  <c r="AE771" i="1"/>
  <c r="AP658" i="1"/>
  <c r="AQ658" i="1" s="1"/>
  <c r="AP72" i="1"/>
  <c r="AQ72" i="1" s="1"/>
  <c r="AE856" i="1"/>
  <c r="AP812" i="1"/>
  <c r="AQ812" i="1" s="1"/>
  <c r="AP750" i="1"/>
  <c r="AQ750" i="1" s="1"/>
  <c r="AP702" i="1"/>
  <c r="AQ702" i="1" s="1"/>
  <c r="AP801" i="1"/>
  <c r="AQ801" i="1" s="1"/>
  <c r="W1058" i="1"/>
  <c r="AD154" i="1"/>
  <c r="W2" i="1"/>
  <c r="AD303" i="1"/>
  <c r="AD174" i="1"/>
  <c r="AD114" i="1"/>
  <c r="AD734" i="1"/>
  <c r="AD262" i="1"/>
  <c r="AD732" i="1"/>
  <c r="AE336" i="1"/>
  <c r="AE532" i="1"/>
  <c r="AD440" i="1"/>
  <c r="AD584" i="1"/>
  <c r="AE225" i="1"/>
  <c r="AE509" i="1"/>
  <c r="AE813" i="1"/>
  <c r="AE273" i="1"/>
  <c r="AE670" i="1"/>
  <c r="AE711" i="1"/>
  <c r="AE278" i="1"/>
  <c r="AE433" i="1"/>
  <c r="AE277" i="1"/>
  <c r="AE220" i="1"/>
  <c r="AE167" i="1"/>
  <c r="AE645" i="1"/>
  <c r="AE26" i="1"/>
  <c r="AE630" i="1"/>
  <c r="AE774" i="1"/>
  <c r="AD443" i="1"/>
  <c r="AE783" i="1"/>
  <c r="AE782" i="1"/>
  <c r="AE626" i="1"/>
  <c r="AE18" i="1"/>
  <c r="AE623" i="1"/>
  <c r="AE319" i="1"/>
  <c r="AE633" i="1"/>
  <c r="AE23" i="1"/>
  <c r="AE556" i="1"/>
  <c r="AE485" i="1"/>
  <c r="AE802" i="1"/>
  <c r="AE438" i="1"/>
  <c r="AE722" i="1"/>
  <c r="AD725" i="1"/>
  <c r="AE668" i="1"/>
  <c r="AE25" i="1"/>
  <c r="AE603" i="1"/>
  <c r="AE619" i="1"/>
  <c r="AE69" i="1"/>
  <c r="AE276" i="1"/>
  <c r="AD606" i="1"/>
  <c r="AE761" i="1"/>
  <c r="AD710" i="1"/>
  <c r="AD291" i="1"/>
  <c r="AD158" i="1"/>
  <c r="AD522" i="1"/>
  <c r="AD770" i="1"/>
  <c r="AE376" i="1"/>
  <c r="AE817" i="1"/>
  <c r="AE129" i="1"/>
  <c r="AE397" i="1"/>
  <c r="AE419" i="1"/>
  <c r="AD614" i="1"/>
  <c r="AE701" i="1"/>
  <c r="AE461" i="1"/>
  <c r="AD635" i="1"/>
  <c r="AD654" i="1"/>
  <c r="AE795" i="1"/>
  <c r="AE287" i="1"/>
  <c r="AE637" i="1"/>
  <c r="AE753" i="1"/>
  <c r="AE424" i="1"/>
  <c r="AE762" i="1"/>
  <c r="AE572" i="1"/>
  <c r="AE580" i="1"/>
  <c r="AD807" i="1"/>
  <c r="AE78" i="1"/>
  <c r="AE517" i="1"/>
  <c r="AE286" i="1"/>
  <c r="AD794" i="1"/>
  <c r="AE646" i="1"/>
  <c r="AE524" i="1"/>
  <c r="AE288" i="1"/>
  <c r="AD760" i="1"/>
  <c r="AE609" i="1"/>
  <c r="AE344" i="1"/>
  <c r="AE62" i="1"/>
  <c r="AE573" i="1"/>
  <c r="AE27" i="1"/>
  <c r="AE224" i="1"/>
  <c r="AE179" i="1"/>
  <c r="AE334" i="1"/>
  <c r="AE742" i="1"/>
  <c r="AE403" i="1"/>
  <c r="AE353" i="1"/>
  <c r="AE608" i="1"/>
  <c r="AE301" i="1"/>
  <c r="AE331" i="1"/>
  <c r="AE465" i="1"/>
  <c r="AE617" i="1"/>
  <c r="AE464" i="1"/>
  <c r="AE332" i="1"/>
  <c r="AE249" i="1"/>
  <c r="AE519" i="1"/>
  <c r="AE203" i="1"/>
  <c r="AE127" i="1"/>
  <c r="AE599" i="1"/>
  <c r="AE513" i="1"/>
  <c r="AE613" i="1"/>
  <c r="AD579" i="1"/>
  <c r="AD712" i="1"/>
  <c r="AD720" i="1"/>
  <c r="AD165" i="1"/>
  <c r="AE515" i="1"/>
  <c r="AE749" i="1"/>
  <c r="AE365" i="1"/>
  <c r="AE597" i="1"/>
  <c r="AE83" i="1"/>
  <c r="AE275" i="1"/>
  <c r="AE754" i="1"/>
  <c r="AD289" i="1"/>
  <c r="AE329" i="1"/>
  <c r="AD90" i="1"/>
  <c r="AD505" i="1"/>
  <c r="AE28" i="1"/>
  <c r="AE32" i="1"/>
  <c r="AE236" i="1"/>
  <c r="AE809" i="1"/>
  <c r="AE739" i="1"/>
  <c r="AD52" i="1"/>
  <c r="AD223" i="1"/>
  <c r="AE733" i="1"/>
  <c r="AE744" i="1"/>
  <c r="AE187" i="1"/>
  <c r="AE253" i="1"/>
  <c r="AD855" i="1"/>
  <c r="AD57" i="1"/>
  <c r="AE171" i="1"/>
  <c r="AE230" i="1"/>
  <c r="AE292" i="1"/>
  <c r="AE680" i="1"/>
  <c r="AE409" i="1"/>
  <c r="AE416" i="1"/>
  <c r="AE451" i="1"/>
  <c r="AE328" i="1"/>
  <c r="AE77" i="1"/>
  <c r="AE222" i="1"/>
  <c r="AE716" i="1"/>
  <c r="AE510" i="1"/>
  <c r="AD527" i="1"/>
  <c r="AD190" i="1"/>
  <c r="AE604" i="1"/>
  <c r="AE193" i="1"/>
  <c r="AE335" i="1"/>
  <c r="AE562" i="1"/>
  <c r="AE675" i="1"/>
  <c r="AE458" i="1"/>
  <c r="AE496" i="1"/>
  <c r="AE857" i="1"/>
  <c r="AE467" i="1"/>
  <c r="AE459" i="1"/>
  <c r="AE299" i="1"/>
  <c r="AE460" i="1"/>
  <c r="AE457" i="1"/>
  <c r="AE234" i="1"/>
  <c r="AE405" i="1"/>
  <c r="AD298" i="1"/>
  <c r="AD91" i="1"/>
  <c r="AE541" i="1"/>
  <c r="AE427" i="1"/>
  <c r="AE251" i="1"/>
  <c r="AE398" i="1"/>
  <c r="AE501" i="1"/>
  <c r="AE186" i="1"/>
  <c r="AE360" i="1"/>
  <c r="AD294" i="1"/>
  <c r="AE414" i="1"/>
  <c r="AE182" i="1"/>
  <c r="AE673" i="1"/>
  <c r="AE16" i="1"/>
  <c r="AE296" i="1"/>
  <c r="AE385" i="1"/>
  <c r="AE350" i="1"/>
  <c r="AE72" i="1"/>
  <c r="AE338" i="1"/>
  <c r="AE655" i="1"/>
  <c r="AD500" i="1"/>
  <c r="AD233" i="1"/>
  <c r="AE474" i="1"/>
  <c r="AE404" i="1"/>
  <c r="AE330" i="1"/>
  <c r="AE71" i="1"/>
  <c r="AE314" i="1"/>
  <c r="AE432" i="1"/>
  <c r="AE726" i="1"/>
  <c r="AE441" i="1"/>
  <c r="AE352" i="1"/>
  <c r="AE799" i="1"/>
  <c r="AD11" i="1"/>
  <c r="AE536" i="1"/>
  <c r="AE499" i="1"/>
  <c r="AE476" i="1"/>
  <c r="AE408" i="1"/>
  <c r="AE395" i="1"/>
  <c r="AE477" i="1"/>
  <c r="AE653" i="1"/>
  <c r="AD297" i="1"/>
  <c r="AD638" i="1"/>
  <c r="AD453" i="1"/>
  <c r="AE659" i="1"/>
  <c r="AE566" i="1"/>
  <c r="AE435" i="1"/>
  <c r="AE219" i="1"/>
  <c r="AE30" i="1"/>
  <c r="AE235" i="1"/>
  <c r="AE415" i="1"/>
  <c r="AE656" i="1"/>
  <c r="AE437" i="1"/>
  <c r="AE155" i="1"/>
  <c r="AE741" i="1"/>
  <c r="AD59" i="1"/>
  <c r="AD150" i="1"/>
  <c r="Z1058" i="1"/>
  <c r="AD238" i="1"/>
  <c r="AE737" i="1"/>
  <c r="AE816" i="1"/>
  <c r="AE763" i="1"/>
  <c r="AE178" i="1"/>
  <c r="AE237" i="1"/>
  <c r="AE694" i="1"/>
  <c r="AE593" i="1"/>
  <c r="AE520" i="1"/>
  <c r="AE73" i="1"/>
  <c r="AE58" i="1"/>
  <c r="AE535" i="1"/>
  <c r="AE372" i="1"/>
  <c r="AE789" i="1"/>
  <c r="AD781" i="1"/>
  <c r="AE735" i="1"/>
  <c r="AE463" i="1"/>
  <c r="AD490" i="1"/>
  <c r="AD245" i="1"/>
  <c r="AD157" i="1"/>
  <c r="AD159" i="1"/>
  <c r="AE239" i="1"/>
  <c r="AE426" i="1"/>
  <c r="AE512" i="1"/>
  <c r="AE337" i="1"/>
  <c r="AE172" i="1"/>
  <c r="AE410" i="1"/>
  <c r="AE765" i="1"/>
  <c r="AE309" i="1"/>
  <c r="AE263" i="1"/>
  <c r="AE449" i="1"/>
  <c r="AE92" i="1"/>
  <c r="AE690" i="1"/>
  <c r="AE487" i="1"/>
  <c r="AE421" i="1"/>
  <c r="AE473" i="1"/>
  <c r="AE261" i="1"/>
  <c r="AE340" i="1"/>
  <c r="AE543" i="1"/>
  <c r="AE14" i="1"/>
  <c r="AE240" i="1"/>
  <c r="AE545" i="1"/>
  <c r="AE886" i="1"/>
  <c r="AE361" i="1"/>
  <c r="AD232" i="1"/>
  <c r="AD362" i="1"/>
  <c r="AD104" i="1"/>
  <c r="AD434" i="1"/>
  <c r="AE5" i="1"/>
  <c r="AE228" i="1"/>
  <c r="AE610" i="1"/>
  <c r="AE13" i="1"/>
  <c r="AE671" i="1"/>
  <c r="AE439" i="1"/>
  <c r="AE195" i="1"/>
  <c r="AE483" i="1"/>
  <c r="AE7" i="1"/>
  <c r="AE691" i="1"/>
  <c r="AE407" i="1"/>
  <c r="AE17" i="1"/>
  <c r="AE525" i="1"/>
  <c r="AE351" i="1"/>
  <c r="AE480" i="1"/>
  <c r="AE767" i="1"/>
  <c r="AE450" i="1"/>
  <c r="AE861" i="1"/>
  <c r="AE792" i="1"/>
  <c r="AE304" i="1"/>
  <c r="AE539" i="1"/>
  <c r="AE130" i="1"/>
  <c r="AE773" i="1"/>
  <c r="AD428" i="1"/>
  <c r="AD698" i="1"/>
  <c r="AE211" i="1"/>
  <c r="AE466" i="1"/>
  <c r="AE551" i="1"/>
  <c r="AE202" i="1"/>
  <c r="AE669" i="1"/>
  <c r="AE358" i="1"/>
  <c r="AE502" i="1"/>
  <c r="AE4" i="1"/>
  <c r="AE516" i="1"/>
  <c r="AE243" i="1"/>
  <c r="AE454" i="1"/>
  <c r="AE854" i="1"/>
  <c r="AE664" i="1"/>
  <c r="AE800" i="1"/>
  <c r="Z2" i="1"/>
  <c r="AE471" i="1"/>
  <c r="AE341" i="1"/>
  <c r="AE577" i="1"/>
  <c r="AE547" i="1"/>
  <c r="AE601" i="1"/>
  <c r="AE12" i="1"/>
  <c r="AE472" i="1"/>
  <c r="AE207" i="1"/>
  <c r="AE814" i="1"/>
  <c r="AE371" i="1"/>
  <c r="AE242" i="1"/>
  <c r="AE518" i="1"/>
  <c r="AE728" i="1"/>
  <c r="AE177" i="1"/>
  <c r="AE258" i="1"/>
  <c r="AE252" i="1"/>
  <c r="AE173" i="1"/>
  <c r="AE506" i="1"/>
  <c r="AD215" i="1"/>
  <c r="AD431" i="1"/>
  <c r="AE444" i="1"/>
  <c r="AE538" i="1"/>
  <c r="AE786" i="1"/>
  <c r="AE592" i="1"/>
  <c r="AE511" i="1"/>
  <c r="AE349" i="1"/>
  <c r="AE248" i="1"/>
  <c r="AE6" i="1"/>
  <c r="AE346" i="1"/>
  <c r="AE305" i="1"/>
  <c r="AE417" i="1"/>
  <c r="AE581" i="1"/>
  <c r="AE528" i="1"/>
  <c r="AE9" i="1"/>
  <c r="AE713" i="1"/>
  <c r="AE484" i="1"/>
  <c r="AE674" i="1"/>
  <c r="AE489" i="1"/>
  <c r="AE523" i="1"/>
  <c r="AE315" i="1"/>
  <c r="AE860" i="1"/>
  <c r="AE388" i="1"/>
  <c r="AE8" i="1"/>
  <c r="AE759" i="1"/>
  <c r="AD302" i="1"/>
  <c r="AD160" i="1"/>
  <c r="AD738" i="1"/>
  <c r="AD462" i="1"/>
  <c r="O1066" i="1"/>
  <c r="AD161" i="1"/>
  <c r="AE246" i="1"/>
  <c r="AD175" i="1"/>
  <c r="AE79" i="1"/>
  <c r="AE798" i="1"/>
  <c r="AE51" i="1"/>
  <c r="AE40" i="1"/>
  <c r="AE326" i="1"/>
  <c r="AD382" i="1"/>
  <c r="AE188" i="1"/>
  <c r="AD752" i="1"/>
  <c r="AE327" i="1"/>
  <c r="AE293" i="1"/>
  <c r="AE531" i="1"/>
  <c r="AE126" i="1"/>
  <c r="AE128" i="1"/>
  <c r="AE787" i="1"/>
  <c r="AE569" i="1"/>
  <c r="AD729" i="1"/>
  <c r="AE743" i="1"/>
  <c r="AE363" i="1"/>
  <c r="AE540" i="1"/>
  <c r="AE250" i="1"/>
  <c r="AD693" i="1"/>
  <c r="AE94" i="1"/>
  <c r="AE60" i="1"/>
  <c r="AE132" i="1"/>
  <c r="AE76" i="1"/>
  <c r="AE859" i="1"/>
  <c r="AD53" i="1"/>
  <c r="AE740" i="1"/>
  <c r="AE521" i="1"/>
  <c r="AE703" i="1"/>
  <c r="AE858" i="1"/>
  <c r="AE279" i="1"/>
  <c r="AE339" i="1"/>
  <c r="AE380" i="1"/>
  <c r="AE100" i="1"/>
  <c r="AE105" i="1"/>
  <c r="AE256" i="1"/>
  <c r="AE152" i="1"/>
  <c r="AE815" i="1"/>
  <c r="AE274" i="1"/>
  <c r="AD708" i="1"/>
  <c r="AE33" i="1"/>
  <c r="AE306" i="1"/>
  <c r="AE775" i="1"/>
  <c r="AE571" i="1"/>
  <c r="AE748" i="1"/>
  <c r="AD147" i="1"/>
  <c r="AD124" i="1"/>
  <c r="AD492" i="1"/>
  <c r="AE218" i="1"/>
  <c r="AE138" i="1"/>
  <c r="AE312" i="1"/>
  <c r="AE102" i="1"/>
  <c r="AE683" i="1"/>
  <c r="AE788" i="1"/>
  <c r="AE81" i="1"/>
  <c r="AE267" i="1"/>
  <c r="AE686" i="1"/>
  <c r="AE688" i="1"/>
  <c r="AD313" i="1"/>
  <c r="AD756" i="1"/>
  <c r="AE355" i="1"/>
  <c r="AE389" i="1"/>
  <c r="AE359" i="1"/>
  <c r="AE784" i="1"/>
  <c r="AE370" i="1"/>
  <c r="AE812" i="1"/>
  <c r="AE755" i="1"/>
  <c r="AE265" i="1"/>
  <c r="AE724" i="1"/>
  <c r="AE705" i="1"/>
  <c r="AE667" i="1"/>
  <c r="AE684" i="1"/>
  <c r="AE676" i="1"/>
  <c r="AE709" i="1"/>
  <c r="AE533" i="1"/>
  <c r="AE553" i="1"/>
  <c r="AE213" i="1"/>
  <c r="AE757" i="1"/>
  <c r="AE80" i="1"/>
  <c r="AD488" i="1"/>
  <c r="AD447" i="1"/>
  <c r="AE133" i="1"/>
  <c r="AE268" i="1"/>
  <c r="AE136" i="1"/>
  <c r="AE311" i="1"/>
  <c r="AE750" i="1"/>
  <c r="AE310" i="1"/>
  <c r="AE192" i="1"/>
  <c r="AE75" i="1"/>
  <c r="AE373" i="1"/>
  <c r="AE191" i="1"/>
  <c r="AE714" i="1"/>
  <c r="AE719" i="1"/>
  <c r="AE31" i="1"/>
  <c r="AE806" i="1"/>
  <c r="AE685" i="1"/>
  <c r="AE764" i="1"/>
  <c r="AE377" i="1"/>
  <c r="AD162" i="1"/>
  <c r="AD681" i="1"/>
  <c r="AE74" i="1"/>
  <c r="AE494" i="1"/>
  <c r="AE368" i="1"/>
  <c r="AE766" i="1"/>
  <c r="AE751" i="1"/>
  <c r="AE557" i="1"/>
  <c r="AE658" i="1"/>
  <c r="AE379" i="1"/>
  <c r="AE345" i="1"/>
  <c r="AE455" i="1"/>
  <c r="AE561" i="1"/>
  <c r="AE790" i="1"/>
  <c r="AE768" i="1"/>
  <c r="AE378" i="1"/>
  <c r="AE715" i="1"/>
  <c r="AE497" i="1"/>
  <c r="AE357" i="1"/>
  <c r="AD491" i="1"/>
  <c r="AD779" i="1"/>
  <c r="AE181" i="1"/>
  <c r="AE452" i="1"/>
  <c r="AE730" i="1"/>
  <c r="AE254" i="1"/>
  <c r="AE503" i="1"/>
  <c r="AE808" i="1"/>
  <c r="AE791" i="1"/>
  <c r="AD746" i="1"/>
  <c r="AE29" i="1"/>
  <c r="AE493" i="1"/>
  <c r="AE793" i="1"/>
  <c r="AE364" i="1"/>
  <c r="AE495" i="1"/>
  <c r="AE442" i="1"/>
  <c r="AE587" i="1"/>
  <c r="AE260" i="1"/>
  <c r="AE436" i="1"/>
  <c r="AE672" i="1"/>
  <c r="AE308" i="1"/>
  <c r="AE498" i="1"/>
  <c r="AE507" i="1"/>
  <c r="AE810" i="1"/>
  <c r="AD785" i="1"/>
  <c r="AE804" i="1"/>
  <c r="AE555" i="1"/>
  <c r="AE704" i="1"/>
  <c r="AE134" i="1"/>
  <c r="AE82" i="1"/>
  <c r="AE374" i="1"/>
  <c r="AE549" i="1"/>
  <c r="AE801" i="1"/>
  <c r="AE591" i="1"/>
  <c r="AE307" i="1"/>
  <c r="AE548" i="1"/>
  <c r="AE679" i="1"/>
  <c r="AE131" i="1"/>
  <c r="AD662" i="1"/>
  <c r="AD390" i="1"/>
  <c r="AD767" i="1"/>
  <c r="AD139" i="1"/>
  <c r="AD778" i="1"/>
  <c r="AD37" i="1"/>
  <c r="AD322" i="1"/>
  <c r="AD631" i="1"/>
  <c r="AD247" i="1"/>
  <c r="AD776" i="1"/>
  <c r="AD244" i="1"/>
  <c r="AD769" i="1"/>
  <c r="AD678" i="1"/>
  <c r="AD212" i="1"/>
  <c r="AE514" i="1"/>
  <c r="AD640" i="1"/>
  <c r="AE316" i="1"/>
  <c r="AE84" i="1"/>
  <c r="AD578" i="1"/>
  <c r="AD605" i="1"/>
  <c r="AE323" i="1"/>
  <c r="AD35" i="1"/>
  <c r="AE692" i="1"/>
  <c r="AE137" i="1"/>
  <c r="AE317" i="1"/>
  <c r="AE369" i="1"/>
  <c r="AE470" i="1"/>
  <c r="AE189" i="1"/>
  <c r="AE367" i="1"/>
  <c r="AE682" i="1"/>
  <c r="AE24" i="1"/>
  <c r="AD468" i="1"/>
  <c r="AD271" i="1"/>
  <c r="AD780" i="1"/>
  <c r="AE696" i="1"/>
  <c r="AD665" i="1"/>
  <c r="AE226" i="1"/>
  <c r="AD269" i="1"/>
  <c r="AD508" i="1"/>
  <c r="AE700" i="1"/>
  <c r="AE140" i="1"/>
  <c r="AD747" i="1"/>
  <c r="AD805" i="1"/>
  <c r="AD423" i="1"/>
  <c r="AD185" i="1"/>
  <c r="AD641" i="1"/>
  <c r="AD284" i="1"/>
  <c r="AD196" i="1"/>
  <c r="AD550" i="1"/>
  <c r="AD197" i="1"/>
  <c r="AD180" i="1"/>
  <c r="AD70" i="1"/>
  <c r="AD156" i="1"/>
  <c r="AD257" i="1"/>
  <c r="AD347" i="1"/>
  <c r="AD486" i="1"/>
  <c r="AD229" i="1"/>
  <c r="AD660" i="1"/>
  <c r="AD329" i="1"/>
  <c r="AD200" i="1"/>
  <c r="AD695" i="1"/>
  <c r="AD661" i="1"/>
  <c r="AD93" i="1"/>
  <c r="AD46" i="1"/>
  <c r="AD199" i="1"/>
  <c r="AD231" i="1"/>
  <c r="AD628" i="1"/>
  <c r="AD718" i="1"/>
  <c r="AD885" i="1"/>
  <c r="AD321" i="1"/>
  <c r="AD394" i="1"/>
  <c r="AD290" i="1"/>
  <c r="AD469" i="1"/>
  <c r="AD642" i="1"/>
  <c r="AD618" i="1"/>
  <c r="AD526" i="1"/>
  <c r="AD20" i="1"/>
  <c r="AD589" i="1"/>
  <c r="AD803" i="1"/>
  <c r="AD731" i="1"/>
  <c r="AD602" i="1"/>
  <c r="AD576" i="1"/>
  <c r="AD797" i="1"/>
  <c r="AD772" i="1"/>
  <c r="AD736" i="1"/>
  <c r="AD34" i="1"/>
  <c r="AD406" i="1"/>
  <c r="AD36" i="1"/>
  <c r="AD530" i="1"/>
  <c r="AD727" i="1"/>
  <c r="AD272" i="1"/>
  <c r="AD143" i="1"/>
  <c r="AD264" i="1"/>
  <c r="AD481" i="1"/>
  <c r="AD141" i="1"/>
  <c r="AQ39" i="1"/>
  <c r="AD221" i="1" l="1"/>
  <c r="AD699" i="1"/>
  <c r="AD634" i="1"/>
  <c r="AD649" i="1"/>
  <c r="AD475" i="1"/>
  <c r="AD110" i="1"/>
  <c r="AD648" i="1"/>
  <c r="AD707" i="1"/>
  <c r="AD125" i="1"/>
  <c r="AD66" i="1"/>
  <c r="AD563" i="1"/>
  <c r="AD391" i="1"/>
  <c r="AD325" i="1"/>
  <c r="AD194" i="1"/>
  <c r="AD652" i="1"/>
  <c r="AD567" i="1"/>
  <c r="AD10" i="1"/>
  <c r="AD164" i="1"/>
  <c r="AD621" i="1"/>
  <c r="AD612" i="1"/>
  <c r="AD590" i="1"/>
  <c r="AE168" i="1"/>
  <c r="AD723" i="1"/>
  <c r="AD217" i="1"/>
  <c r="AD109" i="1"/>
  <c r="AE478" i="1"/>
  <c r="AD632" i="1"/>
  <c r="AD717" i="1"/>
  <c r="AD647" i="1"/>
  <c r="AD123" i="1"/>
  <c r="AD38" i="1"/>
  <c r="AD811" i="1"/>
  <c r="AE687" i="1"/>
  <c r="AD702" i="1"/>
  <c r="AD67" i="1"/>
  <c r="AD529" i="1"/>
  <c r="AD430" i="1"/>
  <c r="AD270" i="1"/>
  <c r="AD546" i="1"/>
  <c r="AP2" i="1"/>
  <c r="AP1058" i="1"/>
  <c r="F1072" i="1" a="1"/>
  <c r="F1072" i="1" s="1"/>
  <c r="F1082" i="1" s="1"/>
  <c r="F1083" i="1" s="1"/>
  <c r="AB2" i="1"/>
  <c r="AB1058" i="1"/>
  <c r="F1077" i="1" s="1"/>
  <c r="AD783" i="1"/>
  <c r="AD336" i="1"/>
  <c r="AD532" i="1"/>
  <c r="AD509" i="1"/>
  <c r="AD485" i="1"/>
  <c r="AD277" i="1"/>
  <c r="AD782" i="1"/>
  <c r="AD26" i="1"/>
  <c r="AD802" i="1"/>
  <c r="AD276" i="1"/>
  <c r="AD438" i="1"/>
  <c r="AD23" i="1"/>
  <c r="AD623" i="1"/>
  <c r="AD619" i="1"/>
  <c r="AD603" i="1"/>
  <c r="AD433" i="1"/>
  <c r="AD633" i="1"/>
  <c r="AE725" i="1"/>
  <c r="AD319" i="1"/>
  <c r="AD167" i="1"/>
  <c r="AD711" i="1"/>
  <c r="AD813" i="1"/>
  <c r="AD771" i="1"/>
  <c r="AD69" i="1"/>
  <c r="AD722" i="1"/>
  <c r="AD220" i="1"/>
  <c r="AD670" i="1"/>
  <c r="AD774" i="1"/>
  <c r="AD273" i="1"/>
  <c r="AD630" i="1"/>
  <c r="AD25" i="1"/>
  <c r="AD18" i="1"/>
  <c r="AD668" i="1"/>
  <c r="AD556" i="1"/>
  <c r="AD626" i="1"/>
  <c r="AD645" i="1"/>
  <c r="AD278" i="1"/>
  <c r="AD225" i="1"/>
  <c r="AD573" i="1"/>
  <c r="AD761" i="1"/>
  <c r="AD397" i="1"/>
  <c r="AD419" i="1"/>
  <c r="AD203" i="1"/>
  <c r="AD753" i="1"/>
  <c r="AD524" i="1"/>
  <c r="AD332" i="1"/>
  <c r="AD78" i="1"/>
  <c r="AD646" i="1"/>
  <c r="AD224" i="1"/>
  <c r="AD795" i="1"/>
  <c r="AD129" i="1"/>
  <c r="AD275" i="1"/>
  <c r="AD862" i="1"/>
  <c r="AD83" i="1"/>
  <c r="AD513" i="1"/>
  <c r="AD597" i="1"/>
  <c r="AD608" i="1"/>
  <c r="AD701" i="1"/>
  <c r="AD424" i="1"/>
  <c r="AE807" i="1"/>
  <c r="AD754" i="1"/>
  <c r="AD301" i="1"/>
  <c r="AD127" i="1"/>
  <c r="AD617" i="1"/>
  <c r="AD403" i="1"/>
  <c r="AD580" i="1"/>
  <c r="AD287" i="1"/>
  <c r="AD461" i="1"/>
  <c r="AD749" i="1"/>
  <c r="AD288" i="1"/>
  <c r="AD376" i="1"/>
  <c r="AD599" i="1"/>
  <c r="AD464" i="1"/>
  <c r="AD353" i="1"/>
  <c r="AD27" i="1"/>
  <c r="AD637" i="1"/>
  <c r="AD762" i="1"/>
  <c r="AD517" i="1"/>
  <c r="AD515" i="1"/>
  <c r="AD465" i="1"/>
  <c r="AD742" i="1"/>
  <c r="AD62" i="1"/>
  <c r="AD572" i="1"/>
  <c r="AE579" i="1"/>
  <c r="AD519" i="1"/>
  <c r="AD331" i="1"/>
  <c r="AD334" i="1"/>
  <c r="AD344" i="1"/>
  <c r="AD286" i="1"/>
  <c r="AD613" i="1"/>
  <c r="AD249" i="1"/>
  <c r="AD179" i="1"/>
  <c r="AD609" i="1"/>
  <c r="AD365" i="1"/>
  <c r="AD817" i="1"/>
  <c r="AD739" i="1"/>
  <c r="AD474" i="1"/>
  <c r="AD385" i="1"/>
  <c r="AD796" i="1"/>
  <c r="AD16" i="1"/>
  <c r="AD328" i="1"/>
  <c r="AD352" i="1"/>
  <c r="AD219" i="1"/>
  <c r="AD745" i="1"/>
  <c r="AD741" i="1"/>
  <c r="AD809" i="1"/>
  <c r="AD656" i="1"/>
  <c r="AD193" i="1"/>
  <c r="AD155" i="1"/>
  <c r="AD566" i="1"/>
  <c r="AD330" i="1"/>
  <c r="AE527" i="1"/>
  <c r="AD187" i="1"/>
  <c r="AD296" i="1"/>
  <c r="AD409" i="1"/>
  <c r="AD510" i="1"/>
  <c r="AD222" i="1"/>
  <c r="AD230" i="1"/>
  <c r="AD655" i="1"/>
  <c r="AD182" i="1"/>
  <c r="AD30" i="1"/>
  <c r="AD432" i="1"/>
  <c r="AD171" i="1"/>
  <c r="AD314" i="1"/>
  <c r="AD72" i="1"/>
  <c r="AD451" i="1"/>
  <c r="AD477" i="1"/>
  <c r="AD501" i="1"/>
  <c r="AD459" i="1"/>
  <c r="AD562" i="1"/>
  <c r="AD437" i="1"/>
  <c r="AD435" i="1"/>
  <c r="AD799" i="1"/>
  <c r="AD71" i="1"/>
  <c r="AD338" i="1"/>
  <c r="AD673" i="1"/>
  <c r="AD716" i="1"/>
  <c r="AD416" i="1"/>
  <c r="AD395" i="1"/>
  <c r="AD405" i="1"/>
  <c r="AD467" i="1"/>
  <c r="AD335" i="1"/>
  <c r="AE855" i="1"/>
  <c r="AD408" i="1"/>
  <c r="AD398" i="1"/>
  <c r="AD234" i="1"/>
  <c r="AD857" i="1"/>
  <c r="AD253" i="1"/>
  <c r="AD415" i="1"/>
  <c r="AD659" i="1"/>
  <c r="AD441" i="1"/>
  <c r="AD404" i="1"/>
  <c r="AD350" i="1"/>
  <c r="AD414" i="1"/>
  <c r="AD680" i="1"/>
  <c r="AD476" i="1"/>
  <c r="AD251" i="1"/>
  <c r="AD457" i="1"/>
  <c r="AD496" i="1"/>
  <c r="AD604" i="1"/>
  <c r="AD236" i="1"/>
  <c r="AD856" i="1"/>
  <c r="AD235" i="1"/>
  <c r="AD726" i="1"/>
  <c r="AD77" i="1"/>
  <c r="AD292" i="1"/>
  <c r="AD499" i="1"/>
  <c r="AD360" i="1"/>
  <c r="AD427" i="1"/>
  <c r="AD460" i="1"/>
  <c r="AD458" i="1"/>
  <c r="AD744" i="1"/>
  <c r="AD32" i="1"/>
  <c r="AD653" i="1"/>
  <c r="AD536" i="1"/>
  <c r="AD186" i="1"/>
  <c r="AD541" i="1"/>
  <c r="AD299" i="1"/>
  <c r="AD675" i="1"/>
  <c r="AD733" i="1"/>
  <c r="AD28" i="1"/>
  <c r="AD792" i="1"/>
  <c r="AD17" i="1"/>
  <c r="AD763" i="1"/>
  <c r="AD504" i="1"/>
  <c r="AD6" i="1"/>
  <c r="AD324" i="1"/>
  <c r="AD258" i="1"/>
  <c r="AD14" i="1"/>
  <c r="AD816" i="1"/>
  <c r="AD484" i="1"/>
  <c r="AD759" i="1"/>
  <c r="AD309" i="1"/>
  <c r="AD487" i="1"/>
  <c r="AD861" i="1"/>
  <c r="AD506" i="1"/>
  <c r="AD814" i="1"/>
  <c r="AD471" i="1"/>
  <c r="AD520" i="1"/>
  <c r="AD860" i="1"/>
  <c r="AD528" i="1"/>
  <c r="AD511" i="1"/>
  <c r="AD669" i="1"/>
  <c r="AE781" i="1"/>
  <c r="AD417" i="1"/>
  <c r="AD518" i="1"/>
  <c r="AD547" i="1"/>
  <c r="AD439" i="1"/>
  <c r="AD426" i="1"/>
  <c r="AD538" i="1"/>
  <c r="AD523" i="1"/>
  <c r="AD8" i="1"/>
  <c r="AD489" i="1"/>
  <c r="AD581" i="1"/>
  <c r="AD248" i="1"/>
  <c r="AD444" i="1"/>
  <c r="AD177" i="1"/>
  <c r="AD207" i="1"/>
  <c r="AD577" i="1"/>
  <c r="AD854" i="1"/>
  <c r="AD502" i="1"/>
  <c r="AD211" i="1"/>
  <c r="AD304" i="1"/>
  <c r="AD351" i="1"/>
  <c r="AD483" i="1"/>
  <c r="AD228" i="1"/>
  <c r="AD545" i="1"/>
  <c r="AD473" i="1"/>
  <c r="AD449" i="1"/>
  <c r="AD337" i="1"/>
  <c r="AD463" i="1"/>
  <c r="AD58" i="1"/>
  <c r="AD388" i="1"/>
  <c r="AD674" i="1"/>
  <c r="AD349" i="1"/>
  <c r="AD728" i="1"/>
  <c r="AD472" i="1"/>
  <c r="AD341" i="1"/>
  <c r="AD664" i="1"/>
  <c r="AD4" i="1"/>
  <c r="AD466" i="1"/>
  <c r="AD539" i="1"/>
  <c r="AD480" i="1"/>
  <c r="AD7" i="1"/>
  <c r="AD610" i="1"/>
  <c r="AD886" i="1"/>
  <c r="AD261" i="1"/>
  <c r="AD92" i="1"/>
  <c r="AD172" i="1"/>
  <c r="AD535" i="1"/>
  <c r="AD454" i="1"/>
  <c r="AD358" i="1"/>
  <c r="AD525" i="1"/>
  <c r="AD195" i="1"/>
  <c r="AD5" i="1"/>
  <c r="AD240" i="1"/>
  <c r="AD421" i="1"/>
  <c r="AD263" i="1"/>
  <c r="AD512" i="1"/>
  <c r="AD735" i="1"/>
  <c r="AD73" i="1"/>
  <c r="AD178" i="1"/>
  <c r="AD237" i="1"/>
  <c r="AD12" i="1"/>
  <c r="AD713" i="1"/>
  <c r="AD305" i="1"/>
  <c r="AD592" i="1"/>
  <c r="AD173" i="1"/>
  <c r="AD242" i="1"/>
  <c r="AD800" i="1"/>
  <c r="AD243" i="1"/>
  <c r="AD202" i="1"/>
  <c r="AD773" i="1"/>
  <c r="AD450" i="1"/>
  <c r="AD407" i="1"/>
  <c r="AD671" i="1"/>
  <c r="AD543" i="1"/>
  <c r="AD690" i="1"/>
  <c r="AD765" i="1"/>
  <c r="AD239" i="1"/>
  <c r="AD789" i="1"/>
  <c r="AD593" i="1"/>
  <c r="AD315" i="1"/>
  <c r="AD9" i="1"/>
  <c r="AD346" i="1"/>
  <c r="AD786" i="1"/>
  <c r="AD252" i="1"/>
  <c r="AD371" i="1"/>
  <c r="AD601" i="1"/>
  <c r="AD516" i="1"/>
  <c r="AD551" i="1"/>
  <c r="AD130" i="1"/>
  <c r="AD691" i="1"/>
  <c r="AD13" i="1"/>
  <c r="AD361" i="1"/>
  <c r="AD340" i="1"/>
  <c r="AD689" i="1"/>
  <c r="AD410" i="1"/>
  <c r="AD372" i="1"/>
  <c r="AD694" i="1"/>
  <c r="AD737" i="1"/>
  <c r="AD326" i="1"/>
  <c r="AD798" i="1"/>
  <c r="AD306" i="1"/>
  <c r="AD363" i="1"/>
  <c r="AD858" i="1"/>
  <c r="AD703" i="1"/>
  <c r="AD859" i="1"/>
  <c r="AD256" i="1"/>
  <c r="AD250" i="1"/>
  <c r="AD100" i="1"/>
  <c r="AD327" i="1"/>
  <c r="AD569" i="1"/>
  <c r="AD787" i="1"/>
  <c r="AE693" i="1"/>
  <c r="AD132" i="1"/>
  <c r="AD521" i="1"/>
  <c r="AD126" i="1"/>
  <c r="AE752" i="1"/>
  <c r="AE382" i="1"/>
  <c r="AD79" i="1"/>
  <c r="AD51" i="1"/>
  <c r="AE708" i="1"/>
  <c r="AD380" i="1"/>
  <c r="AD188" i="1"/>
  <c r="AD33" i="1"/>
  <c r="AD40" i="1"/>
  <c r="AD740" i="1"/>
  <c r="AE729" i="1"/>
  <c r="AD105" i="1"/>
  <c r="AD815" i="1"/>
  <c r="AD60" i="1"/>
  <c r="AD743" i="1"/>
  <c r="AD531" i="1"/>
  <c r="AD274" i="1"/>
  <c r="AD748" i="1"/>
  <c r="AD94" i="1"/>
  <c r="AD775" i="1"/>
  <c r="AD571" i="1"/>
  <c r="AD339" i="1"/>
  <c r="AD293" i="1"/>
  <c r="AD152" i="1"/>
  <c r="AD279" i="1"/>
  <c r="AD76" i="1"/>
  <c r="AD540" i="1"/>
  <c r="AD128" i="1"/>
  <c r="AD494" i="1"/>
  <c r="AD507" i="1"/>
  <c r="AD370" i="1"/>
  <c r="AD801" i="1"/>
  <c r="AD136" i="1"/>
  <c r="AD806" i="1"/>
  <c r="AD790" i="1"/>
  <c r="AD102" i="1"/>
  <c r="AD373" i="1"/>
  <c r="AD133" i="1"/>
  <c r="AD260" i="1"/>
  <c r="AD658" i="1"/>
  <c r="AD768" i="1"/>
  <c r="AD213" i="1"/>
  <c r="AD667" i="1"/>
  <c r="AD31" i="1"/>
  <c r="AD134" i="1"/>
  <c r="AD788" i="1"/>
  <c r="AD192" i="1"/>
  <c r="AD804" i="1"/>
  <c r="AD307" i="1"/>
  <c r="AD808" i="1"/>
  <c r="AD685" i="1"/>
  <c r="AD688" i="1"/>
  <c r="AD777" i="1"/>
  <c r="AD310" i="1"/>
  <c r="AD82" i="1"/>
  <c r="AD810" i="1"/>
  <c r="AD436" i="1"/>
  <c r="AD364" i="1"/>
  <c r="AD791" i="1"/>
  <c r="AD181" i="1"/>
  <c r="AD378" i="1"/>
  <c r="AD379" i="1"/>
  <c r="AD368" i="1"/>
  <c r="AD757" i="1"/>
  <c r="AD684" i="1"/>
  <c r="AD812" i="1"/>
  <c r="AD683" i="1"/>
  <c r="AD131" i="1"/>
  <c r="AD555" i="1"/>
  <c r="AD497" i="1"/>
  <c r="AD719" i="1"/>
  <c r="AD714" i="1"/>
  <c r="AD730" i="1"/>
  <c r="AD548" i="1"/>
  <c r="AD374" i="1"/>
  <c r="AE785" i="1"/>
  <c r="AD672" i="1"/>
  <c r="AD495" i="1"/>
  <c r="AD452" i="1"/>
  <c r="AD715" i="1"/>
  <c r="AD345" i="1"/>
  <c r="AD766" i="1"/>
  <c r="AD80" i="1"/>
  <c r="AD676" i="1"/>
  <c r="AD755" i="1"/>
  <c r="AD355" i="1"/>
  <c r="AD764" i="1"/>
  <c r="AD191" i="1"/>
  <c r="AD311" i="1"/>
  <c r="AD679" i="1"/>
  <c r="AD549" i="1"/>
  <c r="AD308" i="1"/>
  <c r="AD442" i="1"/>
  <c r="AD29" i="1"/>
  <c r="AD455" i="1"/>
  <c r="AD709" i="1"/>
  <c r="AD265" i="1"/>
  <c r="AD389" i="1"/>
  <c r="AD81" i="1"/>
  <c r="AD218" i="1"/>
  <c r="AD377" i="1"/>
  <c r="AD750" i="1"/>
  <c r="AD75" i="1"/>
  <c r="AD268" i="1"/>
  <c r="AD591" i="1"/>
  <c r="AD704" i="1"/>
  <c r="AD498" i="1"/>
  <c r="AD587" i="1"/>
  <c r="AD793" i="1"/>
  <c r="AD503" i="1"/>
  <c r="AD357" i="1"/>
  <c r="AD557" i="1"/>
  <c r="AD74" i="1"/>
  <c r="AD553" i="1"/>
  <c r="AD705" i="1"/>
  <c r="AD784" i="1"/>
  <c r="AD686" i="1"/>
  <c r="AD312" i="1"/>
  <c r="AD493" i="1"/>
  <c r="AD254" i="1"/>
  <c r="AD751" i="1"/>
  <c r="AD533" i="1"/>
  <c r="AD724" i="1"/>
  <c r="AD359" i="1"/>
  <c r="AD267" i="1"/>
  <c r="AD138" i="1"/>
  <c r="AD561" i="1"/>
  <c r="AD470" i="1"/>
  <c r="AD24" i="1"/>
  <c r="AD692" i="1"/>
  <c r="AD700" i="1"/>
  <c r="AD696" i="1"/>
  <c r="AD367" i="1"/>
  <c r="AD317" i="1"/>
  <c r="AD84" i="1"/>
  <c r="AD316" i="1"/>
  <c r="AD140" i="1"/>
  <c r="AD682" i="1"/>
  <c r="AD369" i="1"/>
  <c r="AD137" i="1"/>
  <c r="AD189" i="1"/>
  <c r="AD514" i="1"/>
  <c r="AD226" i="1"/>
  <c r="AD323" i="1"/>
  <c r="AD39" i="1"/>
  <c r="AQ2" i="1"/>
  <c r="AQ1058" i="1"/>
  <c r="AC2" i="1" l="1"/>
  <c r="AC1058" i="1"/>
  <c r="F1078" i="1" s="1"/>
  <c r="AD478" i="1"/>
  <c r="AD687" i="1"/>
  <c r="AD168" i="1"/>
  <c r="AE1058" i="1"/>
  <c r="AD2" i="1" l="1"/>
  <c r="AD1058" i="1"/>
  <c r="F107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rahul</author>
  </authors>
  <commentList>
    <comment ref="AH676" authorId="0" shapeId="0" xr:uid="{8EC786A1-DF67-4864-84F4-E40613C92289}">
      <text>
        <r>
          <rPr>
            <b/>
            <sz val="9"/>
            <color indexed="81"/>
            <rFont val="Tahoma"/>
            <family val="2"/>
          </rPr>
          <t>rahul:</t>
        </r>
        <r>
          <rPr>
            <sz val="9"/>
            <color indexed="81"/>
            <rFont val="Tahoma"/>
            <family val="2"/>
          </rPr>
          <t xml:space="preserve">
Deduction mpg Budhnagar code - 10100044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Satish Sharma</author>
  </authors>
  <commentList>
    <comment ref="W217" authorId="0" shapeId="0" xr:uid="{FCCA0887-292D-4439-A2DF-5A505EA2A0C0}">
      <text>
        <r>
          <rPr>
            <b/>
            <sz val="9"/>
            <rFont val="Tahoma"/>
            <family val="2"/>
          </rPr>
          <t>Satish Sharma:</t>
        </r>
        <r>
          <rPr>
            <sz val="9"/>
            <rFont val="Tahoma"/>
            <family val="2"/>
          </rPr>
          <t xml:space="preserve">
Can deduction as per mail by pandari sir and telephonic discussation</t>
        </r>
      </text>
    </comment>
    <comment ref="W785" authorId="0" shapeId="0" xr:uid="{DDC31DFB-645D-4BE8-8B03-6ECDB1829FC4}">
      <text>
        <r>
          <rPr>
            <b/>
            <sz val="9"/>
            <rFont val="Tahoma"/>
            <family val="2"/>
          </rPr>
          <t>Satish Sharma:</t>
        </r>
        <r>
          <rPr>
            <sz val="9"/>
            <rFont val="Tahoma"/>
            <family val="2"/>
          </rPr>
          <t xml:space="preserve">
Can deduction as per mail by pandari sir and telephonic discussation</t>
        </r>
      </text>
    </comment>
    <comment ref="W1350" authorId="0" shapeId="0" xr:uid="{C58091A2-5D01-4C80-BBB9-1C95DB4A944B}">
      <text>
        <r>
          <rPr>
            <b/>
            <sz val="9"/>
            <rFont val="Tahoma"/>
            <family val="2"/>
          </rPr>
          <t>Satish Sharma:</t>
        </r>
        <r>
          <rPr>
            <sz val="9"/>
            <rFont val="Tahoma"/>
            <family val="2"/>
          </rPr>
          <t xml:space="preserve">
Can deduction as per mail by pandari sir and telephonic discussation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<sst xmlns="http://schemas.openxmlformats.org/spreadsheetml/2006/main" count="27826" uniqueCount="1692">
  <si>
    <t xml:space="preserve">Code </t>
  </si>
  <si>
    <t xml:space="preserve">MPG NAME </t>
  </si>
  <si>
    <t xml:space="preserve">BMC Code </t>
  </si>
  <si>
    <t>status</t>
  </si>
  <si>
    <t>BMC Volume</t>
  </si>
  <si>
    <t>BMC Amount</t>
  </si>
  <si>
    <t>Volume Penalty</t>
  </si>
  <si>
    <t>Net Sahayak Income</t>
  </si>
  <si>
    <t>Payble to Sahyak</t>
  </si>
  <si>
    <t>Particulars</t>
  </si>
  <si>
    <t>Reserve from Std Gain</t>
  </si>
  <si>
    <t>Start Date</t>
  </si>
  <si>
    <t>Farmer Sample Milk</t>
  </si>
  <si>
    <t>New Assets EMI</t>
  </si>
  <si>
    <t>Can Deduction</t>
  </si>
  <si>
    <t>Sahayak Comission @ 0.75/-</t>
  </si>
  <si>
    <t>Std Gain @ 3%</t>
  </si>
  <si>
    <t>VLC Type</t>
  </si>
  <si>
    <t xml:space="preserve">Period </t>
  </si>
  <si>
    <t>Farmer Payment</t>
  </si>
  <si>
    <t>Type</t>
  </si>
  <si>
    <t>Payable</t>
  </si>
  <si>
    <t>Sample Am</t>
  </si>
  <si>
    <t>Loss Apportion</t>
  </si>
  <si>
    <t>CF/Vet Ded</t>
  </si>
  <si>
    <t>Advance</t>
  </si>
  <si>
    <t>Payment to Farmer A/c</t>
  </si>
  <si>
    <t>Payment to MPGs A/c</t>
  </si>
  <si>
    <t>Amount</t>
  </si>
  <si>
    <t xml:space="preserve">Vol Penalty Amount </t>
  </si>
  <si>
    <t>Income</t>
  </si>
  <si>
    <t>Internal</t>
  </si>
  <si>
    <t>MPG Deduction</t>
  </si>
  <si>
    <t>Other Security Deduction</t>
  </si>
  <si>
    <t>TOTAL</t>
  </si>
  <si>
    <t>Area</t>
  </si>
  <si>
    <t>Actual Volume Penalty</t>
  </si>
  <si>
    <t>New Format</t>
  </si>
  <si>
    <t>Reg. Farmers</t>
  </si>
  <si>
    <t>Unreg. Farmers</t>
  </si>
  <si>
    <t>Total farmer</t>
  </si>
  <si>
    <t>Vol</t>
  </si>
  <si>
    <t>Amt</t>
  </si>
  <si>
    <t>Code</t>
  </si>
  <si>
    <t>Stop Payment</t>
  </si>
  <si>
    <t>MPG Sheet</t>
  </si>
  <si>
    <t xml:space="preserve">MPG Payment </t>
  </si>
  <si>
    <t>Proc Cost</t>
  </si>
  <si>
    <t>Less: Penalty</t>
  </si>
  <si>
    <t>Net Proc Cost</t>
  </si>
  <si>
    <t>Unreg. Farmer payment</t>
  </si>
  <si>
    <t>Closing Reserve</t>
  </si>
  <si>
    <t xml:space="preserve">Payment relase </t>
  </si>
  <si>
    <t>Balance Recoverable Value</t>
  </si>
  <si>
    <t xml:space="preserve">Old Can </t>
  </si>
  <si>
    <t>Amcu new</t>
  </si>
  <si>
    <t xml:space="preserve">PCB Deduction </t>
  </si>
  <si>
    <t>PCB Ded</t>
  </si>
  <si>
    <t>Net Payble</t>
  </si>
  <si>
    <t>Net Payable</t>
  </si>
  <si>
    <t>Total Deductable Amt</t>
  </si>
  <si>
    <t>Amcu type</t>
  </si>
  <si>
    <t>Munger</t>
  </si>
  <si>
    <t>Owner</t>
  </si>
  <si>
    <t>Consumables</t>
  </si>
  <si>
    <t>Yes</t>
  </si>
  <si>
    <t>Release2</t>
  </si>
  <si>
    <t>Hold</t>
  </si>
  <si>
    <t>Release1</t>
  </si>
  <si>
    <t>Std gain @ 0.95/-</t>
  </si>
  <si>
    <t>MCC Name</t>
  </si>
  <si>
    <t>Other Ded</t>
  </si>
  <si>
    <t>Others</t>
  </si>
  <si>
    <t>New Code</t>
  </si>
  <si>
    <t>Old Code</t>
  </si>
  <si>
    <t>AMC from MPG @ 0.10/-</t>
  </si>
  <si>
    <t>Grand Total</t>
  </si>
  <si>
    <t>Values</t>
  </si>
  <si>
    <t>MCC</t>
  </si>
  <si>
    <t xml:space="preserve"> BMC Volume</t>
  </si>
  <si>
    <t xml:space="preserve"> BMC Amount</t>
  </si>
  <si>
    <t xml:space="preserve"> Sahayak Comission @ 0.75/-</t>
  </si>
  <si>
    <t xml:space="preserve"> Std gain @ 0.95/-</t>
  </si>
  <si>
    <t xml:space="preserve"> Farmer Sample Milk</t>
  </si>
  <si>
    <t xml:space="preserve"> Actual Volume Penalty</t>
  </si>
  <si>
    <t xml:space="preserve"> Net Sahayak Income</t>
  </si>
  <si>
    <t xml:space="preserve"> New Assets EMI</t>
  </si>
  <si>
    <t xml:space="preserve"> Can Deduction</t>
  </si>
  <si>
    <t xml:space="preserve"> PCB Ded</t>
  </si>
  <si>
    <t xml:space="preserve"> Consumables</t>
  </si>
  <si>
    <t xml:space="preserve"> Net Payble</t>
  </si>
  <si>
    <t>Majhaul</t>
  </si>
  <si>
    <t>MPG</t>
  </si>
  <si>
    <t>Direct</t>
  </si>
  <si>
    <t>Gomukh Kumbhi</t>
  </si>
  <si>
    <t>Gomukh Amba</t>
  </si>
  <si>
    <t xml:space="preserve">Gomukh Jagdar                                                                                       </t>
  </si>
  <si>
    <t>Gomukh Goriyari</t>
  </si>
  <si>
    <t>Indirect</t>
  </si>
  <si>
    <t>Ekamba - Ashutosh</t>
  </si>
  <si>
    <t>Gomukh Dunahi</t>
  </si>
  <si>
    <t xml:space="preserve">GOMUKH BIRPUR PASCHIM                                                                               </t>
  </si>
  <si>
    <t>Gomukh Sherpur</t>
  </si>
  <si>
    <t>Laldiyara</t>
  </si>
  <si>
    <t>PIPARIYA DIH -2</t>
  </si>
  <si>
    <t>LAL DIYARA -1</t>
  </si>
  <si>
    <t>SABIKPUR</t>
  </si>
  <si>
    <t>GANGA KINARE KHUTHA</t>
  </si>
  <si>
    <t>Gomukh ID Khutaha Ganga</t>
  </si>
  <si>
    <t>Gomukh ID Khutaha Dhih</t>
  </si>
  <si>
    <t xml:space="preserve">GOMUKH  LALDIYARA TIRASHI                                                                           </t>
  </si>
  <si>
    <t>GOMUKH  LALDIYARA PURBI</t>
  </si>
  <si>
    <t>GOMUKH RAMCHANDARPUR II</t>
  </si>
  <si>
    <t>MOHANPUR</t>
  </si>
  <si>
    <t>Gomukh Dariyapur</t>
  </si>
  <si>
    <t>Juwas</t>
  </si>
  <si>
    <t>Morwariya</t>
  </si>
  <si>
    <t>Dumri 2</t>
  </si>
  <si>
    <t>Gomukh Jhakhaur</t>
  </si>
  <si>
    <t>Gomukh Repura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</si>
  <si>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</si>
  <si>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</si>
  <si>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</si>
  <si>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</si>
  <si>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LODIYA</t>
  </si>
  <si>
    <t>ADARSH LAXMIPUR-3</t>
  </si>
  <si>
    <t>BHANPUR</t>
  </si>
  <si>
    <t xml:space="preserve">DIYARA PIPARIYA-THANA                                                                               </t>
  </si>
  <si>
    <t>GADHTOLA</t>
  </si>
  <si>
    <t>Diyara-Pipariya-Utri - Chandan</t>
  </si>
  <si>
    <t>KANHARPUR-2</t>
  </si>
  <si>
    <t>BASAUNA</t>
  </si>
  <si>
    <t>GANGA-SARAI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</si>
  <si>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</si>
  <si>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</si>
  <si>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</si>
  <si>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ADARSH LAXMIPUR-2</t>
  </si>
  <si>
    <t>Asarganj</t>
  </si>
  <si>
    <t>CHATMADIH</t>
  </si>
  <si>
    <t>SIYADIH</t>
  </si>
  <si>
    <t>Gomukh ID Laldiyara</t>
  </si>
  <si>
    <t>KATHNI</t>
  </si>
  <si>
    <t>DEVDHA GOMUKH MPG</t>
  </si>
  <si>
    <t>LOHRA</t>
  </si>
  <si>
    <t>KAMATPUR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</si>
  <si>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</si>
  <si>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</si>
  <si>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</si>
  <si>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</si>
  <si>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</si>
  <si>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</si>
  <si>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</si>
  <si>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</si>
  <si>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</si>
  <si>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</si>
  <si>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</si>
  <si>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</si>
  <si>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</si>
  <si>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</si>
  <si>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</si>
  <si>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</si>
  <si>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</si>
  <si>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</si>
  <si>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</si>
  <si>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</si>
  <si>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</si>
  <si>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</si>
  <si>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</si>
  <si>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</si>
  <si>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</si>
  <si>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</si>
  <si>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PAIN</t>
  </si>
  <si>
    <t>MOTICHAK</t>
  </si>
  <si>
    <t>MIRATTHI</t>
  </si>
  <si>
    <t>DAULATPUR</t>
  </si>
  <si>
    <t>MOHADDIPUR</t>
  </si>
  <si>
    <t>JHAJHA</t>
  </si>
  <si>
    <t>KAMARDUH</t>
  </si>
  <si>
    <t>BARSABAD</t>
  </si>
  <si>
    <t>Sonvarsha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</si>
  <si>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</si>
  <si>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</si>
  <si>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</si>
  <si>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</si>
  <si>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</si>
  <si>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</si>
  <si>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</si>
  <si>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</si>
  <si>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Husaina</t>
  </si>
  <si>
    <t>Gomukh ID Prarotol</t>
  </si>
  <si>
    <t>MAA SARDE</t>
  </si>
  <si>
    <t>PURANI DIH</t>
  </si>
  <si>
    <t>Gomukh Puranidih 2</t>
  </si>
  <si>
    <t>Gomukh Arma</t>
  </si>
  <si>
    <t>Singhchak</t>
  </si>
  <si>
    <t>MAHA-LAXMI</t>
  </si>
  <si>
    <t>PAWAI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</si>
  <si>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</si>
  <si>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</si>
  <si>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RANDHIR KUMAR(VLC)</t>
  </si>
  <si>
    <t>MALIYA</t>
  </si>
  <si>
    <t>MAHULIYA</t>
  </si>
  <si>
    <t xml:space="preserve">ABGIL HUSSAINA-2                                                                                    </t>
  </si>
  <si>
    <t>Araria</t>
  </si>
  <si>
    <t>Gomukh ID Araria</t>
  </si>
  <si>
    <t>Gomukh ID Chaidha</t>
  </si>
  <si>
    <t>Gomukh ID Pakrail</t>
  </si>
  <si>
    <t>Gomukh ID Pipra</t>
  </si>
  <si>
    <t xml:space="preserve">Gomukh Fatepur                                                                                      </t>
  </si>
  <si>
    <t>Gomukh Gauchhari</t>
  </si>
  <si>
    <t>Gomukh Arariya Karjaniya</t>
  </si>
  <si>
    <t>Gomukh Aariya Dummer Kothi</t>
  </si>
  <si>
    <t>Gomukh Balha</t>
  </si>
  <si>
    <t>Haripur - Sanjay</t>
  </si>
  <si>
    <t>Araria - Ankesh</t>
  </si>
  <si>
    <t>Gomukh Kabela                                                                                       </t>
  </si>
  <si>
    <t>Gomukh Sapha</t>
  </si>
  <si>
    <t>Teghra</t>
  </si>
  <si>
    <t>Labherchak</t>
  </si>
  <si>
    <t>Paspura</t>
  </si>
  <si>
    <t>Gomukh Godhna</t>
  </si>
  <si>
    <t>Gomukh Sihma 2</t>
  </si>
  <si>
    <t>Gomukh ID Marsaito</t>
  </si>
  <si>
    <t>Gomukh ID Akashpur</t>
  </si>
  <si>
    <t>Gomukh ID Rachiyahi</t>
  </si>
  <si>
    <t>GomukhBariyahi Chanan</t>
  </si>
  <si>
    <t>GomukhGehuni</t>
  </si>
  <si>
    <t>Gomukh Handalpur</t>
  </si>
  <si>
    <t>Gomukh Bakhatpur</t>
  </si>
  <si>
    <t>Gomukh Ramdiri</t>
  </si>
  <si>
    <t>Ananaya Dairy</t>
  </si>
  <si>
    <t>Gomukh Bishanpur</t>
  </si>
  <si>
    <t>Gomukh Jamalpur</t>
  </si>
  <si>
    <t>GOMUKH BEGAMSARAI</t>
  </si>
  <si>
    <t>Adharpur - Manish</t>
  </si>
  <si>
    <t>GOMUKH RANI 3</t>
  </si>
  <si>
    <t>Gomukh Ramchandarpur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</si>
  <si>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</si>
  <si>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</si>
  <si>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</si>
  <si>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</si>
  <si>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>GOMUKH ROOPNAGAR</t>
  </si>
  <si>
    <t>GOMUKH HADIPUR</t>
  </si>
  <si>
    <t>Gomukh Harichak</t>
  </si>
  <si>
    <t>Halsi</t>
  </si>
  <si>
    <t>POHE</t>
  </si>
  <si>
    <t>AURO</t>
  </si>
  <si>
    <t>PARSHAMA</t>
  </si>
  <si>
    <t>PRATAPUR 2</t>
  </si>
  <si>
    <t>BALLOPUR</t>
  </si>
  <si>
    <t>KHAIRMA</t>
  </si>
  <si>
    <t>MAHASONI</t>
  </si>
  <si>
    <t>SONDHI</t>
  </si>
  <si>
    <t>BELDARAYA</t>
  </si>
  <si>
    <t>Gomukh ID Aure-2</t>
  </si>
  <si>
    <t>Gomukh Karma</t>
  </si>
  <si>
    <t>GOMUKH UKSI</t>
  </si>
  <si>
    <t>Gomukh ID Halsi</t>
  </si>
  <si>
    <t>KHURIYARI</t>
  </si>
  <si>
    <t>BISANPUR</t>
  </si>
  <si>
    <t>BEHRAMA</t>
  </si>
  <si>
    <t>Gomukh ID Kurha Dih</t>
  </si>
  <si>
    <t>RAMNAGAR</t>
  </si>
  <si>
    <t>SANDH MAAF 2</t>
  </si>
  <si>
    <t xml:space="preserve">TAAL-SHAHARSHA                                                                                      </t>
  </si>
  <si>
    <t>Dhira</t>
  </si>
  <si>
    <t>AZADNAGAR(VLC)</t>
  </si>
  <si>
    <t>REWAI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</si>
  <si>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</si>
  <si>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</si>
  <si>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</si>
  <si>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Gomukh Madhawpur</t>
  </si>
  <si>
    <t>Gomukh Muradpur</t>
  </si>
  <si>
    <t>Gomukh Salarpur Uttari</t>
  </si>
  <si>
    <t>Gomukh Kanhaiyachak Pachhim</t>
  </si>
  <si>
    <t>Gomukh Dumariya Bujurg</t>
  </si>
  <si>
    <t xml:space="preserve">Gomukh Bandahera                                                                                    </t>
  </si>
  <si>
    <t>RMC</t>
  </si>
  <si>
    <t>Gomukh Basudevpur</t>
  </si>
  <si>
    <t>Gomukh Fudkichak</t>
  </si>
  <si>
    <t>Gomukh Tehay</t>
  </si>
  <si>
    <t>Sahibpur Kamal</t>
  </si>
  <si>
    <t>Gomukh Mahendrapur</t>
  </si>
  <si>
    <t>Gomukh Balahpur</t>
  </si>
  <si>
    <t>Gomukh Danauli</t>
  </si>
  <si>
    <t>NAYAGAW</t>
  </si>
  <si>
    <t>Dandari</t>
  </si>
  <si>
    <t xml:space="preserve">Gomukh Mohanpur                                                                                     </t>
  </si>
  <si>
    <t>Gomukh Raghunathpur</t>
  </si>
  <si>
    <t>Gomukh Chhitraur</t>
  </si>
  <si>
    <t>Gomukh Khorampur Chakaur</t>
  </si>
  <si>
    <t>GOMUKH Mathar</t>
  </si>
  <si>
    <t>Gomukh Sanhatol</t>
  </si>
  <si>
    <t>Gomukh Sonapur</t>
  </si>
  <si>
    <t>Gomukh Barkhandi 2</t>
  </si>
  <si>
    <t>Gomukh Sahibpur</t>
  </si>
  <si>
    <t xml:space="preserve">Gomukh Fatehpur                                                                                     </t>
  </si>
  <si>
    <t>GOMUKH KATAHRI</t>
  </si>
  <si>
    <t>GOMUKH Mathar Ward 10</t>
  </si>
  <si>
    <t>GOMUKH Tartor 2</t>
  </si>
  <si>
    <t>Gomukh Chaidha</t>
  </si>
  <si>
    <t>Gomukh Bakiya</t>
  </si>
  <si>
    <t>Gomukh Sadpur</t>
  </si>
  <si>
    <t>GOMUKH SRINAGAR</t>
  </si>
  <si>
    <t>GOMUKH THATHA</t>
  </si>
  <si>
    <t>GOMUKH GARHIYA</t>
  </si>
  <si>
    <t>DalsinghSarai</t>
  </si>
  <si>
    <t>GOMUKH SUBHANPUR</t>
  </si>
  <si>
    <t>GOMUKH  BHAJANGAMA</t>
  </si>
  <si>
    <t>Gomukh Basadhiya Kurni</t>
  </si>
  <si>
    <t>KHAJURI</t>
  </si>
  <si>
    <t>ARMAULI-2</t>
  </si>
  <si>
    <t>MUSAPUR - 2</t>
  </si>
  <si>
    <t>Janganath Pur</t>
  </si>
  <si>
    <t>Sato Ghachchhi</t>
  </si>
  <si>
    <t>Bhatgama</t>
  </si>
  <si>
    <t>Borna Rasalpur</t>
  </si>
  <si>
    <t>Rasalpur</t>
  </si>
  <si>
    <t>Narahan</t>
  </si>
  <si>
    <t>Gomukh Dumduma</t>
  </si>
  <si>
    <t>SUPOL</t>
  </si>
  <si>
    <t>BHUSARAI</t>
  </si>
  <si>
    <t>Gomukha Jounapur</t>
  </si>
  <si>
    <t>Patailliya</t>
  </si>
  <si>
    <t>Badiya</t>
  </si>
  <si>
    <t>Gomukh Tabhka</t>
  </si>
  <si>
    <t xml:space="preserve">RAMNATHPUR                                                                                          </t>
  </si>
  <si>
    <t>KEWAS JAGIR</t>
  </si>
  <si>
    <t>DESUA</t>
  </si>
  <si>
    <t>Matior</t>
  </si>
  <si>
    <t>TELGAMA</t>
  </si>
  <si>
    <t>GOMUKH TATARPUR</t>
  </si>
  <si>
    <t>Gomukh Ghataho</t>
  </si>
  <si>
    <t>Kacha - Amarjeet</t>
  </si>
  <si>
    <t>Simri - Suman</t>
  </si>
  <si>
    <t>Narenpur</t>
  </si>
  <si>
    <t>Mordiba</t>
  </si>
  <si>
    <t>Jagdispur</t>
  </si>
  <si>
    <t>Baruna Rasalpur</t>
  </si>
  <si>
    <t>Chaklal Sahi_Vikrant</t>
  </si>
  <si>
    <t>Piparpaati</t>
  </si>
  <si>
    <t>Suratpur</t>
  </si>
  <si>
    <t>Ballochak</t>
  </si>
  <si>
    <t>Musrigharari</t>
  </si>
  <si>
    <t>GOMUKH BANGHARH KISHANPUR</t>
  </si>
  <si>
    <t>Gomukh Serpur Narsari</t>
  </si>
  <si>
    <t>PARORIYA</t>
  </si>
  <si>
    <t>JHAKHRA</t>
  </si>
  <si>
    <t>GOMUKH ANDAHA</t>
  </si>
  <si>
    <t>Gomukha Rohua</t>
  </si>
  <si>
    <t>Gomukha Arniya Ganj</t>
  </si>
  <si>
    <t>Gomukha Vishanupatti II</t>
  </si>
  <si>
    <t>Gomukh Khesarhiya</t>
  </si>
  <si>
    <t>Harsingpur</t>
  </si>
  <si>
    <t>Gomukh ID Mahathi</t>
  </si>
  <si>
    <t>MURTUJAPUR</t>
  </si>
  <si>
    <t xml:space="preserve">Chhuchhipur                                                                                         </t>
  </si>
  <si>
    <t>Gomukh ID Sararanjan</t>
  </si>
  <si>
    <t>Birnama</t>
  </si>
  <si>
    <t>Maraie - Rubi</t>
  </si>
  <si>
    <t>Arniya East Tola - Seema</t>
  </si>
  <si>
    <t>Lakshmipur Western Tol - Rajeev</t>
  </si>
  <si>
    <t>Jahangipur Salkhanni</t>
  </si>
  <si>
    <t>Sekhpura</t>
  </si>
  <si>
    <t>Kamtaul</t>
  </si>
  <si>
    <t>Songar</t>
  </si>
  <si>
    <t>Rampur Maheshpur</t>
  </si>
  <si>
    <t>Godhiyari</t>
  </si>
  <si>
    <t>Dumraon</t>
  </si>
  <si>
    <t>Simri</t>
  </si>
  <si>
    <t>Sahiyar</t>
  </si>
  <si>
    <t>ENGLISH DUBAULI</t>
  </si>
  <si>
    <t>Ramo Bariya</t>
  </si>
  <si>
    <t>HITAN PARARI</t>
  </si>
  <si>
    <t>DULLAHPUR2</t>
  </si>
  <si>
    <t>Gangauli</t>
  </si>
  <si>
    <t>MATHURA DERA</t>
  </si>
  <si>
    <t>HEMDAPUR</t>
  </si>
  <si>
    <t>Chaugain</t>
  </si>
  <si>
    <t>Akalupur</t>
  </si>
  <si>
    <t>Chhotka Sihanpura</t>
  </si>
  <si>
    <t>Dharauli</t>
  </si>
  <si>
    <t>Kaithi</t>
  </si>
  <si>
    <t>Rangi Dera</t>
  </si>
  <si>
    <t>Dubki</t>
  </si>
  <si>
    <t>Sonvarsa</t>
  </si>
  <si>
    <t>Soan</t>
  </si>
  <si>
    <t xml:space="preserve">PURANA BHOJPUR                                                                                      </t>
  </si>
  <si>
    <t>Gomukh Kant</t>
  </si>
  <si>
    <t>Gomukh Naat</t>
  </si>
  <si>
    <t>Gomukh Tilakraika Hata 1 - Manoj</t>
  </si>
  <si>
    <t>Gomukh Murar</t>
  </si>
  <si>
    <t xml:space="preserve">Gomukh Churamanpur                                                                                  </t>
  </si>
  <si>
    <t>Gomukh Dhakaich</t>
  </si>
  <si>
    <t>KUMARPUIR KATHARA</t>
  </si>
  <si>
    <t>KUDHIYA MPG</t>
  </si>
  <si>
    <t>SHAHJADPUR MPG</t>
  </si>
  <si>
    <t>FARDA - 3</t>
  </si>
  <si>
    <t>MANIKPUR</t>
  </si>
  <si>
    <t>JAKARPURA</t>
  </si>
  <si>
    <t>NANDPUR</t>
  </si>
  <si>
    <t>NOWAGADHI</t>
  </si>
  <si>
    <t>MAHADAT PUR 2</t>
  </si>
  <si>
    <t>SONBARSHA 1</t>
  </si>
  <si>
    <t>Gauripur</t>
  </si>
  <si>
    <t>Bhramarpur</t>
  </si>
  <si>
    <t>Gomukh Sadananpur</t>
  </si>
  <si>
    <t>TILAKPUR  2</t>
  </si>
  <si>
    <t>TILAKPUR</t>
  </si>
  <si>
    <t>Prasharpur Kadwa Gomukh</t>
  </si>
  <si>
    <t>Borwa Tola Gomukh</t>
  </si>
  <si>
    <t>KUNTHA M</t>
  </si>
  <si>
    <t>ARAK</t>
  </si>
  <si>
    <t>Diyaman</t>
  </si>
  <si>
    <t>HENHA</t>
  </si>
  <si>
    <t>Gomukh Kajipura Chandan</t>
  </si>
  <si>
    <t xml:space="preserve">Manish Dairy                                                                                        </t>
  </si>
  <si>
    <t>Jhakhra-Rambilash</t>
  </si>
  <si>
    <t>Kulharia Agriculture Producer Company Limited</t>
  </si>
  <si>
    <t>MPG Code</t>
  </si>
  <si>
    <t>Milk Cans</t>
  </si>
  <si>
    <t>AMCU</t>
  </si>
  <si>
    <t>Gomukh Bhith-02</t>
  </si>
  <si>
    <t>Gomukh Krochaka Dudhela</t>
  </si>
  <si>
    <t>GOMUKH SANHA NAYATOLA</t>
  </si>
  <si>
    <t>Gomukh Gopalpur</t>
  </si>
  <si>
    <t>SRI RAM SINGH(VLC)</t>
  </si>
  <si>
    <t>SHIKARITOLA</t>
  </si>
  <si>
    <t>Gomukh Durgapur</t>
  </si>
  <si>
    <t>Desu Balo Tol</t>
  </si>
  <si>
    <t>Beri</t>
  </si>
  <si>
    <t>Simri-Rupesh</t>
  </si>
  <si>
    <t>Assets Value</t>
  </si>
  <si>
    <t>Remarks</t>
  </si>
  <si>
    <t>Gomukh Menhan</t>
  </si>
  <si>
    <t>Mahmmadipur</t>
  </si>
  <si>
    <t>Gomukh Banswar</t>
  </si>
  <si>
    <t>GONAI</t>
  </si>
  <si>
    <t>Dumri Purvi Tola</t>
  </si>
  <si>
    <t>BHANDAR</t>
  </si>
  <si>
    <t>Gomukh Sondiha</t>
  </si>
  <si>
    <t>EMI</t>
  </si>
  <si>
    <t>Recovery from Milk</t>
  </si>
  <si>
    <t>EMI Recovery</t>
  </si>
  <si>
    <t>Inward Penalty</t>
  </si>
  <si>
    <t>Total</t>
  </si>
  <si>
    <t>Gomukh Sharmatola Sahuri</t>
  </si>
  <si>
    <t>Sangat- Sanjeev Kumar</t>
  </si>
  <si>
    <t>CHETAN-TOLA-KHUTHA</t>
  </si>
  <si>
    <t>Net Recovered</t>
  </si>
  <si>
    <t>Recovery from Com</t>
  </si>
  <si>
    <t>Cow Segre %</t>
  </si>
  <si>
    <t>Chakmilki</t>
  </si>
  <si>
    <t>RAMDIH Ajit Kumar</t>
  </si>
  <si>
    <t>Gomukh Mangolpur</t>
  </si>
  <si>
    <t>Gomukh Basaon Kalan</t>
  </si>
  <si>
    <t>Gomukh Paharpur</t>
  </si>
  <si>
    <t>Gomukh Dafadihari</t>
  </si>
  <si>
    <t>Irregular Pourer</t>
  </si>
  <si>
    <t>No of pouring shift</t>
  </si>
  <si>
    <t>Bagaraha-Gopal Yadav</t>
  </si>
  <si>
    <t>RAJ BHARDWAJ</t>
  </si>
  <si>
    <t>Gomukh Dhanipur</t>
  </si>
  <si>
    <t>Gomukh Amarpur</t>
  </si>
  <si>
    <t>NARAYANPUR</t>
  </si>
  <si>
    <t>Gomukh Rakshanagar_tola</t>
  </si>
  <si>
    <t>LAXMIPUR</t>
  </si>
  <si>
    <t>KASBA(MANGOAN)</t>
  </si>
  <si>
    <t>Gomukh Garhi Bisanpur</t>
  </si>
  <si>
    <t>Gomukh Barkurwa</t>
  </si>
  <si>
    <t>BAIKUNTHPUR</t>
  </si>
  <si>
    <t>KAITHA</t>
  </si>
  <si>
    <t>AKHA-KURHA</t>
  </si>
  <si>
    <t>BASMATIYA</t>
  </si>
  <si>
    <t>Gomukh Barauni 3</t>
  </si>
  <si>
    <t>Gomukh Koniya</t>
  </si>
  <si>
    <t>GOMUKH ROHUA</t>
  </si>
  <si>
    <t>GOMUKH LAXMIPUR</t>
  </si>
  <si>
    <t>Gomukh Kewasnijamat</t>
  </si>
  <si>
    <t>Gomukh Akaha</t>
  </si>
  <si>
    <t>Vishnupur Kowahi</t>
  </si>
  <si>
    <t>Nauachak-Pankaj</t>
  </si>
  <si>
    <t>Gomukh Nadaon</t>
  </si>
  <si>
    <t>REHUA RK</t>
  </si>
  <si>
    <t>Gomukh ID Mathurapur</t>
  </si>
  <si>
    <t>CHANDAN YADAV</t>
  </si>
  <si>
    <t>DINESH YADAV</t>
  </si>
  <si>
    <t>ANITA DEVI</t>
  </si>
  <si>
    <t>Gomukh Sirdulpur 2</t>
  </si>
  <si>
    <t>GANOUL</t>
  </si>
  <si>
    <t>GOMUKH WESTOL</t>
  </si>
  <si>
    <t>Telouch</t>
  </si>
  <si>
    <t>GOMUKH BACHOTA</t>
  </si>
  <si>
    <t>Gomukh Jhaura Tabhka</t>
  </si>
  <si>
    <t>TILATHI</t>
  </si>
  <si>
    <t>Gomukh Thebhay B</t>
  </si>
  <si>
    <t>Gomukh Baisa</t>
  </si>
  <si>
    <t>GOMUKH CHATAR</t>
  </si>
  <si>
    <t>GOMUKH BATHNAMA</t>
  </si>
  <si>
    <t>Gomukh Mohanpur</t>
  </si>
  <si>
    <t>Gomukh Dalsagar Pachhim</t>
  </si>
  <si>
    <t>Gomukh Badkagaon Yamunatola</t>
  </si>
  <si>
    <t>Other</t>
  </si>
  <si>
    <t>HDFC</t>
  </si>
  <si>
    <t>OTHER</t>
  </si>
  <si>
    <t>AKHA KURHA</t>
  </si>
  <si>
    <t>Gomukh Bochaha</t>
  </si>
  <si>
    <t>Gomukh Chapra</t>
  </si>
  <si>
    <t>GOMUKH TILAK NAGAR</t>
  </si>
  <si>
    <t>Gomukh Gangapur</t>
  </si>
  <si>
    <t>Gomukh Morwa Mohanpur</t>
  </si>
  <si>
    <t>Gomukh Bramhpur</t>
  </si>
  <si>
    <t>RAGHUNATHPUR</t>
  </si>
  <si>
    <t>Gomukh Jhangara B</t>
  </si>
  <si>
    <t>NAWKADIH</t>
  </si>
  <si>
    <t>Gomukh Mashariya</t>
  </si>
  <si>
    <t>Kamla- Amarjeet</t>
  </si>
  <si>
    <t>Gomukh Goha-02</t>
  </si>
  <si>
    <t>Gomukh Nipur</t>
  </si>
  <si>
    <t>Gomukh Cheria Bariarpur</t>
  </si>
  <si>
    <t>SANGRAMPUR</t>
  </si>
  <si>
    <t>GOMUKH CHASMASKAN</t>
  </si>
  <si>
    <t xml:space="preserve">KHARAGWADA </t>
  </si>
  <si>
    <t>Gomukh Terganj</t>
  </si>
  <si>
    <t xml:space="preserve"> Gomukh Nauranga</t>
  </si>
  <si>
    <t>GOMUKH Chiranjipur</t>
  </si>
  <si>
    <t>Gomukh Dhoriya Dadpur -VLC</t>
  </si>
  <si>
    <t>Kalyanpur</t>
  </si>
  <si>
    <t>Gomukh CHANDAULI</t>
  </si>
  <si>
    <t>GOMUKH HATHA</t>
  </si>
  <si>
    <t>GOMUKH VADEYA</t>
  </si>
  <si>
    <t>GOMUKH CHANDPURA</t>
  </si>
  <si>
    <t>GOMUKH BARGAMA</t>
  </si>
  <si>
    <t>Gomukh Gograha Tola</t>
  </si>
  <si>
    <t>Gomukh Patsara</t>
  </si>
  <si>
    <t>Gomukh Singhiya</t>
  </si>
  <si>
    <t xml:space="preserve">Gomukh BALHA </t>
  </si>
  <si>
    <t>Gomukh Namapur 2</t>
  </si>
  <si>
    <t>Gomukh Madhopur</t>
  </si>
  <si>
    <t>Gomukh Kalyanpur East</t>
  </si>
  <si>
    <t>Gomukh Bazidpur</t>
  </si>
  <si>
    <t>Gomukh Belsandi</t>
  </si>
  <si>
    <t>Gomukh Namapur Ward 8</t>
  </si>
  <si>
    <t>Gomukh Bhagwanpur</t>
  </si>
  <si>
    <t>Belsandi</t>
  </si>
  <si>
    <t>CHANNAYA</t>
  </si>
  <si>
    <t>Gomukh Pachkhutti Jorabarpur</t>
  </si>
  <si>
    <t>GOMUKH FATEHA SALEMPUR</t>
  </si>
  <si>
    <t>UFFAPUR</t>
  </si>
  <si>
    <t>GOMUKH NAYAGAON 2</t>
  </si>
  <si>
    <t>Gomukh Belsandi East</t>
  </si>
  <si>
    <t>Gomukh Belsandi West Tola</t>
  </si>
  <si>
    <t>Gomukh Pakrail Vijay Nagar VLC</t>
  </si>
  <si>
    <t>Gomukh Bagraha-01</t>
  </si>
  <si>
    <t>BANGAMA</t>
  </si>
  <si>
    <t>KORIYA</t>
  </si>
  <si>
    <t>GOMUKH KAJITOLA</t>
  </si>
  <si>
    <t>Gomukh Godhiyasi Nayagow VLC</t>
  </si>
  <si>
    <t>Hasanpur - Abhijeet</t>
  </si>
  <si>
    <t>Gomukh Chhatauna East</t>
  </si>
  <si>
    <t>Gomukh Sahu Tol</t>
  </si>
  <si>
    <t>Gomukh Sherpur Narsari East</t>
  </si>
  <si>
    <t>Gomukh Saidpur</t>
  </si>
  <si>
    <t>Gomukh Bharkhar</t>
  </si>
  <si>
    <t>Gomukh Rampur</t>
  </si>
  <si>
    <t>Gomukh Bharav</t>
  </si>
  <si>
    <t>Gomukh Khanjapur Bangali Tola</t>
  </si>
  <si>
    <t>Gomukh Gogri</t>
  </si>
  <si>
    <t>GOMUKH GEHUNI 2</t>
  </si>
  <si>
    <t>GOMUKH MALHIPUR</t>
  </si>
  <si>
    <t>BIHRAURA</t>
  </si>
  <si>
    <t>SHIJHORI</t>
  </si>
  <si>
    <t>GOMUKH HANSPUR</t>
  </si>
  <si>
    <t>GOMUKH LABHGAON</t>
  </si>
  <si>
    <t>GOMUKH TATRABAD</t>
  </si>
  <si>
    <t>GOMUKH BADIL TOL</t>
  </si>
  <si>
    <t>GOMUKH TRIBHUVAN TOLA</t>
  </si>
  <si>
    <t>GOMUKH AHUNA</t>
  </si>
  <si>
    <t>GOMUKH SHADIPUR</t>
  </si>
  <si>
    <t>GOMUKH ASHRAPHA DIYARA</t>
  </si>
  <si>
    <t>GOMUKH MANIAPPA</t>
  </si>
  <si>
    <t>GOMUKH JALALPUR</t>
  </si>
  <si>
    <t>Gomukh KritSagar</t>
  </si>
  <si>
    <t>Gomukh Suraundha</t>
  </si>
  <si>
    <t>Gomukh Semra Nandpur</t>
  </si>
  <si>
    <t>Gomukh Harpur</t>
  </si>
  <si>
    <t>Gomukh Fulhatta</t>
  </si>
  <si>
    <t>Gomukh Birauli Khurd</t>
  </si>
  <si>
    <t>Gomukh Bedauliya</t>
  </si>
  <si>
    <t>Gomukh Khanua</t>
  </si>
  <si>
    <t>Gomukh Punas</t>
  </si>
  <si>
    <t>Gomukh Dighra</t>
  </si>
  <si>
    <t>Belsandi 3</t>
  </si>
  <si>
    <t>AMCU ded from Milk Bill</t>
  </si>
  <si>
    <t>AMCU ded from Commission</t>
  </si>
  <si>
    <t>Total AMCU Deduction</t>
  </si>
  <si>
    <t>Recommendation</t>
  </si>
  <si>
    <t>Vikash Kumar</t>
  </si>
  <si>
    <t>Karari Pipariya 2</t>
  </si>
  <si>
    <t>Farda Ravi Tola</t>
  </si>
  <si>
    <t>Chak Punervas</t>
  </si>
  <si>
    <t>Prashant Kumar</t>
  </si>
  <si>
    <t>Vishan Pur</t>
  </si>
  <si>
    <t>Gomukh Govind Pur</t>
  </si>
  <si>
    <t>Rahimpur Pachkhutti</t>
  </si>
  <si>
    <t>GOMUKH Nista Tol</t>
  </si>
  <si>
    <t>Gomukh Rahimpur Dakshin</t>
  </si>
  <si>
    <t>Nagargama</t>
  </si>
  <si>
    <t xml:space="preserve">Gomukh Soharthi Purvi Tola                                                                          </t>
  </si>
  <si>
    <t>Gomukh Ekauni Karuwaj</t>
  </si>
  <si>
    <t>Gomukh Sikraul Lakh</t>
  </si>
  <si>
    <t>Gaachhi Tola</t>
  </si>
  <si>
    <t>Sheela Devi</t>
  </si>
  <si>
    <t>Gomukh Vijay Lalganj</t>
  </si>
  <si>
    <t>Gomukh Sarswati Nagar Nakdahri</t>
  </si>
  <si>
    <t>Dhobina Basa</t>
  </si>
  <si>
    <t>Gomukh Shreepur Madhay</t>
  </si>
  <si>
    <t>vlc</t>
  </si>
  <si>
    <t>GOMUKH KAMALPUR</t>
  </si>
  <si>
    <t>LADHAUNA</t>
  </si>
  <si>
    <t>Gomukh Ataon</t>
  </si>
  <si>
    <t>Gomukh Loharkha</t>
  </si>
  <si>
    <t>Basuwari</t>
  </si>
  <si>
    <t>Gomukh Bandehra Purbi</t>
  </si>
  <si>
    <t>Gomukh Tila Tol</t>
  </si>
  <si>
    <t>GOMUKH BISHANPUR 2</t>
  </si>
  <si>
    <t>GOMUKH SAIDPUR SAMASTIPUR</t>
  </si>
  <si>
    <t>Gomukh Gaopur Bhagwatpur</t>
  </si>
  <si>
    <t>Gomukh Pirauna</t>
  </si>
  <si>
    <t>Parra- Nagendra Kumar</t>
  </si>
  <si>
    <t>Rasalpur - Durgesh Kumar</t>
  </si>
  <si>
    <t>GOMUKH DHUSMURI BISHANPUR</t>
  </si>
  <si>
    <t>GOMUKH HANUMAN NAGAR</t>
  </si>
  <si>
    <t>Gumukh Gayghat</t>
  </si>
  <si>
    <t>Gomukh Shivpur</t>
  </si>
  <si>
    <t>GOMUKH HARPUR W-13</t>
  </si>
  <si>
    <t>GOMUKH MILKI</t>
  </si>
  <si>
    <t>Gomukh Fulhara</t>
  </si>
  <si>
    <t>SD</t>
  </si>
  <si>
    <t>Gomukh Salempur</t>
  </si>
  <si>
    <t>Ghato</t>
  </si>
  <si>
    <t>Gomukh Belamegh</t>
  </si>
  <si>
    <t>GOMUKH JAGMAGLA</t>
  </si>
  <si>
    <t>Fateha - Anil Yadav</t>
  </si>
  <si>
    <t>Gomukh Chakki Janardan Yadav</t>
  </si>
  <si>
    <t>RAMDEV TOLA</t>
  </si>
  <si>
    <t>Gomukh Gamghatta</t>
  </si>
  <si>
    <t>RAM PRAVESH YADAV</t>
  </si>
  <si>
    <t>Gomukh Mordiwa East</t>
  </si>
  <si>
    <t>Gomukh Ramaiya</t>
  </si>
  <si>
    <t>GOMUKH KATEHAR</t>
  </si>
  <si>
    <t>Gomukh Giridhar Baraw</t>
  </si>
  <si>
    <t>Gomukh Tiyar</t>
  </si>
  <si>
    <t>Gomukh Rajpur</t>
  </si>
  <si>
    <t>Gomukh Ratwara</t>
  </si>
  <si>
    <t>Gomukh Ranitola</t>
  </si>
  <si>
    <t>GOMUKH ANANDPUR PARAS</t>
  </si>
  <si>
    <t>GOMUKH GHAMARIYA</t>
  </si>
  <si>
    <t>GOMUKH MEGHAUMA</t>
  </si>
  <si>
    <t>GOMUKH AURA</t>
  </si>
  <si>
    <t>GOMUKH BEHORBA</t>
  </si>
  <si>
    <t>Gomukh Malinagar East</t>
  </si>
  <si>
    <t>GOMUKH Singhiya Ward 11</t>
  </si>
  <si>
    <t>GOMUKH ANANDPUR PARAS 2</t>
  </si>
  <si>
    <t>GOMUKH PHULTAURA</t>
  </si>
  <si>
    <t>GOMUKH GADBANNI</t>
  </si>
  <si>
    <t>Opening Balance ____</t>
  </si>
  <si>
    <t>MPG Code New</t>
  </si>
  <si>
    <t>MPG Name</t>
  </si>
  <si>
    <t>Centre Status</t>
  </si>
  <si>
    <t>Total Deduction</t>
  </si>
  <si>
    <t>Recoverable Value</t>
  </si>
  <si>
    <t>Active</t>
  </si>
  <si>
    <t>Gomukh Gangauli Dubha</t>
  </si>
  <si>
    <t>Rani Panchwati</t>
  </si>
  <si>
    <t>GOMUKH KAMATHAN</t>
  </si>
  <si>
    <t>Gomukh Rajwara</t>
  </si>
  <si>
    <t>GOMUKH NIKASPUR</t>
  </si>
  <si>
    <t>PIPARPATI</t>
  </si>
  <si>
    <t>GOMUKH MINAPUR</t>
  </si>
  <si>
    <t>Gomukh Sikraul lakh</t>
  </si>
  <si>
    <t>Jaynagar</t>
  </si>
  <si>
    <t>Amba-2</t>
  </si>
  <si>
    <t>Gomukh Mukhiyadera </t>
  </si>
  <si>
    <t>GOMUKH TARA</t>
  </si>
  <si>
    <t>Morkahi</t>
  </si>
  <si>
    <t>Gomukh English Lagar</t>
  </si>
  <si>
    <t>Gomukh Prem Nagar</t>
  </si>
  <si>
    <t>Gomukh purani tola</t>
  </si>
  <si>
    <t>Gomukh Ramgardh Dera</t>
  </si>
  <si>
    <t>GOMUKH D SANJHAUTI</t>
  </si>
  <si>
    <t>GOMUKH KASAHA</t>
  </si>
  <si>
    <t>Gomukh Borba Naya tola </t>
  </si>
  <si>
    <t>Gomukh Kharaiya Sultanpur</t>
  </si>
  <si>
    <t>GOMUKH ALOLI</t>
  </si>
  <si>
    <t>Gomukh Koransarai</t>
  </si>
  <si>
    <t>Narayanpur</t>
  </si>
  <si>
    <t>BASUHAR</t>
  </si>
  <si>
    <t>Gomukh Manikpur</t>
  </si>
  <si>
    <t>Vrindavan</t>
  </si>
  <si>
    <t>Narhan (2111)</t>
  </si>
  <si>
    <t>Bhusari</t>
  </si>
  <si>
    <t>Gomukh Bicchu ka Dera</t>
  </si>
  <si>
    <t>Dashara</t>
  </si>
  <si>
    <t>KASIMPUR</t>
  </si>
  <si>
    <t>GOMUKH BHARAUL</t>
  </si>
  <si>
    <t>Akdara</t>
  </si>
  <si>
    <t>RAMNATHPUR</t>
  </si>
  <si>
    <t>Basadhiya</t>
  </si>
  <si>
    <t>SAMASPURA</t>
  </si>
  <si>
    <t>HARPUR</t>
  </si>
  <si>
    <t>Gomukh Minapur</t>
  </si>
  <si>
    <t>Gomukh Sihma Barari</t>
  </si>
  <si>
    <t>BHADAPUR</t>
  </si>
  <si>
    <t>Gomukh ID Pipara</t>
  </si>
  <si>
    <t>CHHOTKI BASAULI</t>
  </si>
  <si>
    <t>ASHA PARARI</t>
  </si>
  <si>
    <t>Basadhiya Kurni (320)</t>
  </si>
  <si>
    <t>Chotka Sihanpura</t>
  </si>
  <si>
    <t>kamatpur</t>
  </si>
  <si>
    <t>Gomukh Chhapra</t>
  </si>
  <si>
    <t>Ramsir</t>
  </si>
  <si>
    <t>Adarsh Laxmipur</t>
  </si>
  <si>
    <t>UFFRAUL</t>
  </si>
  <si>
    <t>Gomukh Miralipur harijan tola</t>
  </si>
  <si>
    <t>Andaha</t>
  </si>
  <si>
    <t>Gomukh Chandaur</t>
  </si>
  <si>
    <t>Parspur Kadwa</t>
  </si>
  <si>
    <t>Devnagar Gogri</t>
  </si>
  <si>
    <t>Urain</t>
  </si>
  <si>
    <t>Gomukh Mubarakpur</t>
  </si>
  <si>
    <t>Gomukh Dihi</t>
  </si>
  <si>
    <t>Gomukh Teliya bathan purbi</t>
  </si>
  <si>
    <t>Gomukh Kumar chakki</t>
  </si>
  <si>
    <t>Gomukh Bari Jana</t>
  </si>
  <si>
    <t>Gomukh Raka</t>
  </si>
  <si>
    <t>Gomukh Sri Rampur Tuthhi</t>
  </si>
  <si>
    <t>Puran Bhojpur</t>
  </si>
  <si>
    <t>Muradpur</t>
  </si>
  <si>
    <t>Jagdar</t>
  </si>
  <si>
    <t>Aguani</t>
  </si>
  <si>
    <t>LAKHOCHAK</t>
  </si>
  <si>
    <t>Gomukh Bandahera</t>
  </si>
  <si>
    <t>Gomukh Fatehpur</t>
  </si>
  <si>
    <t>Gomukh Vishanpur</t>
  </si>
  <si>
    <t>soharthi purvi tola</t>
  </si>
  <si>
    <t>Rampur Mathiya</t>
  </si>
  <si>
    <t>Mahdah 2</t>
  </si>
  <si>
    <t>Matiyar</t>
  </si>
  <si>
    <t>Gomukh Dadhisir</t>
  </si>
  <si>
    <t>Gomukh Maujitan</t>
  </si>
  <si>
    <t>choraciya mpg गोमुख</t>
  </si>
  <si>
    <t>Tehai</t>
  </si>
  <si>
    <t>Tilakray ka hatta</t>
  </si>
  <si>
    <t>Chunni Dera</t>
  </si>
  <si>
    <t>Basuchak</t>
  </si>
  <si>
    <t>Sapha</t>
  </si>
  <si>
    <t>Simari Ramopatti</t>
  </si>
  <si>
    <t>Gomukh Ekauni karuwaj</t>
  </si>
  <si>
    <t>Gomukh Badkarajpur</t>
  </si>
  <si>
    <t>Giridharpur</t>
  </si>
  <si>
    <t>Gehuni</t>
  </si>
  <si>
    <t>Gomukh Jawahi</t>
  </si>
  <si>
    <t>Gomukh Bishauni</t>
  </si>
  <si>
    <t>Gomukh Bacchwara</t>
  </si>
  <si>
    <t>GOMUKH KHARMOLI</t>
  </si>
  <si>
    <t>GOMUKH BANARASI TOLA</t>
  </si>
  <si>
    <t>GOMUKH RACHIHAI PURANA TOLA</t>
  </si>
  <si>
    <t>Gomukh Amarpur paschim</t>
  </si>
  <si>
    <t>Naua Chak</t>
  </si>
  <si>
    <t>Gomukh Harpur South</t>
  </si>
  <si>
    <t>GOMUKH ADHARPUR</t>
  </si>
  <si>
    <t>Gomukh Aho ghat</t>
  </si>
  <si>
    <t>Gomukh Jalim babu Tola</t>
  </si>
  <si>
    <t>Gomukh Mansi Gharari</t>
  </si>
  <si>
    <t>Gomukh Tikapur</t>
  </si>
  <si>
    <t>GOMUKH Chowki</t>
  </si>
  <si>
    <t>Rahimpur</t>
  </si>
  <si>
    <t>Basudeopur</t>
  </si>
  <si>
    <t>korma sakra</t>
  </si>
  <si>
    <t>Musapur Purvi tol</t>
  </si>
  <si>
    <t>Tatarpur</t>
  </si>
  <si>
    <t>Samda</t>
  </si>
  <si>
    <t>Bolwari</t>
  </si>
  <si>
    <t>Gaspur</t>
  </si>
  <si>
    <t>Goriyaro</t>
  </si>
  <si>
    <t>SAMBHO</t>
  </si>
  <si>
    <t>GOMUKH BIRPUR PASCHIM</t>
  </si>
  <si>
    <t>Gomukh Sugharan</t>
  </si>
  <si>
    <t>Gomukh Rani</t>
  </si>
  <si>
    <t>Gomukh Kutlupur</t>
  </si>
  <si>
    <t>Gomukh Chamuban</t>
  </si>
  <si>
    <t>Gomukh Barahra</t>
  </si>
  <si>
    <t>Gomukh sahuri-2</t>
  </si>
  <si>
    <t>Pidauli 2</t>
  </si>
  <si>
    <t>Gomukh Partarpur</t>
  </si>
  <si>
    <t>Gomukh Basudhar</t>
  </si>
  <si>
    <t>Gomukh Ekauna dera</t>
  </si>
  <si>
    <t>Gomukh Sikendrpur</t>
  </si>
  <si>
    <t>Gomukh Kabela</t>
  </si>
  <si>
    <t>Gomukh karna</t>
  </si>
  <si>
    <t>Gomukh Babuchackla</t>
  </si>
  <si>
    <t>Gomukh Bakhadda</t>
  </si>
  <si>
    <t>Gomukh Birpur Nayagaun</t>
  </si>
  <si>
    <t>Gomukh Basahi</t>
  </si>
  <si>
    <t>MANO</t>
  </si>
  <si>
    <t>Barauni Bariyarpur</t>
  </si>
  <si>
    <t>Bihat - Chakballi</t>
  </si>
  <si>
    <t xml:space="preserve">Alauli </t>
  </si>
  <si>
    <t>GOMUKH MANIYARPUR</t>
  </si>
  <si>
    <t>GOMUKH SANTOSHPUL</t>
  </si>
  <si>
    <t>GOMUKH DIGHRA W-6</t>
  </si>
  <si>
    <t xml:space="preserve">Jangli Tol Vlc </t>
  </si>
  <si>
    <t>Gomukh Karhatti</t>
  </si>
  <si>
    <t>Gomukh Pandeypur</t>
  </si>
  <si>
    <t>Mohanpur - Chandan</t>
  </si>
  <si>
    <t>Chautham</t>
  </si>
  <si>
    <t xml:space="preserve">DILKHUSH KUMAR </t>
  </si>
  <si>
    <t>GOMUKH BANDRA W-6</t>
  </si>
  <si>
    <t>KAMARGAMA</t>
  </si>
  <si>
    <t>Gomukh NAMAPUR East</t>
  </si>
  <si>
    <t>Rajkishore Yadav</t>
  </si>
  <si>
    <t>Gomukh Chautham(Mithun Kumar VLC)</t>
  </si>
  <si>
    <t>ORABAGICHA</t>
  </si>
  <si>
    <t>KHAJURIYA</t>
  </si>
  <si>
    <t>NAYA SALEMPUR</t>
  </si>
  <si>
    <t>GOMUKH MOHABA</t>
  </si>
  <si>
    <t>Gomukh Uttardahan</t>
  </si>
  <si>
    <t>GOMUKH PARAN 2</t>
  </si>
  <si>
    <t>GOMUKH KHARAGPUR</t>
  </si>
  <si>
    <t>GOMUKH BHIKHARI GHAT</t>
  </si>
  <si>
    <t>00000000</t>
  </si>
  <si>
    <t>10530070</t>
  </si>
  <si>
    <t>10530071</t>
  </si>
  <si>
    <t>10120108</t>
  </si>
  <si>
    <t>10530067</t>
  </si>
  <si>
    <t>10530074</t>
  </si>
  <si>
    <t>10140183</t>
  </si>
  <si>
    <t>10140182</t>
  </si>
  <si>
    <t>10140178</t>
  </si>
  <si>
    <t>10140179</t>
  </si>
  <si>
    <t>10140180</t>
  </si>
  <si>
    <t>10080098</t>
  </si>
  <si>
    <t>10140177</t>
  </si>
  <si>
    <t>10060109</t>
  </si>
  <si>
    <t>10060110</t>
  </si>
  <si>
    <t>10030072</t>
  </si>
  <si>
    <t>10030073</t>
  </si>
  <si>
    <t>10060111</t>
  </si>
  <si>
    <t>10110103</t>
  </si>
  <si>
    <t>10140153</t>
  </si>
  <si>
    <t>10130098</t>
  </si>
  <si>
    <t>10120107</t>
  </si>
  <si>
    <t>10130100</t>
  </si>
  <si>
    <t>10130102</t>
  </si>
  <si>
    <t>10530062</t>
  </si>
  <si>
    <t>10120098</t>
  </si>
  <si>
    <t>10130095</t>
  </si>
  <si>
    <t>10060106</t>
  </si>
  <si>
    <t>10130093</t>
  </si>
  <si>
    <t>10110151</t>
  </si>
  <si>
    <t>10140168</t>
  </si>
  <si>
    <t>10140169</t>
  </si>
  <si>
    <t>10140156</t>
  </si>
  <si>
    <t>10140120</t>
  </si>
  <si>
    <t>10140119</t>
  </si>
  <si>
    <t>10120105</t>
  </si>
  <si>
    <t>10080095</t>
  </si>
  <si>
    <t>10080096</t>
  </si>
  <si>
    <t>10140171</t>
  </si>
  <si>
    <t>10010108</t>
  </si>
  <si>
    <t>10140174</t>
  </si>
  <si>
    <t>10120104</t>
  </si>
  <si>
    <t>10130099</t>
  </si>
  <si>
    <t>10110109</t>
  </si>
  <si>
    <t>10110132</t>
  </si>
  <si>
    <t>10070070</t>
  </si>
  <si>
    <t>10070071</t>
  </si>
  <si>
    <t>10070072</t>
  </si>
  <si>
    <t>10140163</t>
  </si>
  <si>
    <t>10140164</t>
  </si>
  <si>
    <t>10070062</t>
  </si>
  <si>
    <t>10110129</t>
  </si>
  <si>
    <t>10110130</t>
  </si>
  <si>
    <t>10060103</t>
  </si>
  <si>
    <t>10110131</t>
  </si>
  <si>
    <t>10140165</t>
  </si>
  <si>
    <t>10480031</t>
  </si>
  <si>
    <t>10140166</t>
  </si>
  <si>
    <t>10010105</t>
  </si>
  <si>
    <t>10010102</t>
  </si>
  <si>
    <t>10120101</t>
  </si>
  <si>
    <t>10060098</t>
  </si>
  <si>
    <t>10060100</t>
  </si>
  <si>
    <t>10060093</t>
  </si>
  <si>
    <t>10110128</t>
  </si>
  <si>
    <t>10110112</t>
  </si>
  <si>
    <t>10110114</t>
  </si>
  <si>
    <t>10110115</t>
  </si>
  <si>
    <t>10110116</t>
  </si>
  <si>
    <t>10010095</t>
  </si>
  <si>
    <t>10060074</t>
  </si>
  <si>
    <t>10120089</t>
  </si>
  <si>
    <t>10060076</t>
  </si>
  <si>
    <t>10060077</t>
  </si>
  <si>
    <t>10120094</t>
  </si>
  <si>
    <t>10130091</t>
  </si>
  <si>
    <t>10070052</t>
  </si>
  <si>
    <t>10120095</t>
  </si>
  <si>
    <t>10130084</t>
  </si>
  <si>
    <t>10130085</t>
  </si>
  <si>
    <t>10140148</t>
  </si>
  <si>
    <t>10120090</t>
  </si>
  <si>
    <t>10130077</t>
  </si>
  <si>
    <t>10130079</t>
  </si>
  <si>
    <t>10080079</t>
  </si>
  <si>
    <t>10140146</t>
  </si>
  <si>
    <t>10140152</t>
  </si>
  <si>
    <t>10110097</t>
  </si>
  <si>
    <t>10060090</t>
  </si>
  <si>
    <t>10110101</t>
  </si>
  <si>
    <t>10080077</t>
  </si>
  <si>
    <t>10140135</t>
  </si>
  <si>
    <t>10140129</t>
  </si>
  <si>
    <t>10020069</t>
  </si>
  <si>
    <t>10060068</t>
  </si>
  <si>
    <t>10120003</t>
  </si>
  <si>
    <t>10140011</t>
  </si>
  <si>
    <t>10120046</t>
  </si>
  <si>
    <t>10120016</t>
  </si>
  <si>
    <t>10120019</t>
  </si>
  <si>
    <t>10140100</t>
  </si>
  <si>
    <t>10120071</t>
  </si>
  <si>
    <t>10120072</t>
  </si>
  <si>
    <t>10110078</t>
  </si>
  <si>
    <t>10110079</t>
  </si>
  <si>
    <t>10110074</t>
  </si>
  <si>
    <t>10010076</t>
  </si>
  <si>
    <t>10120029</t>
  </si>
  <si>
    <t>10130001</t>
  </si>
  <si>
    <t>10130022</t>
  </si>
  <si>
    <t>10130025</t>
  </si>
  <si>
    <t>10120030</t>
  </si>
  <si>
    <t>10130024</t>
  </si>
  <si>
    <t>10120082</t>
  </si>
  <si>
    <t>10120084</t>
  </si>
  <si>
    <t>10110004</t>
  </si>
  <si>
    <t>10110035</t>
  </si>
  <si>
    <t>10450001</t>
  </si>
  <si>
    <t>10020027</t>
  </si>
  <si>
    <t>10070008</t>
  </si>
  <si>
    <t>10140016</t>
  </si>
  <si>
    <t>10140097</t>
  </si>
  <si>
    <t>10120005</t>
  </si>
  <si>
    <t>10140034</t>
  </si>
  <si>
    <t>10030015</t>
  </si>
  <si>
    <t>10140107</t>
  </si>
  <si>
    <t>10140032</t>
  </si>
  <si>
    <t>10140033</t>
  </si>
  <si>
    <t>10060030</t>
  </si>
  <si>
    <t>10020041</t>
  </si>
  <si>
    <t>10020039</t>
  </si>
  <si>
    <t>10110030</t>
  </si>
  <si>
    <t>10110047</t>
  </si>
  <si>
    <t>10100004</t>
  </si>
  <si>
    <t>10130006</t>
  </si>
  <si>
    <t>10080019</t>
  </si>
  <si>
    <t>10080020</t>
  </si>
  <si>
    <t>10480001</t>
  </si>
  <si>
    <t>10060034</t>
  </si>
  <si>
    <t>10060036</t>
  </si>
  <si>
    <t>10080023</t>
  </si>
  <si>
    <t>10030031</t>
  </si>
  <si>
    <t>10080025</t>
  </si>
  <si>
    <t>10010017</t>
  </si>
  <si>
    <t>10010008</t>
  </si>
  <si>
    <t>10080027</t>
  </si>
  <si>
    <t>10010013</t>
  </si>
  <si>
    <t>10010014</t>
  </si>
  <si>
    <t>10010015</t>
  </si>
  <si>
    <t>10100007</t>
  </si>
  <si>
    <t>10100008</t>
  </si>
  <si>
    <t>10100009</t>
  </si>
  <si>
    <t>10110032</t>
  </si>
  <si>
    <t>10110033</t>
  </si>
  <si>
    <t>10010016</t>
  </si>
  <si>
    <t>10100013</t>
  </si>
  <si>
    <t>10100014</t>
  </si>
  <si>
    <t>10100015</t>
  </si>
  <si>
    <t>10140055</t>
  </si>
  <si>
    <t>10130026</t>
  </si>
  <si>
    <t>10010021</t>
  </si>
  <si>
    <t>10010019</t>
  </si>
  <si>
    <t>10100024</t>
  </si>
  <si>
    <t>10060031</t>
  </si>
  <si>
    <t>10100021</t>
  </si>
  <si>
    <t>10070013</t>
  </si>
  <si>
    <t>10100001</t>
  </si>
  <si>
    <t>10140054</t>
  </si>
  <si>
    <t>10130032</t>
  </si>
  <si>
    <t>10140053</t>
  </si>
  <si>
    <t>10140047</t>
  </si>
  <si>
    <t>10140036</t>
  </si>
  <si>
    <t>10100017</t>
  </si>
  <si>
    <t>10120034</t>
  </si>
  <si>
    <t>10070016</t>
  </si>
  <si>
    <t>10070015</t>
  </si>
  <si>
    <t>10060033</t>
  </si>
  <si>
    <t>10010031</t>
  </si>
  <si>
    <t>10110048</t>
  </si>
  <si>
    <t>10080032</t>
  </si>
  <si>
    <t>10100037</t>
  </si>
  <si>
    <t>10140057</t>
  </si>
  <si>
    <t>10060053</t>
  </si>
  <si>
    <t>10080053</t>
  </si>
  <si>
    <t>10080052</t>
  </si>
  <si>
    <t>10070042</t>
  </si>
  <si>
    <t>10480013</t>
  </si>
  <si>
    <t>10140083</t>
  </si>
  <si>
    <t>10140041</t>
  </si>
  <si>
    <t>10140095</t>
  </si>
  <si>
    <t>10140094</t>
  </si>
  <si>
    <t>10140048</t>
  </si>
  <si>
    <t>10080061</t>
  </si>
  <si>
    <t>10030016</t>
  </si>
  <si>
    <t>10080016</t>
  </si>
  <si>
    <t>10140078</t>
  </si>
  <si>
    <t>10100035</t>
  </si>
  <si>
    <t>10080065</t>
  </si>
  <si>
    <t>10080062</t>
  </si>
  <si>
    <t>10100036</t>
  </si>
  <si>
    <t>10080063</t>
  </si>
  <si>
    <t>10080064</t>
  </si>
  <si>
    <t>10080051</t>
  </si>
  <si>
    <t>10110085</t>
  </si>
  <si>
    <t>10080071</t>
  </si>
  <si>
    <t>10110083</t>
  </si>
  <si>
    <t>10080048</t>
  </si>
  <si>
    <t>10110053</t>
  </si>
  <si>
    <t>10130052</t>
  </si>
  <si>
    <t>10130054</t>
  </si>
  <si>
    <t>10130051</t>
  </si>
  <si>
    <t>10080084</t>
  </si>
  <si>
    <t>10130055</t>
  </si>
  <si>
    <t>10140079</t>
  </si>
  <si>
    <t>10080057</t>
  </si>
  <si>
    <t>10080067</t>
  </si>
  <si>
    <t>10110059</t>
  </si>
  <si>
    <t>10010071</t>
  </si>
  <si>
    <t>10110062</t>
  </si>
  <si>
    <t>10110063</t>
  </si>
  <si>
    <t>10110066</t>
  </si>
  <si>
    <t>10110065</t>
  </si>
  <si>
    <t>10110067</t>
  </si>
  <si>
    <t>10110056</t>
  </si>
  <si>
    <t>10110057</t>
  </si>
  <si>
    <t>10080066</t>
  </si>
  <si>
    <t>10100033</t>
  </si>
  <si>
    <t>10120042</t>
  </si>
  <si>
    <t>10120043</t>
  </si>
  <si>
    <t>10120044</t>
  </si>
  <si>
    <t>10120045</t>
  </si>
  <si>
    <t>10010038</t>
  </si>
  <si>
    <t>10060057</t>
  </si>
  <si>
    <t>10130046</t>
  </si>
  <si>
    <t>10120051</t>
  </si>
  <si>
    <t>10120052</t>
  </si>
  <si>
    <t>10120053</t>
  </si>
  <si>
    <t>10120054</t>
  </si>
  <si>
    <t>10030050</t>
  </si>
  <si>
    <t>10030051</t>
  </si>
  <si>
    <t>10030055</t>
  </si>
  <si>
    <t>10030056</t>
  </si>
  <si>
    <t>10010055</t>
  </si>
  <si>
    <t>10010059</t>
  </si>
  <si>
    <t>10010058</t>
  </si>
  <si>
    <t>10080055</t>
  </si>
  <si>
    <t>10110051</t>
  </si>
  <si>
    <t>10010040</t>
  </si>
  <si>
    <t>10080034</t>
  </si>
  <si>
    <t>10140139</t>
  </si>
  <si>
    <t>10110011</t>
  </si>
  <si>
    <t>10140066</t>
  </si>
  <si>
    <t>10120065</t>
  </si>
  <si>
    <t>10140081</t>
  </si>
  <si>
    <t>10140067</t>
  </si>
  <si>
    <t>10140069</t>
  </si>
  <si>
    <t>10130047</t>
  </si>
  <si>
    <t>10010051</t>
  </si>
  <si>
    <t>10070033</t>
  </si>
  <si>
    <t>10070034</t>
  </si>
  <si>
    <t>10100034</t>
  </si>
  <si>
    <t>10110052</t>
  </si>
  <si>
    <t>10110044</t>
  </si>
  <si>
    <t>10060114</t>
  </si>
  <si>
    <t>10090066</t>
  </si>
  <si>
    <t>10090067</t>
  </si>
  <si>
    <t>10100050</t>
  </si>
  <si>
    <t>10010050</t>
  </si>
  <si>
    <t>GOMUKH MANIKA EAST</t>
  </si>
  <si>
    <t>GOMUKH BALAHA W-9</t>
  </si>
  <si>
    <t>PACHRUKHI</t>
  </si>
  <si>
    <t>HARLACHAK</t>
  </si>
  <si>
    <t>KHIRDIH</t>
  </si>
  <si>
    <t>Sangrampur</t>
  </si>
  <si>
    <t>Gomukh Pipara</t>
  </si>
  <si>
    <t>MANO 2</t>
  </si>
  <si>
    <t>KRAUTA</t>
  </si>
  <si>
    <t>KHEVSAR2</t>
  </si>
  <si>
    <t>Ekamba</t>
  </si>
  <si>
    <t>SD Payment Status</t>
  </si>
  <si>
    <t>No Payment</t>
  </si>
  <si>
    <t>Partial Payment</t>
  </si>
  <si>
    <t>&gt;10K</t>
  </si>
  <si>
    <t>&lt;16K</t>
  </si>
  <si>
    <t>Due</t>
  </si>
  <si>
    <t>Gomukh Sawantpur</t>
  </si>
  <si>
    <t>Sibutol- Naya Tola</t>
  </si>
  <si>
    <t>GOMUKH CHOWKI 2</t>
  </si>
  <si>
    <t>NANDAN</t>
  </si>
  <si>
    <t>CHANDANPURA</t>
  </si>
  <si>
    <t>SANHA VLC</t>
  </si>
  <si>
    <t>MOHANPUR VLC</t>
  </si>
  <si>
    <t>GOMUKH PARRI</t>
  </si>
  <si>
    <t>BHADAS VLC</t>
  </si>
  <si>
    <t>Matihani</t>
  </si>
  <si>
    <t>Maida- Ram Kumar</t>
  </si>
  <si>
    <t>Gomukh Aure Bikrampur</t>
  </si>
  <si>
    <t>Manjhaul- Gulshan Kumar</t>
  </si>
  <si>
    <t>BANSIPUR</t>
  </si>
  <si>
    <t>GODIH</t>
  </si>
  <si>
    <t>SINGARPUR</t>
  </si>
  <si>
    <t>KATAHRA</t>
  </si>
  <si>
    <t>Gomukh Gogri VLC</t>
  </si>
  <si>
    <t>Gomukh Jagdishpur</t>
  </si>
  <si>
    <t>Gomukh Abhirampur VLC</t>
  </si>
  <si>
    <t>GOMUKH Madanpur W-3</t>
  </si>
  <si>
    <t>GOMUKH BENHER</t>
  </si>
  <si>
    <t>GOMUKH LADORA</t>
  </si>
  <si>
    <t>GOMUKH SAHSI</t>
  </si>
  <si>
    <t>GOMUKH BUDWA</t>
  </si>
  <si>
    <t>GOMUKH GANGIYA</t>
  </si>
  <si>
    <t>Gomukh Pansalwa</t>
  </si>
  <si>
    <t>Total SD</t>
  </si>
  <si>
    <t/>
  </si>
  <si>
    <t>Pending Down Payment</t>
  </si>
  <si>
    <t xml:space="preserve"> Other</t>
  </si>
  <si>
    <t xml:space="preserve"> Payble to Sahyak</t>
  </si>
  <si>
    <t xml:space="preserve"> Hold</t>
  </si>
  <si>
    <t xml:space="preserve">AMC from MPG @ 0.10/- </t>
  </si>
  <si>
    <t>Khaira Manjhaul</t>
  </si>
  <si>
    <t>Mehda Shahpur</t>
  </si>
  <si>
    <t>GOMUKH Kisanpur Tabhka</t>
  </si>
  <si>
    <t>Gomukh Navdera Jaipraksh</t>
  </si>
  <si>
    <t>Suddh Dairy</t>
  </si>
  <si>
    <t>Jitwariya W-11</t>
  </si>
  <si>
    <t>GOMUKH DADHIYA-2</t>
  </si>
  <si>
    <t>GOMUKH PREMNAGAR</t>
  </si>
  <si>
    <t>Gomukh Nawada</t>
  </si>
  <si>
    <t>Gomukh Yadav Tol Kanauli</t>
  </si>
  <si>
    <t>Gomukh Hardia</t>
  </si>
  <si>
    <t>EMI Deduction</t>
  </si>
  <si>
    <t>Jangle Jhakra</t>
  </si>
  <si>
    <t>LOSDHANI</t>
  </si>
  <si>
    <t>GOMUKH Kalaunjar</t>
  </si>
  <si>
    <t>Pastara Lakshman</t>
  </si>
  <si>
    <t>Gomukh Chikni</t>
  </si>
  <si>
    <t>GOMUKH BAGALWA</t>
  </si>
  <si>
    <t>Balahpur-Anil Yadav</t>
  </si>
  <si>
    <t>G WOLIPUR</t>
  </si>
  <si>
    <t>REHUA 3</t>
  </si>
  <si>
    <t>KARHARIA V</t>
  </si>
  <si>
    <t>Gomukh ID Lalpur</t>
  </si>
  <si>
    <t>BHATGAMA W-5</t>
  </si>
  <si>
    <t>Warisnagar</t>
  </si>
  <si>
    <t>Karian</t>
  </si>
  <si>
    <t>Teghara</t>
  </si>
  <si>
    <t>Chakoti</t>
  </si>
  <si>
    <t>Nathudawar</t>
  </si>
  <si>
    <t>Purnahi</t>
  </si>
  <si>
    <t>KISHANPUR</t>
  </si>
  <si>
    <t>GOMUKH SUSTA</t>
  </si>
  <si>
    <t>Basantpur</t>
  </si>
  <si>
    <t>Sum of BMC Volume</t>
  </si>
  <si>
    <t>Sum of BMC Amount</t>
  </si>
  <si>
    <t>Birpur-2 - Pankaj</t>
  </si>
  <si>
    <t>GOMUKH BHITAKITA</t>
  </si>
  <si>
    <t>GOMUKH PATHAKTOL</t>
  </si>
  <si>
    <t>Bagdobh</t>
  </si>
  <si>
    <t xml:space="preserve">Baghopur </t>
  </si>
  <si>
    <t>Samsa</t>
  </si>
  <si>
    <t>Dahiya</t>
  </si>
  <si>
    <t>Gomukh Musapur West</t>
  </si>
  <si>
    <t>GOMUKH SHIVNAGAR</t>
  </si>
  <si>
    <t>GOMUKH BAKHITIYARPUR</t>
  </si>
  <si>
    <t>GOMUKH JWALAPUR</t>
  </si>
  <si>
    <t>Mahuli</t>
  </si>
  <si>
    <t>CHOTAHA</t>
  </si>
  <si>
    <t>GOMUKH TOKE</t>
  </si>
  <si>
    <t>Gomukh ID Akashpur-2</t>
  </si>
  <si>
    <t>BIO Gas</t>
  </si>
  <si>
    <t>Sahayak Comission Month Of Oct'25</t>
  </si>
  <si>
    <t>10120099 Total</t>
  </si>
  <si>
    <t>(All)</t>
  </si>
  <si>
    <t>Gomukh Patel Nagar</t>
  </si>
  <si>
    <t>Patiya</t>
  </si>
  <si>
    <t>GOMUKH RAHATPUR</t>
  </si>
  <si>
    <t>Gomukh Srirampur Thuthi</t>
  </si>
  <si>
    <t>Gomukh Telihar</t>
  </si>
  <si>
    <t>Gomukh Pansalba Ward No 05</t>
  </si>
  <si>
    <t>Gohi</t>
  </si>
  <si>
    <t>Matua</t>
  </si>
  <si>
    <t>Ratni Chouk</t>
  </si>
  <si>
    <t>Balahi 2</t>
  </si>
  <si>
    <t>Chandauli</t>
  </si>
  <si>
    <t>Gulabi Choak</t>
  </si>
  <si>
    <t>Sakhwa Ghat</t>
  </si>
  <si>
    <t>MANOHARPUR</t>
  </si>
  <si>
    <t>BALADEV ITAHARI</t>
  </si>
  <si>
    <t xml:space="preserve">Gomukh Malpa Uttari                                                                                 </t>
  </si>
  <si>
    <t>GOMUKH JANGLITOL</t>
  </si>
  <si>
    <t>GOMUKH BARBIGHI</t>
  </si>
  <si>
    <t>Barkhanditol</t>
  </si>
  <si>
    <t>Gomukh Mohanpur  VLC</t>
  </si>
  <si>
    <t>Satmalpur</t>
  </si>
  <si>
    <t>BICHWAY</t>
  </si>
  <si>
    <t>PAHALANPUR</t>
  </si>
  <si>
    <t>GOMUKH BIBHUTIPUR</t>
  </si>
  <si>
    <t>GOMUKH JITWARIYA W-6</t>
  </si>
  <si>
    <t>Deduction</t>
  </si>
  <si>
    <t>DORAI</t>
  </si>
  <si>
    <t>Gaura</t>
  </si>
  <si>
    <t>Gomukh Kumar Chakki</t>
  </si>
  <si>
    <t>Dandari-2</t>
  </si>
  <si>
    <t>GOMUKH DADHIYA RAMKRISHANPUR</t>
  </si>
  <si>
    <t>Jitwarpur-Manisha</t>
  </si>
  <si>
    <t>Gomukh Gangapur East</t>
  </si>
  <si>
    <t>RAJAPUR</t>
  </si>
  <si>
    <t>Gomukh Bariyarpur</t>
  </si>
  <si>
    <t>GOMUKH BHARJA</t>
  </si>
  <si>
    <t>GOMUKH NAWABGANJ</t>
  </si>
  <si>
    <t>GOMUKH AMBA ICHARUA</t>
  </si>
  <si>
    <t>Gomukh Ashatol Paharpur</t>
  </si>
  <si>
    <t>Gomukh Kharawa</t>
  </si>
  <si>
    <t>Dewanpur</t>
  </si>
  <si>
    <t>Kasiya</t>
  </si>
  <si>
    <t>Shri Bhairav Laxmipur</t>
  </si>
  <si>
    <t>Bihat - Sonu Kumar</t>
  </si>
  <si>
    <t>Gomukh Dumariya Bujurg Madhay</t>
  </si>
  <si>
    <t>Gomukh Buddhnagar</t>
  </si>
  <si>
    <t>Chauki-VLC</t>
  </si>
  <si>
    <t>Gomukh Patepur</t>
  </si>
  <si>
    <t>Gomukh Basawkala Sudhir Kumar</t>
  </si>
  <si>
    <t>RAJAURA VLC</t>
  </si>
  <si>
    <t>Gomukh Malpa Dhutauli VLC</t>
  </si>
  <si>
    <t>BOUDHNAGAR</t>
  </si>
  <si>
    <t>VLC Dhushmuri Bishanpur</t>
  </si>
  <si>
    <t>VLC Govindpur</t>
  </si>
  <si>
    <t>Chhatnesar 2</t>
  </si>
  <si>
    <t>Hajpurwa</t>
  </si>
  <si>
    <t>Shekhopur</t>
  </si>
  <si>
    <t>Dharampur</t>
  </si>
  <si>
    <t>Gomukh Saraiya</t>
  </si>
  <si>
    <t>Pachveer</t>
  </si>
  <si>
    <t>GOMUKH Laguniya</t>
  </si>
  <si>
    <t>Gomukh Daunpura Manendra</t>
  </si>
  <si>
    <t>Gomukh Namapur East (08)</t>
  </si>
  <si>
    <t>GOMUKH OJONTOLA</t>
  </si>
  <si>
    <t>KHUDDIBAN SHIVNAGAR</t>
  </si>
  <si>
    <t>MANJOS</t>
  </si>
  <si>
    <t>MOHADDINGAR</t>
  </si>
  <si>
    <t>Gomukh Simri Ward 4</t>
  </si>
  <si>
    <t>Gumukh Orap Khurd</t>
  </si>
  <si>
    <t>Gumukh Mathiyapur</t>
  </si>
  <si>
    <t>Gomukh Raghunathpur Dasrath</t>
  </si>
  <si>
    <t>Gomukh Debka Vlc</t>
  </si>
  <si>
    <t>Almasnagar</t>
  </si>
  <si>
    <t>Kadarchak</t>
  </si>
  <si>
    <t>RAMBRAN YADAV</t>
  </si>
  <si>
    <t>Mukhtiyarpur</t>
  </si>
  <si>
    <t>PACHAUTA</t>
  </si>
  <si>
    <t>GOMUKH MAHINDWARA</t>
  </si>
  <si>
    <t xml:space="preserve">Gomukh Mathuradera Upendra </t>
  </si>
  <si>
    <t>Anik Kumar</t>
  </si>
  <si>
    <t>Gomukh Darhi Mor</t>
  </si>
  <si>
    <t>Gomukh Beldra</t>
  </si>
  <si>
    <t>Gomukh Chandanpura</t>
  </si>
  <si>
    <t>Gomukh Champa</t>
  </si>
  <si>
    <t>GOMUKH DAKRA</t>
  </si>
  <si>
    <t>GOMUKH LAKSHMAN NAGAR</t>
  </si>
  <si>
    <t>GOMUKH JHAHURI</t>
  </si>
  <si>
    <t xml:space="preserve">Gomukh Paharpur Jilebya </t>
  </si>
  <si>
    <t>Gomukh Azad Nagar</t>
  </si>
  <si>
    <t>MISHRBIGHA</t>
  </si>
  <si>
    <t>DIGHOI</t>
  </si>
  <si>
    <t>PRATAPUR</t>
  </si>
  <si>
    <t>Hasanpur</t>
  </si>
  <si>
    <t>GOMUKH MORKAHI</t>
  </si>
  <si>
    <t>Goapalpur</t>
  </si>
  <si>
    <t>Gopalpur Bmc</t>
  </si>
  <si>
    <t>Gomukh Pakrail Shirnia VLC</t>
  </si>
  <si>
    <t>Gomukh Bari Chak Gogri</t>
  </si>
  <si>
    <t>Gomukh Khatha</t>
  </si>
  <si>
    <t>Gomukh Lakshman Dera Raja</t>
  </si>
  <si>
    <t>GOMUKH CHAKKI</t>
  </si>
  <si>
    <t>GOMUKH KOTHIYA</t>
  </si>
  <si>
    <t>Godah</t>
  </si>
  <si>
    <t>Ballahpur</t>
  </si>
  <si>
    <t>Birpur</t>
  </si>
  <si>
    <t>Ahilwar</t>
  </si>
  <si>
    <t>GOPALPUR</t>
  </si>
  <si>
    <t>Parbatta</t>
  </si>
  <si>
    <t>Gomukh Badi Lagar-1 Kiran</t>
  </si>
  <si>
    <t>Gomukh Khutha VLC</t>
  </si>
  <si>
    <t>GOMUKH BHASINGPUR</t>
  </si>
  <si>
    <t>Gomukh Balaur</t>
  </si>
  <si>
    <t>Paridah</t>
  </si>
  <si>
    <t>TIYAY</t>
  </si>
  <si>
    <t xml:space="preserve">Gomukh Kalyanpur                                                                                    </t>
  </si>
  <si>
    <t>GOMUKH MISHRAULIA</t>
  </si>
  <si>
    <t>Gomukh Hathwan - 2</t>
  </si>
  <si>
    <t>Hajpurwa Pachim</t>
  </si>
  <si>
    <t>Gomukh Karisath</t>
  </si>
  <si>
    <t>Gomukh Ama</t>
  </si>
  <si>
    <t>Gomukh Pawat</t>
  </si>
  <si>
    <t>Gomukh Charghat</t>
  </si>
  <si>
    <t>Gomukh Ramdihra</t>
  </si>
  <si>
    <t>Gomukh Bara</t>
  </si>
  <si>
    <t>GOMUKH CHEHRAKALA</t>
  </si>
  <si>
    <t>GOMUKH PREMRAJ</t>
  </si>
  <si>
    <t>GOMUKH GANGATI</t>
  </si>
  <si>
    <t>GOMUKH Bhagwatpur</t>
  </si>
  <si>
    <t>MASUDAN</t>
  </si>
  <si>
    <t>Gomukh Kabela Vlc</t>
  </si>
  <si>
    <t>Sohan Narayan Farmer Dairy Producer Company Ltd</t>
  </si>
  <si>
    <t>Gomukh Barja</t>
  </si>
  <si>
    <t>Gomukh Rudauli-02</t>
  </si>
  <si>
    <t>Hardia</t>
  </si>
  <si>
    <t>Mithilanchal Dairy Products</t>
  </si>
  <si>
    <t>GOMUKH Bhagwatpur East</t>
  </si>
  <si>
    <t>VLC Sunil Khas</t>
  </si>
  <si>
    <t>Gomukh Nawadai Vlc</t>
  </si>
  <si>
    <t>Buzurgdoar</t>
  </si>
  <si>
    <t>Patpara</t>
  </si>
  <si>
    <t>KOLAWARI</t>
  </si>
  <si>
    <t>MALDAH</t>
  </si>
  <si>
    <t>GOMUKH Khanpatti</t>
  </si>
  <si>
    <t>BARIYARPUR</t>
  </si>
  <si>
    <t>Gomukh Puranatol Raichiahi</t>
  </si>
  <si>
    <t>Mathar-3</t>
  </si>
  <si>
    <t>Ahoghat</t>
  </si>
  <si>
    <t>Gomukh Rupauli Buzurg</t>
  </si>
  <si>
    <t>Gomukh Namapur East</t>
  </si>
  <si>
    <t>GOMUKH SAKARI</t>
  </si>
  <si>
    <t>Erout</t>
  </si>
  <si>
    <t>Raj Nagar</t>
  </si>
  <si>
    <t>Nauapokhar</t>
  </si>
  <si>
    <t>Erout 2</t>
  </si>
  <si>
    <t>Parsuram</t>
  </si>
  <si>
    <t>Gudarghat</t>
  </si>
  <si>
    <t>Add</t>
  </si>
  <si>
    <t>ABGIL RAMPUR</t>
  </si>
  <si>
    <t>Bihat-Gududaspur</t>
  </si>
  <si>
    <t>Mathar-4</t>
  </si>
  <si>
    <t>GOMUKH BALTHARA</t>
  </si>
  <si>
    <t>GOMUKH Chakhale Dad</t>
  </si>
  <si>
    <t>Release3</t>
  </si>
  <si>
    <t>Gomukh Matihani</t>
  </si>
  <si>
    <t>Jalalpur</t>
  </si>
  <si>
    <t>NARMDA</t>
  </si>
  <si>
    <t>AMRATH</t>
  </si>
  <si>
    <t>PUTERIA</t>
  </si>
  <si>
    <t>LAKHAPUR</t>
  </si>
  <si>
    <t>RUPESH KUMAR</t>
  </si>
  <si>
    <t>Gumukh Basawkala Dahpura Tola</t>
  </si>
  <si>
    <t>GOMUKH Keotsa</t>
  </si>
  <si>
    <t>GOMUKH Waini</t>
  </si>
  <si>
    <t>GOMUKH DHOBGAMA</t>
  </si>
  <si>
    <t>Gomukh Pachout</t>
  </si>
  <si>
    <t>Kamopur</t>
  </si>
  <si>
    <t>Murli</t>
  </si>
  <si>
    <t>Singhia BMC</t>
  </si>
  <si>
    <t xml:space="preserve">DUMRA </t>
  </si>
  <si>
    <t>BALHA</t>
  </si>
  <si>
    <t>BARA</t>
  </si>
  <si>
    <t>KABILASHI</t>
  </si>
  <si>
    <t>SULTANPUR</t>
  </si>
  <si>
    <t xml:space="preserve">Manish Kumar                                                                                        </t>
  </si>
  <si>
    <t>Mahua BMC</t>
  </si>
  <si>
    <t>Gomukh Karhatiya Bujurg</t>
  </si>
  <si>
    <t>Gomukh Uttari Hardia</t>
  </si>
  <si>
    <t>Gomukh Nirpur Keshv Nagar</t>
  </si>
  <si>
    <t>Dagrua</t>
  </si>
  <si>
    <t>Kussaiya</t>
  </si>
  <si>
    <t>Gumukh Khajuriya</t>
  </si>
  <si>
    <t>GOMUKH BHATOLIYA</t>
  </si>
  <si>
    <t>GOMUKH KHAJECHAND</t>
  </si>
  <si>
    <t>GOMUKH SALEMPUR</t>
  </si>
  <si>
    <t>GOMUKH JIRWARA</t>
  </si>
  <si>
    <t>GOMUKH Karhatiya</t>
  </si>
  <si>
    <t>GOMUKH Bheraukhara</t>
  </si>
  <si>
    <t>GOMUKH SUPOLTARIYA</t>
  </si>
  <si>
    <t>GOMUKH Jilwara</t>
  </si>
  <si>
    <t>GOMUKH ABBUCHAK</t>
  </si>
  <si>
    <t>Madhuban 2</t>
  </si>
  <si>
    <t>Yadav Jee</t>
  </si>
  <si>
    <t xml:space="preserve">Durgaashtan </t>
  </si>
  <si>
    <t>Bachhwara BMC</t>
  </si>
  <si>
    <t>Gomukh Vijaiya</t>
  </si>
  <si>
    <t>Gomukh Gangauli</t>
  </si>
  <si>
    <t>Phulmalik</t>
  </si>
  <si>
    <t xml:space="preserve">Gomukh Hathwan </t>
  </si>
  <si>
    <t>Saidpur</t>
  </si>
  <si>
    <t>Kanu Bisanpur</t>
  </si>
  <si>
    <t>GOMUKH Shravanapatti</t>
  </si>
  <si>
    <t>GOMUKH KAILA JALALPUR</t>
  </si>
  <si>
    <t>SISAUNA VLC</t>
  </si>
  <si>
    <t xml:space="preserve">Aditya Bishwas </t>
  </si>
  <si>
    <t>Gomukh Rajakpur</t>
  </si>
  <si>
    <t>Gomukh Chakka</t>
  </si>
  <si>
    <t>Gamharia</t>
  </si>
  <si>
    <t>Gomukh Meghaul-02</t>
  </si>
  <si>
    <t>Gomukh Meida</t>
  </si>
  <si>
    <t>Labharchak-2</t>
  </si>
  <si>
    <t>BILLO 2</t>
  </si>
  <si>
    <t>Gomukh Lagar Wad-13 Vlc</t>
  </si>
  <si>
    <t>Gomukh Manish Vlc</t>
  </si>
  <si>
    <t>Sadpur-2</t>
  </si>
  <si>
    <t>IMADPUR</t>
  </si>
  <si>
    <t>GOMUKH BHUSKOUL</t>
  </si>
  <si>
    <t>GOMUKH BIRSINGHPUR</t>
  </si>
  <si>
    <t>Gomukh Rahul VLC</t>
  </si>
  <si>
    <t>Gomukh Sachin VLC</t>
  </si>
  <si>
    <t>Gomukh Thuthi Vlc</t>
  </si>
  <si>
    <t>Gomukh Bangalia</t>
  </si>
  <si>
    <t>Gomukh Soharba Purvi</t>
  </si>
  <si>
    <t>Raini 2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</si>
  <si>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</si>
  <si>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</si>
  <si>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</si>
  <si>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</si>
  <si>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</si>
  <si>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</si>
  <si>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BAGWANA</t>
  </si>
  <si>
    <t>Gomukh Jhitkahi East</t>
  </si>
  <si>
    <t>GOMUKH UPHRAUL</t>
  </si>
  <si>
    <t>GOMUKH SHERPUR</t>
  </si>
  <si>
    <t>GOMUKH PANSALA</t>
  </si>
  <si>
    <t>GOMUKH PACHAI</t>
  </si>
  <si>
    <t>GOMUKH GARAHI</t>
  </si>
  <si>
    <t>GOMUKH BAIKUNTHPUR</t>
  </si>
  <si>
    <t>GOMUKH BAHASHI</t>
  </si>
  <si>
    <t>GOMUKH BAKHRI</t>
  </si>
  <si>
    <t>Karua</t>
  </si>
  <si>
    <t>SUKUMARPUR</t>
  </si>
  <si>
    <t>Gomukh KARRAKH</t>
  </si>
  <si>
    <t>Nos.Of farmer</t>
  </si>
  <si>
    <t>Gomukh Kharra Basa</t>
  </si>
  <si>
    <t>Rahua</t>
  </si>
  <si>
    <t>GOMUKH KHARIKA</t>
  </si>
  <si>
    <t>GOMUKH KALYANPUR</t>
  </si>
  <si>
    <t>Sedukha</t>
  </si>
  <si>
    <t>loss/gain</t>
  </si>
  <si>
    <t>GOMUKH BOHLA</t>
  </si>
  <si>
    <t xml:space="preserve">Gomukh Arion Govind </t>
  </si>
  <si>
    <t>Nand Kishor Kumar</t>
  </si>
  <si>
    <t>Chak</t>
  </si>
  <si>
    <t>Babupur</t>
  </si>
  <si>
    <t>Rahua 2</t>
  </si>
  <si>
    <t>Madhopur</t>
  </si>
  <si>
    <t>GOMUKH DAND</t>
  </si>
  <si>
    <t>Durgaashtan 2</t>
  </si>
  <si>
    <t>HAWASPUR</t>
  </si>
  <si>
    <t>GOMUKH GHOSRAWAN</t>
  </si>
  <si>
    <t>GOMUKH HARPUR RAJESH</t>
  </si>
  <si>
    <t>GOMUKH SANICHAR HATT</t>
  </si>
  <si>
    <t>Gomukh Manda</t>
  </si>
  <si>
    <t>Gomukh VISHNUPATTI</t>
  </si>
  <si>
    <t>GOMUKH SAHARIYA</t>
  </si>
  <si>
    <t>Row Labels</t>
  </si>
  <si>
    <t>Sum of EMI Recovery</t>
  </si>
  <si>
    <t>lean Incentive 26-27</t>
  </si>
  <si>
    <t>Cycle</t>
  </si>
  <si>
    <t>Hold Commission Due to No pouring/downpayment/agreement</t>
  </si>
  <si>
    <t>New Assets EMI deduction</t>
  </si>
  <si>
    <t>PCB Deduction</t>
  </si>
  <si>
    <t>Other deduction</t>
  </si>
  <si>
    <t>Consumables deducion</t>
  </si>
  <si>
    <t>Indent</t>
  </si>
  <si>
    <t>DARIYAPUR R</t>
  </si>
  <si>
    <t>MUZAFFARGANJ</t>
  </si>
  <si>
    <t>SARHA</t>
  </si>
  <si>
    <t>KUSUMBHA</t>
  </si>
  <si>
    <t>NAWADIH 2</t>
  </si>
  <si>
    <t>Ekdara</t>
  </si>
  <si>
    <t>Laxmipur-VLC</t>
  </si>
  <si>
    <t>BHUSNA</t>
  </si>
  <si>
    <t>Chetan Tola - Ravi</t>
  </si>
  <si>
    <t>HIRDANBIGHA</t>
  </si>
  <si>
    <t>Gomukh Muradpur Deepak</t>
  </si>
  <si>
    <t>GOMUKH KAMTAUL</t>
  </si>
  <si>
    <t>Gaighat</t>
  </si>
  <si>
    <t>GOMUKH JATMALPUR</t>
  </si>
  <si>
    <t>DIH LAHI</t>
  </si>
  <si>
    <t>GOMUKH BANDRA W-9</t>
  </si>
  <si>
    <t>GOMUKH RUSULPUR GANGATI</t>
  </si>
  <si>
    <t>GOMUKH CHATAUNA W-2</t>
  </si>
  <si>
    <t>GOMUKH TEERA JATMALPUR</t>
  </si>
  <si>
    <t>GOMUKH GOBARSITTHA</t>
  </si>
  <si>
    <t>GOMUKH UGHRA</t>
  </si>
  <si>
    <t>GOMUKH BALUAHA</t>
  </si>
  <si>
    <t>GOMUKH DHAB WEST</t>
  </si>
  <si>
    <t>GOMUKH HAYAGHAT WEST</t>
  </si>
  <si>
    <t>GOMUKH GHOGHARAHA</t>
  </si>
  <si>
    <t>GOMUKH MORWARA</t>
  </si>
  <si>
    <t>GOMUKH NIYAMCHAKHAIDAR</t>
  </si>
  <si>
    <t>GOMUKH JATMAPUR WARD 1</t>
  </si>
  <si>
    <t>GOMUKH PURUSHOTTAMPUR WEST</t>
  </si>
  <si>
    <t>Gomukh Barhetta</t>
  </si>
  <si>
    <t>GOMUKH  MANORATHPUR</t>
  </si>
  <si>
    <t>GOMUKH BHADOGHAT</t>
  </si>
  <si>
    <t>URAIN</t>
  </si>
  <si>
    <t>GOMUKH NAWTOLIYA(OM PRAKASH)</t>
  </si>
  <si>
    <t>PAWAN RAY</t>
  </si>
  <si>
    <t>Gomukh Parbatta Vlc</t>
  </si>
  <si>
    <t>SHIVNAR-2</t>
  </si>
  <si>
    <t>Pauriya 2</t>
  </si>
  <si>
    <t>GOMUKH PAITRAPUR</t>
  </si>
  <si>
    <t>GOMUKH JAI MATA DI MILK CENTER</t>
  </si>
  <si>
    <t>Gomukh Jatmalpur Dhab</t>
  </si>
  <si>
    <t>Gomukh Gulshan Kumar VLC</t>
  </si>
  <si>
    <t>Gumukk JP Dera</t>
  </si>
  <si>
    <t>Gomukh KAIDRABAD</t>
  </si>
  <si>
    <t>Gomukh KASTOLI</t>
  </si>
  <si>
    <t>Gomukh Kanausi</t>
  </si>
  <si>
    <t>KHUTAHA DIH C</t>
  </si>
  <si>
    <t>Champanagar</t>
  </si>
  <si>
    <t>Gomukh Shailesh Yadav Vlc</t>
  </si>
  <si>
    <t>Rani - Surender</t>
  </si>
  <si>
    <t>GomukhSimari Bakulha Patti</t>
  </si>
  <si>
    <t>Gomukh Bekhari Ghat-2</t>
  </si>
  <si>
    <t>Gomukh Baltara Wad-2 Vlc</t>
  </si>
  <si>
    <t>Jagdishpur</t>
  </si>
  <si>
    <t>GOMUKH NEW GANGAJAL</t>
  </si>
  <si>
    <t>Motipur</t>
  </si>
  <si>
    <t>GANPATI DAIRY</t>
  </si>
  <si>
    <t>Bariyahi - Ramvaran</t>
  </si>
  <si>
    <t>GOMUKH MIRJAPUR NISFI</t>
  </si>
  <si>
    <t>Gomukh Balaha East</t>
  </si>
  <si>
    <t>AMI Dairy</t>
  </si>
  <si>
    <t>GOMUKH ID ALAULI</t>
  </si>
  <si>
    <t>Mahendarpur 2</t>
  </si>
  <si>
    <t>Gommukh Khushbu Kumari Vlc</t>
  </si>
  <si>
    <t>Gomukh Saraiya Wad -5 Vlc</t>
  </si>
  <si>
    <t>Khokasaha</t>
  </si>
  <si>
    <t>Madhopur 2</t>
  </si>
  <si>
    <t>GOMUKH TAJPUR BUZURG</t>
  </si>
  <si>
    <t>Gomukh BACHHWARA</t>
  </si>
  <si>
    <t>Chandan Dairy</t>
  </si>
  <si>
    <t>MAHMADPUR VL</t>
  </si>
  <si>
    <t>Gomukh Akowahi Purvi Tol</t>
  </si>
  <si>
    <t>Ramopatti</t>
  </si>
  <si>
    <t>Gomukh Baijnathpur</t>
  </si>
  <si>
    <t xml:space="preserve">Gomukh Bhagwanpur East </t>
  </si>
  <si>
    <t>Manmana Dhala</t>
  </si>
  <si>
    <t>Rosera</t>
  </si>
  <si>
    <t>Sarhad-Subodh</t>
  </si>
  <si>
    <t>Gomukh Simri</t>
  </si>
  <si>
    <t>Hussainipur Gobindpur</t>
  </si>
  <si>
    <t>Gomukh Bathnaha VLC</t>
  </si>
  <si>
    <t>Bhatandi</t>
  </si>
  <si>
    <t>Jandaha</t>
  </si>
  <si>
    <t>Bhoraha</t>
  </si>
  <si>
    <t>Dharha</t>
  </si>
  <si>
    <t>Shivnagar</t>
  </si>
  <si>
    <t>Baritha</t>
  </si>
  <si>
    <t>Gomukh NAVTOL</t>
  </si>
  <si>
    <t>GOMUKH RAMPUR</t>
  </si>
  <si>
    <t>SHARMA</t>
  </si>
  <si>
    <t>Baliya</t>
  </si>
  <si>
    <t>Gomukh Banjhudera</t>
  </si>
  <si>
    <t>Belsandi Dihtola</t>
  </si>
  <si>
    <t>Gomukh Khutauna</t>
  </si>
  <si>
    <t>Kadarchak 2</t>
  </si>
  <si>
    <t>Madhopur Dih</t>
  </si>
  <si>
    <t>Satmalpur Pachim</t>
  </si>
  <si>
    <t>Ganopur</t>
  </si>
  <si>
    <t>Gomukh Dumari</t>
  </si>
  <si>
    <t>GOMUKH SARMASTPUR</t>
  </si>
  <si>
    <t>GOMUKH BAHJRANGI</t>
  </si>
  <si>
    <t>Dhattha</t>
  </si>
  <si>
    <t>Tolapur Erout</t>
  </si>
  <si>
    <t>GOMUKH CHHATAUNA W-1</t>
  </si>
  <si>
    <t>New</t>
  </si>
  <si>
    <t>Old</t>
  </si>
  <si>
    <t>01-02</t>
  </si>
  <si>
    <t>03-09 Jul</t>
  </si>
  <si>
    <t>Non pouring</t>
  </si>
  <si>
    <t>Release4</t>
  </si>
  <si>
    <t>Shamar Kasha</t>
  </si>
  <si>
    <t>Release5</t>
  </si>
  <si>
    <t>Hiratol VLC</t>
  </si>
  <si>
    <t>Dagarua</t>
  </si>
  <si>
    <t>BELSANDI W-9</t>
  </si>
  <si>
    <t>Gomukh Usri</t>
  </si>
  <si>
    <t>Alampur</t>
  </si>
  <si>
    <t>GOMUKH MANSURPUR HALAIYA</t>
  </si>
  <si>
    <t>Haripur</t>
  </si>
  <si>
    <t>Jakhar</t>
  </si>
  <si>
    <t>Sunil Erout</t>
  </si>
  <si>
    <t>VLC</t>
  </si>
  <si>
    <t>Chetan Tola-Dakshin - Hari Om</t>
  </si>
  <si>
    <t>MACHIDIH</t>
  </si>
  <si>
    <t>Abgil-2 - Sheshnath</t>
  </si>
  <si>
    <t>TOTAHA</t>
  </si>
  <si>
    <t xml:space="preserve">Gomukh Navlolya                                                                                     </t>
  </si>
  <si>
    <t>Gomukh Rahempur</t>
  </si>
  <si>
    <t>Barkhaditol-3</t>
  </si>
  <si>
    <t>Gomukh Keshopur Surendra</t>
  </si>
  <si>
    <t>Gomukh PARAN</t>
  </si>
  <si>
    <t>Gomukh Simra</t>
  </si>
  <si>
    <t>GOMUKH GORIYAMI</t>
  </si>
  <si>
    <t>GOMUKH KUSIYARI</t>
  </si>
  <si>
    <t>GOMUKH GOVINDPUR</t>
  </si>
  <si>
    <t>GOMUKH CHAKABDUL</t>
  </si>
  <si>
    <t>GOMUKH BAJITPUR</t>
  </si>
  <si>
    <t>GOMUKH SHAHPUR TOI</t>
  </si>
  <si>
    <t>GOMUKH SUPAYAN</t>
  </si>
  <si>
    <t>Gudarghat Nitish</t>
  </si>
  <si>
    <t>Fatepur 2</t>
  </si>
  <si>
    <t>Shivram</t>
  </si>
  <si>
    <t>Sonupur</t>
  </si>
  <si>
    <t>Lakashmipur</t>
  </si>
  <si>
    <t>Jahangirpur</t>
  </si>
  <si>
    <t>Tolapur Durgasthan</t>
  </si>
  <si>
    <t>GOMUKH  DAGHRAUL</t>
  </si>
  <si>
    <t>GOMUKH RUPAULI</t>
  </si>
  <si>
    <t>GOMUKH VISHANPUR MORO</t>
  </si>
  <si>
    <t>10-16 Jul</t>
  </si>
  <si>
    <t>WAKIL YADAV VLC</t>
  </si>
  <si>
    <t>ABGIL</t>
  </si>
  <si>
    <t>Gomukh Mahdipur</t>
  </si>
  <si>
    <t>Gomukh Bandehra</t>
  </si>
  <si>
    <t>RaJu Kumar(MOR)</t>
  </si>
  <si>
    <t>GOMUKH SAHARBANNI</t>
  </si>
  <si>
    <t>NAUACHAUK W-04</t>
  </si>
  <si>
    <t>Gomukh Lewar</t>
  </si>
  <si>
    <t>3P Network</t>
  </si>
  <si>
    <t>GOMUKH RAJAPAKAR PURBI</t>
  </si>
  <si>
    <t>GOMUKH SAIDPUR</t>
  </si>
  <si>
    <t>GOMUKH SABAUL</t>
  </si>
  <si>
    <t>GOMUKH  JATMALPUR DHAB</t>
  </si>
  <si>
    <t>GOMUKH  RUPAULI GHAT</t>
  </si>
  <si>
    <t>GOMUKH Dharampur</t>
  </si>
  <si>
    <t>17-23 Jul</t>
  </si>
  <si>
    <t>Kamla Nagar</t>
  </si>
  <si>
    <t xml:space="preserve">RAVIRAJ </t>
  </si>
  <si>
    <t>GOMUKH MAHGAMA</t>
  </si>
  <si>
    <t>GOMUKH GAHILSTHAN</t>
  </si>
  <si>
    <t>Gomukh Purani Tola</t>
  </si>
  <si>
    <t>Gomukh Banni</t>
  </si>
  <si>
    <t>Gomukh ID Nawadih</t>
  </si>
  <si>
    <t xml:space="preserve">Gomukh Samastipur Kundan                                                                            </t>
  </si>
  <si>
    <t>Ahok VLC</t>
  </si>
  <si>
    <t>Badalpura</t>
  </si>
  <si>
    <t>Gomukh Koila</t>
  </si>
  <si>
    <t>Gomukh Aakash Milk And Milk Producers.company</t>
  </si>
  <si>
    <t>Gomukh Paharpur Vlc</t>
  </si>
  <si>
    <t>Nakta</t>
  </si>
  <si>
    <t>Ratanpur</t>
  </si>
  <si>
    <t>Ratanpur 2</t>
  </si>
  <si>
    <t>Gomukh Baliyar</t>
  </si>
  <si>
    <t>LAKHANPUR</t>
  </si>
  <si>
    <t>GOMUKH SURYANSH</t>
  </si>
  <si>
    <t>Gomukh Sakh Mohan</t>
  </si>
  <si>
    <t>GOMUKH  DIHLAHI 2</t>
  </si>
  <si>
    <t>24-30 Jul</t>
  </si>
  <si>
    <t>31-06 Aug</t>
  </si>
  <si>
    <t>31-Vol</t>
  </si>
  <si>
    <t>01-02 Jul</t>
  </si>
  <si>
    <t>EIPL Deduction</t>
  </si>
  <si>
    <t>EIPL Deduction / BIO GAS 1875</t>
  </si>
  <si>
    <t>BIO GAS</t>
  </si>
  <si>
    <t>Agreement issue</t>
  </si>
  <si>
    <t>Non pouring / Agreement issue</t>
  </si>
  <si>
    <t xml:space="preserve">Down Payment </t>
  </si>
  <si>
    <t>Agreement issue / Down Payment</t>
  </si>
  <si>
    <t>BIO GAS / Down Payment</t>
  </si>
  <si>
    <t>Non pouring / Down Payment</t>
  </si>
  <si>
    <t>Non pouring / Agreement issue / Down Payment</t>
  </si>
  <si>
    <t>Agreement Issue - MISC -6928 As per mail by pandari sir</t>
  </si>
  <si>
    <t>Release2 Dtd.05-09-2026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</si>
</sst>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??_);_(@_)"/>
    <numFmt numFmtId="167" formatCode="0.000000000"/>
    <numFmt numFmtId="168" formatCode="_(* #,##0.0_);_(* \(#,##0.0\);_(* &quot;-&quot;??_);_(@_)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Arial"/>
      <family val="2"/>
    </font>
    <font>
      <sz val="10"/>
      <color rgb="FFFF0000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b/>
      <sz val="8"/>
      <color theme="2"/>
      <name val="Calibri"/>
      <family val="2"/>
    </font>
    <font>
      <b/>
      <sz val="8"/>
      <color theme="2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2" tint="-9.9795525986510814E-2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2" tint="-0.24979400006103702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5998107852412488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84130375072486"/>
        <bgColor indexed="64"/>
      </patternFill>
    </fill>
    <fill>
      <patternFill patternType="solid">
        <fgColor theme="2" tint="-9.982604449598681E-2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4"/>
        <bgColor rgb="FFC6E0B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8">
    <xf numFmtId="0" fontId="0" fillId="0" borderId="0"/>
    <xf numFmtId="9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2" borderId="1" applyNumberFormat="0" applyFont="0" applyAlignment="0" applyProtection="0"/>
    <xf numFmtId="0" fontId="7" fillId="0" borderId="0"/>
  </cellStyleXfs>
  <cellXfs count="251">
    <xf numFmtId="0" fontId="0" fillId="0" borderId="0" xfId="0"/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2" xfId="0" applyBorder="1"/>
    <xf numFmtId="0" fontId="2" fillId="0" borderId="0" xfId="0" applyFont="1"/>
    <xf numFmtId="165" fontId="0" fillId="0" borderId="0" xfId="0" applyNumberFormat="1"/>
    <xf numFmtId="0" fontId="0" fillId="0" borderId="0" xfId="0" applyAlignment="1">
      <alignment horizontal="center" vertical="center"/>
    </xf>
    <xf numFmtId="43" fontId="1" fillId="4" borderId="2" xfId="3" applyFont="1" applyFill="1" applyBorder="1" applyAlignment="1">
      <alignment horizontal="center" vertical="center" wrapText="1"/>
    </xf>
    <xf numFmtId="43" fontId="1" fillId="5" borderId="2" xfId="3" applyFont="1" applyFill="1" applyBorder="1" applyAlignment="1">
      <alignment horizontal="center" vertical="center" wrapText="1"/>
    </xf>
    <xf numFmtId="164" fontId="0" fillId="0" borderId="0" xfId="2" applyFont="1"/>
    <xf numFmtId="1" fontId="0" fillId="0" borderId="0" xfId="0" applyNumberFormat="1"/>
    <xf numFmtId="1" fontId="0" fillId="0" borderId="0" xfId="3" applyNumberFormat="1" applyFont="1" applyFill="1" applyBorder="1"/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/>
    <xf numFmtId="166" fontId="3" fillId="0" borderId="2" xfId="2" applyNumberFormat="1" applyFont="1" applyFill="1" applyBorder="1"/>
    <xf numFmtId="165" fontId="4" fillId="0" borderId="2" xfId="3" applyNumberFormat="1" applyFont="1" applyFill="1" applyBorder="1"/>
    <xf numFmtId="166" fontId="3" fillId="0" borderId="2" xfId="0" applyNumberFormat="1" applyFont="1" applyBorder="1"/>
    <xf numFmtId="0" fontId="3" fillId="0" borderId="0" xfId="0" applyFont="1"/>
    <xf numFmtId="10" fontId="0" fillId="0" borderId="0" xfId="1" applyNumberFormat="1" applyFont="1"/>
    <xf numFmtId="165" fontId="1" fillId="7" borderId="2" xfId="0" applyNumberFormat="1" applyFont="1" applyFill="1" applyBorder="1"/>
    <xf numFmtId="165" fontId="0" fillId="0" borderId="2" xfId="0" applyNumberFormat="1" applyBorder="1"/>
    <xf numFmtId="166" fontId="0" fillId="0" borderId="2" xfId="2" applyNumberFormat="1" applyFont="1" applyBorder="1"/>
    <xf numFmtId="167" fontId="0" fillId="0" borderId="0" xfId="0" applyNumberFormat="1"/>
    <xf numFmtId="166" fontId="0" fillId="0" borderId="0" xfId="2" applyNumberFormat="1" applyFont="1"/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43" fontId="0" fillId="0" borderId="5" xfId="3" applyFont="1" applyFill="1" applyBorder="1" applyAlignment="1">
      <alignment horizontal="left" vertical="center" wrapText="1"/>
    </xf>
    <xf numFmtId="43" fontId="0" fillId="9" borderId="5" xfId="3" applyFont="1" applyFill="1" applyBorder="1" applyAlignment="1">
      <alignment horizontal="left" vertical="center" wrapText="1"/>
    </xf>
    <xf numFmtId="43" fontId="0" fillId="10" borderId="5" xfId="3" applyFont="1" applyFill="1" applyBorder="1" applyAlignment="1">
      <alignment horizontal="left" vertical="center" wrapText="1"/>
    </xf>
    <xf numFmtId="43" fontId="0" fillId="5" borderId="5" xfId="3" applyFont="1" applyFill="1" applyBorder="1" applyAlignment="1">
      <alignment horizontal="left" vertical="center" wrapText="1"/>
    </xf>
    <xf numFmtId="43" fontId="1" fillId="9" borderId="6" xfId="3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center" vertical="center" wrapText="1"/>
    </xf>
    <xf numFmtId="166" fontId="4" fillId="5" borderId="2" xfId="2" applyNumberFormat="1" applyFont="1" applyFill="1" applyBorder="1" applyAlignment="1">
      <alignment horizontal="right"/>
    </xf>
    <xf numFmtId="165" fontId="1" fillId="5" borderId="2" xfId="0" applyNumberFormat="1" applyFont="1" applyFill="1" applyBorder="1"/>
    <xf numFmtId="164" fontId="0" fillId="0" borderId="2" xfId="2" applyFont="1" applyBorder="1" applyAlignment="1">
      <alignment horizontal="center" vertical="center"/>
    </xf>
    <xf numFmtId="164" fontId="0" fillId="4" borderId="2" xfId="2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4" fontId="0" fillId="6" borderId="7" xfId="2" applyFont="1" applyFill="1" applyBorder="1"/>
    <xf numFmtId="0" fontId="0" fillId="0" borderId="2" xfId="0" applyBorder="1" applyAlignment="1">
      <alignment horizontal="center"/>
    </xf>
    <xf numFmtId="165" fontId="1" fillId="11" borderId="2" xfId="3" applyNumberFormat="1" applyFont="1" applyFill="1" applyBorder="1"/>
    <xf numFmtId="0" fontId="0" fillId="12" borderId="2" xfId="0" applyFill="1" applyBorder="1" applyAlignment="1">
      <alignment horizontal="center"/>
    </xf>
    <xf numFmtId="165" fontId="1" fillId="7" borderId="2" xfId="0" applyNumberFormat="1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1" fontId="0" fillId="0" borderId="8" xfId="0" applyNumberFormat="1" applyBorder="1" applyAlignment="1">
      <alignment horizontal="center"/>
    </xf>
    <xf numFmtId="165" fontId="8" fillId="6" borderId="8" xfId="3" applyNumberFormat="1" applyFont="1" applyFill="1" applyBorder="1" applyAlignment="1">
      <alignment horizontal="center" vertical="center"/>
    </xf>
    <xf numFmtId="165" fontId="0" fillId="6" borderId="8" xfId="0" applyNumberFormat="1" applyFill="1" applyBorder="1"/>
    <xf numFmtId="1" fontId="0" fillId="0" borderId="2" xfId="0" applyNumberFormat="1" applyBorder="1" applyAlignment="1">
      <alignment horizontal="center"/>
    </xf>
    <xf numFmtId="165" fontId="8" fillId="6" borderId="2" xfId="3" applyNumberFormat="1" applyFont="1" applyFill="1" applyBorder="1" applyAlignment="1">
      <alignment horizontal="center" vertical="center"/>
    </xf>
    <xf numFmtId="165" fontId="0" fillId="6" borderId="9" xfId="0" applyNumberFormat="1" applyFill="1" applyBorder="1"/>
    <xf numFmtId="165" fontId="0" fillId="6" borderId="2" xfId="0" applyNumberFormat="1" applyFill="1" applyBorder="1"/>
    <xf numFmtId="0" fontId="1" fillId="13" borderId="2" xfId="0" applyFont="1" applyFill="1" applyBorder="1"/>
    <xf numFmtId="165" fontId="1" fillId="13" borderId="2" xfId="0" applyNumberFormat="1" applyFont="1" applyFill="1" applyBorder="1"/>
    <xf numFmtId="165" fontId="0" fillId="6" borderId="2" xfId="3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6" borderId="10" xfId="3" applyNumberFormat="1" applyFont="1" applyFill="1" applyBorder="1" applyAlignment="1">
      <alignment horizontal="center" vertical="center"/>
    </xf>
    <xf numFmtId="165" fontId="8" fillId="6" borderId="10" xfId="3" applyNumberFormat="1" applyFont="1" applyFill="1" applyBorder="1" applyAlignment="1">
      <alignment horizontal="center" vertical="center"/>
    </xf>
    <xf numFmtId="165" fontId="0" fillId="6" borderId="10" xfId="0" applyNumberFormat="1" applyFill="1" applyBorder="1"/>
    <xf numFmtId="165" fontId="0" fillId="6" borderId="8" xfId="3" applyNumberFormat="1" applyFont="1" applyFill="1" applyBorder="1" applyAlignment="1">
      <alignment horizontal="center" vertical="center"/>
    </xf>
    <xf numFmtId="0" fontId="0" fillId="0" borderId="2" xfId="0" quotePrefix="1" applyBorder="1"/>
    <xf numFmtId="0" fontId="1" fillId="12" borderId="2" xfId="0" applyFont="1" applyFill="1" applyBorder="1" applyAlignment="1">
      <alignment horizontal="center" vertical="center" wrapText="1"/>
    </xf>
    <xf numFmtId="166" fontId="1" fillId="0" borderId="2" xfId="2" applyNumberFormat="1" applyFont="1" applyFill="1" applyBorder="1" applyAlignment="1"/>
    <xf numFmtId="0" fontId="1" fillId="9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0" fillId="0" borderId="2" xfId="0" quotePrefix="1" applyBorder="1" applyAlignment="1">
      <alignment horizontal="center"/>
    </xf>
    <xf numFmtId="166" fontId="0" fillId="0" borderId="2" xfId="2" applyNumberFormat="1" applyFont="1" applyBorder="1" applyAlignment="1">
      <alignment horizontal="center"/>
    </xf>
    <xf numFmtId="165" fontId="0" fillId="0" borderId="11" xfId="3" applyNumberFormat="1" applyFont="1" applyFill="1" applyBorder="1" applyAlignment="1">
      <alignment horizontal="center" vertical="center" wrapText="1"/>
    </xf>
    <xf numFmtId="165" fontId="0" fillId="9" borderId="11" xfId="3" applyNumberFormat="1" applyFont="1" applyFill="1" applyBorder="1" applyAlignment="1">
      <alignment horizontal="center" vertical="center" wrapText="1"/>
    </xf>
    <xf numFmtId="165" fontId="0" fillId="10" borderId="11" xfId="3" applyNumberFormat="1" applyFont="1" applyFill="1" applyBorder="1" applyAlignment="1">
      <alignment horizontal="center" vertical="center" wrapText="1"/>
    </xf>
    <xf numFmtId="165" fontId="0" fillId="5" borderId="11" xfId="3" applyNumberFormat="1" applyFont="1" applyFill="1" applyBorder="1" applyAlignment="1">
      <alignment horizontal="center" vertical="center" wrapText="1"/>
    </xf>
    <xf numFmtId="165" fontId="1" fillId="9" borderId="12" xfId="3" applyNumberFormat="1" applyFont="1" applyFill="1" applyBorder="1" applyAlignment="1">
      <alignment horizontal="center" vertical="center" wrapText="1"/>
    </xf>
    <xf numFmtId="43" fontId="1" fillId="4" borderId="2" xfId="3" applyFont="1" applyFill="1" applyBorder="1" applyAlignment="1">
      <alignment horizontal="left" vertical="center" wrapText="1"/>
    </xf>
    <xf numFmtId="43" fontId="1" fillId="6" borderId="2" xfId="3" applyFont="1" applyFill="1" applyBorder="1" applyAlignment="1">
      <alignment horizontal="center" vertical="center" wrapText="1"/>
    </xf>
    <xf numFmtId="0" fontId="6" fillId="2" borderId="1" xfId="6" applyFont="1" applyAlignment="1">
      <alignment horizontal="center" vertical="center" wrapText="1"/>
    </xf>
    <xf numFmtId="168" fontId="0" fillId="12" borderId="0" xfId="2" applyNumberFormat="1" applyFont="1" applyFill="1"/>
    <xf numFmtId="168" fontId="0" fillId="12" borderId="0" xfId="0" applyNumberFormat="1" applyFill="1"/>
    <xf numFmtId="164" fontId="0" fillId="12" borderId="0" xfId="2" applyFont="1" applyFill="1" applyAlignment="1">
      <alignment horizontal="center" wrapText="1"/>
    </xf>
    <xf numFmtId="0" fontId="0" fillId="12" borderId="0" xfId="0" applyFill="1" applyAlignment="1">
      <alignment horizontal="center" wrapText="1"/>
    </xf>
    <xf numFmtId="0" fontId="0" fillId="0" borderId="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165" fontId="0" fillId="0" borderId="0" xfId="0" applyNumberFormat="1" applyAlignment="1">
      <alignment horizontal="center"/>
    </xf>
    <xf numFmtId="166" fontId="9" fillId="7" borderId="2" xfId="2" applyNumberFormat="1" applyFont="1" applyFill="1" applyBorder="1"/>
    <xf numFmtId="166" fontId="3" fillId="0" borderId="0" xfId="0" applyNumberFormat="1" applyFont="1"/>
    <xf numFmtId="166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5" fontId="0" fillId="0" borderId="0" xfId="0" quotePrefix="1" applyNumberFormat="1"/>
    <xf numFmtId="165" fontId="1" fillId="0" borderId="0" xfId="0" applyNumberFormat="1" applyFont="1"/>
    <xf numFmtId="0" fontId="1" fillId="0" borderId="2" xfId="0" applyFont="1" applyBorder="1" applyAlignment="1">
      <alignment horizontal="center" vertical="center" wrapText="1"/>
    </xf>
    <xf numFmtId="164" fontId="0" fillId="0" borderId="0" xfId="2" applyFont="1" applyFill="1" applyBorder="1"/>
    <xf numFmtId="0" fontId="6" fillId="0" borderId="0" xfId="0" applyFont="1"/>
    <xf numFmtId="0" fontId="13" fillId="0" borderId="0" xfId="0" applyFont="1"/>
    <xf numFmtId="166" fontId="6" fillId="0" borderId="0" xfId="0" applyNumberFormat="1" applyFont="1"/>
    <xf numFmtId="165" fontId="6" fillId="2" borderId="1" xfId="6" applyNumberFormat="1" applyFont="1" applyAlignment="1">
      <alignment horizontal="center"/>
    </xf>
    <xf numFmtId="165" fontId="1" fillId="6" borderId="8" xfId="3" applyNumberFormat="1" applyFont="1" applyFill="1" applyBorder="1" applyAlignment="1">
      <alignment horizontal="center" vertical="center"/>
    </xf>
    <xf numFmtId="0" fontId="0" fillId="12" borderId="8" xfId="0" applyFill="1" applyBorder="1"/>
    <xf numFmtId="0" fontId="0" fillId="12" borderId="2" xfId="0" applyFill="1" applyBorder="1" applyAlignment="1">
      <alignment horizontal="center" vertical="center"/>
    </xf>
    <xf numFmtId="1" fontId="0" fillId="12" borderId="2" xfId="0" applyNumberFormat="1" applyFill="1" applyBorder="1" applyAlignment="1">
      <alignment horizontal="center"/>
    </xf>
    <xf numFmtId="165" fontId="0" fillId="12" borderId="8" xfId="3" applyNumberFormat="1" applyFont="1" applyFill="1" applyBorder="1" applyAlignment="1">
      <alignment horizontal="center" vertical="center"/>
    </xf>
    <xf numFmtId="165" fontId="8" fillId="12" borderId="8" xfId="3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1" fontId="0" fillId="0" borderId="7" xfId="0" applyNumberFormat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1" fontId="5" fillId="0" borderId="0" xfId="0" quotePrefix="1" applyNumberFormat="1" applyFont="1"/>
    <xf numFmtId="0" fontId="1" fillId="17" borderId="2" xfId="0" applyFont="1" applyFill="1" applyBorder="1"/>
    <xf numFmtId="0" fontId="1" fillId="0" borderId="2" xfId="0" applyFont="1" applyBorder="1"/>
    <xf numFmtId="166" fontId="1" fillId="0" borderId="2" xfId="2" applyNumberFormat="1" applyFont="1" applyBorder="1"/>
    <xf numFmtId="0" fontId="3" fillId="0" borderId="2" xfId="0" applyFont="1" applyBorder="1"/>
    <xf numFmtId="166" fontId="4" fillId="0" borderId="2" xfId="0" applyNumberFormat="1" applyFont="1" applyBorder="1"/>
    <xf numFmtId="166" fontId="6" fillId="0" borderId="2" xfId="2" applyNumberFormat="1" applyFont="1" applyBorder="1"/>
    <xf numFmtId="166" fontId="3" fillId="0" borderId="8" xfId="2" applyNumberFormat="1" applyFont="1" applyFill="1" applyBorder="1"/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165" fontId="3" fillId="0" borderId="8" xfId="3" applyNumberFormat="1" applyFont="1" applyFill="1" applyBorder="1"/>
    <xf numFmtId="165" fontId="4" fillId="0" borderId="8" xfId="3" applyNumberFormat="1" applyFont="1" applyFill="1" applyBorder="1"/>
    <xf numFmtId="166" fontId="3" fillId="0" borderId="8" xfId="0" applyNumberFormat="1" applyFont="1" applyBorder="1"/>
    <xf numFmtId="166" fontId="4" fillId="0" borderId="8" xfId="2" applyNumberFormat="1" applyFont="1" applyFill="1" applyBorder="1" applyAlignment="1">
      <alignment horizontal="right"/>
    </xf>
    <xf numFmtId="166" fontId="9" fillId="0" borderId="8" xfId="2" applyNumberFormat="1" applyFont="1" applyFill="1" applyBorder="1" applyAlignment="1">
      <alignment horizontal="right"/>
    </xf>
    <xf numFmtId="166" fontId="4" fillId="5" borderId="8" xfId="2" applyNumberFormat="1" applyFont="1" applyFill="1" applyBorder="1" applyAlignment="1">
      <alignment horizontal="right"/>
    </xf>
    <xf numFmtId="166" fontId="6" fillId="0" borderId="8" xfId="2" applyNumberFormat="1" applyFont="1" applyBorder="1"/>
    <xf numFmtId="0" fontId="3" fillId="0" borderId="8" xfId="0" applyFont="1" applyBorder="1"/>
    <xf numFmtId="166" fontId="4" fillId="0" borderId="8" xfId="0" applyNumberFormat="1" applyFont="1" applyBorder="1"/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43" fontId="1" fillId="4" borderId="14" xfId="3" applyFont="1" applyFill="1" applyBorder="1" applyAlignment="1">
      <alignment horizontal="center" vertical="center" wrapText="1"/>
    </xf>
    <xf numFmtId="43" fontId="1" fillId="9" borderId="14" xfId="3" applyFont="1" applyFill="1" applyBorder="1" applyAlignment="1">
      <alignment horizontal="center" vertical="center" wrapText="1"/>
    </xf>
    <xf numFmtId="43" fontId="1" fillId="10" borderId="14" xfId="3" applyFont="1" applyFill="1" applyBorder="1" applyAlignment="1">
      <alignment horizontal="center" vertical="center" wrapText="1"/>
    </xf>
    <xf numFmtId="43" fontId="1" fillId="5" borderId="14" xfId="3" applyFont="1" applyFill="1" applyBorder="1" applyAlignment="1">
      <alignment horizontal="center" vertical="center" wrapText="1"/>
    </xf>
    <xf numFmtId="43" fontId="9" fillId="9" borderId="14" xfId="3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18" borderId="13" xfId="0" applyFont="1" applyFill="1" applyBorder="1" applyAlignment="1">
      <alignment horizontal="center" vertical="center" wrapText="1"/>
    </xf>
    <xf numFmtId="0" fontId="1" fillId="18" borderId="1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164" fontId="3" fillId="0" borderId="8" xfId="2" applyFont="1" applyBorder="1" applyAlignment="1">
      <alignment horizontal="center" vertical="center"/>
    </xf>
    <xf numFmtId="0" fontId="1" fillId="3" borderId="0" xfId="0" applyFont="1" applyFill="1"/>
    <xf numFmtId="0" fontId="1" fillId="0" borderId="0" xfId="0" applyFont="1"/>
    <xf numFmtId="0" fontId="9" fillId="0" borderId="0" xfId="0" applyFont="1"/>
    <xf numFmtId="0" fontId="2" fillId="3" borderId="0" xfId="0" applyFont="1" applyFill="1"/>
    <xf numFmtId="1" fontId="3" fillId="0" borderId="8" xfId="2" quotePrefix="1" applyNumberFormat="1" applyFont="1" applyFill="1" applyBorder="1" applyAlignment="1">
      <alignment horizontal="center"/>
    </xf>
    <xf numFmtId="164" fontId="4" fillId="0" borderId="8" xfId="2" applyFont="1" applyFill="1" applyBorder="1" applyAlignment="1">
      <alignment horizontal="center"/>
    </xf>
    <xf numFmtId="1" fontId="3" fillId="0" borderId="8" xfId="0" applyNumberFormat="1" applyFont="1" applyBorder="1"/>
    <xf numFmtId="164" fontId="4" fillId="0" borderId="2" xfId="2" applyFont="1" applyFill="1" applyBorder="1" applyAlignment="1">
      <alignment horizontal="center"/>
    </xf>
    <xf numFmtId="1" fontId="3" fillId="0" borderId="2" xfId="0" applyNumberFormat="1" applyFont="1" applyBorder="1"/>
    <xf numFmtId="0" fontId="4" fillId="19" borderId="14" xfId="0" applyFont="1" applyFill="1" applyBorder="1" applyAlignment="1">
      <alignment horizontal="center" vertical="center" wrapText="1"/>
    </xf>
    <xf numFmtId="1" fontId="4" fillId="19" borderId="14" xfId="2" quotePrefix="1" applyNumberFormat="1" applyFont="1" applyFill="1" applyBorder="1" applyAlignment="1">
      <alignment horizontal="center" vertical="center"/>
    </xf>
    <xf numFmtId="0" fontId="4" fillId="19" borderId="14" xfId="0" quotePrefix="1" applyFont="1" applyFill="1" applyBorder="1" applyAlignment="1">
      <alignment horizontal="center" vertical="center" wrapText="1"/>
    </xf>
    <xf numFmtId="0" fontId="4" fillId="19" borderId="1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5" fontId="4" fillId="0" borderId="0" xfId="3" applyNumberFormat="1" applyFont="1" applyFill="1" applyBorder="1"/>
    <xf numFmtId="0" fontId="4" fillId="19" borderId="13" xfId="0" applyFont="1" applyFill="1" applyBorder="1" applyAlignment="1">
      <alignment horizontal="center" vertical="center" wrapText="1"/>
    </xf>
    <xf numFmtId="164" fontId="1" fillId="3" borderId="0" xfId="0" applyNumberFormat="1" applyFont="1" applyFill="1"/>
    <xf numFmtId="166" fontId="1" fillId="3" borderId="0" xfId="2" applyNumberFormat="1" applyFont="1" applyFill="1" applyBorder="1"/>
    <xf numFmtId="0" fontId="1" fillId="6" borderId="15" xfId="0" applyFont="1" applyFill="1" applyBorder="1" applyAlignment="1">
      <alignment horizontal="center" vertical="center" wrapText="1"/>
    </xf>
    <xf numFmtId="165" fontId="4" fillId="0" borderId="8" xfId="3" applyNumberFormat="1" applyFont="1" applyFill="1" applyBorder="1" applyAlignment="1">
      <alignment horizontal="center"/>
    </xf>
    <xf numFmtId="165" fontId="4" fillId="0" borderId="2" xfId="3" applyNumberFormat="1" applyFont="1" applyFill="1" applyBorder="1" applyAlignment="1">
      <alignment horizontal="center"/>
    </xf>
    <xf numFmtId="1" fontId="1" fillId="3" borderId="0" xfId="0" applyNumberFormat="1" applyFont="1" applyFill="1"/>
    <xf numFmtId="49" fontId="17" fillId="17" borderId="2" xfId="0" applyNumberFormat="1" applyFont="1" applyFill="1" applyBorder="1" applyAlignment="1">
      <alignment horizontal="center" vertical="center" wrapText="1"/>
    </xf>
    <xf numFmtId="0" fontId="17" fillId="17" borderId="2" xfId="0" applyFont="1" applyFill="1" applyBorder="1" applyAlignment="1">
      <alignment horizontal="center" vertical="center" wrapText="1"/>
    </xf>
    <xf numFmtId="49" fontId="16" fillId="17" borderId="2" xfId="0" applyNumberFormat="1" applyFont="1" applyFill="1" applyBorder="1" applyAlignment="1">
      <alignment horizontal="center" vertical="top" wrapText="1"/>
    </xf>
    <xf numFmtId="0" fontId="18" fillId="15" borderId="2" xfId="0" applyFont="1" applyFill="1" applyBorder="1" applyAlignment="1">
      <alignment horizontal="center" vertical="center"/>
    </xf>
    <xf numFmtId="3" fontId="19" fillId="15" borderId="2" xfId="0" applyNumberFormat="1" applyFont="1" applyFill="1" applyBorder="1" applyAlignment="1">
      <alignment horizontal="center"/>
    </xf>
    <xf numFmtId="1" fontId="18" fillId="15" borderId="2" xfId="0" applyNumberFormat="1" applyFont="1" applyFill="1" applyBorder="1" applyAlignment="1">
      <alignment horizontal="center" vertical="center"/>
    </xf>
    <xf numFmtId="3" fontId="18" fillId="15" borderId="2" xfId="0" applyNumberFormat="1" applyFont="1" applyFill="1" applyBorder="1" applyAlignment="1">
      <alignment horizontal="center" vertical="center"/>
    </xf>
    <xf numFmtId="0" fontId="19" fillId="15" borderId="2" xfId="0" applyFont="1" applyFill="1" applyBorder="1" applyAlignment="1">
      <alignment horizontal="center"/>
    </xf>
    <xf numFmtId="0" fontId="18" fillId="20" borderId="2" xfId="0" applyFont="1" applyFill="1" applyBorder="1" applyAlignment="1">
      <alignment horizontal="center" vertical="center"/>
    </xf>
    <xf numFmtId="3" fontId="19" fillId="20" borderId="2" xfId="0" applyNumberFormat="1" applyFont="1" applyFill="1" applyBorder="1" applyAlignment="1">
      <alignment horizontal="center"/>
    </xf>
    <xf numFmtId="1" fontId="18" fillId="20" borderId="2" xfId="0" applyNumberFormat="1" applyFont="1" applyFill="1" applyBorder="1" applyAlignment="1">
      <alignment horizontal="center" vertical="center"/>
    </xf>
    <xf numFmtId="3" fontId="18" fillId="20" borderId="2" xfId="0" applyNumberFormat="1" applyFont="1" applyFill="1" applyBorder="1" applyAlignment="1">
      <alignment horizontal="center" vertical="center"/>
    </xf>
    <xf numFmtId="0" fontId="19" fillId="20" borderId="2" xfId="0" applyFont="1" applyFill="1" applyBorder="1" applyAlignment="1">
      <alignment horizontal="center"/>
    </xf>
    <xf numFmtId="49" fontId="18" fillId="15" borderId="2" xfId="0" applyNumberFormat="1" applyFont="1" applyFill="1" applyBorder="1" applyAlignment="1">
      <alignment horizontal="center" vertical="center"/>
    </xf>
    <xf numFmtId="49" fontId="18" fillId="20" borderId="2" xfId="0" applyNumberFormat="1" applyFont="1" applyFill="1" applyBorder="1" applyAlignment="1">
      <alignment horizontal="center" vertical="center"/>
    </xf>
    <xf numFmtId="3" fontId="0" fillId="0" borderId="0" xfId="0" applyNumberFormat="1"/>
    <xf numFmtId="166" fontId="6" fillId="0" borderId="0" xfId="3" applyNumberFormat="1" applyFont="1"/>
    <xf numFmtId="0" fontId="10" fillId="0" borderId="0" xfId="0" applyFont="1"/>
    <xf numFmtId="15" fontId="18" fillId="15" borderId="2" xfId="0" applyNumberFormat="1" applyFont="1" applyFill="1" applyBorder="1" applyAlignment="1">
      <alignment horizontal="center" vertical="center"/>
    </xf>
    <xf numFmtId="15" fontId="18" fillId="20" borderId="2" xfId="0" applyNumberFormat="1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vertical="center"/>
    </xf>
    <xf numFmtId="0" fontId="0" fillId="0" borderId="0" xfId="0" pivotButton="1"/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43" fontId="1" fillId="4" borderId="21" xfId="3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12" borderId="2" xfId="0" applyFont="1" applyFill="1" applyBorder="1" applyAlignment="1">
      <alignment horizontal="left" vertical="center"/>
    </xf>
    <xf numFmtId="0" fontId="6" fillId="12" borderId="2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left" vertical="center"/>
    </xf>
    <xf numFmtId="166" fontId="0" fillId="0" borderId="2" xfId="2" applyNumberFormat="1" applyFont="1" applyFill="1" applyBorder="1" applyAlignment="1"/>
    <xf numFmtId="0" fontId="0" fillId="0" borderId="17" xfId="0" applyBorder="1" applyAlignment="1">
      <alignment horizontal="center"/>
    </xf>
    <xf numFmtId="0" fontId="0" fillId="0" borderId="17" xfId="0" applyBorder="1"/>
    <xf numFmtId="0" fontId="0" fillId="0" borderId="17" xfId="0" quotePrefix="1" applyBorder="1" applyAlignment="1">
      <alignment horizontal="center"/>
    </xf>
    <xf numFmtId="0" fontId="0" fillId="16" borderId="17" xfId="0" applyFill="1" applyBorder="1" applyAlignment="1">
      <alignment horizontal="center"/>
    </xf>
    <xf numFmtId="0" fontId="7" fillId="0" borderId="17" xfId="0" quotePrefix="1" applyFont="1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7" xfId="0" quotePrefix="1" applyBorder="1" applyAlignment="1">
      <alignment horizontal="left"/>
    </xf>
    <xf numFmtId="49" fontId="0" fillId="0" borderId="17" xfId="0" quotePrefix="1" applyNumberFormat="1" applyBorder="1"/>
    <xf numFmtId="0" fontId="7" fillId="0" borderId="17" xfId="0" applyFont="1" applyBorder="1" applyAlignment="1">
      <alignment horizontal="center"/>
    </xf>
    <xf numFmtId="49" fontId="0" fillId="0" borderId="17" xfId="0" quotePrefix="1" applyNumberFormat="1" applyBorder="1" applyAlignment="1">
      <alignment horizontal="center"/>
    </xf>
    <xf numFmtId="49" fontId="16" fillId="23" borderId="2" xfId="0" applyNumberFormat="1" applyFont="1" applyFill="1" applyBorder="1" applyAlignment="1">
      <alignment horizontal="center" vertical="top" wrapText="1"/>
    </xf>
    <xf numFmtId="1" fontId="18" fillId="21" borderId="2" xfId="0" applyNumberFormat="1" applyFont="1" applyFill="1" applyBorder="1" applyAlignment="1">
      <alignment horizontal="center" vertical="center"/>
    </xf>
    <xf numFmtId="1" fontId="18" fillId="22" borderId="2" xfId="0" applyNumberFormat="1" applyFont="1" applyFill="1" applyBorder="1" applyAlignment="1">
      <alignment horizontal="center" vertical="center"/>
    </xf>
    <xf numFmtId="0" fontId="0" fillId="12" borderId="0" xfId="0" applyFill="1"/>
    <xf numFmtId="0" fontId="0" fillId="24" borderId="0" xfId="0" applyFill="1"/>
    <xf numFmtId="165" fontId="1" fillId="24" borderId="0" xfId="0" applyNumberFormat="1" applyFont="1" applyFill="1"/>
    <xf numFmtId="166" fontId="6" fillId="0" borderId="2" xfId="2" applyNumberFormat="1" applyFont="1" applyFill="1" applyBorder="1"/>
    <xf numFmtId="0" fontId="18" fillId="21" borderId="2" xfId="0" applyFont="1" applyFill="1" applyBorder="1" applyAlignment="1">
      <alignment horizontal="center" vertical="center"/>
    </xf>
    <xf numFmtId="0" fontId="1" fillId="25" borderId="2" xfId="0" applyFont="1" applyFill="1" applyBorder="1" applyAlignment="1">
      <alignment horizontal="center" vertical="center" wrapText="1"/>
    </xf>
    <xf numFmtId="9" fontId="0" fillId="12" borderId="0" xfId="1" applyFont="1" applyFill="1"/>
    <xf numFmtId="165" fontId="0" fillId="0" borderId="2" xfId="3" applyNumberFormat="1" applyFont="1" applyBorder="1"/>
    <xf numFmtId="165" fontId="0" fillId="26" borderId="2" xfId="3" applyNumberFormat="1" applyFont="1" applyFill="1" applyBorder="1"/>
    <xf numFmtId="166" fontId="0" fillId="0" borderId="0" xfId="2" applyNumberFormat="1" applyFont="1" applyFill="1" applyBorder="1"/>
    <xf numFmtId="0" fontId="0" fillId="12" borderId="2" xfId="0" applyFill="1" applyBorder="1" applyAlignment="1">
      <alignment horizontal="left" vertical="center"/>
    </xf>
    <xf numFmtId="164" fontId="0" fillId="12" borderId="2" xfId="2" applyFont="1" applyFill="1" applyBorder="1"/>
    <xf numFmtId="166" fontId="0" fillId="12" borderId="2" xfId="2" applyNumberFormat="1" applyFont="1" applyFill="1" applyBorder="1"/>
    <xf numFmtId="16" fontId="0" fillId="0" borderId="0" xfId="0" applyNumberFormat="1"/>
    <xf numFmtId="0" fontId="0" fillId="0" borderId="0" xfId="0" applyAlignment="1">
      <alignment horizontal="left"/>
    </xf>
    <xf numFmtId="0" fontId="0" fillId="0" borderId="2" xfId="3" applyNumberFormat="1" applyFont="1" applyBorder="1" applyAlignment="1">
      <alignment horizontal="center"/>
    </xf>
    <xf numFmtId="166" fontId="0" fillId="0" borderId="2" xfId="3" applyNumberFormat="1" applyFont="1" applyBorder="1"/>
    <xf numFmtId="0" fontId="0" fillId="0" borderId="16" xfId="0" applyBorder="1"/>
    <xf numFmtId="0" fontId="0" fillId="0" borderId="7" xfId="0" applyBorder="1"/>
    <xf numFmtId="0" fontId="11" fillId="12" borderId="2" xfId="0" applyFont="1" applyFill="1" applyBorder="1" applyAlignment="1">
      <alignment vertical="center"/>
    </xf>
    <xf numFmtId="0" fontId="11" fillId="12" borderId="22" xfId="0" applyFont="1" applyFill="1" applyBorder="1" applyAlignment="1">
      <alignment vertical="center"/>
    </xf>
    <xf numFmtId="0" fontId="12" fillId="15" borderId="8" xfId="0" applyFont="1" applyFill="1" applyBorder="1" applyAlignment="1">
      <alignment vertical="center"/>
    </xf>
    <xf numFmtId="165" fontId="4" fillId="12" borderId="2" xfId="3" applyNumberFormat="1" applyFont="1" applyFill="1" applyBorder="1"/>
    <xf numFmtId="0" fontId="0" fillId="16" borderId="2" xfId="0" applyFill="1" applyBorder="1" applyAlignment="1">
      <alignment horizontal="center"/>
    </xf>
    <xf numFmtId="0" fontId="7" fillId="0" borderId="2" xfId="0" quotePrefix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66" fontId="6" fillId="0" borderId="8" xfId="2" applyNumberFormat="1" applyFont="1" applyFill="1" applyBorder="1" applyAlignment="1">
      <alignment horizontal="right"/>
    </xf>
    <xf numFmtId="16" fontId="0" fillId="12" borderId="0" xfId="0" quotePrefix="1" applyNumberFormat="1" applyFill="1"/>
    <xf numFmtId="16" fontId="0" fillId="0" borderId="2" xfId="0" quotePrefix="1" applyNumberFormat="1" applyBorder="1" applyAlignment="1">
      <alignment horizontal="left"/>
    </xf>
    <xf numFmtId="0" fontId="1" fillId="3" borderId="0" xfId="0" applyFont="1" applyFill="1" applyAlignment="1">
      <alignment horizontal="center"/>
    </xf>
    <xf numFmtId="0" fontId="0" fillId="0" borderId="16" xfId="0" quotePrefix="1" applyBorder="1" applyAlignment="1">
      <alignment horizontal="center"/>
    </xf>
    <xf numFmtId="0" fontId="1" fillId="3" borderId="0" xfId="0" applyFont="1" applyFill="1" applyAlignment="1">
      <alignment horizontal="center" wrapText="1"/>
    </xf>
    <xf numFmtId="0" fontId="1" fillId="3" borderId="0" xfId="0" quotePrefix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0" xfId="0" applyFont="1" applyAlignment="1">
      <alignment horizontal="center"/>
    </xf>
  </cellXfs>
  <cellStyles count="8">
    <cellStyle name="Comma" xfId="2" builtinId="3"/>
    <cellStyle name="Comma 2" xfId="3" xr:uid="{00000000-0005-0000-0000-000006000000}"/>
    <cellStyle name="Comma 3" xfId="5" xr:uid="{00000000-0005-0000-0000-000008000000}"/>
    <cellStyle name="Normal" xfId="0" builtinId="0"/>
    <cellStyle name="Normal 2" xfId="4" xr:uid="{00000000-0005-0000-0000-000007000000}"/>
    <cellStyle name="Normal 2 2" xfId="7" xr:uid="{00000000-0005-0000-0000-00000A000000}"/>
    <cellStyle name="Note" xfId="6" builtinId="10"/>
    <cellStyle name="Percent" xfId="1" builtinId="5"/>
  </cellStyles>
  <dxfs count="1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434343"/>
      </font>
      <fill>
        <patternFill patternType="solid">
          <fgColor rgb="FFEA9999"/>
          <bgColor rgb="FFEA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5985.651490046293" createdVersion="8" refreshedVersion="8" minRefreshableVersion="3" recordCount="826" xr:uid="{00000000-000A-0000-FFFF-FFFF0A000000}">
  <cacheSource type="worksheet">
    <worksheetSource ref="A3:AE1057" sheet="Shayak Income "/>
  </cacheSource>
  <cacheFields count="31">
    <cacheField name="AMCU" numFmtId="166">
      <sharedItems containsSemiMixedTypes="0" containsString="0" containsNumber="1" minValue="0" maxValue="110000"/>
    </cacheField>
    <cacheField name="Milk Cans" numFmtId="166">
      <sharedItems containsSemiMixedTypes="0" containsString="0" containsNumber="1" minValue="0" maxValue="28800"/>
    </cacheField>
    <cacheField name="Assets Value" numFmtId="166">
      <sharedItems containsSemiMixedTypes="0" containsString="0" containsNumber="1" minValue="0" maxValue="111391.602786046"/>
    </cacheField>
    <cacheField name="Code " numFmtId="0">
      <sharedItems containsSemiMixedTypes="0" containsString="0" containsNumber="1" containsInteger="1" minValue="10010006" maxValue="10580001" count="1164">
        <n v="10010006"/>
        <n v="10010013"/>
        <n v="10010017"/>
        <n v="10010019"/>
        <n v="10010021"/>
        <n v="10010038"/>
        <n v="10010044"/>
        <n v="10010047"/>
        <n v="10010050"/>
        <n v="10010051"/>
        <n v="10010055"/>
        <n v="10010056"/>
        <n v="10010057"/>
        <n v="10010059"/>
        <n v="10010071"/>
        <n v="10010076"/>
        <n v="10010082"/>
        <n v="10010084"/>
        <n v="10010086"/>
        <n v="10010087"/>
        <n v="10010089"/>
        <n v="10010092"/>
        <n v="10010094"/>
        <n v="10010095"/>
        <n v="10010097"/>
        <n v="10010098"/>
        <n v="10010099"/>
        <n v="10010102"/>
        <n v="10010103"/>
        <n v="10010108"/>
        <n v="10010109"/>
        <n v="10010112"/>
        <n v="10010113"/>
        <n v="10010116"/>
        <n v="10010117"/>
        <n v="10010121"/>
        <n v="10010124"/>
        <n v="10010125"/>
        <n v="10010128"/>
        <n v="10010129"/>
        <n v="10010130"/>
        <n v="10010131"/>
        <n v="10020002"/>
        <n v="10020004"/>
        <n v="10020006"/>
        <n v="10020007"/>
        <n v="10020008"/>
        <n v="10020014"/>
        <n v="10020015"/>
        <n v="10020016"/>
        <n v="10020017"/>
        <n v="10020020"/>
        <n v="10020021"/>
        <n v="10020023"/>
        <n v="10020024"/>
        <n v="10020025"/>
        <n v="10020026"/>
        <n v="10020028"/>
        <n v="10020029"/>
        <n v="10020032"/>
        <n v="10020034"/>
        <n v="10020035"/>
        <n v="10020037"/>
        <n v="10020038"/>
        <n v="10020041"/>
        <n v="10020042"/>
        <n v="10020043"/>
        <n v="10020044"/>
        <n v="10020047"/>
        <n v="10020050"/>
        <n v="10020051"/>
        <n v="10020054"/>
        <n v="10020057"/>
        <n v="10020058"/>
        <n v="10020059"/>
        <n v="10020062"/>
        <n v="10020063"/>
        <n v="10020064"/>
        <n v="10020067"/>
        <n v="10020068"/>
        <n v="10020069"/>
        <n v="10020070"/>
        <n v="10020073"/>
        <n v="10020075"/>
        <n v="10020076"/>
        <n v="10020077"/>
        <n v="10020078"/>
        <n v="10020079"/>
        <n v="10030002"/>
        <n v="10030003"/>
        <n v="10030004"/>
        <n v="10030007"/>
        <n v="10030008"/>
        <n v="10030009"/>
        <n v="10030010"/>
        <n v="10030011"/>
        <n v="10030012"/>
        <n v="10030013"/>
        <n v="10030015"/>
        <n v="10030016"/>
        <n v="10030017"/>
        <n v="10030018"/>
        <n v="10030019"/>
        <n v="10030021"/>
        <n v="10030022"/>
        <n v="10030023"/>
        <n v="10030025"/>
        <n v="10030026"/>
        <n v="10030027"/>
        <n v="10030028"/>
        <n v="10030030"/>
        <n v="10030031"/>
        <n v="10030032"/>
        <n v="10030034"/>
        <n v="10030035"/>
        <n v="10030037"/>
        <n v="10030038"/>
        <n v="10030040"/>
        <n v="10030041"/>
        <n v="10030042"/>
        <n v="10030043"/>
        <n v="10030044"/>
        <n v="10030045"/>
        <n v="10030046"/>
        <n v="10030047"/>
        <n v="10030048"/>
        <n v="10030049"/>
        <n v="10030050"/>
        <n v="10030051"/>
        <n v="10030053"/>
        <n v="10030055"/>
        <n v="10030056"/>
        <n v="10030059"/>
        <n v="10030060"/>
        <n v="10030061"/>
        <n v="10030062"/>
        <n v="10030063"/>
        <n v="10030064"/>
        <n v="10030065"/>
        <n v="10030066"/>
        <n v="10030067"/>
        <n v="10030069"/>
        <n v="10030070"/>
        <n v="10030071"/>
        <n v="10030072"/>
        <n v="10030073"/>
        <n v="10030075"/>
        <n v="10060002"/>
        <n v="10060003"/>
        <n v="10060004"/>
        <n v="10060005"/>
        <n v="10060007"/>
        <n v="10060008"/>
        <n v="10060009"/>
        <n v="10060010"/>
        <n v="10060011"/>
        <n v="10060014"/>
        <n v="10060015"/>
        <n v="10060020"/>
        <n v="10060021"/>
        <n v="10060022"/>
        <n v="10060023"/>
        <n v="10060025"/>
        <n v="10060026"/>
        <n v="10060027"/>
        <n v="10060028"/>
        <n v="10060029"/>
        <n v="10060031"/>
        <n v="10060032"/>
        <n v="10060033"/>
        <n v="10060036"/>
        <n v="10060037"/>
        <n v="10060041"/>
        <n v="10060044"/>
        <n v="10060045"/>
        <n v="10060048"/>
        <n v="10060049"/>
        <n v="10060050"/>
        <n v="10060051"/>
        <n v="10060052"/>
        <n v="10060056"/>
        <n v="10060058"/>
        <n v="10060062"/>
        <n v="10060064"/>
        <n v="10060069"/>
        <n v="10060071"/>
        <n v="10060073"/>
        <n v="10060074"/>
        <n v="10060076"/>
        <n v="10060077"/>
        <n v="10060082"/>
        <n v="10060083"/>
        <n v="10060084"/>
        <n v="10060085"/>
        <n v="10060087"/>
        <n v="10060090"/>
        <n v="10060095"/>
        <n v="10060096"/>
        <n v="10060097"/>
        <n v="10060098"/>
        <n v="10060100"/>
        <n v="10060104"/>
        <n v="10060107"/>
        <n v="10060109"/>
        <n v="10060110"/>
        <n v="10060111"/>
        <n v="10060113"/>
        <n v="10060114"/>
        <n v="10060115"/>
        <n v="10070002"/>
        <n v="10070003"/>
        <n v="10070004"/>
        <n v="10070008"/>
        <n v="10070013"/>
        <n v="10070016"/>
        <n v="10070018"/>
        <n v="10070019"/>
        <n v="10070020"/>
        <n v="10070021"/>
        <n v="10070024"/>
        <n v="10070026"/>
        <n v="10070031"/>
        <n v="10070033"/>
        <n v="10070036"/>
        <n v="10070042"/>
        <n v="10070043"/>
        <n v="10070044"/>
        <n v="10070045"/>
        <n v="10070046"/>
        <n v="10070048"/>
        <n v="10070049"/>
        <n v="10070056"/>
        <n v="10070057"/>
        <n v="10070059"/>
        <n v="10070060"/>
        <n v="10070061"/>
        <n v="10070063"/>
        <n v="10070064"/>
        <n v="10070065"/>
        <n v="10070074"/>
        <n v="10070076"/>
        <n v="10080001"/>
        <n v="10080002"/>
        <n v="10080003"/>
        <n v="10080004"/>
        <n v="10080006"/>
        <n v="10080007"/>
        <n v="10080013"/>
        <n v="10080014"/>
        <n v="10080015"/>
        <n v="10080016"/>
        <n v="10080020"/>
        <n v="10080022"/>
        <n v="10080024"/>
        <n v="10080025"/>
        <n v="10080032"/>
        <n v="10080039"/>
        <n v="10080040"/>
        <n v="10080041"/>
        <n v="10080042"/>
        <n v="10080043"/>
        <n v="10080048"/>
        <n v="10080051"/>
        <n v="10080052"/>
        <n v="10080053"/>
        <n v="10080054"/>
        <n v="10080055"/>
        <n v="10080062"/>
        <n v="10080065"/>
        <n v="10080067"/>
        <n v="10080070"/>
        <n v="10080072"/>
        <n v="10080073"/>
        <n v="10080076"/>
        <n v="10080077"/>
        <n v="10080078"/>
        <n v="10080079"/>
        <n v="10080080"/>
        <n v="10080082"/>
        <n v="10080083"/>
        <n v="10080086"/>
        <n v="10080087"/>
        <n v="10080088"/>
        <n v="10080090"/>
        <n v="10080093"/>
        <n v="10080095"/>
        <n v="10080096"/>
        <n v="10080097"/>
        <n v="10080098"/>
        <n v="10080099"/>
        <n v="10080100"/>
        <n v="10080107"/>
        <n v="10080109"/>
        <n v="10090001"/>
        <n v="10090002"/>
        <n v="10090003"/>
        <n v="10090004"/>
        <n v="10090005"/>
        <n v="10090006"/>
        <n v="10090007"/>
        <n v="10090008"/>
        <n v="10090009"/>
        <n v="10090010"/>
        <n v="10090011"/>
        <n v="10090012"/>
        <n v="10090014"/>
        <n v="10090015"/>
        <n v="10090017"/>
        <n v="10090021"/>
        <n v="10090022"/>
        <n v="10090024"/>
        <n v="10090025"/>
        <n v="10090026"/>
        <n v="10090027"/>
        <n v="10090028"/>
        <n v="10090029"/>
        <n v="10090030"/>
        <n v="10090033"/>
        <n v="10090034"/>
        <n v="10090036"/>
        <n v="10090037"/>
        <n v="10090040"/>
        <n v="10090041"/>
        <n v="10090042"/>
        <n v="10090043"/>
        <n v="10090045"/>
        <n v="10090046"/>
        <n v="10090047"/>
        <n v="10090049"/>
        <n v="10090052"/>
        <n v="10090054"/>
        <n v="10090055"/>
        <n v="10090056"/>
        <n v="10090057"/>
        <n v="10090058"/>
        <n v="10090060"/>
        <n v="10090061"/>
        <n v="10090063"/>
        <n v="10090064"/>
        <n v="10090065"/>
        <n v="10090066"/>
        <n v="10090069"/>
        <n v="10100001"/>
        <n v="10100003"/>
        <n v="10100009"/>
        <n v="10100019"/>
        <n v="10100021"/>
        <n v="10100024"/>
        <n v="10100033"/>
        <n v="10100035"/>
        <n v="10100037"/>
        <n v="10100045"/>
        <n v="10100048"/>
        <n v="10100049"/>
        <n v="10100051"/>
        <n v="10100054"/>
        <n v="10100057"/>
        <n v="10100060"/>
        <n v="10110001"/>
        <n v="10110002"/>
        <n v="10110004"/>
        <n v="10110005"/>
        <n v="10110007"/>
        <n v="10110008"/>
        <n v="10110011"/>
        <n v="10110013"/>
        <n v="10110014"/>
        <n v="10110015"/>
        <n v="10110016"/>
        <n v="10110021"/>
        <n v="10110033"/>
        <n v="10110042"/>
        <n v="10110043"/>
        <n v="10110050"/>
        <n v="10110053"/>
        <n v="10110055"/>
        <n v="10110057"/>
        <n v="10110059"/>
        <n v="10110065"/>
        <n v="10110066"/>
        <n v="10110071"/>
        <n v="10110073"/>
        <n v="10110076"/>
        <n v="10110078"/>
        <n v="10110086"/>
        <n v="10110091"/>
        <n v="10110093"/>
        <n v="10110094"/>
        <n v="10110095"/>
        <n v="10110097"/>
        <n v="10110098"/>
        <n v="10110100"/>
        <n v="10110101"/>
        <n v="10110105"/>
        <n v="10110106"/>
        <n v="10110109"/>
        <n v="10110110"/>
        <n v="10110111"/>
        <n v="10110112"/>
        <n v="10110113"/>
        <n v="10110114"/>
        <n v="10110115"/>
        <n v="10110116"/>
        <n v="10110118"/>
        <n v="10110119"/>
        <n v="10110120"/>
        <n v="10110121"/>
        <n v="10110123"/>
        <n v="10110124"/>
        <n v="10110127"/>
        <n v="10110128"/>
        <n v="10110129"/>
        <n v="10110131"/>
        <n v="10110132"/>
        <n v="10110133"/>
        <n v="10110134"/>
        <n v="10110135"/>
        <n v="10110140"/>
        <n v="10110141"/>
        <n v="10110142"/>
        <n v="10110143"/>
        <n v="10110144"/>
        <n v="10110145"/>
        <n v="10110146"/>
        <n v="10110148"/>
        <n v="10110149"/>
        <n v="10110153"/>
        <n v="10110155"/>
        <n v="10110158"/>
        <n v="10110159"/>
        <n v="10110160"/>
        <n v="10110161"/>
        <n v="10110165"/>
        <n v="10110166"/>
        <n v="10120001"/>
        <n v="10120002"/>
        <n v="10120004"/>
        <n v="10120005"/>
        <n v="10120006"/>
        <n v="10120007"/>
        <n v="10120008"/>
        <n v="10120010"/>
        <n v="10120011"/>
        <n v="10120012"/>
        <n v="10120013"/>
        <n v="10120014"/>
        <n v="10120015"/>
        <n v="10120016"/>
        <n v="10120017"/>
        <n v="10120018"/>
        <n v="10120019"/>
        <n v="10120021"/>
        <n v="10120022"/>
        <n v="10120023"/>
        <n v="10120024"/>
        <n v="10120025"/>
        <n v="10120026"/>
        <n v="10120029"/>
        <n v="10120030"/>
        <n v="10120031"/>
        <n v="10120034"/>
        <n v="10120035"/>
        <n v="10120043"/>
        <n v="10120046"/>
        <n v="10120047"/>
        <n v="10120049"/>
        <n v="10120050"/>
        <n v="10120051"/>
        <n v="10120052"/>
        <n v="10120053"/>
        <n v="10120054"/>
        <n v="10120060"/>
        <n v="10120065"/>
        <n v="10120066"/>
        <n v="10120071"/>
        <n v="10120080"/>
        <n v="10120081"/>
        <n v="10120083"/>
        <n v="10120084"/>
        <n v="10120086"/>
        <n v="10120089"/>
        <n v="10120090"/>
        <n v="10120091"/>
        <n v="10120094"/>
        <n v="10120095"/>
        <n v="10120096"/>
        <n v="10120099"/>
        <n v="10120103"/>
        <n v="10120104"/>
        <n v="10120105"/>
        <n v="10120106"/>
        <n v="10120107"/>
        <n v="10120108"/>
        <n v="10120109"/>
        <n v="10120111"/>
        <n v="10120112"/>
        <n v="10130001"/>
        <n v="10130002"/>
        <n v="10130003"/>
        <n v="10130005"/>
        <n v="10130006"/>
        <n v="10130008"/>
        <n v="10130012"/>
        <n v="10130013"/>
        <n v="10130014"/>
        <n v="10130015"/>
        <n v="10130016"/>
        <n v="10130018"/>
        <n v="10130020"/>
        <n v="10130025"/>
        <n v="10130026"/>
        <n v="10130027"/>
        <n v="10130030"/>
        <n v="10130031"/>
        <n v="10130032"/>
        <n v="10130040"/>
        <n v="10130041"/>
        <n v="10130042"/>
        <n v="10130044"/>
        <n v="10130046"/>
        <n v="10130047"/>
        <n v="10130052"/>
        <n v="10130054"/>
        <n v="10130058"/>
        <n v="10130063"/>
        <n v="10130065"/>
        <n v="10130070"/>
        <n v="10130073"/>
        <n v="10130074"/>
        <n v="10130077"/>
        <n v="10130080"/>
        <n v="10130083"/>
        <n v="10130085"/>
        <n v="10130091"/>
        <n v="10130093"/>
        <n v="10130094"/>
        <n v="10130097"/>
        <n v="10130098"/>
        <n v="10130100"/>
        <n v="10130101"/>
        <n v="10130102"/>
        <n v="10130103"/>
        <n v="10130106"/>
        <n v="10130107"/>
        <n v="10140001"/>
        <n v="10140002"/>
        <n v="10140003"/>
        <n v="10140004"/>
        <n v="10140006"/>
        <n v="10140007"/>
        <n v="10140008"/>
        <n v="10140009"/>
        <n v="10140010"/>
        <n v="10140012"/>
        <n v="10140013"/>
        <n v="10140018"/>
        <n v="10140020"/>
        <n v="10140022"/>
        <n v="10140032"/>
        <n v="10140033"/>
        <n v="10140034"/>
        <n v="10140038"/>
        <n v="10140039"/>
        <n v="10140041"/>
        <n v="10140043"/>
        <n v="10140045"/>
        <n v="10140047"/>
        <n v="10140048"/>
        <n v="10140054"/>
        <n v="10140055"/>
        <n v="10140058"/>
        <n v="10140066"/>
        <n v="10140068"/>
        <n v="10140069"/>
        <n v="10140071"/>
        <n v="10140083"/>
        <n v="10140087"/>
        <n v="10140095"/>
        <n v="10140098"/>
        <n v="10140099"/>
        <n v="10140107"/>
        <n v="10140109"/>
        <n v="10140114"/>
        <n v="10140119"/>
        <n v="10140120"/>
        <n v="10140122"/>
        <n v="10140126"/>
        <n v="10140129"/>
        <n v="10140130"/>
        <n v="10140131"/>
        <n v="10140132"/>
        <n v="10140135"/>
        <n v="10140137"/>
        <n v="10140138"/>
        <n v="10140139"/>
        <n v="10140141"/>
        <n v="10140145"/>
        <n v="10140148"/>
        <n v="10140152"/>
        <n v="10140153"/>
        <n v="10140155"/>
        <n v="10140156"/>
        <n v="10140159"/>
        <n v="10140166"/>
        <n v="10140167"/>
        <n v="10140170"/>
        <n v="10140172"/>
        <n v="10140173"/>
        <n v="10140174"/>
        <n v="10140175"/>
        <n v="10140176"/>
        <n v="10140178"/>
        <n v="10140179"/>
        <n v="10140180"/>
        <n v="10140181"/>
        <n v="10140183"/>
        <n v="10140185"/>
        <n v="10180001"/>
        <n v="10200001"/>
        <n v="10220001"/>
        <n v="10230001"/>
        <n v="10240001"/>
        <n v="10250001"/>
        <n v="10260001"/>
        <n v="10290001"/>
        <n v="10300001"/>
        <n v="10310001"/>
        <n v="10320001"/>
        <n v="10340001"/>
        <n v="10350001"/>
        <n v="10360001"/>
        <n v="10370001"/>
        <n v="10380001"/>
        <n v="10390001"/>
        <n v="10400001"/>
        <n v="10410001"/>
        <n v="10440001"/>
        <n v="10460001"/>
        <n v="10460002"/>
        <n v="10480001"/>
        <n v="10480002"/>
        <n v="10480003"/>
        <n v="10480005"/>
        <n v="10480008"/>
        <n v="10480012"/>
        <n v="10480014"/>
        <n v="10480016"/>
        <n v="10480022"/>
        <n v="10480023"/>
        <n v="10480028"/>
        <n v="10480034"/>
        <n v="10480035"/>
        <n v="10500001"/>
        <n v="10510001"/>
        <n v="10510002"/>
        <n v="10510004"/>
        <n v="10520006"/>
        <n v="10520007"/>
        <n v="10530001"/>
        <n v="10530002"/>
        <n v="10530003"/>
        <n v="10530005"/>
        <n v="10530006"/>
        <n v="10530007"/>
        <n v="10530008"/>
        <n v="10530009"/>
        <n v="10530010"/>
        <n v="10530013"/>
        <n v="10530014"/>
        <n v="10530015"/>
        <n v="10530016"/>
        <n v="10530017"/>
        <n v="10530018"/>
        <n v="10530019"/>
        <n v="10530020"/>
        <n v="10530021"/>
        <n v="10530023"/>
        <n v="10530024"/>
        <n v="10530025"/>
        <n v="10530027"/>
        <n v="10530029"/>
        <n v="10530030"/>
        <n v="10530031"/>
        <n v="10530032"/>
        <n v="10530033"/>
        <n v="10530034"/>
        <n v="10530035"/>
        <n v="10530037"/>
        <n v="10530038"/>
        <n v="10530040"/>
        <n v="10530041"/>
        <n v="10530044"/>
        <n v="10530046"/>
        <n v="10530047"/>
        <n v="10530048"/>
        <n v="10530049"/>
        <n v="10530050"/>
        <n v="10530053"/>
        <n v="10530054"/>
        <n v="10530055"/>
        <n v="10530057"/>
        <n v="10530058"/>
        <n v="10530059"/>
        <n v="10530060"/>
        <n v="10530062"/>
        <n v="10530063"/>
        <n v="10530064"/>
        <n v="10530065"/>
        <n v="10530067"/>
        <n v="10530068"/>
        <n v="10530069"/>
        <n v="10530070"/>
        <n v="10530071"/>
        <n v="10530072"/>
        <n v="10530074"/>
        <n v="10530075"/>
        <n v="10530076"/>
        <n v="10530079"/>
        <n v="10530081"/>
        <n v="10530082"/>
        <n v="10540003"/>
        <n v="10540005"/>
        <n v="10540007"/>
        <n v="10540008"/>
        <n v="10540009"/>
        <n v="10540010"/>
        <n v="10540012"/>
        <n v="10540014"/>
        <n v="10540016"/>
        <n v="10540017"/>
        <n v="10540018"/>
        <n v="10540020"/>
        <n v="10540021"/>
        <n v="10540024"/>
        <n v="10540025"/>
        <n v="10560001"/>
        <n v="10560002"/>
        <n v="10560003"/>
        <n v="10560004"/>
        <n v="10560005"/>
        <n v="10560007"/>
        <n v="10020080"/>
        <n v="10030074"/>
        <n v="10030076"/>
        <n v="10060116"/>
        <n v="10080108"/>
        <n v="10080110"/>
        <n v="10130088"/>
        <n v="10140011"/>
        <n v="10140186"/>
        <n v="10480029"/>
        <n v="10530078"/>
        <n v="10530080"/>
        <n v="10540019"/>
        <n v="10560008"/>
        <n v="10060117"/>
        <n v="10060118"/>
        <n v="10110147"/>
        <n v="10540028"/>
        <n v="10540029"/>
        <n v="10550001"/>
        <n v="10020081"/>
        <n v="10020082"/>
        <n v="10030077"/>
        <n v="10090018"/>
        <n v="10530088"/>
        <n v="10530090"/>
        <n v="10570001"/>
        <n v="10570002"/>
        <n v="10570003"/>
        <n v="10570004"/>
        <n v="10570005"/>
        <n v="10570008"/>
        <n v="10570009"/>
        <n v="10570010"/>
        <n v="10570011"/>
        <n v="10010135"/>
        <n v="10060120"/>
        <n v="10100056"/>
        <n v="10110167"/>
        <n v="10330001"/>
        <n v="10530085"/>
        <n v="10540036"/>
        <n v="10570012"/>
        <n v="10570007"/>
        <n v="10010049"/>
        <n v="10020018"/>
        <n v="10060013"/>
        <n v="10060119"/>
        <n v="10060122"/>
        <n v="10070015"/>
        <n v="10110032"/>
        <n v="10110048"/>
        <n v="10120085"/>
        <n v="10120114"/>
        <n v="10550002"/>
        <n v="10570013"/>
        <n v="10570014"/>
        <n v="10570015"/>
        <n v="10010137"/>
        <n v="10060121"/>
        <n v="10080111"/>
        <n v="10080112"/>
        <n v="10080113"/>
        <n v="10090039"/>
        <n v="10120097"/>
        <n v="10120115"/>
        <n v="10130108"/>
        <n v="10130109"/>
        <n v="10130110"/>
        <n v="10130111"/>
        <n v="10140187"/>
        <n v="10530092"/>
        <n v="10530093"/>
        <n v="10540031"/>
        <n v="10540032"/>
        <n v="10570016"/>
        <n v="10580001"/>
        <n v="10080005"/>
        <n v="10090059"/>
        <n v="10100044"/>
        <n v="10140171"/>
        <n v="10530091"/>
        <n v="10010101"/>
        <n v="10080012"/>
        <n v="10120042"/>
        <n v="10010079" u="1"/>
        <n v="10010123" u="1"/>
        <n v="10010132" u="1"/>
        <n v="10020012" u="1"/>
        <n v="10020052" u="1"/>
        <n v="10020056" u="1"/>
        <n v="10030068" u="1"/>
        <n v="10040001" u="1"/>
        <n v="10060043" u="1"/>
        <n v="10060061" u="1"/>
        <n v="10060079" u="1"/>
        <n v="10060081" u="1"/>
        <n v="10060091" u="1"/>
        <n v="10060099" u="1"/>
        <n v="10060101" u="1"/>
        <n v="10060105" u="1"/>
        <n v="10070039" u="1"/>
        <n v="10070066" u="1"/>
        <n v="10070067" u="1"/>
        <n v="10070072" u="1"/>
        <n v="10080027" u="1"/>
        <n v="10080057" u="1"/>
        <n v="10080061" u="1"/>
        <n v="10080075" u="1"/>
        <n v="10080089" u="1"/>
        <n v="10080106" u="1"/>
        <n v="10090070" u="1"/>
        <n v="10100004" u="1"/>
        <n v="10100007" u="1"/>
        <n v="10100014" u="1"/>
        <n v="10100015" u="1"/>
        <n v="10100016" u="1"/>
        <n v="10100055" u="1"/>
        <n v="10110049" u="1"/>
        <n v="10110056" u="1"/>
        <n v="10110083" u="1"/>
        <n v="10110157" u="1"/>
        <n v="10120067" u="1"/>
        <n v="10120070" u="1"/>
        <n v="10120072" u="1"/>
        <n v="10120082" u="1"/>
        <n v="10130004" u="1"/>
        <n v="10130007" u="1"/>
        <n v="10130009" u="1"/>
        <n v="10130023" u="1"/>
        <n v="10130079" u="1"/>
        <n v="10130095" u="1"/>
        <n v="10130105" u="1"/>
        <n v="10140027" u="1"/>
        <n v="10140030" u="1"/>
        <n v="10140053" u="1"/>
        <n v="10140067" u="1"/>
        <n v="10140169" u="1"/>
        <n v="10160001" u="1"/>
        <n v="10190001" u="1"/>
        <n v="10530004" u="1"/>
        <n v="10530012" u="1"/>
        <n v="10530042" u="1"/>
        <n v="10540013" u="1"/>
        <n v="10540022" u="1"/>
        <n v="10560006" u="1"/>
        <n v="10120088" u="1"/>
        <n v="10480032" u="1"/>
        <n v="10110162" u="1"/>
        <n v="10480006" u="1"/>
        <n v="10530011" u="1"/>
        <n v="10560010" u="1"/>
        <n v="10010114" u="1"/>
        <n v="10010126" u="1"/>
        <n v="10010133" u="1"/>
        <n v="10010134" u="1"/>
        <n v="10010136" u="1"/>
        <n v="10530039" u="1"/>
        <n v="10530086" u="1"/>
        <n v="10010022" u="1"/>
        <n v="10100008" u="1"/>
        <n v="10130082" u="1"/>
        <n v="10010090" u="1"/>
        <n v="10010111" u="1"/>
        <n v="10010122" u="1"/>
        <n v="10020013" u="1"/>
        <n v="10020039" u="1"/>
        <n v="10030057" u="1"/>
        <n v="10060034" u="1"/>
        <n v="10060089" u="1"/>
        <n v="10060103" u="1"/>
        <n v="10060108" u="1"/>
        <n v="10070068" u="1"/>
        <n v="10070075" u="1"/>
        <n v="10110003" u="1"/>
        <n v="10110044" u="1"/>
        <n v="10110104" u="1"/>
        <n v="10110164" u="1"/>
        <n v="10120061" u="1"/>
        <n v="10120075" u="1"/>
        <n v="10120087" u="1"/>
        <n v="10120098" u="1"/>
        <n v="10120110" u="1"/>
        <n v="10130076" u="1"/>
        <n v="10130087" u="1"/>
        <n v="10130090" u="1"/>
        <n v="10130104" u="1"/>
        <n v="10140019" u="1"/>
        <n v="10140160" u="1"/>
        <n v="10140168" u="1"/>
        <n v="10140182" u="1"/>
        <n v="10430001" u="1"/>
        <n v="10510003" u="1"/>
        <n v="10530045" u="1"/>
        <n v="10530056" u="1"/>
        <n v="10540015" u="1"/>
        <n v="10010011" u="1"/>
        <n v="10010035" u="1"/>
        <n v="10010106" u="1"/>
        <n v="10010119" u="1"/>
        <n v="10010120" u="1"/>
        <n v="10010127" u="1"/>
        <n v="10020010" u="1"/>
        <n v="10020022" u="1"/>
        <n v="10060030" u="1"/>
        <n v="10060040" u="1"/>
        <n v="10060070" u="1"/>
        <n v="10070001" u="1"/>
        <n v="10070052" u="1"/>
        <n v="10080009" u="1"/>
        <n v="10080104" u="1"/>
        <n v="10080105" u="1"/>
        <n v="10090032" u="1"/>
        <n v="10090062" u="1"/>
        <n v="10100030" u="1"/>
        <n v="10110022" u="1"/>
        <n v="10110047" u="1"/>
        <n v="10110058" u="1"/>
        <n v="10110063" u="1"/>
        <n v="10110079" u="1"/>
        <n v="10110102" u="1"/>
        <n v="10110130" u="1"/>
        <n v="10110136" u="1"/>
        <n v="10110156" u="1"/>
        <n v="10110163" u="1"/>
        <n v="10130010" u="1"/>
        <n v="10130096" u="1"/>
        <n v="10140051" u="1"/>
        <n v="10140100" u="1"/>
        <n v="10140184" u="1"/>
        <n v="10480026" u="1"/>
        <n v="10520009" u="1"/>
        <n v="10530036" u="1"/>
        <n v="10010096" u="1"/>
        <n v="10010100" u="1"/>
        <n v="10010105" u="1"/>
        <n v="10010107" u="1"/>
        <n v="10060001" u="1"/>
        <n v="10060039" u="1"/>
        <n v="10060055" u="1"/>
        <n v="10060088" u="1"/>
        <n v="10060093" u="1"/>
        <n v="10070011" u="1"/>
        <n v="10070062" u="1"/>
        <n v="10080029" u="1"/>
        <n v="10080037" u="1"/>
        <n v="10080038" u="1"/>
        <n v="10080066" u="1"/>
        <n v="10080084" u="1"/>
        <n v="10080094" u="1"/>
        <n v="10110024" u="1"/>
        <n v="10110039" u="1"/>
        <n v="10110074" u="1"/>
        <n v="10110089" u="1"/>
        <n v="10110117" u="1"/>
        <n v="10120101" u="1"/>
        <n v="10130022" u="1"/>
        <n v="10130036" u="1"/>
        <n v="10130084" u="1"/>
        <n v="10140035" u="1"/>
        <n v="10140117" u="1"/>
        <n v="10140177" u="1"/>
        <n v="10520008" u="1"/>
        <n v="10530052" u="1"/>
        <n v="10010027" u="1"/>
        <n v="10010040" u="1"/>
        <n v="10010081" u="1"/>
        <n v="10010088" u="1"/>
        <n v="10010104" u="1"/>
        <n v="10010110" u="1"/>
        <n v="10060054" u="1"/>
        <n v="10060092" u="1"/>
        <n v="10080018" u="1"/>
        <n v="10080023" u="1"/>
        <n v="10080081" u="1"/>
        <n v="10080085" u="1"/>
        <n v="10100052" u="1"/>
        <n v="10110122" u="1"/>
        <n v="10110125" u="1"/>
        <n v="10110126" u="1"/>
        <n v="10120033" u="1"/>
        <n v="10130029" u="1"/>
        <n v="10130051" u="1"/>
        <n v="10130081" u="1"/>
        <n v="10140021" u="1"/>
        <n v="10140136" u="1"/>
        <n v="10140150" u="1"/>
        <n v="10140151" u="1"/>
        <n v="10140154" u="1"/>
        <n v="10140164" u="1"/>
        <n v="10140165" u="1"/>
        <n v="10480033" u="1"/>
        <n v="10020001" u="1"/>
        <n v="10080017" u="1"/>
        <n v="10530061" u="1"/>
        <n v="10540001" u="1"/>
        <n v="10540002" u="1"/>
        <n v="10110010" u="1"/>
        <n v="10010030" u="1"/>
        <n v="10010069" u="1"/>
        <n v="10010093" u="1"/>
        <n v="10020061" u="1"/>
        <n v="10060068" u="1"/>
        <n v="10070010" u="1"/>
        <n v="10070017" u="1"/>
        <n v="10070032" u="1"/>
        <n v="10070053" u="1"/>
        <n v="10070054" u="1"/>
        <n v="10080011" u="1"/>
        <n v="10080064" u="1"/>
        <n v="10080092" u="1"/>
        <n v="10090023" u="1"/>
        <n v="10090044" u="1"/>
        <n v="10100027" u="1"/>
        <n v="10110006" u="1"/>
        <n v="10110041" u="1"/>
        <n v="10110052" u="1"/>
        <n v="10110085" u="1"/>
        <n v="10110087" u="1"/>
        <n v="10110139" u="1"/>
        <n v="10120009" u="1"/>
        <n v="10120055" u="1"/>
        <n v="10130053" u="1"/>
        <n v="10130067" u="1"/>
        <n v="10130069" u="1"/>
        <n v="10130078" u="1"/>
        <n v="10130092" u="1"/>
        <n v="10140025" u="1"/>
        <n v="10140143" u="1"/>
        <n v="10140163" u="1"/>
        <n v="10480025" u="1"/>
        <n v="10480031" u="1"/>
        <n v="10530043" u="1"/>
        <n v="10530051" u="1"/>
        <n v="10010080" u="1"/>
        <n v="10020009" u="1"/>
        <n v="10060024" u="1"/>
        <n v="10070047" u="1"/>
        <n v="10070050" u="1"/>
        <n v="10070055" u="1"/>
        <n v="10080060" u="1"/>
        <n v="10090013" u="1"/>
        <n v="10090048" u="1"/>
        <n v="10110019" u="1"/>
        <n v="10110036" u="1"/>
        <n v="10110099" u="1"/>
        <n v="10120069" u="1"/>
        <n v="10120092" u="1"/>
        <n v="10120100" u="1"/>
        <n v="10120102" u="1"/>
        <n v="10130075" u="1"/>
        <n v="10140029" u="1"/>
        <n v="10140105" u="1"/>
        <n v="10140111" u="1"/>
        <n v="10140113" u="1"/>
        <n v="10140146" u="1"/>
        <n v="10140149" u="1"/>
        <n v="10140161" u="1"/>
        <n v="10270001" u="1"/>
        <n v="10470001" u="1"/>
        <n v="10480004" u="1"/>
        <n v="10530022" u="1"/>
        <n v="10130048" u="1"/>
        <n v="10130072" u="1"/>
        <n v="10130055" u="1"/>
        <n v="10130086" u="1"/>
        <n v="10100053" u="1"/>
        <n v="10100036" u="1"/>
        <n v="10100050" u="1"/>
        <n v="10020003" u="1"/>
        <n v="10020027" u="1"/>
        <n v="10070051" u="1"/>
        <n v="10070025" u="1"/>
        <n v="10120037" u="1"/>
        <n v="10070014" u="1"/>
        <n v="10120003" u="1"/>
        <n v="10120079" u="1"/>
        <n v="10090035" u="1"/>
        <n v="10090051" u="1"/>
        <n v="10010045" u="1"/>
        <n v="10010028" u="1"/>
        <n v="10010075" u="1"/>
        <n v="10010083" u="1"/>
        <n v="10010091" u="1"/>
        <n v="10090031" u="1"/>
        <n v="10010058" u="1"/>
        <n v="10140037" u="1"/>
        <n v="10140061" u="1"/>
        <n v="10140157" u="1"/>
        <n v="10140124" u="1"/>
        <n v="10140140" u="1"/>
        <n v="10140059" u="1"/>
        <n v="10010014" u="1"/>
        <n v="10140026" u="1"/>
        <n v="10140050" u="1"/>
        <n v="10010078" u="1"/>
        <n v="10480021" u="1"/>
        <n v="10060035" u="1"/>
        <n v="10140104" u="1"/>
        <n v="10140112" u="1"/>
        <n v="10140128" u="1"/>
        <n v="10480019" u="1"/>
        <n v="10140070" u="1"/>
        <n v="10140078" u="1"/>
        <n v="10140086" u="1"/>
        <n v="10140134" u="1"/>
        <n v="10140142" u="1"/>
        <n v="10060038" u="1"/>
        <n v="10060078" u="1"/>
        <n v="10110035" u="1"/>
        <n v="10110090" u="1"/>
        <n v="10030036" u="1"/>
        <n v="10110088" u="1"/>
        <n v="10030024" u="1"/>
        <n v="10030014" u="1"/>
        <n v="10080059" u="1"/>
        <n v="10080074" u="1"/>
        <n v="10080056" u="1"/>
        <n v="10080047" u="1"/>
        <n v="10080063" u="1"/>
        <n v="10080071" u="1"/>
        <n v="10130061" u="1"/>
        <n v="10130034" u="1"/>
      </sharedItems>
    </cacheField>
    <cacheField name="MPG NAME " numFmtId="0">
      <sharedItems count="1145">
        <s v="Gomukh Ghanharpur"/>
        <s v="Gomukh Kumbhi"/>
        <s v="Gomukh Amba"/>
        <s v="Gomukh Jagdar                                                                                       "/>
        <s v="Gomukh Moradpur                                                                                     "/>
        <s v="Gomukh Goriyari"/>
        <s v="Gomukh Kanausi"/>
        <s v="Mohanpur - Chandan"/>
        <s v="Ekamba - Ashutosh"/>
        <s v="Gomukh Dunahi"/>
        <s v="GOMUKH BIRPUR PASCHIM                                                                               "/>
        <s v="Gomukh Harigiridham                                                                                 "/>
        <s v="Manish Dairy                                                                                        "/>
        <s v="Gomukh Menhan"/>
        <s v="Gomukh Sherpur"/>
        <s v="Gomukh Bhith-02"/>
        <s v="Gomukh Sharmatola Sahuri"/>
        <s v="Sangat- Sanjeev Kumar"/>
        <s v="Gomukh Garhi Bisanpur"/>
        <s v="Bagaraha-Gopal Yadav"/>
        <s v="Gomukh Barkurwa"/>
        <s v="Kamla- Amarjeet"/>
        <s v="Gomukh Surha"/>
        <s v="Gomukh Goha-02"/>
        <s v="Gomukh Cheria Bariarpur"/>
        <s v="Gomukh Rahul Nagar"/>
        <s v="Gomukh Bagraha-01"/>
        <s v="Gomukh Khanjapur Bangali Tola"/>
        <s v="Gomukh Shobhaipura"/>
        <s v="Gomukh Pirauna"/>
        <s v="Parra- Nagendra Kumar"/>
        <s v="Badiya-Bharti Devi"/>
        <s v="Gomukh Basahi"/>
        <s v="Mohanpur- Mukesh Kumar"/>
        <s v="Haiwatpur- Vikas Chandra Rai"/>
        <s v="Gomukh Sawantpur"/>
        <s v="Pahsara- Abhay Kumar"/>
        <s v="Maida- Ram Kumar"/>
        <s v="Gomukh Aure Bikrampur"/>
        <s v="Manjhaul- Gulshan Kumar"/>
        <s v="Khaira Manjhaul"/>
        <s v="Mehda Shahpur"/>
        <s v="PIPARIYA DIH -2"/>
        <s v="LAL DIYARA -1"/>
        <s v="GANGA KINARE KHUTHA"/>
        <s v="Gomukh ID Khutaha Ganga"/>
        <s v="Gomukh ID Khutaha Dhih"/>
        <s v="WALIPUR 2"/>
        <s v="GOMUKH  LALDIYARA TIRASHI                                                                           "/>
        <s v="GOMUKH  LALDIYARA PURBI"/>
        <s v="GOMUKH RAMCHANDARPUR II"/>
        <s v="MUKTAR YADAV"/>
        <s v="MOHANPUR"/>
        <s v="Juwas"/>
        <s v="Morwariya"/>
        <s v="Dumri 2"/>
        <s v="Gomukh Jhakhaur"/>
        <s v="Gomukh Nijampur"/>
        <s v="Gomukh Virupur"/>
        <s v="Gomukh Diyarapipariya                                                                               "/>
        <s v="TAJPUR"/>
        <s v="PATHUA"/>
        <s v="JAITPUR"/>
        <s v="LODIYA"/>
        <s v="ADARSH LAXMIPUR-3"/>
        <s v="BHANPUR"/>
        <s v="Karari Pipariya 2"/>
        <s v="DIYARA PIPARIYA-THANA                                                                               "/>
        <s v="SRI RAM SINGH(VLC)"/>
        <s v="GADHTOLA"/>
        <s v="Golapaar - Ramnandan"/>
        <s v="Diyara-Pipariya-Utri - Chandan"/>
        <s v="KANHARPUR-2"/>
        <s v="BASAUNA"/>
        <s v="GANGA-SARAI"/>
        <s v="GOVIND-BIGHA                                                                                        "/>
        <s v="MALPUR                                                                                              "/>
        <s v="Gomukh Hasanpur"/>
        <s v="ADARSH LAXMIPUR-2"/>
        <s v="SABIKPUR"/>
        <s v="CHETAN-TOLA-KHUTHA"/>
        <s v="LAXMIPUR"/>
        <s v="REHUA RK"/>
        <s v="RAMNAGAR"/>
        <s v="PACHAM"/>
        <s v="BANSIPUR"/>
        <s v="GODIH"/>
        <s v="SINGARPUR"/>
        <s v="CHATMADIH"/>
        <s v="KUNNATH"/>
        <s v="SIYADIH"/>
        <s v="HARPUR M"/>
        <s v="Gomukh ID Laldiyara"/>
        <s v="KATHNI"/>
        <s v="DEVDHA GOMUKH MPG"/>
        <s v="KASBA(MANGOAN)"/>
        <s v="LOHRA"/>
        <s v="KAMATPUR"/>
        <s v="GIRDHARA"/>
        <s v="RATNI"/>
        <s v="DHAPARI"/>
        <s v="KHARUI"/>
        <s v="KHAIRA"/>
        <s v="SISUA"/>
        <s v="BISAI"/>
        <s v="SAJUA-1"/>
        <s v="SAJUA-2"/>
        <s v="CHORGAUN"/>
        <s v="PADARATHPUR"/>
        <s v="MACHIDIH"/>
        <s v="BADARKHA"/>
        <s v="MAHDMADPUR                                                                                          "/>
        <s v="MUSKIPUR                                                                                            "/>
        <s v="NAYAGAUN                                                                                            "/>
        <s v="LAUNA                                                                                               "/>
        <s v="DULHAR"/>
        <s v="Ghorpithiya - Vikas"/>
        <s v="Akbarnagar - Rakhi"/>
        <s v="Maheshi - Chamcham"/>
        <s v="Ghorpithiya - Dheeraj"/>
        <s v="Asarganj Chhotki Tola - Akash"/>
        <s v="Manikpur - Golu"/>
        <s v="Rangaon - Jayram"/>
        <s v="Karso - Aparajita"/>
        <s v="Unchagaon - Niraj"/>
        <s v="SRIRAMPUR"/>
        <s v="PAIN"/>
        <s v="MOTICHAK"/>
        <s v="MIRATTHI"/>
        <s v="DAULATPUR"/>
        <s v="MOHADDIPUR"/>
        <s v="JHAJHA"/>
        <s v="KAMARDUH"/>
        <s v="BARSABAD"/>
        <s v="RANGAUN"/>
        <s v="GONAI"/>
        <s v="SHIKARITOLA"/>
        <s v="BAIKUNTHPUR"/>
        <s v="KAITHA"/>
        <s v="MIRATHI 2"/>
        <s v="RAGHUNATHPUR"/>
        <s v="BANGAMA"/>
        <s v="KORIYA"/>
        <s v="HARLACHAK"/>
        <s v="KHIRDIH"/>
        <s v="KATAHRA"/>
        <s v="MANO"/>
        <s v="PURANI SALEMPUR"/>
        <s v="DHANDHHA"/>
        <s v="CHALISH"/>
        <s v="MAA BHAGWATI"/>
        <s v="MAIDINICHOKI"/>
        <s v="GOMUKH JAJWARA"/>
        <s v="Gomukh ID Sonvarsha"/>
        <s v="BALHAPUR"/>
        <s v="Gomukh ID Husaina"/>
        <s v="Gomukh ID Prarotol"/>
        <s v="MAA SARDE"/>
        <s v="PURANI DIH"/>
        <s v="Farda Ravi Tola"/>
        <s v="Gomukh Puranidih 2"/>
        <s v="Gomukh Pokhrama"/>
        <s v="Gomukh Arma"/>
        <s v="Singhchak"/>
        <s v="MAHA-LAXMI"/>
        <s v="PAWAI"/>
        <s v="LAKHOCHAK                                                                                           "/>
        <s v="BATTA RAMPUR                                                                                        "/>
        <s v="DARISHIR"/>
        <s v="URAIN"/>
        <s v="NIRAJ KUMAR"/>
        <s v="RANDHIR KUMAR(VLC)"/>
        <s v="Abgil Rampur - Rohit"/>
        <s v="Abgil-2 - Sheshnath"/>
        <s v="Tilathi - Roushan"/>
        <s v="MALIYA"/>
        <s v="MAHULIYA"/>
        <s v="ABGIL RAMPUR"/>
        <s v="ABGIL"/>
        <s v="BABLU KUMAR"/>
        <s v="ABGIL HUSSAINA-2                                                                                    "/>
        <s v="AKHA-KURHA"/>
        <s v="BELDARIYA"/>
        <s v="BHANDAR"/>
        <s v="MAHESPUR"/>
        <s v="JANKIDIH"/>
        <s v="BASMATIYA"/>
        <s v="AKHA KURHA"/>
        <s v="TILATHI"/>
        <s v="GOMUKH BIJULIYA"/>
        <s v="GOMUKH WESTOL"/>
        <s v="GOMUKH AKHA 2"/>
        <s v="GOMUKH  SALHA"/>
        <s v="GOMUKH BABABARHAM"/>
        <s v="SANGRAMPUR"/>
        <s v="GOMUKH RAVI RAY TOLA "/>
        <s v="GOMUKH CHASMASKAN"/>
        <s v="GOMUKH KAJITOLA"/>
        <s v="RAMDEV TOLA"/>
        <s v="GOMUKH KATEHAR"/>
        <s v="GOMUKH JAGMAGLA"/>
        <s v="PACHRUKHI"/>
        <s v="ORABAGICHA"/>
        <s v="KHAJURIYA"/>
        <s v="NAYA SALEMPUR"/>
        <s v="MANO 2"/>
        <s v="Champanagar"/>
        <s v="Gomukh ID Araria"/>
        <s v="Gomukh ID Chaidha"/>
        <s v="Gomukh ID Pakrail"/>
        <s v="Gomukh ID Pipra"/>
        <s v="Gomukh Fatepur                                                                                      "/>
        <s v="Gomukh Gauchhari"/>
        <s v="Gomukh Arariya Karjaniya"/>
        <s v="Gomukh Aariya Dummer Kothi"/>
        <s v="Gomukh Balha"/>
        <s v="Muradpur - Deepak"/>
        <s v="Haripur - Sanjay"/>
        <s v="Araria - Ankesh"/>
        <s v="Gomukh Bari Maliya(Indirect)"/>
        <s v="Gomukh Kabela                                                                                       "/>
        <s v="Gomukh Navlolya                                                                                     "/>
        <s v="Gomukh Sapha"/>
        <s v="Araria"/>
        <s v="Araria Purbi"/>
        <s v="Telouch"/>
        <s v="Gomukh Jhangara B"/>
        <s v="Gomukh Sondiha Uttri"/>
        <s v=" Gomukh Nauranga"/>
        <s v="Gomukh Bharatkhand Purbi"/>
        <s v="Gomukh Pakrail Vijay Nagar VLC"/>
        <s v="Gomukh Pakrail Shirnia VLC"/>
        <s v="Gomukh Godhiyasi Nayagow VLC"/>
        <s v="Gomukh Bandehra Purbi"/>
        <s v="Gomukh Tila Tol"/>
        <s v="Gomukh Dina Chakla Vlc"/>
        <s v="Gomukh Gogri VLC"/>
        <s v="Gomukh Sondiha Jay Prakash VLC"/>
        <s v="Chak Punervas"/>
        <s v="Labherchak"/>
        <s v="Paspura"/>
        <s v="Gomukh Godhna"/>
        <s v="Gomukh Sihma 2"/>
        <s v="Gomukh ID Marsaito"/>
        <s v="Gomukh ID Akashpur"/>
        <s v="Gomukh ID Rachiyahi"/>
        <s v="GomukhBariyahi Chanan"/>
        <s v="GomukhGehuni"/>
        <s v="Gomukh Handalpur"/>
        <s v="Gomukh Bakhatpur"/>
        <s v="Ananaya Dairy"/>
        <s v="Gomukh Bishanpur"/>
        <s v="GOMUKH BEGAMSARAI"/>
        <s v="Hasanpur - Abhijeet"/>
        <s v="Adharpur - Manish"/>
        <s v="Rani - Surender"/>
        <s v="Barauni - Ramnandan"/>
        <s v="Gangaprasad - Prashant"/>
        <s v="GOMUKH RANI 3"/>
        <s v="Gomukh Ramchandarpur"/>
        <s v="GOMUKH NONPUR"/>
        <s v="GOMUKH FATEHA"/>
        <s v="Bablu Singh"/>
        <s v="Gomukh Rani                                                                                         "/>
        <s v="GOMUKH SIBUTOL 2"/>
        <s v="GOMUKH HADIPUR"/>
        <s v="Gomukh Harichak"/>
        <s v="GOMUKH MARANCHI"/>
        <s v="GOMUKH CHIRANJIVIPUR"/>
        <s v="PAWAN RAY"/>
        <s v="RAJ BHARDWAJ"/>
        <s v="Gomukh Amarpur"/>
        <s v="Prashant Kumar"/>
        <s v="Gomukh Barauni 3"/>
        <s v="CHANDAN YADAV"/>
        <s v="DINESH YADAV"/>
        <s v="ANITA DEVI"/>
        <s v="GOMUKH FATEHA SALEMPUR"/>
        <s v="GOMUKH GEHUNI 2"/>
        <s v="GOMUKH MALHIPUR"/>
        <s v="Rasalpur - Durgesh Kumar"/>
        <s v="Barauni Bariyarpur"/>
        <s v="Jaynagar"/>
        <s v="Amba-2"/>
        <s v="Fateha - Anil Yadav"/>
        <s v="Rani Panchwati"/>
        <s v="Bihat - Chakballi"/>
        <s v="Sibutol- Naya Tola"/>
        <s v="Rasalpur"/>
        <s v="Mokhtiyarpur"/>
        <s v="POHE"/>
        <s v="AURO"/>
        <s v="PARSHAMA"/>
        <s v="BAHCHA"/>
        <s v="PRATAPUR 2"/>
        <s v="BALLOPUR"/>
        <s v="KHAIRMA"/>
        <s v="MAHASONI"/>
        <s v="SONDHI"/>
        <s v="NANDNAMA"/>
        <s v="BELDARAYA"/>
        <s v="Gomukh ID Aure-2"/>
        <s v="Gomukh Karma"/>
        <s v="GOMUKH UKSI"/>
        <s v="Gomukh ID Halsi"/>
        <s v="KHURIYARI"/>
        <s v="BISANPUR"/>
        <s v="BEHRAMA"/>
        <s v="Gomukh ID Mathurapur"/>
        <s v="Gomukh ID Nawadih"/>
        <s v="Gomukh ID Kurha Dih"/>
        <s v="KUMAR"/>
        <s v="GUNSAGAR 1"/>
        <s v="SANDH MAAF 2"/>
        <s v="BHATTA                                                                                              "/>
        <s v="TAAL-SHAHARSHA                                                                                      "/>
        <s v="Dhira"/>
        <s v="BARHARA"/>
        <s v="AZADNAGAR(VLC)"/>
        <s v="REWAI"/>
        <s v="BAKHIYA"/>
        <s v="MANJOS"/>
        <s v="RATA"/>
        <s v="BARUI"/>
        <s v="LAHUARA                                                                                             "/>
        <s v="LACHHUAR"/>
        <s v="NANDNAMA-2"/>
        <s v="RAMDIH Ajit Kumar"/>
        <s v="NARAYANPUR"/>
        <s v="BELLORI"/>
        <s v="NAWKADIH"/>
        <s v="KHARAGWADA "/>
        <s v="UFFAPUR"/>
        <s v="BIHRAURA"/>
        <s v="SHIJHORI"/>
        <s v="RAM PRAVESH YADAV"/>
        <s v="KRAUTA"/>
        <s v="MAHMADPUR VL"/>
        <s v="Vishan Pur"/>
        <s v="Gomukh Madhawpur"/>
        <s v="Gomukh Kanhaiyachak Pachhim"/>
        <s v="Gomukh Badi Lagar                                                                                   "/>
        <s v="Gomukh Bandahera                                                                                    "/>
        <s v="Gomukh Aguwani                                                                                      "/>
        <s v="Gomukh Basudevpur"/>
        <s v="Gomukh Fudkichak"/>
        <s v="Gomukh Tehay"/>
        <s v="Gomukh Krochaka Dudhela"/>
        <s v="Gomukh Ganga Nagar"/>
        <s v="Gomukh Govind Pur"/>
        <s v="Gomukh Sondiha"/>
        <s v="Gomukh Thebhay B"/>
        <s v="Gomukh Bishouni Purbi "/>
        <s v="Gomukh Baisa"/>
        <s v="Gomukh Mahendrapur"/>
        <s v="Gomukh Balahpur"/>
        <s v="Gomukh Danauli"/>
        <s v="NAYAGAW"/>
        <s v="Dandari"/>
        <s v="Rahimpur Pachkhutti"/>
        <s v="GOMUKH PARTARPUR"/>
        <s v="Gomukh Mohanpur                                                                                     "/>
        <s v="Gomukh Raghunathpur"/>
        <s v="Gomukh Chhitraur"/>
        <s v="Gomukh Khorampur Chakaur"/>
        <s v="GOMUKH Mathar"/>
        <s v="Gomukh Sanhatol"/>
        <s v="Gomukh Sonapur"/>
        <s v="Gomukh Barkhandi 2"/>
        <s v="Gomukh Fatehpur                                                                                     "/>
        <s v="GOMUKH KATAHRI"/>
        <s v="GOMUKH Mathar Ward 10"/>
        <s v="GOMUKH Tartor 2"/>
        <s v="Gomukh Aho Ghat"/>
        <s v="Gomukh Chaidha"/>
        <s v="Gomukh Bakiya"/>
        <s v="Gomukh Sadpur"/>
        <s v="GOMUKH Nista Tol"/>
        <s v="GOMUKH SRINAGAR"/>
        <s v="GOMUKH THATHA"/>
        <s v="Gomukh Durgapur"/>
        <s v="Gomukh Singhpur Balahpur"/>
        <s v="Gomukh Koniya"/>
        <s v="GOMUKH ROHUA"/>
        <s v="GOMUKH LAXMIPUR"/>
        <s v="GOMUKH BACHOTA"/>
        <s v="GOMUKH CHATAR"/>
        <s v="GOMUKH BATHNAMA"/>
        <s v="GOMUKH TILAK NAGAR"/>
        <s v="Gomukh Thatha Purvi"/>
        <s v="Gomukh Rahimpur Dakshin"/>
        <s v="GOMUKH MORKAHI"/>
        <s v="GOMUKH HANSPUR"/>
        <s v="GOMUKH NAYAGAON 2"/>
        <s v="GOMUKH ALOLI"/>
        <s v="GOMUKH SONVARSA"/>
        <s v="GOMUKH LABHGAON"/>
        <s v="GOMUKH TATRABAD"/>
        <s v="GOMUKH CHANDPURA"/>
        <s v="GOMUKH BADIL TOL"/>
        <s v="GOMUKH TRIBHUVAN TOLA"/>
        <s v="GOMUKH SANTOSHPUL"/>
        <s v="GOMUKH AHUNA"/>
        <s v="GOMUKH SHADIPUR"/>
        <s v="GOMUKH ASHRAPHA DIYARA"/>
        <s v="GOMUKH SANJHOTI"/>
        <s v="GOMUKH MANIAPPA"/>
        <s v="GOMUKH D SANJHAUTI"/>
        <s v="GOMUKH KAMALPUR"/>
        <s v="GOMUKH DHUSMURI BISHANPUR"/>
        <s v="GOMUKH ANANDPUR PARAS"/>
        <s v="GOMUKH BISHANPUR 2"/>
        <s v="GOMUKH GHAMARIYA"/>
        <s v="GOMUKH MEGHAUMA"/>
        <s v="GOUKH SIRSIYA"/>
        <s v="GOMUKH AURA"/>
        <s v="GOMUKH BEHORBA"/>
        <s v="GOMUKH SONAPUR BHARAT"/>
        <s v="GOMUKH SAIDPUR SAMASTIPUR"/>
        <s v="GOMUKH SAHARBANNI"/>
        <s v="GOMUKH PHULTAURA"/>
        <s v="Jangli Tol Vlc "/>
        <s v="DILKHUSH KUMAR "/>
        <s v="GOMUKH CHOWKI 2"/>
        <s v="GOMUKH MOHABA"/>
        <s v="SANHA VLC"/>
        <s v="MOHANPUR VLC"/>
        <s v="Gomukh Chakwari Tola"/>
        <s v="Hiratol VLC"/>
        <s v="GOMUKH SUBHANPUR"/>
        <s v="GOMUKH  BHAJANGAMA"/>
        <s v="Gomukh Chora Tabhka"/>
        <s v="Gomukh Basadhiya Kurni"/>
        <s v="KHAJURI"/>
        <s v="ARMAULI-2"/>
        <s v="MUSAPUR - 2"/>
        <s v="Janganath Pur"/>
        <s v="Nagargama"/>
        <s v="Sato Ghachchhi"/>
        <s v="Bhatgama"/>
        <s v="Borna Rasalpur"/>
        <s v="Narahan"/>
        <s v="Gomukh Dumduma"/>
        <s v="SUPOL"/>
        <s v="BHUSARAI"/>
        <s v="Gomukha Bisanpur Beri"/>
        <s v="Gomukha Jounapur"/>
        <s v="Patailliya"/>
        <s v="Badiya"/>
        <s v="Gomukh Tabhka"/>
        <s v="Ghato"/>
        <s v="RAMNATHPUR                                                                                          "/>
        <s v="KEWAS JAGIR"/>
        <s v="DESUA"/>
        <s v="Matior"/>
        <s v="TELGAMA"/>
        <s v="GOMUKH TATARPUR"/>
        <s v="Gomukh Ghataho"/>
        <s v="Madhepur - Bishwanath"/>
        <s v="Kacha - Amarjeet"/>
        <s v="Simri - Suman"/>
        <s v="Narenpur"/>
        <s v="Mordiba"/>
        <s v="Jagdispur"/>
        <s v="Baruna Rasalpur"/>
        <s v="Chaklal Sahi_Vikrant"/>
        <s v="Ghataho East"/>
        <s v="Piparpaati"/>
        <s v="Suratpur"/>
        <s v="Manika Tol"/>
        <s v="Musapur Bichla Tol-Prashant"/>
        <s v="Beri"/>
        <s v="Mahmmadipur"/>
        <s v="Simri-Rupesh"/>
        <s v="Gomukh Jhaura Tabhka"/>
        <s v="Gomukh Kewasnijamat"/>
        <s v="Gomukh Mohanpur"/>
        <s v="Gomukh Bochaha"/>
        <s v="Gomukh Terganj"/>
        <s v="Gomukh Chapra"/>
        <s v="GOMUKH Chiranjipur"/>
        <s v="Gomukh Sahu Tol"/>
        <s v="Gomukh Mordiwa East"/>
        <s v="GOMUKH HANUMAN NAGAR"/>
        <s v="Gomukh Belamegh"/>
        <s v="Gomukh Ramaiya"/>
        <s v="GOMUKH MANIKA EAST"/>
        <s v="IMADPUR"/>
        <s v="GOMUKH Kisanpur Tabhka"/>
        <s v="Gomukh Mahmaddipur East"/>
        <s v="GOMUKH BANGHARH KISHANPUR"/>
        <s v="Gomukh Serpur Narsari"/>
        <s v="PARORIYA"/>
        <s v="JHAKHRA"/>
        <s v="GOMUKH ANDAHA"/>
        <s v="Gomukha Rohua"/>
        <s v="Gomukha Arniya Ganj"/>
        <s v="Gomukh Sarmaspur"/>
        <s v="Gomukh Tara Dhamaun Dakshini"/>
        <s v="Gomukha Vishanupatti II"/>
        <s v="Gomukh Khesarhiya"/>
        <s v="Harsingpur"/>
        <s v="Gomukh ID Mahathi"/>
        <s v="MURTUJAPUR"/>
        <s v="Gomukh VISHNUPATTI"/>
        <s v="Chhuchhipur                                                                                         "/>
        <s v="Gomukh ID Sararanjan"/>
        <s v="Gomukh Soharthi Purvi Tola                                                                          "/>
        <s v="Birnama"/>
        <s v="Maraie - Rubi"/>
        <s v="Arniya East Tola - Seema"/>
        <s v="Lakshmipur Western Tol - Rajeev"/>
        <s v="Jahangipur Salkhanni"/>
        <s v="Sekhpura"/>
        <s v="Songar"/>
        <s v="Rampur Maheshpur"/>
        <s v="Godhiyari"/>
        <s v="Rampur-Pappu"/>
        <s v="Jhakhra-Rambilash"/>
        <s v="Chaksikandar East"/>
        <s v="Dagarua"/>
        <s v="Chakmilki"/>
        <s v="Gomukh Akaha"/>
        <s v="Nauachak-Pankaj"/>
        <s v="Gomukh Sirdulpur 2"/>
        <s v="Gomukh Repura"/>
        <s v="Gomukh Nipur"/>
        <s v="Gomukh Sherpur Narsari East"/>
        <s v="Gomukh Nauachak East"/>
        <s v="Gomukh Karhatti"/>
        <s v="Gomukh Gaopur Bhagwatpur"/>
        <s v="Gomukh Rajwara"/>
        <s v="Gomukh Karhatiya Bujurg"/>
        <s v="GOMUKH NIKASPUR"/>
        <s v="NAUACHAUK W-04"/>
        <s v="Gomukh Akhtiyarpur"/>
        <s v="Gomukh Morwa Mohanpur"/>
        <s v="Dumri Purvi Tola"/>
        <s v="Simri"/>
        <s v="Sahiyar"/>
        <s v="Majhwari"/>
        <s v="Ekauna"/>
        <s v="ENGLISH DUBAULI"/>
        <s v="Ramo Bariya"/>
        <s v="HITAN PARARI"/>
        <s v="ARIAON"/>
        <s v="Gangauli"/>
        <s v="MATHURA DERA"/>
        <s v="NANDAN"/>
        <s v="RAJAPUR"/>
        <s v="HEMDAPUR"/>
        <s v="Chaugain"/>
        <s v="Akalupur"/>
        <s v="Chhotka Sihanpura"/>
        <s v="Jagadhra"/>
        <s v="Dharauli"/>
        <s v="Ramopatti"/>
        <s v="Kaithi"/>
        <s v="Rangi Dera"/>
        <s v="Dubki"/>
        <s v="Sonvarsa"/>
        <s v="Soan"/>
        <s v="PURANA BHOJPUR                                                                                      "/>
        <s v="Gomukh Lewar"/>
        <s v="Gomukh Kant"/>
        <s v="Gomukh Naat"/>
        <s v="Gomukh Tilakraika Hata 1 - Manoj"/>
        <s v="Gomukh Murar"/>
        <s v="Gomukh Churamanpur                                                                                  "/>
        <s v="Gomukh Ekauni Karuwaj"/>
        <s v="Kulharia Agriculture Producer Company Limited"/>
        <s v="Gomukh Dhakaich"/>
        <s v="Gomukh Chhapra"/>
        <s v="Gomukh Kajipura Chandan"/>
        <s v="Gomukh Ekrashi Sadabriksh"/>
        <s v="Gomukh Banswar"/>
        <s v="Gomukh Sikraul Lakh"/>
        <s v="Gomukh Navadera Prem"/>
        <s v="Gomukh Dafadihari"/>
        <s v="Gomukh Paharpur"/>
        <s v="Gomukh Badkagaon"/>
        <s v="Gomukh Basaon Kalan"/>
        <s v="Gomukh Mangolpur"/>
        <s v="Gomukh Dhanipur"/>
        <s v="Gomukh Rakshanagar_tola"/>
        <s v="Gomukh Mahada Mirtunjay "/>
        <s v="Gomukh Nadaon"/>
        <s v="Gomukh Bimhnath Girdhar Baraw"/>
        <s v="Gomukh Pokhraha"/>
        <s v="Gomukh Dalsagar Pachhim"/>
        <s v="Gomukh Badkagaon Yamunatola"/>
        <s v="Gomukh Bramhpur"/>
        <s v="Gomukh Rajpur Naurang Rai Dera"/>
        <s v="Gomukh Mashariya"/>
        <s v="Gomukh Kaudesari"/>
        <s v="Gomukh KritSagar"/>
        <s v="Gomukh Navdera Jaipraksh"/>
        <s v="Gomukh Ataon"/>
        <s v="Gomukh Laxman Dera"/>
        <s v="Gumukh Gayghat"/>
        <s v="Gomukh Shivpur"/>
        <s v="Gomukh Koilawar Roma Bharti"/>
        <s v="Gomukh Chakki Janardan Yadav"/>
        <s v="Gomukh Tiyar"/>
        <s v="Gomukh Rajpur"/>
        <s v="Gomukh Gangauli Dubha"/>
        <s v="Tiyar A2 Milk Producer Company Limited"/>
        <s v="Gomukh Uttardahan"/>
        <s v="Gomukh Jagdishpur"/>
        <s v="Gaachhi Tola"/>
        <s v="SHIVNAR-2"/>
        <s v="VISHWASHPUR"/>
        <s v="KHARIYA"/>
        <s v="KUMARPUIR KATHARA"/>
        <s v="KUDHIYA MPG"/>
        <s v="SHAHJADPUR MPG"/>
        <s v="FARDA - 3"/>
        <s v="CHANDANPURA"/>
        <s v="MANIKPUR"/>
        <s v="JAKARPURA"/>
        <s v="NANDPUR"/>
        <s v="NOWAGADHI"/>
        <s v="MAHADAT PUR 2"/>
        <s v="KATHELA TOLA TELDHI"/>
        <s v="SONBARSHA 1"/>
        <s v="GANOUL"/>
        <s v="Gauripur"/>
        <s v="Bhramarpur"/>
        <s v="Gomukh Sadananpur"/>
        <s v="TILAKPUR  2"/>
        <s v="TILAKPUR"/>
        <s v="Prasharpur Kadwa Gomukh"/>
        <s v="Borwa Tola Gomukh"/>
        <s v="Sheela Devi"/>
        <s v="Gomukh Vijay Lalganj"/>
        <s v="Gomukh Sarswati Nagar Nakdahri"/>
        <s v="Gomukh Krishna Dairy Tulsipur"/>
        <s v="Gomukh Amghatta Shreepur"/>
        <s v="Gomukh Lauwalagam"/>
        <s v="Dhobina Basa"/>
        <s v="Gomukh Shreepur Madhay"/>
        <s v="Gomukh Dhoriya Dadpur -VLC"/>
        <s v="Gomukh Abhirampur VLC"/>
        <s v="Gomukh Borba Mahil  VLC"/>
        <s v="KUNTHA M"/>
        <s v="ARAK"/>
        <s v="Diyaman"/>
        <s v="HENHA"/>
        <s v="Suddh Dairy"/>
        <s v="Krishna Dairy"/>
        <s v="Gomukh CHANDAULI"/>
        <s v="GOMUKH HATHA"/>
        <s v="GOMUKH VADEYA"/>
        <s v="GOMUKH BARGAMA"/>
        <s v="Gomukh Gograha Tola"/>
        <s v="Gomukh Patsara"/>
        <s v="Gomukh Singhiya"/>
        <s v="Gomukh BALHA "/>
        <s v="Gomukh Kalyanpur 2"/>
        <s v="Gomukh Namapur 2"/>
        <s v="Gomukh Madhopur"/>
        <s v="Gomukh Kalyanpur East"/>
        <s v="Gomukh Bazidpur"/>
        <s v="Gomukh Belsandi"/>
        <s v="Gomukh Namapur Ward 8"/>
        <s v="Gomukh Bhagwanpur"/>
        <s v="Gomukh Gorai Ward 4"/>
        <s v="GOMUKH Jitwariya"/>
        <s v="Gomukh Kharsand"/>
        <s v="Belsandi"/>
        <s v="Gomukh Kolwara"/>
        <s v="Gomukh Belsandi East"/>
        <s v="Gomukh Belsandi West Tola"/>
        <s v="Gomukh Gopalpur"/>
        <s v="Gomukh Bharav"/>
        <s v="Gomukh Harpur"/>
        <s v="Gomukh Fulhatta"/>
        <s v="Gomukh Birauli Khurd"/>
        <s v="Gomukh Janardhanpur"/>
        <s v="Gomukh Bedauliya"/>
        <s v="Gomukh Khanua"/>
        <s v="Gomukh Hiralalpur"/>
        <s v="Gomukh Punas"/>
        <s v="Gomukh Loharkha"/>
        <s v="Gomukh Dighra"/>
        <s v="Basuwari"/>
        <s v="Belsandi 3"/>
        <s v="Gomukh Balaha East"/>
        <s v="Gomukh PARAN"/>
        <s v="GOMUKH HARPUR W-13"/>
        <s v="GOMUKH MILKI"/>
        <s v="Gomukh Ratwara"/>
        <s v="Gomukh Fulhara"/>
        <s v="Gomukh Ranitola"/>
        <s v="Gomukh Malinagar East"/>
        <s v="GOMUKH Singhiya Ward 11"/>
        <s v="GOMUKH MANIYARPUR"/>
        <s v="GOMUKH DIGHRA W-6"/>
        <s v="GOMUKH BANDRA W-6"/>
        <s v="BELSANDI RAJO"/>
        <s v="BELSANDI W-9"/>
        <s v="GOMUKH PARAN 2"/>
        <s v="GOMUKH KHARAGPUR"/>
        <s v="KAMARGAMA"/>
        <s v="GOMUKH BALAHA W-9"/>
        <s v="Gomukh NAMAPUR East"/>
        <s v="GOMUKH Madanpur W-3"/>
        <s v="Jitwariya W-11"/>
        <s v="GOMUKH DADHIYA-2"/>
        <s v="GOMUKH PREMNAGAR"/>
        <s v="GOMUKH ANANDPUR PARAS 2"/>
        <s v="GOMUKH GADBANNI"/>
        <s v="GOMUKH GORIYAMI"/>
        <s v="GOMUKH PARRI"/>
        <s v="GOMUKH BHIKHARI GHAT"/>
        <s v="Vikash Kumar"/>
        <s v="Rajkishore Yadav"/>
        <s v="BHADAS VLC"/>
        <s v="GOMUKH BENHER"/>
        <s v="GOMUKH LADORA"/>
        <s v="GOMUKH SAHSI"/>
        <s v="GOMUKH BUDWA"/>
        <s v="GOMUKH GANGIYA"/>
        <s v="BARUN YADAV"/>
        <s v="Saharbanni Vlc"/>
        <s v="Gomukh Chautham(Mithun Kumar VLC)"/>
        <s v="Gomukh Pansalwa"/>
        <s v="Gomukh Kanauli"/>
        <s v="Gomukh Nawada"/>
        <s v="Gomukh Yadav Tol Kanauli"/>
        <s v="Gomukh Hardia"/>
        <s v="ADARSH PULPAR"/>
        <s v="Jangle Jhakra"/>
        <s v="PRATAPUR"/>
        <s v="LOSDHANI"/>
        <s v="Malhipur Bisanpur"/>
        <s v="Rudauli"/>
        <s v="Gomukh Patepur"/>
        <s v="DULLAHPUR2"/>
        <s v="Gomukh Akalupur Dera"/>
        <s v="Gomukh Tulsipur Jamunia VLC"/>
        <s v="GOMUKH Kalaunjar"/>
        <s v="Pastara Lakshman"/>
        <s v="Gomukh Chikni"/>
        <s v="Gomukh Bramha"/>
        <s v="GOMUKH MAHGAMA"/>
        <s v="GOMUKH BAGALWA"/>
        <s v="GOMUKH BARIYARPUR"/>
        <s v="MEGHAUNA VLC"/>
        <s v="HATHWAN VLC"/>
        <s v="Balahpur-Anil Yadav"/>
        <s v="G WOLIPUR"/>
        <s v="REHUA 3"/>
        <s v="KARHARIA V"/>
        <s v="Gomukh ID Lalpur"/>
        <s v="DIH LAHI"/>
        <s v="BHATGAMA W-5"/>
        <s v="Karian"/>
        <s v="Sadipur"/>
        <s v="Teghara"/>
        <s v="Ranjitpur"/>
        <s v="Khanpur"/>
        <s v="Chakoti"/>
        <s v="Nathudawar"/>
        <s v="Purnahi"/>
        <s v="Balahi"/>
        <s v="GOMUKH LARYATAL"/>
        <s v="Gomukh Kaithi"/>
        <s v="Gomukh Raghunathpur 2 "/>
        <s v="KISHANPUR"/>
        <s v="GOMUKH SUSTA"/>
        <s v="GOMUKH ID ALAULI"/>
        <s v="Basantpur"/>
        <s v="Birpur-2 - Pankaj"/>
        <s v="WAKIL YADAV VLC"/>
        <s v="Gomukh ID Khawa"/>
        <s v="PURBI CHASMASKAN"/>
        <s v="GOMUKH BHITAKITA"/>
        <s v="Gomukh Gamghatta"/>
        <s v="Gomukh Kumar Chakki"/>
        <s v="Gomukh Rampur                                                                                       "/>
        <s v="Rosera-Rajesh"/>
        <s v="GOMUKH PATHAKTOL"/>
        <s v="Bagdobh"/>
        <s v="Baghopur "/>
        <s v="Baghopur 2"/>
        <s v="Sadipur Bathnaha"/>
        <s v="Gomukh Shobhaipura 02"/>
        <s v="Nayatol"/>
        <s v="Samsa"/>
        <s v="Dahiya"/>
        <s v="SHARMA"/>
        <s v="Gomukh SUBHANIPUR EAST"/>
        <s v="Gomukh Musapur West"/>
        <s v="GOMUKH MURTUZAPUR EAST"/>
        <s v="Repura Kundan"/>
        <s v="Gomukh Baaghi"/>
        <s v="Gomukh Gangapur East"/>
        <s v="Gomukh Bakulaha Pati"/>
        <s v="GOMUKH SHIVNAGAR"/>
        <s v="GOMUKH BAKHITIYARPUR"/>
        <s v="Gomukh Alauli 2"/>
        <s v="GOMUKH JWALAPUR"/>
        <s v="Mahuli"/>
        <s v="Briyarpur"/>
        <s v="CHOTAHA"/>
        <s v="Gomukh Buddhnagar"/>
        <s v="Gomukh Mukhiyadera "/>
        <s v="GOMUKH TOKE"/>
        <s v="Birpur-Amarjeet Yadav"/>
        <s v="Gomukh ID Akashpur-2"/>
        <s v="Gomukh Musapur Purvi Tola                                                                           "/>
        <s v="Chandan Dairy" u="1"/>
        <s v="Maisna- Mamta Devi" u="1"/>
        <s v="Bagraha Hasanpur" u="1"/>
        <s v="KANHAIYA YADAV" u="1"/>
        <s v="Chetan Tola - Ravi" u="1"/>
        <s v="Chetan Tola-Dakshin - Hari Om" u="1"/>
        <s v="DORAI" u="1"/>
        <s v="GOMUKH GANGA SAHYOG" u="1"/>
        <s v="Medni-Chowki-2 - Ram" u="1"/>
        <s v="Manish Kumar                                                                                        " u="1"/>
        <s v="WHACHAUKI" u="1"/>
        <s v="RAVIRAJ " u="1"/>
        <s v="GOMUKH SAIDPURA" u="1"/>
        <s v="GOMUKH SALEMPUR" u="1"/>
        <s v="GOMUKH SHAMHO 2" u="1"/>
        <s v="Gomukh Totha" u="1"/>
        <s v="Gomukh Malpa Uttari                                                                                 " u="1"/>
        <s v="Gomukh Ranjit Yadav VLC" u="1"/>
        <s v="Gomukh Gulshan Kumar VLC" u="1"/>
        <s v="Gomukh Purani Tola" u="1"/>
        <s v="Gomukh Jamalpur" u="1"/>
        <s v="GOMUKH ADHARPUR                                                                                     " u="1"/>
        <s v="GOMUKH ROOPNAGAR" u="1"/>
        <s v="RAM NANDAN YADAV" u="1"/>
        <s v="Bihat - Sonu Kumar" u="1"/>
        <s v="Hajipur" u="1"/>
        <s v="PRATAPUR P" u="1"/>
        <s v="Gomukh Muradpur" u="1"/>
        <s v="Gomukh Salarpur Uttari" u="1"/>
        <s v="Gomukh Srirampur Thuthi" u="1"/>
        <s v="Gomukh Dumariya Bujurg" u="1"/>
        <s v="Gomukh Dumariya Bujurg Madhay" u="1"/>
        <s v="Gomukh Kalyanpur                                                                                    " u="1"/>
        <s v="Gomukh Chowki" u="1"/>
        <s v="GOMUKH SANHA NAYATOLA" u="1"/>
        <s v="Lalu Kumar" u="1"/>
        <s v="Sarhad-Subodh" u="1"/>
        <s v="Boriya" u="1"/>
        <s v="Ballochak" u="1"/>
        <s v="Desu Balo Tol" u="1"/>
        <s v="PACHPAIKA" u="1"/>
        <s v="GOMUKH MAHIPURA" u="1"/>
        <s v="Gomukh BARDIHA TUTRI PETROL PUMP" u="1"/>
        <s v="SHIRDILPUR" u="1"/>
        <s v="Vishnupur Kowahi" u="1"/>
        <s v="Gomukh Saidpur" u="1"/>
        <s v="Gomukh Davaichh" u="1"/>
        <s v="Chatursal Ganj" u="1"/>
        <s v="Harnaha" u="1"/>
        <s v="Gomukh Ekauna Dera" u="1"/>
        <s v="Gomukh Semra Nandpur" u="1"/>
        <s v="REHUA" u="1"/>
        <s v="GOMUKH WALIPUR" u="1"/>
        <s v="GOMUKH GORAI" u="1"/>
        <s v="Gomukh GORAI East" u="1"/>
        <s v="Gomukh Malipur" u="1"/>
        <s v="Jalkaura VLC" u="1"/>
        <s v="RAHUL KUMAR VLC" u="1"/>
        <s v="Gomukh Baltara" u="1"/>
        <s v="Mithilanchal Agro Producer Company Limited" u="1"/>
        <s v="SAFAPUR VLC" u="1"/>
        <s v="Gomukh Raju Mandal Tola" u="1"/>
        <s v="Gomukh SOMNAHA" u="1"/>
        <s v="Gomukh Baltara Mithlesh" u="1"/>
        <s v="Gomukh Karor " u="1"/>
        <s v="Gomukh Bhitiyarahi" u="1"/>
        <s v="Gomukh Basantpur" u="1"/>
        <s v="Gomukh Sakrauli" u="1"/>
        <s v="Hasanpur-2" u="1"/>
        <s v="Gomukh Thahara" u="1"/>
        <s v="KARUA W-17" u="1"/>
        <s v="Gomukh Shitalrampur                                                                                 " u="1"/>
        <s v="Gomukh Teliya Bathan Purbi" u="1"/>
        <s v="Repura-Anita" u="1"/>
        <s v="Sonma- Khushilal Yadav" u="1"/>
        <s v="Gomukh Munichak" u="1"/>
        <s v="Gomukh Arjun Tola" u="1"/>
        <s v="UFFRAUL" u="1"/>
        <s v="BHITTHI" u="1"/>
        <s v="DEVNAGAR GOHRI" u="1"/>
        <s v="GOMUKH NAWTOLIYA(OM PRAKASH)" u="1"/>
        <s v="LADHAUNA" u="1"/>
        <s v="GOMUKH RASALPUR" u="1"/>
        <s v="Gomukh Sunni Kumar VLC" u="1"/>
        <s v="Gomukh Rajan Madhabpur Vlc" u="1"/>
        <s v="Gomukh Bhairwar" u="1"/>
        <s v="Gomukh Sahibpur" u="1"/>
        <s v="GOMUKH RON" u="1"/>
        <s v="GOMUKH JANGLITOL" u="1"/>
        <s v="Bochaha_Sonu" u="1"/>
        <s v="Rupasbaj" u="1"/>
        <s v="Kursaha East" u="1"/>
        <s v="GOMUKH JALALPUR" u="1"/>
        <s v="Gomukh MANIYAR EAST" u="1"/>
        <s v="Pinki Enterprises" u="1"/>
        <s v="Gomukh Akowahi Purvi Tol" u="1"/>
        <s v="Gomukh BAWANGHAT" u="1"/>
        <s v="GURUDEVNGAR" u="1"/>
        <s v="Gomukh Dahivar Kothiya" u="1"/>
        <s v="Gomukh Suraundha" u="1"/>
        <s v="Gomukh Pandeypur" u="1"/>
        <s v="KATHAR" u="1"/>
        <s v="Suddh Daity" u="1"/>
        <s v="Gomukh Bandra" u="1"/>
        <s v="GOMUKH MADHURAPUR" u="1"/>
        <s v="SUNIL KUMAR VLC" u="1"/>
        <s v="Gomukh Binodpur" u="1"/>
        <s v="Gomukh Goha" u="1"/>
        <s v="Gomukh Fajilpur" u="1"/>
        <s v="Morkahi- Bablu Yadav" u="1"/>
        <s v="Bari Kewal- Jitendra Kumar" u="1"/>
        <s v="Gomukh Gandhinagar" u="1"/>
        <s v="GOMUKH RAHATPUR" u="1"/>
        <s v="Gomukh Dariyapur" u="1"/>
        <s v="RAMSIR" u="1"/>
        <s v="RUPESH SINGH(VLC)" u="1"/>
        <s v="JAGAN SAIDPUR" u="1"/>
        <s v="MSKMPG LAKXMIPUR" u="1"/>
        <s v="Gomukh Pachkhutti Jorabarpur" u="1"/>
        <s v="Gomukh ID Pidhauli" u="1"/>
        <s v="Barauni-Shubhash" u="1"/>
        <s v="Sitarampur" u="1"/>
        <s v="DHARSANDA" u="1"/>
        <s v="SAITHNAN" u="1"/>
        <s v="SHRIRAMPUR THUTHI GOMUKH" u="1"/>
        <s v="Gomukh Mathar Sukhdev Babu Tola" u="1"/>
        <s v="Gomukh Mohanpur 1                                                                                   " u="1"/>
        <s v="GOMUKH Chakki" u="1"/>
        <s v="Gomukh Mansi Gharari" u="1"/>
        <s v="GOMUKH GARHIYA" u="1"/>
        <s v="Chitraur VLC" u="1"/>
        <s v="GOMUKH KASAHA" u="1"/>
        <s v="SAHEB KUMAR" u="1"/>
        <s v="Sanjeet Kumar" u="1"/>
        <s v="SANTOSH BALAHPUR VLC" u="1"/>
        <s v="Gomukh HUSENIPUR" u="1"/>
        <s v="Gomukh Basadiya East" u="1"/>
        <s v="Kaithi Paschim" u="1"/>
        <s v="Gomukh Bicchu Ka Dera" u="1"/>
        <s v="Gomukh Semra Gayghat Ramashankar" u="1"/>
        <s v="Gomukh Gosain Gaon" u="1"/>
        <s v="Manjhaul-03" u="1"/>
        <s v="Gomukh Hayaghat" u="1"/>
        <s v="Gomukh Chandpura Neema" u="1"/>
        <s v="Gomukh Maida Babhangama" u="1"/>
        <s v="Gomukh Kharaiya Sultanpur" u="1"/>
        <s v="Gomukh Rampur" u="1"/>
        <s v="HUSSAINA ABGIL ARJUN" u="1"/>
        <s v="RAJAN KUMAR(VLC)" u="1"/>
        <s v="RUPESH KUMAR" u="1"/>
        <s v="GOMUKH BHAGWATI STHAN" u="1"/>
        <s v="CHANNAYA" u="1"/>
        <s v="Gomukh Araria-2" u="1"/>
        <s v="Gomukh Gogri" u="1"/>
        <s v="Gomukh Kederabad                                                                                    " u="1"/>
        <s v="Bariyahi - Ramvaran" u="1"/>
        <s v="Gaura - Raj Bhardwaj" u="1"/>
        <s v="Gomukh Amarpur Paschim" u="1"/>
        <s v="Kaji Rasalpur" u="1"/>
        <s v="Gomukh Pachrukhi" u="1"/>
        <s v="GOMUKH SHAADPUR" u="1"/>
        <s v="Gomukh Kashimpur" u="1"/>
        <s v="Gomukh Shakarpura" u="1"/>
        <s v="GOMUKH KASBA DIYARA" u="1"/>
        <s v="Gomukh Chhatauna East" u="1"/>
        <s v="SAMASPURA                                                                                           " u="1"/>
        <s v="Sihama" u="1"/>
        <s v="Gomukh Gangapur" u="1"/>
        <s v="Harikishunpur" u="1"/>
        <s v="Gomukh Keshopur Surendra" u="1"/>
        <s v="Gomukh Giridhar Baraw" u="1"/>
        <s v="Gomukh Chautham" u="1"/>
        <s v="Gomukh Jhahuri" u="1"/>
        <s v="Gomukh Paroriya                                                                                     " u="1"/>
        <s v="Gomukh Sahuri-2" u="1"/>
        <s v="Gomukh Dharampur" u="1"/>
        <s v="Gomukh Gudaar" u="1"/>
        <s v="Gomukh Sihi" u="1"/>
        <s v="PRAMOD YADAV" u="1"/>
        <s v="GOMUKH JHAGRAHA" u="1"/>
        <s v="Gomukh Jagatpura" u="1"/>
        <s v="Gomukh Ramdiri" u="1"/>
        <s v="SURESH YADAV" u="1"/>
        <s v="Gomukh Vishnupur Purbi" u="1"/>
        <s v="GOMUKH SAURAYDIH" u="1"/>
        <s v="GOMUKH SHUMBHA" u="1"/>
        <s v="GOMUKH BAbhangama" u="1"/>
        <s v="MORDIWA" u="1"/>
        <s v="SUNDAR KUMAR                                                                                        " u="1"/>
        <s v="Kamtaul" u="1"/>
        <s v="Jitwarpur-Manisha" u="1"/>
        <s v="Gomukh ID Simri" u="1"/>
        <s v="Gomukh Babhuar Ashok" u="1"/>
        <s v="Gomukh Jigina" u="1"/>
        <s v="Gomukh Kuwan" u="1"/>
        <s v="Gomukh Garhtakhurd" u="1"/>
        <s v="Gomukh Bharkhar" u="1"/>
        <s v="Gomukh Mohanpur  VLC" u="1"/>
        <s v="PIPRIYA DIHH" u="1"/>
        <s v="Gomukh Bachhwara" u="1"/>
        <s v="GOMUKH Gopalpur Thahara" u="1"/>
        <s v="RAVISH KUMAR" u="1"/>
        <s v="PANKAJ KUMAR" u="1"/>
        <s v="Gomukh Tartar" u="1"/>
        <s v="Gomukh Phulhara                                                                                     " u="1"/>
        <s v="Gomukh Bharwari" u="1"/>
        <s v="Rakesh Dairy" u="1"/>
        <s v="LALAN KUMAR YADAV" u="1"/>
        <s v="BASUHAR" u="1"/>
        <s v="Gomukh Araria-1" u="1"/>
        <s v="Gomukh Arariya Uttari" u="1"/>
        <s v="Gomukh Dumariya Khurd                                                                               " u="1"/>
        <s v="Gomukh Saraiya" u="1"/>
        <s v="Gomukh Aguwani Farakia" u="1"/>
        <s v="Gomukh ID Islampur" u="1"/>
        <s v="GOMUKH KHARMOLI" u="1"/>
        <s v="Panchwati Chowk - Ghanshyan Kumar Ray" u="1"/>
        <s v="TETARHAT" u="1"/>
        <s v="JALAY" u="1"/>
        <s v="MSK MPG BADI LAGAR" u="1"/>
        <s v="Gomukh Bakhadda                                                                                     " u="1"/>
        <s v="GOMUKH BANARASI TOLA" u="1"/>
        <s v="Gomukh Barkhandi Tol" u="1"/>
        <s v="PRASHANT PAHARPUR" u="1"/>
        <s v="Bhojpur" u="1"/>
        <s v="Siura" u="1"/>
        <s v="Chakpahar" u="1"/>
        <s v="Chakpahar East" u="1"/>
        <s v="Chakpahar Bichla Tol-Sanjay" u="1"/>
        <s v="Salempur" u="1"/>
        <s v="Gomukh Subhash Chowk" u="1"/>
        <s v="BADKA SIHANPURA" u="1"/>
        <s v="Gomukh Chhapra Baradhi Anil" u="1"/>
        <s v="Gomukh Ramgardh Dera" u="1"/>
        <s v="Gomukh Bhagli Basha" u="1"/>
        <s v="Gomukh Borba Naya Tola " u="1"/>
        <s v="Gomukh Jatmalpur" u="1"/>
        <s v="Gomukh Jatmalpur Dhab" u="1"/>
        <s v="Satyajit Kumar" u="1"/>
        <s v="Gomukh Paguraha" u="1"/>
        <s v="Gomukh Panchyat bhawan Walipur-5" u="1"/>
        <s v="Gomukh ID Kiranpur" u="1"/>
        <s v="Gomukh Salarpur East" u="1"/>
        <s v="Gomukh Adawari" u="1"/>
        <s v="Gomukh Bhorkat" u="1"/>
        <s v="GOMUKH TARA" u="1"/>
        <s v="Gomukh ID Aure" u="1"/>
        <s v="NOMA                                                                                                " u="1"/>
        <s v="Goumukh Samastipur" u="1"/>
        <s v="Gomukh Samastipur kundan                                                                            " u="1"/>
        <s v="GOMUKH ICHARUA" u="1"/>
        <s v="GOMUKH BAGINGAMA" u="1"/>
        <s v="Samsipur" u="1"/>
        <s v="Gomukh Bingama" u="1"/>
        <s v="Gomukh Bhusawar" u="1"/>
        <s v="Gomukh Mou Diyara" u="1"/>
        <s v="Adalpur" u="1"/>
        <s v="Chilahri" u="1"/>
        <s v="Harnaha                                                                                             " u="1"/>
        <s v="AASARFI DWARIKA AGRICULTURE PRODUCER COMPANY LTD BHADA" u="1"/>
        <s v="GOMUKH BARUHAN" u="1"/>
        <s v="Gomukh Bhadwar" u="1"/>
        <s v="Gomukh Koransarai" u="1"/>
        <s v="Gomukh Mathila" u="1"/>
        <s v="Gomukh Bramhpur Pachhimtola" u="1"/>
        <s v="KHARAYA" u="1"/>
        <s v="Bagri" u="1"/>
        <s v="Gomukh Uchit Marar Tola" u="1"/>
        <s v="Gomukh Mohanpur - VLC" u="1"/>
        <s v="GOMUKH Malinagar" u="1"/>
        <s v="Gomukh Niyazipur" u="1"/>
        <s v="Gomukh Jawahi" u="1"/>
        <s v="Gomukh Tawkal Ka Dera 1 - Sunil" u="1"/>
        <s v="Gomukh Garhsisai" u="1"/>
        <s v="Gomukh Bacchwara" u="1"/>
        <s v="GOMUKH LOMA" u="1"/>
        <s v="BANNUBAGICHA" u="1"/>
        <s v="Gomukh Chanwath niraml" u="1"/>
        <s v="Gomukh Badki Basauli Omprakash" u="1"/>
        <s v="BILLO" u="1"/>
        <s v="NATHUN YADAV (CHETAN TOLA)                                                                          " u="1"/>
        <s v="Amit Kumar-Manjhaul" u="1"/>
        <s v="Gomukh Dudhpura" u="1"/>
        <s v="PRIYANSHU KUMAR" u="1"/>
        <s v="Bakhri- Rajaram Mahto" u="1"/>
        <s v="Hussainipur Gobindpur" u="1"/>
        <s v="CHHATUNA" u="1"/>
        <s v="GOMUKH RACHIHAI PURANA TOLA" u="1"/>
        <s v="Gomukh ID Nandpur" u="1"/>
        <s v="Gomukh Lawalagam Purbi" u="1"/>
        <s v="UDHADIH                                                                                             " u="1"/>
        <s v="Gomukh Bithalpur Anup Raj" u="1"/>
        <s v="GOMUKH MAJHARIYA" u="1"/>
        <s v="MANPUR" u="1"/>
        <s v="Gomukh Birpur Nayagaun" u="1"/>
        <s v="Gomukh Bararhi" u="1"/>
        <s v="Gomukh Chak Dakshin" u="1"/>
        <s v="Dalsagar" u="1"/>
        <s v="Gomukh Hasanpur                                                                                     " u="1"/>
        <s v="Gomukh Salarpur                                                                                     " u="1"/>
        <s v="Gomukh Rahthua" u="1"/>
        <s v="Gomukh Raipur                                                                                       " u="1"/>
        <s v="GOMUKH BHIKHAM CHAK" u="1"/>
        <s v="GOMUKH KURUTHIYA" u="1"/>
        <s v="Gomukh Dariyapur                                                                                    " u="1"/>
        <s v="Gomukh Ganga prasad                                                                                 " u="1"/>
        <s v="Gomukh Makundpur                                                                                    " u="1"/>
        <s v="Gomukh Nauranga                                                                                     " u="1"/>
        <s v="Gomukh Paroriya Pokhar tola                                                                         " u="1"/>
        <s v="GOMUKH RAMDIRI LABHARCHAK                                                                           " u="1"/>
        <s v="SALAUNJA                                                                                            " u="1"/>
        <s v="SARIFA" u="1"/>
        <s v="Kancha-Prabhat" u="1"/>
        <s v="Gomukh Jagdishmandal tol" u="1"/>
        <s v="Gomukh Sugharan" u="1"/>
        <s v="Gomukh Dimha" u="1"/>
        <s v="Gomukh Manikpur 1" u="1"/>
        <s v="Gomukh Basawkala Sudhir kumar" u="1"/>
        <s v="Gomukh Bishauni" u="1"/>
        <s v="LAKSHMIPUR" u="1"/>
        <s v="Naua Chak" u="1"/>
        <s v="Gomukh ID Dumri" u="1"/>
        <s v="Vishnupatti-Shi" u="1"/>
        <s v="DHARAMPUR" u="1"/>
        <s v="Gomukh Garhpura-1" u="1"/>
        <s v="Basudevpur " u="1"/>
        <s v="Gomukh Ahiyarpur" u="1"/>
        <s v="Gomukh Bharso" u="1"/>
        <s v="Gomukh Boxa Manoj" u="1"/>
        <s v="Gomukh ID Madhu Dih" u="1"/>
        <s v="Tilaunjh - Sanjeevan" u="1"/>
        <s v="Baraipura Dairy" u="1"/>
        <s v="Gomukh Orapkhurd Chandrashekhar" u="1"/>
      </sharedItems>
    </cacheField>
    <cacheField name="Amcu type" numFmtId="164">
      <sharedItems containsSemiMixedTypes="0" containsString="0" containsNumber="1" containsInteger="1" minValue="0" maxValue="0"/>
    </cacheField>
    <cacheField name="VLC Type" numFmtId="0">
      <sharedItems/>
    </cacheField>
    <cacheField name="Farmer Payment" numFmtId="0">
      <sharedItems/>
    </cacheField>
    <cacheField name="BMC Code " numFmtId="0">
      <sharedItems containsSemiMixedTypes="0" containsString="0" containsNumber="1" containsInteger="1" minValue="1001" maxValue="1057"/>
    </cacheField>
    <cacheField name="MCC" numFmtId="0">
      <sharedItems count="22">
        <s v="Teghra"/>
        <s v="Majhaul"/>
        <s v="Laldiyara"/>
        <s v="Asarganj"/>
        <s v="Sonvarsha"/>
        <s v="Araria"/>
        <s v="Chautham"/>
        <s v="Sahibpur Kamal"/>
        <s v="Halsi"/>
        <s v="MAHADAT PUR 2"/>
        <s v="Matihani"/>
        <s v="Alauli "/>
        <s v="DalsinghSarai"/>
        <s v="Musrigharari"/>
        <s v="Dumraon"/>
        <s v="Kalyanpur"/>
        <s v="Warisnagar"/>
        <s v="Tofir" u="1"/>
        <s v="Aluali" u="1"/>
        <s v="Jhandapur" u="1"/>
        <e v="#N/A" u="1"/>
        <s v="Parbatta" u="1"/>
      </sharedItems>
    </cacheField>
    <cacheField name="status" numFmtId="14">
      <sharedItems/>
    </cacheField>
    <cacheField name="Start Date" numFmtId="14">
      <sharedItems containsSemiMixedTypes="0" containsNonDate="0" containsDate="1" containsString="0" minDate="2017-09-01T00:00:00" maxDate="2025-10-19T00:00:00"/>
    </cacheField>
    <cacheField name="BMC Volume" numFmtId="165">
      <sharedItems containsSemiMixedTypes="0" containsString="0" containsNumber="1" minValue="2.75" maxValue="82719"/>
    </cacheField>
    <cacheField name="BMC Amount" numFmtId="165">
      <sharedItems containsSemiMixedTypes="0" containsString="0" containsNumber="1" minValue="98.45" maxValue="3064707.66"/>
    </cacheField>
    <cacheField name="Sahayak Comission @ 0.75/-" numFmtId="165">
      <sharedItems containsSemiMixedTypes="0" containsString="0" containsNumber="1" minValue="2.0625" maxValue="62039.25"/>
    </cacheField>
    <cacheField name="Std gain @ 0.95/-" numFmtId="165">
      <sharedItems containsSemiMixedTypes="0" containsString="0" containsNumber="1" minValue="2.6124999999999998" maxValue="78583.05"/>
    </cacheField>
    <cacheField name="Farmer Sample Milk" numFmtId="165">
      <sharedItems containsSemiMixedTypes="0" containsString="0" containsNumber="1" minValue="0" maxValue="6970.1817399900001"/>
    </cacheField>
    <cacheField name="Std Gain @ 3%" numFmtId="165">
      <sharedItems containsSemiMixedTypes="0" containsString="0" containsNumber="1" minValue="2.9535" maxValue="91941.229800000001"/>
    </cacheField>
    <cacheField name="Reserve from Std Gain" numFmtId="165">
      <sharedItems containsSemiMixedTypes="0" containsString="0" containsNumber="1" minValue="-1602.3972000000001" maxValue="13358.1798"/>
    </cacheField>
    <cacheField name="AMC from MPG @ 0.10/-" numFmtId="165">
      <sharedItems containsSemiMixedTypes="0" containsString="0" containsNumber="1" minValue="0.27500000000000002" maxValue="8271.9"/>
    </cacheField>
    <cacheField name="Actual Volume Penalty" numFmtId="165">
      <sharedItems containsSemiMixedTypes="0" containsString="0" containsNumber="1" minValue="0" maxValue="2000.01331831016"/>
    </cacheField>
    <cacheField name="Net Sahayak Income" numFmtId="165">
      <sharedItems containsSemiMixedTypes="0" containsString="0" containsNumber="1" containsInteger="1" minValue="0" maxValue="132350"/>
    </cacheField>
    <cacheField name="New Assets EMI" numFmtId="166">
      <sharedItems containsSemiMixedTypes="0" containsString="0" containsNumber="1" minValue="0" maxValue="10992.439399999999"/>
    </cacheField>
    <cacheField name="Can Deduction" numFmtId="166">
      <sharedItems containsSemiMixedTypes="0" containsString="0" containsNumber="1" minValue="0" maxValue="7878.8393999999998"/>
    </cacheField>
    <cacheField name="PCB Ded" numFmtId="166">
      <sharedItems containsSemiMixedTypes="0" containsString="0" containsNumber="1" containsInteger="1" minValue="0" maxValue="4802"/>
    </cacheField>
    <cacheField name="Other" numFmtId="166">
      <sharedItems containsSemiMixedTypes="0" containsString="0" containsNumber="1" containsInteger="1" minValue="0" maxValue="8294"/>
    </cacheField>
    <cacheField name="Consumables" numFmtId="165">
      <sharedItems containsSemiMixedTypes="0" containsString="0" containsNumber="1" minValue="0" maxValue="1302.06"/>
    </cacheField>
    <cacheField name="Payble to Sahyak" numFmtId="166">
      <sharedItems containsSemiMixedTypes="0" containsString="0" containsNumber="1" containsInteger="1" minValue="0" maxValue="132350"/>
    </cacheField>
    <cacheField name="Hold" numFmtId="166">
      <sharedItems containsSemiMixedTypes="0" containsString="0" containsNumber="1" containsInteger="1" minValue="0" maxValue="11956"/>
    </cacheField>
    <cacheField name="Net Payble" numFmtId="166">
      <sharedItems containsSemiMixedTypes="0" containsString="0" containsNumber="1" containsInteger="1" minValue="0" maxValue="132350"/>
    </cacheField>
    <cacheField name="Payment relase " numFmtId="165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44.46811840278" createdVersion="8" refreshedVersion="8" minRefreshableVersion="3" recordCount="3950" xr:uid="{889E37E9-15ED-42CD-BC6D-4DF0495F9FDC}">
  <cacheSource type="worksheet">
    <worksheetSource ref="A2:AJ3952" sheet="MPG Payment "/>
  </cacheSource>
  <cacheFields count="36">
    <cacheField name="Area" numFmtId="164">
      <sharedItems/>
    </cacheField>
    <cacheField name="Period " numFmtId="0">
      <sharedItems/>
    </cacheField>
    <cacheField name="BMC Code " numFmtId="0">
      <sharedItems containsSemiMixedTypes="0" containsString="0" containsNumber="1" containsInteger="1" minValue="1001" maxValue="1066"/>
    </cacheField>
    <cacheField name="MCC Name" numFmtId="0">
      <sharedItems/>
    </cacheField>
    <cacheField name="Code " numFmtId="0">
      <sharedItems containsSemiMixedTypes="0" containsString="0" containsNumber="1" containsInteger="1" minValue="10010013" maxValue="10660038" count="1223">
        <n v="10010013"/>
        <n v="10010019"/>
        <n v="10010038"/>
        <n v="10010044"/>
        <n v="10010047"/>
        <n v="10010050"/>
        <n v="10010055"/>
        <n v="10010057"/>
        <n v="10010076"/>
        <n v="10010082"/>
        <n v="10010084"/>
        <n v="10010086"/>
        <n v="10010087"/>
        <n v="10010089"/>
        <n v="10010092"/>
        <n v="10010095"/>
        <n v="10010097"/>
        <n v="10010099"/>
        <n v="10010108"/>
        <n v="10010109"/>
        <n v="10010113"/>
        <n v="10010121"/>
        <n v="10010125"/>
        <n v="10010128"/>
        <n v="10010129"/>
        <n v="10010130"/>
        <n v="10010131"/>
        <n v="10010140"/>
        <n v="10010141"/>
        <n v="10010143"/>
        <n v="10010144"/>
        <n v="10010145"/>
        <n v="10010146"/>
        <n v="10010147"/>
        <n v="10010148"/>
        <n v="10010149"/>
        <n v="10020002"/>
        <n v="10020004"/>
        <n v="10020006"/>
        <n v="10020007"/>
        <n v="10020008"/>
        <n v="10020010"/>
        <n v="10020013"/>
        <n v="10020015"/>
        <n v="10020016"/>
        <n v="10020017"/>
        <n v="10020021"/>
        <n v="10020023"/>
        <n v="10020024"/>
        <n v="10020025"/>
        <n v="10020026"/>
        <n v="10020027"/>
        <n v="10020029"/>
        <n v="10020032"/>
        <n v="10020034"/>
        <n v="10020035"/>
        <n v="10020038"/>
        <n v="10020041"/>
        <n v="10020042"/>
        <n v="10020043"/>
        <n v="10020044"/>
        <n v="10020047"/>
        <n v="10020050"/>
        <n v="10020052"/>
        <n v="10020054"/>
        <n v="10020057"/>
        <n v="10020058"/>
        <n v="10020059"/>
        <n v="10020062"/>
        <n v="10020063"/>
        <n v="10020064"/>
        <n v="10020067"/>
        <n v="10020068"/>
        <n v="10020069"/>
        <n v="10020070"/>
        <n v="10020073"/>
        <n v="10020075"/>
        <n v="10020077"/>
        <n v="10020078"/>
        <n v="10020079"/>
        <n v="10020081"/>
        <n v="10020082"/>
        <n v="10020083"/>
        <n v="10020084"/>
        <n v="10020087"/>
        <n v="10020088"/>
        <n v="10030002"/>
        <n v="10030003"/>
        <n v="10030007"/>
        <n v="10030009"/>
        <n v="10030010"/>
        <n v="10030011"/>
        <n v="10030012"/>
        <n v="10030013"/>
        <n v="10030015"/>
        <n v="10030016"/>
        <n v="10030017"/>
        <n v="10030018"/>
        <n v="10030019"/>
        <n v="10030021"/>
        <n v="10030022"/>
        <n v="10030023"/>
        <n v="10030025"/>
        <n v="10030026"/>
        <n v="10030027"/>
        <n v="10030028"/>
        <n v="10030031"/>
        <n v="10030032"/>
        <n v="10030034"/>
        <n v="10030035"/>
        <n v="10030037"/>
        <n v="10030038"/>
        <n v="10030040"/>
        <n v="10030041"/>
        <n v="10030043"/>
        <n v="10030044"/>
        <n v="10030045"/>
        <n v="10030046"/>
        <n v="10030050"/>
        <n v="10030051"/>
        <n v="10030053"/>
        <n v="10030055"/>
        <n v="10030056"/>
        <n v="10030059"/>
        <n v="10030060"/>
        <n v="10030061"/>
        <n v="10030063"/>
        <n v="10030064"/>
        <n v="10030065"/>
        <n v="10030066"/>
        <n v="10030068"/>
        <n v="10030069"/>
        <n v="10030070"/>
        <n v="10030071"/>
        <n v="10030072"/>
        <n v="10030074"/>
        <n v="10030075"/>
        <n v="10030077"/>
        <n v="10030078"/>
        <n v="10030080"/>
        <n v="10030082"/>
        <n v="10030084"/>
        <n v="10030085"/>
        <n v="10030087"/>
        <n v="10030088"/>
        <n v="10030089"/>
        <n v="10030090"/>
        <n v="10060002"/>
        <n v="10060003"/>
        <n v="10060004"/>
        <n v="10060005"/>
        <n v="10060007"/>
        <n v="10060008"/>
        <n v="10060009"/>
        <n v="10060010"/>
        <n v="10060011"/>
        <n v="10060014"/>
        <n v="10060015"/>
        <n v="10060020"/>
        <n v="10060021"/>
        <n v="10060022"/>
        <n v="10060023"/>
        <n v="10060026"/>
        <n v="10060027"/>
        <n v="10060028"/>
        <n v="10060029"/>
        <n v="10060031"/>
        <n v="10060032"/>
        <n v="10060036"/>
        <n v="10060041"/>
        <n v="10060049"/>
        <n v="10060050"/>
        <n v="10060051"/>
        <n v="10060055"/>
        <n v="10060058"/>
        <n v="10060061"/>
        <n v="10060062"/>
        <n v="10060069"/>
        <n v="10060074"/>
        <n v="10060076"/>
        <n v="10060077"/>
        <n v="10060083"/>
        <n v="10060089"/>
        <n v="10060090"/>
        <n v="10060096"/>
        <n v="10060098"/>
        <n v="10060104"/>
        <n v="10060106"/>
        <n v="10060107"/>
        <n v="10060110"/>
        <n v="10060111"/>
        <n v="10060113"/>
        <n v="10060114"/>
        <n v="10060115"/>
        <n v="10060116"/>
        <n v="10060118"/>
        <n v="10060122"/>
        <n v="10060125"/>
        <n v="10060126"/>
        <n v="10060129"/>
        <n v="10060130"/>
        <n v="10060133"/>
        <n v="10060136"/>
        <n v="10070002"/>
        <n v="10070003"/>
        <n v="10070004"/>
        <n v="10070008"/>
        <n v="10070013"/>
        <n v="10070016"/>
        <n v="10070018"/>
        <n v="10070019"/>
        <n v="10070020"/>
        <n v="10070024"/>
        <n v="10070026"/>
        <n v="10070033"/>
        <n v="10070039"/>
        <n v="10070042"/>
        <n v="10070043"/>
        <n v="10070045"/>
        <n v="10070046"/>
        <n v="10070048"/>
        <n v="10070053"/>
        <n v="10070056"/>
        <n v="10070058"/>
        <n v="10070059"/>
        <n v="10070060"/>
        <n v="10070061"/>
        <n v="10070063"/>
        <n v="10070064"/>
        <n v="10070067"/>
        <n v="10070074"/>
        <n v="10070077"/>
        <n v="10070078"/>
        <n v="10070079"/>
        <n v="10080001"/>
        <n v="10080002"/>
        <n v="10080003"/>
        <n v="10080004"/>
        <n v="10080006"/>
        <n v="10080007"/>
        <n v="10080012"/>
        <n v="10080013"/>
        <n v="10080014"/>
        <n v="10080015"/>
        <n v="10080016"/>
        <n v="10080022"/>
        <n v="10080024"/>
        <n v="10080025"/>
        <n v="10080032"/>
        <n v="10080037"/>
        <n v="10080039"/>
        <n v="10080040"/>
        <n v="10080041"/>
        <n v="10080048"/>
        <n v="10080052"/>
        <n v="10080053"/>
        <n v="10080054"/>
        <n v="10080055"/>
        <n v="10080061"/>
        <n v="10080065"/>
        <n v="10080067"/>
        <n v="10080073"/>
        <n v="10080076"/>
        <n v="10080077"/>
        <n v="10080078"/>
        <n v="10080079"/>
        <n v="10080080"/>
        <n v="10080083"/>
        <n v="10080086"/>
        <n v="10080087"/>
        <n v="10080088"/>
        <n v="10080090"/>
        <n v="10080093"/>
        <n v="10080095"/>
        <n v="10080097"/>
        <n v="10080099"/>
        <n v="10080100"/>
        <n v="10080107"/>
        <n v="10080112"/>
        <n v="10080113"/>
        <n v="10080115"/>
        <n v="10080119"/>
        <n v="10080120"/>
        <n v="10080122"/>
        <n v="10080124"/>
        <n v="10080126"/>
        <n v="10080128"/>
        <n v="10090001"/>
        <n v="10090002"/>
        <n v="10090003"/>
        <n v="10090005"/>
        <n v="10090006"/>
        <n v="10090007"/>
        <n v="10090008"/>
        <n v="10090009"/>
        <n v="10090011"/>
        <n v="10090012"/>
        <n v="10090014"/>
        <n v="10090015"/>
        <n v="10090017"/>
        <n v="10090018"/>
        <n v="10090021"/>
        <n v="10090022"/>
        <n v="10090024"/>
        <n v="10090025"/>
        <n v="10090027"/>
        <n v="10090029"/>
        <n v="10090033"/>
        <n v="10090036"/>
        <n v="10090037"/>
        <n v="10090039"/>
        <n v="10090041"/>
        <n v="10090042"/>
        <n v="10090045"/>
        <n v="10090046"/>
        <n v="10090047"/>
        <n v="10090049"/>
        <n v="10090055"/>
        <n v="10090056"/>
        <n v="10090058"/>
        <n v="10090059"/>
        <n v="10090060"/>
        <n v="10090061"/>
        <n v="10090063"/>
        <n v="10090064"/>
        <n v="10090065"/>
        <n v="10090069"/>
        <n v="10090072"/>
        <n v="10090074"/>
        <n v="10090075"/>
        <n v="10090076"/>
        <n v="10090077"/>
        <n v="10090078"/>
        <n v="10090079"/>
        <n v="10090080"/>
        <n v="10100001"/>
        <n v="10100003"/>
        <n v="10100004"/>
        <n v="10100009"/>
        <n v="10100014"/>
        <n v="10100016"/>
        <n v="10100021"/>
        <n v="10100026"/>
        <n v="10100028"/>
        <n v="10100033"/>
        <n v="10100035"/>
        <n v="10100037"/>
        <n v="10100044"/>
        <n v="10100045"/>
        <n v="10100049"/>
        <n v="10100051"/>
        <n v="10100054"/>
        <n v="10100060"/>
        <n v="10100062"/>
        <n v="10100065"/>
        <n v="10100069"/>
        <n v="10100070"/>
        <n v="10100071"/>
        <n v="10110001"/>
        <n v="10110002"/>
        <n v="10110004"/>
        <n v="10110005"/>
        <n v="10110007"/>
        <n v="10110008"/>
        <n v="10110013"/>
        <n v="10110014"/>
        <n v="10110015"/>
        <n v="10110016"/>
        <n v="10110021"/>
        <n v="10110032"/>
        <n v="10110042"/>
        <n v="10110043"/>
        <n v="10110049"/>
        <n v="10110050"/>
        <n v="10110053"/>
        <n v="10110055"/>
        <n v="10110057"/>
        <n v="10110065"/>
        <n v="10110066"/>
        <n v="10110071"/>
        <n v="10110073"/>
        <n v="10110076"/>
        <n v="10110078"/>
        <n v="10110079"/>
        <n v="10110083"/>
        <n v="10110086"/>
        <n v="10110093"/>
        <n v="10110094"/>
        <n v="10110095"/>
        <n v="10110098"/>
        <n v="10110100"/>
        <n v="10110101"/>
        <n v="10110106"/>
        <n v="10110109"/>
        <n v="10110110"/>
        <n v="10110111"/>
        <n v="10110114"/>
        <n v="10110116"/>
        <n v="10110118"/>
        <n v="10110119"/>
        <n v="10110120"/>
        <n v="10110121"/>
        <n v="10110123"/>
        <n v="10110124"/>
        <n v="10110128"/>
        <n v="10110129"/>
        <n v="10110132"/>
        <n v="10110133"/>
        <n v="10110134"/>
        <n v="10110135"/>
        <n v="10110140"/>
        <n v="10110141"/>
        <n v="10110143"/>
        <n v="10110144"/>
        <n v="10110146"/>
        <n v="10110149"/>
        <n v="10110153"/>
        <n v="10110155"/>
        <n v="10110158"/>
        <n v="10110159"/>
        <n v="10110160"/>
        <n v="10110161"/>
        <n v="10110164"/>
        <n v="10110166"/>
        <n v="10110168"/>
        <n v="10110172"/>
        <n v="10110173"/>
        <n v="10110176"/>
        <n v="10110177"/>
        <n v="10110178"/>
        <n v="10110183"/>
        <n v="10110184"/>
        <n v="10110185"/>
        <n v="10110187"/>
        <n v="10110188"/>
        <n v="10110190"/>
        <n v="10120001"/>
        <n v="10120002"/>
        <n v="10120005"/>
        <n v="10120006"/>
        <n v="10120007"/>
        <n v="10120008"/>
        <n v="10120010"/>
        <n v="10120011"/>
        <n v="10120012"/>
        <n v="10120013"/>
        <n v="10120014"/>
        <n v="10120015"/>
        <n v="10120016"/>
        <n v="10120017"/>
        <n v="10120018"/>
        <n v="10120019"/>
        <n v="10120022"/>
        <n v="10120023"/>
        <n v="10120024"/>
        <n v="10120025"/>
        <n v="10120026"/>
        <n v="10120029"/>
        <n v="10120031"/>
        <n v="10120034"/>
        <n v="10120035"/>
        <n v="10120043"/>
        <n v="10120046"/>
        <n v="10120049"/>
        <n v="10120050"/>
        <n v="10120051"/>
        <n v="10120052"/>
        <n v="10120053"/>
        <n v="10120060"/>
        <n v="10120066"/>
        <n v="10120067"/>
        <n v="10120071"/>
        <n v="10120083"/>
        <n v="10120084"/>
        <n v="10120086"/>
        <n v="10120088"/>
        <n v="10120089"/>
        <n v="10120091"/>
        <n v="10120094"/>
        <n v="10120095"/>
        <n v="10120096"/>
        <n v="10120099"/>
        <n v="10120103"/>
        <n v="10120104"/>
        <n v="10120106"/>
        <n v="10120107"/>
        <n v="10120108"/>
        <n v="10120109"/>
        <n v="10120111"/>
        <n v="10120113"/>
        <n v="10120114"/>
        <n v="10120115"/>
        <n v="10120116"/>
        <n v="10120119"/>
        <n v="10120120"/>
        <n v="10120122"/>
        <n v="10120123"/>
        <n v="10120124"/>
        <n v="10130001"/>
        <n v="10130002"/>
        <n v="10130003"/>
        <n v="10130005"/>
        <n v="10130006"/>
        <n v="10130008"/>
        <n v="10130012"/>
        <n v="10130015"/>
        <n v="10130016"/>
        <n v="10130018"/>
        <n v="10130020"/>
        <n v="10130025"/>
        <n v="10130026"/>
        <n v="10130027"/>
        <n v="10130030"/>
        <n v="10130031"/>
        <n v="10130032"/>
        <n v="10130040"/>
        <n v="10130041"/>
        <n v="10130042"/>
        <n v="10130044"/>
        <n v="10130046"/>
        <n v="10130047"/>
        <n v="10130052"/>
        <n v="10130054"/>
        <n v="10130058"/>
        <n v="10130061"/>
        <n v="10130065"/>
        <n v="10130073"/>
        <n v="10130074"/>
        <n v="10130077"/>
        <n v="10130080"/>
        <n v="10130081"/>
        <n v="10130083"/>
        <n v="10130088"/>
        <n v="10130093"/>
        <n v="10130097"/>
        <n v="10130098"/>
        <n v="10130100"/>
        <n v="10130101"/>
        <n v="10130102"/>
        <n v="10130107"/>
        <n v="10130113"/>
        <n v="10130114"/>
        <n v="10130115"/>
        <n v="10130117"/>
        <n v="10130118"/>
        <n v="10130119"/>
        <n v="10130120"/>
        <n v="10130122"/>
        <n v="10140001"/>
        <n v="10140002"/>
        <n v="10140003"/>
        <n v="10140007"/>
        <n v="10140008"/>
        <n v="10140009"/>
        <n v="10140011"/>
        <n v="10140012"/>
        <n v="10140013"/>
        <n v="10140018"/>
        <n v="10140020"/>
        <n v="10140022"/>
        <n v="10140032"/>
        <n v="10140033"/>
        <n v="10140034"/>
        <n v="10140039"/>
        <n v="10140041"/>
        <n v="10140043"/>
        <n v="10140045"/>
        <n v="10140047"/>
        <n v="10140048"/>
        <n v="10140054"/>
        <n v="10140055"/>
        <n v="10140066"/>
        <n v="10140068"/>
        <n v="10140069"/>
        <n v="10140071"/>
        <n v="10140083"/>
        <n v="10140087"/>
        <n v="10140095"/>
        <n v="10140098"/>
        <n v="10140099"/>
        <n v="10140109"/>
        <n v="10140120"/>
        <n v="10140126"/>
        <n v="10140129"/>
        <n v="10140131"/>
        <n v="10140132"/>
        <n v="10140135"/>
        <n v="10140137"/>
        <n v="10140139"/>
        <n v="10140147"/>
        <n v="10140153"/>
        <n v="10140156"/>
        <n v="10140157"/>
        <n v="10140166"/>
        <n v="10140167"/>
        <n v="10140170"/>
        <n v="10140173"/>
        <n v="10140176"/>
        <n v="10140179"/>
        <n v="10140180"/>
        <n v="10140185"/>
        <n v="10140191"/>
        <n v="10140194"/>
        <n v="10140196"/>
        <n v="10140197"/>
        <n v="10140198"/>
        <n v="10140201"/>
        <n v="10140203"/>
        <n v="10140204"/>
        <n v="10140206"/>
        <n v="10140207"/>
        <n v="10140208"/>
        <n v="10140209"/>
        <n v="10180001"/>
        <n v="10240001"/>
        <n v="10250001"/>
        <n v="10260001"/>
        <n v="10290001"/>
        <n v="10300001"/>
        <n v="10310001"/>
        <n v="10320001"/>
        <n v="10330001"/>
        <n v="10340001"/>
        <n v="10350001"/>
        <n v="10360001"/>
        <n v="10380001"/>
        <n v="10390001"/>
        <n v="10400001"/>
        <n v="10410001"/>
        <n v="10430001"/>
        <n v="10440001"/>
        <n v="10460001"/>
        <n v="10460002"/>
        <n v="10480001"/>
        <n v="10480002"/>
        <n v="10480003"/>
        <n v="10480005"/>
        <n v="10480008"/>
        <n v="10480022"/>
        <n v="10480023"/>
        <n v="10480028"/>
        <n v="10480033"/>
        <n v="10480034"/>
        <n v="10500001"/>
        <n v="10510001"/>
        <n v="10510002"/>
        <n v="10510004"/>
        <n v="10520006"/>
        <n v="10520010"/>
        <n v="10520011"/>
        <n v="10530001"/>
        <n v="10530002"/>
        <n v="10530003"/>
        <n v="10530005"/>
        <n v="10530006"/>
        <n v="10530007"/>
        <n v="10530008"/>
        <n v="10530009"/>
        <n v="10530010"/>
        <n v="10530014"/>
        <n v="10530015"/>
        <n v="10530016"/>
        <n v="10530017"/>
        <n v="10530018"/>
        <n v="10530025"/>
        <n v="10530029"/>
        <n v="10530030"/>
        <n v="10530031"/>
        <n v="10530032"/>
        <n v="10530033"/>
        <n v="10530034"/>
        <n v="10530035"/>
        <n v="10530038"/>
        <n v="10530040"/>
        <n v="10530044"/>
        <n v="10530046"/>
        <n v="10530047"/>
        <n v="10530048"/>
        <n v="10530049"/>
        <n v="10530050"/>
        <n v="10530053"/>
        <n v="10530055"/>
        <n v="10530057"/>
        <n v="10530058"/>
        <n v="10530059"/>
        <n v="10530060"/>
        <n v="10530062"/>
        <n v="10530063"/>
        <n v="10530064"/>
        <n v="10530065"/>
        <n v="10530067"/>
        <n v="10530069"/>
        <n v="10530070"/>
        <n v="10530071"/>
        <n v="10530072"/>
        <n v="10530074"/>
        <n v="10530075"/>
        <n v="10530076"/>
        <n v="10530077"/>
        <n v="10530078"/>
        <n v="10530079"/>
        <n v="10530080"/>
        <n v="10530081"/>
        <n v="10530082"/>
        <n v="10530084"/>
        <n v="10530085"/>
        <n v="10530088"/>
        <n v="10530090"/>
        <n v="10530091"/>
        <n v="10530092"/>
        <n v="10530093"/>
        <n v="10530094"/>
        <n v="10530096"/>
        <n v="10530097"/>
        <n v="10530100"/>
        <n v="10530101"/>
        <n v="10530102"/>
        <n v="10530103"/>
        <n v="10530106"/>
        <n v="10530107"/>
        <n v="10530108"/>
        <n v="10530109"/>
        <n v="10530110"/>
        <n v="10530111"/>
        <n v="10530112"/>
        <n v="10530113"/>
        <n v="10530114"/>
        <n v="10530116"/>
        <n v="10540003"/>
        <n v="10540005"/>
        <n v="10540008"/>
        <n v="10540009"/>
        <n v="10540010"/>
        <n v="10540012"/>
        <n v="10540014"/>
        <n v="10540016"/>
        <n v="10540017"/>
        <n v="10540018"/>
        <n v="10540019"/>
        <n v="10540020"/>
        <n v="10540021"/>
        <n v="10540026"/>
        <n v="10540027"/>
        <n v="10540032"/>
        <n v="10540039"/>
        <n v="10540040"/>
        <n v="10540041"/>
        <n v="10540042"/>
        <n v="10540043"/>
        <n v="10540044"/>
        <n v="10540045"/>
        <n v="10540046"/>
        <n v="10540047"/>
        <n v="10540048"/>
        <n v="10540049"/>
        <n v="10540050"/>
        <n v="10540051"/>
        <n v="10550001"/>
        <n v="10550002"/>
        <n v="10550005"/>
        <n v="10550007"/>
        <n v="10550008"/>
        <n v="10550009"/>
        <n v="10550010"/>
        <n v="10550011"/>
        <n v="10560001"/>
        <n v="10560002"/>
        <n v="10560004"/>
        <n v="10560005"/>
        <n v="10560007"/>
        <n v="10560011"/>
        <n v="10560012"/>
        <n v="10560015"/>
        <n v="10560016"/>
        <n v="10560017"/>
        <n v="10560019"/>
        <n v="10560022"/>
        <n v="10560025"/>
        <n v="10560026"/>
        <n v="10560028"/>
        <n v="10560031"/>
        <n v="10560033"/>
        <n v="10560034"/>
        <n v="10560035"/>
        <n v="10560036"/>
        <n v="10560037"/>
        <n v="10560039"/>
        <n v="10560040"/>
        <n v="10570001"/>
        <n v="10570003"/>
        <n v="10570007"/>
        <n v="10570008"/>
        <n v="10570009"/>
        <n v="10570010"/>
        <n v="10570013"/>
        <n v="10570017"/>
        <n v="10570018"/>
        <n v="10570019"/>
        <n v="10570020"/>
        <n v="10570021"/>
        <n v="10570022"/>
        <n v="10570024"/>
        <n v="10570025"/>
        <n v="10570028"/>
        <n v="10570029"/>
        <n v="10570030"/>
        <n v="10570031"/>
        <n v="10570032"/>
        <n v="10570036"/>
        <n v="10570037"/>
        <n v="10570038"/>
        <n v="10570042"/>
        <n v="10570044"/>
        <n v="10570045"/>
        <n v="10570046"/>
        <n v="10570047"/>
        <n v="10570049"/>
        <n v="10570051"/>
        <n v="10570053"/>
        <n v="10570055"/>
        <n v="10570058"/>
        <n v="10570059"/>
        <n v="10570060"/>
        <n v="10570062"/>
        <n v="10570065"/>
        <n v="10570066"/>
        <n v="10570067"/>
        <n v="10570068"/>
        <n v="10570069"/>
        <n v="10570070"/>
        <n v="10570071"/>
        <n v="10580001"/>
        <n v="10580002"/>
        <n v="10580004"/>
        <n v="10580005"/>
        <n v="10580010"/>
        <n v="10580012"/>
        <n v="10580013"/>
        <n v="10580015"/>
        <n v="10580017"/>
        <n v="10580018"/>
        <n v="10580022"/>
        <n v="10580023"/>
        <n v="10580024"/>
        <n v="10580025"/>
        <n v="10580026"/>
        <n v="10580027"/>
        <n v="10580028"/>
        <n v="10580029"/>
        <n v="10580030"/>
        <n v="10590001"/>
        <n v="10590002"/>
        <n v="10590004"/>
        <n v="10590006"/>
        <n v="10590008"/>
        <n v="10590010"/>
        <n v="10590011"/>
        <n v="10590012"/>
        <n v="10590013"/>
        <n v="10590014"/>
        <n v="10590016"/>
        <n v="10600002"/>
        <n v="10600004"/>
        <n v="10600005"/>
        <n v="10600006"/>
        <n v="10600008"/>
        <n v="10600009"/>
        <n v="10600012"/>
        <n v="10610001"/>
        <n v="10610002"/>
        <n v="10610003"/>
        <n v="10610004"/>
        <n v="10610005"/>
        <n v="10610006"/>
        <n v="10610008"/>
        <n v="10610009"/>
        <n v="10610010"/>
        <n v="10610011"/>
        <n v="10610013"/>
        <n v="10610017"/>
        <n v="10610018"/>
        <n v="10610019"/>
        <n v="10610020"/>
        <n v="10610022"/>
        <n v="10610024"/>
        <n v="10610025"/>
        <n v="10610026"/>
        <n v="10610027"/>
        <n v="10610028"/>
        <n v="10610035"/>
        <n v="10610036"/>
        <n v="10610038"/>
        <n v="10610041"/>
        <n v="10610045"/>
        <n v="10610046"/>
        <n v="10610048"/>
        <n v="10610050"/>
        <n v="10610051"/>
        <n v="10610052"/>
        <n v="10610054"/>
        <n v="10610055"/>
        <n v="10610056"/>
        <n v="10610059"/>
        <n v="10610060"/>
        <n v="10610064"/>
        <n v="10630002"/>
        <n v="10630003"/>
        <n v="10630004"/>
        <n v="10630008"/>
        <n v="10630009"/>
        <n v="10630010"/>
        <n v="10630011"/>
        <n v="10630012"/>
        <n v="10630014"/>
        <n v="10630016"/>
        <n v="10630017"/>
        <n v="10630018"/>
        <n v="10630019"/>
        <n v="10630022"/>
        <n v="10630025"/>
        <n v="10630026"/>
        <n v="10630028"/>
        <n v="10630030"/>
        <n v="10630032"/>
        <n v="10630034"/>
        <n v="10630035"/>
        <n v="10630036"/>
        <n v="10630037"/>
        <n v="10640001"/>
        <n v="10640003"/>
        <n v="10640005"/>
        <n v="10640006"/>
        <n v="10640007"/>
        <n v="10640008"/>
        <n v="10640009"/>
        <n v="10640010"/>
        <n v="10640011"/>
        <n v="10650001"/>
        <n v="10650003"/>
        <n v="10650004"/>
        <n v="10650008"/>
        <n v="10650011"/>
        <n v="10650013"/>
        <n v="10650015"/>
        <n v="10650016"/>
        <n v="10650018"/>
        <n v="10660001"/>
        <n v="10660002"/>
        <n v="10660004"/>
        <n v="10660005"/>
        <n v="10660006"/>
        <n v="10660007"/>
        <n v="10660010"/>
        <n v="10660011"/>
        <n v="10660012"/>
        <n v="10660013"/>
        <n v="10660015"/>
        <n v="10660016"/>
        <n v="10660017"/>
        <n v="10660019"/>
        <n v="10660021"/>
        <n v="10660023"/>
        <n v="10660024"/>
        <n v="10660028"/>
        <n v="10660032"/>
        <n v="10010049"/>
        <n v="10010079"/>
        <n v="10020056"/>
        <n v="10030030"/>
        <n v="10030042"/>
        <n v="10030047"/>
        <n v="10030048"/>
        <n v="10060045"/>
        <n v="10060097"/>
        <n v="10060135"/>
        <n v="10070036"/>
        <n v="10080082"/>
        <n v="10100059"/>
        <n v="10110112"/>
        <n v="10110179"/>
        <n v="10130090"/>
        <n v="10130111"/>
        <n v="10140117"/>
        <n v="10200001"/>
        <n v="10530019"/>
        <n v="10530054"/>
        <n v="10530104"/>
        <n v="10530117"/>
        <n v="10540007"/>
        <n v="10610031"/>
        <n v="10610032"/>
        <n v="10610034"/>
        <n v="10610047"/>
        <n v="10610071"/>
        <n v="10610072"/>
        <n v="10610073"/>
        <n v="10610074"/>
        <n v="10630023"/>
        <n v="10630024"/>
        <n v="10630033"/>
        <n v="10630038"/>
        <n v="10630039"/>
        <n v="10630040"/>
        <n v="10630041"/>
        <n v="10630042"/>
        <n v="10630043"/>
        <n v="10650014"/>
        <n v="10660022"/>
        <n v="10660026"/>
        <n v="10660027"/>
        <n v="10660029"/>
        <n v="10020018"/>
        <n v="10060052"/>
        <n v="10100047"/>
        <n v="10100058"/>
        <n v="10100066"/>
        <n v="10110148"/>
        <n v="10130103"/>
        <n v="10140058"/>
        <n v="10540036"/>
        <n v="10600001"/>
        <n v="10610039"/>
        <n v="10610076"/>
        <n v="10610077"/>
        <n v="10660014"/>
        <n v="10660025"/>
        <n v="10660030"/>
        <n v="10660034"/>
        <n v="10660038"/>
        <n v="10010051"/>
        <n v="10010151"/>
        <n v="10060081"/>
        <n v="10060117"/>
        <n v="10060138"/>
        <n v="10070072"/>
        <n v="10070080"/>
        <n v="10080089"/>
        <n v="10090026"/>
        <n v="10110036"/>
        <n v="10540060"/>
        <n v="10550012"/>
        <n v="10560041"/>
        <n v="10560042"/>
        <n v="10560043"/>
        <n v="10560044"/>
        <n v="10570023"/>
        <n v="10570073"/>
        <n v="10570074"/>
        <n v="10580036"/>
        <n v="10590007"/>
        <n v="10590009"/>
        <n v="10610075"/>
        <n v="10650029"/>
        <n v="10660037"/>
        <n v="10010017" u="1"/>
        <n v="10010056" u="1"/>
        <n v="10010098" u="1"/>
        <n v="10010103" u="1"/>
        <n v="10010116" u="1"/>
        <n v="10010137" u="1"/>
        <n v="10020014" u="1"/>
        <n v="10020020" u="1"/>
        <n v="10020051" u="1"/>
        <n v="10020076" u="1"/>
        <n v="10020080" u="1"/>
        <n v="10030008" u="1"/>
        <n v="10030049" u="1"/>
        <n v="10030079" u="1"/>
        <n v="10030081" u="1"/>
        <n v="10040001" u="1"/>
        <n v="10060013" u="1"/>
        <n v="10060033" u="1"/>
        <n v="10060037" u="1"/>
        <n v="10060044" u="1"/>
        <n v="10060109" u="1"/>
        <n v="10060120" u="1"/>
        <n v="10060121" u="1"/>
        <n v="10060124" u="1"/>
        <n v="10070031" u="1"/>
        <n v="10070047" u="1"/>
        <n v="10070065" u="1"/>
        <n v="10070076" u="1"/>
        <n v="10080043" u="1"/>
        <n v="10080062" u="1"/>
        <n v="10080072" u="1"/>
        <n v="10080110" u="1"/>
        <n v="10080121" u="1"/>
        <n v="10090034" u="1"/>
        <n v="10090040" u="1"/>
        <n v="10090043" u="1"/>
        <n v="10090052" u="1"/>
        <n v="10090066" u="1"/>
        <n v="10100015" u="1"/>
        <n v="10100061" u="1"/>
        <n v="10110019" u="1"/>
        <n v="10110091" u="1"/>
        <n v="10110097" u="1"/>
        <n v="10110105" u="1"/>
        <n v="10110138" u="1"/>
        <n v="10110145" u="1"/>
        <n v="10110167" u="1"/>
        <n v="10110171" u="1"/>
        <n v="10110181" u="1"/>
        <n v="10120004" u="1"/>
        <n v="10120030" u="1"/>
        <n v="10120047" u="1"/>
        <n v="10120080" u="1"/>
        <n v="10120110" u="1"/>
        <n v="10130070" u="1"/>
        <n v="10130085" u="1"/>
        <n v="10130091" u="1"/>
        <n v="10130094" u="1"/>
        <n v="10130116" u="1"/>
        <n v="10140107" u="1"/>
        <n v="10140119" u="1"/>
        <n v="10140141" u="1"/>
        <n v="10140152" u="1"/>
        <n v="10140174" u="1"/>
        <n v="10140181" u="1"/>
        <n v="10140183" u="1"/>
        <n v="10140193" u="1"/>
        <n v="10140205" u="1"/>
        <n v="10220001" u="1"/>
        <n v="10230001" u="1"/>
        <n v="10480012" u="1"/>
        <n v="10480016" u="1"/>
        <n v="10480036" u="1"/>
        <n v="10530013" u="1"/>
        <n v="10530027" u="1"/>
        <n v="10530041" u="1"/>
        <n v="10530068" u="1"/>
        <n v="10530073" u="1"/>
        <n v="10530089" u="1"/>
        <n v="10530099" u="1"/>
        <n v="10530105" u="1"/>
        <n v="10540015" u="1"/>
        <n v="10540028" u="1"/>
        <n v="10540029" u="1"/>
        <n v="10540034" u="1"/>
        <n v="10560006" u="1"/>
        <n v="10560027" u="1"/>
        <n v="10560029" u="1"/>
        <n v="10560032" u="1"/>
        <n v="10570015" u="1"/>
        <n v="10570016" u="1"/>
        <n v="10570026" u="1"/>
        <n v="10570033" u="1"/>
        <n v="10570054" u="1"/>
        <n v="10570056" u="1"/>
        <n v="10570057" u="1"/>
        <n v="10580007" u="1"/>
        <n v="10580009" u="1"/>
        <n v="10580019" u="1"/>
        <n v="10580031" u="1"/>
        <n v="10580032" u="1"/>
        <n v="10580033" u="1"/>
        <n v="10580034" u="1"/>
        <n v="10590015" u="1"/>
        <n v="10600007" u="1"/>
        <n v="10600010" u="1"/>
        <n v="10600013" u="1"/>
        <n v="10610007" u="1"/>
        <n v="10610014" u="1"/>
        <n v="10610015" u="1"/>
        <n v="10610021" u="1"/>
        <n v="10610023" u="1"/>
        <n v="10610030" u="1"/>
        <n v="10610040" u="1"/>
        <n v="10610042" u="1"/>
        <n v="10610043" u="1"/>
        <n v="10630001" u="1"/>
        <n v="10630007" u="1"/>
        <n v="10630015" u="1"/>
        <n v="10630020" u="1"/>
        <n v="10640004" u="1"/>
        <n v="10650006" u="1"/>
        <n v="10650007" u="1"/>
        <n v="10650010" u="1"/>
        <n v="10020012" u="1"/>
        <n v="10060132" u="1"/>
        <n v="10080117" u="1"/>
        <n v="10110186" u="1"/>
        <n v="10120028" u="1"/>
        <n v="10120070" u="1"/>
        <n v="10120075" u="1"/>
        <n v="10120087" u="1"/>
        <n v="10120092" u="1"/>
        <n v="10120105" u="1"/>
        <n v="10120117" u="1"/>
        <n v="10120118" u="1"/>
        <n v="10130036" u="1"/>
        <n v="10130063" u="1"/>
        <n v="10130087" u="1"/>
        <n v="10130105" u="1"/>
        <n v="10130106" u="1"/>
        <n v="10130110" u="1"/>
        <n v="10130112" u="1"/>
        <n v="10370001" u="1"/>
        <n v="10530011" u="1"/>
        <n v="10530012" u="1"/>
        <n v="10530021" u="1"/>
        <n v="10530026" u="1"/>
        <n v="10530042" u="1"/>
        <n v="10530052" u="1"/>
        <n v="10530056" u="1"/>
        <n v="10580020" u="1"/>
        <n v="10610044" u="1"/>
        <n v="10610049" u="1"/>
        <n v="10630013" u="1"/>
        <n v="10650012" u="1"/>
        <n v="10010080" u="1"/>
        <n v="10060085" u="1"/>
        <n v="10060127" u="1"/>
        <n v="10090081" u="1"/>
        <n v="10530115" u="1"/>
        <n v="10570035" u="1"/>
        <n v="10580014" u="1"/>
        <n v="10640002" u="1"/>
        <n v="10100067" u="1"/>
        <n v="10140148" u="1"/>
        <n v="10100053" u="1"/>
        <n v="10120056" u="1"/>
        <n v="10570006" u="1"/>
      </sharedItems>
    </cacheField>
    <cacheField name="MPG NAME " numFmtId="0">
      <sharedItems/>
    </cacheField>
    <cacheField name="Type" numFmtId="0">
      <sharedItems/>
    </cacheField>
    <cacheField name="Farmer Payment" numFmtId="0">
      <sharedItems/>
    </cacheField>
    <cacheField name="BMC Volume" numFmtId="1">
      <sharedItems containsSemiMixedTypes="0" containsString="0" containsNumber="1" minValue="3" maxValue="33485.199999999997"/>
    </cacheField>
    <cacheField name="BMC Amount" numFmtId="1">
      <sharedItems containsSemiMixedTypes="0" containsString="0" containsNumber="1" minValue="81.900000000000006" maxValue="1290856.3499999999"/>
    </cacheField>
    <cacheField name="Vol" numFmtId="165">
      <sharedItems containsSemiMixedTypes="0" containsString="0" containsNumber="1" minValue="0" maxValue="5927.4799999999987"/>
    </cacheField>
    <cacheField name="Amt" numFmtId="165">
      <sharedItems containsSemiMixedTypes="0" containsString="0" containsNumber="1" minValue="0" maxValue="228550.2600000001"/>
    </cacheField>
    <cacheField name="Vol2" numFmtId="165">
      <sharedItems containsSemiMixedTypes="0" containsString="0" containsNumber="1" minValue="0" maxValue="6383.8600000000006"/>
    </cacheField>
    <cacheField name="Amt2" numFmtId="165">
      <sharedItems containsSemiMixedTypes="0" containsString="0" containsNumber="1" minValue="0" maxValue="260344.4"/>
    </cacheField>
    <cacheField name="Vol3" numFmtId="165">
      <sharedItems containsSemiMixedTypes="0" containsString="0" containsNumber="1" minValue="0" maxValue="7566.3600000000006"/>
    </cacheField>
    <cacheField name="Amt3" numFmtId="165">
      <sharedItems containsSemiMixedTypes="0" containsString="0" containsNumber="1" minValue="0" maxValue="310004.11"/>
    </cacheField>
    <cacheField name="Payable" numFmtId="165">
      <sharedItems containsSemiMixedTypes="0" containsString="0" containsNumber="1" minValue="0" maxValue="1290856.3499999999"/>
    </cacheField>
    <cacheField name="Other Ded" numFmtId="165">
      <sharedItems containsSemiMixedTypes="0" containsString="0" containsNumber="1" containsInteger="1" minValue="0" maxValue="100000"/>
    </cacheField>
    <cacheField name="Sample Am" numFmtId="165">
      <sharedItems containsSemiMixedTypes="0" containsString="0" containsNumber="1" minValue="0" maxValue="9078.2999999999993"/>
    </cacheField>
    <cacheField name="Loss Apportion" numFmtId="165">
      <sharedItems containsSemiMixedTypes="0" containsString="0" containsNumber="1" minValue="0" maxValue="109719.26999999999"/>
    </cacheField>
    <cacheField name="CF/Vet Ded" numFmtId="165">
      <sharedItems containsSemiMixedTypes="0" containsString="0" containsNumber="1" minValue="0" maxValue="310838"/>
    </cacheField>
    <cacheField name="Advance" numFmtId="165">
      <sharedItems containsSemiMixedTypes="0" containsString="0" containsNumber="1" containsInteger="1" minValue="0" maxValue="500"/>
    </cacheField>
    <cacheField name="Others" numFmtId="165">
      <sharedItems containsSemiMixedTypes="0" containsString="0" containsNumber="1" containsInteger="1" minValue="0" maxValue="0"/>
    </cacheField>
    <cacheField name="Payment to Farmer A/c" numFmtId="165">
      <sharedItems containsSemiMixedTypes="0" containsString="0" containsNumber="1" containsInteger="1" minValue="0" maxValue="227193"/>
    </cacheField>
    <cacheField name="Unreg. Farmer payment" numFmtId="165">
      <sharedItems containsSemiMixedTypes="0" containsString="0" containsNumber="1" containsInteger="1" minValue="0" maxValue="242398"/>
    </cacheField>
    <cacheField name="Payment to MPGs A/c" numFmtId="165">
      <sharedItems containsSemiMixedTypes="0" containsString="0" containsNumber="1" minValue="-0.44000000000050932" maxValue="1290856.3499999999"/>
    </cacheField>
    <cacheField name="Closing Reserve" numFmtId="165">
      <sharedItems containsSemiMixedTypes="0" containsString="0" containsNumber="1" containsInteger="1" minValue="-2877" maxValue="66838"/>
    </cacheField>
    <cacheField name="Stop Payment" numFmtId="165">
      <sharedItems containsMixedTypes="1" containsNumber="1" containsInteger="1" minValue="0" maxValue="0"/>
    </cacheField>
    <cacheField name="Vol Penalty Amount " numFmtId="168">
      <sharedItems containsSemiMixedTypes="0" containsString="0" containsNumber="1" minValue="0" maxValue="960.8979029966705"/>
    </cacheField>
    <cacheField name="Vol4" numFmtId="168">
      <sharedItems containsSemiMixedTypes="0" containsString="0" containsNumber="1" minValue="0" maxValue="100"/>
    </cacheField>
    <cacheField name="loss/gain" numFmtId="9">
      <sharedItems containsSemiMixedTypes="0" containsString="0" containsNumber="1" minValue="-5.1160679173416783" maxValue="1"/>
    </cacheField>
    <cacheField name="Nos.Of farmer" numFmtId="0">
      <sharedItems containsSemiMixedTypes="0" containsString="0" containsNumber="1" containsInteger="1" minValue="0" maxValue="82"/>
    </cacheField>
    <cacheField name="Field33" caption="Field33" numFmtId="0">
      <sharedItems containsNonDate="0" containsString="0" containsBlank="1"/>
    </cacheField>
    <cacheField name="Field34" caption="Field34" numFmtId="0">
      <sharedItems containsBlank="1"/>
    </cacheField>
    <cacheField name="Field35" caption="Field35" numFmtId="0">
      <sharedItems containsNonDate="0" containsString="0" containsBlank="1"/>
    </cacheField>
    <cacheField name="EMI Recovery" numFmtId="166">
      <sharedItems containsSemiMixedTypes="0" containsString="0" containsNumber="1" containsInteger="1" minValue="0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44.468457060182" createdVersion="8" refreshedVersion="8" minRefreshableVersion="3" recordCount="3950" xr:uid="{69F27230-8F64-444A-8314-63F83912FED8}">
  <cacheSource type="worksheet">
    <worksheetSource ref="E2:AB3952" sheet="MPG Payment "/>
  </cacheSource>
  <cacheFields count="24">
    <cacheField name="Code " numFmtId="0">
      <sharedItems containsSemiMixedTypes="0" containsString="0" containsNumber="1" containsInteger="1" minValue="10010013" maxValue="10660038" count="1130">
        <n v="10010013"/>
        <n v="10010019"/>
        <n v="10010038"/>
        <n v="10010044"/>
        <n v="10010047"/>
        <n v="10010050"/>
        <n v="10010055"/>
        <n v="10010057"/>
        <n v="10010076"/>
        <n v="10010082"/>
        <n v="10010084"/>
        <n v="10010086"/>
        <n v="10010087"/>
        <n v="10010089"/>
        <n v="10010092"/>
        <n v="10010095"/>
        <n v="10010097"/>
        <n v="10010099"/>
        <n v="10010108"/>
        <n v="10010109"/>
        <n v="10010113"/>
        <n v="10010121"/>
        <n v="10010125"/>
        <n v="10010128"/>
        <n v="10010129"/>
        <n v="10010130"/>
        <n v="10010131"/>
        <n v="10010140"/>
        <n v="10010141"/>
        <n v="10010143"/>
        <n v="10010144"/>
        <n v="10010145"/>
        <n v="10010146"/>
        <n v="10010147"/>
        <n v="10010148"/>
        <n v="10010149"/>
        <n v="10020002"/>
        <n v="10020004"/>
        <n v="10020006"/>
        <n v="10020007"/>
        <n v="10020008"/>
        <n v="10020010"/>
        <n v="10020013"/>
        <n v="10020015"/>
        <n v="10020016"/>
        <n v="10020017"/>
        <n v="10020021"/>
        <n v="10020023"/>
        <n v="10020024"/>
        <n v="10020025"/>
        <n v="10020026"/>
        <n v="10020027"/>
        <n v="10020029"/>
        <n v="10020032"/>
        <n v="10020034"/>
        <n v="10020035"/>
        <n v="10020038"/>
        <n v="10020041"/>
        <n v="10020042"/>
        <n v="10020043"/>
        <n v="10020044"/>
        <n v="10020047"/>
        <n v="10020050"/>
        <n v="10020052"/>
        <n v="10020054"/>
        <n v="10020057"/>
        <n v="10020058"/>
        <n v="10020059"/>
        <n v="10020062"/>
        <n v="10020063"/>
        <n v="10020064"/>
        <n v="10020067"/>
        <n v="10020068"/>
        <n v="10020069"/>
        <n v="10020070"/>
        <n v="10020073"/>
        <n v="10020075"/>
        <n v="10020077"/>
        <n v="10020078"/>
        <n v="10020079"/>
        <n v="10020081"/>
        <n v="10020082"/>
        <n v="10020083"/>
        <n v="10020084"/>
        <n v="10020087"/>
        <n v="10020088"/>
        <n v="10030002"/>
        <n v="10030003"/>
        <n v="10030007"/>
        <n v="10030009"/>
        <n v="10030010"/>
        <n v="10030011"/>
        <n v="10030012"/>
        <n v="10030013"/>
        <n v="10030015"/>
        <n v="10030016"/>
        <n v="10030017"/>
        <n v="10030018"/>
        <n v="10030019"/>
        <n v="10030021"/>
        <n v="10030022"/>
        <n v="10030023"/>
        <n v="10030025"/>
        <n v="10030026"/>
        <n v="10030027"/>
        <n v="10030028"/>
        <n v="10030031"/>
        <n v="10030032"/>
        <n v="10030034"/>
        <n v="10030035"/>
        <n v="10030037"/>
        <n v="10030038"/>
        <n v="10030040"/>
        <n v="10030041"/>
        <n v="10030043"/>
        <n v="10030044"/>
        <n v="10030045"/>
        <n v="10030046"/>
        <n v="10030050"/>
        <n v="10030051"/>
        <n v="10030053"/>
        <n v="10030055"/>
        <n v="10030056"/>
        <n v="10030059"/>
        <n v="10030060"/>
        <n v="10030061"/>
        <n v="10030063"/>
        <n v="10030064"/>
        <n v="10030065"/>
        <n v="10030066"/>
        <n v="10030068"/>
        <n v="10030069"/>
        <n v="10030070"/>
        <n v="10030071"/>
        <n v="10030072"/>
        <n v="10030074"/>
        <n v="10030075"/>
        <n v="10030077"/>
        <n v="10030078"/>
        <n v="10030080"/>
        <n v="10030082"/>
        <n v="10030084"/>
        <n v="10030085"/>
        <n v="10030087"/>
        <n v="10030088"/>
        <n v="10030089"/>
        <n v="10030090"/>
        <n v="10060002"/>
        <n v="10060003"/>
        <n v="10060004"/>
        <n v="10060005"/>
        <n v="10060007"/>
        <n v="10060008"/>
        <n v="10060009"/>
        <n v="10060010"/>
        <n v="10060011"/>
        <n v="10060014"/>
        <n v="10060015"/>
        <n v="10060020"/>
        <n v="10060021"/>
        <n v="10060022"/>
        <n v="10060023"/>
        <n v="10060026"/>
        <n v="10060027"/>
        <n v="10060028"/>
        <n v="10060029"/>
        <n v="10060031"/>
        <n v="10060032"/>
        <n v="10060036"/>
        <n v="10060041"/>
        <n v="10060049"/>
        <n v="10060050"/>
        <n v="10060051"/>
        <n v="10060055"/>
        <n v="10060058"/>
        <n v="10060061"/>
        <n v="10060062"/>
        <n v="10060069"/>
        <n v="10060074"/>
        <n v="10060076"/>
        <n v="10060077"/>
        <n v="10060083"/>
        <n v="10060089"/>
        <n v="10060090"/>
        <n v="10060096"/>
        <n v="10060098"/>
        <n v="10060104"/>
        <n v="10060106"/>
        <n v="10060107"/>
        <n v="10060110"/>
        <n v="10060111"/>
        <n v="10060113"/>
        <n v="10060114"/>
        <n v="10060115"/>
        <n v="10060116"/>
        <n v="10060118"/>
        <n v="10060122"/>
        <n v="10060125"/>
        <n v="10060126"/>
        <n v="10060129"/>
        <n v="10060130"/>
        <n v="10060133"/>
        <n v="10060136"/>
        <n v="10070002"/>
        <n v="10070003"/>
        <n v="10070004"/>
        <n v="10070008"/>
        <n v="10070013"/>
        <n v="10070016"/>
        <n v="10070018"/>
        <n v="10070019"/>
        <n v="10070020"/>
        <n v="10070024"/>
        <n v="10070026"/>
        <n v="10070033"/>
        <n v="10070039"/>
        <n v="10070042"/>
        <n v="10070043"/>
        <n v="10070045"/>
        <n v="10070046"/>
        <n v="10070048"/>
        <n v="10070053"/>
        <n v="10070056"/>
        <n v="10070058"/>
        <n v="10070059"/>
        <n v="10070060"/>
        <n v="10070061"/>
        <n v="10070063"/>
        <n v="10070064"/>
        <n v="10070067"/>
        <n v="10070074"/>
        <n v="10070077"/>
        <n v="10070078"/>
        <n v="10070079"/>
        <n v="10080001"/>
        <n v="10080002"/>
        <n v="10080003"/>
        <n v="10080004"/>
        <n v="10080006"/>
        <n v="10080007"/>
        <n v="10080012"/>
        <n v="10080013"/>
        <n v="10080014"/>
        <n v="10080015"/>
        <n v="10080016"/>
        <n v="10080022"/>
        <n v="10080024"/>
        <n v="10080025"/>
        <n v="10080032"/>
        <n v="10080037"/>
        <n v="10080039"/>
        <n v="10080040"/>
        <n v="10080041"/>
        <n v="10080048"/>
        <n v="10080052"/>
        <n v="10080053"/>
        <n v="10080054"/>
        <n v="10080055"/>
        <n v="10080061"/>
        <n v="10080065"/>
        <n v="10080067"/>
        <n v="10080073"/>
        <n v="10080076"/>
        <n v="10080077"/>
        <n v="10080078"/>
        <n v="10080079"/>
        <n v="10080080"/>
        <n v="10080083"/>
        <n v="10080086"/>
        <n v="10080087"/>
        <n v="10080088"/>
        <n v="10080090"/>
        <n v="10080093"/>
        <n v="10080095"/>
        <n v="10080097"/>
        <n v="10080099"/>
        <n v="10080100"/>
        <n v="10080107"/>
        <n v="10080112"/>
        <n v="10080113"/>
        <n v="10080115"/>
        <n v="10080119"/>
        <n v="10080120"/>
        <n v="10080122"/>
        <n v="10080124"/>
        <n v="10080126"/>
        <n v="10080128"/>
        <n v="10090001"/>
        <n v="10090002"/>
        <n v="10090003"/>
        <n v="10090005"/>
        <n v="10090006"/>
        <n v="10090007"/>
        <n v="10090008"/>
        <n v="10090009"/>
        <n v="10090011"/>
        <n v="10090012"/>
        <n v="10090014"/>
        <n v="10090015"/>
        <n v="10090017"/>
        <n v="10090018"/>
        <n v="10090021"/>
        <n v="10090022"/>
        <n v="10090024"/>
        <n v="10090025"/>
        <n v="10090027"/>
        <n v="10090029"/>
        <n v="10090033"/>
        <n v="10090036"/>
        <n v="10090037"/>
        <n v="10090039"/>
        <n v="10090041"/>
        <n v="10090042"/>
        <n v="10090045"/>
        <n v="10090046"/>
        <n v="10090047"/>
        <n v="10090049"/>
        <n v="10090055"/>
        <n v="10090056"/>
        <n v="10090058"/>
        <n v="10090059"/>
        <n v="10090060"/>
        <n v="10090061"/>
        <n v="10090063"/>
        <n v="10090064"/>
        <n v="10090065"/>
        <n v="10090069"/>
        <n v="10090072"/>
        <n v="10090074"/>
        <n v="10090075"/>
        <n v="10090076"/>
        <n v="10090077"/>
        <n v="10090078"/>
        <n v="10090079"/>
        <n v="10090080"/>
        <n v="10100001"/>
        <n v="10100003"/>
        <n v="10100004"/>
        <n v="10100009"/>
        <n v="10100014"/>
        <n v="10100016"/>
        <n v="10100021"/>
        <n v="10100026"/>
        <n v="10100028"/>
        <n v="10100033"/>
        <n v="10100035"/>
        <n v="10100037"/>
        <n v="10100044"/>
        <n v="10100045"/>
        <n v="10100049"/>
        <n v="10100051"/>
        <n v="10100054"/>
        <n v="10100060"/>
        <n v="10100062"/>
        <n v="10100065"/>
        <n v="10100069"/>
        <n v="10100070"/>
        <n v="10100071"/>
        <n v="10110001"/>
        <n v="10110002"/>
        <n v="10110004"/>
        <n v="10110005"/>
        <n v="10110007"/>
        <n v="10110008"/>
        <n v="10110013"/>
        <n v="10110014"/>
        <n v="10110015"/>
        <n v="10110016"/>
        <n v="10110021"/>
        <n v="10110032"/>
        <n v="10110042"/>
        <n v="10110043"/>
        <n v="10110049"/>
        <n v="10110050"/>
        <n v="10110053"/>
        <n v="10110055"/>
        <n v="10110057"/>
        <n v="10110065"/>
        <n v="10110066"/>
        <n v="10110071"/>
        <n v="10110073"/>
        <n v="10110076"/>
        <n v="10110078"/>
        <n v="10110079"/>
        <n v="10110083"/>
        <n v="10110086"/>
        <n v="10110093"/>
        <n v="10110094"/>
        <n v="10110095"/>
        <n v="10110098"/>
        <n v="10110100"/>
        <n v="10110101"/>
        <n v="10110106"/>
        <n v="10110109"/>
        <n v="10110110"/>
        <n v="10110111"/>
        <n v="10110114"/>
        <n v="10110116"/>
        <n v="10110118"/>
        <n v="10110119"/>
        <n v="10110120"/>
        <n v="10110121"/>
        <n v="10110123"/>
        <n v="10110124"/>
        <n v="10110128"/>
        <n v="10110129"/>
        <n v="10110132"/>
        <n v="10110133"/>
        <n v="10110134"/>
        <n v="10110135"/>
        <n v="10110140"/>
        <n v="10110141"/>
        <n v="10110143"/>
        <n v="10110144"/>
        <n v="10110146"/>
        <n v="10110149"/>
        <n v="10110153"/>
        <n v="10110155"/>
        <n v="10110158"/>
        <n v="10110159"/>
        <n v="10110160"/>
        <n v="10110161"/>
        <n v="10110164"/>
        <n v="10110166"/>
        <n v="10110168"/>
        <n v="10110172"/>
        <n v="10110173"/>
        <n v="10110176"/>
        <n v="10110177"/>
        <n v="10110178"/>
        <n v="10110183"/>
        <n v="10110184"/>
        <n v="10110185"/>
        <n v="10110187"/>
        <n v="10110188"/>
        <n v="10110190"/>
        <n v="10120001"/>
        <n v="10120002"/>
        <n v="10120005"/>
        <n v="10120006"/>
        <n v="10120007"/>
        <n v="10120008"/>
        <n v="10120010"/>
        <n v="10120011"/>
        <n v="10120012"/>
        <n v="10120013"/>
        <n v="10120014"/>
        <n v="10120015"/>
        <n v="10120016"/>
        <n v="10120017"/>
        <n v="10120018"/>
        <n v="10120019"/>
        <n v="10120022"/>
        <n v="10120023"/>
        <n v="10120024"/>
        <n v="10120025"/>
        <n v="10120026"/>
        <n v="10120029"/>
        <n v="10120031"/>
        <n v="10120034"/>
        <n v="10120035"/>
        <n v="10120043"/>
        <n v="10120046"/>
        <n v="10120049"/>
        <n v="10120050"/>
        <n v="10120051"/>
        <n v="10120052"/>
        <n v="10120053"/>
        <n v="10120060"/>
        <n v="10120066"/>
        <n v="10120067"/>
        <n v="10120071"/>
        <n v="10120083"/>
        <n v="10120084"/>
        <n v="10120086"/>
        <n v="10120088"/>
        <n v="10120089"/>
        <n v="10120091"/>
        <n v="10120094"/>
        <n v="10120095"/>
        <n v="10120096"/>
        <n v="10120099"/>
        <n v="10120103"/>
        <n v="10120104"/>
        <n v="10120106"/>
        <n v="10120107"/>
        <n v="10120108"/>
        <n v="10120109"/>
        <n v="10120111"/>
        <n v="10120113"/>
        <n v="10120114"/>
        <n v="10120115"/>
        <n v="10120116"/>
        <n v="10120119"/>
        <n v="10120120"/>
        <n v="10120122"/>
        <n v="10120123"/>
        <n v="10120124"/>
        <n v="10130001"/>
        <n v="10130002"/>
        <n v="10130003"/>
        <n v="10130005"/>
        <n v="10130006"/>
        <n v="10130008"/>
        <n v="10130012"/>
        <n v="10130015"/>
        <n v="10130016"/>
        <n v="10130018"/>
        <n v="10130020"/>
        <n v="10130025"/>
        <n v="10130026"/>
        <n v="10130027"/>
        <n v="10130030"/>
        <n v="10130031"/>
        <n v="10130032"/>
        <n v="10130040"/>
        <n v="10130041"/>
        <n v="10130042"/>
        <n v="10130044"/>
        <n v="10130046"/>
        <n v="10130047"/>
        <n v="10130052"/>
        <n v="10130054"/>
        <n v="10130058"/>
        <n v="10130061"/>
        <n v="10130065"/>
        <n v="10130073"/>
        <n v="10130074"/>
        <n v="10130077"/>
        <n v="10130080"/>
        <n v="10130081"/>
        <n v="10130083"/>
        <n v="10130088"/>
        <n v="10130093"/>
        <n v="10130097"/>
        <n v="10130098"/>
        <n v="10130100"/>
        <n v="10130101"/>
        <n v="10130102"/>
        <n v="10130107"/>
        <n v="10130113"/>
        <n v="10130114"/>
        <n v="10130115"/>
        <n v="10130117"/>
        <n v="10130118"/>
        <n v="10130119"/>
        <n v="10130120"/>
        <n v="10130122"/>
        <n v="10140001"/>
        <n v="10140002"/>
        <n v="10140003"/>
        <n v="10140007"/>
        <n v="10140008"/>
        <n v="10140009"/>
        <n v="10140011"/>
        <n v="10140012"/>
        <n v="10140013"/>
        <n v="10140018"/>
        <n v="10140020"/>
        <n v="10140022"/>
        <n v="10140032"/>
        <n v="10140033"/>
        <n v="10140034"/>
        <n v="10140039"/>
        <n v="10140041"/>
        <n v="10140043"/>
        <n v="10140045"/>
        <n v="10140047"/>
        <n v="10140048"/>
        <n v="10140054"/>
        <n v="10140055"/>
        <n v="10140066"/>
        <n v="10140068"/>
        <n v="10140069"/>
        <n v="10140071"/>
        <n v="10140083"/>
        <n v="10140087"/>
        <n v="10140095"/>
        <n v="10140098"/>
        <n v="10140099"/>
        <n v="10140109"/>
        <n v="10140120"/>
        <n v="10140126"/>
        <n v="10140129"/>
        <n v="10140131"/>
        <n v="10140132"/>
        <n v="10140135"/>
        <n v="10140137"/>
        <n v="10140139"/>
        <n v="10140147"/>
        <n v="10140153"/>
        <n v="10140156"/>
        <n v="10140157"/>
        <n v="10140166"/>
        <n v="10140167"/>
        <n v="10140170"/>
        <n v="10140173"/>
        <n v="10140176"/>
        <n v="10140179"/>
        <n v="10140180"/>
        <n v="10140185"/>
        <n v="10140191"/>
        <n v="10140194"/>
        <n v="10140196"/>
        <n v="10140197"/>
        <n v="10140198"/>
        <n v="10140201"/>
        <n v="10140203"/>
        <n v="10140204"/>
        <n v="10140206"/>
        <n v="10140207"/>
        <n v="10140208"/>
        <n v="10140209"/>
        <n v="10180001"/>
        <n v="10240001"/>
        <n v="10250001"/>
        <n v="10260001"/>
        <n v="10290001"/>
        <n v="10300001"/>
        <n v="10310001"/>
        <n v="10320001"/>
        <n v="10330001"/>
        <n v="10340001"/>
        <n v="10350001"/>
        <n v="10360001"/>
        <n v="10380001"/>
        <n v="10390001"/>
        <n v="10400001"/>
        <n v="10410001"/>
        <n v="10430001"/>
        <n v="10440001"/>
        <n v="10460001"/>
        <n v="10460002"/>
        <n v="10480001"/>
        <n v="10480002"/>
        <n v="10480003"/>
        <n v="10480005"/>
        <n v="10480008"/>
        <n v="10480022"/>
        <n v="10480023"/>
        <n v="10480028"/>
        <n v="10480033"/>
        <n v="10480034"/>
        <n v="10500001"/>
        <n v="10510001"/>
        <n v="10510002"/>
        <n v="10510004"/>
        <n v="10520006"/>
        <n v="10520010"/>
        <n v="10520011"/>
        <n v="10530001"/>
        <n v="10530002"/>
        <n v="10530003"/>
        <n v="10530005"/>
        <n v="10530006"/>
        <n v="10530007"/>
        <n v="10530008"/>
        <n v="10530009"/>
        <n v="10530010"/>
        <n v="10530014"/>
        <n v="10530015"/>
        <n v="10530016"/>
        <n v="10530017"/>
        <n v="10530018"/>
        <n v="10530025"/>
        <n v="10530029"/>
        <n v="10530030"/>
        <n v="10530031"/>
        <n v="10530032"/>
        <n v="10530033"/>
        <n v="10530034"/>
        <n v="10530035"/>
        <n v="10530038"/>
        <n v="10530040"/>
        <n v="10530044"/>
        <n v="10530046"/>
        <n v="10530047"/>
        <n v="10530048"/>
        <n v="10530049"/>
        <n v="10530050"/>
        <n v="10530053"/>
        <n v="10530055"/>
        <n v="10530057"/>
        <n v="10530058"/>
        <n v="10530059"/>
        <n v="10530060"/>
        <n v="10530062"/>
        <n v="10530063"/>
        <n v="10530064"/>
        <n v="10530065"/>
        <n v="10530067"/>
        <n v="10530069"/>
        <n v="10530070"/>
        <n v="10530071"/>
        <n v="10530072"/>
        <n v="10530074"/>
        <n v="10530075"/>
        <n v="10530076"/>
        <n v="10530077"/>
        <n v="10530078"/>
        <n v="10530079"/>
        <n v="10530080"/>
        <n v="10530081"/>
        <n v="10530082"/>
        <n v="10530084"/>
        <n v="10530085"/>
        <n v="10530088"/>
        <n v="10530090"/>
        <n v="10530091"/>
        <n v="10530092"/>
        <n v="10530093"/>
        <n v="10530094"/>
        <n v="10530096"/>
        <n v="10530097"/>
        <n v="10530100"/>
        <n v="10530101"/>
        <n v="10530102"/>
        <n v="10530103"/>
        <n v="10530106"/>
        <n v="10530107"/>
        <n v="10530108"/>
        <n v="10530109"/>
        <n v="10530110"/>
        <n v="10530111"/>
        <n v="10530112"/>
        <n v="10530113"/>
        <n v="10530114"/>
        <n v="10530116"/>
        <n v="10540003"/>
        <n v="10540005"/>
        <n v="10540008"/>
        <n v="10540009"/>
        <n v="10540010"/>
        <n v="10540012"/>
        <n v="10540014"/>
        <n v="10540016"/>
        <n v="10540017"/>
        <n v="10540018"/>
        <n v="10540019"/>
        <n v="10540020"/>
        <n v="10540021"/>
        <n v="10540026"/>
        <n v="10540027"/>
        <n v="10540032"/>
        <n v="10540039"/>
        <n v="10540040"/>
        <n v="10540041"/>
        <n v="10540042"/>
        <n v="10540043"/>
        <n v="10540044"/>
        <n v="10540045"/>
        <n v="10540046"/>
        <n v="10540047"/>
        <n v="10540048"/>
        <n v="10540049"/>
        <n v="10540050"/>
        <n v="10540051"/>
        <n v="10550001"/>
        <n v="10550002"/>
        <n v="10550005"/>
        <n v="10550007"/>
        <n v="10550008"/>
        <n v="10550009"/>
        <n v="10550010"/>
        <n v="10550011"/>
        <n v="10560001"/>
        <n v="10560002"/>
        <n v="10560004"/>
        <n v="10560005"/>
        <n v="10560007"/>
        <n v="10560011"/>
        <n v="10560012"/>
        <n v="10560015"/>
        <n v="10560016"/>
        <n v="10560017"/>
        <n v="10560019"/>
        <n v="10560022"/>
        <n v="10560025"/>
        <n v="10560026"/>
        <n v="10560028"/>
        <n v="10560031"/>
        <n v="10560033"/>
        <n v="10560034"/>
        <n v="10560035"/>
        <n v="10560036"/>
        <n v="10560037"/>
        <n v="10560039"/>
        <n v="10560040"/>
        <n v="10570001"/>
        <n v="10570003"/>
        <n v="10570007"/>
        <n v="10570008"/>
        <n v="10570009"/>
        <n v="10570010"/>
        <n v="10570013"/>
        <n v="10570017"/>
        <n v="10570018"/>
        <n v="10570019"/>
        <n v="10570020"/>
        <n v="10570021"/>
        <n v="10570022"/>
        <n v="10570024"/>
        <n v="10570025"/>
        <n v="10570028"/>
        <n v="10570029"/>
        <n v="10570030"/>
        <n v="10570031"/>
        <n v="10570032"/>
        <n v="10570036"/>
        <n v="10570037"/>
        <n v="10570038"/>
        <n v="10570042"/>
        <n v="10570044"/>
        <n v="10570045"/>
        <n v="10570046"/>
        <n v="10570047"/>
        <n v="10570049"/>
        <n v="10570051"/>
        <n v="10570053"/>
        <n v="10570055"/>
        <n v="10570058"/>
        <n v="10570059"/>
        <n v="10570060"/>
        <n v="10570062"/>
        <n v="10570065"/>
        <n v="10570066"/>
        <n v="10570067"/>
        <n v="10570068"/>
        <n v="10570069"/>
        <n v="10570070"/>
        <n v="10570071"/>
        <n v="10580001"/>
        <n v="10580002"/>
        <n v="10580004"/>
        <n v="10580005"/>
        <n v="10580010"/>
        <n v="10580012"/>
        <n v="10580013"/>
        <n v="10580015"/>
        <n v="10580017"/>
        <n v="10580018"/>
        <n v="10580022"/>
        <n v="10580023"/>
        <n v="10580024"/>
        <n v="10580025"/>
        <n v="10580026"/>
        <n v="10580027"/>
        <n v="10580028"/>
        <n v="10580029"/>
        <n v="10580030"/>
        <n v="10590001"/>
        <n v="10590002"/>
        <n v="10590004"/>
        <n v="10590006"/>
        <n v="10590008"/>
        <n v="10590010"/>
        <n v="10590011"/>
        <n v="10590012"/>
        <n v="10590013"/>
        <n v="10590014"/>
        <n v="10590016"/>
        <n v="10600002"/>
        <n v="10600004"/>
        <n v="10600005"/>
        <n v="10600006"/>
        <n v="10600008"/>
        <n v="10600009"/>
        <n v="10600012"/>
        <n v="10610001"/>
        <n v="10610002"/>
        <n v="10610003"/>
        <n v="10610004"/>
        <n v="10610005"/>
        <n v="10610006"/>
        <n v="10610008"/>
        <n v="10610009"/>
        <n v="10610010"/>
        <n v="10610011"/>
        <n v="10610013"/>
        <n v="10610017"/>
        <n v="10610018"/>
        <n v="10610019"/>
        <n v="10610020"/>
        <n v="10610022"/>
        <n v="10610024"/>
        <n v="10610025"/>
        <n v="10610026"/>
        <n v="10610027"/>
        <n v="10610028"/>
        <n v="10610035"/>
        <n v="10610036"/>
        <n v="10610038"/>
        <n v="10610041"/>
        <n v="10610045"/>
        <n v="10610046"/>
        <n v="10610048"/>
        <n v="10610050"/>
        <n v="10610051"/>
        <n v="10610052"/>
        <n v="10610054"/>
        <n v="10610055"/>
        <n v="10610056"/>
        <n v="10610059"/>
        <n v="10610060"/>
        <n v="10610064"/>
        <n v="10630002"/>
        <n v="10630003"/>
        <n v="10630004"/>
        <n v="10630008"/>
        <n v="10630009"/>
        <n v="10630010"/>
        <n v="10630011"/>
        <n v="10630012"/>
        <n v="10630014"/>
        <n v="10630016"/>
        <n v="10630017"/>
        <n v="10630018"/>
        <n v="10630019"/>
        <n v="10630022"/>
        <n v="10630025"/>
        <n v="10630026"/>
        <n v="10630028"/>
        <n v="10630030"/>
        <n v="10630032"/>
        <n v="10630034"/>
        <n v="10630035"/>
        <n v="10630036"/>
        <n v="10630037"/>
        <n v="10640001"/>
        <n v="10640003"/>
        <n v="10640005"/>
        <n v="10640006"/>
        <n v="10640007"/>
        <n v="10640008"/>
        <n v="10640009"/>
        <n v="10640010"/>
        <n v="10640011"/>
        <n v="10650001"/>
        <n v="10650003"/>
        <n v="10650004"/>
        <n v="10650008"/>
        <n v="10650011"/>
        <n v="10650013"/>
        <n v="10650015"/>
        <n v="10650016"/>
        <n v="10650018"/>
        <n v="10660001"/>
        <n v="10660002"/>
        <n v="10660004"/>
        <n v="10660005"/>
        <n v="10660006"/>
        <n v="10660007"/>
        <n v="10660010"/>
        <n v="10660011"/>
        <n v="10660012"/>
        <n v="10660013"/>
        <n v="10660015"/>
        <n v="10660016"/>
        <n v="10660017"/>
        <n v="10660019"/>
        <n v="10660021"/>
        <n v="10660023"/>
        <n v="10660024"/>
        <n v="10660028"/>
        <n v="10660032"/>
        <n v="10010049"/>
        <n v="10010079"/>
        <n v="10020056"/>
        <n v="10030030"/>
        <n v="10030042"/>
        <n v="10030047"/>
        <n v="10030048"/>
        <n v="10060045"/>
        <n v="10060097"/>
        <n v="10060135"/>
        <n v="10070036"/>
        <n v="10080082"/>
        <n v="10100059"/>
        <n v="10110112"/>
        <n v="10110179"/>
        <n v="10130090"/>
        <n v="10130111"/>
        <n v="10140117"/>
        <n v="10200001"/>
        <n v="10530019"/>
        <n v="10530054"/>
        <n v="10530104"/>
        <n v="10530117"/>
        <n v="10540007"/>
        <n v="10610031"/>
        <n v="10610032"/>
        <n v="10610034"/>
        <n v="10610047"/>
        <n v="10610071"/>
        <n v="10610072"/>
        <n v="10610073"/>
        <n v="10610074"/>
        <n v="10630023"/>
        <n v="10630024"/>
        <n v="10630033"/>
        <n v="10630038"/>
        <n v="10630039"/>
        <n v="10630040"/>
        <n v="10630041"/>
        <n v="10630042"/>
        <n v="10630043"/>
        <n v="10650014"/>
        <n v="10660022"/>
        <n v="10660026"/>
        <n v="10660027"/>
        <n v="10660029"/>
        <n v="10020018"/>
        <n v="10060052"/>
        <n v="10100047"/>
        <n v="10100058"/>
        <n v="10100066"/>
        <n v="10110148"/>
        <n v="10130103"/>
        <n v="10140058"/>
        <n v="10540036"/>
        <n v="10600001"/>
        <n v="10610039"/>
        <n v="10610076"/>
        <n v="10610077"/>
        <n v="10660014"/>
        <n v="10660025"/>
        <n v="10660030"/>
        <n v="10660034"/>
        <n v="10660038"/>
        <n v="10010051"/>
        <n v="10010151"/>
        <n v="10060081"/>
        <n v="10060117"/>
        <n v="10060138"/>
        <n v="10070072"/>
        <n v="10070080"/>
        <n v="10080089"/>
        <n v="10090026"/>
        <n v="10110036"/>
        <n v="10540060"/>
        <n v="10550012"/>
        <n v="10560041"/>
        <n v="10560042"/>
        <n v="10560043"/>
        <n v="10560044"/>
        <n v="10570023"/>
        <n v="10570073"/>
        <n v="10570074"/>
        <n v="10580036"/>
        <n v="10590007"/>
        <n v="10590009"/>
        <n v="10610075"/>
        <n v="10650029"/>
        <n v="10660037"/>
        <n v="10010017" u="1"/>
        <n v="10010066" u="1"/>
        <n v="10010116" u="1"/>
        <n v="10020012" u="1"/>
        <n v="10020014" u="1"/>
        <n v="10030008" u="1"/>
        <n v="10030049" u="1"/>
        <n v="10030079" u="1"/>
        <n v="10030081" u="1"/>
        <n v="10030086" u="1"/>
        <n v="10060109" u="1"/>
        <n v="10070065" u="1"/>
        <n v="10070076" u="1"/>
        <n v="10080043" u="1"/>
        <n v="10080062" u="1"/>
        <n v="10080098" u="1"/>
        <n v="10080103" u="1"/>
        <n v="10080117" u="1"/>
        <n v="10090052" u="1"/>
        <n v="10100015" u="1"/>
        <n v="10100061" u="1"/>
        <n v="10100073" u="1"/>
        <n v="10110097" u="1"/>
        <n v="10110105" u="1"/>
        <n v="10110186" u="1"/>
        <n v="10120110" u="1"/>
        <n v="10130116" u="1"/>
        <n v="10140141" u="1"/>
        <n v="10140152" u="1"/>
        <n v="10140171" u="1"/>
        <n v="10140190" u="1"/>
        <n v="10140193" u="1"/>
        <n v="10140205" u="1"/>
        <n v="10480012" u="1"/>
        <n v="10480016" u="1"/>
        <n v="10480036" u="1"/>
        <n v="10520007" u="1"/>
        <n v="10530013" u="1"/>
        <n v="10530041" u="1"/>
        <n v="10530068" u="1"/>
        <n v="10530073" u="1"/>
        <n v="10530105" u="1"/>
        <n v="10530115" u="1"/>
        <n v="10540015" u="1"/>
        <n v="10550004" u="1"/>
        <n v="10560020" u="1"/>
        <n v="10560029" u="1"/>
        <n v="10570016" u="1"/>
        <n v="10570026" u="1"/>
        <n v="10570033" u="1"/>
        <n v="10570057" u="1"/>
        <n v="10580007" u="1"/>
        <n v="10580008" u="1"/>
        <n v="10590015" u="1"/>
        <n v="10610007" u="1"/>
        <n v="10610014" u="1"/>
        <n v="10610021" u="1"/>
        <n v="10630007" u="1"/>
        <n v="10630013" u="1"/>
        <n v="10630015" u="1"/>
        <n v="10640004" u="1"/>
        <n v="10660018" u="1"/>
        <n v="10060040" u="1"/>
        <n v="10130051" u="1"/>
        <n v="10570011" u="1"/>
        <n v="10580014" u="1"/>
        <n v="10650020" u="1"/>
        <n v="10650024" u="1"/>
        <n v="10010123" u="1"/>
        <n v="10480018" u="1"/>
        <n v="10630021" u="1"/>
        <n v="10660031" u="1"/>
        <n v="10530023" u="1"/>
        <n v="10120085" u="1"/>
        <n v="10130014" u="1"/>
        <n v="10610030" u="1"/>
      </sharedItems>
    </cacheField>
    <cacheField name="MPG NAME " numFmtId="0">
      <sharedItems/>
    </cacheField>
    <cacheField name="Type" numFmtId="0">
      <sharedItems/>
    </cacheField>
    <cacheField name="Farmer Payment" numFmtId="0">
      <sharedItems/>
    </cacheField>
    <cacheField name="BMC Volume" numFmtId="1">
      <sharedItems containsSemiMixedTypes="0" containsString="0" containsNumber="1" minValue="3" maxValue="33485.199999999997"/>
    </cacheField>
    <cacheField name="BMC Amount" numFmtId="1">
      <sharedItems containsSemiMixedTypes="0" containsString="0" containsNumber="1" minValue="81.900000000000006" maxValue="1290856.3499999999"/>
    </cacheField>
    <cacheField name="Vol" numFmtId="165">
      <sharedItems containsSemiMixedTypes="0" containsString="0" containsNumber="1" minValue="0" maxValue="5927.4799999999987"/>
    </cacheField>
    <cacheField name="Amt" numFmtId="165">
      <sharedItems containsSemiMixedTypes="0" containsString="0" containsNumber="1" minValue="0" maxValue="228550.2600000001"/>
    </cacheField>
    <cacheField name="Vol2" numFmtId="165">
      <sharedItems containsSemiMixedTypes="0" containsString="0" containsNumber="1" minValue="0" maxValue="6383.8600000000006"/>
    </cacheField>
    <cacheField name="Amt2" numFmtId="165">
      <sharedItems containsSemiMixedTypes="0" containsString="0" containsNumber="1" minValue="0" maxValue="260344.4"/>
    </cacheField>
    <cacheField name="Vol3" numFmtId="165">
      <sharedItems containsSemiMixedTypes="0" containsString="0" containsNumber="1" minValue="0" maxValue="7566.3600000000006"/>
    </cacheField>
    <cacheField name="Amt3" numFmtId="165">
      <sharedItems containsSemiMixedTypes="0" containsString="0" containsNumber="1" minValue="0" maxValue="310004.11"/>
    </cacheField>
    <cacheField name="Payable" numFmtId="165">
      <sharedItems containsSemiMixedTypes="0" containsString="0" containsNumber="1" minValue="0" maxValue="1290856.3499999999"/>
    </cacheField>
    <cacheField name="Other Ded" numFmtId="165">
      <sharedItems containsSemiMixedTypes="0" containsString="0" containsNumber="1" containsInteger="1" minValue="0" maxValue="100000"/>
    </cacheField>
    <cacheField name="Sample Am" numFmtId="165">
      <sharedItems containsSemiMixedTypes="0" containsString="0" containsNumber="1" minValue="0" maxValue="9078.2999999999993"/>
    </cacheField>
    <cacheField name="Loss Apportion" numFmtId="165">
      <sharedItems containsSemiMixedTypes="0" containsString="0" containsNumber="1" minValue="0" maxValue="109719.26999999999"/>
    </cacheField>
    <cacheField name="CF/Vet Ded" numFmtId="165">
      <sharedItems containsSemiMixedTypes="0" containsString="0" containsNumber="1" minValue="0" maxValue="310838"/>
    </cacheField>
    <cacheField name="Advance" numFmtId="165">
      <sharedItems containsSemiMixedTypes="0" containsString="0" containsNumber="1" containsInteger="1" minValue="0" maxValue="500"/>
    </cacheField>
    <cacheField name="Others" numFmtId="165">
      <sharedItems containsSemiMixedTypes="0" containsString="0" containsNumber="1" containsInteger="1" minValue="0" maxValue="0"/>
    </cacheField>
    <cacheField name="Payment to Farmer A/c" numFmtId="165">
      <sharedItems containsSemiMixedTypes="0" containsString="0" containsNumber="1" containsInteger="1" minValue="0" maxValue="227193"/>
    </cacheField>
    <cacheField name="Unreg. Farmer payment" numFmtId="165">
      <sharedItems containsSemiMixedTypes="0" containsString="0" containsNumber="1" containsInteger="1" minValue="0" maxValue="242398"/>
    </cacheField>
    <cacheField name="Payment to MPGs A/c" numFmtId="165">
      <sharedItems containsSemiMixedTypes="0" containsString="0" containsNumber="1" minValue="-0.44000000000050932" maxValue="1290856.3499999999"/>
    </cacheField>
    <cacheField name="Closing Reserve" numFmtId="165">
      <sharedItems containsSemiMixedTypes="0" containsString="0" containsNumber="1" containsInteger="1" minValue="-2877" maxValue="66838"/>
    </cacheField>
    <cacheField name="Stop Payment" numFmtId="165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6">
  <r>
    <n v="35979.945321720821"/>
    <n v="7108.3907181823997"/>
    <n v="43088.336039903224"/>
    <x v="0"/>
    <x v="0"/>
    <n v="0"/>
    <s v="MPG"/>
    <s v="Direct"/>
    <n v="1008"/>
    <x v="0"/>
    <s v="Old"/>
    <d v="2023-03-22T00:00:00"/>
    <n v="683.85"/>
    <n v="28402.019999999997"/>
    <n v="512.88750000000005"/>
    <n v="649.65750000000003"/>
    <n v="278.52262585200003"/>
    <n v="852.06059999999991"/>
    <n v="202.40309999999988"/>
    <n v="68.385000000000005"/>
    <n v="1372.9472979229306"/>
    <n v="0"/>
    <n v="0"/>
    <n v="0"/>
    <n v="0"/>
    <n v="0"/>
    <n v="0"/>
    <n v="0"/>
    <n v="0"/>
    <n v="0"/>
    <s v="Release"/>
  </r>
  <r>
    <n v="38808.357159770705"/>
    <n v="12800"/>
    <n v="51608.357159770705"/>
    <x v="1"/>
    <x v="1"/>
    <n v="0"/>
    <s v="MPG"/>
    <s v="Direct"/>
    <n v="1001"/>
    <x v="1"/>
    <s v="Old"/>
    <d v="2023-03-28T00:00:00"/>
    <n v="1626.5"/>
    <n v="62325.84"/>
    <n v="1219.875"/>
    <n v="1545.175"/>
    <n v="657.45982335200006"/>
    <n v="1869.7751999999998"/>
    <n v="324.60019999999986"/>
    <n v="162.65"/>
    <n v="900.84496329739511"/>
    <n v="2359"/>
    <n v="1861"/>
    <n v="0"/>
    <n v="0"/>
    <n v="0"/>
    <n v="0"/>
    <n v="498"/>
    <n v="0"/>
    <n v="498"/>
    <s v="Release"/>
  </r>
  <r>
    <n v="73338"/>
    <n v="6400"/>
    <n v="79738"/>
    <x v="2"/>
    <x v="2"/>
    <n v="0"/>
    <s v="MPG"/>
    <s v="Direct"/>
    <n v="1008"/>
    <x v="0"/>
    <s v="Old"/>
    <d v="2023-03-31T00:00:00"/>
    <n v="120.8"/>
    <n v="4390.2400000000007"/>
    <n v="90.6"/>
    <n v="114.75999999999999"/>
    <n v="0"/>
    <n v="131.70720000000003"/>
    <n v="16.947200000000038"/>
    <n v="12.08"/>
    <n v="193.33275128227001"/>
    <n v="0"/>
    <n v="0"/>
    <n v="0"/>
    <n v="0"/>
    <n v="0"/>
    <n v="0"/>
    <n v="0"/>
    <n v="0"/>
    <n v="0"/>
    <s v="Release"/>
  </r>
  <r>
    <n v="47991.541976223918"/>
    <n v="6400"/>
    <n v="54391.541976223918"/>
    <x v="3"/>
    <x v="3"/>
    <n v="0"/>
    <s v="MPG"/>
    <s v="Direct"/>
    <n v="1001"/>
    <x v="1"/>
    <s v="Old"/>
    <d v="2023-04-24T00:00:00"/>
    <n v="2390.6000000000004"/>
    <n v="98204.05"/>
    <n v="1792.9500000000003"/>
    <n v="2271.0700000000002"/>
    <n v="891.933669452"/>
    <n v="2946.1215000000002"/>
    <n v="675.05150000000003"/>
    <n v="239.06000000000006"/>
    <n v="337.06485678696595"/>
    <n v="4380"/>
    <n v="1964.0810000000001"/>
    <n v="0"/>
    <n v="0"/>
    <n v="0"/>
    <n v="0"/>
    <n v="2416"/>
    <n v="0"/>
    <n v="2416"/>
    <s v="Release"/>
  </r>
  <r>
    <n v="72931.141548879619"/>
    <n v="0"/>
    <n v="72931.141548879619"/>
    <x v="4"/>
    <x v="4"/>
    <n v="0"/>
    <s v="MPG"/>
    <s v="Direct"/>
    <n v="1001"/>
    <x v="1"/>
    <s v="Old"/>
    <d v="2023-04-27T00:00:00"/>
    <n v="284.20000000000005"/>
    <n v="10810.31"/>
    <n v="213.15000000000003"/>
    <n v="269.99"/>
    <n v="636.62208926500011"/>
    <n v="324.30929999999995"/>
    <n v="54.319299999999942"/>
    <n v="28.420000000000005"/>
    <n v="1091.8376038908709"/>
    <n v="0"/>
    <n v="0"/>
    <n v="0"/>
    <n v="0"/>
    <n v="0"/>
    <n v="0"/>
    <n v="0"/>
    <n v="0"/>
    <n v="0"/>
    <s v="Release"/>
  </r>
  <r>
    <n v="52383.856780316943"/>
    <n v="9568.7121999999999"/>
    <n v="61952.568980316944"/>
    <x v="5"/>
    <x v="5"/>
    <n v="0"/>
    <s v="MPG"/>
    <s v="Direct"/>
    <n v="1001"/>
    <x v="1"/>
    <s v="Old"/>
    <d v="2023-07-21T00:00:00"/>
    <n v="2463.1"/>
    <n v="97491.58"/>
    <n v="1847.3249999999998"/>
    <n v="2339.9449999999997"/>
    <n v="581.65575436800009"/>
    <n v="2924.7473999999997"/>
    <n v="584.80240000000003"/>
    <n v="246.31"/>
    <n v="273.86351168271455"/>
    <n v="4249"/>
    <n v="1949.8316"/>
    <n v="0"/>
    <n v="0"/>
    <n v="0"/>
    <n v="0"/>
    <n v="2299"/>
    <n v="0"/>
    <n v="2299"/>
    <s v="Release"/>
  </r>
  <r>
    <n v="35949.543332678761"/>
    <n v="6250.8527868101683"/>
    <n v="42200.396119488927"/>
    <x v="6"/>
    <x v="6"/>
    <n v="0"/>
    <s v="MPG"/>
    <s v="Direct"/>
    <n v="1001"/>
    <x v="1"/>
    <s v="Old"/>
    <d v="2023-08-23T00:00:00"/>
    <n v="1615.6000000000001"/>
    <n v="63097.35"/>
    <n v="1211.7"/>
    <n v="1534.8200000000002"/>
    <n v="1031.8716616000002"/>
    <n v="1892.9204999999999"/>
    <n v="358.10049999999978"/>
    <n v="161.56000000000003"/>
    <n v="935.98728365411171"/>
    <n v="2681"/>
    <n v="1861"/>
    <n v="0"/>
    <n v="0"/>
    <n v="0"/>
    <n v="0"/>
    <n v="820"/>
    <n v="0"/>
    <n v="820"/>
    <s v="Release"/>
  </r>
  <r>
    <n v="0"/>
    <n v="0"/>
    <n v="0"/>
    <x v="7"/>
    <x v="7"/>
    <n v="0"/>
    <s v="vlc"/>
    <s v="Indirect"/>
    <n v="1001"/>
    <x v="1"/>
    <s v="Old"/>
    <d v="2023-07-14T00:00:00"/>
    <n v="1361.3"/>
    <n v="50596.95"/>
    <n v="1020.9749999999999"/>
    <n v="1293.2349999999999"/>
    <n v="0"/>
    <n v="1517.9084999999998"/>
    <n v="224.67349999999988"/>
    <n v="136.13"/>
    <n v="1096.50151040022"/>
    <n v="1082"/>
    <n v="0"/>
    <n v="0"/>
    <n v="0"/>
    <n v="0"/>
    <n v="0"/>
    <n v="1082"/>
    <n v="0"/>
    <n v="1082"/>
    <s v="Release"/>
  </r>
  <r>
    <n v="60360.313973718847"/>
    <n v="0"/>
    <n v="60360.313973718847"/>
    <x v="8"/>
    <x v="8"/>
    <n v="0"/>
    <s v="vlc"/>
    <s v="Indirect"/>
    <n v="1001"/>
    <x v="1"/>
    <s v="Old"/>
    <d v="2023-06-21T00:00:00"/>
    <n v="3963.5"/>
    <n v="168302.75"/>
    <n v="2972.625"/>
    <n v="3765.3249999999998"/>
    <n v="0"/>
    <n v="5049.0824999999995"/>
    <n v="1283.7574999999997"/>
    <n v="396.35"/>
    <n v="0"/>
    <n v="6342"/>
    <n v="2866.0550000000003"/>
    <n v="0"/>
    <n v="0"/>
    <n v="0"/>
    <n v="0"/>
    <n v="3476"/>
    <n v="0"/>
    <n v="3476"/>
    <s v="Release"/>
  </r>
  <r>
    <n v="47332.435769000571"/>
    <n v="4913.4992000000002"/>
    <n v="52245.934969000569"/>
    <x v="9"/>
    <x v="9"/>
    <n v="0"/>
    <s v="MPG"/>
    <s v="Direct"/>
    <n v="1001"/>
    <x v="1"/>
    <s v="Old"/>
    <d v="2023-10-20T00:00:00"/>
    <n v="3833.9"/>
    <n v="155992.68999999997"/>
    <n v="2875.4250000000002"/>
    <n v="3642.2049999999999"/>
    <n v="1359.9115620000002"/>
    <n v="4679.7806999999993"/>
    <n v="1037.5756999999994"/>
    <n v="383.39000000000004"/>
    <n v="78.880578556087869"/>
    <n v="7415"/>
    <n v="3119.8537999999994"/>
    <n v="0"/>
    <n v="0"/>
    <n v="0"/>
    <n v="0"/>
    <n v="4295"/>
    <n v="0"/>
    <n v="4295"/>
    <s v="Release"/>
  </r>
  <r>
    <n v="84774.427423580782"/>
    <n v="0"/>
    <n v="84774.427423580782"/>
    <x v="10"/>
    <x v="10"/>
    <n v="0"/>
    <s v="MPG"/>
    <s v="Direct"/>
    <n v="1001"/>
    <x v="1"/>
    <s v="Old"/>
    <d v="2023-11-01T00:00:00"/>
    <n v="665.2"/>
    <n v="23363.799999999996"/>
    <n v="498.90000000000003"/>
    <n v="631.94000000000005"/>
    <n v="814.59379060000003"/>
    <n v="700.91399999999987"/>
    <n v="68.973999999999819"/>
    <n v="66.52000000000001"/>
    <n v="1514.697075492847"/>
    <n v="364"/>
    <n v="364"/>
    <n v="0"/>
    <n v="0"/>
    <n v="0"/>
    <n v="0"/>
    <n v="0"/>
    <n v="0"/>
    <n v="0"/>
    <s v="Release"/>
  </r>
  <r>
    <n v="58839.266228902867"/>
    <n v="0"/>
    <n v="58839.266228902867"/>
    <x v="11"/>
    <x v="11"/>
    <n v="0"/>
    <s v="MPG"/>
    <s v="Direct"/>
    <n v="1001"/>
    <x v="1"/>
    <s v="Old"/>
    <d v="2024-01-06T00:00:00"/>
    <n v="3832.0999999999995"/>
    <n v="137789.02999999997"/>
    <n v="2874.0749999999998"/>
    <n v="3640.4949999999994"/>
    <n v="1123.0856944000002"/>
    <n v="4133.6708999999992"/>
    <n v="493.17589999999973"/>
    <n v="383.21"/>
    <n v="113.39818516753348"/>
    <n v="7141"/>
    <n v="2755.7805999999996"/>
    <n v="0"/>
    <n v="0"/>
    <n v="0"/>
    <n v="0"/>
    <n v="4385"/>
    <n v="0"/>
    <n v="4385"/>
    <s v="Release"/>
  </r>
  <r>
    <n v="0"/>
    <n v="0"/>
    <n v="0"/>
    <x v="12"/>
    <x v="12"/>
    <n v="0"/>
    <s v="vlc"/>
    <s v="Indirect"/>
    <n v="1001"/>
    <x v="1"/>
    <s v="Old"/>
    <d v="2023-03-15T00:00:00"/>
    <n v="17878.7"/>
    <n v="642236.96"/>
    <n v="13409.025000000001"/>
    <n v="16984.764999999999"/>
    <n v="0"/>
    <n v="19267.108799999998"/>
    <n v="2282.3437999999987"/>
    <n v="1787.8700000000001"/>
    <n v="0"/>
    <n v="28606"/>
    <n v="0"/>
    <n v="0"/>
    <n v="0"/>
    <n v="0"/>
    <n v="0"/>
    <n v="28606"/>
    <n v="0"/>
    <n v="28606"/>
    <s v="Release"/>
  </r>
  <r>
    <n v="74161.856702087593"/>
    <n v="0"/>
    <n v="74161.856702087593"/>
    <x v="13"/>
    <x v="13"/>
    <n v="0"/>
    <s v="MPG"/>
    <s v="Direct"/>
    <n v="1001"/>
    <x v="1"/>
    <s v="Old"/>
    <d v="2024-02-01T00:00:00"/>
    <n v="157.4"/>
    <n v="5266.420000000001"/>
    <n v="118.05000000000001"/>
    <n v="149.53"/>
    <n v="306.07978839999998"/>
    <n v="157.99260000000001"/>
    <n v="8.462600000000009"/>
    <n v="15.740000000000002"/>
    <n v="557.83927074798567"/>
    <n v="0"/>
    <n v="0"/>
    <n v="0"/>
    <n v="0"/>
    <n v="0"/>
    <n v="0"/>
    <n v="0"/>
    <n v="0"/>
    <n v="0"/>
    <s v="Release"/>
  </r>
  <r>
    <n v="79634.295379739502"/>
    <n v="0"/>
    <n v="79634.295379739502"/>
    <x v="14"/>
    <x v="14"/>
    <n v="0"/>
    <s v="MPG"/>
    <s v="Direct"/>
    <n v="1001"/>
    <x v="1"/>
    <s v="Old"/>
    <d v="2024-02-01T00:00:00"/>
    <n v="674.90000000000009"/>
    <n v="22746.48"/>
    <n v="506.17500000000007"/>
    <n v="641.15500000000009"/>
    <n v="795.87185399999998"/>
    <n v="682.39439999999991"/>
    <n v="41.239399999999819"/>
    <n v="67.490000000000009"/>
    <n v="1475.6481412484834"/>
    <n v="400"/>
    <n v="361"/>
    <n v="0"/>
    <n v="0"/>
    <n v="0"/>
    <n v="0"/>
    <n v="39"/>
    <n v="0"/>
    <n v="39"/>
    <s v="Release"/>
  </r>
  <r>
    <n v="57000.908696898579"/>
    <n v="0"/>
    <n v="57000.908696898579"/>
    <x v="15"/>
    <x v="15"/>
    <n v="0"/>
    <s v="MPG"/>
    <s v="Direct"/>
    <n v="1001"/>
    <x v="1"/>
    <s v="Old"/>
    <d v="2024-06-28T00:00:00"/>
    <n v="5967.5"/>
    <n v="264258.06"/>
    <n v="4475.625"/>
    <n v="5669.125"/>
    <n v="3158.7136863100004"/>
    <n v="7927.7417999999998"/>
    <n v="2258.6167999999998"/>
    <n v="596.75"/>
    <n v="0"/>
    <n v="12707"/>
    <n v="5285.1612000000005"/>
    <n v="0"/>
    <n v="0"/>
    <n v="0"/>
    <n v="0"/>
    <n v="7422"/>
    <n v="0"/>
    <n v="7422"/>
    <s v="Release"/>
  </r>
  <r>
    <n v="49770.910145534741"/>
    <n v="0"/>
    <n v="49770.910145534741"/>
    <x v="16"/>
    <x v="16"/>
    <n v="0"/>
    <s v="MPG"/>
    <s v="Direct"/>
    <n v="1001"/>
    <x v="1"/>
    <s v="Old"/>
    <d v="2024-10-03T00:00:00"/>
    <n v="5132.1000000000004"/>
    <n v="197418.45"/>
    <n v="3849.0750000000003"/>
    <n v="4875.4949999999999"/>
    <n v="785.79682780799999"/>
    <n v="5922.5535"/>
    <n v="1047.0585000000001"/>
    <n v="513.21"/>
    <n v="0"/>
    <n v="8997"/>
    <n v="3948.3690000000001"/>
    <n v="0"/>
    <n v="0"/>
    <n v="0"/>
    <n v="0"/>
    <n v="5049"/>
    <n v="0"/>
    <n v="5049"/>
    <s v="Release"/>
  </r>
  <r>
    <n v="0"/>
    <n v="0"/>
    <n v="0"/>
    <x v="17"/>
    <x v="17"/>
    <n v="0"/>
    <s v="vlc"/>
    <s v="Indirect"/>
    <n v="1001"/>
    <x v="1"/>
    <s v="Old"/>
    <d v="2024-10-02T00:00:00"/>
    <n v="752.7"/>
    <n v="24738.55"/>
    <n v="564.52500000000009"/>
    <n v="715.06500000000005"/>
    <n v="0"/>
    <n v="742.15649999999994"/>
    <n v="27.091499999999883"/>
    <n v="75.27000000000001"/>
    <n v="1204.5053040788926"/>
    <n v="0"/>
    <n v="0"/>
    <n v="0"/>
    <n v="0"/>
    <n v="0"/>
    <n v="0"/>
    <n v="0"/>
    <n v="0"/>
    <n v="0"/>
    <s v="Release"/>
  </r>
  <r>
    <n v="76607"/>
    <n v="0"/>
    <n v="76607"/>
    <x v="18"/>
    <x v="18"/>
    <n v="0"/>
    <s v="MPG"/>
    <s v="Direct"/>
    <n v="1001"/>
    <x v="1"/>
    <s v="Old"/>
    <d v="2024-12-05T00:00:00"/>
    <n v="1201.5"/>
    <n v="54234.93"/>
    <n v="901.125"/>
    <n v="1141.425"/>
    <n v="1341.6188893834301"/>
    <n v="1627.0479"/>
    <n v="485.62290000000007"/>
    <n v="120.15"/>
    <n v="1463.7051062715561"/>
    <n v="1800"/>
    <n v="1800"/>
    <n v="0"/>
    <n v="0"/>
    <n v="0"/>
    <n v="0"/>
    <n v="0"/>
    <n v="0"/>
    <n v="0"/>
    <s v="Release"/>
  </r>
  <r>
    <n v="0"/>
    <n v="0"/>
    <n v="0"/>
    <x v="19"/>
    <x v="19"/>
    <n v="0"/>
    <s v="vlc"/>
    <s v="Indirect"/>
    <n v="1001"/>
    <x v="1"/>
    <s v="Old"/>
    <d v="2024-11-01T00:00:00"/>
    <n v="1588.5"/>
    <n v="54324.729999999996"/>
    <n v="1191.375"/>
    <n v="1509.0749999999998"/>
    <n v="0"/>
    <n v="1629.7418999999998"/>
    <n v="120.66689999999994"/>
    <n v="158.85000000000002"/>
    <n v="851.72340214116639"/>
    <n v="1690"/>
    <n v="0"/>
    <n v="0"/>
    <n v="0"/>
    <n v="0"/>
    <n v="0"/>
    <n v="1690"/>
    <n v="0"/>
    <n v="1690"/>
    <s v="Release"/>
  </r>
  <r>
    <n v="110000"/>
    <n v="0"/>
    <n v="110000"/>
    <x v="20"/>
    <x v="20"/>
    <n v="0"/>
    <s v="MPG"/>
    <s v="Direct"/>
    <n v="1001"/>
    <x v="1"/>
    <s v="Old"/>
    <d v="2024-12-01T00:00:00"/>
    <n v="2486.3000000000002"/>
    <n v="102878.41"/>
    <n v="1864.7250000000001"/>
    <n v="2361.9850000000001"/>
    <n v="1809.3718211359999"/>
    <n v="3086.3523"/>
    <n v="724.36729999999989"/>
    <n v="248.63000000000002"/>
    <n v="288.64545014686399"/>
    <n v="5499"/>
    <n v="2057.5682000000002"/>
    <n v="0"/>
    <n v="0"/>
    <n v="0"/>
    <n v="0"/>
    <n v="3441"/>
    <n v="3441"/>
    <n v="0"/>
    <s v="Yes"/>
  </r>
  <r>
    <n v="0"/>
    <n v="0"/>
    <n v="0"/>
    <x v="21"/>
    <x v="21"/>
    <n v="0"/>
    <s v="vlc"/>
    <s v="Indirect"/>
    <n v="1001"/>
    <x v="1"/>
    <s v="Old"/>
    <d v="2025-02-01T00:00:00"/>
    <n v="757.8"/>
    <n v="23278.750000000004"/>
    <n v="568.34999999999991"/>
    <n v="719.91"/>
    <n v="0"/>
    <n v="698.36250000000007"/>
    <n v="-21.5474999999999"/>
    <n v="75.78"/>
    <n v="1212.5317566361023"/>
    <n v="0"/>
    <n v="0"/>
    <n v="0"/>
    <n v="0"/>
    <n v="0"/>
    <n v="0"/>
    <n v="0"/>
    <n v="0"/>
    <n v="0"/>
    <s v="Release"/>
  </r>
  <r>
    <n v="82111"/>
    <n v="0"/>
    <n v="82111"/>
    <x v="22"/>
    <x v="22"/>
    <n v="0"/>
    <s v="MPG"/>
    <s v="Direct"/>
    <n v="1001"/>
    <x v="1"/>
    <s v="Old"/>
    <d v="2025-02-12T00:00:00"/>
    <n v="372.9"/>
    <n v="15809.880000000001"/>
    <n v="279.67499999999995"/>
    <n v="354.25499999999994"/>
    <n v="96.335300516400011"/>
    <n v="474.29640000000001"/>
    <n v="120.04140000000007"/>
    <n v="37.29"/>
    <n v="693.20313396652159"/>
    <n v="0"/>
    <n v="0"/>
    <n v="0"/>
    <n v="0"/>
    <n v="0"/>
    <n v="0"/>
    <n v="0"/>
    <n v="0"/>
    <n v="0"/>
    <s v="Release"/>
  </r>
  <r>
    <n v="86986"/>
    <n v="0"/>
    <n v="86986"/>
    <x v="23"/>
    <x v="23"/>
    <n v="0"/>
    <s v="MPG"/>
    <s v="Direct"/>
    <n v="1001"/>
    <x v="1"/>
    <s v="Old"/>
    <d v="2025-02-12T00:00:00"/>
    <n v="786.9"/>
    <n v="31743.160000000003"/>
    <n v="590.17499999999995"/>
    <n v="747.55499999999995"/>
    <n v="437.07372171600002"/>
    <n v="952.29480000000012"/>
    <n v="204.73980000000017"/>
    <n v="78.69"/>
    <n v="1636.3091281936886"/>
    <n v="60"/>
    <n v="60"/>
    <n v="0"/>
    <n v="0"/>
    <n v="0"/>
    <n v="0"/>
    <n v="0"/>
    <n v="0"/>
    <n v="0"/>
    <s v="Release"/>
  </r>
  <r>
    <n v="78971.959600000002"/>
    <n v="0"/>
    <n v="78971.959600000002"/>
    <x v="24"/>
    <x v="24"/>
    <n v="0"/>
    <s v="MPG"/>
    <s v="Direct"/>
    <n v="1001"/>
    <x v="1"/>
    <s v="Old"/>
    <d v="2025-02-20T00:00:00"/>
    <n v="1996.1999999999998"/>
    <n v="81708.05"/>
    <n v="1497.1499999999999"/>
    <n v="1896.3899999999996"/>
    <n v="411.48480825600012"/>
    <n v="2451.2415000000001"/>
    <n v="554.85150000000044"/>
    <n v="199.62"/>
    <n v="659.8980776841496"/>
    <n v="2946"/>
    <n v="1861"/>
    <n v="0"/>
    <n v="0"/>
    <n v="0"/>
    <n v="0"/>
    <n v="1085"/>
    <n v="0"/>
    <n v="1085"/>
    <s v="Release"/>
  </r>
  <r>
    <n v="78834"/>
    <n v="0"/>
    <n v="78834"/>
    <x v="25"/>
    <x v="25"/>
    <n v="0"/>
    <s v="MPG"/>
    <s v="Direct"/>
    <n v="1001"/>
    <x v="1"/>
    <s v="Old"/>
    <d v="2025-02-12T00:00:00"/>
    <n v="1523.7000000000003"/>
    <n v="65777.64"/>
    <n v="1142.7750000000001"/>
    <n v="1447.5150000000001"/>
    <n v="1849.6966784240001"/>
    <n v="1973.3291999999999"/>
    <n v="525.8141999999998"/>
    <n v="152.37000000000003"/>
    <n v="1095.2182137718719"/>
    <n v="3192"/>
    <n v="1861"/>
    <n v="0"/>
    <n v="0"/>
    <n v="0"/>
    <n v="0"/>
    <n v="1331"/>
    <n v="0"/>
    <n v="1331"/>
    <s v="Release"/>
  </r>
  <r>
    <n v="82113"/>
    <n v="0"/>
    <n v="82113"/>
    <x v="26"/>
    <x v="26"/>
    <n v="0"/>
    <s v="MPG"/>
    <s v="Direct"/>
    <n v="1001"/>
    <x v="1"/>
    <s v="Old"/>
    <d v="2025-03-20T00:00:00"/>
    <n v="903.00000000000011"/>
    <n v="32448.230000000003"/>
    <n v="677.25000000000011"/>
    <n v="857.85"/>
    <n v="735.51605160000008"/>
    <n v="973.44690000000003"/>
    <n v="115.59690000000001"/>
    <n v="90.300000000000011"/>
    <n v="1378.3487558708432"/>
    <n v="802"/>
    <n v="802"/>
    <n v="0"/>
    <n v="0"/>
    <n v="0"/>
    <n v="0"/>
    <n v="0"/>
    <n v="0"/>
    <n v="0"/>
    <s v="Release"/>
  </r>
  <r>
    <n v="89705"/>
    <n v="0"/>
    <n v="89705"/>
    <x v="27"/>
    <x v="27"/>
    <n v="0"/>
    <s v="MPG"/>
    <s v="Direct"/>
    <n v="1001"/>
    <x v="1"/>
    <s v="Old"/>
    <d v="2025-03-29T00:00:00"/>
    <n v="346.09999999999997"/>
    <n v="12554.079999999998"/>
    <n v="259.57499999999999"/>
    <n v="328.79499999999996"/>
    <n v="436.44532886000007"/>
    <n v="376.62239999999991"/>
    <n v="47.827399999999955"/>
    <n v="34.61"/>
    <n v="989.81986189908275"/>
    <n v="0"/>
    <n v="0"/>
    <n v="0"/>
    <n v="0"/>
    <n v="0"/>
    <n v="0"/>
    <n v="0"/>
    <n v="0"/>
    <n v="0"/>
    <s v="Release"/>
  </r>
  <r>
    <n v="71585.561371239324"/>
    <n v="0"/>
    <n v="71585.561371239324"/>
    <x v="28"/>
    <x v="28"/>
    <n v="0"/>
    <s v="MPG"/>
    <s v="Direct"/>
    <n v="1001"/>
    <x v="1"/>
    <s v="Old"/>
    <d v="2025-03-21T00:00:00"/>
    <n v="3205.3999999999996"/>
    <n v="135912.96000000002"/>
    <n v="2404.0499999999997"/>
    <n v="3045.1299999999997"/>
    <n v="4239.9893236347198"/>
    <n v="4077.3888000000006"/>
    <n v="1032.258800000001"/>
    <n v="320.53999999999996"/>
    <n v="269.82649801084989"/>
    <n v="9099"/>
    <n v="2718.2592000000004"/>
    <n v="0"/>
    <n v="0"/>
    <n v="0"/>
    <n v="0"/>
    <n v="6381"/>
    <n v="0"/>
    <n v="6381"/>
    <s v="Release"/>
  </r>
  <r>
    <n v="93751"/>
    <n v="0"/>
    <n v="93751"/>
    <x v="29"/>
    <x v="29"/>
    <n v="0"/>
    <s v="MPG"/>
    <s v="Direct"/>
    <n v="1001"/>
    <x v="1"/>
    <s v="Old"/>
    <d v="2025-04-30T00:00:00"/>
    <n v="872.9"/>
    <n v="32602.260000000002"/>
    <n v="654.67499999999995"/>
    <n v="829.255"/>
    <n v="331.8709893372"/>
    <n v="978.06780000000003"/>
    <n v="148.81280000000004"/>
    <n v="87.29"/>
    <n v="1452.4723138477912"/>
    <n v="276"/>
    <n v="276"/>
    <n v="0"/>
    <n v="0"/>
    <n v="0"/>
    <n v="0"/>
    <n v="0"/>
    <n v="0"/>
    <n v="0"/>
    <s v="Release"/>
  </r>
  <r>
    <n v="0"/>
    <n v="0"/>
    <n v="0"/>
    <x v="30"/>
    <x v="30"/>
    <n v="0"/>
    <s v="vlc"/>
    <s v="Indirect"/>
    <n v="1001"/>
    <x v="1"/>
    <s v="Old"/>
    <d v="2025-04-30T00:00:00"/>
    <n v="1037.8"/>
    <n v="33051.300000000003"/>
    <n v="778.34999999999991"/>
    <n v="985.90999999999985"/>
    <n v="0"/>
    <n v="991.5390000000001"/>
    <n v="5.6290000000002465"/>
    <n v="103.78"/>
    <n v="1131.9871308016222"/>
    <n v="528"/>
    <n v="0"/>
    <n v="0"/>
    <n v="0"/>
    <n v="0"/>
    <n v="0"/>
    <n v="528"/>
    <n v="0"/>
    <n v="528"/>
    <s v="Release"/>
  </r>
  <r>
    <n v="0"/>
    <n v="0"/>
    <n v="0"/>
    <x v="31"/>
    <x v="31"/>
    <n v="0"/>
    <s v="vlc"/>
    <s v="Indirect"/>
    <n v="1001"/>
    <x v="1"/>
    <s v="Old"/>
    <d v="2025-05-17T00:00:00"/>
    <n v="609.79999999999995"/>
    <n v="23398.939999999995"/>
    <n v="457.34999999999997"/>
    <n v="579.30999999999995"/>
    <n v="0"/>
    <n v="701.9681999999998"/>
    <n v="122.65819999999985"/>
    <n v="60.98"/>
    <n v="975.30615781170513"/>
    <n v="0"/>
    <n v="0"/>
    <n v="0"/>
    <n v="0"/>
    <n v="0"/>
    <n v="0"/>
    <n v="0"/>
    <n v="0"/>
    <n v="0"/>
    <s v="Release"/>
  </r>
  <r>
    <n v="110000"/>
    <n v="0"/>
    <n v="110000"/>
    <x v="32"/>
    <x v="32"/>
    <n v="0"/>
    <s v="MPG"/>
    <s v="Direct"/>
    <n v="1001"/>
    <x v="1"/>
    <s v="Old"/>
    <d v="2025-06-02T00:00:00"/>
    <n v="2495.7000000000003"/>
    <n v="94543.33"/>
    <n v="1871.7750000000001"/>
    <n v="2370.915"/>
    <n v="1371.0064221600999"/>
    <n v="2836.2999"/>
    <n v="465.38490000000002"/>
    <n v="249.57000000000005"/>
    <n v="232.74185838706535"/>
    <n v="5131"/>
    <n v="1890.8666000000001"/>
    <n v="0"/>
    <n v="0"/>
    <n v="0"/>
    <n v="0"/>
    <n v="3240"/>
    <n v="3240"/>
    <n v="0"/>
    <s v="Yes"/>
  </r>
  <r>
    <n v="0"/>
    <n v="0"/>
    <n v="0"/>
    <x v="33"/>
    <x v="33"/>
    <n v="0"/>
    <s v="vlc"/>
    <s v="Indirect"/>
    <n v="1001"/>
    <x v="1"/>
    <s v="Old"/>
    <d v="2025-07-02T00:00:00"/>
    <n v="2145.4"/>
    <n v="84930.569999999992"/>
    <n v="1609.0500000000002"/>
    <n v="2038.1299999999999"/>
    <n v="0"/>
    <n v="2547.9170999999997"/>
    <n v="509.78709999999978"/>
    <n v="214.54000000000002"/>
    <n v="518.19617757921139"/>
    <n v="2914"/>
    <n v="0"/>
    <n v="0"/>
    <n v="0"/>
    <n v="0"/>
    <n v="0"/>
    <n v="2914"/>
    <n v="0"/>
    <n v="2914"/>
    <s v="Release"/>
  </r>
  <r>
    <n v="0"/>
    <n v="0"/>
    <n v="0"/>
    <x v="34"/>
    <x v="34"/>
    <n v="0"/>
    <s v="vlc"/>
    <s v="Indirect"/>
    <n v="1001"/>
    <x v="1"/>
    <s v="Old"/>
    <d v="2025-07-03T00:00:00"/>
    <n v="530.4"/>
    <n v="18997.7"/>
    <n v="397.79999999999995"/>
    <n v="503.87999999999994"/>
    <n v="0"/>
    <n v="569.93100000000004"/>
    <n v="66.051000000000101"/>
    <n v="53.04"/>
    <n v="627.2056913343099"/>
    <n v="221"/>
    <n v="0"/>
    <n v="0"/>
    <n v="0"/>
    <n v="0"/>
    <n v="0"/>
    <n v="221"/>
    <n v="221"/>
    <n v="0"/>
    <s v="Yes"/>
  </r>
  <r>
    <n v="110000"/>
    <n v="0"/>
    <n v="110000"/>
    <x v="35"/>
    <x v="35"/>
    <n v="0"/>
    <s v="MPG"/>
    <s v="Direct"/>
    <n v="1001"/>
    <x v="1"/>
    <s v="Old"/>
    <d v="2025-07-04T00:00:00"/>
    <n v="3094.9999999999995"/>
    <n v="121914.60999999999"/>
    <n v="2321.2499999999995"/>
    <n v="2940.2499999999995"/>
    <n v="1466.7325534439881"/>
    <n v="3657.4382999999993"/>
    <n v="717.1882999999998"/>
    <n v="309.5"/>
    <n v="92.39142187660228"/>
    <n v="6326"/>
    <n v="2438.2921999999999"/>
    <n v="0"/>
    <n v="0"/>
    <n v="0"/>
    <n v="0"/>
    <n v="3888"/>
    <n v="3888"/>
    <n v="0"/>
    <s v="Yes"/>
  </r>
  <r>
    <n v="0"/>
    <n v="0"/>
    <n v="0"/>
    <x v="36"/>
    <x v="36"/>
    <n v="0"/>
    <s v="vlc"/>
    <s v="Indirect"/>
    <n v="1001"/>
    <x v="1"/>
    <s v="Old"/>
    <d v="2025-07-18T00:00:00"/>
    <n v="77.2"/>
    <n v="3027.01"/>
    <n v="57.900000000000006"/>
    <n v="73.34"/>
    <n v="0"/>
    <n v="90.810299999999998"/>
    <n v="17.470299999999995"/>
    <n v="7.7200000000000006"/>
    <n v="123.39943730569956"/>
    <n v="0"/>
    <n v="0"/>
    <n v="0"/>
    <n v="0"/>
    <n v="0"/>
    <n v="0"/>
    <n v="0"/>
    <n v="0"/>
    <n v="0"/>
    <s v="Release"/>
  </r>
  <r>
    <n v="0"/>
    <n v="0"/>
    <n v="0"/>
    <x v="37"/>
    <x v="37"/>
    <n v="0"/>
    <s v="vlc"/>
    <s v="Indirect"/>
    <n v="1001"/>
    <x v="1"/>
    <s v="Old"/>
    <d v="2025-07-31T00:00:00"/>
    <n v="1455.3000000000002"/>
    <n v="65398.71"/>
    <n v="1091.4750000000001"/>
    <n v="1382.5350000000001"/>
    <n v="0"/>
    <n v="1961.9612999999999"/>
    <n v="579.42629999999986"/>
    <n v="145.53000000000003"/>
    <n v="1221.0961492538374"/>
    <n v="1107"/>
    <n v="0"/>
    <n v="0"/>
    <n v="0"/>
    <n v="0"/>
    <n v="0"/>
    <n v="1107"/>
    <n v="0"/>
    <n v="1107"/>
    <s v="Release"/>
  </r>
  <r>
    <n v="90000"/>
    <n v="0"/>
    <n v="90000"/>
    <x v="38"/>
    <x v="38"/>
    <n v="0"/>
    <s v="MPG"/>
    <s v="Direct"/>
    <n v="1001"/>
    <x v="1"/>
    <s v="Old"/>
    <d v="2025-07-31T00:00:00"/>
    <n v="3945.7"/>
    <n v="179839.63"/>
    <n v="2959.2749999999996"/>
    <n v="3748.4149999999995"/>
    <n v="471.41129731033999"/>
    <n v="5395.1889000000001"/>
    <n v="1646.7739000000006"/>
    <n v="394.57"/>
    <n v="0"/>
    <n v="6785"/>
    <n v="3596.7926000000002"/>
    <n v="0"/>
    <n v="0"/>
    <n v="0"/>
    <n v="0"/>
    <n v="3188"/>
    <n v="0"/>
    <n v="3188"/>
    <s v="Release"/>
  </r>
  <r>
    <n v="0"/>
    <n v="0"/>
    <n v="0"/>
    <x v="39"/>
    <x v="39"/>
    <n v="0"/>
    <s v="vlc"/>
    <s v="Indirect"/>
    <n v="1001"/>
    <x v="1"/>
    <s v="Old"/>
    <d v="2025-07-31T00:00:00"/>
    <n v="2091.1999999999998"/>
    <n v="86370.9"/>
    <n v="1568.3999999999999"/>
    <n v="1986.6399999999996"/>
    <n v="0"/>
    <n v="2591.127"/>
    <n v="604.48700000000031"/>
    <n v="209.12"/>
    <n v="607.18573819630888"/>
    <n v="2739"/>
    <n v="0"/>
    <n v="0"/>
    <n v="0"/>
    <n v="0"/>
    <n v="0"/>
    <n v="2739"/>
    <n v="0"/>
    <n v="2739"/>
    <s v="Release"/>
  </r>
  <r>
    <n v="0"/>
    <n v="0"/>
    <n v="0"/>
    <x v="40"/>
    <x v="40"/>
    <n v="0"/>
    <s v="vlc"/>
    <s v="Indirect"/>
    <n v="1001"/>
    <x v="1"/>
    <s v="New"/>
    <d v="2025-08-01T00:00:00"/>
    <n v="1429.3000000000002"/>
    <n v="60300.7"/>
    <n v="1071.9750000000001"/>
    <n v="1357.835"/>
    <n v="0"/>
    <n v="1809.021"/>
    <n v="451.18599999999992"/>
    <n v="142.93000000000004"/>
    <n v="0"/>
    <n v="2287"/>
    <n v="0"/>
    <n v="0"/>
    <n v="0"/>
    <n v="0"/>
    <n v="0"/>
    <n v="2287"/>
    <n v="0"/>
    <n v="2287"/>
    <s v="Release"/>
  </r>
  <r>
    <n v="0"/>
    <n v="0"/>
    <n v="0"/>
    <x v="41"/>
    <x v="41"/>
    <n v="0"/>
    <s v="vlc"/>
    <s v="Indirect"/>
    <n v="1001"/>
    <x v="1"/>
    <s v="New"/>
    <d v="2025-08-01T00:00:00"/>
    <n v="2576"/>
    <n v="106516.92"/>
    <n v="1932"/>
    <n v="2447.1999999999998"/>
    <n v="0"/>
    <n v="3195.5075999999999"/>
    <n v="748.30760000000009"/>
    <n v="257.60000000000002"/>
    <n v="0"/>
    <n v="4122"/>
    <n v="0"/>
    <n v="0"/>
    <n v="0"/>
    <n v="0"/>
    <n v="0"/>
    <n v="4122"/>
    <n v="0"/>
    <n v="4122"/>
    <s v="Release"/>
  </r>
  <r>
    <n v="0"/>
    <n v="0"/>
    <n v="0"/>
    <x v="42"/>
    <x v="42"/>
    <n v="0"/>
    <s v="MPG"/>
    <s v="Direct"/>
    <n v="1002"/>
    <x v="2"/>
    <s v="Old"/>
    <d v="2017-09-01T00:00:00"/>
    <n v="6380.2000000000007"/>
    <n v="308508.45"/>
    <n v="4785.1500000000005"/>
    <n v="6061.1900000000005"/>
    <n v="2600.6196670060003"/>
    <n v="9255.2535000000007"/>
    <n v="3194.0635000000002"/>
    <n v="638.0200000000001"/>
    <n v="0"/>
    <n v="12809"/>
    <n v="0"/>
    <n v="0"/>
    <n v="0"/>
    <n v="0"/>
    <n v="850.94"/>
    <n v="11958"/>
    <n v="0"/>
    <n v="11958"/>
    <s v="Release"/>
  </r>
  <r>
    <n v="0"/>
    <n v="0"/>
    <n v="0"/>
    <x v="43"/>
    <x v="43"/>
    <n v="0"/>
    <s v="MPG"/>
    <s v="Direct"/>
    <n v="1002"/>
    <x v="2"/>
    <s v="Old"/>
    <d v="2017-09-01T00:00:00"/>
    <n v="444.1"/>
    <n v="16947.599999999999"/>
    <n v="333.07500000000005"/>
    <n v="421.89499999999998"/>
    <n v="0"/>
    <n v="508.42799999999994"/>
    <n v="86.532999999999959"/>
    <n v="44.410000000000004"/>
    <n v="710.36791135944009"/>
    <n v="0"/>
    <n v="0"/>
    <n v="0"/>
    <n v="0"/>
    <n v="0"/>
    <n v="0"/>
    <n v="0"/>
    <n v="0"/>
    <n v="0"/>
    <s v="Release"/>
  </r>
  <r>
    <n v="0"/>
    <n v="0"/>
    <n v="0"/>
    <x v="44"/>
    <x v="44"/>
    <n v="0"/>
    <s v="vlc"/>
    <s v="Indirect"/>
    <n v="1002"/>
    <x v="2"/>
    <s v="Old"/>
    <d v="2017-09-01T00:00:00"/>
    <n v="613.5"/>
    <n v="22428.73"/>
    <n v="460.125"/>
    <n v="582.82499999999993"/>
    <n v="0"/>
    <n v="672.86189999999999"/>
    <n v="90.03690000000006"/>
    <n v="61.35"/>
    <n v="981.77628850090741"/>
    <n v="0"/>
    <n v="0"/>
    <n v="0"/>
    <n v="0"/>
    <n v="0"/>
    <n v="0"/>
    <n v="0"/>
    <n v="0"/>
    <n v="0"/>
    <s v="Release"/>
  </r>
  <r>
    <n v="0"/>
    <n v="0"/>
    <n v="0"/>
    <x v="45"/>
    <x v="45"/>
    <n v="0"/>
    <s v="vlc"/>
    <s v="Indirect"/>
    <n v="1002"/>
    <x v="2"/>
    <s v="Old"/>
    <d v="2017-09-01T00:00:00"/>
    <n v="1613.7000000000003"/>
    <n v="77677.489999999991"/>
    <n v="1210.2750000000001"/>
    <n v="1533.0150000000001"/>
    <n v="0"/>
    <n v="2330.3246999999997"/>
    <n v="797.30969999999957"/>
    <n v="161.37000000000003"/>
    <n v="1130.0605942140326"/>
    <n v="1452"/>
    <n v="0"/>
    <n v="0"/>
    <n v="0"/>
    <n v="0"/>
    <n v="0"/>
    <n v="1452"/>
    <n v="0"/>
    <n v="1452"/>
    <s v="Release"/>
  </r>
  <r>
    <n v="0"/>
    <n v="0"/>
    <n v="0"/>
    <x v="46"/>
    <x v="46"/>
    <n v="0"/>
    <s v="vlc"/>
    <s v="Indirect"/>
    <n v="1002"/>
    <x v="2"/>
    <s v="Old"/>
    <d v="2020-11-26T00:00:00"/>
    <n v="8857.5999999999985"/>
    <n v="371729.27000000008"/>
    <n v="6643.1999999999989"/>
    <n v="8414.7199999999975"/>
    <n v="0"/>
    <n v="11151.878100000002"/>
    <n v="2737.1581000000042"/>
    <n v="885.75999999999988"/>
    <n v="0"/>
    <n v="14172"/>
    <n v="0"/>
    <n v="0"/>
    <n v="0"/>
    <n v="0"/>
    <n v="0"/>
    <n v="14172"/>
    <n v="0"/>
    <n v="14172"/>
    <s v="Release"/>
  </r>
  <r>
    <n v="0"/>
    <n v="0"/>
    <n v="0"/>
    <x v="47"/>
    <x v="47"/>
    <n v="0"/>
    <s v="vlc"/>
    <s v="Indirect"/>
    <n v="1002"/>
    <x v="2"/>
    <s v="Old"/>
    <d v="2022-04-01T00:00:00"/>
    <n v="21.2"/>
    <n v="816.61"/>
    <n v="15.899999999999999"/>
    <n v="20.139999999999997"/>
    <n v="0"/>
    <n v="24.4983"/>
    <n v="4.3583000000000034"/>
    <n v="2.12"/>
    <n v="33.938554716981116"/>
    <n v="0"/>
    <n v="0"/>
    <n v="0"/>
    <n v="0"/>
    <n v="0"/>
    <n v="0"/>
    <n v="0"/>
    <n v="0"/>
    <n v="0"/>
    <s v="Release"/>
  </r>
  <r>
    <n v="0"/>
    <n v="0"/>
    <n v="0"/>
    <x v="48"/>
    <x v="48"/>
    <n v="0"/>
    <s v="vlc"/>
    <s v="Indirect"/>
    <n v="1002"/>
    <x v="2"/>
    <s v="Old"/>
    <d v="2022-04-01T00:00:00"/>
    <n v="9836.0000000000018"/>
    <n v="386409.23000000004"/>
    <n v="7377.0000000000018"/>
    <n v="9344.2000000000007"/>
    <n v="0"/>
    <n v="11592.276900000001"/>
    <n v="2248.0769"/>
    <n v="983.60000000000025"/>
    <n v="388.16805754320416"/>
    <n v="15349"/>
    <n v="0"/>
    <n v="0"/>
    <n v="0"/>
    <n v="0"/>
    <n v="0"/>
    <n v="15349"/>
    <n v="0"/>
    <n v="15349"/>
    <s v="Release"/>
  </r>
  <r>
    <n v="0"/>
    <n v="0"/>
    <n v="0"/>
    <x v="49"/>
    <x v="49"/>
    <n v="0"/>
    <s v="vlc"/>
    <s v="Indirect"/>
    <n v="1002"/>
    <x v="2"/>
    <s v="Old"/>
    <d v="2022-04-01T00:00:00"/>
    <n v="10467.699999999999"/>
    <n v="411299.94000000006"/>
    <n v="7850.7749999999996"/>
    <n v="9944.3149999999987"/>
    <n v="0"/>
    <n v="12338.998200000002"/>
    <n v="2394.6832000000031"/>
    <n v="1046.77"/>
    <n v="413.42254773969188"/>
    <n v="16335"/>
    <n v="0"/>
    <n v="0"/>
    <n v="0"/>
    <n v="0"/>
    <n v="0"/>
    <n v="16335"/>
    <n v="0"/>
    <n v="16335"/>
    <s v="Release"/>
  </r>
  <r>
    <n v="0"/>
    <n v="0"/>
    <n v="0"/>
    <x v="50"/>
    <x v="50"/>
    <n v="0"/>
    <s v="MPG"/>
    <s v="Direct"/>
    <n v="1002"/>
    <x v="2"/>
    <s v="Old"/>
    <d v="2022-04-01T00:00:00"/>
    <n v="11164.199999999997"/>
    <n v="484683.19"/>
    <n v="8373.1499999999978"/>
    <n v="10605.989999999996"/>
    <n v="6197.9683384000009"/>
    <n v="14540.495699999999"/>
    <n v="3934.5057000000033"/>
    <n v="1116.4199999999998"/>
    <n v="0"/>
    <n v="24061"/>
    <n v="0"/>
    <n v="0"/>
    <n v="0"/>
    <n v="0"/>
    <n v="1302.06"/>
    <n v="22759"/>
    <n v="0"/>
    <n v="22759"/>
    <s v="Release"/>
  </r>
  <r>
    <n v="0"/>
    <n v="0"/>
    <n v="0"/>
    <x v="51"/>
    <x v="51"/>
    <n v="0"/>
    <s v="vlc"/>
    <s v="Indirect"/>
    <n v="1002"/>
    <x v="2"/>
    <s v="Old"/>
    <d v="2021-03-24T00:00:00"/>
    <n v="59.6"/>
    <n v="2277.75"/>
    <n v="44.7"/>
    <n v="56.62"/>
    <n v="0"/>
    <n v="68.332499999999996"/>
    <n v="11.712499999999999"/>
    <n v="5.9600000000000009"/>
    <n v="95.057381735911122"/>
    <n v="0"/>
    <n v="0"/>
    <n v="0"/>
    <n v="0"/>
    <n v="0"/>
    <n v="0"/>
    <n v="0"/>
    <n v="0"/>
    <n v="0"/>
    <s v="Release"/>
  </r>
  <r>
    <n v="0"/>
    <n v="9600"/>
    <n v="9600"/>
    <x v="52"/>
    <x v="52"/>
    <n v="0"/>
    <s v="MPG"/>
    <s v="Direct"/>
    <n v="1002"/>
    <x v="2"/>
    <s v="Old"/>
    <d v="2022-05-13T00:00:00"/>
    <n v="8989.6"/>
    <n v="393941.97000000003"/>
    <n v="6742.2000000000007"/>
    <n v="8540.1200000000008"/>
    <n v="5531.7517926800001"/>
    <n v="11818.259100000001"/>
    <n v="3278.1391000000003"/>
    <n v="898.96"/>
    <n v="0"/>
    <n v="19915"/>
    <n v="0"/>
    <n v="7878.8394000000008"/>
    <n v="0"/>
    <n v="0"/>
    <n v="1302.06"/>
    <n v="10734"/>
    <n v="0"/>
    <n v="10734"/>
    <s v="Release"/>
  </r>
  <r>
    <n v="0"/>
    <n v="0"/>
    <n v="0"/>
    <x v="53"/>
    <x v="53"/>
    <n v="0"/>
    <s v="MPG"/>
    <s v="Direct"/>
    <n v="1002"/>
    <x v="2"/>
    <s v="Old"/>
    <d v="2022-08-06T00:00:00"/>
    <n v="2693.8"/>
    <n v="103582.76000000001"/>
    <n v="2020.3500000000001"/>
    <n v="2559.11"/>
    <n v="895.37085794880011"/>
    <n v="3107.4828000000002"/>
    <n v="548.3728000000001"/>
    <n v="269.38000000000005"/>
    <n v="210.45936532061492"/>
    <n v="4995"/>
    <n v="0"/>
    <n v="0"/>
    <n v="0"/>
    <n v="0"/>
    <n v="697.04"/>
    <n v="4298"/>
    <n v="0"/>
    <n v="4298"/>
    <s v="Release"/>
  </r>
  <r>
    <n v="0"/>
    <n v="6400"/>
    <n v="6400"/>
    <x v="54"/>
    <x v="54"/>
    <n v="0"/>
    <s v="MPG"/>
    <s v="Direct"/>
    <n v="1002"/>
    <x v="2"/>
    <s v="Old"/>
    <d v="2022-08-28T00:00:00"/>
    <n v="8642.2000000000007"/>
    <n v="381749.93"/>
    <n v="6481.6500000000005"/>
    <n v="8210.09"/>
    <n v="0"/>
    <n v="11452.497899999998"/>
    <n v="3242.4078999999983"/>
    <n v="864.22000000000014"/>
    <n v="0"/>
    <n v="13828"/>
    <n v="0"/>
    <n v="6400"/>
    <n v="0"/>
    <n v="0"/>
    <n v="697.04"/>
    <n v="6731"/>
    <n v="0"/>
    <n v="6731"/>
    <s v="Release"/>
  </r>
  <r>
    <n v="0"/>
    <n v="8854.6277756132004"/>
    <n v="8854.6277756132004"/>
    <x v="55"/>
    <x v="55"/>
    <n v="0"/>
    <s v="MPG"/>
    <s v="Direct"/>
    <n v="1002"/>
    <x v="2"/>
    <s v="Old"/>
    <d v="2022-11-01T00:00:00"/>
    <n v="3598.2"/>
    <n v="147863.88"/>
    <n v="2698.6499999999996"/>
    <n v="3418.2899999999995"/>
    <n v="1564.0286338000003"/>
    <n v="4435.9164000000001"/>
    <n v="1017.6264000000006"/>
    <n v="359.82"/>
    <n v="0"/>
    <n v="7321"/>
    <n v="0"/>
    <n v="2957.2776000000003"/>
    <n v="0"/>
    <n v="0"/>
    <n v="850.94"/>
    <n v="3513"/>
    <n v="0"/>
    <n v="3513"/>
    <s v="Release"/>
  </r>
  <r>
    <n v="0"/>
    <n v="0"/>
    <n v="0"/>
    <x v="56"/>
    <x v="56"/>
    <n v="0"/>
    <s v="MPG"/>
    <s v="Direct"/>
    <n v="1002"/>
    <x v="2"/>
    <s v="Old"/>
    <d v="2022-11-01T00:00:00"/>
    <n v="1039.8"/>
    <n v="50562.75"/>
    <n v="779.84999999999991"/>
    <n v="987.81"/>
    <n v="361.46736781679994"/>
    <n v="1516.8824999999999"/>
    <n v="529.07249999999999"/>
    <n v="103.98"/>
    <n v="1711.1903557356954"/>
    <n v="314"/>
    <n v="0"/>
    <n v="0"/>
    <n v="0"/>
    <n v="0"/>
    <n v="314"/>
    <n v="0"/>
    <n v="0"/>
    <n v="0"/>
    <s v="Release"/>
  </r>
  <r>
    <n v="26169.762908353237"/>
    <n v="6691.5034184192"/>
    <n v="32861.266326772435"/>
    <x v="57"/>
    <x v="57"/>
    <n v="0"/>
    <s v="MPG"/>
    <s v="Direct"/>
    <n v="1002"/>
    <x v="2"/>
    <s v="Old"/>
    <d v="2022-11-01T00:00:00"/>
    <n v="423"/>
    <n v="17104.7"/>
    <n v="317.25"/>
    <n v="401.84999999999997"/>
    <n v="0"/>
    <n v="513.14099999999996"/>
    <n v="111.291"/>
    <n v="42.300000000000004"/>
    <n v="676.55347034793886"/>
    <n v="0"/>
    <n v="0"/>
    <n v="0"/>
    <n v="0"/>
    <n v="0"/>
    <n v="0"/>
    <n v="0"/>
    <n v="0"/>
    <n v="0"/>
    <s v="Release"/>
  </r>
  <r>
    <n v="0"/>
    <n v="3200"/>
    <n v="3200"/>
    <x v="58"/>
    <x v="58"/>
    <n v="0"/>
    <s v="MPG"/>
    <s v="Direct"/>
    <n v="1002"/>
    <x v="2"/>
    <s v="Old"/>
    <d v="2022-12-04T00:00:00"/>
    <n v="637.19999999999993"/>
    <n v="25530.719999999998"/>
    <n v="477.9"/>
    <n v="605.33999999999992"/>
    <n v="388.80041298496002"/>
    <n v="765.9215999999999"/>
    <n v="160.58159999999998"/>
    <n v="63.72"/>
    <n v="1408.3868029673968"/>
    <n v="0"/>
    <n v="0"/>
    <n v="0"/>
    <n v="0"/>
    <n v="0"/>
    <n v="0"/>
    <n v="0"/>
    <n v="0"/>
    <n v="0"/>
    <s v="Release"/>
  </r>
  <r>
    <n v="0"/>
    <n v="8372.005000000001"/>
    <n v="8372.005000000001"/>
    <x v="59"/>
    <x v="59"/>
    <n v="0"/>
    <s v="MPG"/>
    <s v="Direct"/>
    <n v="1002"/>
    <x v="2"/>
    <s v="Old"/>
    <d v="2022-12-16T00:00:00"/>
    <n v="3616.8"/>
    <n v="156263.09999999998"/>
    <n v="2712.6000000000004"/>
    <n v="3435.96"/>
    <n v="2243.7205176284683"/>
    <n v="4687.8929999999991"/>
    <n v="1251.9329999999991"/>
    <n v="361.68000000000006"/>
    <n v="71.414602135231291"/>
    <n v="7959"/>
    <n v="0"/>
    <n v="3125.2619999999997"/>
    <n v="0"/>
    <n v="0"/>
    <n v="850.93999999999994"/>
    <n v="3983"/>
    <n v="0"/>
    <n v="3983"/>
    <s v="Release"/>
  </r>
  <r>
    <n v="0"/>
    <n v="0"/>
    <n v="0"/>
    <x v="60"/>
    <x v="60"/>
    <n v="0"/>
    <s v="MPG"/>
    <s v="Direct"/>
    <n v="1002"/>
    <x v="2"/>
    <s v="Old"/>
    <d v="2023-01-18T00:00:00"/>
    <n v="3280.8999999999996"/>
    <n v="151354.61000000002"/>
    <n v="2460.6749999999997"/>
    <n v="3116.8549999999996"/>
    <n v="1597.8086116920001"/>
    <n v="4540.6383000000005"/>
    <n v="1423.783300000001"/>
    <n v="328.09"/>
    <n v="216.48479657928115"/>
    <n v="6631"/>
    <n v="0"/>
    <n v="0"/>
    <n v="0"/>
    <n v="0"/>
    <n v="0"/>
    <n v="6631"/>
    <n v="0"/>
    <n v="6631"/>
    <s v="Release"/>
  </r>
  <r>
    <n v="0"/>
    <n v="0"/>
    <n v="0"/>
    <x v="61"/>
    <x v="61"/>
    <n v="0"/>
    <s v="MPG"/>
    <s v="Direct"/>
    <n v="1002"/>
    <x v="2"/>
    <s v="Old"/>
    <d v="2023-01-24T00:00:00"/>
    <n v="5442.6"/>
    <n v="233920.00000000003"/>
    <n v="4081.9500000000003"/>
    <n v="5170.47"/>
    <n v="3446.0129926762002"/>
    <n v="7017.6"/>
    <n v="1847.13"/>
    <n v="544.2600000000001"/>
    <n v="0"/>
    <n v="12154"/>
    <n v="0"/>
    <n v="0"/>
    <n v="0"/>
    <n v="0"/>
    <n v="850.93999999999994"/>
    <n v="11303"/>
    <n v="0"/>
    <n v="11303"/>
    <s v="Release"/>
  </r>
  <r>
    <n v="0"/>
    <n v="14097.274015576028"/>
    <n v="14097.274015576028"/>
    <x v="62"/>
    <x v="62"/>
    <n v="0"/>
    <s v="MPG"/>
    <s v="Direct"/>
    <n v="1002"/>
    <x v="2"/>
    <s v="Old"/>
    <d v="2023-02-10T00:00:00"/>
    <n v="452.80000000000007"/>
    <n v="17261.010000000002"/>
    <n v="339.6"/>
    <n v="430.16"/>
    <n v="181.91410013719999"/>
    <n v="517.83030000000008"/>
    <n v="87.670300000000054"/>
    <n v="45.280000000000008"/>
    <n v="906.71309807069383"/>
    <n v="0"/>
    <n v="0"/>
    <n v="0"/>
    <n v="0"/>
    <n v="0"/>
    <n v="0"/>
    <n v="0"/>
    <n v="0"/>
    <n v="0"/>
    <s v="Release"/>
  </r>
  <r>
    <n v="20132.353200000012"/>
    <n v="0"/>
    <n v="20132.353200000012"/>
    <x v="63"/>
    <x v="63"/>
    <n v="0"/>
    <s v="MPG"/>
    <s v="Direct"/>
    <n v="1002"/>
    <x v="2"/>
    <s v="Old"/>
    <d v="2023-02-10T00:00:00"/>
    <n v="613"/>
    <n v="24341.050000000003"/>
    <n v="459.75"/>
    <n v="582.35"/>
    <n v="455.59724842920002"/>
    <n v="730.2315000000001"/>
    <n v="147.88150000000007"/>
    <n v="61.300000000000004"/>
    <n v="1436.2283816533159"/>
    <n v="0"/>
    <n v="0"/>
    <n v="0"/>
    <n v="0"/>
    <n v="0"/>
    <n v="0"/>
    <n v="0"/>
    <n v="0"/>
    <n v="0"/>
    <s v="Release"/>
  </r>
  <r>
    <n v="10724.248016687619"/>
    <n v="6400"/>
    <n v="17124.248016687619"/>
    <x v="64"/>
    <x v="64"/>
    <n v="0"/>
    <s v="MPG"/>
    <s v="Direct"/>
    <n v="1002"/>
    <x v="2"/>
    <s v="Old"/>
    <d v="2023-03-01T00:00:00"/>
    <n v="810.59999999999991"/>
    <n v="36478.159999999996"/>
    <n v="607.94999999999993"/>
    <n v="770.06999999999982"/>
    <n v="127.03"/>
    <n v="1094.3447999999999"/>
    <n v="324.27480000000003"/>
    <n v="81.06"/>
    <n v="1424.1367472403806"/>
    <n v="0"/>
    <n v="0"/>
    <n v="0"/>
    <n v="0"/>
    <n v="0"/>
    <n v="0"/>
    <n v="0"/>
    <n v="0"/>
    <n v="0"/>
    <s v="Release"/>
  </r>
  <r>
    <n v="17825.157075014853"/>
    <n v="8907"/>
    <n v="26732.157075014853"/>
    <x v="65"/>
    <x v="65"/>
    <n v="0"/>
    <s v="MPG"/>
    <s v="Direct"/>
    <n v="1002"/>
    <x v="2"/>
    <s v="Old"/>
    <d v="2023-03-24T00:00:00"/>
    <n v="635.4"/>
    <n v="29752.29"/>
    <n v="476.54999999999995"/>
    <n v="603.63"/>
    <n v="0"/>
    <n v="892.56870000000004"/>
    <n v="288.93870000000004"/>
    <n v="63.54"/>
    <n v="1016.9058964557803"/>
    <n v="0"/>
    <n v="0"/>
    <n v="0"/>
    <n v="0"/>
    <n v="0"/>
    <n v="0"/>
    <n v="0"/>
    <n v="0"/>
    <n v="0"/>
    <s v="Release"/>
  </r>
  <r>
    <n v="0"/>
    <n v="0"/>
    <n v="0"/>
    <x v="66"/>
    <x v="66"/>
    <n v="0"/>
    <s v="MPG"/>
    <s v="Direct"/>
    <n v="1002"/>
    <x v="2"/>
    <s v="Old"/>
    <d v="2023-03-27T00:00:00"/>
    <n v="2586.3999999999996"/>
    <n v="123548.75"/>
    <n v="1939.7999999999997"/>
    <n v="2457.0799999999995"/>
    <n v="1319.8847989912101"/>
    <n v="3706.4624999999996"/>
    <n v="1249.3825000000002"/>
    <n v="258.64"/>
    <n v="404.37739904189436"/>
    <n v="5054"/>
    <n v="0"/>
    <n v="0"/>
    <n v="0"/>
    <n v="0"/>
    <n v="850.93999999999994"/>
    <n v="4203"/>
    <n v="0"/>
    <n v="4203"/>
    <s v="Release"/>
  </r>
  <r>
    <n v="0"/>
    <n v="3199.9208319704412"/>
    <n v="3199.9208319704412"/>
    <x v="67"/>
    <x v="67"/>
    <n v="0"/>
    <s v="MPG"/>
    <s v="Direct"/>
    <n v="1002"/>
    <x v="2"/>
    <s v="Old"/>
    <d v="2023-05-18T00:00:00"/>
    <n v="3228.9"/>
    <n v="163699.27000000002"/>
    <n v="2421.6750000000002"/>
    <n v="3067.4549999999999"/>
    <n v="1457.4285611849102"/>
    <n v="4910.9781000000003"/>
    <n v="1843.5231000000003"/>
    <n v="322.89000000000004"/>
    <n v="0"/>
    <n v="6624"/>
    <n v="0"/>
    <n v="3199.9208319704412"/>
    <n v="0"/>
    <n v="0"/>
    <n v="799.64"/>
    <n v="2624"/>
    <n v="0"/>
    <n v="2624"/>
    <s v="Release"/>
  </r>
  <r>
    <n v="0"/>
    <n v="0"/>
    <n v="0"/>
    <x v="68"/>
    <x v="68"/>
    <n v="0"/>
    <s v="vlc"/>
    <s v="Indirect"/>
    <n v="1002"/>
    <x v="2"/>
    <s v="Old"/>
    <d v="2023-08-18T00:00:00"/>
    <n v="4422.2999999999993"/>
    <n v="190488.11"/>
    <n v="3316.7249999999995"/>
    <n v="4201.1849999999995"/>
    <n v="0"/>
    <n v="5714.6432999999997"/>
    <n v="1513.4583000000002"/>
    <n v="442.22999999999996"/>
    <n v="0"/>
    <n v="7076"/>
    <n v="0"/>
    <n v="0"/>
    <n v="0"/>
    <n v="0"/>
    <n v="0"/>
    <n v="7076"/>
    <n v="0"/>
    <n v="7076"/>
    <s v="Release"/>
  </r>
  <r>
    <n v="3976.8899928827595"/>
    <n v="22880.8488"/>
    <n v="26857.738792882759"/>
    <x v="69"/>
    <x v="69"/>
    <n v="0"/>
    <s v="MPG"/>
    <s v="Direct"/>
    <n v="1002"/>
    <x v="2"/>
    <s v="Old"/>
    <d v="2023-08-30T00:00:00"/>
    <n v="2478.2999999999997"/>
    <n v="116601.91"/>
    <n v="1858.7249999999999"/>
    <n v="2354.3849999999998"/>
    <n v="617.44324244800009"/>
    <n v="3498.0572999999999"/>
    <n v="1143.6723000000002"/>
    <n v="247.82999999999998"/>
    <n v="335.08534712586408"/>
    <n v="4248"/>
    <n v="2332.0382"/>
    <n v="0"/>
    <n v="0"/>
    <n v="0"/>
    <n v="1154.54"/>
    <n v="761"/>
    <n v="0"/>
    <n v="761"/>
    <s v="Release"/>
  </r>
  <r>
    <n v="0"/>
    <n v="0"/>
    <n v="0"/>
    <x v="70"/>
    <x v="70"/>
    <n v="0"/>
    <s v="vlc"/>
    <s v="Indirect"/>
    <n v="1002"/>
    <x v="2"/>
    <s v="Old"/>
    <d v="2021-12-14T00:00:00"/>
    <n v="1220.8000000000002"/>
    <n v="44922.759999999995"/>
    <n v="915.60000000000014"/>
    <n v="1159.7600000000002"/>
    <n v="0"/>
    <n v="1347.6827999999998"/>
    <n v="187.9227999999996"/>
    <n v="122.08000000000003"/>
    <n v="646.55727334429002"/>
    <n v="1307"/>
    <n v="0"/>
    <n v="0"/>
    <n v="0"/>
    <n v="0"/>
    <n v="0"/>
    <n v="1307"/>
    <n v="0"/>
    <n v="1307"/>
    <s v="Release"/>
  </r>
  <r>
    <n v="0"/>
    <n v="0"/>
    <n v="0"/>
    <x v="71"/>
    <x v="71"/>
    <n v="0"/>
    <s v="vlc"/>
    <s v="Indirect"/>
    <n v="1002"/>
    <x v="2"/>
    <s v="Old"/>
    <d v="2022-05-29T00:00:00"/>
    <n v="1714.9"/>
    <n v="71376.52"/>
    <n v="1286.1750000000002"/>
    <n v="1629.155"/>
    <n v="0"/>
    <n v="2141.2955999999999"/>
    <n v="512.14059999999995"/>
    <n v="171.49"/>
    <n v="891.31684243905863"/>
    <n v="1853"/>
    <n v="0"/>
    <n v="0"/>
    <n v="0"/>
    <n v="0"/>
    <n v="0"/>
    <n v="1853"/>
    <n v="0"/>
    <n v="1853"/>
    <s v="Release"/>
  </r>
  <r>
    <n v="0"/>
    <n v="0"/>
    <n v="0"/>
    <x v="72"/>
    <x v="72"/>
    <n v="0"/>
    <s v="MPG"/>
    <s v="Direct"/>
    <n v="1002"/>
    <x v="2"/>
    <s v="Old"/>
    <d v="2023-11-18T00:00:00"/>
    <n v="9566.1000000000022"/>
    <n v="416045.36"/>
    <n v="7174.5750000000016"/>
    <n v="9087.7950000000019"/>
    <n v="3484.0502574359998"/>
    <n v="12481.360799999999"/>
    <n v="3393.5657999999967"/>
    <n v="956.61000000000024"/>
    <n v="0"/>
    <n v="18790"/>
    <n v="0"/>
    <n v="0"/>
    <n v="0"/>
    <n v="0"/>
    <n v="850.94"/>
    <n v="17939"/>
    <n v="0"/>
    <n v="17939"/>
    <s v="Release"/>
  </r>
  <r>
    <n v="12170.884574664102"/>
    <n v="0"/>
    <n v="12170.884574664102"/>
    <x v="73"/>
    <x v="73"/>
    <n v="0"/>
    <s v="MPG"/>
    <s v="Direct"/>
    <n v="1002"/>
    <x v="2"/>
    <s v="Old"/>
    <d v="2023-12-23T00:00:00"/>
    <n v="2980.4999999999995"/>
    <n v="131205.14999999997"/>
    <n v="2235.3749999999995"/>
    <n v="2831.4749999999995"/>
    <n v="881.25949814671503"/>
    <n v="3936.1544999999987"/>
    <n v="1104.6794999999993"/>
    <n v="298.04999999999995"/>
    <n v="201.58588999789436"/>
    <n v="5448"/>
    <n v="2624.1029999999992"/>
    <n v="0"/>
    <n v="0"/>
    <n v="0"/>
    <n v="799.64"/>
    <n v="2024"/>
    <n v="0"/>
    <n v="2024"/>
    <s v="Release"/>
  </r>
  <r>
    <n v="28782.760834744608"/>
    <n v="0"/>
    <n v="28782.760834744608"/>
    <x v="74"/>
    <x v="74"/>
    <n v="0"/>
    <s v="MPG"/>
    <s v="Direct"/>
    <n v="1002"/>
    <x v="2"/>
    <s v="Old"/>
    <d v="2023-12-08T00:00:00"/>
    <n v="1634.4999999999998"/>
    <n v="73144.42"/>
    <n v="1225.8749999999998"/>
    <n v="1552.7749999999996"/>
    <n v="1831.1085252447401"/>
    <n v="2194.3325999999997"/>
    <n v="641.55760000000009"/>
    <n v="163.44999999999999"/>
    <n v="1048.1077324710056"/>
    <n v="3398"/>
    <n v="1861"/>
    <n v="0"/>
    <n v="0"/>
    <n v="0"/>
    <n v="697.04"/>
    <n v="840"/>
    <n v="0"/>
    <n v="840"/>
    <s v="Release"/>
  </r>
  <r>
    <n v="35998.521577673178"/>
    <n v="14461.3992"/>
    <n v="50459.920777673178"/>
    <x v="75"/>
    <x v="75"/>
    <n v="0"/>
    <s v="MPG"/>
    <s v="Direct"/>
    <n v="1002"/>
    <x v="2"/>
    <s v="Old"/>
    <d v="2023-10-06T00:00:00"/>
    <n v="647.70000000000005"/>
    <n v="29403.599999999999"/>
    <n v="485.77500000000003"/>
    <n v="615.31500000000005"/>
    <n v="596.56185862210509"/>
    <n v="882.10799999999995"/>
    <n v="266.79299999999989"/>
    <n v="64.77000000000001"/>
    <n v="1632.4598983595063"/>
    <n v="0"/>
    <n v="0"/>
    <n v="0"/>
    <n v="0"/>
    <n v="0"/>
    <n v="0"/>
    <n v="0"/>
    <n v="0"/>
    <n v="0"/>
    <s v="Release"/>
  </r>
  <r>
    <n v="6559.5703523027041"/>
    <n v="10963.382799999999"/>
    <n v="17522.953152302704"/>
    <x v="76"/>
    <x v="76"/>
    <n v="0"/>
    <s v="MPG"/>
    <s v="Direct"/>
    <n v="1002"/>
    <x v="2"/>
    <s v="Old"/>
    <d v="2023-09-29T00:00:00"/>
    <n v="3257.9000000000005"/>
    <n v="149071.69"/>
    <n v="2443.4250000000002"/>
    <n v="3095.0050000000006"/>
    <n v="1453.28541183726"/>
    <n v="4472.1507000000001"/>
    <n v="1377.1456999999996"/>
    <n v="325.79000000000008"/>
    <n v="317.50099059456647"/>
    <n v="6348"/>
    <n v="2981.4338000000002"/>
    <n v="0"/>
    <n v="0"/>
    <n v="0"/>
    <n v="799.63999999999987"/>
    <n v="2567"/>
    <n v="0"/>
    <n v="2567"/>
    <s v="Release"/>
  </r>
  <r>
    <n v="0"/>
    <n v="0"/>
    <n v="0"/>
    <x v="77"/>
    <x v="77"/>
    <n v="0"/>
    <s v="vlc"/>
    <s v="Indirect"/>
    <n v="1002"/>
    <x v="2"/>
    <s v="Old"/>
    <d v="2023-02-01T00:00:00"/>
    <n v="1346.1"/>
    <n v="52380.19000000001"/>
    <n v="1009.5749999999999"/>
    <n v="1278.7949999999998"/>
    <n v="0"/>
    <n v="1571.4057000000003"/>
    <n v="292.61070000000041"/>
    <n v="134.60999999999999"/>
    <n v="1138.0042642031174"/>
    <n v="1016"/>
    <n v="0"/>
    <n v="0"/>
    <n v="0"/>
    <n v="0"/>
    <n v="502.41999999999996"/>
    <n v="514"/>
    <n v="0"/>
    <n v="514"/>
    <s v="Release"/>
  </r>
  <r>
    <n v="0"/>
    <n v="0"/>
    <n v="0"/>
    <x v="78"/>
    <x v="78"/>
    <n v="0"/>
    <s v="vlc"/>
    <s v="Indirect"/>
    <n v="1002"/>
    <x v="2"/>
    <s v="Old"/>
    <d v="2024-05-11T00:00:00"/>
    <n v="2984.7"/>
    <n v="130020.81"/>
    <n v="2238.5249999999996"/>
    <n v="2835.4649999999997"/>
    <n v="0"/>
    <n v="3900.6242999999999"/>
    <n v="1065.1593000000003"/>
    <n v="298.46999999999997"/>
    <n v="0"/>
    <n v="4776"/>
    <n v="0"/>
    <n v="0"/>
    <n v="0"/>
    <n v="0"/>
    <n v="0"/>
    <n v="4776"/>
    <n v="0"/>
    <n v="4776"/>
    <s v="Release"/>
  </r>
  <r>
    <n v="41222.708009247202"/>
    <n v="0"/>
    <n v="41222.708009247202"/>
    <x v="79"/>
    <x v="79"/>
    <n v="0"/>
    <s v="MPG"/>
    <s v="Direct"/>
    <n v="1002"/>
    <x v="2"/>
    <s v="Old"/>
    <d v="2024-07-18T00:00:00"/>
    <n v="1359.4"/>
    <n v="64476.490000000005"/>
    <n v="1019.5500000000001"/>
    <n v="1291.43"/>
    <n v="52.005237396000012"/>
    <n v="1934.2947000000001"/>
    <n v="642.86470000000008"/>
    <n v="135.94000000000003"/>
    <n v="1375.2767494724753"/>
    <n v="852"/>
    <n v="852"/>
    <n v="0"/>
    <n v="0"/>
    <n v="0"/>
    <n v="0"/>
    <n v="0"/>
    <n v="0"/>
    <n v="0"/>
    <s v="Release"/>
  </r>
  <r>
    <n v="98591.602786046366"/>
    <n v="12800"/>
    <n v="111391.60278604637"/>
    <x v="80"/>
    <x v="80"/>
    <n v="0"/>
    <s v="MPG"/>
    <s v="Direct"/>
    <n v="1002"/>
    <x v="2"/>
    <s v="Old"/>
    <d v="2024-10-02T00:00:00"/>
    <n v="967.8"/>
    <n v="37530.369999999995"/>
    <n v="725.84999999999991"/>
    <n v="919.41"/>
    <n v="817.08455648800032"/>
    <n v="1125.9110999999998"/>
    <n v="206.50109999999984"/>
    <n v="96.78"/>
    <n v="1433.132335780155"/>
    <n v="932"/>
    <n v="932"/>
    <n v="0"/>
    <n v="0"/>
    <n v="0"/>
    <n v="0"/>
    <n v="0"/>
    <n v="0"/>
    <n v="0"/>
    <s v="Release"/>
  </r>
  <r>
    <n v="58811.644765236357"/>
    <n v="6400"/>
    <n v="65211.644765236357"/>
    <x v="81"/>
    <x v="81"/>
    <n v="0"/>
    <s v="MPG"/>
    <s v="Direct"/>
    <n v="1002"/>
    <x v="2"/>
    <s v="Old"/>
    <d v="2024-11-22T00:00:00"/>
    <n v="2297.7000000000003"/>
    <n v="98517.139999999985"/>
    <n v="1723.2750000000001"/>
    <n v="2182.8150000000001"/>
    <n v="382.96676464160004"/>
    <n v="2955.5141999999996"/>
    <n v="772.69919999999956"/>
    <n v="229.77000000000004"/>
    <n v="429.72999304283536"/>
    <n v="3630"/>
    <n v="1970.3427999999997"/>
    <n v="0"/>
    <n v="0"/>
    <n v="0"/>
    <n v="850.93999999999994"/>
    <n v="809"/>
    <n v="0"/>
    <n v="809"/>
    <s v="Release"/>
  </r>
  <r>
    <n v="0"/>
    <n v="0"/>
    <n v="0"/>
    <x v="82"/>
    <x v="82"/>
    <n v="0"/>
    <s v="vlc"/>
    <s v="Indirect"/>
    <n v="1002"/>
    <x v="2"/>
    <s v="Old"/>
    <d v="2024-12-12T00:00:00"/>
    <n v="3123.8999999999996"/>
    <n v="134623.94999999998"/>
    <n v="2342.9249999999997"/>
    <n v="2967.7049999999995"/>
    <n v="0"/>
    <n v="4038.7184999999995"/>
    <n v="1071.0135"/>
    <n v="312.39"/>
    <n v="67.372903917459297"/>
    <n v="4931"/>
    <n v="0"/>
    <n v="0"/>
    <n v="0"/>
    <n v="0"/>
    <n v="0"/>
    <n v="4931"/>
    <n v="0"/>
    <n v="4931"/>
    <s v="Release"/>
  </r>
  <r>
    <n v="90000"/>
    <n v="0"/>
    <n v="90000"/>
    <x v="83"/>
    <x v="83"/>
    <n v="0"/>
    <s v="MPG"/>
    <s v="Direct"/>
    <n v="1002"/>
    <x v="2"/>
    <s v="Old"/>
    <d v="2025-07-31T00:00:00"/>
    <n v="1981.2000000000003"/>
    <n v="97780.13"/>
    <n v="1485.9"/>
    <n v="1882.14"/>
    <n v="1411.25799179044"/>
    <n v="2933.4039000000002"/>
    <n v="1051.2639000000001"/>
    <n v="198.12000000000003"/>
    <n v="811.07238068591187"/>
    <n v="3770"/>
    <n v="1955.6026000000002"/>
    <n v="0"/>
    <n v="0"/>
    <n v="0"/>
    <n v="0"/>
    <n v="1814"/>
    <n v="1814"/>
    <n v="0"/>
    <s v="Yes"/>
  </r>
  <r>
    <n v="100000"/>
    <n v="0"/>
    <n v="100000"/>
    <x v="84"/>
    <x v="84"/>
    <n v="0"/>
    <s v="MPG"/>
    <s v="Direct"/>
    <n v="1002"/>
    <x v="2"/>
    <s v="Old"/>
    <d v="2025-07-31T00:00:00"/>
    <n v="814.2"/>
    <n v="41288.33"/>
    <n v="610.65000000000009"/>
    <n v="773.49"/>
    <n v="27.79"/>
    <n v="1238.6499000000001"/>
    <n v="465.15990000000011"/>
    <n v="81.420000000000016"/>
    <n v="1330.5515775804015"/>
    <n v="0"/>
    <n v="0"/>
    <n v="0"/>
    <n v="0"/>
    <n v="0"/>
    <n v="0"/>
    <n v="0"/>
    <n v="0"/>
    <n v="0"/>
    <s v="Release"/>
  </r>
  <r>
    <n v="95000"/>
    <n v="0"/>
    <n v="95000"/>
    <x v="85"/>
    <x v="85"/>
    <n v="0"/>
    <s v="MPG"/>
    <s v="Direct"/>
    <n v="1002"/>
    <x v="2"/>
    <s v="Old"/>
    <d v="2025-07-31T00:00:00"/>
    <n v="2465.8999999999996"/>
    <n v="118804.30999999998"/>
    <n v="1849.4249999999997"/>
    <n v="2342.6049999999996"/>
    <n v="1003.55358482984"/>
    <n v="3564.1292999999991"/>
    <n v="1221.5242999999996"/>
    <n v="246.58999999999997"/>
    <n v="484.80960575122839"/>
    <n v="4464"/>
    <n v="2376.0861999999997"/>
    <n v="0"/>
    <n v="0"/>
    <n v="0"/>
    <n v="0"/>
    <n v="2088"/>
    <n v="2088"/>
    <n v="0"/>
    <s v="Yes"/>
  </r>
  <r>
    <n v="100000"/>
    <n v="0"/>
    <n v="100000"/>
    <x v="86"/>
    <x v="86"/>
    <n v="0"/>
    <s v="MPG"/>
    <s v="Direct"/>
    <n v="1002"/>
    <x v="2"/>
    <s v="Old"/>
    <d v="2025-07-31T00:00:00"/>
    <n v="1137.5999999999999"/>
    <n v="52299.17"/>
    <n v="853.19999999999993"/>
    <n v="1080.7199999999998"/>
    <n v="876.59257795739109"/>
    <n v="1568.9750999999999"/>
    <n v="488.25510000000008"/>
    <n v="113.75999999999999"/>
    <n v="1527.9167462205842"/>
    <n v="1169"/>
    <n v="1169"/>
    <n v="0"/>
    <n v="0"/>
    <n v="0"/>
    <n v="0"/>
    <n v="0"/>
    <n v="0"/>
    <n v="0"/>
    <s v="Release"/>
  </r>
  <r>
    <n v="100000"/>
    <n v="0"/>
    <n v="100000"/>
    <x v="87"/>
    <x v="87"/>
    <n v="0"/>
    <s v="MPG"/>
    <s v="Direct"/>
    <n v="1002"/>
    <x v="2"/>
    <s v="Old"/>
    <d v="2025-07-31T00:00:00"/>
    <n v="1395.5000000000002"/>
    <n v="75534.280000000013"/>
    <n v="1046.6250000000002"/>
    <n v="1325.7250000000001"/>
    <n v="0"/>
    <n v="2266.0284000000001"/>
    <n v="940.30340000000001"/>
    <n v="139.55000000000004"/>
    <n v="1534.8779662498546"/>
    <n v="698"/>
    <n v="698"/>
    <n v="0"/>
    <n v="0"/>
    <n v="0"/>
    <n v="0"/>
    <n v="0"/>
    <n v="0"/>
    <n v="0"/>
    <s v="Release"/>
  </r>
  <r>
    <n v="0"/>
    <n v="0"/>
    <n v="0"/>
    <x v="88"/>
    <x v="52"/>
    <n v="0"/>
    <s v="vlc"/>
    <s v="Indirect"/>
    <n v="1003"/>
    <x v="3"/>
    <s v="Old"/>
    <d v="2017-09-01T00:00:00"/>
    <n v="1136.75"/>
    <n v="44197.119999999995"/>
    <n v="852.5625"/>
    <n v="1079.9124999999999"/>
    <n v="0"/>
    <n v="1325.9135999999999"/>
    <n v="246.00109999999995"/>
    <n v="113.67500000000001"/>
    <n v="1293.4593794933367"/>
    <n v="525"/>
    <n v="0"/>
    <n v="0"/>
    <n v="0"/>
    <n v="0"/>
    <n v="0"/>
    <n v="525"/>
    <n v="0"/>
    <n v="525"/>
    <s v="Release"/>
  </r>
  <r>
    <n v="0"/>
    <n v="0"/>
    <n v="0"/>
    <x v="89"/>
    <x v="88"/>
    <n v="0"/>
    <s v="MPG"/>
    <s v="Direct"/>
    <n v="1003"/>
    <x v="3"/>
    <s v="Old"/>
    <d v="2017-09-01T00:00:00"/>
    <n v="3348.0999999999995"/>
    <n v="148123.76"/>
    <n v="2511.0749999999998"/>
    <n v="3180.6949999999993"/>
    <n v="3138.8143492873201"/>
    <n v="4443.7128000000002"/>
    <n v="1263.017800000001"/>
    <n v="334.80999999999995"/>
    <n v="201.99868592702916"/>
    <n v="8294"/>
    <n v="0"/>
    <n v="0"/>
    <n v="0"/>
    <n v="8294"/>
    <n v="0"/>
    <n v="0"/>
    <n v="0"/>
    <n v="0"/>
    <s v="Release"/>
  </r>
  <r>
    <n v="0"/>
    <n v="0"/>
    <n v="0"/>
    <x v="90"/>
    <x v="89"/>
    <n v="0"/>
    <s v="vlc"/>
    <s v="Indirect"/>
    <n v="1003"/>
    <x v="3"/>
    <s v="Old"/>
    <d v="2017-09-01T00:00:00"/>
    <n v="780.14999999999986"/>
    <n v="24435.059999999998"/>
    <n v="585.11249999999995"/>
    <n v="741.14249999999981"/>
    <n v="0"/>
    <n v="733.05179999999996"/>
    <n v="-8.0906999999998561"/>
    <n v="78.014999999999986"/>
    <n v="1248.4712106063041"/>
    <n v="0"/>
    <n v="0"/>
    <n v="0"/>
    <n v="0"/>
    <n v="0"/>
    <n v="0"/>
    <n v="0"/>
    <n v="0"/>
    <n v="0"/>
    <s v="Release"/>
  </r>
  <r>
    <n v="0"/>
    <n v="0"/>
    <n v="0"/>
    <x v="91"/>
    <x v="90"/>
    <n v="0"/>
    <s v="vlc"/>
    <s v="Indirect"/>
    <n v="1003"/>
    <x v="3"/>
    <s v="Old"/>
    <d v="2017-09-01T00:00:00"/>
    <n v="2157.75"/>
    <n v="66820.5"/>
    <n v="1618.3125"/>
    <n v="2049.8624999999997"/>
    <n v="0"/>
    <n v="2004.615"/>
    <n v="-45.247499999999718"/>
    <n v="215.77500000000001"/>
    <n v="389.90898438242192"/>
    <n v="3062"/>
    <n v="0"/>
    <n v="0"/>
    <n v="0"/>
    <n v="0"/>
    <n v="0"/>
    <n v="3062"/>
    <n v="0"/>
    <n v="3062"/>
    <s v="Release"/>
  </r>
  <r>
    <n v="0"/>
    <n v="5932"/>
    <n v="5932"/>
    <x v="92"/>
    <x v="91"/>
    <n v="0"/>
    <s v="RMC"/>
    <s v="Direct"/>
    <n v="1003"/>
    <x v="3"/>
    <s v="Old"/>
    <d v="2017-09-01T00:00:00"/>
    <n v="1132"/>
    <n v="43827.25"/>
    <n v="849"/>
    <n v="1075.3999999999999"/>
    <n v="55.332633600000001"/>
    <n v="1314.8174999999999"/>
    <n v="239.41750000000002"/>
    <n v="113.2"/>
    <n v="1287.575"/>
    <n v="579"/>
    <n v="0"/>
    <n v="579"/>
    <n v="0"/>
    <n v="0"/>
    <n v="0"/>
    <n v="0"/>
    <n v="0"/>
    <n v="0"/>
    <s v="Release"/>
  </r>
  <r>
    <n v="0"/>
    <n v="0"/>
    <n v="0"/>
    <x v="93"/>
    <x v="92"/>
    <n v="0"/>
    <s v="vlc"/>
    <s v="Indirect"/>
    <n v="1003"/>
    <x v="3"/>
    <s v="Old"/>
    <d v="2018-08-03T00:00:00"/>
    <n v="5881"/>
    <n v="227046.68"/>
    <n v="4410.75"/>
    <n v="5586.95"/>
    <n v="0"/>
    <n v="6811.4003999999995"/>
    <n v="1224.4503999999997"/>
    <n v="588.1"/>
    <n v="0"/>
    <n v="9410"/>
    <n v="0"/>
    <n v="0"/>
    <n v="0"/>
    <n v="0"/>
    <n v="0"/>
    <n v="9410"/>
    <n v="0"/>
    <n v="9410"/>
    <s v="Release"/>
  </r>
  <r>
    <n v="54698.522623289609"/>
    <n v="0"/>
    <n v="54698.522623289609"/>
    <x v="94"/>
    <x v="93"/>
    <n v="0"/>
    <s v="MPG"/>
    <s v="Direct"/>
    <n v="1003"/>
    <x v="3"/>
    <s v="Old"/>
    <d v="2018-08-03T00:00:00"/>
    <n v="827.65"/>
    <n v="35790.11"/>
    <n v="620.73749999999995"/>
    <n v="786.26749999999993"/>
    <n v="0"/>
    <n v="1073.7032999999999"/>
    <n v="287.43579999999997"/>
    <n v="82.765000000000001"/>
    <n v="1324.5208504264024"/>
    <n v="0"/>
    <n v="0"/>
    <n v="0"/>
    <n v="0"/>
    <n v="0"/>
    <n v="0"/>
    <n v="0"/>
    <n v="0"/>
    <n v="0"/>
    <s v="Release"/>
  </r>
  <r>
    <n v="0"/>
    <n v="0"/>
    <n v="0"/>
    <x v="95"/>
    <x v="94"/>
    <n v="0"/>
    <s v="MPG"/>
    <s v="Direct"/>
    <n v="1003"/>
    <x v="3"/>
    <s v="Old"/>
    <d v="2018-08-31T00:00:00"/>
    <n v="2181.35"/>
    <n v="85500.87"/>
    <n v="1636.0124999999998"/>
    <n v="2072.2824999999998"/>
    <n v="1198.6352200619999"/>
    <n v="2565.0260999999996"/>
    <n v="492.74359999999979"/>
    <n v="218.13499999999999"/>
    <n v="461.06973378553982"/>
    <n v="4228"/>
    <n v="0"/>
    <n v="0"/>
    <n v="0"/>
    <n v="0"/>
    <n v="0"/>
    <n v="4228"/>
    <n v="0"/>
    <n v="4228"/>
    <s v="Release"/>
  </r>
  <r>
    <n v="0"/>
    <n v="0"/>
    <n v="0"/>
    <x v="96"/>
    <x v="95"/>
    <n v="0"/>
    <s v="vlc"/>
    <s v="Indirect"/>
    <n v="1003"/>
    <x v="3"/>
    <s v="Old"/>
    <d v="2022-04-01T00:00:00"/>
    <n v="2335.1"/>
    <n v="87319.51"/>
    <n v="1751.3249999999998"/>
    <n v="2218.3449999999998"/>
    <n v="0"/>
    <n v="2619.5852999999997"/>
    <n v="401.24029999999993"/>
    <n v="233.51"/>
    <n v="404.12161026407813"/>
    <n v="3332"/>
    <n v="0"/>
    <n v="0"/>
    <n v="0"/>
    <n v="0"/>
    <n v="0"/>
    <n v="3332"/>
    <n v="0"/>
    <n v="3332"/>
    <s v="Release"/>
  </r>
  <r>
    <n v="9785.890607987938"/>
    <n v="16000"/>
    <n v="25785.890607987938"/>
    <x v="97"/>
    <x v="96"/>
    <n v="0"/>
    <s v="MPG"/>
    <s v="Direct"/>
    <n v="1003"/>
    <x v="3"/>
    <s v="Old"/>
    <d v="2023-01-01T00:00:00"/>
    <n v="2449.8999999999996"/>
    <n v="114042.61999999998"/>
    <n v="1837.4249999999997"/>
    <n v="2327.4049999999997"/>
    <n v="2547.7111008198276"/>
    <n v="3421.2785999999992"/>
    <n v="1093.8735999999994"/>
    <n v="244.98999999999998"/>
    <n v="322.00131737628828"/>
    <n v="6146"/>
    <n v="2280.8523999999998"/>
    <n v="0"/>
    <n v="0"/>
    <n v="0"/>
    <n v="0"/>
    <n v="3865"/>
    <n v="0"/>
    <n v="3865"/>
    <s v="Release"/>
  </r>
  <r>
    <n v="54486.743452877156"/>
    <n v="6400"/>
    <n v="60886.743452877156"/>
    <x v="98"/>
    <x v="97"/>
    <n v="0"/>
    <s v="MPG"/>
    <s v="Direct"/>
    <n v="1003"/>
    <x v="3"/>
    <s v="Old"/>
    <d v="2023-02-24T00:00:00"/>
    <n v="672.94999999999993"/>
    <n v="26979.060000000005"/>
    <n v="504.71249999999998"/>
    <n v="639.3024999999999"/>
    <n v="1107.5958131238001"/>
    <n v="809.37180000000012"/>
    <n v="170.06930000000023"/>
    <n v="67.295000000000002"/>
    <n v="1709.8837987422471"/>
    <n v="474"/>
    <n v="474"/>
    <n v="0"/>
    <n v="0"/>
    <n v="0"/>
    <n v="0"/>
    <n v="0"/>
    <n v="0"/>
    <n v="0"/>
    <s v="Release"/>
  </r>
  <r>
    <n v="39986.726370421107"/>
    <n v="19200"/>
    <n v="59186.726370421107"/>
    <x v="99"/>
    <x v="98"/>
    <n v="0"/>
    <s v="MPG"/>
    <s v="Direct"/>
    <n v="1003"/>
    <x v="3"/>
    <s v="Old"/>
    <d v="2023-02-25T00:00:00"/>
    <n v="2709.9"/>
    <n v="114780.62"/>
    <n v="2032.4250000000002"/>
    <n v="2574.4049999999997"/>
    <n v="993.5638907"/>
    <n v="3443.4185999999995"/>
    <n v="869.01359999999977"/>
    <n v="270.99"/>
    <n v="302.00454234244916"/>
    <n v="5027"/>
    <n v="2295.6124"/>
    <n v="0"/>
    <n v="0"/>
    <n v="2731"/>
    <n v="0"/>
    <n v="0"/>
    <n v="0"/>
    <n v="0"/>
    <s v="Release"/>
  </r>
  <r>
    <n v="0"/>
    <n v="0"/>
    <n v="0"/>
    <x v="100"/>
    <x v="99"/>
    <n v="0"/>
    <s v="MPG"/>
    <s v="Direct"/>
    <n v="1003"/>
    <x v="3"/>
    <s v="Old"/>
    <d v="2023-03-10T00:00:00"/>
    <n v="6758.1999999999989"/>
    <n v="312180.74"/>
    <n v="5068.6499999999996"/>
    <n v="6420.2899999999991"/>
    <n v="3963.2770322008305"/>
    <n v="9365.4221999999991"/>
    <n v="2945.1322"/>
    <n v="675.81999999999994"/>
    <n v="0"/>
    <n v="14776"/>
    <n v="0"/>
    <n v="0"/>
    <n v="0"/>
    <n v="0"/>
    <n v="0"/>
    <n v="14776"/>
    <n v="0"/>
    <n v="14776"/>
    <s v="Release"/>
  </r>
  <r>
    <n v="0"/>
    <n v="4256.2014126365902"/>
    <n v="4256.2014126365902"/>
    <x v="101"/>
    <x v="100"/>
    <n v="0"/>
    <s v="MPG"/>
    <s v="Direct"/>
    <n v="1003"/>
    <x v="3"/>
    <s v="Old"/>
    <d v="2023-03-10T00:00:00"/>
    <n v="4168.5"/>
    <n v="178889.17"/>
    <n v="3126.375"/>
    <n v="3960.0749999999998"/>
    <n v="2883.8585835655999"/>
    <n v="5366.6751000000004"/>
    <n v="1406.6001000000006"/>
    <n v="416.85"/>
    <n v="0"/>
    <n v="9553"/>
    <n v="0"/>
    <n v="3577.7834000000003"/>
    <n v="0"/>
    <n v="0"/>
    <n v="0"/>
    <n v="5975"/>
    <n v="0"/>
    <n v="5975"/>
    <s v="Release"/>
  </r>
  <r>
    <n v="0"/>
    <n v="9177.4125999999997"/>
    <n v="9177.4125999999997"/>
    <x v="102"/>
    <x v="101"/>
    <n v="0"/>
    <s v="MPG"/>
    <s v="Direct"/>
    <n v="1003"/>
    <x v="3"/>
    <s v="Old"/>
    <d v="2023-03-10T00:00:00"/>
    <n v="3215.7500000000005"/>
    <n v="140783.88"/>
    <n v="2411.8125000000005"/>
    <n v="3054.9625000000001"/>
    <n v="5114.5270235997004"/>
    <n v="4223.5164000000004"/>
    <n v="1168.5539000000003"/>
    <n v="321.57500000000005"/>
    <n v="72.836918400388512"/>
    <n v="10187"/>
    <n v="0"/>
    <n v="2815.6776"/>
    <n v="0"/>
    <n v="0"/>
    <n v="0"/>
    <n v="7371"/>
    <n v="0"/>
    <n v="7371"/>
    <s v="Release"/>
  </r>
  <r>
    <n v="0"/>
    <n v="16000"/>
    <n v="16000"/>
    <x v="103"/>
    <x v="102"/>
    <n v="0"/>
    <s v="MPG"/>
    <s v="Direct"/>
    <n v="1003"/>
    <x v="3"/>
    <s v="Old"/>
    <d v="2023-03-10T00:00:00"/>
    <n v="3864.25"/>
    <n v="151954.12"/>
    <n v="2898.1875"/>
    <n v="3671.0374999999999"/>
    <n v="4569.6305952513003"/>
    <n v="4558.6235999999999"/>
    <n v="887.58609999999999"/>
    <n v="386.42500000000001"/>
    <n v="0"/>
    <n v="10752"/>
    <n v="0"/>
    <n v="3039.0823999999998"/>
    <n v="0"/>
    <n v="0"/>
    <n v="0"/>
    <n v="7713"/>
    <n v="0"/>
    <n v="7713"/>
    <s v="Release"/>
  </r>
  <r>
    <n v="0"/>
    <n v="0"/>
    <n v="0"/>
    <x v="104"/>
    <x v="103"/>
    <n v="0"/>
    <s v="MPG"/>
    <s v="Direct"/>
    <n v="1003"/>
    <x v="3"/>
    <s v="Old"/>
    <d v="2023-03-10T00:00:00"/>
    <n v="3073.95"/>
    <n v="132067.12"/>
    <n v="2305.4624999999996"/>
    <n v="2920.2524999999996"/>
    <n v="2647.7500158233902"/>
    <n v="3962.0135999999998"/>
    <n v="1041.7611000000002"/>
    <n v="307.39499999999998"/>
    <n v="19.247289044632904"/>
    <n v="7547"/>
    <n v="0"/>
    <n v="0"/>
    <n v="0"/>
    <n v="0"/>
    <n v="0"/>
    <n v="7547"/>
    <n v="0"/>
    <n v="7547"/>
    <s v="Release"/>
  </r>
  <r>
    <n v="39092.281400000007"/>
    <n v="3656.7740054142378"/>
    <n v="42749.055405414241"/>
    <x v="105"/>
    <x v="104"/>
    <n v="0"/>
    <s v="MPG"/>
    <s v="Direct"/>
    <n v="1003"/>
    <x v="3"/>
    <s v="Old"/>
    <d v="2023-03-10T00:00:00"/>
    <n v="250.14999999999998"/>
    <n v="10119.189999999999"/>
    <n v="187.61249999999998"/>
    <n v="237.64249999999996"/>
    <n v="1213.7279191320001"/>
    <n v="303.57569999999993"/>
    <n v="65.933199999999971"/>
    <n v="25.015000000000001"/>
    <n v="1613.6759582567288"/>
    <n v="0"/>
    <n v="0"/>
    <n v="0"/>
    <n v="0"/>
    <n v="0"/>
    <n v="0"/>
    <n v="0"/>
    <n v="0"/>
    <n v="0"/>
    <s v="Release"/>
  </r>
  <r>
    <n v="0"/>
    <n v="0"/>
    <n v="0"/>
    <x v="106"/>
    <x v="105"/>
    <n v="0"/>
    <s v="MPG"/>
    <s v="Direct"/>
    <n v="1003"/>
    <x v="3"/>
    <s v="Old"/>
    <d v="2023-03-30T00:00:00"/>
    <n v="1772.65"/>
    <n v="70596.280000000013"/>
    <n v="1329.4875000000002"/>
    <n v="1684.0174999999999"/>
    <n v="1682.8115706484002"/>
    <n v="2117.8884000000003"/>
    <n v="433.87090000000035"/>
    <n v="177.26500000000001"/>
    <n v="819.04768260611684"/>
    <n v="3700"/>
    <n v="0"/>
    <n v="0"/>
    <n v="0"/>
    <n v="0"/>
    <n v="0"/>
    <n v="3700"/>
    <n v="0"/>
    <n v="3700"/>
    <s v="Release"/>
  </r>
  <r>
    <n v="0"/>
    <n v="3200"/>
    <n v="3200"/>
    <x v="107"/>
    <x v="106"/>
    <n v="0"/>
    <s v="MPG"/>
    <s v="Direct"/>
    <n v="1003"/>
    <x v="3"/>
    <s v="Old"/>
    <d v="2023-03-30T00:00:00"/>
    <n v="2414.6000000000004"/>
    <n v="98145.76999999999"/>
    <n v="1810.9500000000003"/>
    <n v="2293.8700000000003"/>
    <n v="1660.1767011611"/>
    <n v="2944.3730999999998"/>
    <n v="650.50309999999945"/>
    <n v="241.46000000000004"/>
    <n v="330.3523431203289"/>
    <n v="5193"/>
    <n v="0"/>
    <n v="1962.9153999999999"/>
    <n v="0"/>
    <n v="0"/>
    <n v="0"/>
    <n v="3230"/>
    <n v="3230"/>
    <n v="0"/>
    <s v="Yes"/>
  </r>
  <r>
    <n v="0"/>
    <n v="3200"/>
    <n v="3200"/>
    <x v="108"/>
    <x v="107"/>
    <n v="0"/>
    <s v="MPG"/>
    <s v="Direct"/>
    <n v="1003"/>
    <x v="3"/>
    <s v="Old"/>
    <d v="2023-03-30T00:00:00"/>
    <n v="4366.3500000000004"/>
    <n v="178528.38000000003"/>
    <n v="3274.7625000000003"/>
    <n v="4148.0325000000003"/>
    <n v="5365.6573010065003"/>
    <n v="5355.8514000000005"/>
    <n v="1207.8189000000002"/>
    <n v="436.63500000000005"/>
    <n v="0"/>
    <n v="12352"/>
    <n v="0"/>
    <n v="3200"/>
    <n v="0"/>
    <n v="0"/>
    <n v="0"/>
    <n v="9152"/>
    <n v="0"/>
    <n v="9152"/>
    <s v="Release"/>
  </r>
  <r>
    <n v="0"/>
    <n v="0"/>
    <n v="0"/>
    <x v="109"/>
    <x v="108"/>
    <n v="0"/>
    <s v="MPG"/>
    <s v="Direct"/>
    <n v="1003"/>
    <x v="3"/>
    <s v="Old"/>
    <d v="2023-03-30T00:00:00"/>
    <n v="1796.9499999999998"/>
    <n v="78613.789999999994"/>
    <n v="1347.7124999999999"/>
    <n v="1707.1024999999997"/>
    <n v="1584.79889288"/>
    <n v="2358.4136999999996"/>
    <n v="651.31119999999987"/>
    <n v="179.69499999999999"/>
    <n v="877.56847786041146"/>
    <n v="3582"/>
    <n v="0"/>
    <n v="0"/>
    <n v="0"/>
    <n v="0"/>
    <n v="0"/>
    <n v="3582"/>
    <n v="0"/>
    <n v="3582"/>
    <s v="Release"/>
  </r>
  <r>
    <n v="1398.7088573647416"/>
    <n v="5330"/>
    <n v="6728.7088573647416"/>
    <x v="110"/>
    <x v="109"/>
    <n v="0"/>
    <s v="MPG"/>
    <s v="Direct"/>
    <n v="1003"/>
    <x v="3"/>
    <s v="Old"/>
    <d v="2023-03-30T00:00:00"/>
    <n v="345.79999999999995"/>
    <n v="14041.84"/>
    <n v="259.34999999999997"/>
    <n v="328.50999999999993"/>
    <n v="87.223968526999997"/>
    <n v="421.2552"/>
    <n v="92.745200000000068"/>
    <n v="34.58"/>
    <n v="640.24943525442814"/>
    <n v="0"/>
    <n v="0"/>
    <n v="0"/>
    <n v="0"/>
    <n v="0"/>
    <n v="0"/>
    <n v="0"/>
    <n v="0"/>
    <n v="0"/>
    <s v="Release"/>
  </r>
  <r>
    <n v="7646.0738646860409"/>
    <n v="4721.9997465554679"/>
    <n v="12368.073611241509"/>
    <x v="111"/>
    <x v="110"/>
    <n v="0"/>
    <s v="MPG"/>
    <s v="Direct"/>
    <n v="1003"/>
    <x v="3"/>
    <s v="Old"/>
    <d v="2023-03-31T00:00:00"/>
    <n v="1854.9"/>
    <n v="69618.86"/>
    <n v="1391.1750000000002"/>
    <n v="1762.155"/>
    <n v="208.65242866400001"/>
    <n v="2088.5657999999999"/>
    <n v="326.41079999999988"/>
    <n v="185.49"/>
    <n v="712.5269957610335"/>
    <n v="2464"/>
    <n v="1861"/>
    <n v="0"/>
    <n v="0"/>
    <n v="0"/>
    <n v="0"/>
    <n v="603"/>
    <n v="0"/>
    <n v="603"/>
    <s v="Release"/>
  </r>
  <r>
    <n v="0"/>
    <n v="5498.4359739721913"/>
    <n v="5498.4359739721913"/>
    <x v="112"/>
    <x v="111"/>
    <n v="0"/>
    <s v="MPG"/>
    <s v="Direct"/>
    <n v="1003"/>
    <x v="3"/>
    <s v="Old"/>
    <d v="2023-04-01T00:00:00"/>
    <n v="1820.3000000000002"/>
    <n v="81754.609999999986"/>
    <n v="1365.2250000000001"/>
    <n v="1729.2850000000001"/>
    <n v="2501.4011179412"/>
    <n v="2452.6382999999996"/>
    <n v="723.35329999999954"/>
    <n v="182.03000000000003"/>
    <n v="876.51054732635134"/>
    <n v="4537"/>
    <n v="0"/>
    <n v="1635.0921999999998"/>
    <n v="0"/>
    <n v="2902"/>
    <n v="0"/>
    <n v="0"/>
    <n v="0"/>
    <n v="0"/>
    <s v="Release"/>
  </r>
  <r>
    <n v="0"/>
    <n v="8734.5892000000003"/>
    <n v="8734.5892000000003"/>
    <x v="113"/>
    <x v="112"/>
    <n v="0"/>
    <s v="MPG"/>
    <s v="Direct"/>
    <n v="1003"/>
    <x v="3"/>
    <s v="Old"/>
    <d v="2023-06-05T00:00:00"/>
    <n v="3769.25"/>
    <n v="153227.47"/>
    <n v="2826.9375"/>
    <n v="3580.7874999999999"/>
    <n v="2626.4320702240002"/>
    <n v="4596.8240999999998"/>
    <n v="1016.0365999999999"/>
    <n v="376.92500000000001"/>
    <n v="0"/>
    <n v="8657"/>
    <n v="0"/>
    <n v="3064.5493999999999"/>
    <n v="0"/>
    <n v="0"/>
    <n v="0"/>
    <n v="5592"/>
    <n v="0"/>
    <n v="5592"/>
    <s v="Release"/>
  </r>
  <r>
    <n v="39598.991494913382"/>
    <n v="0"/>
    <n v="39598.991494913382"/>
    <x v="114"/>
    <x v="113"/>
    <n v="0"/>
    <s v="MPG"/>
    <s v="Direct"/>
    <n v="1003"/>
    <x v="3"/>
    <s v="Old"/>
    <d v="2023-06-07T00:00:00"/>
    <n v="1292"/>
    <n v="54835.689999999995"/>
    <n v="969"/>
    <n v="1227.3999999999999"/>
    <n v="475.14944760959997"/>
    <n v="1645.0706999999998"/>
    <n v="417.6706999999999"/>
    <n v="129.20000000000002"/>
    <n v="1280.0430001179777"/>
    <n v="1262"/>
    <n v="1262"/>
    <n v="0"/>
    <n v="0"/>
    <n v="0"/>
    <n v="0"/>
    <n v="0"/>
    <n v="0"/>
    <n v="0"/>
    <s v="Release"/>
  </r>
  <r>
    <n v="0"/>
    <n v="18870.641133863199"/>
    <n v="18870.641133863199"/>
    <x v="115"/>
    <x v="114"/>
    <n v="0"/>
    <s v="MPG"/>
    <s v="Direct"/>
    <n v="1003"/>
    <x v="3"/>
    <s v="Old"/>
    <d v="2023-06-14T00:00:00"/>
    <n v="2548.85"/>
    <n v="95896.830000000016"/>
    <n v="1911.6374999999998"/>
    <n v="2421.4074999999998"/>
    <n v="2977.1297234713702"/>
    <n v="2876.9049000000005"/>
    <n v="455.49740000000065"/>
    <n v="254.88499999999999"/>
    <n v="305.56267647310608"/>
    <n v="6750"/>
    <n v="0"/>
    <n v="1917.9366000000005"/>
    <n v="0"/>
    <n v="0"/>
    <n v="0"/>
    <n v="4832"/>
    <n v="0"/>
    <n v="4832"/>
    <s v="Release"/>
  </r>
  <r>
    <n v="28402.084553281296"/>
    <n v="12800"/>
    <n v="41202.084553281296"/>
    <x v="116"/>
    <x v="115"/>
    <n v="0"/>
    <s v="MPG"/>
    <s v="Direct"/>
    <n v="1003"/>
    <x v="3"/>
    <s v="Old"/>
    <d v="2023-07-14T00:00:00"/>
    <n v="1672.6999999999996"/>
    <n v="75232.81"/>
    <n v="1254.5249999999996"/>
    <n v="1589.0649999999996"/>
    <n v="1118.8653702511601"/>
    <n v="2256.9842999999996"/>
    <n v="667.91930000000002"/>
    <n v="167.26999999999998"/>
    <n v="1006.4826131314571"/>
    <n v="2789"/>
    <n v="1861"/>
    <n v="0"/>
    <n v="0"/>
    <n v="0"/>
    <n v="0"/>
    <n v="928"/>
    <n v="0"/>
    <n v="928"/>
    <s v="Release"/>
  </r>
  <r>
    <n v="0"/>
    <n v="0"/>
    <n v="0"/>
    <x v="117"/>
    <x v="116"/>
    <n v="0"/>
    <s v="vlc"/>
    <s v="Indirect"/>
    <n v="1003"/>
    <x v="3"/>
    <s v="Old"/>
    <d v="2023-10-13T00:00:00"/>
    <n v="2395.3000000000002"/>
    <n v="97677.650000000009"/>
    <n v="1796.4750000000001"/>
    <n v="2275.5349999999999"/>
    <n v="0"/>
    <n v="2930.3295000000003"/>
    <n v="654.79450000000043"/>
    <n v="239.53000000000003"/>
    <n v="347.11821470059283"/>
    <n v="3485"/>
    <n v="0"/>
    <n v="0"/>
    <n v="0"/>
    <n v="0"/>
    <n v="0"/>
    <n v="3485"/>
    <n v="0"/>
    <n v="3485"/>
    <s v="Release"/>
  </r>
  <r>
    <n v="0"/>
    <n v="0"/>
    <n v="0"/>
    <x v="118"/>
    <x v="117"/>
    <n v="0"/>
    <s v="vlc"/>
    <s v="Indirect"/>
    <n v="1003"/>
    <x v="3"/>
    <s v="Old"/>
    <d v="2023-10-13T00:00:00"/>
    <n v="4339.8999999999996"/>
    <n v="163614.93999999997"/>
    <n v="3254.9249999999997"/>
    <n v="4122.9049999999997"/>
    <n v="0"/>
    <n v="4908.4481999999989"/>
    <n v="785.54319999999916"/>
    <n v="433.99"/>
    <n v="0"/>
    <n v="6944"/>
    <n v="0"/>
    <n v="0"/>
    <n v="0"/>
    <n v="0"/>
    <n v="0"/>
    <n v="6944"/>
    <n v="0"/>
    <n v="6944"/>
    <s v="Release"/>
  </r>
  <r>
    <n v="0"/>
    <n v="0"/>
    <n v="0"/>
    <x v="119"/>
    <x v="118"/>
    <n v="0"/>
    <s v="vlc"/>
    <s v="Indirect"/>
    <n v="1003"/>
    <x v="3"/>
    <s v="Old"/>
    <d v="2023-10-13T00:00:00"/>
    <n v="1335"/>
    <n v="52860.05"/>
    <n v="1001.25"/>
    <n v="1268.25"/>
    <n v="0"/>
    <n v="1585.8015"/>
    <n v="317.55150000000003"/>
    <n v="133.5"/>
    <n v="1161.9499752515239"/>
    <n v="974"/>
    <n v="0"/>
    <n v="0"/>
    <n v="0"/>
    <n v="0"/>
    <n v="0"/>
    <n v="974"/>
    <n v="0"/>
    <n v="974"/>
    <s v="Release"/>
  </r>
  <r>
    <n v="0"/>
    <n v="0"/>
    <n v="0"/>
    <x v="120"/>
    <x v="119"/>
    <n v="0"/>
    <s v="vlc"/>
    <s v="Indirect"/>
    <n v="1003"/>
    <x v="3"/>
    <s v="Old"/>
    <d v="2023-10-13T00:00:00"/>
    <n v="5850"/>
    <n v="226115.34999999998"/>
    <n v="4387.5"/>
    <n v="5557.5"/>
    <n v="0"/>
    <n v="6783.4604999999992"/>
    <n v="1225.9604999999992"/>
    <n v="585"/>
    <n v="0"/>
    <n v="9360"/>
    <n v="0"/>
    <n v="0"/>
    <n v="0"/>
    <n v="0"/>
    <n v="0"/>
    <n v="9360"/>
    <n v="0"/>
    <n v="9360"/>
    <s v="Release"/>
  </r>
  <r>
    <n v="0"/>
    <n v="0"/>
    <n v="0"/>
    <x v="121"/>
    <x v="120"/>
    <n v="0"/>
    <s v="vlc"/>
    <s v="Indirect"/>
    <n v="1003"/>
    <x v="3"/>
    <s v="Old"/>
    <d v="2023-10-13T00:00:00"/>
    <n v="5835"/>
    <n v="225811.62"/>
    <n v="4376.25"/>
    <n v="5543.25"/>
    <n v="0"/>
    <n v="6774.3485999999994"/>
    <n v="1231.0985999999994"/>
    <n v="583.5"/>
    <n v="0"/>
    <n v="9336"/>
    <n v="0"/>
    <n v="0"/>
    <n v="0"/>
    <n v="0"/>
    <n v="0"/>
    <n v="9336"/>
    <n v="0"/>
    <n v="9336"/>
    <s v="Release"/>
  </r>
  <r>
    <n v="0"/>
    <n v="0"/>
    <n v="0"/>
    <x v="122"/>
    <x v="121"/>
    <n v="0"/>
    <s v="vlc"/>
    <s v="Indirect"/>
    <n v="1003"/>
    <x v="3"/>
    <s v="Old"/>
    <d v="2023-10-13T00:00:00"/>
    <n v="1360"/>
    <n v="53977"/>
    <n v="1020"/>
    <n v="1292"/>
    <n v="0"/>
    <n v="1619.31"/>
    <n v="327.30999999999995"/>
    <n v="136"/>
    <n v="1143.3666269362545"/>
    <n v="1033"/>
    <n v="0"/>
    <n v="0"/>
    <n v="0"/>
    <n v="0"/>
    <n v="0"/>
    <n v="1033"/>
    <n v="0"/>
    <n v="1033"/>
    <s v="Release"/>
  </r>
  <r>
    <n v="0"/>
    <n v="0"/>
    <n v="0"/>
    <x v="123"/>
    <x v="122"/>
    <n v="0"/>
    <s v="vlc"/>
    <s v="Indirect"/>
    <n v="1003"/>
    <x v="3"/>
    <s v="Old"/>
    <d v="2023-10-13T00:00:00"/>
    <n v="1330"/>
    <n v="52656.749999999993"/>
    <n v="997.5"/>
    <n v="1263.5"/>
    <n v="0"/>
    <n v="1579.7024999999996"/>
    <n v="316.20249999999965"/>
    <n v="133"/>
    <n v="1166.0082524271845"/>
    <n v="962"/>
    <n v="0"/>
    <n v="0"/>
    <n v="0"/>
    <n v="0"/>
    <n v="0"/>
    <n v="962"/>
    <n v="0"/>
    <n v="962"/>
    <s v="Release"/>
  </r>
  <r>
    <n v="0"/>
    <n v="0"/>
    <n v="0"/>
    <x v="124"/>
    <x v="123"/>
    <n v="0"/>
    <s v="vlc"/>
    <s v="Indirect"/>
    <n v="1003"/>
    <x v="3"/>
    <s v="Old"/>
    <d v="2023-10-13T00:00:00"/>
    <n v="1340"/>
    <n v="53248.349999999991"/>
    <n v="1005"/>
    <n v="1273"/>
    <n v="0"/>
    <n v="1597.4504999999997"/>
    <n v="324.45049999999969"/>
    <n v="134"/>
    <n v="1159.5615922574159"/>
    <n v="984"/>
    <n v="0"/>
    <n v="0"/>
    <n v="0"/>
    <n v="0"/>
    <n v="0"/>
    <n v="984"/>
    <n v="0"/>
    <n v="984"/>
    <s v="Release"/>
  </r>
  <r>
    <n v="0"/>
    <n v="0"/>
    <n v="0"/>
    <x v="125"/>
    <x v="124"/>
    <n v="0"/>
    <s v="vlc"/>
    <s v="Indirect"/>
    <n v="1003"/>
    <x v="3"/>
    <s v="Old"/>
    <d v="2023-10-13T00:00:00"/>
    <n v="1375"/>
    <n v="54651.900000000009"/>
    <n v="1031.25"/>
    <n v="1306.25"/>
    <n v="0"/>
    <n v="1639.5570000000002"/>
    <n v="333.30700000000024"/>
    <n v="137.5"/>
    <n v="1132.6755825461087"/>
    <n v="1067"/>
    <n v="0"/>
    <n v="0"/>
    <n v="0"/>
    <n v="0"/>
    <n v="0"/>
    <n v="1067"/>
    <n v="0"/>
    <n v="1067"/>
    <s v="Release"/>
  </r>
  <r>
    <n v="14268.007833905969"/>
    <n v="19200"/>
    <n v="33468.007833905969"/>
    <x v="126"/>
    <x v="125"/>
    <n v="0"/>
    <s v="MPG"/>
    <s v="Direct"/>
    <n v="1003"/>
    <x v="3"/>
    <s v="Old"/>
    <d v="2023-11-06T00:00:00"/>
    <n v="699.65000000000009"/>
    <n v="26349.45"/>
    <n v="524.73750000000007"/>
    <n v="664.66750000000002"/>
    <n v="0"/>
    <n v="790.48350000000005"/>
    <n v="125.81600000000003"/>
    <n v="69.965000000000018"/>
    <n v="1119.1020947734858"/>
    <n v="0"/>
    <n v="0"/>
    <n v="0"/>
    <n v="0"/>
    <n v="0"/>
    <n v="0"/>
    <n v="0"/>
    <n v="0"/>
    <n v="0"/>
    <s v="Release"/>
  </r>
  <r>
    <n v="56063.030408937644"/>
    <n v="19200"/>
    <n v="75263.030408937644"/>
    <x v="127"/>
    <x v="126"/>
    <n v="0"/>
    <s v="MPG"/>
    <s v="Direct"/>
    <n v="1003"/>
    <x v="3"/>
    <s v="Old"/>
    <d v="2023-11-06T00:00:00"/>
    <n v="1306.1499999999999"/>
    <n v="46950.05"/>
    <n v="979.61249999999995"/>
    <n v="1240.8424999999997"/>
    <n v="620.41610818840013"/>
    <n v="1408.5015000000001"/>
    <n v="167.65900000000033"/>
    <n v="130.61499999999998"/>
    <n v="1073.8684368526665"/>
    <n v="1636"/>
    <n v="1636"/>
    <n v="0"/>
    <n v="0"/>
    <n v="0"/>
    <n v="0"/>
    <n v="0"/>
    <n v="0"/>
    <n v="0"/>
    <s v="Release"/>
  </r>
  <r>
    <n v="22529.868412247117"/>
    <n v="22400"/>
    <n v="44929.868412247117"/>
    <x v="128"/>
    <x v="127"/>
    <n v="0"/>
    <s v="MPG"/>
    <s v="Direct"/>
    <n v="1003"/>
    <x v="3"/>
    <s v="Old"/>
    <d v="2023-11-06T00:00:00"/>
    <n v="2171.5"/>
    <n v="78450.350000000006"/>
    <n v="1628.625"/>
    <n v="2062.9249999999997"/>
    <n v="2935.8288316019998"/>
    <n v="2353.5104999999999"/>
    <n v="290.58550000000014"/>
    <n v="217.15"/>
    <n v="485.41144292395455"/>
    <n v="5925"/>
    <n v="1861"/>
    <n v="0"/>
    <n v="0"/>
    <n v="0"/>
    <n v="0"/>
    <n v="4064"/>
    <n v="0"/>
    <n v="4064"/>
    <s v="Release"/>
  </r>
  <r>
    <n v="40969.591486946869"/>
    <n v="12800"/>
    <n v="53769.591486946869"/>
    <x v="129"/>
    <x v="128"/>
    <n v="0"/>
    <s v="MPG"/>
    <s v="Direct"/>
    <n v="1003"/>
    <x v="3"/>
    <s v="Old"/>
    <d v="2023-11-06T00:00:00"/>
    <n v="760.8"/>
    <n v="29439.950000000004"/>
    <n v="570.59999999999991"/>
    <n v="722.75999999999988"/>
    <n v="392.49917607700002"/>
    <n v="883.19850000000008"/>
    <n v="160.4385000000002"/>
    <n v="76.08"/>
    <n v="1573.9598954905732"/>
    <n v="36"/>
    <n v="36"/>
    <n v="0"/>
    <n v="0"/>
    <n v="0"/>
    <n v="0"/>
    <n v="0"/>
    <n v="0"/>
    <n v="0"/>
    <s v="Release"/>
  </r>
  <r>
    <n v="70682.601813169415"/>
    <n v="4006.4947378150359"/>
    <n v="74689.096550984454"/>
    <x v="130"/>
    <x v="129"/>
    <n v="0"/>
    <s v="MPG"/>
    <s v="Direct"/>
    <n v="1003"/>
    <x v="3"/>
    <s v="Old"/>
    <d v="2023-11-06T00:00:00"/>
    <n v="665.05"/>
    <n v="30716.689999999995"/>
    <n v="498.78749999999997"/>
    <n v="631.7974999999999"/>
    <n v="518.27386177654705"/>
    <n v="921.50069999999982"/>
    <n v="289.70319999999992"/>
    <n v="66.504999999999995"/>
    <n v="1582.4027285380264"/>
    <n v="0"/>
    <n v="0"/>
    <n v="0"/>
    <n v="0"/>
    <n v="0"/>
    <n v="0"/>
    <n v="0"/>
    <n v="0"/>
    <n v="0"/>
    <s v="Release"/>
  </r>
  <r>
    <n v="76744.147644814017"/>
    <n v="5153.3351999999995"/>
    <n v="81897.482844814018"/>
    <x v="131"/>
    <x v="130"/>
    <n v="0"/>
    <s v="MPG"/>
    <s v="Direct"/>
    <n v="1003"/>
    <x v="3"/>
    <s v="Old"/>
    <d v="2023-10-20T00:00:00"/>
    <n v="815.55000000000007"/>
    <n v="36122.97"/>
    <n v="611.66250000000002"/>
    <n v="774.77250000000004"/>
    <n v="0"/>
    <n v="1083.6891000000001"/>
    <n v="308.91660000000002"/>
    <n v="81.555000000000007"/>
    <n v="1305.3462281922525"/>
    <n v="0"/>
    <n v="0"/>
    <n v="0"/>
    <n v="0"/>
    <n v="0"/>
    <n v="0"/>
    <n v="0"/>
    <n v="0"/>
    <n v="0"/>
    <s v="Release"/>
  </r>
  <r>
    <n v="45663.273341277585"/>
    <n v="0"/>
    <n v="45663.273341277585"/>
    <x v="132"/>
    <x v="131"/>
    <n v="0"/>
    <s v="MPG"/>
    <s v="Direct"/>
    <n v="1003"/>
    <x v="3"/>
    <s v="Old"/>
    <d v="2024-02-01T00:00:00"/>
    <n v="1801.8000000000002"/>
    <n v="81424.890000000014"/>
    <n v="1351.3500000000001"/>
    <n v="1711.71"/>
    <n v="1068.8326445922401"/>
    <n v="2442.7467000000001"/>
    <n v="731.03670000000011"/>
    <n v="180.18000000000004"/>
    <n v="902.03860840440689"/>
    <n v="3050"/>
    <n v="1861"/>
    <n v="0"/>
    <n v="0"/>
    <n v="1189"/>
    <n v="0"/>
    <n v="0"/>
    <n v="0"/>
    <n v="0"/>
    <s v="Release"/>
  </r>
  <r>
    <n v="53910.280120420313"/>
    <n v="0"/>
    <n v="53910.280120420313"/>
    <x v="133"/>
    <x v="132"/>
    <n v="0"/>
    <s v="MPG"/>
    <s v="Direct"/>
    <n v="1003"/>
    <x v="3"/>
    <s v="Old"/>
    <d v="2024-02-01T00:00:00"/>
    <n v="1096.5"/>
    <n v="39071.64"/>
    <n v="822.375"/>
    <n v="1041.675"/>
    <n v="2517.3217303600004"/>
    <n v="1172.1491999999998"/>
    <n v="130.47419999999988"/>
    <n v="109.65"/>
    <n v="1214.6161743039606"/>
    <n v="3057"/>
    <n v="1861"/>
    <n v="0"/>
    <n v="0"/>
    <n v="0"/>
    <n v="0"/>
    <n v="1196"/>
    <n v="0"/>
    <n v="1196"/>
    <s v="Release"/>
  </r>
  <r>
    <n v="40208.184703577193"/>
    <n v="0"/>
    <n v="40208.184703577193"/>
    <x v="134"/>
    <x v="133"/>
    <n v="0"/>
    <s v="MPG"/>
    <s v="Direct"/>
    <n v="1003"/>
    <x v="3"/>
    <s v="Old"/>
    <d v="2024-02-01T00:00:00"/>
    <n v="2300"/>
    <n v="82927.83"/>
    <n v="1725"/>
    <n v="2185"/>
    <n v="2709.7756862128003"/>
    <n v="2487.8348999999998"/>
    <n v="302.83489999999983"/>
    <n v="230"/>
    <n v="359.49809016841994"/>
    <n v="6030"/>
    <n v="1861"/>
    <n v="0"/>
    <n v="0"/>
    <n v="0"/>
    <n v="0"/>
    <n v="4169"/>
    <n v="0"/>
    <n v="4169"/>
    <s v="Release"/>
  </r>
  <r>
    <n v="69898"/>
    <n v="0"/>
    <n v="69898"/>
    <x v="135"/>
    <x v="134"/>
    <n v="0"/>
    <s v="MPG"/>
    <s v="Direct"/>
    <n v="1003"/>
    <x v="3"/>
    <s v="Old"/>
    <d v="2024-08-20T00:00:00"/>
    <n v="435.29999999999995"/>
    <n v="15224.79"/>
    <n v="326.47499999999997"/>
    <n v="413.53499999999991"/>
    <n v="553.35966632140003"/>
    <n v="456.74369999999999"/>
    <n v="43.208700000000078"/>
    <n v="43.53"/>
    <n v="1249.357724781222"/>
    <n v="0"/>
    <n v="0"/>
    <n v="0"/>
    <n v="0"/>
    <n v="0"/>
    <n v="0"/>
    <n v="0"/>
    <n v="0"/>
    <n v="0"/>
    <s v="Release"/>
  </r>
  <r>
    <n v="60398.25699732326"/>
    <n v="0"/>
    <n v="60398.25699732326"/>
    <x v="136"/>
    <x v="135"/>
    <n v="0"/>
    <s v="MPG"/>
    <s v="Direct"/>
    <n v="1003"/>
    <x v="3"/>
    <s v="Old"/>
    <d v="2024-09-06T00:00:00"/>
    <n v="2419.8000000000002"/>
    <n v="96361.4"/>
    <n v="1814.8500000000001"/>
    <n v="2298.81"/>
    <n v="615.20281450579614"/>
    <n v="2890.8419999999996"/>
    <n v="592.0319999999997"/>
    <n v="241.98000000000002"/>
    <n v="401.73639757183821"/>
    <n v="4085"/>
    <n v="1927.2279999999998"/>
    <n v="0"/>
    <n v="0"/>
    <n v="0"/>
    <n v="0"/>
    <n v="2158"/>
    <n v="0"/>
    <n v="2158"/>
    <s v="Release"/>
  </r>
  <r>
    <n v="44120.724177469223"/>
    <n v="0"/>
    <n v="44120.724177469223"/>
    <x v="137"/>
    <x v="136"/>
    <n v="0"/>
    <s v="MPG"/>
    <s v="Direct"/>
    <n v="1003"/>
    <x v="3"/>
    <s v="Old"/>
    <d v="2024-08-01T00:00:00"/>
    <n v="2216.1"/>
    <n v="89012.579999999987"/>
    <n v="1662.0749999999998"/>
    <n v="2105.2949999999996"/>
    <n v="0"/>
    <n v="2670.3773999999994"/>
    <n v="565.08239999999978"/>
    <n v="221.61"/>
    <n v="502.59824014182936"/>
    <n v="3043"/>
    <n v="1861"/>
    <n v="0"/>
    <n v="0"/>
    <n v="0"/>
    <n v="0"/>
    <n v="1182"/>
    <n v="0"/>
    <n v="1182"/>
    <s v="Release"/>
  </r>
  <r>
    <n v="77864"/>
    <n v="0"/>
    <n v="77864"/>
    <x v="138"/>
    <x v="137"/>
    <n v="0"/>
    <s v="MPG"/>
    <s v="Direct"/>
    <n v="1003"/>
    <x v="3"/>
    <s v="Old"/>
    <d v="2024-12-05T00:00:00"/>
    <n v="454.05"/>
    <n v="21694.100000000006"/>
    <n v="340.53750000000002"/>
    <n v="431.34749999999997"/>
    <n v="738.35112694570012"/>
    <n v="650.82300000000021"/>
    <n v="219.47550000000024"/>
    <n v="45.405000000000001"/>
    <n v="1465.0675504886049"/>
    <n v="0"/>
    <n v="0"/>
    <n v="0"/>
    <n v="0"/>
    <n v="0"/>
    <n v="0"/>
    <n v="0"/>
    <n v="0"/>
    <n v="0"/>
    <s v="Release"/>
  </r>
  <r>
    <n v="60518.343843983595"/>
    <n v="0"/>
    <n v="60518.343843983595"/>
    <x v="139"/>
    <x v="138"/>
    <n v="0"/>
    <s v="MPG"/>
    <s v="Direct"/>
    <n v="1003"/>
    <x v="3"/>
    <s v="Old"/>
    <d v="2024-12-05T00:00:00"/>
    <n v="4328.7"/>
    <n v="178625.34"/>
    <n v="3246.5249999999996"/>
    <n v="4112.2649999999994"/>
    <n v="3549.8308714999998"/>
    <n v="5358.7601999999997"/>
    <n v="1246.4952000000003"/>
    <n v="432.87"/>
    <n v="5.7928914364042416"/>
    <n v="10470"/>
    <n v="3572.5068000000001"/>
    <n v="0"/>
    <n v="0"/>
    <n v="0"/>
    <n v="0"/>
    <n v="6897"/>
    <n v="6897"/>
    <n v="0"/>
    <s v="Yes"/>
  </r>
  <r>
    <n v="83123"/>
    <n v="0"/>
    <n v="83123"/>
    <x v="140"/>
    <x v="139"/>
    <n v="0"/>
    <s v="MPG"/>
    <s v="Direct"/>
    <n v="1003"/>
    <x v="3"/>
    <s v="Old"/>
    <d v="2024-12-05T00:00:00"/>
    <n v="763.15000000000009"/>
    <n v="32202.619999999995"/>
    <n v="572.36250000000007"/>
    <n v="724.99250000000006"/>
    <n v="320.22238864400003"/>
    <n v="966.07859999999982"/>
    <n v="241.08609999999976"/>
    <n v="76.315000000000012"/>
    <n v="1541.6723208877929"/>
    <n v="0"/>
    <n v="0"/>
    <n v="0"/>
    <n v="0"/>
    <n v="0"/>
    <n v="0"/>
    <n v="0"/>
    <n v="0"/>
    <n v="0"/>
    <s v="Release"/>
  </r>
  <r>
    <n v="110000"/>
    <n v="0"/>
    <n v="110000"/>
    <x v="141"/>
    <x v="140"/>
    <n v="0"/>
    <s v="vlc"/>
    <s v="Indirect"/>
    <n v="1003"/>
    <x v="3"/>
    <s v="Old"/>
    <d v="2025-01-23T00:00:00"/>
    <n v="3920.6500000000005"/>
    <n v="139648.95000000001"/>
    <n v="2940.4875000000002"/>
    <n v="3724.6175000000003"/>
    <n v="0"/>
    <n v="4189.4684999999999"/>
    <n v="464.85099999999966"/>
    <n v="392.06500000000005"/>
    <n v="0"/>
    <n v="6273"/>
    <n v="2792.9790000000003"/>
    <n v="0"/>
    <n v="0"/>
    <n v="0"/>
    <n v="0"/>
    <n v="3480"/>
    <n v="3480"/>
    <n v="0"/>
    <s v="Yes"/>
  </r>
  <r>
    <n v="72847.826522446587"/>
    <n v="0"/>
    <n v="72847.826522446587"/>
    <x v="142"/>
    <x v="141"/>
    <n v="0"/>
    <s v="MPG"/>
    <s v="Direct"/>
    <n v="1003"/>
    <x v="3"/>
    <s v="Old"/>
    <d v="2025-03-22T00:00:00"/>
    <n v="2105.3000000000002"/>
    <n v="93276.84"/>
    <n v="1578.9750000000001"/>
    <n v="2000.0350000000001"/>
    <n v="631.68468290690998"/>
    <n v="2798.3051999999998"/>
    <n v="798.2701999999997"/>
    <n v="210.53000000000003"/>
    <n v="618.37463266404575"/>
    <n v="3382"/>
    <n v="1865.5367999999999"/>
    <n v="0"/>
    <n v="0"/>
    <n v="0"/>
    <n v="0"/>
    <n v="1516"/>
    <n v="1516"/>
    <n v="0"/>
    <s v="Yes"/>
  </r>
  <r>
    <n v="76064.274422470655"/>
    <n v="0"/>
    <n v="76064.274422470655"/>
    <x v="143"/>
    <x v="142"/>
    <n v="0"/>
    <s v="MPG"/>
    <s v="Direct"/>
    <n v="1003"/>
    <x v="3"/>
    <s v="Old"/>
    <d v="2025-03-21T00:00:00"/>
    <n v="624.25"/>
    <n v="26883.75"/>
    <n v="468.1875"/>
    <n v="593.03750000000002"/>
    <n v="99.781620840000016"/>
    <n v="806.51249999999993"/>
    <n v="213.47499999999991"/>
    <n v="62.425000000000004"/>
    <n v="1098.1344364581771"/>
    <n v="0"/>
    <n v="0"/>
    <n v="0"/>
    <n v="0"/>
    <n v="0"/>
    <n v="0"/>
    <n v="0"/>
    <n v="0"/>
    <n v="0"/>
    <s v="Release"/>
  </r>
  <r>
    <n v="90000"/>
    <n v="0"/>
    <n v="90000"/>
    <x v="144"/>
    <x v="143"/>
    <n v="0"/>
    <s v="MPG"/>
    <s v="Direct"/>
    <n v="1003"/>
    <x v="3"/>
    <s v="Old"/>
    <d v="2025-07-09T00:00:00"/>
    <n v="1768.5499999999997"/>
    <n v="67869.399999999994"/>
    <n v="1326.4124999999999"/>
    <n v="1680.1224999999997"/>
    <n v="0"/>
    <n v="2036.0819999999997"/>
    <n v="355.95949999999993"/>
    <n v="176.85499999999999"/>
    <n v="789.71537145251091"/>
    <n v="2040"/>
    <n v="1861"/>
    <n v="0"/>
    <n v="0"/>
    <n v="0"/>
    <n v="0"/>
    <n v="179"/>
    <n v="0"/>
    <n v="179"/>
    <s v="Release"/>
  </r>
  <r>
    <n v="90000"/>
    <n v="0"/>
    <n v="90000"/>
    <x v="145"/>
    <x v="144"/>
    <n v="0"/>
    <s v="MPG"/>
    <s v="Direct"/>
    <n v="1003"/>
    <x v="3"/>
    <s v="Old"/>
    <d v="2025-07-25T00:00:00"/>
    <n v="372.19999999999993"/>
    <n v="16916.14"/>
    <n v="279.14999999999998"/>
    <n v="353.58999999999992"/>
    <n v="0"/>
    <n v="507.48419999999999"/>
    <n v="153.89420000000007"/>
    <n v="37.219999999999992"/>
    <n v="595.03140550605599"/>
    <n v="0"/>
    <n v="0"/>
    <n v="0"/>
    <n v="0"/>
    <n v="0"/>
    <n v="0"/>
    <n v="0"/>
    <n v="0"/>
    <n v="0"/>
    <s v="Release"/>
  </r>
  <r>
    <n v="90000"/>
    <n v="0"/>
    <n v="90000"/>
    <x v="146"/>
    <x v="145"/>
    <n v="0"/>
    <s v="MPG"/>
    <s v="Direct"/>
    <n v="1003"/>
    <x v="3"/>
    <s v="Old"/>
    <d v="2025-07-31T00:00:00"/>
    <n v="434.85000000000008"/>
    <n v="16134.82"/>
    <n v="326.13750000000005"/>
    <n v="413.10750000000007"/>
    <n v="112.06038676058002"/>
    <n v="484.04459999999995"/>
    <n v="70.937099999999873"/>
    <n v="43.485000000000014"/>
    <n v="808.17823733099408"/>
    <n v="0"/>
    <n v="0"/>
    <n v="0"/>
    <n v="0"/>
    <n v="0"/>
    <n v="0"/>
    <n v="0"/>
    <n v="0"/>
    <n v="0"/>
    <s v="Release"/>
  </r>
  <r>
    <n v="0"/>
    <n v="0"/>
    <n v="0"/>
    <x v="147"/>
    <x v="146"/>
    <n v="0"/>
    <s v="vlc"/>
    <s v="Indirect"/>
    <n v="1006"/>
    <x v="4"/>
    <s v="Old"/>
    <d v="2017-09-01T00:00:00"/>
    <n v="1318"/>
    <n v="61176.83"/>
    <n v="988.5"/>
    <n v="1252.0999999999999"/>
    <n v="0"/>
    <n v="1835.3049000000001"/>
    <n v="583.20490000000018"/>
    <n v="131.80000000000001"/>
    <n v="1388.4636048080713"/>
    <n v="720"/>
    <n v="0"/>
    <n v="0"/>
    <n v="0"/>
    <n v="0"/>
    <n v="0"/>
    <n v="720"/>
    <n v="0"/>
    <n v="720"/>
    <s v="Release"/>
  </r>
  <r>
    <n v="0"/>
    <n v="0"/>
    <n v="0"/>
    <x v="148"/>
    <x v="147"/>
    <n v="0"/>
    <s v="vlc"/>
    <s v="Indirect"/>
    <n v="1006"/>
    <x v="4"/>
    <s v="Old"/>
    <d v="2017-09-01T00:00:00"/>
    <n v="2453"/>
    <n v="98712.22"/>
    <n v="1839.75"/>
    <n v="2330.35"/>
    <n v="0"/>
    <n v="2961.3665999999998"/>
    <n v="631.01659999999993"/>
    <n v="245.3"/>
    <n v="356.63945277864292"/>
    <n v="3568"/>
    <n v="0"/>
    <n v="0"/>
    <n v="0"/>
    <n v="0"/>
    <n v="256.5"/>
    <n v="3312"/>
    <n v="0"/>
    <n v="3312"/>
    <s v="Release"/>
  </r>
  <r>
    <n v="0"/>
    <n v="0"/>
    <n v="0"/>
    <x v="149"/>
    <x v="148"/>
    <n v="0"/>
    <s v="vlc"/>
    <s v="Indirect"/>
    <n v="1006"/>
    <x v="4"/>
    <s v="Old"/>
    <d v="2017-09-01T00:00:00"/>
    <n v="8537.5"/>
    <n v="328936.71999999991"/>
    <n v="6403.125"/>
    <n v="8110.625"/>
    <n v="0"/>
    <n v="9868.1015999999963"/>
    <n v="1757.4765999999963"/>
    <n v="853.75"/>
    <n v="0"/>
    <n v="13660"/>
    <n v="0"/>
    <n v="0"/>
    <n v="0"/>
    <n v="0"/>
    <n v="256.5"/>
    <n v="13404"/>
    <n v="0"/>
    <n v="13404"/>
    <s v="Release"/>
  </r>
  <r>
    <n v="0"/>
    <n v="0"/>
    <n v="0"/>
    <x v="150"/>
    <x v="149"/>
    <n v="0"/>
    <s v="vlc"/>
    <s v="Indirect"/>
    <n v="1006"/>
    <x v="4"/>
    <s v="Old"/>
    <d v="2017-09-01T00:00:00"/>
    <n v="2522.5"/>
    <n v="94210.92"/>
    <n v="1891.875"/>
    <n v="2396.375"/>
    <n v="0"/>
    <n v="2826.3275999999996"/>
    <n v="429.95259999999962"/>
    <n v="252.25"/>
    <n v="301.62745310937981"/>
    <n v="3734"/>
    <n v="0"/>
    <n v="0"/>
    <n v="0"/>
    <n v="0"/>
    <n v="256.5"/>
    <n v="3478"/>
    <n v="0"/>
    <n v="3478"/>
    <s v="Release"/>
  </r>
  <r>
    <n v="0"/>
    <n v="0"/>
    <n v="0"/>
    <x v="151"/>
    <x v="150"/>
    <n v="0"/>
    <s v="vlc"/>
    <s v="Indirect"/>
    <n v="1006"/>
    <x v="4"/>
    <s v="Old"/>
    <d v="2017-09-01T00:00:00"/>
    <n v="686.1"/>
    <n v="24383.24"/>
    <n v="514.57500000000005"/>
    <n v="651.79499999999996"/>
    <n v="0"/>
    <n v="731.49720000000002"/>
    <n v="79.702200000000062"/>
    <n v="68.61"/>
    <n v="1097.7204497629659"/>
    <n v="0"/>
    <n v="0"/>
    <n v="0"/>
    <n v="0"/>
    <n v="0"/>
    <n v="0"/>
    <n v="0"/>
    <n v="0"/>
    <n v="0"/>
    <s v="Release"/>
  </r>
  <r>
    <n v="0"/>
    <n v="0"/>
    <n v="0"/>
    <x v="152"/>
    <x v="151"/>
    <n v="0"/>
    <s v="vlc"/>
    <s v="Indirect"/>
    <n v="1006"/>
    <x v="4"/>
    <s v="Old"/>
    <d v="2017-09-01T00:00:00"/>
    <n v="670.1"/>
    <n v="23776.230000000003"/>
    <n v="502.57500000000005"/>
    <n v="636.59500000000003"/>
    <n v="0"/>
    <n v="713.28690000000006"/>
    <n v="76.691900000000032"/>
    <n v="67.010000000000005"/>
    <n v="1071.7691868241827"/>
    <n v="0"/>
    <n v="0"/>
    <n v="0"/>
    <n v="0"/>
    <n v="0"/>
    <n v="0"/>
    <n v="0"/>
    <n v="0"/>
    <n v="0"/>
    <s v="Release"/>
  </r>
  <r>
    <n v="0"/>
    <n v="0"/>
    <n v="0"/>
    <x v="153"/>
    <x v="152"/>
    <n v="0"/>
    <s v="vlc"/>
    <s v="Indirect"/>
    <n v="1006"/>
    <x v="4"/>
    <s v="Old"/>
    <d v="2019-11-30T00:00:00"/>
    <n v="3876.7"/>
    <n v="170230.54"/>
    <n v="2907.5249999999996"/>
    <n v="3682.8649999999998"/>
    <n v="0"/>
    <n v="5106.9161999999997"/>
    <n v="1424.0511999999999"/>
    <n v="387.67"/>
    <n v="0"/>
    <n v="6203"/>
    <n v="0"/>
    <n v="0"/>
    <n v="0"/>
    <n v="0"/>
    <n v="0"/>
    <n v="6203"/>
    <n v="0"/>
    <n v="6203"/>
    <s v="Release"/>
  </r>
  <r>
    <n v="0"/>
    <n v="0"/>
    <n v="0"/>
    <x v="154"/>
    <x v="153"/>
    <n v="0"/>
    <s v="vlc"/>
    <s v="Indirect"/>
    <n v="1006"/>
    <x v="4"/>
    <s v="Old"/>
    <d v="2020-05-24T00:00:00"/>
    <n v="3470.4000000000005"/>
    <n v="146290.44"/>
    <n v="2602.8000000000002"/>
    <n v="3296.8800000000006"/>
    <n v="0"/>
    <n v="4388.7132000000001"/>
    <n v="1091.8331999999996"/>
    <n v="347.04000000000008"/>
    <n v="60.071932233502309"/>
    <n v="5493"/>
    <n v="0"/>
    <n v="0"/>
    <n v="0"/>
    <n v="0"/>
    <n v="0"/>
    <n v="5493"/>
    <n v="0"/>
    <n v="5493"/>
    <s v="Release"/>
  </r>
  <r>
    <n v="22319.950703868715"/>
    <n v="16000"/>
    <n v="38319.950703868715"/>
    <x v="155"/>
    <x v="154"/>
    <n v="0"/>
    <s v="MPG"/>
    <s v="Direct"/>
    <n v="1006"/>
    <x v="4"/>
    <s v="Old"/>
    <d v="2020-11-26T00:00:00"/>
    <n v="1109.4000000000001"/>
    <n v="57545.64"/>
    <n v="832.05000000000007"/>
    <n v="1053.93"/>
    <n v="1400.0919937646604"/>
    <n v="1726.3691999999999"/>
    <n v="672.4391999999998"/>
    <n v="110.94000000000001"/>
    <n v="1762.1985763294751"/>
    <n v="1413"/>
    <n v="1413"/>
    <n v="0"/>
    <n v="0"/>
    <n v="0"/>
    <n v="0"/>
    <n v="0"/>
    <n v="0"/>
    <n v="0"/>
    <s v="Release"/>
  </r>
  <r>
    <n v="0"/>
    <n v="0"/>
    <n v="0"/>
    <x v="156"/>
    <x v="155"/>
    <n v="0"/>
    <s v="vlc"/>
    <s v="Indirect"/>
    <n v="1006"/>
    <x v="4"/>
    <s v="Old"/>
    <d v="2021-03-01T00:00:00"/>
    <n v="4181.8"/>
    <n v="149360.04"/>
    <n v="3136.3500000000004"/>
    <n v="3972.71"/>
    <n v="0"/>
    <n v="4480.8011999999999"/>
    <n v="508.09119999999984"/>
    <n v="418.18000000000006"/>
    <n v="258.9113742410845"/>
    <n v="6432"/>
    <n v="0"/>
    <n v="0"/>
    <n v="0"/>
    <n v="0"/>
    <n v="0"/>
    <n v="6432"/>
    <n v="0"/>
    <n v="6432"/>
    <s v="Release"/>
  </r>
  <r>
    <n v="0"/>
    <n v="0"/>
    <n v="0"/>
    <x v="157"/>
    <x v="156"/>
    <n v="0"/>
    <s v="vlc"/>
    <s v="Indirect"/>
    <n v="1006"/>
    <x v="4"/>
    <s v="Old"/>
    <d v="2021-03-05T00:00:00"/>
    <n v="349"/>
    <n v="17188.45"/>
    <n v="261.75"/>
    <n v="331.55"/>
    <n v="0"/>
    <n v="515.65350000000001"/>
    <n v="184.1035"/>
    <n v="34.9"/>
    <n v="557.96934654629649"/>
    <n v="0"/>
    <n v="0"/>
    <n v="0"/>
    <n v="0"/>
    <n v="0"/>
    <n v="0"/>
    <n v="0"/>
    <n v="0"/>
    <n v="0"/>
    <s v="Release"/>
  </r>
  <r>
    <n v="0"/>
    <n v="0"/>
    <n v="0"/>
    <x v="158"/>
    <x v="157"/>
    <n v="0"/>
    <s v="vlc"/>
    <s v="Indirect"/>
    <n v="1006"/>
    <x v="4"/>
    <s v="Old"/>
    <d v="2022-04-01T00:00:00"/>
    <n v="1915.2"/>
    <n v="67815.650000000009"/>
    <n v="1436.4"/>
    <n v="1819.44"/>
    <n v="0"/>
    <n v="2034.4695000000002"/>
    <n v="215.0295000000001"/>
    <n v="191.52"/>
    <n v="618.35613768278847"/>
    <n v="2446"/>
    <n v="0"/>
    <n v="0"/>
    <n v="0"/>
    <n v="0"/>
    <n v="256.5"/>
    <n v="2190"/>
    <n v="0"/>
    <n v="2190"/>
    <s v="Release"/>
  </r>
  <r>
    <n v="0"/>
    <n v="0"/>
    <n v="0"/>
    <x v="159"/>
    <x v="158"/>
    <n v="0"/>
    <s v="vlc"/>
    <s v="Indirect"/>
    <n v="1006"/>
    <x v="4"/>
    <s v="Old"/>
    <d v="2022-04-01T00:00:00"/>
    <n v="1888.7000000000003"/>
    <n v="86104.29"/>
    <n v="1416.5250000000001"/>
    <n v="1794.2650000000001"/>
    <n v="0"/>
    <n v="2583.1286999999998"/>
    <n v="788.86369999999965"/>
    <n v="188.87000000000003"/>
    <n v="1178.276484394841"/>
    <n v="1844"/>
    <n v="0"/>
    <n v="0"/>
    <n v="0"/>
    <n v="0"/>
    <n v="0"/>
    <n v="1844"/>
    <n v="0"/>
    <n v="1844"/>
    <s v="Release"/>
  </r>
  <r>
    <n v="0"/>
    <n v="0"/>
    <n v="0"/>
    <x v="160"/>
    <x v="159"/>
    <n v="0"/>
    <s v="MPG"/>
    <s v="Direct"/>
    <n v="1006"/>
    <x v="4"/>
    <s v="Old"/>
    <d v="2022-05-16T00:00:00"/>
    <n v="2704.7"/>
    <n v="101600.92"/>
    <n v="2028.5249999999999"/>
    <n v="2569.4649999999997"/>
    <n v="2031.9405792800001"/>
    <n v="3048.0275999999999"/>
    <n v="478.5626000000002"/>
    <n v="270.46999999999997"/>
    <n v="176.3889977340998"/>
    <n v="6183"/>
    <n v="0"/>
    <n v="0"/>
    <n v="0"/>
    <n v="0"/>
    <n v="0"/>
    <n v="6183"/>
    <n v="0"/>
    <n v="6183"/>
    <s v="Release"/>
  </r>
  <r>
    <n v="0"/>
    <n v="0"/>
    <n v="0"/>
    <x v="161"/>
    <x v="160"/>
    <n v="0"/>
    <s v="vlc"/>
    <s v="Indirect"/>
    <n v="1006"/>
    <x v="4"/>
    <s v="Old"/>
    <d v="2022-06-05T00:00:00"/>
    <n v="76.599999999999994"/>
    <n v="3376.2200000000003"/>
    <n v="57.449999999999996"/>
    <n v="72.77"/>
    <n v="0"/>
    <n v="101.28660000000001"/>
    <n v="28.516600000000011"/>
    <n v="7.66"/>
    <n v="122.38566948056587"/>
    <n v="0"/>
    <n v="0"/>
    <n v="0"/>
    <n v="0"/>
    <n v="0"/>
    <n v="0"/>
    <n v="0"/>
    <n v="0"/>
    <n v="0"/>
    <s v="Release"/>
  </r>
  <r>
    <n v="0"/>
    <n v="2609.1486162001966"/>
    <n v="2609.1486162001966"/>
    <x v="162"/>
    <x v="161"/>
    <n v="0"/>
    <s v="MPG"/>
    <s v="Direct"/>
    <n v="1006"/>
    <x v="4"/>
    <s v="Old"/>
    <d v="2022-11-01T00:00:00"/>
    <n v="225.3"/>
    <n v="8979.65"/>
    <n v="168.97500000000002"/>
    <n v="214.035"/>
    <n v="161.32052735600001"/>
    <n v="269.3895"/>
    <n v="55.354500000000002"/>
    <n v="22.53"/>
    <n v="521.92814943458734"/>
    <n v="0"/>
    <n v="0"/>
    <n v="0"/>
    <n v="0"/>
    <n v="0"/>
    <n v="0"/>
    <n v="0"/>
    <n v="0"/>
    <n v="0"/>
    <s v="Release"/>
  </r>
  <r>
    <n v="2835.0029966506409"/>
    <n v="19201"/>
    <n v="22036.002996650641"/>
    <x v="163"/>
    <x v="162"/>
    <n v="0"/>
    <s v="MPG"/>
    <s v="Direct"/>
    <n v="1006"/>
    <x v="4"/>
    <s v="Old"/>
    <d v="2022-11-01T00:00:00"/>
    <n v="1659.3999999999999"/>
    <n v="84419.36"/>
    <n v="1244.55"/>
    <n v="1576.4299999999998"/>
    <n v="693.01512637574001"/>
    <n v="2532.5807999999997"/>
    <n v="956.15079999999989"/>
    <n v="165.94"/>
    <n v="1272.8779914845577"/>
    <n v="2075"/>
    <n v="1861"/>
    <n v="0"/>
    <n v="0"/>
    <n v="0"/>
    <n v="0"/>
    <n v="214"/>
    <n v="0"/>
    <n v="214"/>
    <s v="Release"/>
  </r>
  <r>
    <n v="0"/>
    <n v="3642.3373577398452"/>
    <n v="3642.3373577398452"/>
    <x v="164"/>
    <x v="163"/>
    <n v="0"/>
    <s v="MPG"/>
    <s v="Direct"/>
    <n v="1006"/>
    <x v="4"/>
    <s v="Old"/>
    <d v="2022-11-01T00:00:00"/>
    <n v="5764.2999999999993"/>
    <n v="267651.98"/>
    <n v="4323.2249999999995"/>
    <n v="5476.0849999999991"/>
    <n v="4958.1242052612997"/>
    <n v="8029.5593999999992"/>
    <n v="2553.4744000000001"/>
    <n v="576.42999999999995"/>
    <n v="0"/>
    <n v="14181"/>
    <n v="0"/>
    <n v="3642.3373577398452"/>
    <n v="0"/>
    <n v="0"/>
    <n v="0"/>
    <n v="10539"/>
    <n v="0"/>
    <n v="10539"/>
    <s v="Release"/>
  </r>
  <r>
    <n v="0"/>
    <n v="0"/>
    <n v="0"/>
    <x v="165"/>
    <x v="164"/>
    <n v="0"/>
    <s v="vlc"/>
    <s v="Indirect"/>
    <n v="1006"/>
    <x v="4"/>
    <s v="Old"/>
    <d v="2023-01-24T00:00:00"/>
    <n v="1090.9000000000001"/>
    <n v="36564.14"/>
    <n v="818.17500000000007"/>
    <n v="1036.355"/>
    <n v="0"/>
    <n v="1096.9241999999999"/>
    <n v="60.56919999999991"/>
    <n v="109.09000000000002"/>
    <n v="1166.6342847580518"/>
    <n v="579"/>
    <n v="0"/>
    <n v="0"/>
    <n v="0"/>
    <n v="0"/>
    <n v="0"/>
    <n v="579"/>
    <n v="0"/>
    <n v="579"/>
    <s v="Release"/>
  </r>
  <r>
    <n v="0"/>
    <n v="1124.916374273831"/>
    <n v="1124.916374273831"/>
    <x v="166"/>
    <x v="165"/>
    <n v="0"/>
    <s v="MPG"/>
    <s v="Direct"/>
    <n v="1006"/>
    <x v="4"/>
    <s v="Old"/>
    <d v="2023-02-01T00:00:00"/>
    <n v="4700.3999999999996"/>
    <n v="215600.63999999996"/>
    <n v="3525.2999999999997"/>
    <n v="4465.3799999999992"/>
    <n v="2591.0445538542299"/>
    <n v="6468.0191999999988"/>
    <n v="2002.6391999999996"/>
    <n v="470.03999999999996"/>
    <n v="0"/>
    <n v="10112"/>
    <n v="0"/>
    <n v="1124.916374273831"/>
    <n v="0"/>
    <n v="0"/>
    <n v="0"/>
    <n v="8987"/>
    <n v="0"/>
    <n v="8987"/>
    <s v="Release"/>
  </r>
  <r>
    <n v="39440.16339999999"/>
    <n v="8746"/>
    <n v="48186.16339999999"/>
    <x v="167"/>
    <x v="166"/>
    <n v="0"/>
    <s v="MPG"/>
    <s v="Direct"/>
    <n v="1006"/>
    <x v="4"/>
    <s v="Old"/>
    <d v="2023-05-03T00:00:00"/>
    <n v="2600"/>
    <n v="102776.18999999999"/>
    <n v="1950"/>
    <n v="2470"/>
    <n v="0"/>
    <n v="3083.2856999999995"/>
    <n v="613.28569999999945"/>
    <n v="260"/>
    <n v="201.1186444398152"/>
    <n v="3959"/>
    <n v="2055.5237999999999"/>
    <n v="0"/>
    <n v="0"/>
    <n v="0"/>
    <n v="0"/>
    <n v="1903"/>
    <n v="0"/>
    <n v="1903"/>
    <s v="Release"/>
  </r>
  <r>
    <n v="0"/>
    <n v="0"/>
    <n v="0"/>
    <x v="168"/>
    <x v="167"/>
    <n v="0"/>
    <s v="MPG"/>
    <s v="Direct"/>
    <n v="1006"/>
    <x v="4"/>
    <s v="Old"/>
    <d v="2023-05-03T00:00:00"/>
    <n v="7723.8000000000011"/>
    <n v="395393.92999999993"/>
    <n v="5792.85"/>
    <n v="7337.6100000000006"/>
    <n v="4936.6448072929097"/>
    <n v="11861.817899999998"/>
    <n v="4524.2078999999976"/>
    <n v="772.38000000000011"/>
    <n v="0"/>
    <n v="17295"/>
    <n v="0"/>
    <n v="0"/>
    <n v="0"/>
    <n v="0"/>
    <n v="0"/>
    <n v="17295"/>
    <n v="0"/>
    <n v="17295"/>
    <s v="Release"/>
  </r>
  <r>
    <n v="38133.134272778741"/>
    <n v="9600"/>
    <n v="47733.134272778741"/>
    <x v="169"/>
    <x v="168"/>
    <n v="0"/>
    <s v="MPG"/>
    <s v="Direct"/>
    <n v="1006"/>
    <x v="4"/>
    <s v="Old"/>
    <d v="2023-07-13T00:00:00"/>
    <n v="1196.1999999999998"/>
    <n v="55378.229999999996"/>
    <n v="897.14999999999986"/>
    <n v="1136.3899999999999"/>
    <n v="977.5353984699002"/>
    <n v="1661.3468999999998"/>
    <n v="524.95689999999991"/>
    <n v="119.61999999999999"/>
    <n v="1491.9237409272537"/>
    <n v="1400"/>
    <n v="1400"/>
    <n v="0"/>
    <n v="0"/>
    <n v="0"/>
    <n v="0"/>
    <n v="0"/>
    <n v="0"/>
    <n v="0"/>
    <s v="Release"/>
  </r>
  <r>
    <n v="32462.822502897703"/>
    <n v="13203.0506"/>
    <n v="45665.873102897705"/>
    <x v="170"/>
    <x v="169"/>
    <n v="0"/>
    <s v="MPG"/>
    <s v="Direct"/>
    <n v="1006"/>
    <x v="4"/>
    <s v="Old"/>
    <d v="2023-07-14T00:00:00"/>
    <n v="841.19999999999982"/>
    <n v="43237.96"/>
    <n v="630.89999999999986"/>
    <n v="799.13999999999976"/>
    <n v="116.164287876"/>
    <n v="1297.1387999999999"/>
    <n v="497.99880000000019"/>
    <n v="84.11999999999999"/>
    <n v="1292.7561071516698"/>
    <n v="169"/>
    <n v="169"/>
    <n v="0"/>
    <n v="0"/>
    <n v="0"/>
    <n v="0"/>
    <n v="0"/>
    <n v="0"/>
    <n v="0"/>
    <s v="Release"/>
  </r>
  <r>
    <n v="0"/>
    <n v="0"/>
    <n v="0"/>
    <x v="171"/>
    <x v="170"/>
    <n v="0"/>
    <s v="vlc"/>
    <s v="Indirect"/>
    <n v="1006"/>
    <x v="4"/>
    <s v="Old"/>
    <d v="2023-08-17T00:00:00"/>
    <n v="5190.2000000000007"/>
    <n v="224340.92000000004"/>
    <n v="3892.6500000000005"/>
    <n v="4930.6900000000005"/>
    <n v="0"/>
    <n v="6730.2276000000011"/>
    <n v="1799.5376000000006"/>
    <n v="519.0200000000001"/>
    <n v="0"/>
    <n v="8304"/>
    <n v="0"/>
    <n v="0"/>
    <n v="0"/>
    <n v="0"/>
    <n v="0"/>
    <n v="8304"/>
    <n v="0"/>
    <n v="8304"/>
    <s v="Release"/>
  </r>
  <r>
    <n v="0"/>
    <n v="0"/>
    <n v="0"/>
    <x v="172"/>
    <x v="171"/>
    <n v="0"/>
    <s v="vlc"/>
    <s v="Indirect"/>
    <n v="1006"/>
    <x v="4"/>
    <s v="Old"/>
    <d v="2023-08-18T00:00:00"/>
    <n v="1097.7"/>
    <n v="39450.350000000006"/>
    <n v="823.27500000000009"/>
    <n v="1042.8150000000001"/>
    <n v="0"/>
    <n v="1183.5105000000001"/>
    <n v="140.69550000000004"/>
    <n v="109.77000000000001"/>
    <n v="1193.4022870908316"/>
    <n v="563"/>
    <n v="0"/>
    <n v="0"/>
    <n v="0"/>
    <n v="0"/>
    <n v="0"/>
    <n v="563"/>
    <n v="0"/>
    <n v="563"/>
    <s v="Release"/>
  </r>
  <r>
    <n v="0"/>
    <n v="0"/>
    <n v="0"/>
    <x v="173"/>
    <x v="172"/>
    <n v="0"/>
    <s v="vlc"/>
    <s v="Indirect"/>
    <n v="1006"/>
    <x v="4"/>
    <s v="Old"/>
    <d v="2023-02-01T00:00:00"/>
    <n v="758.4"/>
    <n v="29359.579999999998"/>
    <n v="568.79999999999995"/>
    <n v="720.4799999999999"/>
    <n v="0"/>
    <n v="880.78739999999993"/>
    <n v="160.30740000000003"/>
    <n v="75.84"/>
    <n v="1213.739109183168"/>
    <n v="0"/>
    <n v="0"/>
    <n v="0"/>
    <n v="0"/>
    <n v="0"/>
    <n v="0"/>
    <n v="0"/>
    <n v="0"/>
    <n v="0"/>
    <s v="Release"/>
  </r>
  <r>
    <n v="0"/>
    <n v="0"/>
    <n v="0"/>
    <x v="174"/>
    <x v="173"/>
    <n v="0"/>
    <s v="vlc"/>
    <s v="Indirect"/>
    <n v="1006"/>
    <x v="4"/>
    <s v="Old"/>
    <d v="2023-08-12T00:00:00"/>
    <n v="1680.9"/>
    <n v="59759.7"/>
    <n v="1260.6750000000002"/>
    <n v="1596.855"/>
    <n v="0"/>
    <n v="1792.7909999999999"/>
    <n v="195.93599999999992"/>
    <n v="168.09000000000003"/>
    <n v="749.3977843168982"/>
    <n v="1940"/>
    <n v="0"/>
    <n v="0"/>
    <n v="0"/>
    <n v="0"/>
    <n v="0"/>
    <n v="1940"/>
    <n v="0"/>
    <n v="1940"/>
    <s v="Release"/>
  </r>
  <r>
    <n v="0"/>
    <n v="0"/>
    <n v="0"/>
    <x v="175"/>
    <x v="174"/>
    <n v="0"/>
    <s v="vlc"/>
    <s v="Indirect"/>
    <n v="1006"/>
    <x v="4"/>
    <s v="Old"/>
    <d v="2023-02-01T00:00:00"/>
    <n v="1222.5999999999999"/>
    <n v="59570.7"/>
    <n v="916.94999999999993"/>
    <n v="1161.4699999999998"/>
    <n v="0"/>
    <n v="1787.1209999999999"/>
    <n v="625.65100000000007"/>
    <n v="122.25999999999999"/>
    <n v="1560.2957000538308"/>
    <n v="396"/>
    <n v="0"/>
    <n v="0"/>
    <n v="0"/>
    <n v="0"/>
    <n v="0"/>
    <n v="396"/>
    <n v="0"/>
    <n v="396"/>
    <s v="Release"/>
  </r>
  <r>
    <n v="32110.955172559305"/>
    <n v="0"/>
    <n v="32110.955172559305"/>
    <x v="176"/>
    <x v="175"/>
    <n v="0"/>
    <s v="MPG"/>
    <s v="Direct"/>
    <n v="1006"/>
    <x v="4"/>
    <s v="Old"/>
    <d v="2023-12-07T00:00:00"/>
    <n v="1206.0999999999999"/>
    <n v="53528.650000000009"/>
    <n v="904.57499999999993"/>
    <n v="1145.7949999999998"/>
    <n v="0"/>
    <n v="1605.8595000000003"/>
    <n v="460.06450000000041"/>
    <n v="120.61"/>
    <n v="1416.3652027836808"/>
    <n v="513"/>
    <n v="513"/>
    <n v="0"/>
    <n v="0"/>
    <n v="0"/>
    <n v="0"/>
    <n v="0"/>
    <n v="0"/>
    <n v="0"/>
    <s v="Release"/>
  </r>
  <r>
    <n v="42332.86814433703"/>
    <n v="0"/>
    <n v="42332.86814433703"/>
    <x v="177"/>
    <x v="176"/>
    <n v="0"/>
    <s v="MPG"/>
    <s v="Direct"/>
    <n v="1006"/>
    <x v="4"/>
    <s v="Old"/>
    <d v="2023-12-07T00:00:00"/>
    <n v="2390.7000000000003"/>
    <n v="117248.03"/>
    <n v="1793.0250000000001"/>
    <n v="2271.165"/>
    <n v="1754.06141872065"/>
    <n v="3517.4409000000001"/>
    <n v="1246.2759000000001"/>
    <n v="239.07000000000005"/>
    <n v="418.91421788319985"/>
    <n v="5160"/>
    <n v="2344.9605999999999"/>
    <n v="0"/>
    <n v="0"/>
    <n v="0"/>
    <n v="0"/>
    <n v="2815"/>
    <n v="0"/>
    <n v="2815"/>
    <s v="Release"/>
  </r>
  <r>
    <n v="0"/>
    <n v="0"/>
    <n v="0"/>
    <x v="178"/>
    <x v="177"/>
    <n v="0"/>
    <s v="vlc"/>
    <s v="Indirect"/>
    <n v="1006"/>
    <x v="4"/>
    <s v="Old"/>
    <d v="2023-11-24T00:00:00"/>
    <n v="507.9"/>
    <n v="21923.120000000003"/>
    <n v="380.92499999999995"/>
    <n v="482.50499999999994"/>
    <n v="0"/>
    <n v="657.69360000000006"/>
    <n v="175.18860000000012"/>
    <n v="50.79"/>
    <n v="812.63176867948187"/>
    <n v="0"/>
    <n v="0"/>
    <n v="0"/>
    <n v="0"/>
    <n v="0"/>
    <n v="0"/>
    <n v="0"/>
    <n v="0"/>
    <n v="0"/>
    <s v="Release"/>
  </r>
  <r>
    <n v="0"/>
    <n v="0"/>
    <n v="0"/>
    <x v="179"/>
    <x v="178"/>
    <n v="0"/>
    <s v="vlc"/>
    <s v="Indirect"/>
    <n v="1006"/>
    <x v="4"/>
    <s v="Old"/>
    <d v="2023-11-24T00:00:00"/>
    <n v="924.3"/>
    <n v="33596.909999999996"/>
    <n v="693.22499999999991"/>
    <n v="878.08499999999992"/>
    <n v="0"/>
    <n v="1007.9072999999999"/>
    <n v="129.82229999999993"/>
    <n v="92.43"/>
    <n v="344.61693673055112"/>
    <n v="1134"/>
    <n v="0"/>
    <n v="0"/>
    <n v="0"/>
    <n v="0"/>
    <n v="0"/>
    <n v="1134"/>
    <n v="0"/>
    <n v="1134"/>
    <s v="Release"/>
  </r>
  <r>
    <n v="0"/>
    <n v="0"/>
    <n v="0"/>
    <x v="180"/>
    <x v="179"/>
    <n v="0"/>
    <s v="vlc"/>
    <s v="Indirect"/>
    <n v="1006"/>
    <x v="4"/>
    <s v="Old"/>
    <d v="2023-11-05T00:00:00"/>
    <n v="840.7"/>
    <n v="31963.549999999996"/>
    <n v="630.52500000000009"/>
    <n v="798.66499999999996"/>
    <n v="0"/>
    <n v="958.90649999999982"/>
    <n v="160.24149999999986"/>
    <n v="84.070000000000007"/>
    <n v="955.29241667748317"/>
    <n v="390"/>
    <n v="0"/>
    <n v="0"/>
    <n v="0"/>
    <n v="0"/>
    <n v="0"/>
    <n v="390"/>
    <n v="0"/>
    <n v="390"/>
    <s v="Release"/>
  </r>
  <r>
    <n v="35585.941665082661"/>
    <n v="0"/>
    <n v="35585.941665082661"/>
    <x v="181"/>
    <x v="180"/>
    <n v="0"/>
    <s v="MPG"/>
    <s v="Direct"/>
    <n v="1006"/>
    <x v="4"/>
    <s v="Old"/>
    <d v="2023-09-29T00:00:00"/>
    <n v="859.7"/>
    <n v="37566.36"/>
    <n v="644.77500000000009"/>
    <n v="816.71500000000003"/>
    <n v="471.23876577919998"/>
    <n v="1126.9908"/>
    <n v="310.2758"/>
    <n v="85.970000000000013"/>
    <n v="1645.6175597433505"/>
    <n v="201"/>
    <n v="201"/>
    <n v="0"/>
    <n v="0"/>
    <n v="0"/>
    <n v="0"/>
    <n v="0"/>
    <n v="0"/>
    <n v="0"/>
    <s v="Release"/>
  </r>
  <r>
    <n v="0"/>
    <n v="0"/>
    <n v="0"/>
    <x v="182"/>
    <x v="181"/>
    <n v="0"/>
    <s v="vlc"/>
    <s v="Indirect"/>
    <n v="1006"/>
    <x v="4"/>
    <s v="Old"/>
    <d v="2024-02-01T00:00:00"/>
    <n v="1201.5"/>
    <n v="48441.120000000003"/>
    <n v="901.125"/>
    <n v="1141.425"/>
    <n v="0"/>
    <n v="1453.2336"/>
    <n v="311.80860000000007"/>
    <n v="120.15"/>
    <n v="1287.7220395396705"/>
    <n v="635"/>
    <n v="0"/>
    <n v="0"/>
    <n v="0"/>
    <n v="0"/>
    <n v="0"/>
    <n v="635"/>
    <n v="0"/>
    <n v="635"/>
    <s v="Release"/>
  </r>
  <r>
    <n v="57167.368973298508"/>
    <n v="0"/>
    <n v="57167.368973298508"/>
    <x v="183"/>
    <x v="182"/>
    <n v="0"/>
    <s v="MPG"/>
    <s v="Direct"/>
    <n v="1006"/>
    <x v="4"/>
    <s v="Old"/>
    <d v="2024-02-01T00:00:00"/>
    <n v="215.9"/>
    <n v="9018.0300000000007"/>
    <n v="161.92500000000001"/>
    <n v="205.10499999999999"/>
    <n v="81.497009744400003"/>
    <n v="270.54090000000002"/>
    <n v="65.435900000000032"/>
    <n v="21.590000000000003"/>
    <n v="426.68455772626658"/>
    <n v="0"/>
    <n v="0"/>
    <n v="0"/>
    <n v="0"/>
    <n v="0"/>
    <n v="0"/>
    <n v="0"/>
    <n v="0"/>
    <n v="0"/>
    <s v="Release"/>
  </r>
  <r>
    <n v="77510"/>
    <n v="0"/>
    <n v="77510"/>
    <x v="184"/>
    <x v="183"/>
    <n v="0"/>
    <s v="MPG"/>
    <s v="Direct"/>
    <n v="1006"/>
    <x v="4"/>
    <s v="Old"/>
    <d v="2024-09-15T00:00:00"/>
    <n v="316"/>
    <n v="12954.100000000002"/>
    <n v="237"/>
    <n v="300.2"/>
    <n v="38.020000000000003"/>
    <n v="388.62300000000005"/>
    <n v="88.423000000000059"/>
    <n v="31.6"/>
    <n v="543.24853207436058"/>
    <n v="0"/>
    <n v="0"/>
    <n v="0"/>
    <n v="0"/>
    <n v="0"/>
    <n v="0"/>
    <n v="0"/>
    <n v="0"/>
    <n v="0"/>
    <s v="Release"/>
  </r>
  <r>
    <n v="76439"/>
    <n v="0"/>
    <n v="76439"/>
    <x v="185"/>
    <x v="184"/>
    <n v="0"/>
    <s v="MPG"/>
    <s v="Direct"/>
    <n v="1006"/>
    <x v="4"/>
    <s v="Old"/>
    <d v="2024-11-11T00:00:00"/>
    <n v="8.3999999999999986"/>
    <n v="417.53999999999996"/>
    <n v="6.2999999999999989"/>
    <n v="7.9799999999999986"/>
    <n v="11.023611786"/>
    <n v="12.526199999999998"/>
    <n v="4.5461999999999989"/>
    <n v="0.83999999999999986"/>
    <n v="24.549200000000155"/>
    <n v="0"/>
    <n v="0"/>
    <n v="0"/>
    <n v="0"/>
    <n v="0"/>
    <n v="0"/>
    <n v="0"/>
    <n v="0"/>
    <n v="0"/>
    <s v="Release"/>
  </r>
  <r>
    <n v="80895"/>
    <n v="0"/>
    <n v="80895"/>
    <x v="186"/>
    <x v="185"/>
    <n v="0"/>
    <s v="MPG"/>
    <s v="Direct"/>
    <n v="1006"/>
    <x v="4"/>
    <s v="Old"/>
    <d v="2024-12-05T00:00:00"/>
    <n v="766.10000000000014"/>
    <n v="36578.69"/>
    <n v="574.57500000000005"/>
    <n v="727.79500000000007"/>
    <n v="294.8876310600001"/>
    <n v="1097.3607"/>
    <n v="369.56569999999988"/>
    <n v="76.610000000000014"/>
    <n v="1520.6212941333165"/>
    <n v="0"/>
    <n v="0"/>
    <n v="0"/>
    <n v="0"/>
    <n v="0"/>
    <n v="0"/>
    <n v="0"/>
    <n v="0"/>
    <n v="0"/>
    <s v="Release"/>
  </r>
  <r>
    <n v="82081.654401205364"/>
    <n v="10644.76976373949"/>
    <n v="92726.424164944852"/>
    <x v="187"/>
    <x v="186"/>
    <n v="0"/>
    <s v="MPG"/>
    <s v="Direct"/>
    <n v="1006"/>
    <x v="4"/>
    <s v="Old"/>
    <d v="2024-12-05T00:00:00"/>
    <n v="875.59999999999991"/>
    <n v="41167.440000000002"/>
    <n v="656.69999999999993"/>
    <n v="831.81999999999982"/>
    <n v="862.80095033092005"/>
    <n v="1235.0232000000001"/>
    <n v="403.20320000000027"/>
    <n v="87.56"/>
    <n v="1802.8705881950518"/>
    <n v="461"/>
    <n v="461"/>
    <n v="0"/>
    <n v="0"/>
    <n v="0"/>
    <n v="0"/>
    <n v="0"/>
    <n v="0"/>
    <n v="0"/>
    <s v="Release"/>
  </r>
  <r>
    <n v="62405.838494397765"/>
    <n v="2453.0201150835856"/>
    <n v="64858.858609481351"/>
    <x v="188"/>
    <x v="187"/>
    <n v="0"/>
    <s v="MPG"/>
    <s v="Direct"/>
    <n v="1006"/>
    <x v="4"/>
    <s v="Old"/>
    <d v="2025-01-07T00:00:00"/>
    <n v="1391.8999999999999"/>
    <n v="53728.54"/>
    <n v="1043.925"/>
    <n v="1322.3049999999998"/>
    <n v="665.29440660000012"/>
    <n v="1611.8561999999999"/>
    <n v="289.55120000000011"/>
    <n v="139.19"/>
    <n v="1083.9057900171488"/>
    <n v="1808"/>
    <n v="1808"/>
    <n v="0"/>
    <n v="0"/>
    <n v="0"/>
    <n v="0"/>
    <n v="0"/>
    <n v="0"/>
    <n v="0"/>
    <s v="Release"/>
  </r>
  <r>
    <n v="56216.663973529219"/>
    <n v="12085.051599571569"/>
    <n v="68301.715573100781"/>
    <x v="189"/>
    <x v="188"/>
    <n v="0"/>
    <s v="MPG"/>
    <s v="Direct"/>
    <n v="1006"/>
    <x v="4"/>
    <s v="Old"/>
    <d v="2024-12-27T00:00:00"/>
    <n v="2474.4999999999995"/>
    <n v="103712.79"/>
    <n v="1855.8749999999995"/>
    <n v="2350.7749999999996"/>
    <n v="1764.1992324898797"/>
    <n v="3111.3836999999999"/>
    <n v="760.60870000000023"/>
    <n v="247.44999999999996"/>
    <n v="327.95578512703213"/>
    <n v="5395"/>
    <n v="2074.2557999999999"/>
    <n v="0"/>
    <n v="0"/>
    <n v="0"/>
    <n v="0"/>
    <n v="3321"/>
    <n v="0"/>
    <n v="3321"/>
    <s v="Release"/>
  </r>
  <r>
    <n v="0"/>
    <n v="0"/>
    <n v="0"/>
    <x v="190"/>
    <x v="189"/>
    <n v="0"/>
    <s v="vlc"/>
    <s v="Indirect"/>
    <n v="1006"/>
    <x v="4"/>
    <s v="Old"/>
    <d v="2024-12-24T00:00:00"/>
    <n v="915.7"/>
    <n v="34331.47"/>
    <n v="686.77500000000009"/>
    <n v="869.91499999999996"/>
    <n v="0"/>
    <n v="1029.9440999999999"/>
    <n v="160.02909999999997"/>
    <n v="91.570000000000007"/>
    <n v="1408.9489029260058"/>
    <n v="56"/>
    <n v="0"/>
    <n v="0"/>
    <n v="0"/>
    <n v="0"/>
    <n v="0"/>
    <n v="56"/>
    <n v="0"/>
    <n v="56"/>
    <s v="Release"/>
  </r>
  <r>
    <n v="0"/>
    <n v="0"/>
    <n v="0"/>
    <x v="191"/>
    <x v="190"/>
    <n v="0"/>
    <s v="vlc"/>
    <s v="Indirect"/>
    <n v="1006"/>
    <x v="4"/>
    <s v="Old"/>
    <d v="2024-12-24T00:00:00"/>
    <n v="2703.3"/>
    <n v="101557.99"/>
    <n v="2027.4750000000001"/>
    <n v="2568.1350000000002"/>
    <n v="0"/>
    <n v="3046.7397000000001"/>
    <n v="478.60469999999987"/>
    <n v="270.33000000000004"/>
    <n v="584.91369785732536"/>
    <n v="3740"/>
    <n v="0"/>
    <n v="0"/>
    <n v="0"/>
    <n v="0"/>
    <n v="0"/>
    <n v="3740"/>
    <n v="0"/>
    <n v="3740"/>
    <s v="Release"/>
  </r>
  <r>
    <n v="0"/>
    <n v="0"/>
    <n v="0"/>
    <x v="192"/>
    <x v="191"/>
    <n v="0"/>
    <s v="vlc"/>
    <s v="Indirect"/>
    <n v="1006"/>
    <x v="4"/>
    <s v="Old"/>
    <d v="2024-12-25T00:00:00"/>
    <n v="65.8"/>
    <n v="2328"/>
    <n v="49.349999999999994"/>
    <n v="62.509999999999991"/>
    <n v="0"/>
    <n v="69.84"/>
    <n v="7.3300000000000125"/>
    <n v="6.58"/>
    <n v="105.75914893617016"/>
    <n v="0"/>
    <n v="0"/>
    <n v="0"/>
    <n v="0"/>
    <n v="0"/>
    <n v="0"/>
    <n v="0"/>
    <n v="0"/>
    <n v="0"/>
    <s v="Release"/>
  </r>
  <r>
    <n v="0"/>
    <n v="0"/>
    <n v="0"/>
    <x v="193"/>
    <x v="192"/>
    <n v="0"/>
    <s v="vlc"/>
    <s v="Indirect"/>
    <n v="1006"/>
    <x v="4"/>
    <s v="Old"/>
    <d v="2024-12-24T00:00:00"/>
    <n v="2398.6"/>
    <n v="89207.54"/>
    <n v="1798.9499999999998"/>
    <n v="2278.6699999999996"/>
    <n v="0"/>
    <n v="2676.2261999999996"/>
    <n v="397.55619999999999"/>
    <n v="239.86"/>
    <n v="514.78678365810526"/>
    <n v="3323"/>
    <n v="0"/>
    <n v="0"/>
    <n v="0"/>
    <n v="0"/>
    <n v="0"/>
    <n v="3323"/>
    <n v="0"/>
    <n v="3323"/>
    <s v="Release"/>
  </r>
  <r>
    <n v="0"/>
    <n v="0"/>
    <n v="0"/>
    <x v="194"/>
    <x v="193"/>
    <n v="0"/>
    <s v="vlc"/>
    <s v="Indirect"/>
    <n v="1006"/>
    <x v="4"/>
    <s v="Old"/>
    <d v="2025-01-01T00:00:00"/>
    <n v="502.7"/>
    <n v="21427.01"/>
    <n v="377.02499999999998"/>
    <n v="477.56499999999994"/>
    <n v="0"/>
    <n v="642.81029999999998"/>
    <n v="165.24530000000004"/>
    <n v="50.27"/>
    <n v="804.17135177077262"/>
    <n v="0"/>
    <n v="0"/>
    <n v="0"/>
    <n v="0"/>
    <n v="0"/>
    <n v="0"/>
    <n v="0"/>
    <n v="0"/>
    <n v="0"/>
    <s v="Release"/>
  </r>
  <r>
    <n v="83241.154200000004"/>
    <n v="0"/>
    <n v="83241.154200000004"/>
    <x v="195"/>
    <x v="194"/>
    <n v="0"/>
    <s v="MPG"/>
    <s v="Direct"/>
    <n v="1006"/>
    <x v="4"/>
    <s v="Old"/>
    <d v="2025-02-14T00:00:00"/>
    <n v="1997.6"/>
    <n v="91156.87"/>
    <n v="1498.1999999999998"/>
    <n v="1897.7199999999998"/>
    <n v="0"/>
    <n v="2734.7060999999999"/>
    <n v="836.98610000000008"/>
    <n v="199.76"/>
    <n v="744.33079337570712"/>
    <n v="2452"/>
    <n v="1861"/>
    <n v="0"/>
    <n v="0"/>
    <n v="0"/>
    <n v="0"/>
    <n v="591"/>
    <n v="591"/>
    <n v="0"/>
    <s v="Yes"/>
  </r>
  <r>
    <n v="0"/>
    <n v="0"/>
    <n v="0"/>
    <x v="196"/>
    <x v="195"/>
    <n v="0"/>
    <s v="vlc"/>
    <s v="Indirect"/>
    <n v="1006"/>
    <x v="4"/>
    <s v="Old"/>
    <d v="2025-02-21T00:00:00"/>
    <n v="1621.6000000000001"/>
    <n v="55097.089999999989"/>
    <n v="1216.2"/>
    <n v="1540.52"/>
    <n v="0"/>
    <n v="1652.9126999999996"/>
    <n v="112.39269999999965"/>
    <n v="162.16000000000003"/>
    <n v="803.28099743198516"/>
    <n v="1791"/>
    <n v="0"/>
    <n v="0"/>
    <n v="0"/>
    <n v="0"/>
    <n v="0"/>
    <n v="1791"/>
    <n v="0"/>
    <n v="1791"/>
    <s v="Release"/>
  </r>
  <r>
    <n v="0"/>
    <n v="0"/>
    <n v="0"/>
    <x v="197"/>
    <x v="196"/>
    <n v="0"/>
    <s v="vlc"/>
    <s v="Indirect"/>
    <n v="1006"/>
    <x v="4"/>
    <s v="Old"/>
    <d v="2025-02-16T00:00:00"/>
    <n v="893.5"/>
    <n v="32668.850000000002"/>
    <n v="670.125"/>
    <n v="848.82499999999993"/>
    <n v="0"/>
    <n v="980.06550000000004"/>
    <n v="131.24050000000011"/>
    <n v="89.350000000000009"/>
    <n v="1387.2060380520152"/>
    <n v="42"/>
    <n v="0"/>
    <n v="0"/>
    <n v="0"/>
    <n v="0"/>
    <n v="0"/>
    <n v="42"/>
    <n v="0"/>
    <n v="42"/>
    <s v="Release"/>
  </r>
  <r>
    <n v="0"/>
    <n v="0"/>
    <n v="0"/>
    <x v="198"/>
    <x v="197"/>
    <n v="0"/>
    <s v="vlc"/>
    <s v="Indirect"/>
    <n v="1006"/>
    <x v="4"/>
    <s v="Old"/>
    <d v="2025-03-27T00:00:00"/>
    <n v="403.9"/>
    <n v="17491.21"/>
    <n v="302.92499999999995"/>
    <n v="383.70499999999998"/>
    <n v="0"/>
    <n v="524.73629999999991"/>
    <n v="141.03129999999993"/>
    <n v="40.39"/>
    <n v="646.62041494757045"/>
    <n v="0"/>
    <n v="0"/>
    <n v="0"/>
    <n v="0"/>
    <n v="0"/>
    <n v="0"/>
    <n v="0"/>
    <n v="0"/>
    <n v="0"/>
    <s v="Release"/>
  </r>
  <r>
    <n v="76975.587640988815"/>
    <n v="0"/>
    <n v="76975.587640988815"/>
    <x v="199"/>
    <x v="198"/>
    <n v="0"/>
    <s v="MPG"/>
    <s v="Direct"/>
    <n v="1006"/>
    <x v="4"/>
    <s v="Old"/>
    <d v="2025-05-18T00:00:00"/>
    <n v="2086.8000000000002"/>
    <n v="95499.48"/>
    <n v="1565.1000000000001"/>
    <n v="1982.46"/>
    <n v="1358.1927984742401"/>
    <n v="2864.9843999999998"/>
    <n v="882.52439999999979"/>
    <n v="208.68000000000004"/>
    <n v="643.45725445480809"/>
    <n v="4054"/>
    <n v="1909.9895999999999"/>
    <n v="0"/>
    <n v="0"/>
    <n v="0"/>
    <n v="421.20000000000005"/>
    <n v="1723"/>
    <n v="1723"/>
    <n v="0"/>
    <s v="Yes"/>
  </r>
  <r>
    <n v="76697.033432883123"/>
    <n v="0"/>
    <n v="76697.033432883123"/>
    <x v="200"/>
    <x v="102"/>
    <n v="0"/>
    <s v="MPG"/>
    <s v="Direct"/>
    <n v="1006"/>
    <x v="4"/>
    <s v="Old"/>
    <d v="2025-04-22T00:00:00"/>
    <n v="1021.1000000000001"/>
    <n v="47270.810000000005"/>
    <n v="765.82500000000005"/>
    <n v="970.04500000000007"/>
    <n v="0"/>
    <n v="1418.1243000000002"/>
    <n v="448.0793000000001"/>
    <n v="102.11000000000001"/>
    <n v="1633.6819912031494"/>
    <n v="0"/>
    <n v="0"/>
    <n v="0"/>
    <n v="0"/>
    <n v="0"/>
    <n v="0"/>
    <n v="0"/>
    <n v="0"/>
    <n v="0"/>
    <s v="Release"/>
  </r>
  <r>
    <n v="0"/>
    <n v="0"/>
    <n v="0"/>
    <x v="201"/>
    <x v="199"/>
    <n v="0"/>
    <s v="vlc"/>
    <s v="Indirect"/>
    <n v="1006"/>
    <x v="4"/>
    <s v="Old"/>
    <d v="2025-05-23T00:00:00"/>
    <n v="1121.0999999999999"/>
    <n v="48417.859999999993"/>
    <n v="840.82499999999993"/>
    <n v="1065.0449999999998"/>
    <n v="0"/>
    <n v="1452.5357999999997"/>
    <n v="387.49079999999981"/>
    <n v="112.11"/>
    <n v="833.03494600111242"/>
    <n v="961"/>
    <n v="0"/>
    <n v="0"/>
    <n v="0"/>
    <n v="0"/>
    <n v="0"/>
    <n v="961"/>
    <n v="0"/>
    <n v="961"/>
    <s v="Release"/>
  </r>
  <r>
    <n v="0"/>
    <n v="0"/>
    <n v="0"/>
    <x v="202"/>
    <x v="200"/>
    <n v="0"/>
    <s v="vlc"/>
    <s v="Indirect"/>
    <n v="1006"/>
    <x v="4"/>
    <s v="Old"/>
    <d v="2025-05-14T00:00:00"/>
    <n v="1075.5999999999999"/>
    <n v="40106.83"/>
    <n v="806.69999999999993"/>
    <n v="1021.8199999999998"/>
    <n v="0"/>
    <n v="1203.2049"/>
    <n v="181.38490000000013"/>
    <n v="107.56"/>
    <n v="1285.2804165289735"/>
    <n v="436"/>
    <n v="0"/>
    <n v="0"/>
    <n v="0"/>
    <n v="0"/>
    <n v="0"/>
    <n v="436"/>
    <n v="0"/>
    <n v="436"/>
    <s v="Release"/>
  </r>
  <r>
    <n v="100000"/>
    <n v="0"/>
    <n v="100000"/>
    <x v="203"/>
    <x v="201"/>
    <n v="0"/>
    <s v="MPG"/>
    <s v="Direct"/>
    <n v="1006"/>
    <x v="4"/>
    <s v="Old"/>
    <d v="2025-07-15T00:00:00"/>
    <n v="2834.1000000000004"/>
    <n v="131201.67000000001"/>
    <n v="2125.5750000000003"/>
    <n v="2692.3950000000004"/>
    <n v="1211.8026152415"/>
    <n v="3936.0501000000004"/>
    <n v="1243.6550999999999"/>
    <n v="283.41000000000003"/>
    <n v="415.71736548591173"/>
    <n v="5331"/>
    <n v="2624.0334000000003"/>
    <n v="0"/>
    <n v="0"/>
    <n v="0"/>
    <n v="0"/>
    <n v="2707"/>
    <n v="2707"/>
    <n v="0"/>
    <s v="Yes"/>
  </r>
  <r>
    <n v="97537"/>
    <n v="0"/>
    <n v="97537"/>
    <x v="204"/>
    <x v="202"/>
    <n v="0"/>
    <s v="MPG"/>
    <s v="Direct"/>
    <n v="1006"/>
    <x v="4"/>
    <s v="Old"/>
    <d v="2025-06-30T00:00:00"/>
    <n v="829.60000000000014"/>
    <n v="42286.23"/>
    <n v="622.20000000000005"/>
    <n v="788.12000000000012"/>
    <n v="799.91733595470987"/>
    <n v="1268.5869"/>
    <n v="480.4668999999999"/>
    <n v="82.960000000000022"/>
    <n v="2000.013318310157"/>
    <n v="127"/>
    <n v="127"/>
    <n v="0"/>
    <n v="0"/>
    <n v="0"/>
    <n v="0"/>
    <n v="0"/>
    <n v="0"/>
    <n v="0"/>
    <s v="Release"/>
  </r>
  <r>
    <n v="92892"/>
    <n v="0"/>
    <n v="92892"/>
    <x v="205"/>
    <x v="203"/>
    <n v="0"/>
    <s v="MPG"/>
    <s v="Direct"/>
    <n v="1006"/>
    <x v="4"/>
    <s v="Old"/>
    <d v="2025-06-30T00:00:00"/>
    <n v="1308.6000000000001"/>
    <n v="50663.94"/>
    <n v="981.45"/>
    <n v="1243.17"/>
    <n v="969.71067192769908"/>
    <n v="1519.9182000000001"/>
    <n v="276.7482"/>
    <n v="130.86000000000001"/>
    <n v="1157.7462579174908"/>
    <n v="1906"/>
    <n v="1861"/>
    <n v="0"/>
    <n v="0"/>
    <n v="0"/>
    <n v="0"/>
    <n v="45"/>
    <n v="45"/>
    <n v="0"/>
    <s v="Yes"/>
  </r>
  <r>
    <n v="0"/>
    <n v="0"/>
    <n v="0"/>
    <x v="206"/>
    <x v="204"/>
    <n v="0"/>
    <s v="vlc"/>
    <s v="Indirect"/>
    <n v="1006"/>
    <x v="4"/>
    <s v="Old"/>
    <d v="2025-06-30T00:00:00"/>
    <n v="856.2"/>
    <n v="36636.22"/>
    <n v="642.15000000000009"/>
    <n v="813.39"/>
    <n v="0"/>
    <n v="1099.0866000000001"/>
    <n v="285.6966000000001"/>
    <n v="85.62"/>
    <n v="1369.6658178495641"/>
    <n v="0"/>
    <n v="0"/>
    <n v="0"/>
    <n v="0"/>
    <n v="0"/>
    <n v="0"/>
    <n v="0"/>
    <n v="0"/>
    <n v="0"/>
    <s v="Release"/>
  </r>
  <r>
    <n v="96000"/>
    <n v="0"/>
    <n v="96000"/>
    <x v="207"/>
    <x v="205"/>
    <n v="0"/>
    <s v="MPG"/>
    <s v="Direct"/>
    <n v="1006"/>
    <x v="4"/>
    <s v="Old"/>
    <d v="2025-07-18T00:00:00"/>
    <n v="1383.7"/>
    <n v="56007.66"/>
    <n v="1037.7750000000001"/>
    <n v="1314.5149999999999"/>
    <n v="0"/>
    <n v="1680.2298000000001"/>
    <n v="365.7148000000002"/>
    <n v="138.37"/>
    <n v="1156.9768682762328"/>
    <n v="1057"/>
    <n v="1057"/>
    <n v="0"/>
    <n v="0"/>
    <n v="0"/>
    <n v="0"/>
    <n v="0"/>
    <n v="0"/>
    <n v="0"/>
    <s v="Release"/>
  </r>
  <r>
    <n v="100000"/>
    <n v="0"/>
    <n v="100000"/>
    <x v="208"/>
    <x v="206"/>
    <n v="0"/>
    <s v="MPG"/>
    <s v="Direct"/>
    <n v="1006"/>
    <x v="4"/>
    <s v="Old"/>
    <d v="2025-07-31T00:00:00"/>
    <n v="1312.8"/>
    <n v="67010.719999999987"/>
    <n v="984.59999999999991"/>
    <n v="1247.1599999999999"/>
    <n v="0"/>
    <n v="2010.3215999999995"/>
    <n v="763.16159999999968"/>
    <n v="131.28"/>
    <n v="1520.7396801558659"/>
    <n v="580"/>
    <n v="580"/>
    <n v="0"/>
    <n v="0"/>
    <n v="0"/>
    <n v="0"/>
    <n v="0"/>
    <n v="0"/>
    <n v="0"/>
    <s v="Release"/>
  </r>
  <r>
    <n v="0"/>
    <n v="0"/>
    <n v="0"/>
    <x v="209"/>
    <x v="207"/>
    <n v="0"/>
    <s v="vlc"/>
    <s v="Indirect"/>
    <n v="1007"/>
    <x v="5"/>
    <s v="Old"/>
    <d v="2019-10-15T00:00:00"/>
    <n v="13708.8"/>
    <n v="552580.54999999993"/>
    <n v="10281.599999999999"/>
    <n v="13023.359999999999"/>
    <n v="0"/>
    <n v="16577.416499999996"/>
    <n v="3554.056499999997"/>
    <n v="1370.88"/>
    <n v="0"/>
    <n v="21934"/>
    <n v="0"/>
    <n v="0"/>
    <n v="0"/>
    <n v="0"/>
    <n v="0"/>
    <n v="21934"/>
    <n v="0"/>
    <n v="21934"/>
    <s v="Release"/>
  </r>
  <r>
    <n v="0"/>
    <n v="0"/>
    <n v="0"/>
    <x v="210"/>
    <x v="208"/>
    <n v="0"/>
    <s v="vlc"/>
    <s v="Indirect"/>
    <n v="1007"/>
    <x v="5"/>
    <s v="Old"/>
    <d v="2020-11-27T00:00:00"/>
    <n v="1050.7"/>
    <n v="40113.5"/>
    <n v="788.02500000000009"/>
    <n v="998.16499999999996"/>
    <n v="0"/>
    <n v="1203.405"/>
    <n v="205.24"/>
    <n v="105.07000000000001"/>
    <n v="1332.3852586343417"/>
    <n v="349"/>
    <n v="0"/>
    <n v="0"/>
    <n v="0"/>
    <n v="0"/>
    <n v="0"/>
    <n v="349"/>
    <n v="0"/>
    <n v="349"/>
    <s v="Release"/>
  </r>
  <r>
    <n v="47632.819810008688"/>
    <n v="16000"/>
    <n v="63632.819810008688"/>
    <x v="211"/>
    <x v="209"/>
    <n v="0"/>
    <s v="vlc"/>
    <s v="Indirect"/>
    <n v="1056"/>
    <x v="6"/>
    <s v="Old"/>
    <d v="2021-03-02T00:00:00"/>
    <n v="738"/>
    <n v="27525.889999999996"/>
    <n v="553.5"/>
    <n v="701.1"/>
    <n v="0"/>
    <n v="825.77669999999989"/>
    <n v="124.67669999999987"/>
    <n v="73.8"/>
    <n v="1181.0147041142591"/>
    <n v="0"/>
    <n v="0"/>
    <n v="0"/>
    <n v="0"/>
    <n v="0"/>
    <n v="0"/>
    <n v="0"/>
    <n v="0"/>
    <n v="0"/>
    <s v="Release"/>
  </r>
  <r>
    <n v="36044.093811038329"/>
    <n v="0"/>
    <n v="36044.093811038329"/>
    <x v="212"/>
    <x v="210"/>
    <n v="0"/>
    <s v="vlc"/>
    <s v="Indirect"/>
    <n v="1056"/>
    <x v="6"/>
    <s v="Old"/>
    <d v="2022-09-12T00:00:00"/>
    <n v="5152.1000000000004"/>
    <n v="194305.25999999998"/>
    <n v="3864.0750000000003"/>
    <n v="4894.4949999999999"/>
    <n v="0"/>
    <n v="5829.157799999999"/>
    <n v="934.66279999999915"/>
    <n v="515.21"/>
    <n v="0"/>
    <n v="8243"/>
    <n v="3886.1051999999995"/>
    <n v="0"/>
    <n v="0"/>
    <n v="0"/>
    <n v="0"/>
    <n v="4357"/>
    <n v="0"/>
    <n v="4357"/>
    <s v="Release"/>
  </r>
  <r>
    <n v="52384.352906864005"/>
    <n v="0"/>
    <n v="52384.352906864005"/>
    <x v="213"/>
    <x v="211"/>
    <n v="0"/>
    <s v="MPG"/>
    <s v="Direct"/>
    <n v="1007"/>
    <x v="5"/>
    <s v="Old"/>
    <d v="2023-06-06T00:00:00"/>
    <n v="505.99999999999994"/>
    <n v="20592.8"/>
    <n v="379.49999999999994"/>
    <n v="480.69999999999993"/>
    <n v="428.50424678400003"/>
    <n v="617.78399999999999"/>
    <n v="137.08400000000006"/>
    <n v="50.599999999999994"/>
    <n v="1238.3556031295218"/>
    <n v="0"/>
    <n v="0"/>
    <n v="0"/>
    <n v="0"/>
    <n v="0"/>
    <n v="0"/>
    <n v="0"/>
    <n v="0"/>
    <n v="0"/>
    <s v="Release"/>
  </r>
  <r>
    <n v="73919"/>
    <n v="0"/>
    <n v="73919"/>
    <x v="214"/>
    <x v="212"/>
    <n v="0"/>
    <s v="MPG"/>
    <s v="Direct"/>
    <n v="1007"/>
    <x v="5"/>
    <s v="Old"/>
    <d v="2023-06-26T00:00:00"/>
    <n v="359.59999999999997"/>
    <n v="14218.470000000001"/>
    <n v="269.7"/>
    <n v="341.61999999999995"/>
    <n v="174.26398627200001"/>
    <n v="426.55410000000001"/>
    <n v="84.934100000000058"/>
    <n v="35.96"/>
    <n v="749.80369848561782"/>
    <n v="0"/>
    <n v="0"/>
    <n v="0"/>
    <n v="0"/>
    <n v="0"/>
    <n v="0"/>
    <n v="0"/>
    <n v="0"/>
    <n v="0"/>
    <s v="Release"/>
  </r>
  <r>
    <n v="0"/>
    <n v="0"/>
    <n v="0"/>
    <x v="215"/>
    <x v="213"/>
    <n v="0"/>
    <s v="vlc"/>
    <s v="Indirect"/>
    <n v="1007"/>
    <x v="5"/>
    <s v="Old"/>
    <d v="2023-10-13T00:00:00"/>
    <n v="14291.3"/>
    <n v="543683.93999999994"/>
    <n v="10718.474999999999"/>
    <n v="13576.734999999999"/>
    <n v="0"/>
    <n v="16310.518199999999"/>
    <n v="2733.7831999999999"/>
    <n v="1429.13"/>
    <n v="0"/>
    <n v="22866"/>
    <n v="0"/>
    <n v="0"/>
    <n v="0"/>
    <n v="0"/>
    <n v="0"/>
    <n v="22866"/>
    <n v="0"/>
    <n v="22866"/>
    <s v="Release"/>
  </r>
  <r>
    <n v="0"/>
    <n v="0"/>
    <n v="0"/>
    <x v="216"/>
    <x v="214"/>
    <n v="0"/>
    <s v="vlc"/>
    <s v="Indirect"/>
    <n v="1007"/>
    <x v="5"/>
    <s v="Old"/>
    <d v="2023-10-13T00:00:00"/>
    <n v="14347.3"/>
    <n v="543987.96"/>
    <n v="10760.474999999999"/>
    <n v="13629.934999999999"/>
    <n v="0"/>
    <n v="16319.638799999999"/>
    <n v="2689.7037999999993"/>
    <n v="1434.73"/>
    <n v="0"/>
    <n v="22956"/>
    <n v="0"/>
    <n v="0"/>
    <n v="0"/>
    <n v="0"/>
    <n v="0"/>
    <n v="22956"/>
    <n v="0"/>
    <n v="22956"/>
    <s v="Release"/>
  </r>
  <r>
    <n v="0"/>
    <n v="0"/>
    <n v="0"/>
    <x v="217"/>
    <x v="215"/>
    <n v="0"/>
    <s v="vlc"/>
    <s v="Indirect"/>
    <n v="1007"/>
    <x v="5"/>
    <s v="Old"/>
    <d v="2023-10-13T00:00:00"/>
    <n v="9468"/>
    <n v="348621.64"/>
    <n v="7101"/>
    <n v="8994.6"/>
    <n v="0"/>
    <n v="10458.6492"/>
    <n v="1464.0491999999995"/>
    <n v="946.80000000000007"/>
    <n v="0"/>
    <n v="15149"/>
    <n v="0"/>
    <n v="0"/>
    <n v="0"/>
    <n v="0"/>
    <n v="0"/>
    <n v="15149"/>
    <n v="0"/>
    <n v="15149"/>
    <s v="Release"/>
  </r>
  <r>
    <n v="0"/>
    <n v="0"/>
    <n v="0"/>
    <x v="218"/>
    <x v="216"/>
    <n v="0"/>
    <s v="vlc"/>
    <s v="Indirect"/>
    <n v="1007"/>
    <x v="5"/>
    <s v="Old"/>
    <d v="2023-10-13T00:00:00"/>
    <n v="43.4"/>
    <n v="1552.42"/>
    <n v="32.549999999999997"/>
    <n v="41.23"/>
    <n v="0"/>
    <n v="46.572600000000001"/>
    <n v="5.3426000000000045"/>
    <n v="4.34"/>
    <n v="69.732245161290393"/>
    <n v="0"/>
    <n v="0"/>
    <n v="0"/>
    <n v="0"/>
    <n v="0"/>
    <n v="0"/>
    <n v="0"/>
    <n v="0"/>
    <n v="0"/>
    <s v="Release"/>
  </r>
  <r>
    <n v="0"/>
    <n v="0"/>
    <n v="0"/>
    <x v="219"/>
    <x v="217"/>
    <n v="0"/>
    <s v="vlc"/>
    <s v="Indirect"/>
    <n v="1007"/>
    <x v="5"/>
    <s v="Old"/>
    <d v="2023-10-13T00:00:00"/>
    <n v="1595.3000000000002"/>
    <n v="59474.47"/>
    <n v="1196.4750000000001"/>
    <n v="1515.5350000000001"/>
    <n v="0"/>
    <n v="1784.2340999999999"/>
    <n v="268.69909999999982"/>
    <n v="159.53000000000003"/>
    <n v="899.49791395959824"/>
    <n v="1653"/>
    <n v="0"/>
    <n v="0"/>
    <n v="0"/>
    <n v="0"/>
    <n v="0"/>
    <n v="1653"/>
    <n v="0"/>
    <n v="1653"/>
    <s v="Release"/>
  </r>
  <r>
    <n v="0"/>
    <n v="0"/>
    <n v="0"/>
    <x v="220"/>
    <x v="218"/>
    <n v="0"/>
    <s v="vlc"/>
    <s v="Indirect"/>
    <n v="1007"/>
    <x v="5"/>
    <s v="Old"/>
    <d v="2023-10-13T00:00:00"/>
    <n v="16679.8"/>
    <n v="639841.91"/>
    <n v="12509.849999999999"/>
    <n v="15845.809999999998"/>
    <n v="0"/>
    <n v="19195.257300000001"/>
    <n v="3349.4473000000035"/>
    <n v="1667.98"/>
    <n v="0"/>
    <n v="26688"/>
    <n v="0"/>
    <n v="0"/>
    <n v="0"/>
    <n v="0"/>
    <n v="0"/>
    <n v="26688"/>
    <n v="0"/>
    <n v="26688"/>
    <s v="Release"/>
  </r>
  <r>
    <n v="0"/>
    <n v="0"/>
    <n v="0"/>
    <x v="221"/>
    <x v="219"/>
    <n v="0"/>
    <s v="vlc"/>
    <s v="Direct"/>
    <n v="1007"/>
    <x v="5"/>
    <s v="Old"/>
    <d v="2023-11-30T00:00:00"/>
    <n v="967.3"/>
    <n v="38574.49"/>
    <n v="725.47499999999991"/>
    <n v="918.93499999999995"/>
    <n v="0"/>
    <n v="1157.2347"/>
    <n v="238.29970000000003"/>
    <n v="96.73"/>
    <n v="1499.9418322379038"/>
    <n v="48"/>
    <n v="0"/>
    <n v="0"/>
    <n v="0"/>
    <n v="0"/>
    <n v="0"/>
    <n v="48"/>
    <n v="0"/>
    <n v="48"/>
    <s v="Release"/>
  </r>
  <r>
    <n v="44927.237967772366"/>
    <n v="4904.9205999999995"/>
    <n v="49832.158567772363"/>
    <x v="222"/>
    <x v="220"/>
    <n v="0"/>
    <s v="MPG"/>
    <s v="Direct"/>
    <n v="1007"/>
    <x v="5"/>
    <s v="Old"/>
    <d v="2023-09-29T00:00:00"/>
    <n v="1783.8000000000002"/>
    <n v="82817.61"/>
    <n v="1337.8500000000001"/>
    <n v="1694.6100000000001"/>
    <n v="0"/>
    <n v="2484.5282999999999"/>
    <n v="789.91829999999982"/>
    <n v="178.38000000000002"/>
    <n v="944.682145279417"/>
    <n v="1909"/>
    <n v="1861"/>
    <n v="0"/>
    <n v="48"/>
    <n v="0"/>
    <n v="0"/>
    <n v="0"/>
    <n v="0"/>
    <n v="0"/>
    <s v="Release"/>
  </r>
  <r>
    <n v="0"/>
    <n v="0"/>
    <n v="0"/>
    <x v="223"/>
    <x v="221"/>
    <n v="0"/>
    <s v="vlc"/>
    <s v="Indirect"/>
    <n v="1056"/>
    <x v="6"/>
    <s v="Old"/>
    <d v="2023-10-06T00:00:00"/>
    <n v="4460.8"/>
    <n v="173853.23"/>
    <n v="3345.6000000000004"/>
    <n v="4237.76"/>
    <n v="0"/>
    <n v="5215.5969000000005"/>
    <n v="977.83690000000024"/>
    <n v="446.08000000000004"/>
    <n v="0"/>
    <n v="7137"/>
    <n v="0"/>
    <n v="0"/>
    <n v="0"/>
    <n v="0"/>
    <n v="0"/>
    <n v="7137"/>
    <n v="0"/>
    <n v="7137"/>
    <s v="Release"/>
  </r>
  <r>
    <n v="0"/>
    <n v="0"/>
    <n v="0"/>
    <x v="224"/>
    <x v="222"/>
    <n v="0"/>
    <s v="MPG"/>
    <s v="Direct"/>
    <n v="1007"/>
    <x v="5"/>
    <s v="Old"/>
    <d v="2024-02-01T00:00:00"/>
    <n v="744.4"/>
    <n v="33516.410000000003"/>
    <n v="558.29999999999995"/>
    <n v="707.18"/>
    <n v="2292.4795476949002"/>
    <n v="1005.4923000000001"/>
    <n v="298.31230000000016"/>
    <n v="74.44"/>
    <n v="1853.5212739194046"/>
    <n v="1630"/>
    <n v="0"/>
    <n v="0"/>
    <n v="0"/>
    <n v="0"/>
    <n v="0"/>
    <n v="1630"/>
    <n v="0"/>
    <n v="1630"/>
    <s v="Release"/>
  </r>
  <r>
    <n v="0"/>
    <n v="0"/>
    <n v="0"/>
    <x v="225"/>
    <x v="223"/>
    <n v="0"/>
    <s v="vlc"/>
    <s v="Indirect"/>
    <n v="1007"/>
    <x v="5"/>
    <s v="Old"/>
    <d v="2024-12-10T00:00:00"/>
    <n v="18521.5"/>
    <n v="713064.76"/>
    <n v="13891.125"/>
    <n v="17595.424999999999"/>
    <n v="0"/>
    <n v="21391.942800000001"/>
    <n v="3796.5178000000014"/>
    <n v="1852.15"/>
    <n v="0"/>
    <n v="29634"/>
    <n v="0"/>
    <n v="0"/>
    <n v="0"/>
    <n v="0"/>
    <n v="0"/>
    <n v="29634"/>
    <n v="0"/>
    <n v="29634"/>
    <s v="Release"/>
  </r>
  <r>
    <n v="0"/>
    <n v="0"/>
    <n v="0"/>
    <x v="226"/>
    <x v="224"/>
    <n v="0"/>
    <s v="vlc"/>
    <s v="Indirect"/>
    <n v="1007"/>
    <x v="5"/>
    <s v="Old"/>
    <d v="2024-12-22T00:00:00"/>
    <n v="2787.5"/>
    <n v="85129.85"/>
    <n v="2090.625"/>
    <n v="2648.125"/>
    <n v="0"/>
    <n v="2553.8955000000001"/>
    <n v="-94.229499999999916"/>
    <n v="278.75"/>
    <n v="112.15447002610665"/>
    <n v="4348"/>
    <n v="0"/>
    <n v="0"/>
    <n v="0"/>
    <n v="0"/>
    <n v="0"/>
    <n v="4348"/>
    <n v="0"/>
    <n v="4348"/>
    <s v="Release"/>
  </r>
  <r>
    <n v="55046.054461330852"/>
    <n v="0"/>
    <n v="55046.054461330852"/>
    <x v="227"/>
    <x v="212"/>
    <n v="0"/>
    <s v="MPG"/>
    <s v="Direct"/>
    <n v="1007"/>
    <x v="5"/>
    <s v="Old"/>
    <d v="2024-12-20T00:00:00"/>
    <n v="3495.7999999999993"/>
    <n v="131155.22"/>
    <n v="2621.8499999999995"/>
    <n v="3321.0099999999993"/>
    <n v="206.91364188000006"/>
    <n v="3934.6565999999998"/>
    <n v="613.64660000000049"/>
    <n v="349.57999999999993"/>
    <n v="272.36420506915886"/>
    <n v="5528"/>
    <n v="2623.1044000000002"/>
    <n v="0"/>
    <n v="0"/>
    <n v="0"/>
    <n v="0"/>
    <n v="2905"/>
    <n v="0"/>
    <n v="2905"/>
    <s v="Release"/>
  </r>
  <r>
    <n v="44335.728064765033"/>
    <n v="12800"/>
    <n v="57135.728064765033"/>
    <x v="228"/>
    <x v="225"/>
    <n v="0"/>
    <s v="MPG"/>
    <s v="Direct"/>
    <n v="1056"/>
    <x v="6"/>
    <s v="Old"/>
    <d v="2024-12-21T00:00:00"/>
    <n v="7856.2999999999993"/>
    <n v="293129.24"/>
    <n v="5892.2249999999995"/>
    <n v="7463.4849999999988"/>
    <n v="2046.0776579800004"/>
    <n v="8793.877199999999"/>
    <n v="1330.3922000000002"/>
    <n v="785.63"/>
    <n v="0"/>
    <n v="14616"/>
    <n v="5862.5847999999996"/>
    <n v="0"/>
    <n v="0"/>
    <n v="0"/>
    <n v="0"/>
    <n v="8753"/>
    <n v="0"/>
    <n v="8753"/>
    <s v="Release"/>
  </r>
  <r>
    <n v="54371.511369708642"/>
    <n v="0"/>
    <n v="54371.511369708642"/>
    <x v="229"/>
    <x v="226"/>
    <n v="0"/>
    <s v="MPG"/>
    <s v="Direct"/>
    <n v="1007"/>
    <x v="5"/>
    <s v="Old"/>
    <d v="2025-01-24T00:00:00"/>
    <n v="3285.5"/>
    <n v="126664.23000000001"/>
    <n v="2464.125"/>
    <n v="3121.2249999999999"/>
    <n v="0"/>
    <n v="3799.9269000000004"/>
    <n v="678.70190000000048"/>
    <n v="328.55"/>
    <n v="0"/>
    <n v="5257"/>
    <n v="2533.2846000000004"/>
    <n v="0"/>
    <n v="0"/>
    <n v="0"/>
    <n v="0"/>
    <n v="2724"/>
    <n v="2724"/>
    <n v="0"/>
    <s v="Yes"/>
  </r>
  <r>
    <n v="80729.270799999998"/>
    <n v="0"/>
    <n v="80729.270799999998"/>
    <x v="230"/>
    <x v="227"/>
    <n v="0"/>
    <s v="MPG"/>
    <s v="Direct"/>
    <n v="1007"/>
    <x v="5"/>
    <s v="Old"/>
    <d v="2025-02-04T00:00:00"/>
    <n v="1519.1000000000001"/>
    <n v="57960.43"/>
    <n v="1139.325"/>
    <n v="1443.145"/>
    <n v="321.94241409020003"/>
    <n v="1738.8128999999999"/>
    <n v="295.66789999999992"/>
    <n v="151.91000000000003"/>
    <n v="984.31916654606061"/>
    <n v="1768"/>
    <n v="1768"/>
    <n v="0"/>
    <n v="0"/>
    <n v="0"/>
    <n v="0"/>
    <n v="0"/>
    <n v="0"/>
    <n v="0"/>
    <s v="Release"/>
  </r>
  <r>
    <n v="0"/>
    <n v="0"/>
    <n v="0"/>
    <x v="231"/>
    <x v="228"/>
    <n v="0"/>
    <s v="vlc"/>
    <s v="Indirect"/>
    <n v="1056"/>
    <x v="6"/>
    <s v="Old"/>
    <d v="2025-02-21T00:00:00"/>
    <n v="5878.2999999999993"/>
    <n v="236278.26"/>
    <n v="4408.7249999999995"/>
    <n v="5584.3849999999993"/>
    <n v="0"/>
    <n v="7088.3478000000005"/>
    <n v="1503.9628000000012"/>
    <n v="587.82999999999993"/>
    <n v="0"/>
    <n v="9405"/>
    <n v="0"/>
    <n v="0"/>
    <n v="0"/>
    <n v="0"/>
    <n v="0"/>
    <n v="9405"/>
    <n v="0"/>
    <n v="9405"/>
    <s v="Release"/>
  </r>
  <r>
    <n v="83786"/>
    <n v="0"/>
    <n v="83786"/>
    <x v="232"/>
    <x v="229"/>
    <n v="0"/>
    <s v="MPG"/>
    <s v="Direct"/>
    <n v="1007"/>
    <x v="5"/>
    <s v="Old"/>
    <d v="2025-03-20T00:00:00"/>
    <n v="200.9"/>
    <n v="6900.4699999999993"/>
    <n v="150.67500000000001"/>
    <n v="190.85499999999999"/>
    <n v="0"/>
    <n v="207.01409999999998"/>
    <n v="16.159099999999995"/>
    <n v="20.090000000000003"/>
    <n v="321.40581713197184"/>
    <n v="0"/>
    <n v="0"/>
    <n v="0"/>
    <n v="0"/>
    <n v="0"/>
    <n v="0"/>
    <n v="0"/>
    <n v="0"/>
    <n v="0"/>
    <s v="Release"/>
  </r>
  <r>
    <n v="0"/>
    <n v="0"/>
    <n v="0"/>
    <x v="233"/>
    <x v="230"/>
    <n v="0"/>
    <s v="vlc"/>
    <s v="Indirect"/>
    <n v="1056"/>
    <x v="6"/>
    <s v="Old"/>
    <d v="2025-03-10T00:00:00"/>
    <n v="2228.5"/>
    <n v="84225.85"/>
    <n v="1671.375"/>
    <n v="2117.0749999999998"/>
    <n v="0"/>
    <n v="2526.7755000000002"/>
    <n v="409.70050000000037"/>
    <n v="222.85000000000002"/>
    <n v="430.74723764633598"/>
    <n v="3135"/>
    <n v="0"/>
    <n v="0"/>
    <n v="0"/>
    <n v="0"/>
    <n v="0"/>
    <n v="3135"/>
    <n v="0"/>
    <n v="3135"/>
    <s v="Release"/>
  </r>
  <r>
    <n v="0"/>
    <n v="0"/>
    <n v="0"/>
    <x v="234"/>
    <x v="231"/>
    <n v="0"/>
    <s v="vlc"/>
    <s v="Indirect"/>
    <n v="1056"/>
    <x v="6"/>
    <s v="Old"/>
    <d v="2025-03-19T00:00:00"/>
    <n v="75.5"/>
    <n v="3101.91"/>
    <n v="56.625"/>
    <n v="71.724999999999994"/>
    <n v="0"/>
    <n v="93.057299999999998"/>
    <n v="21.332300000000004"/>
    <n v="7.5500000000000007"/>
    <n v="121.15040927152313"/>
    <n v="0"/>
    <n v="0"/>
    <n v="0"/>
    <n v="0"/>
    <n v="0"/>
    <n v="0"/>
    <n v="0"/>
    <n v="0"/>
    <n v="0"/>
    <s v="Release"/>
  </r>
  <r>
    <n v="0"/>
    <n v="0"/>
    <n v="0"/>
    <x v="235"/>
    <x v="232"/>
    <n v="0"/>
    <s v="vlc"/>
    <s v="Indirect"/>
    <n v="1007"/>
    <x v="5"/>
    <s v="Old"/>
    <d v="2025-03-26T00:00:00"/>
    <n v="203.99999999999997"/>
    <n v="6696.98"/>
    <n v="152.99999999999997"/>
    <n v="193.79999999999995"/>
    <n v="0"/>
    <n v="200.90939999999998"/>
    <n v="7.1094000000000221"/>
    <n v="20.399999999999999"/>
    <n v="326.3694168056536"/>
    <n v="0"/>
    <n v="0"/>
    <n v="0"/>
    <n v="0"/>
    <n v="0"/>
    <n v="0"/>
    <n v="0"/>
    <n v="0"/>
    <n v="0"/>
    <s v="Release"/>
  </r>
  <r>
    <n v="80692.560400000002"/>
    <n v="0"/>
    <n v="80692.560400000002"/>
    <x v="236"/>
    <x v="233"/>
    <n v="0"/>
    <s v="MPG"/>
    <s v="Direct"/>
    <n v="1007"/>
    <x v="5"/>
    <s v="Old"/>
    <d v="2025-04-23T00:00:00"/>
    <n v="2106.6999999999998"/>
    <n v="83452.89"/>
    <n v="1580.0249999999999"/>
    <n v="2001.3649999999998"/>
    <n v="0"/>
    <n v="2503.5866999999998"/>
    <n v="502.22170000000006"/>
    <n v="210.67"/>
    <n v="552.52931093105894"/>
    <n v="2818"/>
    <n v="1861"/>
    <n v="0"/>
    <n v="0"/>
    <n v="0"/>
    <n v="0"/>
    <n v="957"/>
    <n v="957"/>
    <n v="0"/>
    <s v="Yes"/>
  </r>
  <r>
    <n v="80338.020059100803"/>
    <n v="0"/>
    <n v="80338.020059100803"/>
    <x v="237"/>
    <x v="234"/>
    <n v="0"/>
    <s v="MPG"/>
    <s v="Direct"/>
    <n v="1056"/>
    <x v="6"/>
    <s v="Old"/>
    <d v="2025-04-23T00:00:00"/>
    <n v="1814.8999999999999"/>
    <n v="69783.11"/>
    <n v="1361.175"/>
    <n v="1724.1549999999997"/>
    <n v="3953.3522841187396"/>
    <n v="2093.4933000000001"/>
    <n v="369.33830000000034"/>
    <n v="181.49"/>
    <n v="756.9102936999052"/>
    <n v="6100"/>
    <n v="1861"/>
    <n v="0"/>
    <n v="0"/>
    <n v="0"/>
    <n v="0"/>
    <n v="4239"/>
    <n v="4239"/>
    <n v="0"/>
    <s v="Yes"/>
  </r>
  <r>
    <n v="0"/>
    <n v="0"/>
    <n v="0"/>
    <x v="238"/>
    <x v="235"/>
    <n v="0"/>
    <s v="vlc"/>
    <s v="Indirect"/>
    <n v="1007"/>
    <x v="5"/>
    <s v="Old"/>
    <d v="2025-04-22T00:00:00"/>
    <n v="701"/>
    <n v="25840.67"/>
    <n v="525.75"/>
    <n v="665.94999999999993"/>
    <n v="0"/>
    <n v="775.22009999999989"/>
    <n v="109.27009999999996"/>
    <n v="70.100000000000009"/>
    <n v="1121.4356992053276"/>
    <n v="0"/>
    <n v="0"/>
    <n v="0"/>
    <n v="0"/>
    <n v="0"/>
    <n v="0"/>
    <n v="0"/>
    <n v="0"/>
    <n v="0"/>
    <s v="Release"/>
  </r>
  <r>
    <n v="0"/>
    <n v="0"/>
    <n v="0"/>
    <x v="239"/>
    <x v="236"/>
    <n v="0"/>
    <s v="vlc"/>
    <s v="Indirect"/>
    <n v="1007"/>
    <x v="5"/>
    <s v="Old"/>
    <d v="2025-07-31T00:00:00"/>
    <n v="223.2"/>
    <n v="6870.06"/>
    <n v="167.39999999999998"/>
    <n v="212.04"/>
    <n v="0"/>
    <n v="206.1018"/>
    <n v="-5.9381999999999948"/>
    <n v="22.32"/>
    <n v="356.93413568904589"/>
    <n v="0"/>
    <n v="0"/>
    <n v="0"/>
    <n v="0"/>
    <n v="0"/>
    <n v="0"/>
    <n v="0"/>
    <n v="0"/>
    <n v="0"/>
    <s v="Release"/>
  </r>
  <r>
    <n v="0"/>
    <n v="0"/>
    <n v="0"/>
    <x v="240"/>
    <x v="237"/>
    <n v="0"/>
    <s v="vlc"/>
    <s v="Indirect"/>
    <n v="1007"/>
    <x v="5"/>
    <s v="New"/>
    <d v="2025-08-12T00:00:00"/>
    <n v="1347"/>
    <n v="48056.799999999996"/>
    <n v="1010.25"/>
    <n v="1279.6499999999999"/>
    <n v="0"/>
    <n v="1441.7039999999997"/>
    <n v="162.05399999999986"/>
    <n v="134.70000000000002"/>
    <n v="0"/>
    <n v="2155"/>
    <n v="0"/>
    <n v="0"/>
    <n v="0"/>
    <n v="0"/>
    <n v="0"/>
    <n v="2155"/>
    <n v="0"/>
    <n v="2155"/>
    <s v="Release"/>
  </r>
  <r>
    <n v="0"/>
    <n v="0"/>
    <n v="0"/>
    <x v="241"/>
    <x v="238"/>
    <n v="0"/>
    <s v="vlc"/>
    <s v="Indirect"/>
    <n v="1011"/>
    <x v="7"/>
    <s v="Old"/>
    <d v="2017-09-18T00:00:00"/>
    <n v="1740.9500000000003"/>
    <n v="63559.850000000006"/>
    <n v="1305.7125000000001"/>
    <n v="1653.9025000000001"/>
    <n v="0"/>
    <n v="1906.7955000000002"/>
    <n v="252.89300000000003"/>
    <n v="174.09500000000003"/>
    <n v="780.80135049789772"/>
    <n v="2005"/>
    <n v="0"/>
    <n v="0"/>
    <n v="0"/>
    <n v="0"/>
    <n v="0"/>
    <n v="2005"/>
    <n v="0"/>
    <n v="2005"/>
    <s v="Release"/>
  </r>
  <r>
    <n v="0"/>
    <n v="0"/>
    <n v="0"/>
    <x v="242"/>
    <x v="239"/>
    <n v="0"/>
    <s v="vlc"/>
    <s v="Indirect"/>
    <n v="1008"/>
    <x v="0"/>
    <s v="Old"/>
    <d v="2017-09-19T00:00:00"/>
    <n v="1410.4999999999998"/>
    <n v="52473.460000000006"/>
    <n v="1057.8749999999998"/>
    <n v="1339.9749999999997"/>
    <n v="0"/>
    <n v="1574.2038000000002"/>
    <n v="234.22880000000055"/>
    <n v="141.04999999999998"/>
    <n v="1029.9197761108371"/>
    <n v="1227"/>
    <n v="0"/>
    <n v="0"/>
    <n v="0"/>
    <n v="0"/>
    <n v="0"/>
    <n v="1227"/>
    <n v="0"/>
    <n v="1227"/>
    <s v="Release"/>
  </r>
  <r>
    <n v="0"/>
    <n v="0"/>
    <n v="0"/>
    <x v="243"/>
    <x v="240"/>
    <n v="0"/>
    <s v="vlc"/>
    <s v="Indirect"/>
    <n v="1008"/>
    <x v="0"/>
    <s v="Old"/>
    <d v="2017-09-21T00:00:00"/>
    <n v="269.60000000000002"/>
    <n v="10261.210000000001"/>
    <n v="202.20000000000002"/>
    <n v="256.12"/>
    <n v="0"/>
    <n v="307.83629999999999"/>
    <n v="51.71629999999999"/>
    <n v="26.960000000000004"/>
    <n v="431.79485793487652"/>
    <n v="0"/>
    <n v="0"/>
    <n v="0"/>
    <n v="0"/>
    <n v="0"/>
    <n v="0"/>
    <n v="0"/>
    <n v="0"/>
    <n v="0"/>
    <s v="Release"/>
  </r>
  <r>
    <n v="0"/>
    <n v="0"/>
    <n v="0"/>
    <x v="244"/>
    <x v="241"/>
    <n v="0"/>
    <s v="vlc"/>
    <s v="Indirect"/>
    <n v="1008"/>
    <x v="0"/>
    <s v="Old"/>
    <d v="2017-12-08T00:00:00"/>
    <n v="327.39999999999998"/>
    <n v="11780.380000000001"/>
    <n v="245.54999999999998"/>
    <n v="311.02999999999997"/>
    <n v="0"/>
    <n v="353.41140000000001"/>
    <n v="42.381400000000042"/>
    <n v="32.74"/>
    <n v="523.70224738264847"/>
    <n v="0"/>
    <n v="0"/>
    <n v="0"/>
    <n v="0"/>
    <n v="0"/>
    <n v="0"/>
    <n v="0"/>
    <n v="0"/>
    <n v="0"/>
    <s v="Release"/>
  </r>
  <r>
    <n v="0"/>
    <n v="0"/>
    <n v="0"/>
    <x v="245"/>
    <x v="242"/>
    <n v="0"/>
    <s v="vlc"/>
    <s v="Indirect"/>
    <n v="1008"/>
    <x v="0"/>
    <s v="Old"/>
    <d v="2018-11-03T00:00:00"/>
    <n v="791.8"/>
    <n v="31783.75"/>
    <n v="593.84999999999991"/>
    <n v="752.20999999999992"/>
    <n v="0"/>
    <n v="953.51249999999993"/>
    <n v="201.30250000000001"/>
    <n v="79.180000000000007"/>
    <n v="1266.8015438986663"/>
    <n v="0"/>
    <n v="0"/>
    <n v="0"/>
    <n v="0"/>
    <n v="0"/>
    <n v="0"/>
    <n v="0"/>
    <n v="0"/>
    <n v="0"/>
    <s v="Release"/>
  </r>
  <r>
    <n v="0"/>
    <n v="0"/>
    <n v="0"/>
    <x v="246"/>
    <x v="243"/>
    <n v="0"/>
    <s v="vlc"/>
    <s v="Indirect"/>
    <n v="1008"/>
    <x v="0"/>
    <s v="Old"/>
    <d v="2019-11-16T00:00:00"/>
    <n v="2634.3"/>
    <n v="95470.98000000001"/>
    <n v="1975.7250000000001"/>
    <n v="2502.585"/>
    <n v="0"/>
    <n v="2864.1294000000003"/>
    <n v="361.54440000000022"/>
    <n v="263.43"/>
    <n v="220.75191038449819"/>
    <n v="3994"/>
    <n v="0"/>
    <n v="0"/>
    <n v="0"/>
    <n v="0"/>
    <n v="0"/>
    <n v="3994"/>
    <n v="0"/>
    <n v="3994"/>
    <s v="Release"/>
  </r>
  <r>
    <n v="0"/>
    <n v="0"/>
    <n v="0"/>
    <x v="247"/>
    <x v="244"/>
    <n v="0"/>
    <s v="vlc"/>
    <s v="Indirect"/>
    <n v="1008"/>
    <x v="0"/>
    <s v="Old"/>
    <d v="2021-06-26T00:00:00"/>
    <n v="63.95"/>
    <n v="2091"/>
    <n v="47.962500000000006"/>
    <n v="60.752499999999998"/>
    <n v="0"/>
    <n v="62.73"/>
    <n v="1.9774999999999991"/>
    <n v="6.3950000000000005"/>
    <n v="101.94387802971062"/>
    <n v="0"/>
    <n v="0"/>
    <n v="0"/>
    <n v="0"/>
    <n v="0"/>
    <n v="0"/>
    <n v="0"/>
    <n v="0"/>
    <n v="0"/>
    <s v="Release"/>
  </r>
  <r>
    <n v="0"/>
    <n v="0"/>
    <n v="0"/>
    <x v="248"/>
    <x v="245"/>
    <n v="0"/>
    <s v="vlc"/>
    <s v="Indirect"/>
    <n v="1008"/>
    <x v="0"/>
    <s v="Old"/>
    <d v="2021-06-28T00:00:00"/>
    <n v="258.39999999999998"/>
    <n v="10309.02"/>
    <n v="193.79999999999998"/>
    <n v="245.47999999999996"/>
    <n v="0"/>
    <n v="309.2706"/>
    <n v="63.79060000000004"/>
    <n v="25.84"/>
    <n v="413.59931339084778"/>
    <n v="0"/>
    <n v="0"/>
    <n v="0"/>
    <n v="0"/>
    <n v="0"/>
    <n v="0"/>
    <n v="0"/>
    <n v="0"/>
    <n v="0"/>
    <s v="Release"/>
  </r>
  <r>
    <n v="0"/>
    <n v="0"/>
    <n v="0"/>
    <x v="249"/>
    <x v="246"/>
    <n v="0"/>
    <s v="MPG"/>
    <s v="Direct"/>
    <n v="1008"/>
    <x v="0"/>
    <s v="Old"/>
    <d v="2022-05-12T00:00:00"/>
    <n v="2379.4499999999998"/>
    <n v="85098.18"/>
    <n v="1784.5874999999999"/>
    <n v="2260.4774999999995"/>
    <n v="226.95236113200002"/>
    <n v="2552.9453999999996"/>
    <n v="292.4679000000001"/>
    <n v="237.94499999999999"/>
    <n v="412.72746701589313"/>
    <n v="3621"/>
    <n v="0"/>
    <n v="0"/>
    <n v="0"/>
    <n v="0"/>
    <n v="0"/>
    <n v="3621"/>
    <n v="0"/>
    <n v="3621"/>
    <s v="Release"/>
  </r>
  <r>
    <n v="85573"/>
    <n v="1256.9529999999995"/>
    <n v="86829.952999999994"/>
    <x v="250"/>
    <x v="247"/>
    <n v="0"/>
    <s v="MPG"/>
    <s v="Direct"/>
    <n v="1008"/>
    <x v="0"/>
    <s v="Old"/>
    <d v="2022-05-13T00:00:00"/>
    <n v="624.40000000000009"/>
    <n v="24881.480000000003"/>
    <n v="468.30000000000007"/>
    <n v="593.18000000000006"/>
    <n v="342.68355841200002"/>
    <n v="746.44440000000009"/>
    <n v="153.26440000000002"/>
    <n v="62.440000000000012"/>
    <n v="1341.8558000345611"/>
    <n v="0"/>
    <n v="0"/>
    <n v="0"/>
    <n v="0"/>
    <n v="0"/>
    <n v="0"/>
    <n v="0"/>
    <n v="0"/>
    <n v="0"/>
    <s v="Release"/>
  </r>
  <r>
    <n v="69361.080928028896"/>
    <n v="5593.0776491584002"/>
    <n v="74954.158577187292"/>
    <x v="251"/>
    <x v="248"/>
    <n v="0"/>
    <s v="MPG"/>
    <s v="Direct"/>
    <n v="1008"/>
    <x v="0"/>
    <s v="Old"/>
    <d v="2023-02-10T00:00:00"/>
    <n v="34.700000000000003"/>
    <n v="1398.47"/>
    <n v="26.025000000000002"/>
    <n v="32.965000000000003"/>
    <n v="0"/>
    <n v="41.954099999999997"/>
    <n v="8.9890999999999934"/>
    <n v="3.4700000000000006"/>
    <n v="55.254807492795294"/>
    <n v="0"/>
    <n v="0"/>
    <n v="0"/>
    <n v="0"/>
    <n v="0"/>
    <n v="0"/>
    <n v="0"/>
    <n v="0"/>
    <n v="0"/>
    <s v="Release"/>
  </r>
  <r>
    <n v="30102.466799999995"/>
    <n v="770.31834433279982"/>
    <n v="30872.785144332796"/>
    <x v="252"/>
    <x v="249"/>
    <n v="0"/>
    <s v="MPG"/>
    <s v="Direct"/>
    <n v="1008"/>
    <x v="0"/>
    <s v="Old"/>
    <d v="2023-02-22T00:00:00"/>
    <n v="693.84999999999991"/>
    <n v="28699.17"/>
    <n v="520.38749999999993"/>
    <n v="659.15749999999991"/>
    <n v="771.87461996399998"/>
    <n v="860.97509999999988"/>
    <n v="201.81759999999997"/>
    <n v="69.384999999999991"/>
    <n v="1744.0598684497638"/>
    <n v="138"/>
    <n v="138"/>
    <n v="0"/>
    <n v="0"/>
    <n v="0"/>
    <n v="0"/>
    <n v="0"/>
    <n v="0"/>
    <n v="0"/>
    <s v="Release"/>
  </r>
  <r>
    <n v="0"/>
    <n v="0"/>
    <n v="0"/>
    <x v="253"/>
    <x v="250"/>
    <n v="0"/>
    <s v="vlc"/>
    <s v="Indirect"/>
    <n v="1008"/>
    <x v="0"/>
    <s v="Old"/>
    <d v="2023-03-16T00:00:00"/>
    <n v="13824.7"/>
    <n v="541926.69999999995"/>
    <n v="10368.525000000001"/>
    <n v="13133.465"/>
    <n v="0"/>
    <n v="16257.800999999998"/>
    <n v="3124.3359999999975"/>
    <n v="1382.4700000000003"/>
    <n v="0"/>
    <n v="22120"/>
    <n v="0"/>
    <n v="0"/>
    <n v="0"/>
    <n v="0"/>
    <n v="0"/>
    <n v="22120"/>
    <n v="0"/>
    <n v="22120"/>
    <s v="Release"/>
  </r>
  <r>
    <n v="16132.457422350039"/>
    <n v="19200"/>
    <n v="35332.457422350039"/>
    <x v="254"/>
    <x v="251"/>
    <n v="0"/>
    <s v="MPG"/>
    <s v="Direct"/>
    <n v="1008"/>
    <x v="0"/>
    <s v="Old"/>
    <d v="2023-03-18T00:00:00"/>
    <n v="2886.4500000000003"/>
    <n v="112917.53000000001"/>
    <n v="2164.8375000000001"/>
    <n v="2742.1275000000001"/>
    <n v="1871.69657505804"/>
    <n v="3387.5259000000001"/>
    <n v="645.39840000000004"/>
    <n v="288.64500000000004"/>
    <n v="0"/>
    <n v="6490"/>
    <n v="2258.3506000000002"/>
    <n v="0"/>
    <n v="0"/>
    <n v="0"/>
    <n v="0"/>
    <n v="4232"/>
    <n v="0"/>
    <n v="4232"/>
    <s v="Release"/>
  </r>
  <r>
    <n v="53126.777270565566"/>
    <n v="6400"/>
    <n v="59526.777270565566"/>
    <x v="255"/>
    <x v="252"/>
    <n v="0"/>
    <s v="MPG"/>
    <s v="Direct"/>
    <n v="1008"/>
    <x v="0"/>
    <s v="Old"/>
    <d v="2023-08-10T00:00:00"/>
    <n v="2218.3000000000002"/>
    <n v="91330.489999999991"/>
    <n v="1663.7250000000001"/>
    <n v="2107.3850000000002"/>
    <n v="639.15435417999993"/>
    <n v="2739.9146999999998"/>
    <n v="632.52969999999959"/>
    <n v="221.83000000000004"/>
    <n v="476.46968167038131"/>
    <n v="3712"/>
    <n v="1861"/>
    <n v="0"/>
    <n v="0"/>
    <n v="0"/>
    <n v="102.6"/>
    <n v="1748"/>
    <n v="0"/>
    <n v="1748"/>
    <s v="Release"/>
  </r>
  <r>
    <n v="0"/>
    <n v="0"/>
    <n v="0"/>
    <x v="256"/>
    <x v="253"/>
    <n v="0"/>
    <s v="vlc"/>
    <s v="Indirect"/>
    <n v="1008"/>
    <x v="0"/>
    <s v="Old"/>
    <d v="2023-07-08T00:00:00"/>
    <n v="438.09999999999997"/>
    <n v="16068.619999999999"/>
    <n v="328.57499999999999"/>
    <n v="416.19499999999994"/>
    <n v="0"/>
    <n v="482.05859999999996"/>
    <n v="65.863600000000019"/>
    <n v="43.81"/>
    <n v="700.54297239968855"/>
    <n v="0"/>
    <n v="0"/>
    <n v="0"/>
    <n v="0"/>
    <n v="0"/>
    <n v="0"/>
    <n v="0"/>
    <n v="0"/>
    <n v="0"/>
    <s v="Release"/>
  </r>
  <r>
    <n v="0"/>
    <n v="0"/>
    <n v="0"/>
    <x v="257"/>
    <x v="254"/>
    <n v="0"/>
    <s v="vlc"/>
    <s v="Indirect"/>
    <n v="1008"/>
    <x v="0"/>
    <s v="Old"/>
    <d v="2021-07-02T00:00:00"/>
    <n v="2138.9500000000003"/>
    <n v="83323.5"/>
    <n v="1604.2125000000001"/>
    <n v="2032.0025000000001"/>
    <n v="0"/>
    <n v="2499.7049999999999"/>
    <n v="467.70249999999987"/>
    <n v="213.89500000000004"/>
    <n v="515.98071565867997"/>
    <n v="2906"/>
    <n v="0"/>
    <n v="0"/>
    <n v="0"/>
    <n v="0"/>
    <n v="0"/>
    <n v="2906"/>
    <n v="0"/>
    <n v="2906"/>
    <s v="Release"/>
  </r>
  <r>
    <n v="0"/>
    <n v="0"/>
    <n v="0"/>
    <x v="258"/>
    <x v="255"/>
    <n v="0"/>
    <s v="vlc"/>
    <s v="Indirect"/>
    <n v="1008"/>
    <x v="0"/>
    <s v="Old"/>
    <d v="2023-07-19T00:00:00"/>
    <n v="859.45"/>
    <n v="34238.250000000007"/>
    <n v="644.58750000000009"/>
    <n v="816.47749999999996"/>
    <n v="0"/>
    <n v="1027.1475000000003"/>
    <n v="210.6700000000003"/>
    <n v="85.945000000000007"/>
    <n v="1375.2568072102474"/>
    <n v="0"/>
    <n v="0"/>
    <n v="0"/>
    <n v="0"/>
    <n v="0"/>
    <n v="0"/>
    <n v="0"/>
    <n v="0"/>
    <n v="0"/>
    <s v="Release"/>
  </r>
  <r>
    <n v="0"/>
    <n v="0"/>
    <n v="0"/>
    <x v="259"/>
    <x v="256"/>
    <n v="0"/>
    <s v="vlc"/>
    <s v="Indirect"/>
    <n v="1008"/>
    <x v="0"/>
    <s v="Old"/>
    <d v="2023-08-18T00:00:00"/>
    <n v="1397.8"/>
    <n v="63599.709999999992"/>
    <n v="1048.3499999999999"/>
    <n v="1327.9099999999999"/>
    <n v="0"/>
    <n v="1907.9912999999997"/>
    <n v="580.08129999999983"/>
    <n v="139.78"/>
    <n v="1256.9282025899197"/>
    <n v="980"/>
    <n v="0"/>
    <n v="0"/>
    <n v="0"/>
    <n v="0"/>
    <n v="0"/>
    <n v="980"/>
    <n v="0"/>
    <n v="980"/>
    <s v="Release"/>
  </r>
  <r>
    <n v="0"/>
    <n v="0"/>
    <n v="0"/>
    <x v="260"/>
    <x v="257"/>
    <n v="0"/>
    <s v="vlc"/>
    <s v="Indirect"/>
    <n v="1008"/>
    <x v="0"/>
    <s v="Old"/>
    <d v="2023-07-04T00:00:00"/>
    <n v="482.20000000000005"/>
    <n v="17612.39"/>
    <n v="361.65000000000003"/>
    <n v="458.09000000000003"/>
    <n v="0"/>
    <n v="528.37169999999992"/>
    <n v="70.281699999999887"/>
    <n v="48.220000000000006"/>
    <n v="771.95196537098218"/>
    <n v="0"/>
    <n v="0"/>
    <n v="0"/>
    <n v="0"/>
    <n v="0"/>
    <n v="0"/>
    <n v="0"/>
    <n v="0"/>
    <n v="0"/>
    <s v="Release"/>
  </r>
  <r>
    <n v="74935.242423467644"/>
    <n v="0"/>
    <n v="74935.242423467644"/>
    <x v="261"/>
    <x v="258"/>
    <n v="0"/>
    <s v="MPG"/>
    <s v="Direct"/>
    <n v="1008"/>
    <x v="0"/>
    <s v="Old"/>
    <d v="2023-12-04T00:00:00"/>
    <n v="1518.25"/>
    <n v="75440.539999999994"/>
    <n v="1138.6875"/>
    <n v="1442.3374999999999"/>
    <n v="389.78113900660998"/>
    <n v="2263.2161999999998"/>
    <n v="820.87869999999998"/>
    <n v="151.82500000000002"/>
    <n v="1275.7865094747187"/>
    <n v="1543"/>
    <n v="1543"/>
    <n v="0"/>
    <n v="0"/>
    <n v="0"/>
    <n v="0"/>
    <n v="0"/>
    <n v="0"/>
    <n v="0"/>
    <s v="Release"/>
  </r>
  <r>
    <n v="89800"/>
    <n v="0"/>
    <n v="89800"/>
    <x v="262"/>
    <x v="259"/>
    <n v="0"/>
    <s v="MPG"/>
    <s v="Direct"/>
    <n v="1008"/>
    <x v="0"/>
    <s v="Old"/>
    <d v="2023-11-05T00:00:00"/>
    <n v="790.75"/>
    <n v="30708.729999999996"/>
    <n v="593.0625"/>
    <n v="751.21249999999998"/>
    <n v="545.04425788000003"/>
    <n v="921.26189999999986"/>
    <n v="170.04939999999988"/>
    <n v="79.075000000000003"/>
    <n v="1560.781802027348"/>
    <n v="249"/>
    <n v="249"/>
    <n v="0"/>
    <n v="0"/>
    <n v="0"/>
    <n v="0"/>
    <n v="0"/>
    <n v="0"/>
    <n v="0"/>
    <s v="Release"/>
  </r>
  <r>
    <n v="69064.054126212475"/>
    <n v="0"/>
    <n v="69064.054126212475"/>
    <x v="263"/>
    <x v="260"/>
    <n v="0"/>
    <s v="MPG"/>
    <s v="Direct"/>
    <n v="1008"/>
    <x v="0"/>
    <s v="Old"/>
    <d v="2023-12-08T00:00:00"/>
    <n v="660.25"/>
    <n v="26095.699999999997"/>
    <n v="495.1875"/>
    <n v="627.23749999999995"/>
    <n v="138.57746849124999"/>
    <n v="782.87099999999987"/>
    <n v="155.63349999999991"/>
    <n v="66.025000000000006"/>
    <n v="1195.0127618813876"/>
    <n v="0"/>
    <n v="0"/>
    <n v="0"/>
    <n v="0"/>
    <n v="0"/>
    <n v="0"/>
    <n v="0"/>
    <n v="0"/>
    <n v="0"/>
    <s v="Release"/>
  </r>
  <r>
    <n v="14941.874078503664"/>
    <n v="0"/>
    <n v="14941.874078503664"/>
    <x v="264"/>
    <x v="261"/>
    <n v="0"/>
    <s v="MPG"/>
    <s v="Direct"/>
    <n v="1008"/>
    <x v="0"/>
    <s v="Old"/>
    <d v="2023-12-27T00:00:00"/>
    <n v="1721.6"/>
    <n v="60603.78"/>
    <n v="1291.1999999999998"/>
    <n v="1635.5199999999998"/>
    <n v="0"/>
    <n v="1818.1134"/>
    <n v="182.5934000000002"/>
    <n v="172.16"/>
    <n v="758.72736765463355"/>
    <n v="1996"/>
    <n v="1861"/>
    <n v="0"/>
    <n v="0"/>
    <n v="0"/>
    <n v="135"/>
    <n v="0"/>
    <n v="0"/>
    <n v="0"/>
    <s v="Release"/>
  </r>
  <r>
    <n v="0"/>
    <n v="0"/>
    <n v="0"/>
    <x v="265"/>
    <x v="262"/>
    <n v="0"/>
    <s v="vlc"/>
    <s v="Indirect"/>
    <n v="1008"/>
    <x v="0"/>
    <s v="Old"/>
    <d v="2023-11-27T00:00:00"/>
    <n v="1197.6500000000001"/>
    <n v="42792.729999999996"/>
    <n v="898.23750000000007"/>
    <n v="1137.7674999999999"/>
    <n v="0"/>
    <n v="1283.7818999999997"/>
    <n v="146.0143999999998"/>
    <n v="119.76500000000001"/>
    <n v="1153.6320942944178"/>
    <n v="763"/>
    <n v="0"/>
    <n v="0"/>
    <n v="0"/>
    <n v="0"/>
    <n v="763"/>
    <n v="0"/>
    <n v="0"/>
    <n v="0"/>
    <s v="Release"/>
  </r>
  <r>
    <n v="72619.905293332326"/>
    <n v="3722.4068186572799"/>
    <n v="76342.31211198961"/>
    <x v="266"/>
    <x v="263"/>
    <n v="0"/>
    <s v="MPG"/>
    <s v="Direct"/>
    <n v="1008"/>
    <x v="0"/>
    <s v="Old"/>
    <d v="2023-10-06T00:00:00"/>
    <n v="877.95"/>
    <n v="36053.86"/>
    <n v="658.46250000000009"/>
    <n v="834.05250000000001"/>
    <n v="0"/>
    <n v="1081.6158"/>
    <n v="247.56330000000003"/>
    <n v="87.795000000000016"/>
    <n v="1404.2683871956926"/>
    <n v="0"/>
    <n v="0"/>
    <n v="0"/>
    <n v="0"/>
    <n v="0"/>
    <n v="0"/>
    <n v="0"/>
    <n v="0"/>
    <n v="0"/>
    <s v="Release"/>
  </r>
  <r>
    <n v="89692"/>
    <n v="0"/>
    <n v="89692"/>
    <x v="267"/>
    <x v="264"/>
    <n v="0"/>
    <s v="MPG"/>
    <s v="Direct"/>
    <n v="1008"/>
    <x v="0"/>
    <s v="Old"/>
    <d v="2024-02-01T00:00:00"/>
    <n v="787.55"/>
    <n v="34863.800000000003"/>
    <n v="590.66249999999991"/>
    <n v="748.1724999999999"/>
    <n v="0"/>
    <n v="1045.914"/>
    <n v="297.74150000000009"/>
    <n v="78.754999999999995"/>
    <n v="1259.830560032854"/>
    <n v="0"/>
    <n v="0"/>
    <n v="0"/>
    <n v="0"/>
    <n v="0"/>
    <n v="0"/>
    <n v="0"/>
    <n v="0"/>
    <n v="0"/>
    <s v="Release"/>
  </r>
  <r>
    <n v="82419"/>
    <n v="0"/>
    <n v="82419"/>
    <x v="268"/>
    <x v="265"/>
    <n v="0"/>
    <s v="MPG"/>
    <s v="Direct"/>
    <n v="1008"/>
    <x v="0"/>
    <s v="Old"/>
    <d v="2024-02-01T00:00:00"/>
    <n v="343.25000000000006"/>
    <n v="13636.24"/>
    <n v="257.43750000000006"/>
    <n v="326.08750000000003"/>
    <n v="49.295925075687506"/>
    <n v="409.0872"/>
    <n v="82.999699999999962"/>
    <n v="34.32500000000001"/>
    <n v="598.83679978769055"/>
    <n v="0"/>
    <n v="0"/>
    <n v="0"/>
    <n v="0"/>
    <n v="0"/>
    <n v="0"/>
    <n v="0"/>
    <n v="0"/>
    <n v="0"/>
    <s v="Release"/>
  </r>
  <r>
    <n v="73246.880623203484"/>
    <n v="0"/>
    <n v="73246.880623203484"/>
    <x v="269"/>
    <x v="266"/>
    <n v="0"/>
    <s v="MPG"/>
    <s v="Direct"/>
    <n v="1008"/>
    <x v="0"/>
    <s v="Old"/>
    <d v="2024-02-01T00:00:00"/>
    <n v="952.65000000000009"/>
    <n v="35420.400000000001"/>
    <n v="714.48750000000007"/>
    <n v="905.01750000000004"/>
    <n v="0"/>
    <n v="1062.6120000000001"/>
    <n v="157.59450000000004"/>
    <n v="95.265000000000015"/>
    <n v="1372.1623597111416"/>
    <n v="152"/>
    <n v="152"/>
    <n v="0"/>
    <n v="0"/>
    <n v="0"/>
    <n v="0"/>
    <n v="0"/>
    <n v="0"/>
    <n v="0"/>
    <s v="Release"/>
  </r>
  <r>
    <n v="110000"/>
    <n v="0"/>
    <n v="110000"/>
    <x v="270"/>
    <x v="267"/>
    <n v="0"/>
    <s v="MPG"/>
    <s v="Direct"/>
    <n v="1008"/>
    <x v="0"/>
    <s v="Old"/>
    <d v="2024-08-09T00:00:00"/>
    <n v="392.65000000000003"/>
    <n v="15886.99"/>
    <n v="294.48750000000001"/>
    <n v="373.01750000000004"/>
    <n v="73.693232508000008"/>
    <n v="476.60969999999998"/>
    <n v="103.59219999999993"/>
    <n v="39.265000000000008"/>
    <n v="701.91546685307139"/>
    <n v="0"/>
    <n v="0"/>
    <n v="0"/>
    <n v="0"/>
    <n v="0"/>
    <n v="0"/>
    <n v="0"/>
    <n v="0"/>
    <n v="0"/>
    <s v="Release"/>
  </r>
  <r>
    <n v="67013"/>
    <n v="0"/>
    <n v="67013"/>
    <x v="271"/>
    <x v="268"/>
    <n v="0"/>
    <s v="MPG"/>
    <s v="Direct"/>
    <n v="1008"/>
    <x v="0"/>
    <s v="Old"/>
    <d v="2024-07-07T00:00:00"/>
    <n v="323.70000000000005"/>
    <n v="10709.06"/>
    <n v="242.77500000000003"/>
    <n v="307.51500000000004"/>
    <n v="673.75634522999997"/>
    <n v="321.27179999999998"/>
    <n v="13.756799999999942"/>
    <n v="32.370000000000005"/>
    <n v="1192.136887269199"/>
    <n v="0"/>
    <n v="0"/>
    <n v="0"/>
    <n v="0"/>
    <n v="0"/>
    <n v="0"/>
    <n v="0"/>
    <n v="0"/>
    <n v="0"/>
    <s v="Release"/>
  </r>
  <r>
    <n v="0"/>
    <n v="0"/>
    <n v="0"/>
    <x v="272"/>
    <x v="269"/>
    <n v="0"/>
    <s v="vlc"/>
    <s v="Indirect"/>
    <n v="1008"/>
    <x v="0"/>
    <s v="Old"/>
    <d v="2024-08-26T00:00:00"/>
    <n v="6455.4"/>
    <n v="253496.31"/>
    <n v="4841.5499999999993"/>
    <n v="6132.6299999999992"/>
    <n v="0"/>
    <n v="7604.8892999999998"/>
    <n v="1472.2593000000006"/>
    <n v="645.54"/>
    <n v="0"/>
    <n v="10329"/>
    <n v="0"/>
    <n v="0"/>
    <n v="0"/>
    <n v="0"/>
    <n v="0"/>
    <n v="10329"/>
    <n v="0"/>
    <n v="10329"/>
    <s v="Release"/>
  </r>
  <r>
    <n v="0"/>
    <n v="0"/>
    <n v="0"/>
    <x v="273"/>
    <x v="270"/>
    <n v="0"/>
    <s v="vlc"/>
    <s v="Indirect"/>
    <n v="1008"/>
    <x v="0"/>
    <s v="Old"/>
    <d v="2024-11-03T00:00:00"/>
    <n v="331.95"/>
    <n v="13096.419999999998"/>
    <n v="248.96249999999998"/>
    <n v="315.35249999999996"/>
    <n v="0"/>
    <n v="392.89259999999996"/>
    <n v="77.540099999999995"/>
    <n v="33.195"/>
    <n v="531.10255923721911"/>
    <n v="0"/>
    <n v="0"/>
    <n v="0"/>
    <n v="0"/>
    <n v="0"/>
    <n v="0"/>
    <n v="0"/>
    <n v="0"/>
    <n v="0"/>
    <s v="Release"/>
  </r>
  <r>
    <n v="74132.622292245913"/>
    <n v="0"/>
    <n v="74132.622292245913"/>
    <x v="274"/>
    <x v="271"/>
    <n v="0"/>
    <s v="MPG"/>
    <s v="Direct"/>
    <n v="1008"/>
    <x v="0"/>
    <s v="Old"/>
    <d v="2024-11-18T00:00:00"/>
    <n v="442.4"/>
    <n v="19608.54"/>
    <n v="331.79999999999995"/>
    <n v="420.28"/>
    <n v="147.99938917944002"/>
    <n v="588.25620000000004"/>
    <n v="167.97620000000006"/>
    <n v="44.24"/>
    <n v="855.49151474125301"/>
    <n v="0"/>
    <n v="0"/>
    <n v="0"/>
    <n v="0"/>
    <n v="0"/>
    <n v="0"/>
    <n v="0"/>
    <n v="0"/>
    <n v="0"/>
    <s v="Release"/>
  </r>
  <r>
    <n v="0"/>
    <n v="0"/>
    <n v="0"/>
    <x v="275"/>
    <x v="272"/>
    <n v="0"/>
    <s v="vlc"/>
    <s v="Indirect"/>
    <n v="1008"/>
    <x v="0"/>
    <s v="Old"/>
    <d v="2024-11-08T00:00:00"/>
    <n v="474.65000000000003"/>
    <n v="16966.890000000003"/>
    <n v="355.98750000000001"/>
    <n v="450.91750000000002"/>
    <n v="0"/>
    <n v="509.00670000000008"/>
    <n v="58.089200000000062"/>
    <n v="47.465000000000003"/>
    <n v="759.92421675304536"/>
    <n v="0"/>
    <n v="0"/>
    <n v="0"/>
    <n v="0"/>
    <n v="0"/>
    <n v="0"/>
    <n v="0"/>
    <n v="0"/>
    <n v="0"/>
    <s v="Release"/>
  </r>
  <r>
    <n v="85278"/>
    <n v="0"/>
    <n v="85278"/>
    <x v="276"/>
    <x v="273"/>
    <n v="0"/>
    <s v="MPG"/>
    <s v="Direct"/>
    <n v="1008"/>
    <x v="0"/>
    <s v="Old"/>
    <d v="2024-12-05T00:00:00"/>
    <n v="248.84999999999997"/>
    <n v="10574.199999999999"/>
    <n v="186.63749999999999"/>
    <n v="236.40749999999997"/>
    <n v="53.607333380000007"/>
    <n v="317.22599999999994"/>
    <n v="80.818499999999972"/>
    <n v="24.884999999999998"/>
    <n v="451.62274036541112"/>
    <n v="0"/>
    <n v="0"/>
    <n v="0"/>
    <n v="0"/>
    <n v="0"/>
    <n v="0"/>
    <n v="0"/>
    <n v="0"/>
    <n v="0"/>
    <s v="Release"/>
  </r>
  <r>
    <n v="0"/>
    <n v="0"/>
    <n v="0"/>
    <x v="277"/>
    <x v="274"/>
    <n v="0"/>
    <s v="vlc"/>
    <s v="Indirect"/>
    <n v="1008"/>
    <x v="0"/>
    <s v="Old"/>
    <d v="2024-12-18T00:00:00"/>
    <n v="470.4"/>
    <n v="19150.03"/>
    <n v="352.79999999999995"/>
    <n v="446.87999999999994"/>
    <n v="0"/>
    <n v="574.50089999999989"/>
    <n v="127.62089999999995"/>
    <n v="47.04"/>
    <n v="752.98641528221765"/>
    <n v="0"/>
    <n v="0"/>
    <n v="0"/>
    <n v="0"/>
    <n v="0"/>
    <n v="0"/>
    <n v="0"/>
    <n v="0"/>
    <n v="0"/>
    <s v="Release"/>
  </r>
  <r>
    <n v="0"/>
    <n v="0"/>
    <n v="0"/>
    <x v="278"/>
    <x v="275"/>
    <n v="0"/>
    <s v="vlc"/>
    <s v="Indirect"/>
    <n v="1008"/>
    <x v="0"/>
    <s v="Old"/>
    <d v="2024-12-18T00:00:00"/>
    <n v="798.5"/>
    <n v="30530.35"/>
    <n v="598.875"/>
    <n v="758.57499999999993"/>
    <n v="0"/>
    <n v="915.91049999999996"/>
    <n v="157.33550000000002"/>
    <n v="79.850000000000009"/>
    <n v="1277.6354901662692"/>
    <n v="0"/>
    <n v="0"/>
    <n v="0"/>
    <n v="0"/>
    <n v="0"/>
    <n v="0"/>
    <n v="0"/>
    <n v="0"/>
    <n v="0"/>
    <s v="Release"/>
  </r>
  <r>
    <n v="0"/>
    <n v="0"/>
    <n v="0"/>
    <x v="279"/>
    <x v="276"/>
    <n v="0"/>
    <s v="vlc"/>
    <s v="Indirect"/>
    <n v="1008"/>
    <x v="0"/>
    <s v="Old"/>
    <d v="2024-12-17T00:00:00"/>
    <n v="591.09999999999991"/>
    <n v="23647.86"/>
    <n v="443.32499999999993"/>
    <n v="561.54499999999985"/>
    <n v="0"/>
    <n v="709.43579999999997"/>
    <n v="147.89080000000013"/>
    <n v="59.109999999999992"/>
    <n v="945.44598417640282"/>
    <n v="0"/>
    <n v="0"/>
    <n v="0"/>
    <n v="0"/>
    <n v="0"/>
    <n v="0"/>
    <n v="0"/>
    <n v="0"/>
    <n v="0"/>
    <s v="Release"/>
  </r>
  <r>
    <n v="78534.602950940316"/>
    <n v="0"/>
    <n v="78534.602950940316"/>
    <x v="280"/>
    <x v="277"/>
    <n v="0"/>
    <s v="MPG"/>
    <s v="Direct"/>
    <n v="1008"/>
    <x v="0"/>
    <s v="Old"/>
    <d v="2025-02-28T00:00:00"/>
    <n v="2067.65"/>
    <n v="77944.51999999999"/>
    <n v="1550.7375000000002"/>
    <n v="1964.2674999999999"/>
    <n v="229.66316062000004"/>
    <n v="2338.3355999999994"/>
    <n v="374.0680999999995"/>
    <n v="206.76500000000001"/>
    <n v="551.99520621390388"/>
    <n v="2986"/>
    <n v="1861"/>
    <n v="0"/>
    <n v="0"/>
    <n v="0"/>
    <n v="256.5"/>
    <n v="869"/>
    <n v="869"/>
    <n v="0"/>
    <s v="Yes"/>
  </r>
  <r>
    <n v="84685"/>
    <n v="0"/>
    <n v="84685"/>
    <x v="281"/>
    <x v="278"/>
    <n v="0"/>
    <s v="MPG"/>
    <s v="Direct"/>
    <n v="1008"/>
    <x v="0"/>
    <s v="Old"/>
    <d v="2025-03-29T00:00:00"/>
    <n v="1382.3000000000002"/>
    <n v="59645.670000000006"/>
    <n v="1036.7250000000001"/>
    <n v="1313.1850000000002"/>
    <n v="82.217365939450005"/>
    <n v="1789.3701000000001"/>
    <n v="476.18509999999992"/>
    <n v="138.23000000000002"/>
    <n v="1230.2521248567598"/>
    <n v="1064"/>
    <n v="1064"/>
    <n v="0"/>
    <n v="0"/>
    <n v="0"/>
    <n v="0"/>
    <n v="0"/>
    <n v="0"/>
    <n v="0"/>
    <s v="Release"/>
  </r>
  <r>
    <n v="66347.750542470603"/>
    <n v="0"/>
    <n v="66347.750542470603"/>
    <x v="282"/>
    <x v="279"/>
    <n v="0"/>
    <s v="MPG"/>
    <s v="Direct"/>
    <n v="1008"/>
    <x v="0"/>
    <s v="Old"/>
    <d v="2025-03-29T00:00:00"/>
    <n v="2930.55"/>
    <n v="104971.98000000001"/>
    <n v="2197.9125000000004"/>
    <n v="2784.0225"/>
    <n v="271.86159215300006"/>
    <n v="3149.1594"/>
    <n v="365.13689999999997"/>
    <n v="293.05500000000001"/>
    <n v="199.86578256305495"/>
    <n v="4761"/>
    <n v="2099.4396000000002"/>
    <n v="0"/>
    <n v="0"/>
    <n v="0"/>
    <n v="0"/>
    <n v="2662"/>
    <n v="2662"/>
    <n v="0"/>
    <s v="Yes"/>
  </r>
  <r>
    <n v="0"/>
    <n v="0"/>
    <n v="0"/>
    <x v="283"/>
    <x v="280"/>
    <n v="0"/>
    <s v="vlc"/>
    <s v="Indirect"/>
    <n v="1008"/>
    <x v="0"/>
    <s v="Old"/>
    <d v="2025-05-25T00:00:00"/>
    <n v="1723.15"/>
    <n v="68494.319999999992"/>
    <n v="1292.3625000000002"/>
    <n v="1636.9925000000001"/>
    <n v="0"/>
    <n v="2054.8295999999996"/>
    <n v="417.83709999999951"/>
    <n v="172.31500000000003"/>
    <n v="858.17170215226906"/>
    <n v="1899"/>
    <n v="0"/>
    <n v="0"/>
    <n v="0"/>
    <n v="0"/>
    <n v="0"/>
    <n v="1899"/>
    <n v="0"/>
    <n v="1899"/>
    <s v="Release"/>
  </r>
  <r>
    <n v="88139"/>
    <n v="0"/>
    <n v="88139"/>
    <x v="284"/>
    <x v="281"/>
    <n v="0"/>
    <s v="MPG"/>
    <s v="Direct"/>
    <n v="1008"/>
    <x v="0"/>
    <s v="Old"/>
    <d v="2025-06-01T00:00:00"/>
    <n v="468.65"/>
    <n v="17190.800000000003"/>
    <n v="351.48749999999995"/>
    <n v="445.21749999999997"/>
    <n v="0"/>
    <n v="515.72400000000005"/>
    <n v="70.506500000000074"/>
    <n v="46.865000000000002"/>
    <n v="749.78954287987585"/>
    <n v="0"/>
    <n v="0"/>
    <n v="0"/>
    <n v="0"/>
    <n v="0"/>
    <n v="0"/>
    <n v="0"/>
    <n v="0"/>
    <n v="0"/>
    <s v="Release"/>
  </r>
  <r>
    <n v="99979"/>
    <n v="0"/>
    <n v="99979"/>
    <x v="285"/>
    <x v="282"/>
    <n v="0"/>
    <s v="MPG"/>
    <s v="Direct"/>
    <n v="1008"/>
    <x v="0"/>
    <s v="Old"/>
    <d v="2025-06-30T00:00:00"/>
    <n v="234.45"/>
    <n v="9272.32"/>
    <n v="175.83749999999998"/>
    <n v="222.72749999999999"/>
    <n v="0"/>
    <n v="278.1696"/>
    <n v="55.442100000000011"/>
    <n v="23.445"/>
    <n v="374.67709813726242"/>
    <n v="0"/>
    <n v="0"/>
    <n v="0"/>
    <n v="0"/>
    <n v="0"/>
    <n v="0"/>
    <n v="0"/>
    <n v="0"/>
    <n v="0"/>
    <s v="Release"/>
  </r>
  <r>
    <n v="109327"/>
    <n v="0"/>
    <n v="109327"/>
    <x v="286"/>
    <x v="283"/>
    <n v="0"/>
    <s v="MPG"/>
    <s v="Direct"/>
    <n v="1008"/>
    <x v="0"/>
    <s v="Old"/>
    <d v="2025-06-23T00:00:00"/>
    <n v="191.3"/>
    <n v="7176.77"/>
    <n v="143.47500000000002"/>
    <n v="181.73500000000001"/>
    <n v="0"/>
    <n v="215.3031"/>
    <n v="33.568099999999987"/>
    <n v="19.130000000000003"/>
    <n v="305.80570990469278"/>
    <n v="0"/>
    <n v="0"/>
    <n v="0"/>
    <n v="0"/>
    <n v="0"/>
    <n v="0"/>
    <n v="0"/>
    <n v="0"/>
    <n v="0"/>
    <s v="Release"/>
  </r>
  <r>
    <n v="0"/>
    <n v="0"/>
    <n v="0"/>
    <x v="287"/>
    <x v="284"/>
    <n v="0"/>
    <s v="vlc"/>
    <s v="Indirect"/>
    <n v="1008"/>
    <x v="0"/>
    <s v="Old"/>
    <d v="2025-05-09T00:00:00"/>
    <n v="1312.2999999999997"/>
    <n v="46348.260000000009"/>
    <n v="984.2249999999998"/>
    <n v="1246.6849999999997"/>
    <n v="0"/>
    <n v="1390.4478000000001"/>
    <n v="143.76280000000042"/>
    <n v="131.22999999999999"/>
    <n v="1048.5994501707619"/>
    <n v="1051"/>
    <n v="0"/>
    <n v="0"/>
    <n v="0"/>
    <n v="0"/>
    <n v="0"/>
    <n v="1051"/>
    <n v="0"/>
    <n v="1051"/>
    <s v="Release"/>
  </r>
  <r>
    <n v="96767"/>
    <n v="0"/>
    <n v="96767"/>
    <x v="288"/>
    <x v="285"/>
    <n v="0"/>
    <s v="MPG"/>
    <s v="Direct"/>
    <n v="1008"/>
    <x v="0"/>
    <s v="Old"/>
    <d v="2025-06-07T00:00:00"/>
    <n v="1352.05"/>
    <n v="48538.640000000007"/>
    <n v="1014.0374999999999"/>
    <n v="1284.4475"/>
    <n v="277.62156930539999"/>
    <n v="1456.1592000000001"/>
    <n v="171.71170000000006"/>
    <n v="135.20500000000001"/>
    <n v="1039.6803999816921"/>
    <n v="1401"/>
    <n v="1401"/>
    <n v="0"/>
    <n v="0"/>
    <n v="0"/>
    <n v="0"/>
    <n v="0"/>
    <n v="0"/>
    <n v="0"/>
    <s v="Release"/>
  </r>
  <r>
    <n v="87928"/>
    <n v="0"/>
    <n v="87928"/>
    <x v="289"/>
    <x v="286"/>
    <n v="0"/>
    <s v="MPG"/>
    <s v="Direct"/>
    <n v="1008"/>
    <x v="0"/>
    <s v="Old"/>
    <d v="2025-06-02T00:00:00"/>
    <n v="4835.8999999999996"/>
    <n v="157378.71"/>
    <n v="3626.9249999999997"/>
    <n v="4594.1049999999996"/>
    <n v="0"/>
    <n v="4721.3612999999996"/>
    <n v="127.25630000000001"/>
    <n v="483.59"/>
    <n v="248.76357450980396"/>
    <n v="7489"/>
    <n v="3147.5742"/>
    <n v="0"/>
    <n v="0"/>
    <n v="0"/>
    <n v="0"/>
    <n v="4341"/>
    <n v="4341"/>
    <n v="0"/>
    <s v="Yes"/>
  </r>
  <r>
    <n v="90000"/>
    <n v="0"/>
    <n v="90000"/>
    <x v="290"/>
    <x v="287"/>
    <n v="0"/>
    <s v="MPG"/>
    <s v="Direct"/>
    <n v="1008"/>
    <x v="0"/>
    <s v="Old"/>
    <d v="2025-07-05T00:00:00"/>
    <n v="1363.35"/>
    <n v="51890.31"/>
    <n v="1022.5124999999999"/>
    <n v="1295.1824999999999"/>
    <n v="0"/>
    <n v="1556.7093"/>
    <n v="261.52680000000009"/>
    <n v="136.33500000000001"/>
    <n v="1094.9768839075143"/>
    <n v="1086"/>
    <n v="1086"/>
    <n v="0"/>
    <n v="0"/>
    <n v="0"/>
    <n v="0"/>
    <n v="0"/>
    <n v="0"/>
    <n v="0"/>
    <s v="Release"/>
  </r>
  <r>
    <n v="0"/>
    <n v="0"/>
    <n v="0"/>
    <x v="291"/>
    <x v="288"/>
    <n v="0"/>
    <s v="vlc"/>
    <s v="Indirect"/>
    <n v="1008"/>
    <x v="0"/>
    <s v="New"/>
    <d v="2025-08-01T00:00:00"/>
    <n v="1843.8000000000002"/>
    <n v="65337.659999999996"/>
    <n v="1382.8500000000001"/>
    <n v="1751.6100000000001"/>
    <n v="0"/>
    <n v="1960.1297999999997"/>
    <n v="208.51979999999958"/>
    <n v="184.38000000000002"/>
    <n v="0"/>
    <n v="2950"/>
    <n v="0"/>
    <n v="0"/>
    <n v="0"/>
    <n v="0"/>
    <n v="0"/>
    <n v="2950"/>
    <n v="0"/>
    <n v="2950"/>
    <s v="Release"/>
  </r>
  <r>
    <n v="0"/>
    <n v="0"/>
    <n v="0"/>
    <x v="292"/>
    <x v="289"/>
    <n v="0"/>
    <s v="vlc"/>
    <s v="Indirect"/>
    <n v="1008"/>
    <x v="0"/>
    <s v="New"/>
    <d v="2025-08-27T00:00:00"/>
    <n v="3937.1000000000004"/>
    <n v="162564.75999999998"/>
    <n v="2952.8250000000003"/>
    <n v="3740.2450000000003"/>
    <n v="0"/>
    <n v="4876.9427999999989"/>
    <n v="1136.6977999999986"/>
    <n v="393.71000000000004"/>
    <n v="0"/>
    <n v="6299"/>
    <n v="0"/>
    <n v="0"/>
    <n v="0"/>
    <n v="0"/>
    <n v="0"/>
    <n v="6299"/>
    <n v="0"/>
    <n v="6299"/>
    <s v="Release"/>
  </r>
  <r>
    <n v="0"/>
    <n v="3200"/>
    <n v="3200"/>
    <x v="293"/>
    <x v="290"/>
    <n v="0"/>
    <s v="vlc"/>
    <s v="Indirect"/>
    <n v="1009"/>
    <x v="8"/>
    <s v="Old"/>
    <d v="2017-09-01T00:00:00"/>
    <n v="1707"/>
    <n v="71329.11"/>
    <n v="1280.25"/>
    <n v="1621.6499999999999"/>
    <n v="0"/>
    <n v="2139.8732999999997"/>
    <n v="518.22329999999988"/>
    <n v="170.70000000000002"/>
    <n v="914.69424069864306"/>
    <n v="1817"/>
    <n v="0"/>
    <n v="1426.5822000000001"/>
    <n v="0"/>
    <n v="0"/>
    <n v="0"/>
    <n v="390"/>
    <n v="0"/>
    <n v="390"/>
    <s v="Release"/>
  </r>
  <r>
    <n v="0"/>
    <n v="0"/>
    <n v="0"/>
    <x v="294"/>
    <x v="291"/>
    <n v="0"/>
    <s v="MPG"/>
    <s v="Direct"/>
    <n v="1009"/>
    <x v="8"/>
    <s v="Old"/>
    <d v="2017-09-01T00:00:00"/>
    <n v="5489.7"/>
    <n v="240024.64"/>
    <n v="4117.2749999999996"/>
    <n v="5215.2149999999992"/>
    <n v="1657.3994216076003"/>
    <n v="7200.7392"/>
    <n v="1985.5242000000007"/>
    <n v="548.97"/>
    <n v="0"/>
    <n v="10441"/>
    <n v="0"/>
    <n v="0"/>
    <n v="0"/>
    <n v="0"/>
    <n v="0"/>
    <n v="10441"/>
    <n v="0"/>
    <n v="10441"/>
    <s v="Release"/>
  </r>
  <r>
    <n v="0"/>
    <n v="0"/>
    <n v="0"/>
    <x v="295"/>
    <x v="292"/>
    <n v="0"/>
    <s v="MPG"/>
    <s v="Direct"/>
    <n v="1009"/>
    <x v="8"/>
    <s v="Old"/>
    <d v="2017-09-01T00:00:00"/>
    <n v="415.90000000000003"/>
    <n v="14383.4"/>
    <n v="311.92500000000001"/>
    <n v="395.10500000000002"/>
    <n v="429.77264447200002"/>
    <n v="431.50199999999995"/>
    <n v="36.396999999999935"/>
    <n v="41.59"/>
    <n v="1095.3633607006377"/>
    <n v="0"/>
    <n v="0"/>
    <n v="0"/>
    <n v="0"/>
    <n v="0"/>
    <n v="0"/>
    <n v="0"/>
    <n v="0"/>
    <n v="0"/>
    <s v="Release"/>
  </r>
  <r>
    <n v="0"/>
    <n v="0"/>
    <n v="0"/>
    <x v="296"/>
    <x v="293"/>
    <n v="0"/>
    <s v="MPG"/>
    <s v="Direct"/>
    <n v="1009"/>
    <x v="8"/>
    <s v="Old"/>
    <d v="2017-09-01T00:00:00"/>
    <n v="915.00000000000011"/>
    <n v="39486.410000000003"/>
    <n v="686.25000000000011"/>
    <n v="869.25000000000011"/>
    <n v="232.02712199999999"/>
    <n v="1184.5923"/>
    <n v="315.34229999999991"/>
    <n v="91.500000000000014"/>
    <n v="1630.6296980161169"/>
    <n v="65"/>
    <n v="0"/>
    <n v="0"/>
    <n v="0"/>
    <n v="0"/>
    <n v="0"/>
    <n v="65"/>
    <n v="0"/>
    <n v="65"/>
    <s v="Release"/>
  </r>
  <r>
    <n v="0"/>
    <n v="0"/>
    <n v="0"/>
    <x v="297"/>
    <x v="294"/>
    <n v="0"/>
    <s v="vlc"/>
    <s v="Indirect"/>
    <n v="1009"/>
    <x v="8"/>
    <s v="Old"/>
    <d v="2017-09-01T00:00:00"/>
    <n v="416.79999999999995"/>
    <n v="17668.79"/>
    <n v="312.59999999999997"/>
    <n v="395.95999999999992"/>
    <n v="0"/>
    <n v="530.06370000000004"/>
    <n v="134.10370000000012"/>
    <n v="41.68"/>
    <n v="666.88639772386273"/>
    <n v="0"/>
    <n v="0"/>
    <n v="0"/>
    <n v="0"/>
    <n v="0"/>
    <n v="0"/>
    <n v="0"/>
    <n v="0"/>
    <n v="0"/>
    <s v="Release"/>
  </r>
  <r>
    <n v="0"/>
    <n v="0"/>
    <n v="0"/>
    <x v="298"/>
    <x v="295"/>
    <n v="0"/>
    <s v="MPG"/>
    <s v="Direct"/>
    <n v="1009"/>
    <x v="8"/>
    <s v="Old"/>
    <d v="2017-09-01T00:00:00"/>
    <n v="5077.6000000000004"/>
    <n v="185437.85000000003"/>
    <n v="3808.2000000000003"/>
    <n v="4823.72"/>
    <n v="146.17311546400003"/>
    <n v="5563.1355000000012"/>
    <n v="739.41550000000097"/>
    <n v="507.76000000000005"/>
    <n v="0"/>
    <n v="8270"/>
    <n v="0"/>
    <n v="0"/>
    <n v="0"/>
    <n v="0"/>
    <n v="0"/>
    <n v="8270"/>
    <n v="0"/>
    <n v="8270"/>
    <s v="Release"/>
  </r>
  <r>
    <n v="0"/>
    <n v="0"/>
    <n v="0"/>
    <x v="299"/>
    <x v="296"/>
    <n v="0"/>
    <s v="MPG"/>
    <s v="Direct"/>
    <n v="1009"/>
    <x v="8"/>
    <s v="Old"/>
    <d v="2017-09-01T00:00:00"/>
    <n v="1972.6"/>
    <n v="72475.42"/>
    <n v="1479.4499999999998"/>
    <n v="1873.9699999999998"/>
    <n v="314.69166480600006"/>
    <n v="2174.2626"/>
    <n v="300.29260000000022"/>
    <n v="197.26"/>
    <n v="623.20329848394135"/>
    <n v="2848"/>
    <n v="0"/>
    <n v="0"/>
    <n v="0"/>
    <n v="0"/>
    <n v="0"/>
    <n v="2848"/>
    <n v="0"/>
    <n v="2848"/>
    <s v="Release"/>
  </r>
  <r>
    <n v="0"/>
    <n v="0"/>
    <n v="0"/>
    <x v="300"/>
    <x v="297"/>
    <n v="0"/>
    <s v="MPG"/>
    <s v="Direct"/>
    <n v="1009"/>
    <x v="8"/>
    <s v="Old"/>
    <d v="2017-09-01T00:00:00"/>
    <n v="2090.5"/>
    <n v="75866.53"/>
    <n v="1567.875"/>
    <n v="1985.9749999999999"/>
    <n v="1026.6472082719999"/>
    <n v="2275.9958999999999"/>
    <n v="290.02089999999998"/>
    <n v="209.05"/>
    <n v="514.12301918285925"/>
    <n v="3857"/>
    <n v="0"/>
    <n v="0"/>
    <n v="0"/>
    <n v="0"/>
    <n v="0"/>
    <n v="3857"/>
    <n v="0"/>
    <n v="3857"/>
    <s v="Release"/>
  </r>
  <r>
    <n v="0"/>
    <n v="0"/>
    <n v="0"/>
    <x v="301"/>
    <x v="298"/>
    <n v="0"/>
    <s v="MPG"/>
    <s v="Direct"/>
    <n v="1009"/>
    <x v="8"/>
    <s v="Old"/>
    <d v="2017-09-01T00:00:00"/>
    <n v="2161.2999999999997"/>
    <n v="96448.590000000011"/>
    <n v="1620.9749999999999"/>
    <n v="2053.2349999999997"/>
    <n v="1244.8360017354003"/>
    <n v="2893.4577000000004"/>
    <n v="840.22270000000071"/>
    <n v="216.13"/>
    <n v="569.37626804957199"/>
    <n v="4134"/>
    <n v="0"/>
    <n v="0"/>
    <n v="0"/>
    <n v="0"/>
    <n v="0"/>
    <n v="4134"/>
    <n v="0"/>
    <n v="4134"/>
    <s v="Release"/>
  </r>
  <r>
    <n v="0"/>
    <n v="0"/>
    <n v="0"/>
    <x v="302"/>
    <x v="299"/>
    <n v="0"/>
    <s v="vlc"/>
    <s v="Indirect"/>
    <n v="1009"/>
    <x v="8"/>
    <s v="Old"/>
    <d v="2017-09-01T00:00:00"/>
    <n v="859.30000000000007"/>
    <n v="32645.199999999997"/>
    <n v="644.47500000000002"/>
    <n v="816.33500000000004"/>
    <n v="0"/>
    <n v="979.35599999999988"/>
    <n v="163.02099999999984"/>
    <n v="85.93"/>
    <n v="1374.5775875221434"/>
    <n v="0"/>
    <n v="0"/>
    <n v="0"/>
    <n v="0"/>
    <n v="0"/>
    <n v="0"/>
    <n v="0"/>
    <n v="0"/>
    <n v="0"/>
    <s v="Release"/>
  </r>
  <r>
    <n v="0"/>
    <n v="0"/>
    <n v="0"/>
    <x v="303"/>
    <x v="300"/>
    <n v="0"/>
    <s v="vlc"/>
    <s v="Indirect"/>
    <n v="1009"/>
    <x v="8"/>
    <s v="Old"/>
    <d v="2017-09-01T00:00:00"/>
    <n v="1498.9"/>
    <n v="55160.729999999996"/>
    <n v="1124.1750000000002"/>
    <n v="1423.9549999999999"/>
    <n v="0"/>
    <n v="1654.8218999999999"/>
    <n v="230.86689999999999"/>
    <n v="149.89000000000001"/>
    <n v="442.68775159680786"/>
    <n v="1956"/>
    <n v="0"/>
    <n v="0"/>
    <n v="0"/>
    <n v="0"/>
    <n v="0"/>
    <n v="1956"/>
    <n v="0"/>
    <n v="1956"/>
    <s v="Release"/>
  </r>
  <r>
    <n v="0"/>
    <n v="0"/>
    <n v="0"/>
    <x v="304"/>
    <x v="301"/>
    <n v="0"/>
    <s v="vlc"/>
    <s v="Indirect"/>
    <n v="1009"/>
    <x v="8"/>
    <s v="Old"/>
    <d v="2017-12-02T00:00:00"/>
    <n v="2316"/>
    <n v="85482.71"/>
    <n v="1737"/>
    <n v="2200.1999999999998"/>
    <n v="0"/>
    <n v="2564.4812999999999"/>
    <n v="364.2813000000001"/>
    <n v="231.60000000000002"/>
    <n v="135.84046483133"/>
    <n v="3570"/>
    <n v="0"/>
    <n v="0"/>
    <n v="0"/>
    <n v="0"/>
    <n v="0"/>
    <n v="3570"/>
    <n v="0"/>
    <n v="3570"/>
    <s v="Release"/>
  </r>
  <r>
    <n v="0"/>
    <n v="0"/>
    <n v="0"/>
    <x v="305"/>
    <x v="302"/>
    <n v="0"/>
    <s v="vlc"/>
    <s v="Indirect"/>
    <n v="1009"/>
    <x v="8"/>
    <s v="Old"/>
    <d v="2019-11-17T00:00:00"/>
    <n v="1106.4000000000001"/>
    <n v="44726.780000000006"/>
    <n v="829.80000000000007"/>
    <n v="1051.08"/>
    <n v="0"/>
    <n v="1341.8034000000002"/>
    <n v="290.72340000000031"/>
    <n v="110.64000000000001"/>
    <n v="1367.1278590603138"/>
    <n v="403"/>
    <n v="0"/>
    <n v="0"/>
    <n v="0"/>
    <n v="0"/>
    <n v="0"/>
    <n v="403"/>
    <n v="0"/>
    <n v="403"/>
    <s v="Release"/>
  </r>
  <r>
    <n v="0"/>
    <n v="0"/>
    <n v="0"/>
    <x v="306"/>
    <x v="303"/>
    <n v="0"/>
    <s v="vlc"/>
    <s v="Indirect"/>
    <n v="1009"/>
    <x v="8"/>
    <s v="Old"/>
    <d v="2019-11-20T00:00:00"/>
    <n v="869.69999999999993"/>
    <n v="35510.43"/>
    <n v="652.27499999999998"/>
    <n v="826.21499999999992"/>
    <n v="0"/>
    <n v="1065.3128999999999"/>
    <n v="239.09789999999998"/>
    <n v="86.97"/>
    <n v="1391.7736366841405"/>
    <n v="0"/>
    <n v="0"/>
    <n v="0"/>
    <n v="0"/>
    <n v="0"/>
    <n v="0"/>
    <n v="0"/>
    <n v="0"/>
    <n v="0"/>
    <s v="Release"/>
  </r>
  <r>
    <n v="0"/>
    <n v="0"/>
    <n v="0"/>
    <x v="307"/>
    <x v="304"/>
    <n v="0"/>
    <s v="vlc"/>
    <s v="Indirect"/>
    <n v="1009"/>
    <x v="8"/>
    <s v="Old"/>
    <d v="2021-05-05T00:00:00"/>
    <n v="11331.2"/>
    <n v="417516.5"/>
    <n v="8498.4000000000015"/>
    <n v="10764.64"/>
    <n v="0"/>
    <n v="12525.494999999999"/>
    <n v="1760.8549999999996"/>
    <n v="1133.1200000000001"/>
    <n v="0"/>
    <n v="18130"/>
    <n v="0"/>
    <n v="0"/>
    <n v="0"/>
    <n v="0"/>
    <n v="0"/>
    <n v="18130"/>
    <n v="0"/>
    <n v="18130"/>
    <s v="Release"/>
  </r>
  <r>
    <n v="0"/>
    <n v="0"/>
    <n v="0"/>
    <x v="308"/>
    <x v="305"/>
    <n v="0"/>
    <s v="MPG"/>
    <s v="Direct"/>
    <n v="1009"/>
    <x v="8"/>
    <s v="Old"/>
    <d v="2022-04-25T00:00:00"/>
    <n v="3332.4999999999995"/>
    <n v="156288.14000000001"/>
    <n v="2499.3749999999995"/>
    <n v="3165.8749999999995"/>
    <n v="332.99084363524003"/>
    <n v="4688.6442000000006"/>
    <n v="1522.7692000000011"/>
    <n v="333.25"/>
    <n v="62.976644254510859"/>
    <n v="5602"/>
    <n v="0"/>
    <n v="0"/>
    <n v="0"/>
    <n v="0"/>
    <n v="0"/>
    <n v="5602"/>
    <n v="0"/>
    <n v="5602"/>
    <s v="Release"/>
  </r>
  <r>
    <n v="2696.0396000000037"/>
    <n v="5258.4420804474839"/>
    <n v="7954.4816804474876"/>
    <x v="309"/>
    <x v="306"/>
    <n v="0"/>
    <s v="vlc"/>
    <s v="Indirect"/>
    <n v="1009"/>
    <x v="8"/>
    <s v="Old"/>
    <d v="2022-04-29T00:00:00"/>
    <n v="573.1"/>
    <n v="24378.560000000005"/>
    <n v="429.82500000000005"/>
    <n v="544.44500000000005"/>
    <n v="0"/>
    <n v="731.35680000000013"/>
    <n v="186.91180000000008"/>
    <n v="57.31"/>
    <n v="916.65682944278706"/>
    <n v="0"/>
    <n v="0"/>
    <n v="0"/>
    <n v="0"/>
    <n v="0"/>
    <n v="0"/>
    <n v="0"/>
    <n v="0"/>
    <n v="0"/>
    <s v="Release"/>
  </r>
  <r>
    <n v="0"/>
    <n v="0"/>
    <n v="0"/>
    <x v="310"/>
    <x v="307"/>
    <n v="0"/>
    <s v="vlc"/>
    <s v="Indirect"/>
    <n v="1009"/>
    <x v="8"/>
    <s v="Old"/>
    <d v="2022-06-10T00:00:00"/>
    <n v="1260.0999999999999"/>
    <n v="48806.39"/>
    <n v="945.07499999999993"/>
    <n v="1197.0949999999998"/>
    <n v="0"/>
    <n v="1464.1916999999999"/>
    <n v="267.09670000000006"/>
    <n v="126.00999999999999"/>
    <n v="1191.7942727360983"/>
    <n v="824"/>
    <n v="0"/>
    <n v="0"/>
    <n v="0"/>
    <n v="0"/>
    <n v="0"/>
    <n v="824"/>
    <n v="0"/>
    <n v="824"/>
    <s v="Release"/>
  </r>
  <r>
    <n v="0"/>
    <n v="0"/>
    <n v="0"/>
    <x v="311"/>
    <x v="308"/>
    <n v="0"/>
    <s v="vlc"/>
    <s v="Indirect"/>
    <n v="1009"/>
    <x v="8"/>
    <s v="Old"/>
    <d v="2022-10-01T00:00:00"/>
    <n v="1651.3000000000002"/>
    <n v="77582.11"/>
    <n v="1238.4750000000001"/>
    <n v="1568.7350000000001"/>
    <n v="0"/>
    <n v="2327.4632999999999"/>
    <n v="758.72829999999976"/>
    <n v="165.13000000000002"/>
    <n v="1078.3191623063979"/>
    <n v="1564"/>
    <n v="0"/>
    <n v="0"/>
    <n v="0"/>
    <n v="0"/>
    <n v="0"/>
    <n v="1564"/>
    <n v="0"/>
    <n v="1564"/>
    <s v="Release"/>
  </r>
  <r>
    <n v="0"/>
    <n v="0"/>
    <n v="0"/>
    <x v="312"/>
    <x v="309"/>
    <n v="0"/>
    <s v="vlc"/>
    <s v="Indirect"/>
    <n v="1009"/>
    <x v="8"/>
    <s v="Old"/>
    <d v="2022-10-01T00:00:00"/>
    <n v="251.70000000000002"/>
    <n v="10291.14"/>
    <n v="188.77500000000001"/>
    <n v="239.11500000000001"/>
    <n v="0"/>
    <n v="308.73419999999999"/>
    <n v="69.619199999999978"/>
    <n v="25.17"/>
    <n v="402.63706055994862"/>
    <n v="0"/>
    <n v="0"/>
    <n v="0"/>
    <n v="0"/>
    <n v="0"/>
    <n v="0"/>
    <n v="0"/>
    <n v="0"/>
    <n v="0"/>
    <s v="Release"/>
  </r>
  <r>
    <n v="0"/>
    <n v="0"/>
    <n v="0"/>
    <x v="313"/>
    <x v="310"/>
    <n v="0"/>
    <s v="vlc"/>
    <s v="Indirect"/>
    <n v="1009"/>
    <x v="8"/>
    <s v="Old"/>
    <d v="2022-11-01T00:00:00"/>
    <n v="797.1"/>
    <n v="31078.33"/>
    <n v="597.82500000000005"/>
    <n v="757.245"/>
    <n v="0"/>
    <n v="932.34990000000005"/>
    <n v="175.10490000000004"/>
    <n v="79.710000000000008"/>
    <n v="1275.1617806507281"/>
    <n v="0"/>
    <n v="0"/>
    <n v="0"/>
    <n v="0"/>
    <n v="0"/>
    <n v="0"/>
    <n v="0"/>
    <n v="0"/>
    <n v="0"/>
    <s v="Release"/>
  </r>
  <r>
    <n v="51267.17518527995"/>
    <n v="0"/>
    <n v="51267.17518527995"/>
    <x v="314"/>
    <x v="311"/>
    <n v="0"/>
    <s v="MPG"/>
    <s v="Direct"/>
    <n v="1009"/>
    <x v="8"/>
    <s v="Old"/>
    <d v="2023-01-20T00:00:00"/>
    <n v="993.8"/>
    <n v="40122.009999999995"/>
    <n v="745.34999999999991"/>
    <n v="944.1099999999999"/>
    <n v="537.39554674720011"/>
    <n v="1203.6602999999998"/>
    <n v="259.55029999999988"/>
    <n v="99.38"/>
    <n v="892.44595309104568"/>
    <n v="1235"/>
    <n v="1235"/>
    <n v="0"/>
    <n v="0"/>
    <n v="0"/>
    <n v="0"/>
    <n v="0"/>
    <n v="0"/>
    <n v="0"/>
    <s v="Release"/>
  </r>
  <r>
    <n v="11159.449306397422"/>
    <n v="12800"/>
    <n v="23959.449306397422"/>
    <x v="315"/>
    <x v="83"/>
    <n v="0"/>
    <s v="MPG"/>
    <s v="Direct"/>
    <n v="1009"/>
    <x v="8"/>
    <s v="Old"/>
    <d v="2023-02-10T00:00:00"/>
    <n v="2483.5"/>
    <n v="103931.42"/>
    <n v="1862.625"/>
    <n v="2359.3249999999998"/>
    <n v="875.77284227600001"/>
    <n v="3117.9425999999999"/>
    <n v="758.61760000000004"/>
    <n v="248.35000000000002"/>
    <n v="327.40973745219185"/>
    <n v="4522"/>
    <n v="2078.6284000000001"/>
    <n v="0"/>
    <n v="0"/>
    <n v="0"/>
    <n v="0"/>
    <n v="2443"/>
    <n v="0"/>
    <n v="2443"/>
    <s v="Release"/>
  </r>
  <r>
    <n v="34976.412679142551"/>
    <n v="6400"/>
    <n v="41376.412679142551"/>
    <x v="316"/>
    <x v="312"/>
    <n v="0"/>
    <s v="MPG"/>
    <s v="Direct"/>
    <n v="1009"/>
    <x v="8"/>
    <s v="Old"/>
    <d v="2023-02-21T00:00:00"/>
    <n v="123.8"/>
    <n v="5203.9000000000005"/>
    <n v="92.85"/>
    <n v="117.60999999999999"/>
    <n v="0"/>
    <n v="156.11700000000002"/>
    <n v="38.507000000000033"/>
    <n v="12.38"/>
    <n v="197.9958615617852"/>
    <n v="0"/>
    <n v="0"/>
    <n v="0"/>
    <n v="0"/>
    <n v="0"/>
    <n v="0"/>
    <n v="0"/>
    <n v="0"/>
    <n v="0"/>
    <s v="Release"/>
  </r>
  <r>
    <n v="0"/>
    <n v="9600"/>
    <n v="9600"/>
    <x v="317"/>
    <x v="313"/>
    <n v="0"/>
    <s v="MPG"/>
    <s v="Direct"/>
    <n v="1009"/>
    <x v="8"/>
    <s v="Old"/>
    <d v="2023-03-24T00:00:00"/>
    <n v="3984.1000000000004"/>
    <n v="195109.81"/>
    <n v="2988.0750000000003"/>
    <n v="3784.895"/>
    <n v="1420.7219416683999"/>
    <n v="5853.2942999999996"/>
    <n v="2068.3992999999996"/>
    <n v="398.41000000000008"/>
    <n v="0"/>
    <n v="7795"/>
    <n v="0"/>
    <n v="3902.1961999999999"/>
    <n v="0"/>
    <n v="0"/>
    <n v="0"/>
    <n v="3893"/>
    <n v="0"/>
    <n v="3893"/>
    <s v="Release"/>
  </r>
  <r>
    <n v="0"/>
    <n v="0"/>
    <n v="0"/>
    <x v="318"/>
    <x v="314"/>
    <n v="0"/>
    <s v="MPG"/>
    <s v="Direct"/>
    <n v="1009"/>
    <x v="8"/>
    <s v="Old"/>
    <d v="2023-04-05T00:00:00"/>
    <n v="2185.4999999999995"/>
    <n v="88901.09"/>
    <n v="1639.1249999999995"/>
    <n v="2076.2249999999995"/>
    <n v="460.87028656079997"/>
    <n v="2667.0326999999997"/>
    <n v="590.8077000000003"/>
    <n v="218.54999999999995"/>
    <n v="502.15459509519792"/>
    <n v="3456"/>
    <n v="0"/>
    <n v="0"/>
    <n v="0"/>
    <n v="3000"/>
    <n v="0"/>
    <n v="456"/>
    <n v="0"/>
    <n v="456"/>
    <s v="Release"/>
  </r>
  <r>
    <n v="17485.166630250053"/>
    <n v="16000"/>
    <n v="33485.166630250053"/>
    <x v="319"/>
    <x v="315"/>
    <n v="0"/>
    <s v="MPG"/>
    <s v="Direct"/>
    <n v="1009"/>
    <x v="8"/>
    <s v="Old"/>
    <d v="2023-05-06T00:00:00"/>
    <n v="1577.5"/>
    <n v="65219.97"/>
    <n v="1183.125"/>
    <n v="1498.625"/>
    <n v="921.31256941519996"/>
    <n v="1956.5990999999999"/>
    <n v="457.97409999999991"/>
    <n v="157.75"/>
    <n v="1014.1349535614711"/>
    <n v="2431"/>
    <n v="1861"/>
    <n v="0"/>
    <n v="570"/>
    <n v="0"/>
    <n v="0"/>
    <n v="0"/>
    <n v="0"/>
    <n v="0"/>
    <s v="Release"/>
  </r>
  <r>
    <n v="21956.531155675417"/>
    <n v="19200"/>
    <n v="41156.531155675417"/>
    <x v="320"/>
    <x v="316"/>
    <n v="0"/>
    <s v="MPG"/>
    <s v="Direct"/>
    <n v="1009"/>
    <x v="8"/>
    <s v="Old"/>
    <d v="2023-06-01T00:00:00"/>
    <n v="2074.8000000000002"/>
    <n v="101993.19"/>
    <n v="1556.1000000000001"/>
    <n v="1971.0600000000002"/>
    <n v="884.49776744645999"/>
    <n v="3059.7957000000001"/>
    <n v="1088.7357"/>
    <n v="207.48000000000002"/>
    <n v="715.6071938336006"/>
    <n v="3489"/>
    <n v="2039.8638000000001"/>
    <n v="0"/>
    <n v="0"/>
    <n v="0"/>
    <n v="0"/>
    <n v="1449"/>
    <n v="0"/>
    <n v="1449"/>
    <s v="Release"/>
  </r>
  <r>
    <n v="50885.79508961102"/>
    <n v="6400"/>
    <n v="57285.79508961102"/>
    <x v="321"/>
    <x v="317"/>
    <n v="0"/>
    <s v="MPG"/>
    <s v="Direct"/>
    <n v="1009"/>
    <x v="8"/>
    <s v="Old"/>
    <d v="2023-07-03T00:00:00"/>
    <n v="1810.1"/>
    <n v="76214.990000000005"/>
    <n v="1357.5749999999998"/>
    <n v="1719.5949999999998"/>
    <n v="0"/>
    <n v="2286.4497000000001"/>
    <n v="566.85470000000032"/>
    <n v="181.01"/>
    <n v="837.54806945988503"/>
    <n v="2059"/>
    <n v="1861"/>
    <n v="0"/>
    <n v="0"/>
    <n v="0"/>
    <n v="0"/>
    <n v="198"/>
    <n v="0"/>
    <n v="198"/>
    <s v="Release"/>
  </r>
  <r>
    <n v="0"/>
    <n v="0"/>
    <n v="0"/>
    <x v="322"/>
    <x v="318"/>
    <n v="0"/>
    <s v="vlc"/>
    <s v="Indirect"/>
    <n v="1009"/>
    <x v="8"/>
    <s v="Old"/>
    <d v="2023-08-14T00:00:00"/>
    <n v="1139.1999999999998"/>
    <n v="34187.279999999999"/>
    <n v="854.39999999999986"/>
    <n v="1082.2399999999998"/>
    <n v="0"/>
    <n v="1025.6183999999998"/>
    <n v="-56.621599999999944"/>
    <n v="113.91999999999999"/>
    <n v="985.74110106451576"/>
    <n v="837"/>
    <n v="0"/>
    <n v="0"/>
    <n v="0"/>
    <n v="0"/>
    <n v="0"/>
    <n v="837"/>
    <n v="0"/>
    <n v="837"/>
    <s v="Release"/>
  </r>
  <r>
    <n v="29016.384012765513"/>
    <n v="12295.557799999999"/>
    <n v="41311.941812765508"/>
    <x v="323"/>
    <x v="319"/>
    <n v="0"/>
    <s v="MPG"/>
    <s v="Direct"/>
    <n v="1009"/>
    <x v="8"/>
    <s v="Old"/>
    <d v="2022-04-01T00:00:00"/>
    <n v="2201.9"/>
    <n v="95052.77"/>
    <n v="1651.4250000000002"/>
    <n v="2091.8049999999998"/>
    <n v="398.81310276913007"/>
    <n v="2851.5830999999998"/>
    <n v="759.77809999999999"/>
    <n v="220.19000000000003"/>
    <n v="556.74157281305816"/>
    <n v="3365"/>
    <n v="1901.0554000000002"/>
    <n v="0"/>
    <n v="0"/>
    <n v="0"/>
    <n v="0"/>
    <n v="1464"/>
    <n v="0"/>
    <n v="1464"/>
    <s v="Release"/>
  </r>
  <r>
    <n v="50928"/>
    <n v="2616.1276175555313"/>
    <n v="53544.127617555532"/>
    <x v="324"/>
    <x v="320"/>
    <n v="0"/>
    <s v="MPG"/>
    <s v="Direct"/>
    <n v="1009"/>
    <x v="8"/>
    <s v="Old"/>
    <d v="2023-11-06T00:00:00"/>
    <n v="689.3"/>
    <n v="30281.4"/>
    <n v="516.97499999999991"/>
    <n v="654.83499999999992"/>
    <n v="190.02126888436001"/>
    <n v="908.44200000000001"/>
    <n v="253.60700000000008"/>
    <n v="68.929999999999993"/>
    <n v="1292.5405690523298"/>
    <n v="0"/>
    <n v="0"/>
    <n v="0"/>
    <n v="0"/>
    <n v="0"/>
    <n v="0"/>
    <n v="0"/>
    <n v="0"/>
    <n v="0"/>
    <s v="Release"/>
  </r>
  <r>
    <n v="40307.819059631191"/>
    <n v="0"/>
    <n v="40307.819059631191"/>
    <x v="325"/>
    <x v="321"/>
    <n v="0"/>
    <s v="MPG"/>
    <s v="Direct"/>
    <n v="1009"/>
    <x v="8"/>
    <s v="Old"/>
    <d v="2023-10-27T00:00:00"/>
    <n v="320.10000000000002"/>
    <n v="13631.220000000001"/>
    <n v="240.07500000000002"/>
    <n v="304.09500000000003"/>
    <n v="2.2599999999999998"/>
    <n v="408.9366"/>
    <n v="104.84159999999997"/>
    <n v="32.010000000000005"/>
    <n v="513.98421926295123"/>
    <n v="0"/>
    <n v="0"/>
    <n v="0"/>
    <n v="0"/>
    <n v="0"/>
    <n v="0"/>
    <n v="0"/>
    <n v="0"/>
    <n v="0"/>
    <s v="Release"/>
  </r>
  <r>
    <n v="45277.618600000002"/>
    <n v="6233.0370000000003"/>
    <n v="51510.655599999998"/>
    <x v="326"/>
    <x v="322"/>
    <n v="0"/>
    <s v="MPG"/>
    <s v="Direct"/>
    <n v="1009"/>
    <x v="8"/>
    <s v="Old"/>
    <d v="2023-10-27T00:00:00"/>
    <n v="1026.0999999999999"/>
    <n v="46335.5"/>
    <n v="769.57499999999993"/>
    <n v="974.79499999999985"/>
    <n v="161.87844539600002"/>
    <n v="1390.0650000000001"/>
    <n v="415.27000000000021"/>
    <n v="102.61"/>
    <n v="1607.1108045519379"/>
    <n v="197"/>
    <n v="197"/>
    <n v="0"/>
    <n v="0"/>
    <n v="0"/>
    <n v="0"/>
    <n v="0"/>
    <n v="0"/>
    <n v="0"/>
    <s v="Release"/>
  </r>
  <r>
    <n v="39788.771736028837"/>
    <n v="9256.3896000000004"/>
    <n v="49045.161336028839"/>
    <x v="327"/>
    <x v="323"/>
    <n v="0"/>
    <s v="MPG"/>
    <s v="Direct"/>
    <n v="1009"/>
    <x v="8"/>
    <s v="Old"/>
    <d v="2023-10-20T00:00:00"/>
    <n v="2262.1999999999998"/>
    <n v="95361.75"/>
    <n v="1696.6499999999999"/>
    <n v="2149.0899999999997"/>
    <n v="1052.0603389287999"/>
    <n v="2860.8525"/>
    <n v="711.76250000000027"/>
    <n v="226.22"/>
    <n v="452.69064444541129"/>
    <n v="4219"/>
    <n v="1907.2350000000001"/>
    <n v="0"/>
    <n v="0"/>
    <n v="0"/>
    <n v="0"/>
    <n v="2312"/>
    <n v="0"/>
    <n v="2312"/>
    <s v="Release"/>
  </r>
  <r>
    <n v="3978.4241261855786"/>
    <n v="13297.4234"/>
    <n v="17275.847526185578"/>
    <x v="328"/>
    <x v="324"/>
    <n v="0"/>
    <s v="MPG"/>
    <s v="Direct"/>
    <n v="1009"/>
    <x v="8"/>
    <s v="Old"/>
    <d v="2023-09-29T00:00:00"/>
    <n v="3223.7"/>
    <n v="144860.91999999998"/>
    <n v="2417.7749999999996"/>
    <n v="3062.5149999999999"/>
    <n v="1040.1900578658001"/>
    <n v="4345.8275999999996"/>
    <n v="1283.3125999999997"/>
    <n v="322.37"/>
    <n v="0"/>
    <n v="6198"/>
    <n v="2897.2183999999997"/>
    <n v="0"/>
    <n v="0"/>
    <n v="0"/>
    <n v="0"/>
    <n v="3301"/>
    <n v="0"/>
    <n v="3301"/>
    <s v="Release"/>
  </r>
  <r>
    <n v="27087.865888008673"/>
    <n v="0"/>
    <n v="27087.865888008673"/>
    <x v="329"/>
    <x v="325"/>
    <n v="0"/>
    <s v="MPG"/>
    <s v="Direct"/>
    <n v="1009"/>
    <x v="8"/>
    <s v="Old"/>
    <d v="2024-02-01T00:00:00"/>
    <n v="1694.4"/>
    <n v="75393.94"/>
    <n v="1270.8000000000002"/>
    <n v="1609.68"/>
    <n v="314.15841705985599"/>
    <n v="2261.8182000000002"/>
    <n v="652.1382000000001"/>
    <n v="169.44000000000003"/>
    <n v="987.38724567333952"/>
    <n v="2038"/>
    <n v="1861"/>
    <n v="0"/>
    <n v="0"/>
    <n v="0"/>
    <n v="0"/>
    <n v="177"/>
    <n v="0"/>
    <n v="177"/>
    <s v="Release"/>
  </r>
  <r>
    <n v="73216.886906352724"/>
    <n v="0"/>
    <n v="73216.886906352724"/>
    <x v="330"/>
    <x v="326"/>
    <n v="0"/>
    <s v="MPG"/>
    <s v="Direct"/>
    <n v="1009"/>
    <x v="8"/>
    <s v="Old"/>
    <d v="2024-09-06T00:00:00"/>
    <n v="862.99999999999977"/>
    <n v="40026.050000000003"/>
    <n v="647.24999999999977"/>
    <n v="819.8499999999998"/>
    <n v="86.749599353299999"/>
    <n v="1200.7815000000001"/>
    <n v="380.93150000000026"/>
    <n v="86.299999999999983"/>
    <n v="1467.1175213288748"/>
    <n v="0"/>
    <n v="0"/>
    <n v="0"/>
    <n v="0"/>
    <n v="0"/>
    <n v="0"/>
    <n v="0"/>
    <n v="0"/>
    <n v="0"/>
    <s v="Release"/>
  </r>
  <r>
    <n v="0"/>
    <n v="0"/>
    <n v="0"/>
    <x v="331"/>
    <x v="327"/>
    <n v="0"/>
    <s v="vlc"/>
    <s v="Indirect"/>
    <n v="1009"/>
    <x v="8"/>
    <s v="Old"/>
    <d v="2024-10-25T00:00:00"/>
    <n v="458"/>
    <n v="21517.23"/>
    <n v="343.5"/>
    <n v="435.09999999999997"/>
    <n v="0"/>
    <n v="645.51689999999996"/>
    <n v="210.4169"/>
    <n v="45.800000000000004"/>
    <n v="732.62057632233336"/>
    <n v="0"/>
    <n v="0"/>
    <n v="0"/>
    <n v="0"/>
    <n v="0"/>
    <n v="0"/>
    <n v="0"/>
    <n v="0"/>
    <n v="0"/>
    <s v="Release"/>
  </r>
  <r>
    <n v="68438.540703807259"/>
    <n v="0"/>
    <n v="68438.540703807259"/>
    <x v="332"/>
    <x v="328"/>
    <n v="0"/>
    <s v="MPG"/>
    <s v="Direct"/>
    <n v="1009"/>
    <x v="8"/>
    <s v="Old"/>
    <d v="2024-11-18T00:00:00"/>
    <n v="1600.2000000000003"/>
    <n v="66131.430000000008"/>
    <n v="1200.1500000000001"/>
    <n v="1520.1900000000003"/>
    <n v="131.73935486451998"/>
    <n v="1983.9429000000002"/>
    <n v="463.75289999999995"/>
    <n v="160.02000000000004"/>
    <n v="987.55036050147532"/>
    <n v="1705"/>
    <n v="1705"/>
    <n v="0"/>
    <n v="0"/>
    <n v="0"/>
    <n v="0"/>
    <n v="0"/>
    <n v="0"/>
    <n v="0"/>
    <s v="Release"/>
  </r>
  <r>
    <n v="80778"/>
    <n v="0"/>
    <n v="80778"/>
    <x v="333"/>
    <x v="329"/>
    <n v="0"/>
    <s v="MPG"/>
    <s v="Direct"/>
    <n v="1009"/>
    <x v="8"/>
    <s v="Old"/>
    <d v="2025-03-05T00:00:00"/>
    <n v="487.59999999999991"/>
    <n v="21696.550000000003"/>
    <n v="365.69999999999993"/>
    <n v="463.21999999999991"/>
    <n v="8.2016150400000001"/>
    <n v="650.89650000000006"/>
    <n v="187.67650000000015"/>
    <n v="48.759999999999991"/>
    <n v="788.83855274188409"/>
    <n v="0"/>
    <n v="0"/>
    <n v="0"/>
    <n v="0"/>
    <n v="0"/>
    <n v="0"/>
    <n v="0"/>
    <n v="0"/>
    <n v="0"/>
    <s v="Release"/>
  </r>
  <r>
    <n v="75667.133416804485"/>
    <n v="0"/>
    <n v="75667.133416804485"/>
    <x v="334"/>
    <x v="330"/>
    <n v="0"/>
    <s v="MPG"/>
    <s v="Direct"/>
    <n v="1009"/>
    <x v="8"/>
    <s v="Old"/>
    <d v="2025-01-24T00:00:00"/>
    <n v="1775.9"/>
    <n v="72931.899999999994"/>
    <n v="1331.9250000000002"/>
    <n v="1687.105"/>
    <n v="294.820595948"/>
    <n v="2187.9569999999999"/>
    <n v="500.85199999999986"/>
    <n v="177.59000000000003"/>
    <n v="841.64790318531345"/>
    <n v="2295"/>
    <n v="1861"/>
    <n v="0"/>
    <n v="0"/>
    <n v="0"/>
    <n v="0"/>
    <n v="434"/>
    <n v="434"/>
    <n v="0"/>
    <s v="Yes"/>
  </r>
  <r>
    <n v="82102"/>
    <n v="0"/>
    <n v="82102"/>
    <x v="335"/>
    <x v="331"/>
    <n v="0"/>
    <s v="MPG"/>
    <s v="Direct"/>
    <n v="1009"/>
    <x v="8"/>
    <s v="Old"/>
    <d v="2025-02-19T00:00:00"/>
    <n v="691.80000000000007"/>
    <n v="28533.379999999997"/>
    <n v="518.85"/>
    <n v="657.21"/>
    <n v="0"/>
    <n v="856.00139999999988"/>
    <n v="198.79139999999984"/>
    <n v="69.180000000000007"/>
    <n v="1106.6412540695612"/>
    <n v="0"/>
    <n v="0"/>
    <n v="0"/>
    <n v="0"/>
    <n v="0"/>
    <n v="0"/>
    <n v="0"/>
    <n v="0"/>
    <n v="0"/>
    <s v="Release"/>
  </r>
  <r>
    <n v="110000"/>
    <n v="0"/>
    <n v="110000"/>
    <x v="336"/>
    <x v="332"/>
    <n v="0"/>
    <s v="MPG"/>
    <s v="Direct"/>
    <n v="1009"/>
    <x v="8"/>
    <s v="Old"/>
    <d v="2025-03-06T00:00:00"/>
    <n v="1317.8999999999999"/>
    <n v="56257.009999999995"/>
    <n v="988.42499999999995"/>
    <n v="1252.0049999999999"/>
    <n v="0"/>
    <n v="1687.7102999999997"/>
    <n v="435.70529999999985"/>
    <n v="131.79"/>
    <n v="1268.5210814608224"/>
    <n v="840"/>
    <n v="840"/>
    <n v="0"/>
    <n v="0"/>
    <n v="0"/>
    <n v="0"/>
    <n v="0"/>
    <n v="0"/>
    <n v="0"/>
    <s v="Release"/>
  </r>
  <r>
    <n v="84107"/>
    <n v="0"/>
    <n v="84107"/>
    <x v="337"/>
    <x v="333"/>
    <n v="0"/>
    <s v="MPG"/>
    <s v="Direct"/>
    <n v="1009"/>
    <x v="8"/>
    <s v="Old"/>
    <d v="2025-03-29T00:00:00"/>
    <n v="554.20000000000005"/>
    <n v="24905.61"/>
    <n v="415.65000000000003"/>
    <n v="526.49"/>
    <n v="110.641551916"/>
    <n v="747.16830000000004"/>
    <n v="220.67830000000004"/>
    <n v="55.420000000000009"/>
    <n v="997.14954678310596"/>
    <n v="0"/>
    <n v="0"/>
    <n v="0"/>
    <n v="0"/>
    <n v="0"/>
    <n v="0"/>
    <n v="0"/>
    <n v="0"/>
    <n v="0"/>
    <s v="Release"/>
  </r>
  <r>
    <n v="80303.335800000001"/>
    <n v="0"/>
    <n v="80303.335800000001"/>
    <x v="338"/>
    <x v="334"/>
    <n v="0"/>
    <s v="MPG"/>
    <s v="Direct"/>
    <n v="1009"/>
    <x v="8"/>
    <s v="Old"/>
    <d v="2025-03-29T00:00:00"/>
    <n v="1364.7"/>
    <n v="55427.909999999996"/>
    <n v="1023.5250000000001"/>
    <n v="1296.4649999999999"/>
    <n v="0"/>
    <n v="1662.8372999999999"/>
    <n v="366.3723"/>
    <n v="136.47"/>
    <n v="1163.7318317205986"/>
    <n v="1020"/>
    <n v="1020"/>
    <n v="0"/>
    <n v="0"/>
    <n v="0"/>
    <n v="0"/>
    <n v="0"/>
    <n v="0"/>
    <n v="0"/>
    <s v="Release"/>
  </r>
  <r>
    <n v="82510"/>
    <n v="0"/>
    <n v="82510"/>
    <x v="339"/>
    <x v="335"/>
    <n v="0"/>
    <s v="MPG"/>
    <s v="Direct"/>
    <n v="1009"/>
    <x v="8"/>
    <s v="Old"/>
    <d v="2025-05-19T00:00:00"/>
    <n v="1762.6999999999998"/>
    <n v="73197.59"/>
    <n v="1322.0249999999999"/>
    <n v="1674.5649999999998"/>
    <n v="0"/>
    <n v="2195.9276999999997"/>
    <n v="521.3626999999999"/>
    <n v="176.26999999999998"/>
    <n v="861.46774186094058"/>
    <n v="1959"/>
    <n v="1861"/>
    <n v="0"/>
    <n v="0"/>
    <n v="0"/>
    <n v="0"/>
    <n v="98"/>
    <n v="98"/>
    <n v="0"/>
    <s v="Yes"/>
  </r>
  <r>
    <n v="100000"/>
    <n v="0"/>
    <n v="100000"/>
    <x v="340"/>
    <x v="336"/>
    <n v="0"/>
    <s v="MPG"/>
    <s v="Direct"/>
    <n v="1009"/>
    <x v="8"/>
    <s v="New"/>
    <d v="2025-08-03T00:00:00"/>
    <n v="1659.9999999999998"/>
    <n v="68344.039999999994"/>
    <n v="1244.9999999999998"/>
    <n v="1576.9999999999998"/>
    <n v="0"/>
    <n v="2050.3211999999999"/>
    <n v="473.32120000000009"/>
    <n v="166"/>
    <n v="0"/>
    <n v="2656"/>
    <n v="0"/>
    <n v="0"/>
    <n v="0"/>
    <n v="0"/>
    <n v="0"/>
    <n v="2656"/>
    <n v="2656"/>
    <n v="0"/>
    <s v="Yes"/>
  </r>
  <r>
    <n v="0"/>
    <n v="0"/>
    <n v="0"/>
    <x v="341"/>
    <x v="337"/>
    <n v="0"/>
    <s v="vlc"/>
    <s v="Indirect"/>
    <n v="1009"/>
    <x v="8"/>
    <s v="New"/>
    <d v="2025-08-23T00:00:00"/>
    <n v="297.8"/>
    <n v="11565.09"/>
    <n v="223.35000000000002"/>
    <n v="282.91000000000003"/>
    <n v="0"/>
    <n v="346.95269999999999"/>
    <n v="64.042699999999968"/>
    <n v="29.78"/>
    <n v="0"/>
    <n v="476"/>
    <n v="0"/>
    <n v="0"/>
    <n v="0"/>
    <n v="0"/>
    <n v="0"/>
    <n v="476"/>
    <n v="0"/>
    <n v="476"/>
    <s v="Release"/>
  </r>
  <r>
    <n v="27318.214514265128"/>
    <n v="16000"/>
    <n v="43318.214514265128"/>
    <x v="342"/>
    <x v="338"/>
    <n v="0"/>
    <s v="MPG"/>
    <s v="Direct"/>
    <n v="1007"/>
    <x v="5"/>
    <s v="Old"/>
    <d v="2017-10-12T00:00:00"/>
    <n v="926.10000000000014"/>
    <n v="33780.17"/>
    <n v="694.57500000000005"/>
    <n v="879.79500000000007"/>
    <n v="984.73800520000009"/>
    <n v="1013.4050999999999"/>
    <n v="133.61009999999987"/>
    <n v="92.610000000000014"/>
    <n v="1366.7288917268229"/>
    <n v="1100"/>
    <n v="1100"/>
    <n v="0"/>
    <n v="0"/>
    <n v="0"/>
    <n v="0"/>
    <n v="0"/>
    <n v="0"/>
    <n v="0"/>
    <s v="Release"/>
  </r>
  <r>
    <n v="0"/>
    <n v="0"/>
    <n v="0"/>
    <x v="343"/>
    <x v="339"/>
    <n v="0"/>
    <s v="MPG"/>
    <s v="Direct"/>
    <n v="1007"/>
    <x v="5"/>
    <s v="Old"/>
    <d v="2023-02-17T00:00:00"/>
    <n v="2786.1"/>
    <n v="116542.17"/>
    <n v="2089.5749999999998"/>
    <n v="2646.7949999999996"/>
    <n v="1039.3042160345001"/>
    <n v="3496.2650999999996"/>
    <n v="849.4701"/>
    <n v="278.61"/>
    <n v="179.9623460405727"/>
    <n v="5317"/>
    <n v="0"/>
    <n v="0"/>
    <n v="0"/>
    <n v="0"/>
    <n v="0"/>
    <n v="5317"/>
    <n v="0"/>
    <n v="5317"/>
    <s v="Release"/>
  </r>
  <r>
    <n v="9876.0963193269417"/>
    <n v="19200"/>
    <n v="29076.096319326942"/>
    <x v="344"/>
    <x v="340"/>
    <n v="0"/>
    <s v="MPG"/>
    <s v="Direct"/>
    <n v="1007"/>
    <x v="5"/>
    <s v="Old"/>
    <d v="2023-03-27T00:00:00"/>
    <n v="1836"/>
    <n v="92386.880000000005"/>
    <n v="1377"/>
    <n v="1744.1999999999998"/>
    <n v="0"/>
    <n v="2771.6064000000001"/>
    <n v="1027.4064000000003"/>
    <n v="183.60000000000002"/>
    <n v="957.81096612782687"/>
    <n v="1980"/>
    <n v="1861"/>
    <n v="0"/>
    <n v="0"/>
    <n v="0"/>
    <n v="0"/>
    <n v="119"/>
    <n v="0"/>
    <n v="119"/>
    <s v="Release"/>
  </r>
  <r>
    <n v="0"/>
    <n v="0"/>
    <n v="0"/>
    <x v="345"/>
    <x v="341"/>
    <n v="0"/>
    <s v="MPG"/>
    <s v="Direct"/>
    <n v="1007"/>
    <x v="5"/>
    <s v="Old"/>
    <d v="2023-04-27T00:00:00"/>
    <n v="25.3"/>
    <n v="1283.03"/>
    <n v="18.975000000000001"/>
    <n v="24.035"/>
    <n v="0"/>
    <n v="38.490899999999996"/>
    <n v="14.455899999999996"/>
    <n v="2.5300000000000002"/>
    <n v="40.316475098814294"/>
    <n v="0"/>
    <n v="0"/>
    <n v="0"/>
    <n v="0"/>
    <n v="0"/>
    <n v="0"/>
    <n v="0"/>
    <n v="0"/>
    <n v="0"/>
    <s v="Release"/>
  </r>
  <r>
    <n v="12694.074614086217"/>
    <n v="0"/>
    <n v="12694.074614086217"/>
    <x v="346"/>
    <x v="342"/>
    <n v="0"/>
    <s v="MPG"/>
    <s v="Direct"/>
    <n v="1007"/>
    <x v="5"/>
    <s v="Old"/>
    <d v="2023-04-01T00:00:00"/>
    <n v="3283.8999999999996"/>
    <n v="144771.43"/>
    <n v="2462.9249999999997"/>
    <n v="3119.7049999999995"/>
    <n v="253.55485672580002"/>
    <n v="4343.1428999999998"/>
    <n v="1223.4379000000004"/>
    <n v="328.39"/>
    <n v="43.133849462365596"/>
    <n v="5465"/>
    <n v="2895.4285999999997"/>
    <n v="0"/>
    <n v="0"/>
    <n v="0"/>
    <n v="0"/>
    <n v="2570"/>
    <n v="0"/>
    <n v="2570"/>
    <s v="Release"/>
  </r>
  <r>
    <n v="75071"/>
    <n v="0"/>
    <n v="75071"/>
    <x v="347"/>
    <x v="343"/>
    <n v="0"/>
    <s v="MPG"/>
    <s v="Direct"/>
    <n v="1007"/>
    <x v="5"/>
    <s v="Old"/>
    <d v="2023-04-01T00:00:00"/>
    <n v="10"/>
    <n v="358.72"/>
    <n v="7.5"/>
    <n v="9.5"/>
    <n v="5.0506212120000002"/>
    <n v="10.7616"/>
    <n v="1.2615999999999996"/>
    <n v="1"/>
    <n v="21.033600000000035"/>
    <n v="0"/>
    <n v="0"/>
    <n v="0"/>
    <n v="0"/>
    <n v="0"/>
    <n v="0"/>
    <n v="0"/>
    <n v="0"/>
    <n v="0"/>
    <s v="Release"/>
  </r>
  <r>
    <n v="0"/>
    <n v="0"/>
    <n v="0"/>
    <x v="348"/>
    <x v="344"/>
    <n v="0"/>
    <s v="vlc"/>
    <s v="Indirect"/>
    <n v="1007"/>
    <x v="5"/>
    <s v="Old"/>
    <d v="2023-11-08T00:00:00"/>
    <n v="373.70000000000005"/>
    <n v="14063.06"/>
    <n v="280.27500000000003"/>
    <n v="355.01500000000004"/>
    <n v="0"/>
    <n v="421.89179999999999"/>
    <n v="66.876799999999946"/>
    <n v="37.370000000000005"/>
    <n v="597.50649995191384"/>
    <n v="0"/>
    <n v="0"/>
    <n v="0"/>
    <n v="0"/>
    <n v="0"/>
    <n v="0"/>
    <n v="0"/>
    <n v="0"/>
    <n v="0"/>
    <s v="Release"/>
  </r>
  <r>
    <n v="66784.692866156285"/>
    <n v="0"/>
    <n v="66784.692866156285"/>
    <x v="349"/>
    <x v="345"/>
    <n v="0"/>
    <s v="MPG"/>
    <s v="Direct"/>
    <n v="1007"/>
    <x v="5"/>
    <s v="Old"/>
    <d v="2023-11-08T00:00:00"/>
    <n v="387.70000000000005"/>
    <n v="17439.25"/>
    <n v="290.77500000000003"/>
    <n v="368.315"/>
    <n v="1582.99914870778"/>
    <n v="523.17750000000001"/>
    <n v="154.86250000000001"/>
    <n v="38.77000000000001"/>
    <n v="1560.2704082432149"/>
    <n v="643"/>
    <n v="643"/>
    <n v="0"/>
    <n v="0"/>
    <n v="0"/>
    <n v="0"/>
    <n v="0"/>
    <n v="0"/>
    <n v="0"/>
    <s v="Release"/>
  </r>
  <r>
    <n v="70881.471268697962"/>
    <n v="0"/>
    <n v="70881.471268697962"/>
    <x v="350"/>
    <x v="346"/>
    <n v="0"/>
    <s v="MPG"/>
    <s v="Direct"/>
    <n v="1007"/>
    <x v="5"/>
    <s v="Old"/>
    <d v="2023-11-30T00:00:00"/>
    <n v="1329.6"/>
    <n v="57586.150000000009"/>
    <n v="997.19999999999993"/>
    <n v="1263.1199999999999"/>
    <n v="297.25109329000003"/>
    <n v="1727.5845000000002"/>
    <n v="464.46450000000027"/>
    <n v="132.96"/>
    <n v="1272.9657026005202"/>
    <n v="1152"/>
    <n v="1152"/>
    <n v="0"/>
    <n v="0"/>
    <n v="0"/>
    <n v="0"/>
    <n v="0"/>
    <n v="0"/>
    <n v="0"/>
    <s v="Release"/>
  </r>
  <r>
    <n v="55788.351753658972"/>
    <n v="0"/>
    <n v="55788.351753658972"/>
    <x v="351"/>
    <x v="347"/>
    <n v="0"/>
    <s v="MPG"/>
    <s v="Direct"/>
    <n v="1007"/>
    <x v="5"/>
    <s v="Old"/>
    <d v="2024-06-28T00:00:00"/>
    <n v="962.40000000000009"/>
    <n v="35727.58"/>
    <n v="721.80000000000007"/>
    <n v="914.28000000000009"/>
    <n v="663.04656752379992"/>
    <n v="1071.8274000000001"/>
    <n v="157.54740000000004"/>
    <n v="96.240000000000009"/>
    <n v="1367.5112534800492"/>
    <n v="835"/>
    <n v="835"/>
    <n v="0"/>
    <n v="0"/>
    <n v="0"/>
    <n v="0"/>
    <n v="0"/>
    <n v="0"/>
    <n v="0"/>
    <s v="Release"/>
  </r>
  <r>
    <n v="83035"/>
    <n v="0"/>
    <n v="83035"/>
    <x v="352"/>
    <x v="348"/>
    <n v="0"/>
    <s v="MPG"/>
    <s v="Direct"/>
    <n v="1036"/>
    <x v="9"/>
    <s v="Old"/>
    <d v="2024-10-28T00:00:00"/>
    <n v="162.9"/>
    <n v="5166.3999999999996"/>
    <n v="122.17500000000001"/>
    <n v="154.755"/>
    <n v="0"/>
    <n v="154.99199999999999"/>
    <n v="0.23699999999999477"/>
    <n v="16.290000000000003"/>
    <n v="260.92990314643293"/>
    <n v="0"/>
    <n v="0"/>
    <n v="0"/>
    <n v="0"/>
    <n v="0"/>
    <n v="0"/>
    <n v="0"/>
    <n v="0"/>
    <n v="0"/>
    <s v="Release"/>
  </r>
  <r>
    <n v="62452.810372899534"/>
    <n v="12800"/>
    <n v="75252.810372899534"/>
    <x v="353"/>
    <x v="349"/>
    <n v="0"/>
    <s v="MPG"/>
    <s v="Direct"/>
    <n v="1007"/>
    <x v="5"/>
    <s v="Old"/>
    <d v="2024-09-27T00:00:00"/>
    <n v="945.5"/>
    <n v="34826.81"/>
    <n v="709.125"/>
    <n v="898.22499999999991"/>
    <n v="189.15511388000002"/>
    <n v="1044.8042999999998"/>
    <n v="146.57929999999988"/>
    <n v="94.550000000000011"/>
    <n v="1346.5697091550801"/>
    <n v="355"/>
    <n v="355"/>
    <n v="0"/>
    <n v="0"/>
    <n v="0"/>
    <n v="0"/>
    <n v="0"/>
    <n v="0"/>
    <n v="0"/>
    <s v="Release"/>
  </r>
  <r>
    <n v="51581.028615908406"/>
    <n v="19200"/>
    <n v="70781.028615908406"/>
    <x v="354"/>
    <x v="350"/>
    <n v="0"/>
    <s v="MPG"/>
    <s v="Direct"/>
    <n v="1007"/>
    <x v="5"/>
    <s v="Old"/>
    <d v="2024-09-21T00:00:00"/>
    <n v="2298.9"/>
    <n v="92364.170000000013"/>
    <n v="1724.1750000000002"/>
    <n v="2183.9549999999999"/>
    <n v="169.09258456999999"/>
    <n v="2770.9251000000004"/>
    <n v="586.97010000000046"/>
    <n v="229.89000000000001"/>
    <n v="404.60954443762262"/>
    <n v="3443"/>
    <n v="1861"/>
    <n v="0"/>
    <n v="0"/>
    <n v="0"/>
    <n v="0"/>
    <n v="1582"/>
    <n v="0"/>
    <n v="1582"/>
    <s v="Release"/>
  </r>
  <r>
    <n v="72843.279803818499"/>
    <n v="0"/>
    <n v="72843.279803818499"/>
    <x v="355"/>
    <x v="351"/>
    <n v="0"/>
    <s v="MPG"/>
    <s v="Direct"/>
    <n v="1007"/>
    <x v="5"/>
    <s v="Old"/>
    <d v="2024-12-31T00:00:00"/>
    <n v="1021.8"/>
    <n v="42602.869999999995"/>
    <n v="766.34999999999991"/>
    <n v="970.70999999999992"/>
    <n v="947.02825283900006"/>
    <n v="1278.0860999999998"/>
    <n v="307.37609999999984"/>
    <n v="102.18"/>
    <n v="1482.0675170198713"/>
    <n v="1100"/>
    <n v="1100"/>
    <n v="0"/>
    <n v="0"/>
    <n v="0"/>
    <n v="0"/>
    <n v="0"/>
    <n v="0"/>
    <n v="0"/>
    <s v="Release"/>
  </r>
  <r>
    <n v="0"/>
    <n v="0"/>
    <n v="0"/>
    <x v="356"/>
    <x v="352"/>
    <n v="0"/>
    <s v="vlc"/>
    <s v="Indirect"/>
    <n v="1007"/>
    <x v="5"/>
    <s v="Old"/>
    <d v="2024-12-27T00:00:00"/>
    <n v="122.8"/>
    <n v="5029.53"/>
    <n v="92.1"/>
    <n v="116.66"/>
    <n v="0"/>
    <n v="150.88589999999999"/>
    <n v="34.225899999999996"/>
    <n v="12.280000000000001"/>
    <n v="196.80858566775242"/>
    <n v="0"/>
    <n v="0"/>
    <n v="0"/>
    <n v="0"/>
    <n v="0"/>
    <n v="0"/>
    <n v="0"/>
    <n v="0"/>
    <n v="0"/>
    <s v="Release"/>
  </r>
  <r>
    <n v="69960.944661673871"/>
    <n v="16000"/>
    <n v="85960.944661673871"/>
    <x v="357"/>
    <x v="353"/>
    <n v="0"/>
    <s v="MPG"/>
    <s v="Direct"/>
    <n v="1007"/>
    <x v="5"/>
    <s v="Old"/>
    <d v="2024-12-31T00:00:00"/>
    <n v="2280.5"/>
    <n v="92023.709999999992"/>
    <n v="1710.375"/>
    <n v="2166.4749999999999"/>
    <n v="287.35353568712003"/>
    <n v="2760.7112999999995"/>
    <n v="594.23629999999957"/>
    <n v="228.05"/>
    <n v="419.69633935983876"/>
    <n v="3516"/>
    <n v="1861"/>
    <n v="0"/>
    <n v="0"/>
    <n v="0"/>
    <n v="0"/>
    <n v="1655"/>
    <n v="0"/>
    <n v="1655"/>
    <s v="Release"/>
  </r>
  <r>
    <n v="0"/>
    <n v="0"/>
    <n v="0"/>
    <x v="358"/>
    <x v="354"/>
    <n v="0"/>
    <s v="MPG"/>
    <s v="Direct"/>
    <n v="1011"/>
    <x v="7"/>
    <s v="Old"/>
    <d v="2017-09-01T00:00:00"/>
    <n v="3957.9000000000005"/>
    <n v="158662.79999999999"/>
    <n v="2968.4250000000002"/>
    <n v="3760.0050000000006"/>
    <n v="2809.6941284800005"/>
    <n v="4759.8839999999991"/>
    <n v="999.87899999999854"/>
    <n v="395.79000000000008"/>
    <n v="0"/>
    <n v="9142"/>
    <n v="0"/>
    <n v="0"/>
    <n v="0"/>
    <n v="0"/>
    <n v="0"/>
    <n v="9142"/>
    <n v="0"/>
    <n v="9142"/>
    <s v="Release"/>
  </r>
  <r>
    <n v="12439.993093608311"/>
    <n v="0"/>
    <n v="12439.993093608311"/>
    <x v="359"/>
    <x v="355"/>
    <n v="0"/>
    <s v="MPG"/>
    <s v="Direct"/>
    <n v="1011"/>
    <x v="7"/>
    <s v="Old"/>
    <d v="2017-09-01T00:00:00"/>
    <n v="1036.55"/>
    <n v="35843.11"/>
    <n v="777.41249999999991"/>
    <n v="984.72249999999985"/>
    <n v="20.581855439999998"/>
    <n v="1075.2933"/>
    <n v="90.57080000000019"/>
    <n v="103.655"/>
    <n v="1286.6086101369183"/>
    <n v="392"/>
    <n v="392"/>
    <n v="0"/>
    <n v="0"/>
    <n v="0"/>
    <n v="0"/>
    <n v="0"/>
    <n v="0"/>
    <n v="0"/>
    <s v="Release"/>
  </r>
  <r>
    <n v="10441.977152830543"/>
    <n v="0"/>
    <n v="10441.977152830543"/>
    <x v="360"/>
    <x v="356"/>
    <n v="0"/>
    <s v="MPG"/>
    <s v="Direct"/>
    <n v="1011"/>
    <x v="7"/>
    <s v="Old"/>
    <d v="2017-09-01T00:00:00"/>
    <n v="2703.95"/>
    <n v="103312.35999999999"/>
    <n v="2027.9624999999999"/>
    <n v="2568.7524999999996"/>
    <n v="203.15934339800003"/>
    <n v="3099.3707999999997"/>
    <n v="530.61830000000009"/>
    <n v="270.39499999999998"/>
    <n v="139.8043435401199"/>
    <n v="4390"/>
    <n v="2066.2471999999998"/>
    <n v="0"/>
    <n v="0"/>
    <n v="0"/>
    <n v="0"/>
    <n v="2324"/>
    <n v="0"/>
    <n v="2324"/>
    <s v="Release"/>
  </r>
  <r>
    <n v="0"/>
    <n v="6400"/>
    <n v="6400"/>
    <x v="361"/>
    <x v="357"/>
    <n v="0"/>
    <s v="MPG"/>
    <s v="Direct"/>
    <n v="1055"/>
    <x v="10"/>
    <s v="Old"/>
    <d v="2017-09-01T00:00:00"/>
    <n v="8052"/>
    <n v="351855.51"/>
    <n v="6039"/>
    <n v="7649.4"/>
    <n v="5162.0943928281204"/>
    <n v="10555.665300000001"/>
    <n v="2906.2653000000009"/>
    <n v="805.2"/>
    <n v="0"/>
    <n v="18045"/>
    <n v="0"/>
    <n v="6400"/>
    <n v="0"/>
    <n v="0"/>
    <n v="605.02"/>
    <n v="11040"/>
    <n v="0"/>
    <n v="11040"/>
    <s v="Release"/>
  </r>
  <r>
    <n v="0"/>
    <n v="0"/>
    <n v="0"/>
    <x v="362"/>
    <x v="358"/>
    <n v="0"/>
    <s v="MPG"/>
    <s v="Direct"/>
    <n v="1011"/>
    <x v="7"/>
    <s v="Old"/>
    <d v="2017-09-01T00:00:00"/>
    <n v="3962.8"/>
    <n v="155498.07999999996"/>
    <n v="2972.1000000000004"/>
    <n v="3764.66"/>
    <n v="331.68043248000004"/>
    <n v="4664.942399999999"/>
    <n v="900.28239999999914"/>
    <n v="396.28000000000003"/>
    <n v="0"/>
    <n v="6672"/>
    <n v="0"/>
    <n v="0"/>
    <n v="0"/>
    <n v="0"/>
    <n v="0"/>
    <n v="6672"/>
    <n v="0"/>
    <n v="6672"/>
    <s v="Release"/>
  </r>
  <r>
    <n v="0"/>
    <n v="0"/>
    <n v="0"/>
    <x v="363"/>
    <x v="359"/>
    <n v="0"/>
    <s v="MPG"/>
    <s v="Direct"/>
    <n v="1011"/>
    <x v="7"/>
    <s v="Old"/>
    <d v="2017-09-01T00:00:00"/>
    <n v="11230.75"/>
    <n v="448341.61"/>
    <n v="8423.0625"/>
    <n v="10669.2125"/>
    <n v="633.75534896400006"/>
    <n v="13450.248299999999"/>
    <n v="2781.0357999999997"/>
    <n v="1123.075"/>
    <n v="0"/>
    <n v="18603"/>
    <n v="0"/>
    <n v="0"/>
    <n v="0"/>
    <n v="0"/>
    <n v="0"/>
    <n v="18603"/>
    <n v="0"/>
    <n v="18603"/>
    <s v="Release"/>
  </r>
  <r>
    <n v="81156.61533063883"/>
    <n v="5248"/>
    <n v="86404.61533063883"/>
    <x v="364"/>
    <x v="360"/>
    <n v="0"/>
    <s v="MPG"/>
    <s v="Direct"/>
    <n v="1011"/>
    <x v="7"/>
    <s v="Old"/>
    <d v="2021-06-26T00:00:00"/>
    <n v="1762.65"/>
    <n v="83430.290000000008"/>
    <n v="1321.9875000000002"/>
    <n v="1674.5174999999999"/>
    <n v="244.5011814282"/>
    <n v="2502.9087"/>
    <n v="828.39120000000003"/>
    <n v="176.26500000000001"/>
    <n v="980.98488909221555"/>
    <n v="2084"/>
    <n v="1861"/>
    <n v="0"/>
    <n v="0"/>
    <n v="0"/>
    <n v="0"/>
    <n v="223"/>
    <n v="0"/>
    <n v="223"/>
    <s v="Release"/>
  </r>
  <r>
    <n v="0"/>
    <n v="0"/>
    <n v="0"/>
    <x v="365"/>
    <x v="361"/>
    <n v="0"/>
    <s v="MPG"/>
    <s v="Direct"/>
    <n v="1011"/>
    <x v="7"/>
    <s v="Old"/>
    <d v="2022-04-30T00:00:00"/>
    <n v="3416.3"/>
    <n v="127649.97000000002"/>
    <n v="2562.2250000000004"/>
    <n v="3245.4850000000001"/>
    <n v="1012.3249076000001"/>
    <n v="3829.4991000000005"/>
    <n v="584.01410000000033"/>
    <n v="341.63000000000005"/>
    <n v="31.405580228136948"/>
    <n v="6447"/>
    <n v="0"/>
    <n v="0"/>
    <n v="0"/>
    <n v="0"/>
    <n v="0"/>
    <n v="6447"/>
    <n v="0"/>
    <n v="6447"/>
    <s v="Release"/>
  </r>
  <r>
    <n v="0"/>
    <n v="0"/>
    <n v="0"/>
    <x v="366"/>
    <x v="362"/>
    <n v="0"/>
    <s v="MPG"/>
    <s v="Direct"/>
    <n v="1011"/>
    <x v="7"/>
    <s v="Old"/>
    <d v="2022-04-30T00:00:00"/>
    <n v="5930.1"/>
    <n v="272256.10000000003"/>
    <n v="4447.5750000000007"/>
    <n v="5633.5950000000003"/>
    <n v="4336.6997058061006"/>
    <n v="8167.6830000000009"/>
    <n v="2534.0880000000006"/>
    <n v="593.0100000000001"/>
    <n v="0"/>
    <n v="13825"/>
    <n v="0"/>
    <n v="0"/>
    <n v="0"/>
    <n v="0"/>
    <n v="0"/>
    <n v="13825"/>
    <n v="0"/>
    <n v="13825"/>
    <s v="Release"/>
  </r>
  <r>
    <n v="0"/>
    <n v="0"/>
    <n v="0"/>
    <x v="367"/>
    <x v="363"/>
    <n v="0"/>
    <s v="MPG"/>
    <s v="Direct"/>
    <n v="1011"/>
    <x v="7"/>
    <s v="Old"/>
    <d v="2022-05-13T00:00:00"/>
    <n v="1724.65"/>
    <n v="73896.66"/>
    <n v="1293.4875000000002"/>
    <n v="1638.4175"/>
    <n v="81.023675040000001"/>
    <n v="2216.8998000000001"/>
    <n v="578.48230000000012"/>
    <n v="172.46500000000003"/>
    <n v="918.91425989039067"/>
    <n v="1922"/>
    <n v="0"/>
    <n v="0"/>
    <n v="0"/>
    <n v="0"/>
    <n v="0"/>
    <n v="1922"/>
    <n v="0"/>
    <n v="1922"/>
    <s v="Release"/>
  </r>
  <r>
    <n v="0"/>
    <n v="7418.7599798495348"/>
    <n v="7418.7599798495348"/>
    <x v="368"/>
    <x v="364"/>
    <n v="0"/>
    <s v="MPG"/>
    <s v="Direct"/>
    <n v="1011"/>
    <x v="7"/>
    <s v="Old"/>
    <d v="2022-05-13T00:00:00"/>
    <n v="1233.0999999999999"/>
    <n v="47674.04"/>
    <n v="924.82499999999993"/>
    <n v="1171.4449999999999"/>
    <n v="370.21895640000008"/>
    <n v="1430.2212"/>
    <n v="258.77620000000002"/>
    <n v="123.31"/>
    <n v="1214.2032703819459"/>
    <n v="1129"/>
    <n v="0"/>
    <n v="953.48080000000004"/>
    <n v="0"/>
    <n v="0"/>
    <n v="0"/>
    <n v="176"/>
    <n v="0"/>
    <n v="176"/>
    <s v="Release"/>
  </r>
  <r>
    <n v="0"/>
    <n v="6212.7274878963653"/>
    <n v="6212.7274878963653"/>
    <x v="369"/>
    <x v="365"/>
    <n v="0"/>
    <s v="MPG"/>
    <s v="Direct"/>
    <n v="1011"/>
    <x v="7"/>
    <s v="Old"/>
    <d v="2022-07-17T00:00:00"/>
    <n v="478"/>
    <n v="20776.22"/>
    <n v="358.5"/>
    <n v="454.09999999999997"/>
    <n v="279.27929306840002"/>
    <n v="623.28660000000002"/>
    <n v="169.18660000000006"/>
    <n v="47.800000000000004"/>
    <n v="1044.5181507116515"/>
    <n v="0"/>
    <n v="0"/>
    <n v="0"/>
    <n v="0"/>
    <n v="0"/>
    <n v="0"/>
    <n v="0"/>
    <n v="0"/>
    <n v="0"/>
    <s v="Release"/>
  </r>
  <r>
    <n v="59573.586722889857"/>
    <n v="11061.882658062081"/>
    <n v="70635.469380951938"/>
    <x v="370"/>
    <x v="366"/>
    <n v="0"/>
    <s v="MPG"/>
    <s v="Direct"/>
    <n v="1011"/>
    <x v="7"/>
    <s v="Old"/>
    <d v="2023-03-30T00:00:00"/>
    <n v="256.7"/>
    <n v="9380.64"/>
    <n v="192.52499999999998"/>
    <n v="243.86499999999998"/>
    <n v="101.12816736000002"/>
    <n v="281.41919999999999"/>
    <n v="37.554200000000009"/>
    <n v="25.67"/>
    <n v="512.08292368177035"/>
    <n v="0"/>
    <n v="0"/>
    <n v="0"/>
    <n v="0"/>
    <n v="0"/>
    <n v="0"/>
    <n v="0"/>
    <n v="0"/>
    <n v="0"/>
    <s v="Release"/>
  </r>
  <r>
    <n v="0"/>
    <n v="0"/>
    <n v="0"/>
    <x v="371"/>
    <x v="367"/>
    <n v="0"/>
    <s v="vlc"/>
    <s v="Indirect"/>
    <n v="1055"/>
    <x v="10"/>
    <s v="Old"/>
    <d v="2023-10-27T00:00:00"/>
    <n v="4563.8999999999996"/>
    <n v="184571.39999999997"/>
    <n v="3422.9249999999997"/>
    <n v="4335.704999999999"/>
    <n v="0"/>
    <n v="5537.1419999999989"/>
    <n v="1201.4369999999999"/>
    <n v="456.39"/>
    <n v="0"/>
    <n v="7302"/>
    <n v="0"/>
    <n v="0"/>
    <n v="0"/>
    <n v="0"/>
    <n v="0"/>
    <n v="7302"/>
    <n v="0"/>
    <n v="7302"/>
    <s v="Release"/>
  </r>
  <r>
    <n v="13518.480163670902"/>
    <n v="6396.6934000000001"/>
    <n v="19915.173563670902"/>
    <x v="372"/>
    <x v="368"/>
    <n v="0"/>
    <s v="MPG"/>
    <s v="Indirect"/>
    <n v="1011"/>
    <x v="7"/>
    <s v="Old"/>
    <d v="2023-10-27T00:00:00"/>
    <n v="807.5"/>
    <n v="33186.869999999995"/>
    <n v="605.625"/>
    <n v="767.125"/>
    <n v="0"/>
    <n v="995.60609999999986"/>
    <n v="228.48109999999986"/>
    <n v="80.75"/>
    <n v="1064.5761911111804"/>
    <n v="227"/>
    <n v="227"/>
    <n v="0"/>
    <n v="0"/>
    <n v="0"/>
    <n v="0"/>
    <n v="0"/>
    <n v="0"/>
    <n v="0"/>
    <s v="Release"/>
  </r>
  <r>
    <n v="0"/>
    <n v="0"/>
    <n v="0"/>
    <x v="373"/>
    <x v="369"/>
    <n v="0"/>
    <s v="MPG"/>
    <s v="Direct"/>
    <n v="1011"/>
    <x v="7"/>
    <s v="Old"/>
    <d v="2023-10-06T00:00:00"/>
    <n v="3085.95"/>
    <n v="129416.94"/>
    <n v="2314.4624999999996"/>
    <n v="2931.6524999999997"/>
    <n v="0"/>
    <n v="3882.5081999999998"/>
    <n v="950.85570000000007"/>
    <n v="308.59500000000003"/>
    <n v="96.610715973292187"/>
    <n v="4841"/>
    <n v="0"/>
    <n v="0"/>
    <n v="0"/>
    <n v="0"/>
    <n v="0"/>
    <n v="4841"/>
    <n v="0"/>
    <n v="4841"/>
    <s v="Release"/>
  </r>
  <r>
    <n v="81779.734166945098"/>
    <n v="0"/>
    <n v="81779.734166945098"/>
    <x v="374"/>
    <x v="370"/>
    <n v="0"/>
    <s v="MPG"/>
    <s v="Direct"/>
    <n v="1011"/>
    <x v="7"/>
    <s v="Old"/>
    <d v="2024-02-01T00:00:00"/>
    <n v="1069.45"/>
    <n v="39885.85"/>
    <n v="802.08750000000009"/>
    <n v="1015.9775"/>
    <n v="320.60849719999999"/>
    <n v="1196.5754999999999"/>
    <n v="180.59799999999996"/>
    <n v="106.94500000000001"/>
    <n v="1290.5041639635049"/>
    <n v="741"/>
    <n v="741"/>
    <n v="0"/>
    <n v="0"/>
    <n v="0"/>
    <n v="0"/>
    <n v="0"/>
    <n v="0"/>
    <n v="0"/>
    <s v="Release"/>
  </r>
  <r>
    <n v="49901.190432011674"/>
    <n v="0"/>
    <n v="49901.190432011674"/>
    <x v="375"/>
    <x v="371"/>
    <n v="0"/>
    <s v="MPG"/>
    <s v="Direct"/>
    <n v="1011"/>
    <x v="7"/>
    <s v="Old"/>
    <d v="2024-02-01T00:00:00"/>
    <n v="2218.4500000000007"/>
    <n v="93272.62000000001"/>
    <n v="1663.8375000000005"/>
    <n v="2107.5275000000006"/>
    <n v="268.22917732000008"/>
    <n v="2798.1786000000002"/>
    <n v="690.65109999999959"/>
    <n v="221.84500000000008"/>
    <n v="36.485957157238673"/>
    <n v="3781"/>
    <n v="1865.4524000000001"/>
    <n v="0"/>
    <n v="0"/>
    <n v="0"/>
    <n v="0"/>
    <n v="1916"/>
    <n v="0"/>
    <n v="1916"/>
    <s v="Release"/>
  </r>
  <r>
    <n v="86195.125112166032"/>
    <n v="0"/>
    <n v="86195.125112166032"/>
    <x v="376"/>
    <x v="372"/>
    <n v="0"/>
    <s v="MPG"/>
    <s v="Direct"/>
    <n v="1011"/>
    <x v="7"/>
    <s v="Old"/>
    <d v="2024-02-01T00:00:00"/>
    <n v="700.84999999999991"/>
    <n v="28533.640000000003"/>
    <n v="525.63749999999993"/>
    <n v="665.80749999999989"/>
    <n v="0"/>
    <n v="856.00920000000008"/>
    <n v="190.20170000000019"/>
    <n v="70.084999999999994"/>
    <n v="1121.8330402081847"/>
    <n v="0"/>
    <n v="0"/>
    <n v="0"/>
    <n v="0"/>
    <n v="0"/>
    <n v="0"/>
    <n v="0"/>
    <n v="0"/>
    <n v="0"/>
    <s v="Release"/>
  </r>
  <r>
    <n v="76457.102302458778"/>
    <n v="0"/>
    <n v="76457.102302458778"/>
    <x v="377"/>
    <x v="373"/>
    <n v="0"/>
    <s v="MPG"/>
    <s v="Direct"/>
    <n v="1011"/>
    <x v="7"/>
    <s v="Old"/>
    <d v="2024-02-01T00:00:00"/>
    <n v="1125.5"/>
    <n v="49370.680000000008"/>
    <n v="844.125"/>
    <n v="1069.2249999999999"/>
    <n v="333.60440522555996"/>
    <n v="1481.1204000000002"/>
    <n v="411.89540000000034"/>
    <n v="112.55000000000001"/>
    <n v="1469.198159112158"/>
    <n v="665"/>
    <n v="665"/>
    <n v="0"/>
    <n v="0"/>
    <n v="0"/>
    <n v="0"/>
    <n v="0"/>
    <n v="0"/>
    <n v="0"/>
    <s v="Release"/>
  </r>
  <r>
    <n v="71667.002479563758"/>
    <n v="0"/>
    <n v="71667.002479563758"/>
    <x v="378"/>
    <x v="374"/>
    <n v="0"/>
    <s v="MPG"/>
    <s v="Direct"/>
    <n v="1011"/>
    <x v="7"/>
    <s v="Old"/>
    <d v="2024-02-01T00:00:00"/>
    <n v="1452.45"/>
    <n v="55448.13"/>
    <n v="1089.3375000000001"/>
    <n v="1379.8274999999999"/>
    <n v="371.40939240960006"/>
    <n v="1663.4438999999998"/>
    <n v="283.61639999999989"/>
    <n v="145.245"/>
    <n v="1024.9325463288455"/>
    <n v="1670"/>
    <n v="1670"/>
    <n v="0"/>
    <n v="0"/>
    <n v="0"/>
    <n v="0"/>
    <n v="0"/>
    <n v="0"/>
    <n v="0"/>
    <s v="Release"/>
  </r>
  <r>
    <n v="65499.935117943838"/>
    <n v="0"/>
    <n v="65499.935117943838"/>
    <x v="379"/>
    <x v="375"/>
    <n v="0"/>
    <s v="MPG"/>
    <s v="Direct"/>
    <n v="1011"/>
    <x v="7"/>
    <s v="Old"/>
    <d v="2024-02-01T00:00:00"/>
    <n v="2465"/>
    <n v="99191.010000000009"/>
    <n v="1848.75"/>
    <n v="2341.75"/>
    <n v="808.03309917920012"/>
    <n v="2975.7303000000002"/>
    <n v="633.98030000000017"/>
    <n v="246.5"/>
    <n v="267.61907123127128"/>
    <n v="4484"/>
    <n v="1983.8202000000003"/>
    <n v="0"/>
    <n v="0"/>
    <n v="0"/>
    <n v="0"/>
    <n v="2500"/>
    <n v="0"/>
    <n v="2500"/>
    <s v="Release"/>
  </r>
  <r>
    <n v="40943.203814253968"/>
    <n v="0"/>
    <n v="40943.203814253968"/>
    <x v="380"/>
    <x v="376"/>
    <n v="0"/>
    <s v="MPG"/>
    <s v="Direct"/>
    <n v="1011"/>
    <x v="7"/>
    <s v="Old"/>
    <d v="2023-03-01T00:00:00"/>
    <n v="513.29999999999995"/>
    <n v="18463.000000000004"/>
    <n v="384.97499999999997"/>
    <n v="487.63499999999993"/>
    <n v="0"/>
    <n v="553.8900000000001"/>
    <n v="66.255000000000166"/>
    <n v="51.33"/>
    <n v="821.70518799631441"/>
    <n v="0"/>
    <n v="0"/>
    <n v="0"/>
    <n v="0"/>
    <n v="0"/>
    <n v="0"/>
    <n v="0"/>
    <n v="0"/>
    <n v="0"/>
    <s v="Release"/>
  </r>
  <r>
    <n v="62841.710735626293"/>
    <n v="0"/>
    <n v="62841.710735626293"/>
    <x v="381"/>
    <x v="377"/>
    <n v="0"/>
    <s v="MPG"/>
    <s v="Direct"/>
    <n v="1011"/>
    <x v="7"/>
    <s v="Old"/>
    <d v="2024-02-01T00:00:00"/>
    <n v="531.54999999999995"/>
    <n v="18468.410000000003"/>
    <n v="398.66249999999997"/>
    <n v="504.97249999999991"/>
    <n v="0"/>
    <n v="554.05230000000006"/>
    <n v="49.079800000000148"/>
    <n v="53.155000000000001"/>
    <n v="850.92939956746613"/>
    <n v="0"/>
    <n v="0"/>
    <n v="0"/>
    <n v="0"/>
    <n v="0"/>
    <n v="0"/>
    <n v="0"/>
    <n v="0"/>
    <n v="0"/>
    <s v="Release"/>
  </r>
  <r>
    <n v="0"/>
    <n v="0"/>
    <n v="0"/>
    <x v="382"/>
    <x v="378"/>
    <n v="0"/>
    <s v="MPG"/>
    <s v="Direct"/>
    <n v="1011"/>
    <x v="7"/>
    <s v="Old"/>
    <d v="2024-05-17T00:00:00"/>
    <n v="4153.8499999999995"/>
    <n v="189404.16000000003"/>
    <n v="3115.3874999999998"/>
    <n v="3946.1574999999993"/>
    <n v="1022.1192983143641"/>
    <n v="5682.1248000000005"/>
    <n v="1735.9673000000012"/>
    <n v="415.38499999999999"/>
    <n v="85.860007918514981"/>
    <n v="7582"/>
    <n v="0"/>
    <n v="0"/>
    <n v="0"/>
    <n v="0"/>
    <n v="0"/>
    <n v="7582"/>
    <n v="0"/>
    <n v="7582"/>
    <s v="Release"/>
  </r>
  <r>
    <n v="79823.167271201281"/>
    <n v="0"/>
    <n v="79823.167271201281"/>
    <x v="383"/>
    <x v="379"/>
    <n v="0"/>
    <s v="MPG"/>
    <s v="Direct"/>
    <n v="1011"/>
    <x v="7"/>
    <s v="Old"/>
    <d v="2024-05-17T00:00:00"/>
    <n v="486.04999999999995"/>
    <n v="15834.91"/>
    <n v="364.53749999999997"/>
    <n v="461.74749999999995"/>
    <n v="0"/>
    <n v="475.04729999999995"/>
    <n v="13.299800000000005"/>
    <n v="48.604999999999997"/>
    <n v="778.09864875115568"/>
    <n v="0"/>
    <n v="0"/>
    <n v="0"/>
    <n v="0"/>
    <n v="0"/>
    <n v="0"/>
    <n v="0"/>
    <n v="0"/>
    <n v="0"/>
    <s v="Release"/>
  </r>
  <r>
    <n v="65933.191290460265"/>
    <n v="0"/>
    <n v="65933.191290460265"/>
    <x v="384"/>
    <x v="380"/>
    <n v="0"/>
    <s v="MPG"/>
    <s v="Direct"/>
    <n v="1011"/>
    <x v="7"/>
    <s v="Old"/>
    <d v="2024-08-19T00:00:00"/>
    <n v="264.40000000000003"/>
    <n v="10676.56"/>
    <n v="198.3"/>
    <n v="251.18"/>
    <n v="183.90978390000001"/>
    <n v="320.29679999999996"/>
    <n v="69.116799999999955"/>
    <n v="26.440000000000005"/>
    <n v="607.06008270410348"/>
    <n v="0"/>
    <n v="0"/>
    <n v="0"/>
    <n v="0"/>
    <n v="0"/>
    <n v="0"/>
    <n v="0"/>
    <n v="0"/>
    <n v="0"/>
    <s v="Release"/>
  </r>
  <r>
    <n v="0"/>
    <n v="0"/>
    <n v="0"/>
    <x v="385"/>
    <x v="381"/>
    <n v="0"/>
    <s v="vlc"/>
    <s v="Indirect"/>
    <n v="1055"/>
    <x v="10"/>
    <s v="Old"/>
    <d v="2024-10-31T00:00:00"/>
    <n v="16736.100000000002"/>
    <n v="632081.92999999993"/>
    <n v="12552.075000000001"/>
    <n v="15899.295000000002"/>
    <n v="0"/>
    <n v="18962.457899999998"/>
    <n v="3063.1628999999957"/>
    <n v="1673.6100000000004"/>
    <n v="0"/>
    <n v="26778"/>
    <n v="0"/>
    <n v="0"/>
    <n v="0"/>
    <n v="0"/>
    <n v="0"/>
    <n v="26778"/>
    <n v="0"/>
    <n v="26778"/>
    <s v="Release"/>
  </r>
  <r>
    <n v="75274.494871608957"/>
    <n v="0"/>
    <n v="75274.494871608957"/>
    <x v="386"/>
    <x v="382"/>
    <n v="0"/>
    <s v="MPG"/>
    <s v="Direct"/>
    <n v="1054"/>
    <x v="11"/>
    <s v="Old"/>
    <d v="2024-12-03T00:00:00"/>
    <n v="1478.7"/>
    <n v="58686.340000000011"/>
    <n v="1109.0250000000001"/>
    <n v="1404.7649999999999"/>
    <n v="1496.6536736000003"/>
    <n v="1760.5902000000003"/>
    <n v="355.82520000000045"/>
    <n v="147.87"/>
    <n v="1054.1073435102567"/>
    <n v="2808"/>
    <n v="1861"/>
    <n v="0"/>
    <n v="0"/>
    <n v="0"/>
    <n v="0"/>
    <n v="947"/>
    <n v="947"/>
    <n v="0"/>
    <s v="Yes"/>
  </r>
  <r>
    <n v="63381.191223911846"/>
    <n v="0"/>
    <n v="63381.191223911846"/>
    <x v="387"/>
    <x v="383"/>
    <n v="0"/>
    <s v="MPG"/>
    <s v="Direct"/>
    <n v="1011"/>
    <x v="7"/>
    <s v="Old"/>
    <d v="2024-12-05T00:00:00"/>
    <n v="1838.6999999999998"/>
    <n v="69070.349999999991"/>
    <n v="1379.0249999999999"/>
    <n v="1746.7649999999996"/>
    <n v="1223.0613678512002"/>
    <n v="2072.1104999999998"/>
    <n v="325.34550000000013"/>
    <n v="183.87"/>
    <n v="722.66385047208064"/>
    <n v="3442"/>
    <n v="1861"/>
    <n v="0"/>
    <n v="0"/>
    <n v="0"/>
    <n v="0"/>
    <n v="1581"/>
    <n v="0"/>
    <n v="1581"/>
    <s v="Release"/>
  </r>
  <r>
    <n v="75261"/>
    <n v="6400"/>
    <n v="81661"/>
    <x v="388"/>
    <x v="384"/>
    <n v="0"/>
    <s v="MPG"/>
    <s v="Direct"/>
    <n v="1011"/>
    <x v="7"/>
    <s v="Old"/>
    <d v="2024-12-03T00:00:00"/>
    <n v="1100.8000000000002"/>
    <n v="44556.009999999995"/>
    <n v="825.60000000000014"/>
    <n v="1045.7600000000002"/>
    <n v="1074.0149608255999"/>
    <n v="1336.6802999999998"/>
    <n v="290.92029999999954"/>
    <n v="110.08000000000003"/>
    <n v="1375.5265644617702"/>
    <n v="1460"/>
    <n v="1460"/>
    <n v="0"/>
    <n v="0"/>
    <n v="0"/>
    <n v="0"/>
    <n v="0"/>
    <n v="0"/>
    <n v="0"/>
    <s v="Release"/>
  </r>
  <r>
    <n v="75417.038687220876"/>
    <n v="0"/>
    <n v="75417.038687220876"/>
    <x v="389"/>
    <x v="385"/>
    <n v="0"/>
    <s v="MPG"/>
    <s v="Direct"/>
    <n v="1054"/>
    <x v="11"/>
    <s v="Old"/>
    <d v="2024-12-26T00:00:00"/>
    <n v="690.59999999999991"/>
    <n v="26635.1"/>
    <n v="517.94999999999993"/>
    <n v="656.06999999999994"/>
    <n v="315.80237265300002"/>
    <n v="799.05299999999988"/>
    <n v="142.98299999999995"/>
    <n v="69.059999999999988"/>
    <n v="1420.2941296359913"/>
    <n v="0"/>
    <n v="0"/>
    <n v="0"/>
    <n v="0"/>
    <n v="0"/>
    <n v="0"/>
    <n v="0"/>
    <n v="0"/>
    <n v="0"/>
    <s v="Release"/>
  </r>
  <r>
    <n v="80494"/>
    <n v="0"/>
    <n v="80494"/>
    <x v="390"/>
    <x v="386"/>
    <n v="0"/>
    <s v="MPG"/>
    <s v="Direct"/>
    <n v="1054"/>
    <x v="11"/>
    <s v="Old"/>
    <d v="2024-12-27T00:00:00"/>
    <n v="439"/>
    <n v="16522.07"/>
    <n v="329.25"/>
    <n v="417.04999999999995"/>
    <n v="0"/>
    <n v="495.66209999999995"/>
    <n v="78.612099999999998"/>
    <n v="43.900000000000006"/>
    <n v="702.01062408643111"/>
    <n v="0"/>
    <n v="0"/>
    <n v="0"/>
    <n v="0"/>
    <n v="0"/>
    <n v="0"/>
    <n v="0"/>
    <n v="0"/>
    <n v="0"/>
    <s v="Release"/>
  </r>
  <r>
    <n v="61766.348644469399"/>
    <n v="0"/>
    <n v="61766.348644469399"/>
    <x v="391"/>
    <x v="387"/>
    <n v="0"/>
    <s v="MPG"/>
    <s v="Direct"/>
    <n v="1054"/>
    <x v="11"/>
    <s v="Old"/>
    <d v="2024-12-27T00:00:00"/>
    <n v="5787.0999999999995"/>
    <n v="246011.10000000003"/>
    <n v="4340.3249999999998"/>
    <n v="5497.744999999999"/>
    <n v="1630.5383583959799"/>
    <n v="7380.3330000000005"/>
    <n v="1882.5880000000016"/>
    <n v="578.70999999999992"/>
    <n v="0"/>
    <n v="10890"/>
    <n v="4920.2220000000007"/>
    <n v="0"/>
    <n v="0"/>
    <n v="0"/>
    <n v="0"/>
    <n v="5970"/>
    <n v="0"/>
    <n v="5970"/>
    <s v="Release"/>
  </r>
  <r>
    <n v="81684.002000000008"/>
    <n v="0"/>
    <n v="81684.002000000008"/>
    <x v="392"/>
    <x v="388"/>
    <n v="0"/>
    <s v="MPG"/>
    <s v="Direct"/>
    <n v="1054"/>
    <x v="11"/>
    <s v="Old"/>
    <d v="2025-01-15T00:00:00"/>
    <n v="1690.0999999999997"/>
    <n v="70716.570000000007"/>
    <n v="1267.5749999999998"/>
    <n v="1605.5949999999996"/>
    <n v="1666.5546971292802"/>
    <n v="2121.4971"/>
    <n v="515.90210000000047"/>
    <n v="169.01"/>
    <n v="930.15182227742491"/>
    <n v="3441"/>
    <n v="1861"/>
    <n v="0"/>
    <n v="0"/>
    <n v="0"/>
    <n v="0"/>
    <n v="1580"/>
    <n v="1580"/>
    <n v="0"/>
    <s v="Yes"/>
  </r>
  <r>
    <n v="76375.63296979756"/>
    <n v="9600"/>
    <n v="85975.63296979756"/>
    <x v="393"/>
    <x v="389"/>
    <n v="0"/>
    <s v="MPG"/>
    <s v="Direct"/>
    <n v="1011"/>
    <x v="7"/>
    <s v="Old"/>
    <d v="2025-02-12T00:00:00"/>
    <n v="1298.2"/>
    <n v="55560.37"/>
    <n v="973.65000000000009"/>
    <n v="1233.29"/>
    <n v="0"/>
    <n v="1666.8111000000001"/>
    <n v="433.52110000000016"/>
    <n v="129.82000000000002"/>
    <n v="1281.516005534854"/>
    <n v="796"/>
    <n v="796"/>
    <n v="0"/>
    <n v="0"/>
    <n v="0"/>
    <n v="0"/>
    <n v="0"/>
    <n v="0"/>
    <n v="0"/>
    <s v="Release"/>
  </r>
  <r>
    <n v="48933.719195341691"/>
    <n v="0"/>
    <n v="48933.719195341691"/>
    <x v="394"/>
    <x v="390"/>
    <n v="0"/>
    <s v="MPG"/>
    <s v="Direct"/>
    <n v="1011"/>
    <x v="7"/>
    <s v="Old"/>
    <d v="2025-02-04T00:00:00"/>
    <n v="7019.55"/>
    <n v="276311.74"/>
    <n v="5264.6625000000004"/>
    <n v="6668.5725000000002"/>
    <n v="986.27737959187994"/>
    <n v="8289.3521999999994"/>
    <n v="1620.7796999999991"/>
    <n v="701.95500000000004"/>
    <n v="0"/>
    <n v="12218"/>
    <n v="5526.2348000000002"/>
    <n v="0"/>
    <n v="0"/>
    <n v="0"/>
    <n v="0"/>
    <n v="6692"/>
    <n v="0"/>
    <n v="6692"/>
    <s v="Release"/>
  </r>
  <r>
    <n v="85130"/>
    <n v="0"/>
    <n v="85130"/>
    <x v="395"/>
    <x v="391"/>
    <n v="0"/>
    <s v="MPG"/>
    <s v="Direct"/>
    <n v="1054"/>
    <x v="11"/>
    <s v="Old"/>
    <d v="2025-02-14T00:00:00"/>
    <n v="1025.8999999999999"/>
    <n v="42285"/>
    <n v="769.42499999999995"/>
    <n v="974.60499999999979"/>
    <n v="213.58178687200004"/>
    <n v="1268.55"/>
    <n v="293.94500000000016"/>
    <n v="102.58999999999999"/>
    <n v="1463.0837313724076"/>
    <n v="392"/>
    <n v="392"/>
    <n v="0"/>
    <n v="0"/>
    <n v="0"/>
    <n v="0"/>
    <n v="0"/>
    <n v="0"/>
    <n v="0"/>
    <s v="Release"/>
  </r>
  <r>
    <n v="82133"/>
    <n v="0"/>
    <n v="82133"/>
    <x v="396"/>
    <x v="392"/>
    <n v="0"/>
    <s v="MPG"/>
    <s v="Direct"/>
    <n v="1055"/>
    <x v="10"/>
    <s v="Old"/>
    <d v="2025-03-29T00:00:00"/>
    <n v="909.80000000000007"/>
    <n v="43809.69"/>
    <n v="682.35"/>
    <n v="864.31000000000006"/>
    <n v="232.76339787619997"/>
    <n v="1314.2907"/>
    <n v="449.98069999999996"/>
    <n v="90.980000000000018"/>
    <n v="1688.1007723372197"/>
    <n v="0"/>
    <n v="0"/>
    <n v="0"/>
    <n v="0"/>
    <n v="0"/>
    <n v="0"/>
    <n v="0"/>
    <n v="0"/>
    <n v="0"/>
    <s v="Release"/>
  </r>
  <r>
    <n v="74661.271935704208"/>
    <n v="0"/>
    <n v="74661.271935704208"/>
    <x v="397"/>
    <x v="393"/>
    <n v="0"/>
    <s v="MPG"/>
    <s v="Direct"/>
    <n v="1055"/>
    <x v="10"/>
    <s v="Old"/>
    <d v="2025-02-28T00:00:00"/>
    <n v="794.19999999999993"/>
    <n v="37694.629999999997"/>
    <n v="595.65"/>
    <n v="754.4899999999999"/>
    <n v="1402.99759474292"/>
    <n v="1130.8389"/>
    <n v="376.34890000000007"/>
    <n v="79.42"/>
    <n v="1904.4361779115663"/>
    <n v="769"/>
    <n v="769"/>
    <n v="0"/>
    <n v="0"/>
    <n v="0"/>
    <n v="0"/>
    <n v="0"/>
    <n v="0"/>
    <n v="0"/>
    <s v="Release"/>
  </r>
  <r>
    <n v="99211"/>
    <n v="0"/>
    <n v="99211"/>
    <x v="398"/>
    <x v="394"/>
    <n v="0"/>
    <s v="MPG"/>
    <s v="Direct"/>
    <n v="1054"/>
    <x v="11"/>
    <s v="Old"/>
    <d v="2025-06-06T00:00:00"/>
    <n v="276.5"/>
    <n v="10080.689999999999"/>
    <n v="207.375"/>
    <n v="262.67500000000001"/>
    <n v="0"/>
    <n v="302.42069999999995"/>
    <n v="39.745699999999943"/>
    <n v="27.650000000000002"/>
    <n v="442.23983060649425"/>
    <n v="0"/>
    <n v="0"/>
    <n v="0"/>
    <n v="0"/>
    <n v="0"/>
    <n v="0"/>
    <n v="0"/>
    <n v="0"/>
    <n v="0"/>
    <s v="Release"/>
  </r>
  <r>
    <n v="77398.78330171296"/>
    <n v="0"/>
    <n v="77398.78330171296"/>
    <x v="399"/>
    <x v="395"/>
    <n v="0"/>
    <s v="MPG"/>
    <s v="Direct"/>
    <n v="1055"/>
    <x v="10"/>
    <s v="Old"/>
    <d v="2025-03-29T00:00:00"/>
    <n v="1120.3000000000002"/>
    <n v="44186.49"/>
    <n v="840.22500000000014"/>
    <n v="1064.2850000000001"/>
    <n v="9.1465333740000005"/>
    <n v="1325.5946999999999"/>
    <n v="261.30969999999979"/>
    <n v="112.03000000000003"/>
    <n v="321.65301799485854"/>
    <n v="1480"/>
    <n v="1480"/>
    <n v="0"/>
    <n v="0"/>
    <n v="0"/>
    <n v="0"/>
    <n v="0"/>
    <n v="0"/>
    <n v="0"/>
    <s v="Release"/>
  </r>
  <r>
    <n v="87570"/>
    <n v="0"/>
    <n v="87570"/>
    <x v="400"/>
    <x v="396"/>
    <n v="0"/>
    <s v="MPG"/>
    <s v="Direct"/>
    <n v="1054"/>
    <x v="11"/>
    <s v="Old"/>
    <d v="2025-03-29T00:00:00"/>
    <n v="773.5"/>
    <n v="31517.850000000006"/>
    <n v="580.125"/>
    <n v="734.82499999999993"/>
    <n v="179.47191798360001"/>
    <n v="945.53550000000018"/>
    <n v="210.71050000000025"/>
    <n v="77.350000000000009"/>
    <n v="1416.9914443596108"/>
    <n v="0"/>
    <n v="0"/>
    <n v="0"/>
    <n v="0"/>
    <n v="0"/>
    <n v="0"/>
    <n v="0"/>
    <n v="0"/>
    <n v="0"/>
    <s v="Release"/>
  </r>
  <r>
    <n v="91476"/>
    <n v="0"/>
    <n v="91476"/>
    <x v="401"/>
    <x v="397"/>
    <n v="0"/>
    <s v="MPG"/>
    <s v="Direct"/>
    <n v="1054"/>
    <x v="11"/>
    <s v="Old"/>
    <d v="2025-03-29T00:00:00"/>
    <n v="253.6"/>
    <n v="10356.16"/>
    <n v="190.2"/>
    <n v="240.92"/>
    <n v="0"/>
    <n v="310.6848"/>
    <n v="69.764800000000008"/>
    <n v="25.36"/>
    <n v="405.96231766513665"/>
    <n v="0"/>
    <n v="0"/>
    <n v="0"/>
    <n v="0"/>
    <n v="0"/>
    <n v="0"/>
    <n v="0"/>
    <n v="0"/>
    <n v="0"/>
    <s v="Release"/>
  </r>
  <r>
    <n v="87200.120200000005"/>
    <n v="0"/>
    <n v="87200.120200000005"/>
    <x v="402"/>
    <x v="398"/>
    <n v="0"/>
    <s v="MPG"/>
    <s v="Direct"/>
    <n v="1054"/>
    <x v="11"/>
    <s v="Old"/>
    <d v="2025-03-29T00:00:00"/>
    <n v="2063.1"/>
    <n v="78978.260000000009"/>
    <n v="1547.3249999999998"/>
    <n v="1959.9449999999997"/>
    <n v="0"/>
    <n v="2369.3478"/>
    <n v="409.4028000000003"/>
    <n v="206.31"/>
    <n v="564.93034365295705"/>
    <n v="2736"/>
    <n v="1861"/>
    <n v="0"/>
    <n v="0"/>
    <n v="0"/>
    <n v="0"/>
    <n v="875"/>
    <n v="875"/>
    <n v="0"/>
    <s v="Yes"/>
  </r>
  <r>
    <n v="77637.912147592797"/>
    <n v="0"/>
    <n v="77637.912147592797"/>
    <x v="403"/>
    <x v="399"/>
    <n v="0"/>
    <s v="MPG"/>
    <s v="Direct"/>
    <n v="1054"/>
    <x v="11"/>
    <s v="Old"/>
    <d v="2025-03-29T00:00:00"/>
    <n v="4108.0999999999995"/>
    <n v="170419.07999999996"/>
    <n v="3081.0749999999998"/>
    <n v="3902.6949999999993"/>
    <n v="4719.2712209016499"/>
    <n v="5112.5723999999982"/>
    <n v="1209.8773999999989"/>
    <n v="410.80999999999995"/>
    <n v="0"/>
    <n v="11292"/>
    <n v="3408.3815999999993"/>
    <n v="0"/>
    <n v="0"/>
    <n v="0"/>
    <n v="0"/>
    <n v="7884"/>
    <n v="0"/>
    <n v="7884"/>
    <s v="Release"/>
  </r>
  <r>
    <n v="81448"/>
    <n v="0"/>
    <n v="81448"/>
    <x v="404"/>
    <x v="400"/>
    <n v="0"/>
    <s v="MPG"/>
    <s v="Direct"/>
    <n v="1054"/>
    <x v="11"/>
    <s v="Old"/>
    <d v="2025-03-29T00:00:00"/>
    <n v="1061.8"/>
    <n v="44019.100000000006"/>
    <n v="796.34999999999991"/>
    <n v="1008.7099999999999"/>
    <n v="0"/>
    <n v="1320.5730000000001"/>
    <n v="311.86300000000017"/>
    <n v="106.18"/>
    <n v="1448.2637606270953"/>
    <n v="251"/>
    <n v="251"/>
    <n v="0"/>
    <n v="0"/>
    <n v="0"/>
    <n v="0"/>
    <n v="0"/>
    <n v="0"/>
    <n v="0"/>
    <s v="Release"/>
  </r>
  <r>
    <n v="82600.323999999993"/>
    <n v="0"/>
    <n v="82600.323999999993"/>
    <x v="405"/>
    <x v="401"/>
    <n v="0"/>
    <s v="MPG"/>
    <s v="Direct"/>
    <n v="1054"/>
    <x v="11"/>
    <s v="Old"/>
    <d v="2025-06-11T00:00:00"/>
    <n v="5354.0999999999995"/>
    <n v="235580.62"/>
    <n v="4015.5749999999998"/>
    <n v="5086.3949999999995"/>
    <n v="0"/>
    <n v="7067.4186"/>
    <n v="1981.0236000000004"/>
    <n v="535.41"/>
    <n v="0"/>
    <n v="8567"/>
    <n v="4711.6124"/>
    <n v="0"/>
    <n v="0"/>
    <n v="0"/>
    <n v="0"/>
    <n v="3855"/>
    <n v="0"/>
    <n v="3855"/>
    <s v="Release"/>
  </r>
  <r>
    <n v="85293"/>
    <n v="0"/>
    <n v="85293"/>
    <x v="406"/>
    <x v="402"/>
    <n v="0"/>
    <s v="MPG"/>
    <s v="Direct"/>
    <n v="1054"/>
    <x v="11"/>
    <s v="Old"/>
    <d v="2025-03-29T00:00:00"/>
    <n v="1016.5"/>
    <n v="42021.08"/>
    <n v="762.375"/>
    <n v="965.67499999999995"/>
    <n v="128.04"/>
    <n v="1260.6324"/>
    <n v="294.95740000000001"/>
    <n v="101.65"/>
    <n v="1476.4686184307895"/>
    <n v="278"/>
    <n v="278"/>
    <n v="0"/>
    <n v="0"/>
    <n v="0"/>
    <n v="0"/>
    <n v="0"/>
    <n v="0"/>
    <n v="0"/>
    <s v="Release"/>
  </r>
  <r>
    <n v="77472.374054152388"/>
    <n v="0"/>
    <n v="77472.374054152388"/>
    <x v="407"/>
    <x v="403"/>
    <n v="0"/>
    <s v="MPG"/>
    <s v="Direct"/>
    <n v="1055"/>
    <x v="10"/>
    <s v="Old"/>
    <d v="2025-03-29T00:00:00"/>
    <n v="2439.6000000000004"/>
    <n v="119522.02"/>
    <n v="1829.7000000000003"/>
    <n v="2317.6200000000003"/>
    <n v="2127.3121870710102"/>
    <n v="3585.6606000000002"/>
    <n v="1268.0405999999998"/>
    <n v="243.96000000000004"/>
    <n v="353.33990828803678"/>
    <n v="5677"/>
    <n v="2390.4404"/>
    <n v="0"/>
    <n v="0"/>
    <n v="0"/>
    <n v="799.64"/>
    <n v="2487"/>
    <n v="0"/>
    <n v="2487"/>
    <s v="Release"/>
  </r>
  <r>
    <n v="80662"/>
    <n v="0"/>
    <n v="80662"/>
    <x v="408"/>
    <x v="404"/>
    <n v="0"/>
    <s v="MPG"/>
    <s v="Direct"/>
    <n v="1055"/>
    <x v="10"/>
    <s v="Old"/>
    <d v="2025-03-29T00:00:00"/>
    <n v="1570.9"/>
    <n v="63119.479999999996"/>
    <n v="1178.1750000000002"/>
    <n v="1492.355"/>
    <n v="1188.225122735"/>
    <n v="1893.5843999999997"/>
    <n v="401.22939999999971"/>
    <n v="157.09000000000003"/>
    <n v="988.19374882714453"/>
    <n v="2713"/>
    <n v="1861"/>
    <n v="0"/>
    <n v="0"/>
    <n v="0"/>
    <n v="773.99"/>
    <n v="78"/>
    <n v="0"/>
    <n v="78"/>
    <s v="Release"/>
  </r>
  <r>
    <n v="85202.189199999993"/>
    <n v="0"/>
    <n v="85202.189199999993"/>
    <x v="409"/>
    <x v="405"/>
    <n v="0"/>
    <s v="MPG"/>
    <s v="Direct"/>
    <n v="1054"/>
    <x v="11"/>
    <s v="Old"/>
    <d v="2025-06-23T00:00:00"/>
    <n v="3177.7"/>
    <n v="135817.69"/>
    <n v="2383.2749999999996"/>
    <n v="3018.8149999999996"/>
    <n v="0"/>
    <n v="4074.5306999999998"/>
    <n v="1055.7157000000002"/>
    <n v="317.77"/>
    <n v="0"/>
    <n v="5084"/>
    <n v="2716.3538000000003"/>
    <n v="0"/>
    <n v="0"/>
    <n v="0"/>
    <n v="0"/>
    <n v="2368"/>
    <n v="2368"/>
    <n v="0"/>
    <s v="Yes"/>
  </r>
  <r>
    <n v="92142"/>
    <n v="0"/>
    <n v="92142"/>
    <x v="410"/>
    <x v="406"/>
    <n v="0"/>
    <s v="MPG"/>
    <s v="Direct"/>
    <n v="1055"/>
    <x v="10"/>
    <s v="Old"/>
    <d v="2025-03-29T00:00:00"/>
    <n v="1149.0999999999999"/>
    <n v="45649.600000000006"/>
    <n v="861.82499999999993"/>
    <n v="1091.6449999999998"/>
    <n v="381.21233200059999"/>
    <n v="1369.4880000000001"/>
    <n v="277.8430000000003"/>
    <n v="114.91"/>
    <n v="1312.750006312885"/>
    <n v="907"/>
    <n v="907"/>
    <n v="0"/>
    <n v="0"/>
    <n v="0"/>
    <n v="0"/>
    <n v="0"/>
    <n v="0"/>
    <n v="0"/>
    <s v="Release"/>
  </r>
  <r>
    <n v="94004.815199999997"/>
    <n v="0"/>
    <n v="94004.815199999997"/>
    <x v="411"/>
    <x v="407"/>
    <n v="0"/>
    <s v="MPG"/>
    <s v="Direct"/>
    <n v="1054"/>
    <x v="11"/>
    <s v="Old"/>
    <d v="2025-06-23T00:00:00"/>
    <n v="3785.1"/>
    <n v="144028.99000000002"/>
    <n v="2838.8249999999998"/>
    <n v="3595.8449999999998"/>
    <n v="0"/>
    <n v="4320.8697000000002"/>
    <n v="725.02470000000039"/>
    <n v="378.51"/>
    <n v="0"/>
    <n v="6056"/>
    <n v="2880.5798000000004"/>
    <n v="0"/>
    <n v="0"/>
    <n v="0"/>
    <n v="0"/>
    <n v="3175"/>
    <n v="3175"/>
    <n v="0"/>
    <s v="Yes"/>
  </r>
  <r>
    <n v="92970"/>
    <n v="0"/>
    <n v="92970"/>
    <x v="412"/>
    <x v="408"/>
    <n v="0"/>
    <s v="MPG"/>
    <s v="Direct"/>
    <n v="1055"/>
    <x v="10"/>
    <s v="Old"/>
    <d v="2025-04-09T00:00:00"/>
    <n v="544.59999999999991"/>
    <n v="20485.54"/>
    <n v="408.44999999999993"/>
    <n v="517.36999999999989"/>
    <n v="304.34132912000001"/>
    <n v="614.56619999999998"/>
    <n v="97.19620000000009"/>
    <n v="54.459999999999994"/>
    <n v="1175.7708116780009"/>
    <n v="0"/>
    <n v="0"/>
    <n v="0"/>
    <n v="0"/>
    <n v="0"/>
    <n v="0"/>
    <n v="0"/>
    <n v="0"/>
    <n v="0"/>
    <s v="Release"/>
  </r>
  <r>
    <n v="93251"/>
    <n v="0"/>
    <n v="93251"/>
    <x v="413"/>
    <x v="409"/>
    <n v="0"/>
    <s v="MPG"/>
    <s v="Direct"/>
    <n v="1054"/>
    <x v="11"/>
    <s v="Old"/>
    <d v="2025-04-25T00:00:00"/>
    <n v="1389"/>
    <n v="57129.62"/>
    <n v="1041.75"/>
    <n v="1319.55"/>
    <n v="0"/>
    <n v="1713.8886"/>
    <n v="394.33860000000004"/>
    <n v="138.9"/>
    <n v="1162.2265313538742"/>
    <n v="1060"/>
    <n v="1060"/>
    <n v="0"/>
    <n v="0"/>
    <n v="0"/>
    <n v="0"/>
    <n v="0"/>
    <n v="0"/>
    <n v="0"/>
    <s v="Release"/>
  </r>
  <r>
    <n v="50147.705810648156"/>
    <n v="0"/>
    <n v="50147.705810648156"/>
    <x v="414"/>
    <x v="410"/>
    <n v="0"/>
    <s v="MPG"/>
    <s v="Direct"/>
    <n v="1054"/>
    <x v="11"/>
    <s v="Old"/>
    <d v="2025-05-09T00:00:00"/>
    <n v="13382.6"/>
    <n v="549621.97000000009"/>
    <n v="10036.950000000001"/>
    <n v="12713.47"/>
    <n v="0"/>
    <n v="16488.659100000001"/>
    <n v="3775.1891000000014"/>
    <n v="1338.2600000000002"/>
    <n v="0"/>
    <n v="21412"/>
    <n v="10992.439400000001"/>
    <n v="0"/>
    <n v="0"/>
    <n v="0"/>
    <n v="0"/>
    <n v="10420"/>
    <n v="10420"/>
    <n v="0"/>
    <s v="Yes"/>
  </r>
  <r>
    <n v="89421"/>
    <n v="0"/>
    <n v="89421"/>
    <x v="415"/>
    <x v="251"/>
    <n v="0"/>
    <s v="MPG"/>
    <s v="Direct"/>
    <n v="1054"/>
    <x v="11"/>
    <s v="Old"/>
    <d v="2025-04-23T00:00:00"/>
    <n v="545.5"/>
    <n v="21629.109999999997"/>
    <n v="409.125"/>
    <n v="518.22500000000002"/>
    <n v="0"/>
    <n v="648.87329999999986"/>
    <n v="130.64829999999984"/>
    <n v="54.550000000000004"/>
    <n v="872.78888978891678"/>
    <n v="0"/>
    <n v="0"/>
    <n v="0"/>
    <n v="0"/>
    <n v="0"/>
    <n v="0"/>
    <n v="0"/>
    <n v="0"/>
    <n v="0"/>
    <s v="Release"/>
  </r>
  <r>
    <n v="80695"/>
    <n v="0"/>
    <n v="80695"/>
    <x v="416"/>
    <x v="411"/>
    <n v="0"/>
    <s v="MPG"/>
    <s v="Direct"/>
    <n v="1054"/>
    <x v="11"/>
    <s v="Old"/>
    <d v="2025-04-20T00:00:00"/>
    <n v="1669.5"/>
    <n v="65894.87000000001"/>
    <n v="1252.125"/>
    <n v="1586.0249999999999"/>
    <n v="1157.51847638"/>
    <n v="1976.8461000000002"/>
    <n v="390.82110000000034"/>
    <n v="166.95000000000002"/>
    <n v="899.79881751699077"/>
    <n v="2929"/>
    <n v="1861"/>
    <n v="0"/>
    <n v="0"/>
    <n v="0"/>
    <n v="0"/>
    <n v="1068"/>
    <n v="0"/>
    <n v="1068"/>
    <s v="Release"/>
  </r>
  <r>
    <n v="80756.354599999991"/>
    <n v="0"/>
    <n v="80756.354599999991"/>
    <x v="417"/>
    <x v="412"/>
    <n v="0"/>
    <s v="MPG"/>
    <s v="Direct"/>
    <n v="1054"/>
    <x v="11"/>
    <s v="Old"/>
    <d v="2025-05-09T00:00:00"/>
    <n v="1127.7"/>
    <n v="49315.289999999994"/>
    <n v="845.77500000000009"/>
    <n v="1071.3150000000001"/>
    <n v="449.53549050135007"/>
    <n v="1479.4586999999997"/>
    <n v="408.14369999999963"/>
    <n v="112.77000000000001"/>
    <n v="1462.3071835909286"/>
    <n v="792"/>
    <n v="792"/>
    <n v="0"/>
    <n v="0"/>
    <n v="0"/>
    <n v="0"/>
    <n v="0"/>
    <n v="0"/>
    <n v="0"/>
    <s v="Release"/>
  </r>
  <r>
    <n v="73939.0787487856"/>
    <n v="0"/>
    <n v="73939.0787487856"/>
    <x v="418"/>
    <x v="413"/>
    <n v="0"/>
    <s v="MPG"/>
    <s v="Direct"/>
    <n v="1054"/>
    <x v="11"/>
    <s v="Old"/>
    <d v="2025-05-09T00:00:00"/>
    <n v="5382.8"/>
    <n v="229598.68"/>
    <n v="4037.1000000000004"/>
    <n v="5113.66"/>
    <n v="2722.4918684926201"/>
    <n v="6887.9603999999999"/>
    <n v="1774.3004000000001"/>
    <n v="538.28000000000009"/>
    <n v="0"/>
    <n v="11335"/>
    <n v="4591.9736000000003"/>
    <n v="0"/>
    <n v="0"/>
    <n v="0"/>
    <n v="0"/>
    <n v="6743"/>
    <n v="0"/>
    <n v="6743"/>
    <s v="Release"/>
  </r>
  <r>
    <n v="77536.006542638395"/>
    <n v="0"/>
    <n v="77536.006542638395"/>
    <x v="419"/>
    <x v="414"/>
    <n v="0"/>
    <s v="MPG"/>
    <s v="Direct"/>
    <n v="1054"/>
    <x v="11"/>
    <s v="Old"/>
    <d v="2025-05-09T00:00:00"/>
    <n v="2807.2"/>
    <n v="106958.59"/>
    <n v="2105.3999999999996"/>
    <n v="2666.8399999999997"/>
    <n v="0"/>
    <n v="3208.7576999999997"/>
    <n v="541.91769999999997"/>
    <n v="280.71999999999997"/>
    <n v="94.697595189003366"/>
    <n v="4397"/>
    <n v="2139.1718000000001"/>
    <n v="0"/>
    <n v="0"/>
    <n v="0"/>
    <n v="0"/>
    <n v="2258"/>
    <n v="0"/>
    <n v="2258"/>
    <s v="Release"/>
  </r>
  <r>
    <n v="62714.916039046104"/>
    <n v="0"/>
    <n v="62714.916039046104"/>
    <x v="420"/>
    <x v="415"/>
    <n v="0"/>
    <s v="MPG"/>
    <s v="Direct"/>
    <n v="1054"/>
    <x v="11"/>
    <s v="Old"/>
    <d v="2025-05-09T00:00:00"/>
    <n v="5722.5"/>
    <n v="240428.59999999998"/>
    <n v="4291.875"/>
    <n v="5436.375"/>
    <n v="0"/>
    <n v="7212.8579999999993"/>
    <n v="1776.4829999999993"/>
    <n v="572.25"/>
    <n v="0"/>
    <n v="9156"/>
    <n v="4808.5719999999992"/>
    <n v="0"/>
    <n v="0"/>
    <n v="0"/>
    <n v="0"/>
    <n v="4347"/>
    <n v="0"/>
    <n v="4347"/>
    <s v="Release"/>
  </r>
  <r>
    <n v="78598.045400000003"/>
    <n v="0"/>
    <n v="78598.045400000003"/>
    <x v="421"/>
    <x v="416"/>
    <n v="0"/>
    <s v="MPG"/>
    <s v="Direct"/>
    <n v="1054"/>
    <x v="11"/>
    <s v="Old"/>
    <d v="2025-05-09T00:00:00"/>
    <n v="4173.3"/>
    <n v="161983.91"/>
    <n v="3129.9750000000004"/>
    <n v="3964.6349999999998"/>
    <n v="0"/>
    <n v="4859.5172999999995"/>
    <n v="894.88229999999976"/>
    <n v="417.33000000000004"/>
    <n v="0"/>
    <n v="6677"/>
    <n v="3239.6782000000003"/>
    <n v="0"/>
    <n v="0"/>
    <n v="0"/>
    <n v="0"/>
    <n v="3437"/>
    <n v="0"/>
    <n v="3437"/>
    <s v="Release"/>
  </r>
  <r>
    <n v="81299.141657192085"/>
    <n v="0"/>
    <n v="81299.141657192085"/>
    <x v="422"/>
    <x v="417"/>
    <n v="0"/>
    <s v="MPG"/>
    <s v="Direct"/>
    <n v="1055"/>
    <x v="10"/>
    <s v="Old"/>
    <d v="2025-04-30T00:00:00"/>
    <n v="1249.4000000000001"/>
    <n v="51846.109999999993"/>
    <n v="937.05000000000007"/>
    <n v="1186.93"/>
    <n v="0"/>
    <n v="1555.3832999999997"/>
    <n v="368.45329999999967"/>
    <n v="124.94000000000001"/>
    <n v="1286.1721309409481"/>
    <n v="713"/>
    <n v="713"/>
    <n v="0"/>
    <n v="0"/>
    <n v="0"/>
    <n v="0"/>
    <n v="0"/>
    <n v="0"/>
    <n v="0"/>
    <s v="Release"/>
  </r>
  <r>
    <n v="59553.88874894708"/>
    <n v="0"/>
    <n v="59553.88874894708"/>
    <x v="423"/>
    <x v="418"/>
    <n v="0"/>
    <s v="MPG"/>
    <s v="Direct"/>
    <n v="1011"/>
    <x v="7"/>
    <s v="Old"/>
    <d v="2025-04-21T00:00:00"/>
    <n v="8108.5500000000011"/>
    <n v="316411.15999999997"/>
    <n v="6081.4125000000004"/>
    <n v="7703.1225000000004"/>
    <n v="78.000931800000004"/>
    <n v="9492.3347999999987"/>
    <n v="1789.2122999999983"/>
    <n v="810.85500000000013"/>
    <n v="183.03821459227456"/>
    <n v="12869"/>
    <n v="6328.2231999999995"/>
    <n v="0"/>
    <n v="0"/>
    <n v="0"/>
    <n v="0"/>
    <n v="6541"/>
    <n v="0"/>
    <n v="6541"/>
    <s v="Release"/>
  </r>
  <r>
    <n v="110000"/>
    <n v="0"/>
    <n v="110000"/>
    <x v="424"/>
    <x v="419"/>
    <n v="0"/>
    <s v="MPG"/>
    <s v="Direct"/>
    <n v="1054"/>
    <x v="11"/>
    <s v="Old"/>
    <d v="2025-05-23T00:00:00"/>
    <n v="2779.4"/>
    <n v="125747.45"/>
    <n v="2084.5500000000002"/>
    <n v="2640.43"/>
    <n v="0"/>
    <n v="3772.4234999999999"/>
    <n v="1131.9935"/>
    <n v="277.94"/>
    <n v="159.75783251055958"/>
    <n v="4287"/>
    <n v="2514.9490000000001"/>
    <n v="0"/>
    <n v="0"/>
    <n v="0"/>
    <n v="0"/>
    <n v="1772"/>
    <n v="1772"/>
    <n v="0"/>
    <s v="Yes"/>
  </r>
  <r>
    <n v="110000"/>
    <n v="0"/>
    <n v="110000"/>
    <x v="425"/>
    <x v="420"/>
    <n v="0"/>
    <s v="MPG"/>
    <s v="Direct"/>
    <n v="1054"/>
    <x v="11"/>
    <s v="Old"/>
    <d v="2025-05-28T00:00:00"/>
    <n v="1574.3000000000002"/>
    <n v="62652.890000000007"/>
    <n v="1180.7250000000001"/>
    <n v="1495.585"/>
    <n v="0"/>
    <n v="1879.5867000000001"/>
    <n v="384.00170000000003"/>
    <n v="157.43000000000004"/>
    <n v="975.26374022524078"/>
    <n v="1544"/>
    <n v="1544"/>
    <n v="0"/>
    <n v="0"/>
    <n v="0"/>
    <n v="0"/>
    <n v="0"/>
    <n v="0"/>
    <n v="0"/>
    <s v="Release"/>
  </r>
  <r>
    <n v="0"/>
    <n v="0"/>
    <n v="0"/>
    <x v="426"/>
    <x v="421"/>
    <n v="0"/>
    <s v="vlc"/>
    <s v="Indirect"/>
    <n v="1011"/>
    <x v="7"/>
    <s v="Old"/>
    <d v="2025-06-13T00:00:00"/>
    <n v="2554"/>
    <n v="100303.4"/>
    <n v="1915.5"/>
    <n v="2426.2999999999997"/>
    <n v="0"/>
    <n v="3009.1019999999999"/>
    <n v="582.80200000000013"/>
    <n v="255.4"/>
    <n v="448.64023763138897"/>
    <n v="3638"/>
    <n v="0"/>
    <n v="0"/>
    <n v="0"/>
    <n v="0"/>
    <n v="0"/>
    <n v="3638"/>
    <n v="0"/>
    <n v="3638"/>
    <s v="Release"/>
  </r>
  <r>
    <n v="0"/>
    <n v="0"/>
    <n v="0"/>
    <x v="427"/>
    <x v="422"/>
    <n v="0"/>
    <s v="vlc"/>
    <s v="Indirect"/>
    <n v="1055"/>
    <x v="10"/>
    <s v="Old"/>
    <d v="2025-06-20T00:00:00"/>
    <n v="1020.1"/>
    <n v="38202.930000000008"/>
    <n v="765.07500000000005"/>
    <n v="969.09500000000003"/>
    <n v="0"/>
    <n v="1146.0879000000002"/>
    <n v="176.99290000000019"/>
    <n v="102.01"/>
    <n v="1315.8741593709044"/>
    <n v="316"/>
    <n v="0"/>
    <n v="0"/>
    <n v="0"/>
    <n v="0"/>
    <n v="0"/>
    <n v="316"/>
    <n v="0"/>
    <n v="316"/>
    <s v="Release"/>
  </r>
  <r>
    <n v="90000"/>
    <n v="0"/>
    <n v="90000"/>
    <x v="428"/>
    <x v="423"/>
    <n v="0"/>
    <s v="MPG"/>
    <s v="Direct"/>
    <n v="1011"/>
    <x v="7"/>
    <s v="Old"/>
    <d v="2025-07-07T00:00:00"/>
    <n v="7695.35"/>
    <n v="301817.96000000002"/>
    <n v="5771.5125000000007"/>
    <n v="7310.5825000000004"/>
    <n v="0"/>
    <n v="9054.5388000000003"/>
    <n v="1743.9562999999998"/>
    <n v="769.53500000000008"/>
    <n v="0"/>
    <n v="12313"/>
    <n v="6036.3592000000008"/>
    <n v="0"/>
    <n v="0"/>
    <n v="0"/>
    <n v="0"/>
    <n v="6277"/>
    <n v="0"/>
    <n v="6277"/>
    <s v="Release"/>
  </r>
  <r>
    <n v="89500"/>
    <n v="0"/>
    <n v="89500"/>
    <x v="429"/>
    <x v="424"/>
    <n v="0"/>
    <s v="MPG"/>
    <s v="Direct"/>
    <n v="1011"/>
    <x v="7"/>
    <s v="Old"/>
    <d v="2025-07-01T00:00:00"/>
    <n v="2838.1"/>
    <n v="109151.67"/>
    <n v="2128.5749999999998"/>
    <n v="2696.1949999999997"/>
    <n v="0"/>
    <n v="3274.5500999999999"/>
    <n v="578.35510000000022"/>
    <n v="283.81"/>
    <n v="57.458864684008191"/>
    <n v="4484"/>
    <n v="2183.0333999999998"/>
    <n v="0"/>
    <n v="0"/>
    <n v="0"/>
    <n v="0"/>
    <n v="2301"/>
    <n v="0"/>
    <n v="2301"/>
    <s v="Release"/>
  </r>
  <r>
    <n v="0"/>
    <n v="0"/>
    <n v="0"/>
    <x v="430"/>
    <x v="425"/>
    <n v="0"/>
    <s v="vlc"/>
    <s v="Indirect"/>
    <n v="1011"/>
    <x v="7"/>
    <s v="Old"/>
    <d v="2025-07-12T00:00:00"/>
    <n v="1263.8"/>
    <n v="43157.31"/>
    <n v="947.84999999999991"/>
    <n v="1200.6099999999999"/>
    <n v="0"/>
    <n v="1294.7193"/>
    <n v="94.109300000000076"/>
    <n v="126.38"/>
    <n v="1051.7817410730988"/>
    <n v="970"/>
    <n v="0"/>
    <n v="0"/>
    <n v="0"/>
    <n v="0"/>
    <n v="0"/>
    <n v="970"/>
    <n v="0"/>
    <n v="970"/>
    <s v="Release"/>
  </r>
  <r>
    <n v="0"/>
    <n v="0"/>
    <n v="0"/>
    <x v="431"/>
    <x v="426"/>
    <n v="0"/>
    <s v="vlc"/>
    <s v="Indirect"/>
    <n v="1011"/>
    <x v="7"/>
    <s v="Old"/>
    <d v="2025-07-11T00:00:00"/>
    <n v="725.39999999999986"/>
    <n v="27527.41"/>
    <n v="544.04999999999995"/>
    <n v="689.12999999999988"/>
    <n v="0"/>
    <n v="825.82229999999993"/>
    <n v="136.69230000000005"/>
    <n v="72.539999999999992"/>
    <n v="1160.3333333597022"/>
    <n v="0"/>
    <n v="0"/>
    <n v="0"/>
    <n v="0"/>
    <n v="0"/>
    <n v="0"/>
    <n v="0"/>
    <n v="0"/>
    <n v="0"/>
    <s v="Release"/>
  </r>
  <r>
    <n v="90000"/>
    <n v="0"/>
    <n v="90000"/>
    <x v="432"/>
    <x v="427"/>
    <n v="0"/>
    <s v="MPG"/>
    <s v="Direct"/>
    <n v="1011"/>
    <x v="7"/>
    <s v="Old"/>
    <d v="2025-07-31T00:00:00"/>
    <n v="841.80000000000018"/>
    <n v="31365.71"/>
    <n v="631.35000000000014"/>
    <n v="799.71000000000015"/>
    <n v="0"/>
    <n v="940.97129999999993"/>
    <n v="141.26129999999978"/>
    <n v="84.180000000000021"/>
    <n v="378.9173397856764"/>
    <n v="968"/>
    <n v="968"/>
    <n v="0"/>
    <n v="0"/>
    <n v="0"/>
    <n v="0"/>
    <n v="0"/>
    <n v="0"/>
    <n v="0"/>
    <s v="Release"/>
  </r>
  <r>
    <n v="0"/>
    <n v="0"/>
    <n v="0"/>
    <x v="433"/>
    <x v="428"/>
    <n v="0"/>
    <s v="vlc"/>
    <s v="Indirect"/>
    <n v="1011"/>
    <x v="7"/>
    <s v="Old"/>
    <d v="2025-07-25T00:00:00"/>
    <n v="884.05"/>
    <n v="32805.71"/>
    <n v="663.03749999999991"/>
    <n v="839.84749999999997"/>
    <n v="0"/>
    <n v="984.17129999999997"/>
    <n v="144.32380000000001"/>
    <n v="88.405000000000001"/>
    <n v="1414.4378616517274"/>
    <n v="0"/>
    <n v="0"/>
    <n v="0"/>
    <n v="0"/>
    <n v="0"/>
    <n v="0"/>
    <n v="0"/>
    <n v="0"/>
    <n v="0"/>
    <s v="Release"/>
  </r>
  <r>
    <n v="0"/>
    <n v="0"/>
    <n v="0"/>
    <x v="434"/>
    <x v="429"/>
    <n v="0"/>
    <s v="vlc"/>
    <s v="Indirect"/>
    <n v="1012"/>
    <x v="12"/>
    <s v="Old"/>
    <d v="2019-06-06T00:00:00"/>
    <n v="1283.3500000000001"/>
    <n v="50859.520000000004"/>
    <n v="962.51250000000005"/>
    <n v="1219.1825000000001"/>
    <n v="0"/>
    <n v="1525.7856000000002"/>
    <n v="306.60310000000004"/>
    <n v="128.33500000000001"/>
    <n v="1211.5806293138187"/>
    <n v="842"/>
    <n v="0"/>
    <n v="0"/>
    <n v="0"/>
    <n v="0"/>
    <n v="348.52"/>
    <n v="493"/>
    <n v="0"/>
    <n v="493"/>
    <s v="Release"/>
  </r>
  <r>
    <n v="0"/>
    <n v="0"/>
    <n v="0"/>
    <x v="435"/>
    <x v="430"/>
    <n v="0"/>
    <s v="vlc"/>
    <s v="Indirect"/>
    <n v="1012"/>
    <x v="12"/>
    <s v="Old"/>
    <d v="2019-06-06T00:00:00"/>
    <n v="2088.2199999999998"/>
    <n v="82200.26999999999"/>
    <n v="1566.165"/>
    <n v="1983.8089999999997"/>
    <n v="0"/>
    <n v="2466.0080999999996"/>
    <n v="482.19909999999982"/>
    <n v="208.822"/>
    <n v="570.56088154871247"/>
    <n v="2771"/>
    <n v="0"/>
    <n v="0"/>
    <n v="0"/>
    <n v="0"/>
    <n v="0"/>
    <n v="2771"/>
    <n v="0"/>
    <n v="2771"/>
    <s v="Release"/>
  </r>
  <r>
    <n v="0"/>
    <n v="0"/>
    <n v="0"/>
    <x v="436"/>
    <x v="431"/>
    <n v="0"/>
    <s v="vlc"/>
    <s v="Indirect"/>
    <n v="1012"/>
    <x v="12"/>
    <s v="Old"/>
    <d v="2019-07-25T00:00:00"/>
    <n v="1221.8"/>
    <n v="33359.49"/>
    <n v="916.34999999999991"/>
    <n v="1160.7099999999998"/>
    <n v="0"/>
    <n v="1000.7846999999999"/>
    <n v="-159.92529999999988"/>
    <n v="122.18"/>
    <n v="862.48323769471301"/>
    <n v="1092"/>
    <n v="0"/>
    <n v="0"/>
    <n v="0"/>
    <n v="0"/>
    <n v="413.5"/>
    <n v="679"/>
    <n v="0"/>
    <n v="679"/>
    <s v="Release"/>
  </r>
  <r>
    <n v="22992.506934753037"/>
    <n v="0"/>
    <n v="22992.506934753037"/>
    <x v="437"/>
    <x v="432"/>
    <n v="0"/>
    <s v="MPG"/>
    <s v="Direct"/>
    <n v="1012"/>
    <x v="12"/>
    <s v="Old"/>
    <d v="2019-08-01T00:00:00"/>
    <n v="1940.21"/>
    <n v="72226.560000000012"/>
    <n v="1455.1575"/>
    <n v="1843.1994999999999"/>
    <n v="0"/>
    <n v="2166.7968000000001"/>
    <n v="323.59730000000013"/>
    <n v="194.02100000000002"/>
    <n v="638.31722919945423"/>
    <n v="2466"/>
    <n v="1861"/>
    <n v="0"/>
    <n v="0"/>
    <n v="0"/>
    <n v="0"/>
    <n v="605"/>
    <n v="0"/>
    <n v="605"/>
    <s v="Release"/>
  </r>
  <r>
    <n v="0"/>
    <n v="0"/>
    <n v="0"/>
    <x v="438"/>
    <x v="433"/>
    <n v="0"/>
    <s v="MPG"/>
    <s v="Direct"/>
    <n v="1012"/>
    <x v="12"/>
    <s v="Old"/>
    <d v="2019-09-23T00:00:00"/>
    <n v="1222.2799999999997"/>
    <n v="47656.23"/>
    <n v="916.70999999999981"/>
    <n v="1161.1659999999997"/>
    <n v="747.21764762500004"/>
    <n v="1429.6869000000002"/>
    <n v="268.52090000000044"/>
    <n v="122.22799999999998"/>
    <n v="1232.0113704838727"/>
    <n v="1471"/>
    <n v="0"/>
    <n v="0"/>
    <n v="0"/>
    <n v="0"/>
    <n v="0"/>
    <n v="1471"/>
    <n v="0"/>
    <n v="1471"/>
    <s v="Release"/>
  </r>
  <r>
    <n v="0"/>
    <n v="0"/>
    <n v="0"/>
    <x v="439"/>
    <x v="434"/>
    <n v="0"/>
    <s v="MPG"/>
    <s v="Direct"/>
    <n v="1012"/>
    <x v="12"/>
    <s v="Old"/>
    <d v="2019-09-23T00:00:00"/>
    <n v="4965.92"/>
    <n v="208710.80000000005"/>
    <n v="3724.44"/>
    <n v="4717.6239999999998"/>
    <n v="2879.5710018360005"/>
    <n v="6261.3240000000014"/>
    <n v="1543.7000000000016"/>
    <n v="496.59200000000004"/>
    <n v="0"/>
    <n v="10825"/>
    <n v="0"/>
    <n v="0"/>
    <n v="0"/>
    <n v="0"/>
    <n v="0"/>
    <n v="10825"/>
    <n v="0"/>
    <n v="10825"/>
    <s v="Release"/>
  </r>
  <r>
    <n v="0"/>
    <n v="0"/>
    <n v="0"/>
    <x v="440"/>
    <x v="435"/>
    <n v="0"/>
    <s v="vlc"/>
    <s v="Indirect"/>
    <n v="1012"/>
    <x v="12"/>
    <s v="Old"/>
    <d v="2019-10-18T00:00:00"/>
    <n v="155.21"/>
    <n v="5163.71"/>
    <n v="116.4075"/>
    <n v="147.4495"/>
    <n v="0"/>
    <n v="154.91129999999998"/>
    <n v="7.4617999999999824"/>
    <n v="15.521000000000001"/>
    <n v="248.2985930036798"/>
    <n v="0"/>
    <n v="0"/>
    <n v="0"/>
    <n v="0"/>
    <n v="0"/>
    <n v="0"/>
    <n v="0"/>
    <n v="0"/>
    <n v="0"/>
    <s v="Release"/>
  </r>
  <r>
    <n v="0"/>
    <n v="0"/>
    <n v="0"/>
    <x v="441"/>
    <x v="436"/>
    <n v="0"/>
    <s v="vlc"/>
    <s v="Indirect"/>
    <n v="1012"/>
    <x v="12"/>
    <s v="Old"/>
    <d v="2020-03-13T00:00:00"/>
    <n v="7763.42"/>
    <n v="331241.03000000003"/>
    <n v="5822.5650000000005"/>
    <n v="7375.2489999999998"/>
    <n v="0"/>
    <n v="9937.2309000000005"/>
    <n v="2561.9819000000007"/>
    <n v="776.3420000000001"/>
    <n v="0"/>
    <n v="12421"/>
    <n v="0"/>
    <n v="0"/>
    <n v="0"/>
    <n v="0"/>
    <n v="464.8"/>
    <n v="11956"/>
    <n v="11956"/>
    <n v="0"/>
    <s v="Yes"/>
  </r>
  <r>
    <n v="0"/>
    <n v="0"/>
    <n v="0"/>
    <x v="442"/>
    <x v="437"/>
    <n v="0"/>
    <s v="vlc"/>
    <s v="Indirect"/>
    <n v="1012"/>
    <x v="12"/>
    <s v="Old"/>
    <d v="2020-03-27T00:00:00"/>
    <n v="1725.17"/>
    <n v="70291.92"/>
    <n v="1293.8775000000001"/>
    <n v="1638.9114999999999"/>
    <n v="0"/>
    <n v="2108.7575999999999"/>
    <n v="469.84609999999998"/>
    <n v="172.51700000000002"/>
    <n v="879.56954530017276"/>
    <n v="1881"/>
    <n v="0"/>
    <n v="0"/>
    <n v="0"/>
    <n v="0"/>
    <n v="0"/>
    <n v="1881"/>
    <n v="0"/>
    <n v="1881"/>
    <s v="Release"/>
  </r>
  <r>
    <n v="0"/>
    <n v="0"/>
    <n v="0"/>
    <x v="443"/>
    <x v="438"/>
    <n v="0"/>
    <s v="MPG"/>
    <s v="Direct"/>
    <n v="1012"/>
    <x v="12"/>
    <s v="Old"/>
    <d v="2020-04-03T00:00:00"/>
    <n v="3198.2200000000003"/>
    <n v="142803.51"/>
    <n v="2398.665"/>
    <n v="3038.3090000000002"/>
    <n v="1940.3501243544001"/>
    <n v="4284.1053000000002"/>
    <n v="1245.7963"/>
    <n v="319.82200000000006"/>
    <n v="0"/>
    <n v="7058"/>
    <n v="0"/>
    <n v="0"/>
    <n v="0"/>
    <n v="0"/>
    <n v="109.80000000000001"/>
    <n v="6948"/>
    <n v="0"/>
    <n v="6948"/>
    <s v="Release"/>
  </r>
  <r>
    <n v="0"/>
    <n v="0"/>
    <n v="0"/>
    <x v="444"/>
    <x v="439"/>
    <n v="0"/>
    <s v="vlc"/>
    <s v="Indirect"/>
    <n v="1012"/>
    <x v="12"/>
    <s v="Old"/>
    <d v="2020-04-14T00:00:00"/>
    <n v="1671.21"/>
    <n v="52446.770000000004"/>
    <n v="1253.4075"/>
    <n v="1587.6495"/>
    <n v="0"/>
    <n v="1573.4031"/>
    <n v="-14.246399999999994"/>
    <n v="167.12100000000001"/>
    <n v="704.19113577664189"/>
    <n v="1970"/>
    <n v="0"/>
    <n v="0"/>
    <n v="0"/>
    <n v="0"/>
    <n v="362.20000000000005"/>
    <n v="1608"/>
    <n v="0"/>
    <n v="1608"/>
    <s v="Release"/>
  </r>
  <r>
    <n v="0"/>
    <n v="0"/>
    <n v="0"/>
    <x v="445"/>
    <x v="440"/>
    <n v="0"/>
    <s v="MPG"/>
    <s v="Direct"/>
    <n v="1012"/>
    <x v="12"/>
    <s v="Old"/>
    <d v="2020-04-15T00:00:00"/>
    <n v="4623.2299999999996"/>
    <n v="192041.25999999998"/>
    <n v="3467.4224999999997"/>
    <n v="4392.0684999999994"/>
    <n v="904.099311048"/>
    <n v="5761.237799999999"/>
    <n v="1369.1692999999996"/>
    <n v="462.32299999999998"/>
    <n v="0"/>
    <n v="8301"/>
    <n v="0"/>
    <n v="0"/>
    <n v="0"/>
    <n v="0"/>
    <n v="0"/>
    <n v="8301"/>
    <n v="0"/>
    <n v="8301"/>
    <s v="Release"/>
  </r>
  <r>
    <n v="0"/>
    <n v="0"/>
    <n v="0"/>
    <x v="446"/>
    <x v="288"/>
    <n v="0"/>
    <s v="MPG"/>
    <s v="Direct"/>
    <n v="1012"/>
    <x v="12"/>
    <s v="Old"/>
    <d v="2020-04-21T00:00:00"/>
    <n v="4724.0300000000007"/>
    <n v="181303.88999999998"/>
    <n v="3543.0225000000005"/>
    <n v="4487.8285000000005"/>
    <n v="0"/>
    <n v="5439.1166999999996"/>
    <n v="951.28819999999905"/>
    <n v="472.40300000000008"/>
    <n v="0"/>
    <n v="7558"/>
    <n v="0"/>
    <n v="0"/>
    <n v="0"/>
    <n v="0"/>
    <n v="496.1"/>
    <n v="7062"/>
    <n v="0"/>
    <n v="7062"/>
    <s v="Release"/>
  </r>
  <r>
    <n v="34887.451360650244"/>
    <n v="0"/>
    <n v="34887.451360650244"/>
    <x v="447"/>
    <x v="441"/>
    <n v="0"/>
    <s v="MPG"/>
    <s v="Direct"/>
    <n v="1012"/>
    <x v="12"/>
    <s v="Old"/>
    <d v="2020-10-16T00:00:00"/>
    <n v="1019.1800000000001"/>
    <n v="36607.909999999996"/>
    <n v="764.38499999999999"/>
    <n v="968.221"/>
    <n v="384.52834750019997"/>
    <n v="1098.2372999999998"/>
    <n v="130.01629999999977"/>
    <n v="101.91800000000001"/>
    <n v="1282.8622786526039"/>
    <n v="732"/>
    <n v="0"/>
    <n v="0"/>
    <n v="0"/>
    <n v="0"/>
    <n v="625.95000000000005"/>
    <n v="106"/>
    <n v="0"/>
    <n v="106"/>
    <s v="Release"/>
  </r>
  <r>
    <n v="0"/>
    <n v="0"/>
    <n v="0"/>
    <x v="448"/>
    <x v="442"/>
    <n v="0"/>
    <s v="MPG"/>
    <s v="Direct"/>
    <n v="1012"/>
    <x v="12"/>
    <s v="Old"/>
    <d v="2020-10-31T00:00:00"/>
    <n v="2154.9699999999998"/>
    <n v="83708.989999999991"/>
    <n v="1616.2275"/>
    <n v="2047.2214999999997"/>
    <n v="0"/>
    <n v="2511.2696999999998"/>
    <n v="464.04820000000018"/>
    <n v="215.49699999999999"/>
    <n v="501.6595975111843"/>
    <n v="2946"/>
    <n v="0"/>
    <n v="0"/>
    <n v="0"/>
    <n v="0"/>
    <n v="316.55"/>
    <n v="2629"/>
    <n v="0"/>
    <n v="2629"/>
    <s v="Release"/>
  </r>
  <r>
    <n v="0"/>
    <n v="22400"/>
    <n v="22400"/>
    <x v="449"/>
    <x v="443"/>
    <n v="0"/>
    <s v="MPG"/>
    <s v="Direct"/>
    <n v="1012"/>
    <x v="12"/>
    <s v="Old"/>
    <d v="2020-11-27T00:00:00"/>
    <n v="3419.01"/>
    <n v="128955.59999999999"/>
    <n v="2564.2575000000002"/>
    <n v="3248.0594999999998"/>
    <n v="6539.2665901408991"/>
    <n v="3868.6679999999997"/>
    <n v="620.60849999999982"/>
    <n v="341.90100000000007"/>
    <n v="0"/>
    <n v="12010"/>
    <n v="0"/>
    <n v="2579.1120000000001"/>
    <n v="0"/>
    <n v="0"/>
    <n v="0"/>
    <n v="9431"/>
    <n v="0"/>
    <n v="9431"/>
    <s v="Release"/>
  </r>
  <r>
    <n v="35018"/>
    <n v="0"/>
    <n v="35018"/>
    <x v="450"/>
    <x v="444"/>
    <n v="0"/>
    <s v="MPG"/>
    <s v="Direct"/>
    <n v="1012"/>
    <x v="12"/>
    <s v="Old"/>
    <d v="2020-11-30T00:00:00"/>
    <n v="779.91000000000008"/>
    <n v="30441.289999999997"/>
    <n v="584.93250000000012"/>
    <n v="740.91450000000009"/>
    <n v="484.33910309200002"/>
    <n v="913.23869999999988"/>
    <n v="172.32419999999979"/>
    <n v="77.991000000000014"/>
    <n v="1580.2342482545828"/>
    <n v="152"/>
    <n v="152"/>
    <n v="0"/>
    <n v="0"/>
    <n v="0"/>
    <n v="0"/>
    <n v="0"/>
    <n v="0"/>
    <n v="0"/>
    <s v="Release"/>
  </r>
  <r>
    <n v="0"/>
    <n v="0"/>
    <n v="0"/>
    <x v="451"/>
    <x v="445"/>
    <n v="0"/>
    <s v="vlc"/>
    <s v="Indirect"/>
    <n v="1012"/>
    <x v="12"/>
    <s v="Old"/>
    <d v="2020-12-19T00:00:00"/>
    <n v="36.330000000000005"/>
    <n v="1229.5900000000001"/>
    <n v="27.247500000000002"/>
    <n v="34.513500000000001"/>
    <n v="0"/>
    <n v="36.887700000000002"/>
    <n v="2.3742000000000019"/>
    <n v="3.6330000000000009"/>
    <n v="58.579447615153867"/>
    <n v="0"/>
    <n v="0"/>
    <n v="0"/>
    <n v="0"/>
    <n v="0"/>
    <n v="0"/>
    <n v="0"/>
    <n v="0"/>
    <n v="0"/>
    <s v="Release"/>
  </r>
  <r>
    <n v="0"/>
    <n v="0"/>
    <n v="0"/>
    <x v="452"/>
    <x v="446"/>
    <n v="0"/>
    <s v="vlc"/>
    <s v="Indirect"/>
    <n v="1012"/>
    <x v="12"/>
    <s v="Old"/>
    <d v="2020-12-19T00:00:00"/>
    <n v="433.08000000000004"/>
    <n v="15404.850000000002"/>
    <n v="324.81000000000006"/>
    <n v="411.42600000000004"/>
    <n v="0"/>
    <n v="462.14550000000003"/>
    <n v="50.719499999999982"/>
    <n v="43.308000000000007"/>
    <n v="692.86138473214987"/>
    <n v="0"/>
    <n v="0"/>
    <n v="0"/>
    <n v="0"/>
    <n v="0"/>
    <n v="0"/>
    <n v="0"/>
    <n v="0"/>
    <n v="0"/>
    <s v="Release"/>
  </r>
  <r>
    <n v="0"/>
    <n v="0"/>
    <n v="0"/>
    <x v="453"/>
    <x v="447"/>
    <n v="0"/>
    <s v="vlc"/>
    <s v="Indirect"/>
    <n v="1012"/>
    <x v="12"/>
    <s v="Old"/>
    <d v="2020-12-25T00:00:00"/>
    <n v="607.4"/>
    <n v="21530.76"/>
    <n v="455.54999999999995"/>
    <n v="577.03"/>
    <n v="0"/>
    <n v="645.92279999999994"/>
    <n v="68.892799999999966"/>
    <n v="60.74"/>
    <n v="971.34347525059297"/>
    <n v="0"/>
    <n v="0"/>
    <n v="0"/>
    <n v="0"/>
    <n v="0"/>
    <n v="0"/>
    <n v="0"/>
    <n v="0"/>
    <n v="0"/>
    <s v="Release"/>
  </r>
  <r>
    <n v="0"/>
    <n v="0"/>
    <n v="0"/>
    <x v="454"/>
    <x v="448"/>
    <n v="0"/>
    <s v="vlc"/>
    <s v="Indirect"/>
    <n v="1012"/>
    <x v="12"/>
    <s v="Old"/>
    <d v="2020-12-25T00:00:00"/>
    <n v="455.15000000000003"/>
    <n v="13510.84"/>
    <n v="341.36250000000001"/>
    <n v="432.39249999999998"/>
    <n v="0"/>
    <n v="405.3252"/>
    <n v="-27.067299999999989"/>
    <n v="45.515000000000008"/>
    <n v="728.6072960358415"/>
    <n v="0"/>
    <n v="0"/>
    <n v="0"/>
    <n v="0"/>
    <n v="0"/>
    <n v="0"/>
    <n v="0"/>
    <n v="0"/>
    <n v="0"/>
    <s v="Release"/>
  </r>
  <r>
    <n v="0"/>
    <n v="0"/>
    <n v="0"/>
    <x v="455"/>
    <x v="449"/>
    <n v="0"/>
    <s v="MPG"/>
    <s v="Direct"/>
    <n v="1012"/>
    <x v="12"/>
    <s v="Old"/>
    <d v="2021-09-14T00:00:00"/>
    <n v="7667.09"/>
    <n v="308633.60000000003"/>
    <n v="5750.3175000000001"/>
    <n v="7283.7354999999998"/>
    <n v="2702.8280481520001"/>
    <n v="9259.0079999999998"/>
    <n v="1975.2725"/>
    <n v="766.70900000000006"/>
    <n v="0"/>
    <n v="14970"/>
    <n v="0"/>
    <n v="0"/>
    <n v="0"/>
    <n v="0"/>
    <n v="581.80000000000007"/>
    <n v="14388"/>
    <n v="0"/>
    <n v="14388"/>
    <s v="Release"/>
  </r>
  <r>
    <n v="0"/>
    <n v="0"/>
    <n v="0"/>
    <x v="456"/>
    <x v="450"/>
    <n v="0"/>
    <s v="vlc"/>
    <s v="Indirect"/>
    <n v="1012"/>
    <x v="12"/>
    <s v="Old"/>
    <d v="2022-01-10T00:00:00"/>
    <n v="213.25"/>
    <n v="6259.5399999999991"/>
    <n v="159.9375"/>
    <n v="202.58749999999998"/>
    <n v="0"/>
    <n v="187.78619999999995"/>
    <n v="-14.801300000000026"/>
    <n v="21.325000000000003"/>
    <n v="340.75308546283941"/>
    <n v="0"/>
    <n v="0"/>
    <n v="0"/>
    <n v="0"/>
    <n v="0"/>
    <n v="0"/>
    <n v="0"/>
    <n v="0"/>
    <n v="0"/>
    <s v="Release"/>
  </r>
  <r>
    <n v="2721.6893041877775"/>
    <n v="22400"/>
    <n v="25121.689304187777"/>
    <x v="457"/>
    <x v="451"/>
    <n v="0"/>
    <s v="MPG"/>
    <s v="Direct"/>
    <n v="1012"/>
    <x v="12"/>
    <s v="Old"/>
    <d v="2022-06-17T00:00:00"/>
    <n v="2472.2600000000002"/>
    <n v="98070.76"/>
    <n v="1854.1950000000002"/>
    <n v="2348.6469999999999"/>
    <n v="989.17622475560006"/>
    <n v="2942.1227999999996"/>
    <n v="593.47579999999971"/>
    <n v="247.22600000000003"/>
    <n v="285.30819107463407"/>
    <n v="4659"/>
    <n v="1961.4151999999999"/>
    <n v="0"/>
    <n v="0"/>
    <n v="0"/>
    <n v="0"/>
    <n v="2698"/>
    <n v="0"/>
    <n v="2698"/>
    <s v="Release"/>
  </r>
  <r>
    <n v="45582.532378476666"/>
    <n v="15002.6684822721"/>
    <n v="60585.200860748766"/>
    <x v="458"/>
    <x v="452"/>
    <n v="0"/>
    <s v="MPG"/>
    <s v="Direct"/>
    <n v="1012"/>
    <x v="12"/>
    <s v="Old"/>
    <d v="2022-08-03T00:00:00"/>
    <n v="853.86"/>
    <n v="40097.760000000002"/>
    <n v="640.39499999999998"/>
    <n v="811.16700000000003"/>
    <n v="425.12800959799995"/>
    <n v="1202.9328"/>
    <n v="391.76580000000001"/>
    <n v="85.38600000000001"/>
    <n v="1791.3628421752176"/>
    <n v="0"/>
    <n v="0"/>
    <n v="0"/>
    <n v="0"/>
    <n v="0"/>
    <n v="0"/>
    <n v="0"/>
    <n v="0"/>
    <n v="0"/>
    <s v="Release"/>
  </r>
  <r>
    <n v="0"/>
    <n v="9499"/>
    <n v="9499"/>
    <x v="459"/>
    <x v="453"/>
    <n v="0"/>
    <s v="MPG"/>
    <s v="Direct"/>
    <n v="1012"/>
    <x v="12"/>
    <s v="Old"/>
    <d v="2022-10-01T00:00:00"/>
    <n v="541.31000000000006"/>
    <n v="23832.989999999998"/>
    <n v="405.98250000000007"/>
    <n v="514.24450000000002"/>
    <n v="499.18042198094997"/>
    <n v="714.98969999999986"/>
    <n v="200.74519999999984"/>
    <n v="54.131000000000007"/>
    <n v="1365.6124097731836"/>
    <n v="0"/>
    <n v="0"/>
    <n v="0"/>
    <n v="0"/>
    <n v="0"/>
    <n v="0"/>
    <n v="0"/>
    <n v="0"/>
    <n v="0"/>
    <s v="Release"/>
  </r>
  <r>
    <n v="5208.9854515758052"/>
    <n v="15208.8497711328"/>
    <n v="20417.835222708607"/>
    <x v="460"/>
    <x v="454"/>
    <n v="0"/>
    <s v="MPG"/>
    <s v="Direct"/>
    <n v="1012"/>
    <x v="12"/>
    <s v="Old"/>
    <d v="2023-01-16T00:00:00"/>
    <n v="349.59000000000003"/>
    <n v="12776.210000000001"/>
    <n v="262.1925"/>
    <n v="332.1105"/>
    <n v="0"/>
    <n v="383.28630000000004"/>
    <n v="51.175800000000038"/>
    <n v="34.959000000000003"/>
    <n v="559.5920220822145"/>
    <n v="0"/>
    <n v="0"/>
    <n v="0"/>
    <n v="0"/>
    <n v="0"/>
    <n v="0"/>
    <n v="0"/>
    <n v="0"/>
    <n v="0"/>
    <s v="Release"/>
  </r>
  <r>
    <n v="0"/>
    <n v="0"/>
    <n v="0"/>
    <x v="461"/>
    <x v="455"/>
    <n v="0"/>
    <s v="vlc"/>
    <s v="Indirect"/>
    <n v="1012"/>
    <x v="12"/>
    <s v="Old"/>
    <d v="2023-01-17T00:00:00"/>
    <n v="1411.35"/>
    <n v="60397.67"/>
    <n v="1058.5124999999998"/>
    <n v="1340.7824999999998"/>
    <n v="0"/>
    <n v="1811.9300999999998"/>
    <n v="471.14760000000001"/>
    <n v="141.13499999999999"/>
    <n v="1189.711910199981"/>
    <n v="1068"/>
    <n v="0"/>
    <n v="0"/>
    <n v="0"/>
    <n v="0"/>
    <n v="290.90000000000003"/>
    <n v="777"/>
    <n v="0"/>
    <n v="777"/>
    <s v="Release"/>
  </r>
  <r>
    <n v="70975.160600000003"/>
    <n v="0"/>
    <n v="70975.160600000003"/>
    <x v="462"/>
    <x v="456"/>
    <n v="0"/>
    <s v="MPG"/>
    <s v="Direct"/>
    <n v="1012"/>
    <x v="12"/>
    <s v="Old"/>
    <d v="2023-07-19T00:00:00"/>
    <n v="291.20999999999998"/>
    <n v="11401.990000000002"/>
    <n v="218.40749999999997"/>
    <n v="276.64949999999999"/>
    <n v="0"/>
    <n v="342.05970000000002"/>
    <n v="65.410200000000032"/>
    <n v="29.120999999999999"/>
    <n v="465.81962541465032"/>
    <n v="0"/>
    <n v="0"/>
    <n v="0"/>
    <n v="0"/>
    <n v="0"/>
    <n v="0"/>
    <n v="0"/>
    <n v="0"/>
    <n v="0"/>
    <s v="Release"/>
  </r>
  <r>
    <n v="18.950063053169288"/>
    <n v="0"/>
    <n v="18.950063053169288"/>
    <x v="463"/>
    <x v="457"/>
    <n v="0"/>
    <s v="MPG"/>
    <s v="Direct"/>
    <n v="1012"/>
    <x v="12"/>
    <s v="Old"/>
    <d v="2023-08-04T00:00:00"/>
    <n v="3060.63"/>
    <n v="118812.69"/>
    <n v="2295.4724999999999"/>
    <n v="2907.5985000000001"/>
    <n v="1731.1381946580002"/>
    <n v="3564.3807000000002"/>
    <n v="656.7822000000001"/>
    <n v="306.06300000000005"/>
    <n v="0"/>
    <n v="6628"/>
    <n v="18.950063053169288"/>
    <n v="0"/>
    <n v="0"/>
    <n v="0"/>
    <n v="0"/>
    <n v="6609"/>
    <n v="0"/>
    <n v="6609"/>
    <s v="Release"/>
  </r>
  <r>
    <n v="0"/>
    <n v="0"/>
    <n v="0"/>
    <x v="464"/>
    <x v="458"/>
    <n v="0"/>
    <s v="vlc"/>
    <s v="Indirect"/>
    <n v="1012"/>
    <x v="12"/>
    <s v="Old"/>
    <d v="2022-12-20T00:00:00"/>
    <n v="604.43000000000006"/>
    <n v="20771.099999999999"/>
    <n v="453.32250000000005"/>
    <n v="574.20850000000007"/>
    <n v="0"/>
    <n v="623.13299999999992"/>
    <n v="48.924499999999853"/>
    <n v="60.443000000000012"/>
    <n v="967.10845690727638"/>
    <n v="0"/>
    <n v="0"/>
    <n v="0"/>
    <n v="0"/>
    <n v="0"/>
    <n v="0"/>
    <n v="0"/>
    <n v="0"/>
    <n v="0"/>
    <s v="Release"/>
  </r>
  <r>
    <n v="0"/>
    <n v="0"/>
    <n v="0"/>
    <x v="465"/>
    <x v="459"/>
    <n v="0"/>
    <s v="vlc"/>
    <s v="Indirect"/>
    <n v="1012"/>
    <x v="12"/>
    <s v="Old"/>
    <d v="2023-05-12T00:00:00"/>
    <n v="2577.83"/>
    <n v="113185.76999999999"/>
    <n v="1933.3724999999999"/>
    <n v="2448.9384999999997"/>
    <n v="0"/>
    <n v="3395.5730999999996"/>
    <n v="946.63459999999986"/>
    <n v="257.78300000000002"/>
    <n v="235.09216312110345"/>
    <n v="3889"/>
    <n v="0"/>
    <n v="0"/>
    <n v="0"/>
    <n v="0"/>
    <n v="283.70000000000005"/>
    <n v="3605"/>
    <n v="0"/>
    <n v="3605"/>
    <s v="Release"/>
  </r>
  <r>
    <n v="0"/>
    <n v="0"/>
    <n v="0"/>
    <x v="466"/>
    <x v="460"/>
    <n v="0"/>
    <s v="vlc"/>
    <s v="Indirect"/>
    <n v="1012"/>
    <x v="12"/>
    <s v="Old"/>
    <d v="2023-01-31T00:00:00"/>
    <n v="13762.15"/>
    <n v="583486.23"/>
    <n v="10321.612499999999"/>
    <n v="13074.0425"/>
    <n v="0"/>
    <n v="17504.586899999998"/>
    <n v="4430.5443999999989"/>
    <n v="1376.2150000000001"/>
    <n v="0"/>
    <n v="22019"/>
    <n v="0"/>
    <n v="0"/>
    <n v="0"/>
    <n v="0"/>
    <n v="0"/>
    <n v="22019"/>
    <n v="0"/>
    <n v="22019"/>
    <s v="Release"/>
  </r>
  <r>
    <n v="59167.426163487777"/>
    <n v="0"/>
    <n v="59167.426163487777"/>
    <x v="467"/>
    <x v="461"/>
    <n v="0"/>
    <s v="MPG"/>
    <s v="Direct"/>
    <n v="1012"/>
    <x v="12"/>
    <s v="Old"/>
    <d v="2023-10-27T00:00:00"/>
    <n v="1624.0300000000002"/>
    <n v="68128.59"/>
    <n v="1218.0225"/>
    <n v="1542.8285000000001"/>
    <n v="0"/>
    <n v="2043.8576999999998"/>
    <n v="501.02919999999972"/>
    <n v="162.40300000000002"/>
    <n v="986.343876158076"/>
    <n v="1612"/>
    <n v="1612"/>
    <n v="0"/>
    <n v="0"/>
    <n v="0"/>
    <n v="0"/>
    <n v="0"/>
    <n v="0"/>
    <n v="0"/>
    <s v="Release"/>
  </r>
  <r>
    <n v="0"/>
    <n v="0"/>
    <n v="0"/>
    <x v="468"/>
    <x v="462"/>
    <n v="0"/>
    <s v="MPG"/>
    <s v="Direct"/>
    <n v="1012"/>
    <x v="12"/>
    <s v="Old"/>
    <d v="2023-11-10T00:00:00"/>
    <n v="4614.76"/>
    <n v="183168.17000000004"/>
    <n v="3461.07"/>
    <n v="4384.0219999999999"/>
    <n v="1048.5469079013999"/>
    <n v="5495.0451000000012"/>
    <n v="1111.0231000000013"/>
    <n v="461.47600000000006"/>
    <n v="0"/>
    <n v="8432"/>
    <n v="0"/>
    <n v="0"/>
    <n v="0"/>
    <n v="0"/>
    <n v="404.3"/>
    <n v="8028"/>
    <n v="0"/>
    <n v="8028"/>
    <s v="Release"/>
  </r>
  <r>
    <n v="56658.627188145634"/>
    <n v="0"/>
    <n v="56658.627188145634"/>
    <x v="469"/>
    <x v="463"/>
    <n v="0"/>
    <s v="MPG"/>
    <s v="Direct"/>
    <n v="1012"/>
    <x v="12"/>
    <s v="Old"/>
    <d v="2023-10-27T00:00:00"/>
    <n v="1221.07"/>
    <n v="49361.659999999996"/>
    <n v="915.80250000000001"/>
    <n v="1160.0165"/>
    <n v="81.819999999999993"/>
    <n v="1480.8497999999997"/>
    <n v="320.83329999999978"/>
    <n v="122.107"/>
    <n v="1280.616682277122"/>
    <n v="755"/>
    <n v="755"/>
    <n v="0"/>
    <n v="0"/>
    <n v="0"/>
    <n v="0"/>
    <n v="0"/>
    <n v="0"/>
    <n v="0"/>
    <s v="Release"/>
  </r>
  <r>
    <n v="64806.05770357632"/>
    <n v="0"/>
    <n v="64806.05770357632"/>
    <x v="470"/>
    <x v="464"/>
    <n v="0"/>
    <s v="MPG"/>
    <s v="Direct"/>
    <n v="1012"/>
    <x v="12"/>
    <s v="Old"/>
    <d v="2023-10-27T00:00:00"/>
    <n v="941.44"/>
    <n v="33767.82"/>
    <n v="706.08"/>
    <n v="894.36800000000005"/>
    <n v="0"/>
    <n v="1013.0346"/>
    <n v="118.6665999999999"/>
    <n v="94.144000000000005"/>
    <n v="1323.4185761564929"/>
    <n v="183"/>
    <n v="183"/>
    <n v="0"/>
    <n v="0"/>
    <n v="0"/>
    <n v="0"/>
    <n v="0"/>
    <n v="0"/>
    <n v="0"/>
    <s v="Release"/>
  </r>
  <r>
    <n v="0"/>
    <n v="0"/>
    <n v="0"/>
    <x v="471"/>
    <x v="465"/>
    <n v="0"/>
    <s v="vlc"/>
    <s v="Indirect"/>
    <n v="1012"/>
    <x v="12"/>
    <s v="Old"/>
    <d v="2023-11-30T00:00:00"/>
    <n v="12052"/>
    <n v="471806.04000000004"/>
    <n v="9039"/>
    <n v="11449.4"/>
    <n v="0"/>
    <n v="14154.181200000001"/>
    <n v="2704.7812000000013"/>
    <n v="1205.2"/>
    <n v="0"/>
    <n v="19283"/>
    <n v="0"/>
    <n v="0"/>
    <n v="0"/>
    <n v="0"/>
    <n v="0"/>
    <n v="19283"/>
    <n v="0"/>
    <n v="19283"/>
    <s v="Release"/>
  </r>
  <r>
    <n v="42543.139444125976"/>
    <n v="0"/>
    <n v="42543.139444125976"/>
    <x v="472"/>
    <x v="466"/>
    <n v="0"/>
    <s v="MPG"/>
    <s v="Direct"/>
    <n v="1012"/>
    <x v="12"/>
    <s v="Old"/>
    <d v="2024-02-01T00:00:00"/>
    <n v="1025.8800000000001"/>
    <n v="38146.060000000005"/>
    <n v="769.41000000000008"/>
    <n v="974.58600000000001"/>
    <n v="1147.6311265398001"/>
    <n v="1144.3818000000001"/>
    <n v="169.7958000000001"/>
    <n v="102.58800000000002"/>
    <n v="1317.0511157793649"/>
    <n v="1472"/>
    <n v="1472"/>
    <n v="0"/>
    <n v="0"/>
    <n v="0"/>
    <n v="0"/>
    <n v="0"/>
    <n v="0"/>
    <n v="0"/>
    <s v="Release"/>
  </r>
  <r>
    <n v="0"/>
    <n v="0"/>
    <n v="0"/>
    <x v="473"/>
    <x v="467"/>
    <n v="0"/>
    <s v="vlc"/>
    <s v="Indirect"/>
    <n v="1012"/>
    <x v="12"/>
    <s v="Old"/>
    <d v="2024-02-01T00:00:00"/>
    <n v="881.96"/>
    <n v="33593.349999999991"/>
    <n v="661.47"/>
    <n v="837.86199999999997"/>
    <n v="0"/>
    <n v="1007.8004999999997"/>
    <n v="169.93849999999975"/>
    <n v="88.196000000000012"/>
    <n v="1411.0390734320749"/>
    <n v="0"/>
    <n v="0"/>
    <n v="0"/>
    <n v="0"/>
    <n v="0"/>
    <n v="0"/>
    <n v="0"/>
    <n v="0"/>
    <n v="0"/>
    <s v="Release"/>
  </r>
  <r>
    <n v="82048"/>
    <n v="0"/>
    <n v="82048"/>
    <x v="474"/>
    <x v="468"/>
    <n v="0"/>
    <s v="MPG"/>
    <s v="Direct"/>
    <n v="1012"/>
    <x v="12"/>
    <s v="Old"/>
    <d v="2024-05-01T00:00:00"/>
    <n v="2607.5000000000005"/>
    <n v="104152.12"/>
    <n v="1955.6250000000005"/>
    <n v="2477.1250000000005"/>
    <n v="25.311646404000001"/>
    <n v="3124.5636"/>
    <n v="647.4385999999995"/>
    <n v="260.75000000000006"/>
    <n v="260.4502149552751"/>
    <n v="3937"/>
    <n v="2083.0423999999998"/>
    <n v="0"/>
    <n v="0"/>
    <n v="0"/>
    <n v="0"/>
    <n v="1854"/>
    <n v="0"/>
    <n v="1854"/>
    <s v="Release"/>
  </r>
  <r>
    <n v="58037.850566233596"/>
    <n v="0"/>
    <n v="58037.850566233596"/>
    <x v="475"/>
    <x v="469"/>
    <n v="0"/>
    <s v="MPG"/>
    <s v="Direct"/>
    <n v="1012"/>
    <x v="12"/>
    <s v="Old"/>
    <d v="2024-06-19T00:00:00"/>
    <n v="553.73"/>
    <n v="21288.04"/>
    <n v="415.29750000000001"/>
    <n v="526.04349999999999"/>
    <n v="323.72376844454999"/>
    <n v="638.64120000000003"/>
    <n v="112.59770000000003"/>
    <n v="55.373000000000005"/>
    <n v="1210.0023375709443"/>
    <n v="0"/>
    <n v="0"/>
    <n v="0"/>
    <n v="0"/>
    <n v="0"/>
    <n v="0"/>
    <n v="0"/>
    <n v="0"/>
    <n v="0"/>
    <s v="Release"/>
  </r>
  <r>
    <n v="0"/>
    <n v="0"/>
    <n v="0"/>
    <x v="476"/>
    <x v="470"/>
    <n v="0"/>
    <s v="vlc"/>
    <s v="Indirect"/>
    <n v="1012"/>
    <x v="12"/>
    <s v="Old"/>
    <d v="2024-08-22T00:00:00"/>
    <n v="3417.87"/>
    <n v="125901.25"/>
    <n v="2563.4025000000001"/>
    <n v="3246.9764999999998"/>
    <n v="0"/>
    <n v="3777.0374999999999"/>
    <n v="530.06100000000015"/>
    <n v="341.78700000000003"/>
    <n v="187.17193486506196"/>
    <n v="5281"/>
    <n v="0"/>
    <n v="0"/>
    <n v="0"/>
    <n v="0"/>
    <n v="0"/>
    <n v="5281"/>
    <n v="0"/>
    <n v="5281"/>
    <s v="Release"/>
  </r>
  <r>
    <n v="27569.064238938387"/>
    <n v="0"/>
    <n v="27569.064238938387"/>
    <x v="477"/>
    <x v="471"/>
    <n v="0"/>
    <s v="MPG"/>
    <s v="Direct"/>
    <n v="1012"/>
    <x v="12"/>
    <s v="Old"/>
    <d v="2024-08-26T00:00:00"/>
    <n v="2928.0100000000007"/>
    <n v="129405.52"/>
    <n v="2196.0075000000006"/>
    <n v="2781.6095000000005"/>
    <n v="0"/>
    <n v="3882.1655999999998"/>
    <n v="1100.5560999999993"/>
    <n v="292.8010000000001"/>
    <n v="272.18068584112916"/>
    <n v="4413"/>
    <n v="2588.1104"/>
    <n v="0"/>
    <n v="1825"/>
    <n v="0"/>
    <n v="0"/>
    <n v="0"/>
    <n v="0"/>
    <n v="0"/>
    <s v="Release"/>
  </r>
  <r>
    <n v="45348.694964418901"/>
    <n v="0"/>
    <n v="45348.694964418901"/>
    <x v="478"/>
    <x v="472"/>
    <n v="0"/>
    <s v="MPG"/>
    <s v="Direct"/>
    <n v="1012"/>
    <x v="12"/>
    <s v="Old"/>
    <d v="2024-09-01T00:00:00"/>
    <n v="5069.97"/>
    <n v="227946.22"/>
    <n v="3802.4775"/>
    <n v="4816.4714999999997"/>
    <n v="155.73938240581003"/>
    <n v="6838.3865999999998"/>
    <n v="2021.9151000000002"/>
    <n v="506.99700000000007"/>
    <n v="0"/>
    <n v="8268"/>
    <n v="4558.9243999999999"/>
    <n v="0"/>
    <n v="0"/>
    <n v="0"/>
    <n v="671.60000000000014"/>
    <n v="3037"/>
    <n v="0"/>
    <n v="3037"/>
    <s v="Release"/>
  </r>
  <r>
    <n v="0"/>
    <n v="0"/>
    <n v="0"/>
    <x v="479"/>
    <x v="473"/>
    <n v="0"/>
    <s v="vlc"/>
    <s v="Indirect"/>
    <n v="1012"/>
    <x v="12"/>
    <s v="Old"/>
    <d v="2024-08-25T00:00:00"/>
    <n v="3846.9000000000005"/>
    <n v="158829.82999999999"/>
    <n v="2885.1750000000002"/>
    <n v="3654.5550000000003"/>
    <n v="0"/>
    <n v="4764.8948999999993"/>
    <n v="1110.339899999999"/>
    <n v="384.69000000000005"/>
    <n v="0"/>
    <n v="6155"/>
    <n v="0"/>
    <n v="0"/>
    <n v="0"/>
    <n v="0"/>
    <n v="0"/>
    <n v="6155"/>
    <n v="0"/>
    <n v="6155"/>
    <s v="Release"/>
  </r>
  <r>
    <n v="80167"/>
    <n v="0"/>
    <n v="80167"/>
    <x v="480"/>
    <x v="474"/>
    <n v="0"/>
    <s v="MPG"/>
    <s v="Direct"/>
    <n v="1012"/>
    <x v="12"/>
    <s v="Old"/>
    <d v="2024-12-23T00:00:00"/>
    <n v="1869.52"/>
    <n v="70288.66"/>
    <n v="1402.1399999999999"/>
    <n v="1776.0439999999999"/>
    <n v="182.47023068000004"/>
    <n v="2108.6597999999999"/>
    <n v="332.61580000000004"/>
    <n v="186.952"/>
    <n v="697.67108276855322"/>
    <n v="2476"/>
    <n v="1861"/>
    <n v="0"/>
    <n v="0"/>
    <n v="0"/>
    <n v="161.10000000000002"/>
    <n v="454"/>
    <n v="454"/>
    <n v="0"/>
    <s v="Yes"/>
  </r>
  <r>
    <n v="89834"/>
    <n v="0"/>
    <n v="89834"/>
    <x v="481"/>
    <x v="475"/>
    <n v="0"/>
    <s v="MPG"/>
    <s v="Direct"/>
    <n v="1012"/>
    <x v="12"/>
    <s v="Old"/>
    <d v="2024-12-05T00:00:00"/>
    <n v="460.49"/>
    <n v="19920.099999999999"/>
    <n v="345.36750000000001"/>
    <n v="437.46549999999996"/>
    <n v="294.6429024857365"/>
    <n v="597.60299999999995"/>
    <n v="160.13749999999999"/>
    <n v="46.049000000000007"/>
    <n v="1031.5585124279062"/>
    <n v="0"/>
    <n v="0"/>
    <n v="0"/>
    <n v="0"/>
    <n v="0"/>
    <n v="0"/>
    <n v="0"/>
    <n v="0"/>
    <n v="0"/>
    <s v="Release"/>
  </r>
  <r>
    <n v="75003.407937868804"/>
    <n v="0"/>
    <n v="75003.407937868804"/>
    <x v="482"/>
    <x v="476"/>
    <n v="0"/>
    <s v="MPG"/>
    <s v="Direct"/>
    <n v="1012"/>
    <x v="12"/>
    <s v="Old"/>
    <d v="2024-12-27T00:00:00"/>
    <n v="1415.31"/>
    <n v="57897.5"/>
    <n v="1061.4825000000001"/>
    <n v="1344.5445"/>
    <n v="1656.3882537916002"/>
    <n v="1736.925"/>
    <n v="392.38049999999998"/>
    <n v="141.53100000000001"/>
    <n v="1134.1081784195835"/>
    <n v="2787"/>
    <n v="1861"/>
    <n v="0"/>
    <n v="0"/>
    <n v="0"/>
    <n v="0"/>
    <n v="926"/>
    <n v="0"/>
    <n v="926"/>
    <s v="Release"/>
  </r>
  <r>
    <n v="71248.585304002656"/>
    <n v="0"/>
    <n v="71248.585304002656"/>
    <x v="483"/>
    <x v="477"/>
    <n v="0"/>
    <s v="MPG"/>
    <s v="Direct"/>
    <n v="1012"/>
    <x v="12"/>
    <s v="Old"/>
    <d v="2025-01-09T00:00:00"/>
    <n v="2932.84"/>
    <n v="139943.31"/>
    <n v="2199.63"/>
    <n v="2786.1979999999999"/>
    <n v="0"/>
    <n v="4198.2992999999997"/>
    <n v="1412.1012999999998"/>
    <n v="293.28400000000005"/>
    <n v="111.14492077278172"/>
    <n v="4581"/>
    <n v="2798.8661999999999"/>
    <n v="0"/>
    <n v="0"/>
    <n v="0"/>
    <n v="671.60000000000014"/>
    <n v="1111"/>
    <n v="1111"/>
    <n v="0"/>
    <s v="Yes"/>
  </r>
  <r>
    <n v="88948"/>
    <n v="0"/>
    <n v="88948"/>
    <x v="484"/>
    <x v="478"/>
    <n v="0"/>
    <s v="MPG"/>
    <s v="Direct"/>
    <n v="1012"/>
    <x v="12"/>
    <s v="Old"/>
    <d v="2025-02-17T00:00:00"/>
    <n v="1012.05"/>
    <n v="42347.340000000004"/>
    <n v="759.03749999999991"/>
    <n v="961.44749999999988"/>
    <n v="0"/>
    <n v="1270.4202"/>
    <n v="308.97270000000015"/>
    <n v="101.205"/>
    <n v="1490.7424070371744"/>
    <n v="129"/>
    <n v="0"/>
    <n v="0"/>
    <n v="0"/>
    <n v="0"/>
    <n v="129"/>
    <n v="0"/>
    <n v="0"/>
    <n v="0"/>
    <s v="Release"/>
  </r>
  <r>
    <n v="0"/>
    <n v="0"/>
    <n v="0"/>
    <x v="485"/>
    <x v="479"/>
    <n v="0"/>
    <s v="vlc"/>
    <s v="Indirect"/>
    <n v="1012"/>
    <x v="12"/>
    <s v="Old"/>
    <d v="2025-01-07T00:00:00"/>
    <n v="10334.81"/>
    <n v="417368.15"/>
    <n v="7751.1075000000001"/>
    <n v="9818.0694999999996"/>
    <n v="0"/>
    <n v="12521.0445"/>
    <n v="2702.9750000000004"/>
    <n v="1033.481"/>
    <n v="0"/>
    <n v="16536"/>
    <n v="0"/>
    <n v="0"/>
    <n v="0"/>
    <n v="0"/>
    <n v="0"/>
    <n v="16536"/>
    <n v="0"/>
    <n v="16536"/>
    <s v="Release"/>
  </r>
  <r>
    <n v="0"/>
    <n v="0"/>
    <n v="0"/>
    <x v="486"/>
    <x v="480"/>
    <n v="0"/>
    <s v="vlc"/>
    <s v="Indirect"/>
    <n v="1012"/>
    <x v="12"/>
    <s v="Old"/>
    <d v="2025-02-27T00:00:00"/>
    <n v="11844.5"/>
    <n v="450545.24"/>
    <n v="8883.375"/>
    <n v="11252.275"/>
    <n v="0"/>
    <n v="13516.357199999999"/>
    <n v="2264.0821999999989"/>
    <n v="1184.45"/>
    <n v="0"/>
    <n v="18951"/>
    <n v="0"/>
    <n v="0"/>
    <n v="0"/>
    <n v="0"/>
    <n v="0"/>
    <n v="18951"/>
    <n v="0"/>
    <n v="18951"/>
    <s v="Release"/>
  </r>
  <r>
    <n v="0"/>
    <n v="0"/>
    <n v="0"/>
    <x v="487"/>
    <x v="481"/>
    <n v="0"/>
    <s v="vlc"/>
    <s v="Indirect"/>
    <n v="1012"/>
    <x v="12"/>
    <s v="Old"/>
    <d v="2025-03-27T00:00:00"/>
    <n v="8810"/>
    <n v="341452.66"/>
    <n v="6607.5"/>
    <n v="8369.5"/>
    <n v="0"/>
    <n v="10243.5798"/>
    <n v="1874.0797999999995"/>
    <n v="881"/>
    <n v="0"/>
    <n v="14096"/>
    <n v="0"/>
    <n v="0"/>
    <n v="0"/>
    <n v="0"/>
    <n v="0"/>
    <n v="14096"/>
    <n v="0"/>
    <n v="14096"/>
    <s v="Release"/>
  </r>
  <r>
    <n v="66493.313408117276"/>
    <n v="0"/>
    <n v="66493.313408117276"/>
    <x v="488"/>
    <x v="482"/>
    <n v="0"/>
    <s v="MPG"/>
    <s v="Direct"/>
    <n v="1012"/>
    <x v="12"/>
    <s v="Old"/>
    <d v="2025-05-16T00:00:00"/>
    <n v="1859.1799999999998"/>
    <n v="75290.709999999992"/>
    <n v="1394.3849999999998"/>
    <n v="1766.2209999999998"/>
    <n v="422.409989172"/>
    <n v="2258.7212999999997"/>
    <n v="492.50029999999992"/>
    <n v="185.91800000000001"/>
    <n v="762.142009172445"/>
    <n v="2635"/>
    <n v="1861"/>
    <n v="0"/>
    <n v="0"/>
    <n v="0"/>
    <n v="0"/>
    <n v="774"/>
    <n v="774"/>
    <n v="0"/>
    <s v="Yes"/>
  </r>
  <r>
    <n v="97706"/>
    <n v="0"/>
    <n v="97706"/>
    <x v="489"/>
    <x v="483"/>
    <n v="0"/>
    <s v="MPG"/>
    <s v="Direct"/>
    <n v="1012"/>
    <x v="12"/>
    <s v="Old"/>
    <d v="2025-05-01T00:00:00"/>
    <n v="109.75000000000001"/>
    <n v="3654.79"/>
    <n v="82.312500000000014"/>
    <n v="104.2625"/>
    <n v="0"/>
    <n v="109.6437"/>
    <n v="5.3811999999999927"/>
    <n v="10.975000000000001"/>
    <n v="175.67065256088063"/>
    <n v="0"/>
    <n v="0"/>
    <n v="0"/>
    <n v="0"/>
    <n v="0"/>
    <n v="0"/>
    <n v="0"/>
    <n v="0"/>
    <n v="0"/>
    <s v="Release"/>
  </r>
  <r>
    <n v="0"/>
    <n v="0"/>
    <n v="0"/>
    <x v="490"/>
    <x v="484"/>
    <n v="0"/>
    <s v="vlc"/>
    <s v="Indirect"/>
    <n v="1012"/>
    <x v="12"/>
    <s v="Old"/>
    <d v="2025-05-06T00:00:00"/>
    <n v="4146.8999999999996"/>
    <n v="162390.46000000002"/>
    <n v="3110.1749999999997"/>
    <n v="3939.5549999999994"/>
    <n v="0"/>
    <n v="4871.7138000000004"/>
    <n v="932.15880000000107"/>
    <n v="414.69"/>
    <n v="428.17200000000003"/>
    <n v="6207"/>
    <n v="0"/>
    <n v="0"/>
    <n v="0"/>
    <n v="0"/>
    <n v="0"/>
    <n v="6207"/>
    <n v="0"/>
    <n v="6207"/>
    <s v="Release"/>
  </r>
  <r>
    <n v="88347.004199999996"/>
    <n v="0"/>
    <n v="88347.004199999996"/>
    <x v="491"/>
    <x v="485"/>
    <n v="0"/>
    <s v="MPG"/>
    <s v="Direct"/>
    <n v="1012"/>
    <x v="12"/>
    <s v="Old"/>
    <d v="2025-05-21T00:00:00"/>
    <n v="3914.33"/>
    <n v="154212.34000000003"/>
    <n v="2935.7474999999999"/>
    <n v="3718.6134999999999"/>
    <n v="0"/>
    <n v="4626.3702000000003"/>
    <n v="907.75670000000036"/>
    <n v="391.43299999999999"/>
    <n v="0"/>
    <n v="6263"/>
    <n v="3084.2468000000008"/>
    <n v="0"/>
    <n v="0"/>
    <n v="0"/>
    <n v="605.90000000000009"/>
    <n v="2573"/>
    <n v="2573"/>
    <n v="0"/>
    <s v="Yes"/>
  </r>
  <r>
    <n v="100000"/>
    <n v="0"/>
    <n v="100000"/>
    <x v="492"/>
    <x v="486"/>
    <n v="0"/>
    <s v="MPG"/>
    <s v="Direct"/>
    <n v="1012"/>
    <x v="12"/>
    <s v="Old"/>
    <d v="2025-07-31T00:00:00"/>
    <n v="1137.79"/>
    <n v="45257.5"/>
    <n v="853.34249999999997"/>
    <n v="1080.9005"/>
    <n v="0"/>
    <n v="1357.7249999999999"/>
    <n v="276.82449999999994"/>
    <n v="113.779"/>
    <n v="1321.0871928638232"/>
    <n v="499"/>
    <n v="499"/>
    <n v="0"/>
    <n v="0"/>
    <n v="0"/>
    <n v="0"/>
    <n v="0"/>
    <n v="0"/>
    <n v="0"/>
    <s v="Release"/>
  </r>
  <r>
    <n v="0"/>
    <n v="0"/>
    <n v="0"/>
    <x v="493"/>
    <x v="487"/>
    <n v="0"/>
    <s v="vlc"/>
    <s v="Indirect"/>
    <n v="1012"/>
    <x v="12"/>
    <s v="Old"/>
    <d v="2025-06-21T00:00:00"/>
    <n v="4023.3499999999995"/>
    <n v="146345.35999999999"/>
    <n v="3017.5124999999998"/>
    <n v="3822.1824999999994"/>
    <n v="0"/>
    <n v="4390.3607999999995"/>
    <n v="568.17830000000004"/>
    <n v="402.33499999999998"/>
    <n v="113.65038871320226"/>
    <n v="6324"/>
    <n v="0"/>
    <n v="0"/>
    <n v="0"/>
    <n v="0"/>
    <n v="0"/>
    <n v="6324"/>
    <n v="0"/>
    <n v="6324"/>
    <s v="Release"/>
  </r>
  <r>
    <n v="100000"/>
    <n v="0"/>
    <n v="100000"/>
    <x v="494"/>
    <x v="488"/>
    <n v="0"/>
    <s v="MPG"/>
    <s v="Direct"/>
    <n v="1012"/>
    <x v="12"/>
    <s v="New"/>
    <d v="2025-08-01T00:00:00"/>
    <n v="3387.0400000000004"/>
    <n v="139197.26"/>
    <n v="2540.2800000000002"/>
    <n v="3217.6880000000001"/>
    <n v="0"/>
    <n v="4175.9178000000002"/>
    <n v="958.22980000000007"/>
    <n v="338.70400000000006"/>
    <n v="0"/>
    <n v="5419"/>
    <n v="0"/>
    <n v="0"/>
    <n v="0"/>
    <n v="0"/>
    <n v="0"/>
    <n v="5419"/>
    <n v="5419"/>
    <n v="0"/>
    <s v="Yes"/>
  </r>
  <r>
    <n v="0"/>
    <n v="0"/>
    <n v="0"/>
    <x v="495"/>
    <x v="489"/>
    <n v="0"/>
    <s v="vlc"/>
    <s v="Indirect"/>
    <n v="1012"/>
    <x v="12"/>
    <s v="Old"/>
    <d v="2025-07-25T00:00:00"/>
    <n v="1210.8999999999999"/>
    <n v="51663.66"/>
    <n v="908.17499999999995"/>
    <n v="1150.3549999999998"/>
    <n v="0"/>
    <n v="1549.9098000000001"/>
    <n v="399.55480000000034"/>
    <n v="121.08999999999999"/>
    <n v="1352.4822291306773"/>
    <n v="585"/>
    <n v="0"/>
    <n v="0"/>
    <n v="0"/>
    <n v="0"/>
    <n v="0"/>
    <n v="585"/>
    <n v="0"/>
    <n v="585"/>
    <s v="Release"/>
  </r>
  <r>
    <n v="18912.434346102833"/>
    <n v="2012.4417999999987"/>
    <n v="20924.876146102833"/>
    <x v="496"/>
    <x v="490"/>
    <n v="0"/>
    <s v="MPG"/>
    <s v="Direct"/>
    <n v="1013"/>
    <x v="13"/>
    <s v="Old"/>
    <d v="2019-06-06T00:00:00"/>
    <n v="2212.8000000000002"/>
    <n v="84012.24"/>
    <n v="1659.6000000000001"/>
    <n v="2102.16"/>
    <n v="1061.825259086"/>
    <n v="2520.3672000000001"/>
    <n v="418.20720000000028"/>
    <n v="221.28000000000003"/>
    <n v="438.14984187372704"/>
    <n v="4164"/>
    <n v="1861"/>
    <n v="0"/>
    <n v="0"/>
    <n v="0"/>
    <n v="0"/>
    <n v="2303"/>
    <n v="0"/>
    <n v="2303"/>
    <s v="Release"/>
  </r>
  <r>
    <n v="0"/>
    <n v="13576.075400000002"/>
    <n v="13576.075400000002"/>
    <x v="497"/>
    <x v="491"/>
    <n v="0"/>
    <s v="vlc"/>
    <s v="Indirect"/>
    <n v="1013"/>
    <x v="13"/>
    <s v="Old"/>
    <d v="2019-10-18T00:00:00"/>
    <n v="325.2"/>
    <n v="12963.350000000002"/>
    <n v="243.89999999999998"/>
    <n v="308.94"/>
    <n v="0"/>
    <n v="388.90050000000008"/>
    <n v="79.960500000000081"/>
    <n v="32.520000000000003"/>
    <n v="520.06604034435964"/>
    <n v="0"/>
    <n v="0"/>
    <n v="0"/>
    <n v="0"/>
    <n v="0"/>
    <n v="0"/>
    <n v="0"/>
    <n v="0"/>
    <n v="0"/>
    <s v="Release"/>
  </r>
  <r>
    <n v="0"/>
    <n v="0"/>
    <n v="0"/>
    <x v="498"/>
    <x v="492"/>
    <n v="0"/>
    <s v="MPG"/>
    <s v="Direct"/>
    <n v="1013"/>
    <x v="13"/>
    <s v="Old"/>
    <d v="2019-10-18T00:00:00"/>
    <n v="502.69999999999993"/>
    <n v="17463.93"/>
    <n v="377.02499999999998"/>
    <n v="477.56499999999994"/>
    <n v="297.66420295"/>
    <n v="523.91790000000003"/>
    <n v="46.352900000000091"/>
    <n v="50.269999999999996"/>
    <n v="1102.0653992565312"/>
    <n v="0"/>
    <n v="0"/>
    <n v="0"/>
    <n v="0"/>
    <n v="0"/>
    <n v="0"/>
    <n v="0"/>
    <n v="0"/>
    <n v="0"/>
    <s v="Release"/>
  </r>
  <r>
    <n v="0"/>
    <n v="0"/>
    <n v="0"/>
    <x v="499"/>
    <x v="493"/>
    <n v="0"/>
    <s v="vlc"/>
    <s v="Indirect"/>
    <n v="1013"/>
    <x v="13"/>
    <s v="Old"/>
    <d v="2019-10-20T00:00:00"/>
    <n v="168.9"/>
    <n v="5725.1100000000006"/>
    <n v="126.67500000000001"/>
    <n v="160.45499999999998"/>
    <n v="0"/>
    <n v="171.75330000000002"/>
    <n v="11.29830000000004"/>
    <n v="16.89"/>
    <n v="270.66015435706231"/>
    <n v="0"/>
    <n v="0"/>
    <n v="0"/>
    <n v="0"/>
    <n v="0"/>
    <n v="0"/>
    <n v="0"/>
    <n v="0"/>
    <n v="0"/>
    <s v="Release"/>
  </r>
  <r>
    <n v="18844.876419788023"/>
    <n v="0"/>
    <n v="18844.876419788023"/>
    <x v="500"/>
    <x v="494"/>
    <n v="0"/>
    <s v="MPG"/>
    <s v="Direct"/>
    <n v="1013"/>
    <x v="13"/>
    <s v="Old"/>
    <d v="2019-11-17T00:00:00"/>
    <n v="2859.3"/>
    <n v="109867.66"/>
    <n v="2144.4750000000004"/>
    <n v="2716.335"/>
    <n v="861.6477255474"/>
    <n v="3296.0297999999998"/>
    <n v="579.69479999999976"/>
    <n v="285.93"/>
    <n v="69.459516455696175"/>
    <n v="5367"/>
    <n v="2197.3532"/>
    <n v="0"/>
    <n v="0"/>
    <n v="0"/>
    <n v="0"/>
    <n v="3170"/>
    <n v="0"/>
    <n v="3170"/>
    <s v="Release"/>
  </r>
  <r>
    <n v="0"/>
    <n v="6400"/>
    <n v="6400"/>
    <x v="501"/>
    <x v="495"/>
    <n v="0"/>
    <s v="MPG"/>
    <s v="Direct"/>
    <n v="1013"/>
    <x v="13"/>
    <s v="Old"/>
    <d v="2020-03-23T00:00:00"/>
    <n v="2383"/>
    <n v="97444.73"/>
    <n v="1787.25"/>
    <n v="2263.85"/>
    <n v="1277.2452296659601"/>
    <n v="2923.3418999999999"/>
    <n v="659.49189999999999"/>
    <n v="238.3"/>
    <n v="338.90963429202594"/>
    <n v="4751"/>
    <n v="0"/>
    <n v="1948.8945999999999"/>
    <n v="0"/>
    <n v="0"/>
    <n v="0"/>
    <n v="2802"/>
    <n v="0"/>
    <n v="2802"/>
    <s v="Release"/>
  </r>
  <r>
    <n v="0"/>
    <n v="1093.6411999999982"/>
    <n v="1093.6411999999982"/>
    <x v="502"/>
    <x v="496"/>
    <n v="0"/>
    <s v="MPG"/>
    <s v="Direct"/>
    <n v="1013"/>
    <x v="13"/>
    <s v="Old"/>
    <d v="2020-09-28T00:00:00"/>
    <n v="11863.099999999999"/>
    <n v="446783.95999999996"/>
    <n v="8897.3249999999989"/>
    <n v="11269.944999999998"/>
    <n v="5080.2953190800008"/>
    <n v="13403.518799999998"/>
    <n v="2133.5738000000001"/>
    <n v="1186.31"/>
    <n v="0"/>
    <n v="24061"/>
    <n v="0"/>
    <n v="1093.6411999999982"/>
    <n v="0"/>
    <n v="0"/>
    <n v="0"/>
    <n v="22967"/>
    <n v="0"/>
    <n v="22967"/>
    <s v="Release"/>
  </r>
  <r>
    <n v="0"/>
    <n v="0"/>
    <n v="0"/>
    <x v="503"/>
    <x v="497"/>
    <n v="0"/>
    <s v="vlc"/>
    <s v="Indirect"/>
    <n v="1013"/>
    <x v="13"/>
    <s v="Old"/>
    <d v="2020-10-19T00:00:00"/>
    <n v="149.80000000000001"/>
    <n v="5220.0200000000004"/>
    <n v="112.35000000000001"/>
    <n v="142.31"/>
    <n v="0"/>
    <n v="156.60060000000001"/>
    <n v="14.290600000000012"/>
    <n v="14.980000000000002"/>
    <n v="239.19219815736471"/>
    <n v="0"/>
    <n v="0"/>
    <n v="0"/>
    <n v="0"/>
    <n v="0"/>
    <n v="0"/>
    <n v="0"/>
    <n v="0"/>
    <n v="0"/>
    <s v="Release"/>
  </r>
  <r>
    <n v="0"/>
    <n v="0"/>
    <n v="0"/>
    <x v="504"/>
    <x v="498"/>
    <n v="0"/>
    <s v="vlc"/>
    <s v="Indirect"/>
    <n v="1013"/>
    <x v="13"/>
    <s v="Old"/>
    <d v="2020-10-31T00:00:00"/>
    <n v="614.29999999999995"/>
    <n v="26553.379999999997"/>
    <n v="460.72499999999997"/>
    <n v="583.58499999999992"/>
    <n v="0"/>
    <n v="796.6013999999999"/>
    <n v="213.01639999999998"/>
    <n v="61.43"/>
    <n v="983.00836935678421"/>
    <n v="0"/>
    <n v="0"/>
    <n v="0"/>
    <n v="0"/>
    <n v="0"/>
    <n v="0"/>
    <n v="0"/>
    <n v="0"/>
    <n v="0"/>
    <s v="Release"/>
  </r>
  <r>
    <n v="0"/>
    <n v="0"/>
    <n v="0"/>
    <x v="505"/>
    <x v="499"/>
    <n v="0"/>
    <s v="vlc"/>
    <s v="Indirect"/>
    <n v="1013"/>
    <x v="13"/>
    <s v="Old"/>
    <d v="2021-01-29T00:00:00"/>
    <n v="3010.7"/>
    <n v="114461.79000000001"/>
    <n v="2258.0249999999996"/>
    <n v="2860.1649999999995"/>
    <n v="0"/>
    <n v="3433.8537000000001"/>
    <n v="573.68870000000061"/>
    <n v="301.07"/>
    <n v="15.474371079369726"/>
    <n v="4802"/>
    <n v="0"/>
    <n v="0"/>
    <n v="4802"/>
    <n v="0"/>
    <n v="0"/>
    <n v="0"/>
    <n v="0"/>
    <n v="0"/>
    <s v="Release"/>
  </r>
  <r>
    <n v="0"/>
    <n v="1860.2047999999995"/>
    <n v="1860.2047999999995"/>
    <x v="506"/>
    <x v="500"/>
    <n v="0"/>
    <s v="vlc"/>
    <s v="Indirect"/>
    <n v="1013"/>
    <x v="13"/>
    <s v="Old"/>
    <d v="2021-03-01T00:00:00"/>
    <n v="82.5"/>
    <n v="3047.72"/>
    <n v="61.875"/>
    <n v="78.375"/>
    <n v="0"/>
    <n v="91.431599999999989"/>
    <n v="13.056599999999989"/>
    <n v="8.25"/>
    <n v="131.96380754716984"/>
    <n v="0"/>
    <n v="0"/>
    <n v="0"/>
    <n v="0"/>
    <n v="0"/>
    <n v="0"/>
    <n v="0"/>
    <n v="0"/>
    <n v="0"/>
    <s v="Release"/>
  </r>
  <r>
    <n v="0"/>
    <n v="0"/>
    <n v="0"/>
    <x v="507"/>
    <x v="501"/>
    <n v="0"/>
    <s v="vlc"/>
    <s v="Indirect"/>
    <n v="1013"/>
    <x v="13"/>
    <s v="Old"/>
    <d v="2022-05-18T00:00:00"/>
    <n v="2638.2999999999997"/>
    <n v="83429.17"/>
    <n v="1978.7249999999999"/>
    <n v="2506.3849999999998"/>
    <n v="0"/>
    <n v="2502.8750999999997"/>
    <n v="-3.509900000000016"/>
    <n v="263.83"/>
    <n v="162.3838794561851"/>
    <n v="4059"/>
    <n v="0"/>
    <n v="0"/>
    <n v="0"/>
    <n v="0"/>
    <n v="0"/>
    <n v="4059"/>
    <n v="0"/>
    <n v="4059"/>
    <s v="Release"/>
  </r>
  <r>
    <n v="0"/>
    <n v="0"/>
    <n v="0"/>
    <x v="508"/>
    <x v="502"/>
    <n v="0"/>
    <s v="vlc"/>
    <s v="Indirect"/>
    <n v="1013"/>
    <x v="13"/>
    <s v="Old"/>
    <d v="2022-06-12T00:00:00"/>
    <n v="1680.5"/>
    <n v="61813.49"/>
    <n v="1260.375"/>
    <n v="1596.4749999999999"/>
    <n v="0"/>
    <n v="1854.4046999999998"/>
    <n v="257.92969999999991"/>
    <n v="168.05"/>
    <n v="823.00678522173587"/>
    <n v="1866"/>
    <n v="0"/>
    <n v="0"/>
    <n v="0"/>
    <n v="0"/>
    <n v="0"/>
    <n v="1866"/>
    <n v="0"/>
    <n v="1866"/>
    <s v="Release"/>
  </r>
  <r>
    <n v="5790.0033114890248"/>
    <n v="9600"/>
    <n v="15390.003311489025"/>
    <x v="509"/>
    <x v="503"/>
    <n v="0"/>
    <s v="vlc"/>
    <s v="Indirect"/>
    <n v="1013"/>
    <x v="13"/>
    <s v="Old"/>
    <d v="2023-01-23T00:00:00"/>
    <n v="986.5"/>
    <n v="42522.66"/>
    <n v="739.875"/>
    <n v="937.17499999999995"/>
    <n v="0"/>
    <n v="1275.6798000000001"/>
    <n v="338.50480000000016"/>
    <n v="98.65"/>
    <n v="1568.1696877002028"/>
    <n v="10"/>
    <n v="10"/>
    <n v="0"/>
    <n v="0"/>
    <n v="0"/>
    <n v="0"/>
    <n v="0"/>
    <n v="0"/>
    <n v="0"/>
    <s v="Release"/>
  </r>
  <r>
    <n v="23611.452000000005"/>
    <n v="9600"/>
    <n v="33211.452000000005"/>
    <x v="510"/>
    <x v="288"/>
    <n v="0"/>
    <s v="MPG"/>
    <s v="Direct"/>
    <n v="1013"/>
    <x v="13"/>
    <s v="Old"/>
    <d v="2023-02-25T00:00:00"/>
    <n v="1231.4000000000001"/>
    <n v="48200.11"/>
    <n v="923.55000000000007"/>
    <n v="1169.83"/>
    <n v="370.28510903170007"/>
    <n v="1446.0032999999999"/>
    <n v="276.17329999999993"/>
    <n v="123.14000000000001"/>
    <n v="1251.3967964493913"/>
    <n v="1089"/>
    <n v="1089"/>
    <n v="0"/>
    <n v="0"/>
    <n v="0"/>
    <n v="0"/>
    <n v="0"/>
    <n v="0"/>
    <n v="0"/>
    <s v="Release"/>
  </r>
  <r>
    <n v="0"/>
    <n v="0"/>
    <n v="0"/>
    <x v="511"/>
    <x v="504"/>
    <n v="0"/>
    <s v="vlc"/>
    <s v="Indirect"/>
    <n v="1013"/>
    <x v="13"/>
    <s v="Old"/>
    <d v="2020-01-16T00:00:00"/>
    <n v="45.6"/>
    <n v="2770.84"/>
    <n v="34.200000000000003"/>
    <n v="43.32"/>
    <n v="0"/>
    <n v="83.125200000000007"/>
    <n v="39.805200000000006"/>
    <n v="4.5600000000000005"/>
    <n v="73.089964108992262"/>
    <n v="0"/>
    <n v="0"/>
    <n v="0"/>
    <n v="0"/>
    <n v="0"/>
    <n v="0"/>
    <n v="0"/>
    <n v="0"/>
    <n v="0"/>
    <s v="Release"/>
  </r>
  <r>
    <n v="0"/>
    <n v="6414.2723488617321"/>
    <n v="6414.2723488617321"/>
    <x v="512"/>
    <x v="505"/>
    <n v="0"/>
    <s v="MPG"/>
    <s v="Direct"/>
    <n v="1013"/>
    <x v="13"/>
    <s v="Old"/>
    <d v="2023-04-22T00:00:00"/>
    <n v="943.89999999999986"/>
    <n v="29789.229999999996"/>
    <n v="707.92499999999995"/>
    <n v="896.70499999999981"/>
    <n v="30.83"/>
    <n v="893.67689999999982"/>
    <n v="-3.0280999999999949"/>
    <n v="94.389999999999986"/>
    <n v="1162.5551125926179"/>
    <n v="379"/>
    <n v="0"/>
    <n v="379"/>
    <n v="0"/>
    <n v="0"/>
    <n v="0"/>
    <n v="0"/>
    <n v="0"/>
    <n v="0"/>
    <s v="Release"/>
  </r>
  <r>
    <n v="0"/>
    <n v="0"/>
    <n v="0"/>
    <x v="513"/>
    <x v="506"/>
    <n v="0"/>
    <s v="vlc"/>
    <s v="Indirect"/>
    <n v="1013"/>
    <x v="13"/>
    <s v="Old"/>
    <d v="2023-05-28T00:00:00"/>
    <n v="1336.2000000000003"/>
    <n v="49354.59"/>
    <n v="1002.1500000000002"/>
    <n v="1269.3900000000001"/>
    <n v="0"/>
    <n v="1480.6376999999998"/>
    <n v="211.24769999999967"/>
    <n v="133.62000000000003"/>
    <n v="1075.4175910351651"/>
    <n v="1063"/>
    <n v="0"/>
    <n v="0"/>
    <n v="0"/>
    <n v="0"/>
    <n v="0"/>
    <n v="1063"/>
    <n v="0"/>
    <n v="1063"/>
    <s v="Release"/>
  </r>
  <r>
    <n v="27916"/>
    <n v="6229"/>
    <n v="34145"/>
    <x v="514"/>
    <x v="507"/>
    <n v="0"/>
    <s v="MPG"/>
    <s v="Direct"/>
    <n v="1013"/>
    <x v="13"/>
    <s v="Old"/>
    <d v="2023-05-30T00:00:00"/>
    <n v="514.4"/>
    <n v="18321.010000000002"/>
    <n v="385.79999999999995"/>
    <n v="488.67999999999995"/>
    <n v="0"/>
    <n v="549.63030000000003"/>
    <n v="60.950300000000084"/>
    <n v="51.44"/>
    <n v="822.5742283652155"/>
    <n v="0"/>
    <n v="0"/>
    <n v="0"/>
    <n v="0"/>
    <n v="0"/>
    <n v="0"/>
    <n v="0"/>
    <n v="0"/>
    <n v="0"/>
    <s v="Release"/>
  </r>
  <r>
    <n v="0"/>
    <n v="0"/>
    <n v="0"/>
    <x v="515"/>
    <x v="508"/>
    <n v="0"/>
    <s v="vlc"/>
    <s v="Indirect"/>
    <n v="1013"/>
    <x v="13"/>
    <s v="Old"/>
    <d v="2023-08-13T00:00:00"/>
    <n v="14180.100000000002"/>
    <n v="395623.26"/>
    <n v="10635.075000000001"/>
    <n v="13471.095000000001"/>
    <n v="0"/>
    <n v="11868.6978"/>
    <n v="-1602.3972000000012"/>
    <n v="1418.0100000000002"/>
    <n v="0"/>
    <n v="22688"/>
    <n v="0"/>
    <n v="0"/>
    <n v="0"/>
    <n v="0"/>
    <n v="0"/>
    <n v="22688"/>
    <n v="0"/>
    <n v="22688"/>
    <s v="Release"/>
  </r>
  <r>
    <n v="0"/>
    <n v="0"/>
    <n v="0"/>
    <x v="516"/>
    <x v="509"/>
    <n v="0"/>
    <s v="vlc"/>
    <s v="Indirect"/>
    <n v="1013"/>
    <x v="13"/>
    <s v="Old"/>
    <d v="2022-12-16T00:00:00"/>
    <n v="280.89999999999998"/>
    <n v="9128.2199999999993"/>
    <n v="210.67499999999998"/>
    <n v="266.85499999999996"/>
    <n v="0"/>
    <n v="273.84659999999997"/>
    <n v="6.9916000000000054"/>
    <n v="28.09"/>
    <n v="449.04789939244756"/>
    <n v="0"/>
    <n v="0"/>
    <n v="0"/>
    <n v="0"/>
    <n v="0"/>
    <n v="0"/>
    <n v="0"/>
    <n v="0"/>
    <n v="0"/>
    <s v="Release"/>
  </r>
  <r>
    <n v="0"/>
    <n v="0"/>
    <n v="0"/>
    <x v="517"/>
    <x v="510"/>
    <n v="0"/>
    <s v="vlc"/>
    <s v="Indirect"/>
    <n v="1013"/>
    <x v="13"/>
    <s v="Old"/>
    <d v="2023-10-13T00:00:00"/>
    <n v="258.89999999999998"/>
    <n v="8796.8000000000011"/>
    <n v="194.17499999999998"/>
    <n v="245.95499999999996"/>
    <n v="0"/>
    <n v="263.904"/>
    <n v="17.949000000000041"/>
    <n v="25.89"/>
    <n v="414.04143298472468"/>
    <n v="0"/>
    <n v="0"/>
    <n v="0"/>
    <n v="0"/>
    <n v="0"/>
    <n v="0"/>
    <n v="0"/>
    <n v="0"/>
    <n v="0"/>
    <s v="Release"/>
  </r>
  <r>
    <n v="0"/>
    <n v="0"/>
    <n v="0"/>
    <x v="518"/>
    <x v="511"/>
    <n v="0"/>
    <s v="MPG"/>
    <s v="Indirect"/>
    <n v="1013"/>
    <x v="13"/>
    <s v="Old"/>
    <d v="2022-12-20T00:00:00"/>
    <n v="8356.1999999999989"/>
    <n v="366314.29"/>
    <n v="6267.15"/>
    <n v="7938.3899999999985"/>
    <n v="183.54"/>
    <n v="10989.428699999999"/>
    <n v="3051.0387000000001"/>
    <n v="835.61999999999989"/>
    <n v="0"/>
    <n v="13553"/>
    <n v="0"/>
    <n v="0"/>
    <n v="0"/>
    <n v="0"/>
    <n v="0"/>
    <n v="13553"/>
    <n v="0"/>
    <n v="13553"/>
    <s v="Release"/>
  </r>
  <r>
    <n v="51579.71061630937"/>
    <n v="0"/>
    <n v="51579.71061630937"/>
    <x v="519"/>
    <x v="512"/>
    <n v="0"/>
    <s v="MPG"/>
    <s v="Direct"/>
    <n v="1013"/>
    <x v="13"/>
    <s v="Old"/>
    <d v="2023-11-08T00:00:00"/>
    <n v="2092.4"/>
    <n v="89796.450000000012"/>
    <n v="1569.3000000000002"/>
    <n v="1987.78"/>
    <n v="1206.6192737355459"/>
    <n v="2693.8935000000001"/>
    <n v="706.11350000000016"/>
    <n v="209.24"/>
    <n v="607.62214200889321"/>
    <n v="3947"/>
    <n v="1861"/>
    <n v="0"/>
    <n v="0"/>
    <n v="0"/>
    <n v="0"/>
    <n v="2086"/>
    <n v="0"/>
    <n v="2086"/>
    <s v="Release"/>
  </r>
  <r>
    <n v="65608.551200000002"/>
    <n v="0"/>
    <n v="65608.551200000002"/>
    <x v="520"/>
    <x v="513"/>
    <n v="0"/>
    <s v="MPG"/>
    <s v="Direct"/>
    <n v="1013"/>
    <x v="13"/>
    <s v="Old"/>
    <d v="2023-11-02T00:00:00"/>
    <n v="757.2"/>
    <n v="31835"/>
    <n v="567.90000000000009"/>
    <n v="719.34"/>
    <n v="510.74323298800005"/>
    <n v="955.05"/>
    <n v="235.70999999999992"/>
    <n v="75.720000000000013"/>
    <n v="1718.87884122374"/>
    <n v="3"/>
    <n v="3"/>
    <n v="0"/>
    <n v="0"/>
    <n v="0"/>
    <n v="0"/>
    <n v="0"/>
    <n v="0"/>
    <n v="0"/>
    <s v="Release"/>
  </r>
  <r>
    <n v="49234.91007628497"/>
    <n v="0"/>
    <n v="49234.91007628497"/>
    <x v="521"/>
    <x v="514"/>
    <n v="0"/>
    <s v="MPG"/>
    <s v="Direct"/>
    <n v="1013"/>
    <x v="13"/>
    <s v="Old"/>
    <d v="2024-04-10T00:00:00"/>
    <n v="5406.2000000000007"/>
    <n v="199736.5"/>
    <n v="4054.6500000000005"/>
    <n v="5135.8900000000003"/>
    <n v="2007.7543423942002"/>
    <n v="5992.0949999999993"/>
    <n v="856.20499999999902"/>
    <n v="540.62000000000012"/>
    <n v="0"/>
    <n v="10658"/>
    <n v="3994.73"/>
    <n v="0"/>
    <n v="0"/>
    <n v="6663"/>
    <n v="0"/>
    <n v="0"/>
    <n v="0"/>
    <n v="0"/>
    <s v="Release"/>
  </r>
  <r>
    <n v="62717.571842063029"/>
    <n v="0"/>
    <n v="62717.571842063029"/>
    <x v="522"/>
    <x v="515"/>
    <n v="0"/>
    <s v="MPG"/>
    <s v="Direct"/>
    <n v="1013"/>
    <x v="13"/>
    <s v="Old"/>
    <d v="2024-04-10T00:00:00"/>
    <n v="3847.7999999999997"/>
    <n v="153914.18"/>
    <n v="2885.85"/>
    <n v="3655.4099999999994"/>
    <n v="709.22262450320011"/>
    <n v="4617.4253999999992"/>
    <n v="962.01539999999977"/>
    <n v="384.78"/>
    <n v="0"/>
    <n v="6866"/>
    <n v="3078.2835999999998"/>
    <n v="0"/>
    <n v="0"/>
    <n v="0"/>
    <n v="0"/>
    <n v="3788"/>
    <n v="0"/>
    <n v="3788"/>
    <s v="Release"/>
  </r>
  <r>
    <n v="0"/>
    <n v="0"/>
    <n v="0"/>
    <x v="523"/>
    <x v="516"/>
    <n v="0"/>
    <s v="vlc"/>
    <s v="Indirect"/>
    <n v="1013"/>
    <x v="13"/>
    <s v="Old"/>
    <d v="2024-04-30T00:00:00"/>
    <n v="1173.8"/>
    <n v="41565.86"/>
    <n v="880.34999999999991"/>
    <n v="1115.1099999999999"/>
    <n v="0"/>
    <n v="1246.9757999999999"/>
    <n v="131.86580000000004"/>
    <n v="117.38"/>
    <n v="1151.1505231723834"/>
    <n v="727"/>
    <n v="0"/>
    <n v="0"/>
    <n v="0"/>
    <n v="0"/>
    <n v="0"/>
    <n v="727"/>
    <n v="0"/>
    <n v="727"/>
    <s v="Release"/>
  </r>
  <r>
    <n v="0"/>
    <n v="0"/>
    <n v="0"/>
    <x v="524"/>
    <x v="517"/>
    <n v="0"/>
    <s v="vlc"/>
    <s v="Indirect"/>
    <n v="1013"/>
    <x v="13"/>
    <s v="Old"/>
    <d v="2024-06-01T00:00:00"/>
    <n v="743.20000000000016"/>
    <n v="22790.3"/>
    <n v="557.40000000000009"/>
    <n v="706.04000000000008"/>
    <n v="0"/>
    <n v="683.70899999999995"/>
    <n v="-22.331000000000131"/>
    <n v="74.320000000000022"/>
    <n v="1188.929717607457"/>
    <n v="0"/>
    <n v="0"/>
    <n v="0"/>
    <n v="0"/>
    <n v="0"/>
    <n v="0"/>
    <n v="0"/>
    <n v="0"/>
    <n v="0"/>
    <s v="Release"/>
  </r>
  <r>
    <n v="0"/>
    <n v="0"/>
    <n v="0"/>
    <x v="525"/>
    <x v="518"/>
    <n v="0"/>
    <s v="vlc"/>
    <s v="Indirect"/>
    <n v="1013"/>
    <x v="13"/>
    <s v="Old"/>
    <d v="2024-05-28T00:00:00"/>
    <n v="1545.1"/>
    <n v="63860.899999999994"/>
    <n v="1158.8249999999998"/>
    <n v="1467.8449999999998"/>
    <n v="0"/>
    <n v="1915.8269999999998"/>
    <n v="447.98199999999997"/>
    <n v="154.51"/>
    <n v="1040.0737793027188"/>
    <n v="1432"/>
    <n v="0"/>
    <n v="0"/>
    <n v="0"/>
    <n v="0"/>
    <n v="0"/>
    <n v="1432"/>
    <n v="0"/>
    <n v="1432"/>
    <s v="Release"/>
  </r>
  <r>
    <n v="69089.140916285483"/>
    <n v="0"/>
    <n v="69089.140916285483"/>
    <x v="526"/>
    <x v="519"/>
    <n v="0"/>
    <s v="MPG"/>
    <s v="Direct"/>
    <n v="1013"/>
    <x v="13"/>
    <s v="Old"/>
    <d v="2024-09-01T00:00:00"/>
    <n v="1364.8999999999999"/>
    <n v="55761.240000000005"/>
    <n v="1023.675"/>
    <n v="1296.6549999999997"/>
    <n v="8.2106164800000005"/>
    <n v="1672.8372000000002"/>
    <n v="376.18220000000042"/>
    <n v="136.48999999999998"/>
    <n v="1173.959412754828"/>
    <n v="1018"/>
    <n v="1018"/>
    <n v="0"/>
    <n v="0"/>
    <n v="0"/>
    <n v="0"/>
    <n v="0"/>
    <n v="0"/>
    <n v="0"/>
    <s v="Release"/>
  </r>
  <r>
    <n v="61093.101729465197"/>
    <n v="0"/>
    <n v="61093.101729465197"/>
    <x v="527"/>
    <x v="520"/>
    <n v="0"/>
    <s v="MPG"/>
    <s v="Direct"/>
    <n v="1013"/>
    <x v="13"/>
    <s v="Old"/>
    <d v="2024-11-03T00:00:00"/>
    <n v="3045.1000000000004"/>
    <n v="125155.62"/>
    <n v="2283.8250000000003"/>
    <n v="2892.8450000000003"/>
    <n v="679.54071108400001"/>
    <n v="3754.6685999999995"/>
    <n v="861.82359999999926"/>
    <n v="304.51000000000005"/>
    <n v="55.67194882176176"/>
    <n v="5496"/>
    <n v="2503.1124"/>
    <n v="0"/>
    <n v="0"/>
    <n v="0"/>
    <n v="0"/>
    <n v="2993"/>
    <n v="0"/>
    <n v="2993"/>
    <s v="Release"/>
  </r>
  <r>
    <n v="67526.903413342254"/>
    <n v="0"/>
    <n v="67526.903413342254"/>
    <x v="528"/>
    <x v="521"/>
    <n v="0"/>
    <s v="MPG"/>
    <s v="Direct"/>
    <n v="1013"/>
    <x v="13"/>
    <s v="Old"/>
    <d v="2024-10-18T00:00:00"/>
    <n v="2379.9"/>
    <n v="90238.25"/>
    <n v="1784.9250000000002"/>
    <n v="2260.9050000000002"/>
    <n v="1233.9847894666002"/>
    <n v="2707.1475"/>
    <n v="446.24249999999984"/>
    <n v="237.99"/>
    <n v="317.61347483986094"/>
    <n v="4724"/>
    <n v="1861"/>
    <n v="0"/>
    <n v="0"/>
    <n v="0"/>
    <n v="0"/>
    <n v="2863"/>
    <n v="0"/>
    <n v="2863"/>
    <s v="Release"/>
  </r>
  <r>
    <n v="88965"/>
    <n v="0"/>
    <n v="88965"/>
    <x v="529"/>
    <x v="522"/>
    <n v="0"/>
    <s v="MPG"/>
    <s v="Direct"/>
    <n v="1013"/>
    <x v="13"/>
    <s v="Old"/>
    <d v="2024-12-05T00:00:00"/>
    <n v="1803.6999999999998"/>
    <n v="68364.66"/>
    <n v="1352.7749999999999"/>
    <n v="1713.5149999999996"/>
    <n v="332.66943944339999"/>
    <n v="2050.9398000000001"/>
    <n v="337.42480000000046"/>
    <n v="180.37"/>
    <n v="755.18592470125941"/>
    <n v="2463"/>
    <n v="1861"/>
    <n v="0"/>
    <n v="0"/>
    <n v="0"/>
    <n v="0"/>
    <n v="602"/>
    <n v="602"/>
    <n v="0"/>
    <s v="Yes"/>
  </r>
  <r>
    <n v="0"/>
    <n v="0"/>
    <n v="0"/>
    <x v="530"/>
    <x v="523"/>
    <n v="0"/>
    <s v="vlc"/>
    <s v="Indirect"/>
    <n v="1013"/>
    <x v="13"/>
    <s v="Old"/>
    <d v="2024-12-04T00:00:00"/>
    <n v="1161.5"/>
    <n v="45147.41"/>
    <n v="871.125"/>
    <n v="1103.425"/>
    <n v="0"/>
    <n v="1354.4223"/>
    <n v="250.9973"/>
    <n v="116.15"/>
    <n v="1356.3727201888855"/>
    <n v="502"/>
    <n v="0"/>
    <n v="0"/>
    <n v="0"/>
    <n v="0"/>
    <n v="0"/>
    <n v="502"/>
    <n v="0"/>
    <n v="502"/>
    <s v="Release"/>
  </r>
  <r>
    <n v="0"/>
    <n v="0"/>
    <n v="0"/>
    <x v="531"/>
    <x v="524"/>
    <n v="0"/>
    <s v="vlc"/>
    <s v="Indirect"/>
    <n v="1013"/>
    <x v="13"/>
    <s v="Old"/>
    <d v="2024-12-19T00:00:00"/>
    <n v="4374.2999999999993"/>
    <n v="133696.99"/>
    <n v="3280.7249999999995"/>
    <n v="4155.5849999999991"/>
    <n v="0"/>
    <n v="4010.9096999999997"/>
    <n v="-144.67529999999942"/>
    <n v="437.42999999999995"/>
    <n v="0"/>
    <n v="6999"/>
    <n v="0"/>
    <n v="0"/>
    <n v="0"/>
    <n v="0"/>
    <n v="0"/>
    <n v="6999"/>
    <n v="0"/>
    <n v="6999"/>
    <s v="Release"/>
  </r>
  <r>
    <n v="76593.965718643231"/>
    <n v="0"/>
    <n v="76593.965718643231"/>
    <x v="532"/>
    <x v="525"/>
    <n v="0"/>
    <s v="MPG"/>
    <s v="Direct"/>
    <n v="1013"/>
    <x v="13"/>
    <s v="Old"/>
    <d v="2024-12-31T00:00:00"/>
    <n v="2388.2000000000003"/>
    <n v="88581.430000000008"/>
    <n v="1791.15"/>
    <n v="2268.79"/>
    <n v="48.266571567"/>
    <n v="2657.4429"/>
    <n v="388.65290000000005"/>
    <n v="238.82000000000005"/>
    <n v="305.68029262979798"/>
    <n v="3564"/>
    <n v="1861"/>
    <n v="0"/>
    <n v="0"/>
    <n v="0"/>
    <n v="0"/>
    <n v="1703"/>
    <n v="1703"/>
    <n v="0"/>
    <s v="Yes"/>
  </r>
  <r>
    <n v="71625.927785416905"/>
    <n v="0"/>
    <n v="71625.927785416905"/>
    <x v="533"/>
    <x v="526"/>
    <n v="0"/>
    <s v="MPG"/>
    <s v="Direct"/>
    <n v="1013"/>
    <x v="13"/>
    <s v="Old"/>
    <d v="2025-02-10T00:00:00"/>
    <n v="3226"/>
    <n v="131096.53"/>
    <n v="2419.5"/>
    <n v="3064.7"/>
    <n v="2570.1356583919996"/>
    <n v="3932.8959"/>
    <n v="868.19590000000017"/>
    <n v="322.60000000000002"/>
    <n v="24.849030824372836"/>
    <n v="7707"/>
    <n v="2621.9306000000001"/>
    <n v="0"/>
    <n v="0"/>
    <n v="0"/>
    <n v="0"/>
    <n v="5085"/>
    <n v="5085"/>
    <n v="0"/>
    <s v="Yes"/>
  </r>
  <r>
    <n v="97754"/>
    <n v="0"/>
    <n v="97754"/>
    <x v="534"/>
    <x v="527"/>
    <n v="0"/>
    <s v="MPG"/>
    <s v="Direct"/>
    <n v="1013"/>
    <x v="13"/>
    <s v="Old"/>
    <d v="2025-03-24T00:00:00"/>
    <n v="748"/>
    <n v="30108.91"/>
    <n v="561"/>
    <n v="710.6"/>
    <n v="699.2132919006001"/>
    <n v="903.26729999999998"/>
    <n v="192.66729999999995"/>
    <n v="74.8"/>
    <n v="1647.4566324958228"/>
    <n v="249"/>
    <n v="249"/>
    <n v="0"/>
    <n v="0"/>
    <n v="0"/>
    <n v="0"/>
    <n v="0"/>
    <n v="0"/>
    <n v="0"/>
    <s v="Release"/>
  </r>
  <r>
    <n v="110000"/>
    <n v="0"/>
    <n v="110000"/>
    <x v="535"/>
    <x v="528"/>
    <n v="0"/>
    <s v="MPG"/>
    <s v="Direct"/>
    <n v="1013"/>
    <x v="13"/>
    <s v="Old"/>
    <d v="2025-03-25T00:00:00"/>
    <n v="434"/>
    <n v="17258.990000000002"/>
    <n v="325.5"/>
    <n v="412.29999999999995"/>
    <n v="17.820475200000004"/>
    <n v="517.76970000000006"/>
    <n v="105.4697000000001"/>
    <n v="43.400000000000006"/>
    <n v="712.26034127146931"/>
    <n v="0"/>
    <n v="0"/>
    <n v="0"/>
    <n v="0"/>
    <n v="0"/>
    <n v="0"/>
    <n v="0"/>
    <n v="0"/>
    <n v="0"/>
    <s v="Release"/>
  </r>
  <r>
    <n v="110000"/>
    <n v="0"/>
    <n v="110000"/>
    <x v="536"/>
    <x v="529"/>
    <n v="0"/>
    <s v="MPG"/>
    <s v="Direct"/>
    <n v="1013"/>
    <x v="13"/>
    <s v="Old"/>
    <d v="2025-06-18T00:00:00"/>
    <n v="1665.8"/>
    <n v="61861.200000000012"/>
    <n v="1249.3499999999999"/>
    <n v="1582.51"/>
    <n v="0"/>
    <n v="1855.8360000000002"/>
    <n v="273.32600000000025"/>
    <n v="166.58"/>
    <n v="843.65204399218021"/>
    <n v="1822"/>
    <n v="1822"/>
    <n v="0"/>
    <n v="0"/>
    <n v="0"/>
    <n v="0"/>
    <n v="0"/>
    <n v="0"/>
    <n v="0"/>
    <s v="Release"/>
  </r>
  <r>
    <n v="90527.610456266033"/>
    <n v="0"/>
    <n v="90527.610456266033"/>
    <x v="537"/>
    <x v="530"/>
    <n v="0"/>
    <s v="MPG"/>
    <s v="Direct"/>
    <n v="1013"/>
    <x v="13"/>
    <s v="Old"/>
    <d v="2025-04-18T00:00:00"/>
    <n v="5439.4"/>
    <n v="219224.65000000002"/>
    <n v="4079.5499999999997"/>
    <n v="5167.4299999999994"/>
    <n v="268.54173252356503"/>
    <n v="6576.7395000000006"/>
    <n v="1409.3095000000012"/>
    <n v="543.93999999999994"/>
    <n v="0"/>
    <n v="8972"/>
    <n v="4384.4930000000004"/>
    <n v="0"/>
    <n v="0"/>
    <n v="0"/>
    <n v="0"/>
    <n v="4588"/>
    <n v="4588"/>
    <n v="0"/>
    <s v="Yes"/>
  </r>
  <r>
    <n v="109296"/>
    <n v="0"/>
    <n v="109296"/>
    <x v="538"/>
    <x v="531"/>
    <n v="0"/>
    <s v="MPG"/>
    <s v="Direct"/>
    <n v="1013"/>
    <x v="13"/>
    <s v="Old"/>
    <d v="2025-06-01T00:00:00"/>
    <n v="705.7"/>
    <n v="29947.71"/>
    <n v="529.27500000000009"/>
    <n v="670.41499999999996"/>
    <n v="33.764344479999998"/>
    <n v="898.43129999999996"/>
    <n v="228.0163"/>
    <n v="70.570000000000007"/>
    <n v="1162.9841484154729"/>
    <n v="0"/>
    <n v="0"/>
    <n v="0"/>
    <n v="0"/>
    <n v="0"/>
    <n v="0"/>
    <n v="0"/>
    <n v="0"/>
    <n v="0"/>
    <s v="Release"/>
  </r>
  <r>
    <n v="0"/>
    <n v="0"/>
    <n v="0"/>
    <x v="539"/>
    <x v="532"/>
    <n v="0"/>
    <s v="vlc"/>
    <s v="Indirect"/>
    <n v="1013"/>
    <x v="13"/>
    <s v="Old"/>
    <d v="2025-05-11T00:00:00"/>
    <n v="1792.9999999999998"/>
    <n v="72113.51999999999"/>
    <n v="1344.7499999999998"/>
    <n v="1703.3499999999997"/>
    <n v="0"/>
    <n v="2163.4055999999996"/>
    <n v="460.05559999999991"/>
    <n v="179.29999999999998"/>
    <n v="506.75525036065397"/>
    <n v="2362"/>
    <n v="0"/>
    <n v="0"/>
    <n v="0"/>
    <n v="0"/>
    <n v="0"/>
    <n v="2362"/>
    <n v="0"/>
    <n v="2362"/>
    <s v="Release"/>
  </r>
  <r>
    <n v="100000"/>
    <n v="0"/>
    <n v="100000"/>
    <x v="540"/>
    <x v="533"/>
    <n v="0"/>
    <s v="MPG"/>
    <s v="Direct"/>
    <n v="1013"/>
    <x v="13"/>
    <s v="Old"/>
    <d v="2025-07-09T00:00:00"/>
    <n v="715.59999999999991"/>
    <n v="24466.550000000003"/>
    <n v="536.69999999999993"/>
    <n v="679.81999999999994"/>
    <n v="131.27814491800001"/>
    <n v="733.99650000000008"/>
    <n v="54.176500000000146"/>
    <n v="71.559999999999988"/>
    <n v="1276.0266296404893"/>
    <n v="0"/>
    <n v="0"/>
    <n v="0"/>
    <n v="0"/>
    <n v="0"/>
    <n v="0"/>
    <n v="0"/>
    <n v="0"/>
    <n v="0"/>
    <s v="Release"/>
  </r>
  <r>
    <n v="0"/>
    <n v="0"/>
    <n v="0"/>
    <x v="541"/>
    <x v="534"/>
    <n v="0"/>
    <s v="vlc"/>
    <s v="Indirect"/>
    <n v="1013"/>
    <x v="13"/>
    <s v="Old"/>
    <d v="2025-06-12T00:00:00"/>
    <n v="148.30000000000001"/>
    <n v="6132.5599999999995"/>
    <n v="111.22500000000001"/>
    <n v="140.88499999999999"/>
    <n v="0"/>
    <n v="183.97679999999997"/>
    <n v="43.091799999999978"/>
    <n v="14.830000000000002"/>
    <n v="236.84227950381592"/>
    <n v="0"/>
    <n v="0"/>
    <n v="0"/>
    <n v="0"/>
    <n v="0"/>
    <n v="0"/>
    <n v="0"/>
    <n v="0"/>
    <n v="0"/>
    <s v="Release"/>
  </r>
  <r>
    <n v="0"/>
    <n v="0"/>
    <n v="0"/>
    <x v="542"/>
    <x v="535"/>
    <n v="0"/>
    <s v="vlc"/>
    <s v="Indirect"/>
    <n v="1013"/>
    <x v="13"/>
    <s v="Old"/>
    <d v="2025-07-31T00:00:00"/>
    <n v="8241.1"/>
    <n v="328558.17"/>
    <n v="6180.8250000000007"/>
    <n v="7829.0450000000001"/>
    <n v="0"/>
    <n v="9856.7450999999983"/>
    <n v="2027.7000999999982"/>
    <n v="824.11000000000013"/>
    <n v="563.1766277695715"/>
    <n v="12623"/>
    <n v="0"/>
    <n v="0"/>
    <n v="0"/>
    <n v="0"/>
    <n v="0"/>
    <n v="12623"/>
    <n v="0"/>
    <n v="12623"/>
    <s v="Release"/>
  </r>
  <r>
    <n v="0"/>
    <n v="0"/>
    <n v="0"/>
    <x v="543"/>
    <x v="536"/>
    <n v="0"/>
    <s v="vlc"/>
    <s v="Indirect"/>
    <n v="1013"/>
    <x v="13"/>
    <s v="Old"/>
    <d v="2025-07-30T00:00:00"/>
    <n v="794.4"/>
    <n v="33365.880000000005"/>
    <n v="595.79999999999995"/>
    <n v="754.68"/>
    <n v="0"/>
    <n v="1000.9764000000001"/>
    <n v="246.29640000000018"/>
    <n v="79.44"/>
    <n v="1271.2515040312032"/>
    <n v="0"/>
    <n v="0"/>
    <n v="0"/>
    <n v="0"/>
    <n v="0"/>
    <n v="0"/>
    <n v="0"/>
    <n v="0"/>
    <n v="0"/>
    <s v="Release"/>
  </r>
  <r>
    <n v="10347.345918327046"/>
    <n v="13106.459238400959"/>
    <n v="23453.805156728005"/>
    <x v="544"/>
    <x v="537"/>
    <n v="0"/>
    <s v="MPG"/>
    <s v="Direct"/>
    <n v="1014"/>
    <x v="14"/>
    <s v="Old"/>
    <d v="2022-04-13T00:00:00"/>
    <n v="1341"/>
    <n v="51194.86"/>
    <n v="1005.75"/>
    <n v="1273.95"/>
    <n v="0"/>
    <n v="1535.8458000000001"/>
    <n v="261.89580000000001"/>
    <n v="134.1"/>
    <n v="1147.5815610728846"/>
    <n v="998"/>
    <n v="0"/>
    <n v="998"/>
    <n v="0"/>
    <n v="0"/>
    <n v="0"/>
    <n v="0"/>
    <n v="0"/>
    <n v="0"/>
    <s v="Release"/>
  </r>
  <r>
    <n v="7737.6045291478222"/>
    <n v="25600"/>
    <n v="33337.604529147822"/>
    <x v="545"/>
    <x v="538"/>
    <n v="0"/>
    <s v="MPG"/>
    <s v="Direct"/>
    <n v="1014"/>
    <x v="14"/>
    <s v="Old"/>
    <d v="2022-04-13T00:00:00"/>
    <n v="2926.2"/>
    <n v="111887.95000000001"/>
    <n v="2194.6499999999996"/>
    <n v="2779.89"/>
    <n v="0"/>
    <n v="3356.6385"/>
    <n v="576.74850000000015"/>
    <n v="292.62"/>
    <n v="23.677548154788507"/>
    <n v="4658"/>
    <n v="2237.7590000000005"/>
    <n v="0"/>
    <n v="0"/>
    <n v="0"/>
    <n v="0"/>
    <n v="2420"/>
    <n v="0"/>
    <n v="2420"/>
    <s v="Release"/>
  </r>
  <r>
    <n v="0"/>
    <n v="3088.4627030464617"/>
    <n v="3088.4627030464617"/>
    <x v="546"/>
    <x v="539"/>
    <n v="0"/>
    <s v="MPG"/>
    <s v="Direct"/>
    <n v="1014"/>
    <x v="14"/>
    <s v="Old"/>
    <d v="2022-04-13T00:00:00"/>
    <n v="4643.7999999999993"/>
    <n v="186082.26"/>
    <n v="3482.8499999999995"/>
    <n v="4411.6099999999988"/>
    <n v="3321.6714389899998"/>
    <n v="5582.4678000000004"/>
    <n v="1170.8578000000016"/>
    <n v="464.37999999999994"/>
    <n v="0"/>
    <n v="10752"/>
    <n v="0"/>
    <n v="3088.4627030464617"/>
    <n v="0"/>
    <n v="0"/>
    <n v="0"/>
    <n v="7664"/>
    <n v="0"/>
    <n v="7664"/>
    <s v="Release"/>
  </r>
  <r>
    <n v="0"/>
    <n v="4960.9478243630037"/>
    <n v="4960.9478243630037"/>
    <x v="547"/>
    <x v="540"/>
    <n v="0"/>
    <s v="MPG"/>
    <s v="Direct"/>
    <n v="1014"/>
    <x v="14"/>
    <s v="Old"/>
    <d v="2022-04-13T00:00:00"/>
    <n v="839.5"/>
    <n v="37897.370000000003"/>
    <n v="629.625"/>
    <n v="797.52499999999998"/>
    <n v="632.27927661241301"/>
    <n v="1136.9211"/>
    <n v="339.39610000000005"/>
    <n v="83.95"/>
    <n v="1767.9277405788646"/>
    <n v="208"/>
    <n v="0"/>
    <n v="208"/>
    <n v="0"/>
    <n v="0"/>
    <n v="0"/>
    <n v="0"/>
    <n v="0"/>
    <n v="0"/>
    <s v="Release"/>
  </r>
  <r>
    <n v="9627.3816565977613"/>
    <n v="16000"/>
    <n v="25627.381656597761"/>
    <x v="548"/>
    <x v="541"/>
    <n v="0"/>
    <s v="MPG"/>
    <s v="Direct"/>
    <n v="1014"/>
    <x v="14"/>
    <s v="Old"/>
    <d v="2022-04-13T00:00:00"/>
    <n v="90.8"/>
    <n v="2978.62"/>
    <n v="68.099999999999994"/>
    <n v="86.259999999999991"/>
    <n v="0"/>
    <n v="89.358599999999996"/>
    <n v="3.0986000000000047"/>
    <n v="9.08"/>
    <n v="144.78868533841114"/>
    <n v="0"/>
    <n v="0"/>
    <n v="0"/>
    <n v="0"/>
    <n v="0"/>
    <n v="0"/>
    <n v="0"/>
    <n v="0"/>
    <n v="0"/>
    <s v="Release"/>
  </r>
  <r>
    <n v="0"/>
    <n v="2536.112934165707"/>
    <n v="2536.112934165707"/>
    <x v="549"/>
    <x v="542"/>
    <n v="0"/>
    <s v="MPG"/>
    <s v="Direct"/>
    <n v="1014"/>
    <x v="14"/>
    <s v="Old"/>
    <d v="2022-04-13T00:00:00"/>
    <n v="3296"/>
    <n v="127701.07"/>
    <n v="2472"/>
    <n v="3131.2"/>
    <n v="4076.8285953943996"/>
    <n v="3831.0320999999999"/>
    <n v="699.83210000000008"/>
    <n v="329.6"/>
    <n v="0"/>
    <n v="9350"/>
    <n v="0"/>
    <n v="2536.112934165707"/>
    <n v="0"/>
    <n v="6814"/>
    <n v="0"/>
    <n v="0"/>
    <n v="0"/>
    <n v="0"/>
    <s v="Release"/>
  </r>
  <r>
    <n v="0"/>
    <n v="0"/>
    <n v="0"/>
    <x v="550"/>
    <x v="543"/>
    <n v="0"/>
    <s v="MPG"/>
    <s v="Direct"/>
    <n v="1014"/>
    <x v="14"/>
    <s v="Old"/>
    <d v="2022-04-14T00:00:00"/>
    <n v="1898.8000000000002"/>
    <n v="76216.67"/>
    <n v="1424.1000000000001"/>
    <n v="1803.8600000000001"/>
    <n v="1424.52596976"/>
    <n v="2286.5000999999997"/>
    <n v="482.64009999999962"/>
    <n v="189.88000000000002"/>
    <n v="725.4444144680233"/>
    <n v="3737"/>
    <n v="0"/>
    <n v="0"/>
    <n v="3000"/>
    <n v="0"/>
    <n v="0"/>
    <n v="737"/>
    <n v="0"/>
    <n v="737"/>
    <s v="Release"/>
  </r>
  <r>
    <n v="0"/>
    <n v="24809.668812285279"/>
    <n v="24809.668812285279"/>
    <x v="551"/>
    <x v="544"/>
    <n v="0"/>
    <s v="MPG"/>
    <s v="Direct"/>
    <n v="1014"/>
    <x v="14"/>
    <s v="Old"/>
    <d v="2022-04-18T00:00:00"/>
    <n v="2893.5000000000005"/>
    <n v="125541.59"/>
    <n v="2170.1250000000005"/>
    <n v="2748.8250000000003"/>
    <n v="513.36272656076005"/>
    <n v="3766.2476999999999"/>
    <n v="1017.4226999999996"/>
    <n v="289.35000000000008"/>
    <n v="97.02005016767373"/>
    <n v="5046"/>
    <n v="0"/>
    <n v="2510.8317999999999"/>
    <n v="0"/>
    <n v="0"/>
    <n v="76.700000000000017"/>
    <n v="2458"/>
    <n v="0"/>
    <n v="2458"/>
    <s v="Release"/>
  </r>
  <r>
    <n v="8817.1526456200227"/>
    <n v="28800"/>
    <n v="37617.152645620023"/>
    <x v="552"/>
    <x v="545"/>
    <n v="0"/>
    <s v="MPG"/>
    <s v="Direct"/>
    <n v="1014"/>
    <x v="14"/>
    <s v="Old"/>
    <d v="2022-05-02T00:00:00"/>
    <n v="563.4"/>
    <n v="25753.989999999998"/>
    <n v="422.54999999999995"/>
    <n v="535.2299999999999"/>
    <n v="20.73"/>
    <n v="772.61969999999997"/>
    <n v="237.38970000000006"/>
    <n v="56.34"/>
    <n v="921.93048066362144"/>
    <n v="0"/>
    <n v="0"/>
    <n v="0"/>
    <n v="0"/>
    <n v="0"/>
    <n v="0"/>
    <n v="0"/>
    <n v="0"/>
    <n v="0"/>
    <s v="Release"/>
  </r>
  <r>
    <n v="0"/>
    <n v="0"/>
    <n v="0"/>
    <x v="553"/>
    <x v="546"/>
    <n v="0"/>
    <s v="MPG"/>
    <s v="Direct"/>
    <n v="1014"/>
    <x v="14"/>
    <s v="Old"/>
    <d v="2022-05-22T00:00:00"/>
    <n v="1970.7000000000003"/>
    <n v="78354.790000000008"/>
    <n v="1478.0250000000001"/>
    <n v="1872.1650000000002"/>
    <n v="1206.0532090528"/>
    <n v="2350.6437000000001"/>
    <n v="478.47869999999989"/>
    <n v="197.07000000000005"/>
    <n v="658.75856642448502"/>
    <n v="3700"/>
    <n v="0"/>
    <n v="0"/>
    <n v="0"/>
    <n v="0"/>
    <n v="0"/>
    <n v="3700"/>
    <n v="0"/>
    <n v="3700"/>
    <s v="Release"/>
  </r>
  <r>
    <n v="0"/>
    <n v="0"/>
    <n v="0"/>
    <x v="554"/>
    <x v="547"/>
    <n v="0"/>
    <s v="MPG"/>
    <s v="Direct"/>
    <n v="1014"/>
    <x v="14"/>
    <s v="Old"/>
    <d v="2022-05-22T00:00:00"/>
    <n v="3582.1"/>
    <n v="130565.16"/>
    <n v="2686.5749999999998"/>
    <n v="3402.9949999999999"/>
    <n v="334.62664488000001"/>
    <n v="3916.9548"/>
    <n v="513.95980000000009"/>
    <n v="358.21000000000004"/>
    <n v="56.829486007702201"/>
    <n v="6009"/>
    <n v="0"/>
    <n v="0"/>
    <n v="0"/>
    <n v="0"/>
    <n v="0"/>
    <n v="6009"/>
    <n v="0"/>
    <n v="6009"/>
    <s v="Release"/>
  </r>
  <r>
    <n v="0"/>
    <n v="6157.0676121210527"/>
    <n v="6157.0676121210527"/>
    <x v="555"/>
    <x v="548"/>
    <n v="0"/>
    <s v="MPG"/>
    <s v="Direct"/>
    <n v="1014"/>
    <x v="14"/>
    <s v="Old"/>
    <d v="2022-07-11T00:00:00"/>
    <n v="1241.3"/>
    <n v="61055.53"/>
    <n v="930.97499999999991"/>
    <n v="1179.2349999999999"/>
    <n v="63.102133114000011"/>
    <n v="1831.6659"/>
    <n v="652.43090000000007"/>
    <n v="124.13"/>
    <n v="1550.0343259285112"/>
    <n v="499"/>
    <n v="0"/>
    <n v="499"/>
    <n v="0"/>
    <n v="0"/>
    <n v="0"/>
    <n v="0"/>
    <n v="0"/>
    <n v="0"/>
    <s v="Release"/>
  </r>
  <r>
    <n v="27139.532800000001"/>
    <n v="12800"/>
    <n v="39939.532800000001"/>
    <x v="556"/>
    <x v="549"/>
    <n v="0"/>
    <s v="MPG"/>
    <s v="Direct"/>
    <n v="1014"/>
    <x v="14"/>
    <s v="Old"/>
    <d v="2022-07-24T00:00:00"/>
    <n v="352.90000000000003"/>
    <n v="13688.77"/>
    <n v="264.67500000000001"/>
    <n v="335.255"/>
    <n v="107.818772712"/>
    <n v="410.66309999999999"/>
    <n v="75.40809999999999"/>
    <n v="35.290000000000006"/>
    <n v="672.56430472014245"/>
    <n v="0"/>
    <n v="0"/>
    <n v="0"/>
    <n v="0"/>
    <n v="0"/>
    <n v="0"/>
    <n v="0"/>
    <n v="0"/>
    <n v="0"/>
    <s v="Release"/>
  </r>
  <r>
    <n v="20669.339294758945"/>
    <n v="13022.026456633601"/>
    <n v="33691.365751392543"/>
    <x v="557"/>
    <x v="550"/>
    <n v="0"/>
    <s v="MPG"/>
    <s v="Direct"/>
    <n v="1014"/>
    <x v="14"/>
    <s v="Old"/>
    <d v="2022-08-01T00:00:00"/>
    <n v="1247.3000000000002"/>
    <n v="43228.58"/>
    <n v="935.47500000000014"/>
    <n v="1184.9350000000002"/>
    <n v="733.62114799999995"/>
    <n v="1296.8574000000001"/>
    <n v="111.92239999999993"/>
    <n v="124.73000000000002"/>
    <n v="1075.5509993403007"/>
    <n v="1654"/>
    <n v="1654"/>
    <n v="0"/>
    <n v="0"/>
    <n v="0"/>
    <n v="0"/>
    <n v="0"/>
    <n v="0"/>
    <n v="0"/>
    <s v="Release"/>
  </r>
  <r>
    <n v="26048.021566305746"/>
    <n v="25600"/>
    <n v="51648.021566305746"/>
    <x v="558"/>
    <x v="551"/>
    <n v="0"/>
    <s v="MPG"/>
    <s v="Direct"/>
    <n v="1014"/>
    <x v="14"/>
    <s v="Old"/>
    <d v="2022-12-28T00:00:00"/>
    <n v="492.59999999999997"/>
    <n v="19144.559999999998"/>
    <n v="369.45"/>
    <n v="467.96999999999997"/>
    <n v="129.00117160600001"/>
    <n v="574.33679999999993"/>
    <n v="106.36679999999996"/>
    <n v="49.26"/>
    <n v="916.94568765666554"/>
    <n v="0"/>
    <n v="0"/>
    <n v="0"/>
    <n v="0"/>
    <n v="0"/>
    <n v="0"/>
    <n v="0"/>
    <n v="0"/>
    <n v="0"/>
    <s v="Release"/>
  </r>
  <r>
    <n v="33234.214297624058"/>
    <n v="19200"/>
    <n v="52434.214297624058"/>
    <x v="559"/>
    <x v="552"/>
    <n v="0"/>
    <s v="MPG"/>
    <s v="Direct"/>
    <n v="1014"/>
    <x v="14"/>
    <s v="Old"/>
    <d v="2022-12-28T00:00:00"/>
    <n v="629.6"/>
    <n v="22912.89"/>
    <n v="472.20000000000005"/>
    <n v="598.12"/>
    <n v="42.751200716800007"/>
    <n v="687.38669999999991"/>
    <n v="89.266699999999901"/>
    <n v="62.960000000000008"/>
    <n v="1049.9861218999401"/>
    <n v="0"/>
    <n v="0"/>
    <n v="0"/>
    <n v="0"/>
    <n v="0"/>
    <n v="0"/>
    <n v="0"/>
    <n v="0"/>
    <n v="0"/>
    <s v="Release"/>
  </r>
  <r>
    <n v="31795.663208731261"/>
    <n v="19200"/>
    <n v="50995.663208731261"/>
    <x v="560"/>
    <x v="553"/>
    <n v="0"/>
    <s v="MPG"/>
    <s v="Direct"/>
    <n v="1014"/>
    <x v="14"/>
    <s v="Old"/>
    <d v="2023-01-02T00:00:00"/>
    <n v="793.3"/>
    <n v="33749.03"/>
    <n v="594.97499999999991"/>
    <n v="753.63499999999988"/>
    <n v="807.88856689905003"/>
    <n v="1012.4708999999999"/>
    <n v="258.83590000000004"/>
    <n v="79.33"/>
    <n v="1712.3126022154506"/>
    <n v="365"/>
    <n v="365"/>
    <n v="0"/>
    <n v="0"/>
    <n v="0"/>
    <n v="0"/>
    <n v="0"/>
    <n v="0"/>
    <n v="0"/>
    <s v="Release"/>
  </r>
  <r>
    <n v="27141.399350909371"/>
    <n v="10695.531363288643"/>
    <n v="37836.93071419801"/>
    <x v="561"/>
    <x v="554"/>
    <n v="0"/>
    <s v="MPG"/>
    <s v="Direct"/>
    <n v="1014"/>
    <x v="14"/>
    <s v="Old"/>
    <d v="2023-02-17T00:00:00"/>
    <n v="409.9"/>
    <n v="18850.68"/>
    <n v="307.42499999999995"/>
    <n v="389.40499999999997"/>
    <n v="237.38310538100001"/>
    <n v="565.5204"/>
    <n v="176.11540000000002"/>
    <n v="40.99"/>
    <n v="893.23154928778695"/>
    <n v="0"/>
    <n v="0"/>
    <n v="0"/>
    <n v="0"/>
    <n v="0"/>
    <n v="0"/>
    <n v="0"/>
    <n v="0"/>
    <n v="0"/>
    <s v="Release"/>
  </r>
  <r>
    <n v="0"/>
    <n v="0"/>
    <n v="0"/>
    <x v="562"/>
    <x v="555"/>
    <n v="0"/>
    <s v="MPG"/>
    <s v="Direct"/>
    <n v="1014"/>
    <x v="14"/>
    <s v="Old"/>
    <d v="2023-02-17T00:00:00"/>
    <n v="1334.5"/>
    <n v="56865.47"/>
    <n v="1000.875"/>
    <n v="1267.7749999999999"/>
    <n v="1164.139319934"/>
    <n v="1705.9640999999999"/>
    <n v="438.18910000000005"/>
    <n v="133.45000000000002"/>
    <n v="1249.0949608193559"/>
    <n v="2050"/>
    <n v="0"/>
    <n v="0"/>
    <n v="0"/>
    <n v="0"/>
    <n v="0"/>
    <n v="2050"/>
    <n v="0"/>
    <n v="2050"/>
    <s v="Release"/>
  </r>
  <r>
    <n v="74449.388835206657"/>
    <n v="8591.2325999999994"/>
    <n v="83040.62143520666"/>
    <x v="563"/>
    <x v="556"/>
    <n v="0"/>
    <s v="MPG"/>
    <s v="Direct"/>
    <n v="1014"/>
    <x v="14"/>
    <s v="Old"/>
    <d v="2023-02-22T00:00:00"/>
    <n v="847.30000000000007"/>
    <n v="38058.71"/>
    <n v="635.47500000000002"/>
    <n v="804.93500000000006"/>
    <n v="214.29"/>
    <n v="1141.7612999999999"/>
    <n v="336.82629999999983"/>
    <n v="84.730000000000018"/>
    <n v="1570.092622481634"/>
    <n v="0"/>
    <n v="0"/>
    <n v="0"/>
    <n v="0"/>
    <n v="0"/>
    <n v="0"/>
    <n v="0"/>
    <n v="0"/>
    <n v="0"/>
    <s v="Release"/>
  </r>
  <r>
    <n v="21866.94532988088"/>
    <n v="22400"/>
    <n v="44266.94532988088"/>
    <x v="564"/>
    <x v="557"/>
    <n v="0"/>
    <s v="MPG"/>
    <s v="Direct"/>
    <n v="1014"/>
    <x v="14"/>
    <s v="Old"/>
    <d v="2023-02-27T00:00:00"/>
    <n v="335.29999999999995"/>
    <n v="13450.44"/>
    <n v="251.47499999999997"/>
    <n v="318.53499999999997"/>
    <n v="604.43320000000006"/>
    <n v="403.51319999999998"/>
    <n v="84.978200000000015"/>
    <n v="33.529999999999994"/>
    <n v="1140.667327008116"/>
    <n v="0"/>
    <n v="0"/>
    <n v="0"/>
    <n v="0"/>
    <n v="0"/>
    <n v="0"/>
    <n v="0"/>
    <n v="0"/>
    <n v="0"/>
    <s v="Release"/>
  </r>
  <r>
    <n v="0"/>
    <n v="16940.240990378727"/>
    <n v="16940.240990378727"/>
    <x v="565"/>
    <x v="558"/>
    <n v="0"/>
    <s v="MPG"/>
    <s v="Direct"/>
    <n v="1014"/>
    <x v="14"/>
    <s v="Old"/>
    <d v="2023-03-10T00:00:00"/>
    <n v="1875.5000000000002"/>
    <n v="73063.58"/>
    <n v="1406.6250000000002"/>
    <n v="1781.7250000000001"/>
    <n v="1717.4593012194825"/>
    <n v="2191.9074000000001"/>
    <n v="410.18239999999992"/>
    <n v="187.55000000000004"/>
    <n v="719.70402000381773"/>
    <n v="3999"/>
    <n v="0"/>
    <n v="1461.2716"/>
    <n v="0"/>
    <n v="0"/>
    <n v="0"/>
    <n v="2538"/>
    <n v="0"/>
    <n v="2538"/>
    <s v="Release"/>
  </r>
  <r>
    <n v="7231.3455301270878"/>
    <n v="28800"/>
    <n v="36031.345530127088"/>
    <x v="566"/>
    <x v="559"/>
    <n v="0"/>
    <s v="MPG"/>
    <s v="Direct"/>
    <n v="1014"/>
    <x v="14"/>
    <s v="Old"/>
    <d v="2023-03-11T00:00:00"/>
    <n v="425.3"/>
    <n v="19838.7"/>
    <n v="318.97500000000002"/>
    <n v="404.03499999999997"/>
    <n v="174.73952665508"/>
    <n v="595.16099999999994"/>
    <n v="191.12599999999998"/>
    <n v="42.53"/>
    <n v="854.940365185259"/>
    <n v="0"/>
    <n v="0"/>
    <n v="0"/>
    <n v="0"/>
    <n v="0"/>
    <n v="0"/>
    <n v="0"/>
    <n v="0"/>
    <n v="0"/>
    <s v="Release"/>
  </r>
  <r>
    <n v="83290.069022970609"/>
    <n v="0"/>
    <n v="83290.069022970609"/>
    <x v="567"/>
    <x v="560"/>
    <n v="0"/>
    <s v="MPG"/>
    <s v="Direct"/>
    <n v="1014"/>
    <x v="14"/>
    <s v="Old"/>
    <d v="2023-03-13T00:00:00"/>
    <n v="542.4"/>
    <n v="22632.839999999997"/>
    <n v="406.79999999999995"/>
    <n v="515.28"/>
    <n v="60.816636904000006"/>
    <n v="678.98519999999985"/>
    <n v="163.70519999999988"/>
    <n v="54.24"/>
    <n v="928.71531084200433"/>
    <n v="0"/>
    <n v="0"/>
    <n v="0"/>
    <n v="0"/>
    <n v="0"/>
    <n v="0"/>
    <n v="0"/>
    <n v="0"/>
    <n v="0"/>
    <s v="Release"/>
  </r>
  <r>
    <n v="41417.865851879615"/>
    <n v="12800"/>
    <n v="54217.865851879615"/>
    <x v="568"/>
    <x v="561"/>
    <n v="0"/>
    <s v="MPG"/>
    <s v="Direct"/>
    <n v="1014"/>
    <x v="14"/>
    <s v="Old"/>
    <d v="2023-03-29T00:00:00"/>
    <n v="1487.3000000000002"/>
    <n v="75060.040000000008"/>
    <n v="1115.4750000000001"/>
    <n v="1412.9350000000002"/>
    <n v="627.6569862471639"/>
    <n v="2251.8012000000003"/>
    <n v="838.86620000000016"/>
    <n v="148.73000000000002"/>
    <n v="1335.4129242278686"/>
    <n v="1672"/>
    <n v="1672"/>
    <n v="0"/>
    <n v="0"/>
    <n v="0"/>
    <n v="0"/>
    <n v="0"/>
    <n v="0"/>
    <n v="0"/>
    <s v="Release"/>
  </r>
  <r>
    <n v="17371.097687097557"/>
    <n v="6400"/>
    <n v="23771.097687097557"/>
    <x v="569"/>
    <x v="562"/>
    <n v="0"/>
    <s v="MPG"/>
    <s v="Direct"/>
    <n v="1014"/>
    <x v="14"/>
    <s v="Old"/>
    <d v="2023-05-30T00:00:00"/>
    <n v="2145.8000000000002"/>
    <n v="86634.099999999991"/>
    <n v="1609.3500000000001"/>
    <n v="2038.51"/>
    <n v="157.87105600000001"/>
    <n v="2599.0229999999997"/>
    <n v="560.51299999999969"/>
    <n v="214.58000000000004"/>
    <n v="533.32562083383175"/>
    <n v="3058"/>
    <n v="1861"/>
    <n v="0"/>
    <n v="0"/>
    <n v="0"/>
    <n v="0"/>
    <n v="1197"/>
    <n v="0"/>
    <n v="1197"/>
    <s v="Release"/>
  </r>
  <r>
    <n v="38102.264111066455"/>
    <n v="14153.658405186494"/>
    <n v="52255.922516252947"/>
    <x v="570"/>
    <x v="563"/>
    <n v="0"/>
    <s v="MPG"/>
    <s v="Direct"/>
    <n v="1014"/>
    <x v="14"/>
    <s v="Old"/>
    <d v="2023-07-20T00:00:00"/>
    <n v="88.8"/>
    <n v="3287.2500000000005"/>
    <n v="66.599999999999994"/>
    <n v="84.36"/>
    <n v="20.57"/>
    <n v="98.617500000000007"/>
    <n v="14.257500000000007"/>
    <n v="8.8800000000000008"/>
    <n v="162.67618443724177"/>
    <n v="0"/>
    <n v="0"/>
    <n v="0"/>
    <n v="0"/>
    <n v="0"/>
    <n v="0"/>
    <n v="0"/>
    <n v="0"/>
    <n v="0"/>
    <s v="Release"/>
  </r>
  <r>
    <n v="33911.453513829896"/>
    <n v="10516.0602"/>
    <n v="44427.513713829896"/>
    <x v="571"/>
    <x v="564"/>
    <n v="0"/>
    <s v="MPG"/>
    <s v="Direct"/>
    <n v="1014"/>
    <x v="14"/>
    <s v="Old"/>
    <d v="2023-09-01T00:00:00"/>
    <n v="1145.5"/>
    <n v="65100.58"/>
    <n v="859.125"/>
    <n v="1088.2249999999999"/>
    <n v="719.15456881695013"/>
    <n v="1953.0174"/>
    <n v="864.79240000000004"/>
    <n v="114.55000000000001"/>
    <n v="1892.2680119028014"/>
    <n v="660"/>
    <n v="660"/>
    <n v="0"/>
    <n v="0"/>
    <n v="0"/>
    <n v="0"/>
    <n v="0"/>
    <n v="0"/>
    <n v="0"/>
    <s v="Release"/>
  </r>
  <r>
    <n v="50794.592418725842"/>
    <n v="15869.303199999998"/>
    <n v="66663.895618725845"/>
    <x v="572"/>
    <x v="565"/>
    <n v="0"/>
    <s v="MPG"/>
    <s v="Direct"/>
    <n v="1014"/>
    <x v="14"/>
    <s v="Old"/>
    <d v="2023-09-01T00:00:00"/>
    <n v="882.59999999999991"/>
    <n v="33250.06"/>
    <n v="661.94999999999993"/>
    <n v="838.46999999999991"/>
    <n v="507.15530792000004"/>
    <n v="997.50179999999989"/>
    <n v="159.03179999999998"/>
    <n v="88.259999999999991"/>
    <n v="1433.98399862258"/>
    <n v="485"/>
    <n v="485"/>
    <n v="0"/>
    <n v="0"/>
    <n v="0"/>
    <n v="0"/>
    <n v="0"/>
    <n v="0"/>
    <n v="0"/>
    <s v="Release"/>
  </r>
  <r>
    <n v="34653.947924789056"/>
    <n v="20608.7408"/>
    <n v="55262.688724789055"/>
    <x v="573"/>
    <x v="362"/>
    <n v="0"/>
    <s v="MPG"/>
    <s v="Direct"/>
    <n v="1014"/>
    <x v="14"/>
    <s v="Old"/>
    <d v="2023-09-01T00:00:00"/>
    <n v="2418"/>
    <n v="98126.59"/>
    <n v="1813.5"/>
    <n v="2297.1"/>
    <n v="924.50366592000012"/>
    <n v="2943.7976999999996"/>
    <n v="646.69769999999971"/>
    <n v="241.8"/>
    <n v="309.56074238729127"/>
    <n v="4484"/>
    <n v="1962.5318"/>
    <n v="0"/>
    <n v="0"/>
    <n v="0"/>
    <n v="0"/>
    <n v="2521"/>
    <n v="0"/>
    <n v="2521"/>
    <s v="Release"/>
  </r>
  <r>
    <n v="0"/>
    <n v="0"/>
    <n v="0"/>
    <x v="574"/>
    <x v="566"/>
    <n v="0"/>
    <s v="vlc"/>
    <s v="Indirect"/>
    <n v="1014"/>
    <x v="14"/>
    <s v="Old"/>
    <d v="2023-08-03T00:00:00"/>
    <n v="2165.5"/>
    <n v="77787.69"/>
    <n v="1624.125"/>
    <n v="2057.2249999999999"/>
    <n v="0"/>
    <n v="2333.6307000000002"/>
    <n v="276.40570000000025"/>
    <n v="216.55"/>
    <n v="453.96891498473474"/>
    <n v="3011"/>
    <n v="0"/>
    <n v="0"/>
    <n v="0"/>
    <n v="0"/>
    <n v="0"/>
    <n v="3011"/>
    <n v="0"/>
    <n v="3011"/>
    <s v="Release"/>
  </r>
  <r>
    <n v="48304.338376138774"/>
    <n v="0"/>
    <n v="48304.338376138774"/>
    <x v="575"/>
    <x v="567"/>
    <n v="0"/>
    <s v="MPG"/>
    <s v="Direct"/>
    <n v="1014"/>
    <x v="14"/>
    <s v="Old"/>
    <d v="2023-12-31T00:00:00"/>
    <n v="956.2"/>
    <n v="45356.04"/>
    <n v="717.15000000000009"/>
    <n v="908.39"/>
    <n v="497.81143458723994"/>
    <n v="1360.6812"/>
    <n v="452.2912"/>
    <n v="95.62"/>
    <n v="1754.6311692611855"/>
    <n v="273"/>
    <n v="273"/>
    <n v="0"/>
    <n v="0"/>
    <n v="0"/>
    <n v="0"/>
    <n v="0"/>
    <n v="0"/>
    <n v="0"/>
    <s v="Release"/>
  </r>
  <r>
    <n v="54733.462652943905"/>
    <n v="7070.1681213311995"/>
    <n v="61803.630774275101"/>
    <x v="576"/>
    <x v="568"/>
    <n v="0"/>
    <s v="MPG"/>
    <s v="Direct"/>
    <n v="1014"/>
    <x v="14"/>
    <s v="Old"/>
    <d v="2024-01-06T00:00:00"/>
    <n v="1484.6"/>
    <n v="61024.47"/>
    <n v="1113.4499999999998"/>
    <n v="1410.37"/>
    <n v="703.23221887240015"/>
    <n v="1830.7340999999999"/>
    <n v="420.36410000000001"/>
    <n v="148.46"/>
    <n v="1084.8182716076012"/>
    <n v="1994"/>
    <n v="1861"/>
    <n v="0"/>
    <n v="0"/>
    <n v="0"/>
    <n v="0"/>
    <n v="133"/>
    <n v="0"/>
    <n v="133"/>
    <s v="Release"/>
  </r>
  <r>
    <n v="92689"/>
    <n v="0"/>
    <n v="92689"/>
    <x v="577"/>
    <x v="569"/>
    <n v="0"/>
    <s v="MPG"/>
    <s v="Direct"/>
    <n v="1014"/>
    <x v="14"/>
    <s v="Old"/>
    <d v="2024-03-01T00:00:00"/>
    <n v="1462.9"/>
    <n v="59479.560000000005"/>
    <n v="1097.1750000000002"/>
    <n v="1389.7550000000001"/>
    <n v="23.3729538459"/>
    <n v="1784.3868"/>
    <n v="394.63179999999988"/>
    <n v="146.29000000000002"/>
    <n v="1091.4591127944127"/>
    <n v="1273"/>
    <n v="361"/>
    <n v="0"/>
    <n v="0"/>
    <n v="0"/>
    <n v="0"/>
    <n v="912"/>
    <n v="0"/>
    <n v="912"/>
    <s v="Release"/>
  </r>
  <r>
    <n v="53750.730041292874"/>
    <n v="9600"/>
    <n v="63350.730041292874"/>
    <x v="578"/>
    <x v="570"/>
    <n v="0"/>
    <s v="MPG"/>
    <s v="Direct"/>
    <n v="1014"/>
    <x v="14"/>
    <s v="Old"/>
    <d v="2024-06-14T00:00:00"/>
    <n v="1751.7"/>
    <n v="75034.819999999992"/>
    <n v="1313.7750000000001"/>
    <n v="1664.115"/>
    <n v="1130.8299220880001"/>
    <n v="2251.0445999999997"/>
    <n v="586.92959999999971"/>
    <n v="175.17000000000002"/>
    <n v="929.93009761541725"/>
    <n v="3004"/>
    <n v="1861"/>
    <n v="0"/>
    <n v="0"/>
    <n v="0"/>
    <n v="0"/>
    <n v="1143"/>
    <n v="0"/>
    <n v="1143"/>
    <s v="Release"/>
  </r>
  <r>
    <n v="62991"/>
    <n v="4288.2168150784"/>
    <n v="67279.216815078398"/>
    <x v="579"/>
    <x v="571"/>
    <n v="0"/>
    <s v="MPG"/>
    <s v="Direct"/>
    <n v="1014"/>
    <x v="14"/>
    <s v="Old"/>
    <d v="2024-04-26T00:00:00"/>
    <n v="234.29999999999998"/>
    <n v="8903.5300000000007"/>
    <n v="175.72499999999999"/>
    <n v="222.58499999999998"/>
    <n v="0"/>
    <n v="267.10590000000002"/>
    <n v="44.52090000000004"/>
    <n v="23.43"/>
    <n v="374.41798794578381"/>
    <n v="0"/>
    <n v="0"/>
    <n v="0"/>
    <n v="0"/>
    <n v="0"/>
    <n v="0"/>
    <n v="0"/>
    <n v="0"/>
    <n v="0"/>
    <s v="Release"/>
  </r>
  <r>
    <n v="57190.721761066641"/>
    <n v="25600"/>
    <n v="82790.721761066641"/>
    <x v="580"/>
    <x v="572"/>
    <n v="0"/>
    <s v="MPG"/>
    <s v="Direct"/>
    <n v="1014"/>
    <x v="14"/>
    <s v="Old"/>
    <d v="2024-07-12T00:00:00"/>
    <n v="3976.7"/>
    <n v="174572.13"/>
    <n v="2982.5249999999996"/>
    <n v="3777.8649999999998"/>
    <n v="3840.6451856560002"/>
    <n v="5237.1638999999996"/>
    <n v="1459.2988999999998"/>
    <n v="397.67"/>
    <n v="0"/>
    <n v="10203"/>
    <n v="3491.4426000000003"/>
    <n v="0"/>
    <n v="0"/>
    <n v="0"/>
    <n v="0"/>
    <n v="6712"/>
    <n v="0"/>
    <n v="6712"/>
    <s v="Release"/>
  </r>
  <r>
    <n v="0"/>
    <n v="0"/>
    <n v="0"/>
    <x v="581"/>
    <x v="573"/>
    <n v="0"/>
    <s v="vlc"/>
    <s v="Indirect"/>
    <n v="1014"/>
    <x v="14"/>
    <s v="Old"/>
    <d v="2024-06-01T00:00:00"/>
    <n v="2234.8000000000002"/>
    <n v="87746.73000000001"/>
    <n v="1676.1000000000001"/>
    <n v="2123.06"/>
    <n v="0"/>
    <n v="2632.4019000000003"/>
    <n v="509.34190000000035"/>
    <n v="223.48000000000002"/>
    <n v="642.3033762385827"/>
    <n v="2933"/>
    <n v="0"/>
    <n v="0"/>
    <n v="0"/>
    <n v="0"/>
    <n v="0"/>
    <n v="2933"/>
    <n v="0"/>
    <n v="2933"/>
    <s v="Release"/>
  </r>
  <r>
    <n v="0"/>
    <n v="0"/>
    <n v="0"/>
    <x v="582"/>
    <x v="574"/>
    <n v="0"/>
    <s v="vlc"/>
    <s v="Indirect"/>
    <n v="1014"/>
    <x v="14"/>
    <s v="Old"/>
    <d v="2024-07-12T00:00:00"/>
    <n v="496.4"/>
    <n v="26352.409999999996"/>
    <n v="372.29999999999995"/>
    <n v="471.58"/>
    <n v="0"/>
    <n v="790.57229999999981"/>
    <n v="318.99229999999983"/>
    <n v="49.64"/>
    <n v="794.65904580512961"/>
    <n v="0"/>
    <n v="0"/>
    <n v="0"/>
    <n v="0"/>
    <n v="0"/>
    <n v="0"/>
    <n v="0"/>
    <n v="0"/>
    <n v="0"/>
    <s v="Release"/>
  </r>
  <r>
    <n v="98264.532243855749"/>
    <n v="2334.7411204358432"/>
    <n v="100599.27336429158"/>
    <x v="583"/>
    <x v="575"/>
    <n v="0"/>
    <s v="MPG"/>
    <s v="Direct"/>
    <n v="1014"/>
    <x v="14"/>
    <s v="Old"/>
    <d v="2024-08-31T00:00:00"/>
    <n v="1065.3"/>
    <n v="50297.61"/>
    <n v="798.97499999999991"/>
    <n v="1012.0349999999999"/>
    <n v="1202.5531792320999"/>
    <n v="1508.9283"/>
    <n v="496.89330000000018"/>
    <n v="106.53"/>
    <n v="1637.7234228644729"/>
    <n v="1269"/>
    <n v="1269"/>
    <n v="0"/>
    <n v="0"/>
    <n v="0"/>
    <n v="0"/>
    <n v="0"/>
    <n v="0"/>
    <n v="0"/>
    <s v="Release"/>
  </r>
  <r>
    <n v="104500"/>
    <n v="1252.5871271922651"/>
    <n v="105752.58712719227"/>
    <x v="584"/>
    <x v="576"/>
    <n v="0"/>
    <s v="MPG"/>
    <s v="Direct"/>
    <n v="1014"/>
    <x v="14"/>
    <s v="Old"/>
    <d v="2024-10-25T00:00:00"/>
    <n v="334.9"/>
    <n v="13328.43"/>
    <n v="251.17499999999998"/>
    <n v="318.15499999999997"/>
    <n v="288.45895186269001"/>
    <n v="399.85289999999998"/>
    <n v="81.697900000000004"/>
    <n v="33.49"/>
    <n v="824.40883944953089"/>
    <n v="0"/>
    <n v="0"/>
    <n v="0"/>
    <n v="0"/>
    <n v="0"/>
    <n v="0"/>
    <n v="0"/>
    <n v="0"/>
    <n v="0"/>
    <s v="Release"/>
  </r>
  <r>
    <n v="0"/>
    <n v="0"/>
    <n v="0"/>
    <x v="585"/>
    <x v="577"/>
    <n v="0"/>
    <s v="vlc"/>
    <s v="Indirect"/>
    <n v="1014"/>
    <x v="14"/>
    <s v="Old"/>
    <d v="2024-09-06T00:00:00"/>
    <n v="786"/>
    <n v="31141.690000000002"/>
    <n v="589.5"/>
    <n v="746.69999999999993"/>
    <n v="0"/>
    <n v="934.25070000000005"/>
    <n v="187.55070000000012"/>
    <n v="78.600000000000009"/>
    <n v="1257.7145269291746"/>
    <n v="0"/>
    <n v="0"/>
    <n v="0"/>
    <n v="0"/>
    <n v="0"/>
    <n v="0"/>
    <n v="0"/>
    <n v="0"/>
    <n v="0"/>
    <s v="Release"/>
  </r>
  <r>
    <n v="66690.065571768006"/>
    <n v="9600"/>
    <n v="76290.065571768006"/>
    <x v="586"/>
    <x v="578"/>
    <n v="0"/>
    <s v="MPG"/>
    <s v="Direct"/>
    <n v="1014"/>
    <x v="14"/>
    <s v="Old"/>
    <d v="2024-10-25T00:00:00"/>
    <n v="805.5"/>
    <n v="35467.380000000005"/>
    <n v="604.125"/>
    <n v="765.22499999999991"/>
    <n v="580.56094088657505"/>
    <n v="1064.0214000000001"/>
    <n v="298.79640000000018"/>
    <n v="80.550000000000011"/>
    <n v="1759.2924145445572"/>
    <n v="110"/>
    <n v="110"/>
    <n v="0"/>
    <n v="0"/>
    <n v="0"/>
    <n v="0"/>
    <n v="0"/>
    <n v="0"/>
    <n v="0"/>
    <s v="Release"/>
  </r>
  <r>
    <n v="64415.585697262883"/>
    <n v="6400"/>
    <n v="70815.585697262883"/>
    <x v="587"/>
    <x v="579"/>
    <n v="0"/>
    <s v="MPG"/>
    <s v="Direct"/>
    <n v="1014"/>
    <x v="14"/>
    <s v="Old"/>
    <d v="2024-10-25T00:00:00"/>
    <n v="3509"/>
    <n v="133931.22"/>
    <n v="2631.75"/>
    <n v="3333.5499999999997"/>
    <n v="1005.01450235564"/>
    <n v="4017.9366"/>
    <n v="684.38660000000027"/>
    <n v="350.90000000000003"/>
    <n v="0"/>
    <n v="6619"/>
    <n v="2678.6244000000002"/>
    <n v="0"/>
    <n v="0"/>
    <n v="0"/>
    <n v="0"/>
    <n v="3940"/>
    <n v="3940"/>
    <n v="0"/>
    <s v="Yes"/>
  </r>
  <r>
    <n v="49904.395266122156"/>
    <n v="19200"/>
    <n v="69104.395266122156"/>
    <x v="588"/>
    <x v="580"/>
    <n v="0"/>
    <s v="MPG"/>
    <s v="Direct"/>
    <n v="1014"/>
    <x v="14"/>
    <s v="Old"/>
    <d v="2024-10-25T00:00:00"/>
    <n v="2797.6"/>
    <n v="116222.56"/>
    <n v="2098.1999999999998"/>
    <n v="2657.72"/>
    <n v="2607.2397171840003"/>
    <n v="3486.6767999999997"/>
    <n v="828.95679999999993"/>
    <n v="279.76"/>
    <n v="61.578426795655325"/>
    <n v="7022"/>
    <n v="2324.4512"/>
    <n v="0"/>
    <n v="0"/>
    <n v="0"/>
    <n v="0"/>
    <n v="4698"/>
    <n v="4698"/>
    <n v="0"/>
    <s v="Yes"/>
  </r>
  <r>
    <n v="0"/>
    <n v="9600"/>
    <n v="9600"/>
    <x v="589"/>
    <x v="581"/>
    <n v="0"/>
    <s v="MPG"/>
    <s v="Direct"/>
    <n v="1014"/>
    <x v="14"/>
    <s v="Old"/>
    <d v="2024-10-25T00:00:00"/>
    <n v="963.2"/>
    <n v="37606.559999999998"/>
    <n v="722.40000000000009"/>
    <n v="915.04"/>
    <n v="0"/>
    <n v="1128.1967999999999"/>
    <n v="213.15679999999998"/>
    <n v="96.320000000000007"/>
    <n v="1437.8307792186572"/>
    <n v="103"/>
    <n v="0"/>
    <n v="103"/>
    <n v="0"/>
    <n v="0"/>
    <n v="0"/>
    <n v="0"/>
    <n v="0"/>
    <n v="0"/>
    <s v="Release"/>
  </r>
  <r>
    <n v="70683"/>
    <n v="6400"/>
    <n v="77083"/>
    <x v="590"/>
    <x v="582"/>
    <n v="0"/>
    <s v="MPG"/>
    <s v="Direct"/>
    <n v="1014"/>
    <x v="14"/>
    <s v="Old"/>
    <d v="2024-10-25T00:00:00"/>
    <n v="694"/>
    <n v="25743.47"/>
    <n v="520.5"/>
    <n v="659.3"/>
    <n v="661.6097062020001"/>
    <n v="772.30410000000006"/>
    <n v="113.00410000000011"/>
    <n v="69.400000000000006"/>
    <n v="1562.6784208185693"/>
    <n v="209"/>
    <n v="209"/>
    <n v="0"/>
    <n v="0"/>
    <n v="0"/>
    <n v="0"/>
    <n v="0"/>
    <n v="0"/>
    <n v="0"/>
    <s v="Release"/>
  </r>
  <r>
    <n v="64468.880604471633"/>
    <n v="12800"/>
    <n v="77268.880604471633"/>
    <x v="591"/>
    <x v="583"/>
    <n v="0"/>
    <s v="MPG"/>
    <s v="Direct"/>
    <n v="1014"/>
    <x v="14"/>
    <s v="Old"/>
    <d v="2024-11-03T00:00:00"/>
    <n v="1809.3999999999999"/>
    <n v="71870.039999999994"/>
    <n v="1357.05"/>
    <n v="1718.9299999999998"/>
    <n v="1120.1652856436001"/>
    <n v="2156.1011999999996"/>
    <n v="437.17119999999977"/>
    <n v="180.94"/>
    <n v="792.73879797226141"/>
    <n v="3222"/>
    <n v="1861"/>
    <n v="0"/>
    <n v="0"/>
    <n v="0"/>
    <n v="0"/>
    <n v="1361"/>
    <n v="0"/>
    <n v="1361"/>
    <s v="Release"/>
  </r>
  <r>
    <n v="55187.608707506224"/>
    <n v="6400"/>
    <n v="61587.608707506224"/>
    <x v="592"/>
    <x v="584"/>
    <n v="0"/>
    <s v="MPG"/>
    <s v="Direct"/>
    <n v="1014"/>
    <x v="14"/>
    <s v="Old"/>
    <d v="2024-11-20T00:00:00"/>
    <n v="2369.6"/>
    <n v="106697.56000000001"/>
    <n v="1777.1999999999998"/>
    <n v="2251.12"/>
    <n v="477.42252207680002"/>
    <n v="3200.9268000000002"/>
    <n v="949.80680000000029"/>
    <n v="236.96"/>
    <n v="526.90042332384451"/>
    <n v="3742"/>
    <n v="2133.9512000000004"/>
    <n v="0"/>
    <n v="0"/>
    <n v="0"/>
    <n v="0"/>
    <n v="1608"/>
    <n v="0"/>
    <n v="1608"/>
    <s v="Release"/>
  </r>
  <r>
    <n v="0"/>
    <n v="0"/>
    <n v="0"/>
    <x v="593"/>
    <x v="585"/>
    <n v="0"/>
    <s v="vlc"/>
    <s v="Indirect"/>
    <n v="1014"/>
    <x v="14"/>
    <s v="Old"/>
    <d v="2024-12-03T00:00:00"/>
    <n v="505.09999999999997"/>
    <n v="23920.23"/>
    <n v="378.82499999999999"/>
    <n v="479.84499999999997"/>
    <n v="0"/>
    <n v="717.6069"/>
    <n v="237.76190000000003"/>
    <n v="50.51"/>
    <n v="807.82723569900281"/>
    <n v="0"/>
    <n v="0"/>
    <n v="0"/>
    <n v="0"/>
    <n v="0"/>
    <n v="0"/>
    <n v="0"/>
    <n v="0"/>
    <n v="0"/>
    <s v="Release"/>
  </r>
  <r>
    <n v="70511.387351001598"/>
    <n v="6400"/>
    <n v="76911.387351001598"/>
    <x v="594"/>
    <x v="586"/>
    <n v="0"/>
    <s v="MPG"/>
    <s v="Direct"/>
    <n v="1014"/>
    <x v="14"/>
    <s v="Old"/>
    <d v="2024-11-29T00:00:00"/>
    <n v="684.1"/>
    <n v="22933.74"/>
    <n v="513.07500000000005"/>
    <n v="649.89499999999998"/>
    <n v="1520.4919539530001"/>
    <n v="688.01220000000001"/>
    <n v="38.117200000000025"/>
    <n v="68.410000000000011"/>
    <n v="1419.6058590425055"/>
    <n v="1195"/>
    <n v="1195"/>
    <n v="0"/>
    <n v="0"/>
    <n v="0"/>
    <n v="0"/>
    <n v="0"/>
    <n v="0"/>
    <n v="0"/>
    <s v="Release"/>
  </r>
  <r>
    <n v="0"/>
    <n v="0"/>
    <n v="0"/>
    <x v="595"/>
    <x v="587"/>
    <n v="0"/>
    <s v="vlc"/>
    <s v="Indirect"/>
    <n v="1014"/>
    <x v="14"/>
    <s v="Old"/>
    <d v="2024-11-24T00:00:00"/>
    <n v="1326.6999999999998"/>
    <n v="68658.950000000012"/>
    <n v="995.02499999999986"/>
    <n v="1260.3649999999998"/>
    <n v="0"/>
    <n v="2059.7685000000001"/>
    <n v="799.40350000000035"/>
    <n v="132.66999999999999"/>
    <n v="1477.9505132729264"/>
    <n v="645"/>
    <n v="0"/>
    <n v="0"/>
    <n v="0"/>
    <n v="0"/>
    <n v="0"/>
    <n v="645"/>
    <n v="0"/>
    <n v="645"/>
    <s v="Release"/>
  </r>
  <r>
    <n v="74144.866907052114"/>
    <n v="0"/>
    <n v="74144.866907052114"/>
    <x v="596"/>
    <x v="588"/>
    <n v="0"/>
    <s v="MPG"/>
    <s v="Direct"/>
    <n v="1014"/>
    <x v="14"/>
    <s v="Old"/>
    <d v="2024-12-20T00:00:00"/>
    <n v="1403.2"/>
    <n v="53507.469999999994"/>
    <n v="1052.4000000000001"/>
    <n v="1333.04"/>
    <n v="1967.3867161239359"/>
    <n v="1605.2240999999997"/>
    <n v="272.18409999999972"/>
    <n v="140.32000000000002"/>
    <n v="1064.7270378349208"/>
    <n v="3148"/>
    <n v="1861"/>
    <n v="0"/>
    <n v="0"/>
    <n v="0"/>
    <n v="76.700000000000045"/>
    <n v="1210"/>
    <n v="0"/>
    <n v="1210"/>
    <s v="Release"/>
  </r>
  <r>
    <n v="90371"/>
    <n v="0"/>
    <n v="90371"/>
    <x v="597"/>
    <x v="589"/>
    <n v="0"/>
    <s v="MPG"/>
    <s v="Direct"/>
    <n v="1014"/>
    <x v="14"/>
    <s v="Old"/>
    <d v="2024-12-28T00:00:00"/>
    <n v="164.6"/>
    <n v="5621.15"/>
    <n v="123.44999999999999"/>
    <n v="156.36999999999998"/>
    <n v="36.353912760000007"/>
    <n v="168.63449999999997"/>
    <n v="12.264499999999998"/>
    <n v="16.46"/>
    <n v="300.1259284882367"/>
    <n v="0"/>
    <n v="0"/>
    <n v="0"/>
    <n v="0"/>
    <n v="0"/>
    <n v="0"/>
    <n v="0"/>
    <n v="0"/>
    <n v="0"/>
    <s v="Release"/>
  </r>
  <r>
    <n v="90375"/>
    <n v="0"/>
    <n v="90375"/>
    <x v="598"/>
    <x v="590"/>
    <n v="0"/>
    <s v="MPG"/>
    <s v="Direct"/>
    <n v="1014"/>
    <x v="14"/>
    <s v="Old"/>
    <d v="2024-12-29T00:00:00"/>
    <n v="448.1"/>
    <n v="19898.560000000001"/>
    <n v="336.07500000000005"/>
    <n v="425.69499999999999"/>
    <n v="545.24713889138002"/>
    <n v="596.95680000000004"/>
    <n v="171.26180000000005"/>
    <n v="44.81"/>
    <n v="1262.5018086101713"/>
    <n v="0"/>
    <n v="0"/>
    <n v="0"/>
    <n v="0"/>
    <n v="0"/>
    <n v="0"/>
    <n v="0"/>
    <n v="0"/>
    <n v="0"/>
    <s v="Release"/>
  </r>
  <r>
    <n v="87252"/>
    <n v="0"/>
    <n v="87252"/>
    <x v="599"/>
    <x v="591"/>
    <n v="0"/>
    <s v="MPG"/>
    <s v="Direct"/>
    <n v="1014"/>
    <x v="14"/>
    <s v="Old"/>
    <d v="2025-01-23T00:00:00"/>
    <n v="609.70000000000005"/>
    <n v="21176.679999999997"/>
    <n v="457.27500000000003"/>
    <n v="579.21500000000003"/>
    <n v="0"/>
    <n v="635.30039999999985"/>
    <n v="56.085399999999822"/>
    <n v="60.970000000000006"/>
    <n v="975.61830817287091"/>
    <n v="0"/>
    <n v="0"/>
    <n v="0"/>
    <n v="0"/>
    <n v="0"/>
    <n v="0"/>
    <n v="0"/>
    <n v="0"/>
    <n v="0"/>
    <s v="Release"/>
  </r>
  <r>
    <n v="79474.462751253755"/>
    <n v="0"/>
    <n v="79474.462751253755"/>
    <x v="600"/>
    <x v="592"/>
    <n v="0"/>
    <s v="MPG"/>
    <s v="Direct"/>
    <n v="1014"/>
    <x v="14"/>
    <s v="Old"/>
    <d v="2025-01-22T00:00:00"/>
    <n v="1283"/>
    <n v="47876.42"/>
    <n v="962.25"/>
    <n v="1218.8499999999999"/>
    <n v="1134.5033557892002"/>
    <n v="1436.2926"/>
    <n v="217.44260000000008"/>
    <n v="128.30000000000001"/>
    <n v="1131.6749508794533"/>
    <n v="2056"/>
    <n v="1861"/>
    <n v="0"/>
    <n v="0"/>
    <n v="0"/>
    <n v="0"/>
    <n v="195"/>
    <n v="0"/>
    <n v="195"/>
    <s v="Release"/>
  </r>
  <r>
    <n v="82420.321041713862"/>
    <n v="0"/>
    <n v="82420.321041713862"/>
    <x v="601"/>
    <x v="593"/>
    <n v="0"/>
    <s v="MPG"/>
    <s v="Direct"/>
    <n v="1014"/>
    <x v="14"/>
    <s v="Old"/>
    <d v="2025-01-27T00:00:00"/>
    <n v="2347"/>
    <n v="102335.10000000002"/>
    <n v="1760.25"/>
    <n v="2229.65"/>
    <n v="5437.5740196298566"/>
    <n v="3070.0530000000003"/>
    <n v="840.40300000000025"/>
    <n v="234.70000000000002"/>
    <n v="573.89093858678348"/>
    <n v="8619"/>
    <n v="2046.7020000000005"/>
    <n v="0"/>
    <n v="0"/>
    <n v="0"/>
    <n v="0"/>
    <n v="6572"/>
    <n v="6572"/>
    <n v="0"/>
    <s v="Yes"/>
  </r>
  <r>
    <n v="74742.206747597593"/>
    <n v="0"/>
    <n v="74742.206747597593"/>
    <x v="602"/>
    <x v="594"/>
    <n v="0"/>
    <s v="MPG"/>
    <s v="Direct"/>
    <n v="1014"/>
    <x v="14"/>
    <s v="Old"/>
    <d v="2025-01-30T00:00:00"/>
    <n v="3031.7"/>
    <n v="124722.01000000001"/>
    <n v="2273.7749999999996"/>
    <n v="2880.1149999999998"/>
    <n v="1947.357945556"/>
    <n v="3741.6603"/>
    <n v="861.54530000000022"/>
    <n v="303.17"/>
    <n v="7.9923131845842139"/>
    <n v="6790"/>
    <n v="2494.4402000000005"/>
    <n v="0"/>
    <n v="0"/>
    <n v="0"/>
    <n v="0"/>
    <n v="4296"/>
    <n v="0"/>
    <n v="4296"/>
    <s v="Release"/>
  </r>
  <r>
    <n v="87493"/>
    <n v="0"/>
    <n v="87493"/>
    <x v="603"/>
    <x v="595"/>
    <n v="0"/>
    <s v="MPG"/>
    <s v="Direct"/>
    <n v="1014"/>
    <x v="14"/>
    <s v="Old"/>
    <d v="2025-03-29T00:00:00"/>
    <n v="196.99999999999997"/>
    <n v="10300.68"/>
    <n v="147.74999999999997"/>
    <n v="187.14999999999998"/>
    <n v="38.191121579700003"/>
    <n v="309.0204"/>
    <n v="121.87040000000002"/>
    <n v="19.7"/>
    <n v="353.78062526218764"/>
    <n v="0"/>
    <n v="0"/>
    <n v="0"/>
    <n v="0"/>
    <n v="0"/>
    <n v="0"/>
    <n v="0"/>
    <n v="0"/>
    <n v="0"/>
    <s v="Release"/>
  </r>
  <r>
    <n v="0"/>
    <n v="0"/>
    <n v="0"/>
    <x v="604"/>
    <x v="596"/>
    <n v="0"/>
    <s v="vlc"/>
    <s v="Indirect"/>
    <n v="1014"/>
    <x v="14"/>
    <s v="Old"/>
    <d v="2025-03-29T00:00:00"/>
    <n v="2567.4000000000005"/>
    <n v="112502.02000000002"/>
    <n v="1925.5500000000004"/>
    <n v="2439.0300000000002"/>
    <n v="0"/>
    <n v="3375.0606000000002"/>
    <n v="936.03060000000005"/>
    <n v="256.74000000000007"/>
    <n v="220.88553037389599"/>
    <n v="3887"/>
    <n v="0"/>
    <n v="0"/>
    <n v="0"/>
    <n v="0"/>
    <n v="0"/>
    <n v="3887"/>
    <n v="0"/>
    <n v="3887"/>
    <s v="Release"/>
  </r>
  <r>
    <n v="110000"/>
    <n v="0"/>
    <n v="110000"/>
    <x v="605"/>
    <x v="597"/>
    <n v="0"/>
    <s v="MPG"/>
    <s v="Direct"/>
    <n v="1014"/>
    <x v="14"/>
    <s v="Old"/>
    <d v="2025-04-16T00:00:00"/>
    <n v="1506.6999999999998"/>
    <n v="58639.07"/>
    <n v="1130.0249999999999"/>
    <n v="1431.3649999999998"/>
    <n v="0"/>
    <n v="1759.1721"/>
    <n v="327.80710000000022"/>
    <n v="150.66999999999999"/>
    <n v="1005.5552216549136"/>
    <n v="1405"/>
    <n v="1405"/>
    <n v="0"/>
    <n v="0"/>
    <n v="0"/>
    <n v="0"/>
    <n v="0"/>
    <n v="0"/>
    <n v="0"/>
    <s v="Release"/>
  </r>
  <r>
    <n v="76098.373161805008"/>
    <n v="0"/>
    <n v="76098.373161805008"/>
    <x v="606"/>
    <x v="598"/>
    <n v="0"/>
    <s v="MPG"/>
    <s v="Direct"/>
    <n v="1014"/>
    <x v="14"/>
    <s v="Old"/>
    <d v="2025-04-27T00:00:00"/>
    <n v="3373.6000000000004"/>
    <n v="135648.93"/>
    <n v="2530.2000000000003"/>
    <n v="3204.92"/>
    <n v="679.47048232326006"/>
    <n v="4069.4678999999996"/>
    <n v="864.54789999999957"/>
    <n v="337.36000000000007"/>
    <n v="294.37408723972919"/>
    <n v="5783"/>
    <n v="2712.9785999999999"/>
    <n v="0"/>
    <n v="0"/>
    <n v="0"/>
    <n v="0"/>
    <n v="3070"/>
    <n v="0"/>
    <n v="3070"/>
    <s v="Release"/>
  </r>
  <r>
    <n v="80695"/>
    <n v="0"/>
    <n v="80695"/>
    <x v="607"/>
    <x v="599"/>
    <n v="0"/>
    <s v="MPG"/>
    <s v="Direct"/>
    <n v="1014"/>
    <x v="14"/>
    <s v="Old"/>
    <d v="2025-04-30T00:00:00"/>
    <n v="4175.8999999999996"/>
    <n v="151138.69"/>
    <n v="3131.9249999999997"/>
    <n v="3967.1049999999996"/>
    <n v="1334.4622788304002"/>
    <n v="4534.1606999999995"/>
    <n v="567.05569999999989"/>
    <n v="417.59"/>
    <n v="0"/>
    <n v="8016"/>
    <n v="3022.7737999999999"/>
    <n v="0"/>
    <n v="0"/>
    <n v="0"/>
    <n v="0"/>
    <n v="4993"/>
    <n v="4993"/>
    <n v="0"/>
    <s v="Yes"/>
  </r>
  <r>
    <n v="95464"/>
    <n v="0"/>
    <n v="95464"/>
    <x v="608"/>
    <x v="600"/>
    <n v="0"/>
    <s v="MPG"/>
    <s v="Direct"/>
    <n v="1014"/>
    <x v="14"/>
    <s v="Old"/>
    <d v="2025-04-28T00:00:00"/>
    <n v="473.09999999999997"/>
    <n v="18867.22"/>
    <n v="354.82499999999999"/>
    <n v="449.44499999999994"/>
    <n v="1.71"/>
    <n v="566.01660000000004"/>
    <n v="116.5716000000001"/>
    <n v="47.31"/>
    <n v="758.42898249852601"/>
    <n v="0"/>
    <n v="0"/>
    <n v="0"/>
    <n v="0"/>
    <n v="0"/>
    <n v="0"/>
    <n v="0"/>
    <n v="0"/>
    <n v="0"/>
    <s v="Release"/>
  </r>
  <r>
    <n v="0"/>
    <n v="0"/>
    <n v="0"/>
    <x v="609"/>
    <x v="601"/>
    <n v="0"/>
    <s v="vlc"/>
    <s v="Indirect"/>
    <n v="1014"/>
    <x v="14"/>
    <s v="Old"/>
    <d v="2025-06-29T00:00:00"/>
    <n v="1733.6"/>
    <n v="47046.59"/>
    <n v="1300.1999999999998"/>
    <n v="1646.9199999999998"/>
    <n v="0"/>
    <n v="1411.3976999999998"/>
    <n v="-235.52230000000009"/>
    <n v="173.36"/>
    <n v="628.30983852364488"/>
    <n v="2145"/>
    <n v="0"/>
    <n v="0"/>
    <n v="0"/>
    <n v="0"/>
    <n v="0"/>
    <n v="2145"/>
    <n v="0"/>
    <n v="2145"/>
    <s v="Release"/>
  </r>
  <r>
    <n v="0"/>
    <n v="0"/>
    <n v="0"/>
    <x v="610"/>
    <x v="602"/>
    <n v="0"/>
    <s v="vlc"/>
    <s v="Indirect"/>
    <n v="1014"/>
    <x v="14"/>
    <s v="Old"/>
    <d v="2025-05-09T00:00:00"/>
    <n v="1870.6"/>
    <n v="67832.09"/>
    <n v="1402.9499999999998"/>
    <n v="1777.07"/>
    <n v="0"/>
    <n v="2034.9626999999998"/>
    <n v="257.89269999999988"/>
    <n v="187.06"/>
    <n v="673.12621656836961"/>
    <n v="2320"/>
    <n v="0"/>
    <n v="0"/>
    <n v="0"/>
    <n v="0"/>
    <n v="0"/>
    <n v="2320"/>
    <n v="0"/>
    <n v="2320"/>
    <s v="Release"/>
  </r>
  <r>
    <n v="94796"/>
    <n v="0"/>
    <n v="94796"/>
    <x v="611"/>
    <x v="603"/>
    <n v="0"/>
    <s v="MPG"/>
    <s v="Direct"/>
    <n v="1014"/>
    <x v="14"/>
    <s v="Old"/>
    <d v="2025-05-23T00:00:00"/>
    <n v="858.3"/>
    <n v="36865.629999999997"/>
    <n v="643.72499999999991"/>
    <n v="815.38499999999988"/>
    <n v="501.66892330400003"/>
    <n v="1105.9688999999998"/>
    <n v="290.58389999999997"/>
    <n v="85.83"/>
    <n v="1674.1731224312916"/>
    <n v="201"/>
    <n v="201"/>
    <n v="0"/>
    <n v="0"/>
    <n v="0"/>
    <n v="0"/>
    <n v="0"/>
    <n v="0"/>
    <n v="0"/>
    <s v="Release"/>
  </r>
  <r>
    <n v="88200.810581970407"/>
    <n v="0"/>
    <n v="88200.810581970407"/>
    <x v="612"/>
    <x v="604"/>
    <n v="0"/>
    <s v="MPG"/>
    <s v="Direct"/>
    <n v="1014"/>
    <x v="14"/>
    <s v="Old"/>
    <d v="2025-05-23T00:00:00"/>
    <n v="2345.1000000000004"/>
    <n v="94069.7"/>
    <n v="1758.8250000000003"/>
    <n v="2227.8450000000003"/>
    <n v="1725.6290463079999"/>
    <n v="2822.0909999999999"/>
    <n v="594.24599999999964"/>
    <n v="234.51000000000005"/>
    <n v="364.49164122182515"/>
    <n v="5113"/>
    <n v="1881.394"/>
    <n v="0"/>
    <n v="0"/>
    <n v="0"/>
    <n v="0"/>
    <n v="3232"/>
    <n v="3232"/>
    <n v="0"/>
    <s v="Yes"/>
  </r>
  <r>
    <n v="96798"/>
    <n v="0"/>
    <n v="96798"/>
    <x v="613"/>
    <x v="605"/>
    <n v="0"/>
    <s v="MPG"/>
    <s v="Direct"/>
    <n v="1014"/>
    <x v="14"/>
    <s v="Old"/>
    <d v="2025-06-01T00:00:00"/>
    <n v="1725.9"/>
    <n v="67401.48"/>
    <n v="1294.4250000000002"/>
    <n v="1639.605"/>
    <n v="478.12371808"/>
    <n v="2022.0443999999998"/>
    <n v="382.43939999999975"/>
    <n v="172.59000000000003"/>
    <n v="839.18546168208707"/>
    <n v="2400"/>
    <n v="1861"/>
    <n v="0"/>
    <n v="0"/>
    <n v="0"/>
    <n v="0"/>
    <n v="539"/>
    <n v="539"/>
    <n v="0"/>
    <s v="Yes"/>
  </r>
  <r>
    <n v="0"/>
    <n v="0"/>
    <n v="0"/>
    <x v="614"/>
    <x v="606"/>
    <n v="0"/>
    <s v="vlc"/>
    <s v="Indirect"/>
    <n v="1014"/>
    <x v="14"/>
    <s v="Old"/>
    <d v="2025-06-01T00:00:00"/>
    <n v="6997.6"/>
    <n v="303904.93000000005"/>
    <n v="5248.2000000000007"/>
    <n v="6647.72"/>
    <n v="0"/>
    <n v="9117.1479000000018"/>
    <n v="2469.4279000000015"/>
    <n v="699.7600000000001"/>
    <n v="0"/>
    <n v="11196"/>
    <n v="0"/>
    <n v="0"/>
    <n v="0"/>
    <n v="0"/>
    <n v="0"/>
    <n v="11196"/>
    <n v="0"/>
    <n v="11196"/>
    <s v="Release"/>
  </r>
  <r>
    <n v="97709.382400000002"/>
    <n v="0"/>
    <n v="97709.382400000002"/>
    <x v="615"/>
    <x v="607"/>
    <n v="0"/>
    <s v="MPG"/>
    <s v="Direct"/>
    <n v="1014"/>
    <x v="14"/>
    <s v="Old"/>
    <d v="2025-06-28T00:00:00"/>
    <n v="1404.1"/>
    <n v="64614.400000000001"/>
    <n v="1053.0749999999998"/>
    <n v="1333.8949999999998"/>
    <n v="20.307899062440001"/>
    <n v="1938.432"/>
    <n v="604.53700000000026"/>
    <n v="140.41"/>
    <n v="1288.8845611857632"/>
    <n v="978"/>
    <n v="978"/>
    <n v="0"/>
    <n v="0"/>
    <n v="0"/>
    <n v="0"/>
    <n v="0"/>
    <n v="0"/>
    <n v="0"/>
    <s v="Release"/>
  </r>
  <r>
    <n v="90000"/>
    <n v="0"/>
    <n v="90000"/>
    <x v="616"/>
    <x v="608"/>
    <n v="0"/>
    <s v="MPG"/>
    <s v="Direct"/>
    <n v="1014"/>
    <x v="14"/>
    <s v="Old"/>
    <d v="2025-07-30T00:00:00"/>
    <n v="5352.2000000000007"/>
    <n v="220640.1"/>
    <n v="4014.1500000000005"/>
    <n v="5084.59"/>
    <n v="0"/>
    <n v="6619.2029999999995"/>
    <n v="1534.6129999999994"/>
    <n v="535.22000000000014"/>
    <n v="0"/>
    <n v="8564"/>
    <n v="4412.8020000000006"/>
    <n v="0"/>
    <n v="0"/>
    <n v="0"/>
    <n v="0"/>
    <n v="4151"/>
    <n v="0"/>
    <n v="4151"/>
    <s v="Release"/>
  </r>
  <r>
    <n v="0"/>
    <n v="0"/>
    <n v="0"/>
    <x v="617"/>
    <x v="609"/>
    <n v="0"/>
    <s v="RMC"/>
    <s v="Indirect"/>
    <n v="1002"/>
    <x v="2"/>
    <s v="Old"/>
    <d v="2019-02-14T00:00:00"/>
    <n v="3781.2"/>
    <n v="150600.5"/>
    <n v="2835.8999999999996"/>
    <n v="3592.14"/>
    <n v="0"/>
    <n v="4518.0149999999994"/>
    <n v="925.87499999999955"/>
    <n v="378.12"/>
    <n v="0"/>
    <n v="6050"/>
    <n v="0"/>
    <n v="0"/>
    <n v="0"/>
    <n v="0"/>
    <n v="0"/>
    <n v="6050"/>
    <n v="0"/>
    <n v="6050"/>
    <s v="Release"/>
  </r>
  <r>
    <n v="0"/>
    <n v="0"/>
    <n v="0"/>
    <x v="618"/>
    <x v="610"/>
    <n v="0"/>
    <s v="RMC"/>
    <s v="Direct"/>
    <n v="1002"/>
    <x v="2"/>
    <s v="Old"/>
    <d v="2017-09-01T00:00:00"/>
    <n v="320.5"/>
    <n v="12733.47"/>
    <n v="240.375"/>
    <n v="304.47499999999997"/>
    <n v="0"/>
    <n v="382.00409999999999"/>
    <n v="77.529100000000028"/>
    <n v="32.050000000000004"/>
    <n v="301.55081840873635"/>
    <n v="211"/>
    <n v="0"/>
    <n v="0"/>
    <n v="0"/>
    <n v="0"/>
    <n v="0"/>
    <n v="211"/>
    <n v="0"/>
    <n v="211"/>
    <s v="Release"/>
  </r>
  <r>
    <n v="0"/>
    <n v="0"/>
    <n v="0"/>
    <x v="619"/>
    <x v="611"/>
    <n v="0"/>
    <s v="RMC"/>
    <s v="Direct"/>
    <n v="1003"/>
    <x v="3"/>
    <s v="Old"/>
    <d v="2017-09-01T00:00:00"/>
    <n v="1703"/>
    <n v="56483.4"/>
    <n v="1277.25"/>
    <n v="1617.85"/>
    <n v="684.22331745000008"/>
    <n v="1694.502"/>
    <n v="76.652000000000044"/>
    <n v="170.3"/>
    <n v="737.97199999999998"/>
    <n v="2671"/>
    <n v="0"/>
    <n v="0"/>
    <n v="0"/>
    <n v="0"/>
    <n v="0"/>
    <n v="2671"/>
    <n v="0"/>
    <n v="2671"/>
    <s v="Release"/>
  </r>
  <r>
    <n v="0"/>
    <n v="0"/>
    <n v="0"/>
    <x v="620"/>
    <x v="612"/>
    <n v="0"/>
    <s v="MPG"/>
    <s v="Direct"/>
    <n v="1003"/>
    <x v="3"/>
    <s v="Old"/>
    <d v="2017-09-01T00:00:00"/>
    <n v="472.65000000000003"/>
    <n v="22422.04"/>
    <n v="354.48750000000001"/>
    <n v="449.01749999999998"/>
    <n v="508.10274805612499"/>
    <n v="672.66120000000001"/>
    <n v="223.64370000000002"/>
    <n v="47.265000000000008"/>
    <n v="1264.4212467756779"/>
    <n v="0"/>
    <n v="0"/>
    <n v="0"/>
    <n v="0"/>
    <n v="0"/>
    <n v="0"/>
    <n v="0"/>
    <n v="0"/>
    <n v="0"/>
    <s v="Release"/>
  </r>
  <r>
    <n v="0"/>
    <n v="0"/>
    <n v="0"/>
    <x v="621"/>
    <x v="613"/>
    <n v="0"/>
    <s v="RMC"/>
    <s v="Direct"/>
    <n v="1003"/>
    <x v="3"/>
    <s v="Old"/>
    <d v="2017-09-01T00:00:00"/>
    <n v="2608"/>
    <n v="103170.75"/>
    <n v="1956"/>
    <n v="2477.6"/>
    <n v="2436.85130865066"/>
    <n v="3095.1224999999999"/>
    <n v="617.52250000000004"/>
    <n v="260.8"/>
    <n v="312.91765313817444"/>
    <n v="6297"/>
    <n v="0"/>
    <n v="0"/>
    <n v="0"/>
    <n v="0"/>
    <n v="0"/>
    <n v="6297"/>
    <n v="0"/>
    <n v="6297"/>
    <s v="Release"/>
  </r>
  <r>
    <n v="0"/>
    <n v="0"/>
    <n v="0"/>
    <x v="622"/>
    <x v="614"/>
    <n v="0"/>
    <s v="RMC"/>
    <s v="Direct"/>
    <n v="1003"/>
    <x v="3"/>
    <s v="Old"/>
    <d v="2017-09-01T00:00:00"/>
    <n v="3543"/>
    <n v="148345.81"/>
    <n v="2657.25"/>
    <n v="3365.85"/>
    <n v="1929.6825847200002"/>
    <n v="4450.3742999999995"/>
    <n v="1084.5242999999996"/>
    <n v="354.3"/>
    <n v="252.06720000000001"/>
    <n v="7346"/>
    <n v="0"/>
    <n v="0"/>
    <n v="0"/>
    <n v="0"/>
    <n v="0"/>
    <n v="7346"/>
    <n v="0"/>
    <n v="7346"/>
    <s v="Release"/>
  </r>
  <r>
    <n v="0"/>
    <n v="0"/>
    <n v="0"/>
    <x v="623"/>
    <x v="615"/>
    <n v="0"/>
    <s v="RMC"/>
    <s v="Direct"/>
    <n v="1003"/>
    <x v="3"/>
    <s v="Old"/>
    <d v="2017-09-01T00:00:00"/>
    <n v="2719"/>
    <n v="96708.67"/>
    <n v="2039.25"/>
    <n v="2583.0499999999997"/>
    <n v="769.33234868850002"/>
    <n v="2901.2601"/>
    <n v="318.21010000000024"/>
    <n v="271.90000000000003"/>
    <n v="400.65719999999993"/>
    <n v="4719"/>
    <n v="0"/>
    <n v="0"/>
    <n v="0"/>
    <n v="0"/>
    <n v="0"/>
    <n v="4719"/>
    <n v="0"/>
    <n v="4719"/>
    <s v="Release"/>
  </r>
  <r>
    <n v="0"/>
    <n v="0"/>
    <n v="0"/>
    <x v="624"/>
    <x v="616"/>
    <n v="0"/>
    <s v="RMC"/>
    <s v="Direct"/>
    <n v="1006"/>
    <x v="4"/>
    <s v="Old"/>
    <d v="2017-09-01T00:00:00"/>
    <n v="1760.4"/>
    <n v="73495.200000000012"/>
    <n v="1320.3000000000002"/>
    <n v="1672.38"/>
    <n v="578.46270816000015"/>
    <n v="2204.8560000000002"/>
    <n v="532.47600000000011"/>
    <n v="176.04000000000002"/>
    <n v="887.41942267184083"/>
    <n v="2508"/>
    <n v="0"/>
    <n v="0"/>
    <n v="0"/>
    <n v="0"/>
    <n v="0"/>
    <n v="2508"/>
    <n v="0"/>
    <n v="2508"/>
    <s v="Release"/>
  </r>
  <r>
    <n v="0"/>
    <n v="0"/>
    <n v="0"/>
    <x v="625"/>
    <x v="617"/>
    <n v="0"/>
    <s v="vlc"/>
    <s v="Indirect"/>
    <n v="1006"/>
    <x v="4"/>
    <s v="Old"/>
    <d v="2017-09-01T00:00:00"/>
    <n v="2027.8999999999999"/>
    <n v="104069.08"/>
    <n v="1520.925"/>
    <n v="1926.5049999999999"/>
    <n v="0"/>
    <n v="3122.0724"/>
    <n v="1195.5674000000001"/>
    <n v="202.79"/>
    <n v="787.77658946943143"/>
    <n v="2457"/>
    <n v="0"/>
    <n v="0"/>
    <n v="0"/>
    <n v="0"/>
    <n v="0"/>
    <n v="2457"/>
    <n v="0"/>
    <n v="2457"/>
    <s v="Release"/>
  </r>
  <r>
    <n v="0"/>
    <n v="0"/>
    <n v="0"/>
    <x v="626"/>
    <x v="618"/>
    <n v="0"/>
    <s v="RMC"/>
    <s v="Direct"/>
    <n v="1006"/>
    <x v="4"/>
    <s v="Old"/>
    <d v="2017-09-01T00:00:00"/>
    <n v="1569.9"/>
    <n v="69575.510000000009"/>
    <n v="1177.4250000000002"/>
    <n v="1491.405"/>
    <n v="798.40915348200008"/>
    <n v="2087.2653"/>
    <n v="595.86030000000005"/>
    <n v="156.99"/>
    <n v="522.00283242423484"/>
    <n v="2788"/>
    <n v="0"/>
    <n v="0"/>
    <n v="0"/>
    <n v="0"/>
    <n v="0"/>
    <n v="2788"/>
    <n v="0"/>
    <n v="2788"/>
    <s v="Release"/>
  </r>
  <r>
    <n v="0"/>
    <n v="0"/>
    <n v="0"/>
    <x v="627"/>
    <x v="619"/>
    <n v="0"/>
    <s v="vlc"/>
    <s v="Indirect"/>
    <n v="1006"/>
    <x v="4"/>
    <s v="Old"/>
    <d v="2017-09-01T00:00:00"/>
    <n v="3005.2999999999997"/>
    <n v="114530.1"/>
    <n v="2253.9749999999999"/>
    <n v="2855.0349999999994"/>
    <n v="0"/>
    <n v="3435.9030000000002"/>
    <n v="580.86800000000085"/>
    <n v="300.52999999999997"/>
    <n v="163.09851382823874"/>
    <n v="4645"/>
    <n v="0"/>
    <n v="0"/>
    <n v="0"/>
    <n v="0"/>
    <n v="0"/>
    <n v="4645"/>
    <n v="0"/>
    <n v="4645"/>
    <s v="Release"/>
  </r>
  <r>
    <n v="0"/>
    <n v="0"/>
    <n v="0"/>
    <x v="628"/>
    <x v="620"/>
    <n v="0"/>
    <s v="vlc"/>
    <s v="Indirect"/>
    <n v="1006"/>
    <x v="4"/>
    <s v="Old"/>
    <d v="2017-09-01T00:00:00"/>
    <n v="2506.2999999999997"/>
    <n v="95090.58"/>
    <n v="1879.7249999999999"/>
    <n v="2380.9849999999997"/>
    <n v="0"/>
    <n v="2852.7174"/>
    <n v="471.73240000000033"/>
    <n v="250.63"/>
    <n v="342.67950561333208"/>
    <n v="3667"/>
    <n v="0"/>
    <n v="0"/>
    <n v="0"/>
    <n v="0"/>
    <n v="0"/>
    <n v="3667"/>
    <n v="0"/>
    <n v="3667"/>
    <s v="Release"/>
  </r>
  <r>
    <n v="0"/>
    <n v="25600"/>
    <n v="25600"/>
    <x v="629"/>
    <x v="621"/>
    <n v="0"/>
    <s v="RMC"/>
    <s v="Direct"/>
    <n v="1006"/>
    <x v="4"/>
    <s v="Old"/>
    <d v="2017-09-01T00:00:00"/>
    <n v="2305"/>
    <n v="89849.8"/>
    <n v="1728.75"/>
    <n v="2189.75"/>
    <n v="1351.7220689440001"/>
    <n v="2695.4940000000001"/>
    <n v="505.74400000000014"/>
    <n v="230.5"/>
    <n v="385.86262595419856"/>
    <n v="4654"/>
    <n v="0"/>
    <n v="1796.9960000000001"/>
    <n v="0"/>
    <n v="0"/>
    <n v="0"/>
    <n v="2857"/>
    <n v="0"/>
    <n v="2857"/>
    <s v="Release"/>
  </r>
  <r>
    <n v="0"/>
    <n v="0"/>
    <n v="0"/>
    <x v="630"/>
    <x v="622"/>
    <n v="0"/>
    <s v="RMC"/>
    <s v="Direct"/>
    <n v="1036"/>
    <x v="9"/>
    <s v="Old"/>
    <d v="2017-09-01T00:00:00"/>
    <n v="5636"/>
    <n v="216202.90999999997"/>
    <n v="4227"/>
    <n v="5354.2"/>
    <n v="6970.1817399900001"/>
    <n v="6486.0872999999992"/>
    <n v="1131.8872999999994"/>
    <n v="563.6"/>
    <n v="0"/>
    <n v="15988"/>
    <n v="0"/>
    <n v="0"/>
    <n v="0"/>
    <n v="0"/>
    <n v="878.80000000000018"/>
    <n v="15109"/>
    <n v="0"/>
    <n v="15109"/>
    <s v="Release"/>
  </r>
  <r>
    <n v="0"/>
    <n v="0"/>
    <n v="0"/>
    <x v="631"/>
    <x v="623"/>
    <n v="0"/>
    <s v="RMC"/>
    <s v="Direct"/>
    <n v="1007"/>
    <x v="5"/>
    <s v="Old"/>
    <d v="2017-09-01T00:00:00"/>
    <n v="269"/>
    <n v="9208.51"/>
    <n v="201.75"/>
    <n v="255.54999999999998"/>
    <n v="0"/>
    <n v="276.25529999999998"/>
    <n v="20.705299999999994"/>
    <n v="26.900000000000002"/>
    <n v="430.6697999999999"/>
    <n v="0"/>
    <n v="0"/>
    <n v="0"/>
    <n v="0"/>
    <n v="0"/>
    <n v="0"/>
    <n v="0"/>
    <n v="0"/>
    <n v="0"/>
    <s v="Release"/>
  </r>
  <r>
    <n v="0"/>
    <n v="0"/>
    <n v="0"/>
    <x v="632"/>
    <x v="624"/>
    <n v="0"/>
    <s v="RMC"/>
    <s v="Direct"/>
    <n v="1007"/>
    <x v="5"/>
    <s v="Old"/>
    <d v="2017-09-01T00:00:00"/>
    <n v="1455"/>
    <n v="50667.119999999995"/>
    <n v="1091.25"/>
    <n v="1382.25"/>
    <n v="521.95350400000007"/>
    <n v="1520.0135999999998"/>
    <n v="137.76359999999977"/>
    <n v="145.5"/>
    <n v="950.92044857991266"/>
    <n v="1899"/>
    <n v="0"/>
    <n v="0"/>
    <n v="0"/>
    <n v="0"/>
    <n v="0"/>
    <n v="1899"/>
    <n v="0"/>
    <n v="1899"/>
    <s v="Release"/>
  </r>
  <r>
    <n v="0"/>
    <n v="0"/>
    <n v="0"/>
    <x v="633"/>
    <x v="625"/>
    <n v="0"/>
    <s v="RMC"/>
    <s v="Indirect"/>
    <n v="1007"/>
    <x v="5"/>
    <s v="Old"/>
    <d v="2023-01-20T00:00:00"/>
    <n v="968"/>
    <n v="33695.980000000003"/>
    <n v="726"/>
    <n v="919.59999999999991"/>
    <n v="73.350467200000011"/>
    <n v="1010.8794"/>
    <n v="91.279400000000123"/>
    <n v="96.800000000000011"/>
    <n v="1280.8032691233434"/>
    <n v="341"/>
    <n v="0"/>
    <n v="0"/>
    <n v="0"/>
    <n v="0"/>
    <n v="0"/>
    <n v="341"/>
    <n v="0"/>
    <n v="341"/>
    <s v="Release"/>
  </r>
  <r>
    <n v="0"/>
    <n v="0"/>
    <n v="0"/>
    <x v="634"/>
    <x v="626"/>
    <n v="0"/>
    <s v="RMC"/>
    <s v="Direct"/>
    <n v="1007"/>
    <x v="5"/>
    <s v="Old"/>
    <d v="2017-09-01T00:00:00"/>
    <n v="2116"/>
    <n v="72818.44"/>
    <n v="1587"/>
    <n v="2010.1999999999998"/>
    <n v="514.04044800000008"/>
    <n v="2184.5531999999998"/>
    <n v="174.35320000000002"/>
    <n v="211.60000000000002"/>
    <n v="474.10042886610688"/>
    <n v="3426"/>
    <n v="0"/>
    <n v="0"/>
    <n v="0"/>
    <n v="0"/>
    <n v="0"/>
    <n v="3426"/>
    <n v="0"/>
    <n v="3426"/>
    <s v="Release"/>
  </r>
  <r>
    <n v="0"/>
    <n v="0"/>
    <n v="0"/>
    <x v="635"/>
    <x v="627"/>
    <n v="0"/>
    <s v="RMC"/>
    <s v="Direct"/>
    <n v="1007"/>
    <x v="5"/>
    <s v="Old"/>
    <d v="2017-12-11T00:00:00"/>
    <n v="2686"/>
    <n v="95875.079999999987"/>
    <n v="2014.5"/>
    <n v="2551.6999999999998"/>
    <n v="498.724356"/>
    <n v="2876.2523999999994"/>
    <n v="324.55239999999958"/>
    <n v="268.60000000000002"/>
    <n v="284.23696924929754"/>
    <n v="4512"/>
    <n v="0"/>
    <n v="0"/>
    <n v="0"/>
    <n v="0"/>
    <n v="0"/>
    <n v="4512"/>
    <n v="0"/>
    <n v="4512"/>
    <s v="Release"/>
  </r>
  <r>
    <n v="0"/>
    <n v="0"/>
    <n v="0"/>
    <x v="636"/>
    <x v="628"/>
    <n v="0"/>
    <s v="MPG"/>
    <s v="Direct"/>
    <n v="1011"/>
    <x v="7"/>
    <s v="Old"/>
    <d v="2017-09-01T00:00:00"/>
    <n v="249.45000000000002"/>
    <n v="8707.5399999999991"/>
    <n v="187.08750000000001"/>
    <n v="236.97749999999999"/>
    <n v="0"/>
    <n v="261.22619999999995"/>
    <n v="24.248699999999957"/>
    <n v="24.945000000000004"/>
    <n v="399.29272435167604"/>
    <n v="0"/>
    <n v="0"/>
    <n v="0"/>
    <n v="0"/>
    <n v="0"/>
    <n v="0"/>
    <n v="0"/>
    <n v="0"/>
    <n v="0"/>
    <s v="Release"/>
  </r>
  <r>
    <n v="0"/>
    <n v="0"/>
    <n v="0"/>
    <x v="637"/>
    <x v="629"/>
    <n v="0"/>
    <s v="RMC"/>
    <s v="Direct"/>
    <n v="1003"/>
    <x v="3"/>
    <s v="Old"/>
    <d v="2017-09-01T00:00:00"/>
    <n v="1080.55"/>
    <n v="38377.449999999997"/>
    <n v="810.41249999999991"/>
    <n v="1026.5224999999998"/>
    <n v="231.97274433600003"/>
    <n v="1151.3235"/>
    <n v="124.80100000000016"/>
    <n v="108.05500000000001"/>
    <n v="1196.8679871606635"/>
    <n v="764"/>
    <n v="0"/>
    <n v="0"/>
    <n v="0"/>
    <n v="0"/>
    <n v="0"/>
    <n v="764"/>
    <n v="0"/>
    <n v="764"/>
    <s v="Release"/>
  </r>
  <r>
    <n v="36169.224960733525"/>
    <n v="10148.287325208319"/>
    <n v="46317.512285941848"/>
    <x v="638"/>
    <x v="630"/>
    <n v="0"/>
    <s v="MPG"/>
    <s v="Direct"/>
    <n v="1003"/>
    <x v="3"/>
    <s v="Old"/>
    <d v="2023-03-03T00:00:00"/>
    <n v="263.35000000000002"/>
    <n v="8609.2800000000007"/>
    <n v="197.51250000000002"/>
    <n v="250.1825"/>
    <n v="247.60289986999999"/>
    <n v="258.27840000000003"/>
    <n v="8.0959000000000287"/>
    <n v="26.335000000000004"/>
    <n v="668.87256140309637"/>
    <n v="0"/>
    <n v="0"/>
    <n v="0"/>
    <n v="0"/>
    <n v="0"/>
    <n v="0"/>
    <n v="0"/>
    <n v="0"/>
    <n v="0"/>
    <s v="Release"/>
  </r>
  <r>
    <n v="51643.4954"/>
    <n v="0"/>
    <n v="51643.4954"/>
    <x v="639"/>
    <x v="631"/>
    <n v="0"/>
    <s v="MPG"/>
    <s v="Direct"/>
    <n v="1036"/>
    <x v="9"/>
    <s v="Old"/>
    <d v="2019-10-18T00:00:00"/>
    <n v="1210.3999999999999"/>
    <n v="42326.42"/>
    <n v="907.8"/>
    <n v="1149.8799999999999"/>
    <n v="448.03778691640002"/>
    <n v="1269.7926"/>
    <n v="119.91260000000011"/>
    <n v="121.03999999999999"/>
    <n v="1104.3259784056188"/>
    <n v="1280"/>
    <n v="1280"/>
    <n v="0"/>
    <n v="0"/>
    <n v="0"/>
    <n v="0"/>
    <n v="0"/>
    <n v="0"/>
    <n v="0"/>
    <s v="Release"/>
  </r>
  <r>
    <n v="0"/>
    <n v="0"/>
    <n v="0"/>
    <x v="640"/>
    <x v="632"/>
    <n v="0"/>
    <s v="vlc"/>
    <s v="Indirect"/>
    <n v="1036"/>
    <x v="9"/>
    <s v="Old"/>
    <d v="2019-10-18T00:00:00"/>
    <n v="714.7"/>
    <n v="24367.39"/>
    <n v="536.02500000000009"/>
    <n v="678.96500000000003"/>
    <n v="0"/>
    <n v="731.02170000000001"/>
    <n v="52.056699999999978"/>
    <n v="71.470000000000013"/>
    <n v="1143.7777110371967"/>
    <n v="0"/>
    <n v="0"/>
    <n v="0"/>
    <n v="0"/>
    <n v="0"/>
    <n v="0"/>
    <n v="0"/>
    <n v="0"/>
    <n v="0"/>
    <s v="Release"/>
  </r>
  <r>
    <n v="0"/>
    <n v="0"/>
    <n v="0"/>
    <x v="641"/>
    <x v="633"/>
    <n v="0"/>
    <s v="vlc"/>
    <s v="Indirect"/>
    <n v="1007"/>
    <x v="5"/>
    <s v="Old"/>
    <d v="2020-04-11T00:00:00"/>
    <n v="1170"/>
    <n v="39304.589999999997"/>
    <n v="877.5"/>
    <n v="1111.5"/>
    <n v="0"/>
    <n v="1179.1376999999998"/>
    <n v="67.637699999999768"/>
    <n v="117"/>
    <n v="1089.9472384615383"/>
    <n v="782"/>
    <n v="0"/>
    <n v="0"/>
    <n v="0"/>
    <n v="0"/>
    <n v="0"/>
    <n v="782"/>
    <n v="0"/>
    <n v="782"/>
    <s v="Release"/>
  </r>
  <r>
    <n v="36052.025469606597"/>
    <n v="26155.087123998721"/>
    <n v="62207.112593605314"/>
    <x v="642"/>
    <x v="634"/>
    <n v="0"/>
    <s v="MPG"/>
    <s v="Direct"/>
    <n v="1036"/>
    <x v="9"/>
    <s v="Old"/>
    <d v="2023-02-17T00:00:00"/>
    <n v="389.5"/>
    <n v="14828.86"/>
    <n v="292.125"/>
    <n v="370.02499999999998"/>
    <n v="189.32604167850002"/>
    <n v="444.86579999999998"/>
    <n v="74.840800000000002"/>
    <n v="38.950000000000003"/>
    <n v="812.58322624335233"/>
    <n v="0"/>
    <n v="0"/>
    <n v="0"/>
    <n v="0"/>
    <n v="0"/>
    <n v="0"/>
    <n v="0"/>
    <n v="0"/>
    <n v="0"/>
    <s v="Release"/>
  </r>
  <r>
    <n v="29218.081105350589"/>
    <n v="17865.278873057279"/>
    <n v="47083.359978407869"/>
    <x v="643"/>
    <x v="635"/>
    <n v="0"/>
    <s v="MPG"/>
    <s v="Direct"/>
    <n v="1036"/>
    <x v="9"/>
    <s v="Old"/>
    <d v="2023-02-18T00:00:00"/>
    <n v="1283.2999999999997"/>
    <n v="51173.860000000008"/>
    <n v="962.4749999999998"/>
    <n v="1219.1349999999998"/>
    <n v="846.43804699600003"/>
    <n v="1535.2158000000002"/>
    <n v="316.08080000000041"/>
    <n v="128.32999999999998"/>
    <n v="1208.8423396820642"/>
    <n v="1691"/>
    <n v="1691"/>
    <n v="0"/>
    <n v="0"/>
    <n v="0"/>
    <n v="0"/>
    <n v="0"/>
    <n v="0"/>
    <n v="0"/>
    <s v="Release"/>
  </r>
  <r>
    <n v="35157.79589185759"/>
    <n v="0"/>
    <n v="35157.79589185759"/>
    <x v="644"/>
    <x v="636"/>
    <n v="0"/>
    <s v="MPG"/>
    <s v="Direct"/>
    <n v="1036"/>
    <x v="9"/>
    <s v="Old"/>
    <d v="2024-02-01T00:00:00"/>
    <n v="1001.7000000000002"/>
    <n v="40136.280000000006"/>
    <n v="751.27500000000009"/>
    <n v="951.61500000000012"/>
    <n v="304.14761038900008"/>
    <n v="1204.0884000000001"/>
    <n v="252.47339999999997"/>
    <n v="100.17000000000002"/>
    <n v="1441.0787275633324"/>
    <n v="466"/>
    <n v="466"/>
    <n v="0"/>
    <n v="0"/>
    <n v="0"/>
    <n v="0"/>
    <n v="0"/>
    <n v="0"/>
    <n v="0"/>
    <s v="Release"/>
  </r>
  <r>
    <n v="31109.746459312053"/>
    <n v="0"/>
    <n v="31109.746459312053"/>
    <x v="645"/>
    <x v="637"/>
    <n v="0"/>
    <s v="MPG"/>
    <s v="Direct"/>
    <n v="1036"/>
    <x v="9"/>
    <s v="Old"/>
    <d v="2023-05-10T00:00:00"/>
    <n v="222.89999999999998"/>
    <n v="10047.69"/>
    <n v="167.17499999999998"/>
    <n v="211.75499999999997"/>
    <n v="343.752989658015"/>
    <n v="301.4307"/>
    <n v="89.675700000000035"/>
    <n v="22.29"/>
    <n v="700.62824912634596"/>
    <n v="0"/>
    <n v="0"/>
    <n v="0"/>
    <n v="0"/>
    <n v="0"/>
    <n v="0"/>
    <n v="0"/>
    <n v="0"/>
    <n v="0"/>
    <s v="Release"/>
  </r>
  <r>
    <n v="44331.976281815849"/>
    <n v="0"/>
    <n v="44331.976281815849"/>
    <x v="646"/>
    <x v="638"/>
    <n v="0"/>
    <s v="MPG"/>
    <s v="Direct"/>
    <n v="1036"/>
    <x v="9"/>
    <s v="Old"/>
    <d v="2024-06-17T00:00:00"/>
    <n v="1963.6999999999996"/>
    <n v="65483.77"/>
    <n v="1472.7749999999996"/>
    <n v="1865.5149999999994"/>
    <n v="0"/>
    <n v="1964.5130999999999"/>
    <n v="98.998100000000477"/>
    <n v="196.36999999999998"/>
    <n v="554.13339163388957"/>
    <n v="2588"/>
    <n v="1861"/>
    <n v="0"/>
    <n v="0"/>
    <n v="0"/>
    <n v="0"/>
    <n v="727"/>
    <n v="0"/>
    <n v="727"/>
    <s v="Release"/>
  </r>
  <r>
    <n v="78299"/>
    <n v="0"/>
    <n v="78299"/>
    <x v="647"/>
    <x v="639"/>
    <n v="0"/>
    <s v="MPG"/>
    <s v="Direct"/>
    <n v="1036"/>
    <x v="9"/>
    <s v="Old"/>
    <d v="2024-12-16T00:00:00"/>
    <n v="376.6"/>
    <n v="14296.689999999999"/>
    <n v="282.45000000000005"/>
    <n v="357.77"/>
    <n v="79.982774840000019"/>
    <n v="428.90069999999997"/>
    <n v="71.13069999999999"/>
    <n v="37.660000000000004"/>
    <n v="682.6293211402342"/>
    <n v="0"/>
    <n v="0"/>
    <n v="0"/>
    <n v="0"/>
    <n v="0"/>
    <n v="0"/>
    <n v="0"/>
    <n v="0"/>
    <n v="0"/>
    <s v="Release"/>
  </r>
  <r>
    <n v="70003.67370304637"/>
    <n v="0"/>
    <n v="70003.67370304637"/>
    <x v="648"/>
    <x v="640"/>
    <n v="0"/>
    <s v="MPG"/>
    <s v="Direct"/>
    <n v="1036"/>
    <x v="9"/>
    <s v="Old"/>
    <d v="2025-01-07T00:00:00"/>
    <n v="2292.7000000000003"/>
    <n v="87042.77"/>
    <n v="1719.5250000000001"/>
    <n v="2178.0650000000001"/>
    <n v="2284.1689857679999"/>
    <n v="2611.2831000000001"/>
    <n v="433.21810000000005"/>
    <n v="229.27000000000004"/>
    <n v="385.87135325393103"/>
    <n v="5567"/>
    <n v="1861"/>
    <n v="0"/>
    <n v="0"/>
    <n v="0"/>
    <n v="0"/>
    <n v="3706"/>
    <n v="3706"/>
    <n v="0"/>
    <s v="Yes"/>
  </r>
  <r>
    <n v="0"/>
    <n v="0"/>
    <n v="0"/>
    <x v="649"/>
    <x v="641"/>
    <n v="0"/>
    <s v="vlc"/>
    <s v="Indirect"/>
    <n v="1036"/>
    <x v="9"/>
    <s v="Old"/>
    <d v="2025-02-23T00:00:00"/>
    <n v="253.20000000000002"/>
    <n v="8651.2599999999984"/>
    <n v="189.9"/>
    <n v="240.54"/>
    <n v="0"/>
    <n v="259.53779999999995"/>
    <n v="18.997799999999955"/>
    <n v="25.320000000000004"/>
    <n v="405.30705056286934"/>
    <n v="0"/>
    <n v="0"/>
    <n v="0"/>
    <n v="0"/>
    <n v="0"/>
    <n v="0"/>
    <n v="0"/>
    <n v="0"/>
    <n v="0"/>
    <s v="Release"/>
  </r>
  <r>
    <n v="0"/>
    <n v="0"/>
    <n v="0"/>
    <x v="650"/>
    <x v="642"/>
    <n v="0"/>
    <s v="vlc"/>
    <s v="Indirect"/>
    <n v="1036"/>
    <x v="9"/>
    <s v="Old"/>
    <d v="2025-07-27T00:00:00"/>
    <n v="805.8"/>
    <n v="29907.300000000007"/>
    <n v="604.34999999999991"/>
    <n v="765.50999999999988"/>
    <n v="0"/>
    <n v="897.21900000000016"/>
    <n v="131.70900000000029"/>
    <n v="80.58"/>
    <n v="892.88821337630407"/>
    <n v="396"/>
    <n v="0"/>
    <n v="0"/>
    <n v="0"/>
    <n v="0"/>
    <n v="0"/>
    <n v="396"/>
    <n v="0"/>
    <n v="396"/>
    <s v="Release"/>
  </r>
  <r>
    <n v="0"/>
    <n v="0"/>
    <n v="0"/>
    <x v="651"/>
    <x v="643"/>
    <n v="0"/>
    <s v="vlc"/>
    <s v="Indirect"/>
    <n v="1036"/>
    <x v="9"/>
    <s v="Old"/>
    <d v="2025-07-27T00:00:00"/>
    <n v="15.2"/>
    <n v="557.84"/>
    <n v="11.399999999999999"/>
    <n v="14.44"/>
    <n v="0"/>
    <n v="16.735199999999999"/>
    <n v="2.2951999999999995"/>
    <n v="1.52"/>
    <n v="24.643200000000036"/>
    <n v="0"/>
    <n v="0"/>
    <n v="0"/>
    <n v="0"/>
    <n v="0"/>
    <n v="0"/>
    <n v="0"/>
    <n v="0"/>
    <n v="0"/>
    <s v="Release"/>
  </r>
  <r>
    <n v="0"/>
    <n v="0"/>
    <n v="0"/>
    <x v="652"/>
    <x v="644"/>
    <n v="0"/>
    <s v="RMC"/>
    <s v="Direct"/>
    <n v="1003"/>
    <x v="3"/>
    <s v="Old"/>
    <d v="2017-09-01T00:00:00"/>
    <n v="1754"/>
    <n v="63706.53"/>
    <n v="1315.5"/>
    <n v="1666.3"/>
    <n v="1199.9354513999999"/>
    <n v="1911.1958999999999"/>
    <n v="244.89589999999998"/>
    <n v="175.4"/>
    <n v="739.13897077158913"/>
    <n v="3267"/>
    <n v="0"/>
    <n v="0"/>
    <n v="0"/>
    <n v="0"/>
    <n v="0"/>
    <n v="3267"/>
    <n v="0"/>
    <n v="3267"/>
    <s v="Release"/>
  </r>
  <r>
    <n v="0"/>
    <n v="0"/>
    <n v="0"/>
    <x v="653"/>
    <x v="645"/>
    <n v="0"/>
    <s v="MPG"/>
    <s v="Direct"/>
    <n v="1014"/>
    <x v="14"/>
    <s v="Old"/>
    <d v="2022-05-27T00:00:00"/>
    <n v="5854.5999999999985"/>
    <n v="215683.46000000002"/>
    <n v="4390.9499999999989"/>
    <n v="5561.8699999999981"/>
    <n v="2672.3012495159701"/>
    <n v="6470.5038000000004"/>
    <n v="908.63380000000234"/>
    <n v="585.45999999999992"/>
    <n v="0"/>
    <n v="12040"/>
    <n v="0"/>
    <n v="0"/>
    <n v="0"/>
    <n v="0"/>
    <n v="0"/>
    <n v="12040"/>
    <n v="0"/>
    <n v="12040"/>
    <s v="Release"/>
  </r>
  <r>
    <n v="0"/>
    <n v="0"/>
    <n v="0"/>
    <x v="654"/>
    <x v="646"/>
    <n v="0"/>
    <s v="MPG"/>
    <s v="Direct"/>
    <n v="1014"/>
    <x v="14"/>
    <s v="Old"/>
    <d v="2022-04-13T00:00:00"/>
    <n v="3726.7"/>
    <n v="153182.34"/>
    <n v="2795.0249999999996"/>
    <n v="3540.3649999999998"/>
    <n v="1179.8544942860001"/>
    <n v="4595.4701999999997"/>
    <n v="1055.1052"/>
    <n v="372.67"/>
    <n v="0"/>
    <n v="7143"/>
    <n v="0"/>
    <n v="0"/>
    <n v="0"/>
    <n v="0"/>
    <n v="0"/>
    <n v="7143"/>
    <n v="0"/>
    <n v="7143"/>
    <s v="Release"/>
  </r>
  <r>
    <n v="0"/>
    <n v="0"/>
    <n v="0"/>
    <x v="655"/>
    <x v="647"/>
    <n v="0"/>
    <s v="MPG"/>
    <s v="Direct"/>
    <n v="1014"/>
    <x v="14"/>
    <s v="Old"/>
    <d v="2023-03-31T00:00:00"/>
    <n v="3939.9"/>
    <n v="153888.99"/>
    <n v="2954.9250000000002"/>
    <n v="3742.9049999999997"/>
    <n v="3998.0484928668202"/>
    <n v="4616.6696999999995"/>
    <n v="873.76469999999972"/>
    <n v="393.99"/>
    <n v="0"/>
    <n v="10302"/>
    <n v="0"/>
    <n v="0"/>
    <n v="0"/>
    <n v="0"/>
    <n v="0"/>
    <n v="10302"/>
    <n v="0"/>
    <n v="10302"/>
    <s v="Release"/>
  </r>
  <r>
    <n v="0"/>
    <n v="0"/>
    <n v="0"/>
    <x v="656"/>
    <x v="648"/>
    <n v="0"/>
    <s v="vlc"/>
    <s v="Indirect"/>
    <n v="1012"/>
    <x v="12"/>
    <s v="Old"/>
    <d v="2025-04-16T00:00:00"/>
    <n v="82719"/>
    <n v="3064707.66"/>
    <n v="62039.25"/>
    <n v="78583.05"/>
    <n v="0"/>
    <n v="91941.229800000001"/>
    <n v="13358.179799999998"/>
    <n v="8271.9"/>
    <n v="0"/>
    <n v="132350"/>
    <n v="0"/>
    <n v="0"/>
    <n v="0"/>
    <n v="0"/>
    <n v="0"/>
    <n v="132350"/>
    <n v="0"/>
    <n v="132350"/>
    <s v="Release"/>
  </r>
  <r>
    <n v="0"/>
    <n v="0"/>
    <n v="0"/>
    <x v="657"/>
    <x v="649"/>
    <n v="0"/>
    <s v="vlc"/>
    <s v="Indirect"/>
    <n v="1012"/>
    <x v="12"/>
    <s v="Old"/>
    <d v="2025-04-21T00:00:00"/>
    <n v="4472"/>
    <n v="172840.3"/>
    <n v="3354"/>
    <n v="4248.3999999999996"/>
    <n v="0"/>
    <n v="5185.2089999999998"/>
    <n v="936.8090000000002"/>
    <n v="447.20000000000005"/>
    <n v="0"/>
    <n v="7155"/>
    <n v="0"/>
    <n v="0"/>
    <n v="0"/>
    <n v="0"/>
    <n v="0"/>
    <n v="7155"/>
    <n v="0"/>
    <n v="7155"/>
    <s v="Release"/>
  </r>
  <r>
    <n v="77165.404838495975"/>
    <n v="0"/>
    <n v="77165.404838495975"/>
    <x v="658"/>
    <x v="650"/>
    <n v="0"/>
    <s v="MPG"/>
    <s v="Direct"/>
    <n v="1053"/>
    <x v="15"/>
    <s v="Old"/>
    <d v="2025-02-08T00:00:00"/>
    <n v="4068.3500000000004"/>
    <n v="176047.42000000004"/>
    <n v="3051.2625000000003"/>
    <n v="3864.9325000000003"/>
    <n v="2069.552349132"/>
    <n v="5281.4226000000008"/>
    <n v="1416.4901000000004"/>
    <n v="406.83500000000004"/>
    <n v="0"/>
    <n v="8579"/>
    <n v="3520.9484000000011"/>
    <n v="0"/>
    <n v="0"/>
    <n v="0"/>
    <n v="677.92"/>
    <n v="4380"/>
    <n v="0"/>
    <n v="4380"/>
    <s v="Release"/>
  </r>
  <r>
    <n v="66010.061699159676"/>
    <n v="0"/>
    <n v="66010.061699159676"/>
    <x v="659"/>
    <x v="651"/>
    <n v="0"/>
    <s v="MPG"/>
    <s v="Direct"/>
    <n v="1053"/>
    <x v="15"/>
    <s v="Old"/>
    <d v="2025-02-08T00:00:00"/>
    <n v="5973.83"/>
    <n v="244112.11"/>
    <n v="4480.3724999999995"/>
    <n v="5675.1385"/>
    <n v="3070.4433508000002"/>
    <n v="7323.3632999999991"/>
    <n v="1648.224799999999"/>
    <n v="597.38300000000004"/>
    <n v="0"/>
    <n v="12629"/>
    <n v="4882.2421999999997"/>
    <n v="0"/>
    <n v="0"/>
    <n v="0"/>
    <n v="329.40000000000003"/>
    <n v="7417"/>
    <n v="0"/>
    <n v="7417"/>
    <s v="Release"/>
  </r>
  <r>
    <n v="56975.704345620587"/>
    <n v="0"/>
    <n v="56975.704345620587"/>
    <x v="660"/>
    <x v="652"/>
    <n v="0"/>
    <s v="MPG"/>
    <s v="Direct"/>
    <n v="1053"/>
    <x v="15"/>
    <s v="Old"/>
    <d v="2025-02-08T00:00:00"/>
    <n v="6735.5"/>
    <n v="319980.56999999995"/>
    <n v="5051.625"/>
    <n v="6398.7249999999995"/>
    <n v="2528.3759098573805"/>
    <n v="9599.4170999999988"/>
    <n v="3200.6920999999993"/>
    <n v="673.55000000000007"/>
    <n v="0"/>
    <n v="13305"/>
    <n v="6399.6113999999989"/>
    <n v="0"/>
    <n v="0"/>
    <n v="0"/>
    <n v="658.8"/>
    <n v="6247"/>
    <n v="0"/>
    <n v="6247"/>
    <s v="Release"/>
  </r>
  <r>
    <n v="75331.051072547503"/>
    <n v="0"/>
    <n v="75331.051072547503"/>
    <x v="661"/>
    <x v="398"/>
    <n v="0"/>
    <s v="MPG"/>
    <s v="Direct"/>
    <n v="1053"/>
    <x v="15"/>
    <s v="Old"/>
    <d v="2025-02-08T00:00:00"/>
    <n v="2617.6499999999996"/>
    <n v="114222.37"/>
    <n v="1963.2374999999997"/>
    <n v="2486.7674999999995"/>
    <n v="2060.0534935903001"/>
    <n v="3426.6710999999996"/>
    <n v="939.9036000000001"/>
    <n v="261.76499999999999"/>
    <n v="177.86672660874146"/>
    <n v="6070"/>
    <n v="2284.4474"/>
    <n v="0"/>
    <n v="0"/>
    <n v="0"/>
    <n v="677.92000000000007"/>
    <n v="3108"/>
    <n v="0"/>
    <n v="3108"/>
    <s v="Release"/>
  </r>
  <r>
    <n v="68224.840754046891"/>
    <n v="0"/>
    <n v="68224.840754046891"/>
    <x v="662"/>
    <x v="653"/>
    <n v="0"/>
    <s v="MPG"/>
    <s v="Direct"/>
    <n v="1053"/>
    <x v="15"/>
    <s v="Old"/>
    <d v="2025-02-08T00:00:00"/>
    <n v="5302.5400000000009"/>
    <n v="241417.30000000002"/>
    <n v="3976.9050000000007"/>
    <n v="5037.4130000000005"/>
    <n v="5197.5983868705389"/>
    <n v="7242.5190000000002"/>
    <n v="2205.1059999999998"/>
    <n v="530.25400000000013"/>
    <n v="0"/>
    <n v="13682"/>
    <n v="4828.3460000000005"/>
    <n v="0"/>
    <n v="0"/>
    <n v="0"/>
    <n v="549"/>
    <n v="8305"/>
    <n v="0"/>
    <n v="8305"/>
    <s v="Release"/>
  </r>
  <r>
    <n v="80169.343399999998"/>
    <n v="0"/>
    <n v="80169.343399999998"/>
    <x v="663"/>
    <x v="654"/>
    <n v="0"/>
    <s v="MPG"/>
    <s v="Direct"/>
    <n v="1053"/>
    <x v="15"/>
    <s v="Old"/>
    <d v="2025-02-08T00:00:00"/>
    <n v="3350.05"/>
    <n v="141515.78"/>
    <n v="2512.5375000000004"/>
    <n v="3182.5475000000001"/>
    <n v="1039.0121860520001"/>
    <n v="4245.4733999999999"/>
    <n v="1062.9258999999997"/>
    <n v="335.00500000000005"/>
    <n v="0"/>
    <n v="6399"/>
    <n v="2830.3155999999999"/>
    <n v="0"/>
    <n v="0"/>
    <n v="0"/>
    <n v="274.5"/>
    <n v="3294"/>
    <n v="0"/>
    <n v="3294"/>
    <s v="Release"/>
  </r>
  <r>
    <n v="80156.749163601984"/>
    <n v="0"/>
    <n v="80156.749163601984"/>
    <x v="664"/>
    <x v="655"/>
    <n v="0"/>
    <s v="MPG"/>
    <s v="Direct"/>
    <n v="1053"/>
    <x v="15"/>
    <s v="Old"/>
    <d v="2025-02-08T00:00:00"/>
    <n v="1689.2999999999997"/>
    <n v="79873.62999999999"/>
    <n v="1266.9749999999999"/>
    <n v="1604.8349999999996"/>
    <n v="1048.6104689860599"/>
    <n v="2396.2088999999996"/>
    <n v="791.37390000000005"/>
    <n v="168.92999999999998"/>
    <n v="1052.1693645288883"/>
    <n v="2699"/>
    <n v="1861"/>
    <n v="0"/>
    <n v="0"/>
    <n v="0"/>
    <n v="329.40000000000003"/>
    <n v="509"/>
    <n v="0"/>
    <n v="509"/>
    <s v="Release"/>
  </r>
  <r>
    <n v="0"/>
    <n v="0"/>
    <n v="0"/>
    <x v="665"/>
    <x v="656"/>
    <n v="0"/>
    <s v="vlc"/>
    <s v="Indirect"/>
    <n v="1053"/>
    <x v="15"/>
    <s v="Old"/>
    <d v="2025-02-08T00:00:00"/>
    <n v="25243.65"/>
    <n v="1023637.8400000001"/>
    <n v="18932.737500000003"/>
    <n v="23981.467499999999"/>
    <n v="0"/>
    <n v="30709.135200000001"/>
    <n v="6727.6677000000018"/>
    <n v="2524.3650000000002"/>
    <n v="0"/>
    <n v="40390"/>
    <n v="0"/>
    <n v="0"/>
    <n v="0"/>
    <n v="0"/>
    <n v="0"/>
    <n v="40390"/>
    <n v="0"/>
    <n v="40390"/>
    <s v="Release"/>
  </r>
  <r>
    <n v="0"/>
    <n v="0"/>
    <n v="0"/>
    <x v="666"/>
    <x v="657"/>
    <n v="0"/>
    <s v="vlc"/>
    <s v="Indirect"/>
    <n v="1053"/>
    <x v="15"/>
    <s v="Old"/>
    <d v="2025-02-08T00:00:00"/>
    <n v="4987.1499999999996"/>
    <n v="194646.22999999998"/>
    <n v="3740.3624999999997"/>
    <n v="4737.7924999999996"/>
    <n v="0"/>
    <n v="5839.3868999999995"/>
    <n v="1101.5944"/>
    <n v="498.71499999999997"/>
    <n v="0"/>
    <n v="7979"/>
    <n v="0"/>
    <n v="0"/>
    <n v="0"/>
    <n v="0"/>
    <n v="0"/>
    <n v="7979"/>
    <n v="0"/>
    <n v="7979"/>
    <s v="Release"/>
  </r>
  <r>
    <n v="0"/>
    <n v="0"/>
    <n v="0"/>
    <x v="667"/>
    <x v="658"/>
    <n v="0"/>
    <s v="vlc"/>
    <s v="Indirect"/>
    <n v="1053"/>
    <x v="15"/>
    <s v="Old"/>
    <d v="2025-02-09T00:00:00"/>
    <n v="574.15"/>
    <n v="22167.489999999994"/>
    <n v="430.61249999999995"/>
    <n v="545.4425"/>
    <n v="0"/>
    <n v="665.02469999999983"/>
    <n v="119.58219999999983"/>
    <n v="57.414999999999999"/>
    <n v="918.34745517022748"/>
    <n v="0"/>
    <n v="0"/>
    <n v="0"/>
    <n v="0"/>
    <n v="0"/>
    <n v="0"/>
    <n v="0"/>
    <n v="0"/>
    <n v="0"/>
    <s v="Release"/>
  </r>
  <r>
    <n v="0"/>
    <n v="0"/>
    <n v="0"/>
    <x v="668"/>
    <x v="659"/>
    <n v="0"/>
    <s v="vlc"/>
    <s v="Indirect"/>
    <n v="1053"/>
    <x v="15"/>
    <s v="Old"/>
    <d v="2025-02-08T00:00:00"/>
    <n v="8044.4500000000007"/>
    <n v="315893.38"/>
    <n v="6033.3375000000005"/>
    <n v="7642.2275"/>
    <n v="0"/>
    <n v="9476.8014000000003"/>
    <n v="1834.5739000000003"/>
    <n v="804.44500000000016"/>
    <n v="0"/>
    <n v="12871"/>
    <n v="0"/>
    <n v="0"/>
    <n v="0"/>
    <n v="0"/>
    <n v="0"/>
    <n v="12871"/>
    <n v="0"/>
    <n v="12871"/>
    <s v="Release"/>
  </r>
  <r>
    <n v="0"/>
    <n v="0"/>
    <n v="0"/>
    <x v="669"/>
    <x v="660"/>
    <n v="0"/>
    <s v="vlc"/>
    <s v="Indirect"/>
    <n v="1053"/>
    <x v="15"/>
    <s v="Old"/>
    <d v="2025-02-08T00:00:00"/>
    <n v="3557.5"/>
    <n v="163234.96"/>
    <n v="2668.125"/>
    <n v="3379.625"/>
    <n v="0"/>
    <n v="4897.0487999999996"/>
    <n v="1517.4237999999996"/>
    <n v="355.75"/>
    <n v="0"/>
    <n v="5692"/>
    <n v="0"/>
    <n v="0"/>
    <n v="0"/>
    <n v="0"/>
    <n v="0"/>
    <n v="5692"/>
    <n v="0"/>
    <n v="5692"/>
    <s v="Release"/>
  </r>
  <r>
    <n v="0"/>
    <n v="0"/>
    <n v="0"/>
    <x v="670"/>
    <x v="661"/>
    <n v="0"/>
    <s v="vlc"/>
    <s v="Indirect"/>
    <n v="1053"/>
    <x v="15"/>
    <s v="Old"/>
    <d v="2025-02-09T00:00:00"/>
    <n v="5091.1499999999996"/>
    <n v="191732.28999999998"/>
    <n v="3818.3624999999997"/>
    <n v="4836.5924999999997"/>
    <n v="0"/>
    <n v="5751.9686999999994"/>
    <n v="915.3761999999997"/>
    <n v="509.11500000000001"/>
    <n v="0"/>
    <n v="8146"/>
    <n v="0"/>
    <n v="0"/>
    <n v="0"/>
    <n v="0"/>
    <n v="0"/>
    <n v="8146"/>
    <n v="0"/>
    <n v="8146"/>
    <s v="Release"/>
  </r>
  <r>
    <n v="0"/>
    <n v="0"/>
    <n v="0"/>
    <x v="671"/>
    <x v="662"/>
    <n v="0"/>
    <s v="vlc"/>
    <s v="Indirect"/>
    <n v="1053"/>
    <x v="15"/>
    <s v="Old"/>
    <d v="2025-02-11T00:00:00"/>
    <n v="7471.1"/>
    <n v="321367.43999999994"/>
    <n v="5603.3250000000007"/>
    <n v="7097.5450000000001"/>
    <n v="0"/>
    <n v="9641.0231999999978"/>
    <n v="2543.4781999999977"/>
    <n v="747.11000000000013"/>
    <n v="0"/>
    <n v="11954"/>
    <n v="0"/>
    <n v="0"/>
    <n v="0"/>
    <n v="0"/>
    <n v="0"/>
    <n v="11954"/>
    <n v="0"/>
    <n v="11954"/>
    <s v="Release"/>
  </r>
  <r>
    <n v="0"/>
    <n v="0"/>
    <n v="0"/>
    <x v="672"/>
    <x v="663"/>
    <n v="0"/>
    <s v="vlc"/>
    <s v="Indirect"/>
    <n v="1053"/>
    <x v="15"/>
    <s v="Old"/>
    <d v="2025-02-12T00:00:00"/>
    <n v="3265.7999999999997"/>
    <n v="149829.69"/>
    <n v="2449.35"/>
    <n v="3102.5099999999998"/>
    <n v="0"/>
    <n v="4494.8906999999999"/>
    <n v="1392.3807000000002"/>
    <n v="326.58"/>
    <n v="112.69228562765309"/>
    <n v="5113"/>
    <n v="0"/>
    <n v="0"/>
    <n v="0"/>
    <n v="0"/>
    <n v="0"/>
    <n v="5113"/>
    <n v="0"/>
    <n v="5113"/>
    <s v="Release"/>
  </r>
  <r>
    <n v="0"/>
    <n v="0"/>
    <n v="0"/>
    <x v="673"/>
    <x v="664"/>
    <n v="0"/>
    <s v="vlc"/>
    <s v="Indirect"/>
    <n v="1053"/>
    <x v="15"/>
    <s v="Old"/>
    <d v="2025-02-13T00:00:00"/>
    <n v="1795.1000000000001"/>
    <n v="71888.47"/>
    <n v="1346.325"/>
    <n v="1705.345"/>
    <n v="0"/>
    <n v="2156.6540999999997"/>
    <n v="451.30909999999972"/>
    <n v="179.51000000000002"/>
    <n v="1098.6852156318928"/>
    <n v="1773"/>
    <n v="0"/>
    <n v="0"/>
    <n v="0"/>
    <n v="0"/>
    <n v="0"/>
    <n v="1773"/>
    <n v="0"/>
    <n v="1773"/>
    <s v="Release"/>
  </r>
  <r>
    <n v="0"/>
    <n v="0"/>
    <n v="0"/>
    <x v="674"/>
    <x v="665"/>
    <n v="0"/>
    <s v="vlc"/>
    <s v="Indirect"/>
    <n v="1053"/>
    <x v="15"/>
    <s v="Old"/>
    <d v="2025-02-13T00:00:00"/>
    <n v="1503.8999999999996"/>
    <n v="63155.73"/>
    <n v="1127.9249999999997"/>
    <n v="1428.7049999999997"/>
    <n v="0"/>
    <n v="1894.6719000000001"/>
    <n v="465.96690000000035"/>
    <n v="150.38999999999996"/>
    <n v="1097.4292962065147"/>
    <n v="1309"/>
    <n v="0"/>
    <n v="0"/>
    <n v="0"/>
    <n v="0"/>
    <n v="0"/>
    <n v="1309"/>
    <n v="0"/>
    <n v="1309"/>
    <s v="Release"/>
  </r>
  <r>
    <n v="0"/>
    <n v="0"/>
    <n v="0"/>
    <x v="675"/>
    <x v="666"/>
    <n v="0"/>
    <s v="vlc"/>
    <s v="Indirect"/>
    <n v="1053"/>
    <x v="15"/>
    <s v="Old"/>
    <d v="2025-02-14T00:00:00"/>
    <n v="3845.05"/>
    <n v="158343.97999999998"/>
    <n v="2883.7875000000004"/>
    <n v="3652.7975000000001"/>
    <n v="0"/>
    <n v="4750.3193999999994"/>
    <n v="1097.5218999999993"/>
    <n v="384.50500000000005"/>
    <n v="0"/>
    <n v="6152"/>
    <n v="0"/>
    <n v="0"/>
    <n v="0"/>
    <n v="0"/>
    <n v="0"/>
    <n v="6152"/>
    <n v="0"/>
    <n v="6152"/>
    <s v="Release"/>
  </r>
  <r>
    <n v="0"/>
    <n v="0"/>
    <n v="0"/>
    <x v="676"/>
    <x v="667"/>
    <n v="0"/>
    <s v="vlc"/>
    <s v="Indirect"/>
    <n v="1053"/>
    <x v="15"/>
    <s v="Old"/>
    <d v="2025-02-19T00:00:00"/>
    <n v="7543.5500000000011"/>
    <n v="292562.14999999997"/>
    <n v="5657.6625000000004"/>
    <n v="7166.3725000000004"/>
    <n v="0"/>
    <n v="8776.8644999999979"/>
    <n v="1610.4919999999975"/>
    <n v="754.35500000000013"/>
    <n v="0"/>
    <n v="12070"/>
    <n v="0"/>
    <n v="0"/>
    <n v="0"/>
    <n v="0"/>
    <n v="0"/>
    <n v="12070"/>
    <n v="0"/>
    <n v="12070"/>
    <s v="Release"/>
  </r>
  <r>
    <n v="0"/>
    <n v="0"/>
    <n v="0"/>
    <x v="677"/>
    <x v="668"/>
    <n v="0"/>
    <s v="vlc"/>
    <s v="Indirect"/>
    <n v="1053"/>
    <x v="15"/>
    <s v="Old"/>
    <d v="2025-02-19T00:00:00"/>
    <n v="542.44999999999993"/>
    <n v="21570.329999999998"/>
    <n v="406.83749999999998"/>
    <n v="515.32749999999987"/>
    <n v="0"/>
    <n v="647.10989999999993"/>
    <n v="131.78240000000005"/>
    <n v="54.244999999999997"/>
    <n v="868.26363274647065"/>
    <n v="0"/>
    <n v="0"/>
    <n v="0"/>
    <n v="0"/>
    <n v="0"/>
    <n v="0"/>
    <n v="0"/>
    <n v="0"/>
    <n v="0"/>
    <s v="Release"/>
  </r>
  <r>
    <n v="0"/>
    <n v="0"/>
    <n v="0"/>
    <x v="678"/>
    <x v="669"/>
    <n v="0"/>
    <s v="vlc"/>
    <s v="Indirect"/>
    <n v="1053"/>
    <x v="15"/>
    <s v="Old"/>
    <d v="2025-02-23T00:00:00"/>
    <n v="3623.3500000000004"/>
    <n v="152865.61000000002"/>
    <n v="2717.5125000000003"/>
    <n v="3442.1825000000003"/>
    <n v="0"/>
    <n v="4585.9683000000005"/>
    <n v="1143.7858000000001"/>
    <n v="362.33500000000004"/>
    <n v="0"/>
    <n v="5797"/>
    <n v="0"/>
    <n v="0"/>
    <n v="0"/>
    <n v="0"/>
    <n v="0"/>
    <n v="5797"/>
    <n v="0"/>
    <n v="5797"/>
    <s v="Release"/>
  </r>
  <r>
    <n v="80984"/>
    <n v="0"/>
    <n v="80984"/>
    <x v="679"/>
    <x v="670"/>
    <n v="0"/>
    <s v="MPG"/>
    <s v="Direct"/>
    <n v="1053"/>
    <x v="15"/>
    <s v="Old"/>
    <d v="2025-03-21T00:00:00"/>
    <n v="511.65000000000003"/>
    <n v="21197.050000000003"/>
    <n v="383.73750000000001"/>
    <n v="486.0675"/>
    <n v="41.035910268000009"/>
    <n v="635.91150000000005"/>
    <n v="149.84400000000005"/>
    <n v="51.165000000000006"/>
    <n v="859.36511433502324"/>
    <n v="0"/>
    <n v="0"/>
    <n v="0"/>
    <n v="0"/>
    <n v="0"/>
    <n v="0"/>
    <n v="0"/>
    <n v="0"/>
    <n v="0"/>
    <s v="Release"/>
  </r>
  <r>
    <n v="0"/>
    <n v="0"/>
    <n v="0"/>
    <x v="680"/>
    <x v="671"/>
    <n v="0"/>
    <s v="vlc"/>
    <s v="Indirect"/>
    <n v="1053"/>
    <x v="15"/>
    <s v="Old"/>
    <d v="2025-03-01T00:00:00"/>
    <n v="7447.4500000000007"/>
    <n v="336542.71"/>
    <n v="5585.5875000000005"/>
    <n v="7075.0775000000003"/>
    <n v="0"/>
    <n v="10096.281300000001"/>
    <n v="3021.2038000000002"/>
    <n v="744.74500000000012"/>
    <n v="0"/>
    <n v="11916"/>
    <n v="0"/>
    <n v="0"/>
    <n v="0"/>
    <n v="0"/>
    <n v="0"/>
    <n v="11916"/>
    <n v="0"/>
    <n v="11916"/>
    <s v="Release"/>
  </r>
  <r>
    <n v="0"/>
    <n v="0"/>
    <n v="0"/>
    <x v="681"/>
    <x v="672"/>
    <n v="0"/>
    <s v="vlc"/>
    <s v="Indirect"/>
    <n v="1053"/>
    <x v="15"/>
    <s v="Old"/>
    <d v="2025-02-28T00:00:00"/>
    <n v="1185.7"/>
    <n v="52349.7"/>
    <n v="889.27500000000009"/>
    <n v="1126.415"/>
    <n v="0"/>
    <n v="1570.4909999999998"/>
    <n v="444.07599999999979"/>
    <n v="118.57000000000001"/>
    <n v="1426.6014903227895"/>
    <n v="471"/>
    <n v="0"/>
    <n v="0"/>
    <n v="0"/>
    <n v="0"/>
    <n v="0"/>
    <n v="471"/>
    <n v="0"/>
    <n v="471"/>
    <s v="Release"/>
  </r>
  <r>
    <n v="0"/>
    <n v="0"/>
    <n v="0"/>
    <x v="682"/>
    <x v="673"/>
    <n v="0"/>
    <s v="vlc"/>
    <s v="Indirect"/>
    <n v="1053"/>
    <x v="15"/>
    <s v="Old"/>
    <d v="2025-03-04T00:00:00"/>
    <n v="4762.95"/>
    <n v="193598.91000000003"/>
    <n v="3572.2124999999996"/>
    <n v="4524.8024999999998"/>
    <n v="0"/>
    <n v="5807.9673000000012"/>
    <n v="1283.1648000000014"/>
    <n v="476.29500000000002"/>
    <n v="0"/>
    <n v="7621"/>
    <n v="0"/>
    <n v="0"/>
    <n v="0"/>
    <n v="0"/>
    <n v="0"/>
    <n v="7621"/>
    <n v="0"/>
    <n v="7621"/>
    <s v="Release"/>
  </r>
  <r>
    <n v="76751.589571557895"/>
    <n v="0"/>
    <n v="76751.589571557895"/>
    <x v="683"/>
    <x v="674"/>
    <n v="0"/>
    <s v="MPG"/>
    <s v="Direct"/>
    <n v="1053"/>
    <x v="15"/>
    <s v="Old"/>
    <d v="2025-03-23T00:00:00"/>
    <n v="3243.9999999999995"/>
    <n v="177981.91999999998"/>
    <n v="2432.9999999999995"/>
    <n v="3081.7999999999993"/>
    <n v="4014.1548674729997"/>
    <n v="5339.4575999999997"/>
    <n v="2257.6576000000005"/>
    <n v="324.39999999999998"/>
    <n v="7.5579161448564012"/>
    <n v="9197"/>
    <n v="3559.6383999999998"/>
    <n v="0"/>
    <n v="0"/>
    <n v="0"/>
    <n v="576.45000000000005"/>
    <n v="5061"/>
    <n v="0"/>
    <n v="5061"/>
    <s v="Release"/>
  </r>
  <r>
    <n v="75067.931857470161"/>
    <n v="0"/>
    <n v="75067.931857470161"/>
    <x v="684"/>
    <x v="675"/>
    <n v="0"/>
    <s v="MPG"/>
    <s v="Direct"/>
    <n v="1053"/>
    <x v="15"/>
    <s v="Old"/>
    <d v="2025-03-29T00:00:00"/>
    <n v="3895.35"/>
    <n v="161328.25"/>
    <n v="2921.5124999999998"/>
    <n v="3700.5824999999995"/>
    <n v="1635.7477314428002"/>
    <n v="4839.8474999999999"/>
    <n v="1139.2650000000003"/>
    <n v="389.53500000000003"/>
    <n v="0"/>
    <n v="7868"/>
    <n v="3226.5650000000001"/>
    <n v="0"/>
    <n v="0"/>
    <n v="0"/>
    <n v="64.050000000000011"/>
    <n v="4577"/>
    <n v="0"/>
    <n v="4577"/>
    <s v="Release"/>
  </r>
  <r>
    <n v="59393.976876692985"/>
    <n v="0"/>
    <n v="59393.976876692985"/>
    <x v="685"/>
    <x v="676"/>
    <n v="0"/>
    <s v="MPG"/>
    <s v="Direct"/>
    <n v="1053"/>
    <x v="15"/>
    <s v="Old"/>
    <d v="2025-03-29T00:00:00"/>
    <n v="7356.15"/>
    <n v="376462.75"/>
    <n v="5517.1124999999993"/>
    <n v="6988.3424999999997"/>
    <n v="3463.943328282422"/>
    <n v="11293.8825"/>
    <n v="4305.54"/>
    <n v="735.61500000000001"/>
    <n v="0"/>
    <n v="15234"/>
    <n v="7529.2550000000001"/>
    <n v="0"/>
    <n v="0"/>
    <n v="0"/>
    <n v="933.3"/>
    <n v="6771"/>
    <n v="0"/>
    <n v="6771"/>
    <s v="Release"/>
  </r>
  <r>
    <n v="69679.035743918605"/>
    <n v="0"/>
    <n v="69679.035743918605"/>
    <x v="686"/>
    <x v="677"/>
    <n v="0"/>
    <s v="MPG"/>
    <s v="Direct"/>
    <n v="1053"/>
    <x v="15"/>
    <s v="Old"/>
    <d v="2025-03-29T00:00:00"/>
    <n v="4293.3999999999996"/>
    <n v="184413.28000000003"/>
    <n v="3220.0499999999997"/>
    <n v="4078.7299999999996"/>
    <n v="3300.937868468"/>
    <n v="5532.3984000000009"/>
    <n v="1453.6684000000014"/>
    <n v="429.34"/>
    <n v="0"/>
    <n v="10170"/>
    <n v="3688.2656000000006"/>
    <n v="0"/>
    <n v="0"/>
    <n v="0"/>
    <n v="183.00000000000003"/>
    <n v="6299"/>
    <n v="0"/>
    <n v="6299"/>
    <s v="Release"/>
  </r>
  <r>
    <n v="0"/>
    <n v="0"/>
    <n v="0"/>
    <x v="687"/>
    <x v="678"/>
    <n v="0"/>
    <s v="vlc"/>
    <s v="Indirect"/>
    <n v="1053"/>
    <x v="15"/>
    <s v="Old"/>
    <d v="2025-03-25T00:00:00"/>
    <n v="1570.15"/>
    <n v="61904.929999999993"/>
    <n v="1177.6125000000002"/>
    <n v="1491.6424999999999"/>
    <n v="0"/>
    <n v="1857.1478999999997"/>
    <n v="365.50539999999978"/>
    <n v="157.01500000000001"/>
    <n v="1034.7307858471017"/>
    <n v="1478"/>
    <n v="0"/>
    <n v="0"/>
    <n v="0"/>
    <n v="0"/>
    <n v="0"/>
    <n v="1478"/>
    <n v="0"/>
    <n v="1478"/>
    <s v="Release"/>
  </r>
  <r>
    <n v="0"/>
    <n v="0"/>
    <n v="0"/>
    <x v="688"/>
    <x v="679"/>
    <n v="0"/>
    <s v="vlc"/>
    <s v="Indirect"/>
    <n v="1053"/>
    <x v="15"/>
    <s v="Old"/>
    <d v="2025-03-29T00:00:00"/>
    <n v="4159.2"/>
    <n v="176847.58000000002"/>
    <n v="3119.3999999999996"/>
    <n v="3951.24"/>
    <n v="0"/>
    <n v="5305.4274000000005"/>
    <n v="1354.1874000000007"/>
    <n v="415.92"/>
    <n v="0"/>
    <n v="6655"/>
    <n v="0"/>
    <n v="0"/>
    <n v="0"/>
    <n v="0"/>
    <n v="0"/>
    <n v="6655"/>
    <n v="0"/>
    <n v="6655"/>
    <s v="Release"/>
  </r>
  <r>
    <n v="71455.47066168391"/>
    <n v="0"/>
    <n v="71455.47066168391"/>
    <x v="689"/>
    <x v="680"/>
    <n v="0"/>
    <s v="MPG"/>
    <s v="Direct"/>
    <n v="1053"/>
    <x v="15"/>
    <s v="Old"/>
    <d v="2025-03-29T00:00:00"/>
    <n v="7047.8499999999995"/>
    <n v="334984.71000000002"/>
    <n v="5285.8874999999998"/>
    <n v="6695.4574999999995"/>
    <n v="2459.2028619698604"/>
    <n v="10049.541300000001"/>
    <n v="3354.0838000000012"/>
    <n v="704.78499999999997"/>
    <n v="0"/>
    <n v="13736"/>
    <n v="6699.6942000000008"/>
    <n v="0"/>
    <n v="0"/>
    <n v="0"/>
    <n v="815.17000000000007"/>
    <n v="6221"/>
    <n v="0"/>
    <n v="6221"/>
    <s v="Release"/>
  </r>
  <r>
    <n v="0"/>
    <n v="0"/>
    <n v="0"/>
    <x v="690"/>
    <x v="681"/>
    <n v="0"/>
    <s v="vlc"/>
    <s v="Indirect"/>
    <n v="1053"/>
    <x v="15"/>
    <s v="Old"/>
    <d v="2025-03-21T00:00:00"/>
    <n v="5039.9500000000007"/>
    <n v="213201.62000000002"/>
    <n v="3779.9625000000005"/>
    <n v="4787.9525000000003"/>
    <n v="0"/>
    <n v="6396.0486000000001"/>
    <n v="1608.0960999999998"/>
    <n v="503.99500000000012"/>
    <n v="0"/>
    <n v="8064"/>
    <n v="0"/>
    <n v="0"/>
    <n v="0"/>
    <n v="0"/>
    <n v="0"/>
    <n v="8064"/>
    <n v="0"/>
    <n v="8064"/>
    <s v="Release"/>
  </r>
  <r>
    <n v="80299.957999999999"/>
    <n v="0"/>
    <n v="80299.957999999999"/>
    <x v="691"/>
    <x v="682"/>
    <n v="0"/>
    <s v="MPG"/>
    <s v="Direct"/>
    <n v="1053"/>
    <x v="15"/>
    <s v="Old"/>
    <d v="2025-03-29T00:00:00"/>
    <n v="2739.2999999999997"/>
    <n v="124159.43"/>
    <n v="2054.4749999999999"/>
    <n v="2602.3349999999996"/>
    <n v="1507.7935874467998"/>
    <n v="3724.7828999999997"/>
    <n v="1122.4479000000001"/>
    <n v="273.93"/>
    <n v="97.557137390694379"/>
    <n v="5793"/>
    <n v="2483.1886"/>
    <n v="0"/>
    <n v="0"/>
    <n v="0"/>
    <n v="64.050000000000011"/>
    <n v="3246"/>
    <n v="0"/>
    <n v="3246"/>
    <s v="Release"/>
  </r>
  <r>
    <n v="0"/>
    <n v="0"/>
    <n v="0"/>
    <x v="692"/>
    <x v="683"/>
    <n v="0"/>
    <s v="MPG"/>
    <s v="Direct"/>
    <n v="1053"/>
    <x v="15"/>
    <s v="Old"/>
    <d v="2025-04-04T00:00:00"/>
    <n v="2172.0499999999997"/>
    <n v="98323.040000000008"/>
    <n v="1629.0374999999999"/>
    <n v="2063.4474999999998"/>
    <n v="1327.8876820970961"/>
    <n v="2949.6912000000002"/>
    <n v="886.24370000000044"/>
    <n v="217.20499999999998"/>
    <n v="567.79342193708726"/>
    <n v="4235"/>
    <n v="0"/>
    <n v="0"/>
    <n v="0"/>
    <n v="0"/>
    <n v="219.60000000000002"/>
    <n v="4015"/>
    <n v="4015"/>
    <n v="0"/>
    <s v="Yes"/>
  </r>
  <r>
    <n v="79961.616935927843"/>
    <n v="0"/>
    <n v="79961.616935927843"/>
    <x v="693"/>
    <x v="684"/>
    <n v="0"/>
    <s v="MPG"/>
    <s v="Direct"/>
    <n v="1053"/>
    <x v="15"/>
    <s v="Old"/>
    <d v="2025-03-29T00:00:00"/>
    <n v="1192.95"/>
    <n v="45716.79"/>
    <n v="894.71250000000009"/>
    <n v="1133.3025"/>
    <n v="976.81137896360008"/>
    <n v="1371.5037"/>
    <n v="238.20119999999997"/>
    <n v="119.29500000000002"/>
    <n v="1231.4320986175096"/>
    <n v="1654"/>
    <n v="1654"/>
    <n v="0"/>
    <n v="0"/>
    <n v="0"/>
    <n v="0"/>
    <n v="0"/>
    <n v="0"/>
    <n v="0"/>
    <s v="Release"/>
  </r>
  <r>
    <n v="80695"/>
    <n v="0"/>
    <n v="80695"/>
    <x v="694"/>
    <x v="685"/>
    <n v="0"/>
    <s v="MPG"/>
    <s v="Direct"/>
    <n v="1053"/>
    <x v="15"/>
    <s v="Old"/>
    <d v="2025-04-08T00:00:00"/>
    <n v="1182.7"/>
    <n v="52193.41"/>
    <n v="887.02500000000009"/>
    <n v="1123.5650000000001"/>
    <n v="1161.6023386898921"/>
    <n v="1565.8023000000001"/>
    <n v="442.2373"/>
    <n v="118.27000000000001"/>
    <n v="1429.1004674521373"/>
    <n v="1625"/>
    <n v="1625"/>
    <n v="0"/>
    <n v="0"/>
    <n v="0"/>
    <n v="0"/>
    <n v="0"/>
    <n v="0"/>
    <n v="0"/>
    <s v="Release"/>
  </r>
  <r>
    <n v="0"/>
    <n v="0"/>
    <n v="0"/>
    <x v="695"/>
    <x v="686"/>
    <n v="0"/>
    <s v="vlc"/>
    <s v="Indirect"/>
    <n v="1053"/>
    <x v="15"/>
    <s v="Old"/>
    <d v="2025-03-29T00:00:00"/>
    <n v="7753.8000000000011"/>
    <n v="305734.83999999997"/>
    <n v="5815.35"/>
    <n v="7366.1100000000006"/>
    <n v="0"/>
    <n v="9172.0451999999987"/>
    <n v="1805.9351999999981"/>
    <n v="775.38000000000011"/>
    <n v="0"/>
    <n v="12406"/>
    <n v="0"/>
    <n v="0"/>
    <n v="0"/>
    <n v="0"/>
    <n v="0"/>
    <n v="12406"/>
    <n v="0"/>
    <n v="12406"/>
    <s v="Release"/>
  </r>
  <r>
    <n v="0"/>
    <n v="0"/>
    <n v="0"/>
    <x v="696"/>
    <x v="665"/>
    <n v="0"/>
    <s v="vlc"/>
    <s v="Indirect"/>
    <n v="1053"/>
    <x v="15"/>
    <s v="Old"/>
    <d v="2025-04-02T00:00:00"/>
    <n v="2961.35"/>
    <n v="139899.59999999998"/>
    <n v="2221.0124999999998"/>
    <n v="2813.2824999999998"/>
    <n v="0"/>
    <n v="4196.9879999999994"/>
    <n v="1383.7054999999996"/>
    <n v="296.13499999999999"/>
    <n v="54.08764755244755"/>
    <n v="4684"/>
    <n v="0"/>
    <n v="0"/>
    <n v="0"/>
    <n v="0"/>
    <n v="0"/>
    <n v="4684"/>
    <n v="0"/>
    <n v="4684"/>
    <s v="Release"/>
  </r>
  <r>
    <n v="0"/>
    <n v="0"/>
    <n v="0"/>
    <x v="697"/>
    <x v="687"/>
    <n v="0"/>
    <s v="vlc"/>
    <s v="Indirect"/>
    <n v="1053"/>
    <x v="15"/>
    <s v="Old"/>
    <d v="2025-04-19T00:00:00"/>
    <n v="7978.7"/>
    <n v="314512.46000000002"/>
    <n v="5984.0249999999996"/>
    <n v="7579.7649999999994"/>
    <n v="0"/>
    <n v="9435.3737999999994"/>
    <n v="1855.6088"/>
    <n v="797.87"/>
    <n v="0"/>
    <n v="12766"/>
    <n v="0"/>
    <n v="0"/>
    <n v="0"/>
    <n v="0"/>
    <n v="0"/>
    <n v="12766"/>
    <n v="0"/>
    <n v="12766"/>
    <s v="Release"/>
  </r>
  <r>
    <n v="0"/>
    <n v="0"/>
    <n v="0"/>
    <x v="698"/>
    <x v="688"/>
    <n v="0"/>
    <s v="vlc"/>
    <s v="Indirect"/>
    <n v="1053"/>
    <x v="15"/>
    <s v="Old"/>
    <d v="2025-04-25T00:00:00"/>
    <n v="5521.5"/>
    <n v="229024.33999999997"/>
    <n v="4141.125"/>
    <n v="5245.4250000000002"/>
    <n v="0"/>
    <n v="6870.7301999999991"/>
    <n v="1625.3051999999989"/>
    <n v="552.15"/>
    <n v="72.755938524995841"/>
    <n v="8762"/>
    <n v="0"/>
    <n v="0"/>
    <n v="0"/>
    <n v="0"/>
    <n v="0"/>
    <n v="8762"/>
    <n v="0"/>
    <n v="8762"/>
    <s v="Release"/>
  </r>
  <r>
    <n v="61241.614672683747"/>
    <n v="0"/>
    <n v="61241.614672683747"/>
    <x v="699"/>
    <x v="689"/>
    <n v="0"/>
    <s v="MPG"/>
    <s v="Direct"/>
    <n v="1053"/>
    <x v="15"/>
    <s v="Old"/>
    <d v="2025-05-01T00:00:00"/>
    <n v="6936.6500000000005"/>
    <n v="301400.45"/>
    <n v="5202.4875000000002"/>
    <n v="6589.8175000000001"/>
    <n v="4298.2954149320003"/>
    <n v="9042.0134999999991"/>
    <n v="2452.195999999999"/>
    <n v="693.66500000000008"/>
    <n v="0"/>
    <n v="15397"/>
    <n v="6028.009"/>
    <n v="0"/>
    <n v="0"/>
    <n v="0"/>
    <n v="192.15"/>
    <n v="9177"/>
    <n v="0"/>
    <n v="9177"/>
    <s v="Release"/>
  </r>
  <r>
    <n v="0"/>
    <n v="0"/>
    <n v="0"/>
    <x v="700"/>
    <x v="690"/>
    <n v="0"/>
    <s v="vlc"/>
    <s v="Indirect"/>
    <n v="1053"/>
    <x v="15"/>
    <s v="Old"/>
    <d v="2025-04-28T00:00:00"/>
    <n v="234.1"/>
    <n v="9260.4700000000012"/>
    <n v="175.57499999999999"/>
    <n v="222.39499999999998"/>
    <n v="0"/>
    <n v="277.8141"/>
    <n v="55.419100000000014"/>
    <n v="23.41"/>
    <n v="374.23318207792886"/>
    <n v="0"/>
    <n v="0"/>
    <n v="0"/>
    <n v="0"/>
    <n v="0"/>
    <n v="0"/>
    <n v="0"/>
    <n v="0"/>
    <n v="0"/>
    <s v="Release"/>
  </r>
  <r>
    <n v="83684"/>
    <n v="0"/>
    <n v="83684"/>
    <x v="701"/>
    <x v="691"/>
    <n v="0"/>
    <s v="MPG"/>
    <s v="Direct"/>
    <n v="1053"/>
    <x v="15"/>
    <s v="Old"/>
    <d v="2025-05-02T00:00:00"/>
    <n v="390.29999999999995"/>
    <n v="17212.490000000002"/>
    <n v="292.72499999999997"/>
    <n v="370.78499999999991"/>
    <n v="315.21438391740003"/>
    <n v="516.37470000000008"/>
    <n v="145.58970000000016"/>
    <n v="39.03"/>
    <n v="939.68910940400428"/>
    <n v="0"/>
    <n v="0"/>
    <n v="0"/>
    <n v="0"/>
    <n v="0"/>
    <n v="0"/>
    <n v="0"/>
    <n v="0"/>
    <n v="0"/>
    <s v="Release"/>
  </r>
  <r>
    <n v="0"/>
    <n v="0"/>
    <n v="0"/>
    <x v="702"/>
    <x v="692"/>
    <n v="0"/>
    <s v="vlc"/>
    <s v="Indirect"/>
    <n v="1053"/>
    <x v="15"/>
    <s v="Old"/>
    <d v="2025-05-01T00:00:00"/>
    <n v="5149.1499999999996"/>
    <n v="275721.46999999997"/>
    <n v="3861.8624999999997"/>
    <n v="4891.6924999999992"/>
    <n v="0"/>
    <n v="8271.6440999999995"/>
    <n v="3379.9516000000003"/>
    <n v="514.91499999999996"/>
    <n v="0"/>
    <n v="8239"/>
    <n v="0"/>
    <n v="0"/>
    <n v="0"/>
    <n v="0"/>
    <n v="0"/>
    <n v="8239"/>
    <n v="0"/>
    <n v="8239"/>
    <s v="Release"/>
  </r>
  <r>
    <n v="0"/>
    <n v="0"/>
    <n v="0"/>
    <x v="703"/>
    <x v="693"/>
    <n v="0"/>
    <s v="vlc"/>
    <s v="Indirect"/>
    <n v="1053"/>
    <x v="15"/>
    <s v="Old"/>
    <d v="2025-05-02T00:00:00"/>
    <n v="2611.25"/>
    <n v="121074.91000000002"/>
    <n v="1958.4375"/>
    <n v="2480.6875"/>
    <n v="0"/>
    <n v="3632.2473000000005"/>
    <n v="1151.5598000000005"/>
    <n v="261.125"/>
    <n v="175.50128509369017"/>
    <n v="4002"/>
    <n v="0"/>
    <n v="0"/>
    <n v="0"/>
    <n v="0"/>
    <n v="0"/>
    <n v="4002"/>
    <n v="0"/>
    <n v="4002"/>
    <s v="Release"/>
  </r>
  <r>
    <n v="79225.5524"/>
    <n v="0"/>
    <n v="79225.5524"/>
    <x v="704"/>
    <x v="694"/>
    <n v="0"/>
    <s v="MPG"/>
    <s v="Direct"/>
    <n v="1053"/>
    <x v="15"/>
    <s v="Old"/>
    <d v="2025-05-19T00:00:00"/>
    <n v="3701.9500000000003"/>
    <n v="155318.94"/>
    <n v="2776.4625000000001"/>
    <n v="3516.8525"/>
    <n v="1226.79949218357"/>
    <n v="4659.5681999999997"/>
    <n v="1142.7156999999997"/>
    <n v="370.19500000000005"/>
    <n v="0"/>
    <n v="7150"/>
    <n v="3106.3788"/>
    <n v="0"/>
    <n v="0"/>
    <n v="0"/>
    <n v="677.92000000000007"/>
    <n v="3366"/>
    <n v="0"/>
    <n v="3366"/>
    <s v="Release"/>
  </r>
  <r>
    <n v="0"/>
    <n v="0"/>
    <n v="0"/>
    <x v="705"/>
    <x v="695"/>
    <n v="0"/>
    <s v="vlc"/>
    <s v="Indirect"/>
    <n v="1053"/>
    <x v="15"/>
    <s v="Old"/>
    <d v="2025-05-17T00:00:00"/>
    <n v="5875.15"/>
    <n v="246425.80000000002"/>
    <n v="4406.3624999999993"/>
    <n v="5581.392499999999"/>
    <n v="0"/>
    <n v="7392.7740000000003"/>
    <n v="1811.3815000000013"/>
    <n v="587.51499999999999"/>
    <n v="0"/>
    <n v="9400"/>
    <n v="0"/>
    <n v="0"/>
    <n v="0"/>
    <n v="0"/>
    <n v="0"/>
    <n v="9400"/>
    <n v="0"/>
    <n v="9400"/>
    <s v="Release"/>
  </r>
  <r>
    <n v="84090.819799999997"/>
    <n v="0"/>
    <n v="84090.819799999997"/>
    <x v="706"/>
    <x v="696"/>
    <n v="0"/>
    <s v="MPG"/>
    <s v="Direct"/>
    <n v="1053"/>
    <x v="15"/>
    <s v="Old"/>
    <d v="2025-06-01T00:00:00"/>
    <n v="4254.25"/>
    <n v="172376.13999999998"/>
    <n v="3190.6875"/>
    <n v="4041.5374999999999"/>
    <n v="3510.9158802740803"/>
    <n v="5171.2841999999991"/>
    <n v="1129.7466999999992"/>
    <n v="425.42500000000001"/>
    <n v="0"/>
    <n v="10318"/>
    <n v="3447.5227999999997"/>
    <n v="0"/>
    <n v="0"/>
    <n v="0"/>
    <n v="356.85"/>
    <n v="6514"/>
    <n v="0"/>
    <n v="6514"/>
    <s v="Release"/>
  </r>
  <r>
    <n v="83968.579412224324"/>
    <n v="0"/>
    <n v="83968.579412224324"/>
    <x v="707"/>
    <x v="697"/>
    <n v="0"/>
    <s v="MPG"/>
    <s v="Direct"/>
    <n v="1053"/>
    <x v="15"/>
    <s v="Old"/>
    <d v="2025-06-08T00:00:00"/>
    <n v="5472.8499999999995"/>
    <n v="216930.74"/>
    <n v="4104.6374999999998"/>
    <n v="5199.2074999999995"/>
    <n v="1423.1749775888802"/>
    <n v="6507.9221999999991"/>
    <n v="1308.7146999999995"/>
    <n v="547.28499999999997"/>
    <n v="0"/>
    <n v="10180"/>
    <n v="4338.6148000000003"/>
    <n v="0"/>
    <n v="0"/>
    <n v="0"/>
    <n v="64.050000000000011"/>
    <n v="5777"/>
    <n v="0"/>
    <n v="5777"/>
    <s v="Release"/>
  </r>
  <r>
    <n v="87522"/>
    <n v="0"/>
    <n v="87522"/>
    <x v="708"/>
    <x v="698"/>
    <n v="0"/>
    <s v="MPG"/>
    <s v="Direct"/>
    <n v="1053"/>
    <x v="15"/>
    <s v="Old"/>
    <d v="2025-06-20T00:00:00"/>
    <n v="2091.1"/>
    <n v="93791.41"/>
    <n v="1568.3249999999998"/>
    <n v="1986.5449999999998"/>
    <n v="1284.0036699346001"/>
    <n v="2813.7422999999999"/>
    <n v="827.19730000000004"/>
    <n v="209.11"/>
    <n v="635.7321181056152"/>
    <n v="3994"/>
    <n v="1875.8282000000002"/>
    <n v="0"/>
    <n v="0"/>
    <n v="0"/>
    <n v="219.60000000000002"/>
    <n v="1899"/>
    <n v="1899"/>
    <n v="0"/>
    <s v="Yes"/>
  </r>
  <r>
    <n v="0"/>
    <n v="0"/>
    <n v="0"/>
    <x v="709"/>
    <x v="699"/>
    <n v="0"/>
    <s v="vlc"/>
    <s v="Indirect"/>
    <n v="1053"/>
    <x v="15"/>
    <s v="Old"/>
    <d v="2025-06-06T00:00:00"/>
    <n v="1690.8"/>
    <n v="69440.06"/>
    <n v="1268.0999999999999"/>
    <n v="1606.26"/>
    <n v="0"/>
    <n v="2083.2017999999998"/>
    <n v="476.94179999999983"/>
    <n v="169.08"/>
    <n v="909.02934162069664"/>
    <n v="1796"/>
    <n v="0"/>
    <n v="0"/>
    <n v="0"/>
    <n v="0"/>
    <n v="0"/>
    <n v="1796"/>
    <n v="0"/>
    <n v="1796"/>
    <s v="Release"/>
  </r>
  <r>
    <n v="0"/>
    <n v="0"/>
    <n v="0"/>
    <x v="710"/>
    <x v="700"/>
    <n v="0"/>
    <s v="vlc"/>
    <s v="Indirect"/>
    <n v="1053"/>
    <x v="15"/>
    <s v="Old"/>
    <d v="2025-06-13T00:00:00"/>
    <n v="3681.35"/>
    <n v="146271.5"/>
    <n v="2761.0124999999998"/>
    <n v="3497.2824999999998"/>
    <n v="0"/>
    <n v="4388.1449999999995"/>
    <n v="890.86249999999973"/>
    <n v="368.13499999999999"/>
    <n v="0"/>
    <n v="5890"/>
    <n v="0"/>
    <n v="0"/>
    <n v="0"/>
    <n v="0"/>
    <n v="0"/>
    <n v="5890"/>
    <n v="0"/>
    <n v="5890"/>
    <s v="Release"/>
  </r>
  <r>
    <n v="92740.368799999997"/>
    <n v="0"/>
    <n v="92740.368799999997"/>
    <x v="711"/>
    <x v="701"/>
    <n v="0"/>
    <s v="MPG"/>
    <s v="Direct"/>
    <n v="1053"/>
    <x v="15"/>
    <s v="Old"/>
    <d v="2025-06-30T00:00:00"/>
    <n v="3147.7"/>
    <n v="155320.85"/>
    <n v="2360.7749999999996"/>
    <n v="2990.3149999999996"/>
    <n v="2865.0804741073798"/>
    <n v="4659.6255000000001"/>
    <n v="1669.3105000000005"/>
    <n v="314.77"/>
    <n v="43.463623696465469"/>
    <n v="7858"/>
    <n v="3106.4170000000004"/>
    <n v="0"/>
    <n v="0"/>
    <n v="0"/>
    <n v="274.5"/>
    <n v="4477"/>
    <n v="4477"/>
    <n v="0"/>
    <s v="Yes"/>
  </r>
  <r>
    <n v="85124.771200000003"/>
    <n v="0"/>
    <n v="85124.771200000003"/>
    <x v="712"/>
    <x v="702"/>
    <n v="0"/>
    <s v="MPG"/>
    <s v="Direct"/>
    <n v="1053"/>
    <x v="15"/>
    <s v="Old"/>
    <d v="2025-06-28T00:00:00"/>
    <n v="2814.05"/>
    <n v="156866.71000000002"/>
    <n v="2110.5375000000004"/>
    <n v="2673.3474999999999"/>
    <n v="2498.2797652455101"/>
    <n v="4706.0013000000008"/>
    <n v="2032.653800000001"/>
    <n v="281.40500000000003"/>
    <n v="196.46610509521619"/>
    <n v="6804"/>
    <n v="3137.3342000000007"/>
    <n v="0"/>
    <n v="0"/>
    <n v="0"/>
    <n v="329.40000000000003"/>
    <n v="3337"/>
    <n v="3337"/>
    <n v="0"/>
    <s v="Yes"/>
  </r>
  <r>
    <n v="0"/>
    <n v="0"/>
    <n v="0"/>
    <x v="713"/>
    <x v="703"/>
    <n v="0"/>
    <s v="vlc"/>
    <s v="Indirect"/>
    <n v="1053"/>
    <x v="15"/>
    <s v="Old"/>
    <d v="2025-06-22T00:00:00"/>
    <n v="692.2"/>
    <n v="36622.18"/>
    <n v="519.15000000000009"/>
    <n v="657.59"/>
    <n v="0"/>
    <n v="1098.6653999999999"/>
    <n v="441.07539999999983"/>
    <n v="69.220000000000013"/>
    <n v="1107.0283724723258"/>
    <n v="0"/>
    <n v="0"/>
    <n v="0"/>
    <n v="0"/>
    <n v="0"/>
    <n v="0"/>
    <n v="0"/>
    <n v="0"/>
    <n v="0"/>
    <s v="Release"/>
  </r>
  <r>
    <n v="100000"/>
    <n v="0"/>
    <n v="100000"/>
    <x v="714"/>
    <x v="704"/>
    <n v="0"/>
    <s v="MPG"/>
    <s v="Direct"/>
    <n v="1053"/>
    <x v="15"/>
    <s v="Old"/>
    <d v="2025-07-11T00:00:00"/>
    <n v="1863.7"/>
    <n v="93158.36"/>
    <n v="1397.7750000000001"/>
    <n v="1770.5149999999999"/>
    <n v="1618.5186640403203"/>
    <n v="2794.7507999999998"/>
    <n v="1024.2357999999999"/>
    <n v="186.37"/>
    <n v="942.48837211946352"/>
    <n v="3658"/>
    <n v="1863.1672000000001"/>
    <n v="0"/>
    <n v="0"/>
    <n v="0"/>
    <n v="109.80000000000001"/>
    <n v="1685"/>
    <n v="1685"/>
    <n v="0"/>
    <s v="Yes"/>
  </r>
  <r>
    <n v="0"/>
    <n v="0"/>
    <n v="0"/>
    <x v="715"/>
    <x v="705"/>
    <n v="0"/>
    <s v="vlc"/>
    <s v="Indirect"/>
    <n v="1053"/>
    <x v="15"/>
    <s v="Old"/>
    <d v="2025-06-22T00:00:00"/>
    <n v="1273.4499999999998"/>
    <n v="49440.789999999994"/>
    <n v="955.08749999999986"/>
    <n v="1209.7774999999997"/>
    <n v="0"/>
    <n v="1483.2236999999998"/>
    <n v="273.44620000000009"/>
    <n v="127.34499999999998"/>
    <n v="796.59503483129242"/>
    <n v="1241"/>
    <n v="0"/>
    <n v="0"/>
    <n v="0"/>
    <n v="0"/>
    <n v="0"/>
    <n v="1241"/>
    <n v="0"/>
    <n v="1241"/>
    <s v="Release"/>
  </r>
  <r>
    <n v="90000"/>
    <n v="0"/>
    <n v="90000"/>
    <x v="716"/>
    <x v="706"/>
    <n v="0"/>
    <s v="MPG"/>
    <s v="Direct"/>
    <n v="1053"/>
    <x v="15"/>
    <s v="Old"/>
    <d v="2025-07-25T00:00:00"/>
    <n v="7531.9"/>
    <n v="352212.87"/>
    <n v="5648.9249999999993"/>
    <n v="7155.3049999999994"/>
    <n v="4464.0162401634007"/>
    <n v="10566.3861"/>
    <n v="3411.0811000000003"/>
    <n v="753.19"/>
    <n v="0"/>
    <n v="16515"/>
    <n v="7044.2574000000004"/>
    <n v="0"/>
    <n v="0"/>
    <n v="0"/>
    <n v="347.70000000000005"/>
    <n v="9123"/>
    <n v="0"/>
    <n v="9123"/>
    <s v="Release"/>
  </r>
  <r>
    <n v="0"/>
    <n v="0"/>
    <n v="0"/>
    <x v="717"/>
    <x v="707"/>
    <n v="0"/>
    <s v="vlc"/>
    <s v="Indirect"/>
    <n v="1053"/>
    <x v="15"/>
    <s v="New"/>
    <d v="2025-08-23T00:00:00"/>
    <n v="1348.05"/>
    <n v="51872.93"/>
    <n v="1011.0374999999999"/>
    <n v="1280.6474999999998"/>
    <n v="0"/>
    <n v="1556.1878999999999"/>
    <n v="275.54040000000009"/>
    <n v="134.80500000000001"/>
    <n v="0"/>
    <n v="2157"/>
    <n v="0"/>
    <n v="0"/>
    <n v="0"/>
    <n v="0"/>
    <n v="0"/>
    <n v="2157"/>
    <n v="0"/>
    <n v="2157"/>
    <s v="Release"/>
  </r>
  <r>
    <n v="100000"/>
    <n v="0"/>
    <n v="100000"/>
    <x v="718"/>
    <x v="708"/>
    <n v="0"/>
    <s v="MPG"/>
    <s v="Direct"/>
    <n v="1053"/>
    <x v="15"/>
    <s v="New"/>
    <d v="2025-08-25T00:00:00"/>
    <n v="3065.2"/>
    <n v="143744.60999999999"/>
    <n v="2298.8999999999996"/>
    <n v="2911.9399999999996"/>
    <n v="2628.5622565658405"/>
    <n v="4312.3382999999994"/>
    <n v="1400.3982999999998"/>
    <n v="306.52"/>
    <n v="0"/>
    <n v="7533"/>
    <n v="0"/>
    <n v="0"/>
    <n v="0"/>
    <n v="0"/>
    <n v="0"/>
    <n v="7533"/>
    <n v="7533"/>
    <n v="0"/>
    <s v="Yes"/>
  </r>
  <r>
    <n v="90000"/>
    <n v="0"/>
    <n v="90000"/>
    <x v="719"/>
    <x v="709"/>
    <n v="0"/>
    <s v="MPG"/>
    <s v="Direct"/>
    <n v="1053"/>
    <x v="15"/>
    <s v="New"/>
    <d v="2025-08-25T00:00:00"/>
    <n v="2730.1000000000004"/>
    <n v="111404.98"/>
    <n v="2047.5750000000003"/>
    <n v="2593.5950000000003"/>
    <n v="1617.3580116559999"/>
    <n v="3342.1493999999998"/>
    <n v="748.55439999999953"/>
    <n v="273.01000000000005"/>
    <n v="0"/>
    <n v="5986"/>
    <n v="0"/>
    <n v="0"/>
    <n v="0"/>
    <n v="0"/>
    <n v="384.3"/>
    <n v="5602"/>
    <n v="0"/>
    <n v="5602"/>
    <s v="Release"/>
  </r>
  <r>
    <n v="52209.606181196476"/>
    <n v="0"/>
    <n v="52209.606181196476"/>
    <x v="720"/>
    <x v="710"/>
    <n v="0"/>
    <s v="MPG"/>
    <s v="Direct"/>
    <n v="1054"/>
    <x v="11"/>
    <s v="Old"/>
    <d v="2025-05-16T00:00:00"/>
    <n v="11401.3"/>
    <n v="476984.25"/>
    <n v="8550.9749999999985"/>
    <n v="10831.234999999999"/>
    <n v="0"/>
    <n v="14309.5275"/>
    <n v="3478.2925000000014"/>
    <n v="1140.1299999999999"/>
    <n v="0"/>
    <n v="18242"/>
    <n v="9539.6849999999995"/>
    <n v="0"/>
    <n v="0"/>
    <n v="0"/>
    <n v="0"/>
    <n v="8702"/>
    <n v="8702"/>
    <n v="0"/>
    <s v="Yes"/>
  </r>
  <r>
    <n v="78433.003948254394"/>
    <n v="0"/>
    <n v="78433.003948254394"/>
    <x v="721"/>
    <x v="711"/>
    <n v="0"/>
    <s v="MPG"/>
    <s v="Direct"/>
    <n v="1054"/>
    <x v="11"/>
    <s v="Old"/>
    <d v="2025-05-26T00:00:00"/>
    <n v="3589.3"/>
    <n v="158398.66000000003"/>
    <n v="2691.9750000000004"/>
    <n v="3409.835"/>
    <n v="20.44162609728"/>
    <n v="4751.9598000000005"/>
    <n v="1342.1248000000005"/>
    <n v="358.93000000000006"/>
    <n v="0"/>
    <n v="5763"/>
    <n v="3167.9732000000008"/>
    <n v="0"/>
    <n v="0"/>
    <n v="0"/>
    <n v="0"/>
    <n v="2595"/>
    <n v="0"/>
    <n v="2595"/>
    <s v="Release"/>
  </r>
  <r>
    <n v="86278"/>
    <n v="0"/>
    <n v="86278"/>
    <x v="722"/>
    <x v="712"/>
    <n v="0"/>
    <s v="MPG"/>
    <s v="Direct"/>
    <n v="1054"/>
    <x v="11"/>
    <s v="Old"/>
    <d v="2025-06-01T00:00:00"/>
    <n v="1314.6999999999998"/>
    <n v="56246.789999999994"/>
    <n v="986.02499999999986"/>
    <n v="1248.9649999999997"/>
    <n v="414.75298126000001"/>
    <n v="1687.4036999999998"/>
    <n v="438.43870000000015"/>
    <n v="131.47"/>
    <n v="1274.9300132324406"/>
    <n v="1243"/>
    <n v="1243"/>
    <n v="0"/>
    <n v="0"/>
    <n v="0"/>
    <n v="0"/>
    <n v="0"/>
    <n v="0"/>
    <n v="0"/>
    <s v="Release"/>
  </r>
  <r>
    <n v="90000"/>
    <n v="0"/>
    <n v="90000"/>
    <x v="723"/>
    <x v="713"/>
    <n v="0"/>
    <s v="MPG"/>
    <s v="Direct"/>
    <n v="1054"/>
    <x v="11"/>
    <s v="Old"/>
    <d v="2025-07-11T00:00:00"/>
    <n v="756.5"/>
    <n v="36943.9"/>
    <n v="567.375"/>
    <n v="718.67499999999995"/>
    <n v="0"/>
    <n v="1108.317"/>
    <n v="389.64200000000005"/>
    <n v="75.650000000000006"/>
    <n v="1210.314241384448"/>
    <n v="0"/>
    <n v="0"/>
    <n v="0"/>
    <n v="0"/>
    <n v="0"/>
    <n v="0"/>
    <n v="0"/>
    <n v="0"/>
    <n v="0"/>
    <s v="Release"/>
  </r>
  <r>
    <n v="75281.737200000003"/>
    <n v="0"/>
    <n v="75281.737200000003"/>
    <x v="724"/>
    <x v="714"/>
    <n v="0"/>
    <s v="MPG"/>
    <s v="Direct"/>
    <n v="1054"/>
    <x v="11"/>
    <s v="Old"/>
    <d v="2025-06-28T00:00:00"/>
    <n v="11266.2"/>
    <n v="512793.50000000006"/>
    <n v="8449.6500000000015"/>
    <n v="10702.89"/>
    <n v="4304.4914882588801"/>
    <n v="15383.805"/>
    <n v="4680.9150000000009"/>
    <n v="1126.6200000000001"/>
    <n v="0"/>
    <n v="22330"/>
    <n v="10255.870000000001"/>
    <n v="0"/>
    <n v="0"/>
    <n v="0"/>
    <n v="0"/>
    <n v="12074"/>
    <n v="0"/>
    <n v="12074"/>
    <s v="Release"/>
  </r>
  <r>
    <n v="0"/>
    <n v="0"/>
    <n v="0"/>
    <x v="725"/>
    <x v="715"/>
    <n v="0"/>
    <s v="vlc"/>
    <s v="Indirect"/>
    <n v="1054"/>
    <x v="11"/>
    <s v="Old"/>
    <d v="2025-06-24T00:00:00"/>
    <n v="9609.5"/>
    <n v="375787.10999999993"/>
    <n v="7207.125"/>
    <n v="9129.0249999999996"/>
    <n v="0"/>
    <n v="11273.613299999997"/>
    <n v="2144.5882999999976"/>
    <n v="960.95"/>
    <n v="0"/>
    <n v="15375"/>
    <n v="0"/>
    <n v="0"/>
    <n v="0"/>
    <n v="0"/>
    <n v="0"/>
    <n v="15375"/>
    <n v="0"/>
    <n v="15375"/>
    <s v="Release"/>
  </r>
  <r>
    <n v="0"/>
    <n v="0"/>
    <n v="0"/>
    <x v="726"/>
    <x v="716"/>
    <n v="0"/>
    <s v="vlc"/>
    <s v="Indirect"/>
    <n v="1054"/>
    <x v="11"/>
    <s v="Old"/>
    <d v="2025-06-21T00:00:00"/>
    <n v="725.69999999999993"/>
    <n v="26170.83"/>
    <n v="544.27499999999998"/>
    <n v="689.41499999999985"/>
    <n v="0"/>
    <n v="785.12490000000003"/>
    <n v="95.709900000000175"/>
    <n v="72.569999999999993"/>
    <n v="1160.9125461121569"/>
    <n v="0"/>
    <n v="0"/>
    <n v="0"/>
    <n v="0"/>
    <n v="0"/>
    <n v="0"/>
    <n v="0"/>
    <n v="0"/>
    <n v="0"/>
    <s v="Release"/>
  </r>
  <r>
    <n v="0"/>
    <n v="0"/>
    <n v="0"/>
    <x v="727"/>
    <x v="717"/>
    <n v="0"/>
    <s v="vlc"/>
    <s v="Indirect"/>
    <n v="1054"/>
    <x v="11"/>
    <s v="Old"/>
    <d v="2025-07-11T00:00:00"/>
    <n v="400.3"/>
    <n v="14327.360000000002"/>
    <n v="300.22500000000002"/>
    <n v="380.28499999999997"/>
    <n v="0"/>
    <n v="429.82080000000008"/>
    <n v="49.535800000000108"/>
    <n v="40.03"/>
    <n v="640.19318109173446"/>
    <n v="0"/>
    <n v="0"/>
    <n v="0"/>
    <n v="0"/>
    <n v="0"/>
    <n v="0"/>
    <n v="0"/>
    <n v="0"/>
    <n v="0"/>
    <s v="Release"/>
  </r>
  <r>
    <n v="90000"/>
    <n v="0"/>
    <n v="90000"/>
    <x v="728"/>
    <x v="718"/>
    <n v="0"/>
    <s v="MPG"/>
    <s v="Direct"/>
    <n v="1054"/>
    <x v="11"/>
    <s v="Old"/>
    <d v="2025-07-31T00:00:00"/>
    <n v="2139.8000000000002"/>
    <n v="99249.12"/>
    <n v="1604.8500000000001"/>
    <n v="2032.8100000000002"/>
    <n v="237.39024778607998"/>
    <n v="2977.4735999999998"/>
    <n v="944.66359999999963"/>
    <n v="213.98000000000002"/>
    <n v="612.84901764240055"/>
    <n v="3048"/>
    <n v="1984.9823999999999"/>
    <n v="0"/>
    <n v="0"/>
    <n v="0"/>
    <n v="0"/>
    <n v="1063"/>
    <n v="0"/>
    <n v="1063"/>
    <s v="Release"/>
  </r>
  <r>
    <n v="90000"/>
    <n v="0"/>
    <n v="90000"/>
    <x v="729"/>
    <x v="719"/>
    <n v="0"/>
    <s v="MPG"/>
    <s v="Direct"/>
    <n v="1054"/>
    <x v="11"/>
    <s v="Old"/>
    <d v="2025-07-31T00:00:00"/>
    <n v="3289.1"/>
    <n v="133467.63"/>
    <n v="2466.8249999999998"/>
    <n v="3124.645"/>
    <n v="0"/>
    <n v="4004.0288999999998"/>
    <n v="879.38389999999981"/>
    <n v="328.91"/>
    <n v="18.432983025830222"/>
    <n v="5244"/>
    <n v="2669.3526000000002"/>
    <n v="0"/>
    <n v="0"/>
    <n v="0"/>
    <n v="0"/>
    <n v="2575"/>
    <n v="2575"/>
    <n v="0"/>
    <s v="Yes"/>
  </r>
  <r>
    <n v="90000"/>
    <n v="0"/>
    <n v="90000"/>
    <x v="730"/>
    <x v="720"/>
    <n v="0"/>
    <s v="MPG"/>
    <s v="Direct"/>
    <n v="1054"/>
    <x v="11"/>
    <s v="Old"/>
    <d v="2025-07-31T00:00:00"/>
    <n v="822.19999999999982"/>
    <n v="40147.24"/>
    <n v="616.64999999999986"/>
    <n v="781.0899999999998"/>
    <n v="0"/>
    <n v="1204.4171999999999"/>
    <n v="423.32720000000006"/>
    <n v="82.219999999999985"/>
    <n v="1316.0026525043913"/>
    <n v="0"/>
    <n v="0"/>
    <n v="0"/>
    <n v="0"/>
    <n v="0"/>
    <n v="0"/>
    <n v="0"/>
    <n v="0"/>
    <n v="0"/>
    <s v="Release"/>
  </r>
  <r>
    <n v="90000"/>
    <n v="0"/>
    <n v="90000"/>
    <x v="731"/>
    <x v="721"/>
    <n v="0"/>
    <s v="MPG"/>
    <s v="Direct"/>
    <n v="1054"/>
    <x v="11"/>
    <s v="Old"/>
    <d v="2025-07-31T00:00:00"/>
    <n v="984.09999999999991"/>
    <n v="41558.78"/>
    <n v="738.07499999999993"/>
    <n v="934.89499999999987"/>
    <n v="0"/>
    <n v="1246.7633999999998"/>
    <n v="311.86839999999995"/>
    <n v="98.41"/>
    <n v="1534.0805843416551"/>
    <n v="40"/>
    <n v="40"/>
    <n v="0"/>
    <n v="0"/>
    <n v="0"/>
    <n v="0"/>
    <n v="0"/>
    <n v="0"/>
    <n v="0"/>
    <s v="Release"/>
  </r>
  <r>
    <n v="100000"/>
    <n v="0"/>
    <n v="100000"/>
    <x v="732"/>
    <x v="722"/>
    <n v="0"/>
    <s v="MPG"/>
    <s v="Direct"/>
    <n v="1054"/>
    <x v="11"/>
    <s v="Old"/>
    <d v="2025-07-31T00:00:00"/>
    <n v="1738"/>
    <n v="65873.239999999991"/>
    <n v="1303.5"/>
    <n v="1651.1"/>
    <n v="0"/>
    <n v="1976.1971999999996"/>
    <n v="325.0971999999997"/>
    <n v="173.8"/>
    <n v="811.48202208654197"/>
    <n v="1969"/>
    <n v="1861"/>
    <n v="0"/>
    <n v="0"/>
    <n v="0"/>
    <n v="0"/>
    <n v="108"/>
    <n v="108"/>
    <n v="0"/>
    <s v="Yes"/>
  </r>
  <r>
    <n v="0"/>
    <n v="0"/>
    <n v="0"/>
    <x v="733"/>
    <x v="723"/>
    <n v="0"/>
    <s v="vlc"/>
    <s v="Indirect"/>
    <n v="1054"/>
    <x v="11"/>
    <s v="Old"/>
    <d v="2025-07-31T00:00:00"/>
    <n v="6140.4000000000005"/>
    <n v="244935.33"/>
    <n v="4605.3"/>
    <n v="5833.38"/>
    <n v="0"/>
    <n v="7348.0598999999993"/>
    <n v="1514.6798999999992"/>
    <n v="614.04000000000008"/>
    <n v="0"/>
    <n v="9825"/>
    <n v="0"/>
    <n v="0"/>
    <n v="0"/>
    <n v="0"/>
    <n v="0"/>
    <n v="9825"/>
    <n v="0"/>
    <n v="9825"/>
    <s v="Release"/>
  </r>
  <r>
    <n v="0"/>
    <n v="0"/>
    <n v="0"/>
    <x v="734"/>
    <x v="724"/>
    <n v="0"/>
    <s v="vlc"/>
    <s v="Indirect"/>
    <n v="1054"/>
    <x v="11"/>
    <s v="New"/>
    <d v="2025-08-14T00:00:00"/>
    <n v="913.7"/>
    <n v="39166.449999999997"/>
    <n v="685.27500000000009"/>
    <n v="868.01499999999999"/>
    <n v="0"/>
    <n v="1174.9934999999998"/>
    <n v="306.97849999999983"/>
    <n v="91.37"/>
    <n v="0"/>
    <n v="1462"/>
    <n v="0"/>
    <n v="0"/>
    <n v="0"/>
    <n v="0"/>
    <n v="0"/>
    <n v="1462"/>
    <n v="0"/>
    <n v="1462"/>
    <s v="Release"/>
  </r>
  <r>
    <n v="0"/>
    <n v="0"/>
    <n v="0"/>
    <x v="735"/>
    <x v="725"/>
    <n v="0"/>
    <s v="vlc"/>
    <s v="Indirect"/>
    <n v="1056"/>
    <x v="6"/>
    <s v="Old"/>
    <d v="2025-06-20T00:00:00"/>
    <n v="18349.2"/>
    <n v="705045.34000000008"/>
    <n v="13761.900000000001"/>
    <n v="17431.740000000002"/>
    <n v="0"/>
    <n v="21151.360200000003"/>
    <n v="3719.6202000000012"/>
    <n v="1834.92"/>
    <n v="0"/>
    <n v="29359"/>
    <n v="0"/>
    <n v="0"/>
    <n v="0"/>
    <n v="0"/>
    <n v="0"/>
    <n v="29359"/>
    <n v="0"/>
    <n v="29359"/>
    <s v="Release"/>
  </r>
  <r>
    <n v="90000"/>
    <n v="0"/>
    <n v="90000"/>
    <x v="736"/>
    <x v="726"/>
    <n v="0"/>
    <s v="vlc"/>
    <s v="Indirect"/>
    <n v="1056"/>
    <x v="6"/>
    <s v="Old"/>
    <d v="2025-07-31T00:00:00"/>
    <n v="1572.1"/>
    <n v="56601.380000000005"/>
    <n v="1179.0749999999998"/>
    <n v="1493.4949999999999"/>
    <n v="0"/>
    <n v="1698.0414000000001"/>
    <n v="204.54640000000018"/>
    <n v="157.21"/>
    <n v="865.70935147365958"/>
    <n v="1650"/>
    <n v="1650"/>
    <n v="0"/>
    <n v="0"/>
    <n v="0"/>
    <n v="0"/>
    <n v="0"/>
    <n v="0"/>
    <n v="0"/>
    <s v="Release"/>
  </r>
  <r>
    <n v="110000"/>
    <n v="0"/>
    <n v="110000"/>
    <x v="737"/>
    <x v="727"/>
    <n v="0"/>
    <s v="vlc"/>
    <s v="Indirect"/>
    <n v="1056"/>
    <x v="6"/>
    <s v="Old"/>
    <d v="2025-07-31T00:00:00"/>
    <n v="120.1"/>
    <n v="4636.99"/>
    <n v="90.074999999999989"/>
    <n v="114.09499999999998"/>
    <n v="0"/>
    <n v="139.10969999999998"/>
    <n v="25.014699999999991"/>
    <n v="12.01"/>
    <n v="192.62539099418166"/>
    <n v="0"/>
    <n v="0"/>
    <n v="0"/>
    <n v="0"/>
    <n v="0"/>
    <n v="0"/>
    <n v="0"/>
    <n v="0"/>
    <n v="0"/>
    <s v="Release"/>
  </r>
  <r>
    <n v="90000"/>
    <n v="0"/>
    <n v="90000"/>
    <x v="738"/>
    <x v="728"/>
    <n v="0"/>
    <s v="MPG"/>
    <s v="Direct"/>
    <n v="1056"/>
    <x v="6"/>
    <s v="New"/>
    <d v="2025-08-25T00:00:00"/>
    <n v="1256.1000000000001"/>
    <n v="51209.840000000004"/>
    <n v="942.07500000000005"/>
    <n v="1193.2950000000001"/>
    <n v="0"/>
    <n v="1536.2952"/>
    <n v="343.00019999999995"/>
    <n v="125.61000000000001"/>
    <n v="0"/>
    <n v="2010"/>
    <n v="0"/>
    <n v="0"/>
    <n v="0"/>
    <n v="0"/>
    <n v="0"/>
    <n v="2010"/>
    <n v="0"/>
    <n v="2010"/>
    <s v="Release"/>
  </r>
  <r>
    <n v="90000"/>
    <n v="0"/>
    <n v="90000"/>
    <x v="739"/>
    <x v="729"/>
    <n v="0"/>
    <s v="MPG"/>
    <s v="Direct"/>
    <n v="1056"/>
    <x v="6"/>
    <s v="New"/>
    <d v="2025-08-24T00:00:00"/>
    <n v="3443"/>
    <n v="151456.24"/>
    <n v="2582.25"/>
    <n v="3270.85"/>
    <n v="0"/>
    <n v="4543.6871999999994"/>
    <n v="1272.8371999999995"/>
    <n v="344.3"/>
    <n v="0"/>
    <n v="5509"/>
    <n v="0"/>
    <n v="0"/>
    <n v="0"/>
    <n v="0"/>
    <n v="0"/>
    <n v="5509"/>
    <n v="0"/>
    <n v="5509"/>
    <s v="Release"/>
  </r>
  <r>
    <n v="90000"/>
    <n v="0"/>
    <n v="90000"/>
    <x v="740"/>
    <x v="730"/>
    <n v="0"/>
    <s v="MPG"/>
    <s v="Direct"/>
    <n v="1056"/>
    <x v="6"/>
    <s v="New"/>
    <d v="2025-08-25T00:00:00"/>
    <n v="469"/>
    <n v="21071.469999999998"/>
    <n v="351.75"/>
    <n v="445.54999999999995"/>
    <n v="0"/>
    <n v="632.14409999999987"/>
    <n v="186.59409999999991"/>
    <n v="46.900000000000006"/>
    <n v="0"/>
    <n v="750"/>
    <n v="0"/>
    <n v="0"/>
    <n v="0"/>
    <n v="0"/>
    <n v="0"/>
    <n v="750"/>
    <n v="0"/>
    <n v="750"/>
    <s v="Release"/>
  </r>
  <r>
    <n v="100000"/>
    <n v="0"/>
    <n v="100000"/>
    <x v="741"/>
    <x v="731"/>
    <n v="0"/>
    <s v="MPG"/>
    <s v="Direct"/>
    <n v="1002"/>
    <x v="2"/>
    <s v="New"/>
    <d v="2025-08-31T00:00:00"/>
    <n v="305.70000000000005"/>
    <n v="12142.050000000001"/>
    <n v="229.27500000000003"/>
    <n v="290.41500000000002"/>
    <n v="0"/>
    <n v="364.26150000000001"/>
    <n v="73.846499999999992"/>
    <n v="30.570000000000007"/>
    <n v="0"/>
    <n v="489"/>
    <n v="0"/>
    <n v="0"/>
    <n v="0"/>
    <n v="0"/>
    <n v="0"/>
    <n v="489"/>
    <n v="489"/>
    <n v="0"/>
    <s v="Yes"/>
  </r>
  <r>
    <n v="90000"/>
    <n v="0"/>
    <n v="90000"/>
    <x v="742"/>
    <x v="732"/>
    <n v="0"/>
    <s v="MPG"/>
    <s v="Direct"/>
    <n v="1003"/>
    <x v="3"/>
    <s v="Old"/>
    <d v="2025-07-31T00:00:00"/>
    <n v="177.39999999999998"/>
    <n v="6830.5999999999995"/>
    <n v="133.04999999999998"/>
    <n v="168.52999999999997"/>
    <n v="0"/>
    <n v="204.91799999999998"/>
    <n v="36.388000000000005"/>
    <n v="17.739999999999998"/>
    <n v="284.33455510060912"/>
    <n v="0"/>
    <n v="0"/>
    <n v="0"/>
    <n v="0"/>
    <n v="0"/>
    <n v="0"/>
    <n v="0"/>
    <n v="0"/>
    <n v="0"/>
    <s v="Release"/>
  </r>
  <r>
    <n v="90000"/>
    <n v="0"/>
    <n v="90000"/>
    <x v="743"/>
    <x v="733"/>
    <n v="0"/>
    <s v="MPG"/>
    <s v="Direct"/>
    <n v="1003"/>
    <x v="3"/>
    <s v="New"/>
    <d v="2025-08-31T00:00:00"/>
    <n v="2.75"/>
    <n v="98.45"/>
    <n v="2.0625"/>
    <n v="2.6124999999999998"/>
    <n v="0"/>
    <n v="2.9535"/>
    <n v="0.34100000000000019"/>
    <n v="0.27500000000000002"/>
    <n v="0"/>
    <n v="4"/>
    <n v="0"/>
    <n v="0"/>
    <n v="0"/>
    <n v="0"/>
    <n v="0"/>
    <n v="4"/>
    <n v="4"/>
    <n v="0"/>
    <s v="Yes"/>
  </r>
  <r>
    <n v="100000"/>
    <n v="0"/>
    <n v="100000"/>
    <x v="744"/>
    <x v="734"/>
    <n v="0"/>
    <s v="MPG"/>
    <s v="Direct"/>
    <n v="1006"/>
    <x v="4"/>
    <s v="New"/>
    <d v="2025-08-30T00:00:00"/>
    <n v="414"/>
    <n v="15791.009999999998"/>
    <n v="310.5"/>
    <n v="393.29999999999995"/>
    <n v="310.83530403999998"/>
    <n v="473.73029999999994"/>
    <n v="80.430299999999988"/>
    <n v="41.400000000000006"/>
    <n v="0"/>
    <n v="973"/>
    <n v="0"/>
    <n v="0"/>
    <n v="0"/>
    <n v="0"/>
    <n v="0"/>
    <n v="973"/>
    <n v="973"/>
    <n v="0"/>
    <s v="Yes"/>
  </r>
  <r>
    <n v="90000"/>
    <n v="0"/>
    <n v="90000"/>
    <x v="745"/>
    <x v="735"/>
    <n v="0"/>
    <s v="MPG"/>
    <s v="Direct"/>
    <n v="1008"/>
    <x v="0"/>
    <s v="New"/>
    <d v="2025-08-31T00:00:00"/>
    <n v="332.55000000000007"/>
    <n v="10998.460000000001"/>
    <n v="249.41250000000005"/>
    <n v="315.92250000000007"/>
    <n v="0"/>
    <n v="329.9538"/>
    <n v="14.031299999999931"/>
    <n v="33.25500000000001"/>
    <n v="0"/>
    <n v="532"/>
    <n v="0"/>
    <n v="0"/>
    <n v="0"/>
    <n v="0"/>
    <n v="0"/>
    <n v="532"/>
    <n v="0"/>
    <n v="532"/>
    <s v="Release"/>
  </r>
  <r>
    <n v="0"/>
    <n v="0"/>
    <n v="0"/>
    <x v="746"/>
    <x v="736"/>
    <n v="0"/>
    <s v="vlc"/>
    <s v="Indirect"/>
    <n v="1008"/>
    <x v="0"/>
    <s v="New"/>
    <d v="2025-09-01T00:00:00"/>
    <n v="637.75"/>
    <n v="24049.38"/>
    <n v="478.3125"/>
    <n v="605.86249999999995"/>
    <n v="0"/>
    <n v="721.48140000000001"/>
    <n v="115.61890000000005"/>
    <n v="63.775000000000006"/>
    <n v="0"/>
    <n v="1020"/>
    <n v="0"/>
    <n v="0"/>
    <n v="0"/>
    <n v="0"/>
    <n v="0"/>
    <n v="1020"/>
    <n v="0"/>
    <n v="1020"/>
    <s v="Release"/>
  </r>
  <r>
    <n v="0"/>
    <n v="0"/>
    <n v="0"/>
    <x v="747"/>
    <x v="737"/>
    <n v="0"/>
    <s v="vlc"/>
    <s v="Indirect"/>
    <n v="1013"/>
    <x v="13"/>
    <s v="Old"/>
    <d v="2025-02-02T00:00:00"/>
    <n v="319.5"/>
    <n v="13180.75"/>
    <n v="239.625"/>
    <n v="303.52499999999998"/>
    <n v="0"/>
    <n v="395.42250000000001"/>
    <n v="91.897500000000036"/>
    <n v="31.950000000000003"/>
    <n v="313.9452503912363"/>
    <n v="197"/>
    <n v="0"/>
    <n v="0"/>
    <n v="0"/>
    <n v="0"/>
    <n v="0"/>
    <n v="197"/>
    <n v="197"/>
    <n v="0"/>
    <s v="Yes"/>
  </r>
  <r>
    <n v="51848.179393945597"/>
    <n v="8440.3607058969592"/>
    <n v="60288.540099842554"/>
    <x v="748"/>
    <x v="738"/>
    <n v="0"/>
    <s v="MPG"/>
    <s v="Direct"/>
    <n v="1014"/>
    <x v="14"/>
    <s v="Old"/>
    <d v="2022-05-16T00:00:00"/>
    <n v="720.8"/>
    <n v="21937.590000000004"/>
    <n v="540.59999999999991"/>
    <n v="684.75999999999988"/>
    <n v="267.45000000000005"/>
    <n v="658.12770000000012"/>
    <n v="-26.632299999999759"/>
    <n v="72.08"/>
    <n v="1279.0400363442714"/>
    <n v="142"/>
    <n v="0"/>
    <n v="142"/>
    <n v="0"/>
    <n v="0"/>
    <n v="0"/>
    <n v="0"/>
    <n v="0"/>
    <n v="0"/>
    <s v="Release"/>
  </r>
  <r>
    <n v="110000"/>
    <n v="0"/>
    <n v="110000"/>
    <x v="749"/>
    <x v="739"/>
    <n v="0"/>
    <s v="MPG"/>
    <s v="Direct"/>
    <n v="1014"/>
    <x v="14"/>
    <s v="New"/>
    <d v="2025-08-30T00:00:00"/>
    <n v="374.70000000000005"/>
    <n v="22366.36"/>
    <n v="281.02500000000003"/>
    <n v="355.96500000000003"/>
    <n v="0"/>
    <n v="670.99080000000004"/>
    <n v="315.0258"/>
    <n v="37.470000000000006"/>
    <n v="0"/>
    <n v="600"/>
    <n v="0"/>
    <n v="0"/>
    <n v="0"/>
    <n v="0"/>
    <n v="0"/>
    <n v="600"/>
    <n v="600"/>
    <n v="0"/>
    <s v="Yes"/>
  </r>
  <r>
    <n v="0"/>
    <n v="0"/>
    <n v="0"/>
    <x v="750"/>
    <x v="740"/>
    <n v="0"/>
    <s v="vlc"/>
    <s v="Indirect"/>
    <n v="1036"/>
    <x v="9"/>
    <s v="Old"/>
    <d v="2025-04-14T00:00:00"/>
    <n v="2178.8999999999996"/>
    <n v="79604.600000000006"/>
    <n v="1634.1749999999997"/>
    <n v="2069.9549999999995"/>
    <n v="0"/>
    <n v="2388.1379999999999"/>
    <n v="318.18300000000045"/>
    <n v="217.89"/>
    <n v="488.45251684191976"/>
    <n v="2998"/>
    <n v="0"/>
    <n v="0"/>
    <n v="0"/>
    <n v="0"/>
    <n v="0"/>
    <n v="2998"/>
    <n v="0"/>
    <n v="2998"/>
    <s v="Release"/>
  </r>
  <r>
    <n v="90000"/>
    <n v="0"/>
    <n v="90000"/>
    <x v="751"/>
    <x v="741"/>
    <n v="0"/>
    <s v="MPG"/>
    <s v="Direct"/>
    <n v="1053"/>
    <x v="15"/>
    <s v="New"/>
    <d v="2025-08-29T00:00:00"/>
    <n v="2511.6"/>
    <n v="115000.84999999999"/>
    <n v="1883.6999999999998"/>
    <n v="2386.02"/>
    <n v="3036.8137822480003"/>
    <n v="3450.0254999999997"/>
    <n v="1064.0054999999998"/>
    <n v="251.16"/>
    <n v="0"/>
    <n v="7055"/>
    <n v="0"/>
    <n v="0"/>
    <n v="0"/>
    <n v="0"/>
    <n v="164.70000000000002"/>
    <n v="6890"/>
    <n v="0"/>
    <n v="6890"/>
    <s v="Release"/>
  </r>
  <r>
    <n v="0"/>
    <n v="0"/>
    <n v="0"/>
    <x v="752"/>
    <x v="742"/>
    <n v="0"/>
    <s v="vlc"/>
    <s v="Indirect"/>
    <n v="1053"/>
    <x v="15"/>
    <s v="New"/>
    <d v="2025-08-30T00:00:00"/>
    <n v="619"/>
    <n v="26235.25"/>
    <n v="464.25"/>
    <n v="588.04999999999995"/>
    <n v="0"/>
    <n v="787.0575"/>
    <n v="199.00750000000005"/>
    <n v="61.900000000000006"/>
    <n v="0"/>
    <n v="990"/>
    <n v="0"/>
    <n v="0"/>
    <n v="0"/>
    <n v="0"/>
    <n v="0"/>
    <n v="990"/>
    <n v="0"/>
    <n v="990"/>
    <s v="Release"/>
  </r>
  <r>
    <n v="90000"/>
    <n v="0"/>
    <n v="90000"/>
    <x v="753"/>
    <x v="743"/>
    <n v="0"/>
    <s v="MPG"/>
    <s v="Direct"/>
    <n v="1054"/>
    <x v="11"/>
    <s v="Old"/>
    <d v="2025-07-31T00:00:00"/>
    <n v="1041.6000000000001"/>
    <n v="45773.74"/>
    <n v="781.2"/>
    <n v="989.5200000000001"/>
    <n v="0"/>
    <n v="1373.2121999999999"/>
    <n v="383.69219999999984"/>
    <n v="104.16000000000003"/>
    <n v="923.11713455591303"/>
    <n v="743"/>
    <n v="743"/>
    <n v="0"/>
    <n v="0"/>
    <n v="0"/>
    <n v="0"/>
    <n v="0"/>
    <n v="0"/>
    <n v="0"/>
    <s v="Release"/>
  </r>
  <r>
    <n v="100000"/>
    <n v="0"/>
    <n v="100000"/>
    <x v="754"/>
    <x v="744"/>
    <n v="0"/>
    <s v="MPG"/>
    <s v="Direct"/>
    <n v="1056"/>
    <x v="6"/>
    <s v="New"/>
    <d v="2025-09-02T00:00:00"/>
    <n v="877.4"/>
    <n v="38617.040000000001"/>
    <n v="658.05"/>
    <n v="833.53"/>
    <n v="0"/>
    <n v="1158.5111999999999"/>
    <n v="324.98119999999994"/>
    <n v="87.740000000000009"/>
    <n v="0"/>
    <n v="1404"/>
    <n v="0"/>
    <n v="0"/>
    <n v="0"/>
    <n v="0"/>
    <n v="0"/>
    <n v="1404"/>
    <n v="1404"/>
    <n v="0"/>
    <s v="Yes"/>
  </r>
  <r>
    <n v="0"/>
    <n v="0"/>
    <n v="0"/>
    <x v="755"/>
    <x v="745"/>
    <n v="0"/>
    <s v="vlc"/>
    <s v="Indirect"/>
    <n v="1006"/>
    <x v="4"/>
    <s v="New"/>
    <d v="2025-09-06T00:00:00"/>
    <n v="1511"/>
    <n v="71268.329999999987"/>
    <n v="1133.25"/>
    <n v="1435.45"/>
    <n v="0"/>
    <n v="2138.0498999999995"/>
    <n v="702.59989999999948"/>
    <n v="151.1"/>
    <n v="0"/>
    <n v="2418"/>
    <n v="0"/>
    <n v="0"/>
    <n v="0"/>
    <n v="0"/>
    <n v="0"/>
    <n v="2418"/>
    <n v="0"/>
    <n v="2418"/>
    <s v="Release"/>
  </r>
  <r>
    <n v="0"/>
    <n v="0"/>
    <n v="0"/>
    <x v="756"/>
    <x v="746"/>
    <n v="0"/>
    <s v="vlc"/>
    <s v="Indirect"/>
    <n v="1006"/>
    <x v="4"/>
    <s v="New"/>
    <d v="2025-09-06T00:00:00"/>
    <n v="5020.0000000000009"/>
    <n v="240496.34"/>
    <n v="3765.0000000000009"/>
    <n v="4769.0000000000009"/>
    <n v="0"/>
    <n v="7214.8901999999998"/>
    <n v="2445.8901999999989"/>
    <n v="502.00000000000011"/>
    <n v="0"/>
    <n v="8032"/>
    <n v="0"/>
    <n v="0"/>
    <n v="0"/>
    <n v="0"/>
    <n v="0"/>
    <n v="8032"/>
    <n v="0"/>
    <n v="8032"/>
    <s v="Release"/>
  </r>
  <r>
    <n v="90000"/>
    <n v="0"/>
    <n v="90000"/>
    <x v="757"/>
    <x v="747"/>
    <n v="0"/>
    <s v="MPG"/>
    <s v="Direct"/>
    <n v="1055"/>
    <x v="10"/>
    <s v="New"/>
    <d v="2025-09-10T00:00:00"/>
    <n v="125.2"/>
    <n v="4903.33"/>
    <n v="93.9"/>
    <n v="118.94"/>
    <n v="0"/>
    <n v="147.09989999999999"/>
    <n v="28.159899999999993"/>
    <n v="12.520000000000001"/>
    <n v="0"/>
    <n v="200"/>
    <n v="0"/>
    <n v="0"/>
    <n v="0"/>
    <n v="0"/>
    <n v="0"/>
    <n v="200"/>
    <n v="0"/>
    <n v="200"/>
    <s v="Release"/>
  </r>
  <r>
    <n v="0"/>
    <n v="0"/>
    <n v="0"/>
    <x v="758"/>
    <x v="748"/>
    <n v="0"/>
    <s v="vlc"/>
    <s v="Indirect"/>
    <n v="1054"/>
    <x v="11"/>
    <s v="New"/>
    <d v="2025-09-05T00:00:00"/>
    <n v="1912.7000000000003"/>
    <n v="81538.31"/>
    <n v="1434.5250000000001"/>
    <n v="1817.0650000000003"/>
    <n v="0"/>
    <n v="2446.1493"/>
    <n v="629.08429999999976"/>
    <n v="191.27000000000004"/>
    <n v="0"/>
    <n v="3060"/>
    <n v="0"/>
    <n v="0"/>
    <n v="0"/>
    <n v="0"/>
    <n v="0"/>
    <n v="3060"/>
    <n v="0"/>
    <n v="3060"/>
    <s v="Release"/>
  </r>
  <r>
    <n v="0"/>
    <n v="0"/>
    <n v="0"/>
    <x v="759"/>
    <x v="749"/>
    <n v="0"/>
    <s v="vlc"/>
    <s v="Indirect"/>
    <n v="1054"/>
    <x v="11"/>
    <s v="New"/>
    <d v="2025-09-05T00:00:00"/>
    <n v="730.59999999999991"/>
    <n v="32120.68"/>
    <n v="547.94999999999993"/>
    <n v="694.06999999999994"/>
    <n v="0"/>
    <n v="963.62040000000002"/>
    <n v="269.55040000000008"/>
    <n v="73.059999999999988"/>
    <n v="0"/>
    <n v="1169"/>
    <n v="0"/>
    <n v="0"/>
    <n v="0"/>
    <n v="0"/>
    <n v="0"/>
    <n v="1169"/>
    <n v="0"/>
    <n v="1169"/>
    <s v="Release"/>
  </r>
  <r>
    <n v="0"/>
    <n v="0"/>
    <n v="0"/>
    <x v="760"/>
    <x v="750"/>
    <n v="0"/>
    <s v="vlc"/>
    <s v="Indirect"/>
    <n v="1055"/>
    <x v="10"/>
    <s v="Old"/>
    <d v="2025-07-25T00:00:00"/>
    <n v="29616.1"/>
    <n v="1154573.97"/>
    <n v="22212.074999999997"/>
    <n v="28135.294999999998"/>
    <n v="0"/>
    <n v="34637.219099999995"/>
    <n v="6501.9240999999965"/>
    <n v="2961.61"/>
    <n v="0"/>
    <n v="47386"/>
    <n v="0"/>
    <n v="0"/>
    <n v="0"/>
    <n v="0"/>
    <n v="0"/>
    <n v="47386"/>
    <n v="0"/>
    <n v="47386"/>
    <s v="Release"/>
  </r>
  <r>
    <n v="0"/>
    <n v="0"/>
    <n v="0"/>
    <x v="761"/>
    <x v="751"/>
    <n v="0"/>
    <s v="vlc"/>
    <s v="Indirect"/>
    <n v="1002"/>
    <x v="2"/>
    <s v="New"/>
    <d v="2025-09-15T00:00:00"/>
    <n v="3804.4000000000005"/>
    <n v="146556.02000000002"/>
    <n v="2853.3"/>
    <n v="3614.1800000000003"/>
    <n v="0"/>
    <n v="4396.6806000000006"/>
    <n v="782.5006000000003"/>
    <n v="380.44000000000005"/>
    <n v="0"/>
    <n v="6087"/>
    <n v="0"/>
    <n v="0"/>
    <n v="0"/>
    <n v="0"/>
    <n v="605.02"/>
    <n v="5482"/>
    <n v="0"/>
    <n v="5482"/>
    <s v="Release"/>
  </r>
  <r>
    <n v="0"/>
    <n v="0"/>
    <n v="0"/>
    <x v="762"/>
    <x v="752"/>
    <n v="0"/>
    <s v="vlc"/>
    <s v="Indirect"/>
    <n v="1002"/>
    <x v="2"/>
    <s v="New"/>
    <d v="2025-09-15T00:00:00"/>
    <n v="3678.3"/>
    <n v="162456.29"/>
    <n v="2758.7250000000004"/>
    <n v="3494.3850000000002"/>
    <n v="0"/>
    <n v="4873.6886999999997"/>
    <n v="1379.3036999999995"/>
    <n v="367.83000000000004"/>
    <n v="0"/>
    <n v="5885"/>
    <n v="0"/>
    <n v="0"/>
    <n v="0"/>
    <n v="0"/>
    <n v="0"/>
    <n v="5885"/>
    <n v="0"/>
    <n v="5885"/>
    <s v="Release"/>
  </r>
  <r>
    <n v="0"/>
    <n v="0"/>
    <n v="0"/>
    <x v="763"/>
    <x v="753"/>
    <n v="0"/>
    <s v="vlc"/>
    <s v="Indirect"/>
    <n v="1003"/>
    <x v="3"/>
    <s v="New"/>
    <d v="2025-09-16T00:00:00"/>
    <n v="454.19999999999993"/>
    <n v="16097"/>
    <n v="340.65"/>
    <n v="431.4899999999999"/>
    <n v="0"/>
    <n v="482.90999999999997"/>
    <n v="51.420000000000073"/>
    <n v="45.419999999999995"/>
    <n v="0"/>
    <n v="727"/>
    <n v="0"/>
    <n v="0"/>
    <n v="0"/>
    <n v="0"/>
    <n v="0"/>
    <n v="727"/>
    <n v="0"/>
    <n v="727"/>
    <s v="Release"/>
  </r>
  <r>
    <n v="0"/>
    <n v="0"/>
    <n v="0"/>
    <x v="764"/>
    <x v="754"/>
    <n v="0"/>
    <s v="vlc"/>
    <s v="Indirect"/>
    <n v="1009"/>
    <x v="8"/>
    <s v="Old"/>
    <d v="2021-06-14T00:00:00"/>
    <n v="448.09999999999997"/>
    <n v="18126.179999999997"/>
    <n v="336.07499999999999"/>
    <n v="425.69499999999994"/>
    <n v="0"/>
    <n v="543.78539999999987"/>
    <n v="118.09039999999993"/>
    <n v="44.81"/>
    <n v="717.10339141583768"/>
    <n v="0"/>
    <n v="0"/>
    <n v="0"/>
    <n v="0"/>
    <n v="0"/>
    <n v="0"/>
    <n v="0"/>
    <n v="0"/>
    <n v="0"/>
    <s v="Release"/>
  </r>
  <r>
    <n v="0"/>
    <n v="0"/>
    <n v="0"/>
    <x v="765"/>
    <x v="755"/>
    <n v="0"/>
    <s v="vlc"/>
    <s v="Indirect"/>
    <n v="1053"/>
    <x v="15"/>
    <s v="New"/>
    <d v="2025-09-17T00:00:00"/>
    <n v="243.5"/>
    <n v="14945.64"/>
    <n v="182.625"/>
    <n v="231.32499999999999"/>
    <n v="0"/>
    <n v="448.36919999999998"/>
    <n v="217.04419999999999"/>
    <n v="24.35"/>
    <n v="0"/>
    <n v="390"/>
    <n v="0"/>
    <n v="0"/>
    <n v="0"/>
    <n v="0"/>
    <n v="0"/>
    <n v="390"/>
    <n v="0"/>
    <n v="390"/>
    <s v="Release"/>
  </r>
  <r>
    <n v="0"/>
    <n v="0"/>
    <n v="0"/>
    <x v="766"/>
    <x v="756"/>
    <n v="0"/>
    <s v="vlc"/>
    <s v="Indirect"/>
    <n v="1012"/>
    <x v="12"/>
    <s v="New"/>
    <d v="2025-09-12T00:00:00"/>
    <n v="907"/>
    <n v="36306.03"/>
    <n v="680.25"/>
    <n v="861.65"/>
    <n v="0"/>
    <n v="1089.1808999999998"/>
    <n v="227.53089999999986"/>
    <n v="90.7"/>
    <n v="0"/>
    <n v="1451"/>
    <n v="0"/>
    <n v="0"/>
    <n v="0"/>
    <n v="0"/>
    <n v="0"/>
    <n v="1451"/>
    <n v="0"/>
    <n v="1451"/>
    <s v="Release"/>
  </r>
  <r>
    <n v="110000"/>
    <n v="0"/>
    <n v="110000"/>
    <x v="767"/>
    <x v="757"/>
    <n v="0"/>
    <s v="MPG"/>
    <s v="Direct"/>
    <n v="1057"/>
    <x v="16"/>
    <s v="New"/>
    <d v="2025-09-15T00:00:00"/>
    <n v="302.39999999999998"/>
    <n v="13043.609999999999"/>
    <n v="226.79999999999998"/>
    <n v="287.27999999999997"/>
    <n v="0"/>
    <n v="391.30829999999997"/>
    <n v="104.0283"/>
    <n v="30.24"/>
    <n v="0"/>
    <n v="484"/>
    <n v="0"/>
    <n v="0"/>
    <n v="0"/>
    <n v="0"/>
    <n v="0"/>
    <n v="484"/>
    <n v="484"/>
    <n v="0"/>
    <s v="Yes"/>
  </r>
  <r>
    <n v="110000"/>
    <n v="0"/>
    <n v="110000"/>
    <x v="768"/>
    <x v="758"/>
    <n v="0"/>
    <s v="MPG"/>
    <s v="Direct"/>
    <n v="1057"/>
    <x v="16"/>
    <s v="New"/>
    <d v="2025-09-15T00:00:00"/>
    <n v="327.3"/>
    <n v="11904.67"/>
    <n v="245.47500000000002"/>
    <n v="310.935"/>
    <n v="0"/>
    <n v="357.14009999999996"/>
    <n v="46.205099999999959"/>
    <n v="32.730000000000004"/>
    <n v="0"/>
    <n v="524"/>
    <n v="0"/>
    <n v="0"/>
    <n v="0"/>
    <n v="0"/>
    <n v="0"/>
    <n v="524"/>
    <n v="524"/>
    <n v="0"/>
    <s v="Yes"/>
  </r>
  <r>
    <n v="110000"/>
    <n v="0"/>
    <n v="110000"/>
    <x v="769"/>
    <x v="759"/>
    <n v="0"/>
    <s v="MPG"/>
    <s v="Direct"/>
    <n v="1057"/>
    <x v="16"/>
    <s v="New"/>
    <d v="2025-09-15T00:00:00"/>
    <n v="993.30000000000007"/>
    <n v="40509.21"/>
    <n v="744.97500000000002"/>
    <n v="943.63499999999999"/>
    <n v="0"/>
    <n v="1215.2763"/>
    <n v="271.6413"/>
    <n v="99.330000000000013"/>
    <n v="0"/>
    <n v="1589"/>
    <n v="0"/>
    <n v="0"/>
    <n v="0"/>
    <n v="0"/>
    <n v="0"/>
    <n v="1589"/>
    <n v="1589"/>
    <n v="0"/>
    <s v="Yes"/>
  </r>
  <r>
    <n v="0"/>
    <n v="0"/>
    <n v="0"/>
    <x v="770"/>
    <x v="760"/>
    <n v="0"/>
    <s v="vlc"/>
    <s v="Indirect"/>
    <n v="1057"/>
    <x v="16"/>
    <s v="New"/>
    <d v="2025-09-15T00:00:00"/>
    <n v="3617.7"/>
    <n v="137954.40000000002"/>
    <n v="2713.2749999999996"/>
    <n v="3436.8149999999996"/>
    <n v="0"/>
    <n v="4138.6320000000005"/>
    <n v="701.81700000000092"/>
    <n v="361.77"/>
    <n v="0"/>
    <n v="5788"/>
    <n v="0"/>
    <n v="0"/>
    <n v="0"/>
    <n v="0"/>
    <n v="0"/>
    <n v="5788"/>
    <n v="0"/>
    <n v="5788"/>
    <s v="Release"/>
  </r>
  <r>
    <n v="0"/>
    <n v="0"/>
    <n v="0"/>
    <x v="771"/>
    <x v="761"/>
    <n v="0"/>
    <s v="vlc"/>
    <s v="Indirect"/>
    <n v="1057"/>
    <x v="16"/>
    <s v="New"/>
    <d v="2025-09-15T00:00:00"/>
    <n v="1175"/>
    <n v="55520.930000000008"/>
    <n v="881.25"/>
    <n v="1116.25"/>
    <n v="0"/>
    <n v="1665.6279000000002"/>
    <n v="549.37790000000018"/>
    <n v="117.5"/>
    <n v="0"/>
    <n v="1880"/>
    <n v="0"/>
    <n v="0"/>
    <n v="0"/>
    <n v="0"/>
    <n v="0"/>
    <n v="1880"/>
    <n v="0"/>
    <n v="1880"/>
    <s v="Release"/>
  </r>
  <r>
    <n v="110000"/>
    <n v="0"/>
    <n v="110000"/>
    <x v="772"/>
    <x v="762"/>
    <n v="0"/>
    <s v="MPG"/>
    <s v="Direct"/>
    <n v="1057"/>
    <x v="16"/>
    <s v="New"/>
    <d v="2025-09-15T00:00:00"/>
    <n v="3511.2999999999993"/>
    <n v="142820.85"/>
    <n v="2633.4749999999995"/>
    <n v="3335.7349999999992"/>
    <n v="0"/>
    <n v="4284.6255000000001"/>
    <n v="948.89050000000088"/>
    <n v="351.12999999999994"/>
    <n v="0"/>
    <n v="5618"/>
    <n v="0"/>
    <n v="0"/>
    <n v="0"/>
    <n v="0"/>
    <n v="0"/>
    <n v="5618"/>
    <n v="5618"/>
    <n v="0"/>
    <s v="Yes"/>
  </r>
  <r>
    <n v="110000"/>
    <n v="0"/>
    <n v="110000"/>
    <x v="773"/>
    <x v="763"/>
    <n v="0"/>
    <s v="MPG"/>
    <s v="Direct"/>
    <n v="1057"/>
    <x v="16"/>
    <s v="New"/>
    <d v="2025-09-15T00:00:00"/>
    <n v="4472.8999999999996"/>
    <n v="186246.69"/>
    <n v="3354.6749999999997"/>
    <n v="4249.2549999999992"/>
    <n v="0"/>
    <n v="5587.4007000000001"/>
    <n v="1338.1457000000009"/>
    <n v="447.28999999999996"/>
    <n v="0"/>
    <n v="7157"/>
    <n v="0"/>
    <n v="0"/>
    <n v="0"/>
    <n v="0"/>
    <n v="0"/>
    <n v="7157"/>
    <n v="7157"/>
    <n v="0"/>
    <s v="Yes"/>
  </r>
  <r>
    <n v="0"/>
    <n v="0"/>
    <n v="0"/>
    <x v="774"/>
    <x v="764"/>
    <n v="0"/>
    <s v="vlc"/>
    <s v="Indirect"/>
    <n v="1057"/>
    <x v="16"/>
    <s v="New"/>
    <d v="2025-09-15T00:00:00"/>
    <n v="3744.7999999999993"/>
    <n v="136365.77000000002"/>
    <n v="2808.5999999999995"/>
    <n v="3557.559999999999"/>
    <n v="0"/>
    <n v="4090.9731000000006"/>
    <n v="533.41310000000158"/>
    <n v="374.47999999999996"/>
    <n v="0"/>
    <n v="5992"/>
    <n v="0"/>
    <n v="0"/>
    <n v="0"/>
    <n v="0"/>
    <n v="0"/>
    <n v="5992"/>
    <n v="0"/>
    <n v="5992"/>
    <s v="Release"/>
  </r>
  <r>
    <n v="0"/>
    <n v="0"/>
    <n v="0"/>
    <x v="775"/>
    <x v="765"/>
    <n v="0"/>
    <s v="vlc"/>
    <s v="Indirect"/>
    <n v="1057"/>
    <x v="16"/>
    <s v="New"/>
    <d v="2025-09-15T00:00:00"/>
    <n v="862.80000000000007"/>
    <n v="32123.77"/>
    <n v="647.1"/>
    <n v="819.66000000000008"/>
    <n v="0"/>
    <n v="963.71309999999994"/>
    <n v="144.05309999999986"/>
    <n v="86.280000000000015"/>
    <n v="0"/>
    <n v="1380"/>
    <n v="0"/>
    <n v="0"/>
    <n v="0"/>
    <n v="0"/>
    <n v="0"/>
    <n v="1380"/>
    <n v="0"/>
    <n v="1380"/>
    <s v="Release"/>
  </r>
  <r>
    <n v="90000"/>
    <n v="0"/>
    <n v="90000"/>
    <x v="776"/>
    <x v="391"/>
    <n v="0"/>
    <s v="MPG"/>
    <s v="Direct"/>
    <n v="1001"/>
    <x v="1"/>
    <s v="New"/>
    <d v="2025-09-22T00:00:00"/>
    <n v="606.6"/>
    <n v="25828.17"/>
    <n v="454.95000000000005"/>
    <n v="576.27"/>
    <n v="434.11"/>
    <n v="774.84509999999989"/>
    <n v="198.57509999999991"/>
    <n v="60.660000000000004"/>
    <n v="0"/>
    <n v="1405"/>
    <n v="0"/>
    <n v="0"/>
    <n v="0"/>
    <n v="0"/>
    <n v="0"/>
    <n v="1405"/>
    <n v="0"/>
    <n v="1405"/>
    <s v="Release"/>
  </r>
  <r>
    <n v="0"/>
    <n v="0"/>
    <n v="0"/>
    <x v="777"/>
    <x v="766"/>
    <n v="0"/>
    <s v="vlc"/>
    <s v="Indirect"/>
    <n v="1006"/>
    <x v="4"/>
    <s v="New"/>
    <d v="2025-09-25T00:00:00"/>
    <n v="920.59999999999991"/>
    <n v="40397.269999999997"/>
    <n v="690.44999999999993"/>
    <n v="874.56999999999982"/>
    <n v="0"/>
    <n v="1211.9180999999999"/>
    <n v="337.34810000000004"/>
    <n v="92.06"/>
    <n v="0"/>
    <n v="1473"/>
    <n v="0"/>
    <n v="0"/>
    <n v="0"/>
    <n v="0"/>
    <n v="0"/>
    <n v="1473"/>
    <n v="0"/>
    <n v="1473"/>
    <s v="Release"/>
  </r>
  <r>
    <n v="86712.442225839361"/>
    <n v="0"/>
    <n v="86712.442225839361"/>
    <x v="778"/>
    <x v="767"/>
    <n v="0"/>
    <s v="MPG"/>
    <s v="Direct"/>
    <n v="1056"/>
    <x v="6"/>
    <s v="Old"/>
    <d v="2025-01-04T00:00:00"/>
    <n v="1291.0999999999999"/>
    <n v="50136.590000000004"/>
    <n v="968.32499999999993"/>
    <n v="1226.5449999999998"/>
    <n v="33.819366240000008"/>
    <n v="1504.0977"/>
    <n v="277.55270000000019"/>
    <n v="129.10999999999999"/>
    <n v="681.71767256145336"/>
    <n v="1418"/>
    <n v="1418"/>
    <n v="0"/>
    <n v="0"/>
    <n v="0"/>
    <n v="0"/>
    <n v="0"/>
    <n v="0"/>
    <n v="0"/>
    <s v="Release"/>
  </r>
  <r>
    <n v="90000"/>
    <n v="0"/>
    <n v="90000"/>
    <x v="779"/>
    <x v="768"/>
    <n v="0"/>
    <s v="MPG"/>
    <s v="Direct"/>
    <n v="1011"/>
    <x v="7"/>
    <s v="New"/>
    <d v="2025-09-19T00:00:00"/>
    <n v="522.44999999999993"/>
    <n v="26408.79"/>
    <n v="391.83749999999998"/>
    <n v="496.32749999999993"/>
    <n v="0"/>
    <n v="792.26369999999997"/>
    <n v="295.93620000000004"/>
    <n v="52.244999999999997"/>
    <n v="0"/>
    <n v="836"/>
    <n v="0"/>
    <n v="0"/>
    <n v="0"/>
    <n v="0"/>
    <n v="0"/>
    <n v="836"/>
    <n v="0"/>
    <n v="836"/>
    <s v="Release"/>
  </r>
  <r>
    <n v="0"/>
    <n v="9600"/>
    <n v="9600"/>
    <x v="780"/>
    <x v="769"/>
    <n v="0"/>
    <s v="RMC"/>
    <s v="Indirect"/>
    <n v="1006"/>
    <x v="4"/>
    <s v="Old"/>
    <d v="2017-09-01T00:00:00"/>
    <n v="4105"/>
    <n v="153645.71000000002"/>
    <n v="3078.75"/>
    <n v="3899.75"/>
    <n v="0"/>
    <n v="4609.3713000000007"/>
    <n v="709.6213000000007"/>
    <n v="410.5"/>
    <n v="460.16193945409435"/>
    <n v="6108"/>
    <n v="0"/>
    <n v="3072.9142000000006"/>
    <n v="0"/>
    <n v="0"/>
    <n v="0"/>
    <n v="3035"/>
    <n v="0"/>
    <n v="3035"/>
    <s v="Release"/>
  </r>
  <r>
    <n v="110000"/>
    <n v="0"/>
    <n v="110000"/>
    <x v="781"/>
    <x v="770"/>
    <n v="0"/>
    <s v="MPG"/>
    <s v="Direct"/>
    <n v="1053"/>
    <x v="15"/>
    <s v="New"/>
    <d v="2025-09-24T00:00:00"/>
    <n v="1970.45"/>
    <n v="94744.320000000007"/>
    <n v="1477.8375000000001"/>
    <n v="1871.9275"/>
    <n v="398.68432248800002"/>
    <n v="2842.3296"/>
    <n v="970.40210000000002"/>
    <n v="197.04500000000002"/>
    <n v="0"/>
    <n v="3551"/>
    <n v="0"/>
    <n v="0"/>
    <n v="0"/>
    <n v="0"/>
    <n v="54.900000000000006"/>
    <n v="3496"/>
    <n v="3496"/>
    <n v="0"/>
    <s v="Yes"/>
  </r>
  <r>
    <n v="0"/>
    <n v="0"/>
    <n v="0"/>
    <x v="782"/>
    <x v="771"/>
    <n v="0"/>
    <s v="vlc"/>
    <s v="Indirect"/>
    <n v="1054"/>
    <x v="11"/>
    <s v="New"/>
    <d v="2025-09-19T00:00:00"/>
    <n v="80.7"/>
    <n v="3408.77"/>
    <n v="60.525000000000006"/>
    <n v="76.664999999999992"/>
    <n v="0"/>
    <n v="102.26309999999999"/>
    <n v="25.598100000000002"/>
    <n v="8.07"/>
    <n v="0"/>
    <n v="129"/>
    <n v="0"/>
    <n v="0"/>
    <n v="0"/>
    <n v="0"/>
    <n v="0"/>
    <n v="129"/>
    <n v="0"/>
    <n v="129"/>
    <s v="Release"/>
  </r>
  <r>
    <n v="0"/>
    <n v="0"/>
    <n v="0"/>
    <x v="783"/>
    <x v="140"/>
    <n v="0"/>
    <s v="vlc"/>
    <s v="Indirect"/>
    <n v="1057"/>
    <x v="16"/>
    <s v="New"/>
    <d v="2025-09-19T00:00:00"/>
    <n v="648.29999999999995"/>
    <n v="28888.440000000002"/>
    <n v="486.22499999999997"/>
    <n v="615.88499999999988"/>
    <n v="0"/>
    <n v="866.65320000000008"/>
    <n v="250.76820000000021"/>
    <n v="64.83"/>
    <n v="0"/>
    <n v="1037"/>
    <n v="0"/>
    <n v="0"/>
    <n v="0"/>
    <n v="0"/>
    <n v="0"/>
    <n v="1037"/>
    <n v="0"/>
    <n v="1037"/>
    <s v="Release"/>
  </r>
  <r>
    <n v="110000"/>
    <n v="0"/>
    <n v="110000"/>
    <x v="784"/>
    <x v="772"/>
    <n v="0"/>
    <s v="MPG"/>
    <s v="Direct"/>
    <n v="1057"/>
    <x v="16"/>
    <s v="New"/>
    <d v="2025-09-26T00:00:00"/>
    <n v="1327.3999999999999"/>
    <n v="65134.229999999996"/>
    <n v="995.55"/>
    <n v="1261.0299999999997"/>
    <n v="0"/>
    <n v="1954.0268999999998"/>
    <n v="692.9969000000001"/>
    <n v="132.73999999999998"/>
    <n v="0"/>
    <n v="2124"/>
    <n v="0"/>
    <n v="0"/>
    <n v="0"/>
    <n v="0"/>
    <n v="0"/>
    <n v="2124"/>
    <n v="2124"/>
    <n v="0"/>
    <s v="Yes"/>
  </r>
  <r>
    <n v="0"/>
    <n v="0"/>
    <n v="0"/>
    <x v="785"/>
    <x v="773"/>
    <n v="0"/>
    <s v="vlc"/>
    <s v="Indirect"/>
    <n v="1001"/>
    <x v="1"/>
    <s v="Old"/>
    <d v="2023-06-21T00:00:00"/>
    <n v="4311.5"/>
    <n v="155448.63"/>
    <n v="3233.625"/>
    <n v="4095.9249999999997"/>
    <n v="0"/>
    <n v="4663.4588999999996"/>
    <n v="567.5338999999999"/>
    <n v="431.15000000000003"/>
    <n v="405.68730256410259"/>
    <n v="6493"/>
    <n v="0"/>
    <n v="0"/>
    <n v="0"/>
    <n v="0"/>
    <n v="0"/>
    <n v="6493"/>
    <n v="0"/>
    <n v="6493"/>
    <s v="Release"/>
  </r>
  <r>
    <n v="0"/>
    <n v="0"/>
    <n v="0"/>
    <x v="786"/>
    <x v="774"/>
    <n v="0"/>
    <s v="vlc"/>
    <s v="Indirect"/>
    <n v="1002"/>
    <x v="2"/>
    <s v="Old"/>
    <d v="2022-04-01T00:00:00"/>
    <n v="227.5"/>
    <n v="10901.75"/>
    <n v="170.625"/>
    <n v="216.125"/>
    <n v="0"/>
    <n v="327.05250000000001"/>
    <n v="110.92750000000001"/>
    <n v="22.75"/>
    <n v="363.64597368497175"/>
    <n v="0"/>
    <n v="0"/>
    <n v="0"/>
    <n v="0"/>
    <n v="0"/>
    <n v="0"/>
    <n v="0"/>
    <n v="0"/>
    <n v="0"/>
    <s v="Release"/>
  </r>
  <r>
    <n v="0"/>
    <n v="0"/>
    <n v="0"/>
    <x v="787"/>
    <x v="775"/>
    <n v="0"/>
    <s v="vlc"/>
    <s v="Indirect"/>
    <n v="1006"/>
    <x v="4"/>
    <s v="Old"/>
    <d v="2021-01-04T00:00:00"/>
    <n v="569.9"/>
    <n v="24807.51"/>
    <n v="427.42499999999995"/>
    <n v="541.40499999999997"/>
    <n v="0"/>
    <n v="744.22529999999995"/>
    <n v="202.82029999999997"/>
    <n v="56.99"/>
    <n v="726.29120908377558"/>
    <n v="186"/>
    <n v="0"/>
    <n v="0"/>
    <n v="0"/>
    <n v="0"/>
    <n v="0"/>
    <n v="186"/>
    <n v="0"/>
    <n v="186"/>
    <s v="Release"/>
  </r>
  <r>
    <n v="0"/>
    <n v="0"/>
    <n v="0"/>
    <x v="788"/>
    <x v="776"/>
    <n v="0"/>
    <s v="vlc"/>
    <s v="Indirect"/>
    <n v="1006"/>
    <x v="4"/>
    <s v="New"/>
    <d v="2025-10-06T00:00:00"/>
    <n v="2377"/>
    <n v="83167.509999999995"/>
    <n v="1782.75"/>
    <n v="2258.15"/>
    <n v="0"/>
    <n v="2495.0252999999998"/>
    <n v="236.8752999999997"/>
    <n v="237.70000000000002"/>
    <n v="0"/>
    <n v="3803"/>
    <n v="0"/>
    <n v="0"/>
    <n v="0"/>
    <n v="0"/>
    <n v="0"/>
    <n v="3803"/>
    <n v="0"/>
    <n v="3803"/>
    <s v="Release"/>
  </r>
  <r>
    <n v="0"/>
    <n v="0"/>
    <n v="0"/>
    <x v="789"/>
    <x v="777"/>
    <n v="0"/>
    <s v="vlc"/>
    <s v="Indirect"/>
    <n v="1006"/>
    <x v="4"/>
    <s v="New"/>
    <d v="2025-10-03T00:00:00"/>
    <n v="157.69999999999999"/>
    <n v="7224.2199999999993"/>
    <n v="118.27499999999999"/>
    <n v="149.81499999999997"/>
    <n v="0"/>
    <n v="216.72659999999996"/>
    <n v="66.911599999999993"/>
    <n v="15.77"/>
    <n v="0"/>
    <n v="252"/>
    <n v="0"/>
    <n v="0"/>
    <n v="0"/>
    <n v="0"/>
    <n v="0"/>
    <n v="252"/>
    <n v="0"/>
    <n v="252"/>
    <s v="Release"/>
  </r>
  <r>
    <n v="81127.841568413438"/>
    <n v="0"/>
    <n v="81127.841568413438"/>
    <x v="790"/>
    <x v="778"/>
    <n v="0"/>
    <s v="MPG"/>
    <s v="Direct"/>
    <n v="1007"/>
    <x v="5"/>
    <s v="Old"/>
    <d v="2023-06-25T00:00:00"/>
    <n v="13.7"/>
    <n v="546.22"/>
    <n v="10.274999999999999"/>
    <n v="13.014999999999999"/>
    <n v="0"/>
    <n v="16.386600000000001"/>
    <n v="3.3716000000000026"/>
    <n v="1.37"/>
    <n v="22.256621897810305"/>
    <n v="0"/>
    <n v="0"/>
    <n v="0"/>
    <n v="0"/>
    <n v="0"/>
    <n v="0"/>
    <n v="0"/>
    <n v="0"/>
    <n v="0"/>
    <s v="Release"/>
  </r>
  <r>
    <n v="27041.754973523493"/>
    <n v="6400"/>
    <n v="33441.754973523493"/>
    <x v="791"/>
    <x v="779"/>
    <n v="0"/>
    <s v="MPG"/>
    <s v="Direct"/>
    <n v="1011"/>
    <x v="7"/>
    <s v="Old"/>
    <d v="2023-03-27T00:00:00"/>
    <n v="14.05"/>
    <n v="560.16999999999996"/>
    <n v="10.537500000000001"/>
    <n v="13.3475"/>
    <n v="0"/>
    <n v="16.805099999999999"/>
    <n v="3.4575999999999993"/>
    <n v="1.4050000000000002"/>
    <n v="22.973112455516002"/>
    <n v="0"/>
    <n v="0"/>
    <n v="0"/>
    <n v="0"/>
    <n v="0"/>
    <n v="0"/>
    <n v="0"/>
    <n v="0"/>
    <n v="0"/>
    <s v="Release"/>
  </r>
  <r>
    <n v="89478.948999999993"/>
    <n v="12010.5812974848"/>
    <n v="101489.53029748479"/>
    <x v="792"/>
    <x v="780"/>
    <n v="0"/>
    <s v="MPG"/>
    <s v="Direct"/>
    <n v="1055"/>
    <x v="10"/>
    <s v="Old"/>
    <d v="2023-10-13T00:00:00"/>
    <n v="18.7"/>
    <n v="481.34"/>
    <n v="14.024999999999999"/>
    <n v="17.764999999999997"/>
    <n v="0"/>
    <n v="14.440199999999999"/>
    <n v="-3.324799999999998"/>
    <n v="1.87"/>
    <n v="29.734697326203161"/>
    <n v="0"/>
    <n v="0"/>
    <n v="0"/>
    <n v="0"/>
    <n v="0"/>
    <n v="0"/>
    <n v="0"/>
    <n v="0"/>
    <n v="0"/>
    <s v="Release"/>
  </r>
  <r>
    <n v="0"/>
    <n v="0"/>
    <n v="0"/>
    <x v="793"/>
    <x v="781"/>
    <n v="0"/>
    <s v="vlc"/>
    <s v="Indirect"/>
    <n v="1013"/>
    <x v="13"/>
    <s v="Old"/>
    <d v="2024-08-25T00:00:00"/>
    <n v="114.3"/>
    <n v="4273.09"/>
    <n v="85.724999999999994"/>
    <n v="108.58499999999999"/>
    <n v="0"/>
    <n v="128.1927"/>
    <n v="19.607700000000008"/>
    <n v="11.43"/>
    <n v="182.95844539877294"/>
    <n v="0"/>
    <n v="0"/>
    <n v="0"/>
    <n v="0"/>
    <n v="0"/>
    <n v="0"/>
    <n v="0"/>
    <n v="0"/>
    <n v="0"/>
    <s v="Release"/>
  </r>
  <r>
    <n v="100000"/>
    <n v="0"/>
    <n v="100000"/>
    <x v="794"/>
    <x v="782"/>
    <n v="0"/>
    <s v="MPG"/>
    <s v="Direct"/>
    <n v="1012"/>
    <x v="12"/>
    <s v="New"/>
    <d v="2025-10-09T00:00:00"/>
    <n v="473.09"/>
    <n v="17157.780000000002"/>
    <n v="354.8175"/>
    <n v="449.43549999999993"/>
    <n v="0"/>
    <n v="514.73340000000007"/>
    <n v="65.297900000000141"/>
    <n v="47.308999999999997"/>
    <n v="0"/>
    <n v="757"/>
    <n v="0"/>
    <n v="0"/>
    <n v="0"/>
    <n v="0"/>
    <n v="0"/>
    <n v="757"/>
    <n v="757"/>
    <n v="0"/>
    <s v="Yes"/>
  </r>
  <r>
    <n v="0"/>
    <n v="0"/>
    <n v="0"/>
    <x v="795"/>
    <x v="783"/>
    <n v="0"/>
    <s v="vlc"/>
    <s v="Indirect"/>
    <n v="1055"/>
    <x v="10"/>
    <s v="New"/>
    <d v="2025-10-07T00:00:00"/>
    <n v="387.3"/>
    <n v="14111.970000000001"/>
    <n v="290.47500000000002"/>
    <n v="367.935"/>
    <n v="0"/>
    <n v="423.35910000000001"/>
    <n v="55.42410000000001"/>
    <n v="38.730000000000004"/>
    <n v="0"/>
    <n v="620"/>
    <n v="0"/>
    <n v="0"/>
    <n v="0"/>
    <n v="0"/>
    <n v="0"/>
    <n v="620"/>
    <n v="0"/>
    <n v="620"/>
    <s v="Release"/>
  </r>
  <r>
    <n v="0"/>
    <n v="0"/>
    <n v="0"/>
    <x v="796"/>
    <x v="784"/>
    <n v="0"/>
    <s v="vlc"/>
    <s v="Indirect"/>
    <n v="1057"/>
    <x v="16"/>
    <s v="New"/>
    <d v="2025-10-04T00:00:00"/>
    <n v="1149.8"/>
    <n v="49943.18"/>
    <n v="862.34999999999991"/>
    <n v="1092.31"/>
    <n v="0"/>
    <n v="1498.2954"/>
    <n v="405.98540000000003"/>
    <n v="114.98"/>
    <n v="0"/>
    <n v="1840"/>
    <n v="0"/>
    <n v="0"/>
    <n v="0"/>
    <n v="0"/>
    <n v="0"/>
    <n v="1840"/>
    <n v="0"/>
    <n v="1840"/>
    <s v="Release"/>
  </r>
  <r>
    <n v="0"/>
    <n v="0"/>
    <n v="0"/>
    <x v="797"/>
    <x v="785"/>
    <n v="0"/>
    <s v="vlc"/>
    <s v="Indirect"/>
    <n v="1057"/>
    <x v="16"/>
    <s v="New"/>
    <d v="2025-10-05T00:00:00"/>
    <n v="682"/>
    <n v="28836.36"/>
    <n v="511.5"/>
    <n v="647.9"/>
    <n v="0"/>
    <n v="865.09079999999994"/>
    <n v="217.19079999999997"/>
    <n v="68.2"/>
    <n v="0"/>
    <n v="1091"/>
    <n v="0"/>
    <n v="0"/>
    <n v="0"/>
    <n v="0"/>
    <n v="0"/>
    <n v="1091"/>
    <n v="0"/>
    <n v="1091"/>
    <s v="Release"/>
  </r>
  <r>
    <n v="0"/>
    <n v="0"/>
    <n v="0"/>
    <x v="798"/>
    <x v="786"/>
    <n v="0"/>
    <s v="vlc"/>
    <s v="Indirect"/>
    <n v="1057"/>
    <x v="16"/>
    <s v="New"/>
    <d v="2025-10-06T00:00:00"/>
    <n v="3040.3999999999996"/>
    <n v="144978.42000000001"/>
    <n v="2280.2999999999997"/>
    <n v="2888.3799999999997"/>
    <n v="0"/>
    <n v="4349.3526000000002"/>
    <n v="1460.9726000000005"/>
    <n v="304.03999999999996"/>
    <n v="0"/>
    <n v="4865"/>
    <n v="0"/>
    <n v="0"/>
    <n v="0"/>
    <n v="0"/>
    <n v="0"/>
    <n v="4865"/>
    <n v="0"/>
    <n v="4865"/>
    <s v="Release"/>
  </r>
  <r>
    <n v="95000"/>
    <n v="0"/>
    <n v="95000"/>
    <x v="799"/>
    <x v="787"/>
    <n v="0"/>
    <s v="MPG"/>
    <s v="Indirect"/>
    <n v="1001"/>
    <x v="1"/>
    <s v="New"/>
    <d v="2025-10-15T00:00:00"/>
    <n v="473.5"/>
    <n v="19019.25"/>
    <n v="355.125"/>
    <n v="449.82499999999999"/>
    <n v="262.18"/>
    <n v="570.57749999999999"/>
    <n v="120.7525"/>
    <n v="47.35"/>
    <n v="0"/>
    <n v="1020"/>
    <n v="0"/>
    <n v="0"/>
    <n v="0"/>
    <n v="0"/>
    <n v="0"/>
    <n v="1020"/>
    <n v="1020"/>
    <n v="0"/>
    <s v="Yes"/>
  </r>
  <r>
    <n v="110000"/>
    <n v="0"/>
    <n v="110000"/>
    <x v="800"/>
    <x v="617"/>
    <n v="0"/>
    <s v="MPG"/>
    <s v="Direct"/>
    <n v="1006"/>
    <x v="4"/>
    <s v="New"/>
    <d v="2025-10-16T00:00:00"/>
    <n v="271.5"/>
    <n v="11066.46"/>
    <n v="203.625"/>
    <n v="257.92500000000001"/>
    <n v="0"/>
    <n v="331.99379999999996"/>
    <n v="74.068799999999953"/>
    <n v="27.150000000000002"/>
    <n v="0"/>
    <n v="434"/>
    <n v="0"/>
    <n v="0"/>
    <n v="0"/>
    <n v="0"/>
    <n v="0"/>
    <n v="434"/>
    <n v="434"/>
    <n v="0"/>
    <s v="Yes"/>
  </r>
  <r>
    <n v="0"/>
    <n v="0"/>
    <n v="0"/>
    <x v="801"/>
    <x v="788"/>
    <n v="0"/>
    <s v="vlc"/>
    <s v="Indirect"/>
    <n v="1008"/>
    <x v="0"/>
    <s v="New"/>
    <d v="2025-10-10T00:00:00"/>
    <n v="141"/>
    <n v="5204.3500000000004"/>
    <n v="105.75"/>
    <n v="133.94999999999999"/>
    <n v="0"/>
    <n v="156.13050000000001"/>
    <n v="22.180500000000023"/>
    <n v="14.100000000000001"/>
    <n v="0"/>
    <n v="226"/>
    <n v="0"/>
    <n v="0"/>
    <n v="0"/>
    <n v="0"/>
    <n v="0"/>
    <n v="226"/>
    <n v="0"/>
    <n v="226"/>
    <s v="Release"/>
  </r>
  <r>
    <n v="0"/>
    <n v="0"/>
    <n v="0"/>
    <x v="802"/>
    <x v="789"/>
    <n v="0"/>
    <s v="vlc"/>
    <s v="Indirect"/>
    <n v="1008"/>
    <x v="0"/>
    <s v="New"/>
    <d v="2025-10-10T00:00:00"/>
    <n v="1357.6"/>
    <n v="52699.490000000005"/>
    <n v="1018.1999999999999"/>
    <n v="1289.7199999999998"/>
    <n v="0"/>
    <n v="1580.9847000000002"/>
    <n v="291.2647000000004"/>
    <n v="135.76"/>
    <n v="0"/>
    <n v="2172"/>
    <n v="0"/>
    <n v="0"/>
    <n v="0"/>
    <n v="0"/>
    <n v="0"/>
    <n v="2172"/>
    <n v="0"/>
    <n v="2172"/>
    <s v="Release"/>
  </r>
  <r>
    <n v="0"/>
    <n v="0"/>
    <n v="0"/>
    <x v="803"/>
    <x v="790"/>
    <n v="0"/>
    <s v="vlc"/>
    <s v="Indirect"/>
    <n v="1008"/>
    <x v="0"/>
    <s v="New"/>
    <d v="2025-10-10T00:00:00"/>
    <n v="321.54999999999995"/>
    <n v="11981.68"/>
    <n v="241.16249999999997"/>
    <n v="305.47249999999997"/>
    <n v="0"/>
    <n v="359.4504"/>
    <n v="53.977900000000034"/>
    <n v="32.154999999999994"/>
    <n v="0"/>
    <n v="514"/>
    <n v="0"/>
    <n v="0"/>
    <n v="0"/>
    <n v="0"/>
    <n v="0"/>
    <n v="514"/>
    <n v="0"/>
    <n v="514"/>
    <s v="Release"/>
  </r>
  <r>
    <n v="0"/>
    <n v="14056.697964742982"/>
    <n v="14056.697964742982"/>
    <x v="804"/>
    <x v="791"/>
    <n v="0"/>
    <s v="MPG"/>
    <s v="Direct"/>
    <n v="1009"/>
    <x v="8"/>
    <s v="Old"/>
    <d v="2023-07-03T00:00:00"/>
    <n v="20.2"/>
    <n v="1051.6099999999999"/>
    <n v="15.149999999999999"/>
    <n v="19.189999999999998"/>
    <n v="0"/>
    <n v="31.548299999999998"/>
    <n v="12.3583"/>
    <n v="2.02"/>
    <n v="32.806413861386091"/>
    <n v="0"/>
    <n v="0"/>
    <n v="0"/>
    <n v="0"/>
    <n v="0"/>
    <n v="0"/>
    <n v="0"/>
    <n v="0"/>
    <n v="0"/>
    <s v="Release"/>
  </r>
  <r>
    <n v="0"/>
    <n v="0"/>
    <n v="0"/>
    <x v="805"/>
    <x v="792"/>
    <n v="0"/>
    <s v="vlc"/>
    <s v="Indirect"/>
    <n v="1012"/>
    <x v="12"/>
    <s v="Old"/>
    <d v="2025-02-19T00:00:00"/>
    <n v="138.49"/>
    <n v="4346.45"/>
    <n v="103.86750000000001"/>
    <n v="131.56550000000001"/>
    <n v="0"/>
    <n v="130.39349999999999"/>
    <n v="-1.1720000000000255"/>
    <n v="13.849000000000002"/>
    <n v="221.94864238852051"/>
    <n v="0"/>
    <n v="0"/>
    <n v="0"/>
    <n v="0"/>
    <n v="0"/>
    <n v="0"/>
    <n v="0"/>
    <n v="0"/>
    <n v="0"/>
    <s v="Release"/>
  </r>
  <r>
    <n v="0"/>
    <n v="0"/>
    <n v="0"/>
    <x v="806"/>
    <x v="793"/>
    <n v="0"/>
    <s v="vlc"/>
    <s v="Indirect"/>
    <n v="1012"/>
    <x v="12"/>
    <s v="New"/>
    <d v="2025-10-13T00:00:00"/>
    <n v="4690.3899999999994"/>
    <n v="177565.26"/>
    <n v="3517.7924999999996"/>
    <n v="4455.8704999999991"/>
    <n v="0"/>
    <n v="5326.9578000000001"/>
    <n v="871.08730000000105"/>
    <n v="469.03899999999999"/>
    <n v="0"/>
    <n v="7505"/>
    <n v="0"/>
    <n v="0"/>
    <n v="0"/>
    <n v="0"/>
    <n v="0"/>
    <n v="7505"/>
    <n v="0"/>
    <n v="7505"/>
    <s v="Release"/>
  </r>
  <r>
    <n v="100000"/>
    <n v="0"/>
    <n v="100000"/>
    <x v="807"/>
    <x v="794"/>
    <n v="0"/>
    <s v="MPG"/>
    <s v="Indirect"/>
    <n v="1013"/>
    <x v="13"/>
    <s v="New"/>
    <d v="2025-10-14T00:00:00"/>
    <n v="41.8"/>
    <n v="1704.98"/>
    <n v="31.349999999999998"/>
    <n v="39.709999999999994"/>
    <n v="0"/>
    <n v="51.1494"/>
    <n v="11.439400000000006"/>
    <n v="4.18"/>
    <n v="0"/>
    <n v="67"/>
    <n v="0"/>
    <n v="0"/>
    <n v="0"/>
    <n v="0"/>
    <n v="0"/>
    <n v="67"/>
    <n v="67"/>
    <n v="0"/>
    <s v="Yes"/>
  </r>
  <r>
    <n v="0"/>
    <n v="0"/>
    <n v="0"/>
    <x v="808"/>
    <x v="795"/>
    <n v="0"/>
    <s v="vlc"/>
    <s v="Indirect"/>
    <n v="1013"/>
    <x v="13"/>
    <s v="New"/>
    <d v="2025-10-13T00:00:00"/>
    <n v="106.1"/>
    <n v="3861.6400000000003"/>
    <n v="79.574999999999989"/>
    <n v="100.79499999999999"/>
    <n v="0"/>
    <n v="115.84920000000001"/>
    <n v="15.054200000000023"/>
    <n v="10.61"/>
    <n v="0"/>
    <n v="170"/>
    <n v="0"/>
    <n v="0"/>
    <n v="0"/>
    <n v="0"/>
    <n v="0"/>
    <n v="170"/>
    <n v="0"/>
    <n v="170"/>
    <s v="Release"/>
  </r>
  <r>
    <n v="0"/>
    <n v="0"/>
    <n v="0"/>
    <x v="809"/>
    <x v="796"/>
    <n v="0"/>
    <s v="vlc"/>
    <s v="Indirect"/>
    <n v="1013"/>
    <x v="13"/>
    <s v="New"/>
    <d v="2025-10-10T00:00:00"/>
    <n v="2577"/>
    <n v="89502.96"/>
    <n v="1932.75"/>
    <n v="2448.15"/>
    <n v="0"/>
    <n v="2685.0888"/>
    <n v="236.9387999999999"/>
    <n v="257.7"/>
    <n v="0"/>
    <n v="4123"/>
    <n v="0"/>
    <n v="0"/>
    <n v="0"/>
    <n v="0"/>
    <n v="0"/>
    <n v="4123"/>
    <n v="0"/>
    <n v="4123"/>
    <s v="Release"/>
  </r>
  <r>
    <n v="0"/>
    <n v="0"/>
    <n v="0"/>
    <x v="810"/>
    <x v="797"/>
    <n v="0"/>
    <s v="vlc"/>
    <s v="Indirect"/>
    <n v="1013"/>
    <x v="13"/>
    <s v="New"/>
    <d v="2025-10-12T00:00:00"/>
    <n v="1222.3"/>
    <n v="41231.089999999997"/>
    <n v="916.72499999999991"/>
    <n v="1161.1849999999999"/>
    <n v="0"/>
    <n v="1236.9326999999998"/>
    <n v="75.747699999999895"/>
    <n v="122.23"/>
    <n v="0"/>
    <n v="1956"/>
    <n v="0"/>
    <n v="0"/>
    <n v="0"/>
    <n v="0"/>
    <n v="0"/>
    <n v="1956"/>
    <n v="0"/>
    <n v="1956"/>
    <s v="Release"/>
  </r>
  <r>
    <n v="110000"/>
    <n v="0"/>
    <n v="110000"/>
    <x v="811"/>
    <x v="798"/>
    <n v="0"/>
    <s v="MPG"/>
    <s v="Direct"/>
    <n v="1014"/>
    <x v="14"/>
    <s v="New"/>
    <d v="2025-10-14T00:00:00"/>
    <n v="123.9"/>
    <n v="5184.25"/>
    <n v="92.925000000000011"/>
    <n v="117.705"/>
    <n v="0"/>
    <n v="155.5275"/>
    <n v="37.822500000000005"/>
    <n v="12.39"/>
    <n v="0"/>
    <n v="198"/>
    <n v="0"/>
    <n v="0"/>
    <n v="0"/>
    <n v="0"/>
    <n v="0"/>
    <n v="198"/>
    <n v="198"/>
    <n v="0"/>
    <s v="Yes"/>
  </r>
  <r>
    <n v="90000"/>
    <n v="0"/>
    <n v="90000"/>
    <x v="812"/>
    <x v="799"/>
    <n v="0"/>
    <s v="MPG"/>
    <s v="Direct"/>
    <n v="1053"/>
    <x v="15"/>
    <s v="New"/>
    <d v="2025-10-14T00:00:00"/>
    <n v="515.45000000000005"/>
    <n v="22033.22"/>
    <n v="386.58750000000003"/>
    <n v="489.67750000000001"/>
    <n v="158.5491073904"/>
    <n v="660.99660000000006"/>
    <n v="171.31910000000005"/>
    <n v="51.545000000000009"/>
    <n v="0"/>
    <n v="983"/>
    <n v="0"/>
    <n v="0"/>
    <n v="0"/>
    <n v="0"/>
    <n v="0"/>
    <n v="983"/>
    <n v="0"/>
    <n v="983"/>
    <s v="Release"/>
  </r>
  <r>
    <n v="90000"/>
    <n v="0"/>
    <n v="90000"/>
    <x v="813"/>
    <x v="800"/>
    <n v="0"/>
    <s v="MPG"/>
    <s v="Direct"/>
    <n v="1053"/>
    <x v="15"/>
    <s v="New"/>
    <d v="2025-10-11T00:00:00"/>
    <n v="1696.8500000000004"/>
    <n v="71003.31"/>
    <n v="1272.6375000000003"/>
    <n v="1612.0075000000002"/>
    <n v="877.07102317999988"/>
    <n v="2130.0992999999999"/>
    <n v="518.09179999999969"/>
    <n v="169.68500000000006"/>
    <n v="0"/>
    <n v="3592"/>
    <n v="0"/>
    <n v="0"/>
    <n v="0"/>
    <n v="0"/>
    <n v="54.900000000000006"/>
    <n v="3537"/>
    <n v="0"/>
    <n v="3537"/>
    <s v="Release"/>
  </r>
  <r>
    <n v="90000"/>
    <n v="0"/>
    <n v="90000"/>
    <x v="814"/>
    <x v="801"/>
    <n v="0"/>
    <s v="MPG"/>
    <s v="Direct"/>
    <n v="1054"/>
    <x v="11"/>
    <s v="New"/>
    <d v="2025-10-10T00:00:00"/>
    <n v="593.59999999999991"/>
    <n v="23483.39"/>
    <n v="445.19999999999993"/>
    <n v="563.91999999999985"/>
    <n v="0"/>
    <n v="704.50169999999991"/>
    <n v="140.58170000000007"/>
    <n v="59.359999999999992"/>
    <n v="0"/>
    <n v="950"/>
    <n v="0"/>
    <n v="0"/>
    <n v="0"/>
    <n v="0"/>
    <n v="0"/>
    <n v="950"/>
    <n v="0"/>
    <n v="950"/>
    <s v="Release"/>
  </r>
  <r>
    <n v="90000"/>
    <n v="0"/>
    <n v="90000"/>
    <x v="815"/>
    <x v="802"/>
    <n v="0"/>
    <s v="MPG"/>
    <s v="Direct"/>
    <n v="1054"/>
    <x v="11"/>
    <s v="New"/>
    <d v="2025-10-15T00:00:00"/>
    <n v="208.3"/>
    <n v="8323.4700000000012"/>
    <n v="156.22500000000002"/>
    <n v="197.88499999999999"/>
    <n v="0"/>
    <n v="249.70410000000004"/>
    <n v="51.819100000000049"/>
    <n v="20.830000000000002"/>
    <n v="0"/>
    <n v="333"/>
    <n v="0"/>
    <n v="0"/>
    <n v="0"/>
    <n v="0"/>
    <n v="0"/>
    <n v="333"/>
    <n v="0"/>
    <n v="333"/>
    <s v="Release"/>
  </r>
  <r>
    <n v="0"/>
    <n v="0"/>
    <n v="0"/>
    <x v="816"/>
    <x v="492"/>
    <n v="0"/>
    <s v="vlc"/>
    <s v="Indirect"/>
    <n v="1057"/>
    <x v="16"/>
    <s v="New"/>
    <d v="2025-10-10T00:00:00"/>
    <n v="3095.5"/>
    <n v="116923.66999999998"/>
    <n v="2321.625"/>
    <n v="2940.7249999999999"/>
    <n v="0"/>
    <n v="3507.7100999999993"/>
    <n v="566.98509999999942"/>
    <n v="309.55"/>
    <n v="0"/>
    <n v="4953"/>
    <n v="0"/>
    <n v="0"/>
    <n v="0"/>
    <n v="0"/>
    <n v="0"/>
    <n v="4953"/>
    <n v="0"/>
    <n v="4953"/>
    <s v="Release"/>
  </r>
  <r>
    <n v="90000"/>
    <n v="0"/>
    <n v="90000"/>
    <x v="817"/>
    <x v="803"/>
    <n v="0"/>
    <s v="MPG"/>
    <s v="Indirect"/>
    <n v="1001"/>
    <x v="1"/>
    <s v="New"/>
    <d v="2025-10-16T00:00:00"/>
    <n v="600.5"/>
    <n v="26157.46"/>
    <n v="450.375"/>
    <n v="570.47500000000002"/>
    <n v="995.04289760000006"/>
    <n v="784.72379999999998"/>
    <n v="214.24879999999996"/>
    <n v="60.050000000000004"/>
    <n v="0"/>
    <n v="1956"/>
    <n v="0"/>
    <n v="0"/>
    <n v="0"/>
    <n v="0"/>
    <n v="0"/>
    <n v="1956"/>
    <n v="0"/>
    <n v="1956"/>
    <s v="Release"/>
  </r>
  <r>
    <n v="0"/>
    <n v="0"/>
    <n v="0"/>
    <x v="818"/>
    <x v="804"/>
    <n v="0"/>
    <s v="vlc"/>
    <s v="Indirect"/>
    <n v="1008"/>
    <x v="0"/>
    <s v="Old"/>
    <d v="2018-02-19T00:00:00"/>
    <n v="14"/>
    <n v="532.28"/>
    <n v="10.5"/>
    <n v="13.299999999999999"/>
    <n v="0"/>
    <n v="15.968399999999999"/>
    <n v="2.6684000000000001"/>
    <n v="1.4000000000000001"/>
    <n v="22.634399999999914"/>
    <n v="0"/>
    <n v="0"/>
    <n v="0"/>
    <n v="0"/>
    <n v="0"/>
    <n v="0"/>
    <n v="0"/>
    <n v="0"/>
    <n v="0"/>
    <s v="Release"/>
  </r>
  <r>
    <n v="86497"/>
    <n v="0"/>
    <n v="86497"/>
    <x v="819"/>
    <x v="805"/>
    <n v="0"/>
    <s v="MPG"/>
    <s v="Direct"/>
    <n v="1009"/>
    <x v="8"/>
    <s v="Old"/>
    <d v="2025-01-29T00:00:00"/>
    <n v="179.49999999999997"/>
    <n v="7243.76"/>
    <n v="134.62499999999997"/>
    <n v="170.52499999999998"/>
    <n v="0"/>
    <n v="217.31280000000001"/>
    <n v="46.787800000000033"/>
    <n v="17.95"/>
    <n v="287.51982642246617"/>
    <n v="0"/>
    <n v="0"/>
    <n v="0"/>
    <n v="0"/>
    <n v="0"/>
    <n v="0"/>
    <n v="0"/>
    <n v="0"/>
    <n v="0"/>
    <s v="Release"/>
  </r>
  <r>
    <n v="96368"/>
    <n v="0"/>
    <n v="96368"/>
    <x v="820"/>
    <x v="806"/>
    <n v="0"/>
    <s v="MPG"/>
    <s v="Direct"/>
    <n v="1007"/>
    <x v="5"/>
    <s v="Old"/>
    <d v="2024-06-28T00:00:00"/>
    <n v="105.8"/>
    <n v="3287.21"/>
    <n v="79.349999999999994"/>
    <n v="100.50999999999999"/>
    <n v="0"/>
    <n v="98.616299999999995"/>
    <n v="-1.8936999999999955"/>
    <n v="10.58"/>
    <n v="169.23632930056715"/>
    <n v="0"/>
    <n v="0"/>
    <n v="0"/>
    <n v="0"/>
    <n v="0"/>
    <n v="0"/>
    <n v="0"/>
    <n v="0"/>
    <n v="0"/>
    <s v="Release"/>
  </r>
  <r>
    <n v="83627.376122859001"/>
    <n v="0"/>
    <n v="83627.376122859001"/>
    <x v="821"/>
    <x v="807"/>
    <n v="0"/>
    <s v="MPG"/>
    <s v="Direct"/>
    <n v="1014"/>
    <x v="14"/>
    <s v="Old"/>
    <d v="2025-04-30T00:00:00"/>
    <n v="371.8"/>
    <n v="14495.7"/>
    <n v="278.85000000000002"/>
    <n v="353.21"/>
    <n v="255.28"/>
    <n v="434.87099999999998"/>
    <n v="81.661000000000001"/>
    <n v="37.18"/>
    <n v="802.39143961431614"/>
    <n v="48"/>
    <n v="48"/>
    <n v="0"/>
    <n v="0"/>
    <n v="0"/>
    <n v="0"/>
    <n v="0"/>
    <n v="0"/>
    <n v="0"/>
    <s v="Release"/>
  </r>
  <r>
    <n v="90000"/>
    <n v="0"/>
    <n v="90000"/>
    <x v="822"/>
    <x v="808"/>
    <n v="0"/>
    <s v="MPG"/>
    <s v="Direct"/>
    <n v="1053"/>
    <x v="15"/>
    <s v="New"/>
    <d v="2025-10-18T00:00:00"/>
    <n v="645.25"/>
    <n v="33493"/>
    <n v="483.9375"/>
    <n v="612.98749999999995"/>
    <n v="2380.9099999999994"/>
    <n v="1004.79"/>
    <n v="391.80250000000001"/>
    <n v="64.525000000000006"/>
    <n v="0"/>
    <n v="3413"/>
    <n v="0"/>
    <n v="0"/>
    <n v="0"/>
    <n v="0"/>
    <n v="0"/>
    <n v="3413"/>
    <n v="0"/>
    <n v="3413"/>
    <s v="Release"/>
  </r>
  <r>
    <n v="0"/>
    <n v="0"/>
    <n v="0"/>
    <x v="823"/>
    <x v="809"/>
    <n v="0"/>
    <s v="vlc"/>
    <s v="Indirect"/>
    <n v="1001"/>
    <x v="1"/>
    <s v="Old"/>
    <d v="2025-03-29T00:00:00"/>
    <n v="190.8"/>
    <n v="7948.68"/>
    <n v="143.10000000000002"/>
    <n v="181.26"/>
    <n v="0"/>
    <n v="238.46039999999999"/>
    <n v="57.200400000000002"/>
    <n v="19.080000000000002"/>
    <n v="305.26287798742129"/>
    <n v="0"/>
    <n v="0"/>
    <n v="0"/>
    <n v="0"/>
    <n v="0"/>
    <n v="0"/>
    <n v="0"/>
    <n v="0"/>
    <n v="0"/>
    <s v="Release"/>
  </r>
  <r>
    <n v="0"/>
    <n v="0"/>
    <n v="0"/>
    <x v="824"/>
    <x v="810"/>
    <n v="0"/>
    <s v="vlc"/>
    <s v="Indirect"/>
    <n v="1008"/>
    <x v="0"/>
    <s v="Old"/>
    <d v="2021-03-02T00:00:00"/>
    <n v="185.29999999999998"/>
    <n v="7462.3"/>
    <n v="138.97499999999999"/>
    <n v="176.03499999999997"/>
    <n v="0"/>
    <n v="223.869"/>
    <n v="47.834000000000032"/>
    <n v="18.529999999999998"/>
    <n v="296.55432379924463"/>
    <n v="0"/>
    <n v="0"/>
    <n v="0"/>
    <n v="0"/>
    <n v="0"/>
    <n v="0"/>
    <n v="0"/>
    <n v="0"/>
    <n v="0"/>
    <s v="Release"/>
  </r>
  <r>
    <n v="76384"/>
    <n v="813.33140000000003"/>
    <n v="77197.331399999995"/>
    <x v="825"/>
    <x v="811"/>
    <n v="0"/>
    <s v="MPG"/>
    <s v="Direct"/>
    <n v="1012"/>
    <x v="12"/>
    <s v="Old"/>
    <d v="2023-06-03T00:00:00"/>
    <n v="5"/>
    <n v="176.9"/>
    <n v="3.75"/>
    <n v="4.75"/>
    <n v="0"/>
    <n v="5.3070000000000004"/>
    <n v="0.55700000000000038"/>
    <n v="0.5"/>
    <n v="7.7820000000000391"/>
    <n v="0"/>
    <n v="0"/>
    <n v="0"/>
    <n v="0"/>
    <n v="0"/>
    <n v="0"/>
    <n v="0"/>
    <n v="0"/>
    <n v="0"/>
    <s v="Releas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50">
  <r>
    <s v="Munger"/>
    <s v="03-09 Jul"/>
    <n v="1001"/>
    <s v="Majhaul"/>
    <x v="0"/>
    <s v="Gomukh Kumbhi"/>
    <s v="MPG"/>
    <s v="Direct"/>
    <n v="612.4"/>
    <n v="22833.279999999999"/>
    <n v="623.03"/>
    <n v="24057.63"/>
    <n v="2.13"/>
    <n v="82.850000000000009"/>
    <n v="625.16"/>
    <n v="24140.48"/>
    <n v="22833.279999999999"/>
    <n v="0"/>
    <n v="82.850000000000009"/>
    <n v="1307.2000000000007"/>
    <n v="0"/>
    <n v="0"/>
    <n v="0"/>
    <n v="22750"/>
    <n v="0"/>
    <n v="0"/>
    <n v="0"/>
    <s v="Release4"/>
    <n v="65.323165512736793"/>
    <n v="87.48571428571428"/>
    <n v="-5.7249768758583994E-2"/>
    <n v="16"/>
    <m/>
    <s v="Majhaul"/>
    <m/>
    <n v="0"/>
  </r>
  <r>
    <s v="Munger"/>
    <s v="03-09 Jul"/>
    <n v="1001"/>
    <s v="Majhaul"/>
    <x v="1"/>
    <s v="Gomukh Jagdar                                                                                       "/>
    <s v="MPG"/>
    <s v="Direct"/>
    <n v="918.90000000000009"/>
    <n v="34565.64"/>
    <n v="906.7399999999999"/>
    <n v="34574.94"/>
    <n v="12.940000000000001"/>
    <n v="476.37"/>
    <n v="919.68"/>
    <n v="35051.310000000005"/>
    <n v="34565.64"/>
    <n v="0"/>
    <n v="476.37"/>
    <n v="485.67000000000553"/>
    <n v="0"/>
    <n v="0"/>
    <n v="0"/>
    <n v="34089"/>
    <n v="0"/>
    <n v="0"/>
    <n v="0"/>
    <s v="Release4"/>
    <n v="0"/>
    <n v="0"/>
    <n v="-1.4050658399497465E-2"/>
    <n v="11"/>
    <m/>
    <s v="Majhaul"/>
    <m/>
    <n v="0"/>
  </r>
  <r>
    <s v="Munger"/>
    <s v="03-09 Jul"/>
    <n v="1058"/>
    <s v="Hasanpur"/>
    <x v="2"/>
    <s v="Gomukh Goriyari"/>
    <s v="MPG"/>
    <s v="Direct"/>
    <n v="944.4"/>
    <n v="37536.829999999994"/>
    <n v="789.30000000000018"/>
    <n v="31479.510000000002"/>
    <n v="162.20000000000002"/>
    <n v="6342.8900000000012"/>
    <n v="951.50000000000023"/>
    <n v="37822.400000000001"/>
    <n v="37536.829999999994"/>
    <n v="0"/>
    <n v="356.72"/>
    <n v="285.57000000000698"/>
    <n v="0"/>
    <n v="0"/>
    <n v="0"/>
    <n v="31194"/>
    <n v="5986"/>
    <n v="0"/>
    <n v="0"/>
    <n v="0"/>
    <n v="0"/>
    <n v="0"/>
    <n v="-7.6077281965474183E-3"/>
    <n v="19"/>
    <m/>
    <s v="Hasanpur"/>
    <m/>
    <n v="0"/>
  </r>
  <r>
    <s v="Munger"/>
    <s v="03-09 Jul"/>
    <n v="1058"/>
    <s v="Hasanpur"/>
    <x v="3"/>
    <s v="Gomukh Kanausi"/>
    <s v="MPG"/>
    <s v="Direct"/>
    <n v="302.93"/>
    <n v="11743.84"/>
    <n v="265.60000000000002"/>
    <n v="10437.82"/>
    <n v="29.5"/>
    <n v="1145.6200000000001"/>
    <n v="295.10000000000002"/>
    <n v="11583.44"/>
    <n v="11583.44"/>
    <n v="0"/>
    <n v="156.74"/>
    <n v="0"/>
    <n v="0"/>
    <n v="0"/>
    <n v="0"/>
    <n v="10438"/>
    <n v="988"/>
    <n v="0"/>
    <n v="161"/>
    <n v="0"/>
    <n v="307.86825661373911"/>
    <n v="43.275714285714287"/>
    <n v="1.3658224226488068E-2"/>
    <n v="11"/>
    <m/>
    <s v="Hasanpur"/>
    <m/>
    <n v="0"/>
  </r>
  <r>
    <s v="Munger"/>
    <s v="03-09 Jul"/>
    <n v="1001"/>
    <s v="Majhaul"/>
    <x v="4"/>
    <s v="Mohanpur - Chandan"/>
    <s v="vlc"/>
    <s v="Indirect"/>
    <n v="81"/>
    <n v="3231.08"/>
    <n v="0"/>
    <n v="0"/>
    <n v="0"/>
    <n v="0"/>
    <n v="0"/>
    <n v="0"/>
    <n v="3231.08"/>
    <n v="0"/>
    <n v="0"/>
    <n v="0"/>
    <n v="0"/>
    <n v="0"/>
    <n v="0"/>
    <n v="0"/>
    <n v="0"/>
    <n v="3231.08"/>
    <n v="0"/>
    <n v="0"/>
    <n v="493.83667160493826"/>
    <n v="11.571428571428571"/>
    <n v="0"/>
    <n v="0"/>
    <m/>
    <s v="Majhaul"/>
    <m/>
    <n v="0"/>
  </r>
  <r>
    <s v="Munger"/>
    <s v="03-09 Jul"/>
    <n v="1058"/>
    <s v="Hasanpur"/>
    <x v="5"/>
    <s v="Ekamba - Ashutosh"/>
    <s v="vlc"/>
    <s v="Indirect"/>
    <n v="1160.6399999999999"/>
    <n v="49533.67"/>
    <n v="0"/>
    <n v="0"/>
    <n v="0"/>
    <n v="0"/>
    <n v="0"/>
    <n v="0"/>
    <n v="49533.67"/>
    <n v="0"/>
    <n v="0"/>
    <n v="0"/>
    <n v="0"/>
    <n v="0"/>
    <n v="0"/>
    <n v="0"/>
    <n v="0"/>
    <n v="49533.67"/>
    <n v="0"/>
    <n v="0"/>
    <n v="0"/>
    <n v="0"/>
    <n v="0"/>
    <n v="0"/>
    <m/>
    <s v="Hasanpur"/>
    <m/>
    <n v="0"/>
  </r>
  <r>
    <s v="Munger"/>
    <s v="03-09 Jul"/>
    <n v="1001"/>
    <s v="Majhaul"/>
    <x v="6"/>
    <s v="GOMUKH BIRPUR PASCHIM                                                                               "/>
    <s v="MPG"/>
    <s v="Direct"/>
    <n v="107.20000000000002"/>
    <n v="4448.5100000000011"/>
    <n v="106.9"/>
    <n v="4429.8600000000006"/>
    <n v="0"/>
    <n v="0"/>
    <n v="106.9"/>
    <n v="4429.8600000000006"/>
    <n v="4429.8600000000006"/>
    <n v="0"/>
    <n v="0"/>
    <n v="0"/>
    <n v="0"/>
    <n v="500"/>
    <n v="0"/>
    <n v="3930"/>
    <n v="0"/>
    <n v="0"/>
    <n v="19"/>
    <n v="0"/>
    <n v="491.99192686567164"/>
    <n v="15.314285714285717"/>
    <n v="4.1924149883894929E-3"/>
    <n v="2"/>
    <m/>
    <s v="Majhaul"/>
    <m/>
    <n v="500"/>
  </r>
  <r>
    <s v="Munger"/>
    <s v="03-09 Jul"/>
    <n v="1001"/>
    <s v="Majhaul"/>
    <x v="7"/>
    <s v="Manish Dairy                                                                                        "/>
    <s v="vlc"/>
    <s v="Indirect"/>
    <n v="7234"/>
    <n v="269129.39"/>
    <n v="0"/>
    <n v="0"/>
    <n v="0"/>
    <n v="0"/>
    <n v="0"/>
    <n v="0"/>
    <n v="269129.39"/>
    <n v="0"/>
    <n v="0"/>
    <n v="0"/>
    <n v="0"/>
    <n v="0"/>
    <n v="0"/>
    <n v="0"/>
    <n v="0"/>
    <n v="269129.39"/>
    <n v="0"/>
    <n v="0"/>
    <n v="0"/>
    <n v="0"/>
    <n v="0"/>
    <n v="0"/>
    <m/>
    <s v="Majhaul"/>
    <m/>
    <n v="0"/>
  </r>
  <r>
    <s v="Munger"/>
    <s v="03-09 Jul"/>
    <n v="1001"/>
    <s v="Majhaul"/>
    <x v="8"/>
    <s v="Gomukh Bhith-02"/>
    <s v="MPG"/>
    <s v="Direct"/>
    <n v="580.9"/>
    <n v="23920.039999999997"/>
    <n v="156.47"/>
    <n v="7053.4199999999983"/>
    <n v="395.2700000000001"/>
    <n v="17409.490000000002"/>
    <n v="551.74000000000012"/>
    <n v="24462.91"/>
    <n v="23920.039999999997"/>
    <n v="0"/>
    <n v="0"/>
    <n v="542.87000000000262"/>
    <n v="0"/>
    <n v="0"/>
    <n v="0"/>
    <n v="6511"/>
    <n v="17409"/>
    <n v="0"/>
    <n v="0"/>
    <n v="0"/>
    <n v="98.084929041143084"/>
    <n v="82.98571428571428"/>
    <n v="-2.2695196161879441E-2"/>
    <n v="14"/>
    <m/>
    <s v="Majhaul"/>
    <m/>
    <n v="0"/>
  </r>
  <r>
    <s v="Munger"/>
    <s v="03-09 Jul"/>
    <n v="1001"/>
    <s v="Majhaul"/>
    <x v="9"/>
    <s v="Gomukh Sharmatola Sahuri"/>
    <s v="MPG"/>
    <s v="Direct"/>
    <n v="1078.5"/>
    <n v="41530.25"/>
    <n v="1127.8399999999999"/>
    <n v="43201.63"/>
    <n v="26.42"/>
    <n v="992.33999999999992"/>
    <n v="1154.26"/>
    <n v="44193.969999999994"/>
    <n v="41530.25"/>
    <n v="0"/>
    <n v="0"/>
    <n v="2663.7199999999939"/>
    <n v="0"/>
    <n v="0"/>
    <n v="0"/>
    <n v="40538"/>
    <n v="992"/>
    <n v="0"/>
    <n v="0"/>
    <s v="Release4"/>
    <n v="0"/>
    <n v="0"/>
    <n v="-6.4139271976450751E-2"/>
    <n v="7"/>
    <m/>
    <s v="Majhaul"/>
    <m/>
    <n v="0"/>
  </r>
  <r>
    <s v="Munger"/>
    <s v="03-09 Jul"/>
    <n v="1001"/>
    <s v="Majhaul"/>
    <x v="10"/>
    <s v="Sangat- Sanjeev Kumar"/>
    <s v="vlc"/>
    <s v="Indirect"/>
    <n v="297.3"/>
    <n v="9672.8599999999969"/>
    <n v="0"/>
    <n v="0"/>
    <n v="0"/>
    <n v="0"/>
    <n v="0"/>
    <n v="0"/>
    <n v="9672.8599999999969"/>
    <n v="0"/>
    <n v="0"/>
    <n v="0"/>
    <n v="0"/>
    <n v="0"/>
    <n v="0"/>
    <n v="0"/>
    <n v="0"/>
    <n v="9672.8599999999969"/>
    <n v="0"/>
    <n v="0"/>
    <n v="262.04243000336351"/>
    <n v="42.471428571428575"/>
    <n v="0"/>
    <n v="0"/>
    <m/>
    <s v="Majhaul"/>
    <m/>
    <n v="0"/>
  </r>
  <r>
    <s v="Munger"/>
    <s v="03-09 Jul"/>
    <n v="1058"/>
    <s v="Hasanpur"/>
    <x v="11"/>
    <s v="Gomukh Garhi Bisanpur"/>
    <s v="MPG"/>
    <s v="Direct"/>
    <n v="80.36"/>
    <n v="4057.98"/>
    <n v="84.64"/>
    <n v="4477.97"/>
    <n v="2.2899999999999996"/>
    <n v="112.51"/>
    <n v="86.93"/>
    <n v="4590.4800000000005"/>
    <n v="4057.98"/>
    <n v="0"/>
    <n v="112.51"/>
    <n v="532.50000000000045"/>
    <n v="0"/>
    <n v="500"/>
    <n v="0"/>
    <n v="3445"/>
    <n v="0"/>
    <n v="0"/>
    <n v="0"/>
    <s v="Release4"/>
    <n v="625.80555679442512"/>
    <n v="11.48"/>
    <n v="-0.13122292372066902"/>
    <n v="7"/>
    <m/>
    <s v="Hasanpur"/>
    <m/>
    <n v="500"/>
  </r>
  <r>
    <s v="Munger"/>
    <s v="03-09 Jul"/>
    <n v="1058"/>
    <s v="Hasanpur"/>
    <x v="12"/>
    <s v="Bagaraha-Gopal Yadav"/>
    <s v="vlc"/>
    <s v="Indirect"/>
    <n v="133.74"/>
    <n v="4762.38"/>
    <n v="0"/>
    <n v="0"/>
    <n v="0"/>
    <n v="0"/>
    <n v="0"/>
    <n v="0"/>
    <n v="4762.38"/>
    <n v="0"/>
    <n v="0"/>
    <n v="0"/>
    <n v="0"/>
    <n v="0"/>
    <n v="0"/>
    <n v="0"/>
    <n v="0"/>
    <n v="4762.38"/>
    <n v="0"/>
    <n v="0"/>
    <n v="403.28178537460741"/>
    <n v="19.105714285714289"/>
    <n v="0"/>
    <n v="0"/>
    <m/>
    <s v="Hasanpur"/>
    <m/>
    <n v="0"/>
  </r>
  <r>
    <s v="Munger"/>
    <s v="03-09 Jul"/>
    <n v="1058"/>
    <s v="Hasanpur"/>
    <x v="13"/>
    <s v="Gomukh Barkurwa"/>
    <s v="MPG"/>
    <s v="Direct"/>
    <n v="453.54"/>
    <n v="19513.920000000006"/>
    <n v="244.48000000000002"/>
    <n v="10717.43"/>
    <n v="212.00000000000003"/>
    <n v="9301.15"/>
    <n v="456.48"/>
    <n v="20018.580000000002"/>
    <n v="19513.920000000006"/>
    <n v="0"/>
    <n v="300.19999999999993"/>
    <n v="504.65999999999622"/>
    <n v="0"/>
    <n v="0"/>
    <n v="0"/>
    <n v="10213"/>
    <n v="9001"/>
    <n v="0"/>
    <n v="0"/>
    <n v="0"/>
    <n v="212.08275888345025"/>
    <n v="64.791428571428568"/>
    <n v="-2.5861538839966346E-2"/>
    <n v="17"/>
    <m/>
    <s v="Hasanpur"/>
    <m/>
    <n v="0"/>
  </r>
  <r>
    <s v="Munger"/>
    <s v="03-09 Jul"/>
    <n v="1001"/>
    <s v="Majhaul"/>
    <x v="14"/>
    <s v="Kamla- Amarjeet"/>
    <s v="vlc"/>
    <s v="Indirect"/>
    <n v="553"/>
    <n v="17414.170000000002"/>
    <n v="0"/>
    <n v="0"/>
    <n v="0"/>
    <n v="0"/>
    <n v="0"/>
    <n v="0"/>
    <n v="17414.170000000002"/>
    <n v="0"/>
    <n v="0"/>
    <n v="0"/>
    <n v="0"/>
    <n v="0"/>
    <n v="0"/>
    <n v="0"/>
    <n v="0"/>
    <n v="17414.170000000002"/>
    <n v="0"/>
    <n v="0"/>
    <n v="92.58166329113925"/>
    <n v="79"/>
    <n v="0"/>
    <n v="0"/>
    <m/>
    <s v="Majhaul"/>
    <m/>
    <n v="0"/>
  </r>
  <r>
    <s v="Munger"/>
    <s v="03-09 Jul"/>
    <n v="1058"/>
    <s v="Hasanpur"/>
    <x v="15"/>
    <s v="Gomukh Goha-02"/>
    <s v="MPG"/>
    <s v="Direct"/>
    <n v="263.74"/>
    <n v="10688.859999999999"/>
    <n v="259.60000000000002"/>
    <n v="10510.580000000002"/>
    <n v="4"/>
    <n v="176.24"/>
    <n v="263.60000000000002"/>
    <n v="10686.820000000002"/>
    <n v="10686.820000000002"/>
    <n v="0"/>
    <n v="176.24"/>
    <n v="0"/>
    <n v="0"/>
    <n v="0"/>
    <n v="0"/>
    <n v="10511"/>
    <n v="0"/>
    <n v="0"/>
    <n v="2"/>
    <n v="0"/>
    <n v="353.61508027602935"/>
    <n v="37.677142857142861"/>
    <n v="1.9085290667079889E-4"/>
    <n v="3"/>
    <m/>
    <s v="Hasanpur"/>
    <m/>
    <n v="0"/>
  </r>
  <r>
    <s v="Munger"/>
    <s v="03-09 Jul"/>
    <n v="1001"/>
    <s v="Majhaul"/>
    <x v="16"/>
    <s v="Gomukh Cheria Bariarpur"/>
    <s v="MPG"/>
    <s v="Direct"/>
    <n v="1056.5999999999999"/>
    <n v="40392.589999999997"/>
    <n v="1076.7499999999998"/>
    <n v="46081.490000000005"/>
    <n v="2.4500000000000002"/>
    <n v="102.57999999999997"/>
    <n v="1079.1999999999998"/>
    <n v="46184.070000000007"/>
    <n v="40392.589999999997"/>
    <n v="0"/>
    <n v="102.57999999999997"/>
    <n v="5791.4800000000105"/>
    <n v="0"/>
    <n v="0"/>
    <n v="0"/>
    <n v="40290"/>
    <n v="0"/>
    <n v="0"/>
    <n v="0"/>
    <n v="0"/>
    <n v="0"/>
    <n v="0"/>
    <n v="-0.14337976346651726"/>
    <n v="11"/>
    <m/>
    <s v="Majhaul"/>
    <m/>
    <n v="0"/>
  </r>
  <r>
    <s v="Munger"/>
    <s v="03-09 Jul"/>
    <n v="1058"/>
    <s v="Hasanpur"/>
    <x v="17"/>
    <s v="Gomukh Bagraha-01"/>
    <s v="MPG"/>
    <s v="Direct"/>
    <n v="244.14"/>
    <n v="10899.2"/>
    <n v="238.10000000000002"/>
    <n v="10216.339999999998"/>
    <n v="5"/>
    <n v="201.55"/>
    <n v="243.10000000000002"/>
    <n v="10417.889999999998"/>
    <n v="10417.889999999998"/>
    <n v="0"/>
    <n v="201.55"/>
    <n v="0"/>
    <n v="1350"/>
    <n v="500"/>
    <n v="0"/>
    <n v="8366"/>
    <n v="0"/>
    <n v="0"/>
    <n v="482"/>
    <s v="Release4"/>
    <n v="407.02132481363157"/>
    <n v="34.877142857142857"/>
    <n v="4.4160121843805335E-2"/>
    <n v="3"/>
    <m/>
    <s v="Hasanpur"/>
    <m/>
    <n v="500"/>
  </r>
  <r>
    <s v="Munger"/>
    <s v="03-09 Jul"/>
    <n v="1001"/>
    <s v="Majhaul"/>
    <x v="18"/>
    <s v="Gomukh Pirauna"/>
    <s v="MPG"/>
    <s v="Direct"/>
    <n v="261.40000000000003"/>
    <n v="9163.74"/>
    <n v="262.73999999999995"/>
    <n v="9254.1399999999976"/>
    <n v="0.5"/>
    <n v="16.920000000000002"/>
    <n v="263.23999999999995"/>
    <n v="9271.0599999999977"/>
    <n v="9163.74"/>
    <n v="0"/>
    <n v="16.920000000000002"/>
    <n v="107.31999999999789"/>
    <n v="0"/>
    <n v="0"/>
    <n v="0"/>
    <n v="9147"/>
    <n v="0"/>
    <n v="0"/>
    <n v="0"/>
    <s v="Release3"/>
    <n v="307.51464146901299"/>
    <n v="37.342857142857149"/>
    <n v="-1.17113754864278E-2"/>
    <n v="2"/>
    <m/>
    <s v="Majhaul"/>
    <m/>
    <n v="0"/>
  </r>
  <r>
    <s v="Munger"/>
    <s v="03-09 Jul"/>
    <n v="1001"/>
    <s v="Majhaul"/>
    <x v="19"/>
    <s v="Parra- Nagendra Kumar"/>
    <s v="vlc"/>
    <s v="Indirect"/>
    <n v="285.99999999999994"/>
    <n v="9451.27"/>
    <n v="0"/>
    <n v="0"/>
    <n v="0"/>
    <n v="0"/>
    <n v="0"/>
    <n v="0"/>
    <n v="9451.27"/>
    <n v="0"/>
    <n v="0"/>
    <n v="0"/>
    <n v="0"/>
    <n v="0"/>
    <n v="0"/>
    <n v="0"/>
    <n v="0"/>
    <n v="9451.27"/>
    <n v="0"/>
    <n v="0"/>
    <n v="273.62418041958051"/>
    <n v="40.857142857142847"/>
    <n v="0"/>
    <n v="0"/>
    <m/>
    <s v="Majhaul"/>
    <m/>
    <n v="0"/>
  </r>
  <r>
    <s v="Munger"/>
    <s v="03-09 Jul"/>
    <n v="1001"/>
    <s v="Majhaul"/>
    <x v="20"/>
    <s v="Gomukh Basahi"/>
    <s v="MPG"/>
    <s v="Direct"/>
    <n v="895.19999999999993"/>
    <n v="36332.189999999995"/>
    <n v="885.92000000000007"/>
    <n v="39126.89"/>
    <n v="2.93"/>
    <n v="115.94"/>
    <n v="888.85"/>
    <n v="39242.83"/>
    <n v="36332.189999999995"/>
    <n v="0"/>
    <n v="115.94"/>
    <n v="2910.6400000000067"/>
    <n v="0"/>
    <n v="0"/>
    <n v="0"/>
    <n v="36216"/>
    <n v="0"/>
    <n v="0"/>
    <n v="0"/>
    <n v="0"/>
    <n v="0"/>
    <n v="0"/>
    <n v="-8.0111878749946186E-2"/>
    <n v="30"/>
    <m/>
    <s v="Majhaul"/>
    <m/>
    <n v="0"/>
  </r>
  <r>
    <s v="Munger"/>
    <s v="03-09 Jul"/>
    <n v="1001"/>
    <s v="Majhaul"/>
    <x v="21"/>
    <s v="Gomukh Sawantpur"/>
    <s v="MPG"/>
    <s v="Direct"/>
    <n v="1474.4999999999998"/>
    <n v="56034.749999999993"/>
    <n v="1460.2599999999991"/>
    <n v="55521.180000000037"/>
    <n v="2.23"/>
    <n v="80.86"/>
    <n v="1462.4899999999991"/>
    <n v="55602.040000000037"/>
    <n v="55602.040000000037"/>
    <n v="0"/>
    <n v="80.86"/>
    <n v="0"/>
    <n v="0"/>
    <n v="0"/>
    <n v="0"/>
    <n v="55516"/>
    <n v="0"/>
    <n v="0"/>
    <n v="438"/>
    <n v="0"/>
    <n v="0"/>
    <n v="0"/>
    <n v="7.7221724019462127E-3"/>
    <n v="25"/>
    <m/>
    <s v="Majhaul"/>
    <m/>
    <n v="0"/>
  </r>
  <r>
    <s v="Munger"/>
    <s v="03-09 Jul"/>
    <n v="1001"/>
    <s v="Majhaul"/>
    <x v="22"/>
    <s v="Maida- Ram Kumar"/>
    <s v="vlc"/>
    <s v="Indirect"/>
    <n v="109.3"/>
    <n v="4045.9700000000003"/>
    <n v="0"/>
    <n v="0"/>
    <n v="0"/>
    <n v="0"/>
    <n v="0"/>
    <n v="0"/>
    <n v="4045.9700000000003"/>
    <n v="0"/>
    <n v="0"/>
    <n v="0"/>
    <n v="0"/>
    <n v="0"/>
    <n v="0"/>
    <n v="0"/>
    <n v="0"/>
    <n v="4045.9700000000003"/>
    <n v="0"/>
    <n v="0"/>
    <n v="437.32012424519678"/>
    <n v="15.614285714285714"/>
    <n v="0"/>
    <n v="0"/>
    <m/>
    <s v="Majhaul"/>
    <m/>
    <n v="0"/>
  </r>
  <r>
    <s v="Munger"/>
    <s v="03-09 Jul"/>
    <n v="1001"/>
    <s v="Majhaul"/>
    <x v="23"/>
    <s v="Gomukh Aure Bikrampur"/>
    <s v="MPG"/>
    <s v="Direct"/>
    <n v="1075.3"/>
    <n v="45149.3"/>
    <n v="1281.7200000000003"/>
    <n v="54017.229999999996"/>
    <n v="0"/>
    <n v="0"/>
    <n v="1281.7200000000003"/>
    <n v="54017.229999999996"/>
    <n v="45149.3"/>
    <n v="0"/>
    <n v="0"/>
    <n v="8867.929999999993"/>
    <n v="2700"/>
    <n v="0"/>
    <n v="0"/>
    <n v="42449"/>
    <n v="0"/>
    <n v="0"/>
    <n v="0"/>
    <n v="0"/>
    <n v="0"/>
    <n v="0"/>
    <n v="-0.19641345491513695"/>
    <n v="18"/>
    <m/>
    <s v="Majhaul"/>
    <m/>
    <n v="0"/>
  </r>
  <r>
    <s v="Munger"/>
    <s v="03-09 Jul"/>
    <n v="1001"/>
    <s v="Majhaul"/>
    <x v="24"/>
    <s v="Manjhaul- Gulshan Kumar"/>
    <s v="vlc"/>
    <s v="Indirect"/>
    <n v="761.40000000000009"/>
    <n v="31370.889999999996"/>
    <n v="0"/>
    <n v="0"/>
    <n v="0"/>
    <n v="0"/>
    <n v="0"/>
    <n v="0"/>
    <n v="31370.889999999996"/>
    <n v="0"/>
    <n v="0"/>
    <n v="0"/>
    <n v="0"/>
    <n v="0"/>
    <n v="0"/>
    <n v="0"/>
    <n v="0"/>
    <n v="31370.889999999996"/>
    <n v="0"/>
    <n v="0"/>
    <n v="0"/>
    <n v="0"/>
    <n v="0"/>
    <n v="0"/>
    <m/>
    <s v="Majhaul"/>
    <m/>
    <n v="0"/>
  </r>
  <r>
    <s v="Munger"/>
    <s v="03-09 Jul"/>
    <n v="1001"/>
    <s v="Majhaul"/>
    <x v="25"/>
    <s v="Khaira Manjhaul"/>
    <s v="vlc"/>
    <s v="Indirect"/>
    <n v="457.4"/>
    <n v="17292.940000000002"/>
    <n v="0"/>
    <n v="0"/>
    <n v="0"/>
    <n v="0"/>
    <n v="0"/>
    <n v="0"/>
    <n v="17292.940000000002"/>
    <n v="0"/>
    <n v="0"/>
    <n v="0"/>
    <n v="0"/>
    <n v="0"/>
    <n v="0"/>
    <n v="0"/>
    <n v="0"/>
    <n v="17292.940000000002"/>
    <n v="0"/>
    <n v="0"/>
    <n v="183.4397570616529"/>
    <n v="65.342857142857142"/>
    <n v="0"/>
    <n v="0"/>
    <m/>
    <s v="Majhaul"/>
    <m/>
    <n v="0"/>
  </r>
  <r>
    <s v="Munger"/>
    <s v="03-09 Jul"/>
    <n v="1001"/>
    <s v="Majhaul"/>
    <x v="26"/>
    <s v="Mehda Shahpur"/>
    <s v="vlc"/>
    <s v="Indirect"/>
    <n v="520.9"/>
    <n v="20390.09"/>
    <n v="0"/>
    <n v="0"/>
    <n v="0"/>
    <n v="0"/>
    <n v="0"/>
    <n v="0"/>
    <n v="20390.09"/>
    <n v="0"/>
    <n v="0"/>
    <n v="0"/>
    <n v="0"/>
    <n v="0"/>
    <n v="0"/>
    <n v="0"/>
    <n v="0"/>
    <n v="20390.09"/>
    <n v="0"/>
    <n v="0"/>
    <n v="140.21367321942796"/>
    <n v="74.414285714285711"/>
    <n v="0"/>
    <n v="0"/>
    <m/>
    <s v="Majhaul"/>
    <m/>
    <n v="0"/>
  </r>
  <r>
    <s v="Munger"/>
    <s v="03-09 Jul"/>
    <n v="1001"/>
    <s v="Majhaul"/>
    <x v="27"/>
    <s v="Shri Bhairav Laxmipur"/>
    <s v="MPG"/>
    <s v="Direct"/>
    <n v="268.8"/>
    <n v="11447.569999999998"/>
    <n v="306.93"/>
    <n v="13605.720000000001"/>
    <n v="0"/>
    <n v="0"/>
    <n v="306.93"/>
    <n v="13605.720000000001"/>
    <n v="11447.569999999998"/>
    <n v="0"/>
    <n v="0"/>
    <n v="2158.1500000000033"/>
    <n v="0"/>
    <n v="0"/>
    <n v="0"/>
    <n v="11448"/>
    <n v="0"/>
    <n v="0"/>
    <n v="0"/>
    <s v="Release4"/>
    <n v="367.27620416666656"/>
    <n v="38.4"/>
    <n v="-0.18852472620826985"/>
    <n v="5"/>
    <m/>
    <s v="Majhaul"/>
    <m/>
    <n v="0"/>
  </r>
  <r>
    <s v="Munger"/>
    <s v="03-09 Jul"/>
    <n v="1001"/>
    <s v="Majhaul"/>
    <x v="28"/>
    <s v="Goapalpur"/>
    <s v="MPG"/>
    <s v="Direct"/>
    <n v="193.89999999999998"/>
    <n v="7683.17"/>
    <n v="201.03000000000003"/>
    <n v="7654.53"/>
    <n v="0"/>
    <n v="0"/>
    <n v="201.03000000000003"/>
    <n v="7654.53"/>
    <n v="7654.53"/>
    <n v="0"/>
    <n v="0"/>
    <n v="0"/>
    <n v="0"/>
    <n v="500"/>
    <n v="0"/>
    <n v="7155"/>
    <n v="0"/>
    <n v="0"/>
    <n v="28"/>
    <n v="0"/>
    <n v="401.07811624548748"/>
    <n v="27.699999999999996"/>
    <n v="3.7276280493598771E-3"/>
    <n v="6"/>
    <m/>
    <s v="Majhaul"/>
    <m/>
    <n v="500"/>
  </r>
  <r>
    <s v="Munger"/>
    <s v="03-09 Jul"/>
    <n v="1001"/>
    <s v="Majhaul"/>
    <x v="29"/>
    <s v="Gomukh Akaha"/>
    <s v="MPG"/>
    <s v="Direct"/>
    <n v="211.4"/>
    <n v="6580.329999999999"/>
    <n v="209.29999999999998"/>
    <n v="6568.6499999999978"/>
    <n v="0"/>
    <n v="0"/>
    <n v="209.29999999999998"/>
    <n v="6568.6499999999978"/>
    <n v="6568.6499999999978"/>
    <n v="0"/>
    <n v="0"/>
    <n v="0"/>
    <n v="1350"/>
    <n v="0"/>
    <n v="0"/>
    <n v="5216"/>
    <n v="0"/>
    <n v="0"/>
    <n v="14"/>
    <n v="0"/>
    <n v="304.17684370860923"/>
    <n v="30.2"/>
    <n v="1.7749869687388325E-3"/>
    <n v="7"/>
    <m/>
    <s v="Majhaul"/>
    <m/>
    <n v="0"/>
  </r>
  <r>
    <s v="Munger"/>
    <s v="03-09 Jul"/>
    <n v="1001"/>
    <s v="Majhaul"/>
    <x v="30"/>
    <s v="Gomukh Rajakpur"/>
    <s v="MPG"/>
    <s v="Direct"/>
    <n v="101.1"/>
    <n v="3596.9300000000007"/>
    <n v="101.47"/>
    <n v="3385.6899999999996"/>
    <n v="0"/>
    <n v="0"/>
    <n v="101.47"/>
    <n v="3385.6899999999996"/>
    <n v="3385.6899999999996"/>
    <n v="0"/>
    <n v="0"/>
    <n v="0"/>
    <n v="0"/>
    <n v="0"/>
    <n v="0"/>
    <n v="3385"/>
    <n v="0"/>
    <n v="0"/>
    <n v="212"/>
    <n v="0"/>
    <n v="426.15259683481725"/>
    <n v="14.442857142857141"/>
    <n v="5.8727859591374061E-2"/>
    <n v="4"/>
    <m/>
    <s v="Majhaul"/>
    <m/>
    <n v="0"/>
  </r>
  <r>
    <s v="Munger"/>
    <s v="03-09 Jul"/>
    <n v="1001"/>
    <s v="Majhaul"/>
    <x v="31"/>
    <s v="Gomukh Mohanpur"/>
    <s v="MPG"/>
    <s v="Direct"/>
    <n v="174.39999999999998"/>
    <n v="6757.9999999999991"/>
    <n v="178.9"/>
    <n v="7235.1299999999992"/>
    <n v="2.2299999999999995"/>
    <n v="85.16"/>
    <n v="181.13"/>
    <n v="7320.2899999999991"/>
    <n v="6757.9999999999991"/>
    <n v="0"/>
    <n v="85.16"/>
    <n v="562.29"/>
    <n v="0"/>
    <n v="0"/>
    <n v="0"/>
    <n v="6673"/>
    <n v="0"/>
    <n v="0"/>
    <n v="0"/>
    <n v="0"/>
    <n v="407.34000000000003"/>
    <n v="24.914285714285711"/>
    <n v="-8.3203610535661443E-2"/>
    <n v="7"/>
    <m/>
    <s v="Majhaul"/>
    <m/>
    <n v="0"/>
  </r>
  <r>
    <s v="Munger"/>
    <s v="03-09 Jul"/>
    <n v="1001"/>
    <s v="Majhaul"/>
    <x v="32"/>
    <s v="Gomukh Chakka"/>
    <s v="MPG"/>
    <s v="Direct"/>
    <n v="153.4"/>
    <n v="6207.66"/>
    <n v="153.57999999999998"/>
    <n v="6368.48"/>
    <n v="0"/>
    <n v="0"/>
    <n v="153.57999999999998"/>
    <n v="6368.48"/>
    <n v="6207.66"/>
    <n v="0"/>
    <n v="0"/>
    <n v="160.81999999999971"/>
    <n v="1350"/>
    <n v="0"/>
    <n v="0"/>
    <n v="4858"/>
    <n v="0"/>
    <n v="0"/>
    <n v="0"/>
    <n v="0"/>
    <n v="442.38682607561935"/>
    <n v="21.914285714285715"/>
    <n v="-2.5906702364498008E-2"/>
    <n v="3"/>
    <m/>
    <s v="Majhaul"/>
    <m/>
    <n v="0"/>
  </r>
  <r>
    <s v="Munger"/>
    <s v="03-09 Jul"/>
    <n v="1001"/>
    <s v="Majhaul"/>
    <x v="33"/>
    <s v="Gamharia"/>
    <s v="vlc"/>
    <s v="Indirect"/>
    <n v="192.5"/>
    <n v="7621.6"/>
    <n v="0"/>
    <n v="0"/>
    <n v="0"/>
    <n v="0"/>
    <n v="0"/>
    <n v="0"/>
    <n v="7621.6"/>
    <n v="0"/>
    <n v="0"/>
    <n v="0"/>
    <n v="0"/>
    <n v="0"/>
    <n v="0"/>
    <n v="0"/>
    <n v="0"/>
    <n v="7621.6"/>
    <n v="0"/>
    <n v="0"/>
    <n v="401.86618181818181"/>
    <n v="27.5"/>
    <n v="0"/>
    <n v="0"/>
    <m/>
    <s v="Majhaul"/>
    <m/>
    <n v="0"/>
  </r>
  <r>
    <s v="Munger"/>
    <s v="03-09 Jul"/>
    <n v="1001"/>
    <s v="Majhaul"/>
    <x v="34"/>
    <s v="Gomukh Meghaul-02"/>
    <s v="MPG"/>
    <s v="Direct"/>
    <n v="368.8"/>
    <n v="15616.59"/>
    <n v="362.87"/>
    <n v="15967.5"/>
    <n v="6.87"/>
    <n v="293.71999999999997"/>
    <n v="369.74"/>
    <n v="16261.22"/>
    <n v="15616.59"/>
    <n v="0"/>
    <n v="293.71999999999997"/>
    <n v="644.6299999999992"/>
    <n v="0"/>
    <n v="0"/>
    <n v="0"/>
    <n v="15323"/>
    <n v="0"/>
    <n v="0"/>
    <n v="0"/>
    <n v="0"/>
    <n v="280.48886160520607"/>
    <n v="52.68571428571429"/>
    <n v="-4.1278537760163977E-2"/>
    <n v="7"/>
    <m/>
    <s v="Majhaul"/>
    <m/>
    <n v="0"/>
  </r>
  <r>
    <s v="Munger"/>
    <s v="03-09 Jul"/>
    <n v="1001"/>
    <s v="Majhaul"/>
    <x v="35"/>
    <s v="Gomukh Meida"/>
    <s v="MPG"/>
    <s v="Direct"/>
    <n v="270.60000000000002"/>
    <n v="10306.619999999997"/>
    <n v="258.90000000000009"/>
    <n v="9873.2499999999982"/>
    <n v="0"/>
    <n v="0"/>
    <n v="258.90000000000009"/>
    <n v="9873.2499999999982"/>
    <n v="9873.2499999999982"/>
    <n v="0"/>
    <n v="0"/>
    <n v="0"/>
    <n v="0"/>
    <n v="0"/>
    <n v="0"/>
    <n v="9871"/>
    <n v="0"/>
    <n v="0"/>
    <n v="436"/>
    <n v="0"/>
    <n v="327.09997250554306"/>
    <n v="38.657142857142858"/>
    <n v="4.2047732428283871E-2"/>
    <n v="6"/>
    <m/>
    <s v="Majhaul"/>
    <m/>
    <n v="0"/>
  </r>
  <r>
    <s v="Munger"/>
    <s v="03-09 Jul"/>
    <n v="1002"/>
    <s v="Laldiyara"/>
    <x v="36"/>
    <s v="PIPARIYA DIH -2"/>
    <s v="MPG"/>
    <s v="Direct"/>
    <n v="2206.5"/>
    <n v="102770.63"/>
    <n v="1385.2000000000003"/>
    <n v="65187.880000000005"/>
    <n v="812.6"/>
    <n v="38078.380000000005"/>
    <n v="2197.8000000000002"/>
    <n v="103266.26000000001"/>
    <n v="102770.63"/>
    <n v="0"/>
    <n v="1034.46"/>
    <n v="495.63000000000466"/>
    <n v="0"/>
    <n v="0"/>
    <n v="0"/>
    <n v="64693"/>
    <n v="37043"/>
    <n v="0"/>
    <n v="0"/>
    <n v="0"/>
    <n v="0"/>
    <n v="0"/>
    <n v="-4.8226813438820475E-3"/>
    <n v="14"/>
    <m/>
    <s v="Laldiyara"/>
    <m/>
    <n v="0"/>
  </r>
  <r>
    <s v="Munger"/>
    <s v="03-09 Jul"/>
    <n v="1002"/>
    <s v="Laldiyara"/>
    <x v="37"/>
    <s v="LAL DIYARA -1"/>
    <s v="MPG"/>
    <s v="Direct"/>
    <n v="539.6"/>
    <n v="21633.18"/>
    <n v="539.59999999999991"/>
    <n v="21607.1"/>
    <n v="0"/>
    <n v="0"/>
    <n v="539.59999999999991"/>
    <n v="21607.1"/>
    <n v="21607.1"/>
    <n v="0"/>
    <n v="0"/>
    <n v="0"/>
    <n v="0"/>
    <n v="0"/>
    <n v="0"/>
    <n v="21607"/>
    <n v="0"/>
    <n v="0"/>
    <n v="26"/>
    <n v="0"/>
    <n v="128.61238220904372"/>
    <n v="77.085714285714289"/>
    <n v="1.2055555401472066E-3"/>
    <n v="1"/>
    <m/>
    <s v="Laldiyara"/>
    <m/>
    <n v="0"/>
  </r>
  <r>
    <s v="Munger"/>
    <s v="03-09 Jul"/>
    <n v="1002"/>
    <s v="Laldiyara"/>
    <x v="38"/>
    <s v="GANGA KINARE KHUTHA"/>
    <s v="vlc"/>
    <s v="Indirect"/>
    <n v="184.20000000000002"/>
    <n v="7444"/>
    <n v="0"/>
    <n v="0"/>
    <n v="0"/>
    <n v="0"/>
    <n v="0"/>
    <n v="0"/>
    <n v="7444"/>
    <n v="0"/>
    <n v="0"/>
    <n v="0"/>
    <n v="0"/>
    <n v="0"/>
    <n v="0"/>
    <n v="0"/>
    <n v="0"/>
    <n v="7444"/>
    <n v="0"/>
    <n v="0"/>
    <n v="416.89633007600423"/>
    <n v="26.314285714285717"/>
    <n v="0"/>
    <n v="0"/>
    <m/>
    <s v="Laldiyara"/>
    <m/>
    <n v="0"/>
  </r>
  <r>
    <s v="Munger"/>
    <s v="03-09 Jul"/>
    <n v="1002"/>
    <s v="Laldiyara"/>
    <x v="39"/>
    <s v="Gomukh ID Khutaha Ganga"/>
    <s v="vlc"/>
    <s v="Indirect"/>
    <n v="89.399999999999991"/>
    <n v="3296.14"/>
    <n v="0"/>
    <n v="0"/>
    <n v="0"/>
    <n v="0"/>
    <n v="0"/>
    <n v="0"/>
    <n v="3296.14"/>
    <n v="0"/>
    <n v="0"/>
    <n v="0"/>
    <n v="0"/>
    <n v="0"/>
    <n v="0"/>
    <n v="0"/>
    <n v="0"/>
    <n v="3296.14"/>
    <n v="0"/>
    <n v="0"/>
    <n v="450.25124921700228"/>
    <n v="12.77142857142857"/>
    <n v="0"/>
    <n v="0"/>
    <m/>
    <s v="Laldiyara"/>
    <m/>
    <n v="0"/>
  </r>
  <r>
    <s v="Munger"/>
    <s v="03-09 Jul"/>
    <n v="1002"/>
    <s v="Laldiyara"/>
    <x v="40"/>
    <s v="Gomukh ID Khutaha Dhih"/>
    <s v="vlc"/>
    <s v="Indirect"/>
    <n v="823.10000000000014"/>
    <n v="35471.24"/>
    <n v="0"/>
    <n v="0"/>
    <n v="0"/>
    <n v="0"/>
    <n v="0"/>
    <n v="0"/>
    <n v="35471.24"/>
    <n v="0"/>
    <n v="0"/>
    <n v="0"/>
    <n v="0"/>
    <n v="0"/>
    <n v="0"/>
    <n v="0"/>
    <n v="0"/>
    <n v="35471.24"/>
    <n v="0"/>
    <n v="0"/>
    <n v="0"/>
    <n v="0"/>
    <n v="0"/>
    <n v="0"/>
    <m/>
    <s v="Laldiyara"/>
    <m/>
    <n v="0"/>
  </r>
  <r>
    <s v="Munger"/>
    <s v="03-09 Jul"/>
    <n v="1002"/>
    <s v="Laldiyara"/>
    <x v="41"/>
    <s v="GOMUKH RAHATPUR"/>
    <s v="MPG"/>
    <s v="Direct"/>
    <n v="77"/>
    <n v="3015.7000000000003"/>
    <n v="130.39999999999998"/>
    <n v="5126.8899999999994"/>
    <n v="0.5"/>
    <n v="19.46"/>
    <n v="130.89999999999998"/>
    <n v="5146.3499999999995"/>
    <n v="3015.7000000000003"/>
    <n v="0"/>
    <n v="19.46"/>
    <n v="2130.6499999999992"/>
    <n v="0"/>
    <n v="0"/>
    <n v="0"/>
    <n v="2996"/>
    <n v="0"/>
    <n v="0"/>
    <n v="0"/>
    <s v="Release3"/>
    <n v="487.99509090909095"/>
    <n v="11"/>
    <n v="-0.7065192161023971"/>
    <n v="3"/>
    <m/>
    <s v="Laldiyara"/>
    <m/>
    <n v="0"/>
  </r>
  <r>
    <s v="Munger"/>
    <s v="03-09 Jul"/>
    <n v="1002"/>
    <s v="Laldiyara"/>
    <x v="42"/>
    <s v="Vikash Kumar"/>
    <s v="vlc"/>
    <s v="Indirect"/>
    <n v="1933.1"/>
    <n v="77786.86"/>
    <n v="0"/>
    <n v="0"/>
    <n v="0"/>
    <n v="0"/>
    <n v="0"/>
    <n v="0"/>
    <n v="77786.86"/>
    <n v="0"/>
    <n v="0"/>
    <n v="0"/>
    <n v="0"/>
    <n v="0"/>
    <n v="0"/>
    <n v="0"/>
    <n v="0"/>
    <n v="77786.86"/>
    <n v="0"/>
    <n v="0"/>
    <n v="0"/>
    <n v="0"/>
    <n v="0"/>
    <n v="0"/>
    <m/>
    <s v="Laldiyara"/>
    <m/>
    <n v="0"/>
  </r>
  <r>
    <s v="Munger"/>
    <s v="03-09 Jul"/>
    <n v="1002"/>
    <s v="Laldiyara"/>
    <x v="43"/>
    <s v="GOMUKH  LALDIYARA TIRASHI                                                                           "/>
    <s v="vlc"/>
    <s v="Indirect"/>
    <n v="31678.300000000003"/>
    <n v="1281280.17"/>
    <n v="0"/>
    <n v="0"/>
    <n v="0"/>
    <n v="0"/>
    <n v="0"/>
    <n v="0"/>
    <n v="1281280.17"/>
    <n v="0"/>
    <n v="0"/>
    <n v="0"/>
    <n v="0"/>
    <n v="0"/>
    <n v="0"/>
    <n v="0"/>
    <n v="0"/>
    <n v="1281280.17"/>
    <n v="0"/>
    <n v="0"/>
    <n v="0"/>
    <n v="0"/>
    <n v="0"/>
    <n v="0"/>
    <m/>
    <s v="Laldiyara"/>
    <m/>
    <n v="0"/>
  </r>
  <r>
    <s v="Munger"/>
    <s v="03-09 Jul"/>
    <n v="1002"/>
    <s v="Laldiyara"/>
    <x v="44"/>
    <s v="GOMUKH  LALDIYARA PURBI"/>
    <s v="vlc"/>
    <s v="Indirect"/>
    <n v="31749.500000000004"/>
    <n v="1285317.5299999996"/>
    <n v="0"/>
    <n v="0"/>
    <n v="0"/>
    <n v="0"/>
    <n v="0"/>
    <n v="0"/>
    <n v="1285317.5299999996"/>
    <n v="0"/>
    <n v="0"/>
    <n v="0"/>
    <n v="0"/>
    <n v="0"/>
    <n v="0"/>
    <n v="0"/>
    <n v="0"/>
    <n v="1285317.5299999996"/>
    <n v="0"/>
    <n v="0"/>
    <n v="0"/>
    <n v="0"/>
    <n v="0"/>
    <n v="0"/>
    <m/>
    <s v="Laldiyara"/>
    <m/>
    <n v="0"/>
  </r>
  <r>
    <s v="Munger"/>
    <s v="03-09 Jul"/>
    <n v="1002"/>
    <s v="Laldiyara"/>
    <x v="45"/>
    <s v="GOMUKH RAMCHANDARPUR II"/>
    <s v="MPG"/>
    <s v="Direct"/>
    <n v="3253.0999999999995"/>
    <n v="138944.31"/>
    <n v="3323.1000000000004"/>
    <n v="137942.15000000002"/>
    <n v="32.9"/>
    <n v="1509.1199999999997"/>
    <n v="3356.0000000000005"/>
    <n v="139451.27000000002"/>
    <n v="138944.31"/>
    <n v="0"/>
    <n v="1509.1199999999997"/>
    <n v="506.96000000002095"/>
    <n v="0"/>
    <n v="0"/>
    <n v="0"/>
    <n v="137435"/>
    <n v="0"/>
    <n v="0"/>
    <n v="0"/>
    <n v="0"/>
    <n v="0"/>
    <n v="0"/>
    <n v="-3.6486560694714374E-3"/>
    <n v="62"/>
    <m/>
    <s v="Laldiyara"/>
    <m/>
    <n v="0"/>
  </r>
  <r>
    <s v="Munger"/>
    <s v="03-09 Jul"/>
    <n v="1002"/>
    <s v="Laldiyara"/>
    <x v="46"/>
    <s v="MOHANPUR"/>
    <s v="MPG"/>
    <s v="Direct"/>
    <n v="4474.6000000000004"/>
    <n v="199134.44999999998"/>
    <n v="4095.0000000000005"/>
    <n v="182548.08999999997"/>
    <n v="412.49999999999994"/>
    <n v="16990.610000000004"/>
    <n v="4507.5"/>
    <n v="199538.69999999998"/>
    <n v="199134.44999999998"/>
    <n v="0"/>
    <n v="1735.9"/>
    <n v="404.25"/>
    <n v="0"/>
    <n v="0"/>
    <n v="0"/>
    <n v="182143"/>
    <n v="15256"/>
    <n v="0"/>
    <n v="0"/>
    <n v="0"/>
    <n v="0"/>
    <n v="0"/>
    <n v="-2.0300354860748608E-3"/>
    <n v="30"/>
    <m/>
    <s v="Laldiyara"/>
    <m/>
    <n v="0"/>
  </r>
  <r>
    <s v="Munger"/>
    <s v="03-09 Jul"/>
    <n v="1002"/>
    <s v="Laldiyara"/>
    <x v="47"/>
    <s v="Juwas"/>
    <s v="MPG"/>
    <s v="Direct"/>
    <n v="804.49999999999989"/>
    <n v="32129.270000000004"/>
    <n v="788.8"/>
    <n v="30426.129999999994"/>
    <n v="10.199999999999999"/>
    <n v="386.62"/>
    <n v="799"/>
    <n v="30812.749999999993"/>
    <n v="30812.749999999993"/>
    <n v="0"/>
    <n v="386.62"/>
    <n v="0"/>
    <n v="0"/>
    <n v="0"/>
    <n v="0"/>
    <n v="30427"/>
    <n v="0"/>
    <n v="0"/>
    <n v="1316"/>
    <n v="0"/>
    <n v="0"/>
    <n v="0"/>
    <n v="4.0975720892507402E-2"/>
    <n v="25"/>
    <m/>
    <s v="Laldiyara"/>
    <m/>
    <n v="0"/>
  </r>
  <r>
    <s v="Munger"/>
    <s v="03-09 Jul"/>
    <n v="1002"/>
    <s v="Laldiyara"/>
    <x v="48"/>
    <s v="Morwariya"/>
    <s v="MPG"/>
    <s v="Direct"/>
    <n v="2481.4000000000005"/>
    <n v="102646.50000000001"/>
    <n v="2464.3799999999997"/>
    <n v="102173.75999999999"/>
    <n v="0"/>
    <n v="0"/>
    <n v="2464.3799999999997"/>
    <n v="102173.75999999999"/>
    <n v="102173.75999999999"/>
    <n v="0"/>
    <n v="0"/>
    <n v="0"/>
    <n v="3000"/>
    <n v="0"/>
    <n v="0"/>
    <n v="99171"/>
    <n v="0"/>
    <n v="0"/>
    <n v="476"/>
    <s v="Release1"/>
    <n v="0"/>
    <n v="0"/>
    <n v="4.6055150443514367E-3"/>
    <n v="64"/>
    <m/>
    <s v="Laldiyara"/>
    <m/>
    <n v="0"/>
  </r>
  <r>
    <s v="Munger"/>
    <s v="03-09 Jul"/>
    <n v="1002"/>
    <s v="Laldiyara"/>
    <x v="49"/>
    <s v="Dumri 2"/>
    <s v="MPG"/>
    <s v="Direct"/>
    <n v="799.8"/>
    <n v="31963.480000000003"/>
    <n v="782.59999999999991"/>
    <n v="32306.370000000003"/>
    <n v="9.6599999999999984"/>
    <n v="404.53000000000003"/>
    <n v="792.25999999999988"/>
    <n v="32710.9"/>
    <n v="31963.480000000003"/>
    <n v="0"/>
    <n v="404.53000000000003"/>
    <n v="747.41999999999825"/>
    <n v="0"/>
    <n v="0"/>
    <n v="0"/>
    <n v="31559"/>
    <n v="0"/>
    <n v="0"/>
    <n v="0"/>
    <n v="0"/>
    <n v="0"/>
    <n v="0"/>
    <n v="-2.3383561489549891E-2"/>
    <n v="19"/>
    <m/>
    <s v="Laldiyara"/>
    <m/>
    <n v="0"/>
  </r>
  <r>
    <s v="Munger"/>
    <s v="03-09 Jul"/>
    <n v="1002"/>
    <s v="Laldiyara"/>
    <x v="50"/>
    <s v="Gomukh Jhakhaur"/>
    <s v="MPG"/>
    <s v="Direct"/>
    <n v="502.80000000000007"/>
    <n v="20638.04"/>
    <n v="502.15000000000003"/>
    <n v="20630.580000000002"/>
    <n v="1.1000000000000001"/>
    <n v="43.47"/>
    <n v="503.25000000000006"/>
    <n v="20674.050000000003"/>
    <n v="20638.04"/>
    <n v="0"/>
    <n v="43.47"/>
    <n v="36.010000000002037"/>
    <n v="0"/>
    <n v="0"/>
    <n v="0"/>
    <n v="20595"/>
    <n v="0"/>
    <n v="0"/>
    <n v="0"/>
    <n v="0"/>
    <n v="161.88629626093868"/>
    <n v="71.828571428571436"/>
    <n v="-1.7448362344487187E-3"/>
    <n v="6"/>
    <m/>
    <s v="Laldiyara"/>
    <m/>
    <n v="0"/>
  </r>
  <r>
    <s v="Munger"/>
    <s v="03-09 Jul"/>
    <n v="1002"/>
    <s v="Laldiyara"/>
    <x v="51"/>
    <s v="Gomukh Repura"/>
    <s v="MPG"/>
    <s v="Direct"/>
    <n v="685.19999999999993"/>
    <n v="28422.31"/>
    <n v="675.19999999999993"/>
    <n v="28252.219999999998"/>
    <n v="0"/>
    <n v="0"/>
    <n v="675.19999999999993"/>
    <n v="28252.219999999998"/>
    <n v="28252.219999999998"/>
    <n v="0"/>
    <n v="0"/>
    <n v="0"/>
    <n v="0"/>
    <n v="0"/>
    <n v="0"/>
    <n v="28252"/>
    <n v="0"/>
    <n v="0"/>
    <n v="170"/>
    <n v="0"/>
    <n v="12.27817244600125"/>
    <n v="97.885714285714272"/>
    <n v="5.9843833945940278E-3"/>
    <n v="1"/>
    <m/>
    <s v="Laldiyara"/>
    <m/>
    <n v="0"/>
  </r>
  <r>
    <s v="Munger"/>
    <s v="03-09 Jul"/>
    <n v="1002"/>
    <s v="Laldiyara"/>
    <x v="52"/>
    <s v="Gomukh Virupur"/>
    <s v="MPG"/>
    <s v="Direct"/>
    <n v="364.6"/>
    <n v="14767.66"/>
    <n v="336.57000000000005"/>
    <n v="14713.699999999999"/>
    <n v="1.2600000000000002"/>
    <n v="53.180000000000007"/>
    <n v="337.83000000000004"/>
    <n v="14766.88"/>
    <n v="14766.88"/>
    <n v="0"/>
    <n v="53.180000000000007"/>
    <n v="0"/>
    <n v="0"/>
    <n v="0"/>
    <n v="0"/>
    <n v="14714"/>
    <n v="0"/>
    <n v="0"/>
    <n v="0"/>
    <n v="0"/>
    <n v="271.6990216127262"/>
    <n v="52.085714285714289"/>
    <n v="5.2818117426908178E-5"/>
    <n v="5"/>
    <m/>
    <s v="Laldiyara"/>
    <m/>
    <n v="0"/>
  </r>
  <r>
    <s v="Munger"/>
    <s v="03-09 Jul"/>
    <n v="1002"/>
    <s v="Laldiyara"/>
    <x v="53"/>
    <s v="Gomukh Diyarapipariya                                                                               "/>
    <s v="MPG"/>
    <s v="Direct"/>
    <n v="1265.5999999999999"/>
    <n v="55756.209999999992"/>
    <n v="1253.8600000000004"/>
    <n v="55253.409999999996"/>
    <n v="13.149999999999999"/>
    <n v="584.15000000000009"/>
    <n v="1267.0100000000004"/>
    <n v="55837.56"/>
    <n v="55756.209999999992"/>
    <n v="0"/>
    <n v="584.15000000000009"/>
    <n v="81.350000000005821"/>
    <n v="0"/>
    <n v="0"/>
    <n v="0"/>
    <n v="55172"/>
    <n v="0"/>
    <n v="0"/>
    <n v="0"/>
    <n v="0"/>
    <n v="0"/>
    <n v="0"/>
    <n v="-1.4590303035304198E-3"/>
    <n v="20"/>
    <m/>
    <s v="Laldiyara"/>
    <m/>
    <n v="0"/>
  </r>
  <r>
    <s v="Munger"/>
    <s v="03-09 Jul"/>
    <n v="1002"/>
    <s v="Laldiyara"/>
    <x v="54"/>
    <s v="TAJPUR"/>
    <s v="MPG"/>
    <s v="Direct"/>
    <n v="942.70000000000016"/>
    <n v="41438.740000000005"/>
    <n v="929.9799999999999"/>
    <n v="39006.25"/>
    <n v="9.84"/>
    <n v="377.62"/>
    <n v="939.81999999999994"/>
    <n v="39383.870000000003"/>
    <n v="39383.870000000003"/>
    <n v="0"/>
    <n v="377.62"/>
    <n v="0"/>
    <n v="0"/>
    <n v="0"/>
    <n v="0"/>
    <n v="39007"/>
    <n v="0"/>
    <n v="0"/>
    <n v="2054"/>
    <n v="0"/>
    <n v="0"/>
    <n v="0"/>
    <n v="4.9588139021601585E-2"/>
    <n v="24"/>
    <m/>
    <s v="Laldiyara"/>
    <m/>
    <n v="0"/>
  </r>
  <r>
    <s v="Munger"/>
    <s v="03-09 Jul"/>
    <n v="1002"/>
    <s v="Laldiyara"/>
    <x v="55"/>
    <s v="PATHUA"/>
    <s v="MPG"/>
    <s v="Direct"/>
    <n v="1272.5999999999999"/>
    <n v="54693.400000000023"/>
    <n v="1305.7"/>
    <n v="55678.37000000001"/>
    <n v="32"/>
    <n v="1482.01"/>
    <n v="1337.7"/>
    <n v="57160.380000000012"/>
    <n v="54693.400000000023"/>
    <n v="0"/>
    <n v="1023.2"/>
    <n v="2466.9799999999886"/>
    <n v="0"/>
    <n v="0"/>
    <n v="0"/>
    <n v="53211"/>
    <n v="459"/>
    <n v="0"/>
    <n v="0"/>
    <n v="0"/>
    <n v="0"/>
    <n v="0"/>
    <n v="-4.5105625175980789E-2"/>
    <n v="9"/>
    <m/>
    <s v="Laldiyara"/>
    <m/>
    <n v="0"/>
  </r>
  <r>
    <s v="Munger"/>
    <s v="03-09 Jul"/>
    <n v="1002"/>
    <s v="Laldiyara"/>
    <x v="56"/>
    <s v="LODIYA"/>
    <s v="MPG"/>
    <s v="Direct"/>
    <n v="582.90000000000009"/>
    <n v="24899.939999999995"/>
    <n v="583.92000000000007"/>
    <n v="24393.470000000005"/>
    <n v="5.7099999999999991"/>
    <n v="238.39"/>
    <n v="589.63000000000011"/>
    <n v="24631.860000000004"/>
    <n v="24631.860000000004"/>
    <n v="0"/>
    <n v="238.39"/>
    <n v="0"/>
    <n v="0"/>
    <n v="0"/>
    <n v="0"/>
    <n v="24393"/>
    <n v="0"/>
    <n v="0"/>
    <n v="269"/>
    <n v="0"/>
    <n v="100.04402038085422"/>
    <n v="83.271428571428586"/>
    <n v="1.0766291003110485E-2"/>
    <n v="14"/>
    <m/>
    <s v="Laldiyara"/>
    <m/>
    <n v="0"/>
  </r>
  <r>
    <s v="Munger"/>
    <s v="03-09 Jul"/>
    <n v="1002"/>
    <s v="Laldiyara"/>
    <x v="57"/>
    <s v="ADARSH LAXMIPUR-3"/>
    <s v="MPG"/>
    <s v="Direct"/>
    <n v="233.6"/>
    <n v="10908.339999999998"/>
    <n v="235.2"/>
    <n v="10897.470000000001"/>
    <n v="0"/>
    <n v="0"/>
    <n v="235.2"/>
    <n v="10897.470000000001"/>
    <n v="10897.470000000001"/>
    <n v="0"/>
    <n v="0"/>
    <n v="0"/>
    <n v="0"/>
    <n v="500"/>
    <n v="0"/>
    <n v="10398"/>
    <n v="0"/>
    <n v="0"/>
    <n v="10"/>
    <n v="0"/>
    <n v="435.58645342465752"/>
    <n v="33.371428571428574"/>
    <n v="9.9648525806833718E-4"/>
    <n v="7"/>
    <m/>
    <s v="Laldiyara"/>
    <m/>
    <n v="500"/>
  </r>
  <r>
    <s v="Munger"/>
    <s v="03-09 Jul"/>
    <n v="1002"/>
    <s v="Laldiyara"/>
    <x v="58"/>
    <s v="BHANPUR"/>
    <s v="MPG"/>
    <s v="Direct"/>
    <n v="786.40000000000009"/>
    <n v="29721.140000000003"/>
    <n v="796.40000000000009"/>
    <n v="29576.329999999998"/>
    <n v="0"/>
    <n v="0"/>
    <n v="796.40000000000009"/>
    <n v="29576.329999999998"/>
    <n v="29576.329999999998"/>
    <n v="0"/>
    <n v="0"/>
    <n v="0"/>
    <n v="0"/>
    <n v="0"/>
    <n v="0"/>
    <n v="29576"/>
    <n v="0"/>
    <n v="0"/>
    <n v="145"/>
    <n v="0"/>
    <n v="0"/>
    <n v="0"/>
    <n v="4.8722895555151965E-3"/>
    <n v="1"/>
    <m/>
    <s v="Laldiyara"/>
    <m/>
    <n v="0"/>
  </r>
  <r>
    <s v="Munger"/>
    <s v="03-09 Jul"/>
    <n v="1002"/>
    <s v="Laldiyara"/>
    <x v="59"/>
    <s v="Karari Pipariya 2"/>
    <s v="MPG"/>
    <s v="Direct"/>
    <n v="973.2"/>
    <n v="43442.700000000004"/>
    <n v="997.06"/>
    <n v="44647.219999999994"/>
    <n v="11.08"/>
    <n v="482.75"/>
    <n v="1008.14"/>
    <n v="45129.969999999994"/>
    <n v="43442.700000000004"/>
    <n v="0"/>
    <n v="482.75"/>
    <n v="1687.2699999999895"/>
    <n v="0"/>
    <n v="0"/>
    <n v="0"/>
    <n v="42960"/>
    <n v="0"/>
    <n v="0"/>
    <n v="0"/>
    <n v="0"/>
    <n v="0"/>
    <n v="0"/>
    <n v="-3.8838976398796334E-2"/>
    <n v="8"/>
    <m/>
    <s v="Laldiyara"/>
    <m/>
    <n v="0"/>
  </r>
  <r>
    <s v="Munger"/>
    <s v="03-09 Jul"/>
    <n v="1002"/>
    <s v="Laldiyara"/>
    <x v="60"/>
    <s v="DIYARA PIPARIYA-THANA                                                                               "/>
    <s v="MPG"/>
    <s v="Direct"/>
    <n v="1268.0999999999997"/>
    <n v="55661.06"/>
    <n v="1296.3200000000002"/>
    <n v="57260.229999999996"/>
    <n v="7.74"/>
    <n v="348.81999999999994"/>
    <n v="1304.0600000000002"/>
    <n v="57609.049999999996"/>
    <n v="55661.06"/>
    <n v="0"/>
    <n v="348.81999999999994"/>
    <n v="1947.989999999998"/>
    <n v="0"/>
    <n v="0"/>
    <n v="0"/>
    <n v="55312"/>
    <n v="0"/>
    <n v="0"/>
    <n v="0"/>
    <s v="Release3"/>
    <n v="0"/>
    <n v="0"/>
    <n v="-3.4997357218852783E-2"/>
    <n v="22"/>
    <m/>
    <s v="Laldiyara"/>
    <m/>
    <n v="0"/>
  </r>
  <r>
    <s v="Munger"/>
    <s v="03-09 Jul"/>
    <n v="1002"/>
    <s v="Laldiyara"/>
    <x v="61"/>
    <s v="SRI RAM SINGH(VLC)"/>
    <s v="vlc"/>
    <s v="Indirect"/>
    <n v="2682.2000000000003"/>
    <n v="114290.47"/>
    <n v="0"/>
    <n v="0"/>
    <n v="0"/>
    <n v="0"/>
    <n v="0"/>
    <n v="0"/>
    <n v="114290.47"/>
    <n v="0"/>
    <n v="0"/>
    <n v="0"/>
    <n v="0"/>
    <n v="0"/>
    <n v="0"/>
    <n v="0"/>
    <n v="0"/>
    <n v="114290.47"/>
    <n v="0"/>
    <n v="0"/>
    <n v="0"/>
    <n v="0"/>
    <n v="0"/>
    <n v="0"/>
    <m/>
    <s v="Laldiyara"/>
    <m/>
    <n v="0"/>
  </r>
  <r>
    <s v="Munger"/>
    <s v="03-09 Jul"/>
    <n v="1002"/>
    <s v="Laldiyara"/>
    <x v="62"/>
    <s v="GADHTOLA"/>
    <s v="MPG"/>
    <s v="Direct"/>
    <n v="1458.5999999999997"/>
    <n v="66330.179999999993"/>
    <n v="1448.4"/>
    <n v="65265.510000000017"/>
    <n v="5.88"/>
    <n v="246.92000000000002"/>
    <n v="1454.2800000000002"/>
    <n v="65512.430000000015"/>
    <n v="65512.430000000015"/>
    <n v="0"/>
    <n v="246.92000000000002"/>
    <n v="0"/>
    <n v="0"/>
    <n v="0"/>
    <n v="0"/>
    <n v="65265"/>
    <n v="0"/>
    <n v="0"/>
    <n v="818"/>
    <n v="0"/>
    <n v="0"/>
    <n v="0"/>
    <n v="1.2328475514463828E-2"/>
    <n v="11"/>
    <m/>
    <s v="Laldiyara"/>
    <m/>
    <n v="0"/>
  </r>
  <r>
    <s v="Munger"/>
    <s v="03-09 Jul"/>
    <n v="1002"/>
    <s v="Laldiyara"/>
    <x v="63"/>
    <s v="Chetan Tola - Ravi"/>
    <s v="vlc"/>
    <s v="Indirect"/>
    <n v="245.79999999999995"/>
    <n v="14606.21"/>
    <n v="0"/>
    <n v="0"/>
    <n v="0"/>
    <n v="0"/>
    <n v="0"/>
    <n v="0"/>
    <n v="14606.21"/>
    <n v="0"/>
    <n v="0"/>
    <n v="0"/>
    <n v="0"/>
    <n v="0"/>
    <n v="0"/>
    <n v="0"/>
    <n v="0"/>
    <n v="14606.21"/>
    <n v="0"/>
    <n v="0"/>
    <n v="539.79988462164386"/>
    <n v="35.114285714285707"/>
    <n v="0"/>
    <n v="0"/>
    <m/>
    <s v="Laldiyara"/>
    <m/>
    <n v="0"/>
  </r>
  <r>
    <s v="Munger"/>
    <s v="03-09 Jul"/>
    <n v="1002"/>
    <s v="Laldiyara"/>
    <x v="64"/>
    <s v="Diyara-Pipariya-Utri - Chandan"/>
    <s v="vlc"/>
    <s v="Indirect"/>
    <n v="1523.3"/>
    <n v="63328.53"/>
    <n v="0"/>
    <n v="0"/>
    <n v="0"/>
    <n v="0"/>
    <n v="0"/>
    <n v="0"/>
    <n v="63328.53"/>
    <n v="0"/>
    <n v="0"/>
    <n v="0"/>
    <n v="0"/>
    <n v="0"/>
    <n v="0"/>
    <n v="0"/>
    <n v="0"/>
    <n v="63328.53"/>
    <n v="0"/>
    <n v="0"/>
    <n v="0"/>
    <n v="0"/>
    <n v="0"/>
    <n v="0"/>
    <m/>
    <s v="Laldiyara"/>
    <m/>
    <n v="0"/>
  </r>
  <r>
    <s v="Munger"/>
    <s v="03-09 Jul"/>
    <n v="1002"/>
    <s v="Laldiyara"/>
    <x v="65"/>
    <s v="KANHARPUR-2"/>
    <s v="MPG"/>
    <s v="Direct"/>
    <n v="2486.3999999999992"/>
    <n v="116817.45"/>
    <n v="2277.5700000000006"/>
    <n v="108308.52"/>
    <n v="203.85000000000002"/>
    <n v="9017.98"/>
    <n v="2481.4200000000005"/>
    <n v="117326.5"/>
    <n v="116817.45"/>
    <n v="0"/>
    <n v="1636.71"/>
    <n v="509.05000000000291"/>
    <n v="0"/>
    <n v="0"/>
    <n v="0"/>
    <n v="107800"/>
    <n v="7381"/>
    <n v="0"/>
    <n v="0"/>
    <n v="0"/>
    <n v="0"/>
    <n v="0"/>
    <n v="-4.3576537580644241E-3"/>
    <n v="13"/>
    <m/>
    <s v="Laldiyara"/>
    <m/>
    <n v="0"/>
  </r>
  <r>
    <s v="Munger"/>
    <s v="03-09 Jul"/>
    <n v="1002"/>
    <s v="Laldiyara"/>
    <x v="66"/>
    <s v="BASAUNA"/>
    <s v="MPG"/>
    <s v="Direct"/>
    <n v="652.4"/>
    <n v="27738.07"/>
    <n v="446.87"/>
    <n v="19984.469999999998"/>
    <n v="212.65"/>
    <n v="8311.8599999999988"/>
    <n v="659.52"/>
    <n v="28296.329999999994"/>
    <n v="27738.07"/>
    <n v="0"/>
    <n v="381.85999999999996"/>
    <n v="558.25999999999476"/>
    <n v="0"/>
    <n v="0"/>
    <n v="0"/>
    <n v="19426"/>
    <n v="7930"/>
    <n v="0"/>
    <n v="0"/>
    <n v="0"/>
    <n v="40.47615364806866"/>
    <n v="93.2"/>
    <n v="-2.0126129900169504E-2"/>
    <n v="9"/>
    <m/>
    <s v="Laldiyara"/>
    <m/>
    <n v="0"/>
  </r>
  <r>
    <s v="Munger"/>
    <s v="03-09 Jul"/>
    <n v="1002"/>
    <s v="Laldiyara"/>
    <x v="67"/>
    <s v="GANGA-SARAI"/>
    <s v="MPG"/>
    <s v="Direct"/>
    <n v="1254.5"/>
    <n v="54742.81"/>
    <n v="786.28"/>
    <n v="32216.33"/>
    <n v="481"/>
    <n v="22221.47"/>
    <n v="1267.28"/>
    <n v="54437.8"/>
    <n v="54437.8"/>
    <n v="0"/>
    <n v="463.92000000000007"/>
    <n v="0"/>
    <n v="0"/>
    <n v="0"/>
    <n v="0"/>
    <n v="32216"/>
    <n v="21758"/>
    <n v="0"/>
    <n v="305"/>
    <n v="0"/>
    <n v="0"/>
    <n v="0"/>
    <n v="5.5716906019255275E-3"/>
    <n v="10"/>
    <m/>
    <s v="Laldiyara"/>
    <m/>
    <n v="0"/>
  </r>
  <r>
    <s v="Munger"/>
    <s v="03-09 Jul"/>
    <n v="1002"/>
    <s v="Laldiyara"/>
    <x v="68"/>
    <s v="GOVIND-BIGHA                                                                                        "/>
    <s v="MPG"/>
    <s v="Direct"/>
    <n v="151.1"/>
    <n v="6702.2999999999993"/>
    <n v="150.91999999999999"/>
    <n v="6789.38"/>
    <n v="2.7399999999999998"/>
    <n v="117.38"/>
    <n v="153.66"/>
    <n v="6906.76"/>
    <n v="6702.2999999999993"/>
    <n v="0"/>
    <n v="117.38"/>
    <n v="204.46000000000095"/>
    <n v="0"/>
    <n v="0"/>
    <n v="0"/>
    <n v="6585"/>
    <n v="0"/>
    <n v="0"/>
    <n v="0"/>
    <n v="0"/>
    <n v="486.94804367968226"/>
    <n v="21.585714285714285"/>
    <n v="-3.0505945720126073E-2"/>
    <n v="13"/>
    <m/>
    <s v="Laldiyara"/>
    <m/>
    <n v="0"/>
  </r>
  <r>
    <s v="Munger"/>
    <s v="03-09 Jul"/>
    <n v="1002"/>
    <s v="Laldiyara"/>
    <x v="69"/>
    <s v="MALPUR                                                                                              "/>
    <s v="MPG"/>
    <s v="Direct"/>
    <n v="1040.5"/>
    <n v="46412.260000000009"/>
    <n v="514.65"/>
    <n v="25456.800000000003"/>
    <n v="528.59999999999991"/>
    <n v="22517.449999999997"/>
    <n v="1043.25"/>
    <n v="47974.25"/>
    <n v="46412.260000000009"/>
    <n v="0"/>
    <n v="498.08"/>
    <n v="1561.9899999999907"/>
    <n v="0"/>
    <n v="0"/>
    <n v="0"/>
    <n v="23895"/>
    <n v="22019"/>
    <n v="0"/>
    <n v="0"/>
    <n v="0"/>
    <n v="0"/>
    <n v="0"/>
    <n v="-3.3654685206020787E-2"/>
    <n v="11"/>
    <m/>
    <s v="Laldiyara"/>
    <m/>
    <n v="0"/>
  </r>
  <r>
    <s v="Munger"/>
    <s v="03-09 Jul"/>
    <n v="1002"/>
    <s v="Laldiyara"/>
    <x v="70"/>
    <s v="Gomukh Hasanpur"/>
    <s v="vlc"/>
    <s v="Indirect"/>
    <n v="789.8"/>
    <n v="32763.789999999997"/>
    <n v="0"/>
    <n v="0"/>
    <n v="0"/>
    <n v="0"/>
    <n v="0"/>
    <n v="0"/>
    <n v="32763.789999999997"/>
    <n v="0"/>
    <n v="0"/>
    <n v="0"/>
    <n v="0"/>
    <n v="0"/>
    <n v="0"/>
    <n v="0"/>
    <n v="0"/>
    <n v="32763.789999999997"/>
    <n v="0"/>
    <n v="0"/>
    <n v="0"/>
    <n v="0"/>
    <n v="0"/>
    <n v="0"/>
    <m/>
    <s v="Laldiyara"/>
    <m/>
    <n v="0"/>
  </r>
  <r>
    <s v="Munger"/>
    <s v="03-09 Jul"/>
    <n v="1002"/>
    <s v="Laldiyara"/>
    <x v="71"/>
    <s v="ADARSH LAXMIPUR-2"/>
    <s v="vlc"/>
    <s v="Indirect"/>
    <n v="1272.4000000000001"/>
    <n v="52069.209999999992"/>
    <n v="0"/>
    <n v="0"/>
    <n v="0"/>
    <n v="0"/>
    <n v="0"/>
    <n v="0"/>
    <n v="52069.209999999992"/>
    <n v="0"/>
    <n v="0"/>
    <n v="0"/>
    <n v="0"/>
    <n v="0"/>
    <n v="0"/>
    <n v="0"/>
    <n v="0"/>
    <n v="52069.209999999992"/>
    <n v="0"/>
    <n v="0"/>
    <n v="0"/>
    <n v="0"/>
    <n v="0"/>
    <n v="0"/>
    <m/>
    <s v="Laldiyara"/>
    <m/>
    <n v="0"/>
  </r>
  <r>
    <s v="Munger"/>
    <s v="03-09 Jul"/>
    <n v="1002"/>
    <s v="Laldiyara"/>
    <x v="72"/>
    <s v="SABIKPUR"/>
    <s v="MPG"/>
    <s v="Direct"/>
    <n v="1470.5"/>
    <n v="62552.040000000008"/>
    <n v="1596.2999999999997"/>
    <n v="69597.250000000015"/>
    <n v="0"/>
    <n v="0"/>
    <n v="1596.2999999999997"/>
    <n v="69597.250000000015"/>
    <n v="62552.040000000008"/>
    <n v="0"/>
    <n v="0"/>
    <n v="7045.2100000000064"/>
    <n v="0"/>
    <n v="0"/>
    <n v="0"/>
    <n v="62552"/>
    <n v="0"/>
    <n v="0"/>
    <n v="0"/>
    <n v="0"/>
    <n v="0"/>
    <n v="0"/>
    <n v="-0.11262958010642028"/>
    <n v="36"/>
    <m/>
    <s v="Laldiyara"/>
    <m/>
    <n v="0"/>
  </r>
  <r>
    <s v="Munger"/>
    <s v="03-09 Jul"/>
    <n v="1002"/>
    <s v="Laldiyara"/>
    <x v="73"/>
    <s v="CHETAN-TOLA-KHUTHA"/>
    <s v="MPG"/>
    <s v="Direct"/>
    <n v="169.5"/>
    <n v="7778.3300000000017"/>
    <n v="185.01"/>
    <n v="8398.11"/>
    <n v="0.45999999999999991"/>
    <n v="20.73"/>
    <n v="185.47"/>
    <n v="8418.84"/>
    <n v="7778.3300000000017"/>
    <n v="0"/>
    <n v="20.73"/>
    <n v="640.5099999999984"/>
    <n v="0"/>
    <n v="500"/>
    <n v="0"/>
    <n v="7258"/>
    <n v="0"/>
    <n v="0"/>
    <n v="0"/>
    <n v="0"/>
    <n v="486.89133510324496"/>
    <n v="24.214285714285715"/>
    <n v="-8.2345439188103137E-2"/>
    <n v="3"/>
    <m/>
    <s v="Laldiyara"/>
    <m/>
    <n v="500"/>
  </r>
  <r>
    <s v="Munger"/>
    <s v="03-09 Jul"/>
    <n v="1002"/>
    <s v="Laldiyara"/>
    <x v="74"/>
    <s v="LAXMIPUR"/>
    <s v="MPG"/>
    <s v="Direct"/>
    <n v="784.3"/>
    <n v="31051.140000000003"/>
    <n v="788.9"/>
    <n v="36781.78"/>
    <n v="0"/>
    <n v="0"/>
    <n v="788.9"/>
    <n v="36781.78"/>
    <n v="31051.140000000003"/>
    <n v="0"/>
    <n v="0"/>
    <n v="5730.6399999999958"/>
    <n v="0"/>
    <n v="0"/>
    <n v="0"/>
    <n v="31051"/>
    <n v="0"/>
    <n v="0"/>
    <n v="0"/>
    <s v="Release3"/>
    <n v="0"/>
    <n v="0"/>
    <n v="-0.18455489878954509"/>
    <n v="9"/>
    <m/>
    <s v="Laldiyara"/>
    <m/>
    <n v="0"/>
  </r>
  <r>
    <s v="Munger"/>
    <s v="03-09 Jul"/>
    <n v="1002"/>
    <s v="Laldiyara"/>
    <x v="75"/>
    <s v="REHUA RK"/>
    <s v="vlc"/>
    <s v="Indirect"/>
    <n v="842.90000000000009"/>
    <n v="34044.129999999997"/>
    <n v="0"/>
    <n v="0"/>
    <n v="0"/>
    <n v="0"/>
    <n v="0"/>
    <n v="0"/>
    <n v="34044.129999999997"/>
    <n v="0"/>
    <n v="0"/>
    <n v="0"/>
    <n v="0"/>
    <n v="0"/>
    <n v="0"/>
    <n v="0"/>
    <n v="0"/>
    <n v="34044.129999999997"/>
    <n v="0"/>
    <n v="0"/>
    <n v="0"/>
    <n v="0"/>
    <n v="0"/>
    <n v="0"/>
    <m/>
    <s v="Laldiyara"/>
    <m/>
    <n v="0"/>
  </r>
  <r>
    <s v="Munger"/>
    <s v="03-09 Jul"/>
    <n v="1002"/>
    <s v="Laldiyara"/>
    <x v="76"/>
    <s v="RAMNAGAR"/>
    <s v="MPG"/>
    <s v="Direct"/>
    <n v="242.60000000000002"/>
    <n v="10787.51"/>
    <n v="235.57"/>
    <n v="10787.18"/>
    <n v="0"/>
    <n v="0"/>
    <n v="235.57"/>
    <n v="10787.18"/>
    <n v="10787.18"/>
    <n v="0"/>
    <n v="0"/>
    <n v="0"/>
    <n v="0"/>
    <n v="0"/>
    <n v="0"/>
    <n v="10788"/>
    <n v="0"/>
    <n v="0"/>
    <n v="0"/>
    <n v="0"/>
    <n v="406.77717015663643"/>
    <n v="34.657142857142858"/>
    <n v="3.0590933403531235E-5"/>
    <n v="6"/>
    <m/>
    <s v="Laldiyara"/>
    <m/>
    <n v="0"/>
  </r>
  <r>
    <s v="Munger"/>
    <s v="03-09 Jul"/>
    <n v="1002"/>
    <s v="Laldiyara"/>
    <x v="77"/>
    <s v="BANSIPUR"/>
    <s v="MPG"/>
    <s v="Direct"/>
    <n v="245.9"/>
    <n v="11795.800000000001"/>
    <n v="245.89999999999998"/>
    <n v="11844.78"/>
    <n v="0"/>
    <n v="0"/>
    <n v="245.89999999999998"/>
    <n v="11844.78"/>
    <n v="11795.800000000001"/>
    <n v="0"/>
    <n v="0"/>
    <n v="48.979999999999563"/>
    <n v="0"/>
    <n v="500"/>
    <n v="0"/>
    <n v="11296"/>
    <n v="0"/>
    <n v="0"/>
    <n v="0"/>
    <n v="0"/>
    <n v="435.66269052460353"/>
    <n v="35.128571428571426"/>
    <n v="-4.1523254039573035E-3"/>
    <n v="1"/>
    <m/>
    <s v="Laldiyara"/>
    <m/>
    <n v="500"/>
  </r>
  <r>
    <s v="Munger"/>
    <s v="03-09 Jul"/>
    <n v="1002"/>
    <s v="Laldiyara"/>
    <x v="78"/>
    <s v="GODIH"/>
    <s v="MPG"/>
    <s v="Direct"/>
    <n v="495.59999999999997"/>
    <n v="21319.550000000003"/>
    <n v="493.68999999999994"/>
    <n v="25865.07"/>
    <n v="0"/>
    <n v="0"/>
    <n v="493.68999999999994"/>
    <n v="25865.07"/>
    <n v="21319.550000000003"/>
    <n v="0"/>
    <n v="0"/>
    <n v="4545.5199999999968"/>
    <n v="0"/>
    <n v="0"/>
    <n v="0"/>
    <n v="21320"/>
    <n v="0"/>
    <n v="0"/>
    <n v="0"/>
    <n v="0"/>
    <n v="175.856175141243"/>
    <n v="70.8"/>
    <n v="-0.21320900300428461"/>
    <n v="2"/>
    <m/>
    <s v="Laldiyara"/>
    <m/>
    <n v="0"/>
  </r>
  <r>
    <s v="Munger"/>
    <s v="03-09 Jul"/>
    <n v="1002"/>
    <s v="Laldiyara"/>
    <x v="79"/>
    <s v="SINGARPUR"/>
    <s v="MPG"/>
    <s v="Direct"/>
    <n v="159.80000000000001"/>
    <n v="7188.98"/>
    <n v="158.51"/>
    <n v="7848.2699999999995"/>
    <n v="0"/>
    <n v="0"/>
    <n v="158.51"/>
    <n v="7848.2699999999995"/>
    <n v="7188.98"/>
    <n v="0"/>
    <n v="0"/>
    <n v="659.29"/>
    <n v="0"/>
    <n v="500"/>
    <n v="0"/>
    <n v="6689"/>
    <n v="0"/>
    <n v="0"/>
    <n v="0"/>
    <n v="0"/>
    <n v="486.04342878598248"/>
    <n v="22.828571428571429"/>
    <n v="-9.1708420387871442E-2"/>
    <n v="3"/>
    <m/>
    <s v="Laldiyara"/>
    <m/>
    <n v="500"/>
  </r>
  <r>
    <s v="Munger"/>
    <s v="03-09 Jul"/>
    <n v="1002"/>
    <s v="Laldiyara"/>
    <x v="80"/>
    <s v="G WOLIPUR"/>
    <s v="vlc"/>
    <s v="Indirect"/>
    <n v="1966.3"/>
    <n v="82625.850000000006"/>
    <n v="0"/>
    <n v="0"/>
    <n v="0"/>
    <n v="0"/>
    <n v="0"/>
    <n v="0"/>
    <n v="82625.850000000006"/>
    <n v="0"/>
    <n v="0"/>
    <n v="0"/>
    <n v="0"/>
    <n v="0"/>
    <n v="0"/>
    <n v="0"/>
    <n v="0"/>
    <n v="82625.850000000006"/>
    <n v="0"/>
    <n v="0"/>
    <n v="0"/>
    <n v="0"/>
    <n v="0"/>
    <n v="0"/>
    <m/>
    <s v="Laldiyara"/>
    <m/>
    <n v="0"/>
  </r>
  <r>
    <s v="Munger"/>
    <s v="03-09 Jul"/>
    <n v="1002"/>
    <s v="Laldiyara"/>
    <x v="81"/>
    <s v="REHUA 3"/>
    <s v="vlc"/>
    <s v="Indirect"/>
    <n v="1494.9999999999998"/>
    <n v="64055.67"/>
    <n v="0"/>
    <n v="0"/>
    <n v="0"/>
    <n v="0"/>
    <n v="0"/>
    <n v="0"/>
    <n v="64055.67"/>
    <n v="0"/>
    <n v="0"/>
    <n v="0"/>
    <n v="0"/>
    <n v="0"/>
    <n v="0"/>
    <n v="0"/>
    <n v="0"/>
    <n v="64055.67"/>
    <n v="0"/>
    <n v="0"/>
    <n v="0"/>
    <n v="0"/>
    <n v="0"/>
    <n v="0"/>
    <m/>
    <s v="Laldiyara"/>
    <m/>
    <n v="0"/>
  </r>
  <r>
    <s v="Munger"/>
    <s v="03-09 Jul"/>
    <n v="1002"/>
    <s v="Laldiyara"/>
    <x v="82"/>
    <s v="BICHWAY"/>
    <s v="MPG"/>
    <s v="Direct"/>
    <n v="647"/>
    <n v="25106.41"/>
    <n v="645.69999999999993"/>
    <n v="26593.7"/>
    <n v="0"/>
    <n v="0"/>
    <n v="645.69999999999993"/>
    <n v="26593.7"/>
    <n v="25106.41"/>
    <n v="0"/>
    <n v="0"/>
    <n v="1487.2900000000009"/>
    <n v="0"/>
    <n v="0"/>
    <n v="0"/>
    <n v="25106"/>
    <n v="0"/>
    <n v="0"/>
    <n v="0"/>
    <n v="0"/>
    <n v="41.132603709428125"/>
    <n v="92.428571428571431"/>
    <n v="-5.923945319143601E-2"/>
    <n v="2"/>
    <m/>
    <s v="Laldiyara"/>
    <m/>
    <n v="0"/>
  </r>
  <r>
    <s v="Munger"/>
    <s v="03-09 Jul"/>
    <n v="1002"/>
    <s v="Laldiyara"/>
    <x v="83"/>
    <s v="MANOHARPUR"/>
    <s v="MPG"/>
    <s v="Direct"/>
    <n v="608.6"/>
    <n v="25594.86"/>
    <n v="146.26999999999998"/>
    <n v="5916.38"/>
    <n v="466.53999999999996"/>
    <n v="18780.28"/>
    <n v="612.80999999999995"/>
    <n v="24696.66"/>
    <n v="24696.66"/>
    <n v="0"/>
    <n v="0"/>
    <n v="0"/>
    <n v="0"/>
    <n v="0"/>
    <n v="0"/>
    <n v="5916"/>
    <n v="18778"/>
    <n v="0"/>
    <n v="901"/>
    <n v="0"/>
    <n v="76.877101675977613"/>
    <n v="86.94285714285715"/>
    <n v="3.5092983513096018E-2"/>
    <n v="23"/>
    <m/>
    <s v="Laldiyara"/>
    <m/>
    <n v="0"/>
  </r>
  <r>
    <s v="Munger"/>
    <s v="03-09 Jul"/>
    <n v="1002"/>
    <s v="Laldiyara"/>
    <x v="84"/>
    <s v="HIRDANBIGHA"/>
    <s v="MPG"/>
    <s v="Direct"/>
    <n v="625.50000000000011"/>
    <n v="25776.29"/>
    <n v="632.84999999999991"/>
    <n v="26393.94"/>
    <n v="0"/>
    <n v="0"/>
    <n v="632.84999999999991"/>
    <n v="26393.94"/>
    <n v="25776.29"/>
    <n v="0"/>
    <n v="0"/>
    <n v="617.64999999999782"/>
    <n v="0"/>
    <n v="0"/>
    <n v="0"/>
    <n v="25776"/>
    <n v="0"/>
    <n v="0"/>
    <n v="0"/>
    <n v="0"/>
    <n v="61.401554116706521"/>
    <n v="89.357142857142875"/>
    <n v="-2.3961943320780367E-2"/>
    <n v="3"/>
    <m/>
    <s v="Laldiyara"/>
    <m/>
    <n v="0"/>
  </r>
  <r>
    <s v="Munger"/>
    <s v="03-09 Jul"/>
    <n v="1002"/>
    <s v="Laldiyara"/>
    <x v="85"/>
    <s v="KHUTAHA DIH C"/>
    <s v="MPG"/>
    <s v="Direct"/>
    <n v="216.4"/>
    <n v="8332.48"/>
    <n v="213"/>
    <n v="8268.1600000000017"/>
    <n v="0"/>
    <n v="0"/>
    <n v="213"/>
    <n v="8268.1600000000017"/>
    <n v="8268.1600000000017"/>
    <n v="0"/>
    <n v="0"/>
    <n v="0"/>
    <n v="0"/>
    <n v="0"/>
    <n v="0"/>
    <n v="8268"/>
    <n v="0"/>
    <n v="0"/>
    <n v="64"/>
    <n v="0"/>
    <n v="372.42027060998151"/>
    <n v="30.914285714285715"/>
    <n v="7.7191904451013255E-3"/>
    <n v="2"/>
    <m/>
    <s v="Laldiyara"/>
    <m/>
    <n v="0"/>
  </r>
  <r>
    <s v="Munger"/>
    <s v="03-09 Jul"/>
    <n v="1003"/>
    <s v="Asarganj"/>
    <x v="86"/>
    <s v="MOHANPUR"/>
    <s v="vlc"/>
    <s v="Indirect"/>
    <n v="557.15000000000009"/>
    <n v="23989.989999999998"/>
    <n v="0"/>
    <n v="0"/>
    <n v="0"/>
    <n v="0"/>
    <n v="0"/>
    <n v="0"/>
    <n v="23989.989999999998"/>
    <n v="0"/>
    <n v="0"/>
    <n v="0"/>
    <n v="0"/>
    <n v="0"/>
    <n v="0"/>
    <n v="0"/>
    <n v="0"/>
    <n v="23989.989999999998"/>
    <n v="0"/>
    <n v="0"/>
    <n v="123.01786131203437"/>
    <n v="79.592857142857156"/>
    <n v="0"/>
    <n v="0"/>
    <m/>
    <s v="Asarganj"/>
    <m/>
    <n v="0"/>
  </r>
  <r>
    <s v="Munger"/>
    <s v="03-09 Jul"/>
    <n v="1003"/>
    <s v="Asarganj"/>
    <x v="87"/>
    <s v="CHATMADIH"/>
    <s v="MPG"/>
    <s v="Direct"/>
    <n v="1884.7499999999998"/>
    <n v="89851.299999999988"/>
    <n v="1849.3099999999997"/>
    <n v="88321.190000000017"/>
    <n v="26.200000000000006"/>
    <n v="1825.5299999999997"/>
    <n v="1875.5099999999998"/>
    <n v="90146.720000000016"/>
    <n v="89851.299999999988"/>
    <n v="0"/>
    <n v="1825.5299999999997"/>
    <n v="295.42000000002736"/>
    <n v="0"/>
    <n v="0"/>
    <n v="0"/>
    <n v="88026"/>
    <n v="0"/>
    <n v="0"/>
    <n v="0"/>
    <s v="Release3"/>
    <n v="0"/>
    <n v="0"/>
    <n v="-3.2878767474708477E-3"/>
    <n v="67"/>
    <m/>
    <s v="Asarganj"/>
    <m/>
    <n v="0"/>
  </r>
  <r>
    <s v="Munger"/>
    <s v="03-09 Jul"/>
    <n v="1003"/>
    <s v="Asarganj"/>
    <x v="88"/>
    <s v="SIYADIH"/>
    <s v="vlc"/>
    <s v="Indirect"/>
    <n v="813.75000000000011"/>
    <n v="25753.88"/>
    <n v="0"/>
    <n v="0"/>
    <n v="0"/>
    <n v="0"/>
    <n v="0"/>
    <n v="0"/>
    <n v="25753.88"/>
    <n v="0"/>
    <n v="0"/>
    <n v="0"/>
    <n v="0"/>
    <n v="0"/>
    <n v="0"/>
    <n v="0"/>
    <n v="0"/>
    <n v="25753.88"/>
    <n v="0"/>
    <n v="0"/>
    <n v="0"/>
    <n v="0"/>
    <n v="0"/>
    <n v="0"/>
    <m/>
    <s v="Asarganj"/>
    <m/>
    <n v="0"/>
  </r>
  <r>
    <s v="Munger"/>
    <s v="03-09 Jul"/>
    <n v="1003"/>
    <s v="Asarganj"/>
    <x v="89"/>
    <s v="Gomukh ID Laldiyara"/>
    <s v="vlc"/>
    <s v="Indirect"/>
    <n v="7653.1"/>
    <n v="306405.48"/>
    <n v="0"/>
    <n v="0"/>
    <n v="0"/>
    <n v="0"/>
    <n v="0"/>
    <n v="0"/>
    <n v="306405.48"/>
    <n v="0"/>
    <n v="0"/>
    <n v="0"/>
    <n v="0"/>
    <n v="0"/>
    <n v="0"/>
    <n v="0"/>
    <n v="0"/>
    <n v="306405.48"/>
    <n v="0"/>
    <n v="0"/>
    <n v="0"/>
    <n v="0"/>
    <n v="0"/>
    <n v="0"/>
    <m/>
    <s v="Asarganj"/>
    <m/>
    <n v="0"/>
  </r>
  <r>
    <s v="Munger"/>
    <s v="03-09 Jul"/>
    <n v="1003"/>
    <s v="Asarganj"/>
    <x v="90"/>
    <s v="KATHNI"/>
    <s v="MPG"/>
    <s v="Direct"/>
    <n v="263.3"/>
    <n v="9477.35"/>
    <n v="321.11"/>
    <n v="13509.97"/>
    <n v="0"/>
    <n v="0"/>
    <n v="321.11"/>
    <n v="13509.97"/>
    <n v="9477.35"/>
    <n v="0"/>
    <n v="0"/>
    <n v="4032.619999999999"/>
    <n v="0"/>
    <n v="0"/>
    <n v="0"/>
    <n v="9477"/>
    <n v="0"/>
    <n v="0"/>
    <n v="0"/>
    <n v="0"/>
    <n v="314.37590163311813"/>
    <n v="37.614285714285714"/>
    <n v="-0.42550079927405854"/>
    <n v="2"/>
    <m/>
    <s v="Asarganj"/>
    <m/>
    <n v="0"/>
  </r>
  <r>
    <s v="Munger"/>
    <s v="03-09 Jul"/>
    <n v="1003"/>
    <s v="Asarganj"/>
    <x v="91"/>
    <s v="DEVDHA GOMUKH MPG"/>
    <s v="MPG"/>
    <s v="Direct"/>
    <n v="1593.85"/>
    <n v="66970.36"/>
    <n v="1586.4"/>
    <n v="66656.63"/>
    <n v="6.9"/>
    <n v="292.5"/>
    <n v="1593.3000000000002"/>
    <n v="66949.13"/>
    <n v="66949.13"/>
    <n v="0"/>
    <n v="292.5"/>
    <n v="0"/>
    <n v="0"/>
    <n v="0"/>
    <n v="0"/>
    <n v="66659"/>
    <n v="0"/>
    <n v="0"/>
    <n v="19"/>
    <n v="0"/>
    <n v="0"/>
    <n v="0"/>
    <n v="3.1700591127173161E-4"/>
    <n v="20"/>
    <m/>
    <s v="Asarganj"/>
    <m/>
    <n v="0"/>
  </r>
  <r>
    <s v="Munger"/>
    <s v="03-09 Jul"/>
    <n v="1003"/>
    <s v="Asarganj"/>
    <x v="92"/>
    <s v="KASBA(MANGOAN)"/>
    <s v="vlc"/>
    <s v="Indirect"/>
    <n v="1057.25"/>
    <n v="35114.319999999992"/>
    <n v="0"/>
    <n v="0"/>
    <n v="0"/>
    <n v="0"/>
    <n v="0"/>
    <n v="0"/>
    <n v="35114.319999999992"/>
    <n v="0"/>
    <n v="0"/>
    <n v="0"/>
    <n v="0"/>
    <n v="0"/>
    <n v="0"/>
    <n v="0"/>
    <n v="0"/>
    <n v="35114.319999999992"/>
    <n v="0"/>
    <n v="0"/>
    <n v="0"/>
    <n v="0"/>
    <n v="0"/>
    <n v="0"/>
    <m/>
    <s v="Asarganj"/>
    <m/>
    <n v="0"/>
  </r>
  <r>
    <s v="Munger"/>
    <s v="03-09 Jul"/>
    <n v="1003"/>
    <s v="Asarganj"/>
    <x v="93"/>
    <s v="LOHRA"/>
    <s v="MPG"/>
    <s v="Direct"/>
    <n v="671.75"/>
    <n v="36881.920000000013"/>
    <n v="644.06000000000006"/>
    <n v="39014.400000000001"/>
    <n v="18.520000000000003"/>
    <n v="1006.6599999999999"/>
    <n v="662.58"/>
    <n v="40021.06"/>
    <n v="36881.920000000013"/>
    <n v="0"/>
    <n v="1006.6599999999999"/>
    <n v="3139.1399999999849"/>
    <n v="0"/>
    <n v="0"/>
    <n v="0"/>
    <n v="35875"/>
    <n v="0"/>
    <n v="0"/>
    <n v="0"/>
    <s v="Release3"/>
    <n v="31.020892891700843"/>
    <n v="95.964285714285708"/>
    <n v="-8.5113247900325789E-2"/>
    <n v="12"/>
    <m/>
    <s v="Asarganj"/>
    <m/>
    <n v="0"/>
  </r>
  <r>
    <s v="Munger"/>
    <s v="03-09 Jul"/>
    <n v="1003"/>
    <s v="Asarganj"/>
    <x v="94"/>
    <s v="KAMATPUR"/>
    <s v="MPG"/>
    <s v="Direct"/>
    <n v="256.89999999999998"/>
    <n v="10513.32"/>
    <n v="256.79999999999995"/>
    <n v="10435.150000000001"/>
    <n v="0"/>
    <n v="0"/>
    <n v="256.79999999999995"/>
    <n v="10435.150000000001"/>
    <n v="10435.150000000001"/>
    <n v="0"/>
    <n v="0"/>
    <n v="0"/>
    <n v="0"/>
    <n v="0"/>
    <n v="0"/>
    <n v="10435"/>
    <n v="0"/>
    <n v="0"/>
    <n v="78"/>
    <n v="0"/>
    <n v="362.66657002724804"/>
    <n v="36.699999999999996"/>
    <n v="7.4353296579955956E-3"/>
    <n v="1"/>
    <m/>
    <s v="Asarganj"/>
    <m/>
    <n v="0"/>
  </r>
  <r>
    <s v="Munger"/>
    <s v="03-09 Jul"/>
    <n v="1003"/>
    <s v="Asarganj"/>
    <x v="95"/>
    <s v="GIRDHARA"/>
    <s v="MPG"/>
    <s v="Direct"/>
    <n v="1278.5"/>
    <n v="54354.200000000004"/>
    <n v="171.08"/>
    <n v="8695.3499999999985"/>
    <n v="1103"/>
    <n v="46792.189999999995"/>
    <n v="1274.08"/>
    <n v="55487.539999999994"/>
    <n v="54354.200000000004"/>
    <n v="0"/>
    <n v="359.63000000000005"/>
    <n v="1133.3399999999892"/>
    <n v="250"/>
    <n v="0"/>
    <n v="0"/>
    <n v="7312"/>
    <n v="46433"/>
    <n v="0"/>
    <n v="0"/>
    <n v="0"/>
    <n v="0"/>
    <n v="0"/>
    <n v="-2.0851010593477399E-2"/>
    <n v="13"/>
    <m/>
    <s v="Asarganj"/>
    <m/>
    <n v="0"/>
  </r>
  <r>
    <s v="Munger"/>
    <s v="03-09 Jul"/>
    <n v="1003"/>
    <s v="Asarganj"/>
    <x v="96"/>
    <s v="RATNI"/>
    <s v="MPG"/>
    <s v="Direct"/>
    <n v="1385"/>
    <n v="71747.25"/>
    <n v="1356.4699999999998"/>
    <n v="69856.479999999981"/>
    <n v="39.29"/>
    <n v="2052.21"/>
    <n v="1395.7599999999998"/>
    <n v="71908.689999999988"/>
    <n v="71747.25"/>
    <n v="0"/>
    <n v="2052.21"/>
    <n v="161.43999999998778"/>
    <n v="0"/>
    <n v="0"/>
    <n v="0"/>
    <n v="69695"/>
    <n v="0"/>
    <n v="0"/>
    <n v="0"/>
    <n v="0"/>
    <n v="0"/>
    <n v="0"/>
    <n v="-2.2501210847800826E-3"/>
    <n v="37"/>
    <m/>
    <s v="Asarganj"/>
    <m/>
    <n v="0"/>
  </r>
  <r>
    <s v="Munger"/>
    <s v="03-09 Jul"/>
    <n v="1003"/>
    <s v="Asarganj"/>
    <x v="97"/>
    <s v="DHAPARI"/>
    <s v="MPG"/>
    <s v="Direct"/>
    <n v="609.19999999999993"/>
    <n v="25462.350000000002"/>
    <n v="590.21"/>
    <n v="26157.160000000003"/>
    <n v="19.3"/>
    <n v="837.69999999999982"/>
    <n v="609.51"/>
    <n v="26994.860000000004"/>
    <n v="25462.350000000002"/>
    <n v="0"/>
    <n v="837.69999999999982"/>
    <n v="1532.510000000002"/>
    <n v="0"/>
    <n v="0"/>
    <n v="0"/>
    <n v="24625"/>
    <n v="0"/>
    <n v="0"/>
    <n v="0"/>
    <s v="Release3"/>
    <n v="75.902212081418298"/>
    <n v="87.028571428571425"/>
    <n v="-6.0187296145092731E-2"/>
    <n v="23"/>
    <m/>
    <s v="Asarganj"/>
    <m/>
    <n v="0"/>
  </r>
  <r>
    <s v="Munger"/>
    <s v="03-09 Jul"/>
    <n v="1003"/>
    <s v="Asarganj"/>
    <x v="98"/>
    <s v="KHARUI"/>
    <s v="MPG"/>
    <s v="Direct"/>
    <n v="417.3"/>
    <n v="18021.93"/>
    <n v="390.87"/>
    <n v="17307.810000000001"/>
    <n v="18.32"/>
    <n v="1085.18"/>
    <n v="409.19"/>
    <n v="18392.990000000002"/>
    <n v="18021.93"/>
    <n v="0"/>
    <n v="1085.18"/>
    <n v="371.06000000000131"/>
    <n v="0"/>
    <n v="0"/>
    <n v="0"/>
    <n v="16937"/>
    <n v="0"/>
    <n v="0"/>
    <n v="0"/>
    <n v="0"/>
    <n v="244.17922890007191"/>
    <n v="59.614285714285714"/>
    <n v="-2.0589359741159871E-2"/>
    <n v="7"/>
    <m/>
    <s v="Asarganj"/>
    <m/>
    <n v="0"/>
  </r>
  <r>
    <s v="Munger"/>
    <s v="03-09 Jul"/>
    <n v="1003"/>
    <s v="Asarganj"/>
    <x v="99"/>
    <s v="KHAIRA"/>
    <s v="MPG"/>
    <s v="Direct"/>
    <n v="619.79999999999995"/>
    <n v="25464.719999999998"/>
    <n v="609.87999999999988"/>
    <n v="26367.520000000004"/>
    <n v="25.53"/>
    <n v="1076.5999999999999"/>
    <n v="635.40999999999985"/>
    <n v="27444.120000000003"/>
    <n v="25464.719999999998"/>
    <n v="0"/>
    <n v="1076.5999999999999"/>
    <n v="1979.4000000000051"/>
    <n v="0"/>
    <n v="0"/>
    <n v="0"/>
    <n v="24388"/>
    <n v="0"/>
    <n v="0"/>
    <n v="0"/>
    <n v="0"/>
    <n v="65.900953339787108"/>
    <n v="88.54285714285713"/>
    <n v="-7.7731072636966173E-2"/>
    <n v="9"/>
    <m/>
    <s v="Asarganj"/>
    <m/>
    <n v="0"/>
  </r>
  <r>
    <s v="Munger"/>
    <s v="03-09 Jul"/>
    <n v="1003"/>
    <s v="Asarganj"/>
    <x v="100"/>
    <s v="SISUA"/>
    <s v="MPG"/>
    <s v="Direct"/>
    <n v="1682.7999999999997"/>
    <n v="69141.77"/>
    <n v="1482.6799999999998"/>
    <n v="61981.729999999996"/>
    <n v="216.06"/>
    <n v="8657.25"/>
    <n v="1698.7399999999998"/>
    <n v="70638.98"/>
    <n v="69141.77"/>
    <n v="0"/>
    <n v="729.02"/>
    <n v="1497.2099999999919"/>
    <n v="0"/>
    <n v="0"/>
    <n v="0"/>
    <n v="60485"/>
    <n v="7928"/>
    <n v="0"/>
    <n v="0"/>
    <n v="0"/>
    <n v="0"/>
    <n v="0"/>
    <n v="-2.1654204108457042E-2"/>
    <n v="26"/>
    <m/>
    <s v="Asarganj"/>
    <m/>
    <n v="0"/>
  </r>
  <r>
    <s v="Munger"/>
    <s v="03-09 Jul"/>
    <n v="1003"/>
    <s v="Asarganj"/>
    <x v="101"/>
    <s v="BISAI"/>
    <s v="MPG"/>
    <s v="Direct"/>
    <n v="386.74999999999994"/>
    <n v="16279.34"/>
    <n v="376.22"/>
    <n v="16132.16"/>
    <n v="10.73"/>
    <n v="467.57"/>
    <n v="386.95000000000005"/>
    <n v="16599.73"/>
    <n v="16279.34"/>
    <n v="0"/>
    <n v="467.57"/>
    <n v="320.38999999999942"/>
    <n v="0"/>
    <n v="0"/>
    <n v="0"/>
    <n v="15812"/>
    <n v="0"/>
    <n v="0"/>
    <n v="0"/>
    <n v="0"/>
    <n v="263.71057556561095"/>
    <n v="55.249999999999993"/>
    <n v="-1.9680773299163196E-2"/>
    <n v="14"/>
    <m/>
    <s v="Asarganj"/>
    <m/>
    <n v="0"/>
  </r>
  <r>
    <s v="Munger"/>
    <s v="03-09 Jul"/>
    <n v="1003"/>
    <s v="Asarganj"/>
    <x v="102"/>
    <s v="SAJUA-1"/>
    <s v="MPG"/>
    <s v="Direct"/>
    <n v="815.50000000000011"/>
    <n v="32948.159999999996"/>
    <n v="810.04000000000008"/>
    <n v="32589.949999999997"/>
    <n v="8.39"/>
    <n v="337.56"/>
    <n v="818.43000000000006"/>
    <n v="32927.509999999995"/>
    <n v="32927.509999999995"/>
    <n v="0"/>
    <n v="337.56"/>
    <n v="0"/>
    <n v="0"/>
    <n v="0"/>
    <n v="0"/>
    <n v="32591"/>
    <n v="0"/>
    <n v="0"/>
    <n v="20"/>
    <n v="0"/>
    <n v="0"/>
    <n v="0"/>
    <n v="6.2674213066834258E-4"/>
    <n v="7"/>
    <m/>
    <s v="Asarganj"/>
    <m/>
    <n v="0"/>
  </r>
  <r>
    <s v="Munger"/>
    <s v="03-09 Jul"/>
    <n v="1003"/>
    <s v="Asarganj"/>
    <x v="103"/>
    <s v="SAJUA-2"/>
    <s v="MPG"/>
    <s v="Direct"/>
    <n v="1484.3500000000001"/>
    <n v="59778.55"/>
    <n v="1463.6000000000001"/>
    <n v="60826.030000000006"/>
    <n v="18.489999999999998"/>
    <n v="1256.22"/>
    <n v="1482.0900000000001"/>
    <n v="62082.250000000007"/>
    <n v="59778.55"/>
    <n v="0"/>
    <n v="1256.22"/>
    <n v="2303.7000000000044"/>
    <n v="0"/>
    <n v="0"/>
    <n v="0"/>
    <n v="58522"/>
    <n v="0"/>
    <n v="0"/>
    <n v="0"/>
    <s v="Release3"/>
    <n v="0"/>
    <n v="0"/>
    <n v="-3.8537234509702964E-2"/>
    <n v="42"/>
    <m/>
    <s v="Asarganj"/>
    <m/>
    <n v="0"/>
  </r>
  <r>
    <s v="Munger"/>
    <s v="03-09 Jul"/>
    <n v="1003"/>
    <s v="Asarganj"/>
    <x v="104"/>
    <s v="CHORGAUN"/>
    <s v="MPG"/>
    <s v="Direct"/>
    <n v="1135.4999999999998"/>
    <n v="44437.409999999989"/>
    <n v="1086.8"/>
    <n v="42692.52"/>
    <n v="28.400000000000002"/>
    <n v="1174.5"/>
    <n v="1115.2"/>
    <n v="43867.02"/>
    <n v="43867.02"/>
    <n v="0"/>
    <n v="1174.5"/>
    <n v="0"/>
    <n v="0"/>
    <n v="0"/>
    <n v="0"/>
    <n v="42689"/>
    <n v="0"/>
    <n v="0"/>
    <n v="574"/>
    <n v="0"/>
    <n v="0"/>
    <n v="0"/>
    <n v="1.2835806587287429E-2"/>
    <n v="43"/>
    <m/>
    <s v="Asarganj"/>
    <m/>
    <n v="0"/>
  </r>
  <r>
    <s v="Munger"/>
    <s v="03-09 Jul"/>
    <n v="1003"/>
    <s v="Asarganj"/>
    <x v="105"/>
    <s v="PADARATHPUR"/>
    <s v="MPG"/>
    <s v="Direct"/>
    <n v="1263.8499999999999"/>
    <n v="52172"/>
    <n v="1234.1999999999996"/>
    <n v="52646.2"/>
    <n v="23.400000000000002"/>
    <n v="912.27"/>
    <n v="1257.5999999999997"/>
    <n v="53558.469999999994"/>
    <n v="52172"/>
    <n v="0"/>
    <n v="912.27"/>
    <n v="1386.4699999999939"/>
    <n v="0"/>
    <n v="0"/>
    <n v="0"/>
    <n v="51260"/>
    <n v="0"/>
    <n v="0"/>
    <n v="0"/>
    <n v="0"/>
    <n v="0"/>
    <n v="0"/>
    <n v="-2.657498274936736E-2"/>
    <n v="49"/>
    <m/>
    <s v="Asarganj"/>
    <m/>
    <n v="0"/>
  </r>
  <r>
    <s v="Munger"/>
    <s v="03-09 Jul"/>
    <n v="1003"/>
    <s v="Asarganj"/>
    <x v="106"/>
    <s v="BADARKHA"/>
    <s v="MPG"/>
    <s v="Direct"/>
    <n v="864.2"/>
    <n v="33912.060000000005"/>
    <n v="878.41"/>
    <n v="34083.019999999997"/>
    <n v="0"/>
    <n v="0"/>
    <n v="878.41"/>
    <n v="34083.019999999997"/>
    <n v="33912.060000000005"/>
    <n v="0"/>
    <n v="0"/>
    <n v="170.95999999999185"/>
    <n v="0"/>
    <n v="0"/>
    <n v="0"/>
    <n v="33912"/>
    <n v="0"/>
    <n v="0"/>
    <n v="0"/>
    <n v="0"/>
    <n v="0"/>
    <n v="0"/>
    <n v="-5.0412744020856244E-3"/>
    <n v="26"/>
    <m/>
    <s v="Asarganj"/>
    <m/>
    <n v="0"/>
  </r>
  <r>
    <s v="Munger"/>
    <s v="03-09 Jul"/>
    <n v="1003"/>
    <s v="Asarganj"/>
    <x v="107"/>
    <s v="MAHDMADPUR                                                                                          "/>
    <s v="MPG"/>
    <s v="Direct"/>
    <n v="1270.5500000000002"/>
    <n v="49208.560000000005"/>
    <n v="1261.5999999999999"/>
    <n v="48474.64"/>
    <n v="16.8"/>
    <n v="654.33000000000004"/>
    <n v="1278.3999999999999"/>
    <n v="49128.97"/>
    <n v="49128.97"/>
    <n v="0"/>
    <n v="654.33000000000004"/>
    <n v="0"/>
    <n v="0"/>
    <n v="0"/>
    <n v="0"/>
    <n v="48474"/>
    <n v="0"/>
    <n v="0"/>
    <n v="80"/>
    <n v="0"/>
    <n v="0"/>
    <n v="0"/>
    <n v="1.617401525263161E-3"/>
    <n v="19"/>
    <m/>
    <s v="Asarganj"/>
    <m/>
    <n v="0"/>
  </r>
  <r>
    <s v="Munger"/>
    <s v="03-09 Jul"/>
    <n v="1003"/>
    <s v="Asarganj"/>
    <x v="108"/>
    <s v="MUSKIPUR                                                                                            "/>
    <s v="MPG"/>
    <s v="Direct"/>
    <n v="1316.8500000000004"/>
    <n v="56084.689999999988"/>
    <n v="1311.8"/>
    <n v="54526.110000000008"/>
    <n v="0"/>
    <n v="0"/>
    <n v="1311.8"/>
    <n v="54526.110000000008"/>
    <n v="54526.110000000008"/>
    <n v="0"/>
    <n v="0"/>
    <n v="0"/>
    <n v="0"/>
    <n v="0"/>
    <n v="0"/>
    <n v="54527"/>
    <n v="0"/>
    <n v="0"/>
    <n v="1558"/>
    <n v="0"/>
    <n v="0"/>
    <n v="0"/>
    <n v="2.7789758666758795E-2"/>
    <n v="38"/>
    <m/>
    <s v="Asarganj"/>
    <m/>
    <n v="0"/>
  </r>
  <r>
    <s v="Munger"/>
    <s v="03-09 Jul"/>
    <n v="1003"/>
    <s v="Asarganj"/>
    <x v="109"/>
    <s v="NAYAGAUN                                                                                            "/>
    <s v="MPG"/>
    <s v="Direct"/>
    <n v="714.25"/>
    <n v="28992.389999999996"/>
    <n v="710.16"/>
    <n v="28826.89"/>
    <n v="3.15"/>
    <n v="132.49"/>
    <n v="713.31"/>
    <n v="28959.38"/>
    <n v="28959.38"/>
    <n v="0"/>
    <n v="132.49"/>
    <n v="0"/>
    <n v="0"/>
    <n v="0"/>
    <n v="0"/>
    <n v="28828"/>
    <n v="0"/>
    <n v="0"/>
    <n v="32"/>
    <n v="0"/>
    <n v="0"/>
    <n v="0"/>
    <n v="1.1385746397587356E-3"/>
    <n v="8"/>
    <m/>
    <s v="Asarganj"/>
    <m/>
    <n v="0"/>
  </r>
  <r>
    <s v="Munger"/>
    <s v="03-09 Jul"/>
    <n v="1003"/>
    <s v="Asarganj"/>
    <x v="110"/>
    <s v="LAUNA                                                                                               "/>
    <s v="MPG"/>
    <s v="Direct"/>
    <n v="1342"/>
    <n v="50700.79"/>
    <n v="1350.52"/>
    <n v="51433.700000000004"/>
    <n v="16.34"/>
    <n v="642.47"/>
    <n v="1366.86"/>
    <n v="52076.170000000006"/>
    <n v="50700.79"/>
    <n v="0"/>
    <n v="642.47"/>
    <n v="1375.3800000000047"/>
    <n v="0"/>
    <n v="0"/>
    <n v="0"/>
    <n v="50058"/>
    <n v="0"/>
    <n v="0"/>
    <n v="0"/>
    <n v="0"/>
    <n v="0"/>
    <n v="0"/>
    <n v="-2.7127387955887958E-2"/>
    <n v="16"/>
    <m/>
    <s v="Asarganj"/>
    <m/>
    <n v="0"/>
  </r>
  <r>
    <s v="Munger"/>
    <s v="03-09 Jul"/>
    <n v="1003"/>
    <s v="Asarganj"/>
    <x v="111"/>
    <s v="DULHAR"/>
    <s v="MPG"/>
    <s v="Direct"/>
    <n v="610.29999999999995"/>
    <n v="25564.979999999996"/>
    <n v="628.3399999999998"/>
    <n v="30702.09"/>
    <n v="0"/>
    <n v="0"/>
    <n v="628.3399999999998"/>
    <n v="30702.09"/>
    <n v="25564.979999999996"/>
    <n v="0"/>
    <n v="0"/>
    <n v="5137.1100000000042"/>
    <n v="0"/>
    <n v="0"/>
    <n v="0"/>
    <n v="25565"/>
    <n v="0"/>
    <n v="0"/>
    <n v="0"/>
    <n v="0"/>
    <n v="75.149228445027035"/>
    <n v="87.185714285714283"/>
    <n v="-0.20094324345256695"/>
    <n v="18"/>
    <m/>
    <s v="Asarganj"/>
    <m/>
    <n v="0"/>
  </r>
  <r>
    <s v="Munger"/>
    <s v="03-09 Jul"/>
    <n v="1003"/>
    <s v="Asarganj"/>
    <x v="112"/>
    <s v="Ghorpithiya - Vikas"/>
    <s v="vlc"/>
    <s v="Indirect"/>
    <n v="361.05"/>
    <n v="16298.600000000002"/>
    <n v="0"/>
    <n v="0"/>
    <n v="0"/>
    <n v="0"/>
    <n v="0"/>
    <n v="0"/>
    <n v="16298.600000000002"/>
    <n v="0"/>
    <n v="0"/>
    <n v="0"/>
    <n v="0"/>
    <n v="0"/>
    <n v="0"/>
    <n v="0"/>
    <n v="0"/>
    <n v="16298.600000000002"/>
    <n v="0"/>
    <n v="0"/>
    <n v="306.01913696163967"/>
    <n v="51.578571428571429"/>
    <n v="0"/>
    <n v="0"/>
    <m/>
    <s v="Asarganj"/>
    <m/>
    <n v="0"/>
  </r>
  <r>
    <s v="Munger"/>
    <s v="03-09 Jul"/>
    <n v="1003"/>
    <s v="Asarganj"/>
    <x v="113"/>
    <s v="Akbarnagar - Rakhi"/>
    <s v="vlc"/>
    <s v="Indirect"/>
    <n v="1133.3000000000002"/>
    <n v="45078.51"/>
    <n v="0"/>
    <n v="0"/>
    <n v="0"/>
    <n v="0"/>
    <n v="0"/>
    <n v="0"/>
    <n v="45078.51"/>
    <n v="0"/>
    <n v="0"/>
    <n v="0"/>
    <n v="0"/>
    <n v="0"/>
    <n v="0"/>
    <n v="0"/>
    <n v="0"/>
    <n v="45078.51"/>
    <n v="0"/>
    <n v="0"/>
    <n v="0"/>
    <n v="0"/>
    <n v="0"/>
    <n v="0"/>
    <m/>
    <s v="Asarganj"/>
    <m/>
    <n v="0"/>
  </r>
  <r>
    <s v="Munger"/>
    <s v="03-09 Jul"/>
    <n v="1003"/>
    <s v="Asarganj"/>
    <x v="114"/>
    <s v="Ghorpithiya - Dheeraj"/>
    <s v="vlc"/>
    <s v="Indirect"/>
    <n v="7653.1"/>
    <n v="306405.48"/>
    <n v="0"/>
    <n v="0"/>
    <n v="0"/>
    <n v="0"/>
    <n v="0"/>
    <n v="0"/>
    <n v="306405.48"/>
    <n v="0"/>
    <n v="0"/>
    <n v="0"/>
    <n v="0"/>
    <n v="0"/>
    <n v="0"/>
    <n v="0"/>
    <n v="0"/>
    <n v="306405.48"/>
    <n v="0"/>
    <n v="0"/>
    <n v="0"/>
    <n v="0"/>
    <n v="0"/>
    <n v="0"/>
    <m/>
    <s v="Asarganj"/>
    <m/>
    <n v="0"/>
  </r>
  <r>
    <s v="Munger"/>
    <s v="03-09 Jul"/>
    <n v="1003"/>
    <s v="Asarganj"/>
    <x v="115"/>
    <s v="Asarganj Chhotki Tola - Akash"/>
    <s v="vlc"/>
    <s v="Indirect"/>
    <n v="7112.6"/>
    <n v="285066.53999999998"/>
    <n v="0"/>
    <n v="0"/>
    <n v="0"/>
    <n v="0"/>
    <n v="0"/>
    <n v="0"/>
    <n v="285066.53999999998"/>
    <n v="0"/>
    <n v="0"/>
    <n v="0"/>
    <n v="0"/>
    <n v="0"/>
    <n v="0"/>
    <n v="0"/>
    <n v="0"/>
    <n v="285066.53999999998"/>
    <n v="0"/>
    <n v="0"/>
    <n v="0"/>
    <n v="0"/>
    <n v="0"/>
    <n v="0"/>
    <m/>
    <s v="Asarganj"/>
    <m/>
    <n v="0"/>
  </r>
  <r>
    <s v="Munger"/>
    <s v="03-09 Jul"/>
    <n v="1003"/>
    <s v="Asarganj"/>
    <x v="116"/>
    <s v="Manikpur - Golu"/>
    <s v="vlc"/>
    <s v="Indirect"/>
    <n v="230.9"/>
    <n v="9137.58"/>
    <n v="0"/>
    <n v="0"/>
    <n v="0"/>
    <n v="0"/>
    <n v="0"/>
    <n v="0"/>
    <n v="9137.58"/>
    <n v="0"/>
    <n v="0"/>
    <n v="0"/>
    <n v="0"/>
    <n v="0"/>
    <n v="0"/>
    <n v="0"/>
    <n v="0"/>
    <n v="9137.58"/>
    <n v="0"/>
    <n v="0"/>
    <n v="371.28096821134687"/>
    <n v="32.985714285714288"/>
    <n v="0"/>
    <n v="0"/>
    <m/>
    <s v="Asarganj"/>
    <m/>
    <n v="0"/>
  </r>
  <r>
    <s v="Munger"/>
    <s v="03-09 Jul"/>
    <n v="1003"/>
    <s v="Asarganj"/>
    <x v="117"/>
    <s v="Rangaon - Jayram"/>
    <s v="vlc"/>
    <s v="Indirect"/>
    <n v="118.05"/>
    <n v="4791.6499999999996"/>
    <n v="0"/>
    <n v="0"/>
    <n v="0"/>
    <n v="0"/>
    <n v="0"/>
    <n v="0"/>
    <n v="4791.6499999999996"/>
    <n v="0"/>
    <n v="0"/>
    <n v="0"/>
    <n v="0"/>
    <n v="0"/>
    <n v="0"/>
    <n v="0"/>
    <n v="0"/>
    <n v="4791.6499999999996"/>
    <n v="0"/>
    <n v="0"/>
    <n v="472.42705929690811"/>
    <n v="16.864285714285714"/>
    <n v="0"/>
    <n v="0"/>
    <m/>
    <s v="Asarganj"/>
    <m/>
    <n v="0"/>
  </r>
  <r>
    <s v="Munger"/>
    <s v="03-09 Jul"/>
    <n v="1003"/>
    <s v="Asarganj"/>
    <x v="118"/>
    <s v="PAIN"/>
    <s v="MPG"/>
    <s v="Direct"/>
    <n v="663.65"/>
    <n v="24049.260000000006"/>
    <n v="691.0200000000001"/>
    <n v="28888.569999999996"/>
    <n v="2.5600000000000005"/>
    <n v="99.78"/>
    <n v="693.58"/>
    <n v="28988.349999999995"/>
    <n v="24049.260000000006"/>
    <n v="0"/>
    <n v="99.78"/>
    <n v="4939.0899999999892"/>
    <n v="0"/>
    <n v="0"/>
    <n v="0"/>
    <n v="23949"/>
    <n v="0"/>
    <n v="0"/>
    <n v="0"/>
    <n v="0"/>
    <n v="26.344928832969231"/>
    <n v="94.80714285714285"/>
    <n v="-0.20537388676408289"/>
    <n v="10"/>
    <m/>
    <s v="Asarganj"/>
    <m/>
    <n v="0"/>
  </r>
  <r>
    <s v="Munger"/>
    <s v="03-09 Jul"/>
    <n v="1003"/>
    <s v="Asarganj"/>
    <x v="119"/>
    <s v="MOTICHAK"/>
    <s v="MPG"/>
    <s v="Direct"/>
    <n v="3699.4"/>
    <n v="136394.77000000002"/>
    <n v="3552.7200000000003"/>
    <n v="134502.26999999999"/>
    <n v="53.980000000000004"/>
    <n v="1991.7299999999998"/>
    <n v="3606.7000000000003"/>
    <n v="136494"/>
    <n v="136394.77000000002"/>
    <n v="0"/>
    <n v="1991.7299999999998"/>
    <n v="99.229999999981374"/>
    <n v="0"/>
    <n v="0"/>
    <n v="0"/>
    <n v="134403"/>
    <n v="0"/>
    <n v="0"/>
    <n v="0"/>
    <n v="0"/>
    <n v="0"/>
    <n v="0"/>
    <n v="-7.2752056402148972E-4"/>
    <n v="7"/>
    <m/>
    <s v="Asarganj"/>
    <m/>
    <n v="0"/>
  </r>
  <r>
    <s v="Munger"/>
    <s v="03-09 Jul"/>
    <n v="1003"/>
    <s v="Asarganj"/>
    <x v="120"/>
    <s v="MIRATTHI"/>
    <s v="MPG"/>
    <s v="Direct"/>
    <n v="288.5"/>
    <n v="11361.8"/>
    <n v="286.39999999999998"/>
    <n v="10651.74"/>
    <n v="3.25"/>
    <n v="121.96999999999998"/>
    <n v="289.64999999999998"/>
    <n v="10773.71"/>
    <n v="10773.71"/>
    <n v="0"/>
    <n v="121.96999999999998"/>
    <n v="0"/>
    <n v="0"/>
    <n v="0"/>
    <n v="0"/>
    <n v="10652"/>
    <n v="0"/>
    <n v="0"/>
    <n v="588"/>
    <n v="0"/>
    <n v="324.1165129982669"/>
    <n v="41.214285714285715"/>
    <n v="5.1760284461969071E-2"/>
    <n v="8"/>
    <m/>
    <s v="Asarganj"/>
    <m/>
    <n v="0"/>
  </r>
  <r>
    <s v="Munger"/>
    <s v="03-09 Jul"/>
    <n v="1003"/>
    <s v="Asarganj"/>
    <x v="121"/>
    <s v="DAULATPUR"/>
    <s v="MPG"/>
    <s v="Direct"/>
    <n v="238.45000000000002"/>
    <n v="9890.1299999999992"/>
    <n v="242.08999999999995"/>
    <n v="10345.450000000001"/>
    <n v="0.7"/>
    <n v="30.379999999999995"/>
    <n v="242.78999999999994"/>
    <n v="10375.83"/>
    <n v="9890.1299999999992"/>
    <n v="0"/>
    <n v="30.379999999999995"/>
    <n v="485.70000000000073"/>
    <n v="0"/>
    <n v="0"/>
    <n v="0"/>
    <n v="9860"/>
    <n v="0"/>
    <n v="0"/>
    <n v="0"/>
    <s v="Release3"/>
    <n v="382.87183908576219"/>
    <n v="34.064285714285717"/>
    <n v="-4.910956681054756E-2"/>
    <n v="5"/>
    <m/>
    <s v="Asarganj"/>
    <m/>
    <n v="0"/>
  </r>
  <r>
    <s v="Munger"/>
    <s v="03-09 Jul"/>
    <n v="1003"/>
    <s v="Asarganj"/>
    <x v="122"/>
    <s v="MOHADDIPUR"/>
    <s v="MPG"/>
    <s v="Direct"/>
    <n v="152.59999999999997"/>
    <n v="5413.7300000000005"/>
    <n v="240"/>
    <n v="13541.2"/>
    <n v="0"/>
    <n v="0"/>
    <n v="240"/>
    <n v="13541.2"/>
    <n v="5413.7300000000005"/>
    <n v="0"/>
    <n v="0"/>
    <n v="8127.47"/>
    <n v="0"/>
    <n v="0"/>
    <n v="0"/>
    <n v="5414"/>
    <n v="0"/>
    <n v="0"/>
    <n v="0"/>
    <s v="Release3"/>
    <n v="388.39787706422032"/>
    <n v="21.799999999999994"/>
    <n v="-1.5012699192608423"/>
    <n v="2"/>
    <m/>
    <s v="Asarganj"/>
    <m/>
    <n v="0"/>
  </r>
  <r>
    <s v="Munger"/>
    <s v="03-09 Jul"/>
    <n v="1003"/>
    <s v="Asarganj"/>
    <x v="123"/>
    <s v="JHAJHA"/>
    <s v="MPG"/>
    <s v="Direct"/>
    <n v="675.25"/>
    <n v="29796.170000000002"/>
    <n v="665.18"/>
    <n v="32106"/>
    <n v="0"/>
    <n v="0"/>
    <n v="665.18"/>
    <n v="32106"/>
    <n v="29796.170000000002"/>
    <n v="0"/>
    <n v="0"/>
    <n v="2309.8299999999981"/>
    <n v="0"/>
    <n v="0"/>
    <n v="0"/>
    <n v="29796"/>
    <n v="0"/>
    <n v="0"/>
    <n v="0"/>
    <n v="0"/>
    <n v="21.8424348759719"/>
    <n v="96.464285714285708"/>
    <n v="-7.7521037099734569E-2"/>
    <n v="11"/>
    <m/>
    <s v="Asarganj"/>
    <m/>
    <n v="0"/>
  </r>
  <r>
    <s v="Munger"/>
    <s v="03-09 Jul"/>
    <n v="1003"/>
    <s v="Asarganj"/>
    <x v="124"/>
    <s v="KAMARDUH"/>
    <s v="MPG"/>
    <s v="Direct"/>
    <n v="700.6"/>
    <n v="25663.790000000005"/>
    <n v="700.5"/>
    <n v="25660.130000000005"/>
    <n v="7"/>
    <n v="256.99"/>
    <n v="707.5"/>
    <n v="25917.120000000006"/>
    <n v="25663.790000000005"/>
    <n v="0"/>
    <n v="256.99"/>
    <n v="253.33000000000175"/>
    <n v="0"/>
    <n v="0"/>
    <n v="0"/>
    <n v="25407"/>
    <n v="0"/>
    <n v="0"/>
    <n v="0"/>
    <n v="0"/>
    <n v="0"/>
    <n v="0"/>
    <n v="-9.8711063330864882E-3"/>
    <n v="2"/>
    <m/>
    <s v="Asarganj"/>
    <m/>
    <n v="0"/>
  </r>
  <r>
    <s v="Munger"/>
    <s v="03-09 Jul"/>
    <n v="1003"/>
    <s v="Asarganj"/>
    <x v="125"/>
    <s v="BARSABAD"/>
    <s v="MPG"/>
    <s v="Direct"/>
    <n v="375.44999999999993"/>
    <n v="14025.57"/>
    <n v="367.06"/>
    <n v="13618.78"/>
    <n v="10.08"/>
    <n v="377.19"/>
    <n v="377.14"/>
    <n v="13995.970000000001"/>
    <n v="13995.970000000001"/>
    <n v="0"/>
    <n v="377.19"/>
    <n v="0"/>
    <n v="0"/>
    <n v="0"/>
    <n v="0"/>
    <n v="13620"/>
    <n v="0"/>
    <n v="0"/>
    <n v="28"/>
    <n v="0"/>
    <n v="242.48228757491023"/>
    <n v="53.635714285714279"/>
    <n v="2.1104311625123645E-3"/>
    <n v="9"/>
    <m/>
    <s v="Asarganj"/>
    <m/>
    <n v="0"/>
  </r>
  <r>
    <s v="Munger"/>
    <s v="03-09 Jul"/>
    <n v="1003"/>
    <s v="Asarganj"/>
    <x v="126"/>
    <s v="GONAI"/>
    <s v="MPG"/>
    <s v="Direct"/>
    <n v="1819.7500000000002"/>
    <n v="73980.62000000001"/>
    <n v="1788.7"/>
    <n v="73175.320000000007"/>
    <n v="8.9200000000000017"/>
    <n v="351.06"/>
    <n v="1797.6200000000001"/>
    <n v="73526.38"/>
    <n v="73526.38"/>
    <n v="0"/>
    <n v="351.06"/>
    <n v="0"/>
    <n v="1000"/>
    <n v="0"/>
    <n v="0"/>
    <n v="72175"/>
    <n v="0"/>
    <n v="0"/>
    <n v="455"/>
    <n v="0"/>
    <n v="0"/>
    <n v="0"/>
    <n v="6.1399863910305856E-3"/>
    <n v="8"/>
    <m/>
    <s v="Asarganj"/>
    <m/>
    <n v="0"/>
  </r>
  <r>
    <s v="Munger"/>
    <s v="03-09 Jul"/>
    <n v="1003"/>
    <s v="Asarganj"/>
    <x v="127"/>
    <s v="SHIKARITOLA"/>
    <s v="MPG"/>
    <s v="Direct"/>
    <n v="1061.6499999999999"/>
    <n v="42188.329999999994"/>
    <n v="1082.5"/>
    <n v="46870.889999999992"/>
    <n v="0"/>
    <n v="0"/>
    <n v="1082.5"/>
    <n v="46870.889999999992"/>
    <n v="42188.329999999994"/>
    <n v="0"/>
    <n v="0"/>
    <n v="4682.5599999999977"/>
    <n v="0"/>
    <n v="0"/>
    <n v="0"/>
    <n v="42188"/>
    <n v="0"/>
    <n v="0"/>
    <n v="0"/>
    <n v="0"/>
    <n v="0"/>
    <n v="0"/>
    <n v="-0.11099183115330705"/>
    <n v="3"/>
    <m/>
    <s v="Asarganj"/>
    <m/>
    <n v="0"/>
  </r>
  <r>
    <s v="Munger"/>
    <s v="03-09 Jul"/>
    <n v="1003"/>
    <s v="Asarganj"/>
    <x v="128"/>
    <s v="BAIKUNTHPUR"/>
    <s v="MPG"/>
    <s v="Direct"/>
    <n v="300.15000000000003"/>
    <n v="11159.050000000001"/>
    <n v="310.60000000000002"/>
    <n v="10984.17"/>
    <n v="4.379999999999999"/>
    <n v="157.09000000000003"/>
    <n v="314.98"/>
    <n v="11141.26"/>
    <n v="11141.26"/>
    <n v="0"/>
    <n v="157.09000000000003"/>
    <n v="0"/>
    <n v="0"/>
    <n v="500"/>
    <n v="0"/>
    <n v="10484"/>
    <n v="0"/>
    <n v="0"/>
    <n v="18"/>
    <n v="0"/>
    <n v="297.31441895718808"/>
    <n v="42.878571428571433"/>
    <n v="1.5942217303445071E-3"/>
    <n v="5"/>
    <m/>
    <s v="Asarganj"/>
    <m/>
    <n v="500"/>
  </r>
  <r>
    <s v="Munger"/>
    <s v="03-09 Jul"/>
    <n v="1003"/>
    <s v="Asarganj"/>
    <x v="129"/>
    <s v="KAITHA"/>
    <s v="MPG"/>
    <s v="Direct"/>
    <n v="2978.15"/>
    <n v="127932.04000000001"/>
    <n v="2151.64"/>
    <n v="94326.3"/>
    <n v="853.33999999999992"/>
    <n v="34889.300000000003"/>
    <n v="3004.9799999999996"/>
    <n v="129215.6"/>
    <n v="127932.04000000001"/>
    <n v="0"/>
    <n v="948.9"/>
    <n v="1283.5599999999977"/>
    <n v="0"/>
    <n v="0"/>
    <n v="0"/>
    <n v="93043"/>
    <n v="33940"/>
    <n v="0"/>
    <n v="0"/>
    <n v="0"/>
    <n v="0"/>
    <n v="0"/>
    <n v="-1.0033139469987327E-2"/>
    <n v="19"/>
    <m/>
    <s v="Asarganj"/>
    <m/>
    <n v="0"/>
  </r>
  <r>
    <s v="Munger"/>
    <s v="03-09 Jul"/>
    <n v="1003"/>
    <s v="Asarganj"/>
    <x v="130"/>
    <s v="DORAI"/>
    <s v="MPG"/>
    <s v="Direct"/>
    <n v="1080.6499999999999"/>
    <n v="38557.029999999992"/>
    <n v="1199.8800000000001"/>
    <n v="51328.839999999989"/>
    <n v="43.269999999999996"/>
    <n v="2093.38"/>
    <n v="1243.1500000000001"/>
    <n v="53422.219999999987"/>
    <n v="38557.029999999992"/>
    <n v="0"/>
    <n v="2093.38"/>
    <n v="14865.189999999995"/>
    <n v="0"/>
    <n v="0"/>
    <n v="0"/>
    <n v="36464"/>
    <n v="0"/>
    <n v="0"/>
    <n v="0"/>
    <n v="0"/>
    <n v="0"/>
    <n v="0"/>
    <n v="-0.3855377346232321"/>
    <n v="9"/>
    <m/>
    <s v="Asarganj"/>
    <m/>
    <n v="0"/>
  </r>
  <r>
    <s v="Munger"/>
    <s v="03-09 Jul"/>
    <n v="1003"/>
    <s v="Asarganj"/>
    <x v="131"/>
    <s v="RAGHUNATHPUR"/>
    <s v="vlc"/>
    <s v="Indirect"/>
    <n v="1077.75"/>
    <n v="37533.269999999997"/>
    <n v="0"/>
    <n v="0"/>
    <n v="0"/>
    <n v="0"/>
    <n v="0"/>
    <n v="0"/>
    <n v="37533.269999999997"/>
    <n v="0"/>
    <n v="0"/>
    <n v="0"/>
    <n v="0"/>
    <n v="0"/>
    <n v="0"/>
    <n v="0"/>
    <n v="0"/>
    <n v="37533.269999999997"/>
    <n v="0"/>
    <n v="0"/>
    <n v="0"/>
    <n v="0"/>
    <n v="0"/>
    <n v="0"/>
    <m/>
    <s v="Asarganj"/>
    <m/>
    <n v="0"/>
  </r>
  <r>
    <s v="Munger"/>
    <s v="03-09 Jul"/>
    <n v="1003"/>
    <s v="Asarganj"/>
    <x v="132"/>
    <s v="BANGAMA"/>
    <s v="MPG"/>
    <s v="Direct"/>
    <n v="799.15000000000009"/>
    <n v="34091.399999999994"/>
    <n v="795.80000000000007"/>
    <n v="35134.65"/>
    <n v="18.600000000000001"/>
    <n v="829.92000000000007"/>
    <n v="814.40000000000009"/>
    <n v="35964.57"/>
    <n v="34091.399999999994"/>
    <n v="0"/>
    <n v="653.33000000000004"/>
    <n v="1873.1700000000055"/>
    <n v="0"/>
    <n v="0"/>
    <n v="0"/>
    <n v="33261"/>
    <n v="177"/>
    <n v="0"/>
    <n v="0"/>
    <n v="0"/>
    <n v="0"/>
    <n v="0"/>
    <n v="-5.4945528784385675E-2"/>
    <n v="6"/>
    <m/>
    <s v="Asarganj"/>
    <m/>
    <n v="0"/>
  </r>
  <r>
    <s v="Munger"/>
    <s v="03-09 Jul"/>
    <n v="1003"/>
    <s v="Asarganj"/>
    <x v="133"/>
    <s v="KORIYA"/>
    <s v="MPG"/>
    <s v="Direct"/>
    <n v="241"/>
    <n v="10499.039999999999"/>
    <n v="240.71999999999994"/>
    <n v="11140.13"/>
    <n v="0"/>
    <n v="0"/>
    <n v="240.71999999999994"/>
    <n v="11140.13"/>
    <n v="10499.039999999999"/>
    <n v="0"/>
    <n v="0"/>
    <n v="641.09000000000015"/>
    <n v="0"/>
    <n v="0"/>
    <n v="0"/>
    <n v="10499"/>
    <n v="0"/>
    <n v="0"/>
    <n v="0"/>
    <s v="Release3"/>
    <n v="399.92193858921155"/>
    <n v="34.428571428571431"/>
    <n v="-6.1061773266889184E-2"/>
    <n v="5"/>
    <m/>
    <s v="Asarganj"/>
    <m/>
    <n v="0"/>
  </r>
  <r>
    <s v="Munger"/>
    <s v="03-09 Jul"/>
    <n v="1003"/>
    <s v="Asarganj"/>
    <x v="134"/>
    <s v="HARLACHAK"/>
    <s v="MPG"/>
    <s v="Direct"/>
    <n v="1141.6499999999999"/>
    <n v="47084.689999999995"/>
    <n v="1117.5399999999997"/>
    <n v="46830.590000000004"/>
    <n v="9.33"/>
    <n v="390.81000000000006"/>
    <n v="1126.8699999999997"/>
    <n v="47221.4"/>
    <n v="47084.689999999995"/>
    <n v="0"/>
    <n v="390.81000000000006"/>
    <n v="136.7100000000064"/>
    <n v="0"/>
    <n v="0"/>
    <n v="0"/>
    <n v="46694"/>
    <n v="0"/>
    <n v="0"/>
    <n v="0"/>
    <n v="0"/>
    <n v="0"/>
    <n v="0"/>
    <n v="-2.9034915595707736E-3"/>
    <n v="25"/>
    <m/>
    <s v="Asarganj"/>
    <m/>
    <n v="0"/>
  </r>
  <r>
    <s v="Munger"/>
    <s v="03-09 Jul"/>
    <n v="1003"/>
    <s v="Asarganj"/>
    <x v="135"/>
    <s v="Jangle Jhakra"/>
    <s v="MPG"/>
    <s v="Direct"/>
    <n v="1811.5"/>
    <n v="75646.73"/>
    <n v="1892.67"/>
    <n v="80849.91"/>
    <n v="3.46"/>
    <n v="136.07999999999998"/>
    <n v="1896.13"/>
    <n v="80985.990000000005"/>
    <n v="75646.73"/>
    <n v="0"/>
    <n v="136.07999999999998"/>
    <n v="5339.2600000000093"/>
    <n v="0"/>
    <n v="0"/>
    <n v="0"/>
    <n v="75511"/>
    <n v="0"/>
    <n v="0"/>
    <n v="0"/>
    <n v="0"/>
    <n v="0"/>
    <n v="0"/>
    <n v="-7.0581504316181404E-2"/>
    <n v="5"/>
    <m/>
    <s v="Asarganj"/>
    <m/>
    <n v="0"/>
  </r>
  <r>
    <s v="Munger"/>
    <s v="03-09 Jul"/>
    <n v="1003"/>
    <s v="Asarganj"/>
    <x v="136"/>
    <s v="KATAHRA"/>
    <s v="MPG"/>
    <s v="Direct"/>
    <n v="490.59999999999997"/>
    <n v="21006.890000000003"/>
    <n v="639.87"/>
    <n v="30146.440000000006"/>
    <n v="0"/>
    <n v="0"/>
    <n v="639.87"/>
    <n v="30146.440000000006"/>
    <n v="21006.890000000003"/>
    <n v="0"/>
    <n v="0"/>
    <n v="9139.5500000000029"/>
    <n v="7500"/>
    <n v="0"/>
    <n v="0"/>
    <n v="13507"/>
    <n v="0"/>
    <n v="0"/>
    <n v="0"/>
    <s v="Release1"/>
    <n v="179.3250210354669"/>
    <n v="70.085714285714275"/>
    <n v="-0.43507392098497216"/>
    <n v="7"/>
    <m/>
    <s v="Asarganj"/>
    <m/>
    <n v="0"/>
  </r>
  <r>
    <s v="Munger"/>
    <s v="03-09 Jul"/>
    <n v="1003"/>
    <s v="Asarganj"/>
    <x v="137"/>
    <s v="KARHARIA V"/>
    <s v="vlc"/>
    <s v="Indirect"/>
    <n v="153.75"/>
    <n v="5699.37"/>
    <n v="0"/>
    <n v="0"/>
    <n v="0"/>
    <n v="0"/>
    <n v="0"/>
    <n v="0"/>
    <n v="5699.37"/>
    <n v="0"/>
    <n v="0"/>
    <n v="0"/>
    <n v="0"/>
    <n v="0"/>
    <n v="0"/>
    <n v="0"/>
    <n v="0"/>
    <n v="5699.37"/>
    <n v="0"/>
    <n v="0"/>
    <n v="404.97962439024394"/>
    <n v="21.964285714285715"/>
    <n v="0"/>
    <n v="0"/>
    <m/>
    <s v="Asarganj"/>
    <m/>
    <n v="0"/>
  </r>
  <r>
    <s v="Munger"/>
    <s v="03-09 Jul"/>
    <n v="1003"/>
    <s v="Asarganj"/>
    <x v="138"/>
    <s v="BALADEV ITAHARI"/>
    <s v="MPG"/>
    <s v="Direct"/>
    <n v="697.45000000000016"/>
    <n v="31581.839999999997"/>
    <n v="703.45"/>
    <n v="34568.07"/>
    <n v="0"/>
    <n v="0"/>
    <n v="703.45"/>
    <n v="34568.07"/>
    <n v="31581.839999999997"/>
    <n v="0"/>
    <n v="0"/>
    <n v="2986.2300000000032"/>
    <n v="0"/>
    <n v="0"/>
    <n v="0"/>
    <n v="31582"/>
    <n v="0"/>
    <n v="0"/>
    <n v="0"/>
    <n v="0"/>
    <n v="2.3093753530717214"/>
    <n v="99.635714285714315"/>
    <n v="-9.455528873555194E-2"/>
    <n v="5"/>
    <m/>
    <s v="Asarganj"/>
    <m/>
    <n v="0"/>
  </r>
  <r>
    <s v="Munger"/>
    <s v="03-09 Jul"/>
    <n v="1003"/>
    <s v="Asarganj"/>
    <x v="139"/>
    <s v="PAHALANPUR"/>
    <s v="MPG"/>
    <s v="Direct"/>
    <n v="979.54999999999984"/>
    <n v="40238.93"/>
    <n v="979.78000000000031"/>
    <n v="37521.730000000003"/>
    <n v="0"/>
    <n v="0"/>
    <n v="979.78000000000031"/>
    <n v="37521.730000000003"/>
    <n v="37521.730000000003"/>
    <n v="0"/>
    <n v="0"/>
    <n v="0"/>
    <n v="0"/>
    <n v="0"/>
    <n v="0"/>
    <n v="37523"/>
    <n v="0"/>
    <n v="0"/>
    <n v="2716"/>
    <n v="0"/>
    <n v="0"/>
    <n v="0"/>
    <n v="6.752664645903847E-2"/>
    <n v="26"/>
    <m/>
    <s v="Asarganj"/>
    <m/>
    <n v="0"/>
  </r>
  <r>
    <s v="Munger"/>
    <s v="03-09 Jul"/>
    <n v="1003"/>
    <s v="Asarganj"/>
    <x v="140"/>
    <s v="RAMBRAN YADAV"/>
    <s v="MPG"/>
    <s v="Direct"/>
    <n v="817.25"/>
    <n v="32219.82"/>
    <n v="801.93999999999994"/>
    <n v="32487"/>
    <n v="0"/>
    <n v="0"/>
    <n v="801.93999999999994"/>
    <n v="32487"/>
    <n v="32219.82"/>
    <n v="0"/>
    <n v="0"/>
    <n v="267.18000000000029"/>
    <n v="0"/>
    <n v="0"/>
    <n v="0"/>
    <n v="32220"/>
    <n v="0"/>
    <n v="0"/>
    <n v="0"/>
    <n v="0"/>
    <n v="0"/>
    <n v="0"/>
    <n v="-8.2924113170092292E-3"/>
    <n v="2"/>
    <m/>
    <s v="Asarganj"/>
    <m/>
    <n v="0"/>
  </r>
  <r>
    <s v="Munger"/>
    <s v="03-09 Jul"/>
    <n v="1003"/>
    <s v="Asarganj"/>
    <x v="141"/>
    <s v="Gomukh Beldra"/>
    <s v="MPG"/>
    <s v="Direct"/>
    <n v="258.59999999999997"/>
    <n v="10618.929999999998"/>
    <n v="250.26"/>
    <n v="10705.060000000001"/>
    <n v="0"/>
    <n v="0"/>
    <n v="250.26"/>
    <n v="10705.060000000001"/>
    <n v="10618.929999999998"/>
    <n v="0"/>
    <n v="0"/>
    <n v="86.130000000002838"/>
    <n v="0"/>
    <n v="0"/>
    <n v="0"/>
    <n v="10619"/>
    <n v="0"/>
    <n v="0"/>
    <n v="0"/>
    <n v="0"/>
    <n v="362.50546805877809"/>
    <n v="36.942857142857136"/>
    <n v="-8.1109867001668574E-3"/>
    <n v="1"/>
    <m/>
    <s v="Asarganj"/>
    <m/>
    <n v="0"/>
  </r>
  <r>
    <s v="Munger"/>
    <s v="03-09 Jul"/>
    <n v="1003"/>
    <s v="Asarganj"/>
    <x v="142"/>
    <s v="Gomukh Chandanpura"/>
    <s v="MPG"/>
    <s v="Direct"/>
    <n v="1116.1000000000001"/>
    <n v="52167.469999999994"/>
    <n v="1107.2"/>
    <n v="54914.34"/>
    <n v="0"/>
    <n v="0"/>
    <n v="1107.2"/>
    <n v="54914.34"/>
    <n v="52167.469999999994"/>
    <n v="0"/>
    <n v="0"/>
    <n v="2746.8700000000026"/>
    <n v="0"/>
    <n v="0"/>
    <n v="0"/>
    <n v="52167"/>
    <n v="0"/>
    <n v="0"/>
    <n v="0"/>
    <n v="0"/>
    <n v="0"/>
    <n v="0"/>
    <n v="-5.2654844101122845E-2"/>
    <n v="1"/>
    <m/>
    <s v="Asarganj"/>
    <m/>
    <n v="0"/>
  </r>
  <r>
    <s v="Munger"/>
    <s v="03-09 Jul"/>
    <n v="1003"/>
    <s v="Asarganj"/>
    <x v="143"/>
    <s v="DARIYAPUR R"/>
    <s v="MPG"/>
    <s v="Direct"/>
    <n v="355.7"/>
    <n v="18044.29"/>
    <n v="352.60999999999996"/>
    <n v="18902.93"/>
    <n v="0"/>
    <n v="0"/>
    <n v="352.60999999999996"/>
    <n v="18902.93"/>
    <n v="18044.29"/>
    <n v="0"/>
    <n v="0"/>
    <n v="858.63999999999942"/>
    <n v="0"/>
    <n v="0"/>
    <n v="0"/>
    <n v="18044"/>
    <n v="0"/>
    <n v="0"/>
    <n v="0"/>
    <n v="0"/>
    <n v="349.31959780714089"/>
    <n v="50.81428571428571"/>
    <n v="-4.7585136350612817E-2"/>
    <n v="1"/>
    <m/>
    <s v="Asarganj"/>
    <m/>
    <n v="0"/>
  </r>
  <r>
    <s v="Munger"/>
    <s v="03-09 Jul"/>
    <n v="1003"/>
    <s v="Asarganj"/>
    <x v="144"/>
    <s v="MUZAFFARGANJ"/>
    <s v="MPG"/>
    <s v="Direct"/>
    <n v="458.6"/>
    <n v="17377.64"/>
    <n v="461.8"/>
    <n v="17523.54"/>
    <n v="0"/>
    <n v="0"/>
    <n v="461.8"/>
    <n v="17523.54"/>
    <n v="17377.64"/>
    <n v="0"/>
    <n v="0"/>
    <n v="145.90000000000146"/>
    <n v="0"/>
    <n v="0"/>
    <n v="0"/>
    <n v="17378"/>
    <n v="0"/>
    <n v="0"/>
    <n v="0"/>
    <n v="0"/>
    <n v="182.94645861317051"/>
    <n v="65.51428571428572"/>
    <n v="-8.3958466166868147E-3"/>
    <n v="1"/>
    <m/>
    <s v="Asarganj"/>
    <m/>
    <n v="0"/>
  </r>
  <r>
    <s v="Munger"/>
    <s v="03-09 Jul"/>
    <n v="1003"/>
    <s v="Asarganj"/>
    <x v="145"/>
    <s v="SARHA"/>
    <s v="MPG"/>
    <s v="Direct"/>
    <n v="760.9"/>
    <n v="40104.5"/>
    <n v="814.11"/>
    <n v="43368.42"/>
    <n v="0"/>
    <n v="0"/>
    <n v="814.11"/>
    <n v="43368.42"/>
    <n v="40104.5"/>
    <n v="0"/>
    <n v="0"/>
    <n v="3263.9199999999983"/>
    <n v="0"/>
    <n v="0"/>
    <n v="0"/>
    <n v="40104"/>
    <n v="0"/>
    <n v="0"/>
    <n v="1"/>
    <n v="0"/>
    <n v="0"/>
    <n v="0"/>
    <n v="-8.1385380692939657E-2"/>
    <n v="2"/>
    <m/>
    <s v="Asarganj"/>
    <m/>
    <n v="0"/>
  </r>
  <r>
    <s v="Munger"/>
    <s v="03-09 Jul"/>
    <n v="1003"/>
    <s v="Asarganj"/>
    <x v="146"/>
    <s v="KUSUMBHA"/>
    <s v="MPG"/>
    <s v="Direct"/>
    <n v="541.44999999999993"/>
    <n v="22627.1"/>
    <n v="532.16"/>
    <n v="23345.720000000005"/>
    <n v="0"/>
    <n v="0"/>
    <n v="532.16"/>
    <n v="23345.720000000005"/>
    <n v="22627.1"/>
    <n v="0"/>
    <n v="0"/>
    <n v="718.62000000000626"/>
    <n v="0"/>
    <n v="0"/>
    <n v="0"/>
    <n v="22627"/>
    <n v="0"/>
    <n v="0"/>
    <n v="0"/>
    <n v="0"/>
    <n v="132.51553070458957"/>
    <n v="77.349999999999994"/>
    <n v="-3.1759262123736857E-2"/>
    <n v="1"/>
    <m/>
    <s v="Asarganj"/>
    <m/>
    <n v="0"/>
  </r>
  <r>
    <s v="Munger"/>
    <s v="03-09 Jul"/>
    <n v="1006"/>
    <s v="Sonvarsha"/>
    <x v="147"/>
    <s v="MANO"/>
    <s v="vlc"/>
    <s v="Indirect"/>
    <n v="1252.5999999999999"/>
    <n v="52026.999999999993"/>
    <n v="0"/>
    <n v="0"/>
    <n v="0"/>
    <n v="0"/>
    <n v="0"/>
    <n v="0"/>
    <n v="52026.999999999993"/>
    <n v="0"/>
    <n v="0"/>
    <n v="0"/>
    <n v="0"/>
    <n v="0"/>
    <n v="0"/>
    <n v="0"/>
    <n v="0"/>
    <n v="52026.999999999993"/>
    <n v="0"/>
    <n v="0"/>
    <n v="0"/>
    <n v="0"/>
    <n v="0"/>
    <n v="0"/>
    <m/>
    <s v="Sonvarsha"/>
    <m/>
    <n v="0"/>
  </r>
  <r>
    <s v="Munger"/>
    <s v="03-09 Jul"/>
    <n v="1006"/>
    <s v="Sonvarsha"/>
    <x v="148"/>
    <s v="PURANI SALEMPUR"/>
    <s v="vlc"/>
    <s v="Indirect"/>
    <n v="1918.2"/>
    <n v="77201.69"/>
    <n v="0"/>
    <n v="0"/>
    <n v="0"/>
    <n v="0"/>
    <n v="0"/>
    <n v="0"/>
    <n v="77201.69"/>
    <n v="0"/>
    <n v="0"/>
    <n v="0"/>
    <n v="0"/>
    <n v="0"/>
    <n v="0"/>
    <n v="0"/>
    <n v="0"/>
    <n v="77201.69"/>
    <n v="0"/>
    <n v="0"/>
    <n v="0"/>
    <n v="0"/>
    <n v="0"/>
    <n v="0"/>
    <m/>
    <s v="Sonvarsha"/>
    <m/>
    <n v="0"/>
  </r>
  <r>
    <s v="Munger"/>
    <s v="03-09 Jul"/>
    <n v="1006"/>
    <s v="Sonvarsha"/>
    <x v="149"/>
    <s v="DHANDHHA"/>
    <s v="vlc"/>
    <s v="Indirect"/>
    <n v="2710.2000000000007"/>
    <n v="108295.19000000002"/>
    <n v="0"/>
    <n v="0"/>
    <n v="0"/>
    <n v="0"/>
    <n v="0"/>
    <n v="0"/>
    <n v="108295.19000000002"/>
    <n v="0"/>
    <n v="0"/>
    <n v="0"/>
    <n v="0"/>
    <n v="0"/>
    <n v="0"/>
    <n v="0"/>
    <n v="0"/>
    <n v="108295.19000000002"/>
    <n v="0"/>
    <n v="0"/>
    <n v="0"/>
    <n v="0"/>
    <n v="0"/>
    <n v="0"/>
    <m/>
    <s v="Sonvarsha"/>
    <m/>
    <n v="0"/>
  </r>
  <r>
    <s v="Munger"/>
    <s v="03-09 Jul"/>
    <n v="1006"/>
    <s v="Sonvarsha"/>
    <x v="150"/>
    <s v="CHALISH"/>
    <s v="vlc"/>
    <s v="Indirect"/>
    <n v="866.6"/>
    <n v="36134.079999999994"/>
    <n v="0"/>
    <n v="0"/>
    <n v="0"/>
    <n v="0"/>
    <n v="0"/>
    <n v="0"/>
    <n v="36134.079999999994"/>
    <n v="0"/>
    <n v="0"/>
    <n v="0"/>
    <n v="0"/>
    <n v="0"/>
    <n v="0"/>
    <n v="0"/>
    <n v="0"/>
    <n v="36134.079999999994"/>
    <n v="0"/>
    <n v="0"/>
    <n v="0"/>
    <n v="0"/>
    <n v="0"/>
    <n v="0"/>
    <m/>
    <s v="Sonvarsha"/>
    <m/>
    <n v="0"/>
  </r>
  <r>
    <s v="Munger"/>
    <s v="03-09 Jul"/>
    <n v="1006"/>
    <s v="Sonvarsha"/>
    <x v="151"/>
    <s v="MAA BHAGWATI"/>
    <s v="vlc"/>
    <s v="Indirect"/>
    <n v="712.10000000000014"/>
    <n v="26352.18"/>
    <n v="0"/>
    <n v="0"/>
    <n v="0"/>
    <n v="0"/>
    <n v="0"/>
    <n v="0"/>
    <n v="26352.18"/>
    <n v="0"/>
    <n v="0"/>
    <n v="0"/>
    <n v="0"/>
    <n v="0"/>
    <n v="0"/>
    <n v="0"/>
    <n v="0"/>
    <n v="26352.18"/>
    <n v="0"/>
    <n v="0"/>
    <n v="0"/>
    <n v="0"/>
    <n v="0"/>
    <n v="0"/>
    <m/>
    <s v="Sonvarsha"/>
    <m/>
    <n v="0"/>
  </r>
  <r>
    <s v="Munger"/>
    <s v="03-09 Jul"/>
    <n v="1006"/>
    <s v="Sonvarsha"/>
    <x v="152"/>
    <s v="MAIDINICHOKI"/>
    <s v="vlc"/>
    <s v="Indirect"/>
    <n v="399.70000000000005"/>
    <n v="16128.550000000001"/>
    <n v="0"/>
    <n v="0"/>
    <n v="0"/>
    <n v="0"/>
    <n v="0"/>
    <n v="0"/>
    <n v="16128.550000000001"/>
    <n v="0"/>
    <n v="0"/>
    <n v="0"/>
    <n v="0"/>
    <n v="0"/>
    <n v="0"/>
    <n v="0"/>
    <n v="0"/>
    <n v="16128.550000000001"/>
    <n v="0"/>
    <n v="0"/>
    <n v="242.35194220665494"/>
    <n v="57.100000000000009"/>
    <n v="0"/>
    <n v="0"/>
    <m/>
    <s v="Sonvarsha"/>
    <m/>
    <n v="0"/>
  </r>
  <r>
    <s v="Munger"/>
    <s v="03-09 Jul"/>
    <n v="1006"/>
    <s v="Sonvarsha"/>
    <x v="153"/>
    <s v="GOMUKH JAJWARA"/>
    <s v="vlc"/>
    <s v="Indirect"/>
    <n v="1450.8"/>
    <n v="63595.310000000012"/>
    <n v="0"/>
    <n v="0"/>
    <n v="0"/>
    <n v="0"/>
    <n v="0"/>
    <n v="0"/>
    <n v="63595.310000000012"/>
    <n v="0"/>
    <n v="0"/>
    <n v="0"/>
    <n v="24000"/>
    <n v="0"/>
    <n v="0"/>
    <n v="0"/>
    <n v="0"/>
    <n v="39595.310000000012"/>
    <n v="0"/>
    <n v="0"/>
    <n v="0"/>
    <n v="0"/>
    <n v="0"/>
    <n v="0"/>
    <m/>
    <s v="Sonvarsha"/>
    <m/>
    <n v="0"/>
  </r>
  <r>
    <s v="Munger"/>
    <s v="03-09 Jul"/>
    <n v="1006"/>
    <s v="Sonvarsha"/>
    <x v="154"/>
    <s v="Gomukh ID Sonvarsha"/>
    <s v="vlc"/>
    <s v="Indirect"/>
    <n v="2086.0000000000005"/>
    <n v="88981.950000000012"/>
    <n v="0"/>
    <n v="0"/>
    <n v="0"/>
    <n v="0"/>
    <n v="0"/>
    <n v="0"/>
    <n v="88981.950000000012"/>
    <n v="0"/>
    <n v="0"/>
    <n v="0"/>
    <n v="0"/>
    <n v="0"/>
    <n v="0"/>
    <n v="0"/>
    <n v="0"/>
    <n v="88981.950000000012"/>
    <n v="0"/>
    <n v="0"/>
    <n v="0"/>
    <n v="0"/>
    <n v="0"/>
    <n v="0"/>
    <m/>
    <s v="Sonvarsha"/>
    <m/>
    <n v="0"/>
  </r>
  <r>
    <s v="Munger"/>
    <s v="03-09 Jul"/>
    <n v="1059"/>
    <s v="Gopalpur Bmc"/>
    <x v="155"/>
    <s v="BALHAPUR"/>
    <s v="MPG"/>
    <s v="Direct"/>
    <n v="564.5"/>
    <n v="28156.95"/>
    <n v="557.7299999999999"/>
    <n v="27749.01"/>
    <n v="10.74"/>
    <n v="508.94999999999993"/>
    <n v="568.46999999999991"/>
    <n v="28257.96"/>
    <n v="28156.95"/>
    <n v="0"/>
    <n v="508.94999999999993"/>
    <n v="101.0099999999984"/>
    <n v="0"/>
    <n v="0"/>
    <n v="0"/>
    <n v="27648"/>
    <n v="0"/>
    <n v="0"/>
    <n v="0"/>
    <n v="0"/>
    <n v="135.17331178033663"/>
    <n v="80.642857142857139"/>
    <n v="-3.5873913900475157E-3"/>
    <n v="24"/>
    <m/>
    <s v="Gopalpur Bmc"/>
    <m/>
    <n v="0"/>
  </r>
  <r>
    <s v="Munger"/>
    <s v="03-09 Jul"/>
    <n v="1006"/>
    <s v="Sonvarsha"/>
    <x v="156"/>
    <s v="Gomukh ID Husaina"/>
    <s v="vlc"/>
    <s v="Indirect"/>
    <n v="34.700000000000003"/>
    <n v="1205.83"/>
    <n v="0"/>
    <n v="0"/>
    <n v="0"/>
    <n v="0"/>
    <n v="0"/>
    <n v="0"/>
    <n v="1205.83"/>
    <n v="0"/>
    <n v="0"/>
    <n v="0"/>
    <n v="0"/>
    <n v="0"/>
    <n v="0"/>
    <n v="0"/>
    <n v="0"/>
    <n v="1205.83"/>
    <n v="0"/>
    <n v="0"/>
    <n v="462.38541729106618"/>
    <n v="4.9571428571428573"/>
    <n v="0"/>
    <n v="0"/>
    <m/>
    <s v="Sonvarsha"/>
    <m/>
    <n v="0"/>
  </r>
  <r>
    <s v="Munger"/>
    <s v="03-09 Jul"/>
    <n v="1006"/>
    <s v="Sonvarsha"/>
    <x v="157"/>
    <s v="Gomukh ID Prarotol"/>
    <s v="vlc"/>
    <s v="Indirect"/>
    <n v="132.29999999999998"/>
    <n v="5893.1900000000005"/>
    <n v="0"/>
    <n v="0"/>
    <n v="0"/>
    <n v="0"/>
    <n v="0"/>
    <n v="0"/>
    <n v="5893.1900000000005"/>
    <n v="0"/>
    <n v="0"/>
    <n v="0"/>
    <n v="0"/>
    <n v="0"/>
    <n v="0"/>
    <n v="0"/>
    <n v="0"/>
    <n v="5893.1900000000005"/>
    <n v="0"/>
    <n v="0"/>
    <n v="505.75418941798949"/>
    <n v="18.899999999999999"/>
    <n v="0"/>
    <n v="0"/>
    <m/>
    <s v="Sonvarsha"/>
    <m/>
    <n v="0"/>
  </r>
  <r>
    <s v="Munger"/>
    <s v="03-09 Jul"/>
    <n v="1006"/>
    <s v="Sonvarsha"/>
    <x v="158"/>
    <s v="MAA SARDE"/>
    <s v="vlc"/>
    <s v="Indirect"/>
    <n v="1112.2"/>
    <n v="41877.49"/>
    <n v="0"/>
    <n v="0"/>
    <n v="0"/>
    <n v="0"/>
    <n v="0"/>
    <n v="0"/>
    <n v="41877.49"/>
    <n v="0"/>
    <n v="0"/>
    <n v="0"/>
    <n v="0"/>
    <n v="0"/>
    <n v="0"/>
    <n v="0"/>
    <n v="0"/>
    <n v="41877.49"/>
    <n v="0"/>
    <n v="0"/>
    <n v="0"/>
    <n v="0"/>
    <n v="0"/>
    <n v="0"/>
    <m/>
    <s v="Sonvarsha"/>
    <m/>
    <n v="0"/>
  </r>
  <r>
    <s v="Munger"/>
    <s v="03-09 Jul"/>
    <n v="1006"/>
    <s v="Sonvarsha"/>
    <x v="159"/>
    <s v="PURANI DIH"/>
    <s v="vlc"/>
    <s v="Indirect"/>
    <n v="1930.3000000000002"/>
    <n v="77909.98000000001"/>
    <n v="0"/>
    <n v="0"/>
    <n v="0"/>
    <n v="0"/>
    <n v="0"/>
    <n v="0"/>
    <n v="77909.98000000001"/>
    <n v="0"/>
    <n v="0"/>
    <n v="0"/>
    <n v="20250"/>
    <n v="0"/>
    <n v="0"/>
    <n v="0"/>
    <n v="0"/>
    <n v="57659.98000000001"/>
    <n v="0"/>
    <n v="0"/>
    <n v="0"/>
    <n v="0"/>
    <n v="0"/>
    <n v="0"/>
    <m/>
    <s v="Sonvarsha"/>
    <m/>
    <n v="0"/>
  </r>
  <r>
    <s v="Munger"/>
    <s v="03-09 Jul"/>
    <n v="1006"/>
    <s v="Sonvarsha"/>
    <x v="160"/>
    <s v="Farda Ravi Tola"/>
    <s v="MPG"/>
    <s v="Direct"/>
    <n v="769.69999999999993"/>
    <n v="29413.059999999998"/>
    <n v="412.6"/>
    <n v="16367.900000000001"/>
    <n v="338.4"/>
    <n v="13366.279999999999"/>
    <n v="751"/>
    <n v="29734.18"/>
    <n v="29413.059999999998"/>
    <n v="0"/>
    <n v="500.9"/>
    <n v="321.12000000000262"/>
    <n v="28912"/>
    <n v="0"/>
    <n v="0"/>
    <n v="0"/>
    <n v="0"/>
    <n v="0"/>
    <n v="0"/>
    <s v="Release1"/>
    <n v="0"/>
    <n v="0"/>
    <n v="-1.0917599188931809E-2"/>
    <n v="24"/>
    <m/>
    <s v="Sonvarsha"/>
    <m/>
    <n v="0"/>
  </r>
  <r>
    <s v="Munger"/>
    <s v="03-09 Jul"/>
    <n v="1006"/>
    <s v="Sonvarsha"/>
    <x v="161"/>
    <s v="Gomukh Puranidih 2"/>
    <s v="vlc"/>
    <s v="Indirect"/>
    <n v="152.30000000000001"/>
    <n v="6625.35"/>
    <n v="0"/>
    <n v="0"/>
    <n v="0"/>
    <n v="0"/>
    <n v="0"/>
    <n v="0"/>
    <n v="6625.35"/>
    <n v="0"/>
    <n v="0"/>
    <n v="0"/>
    <n v="0"/>
    <n v="0"/>
    <n v="0"/>
    <n v="0"/>
    <n v="0"/>
    <n v="6625.35"/>
    <n v="0"/>
    <n v="0"/>
    <n v="476.52057715036108"/>
    <n v="21.75714285714286"/>
    <n v="0"/>
    <n v="0"/>
    <m/>
    <s v="Sonvarsha"/>
    <m/>
    <n v="0"/>
  </r>
  <r>
    <s v="Munger"/>
    <s v="03-09 Jul"/>
    <n v="1006"/>
    <s v="Sonvarsha"/>
    <x v="162"/>
    <s v="Gomukh Arma"/>
    <s v="MPG"/>
    <s v="Direct"/>
    <n v="757.39999999999986"/>
    <n v="40149.710000000006"/>
    <n v="552.79999999999995"/>
    <n v="29811.299999999996"/>
    <n v="207.70000000000002"/>
    <n v="10986.27"/>
    <n v="760.5"/>
    <n v="40797.569999999992"/>
    <n v="40149.710000000006"/>
    <n v="0"/>
    <n v="0"/>
    <n v="647.85999999998603"/>
    <n v="0"/>
    <n v="0"/>
    <n v="0"/>
    <n v="29164"/>
    <n v="10986"/>
    <n v="0"/>
    <n v="0"/>
    <n v="0"/>
    <n v="0"/>
    <n v="0"/>
    <n v="-1.6136106587070889E-2"/>
    <n v="11"/>
    <m/>
    <s v="Sonvarsha"/>
    <m/>
    <n v="0"/>
  </r>
  <r>
    <s v="Munger"/>
    <s v="03-09 Jul"/>
    <n v="1059"/>
    <s v="Gopalpur Bmc"/>
    <x v="163"/>
    <s v="Singhchak"/>
    <s v="MPG"/>
    <s v="Direct"/>
    <n v="1768.3999999999999"/>
    <n v="79784.329999999987"/>
    <n v="1760.14"/>
    <n v="79732.570000000007"/>
    <n v="19.600000000000001"/>
    <n v="880.33"/>
    <n v="1779.74"/>
    <n v="80612.900000000009"/>
    <n v="79784.329999999987"/>
    <n v="0"/>
    <n v="880.33"/>
    <n v="828.57000000002154"/>
    <n v="0"/>
    <n v="0"/>
    <n v="0"/>
    <n v="78904"/>
    <n v="0"/>
    <n v="0"/>
    <n v="0"/>
    <n v="0"/>
    <n v="0"/>
    <n v="0"/>
    <n v="-1.0385121990747075E-2"/>
    <n v="79"/>
    <m/>
    <s v="Gopalpur Bmc"/>
    <m/>
    <n v="0"/>
  </r>
  <r>
    <s v="Munger"/>
    <s v="03-09 Jul"/>
    <n v="1006"/>
    <s v="Sonvarsha"/>
    <x v="164"/>
    <s v="MAHA-LAXMI"/>
    <s v="vlc"/>
    <s v="Indirect"/>
    <n v="396.90000000000003"/>
    <n v="15129.240000000002"/>
    <n v="0"/>
    <n v="0"/>
    <n v="0"/>
    <n v="0"/>
    <n v="0"/>
    <n v="0"/>
    <n v="15129.240000000002"/>
    <n v="0"/>
    <n v="0"/>
    <n v="0"/>
    <n v="0"/>
    <n v="0"/>
    <n v="0"/>
    <n v="0"/>
    <n v="0"/>
    <n v="15129.240000000002"/>
    <n v="0"/>
    <n v="0"/>
    <n v="231.07445925925924"/>
    <n v="56.7"/>
    <n v="0"/>
    <n v="0"/>
    <m/>
    <s v="Sonvarsha"/>
    <m/>
    <n v="0"/>
  </r>
  <r>
    <s v="Munger"/>
    <s v="03-09 Jul"/>
    <n v="1006"/>
    <s v="Sonvarsha"/>
    <x v="165"/>
    <s v="PAWAI"/>
    <s v="MPG"/>
    <s v="Direct"/>
    <n v="2093.5000000000005"/>
    <n v="102597.69"/>
    <n v="1751.64"/>
    <n v="85807.07"/>
    <n v="357.38"/>
    <n v="17243"/>
    <n v="2109.02"/>
    <n v="103050.07"/>
    <n v="102597.69"/>
    <n v="0"/>
    <n v="1065.0100000000002"/>
    <n v="452.38000000000466"/>
    <n v="0"/>
    <n v="0"/>
    <n v="0"/>
    <n v="85355"/>
    <n v="16178"/>
    <n v="0"/>
    <n v="0"/>
    <n v="0"/>
    <n v="0"/>
    <n v="0"/>
    <n v="-4.4092610662092354E-3"/>
    <n v="37"/>
    <m/>
    <s v="Sonvarsha"/>
    <m/>
    <n v="0"/>
  </r>
  <r>
    <s v="Munger"/>
    <s v="03-09 Jul"/>
    <n v="1006"/>
    <s v="Sonvarsha"/>
    <x v="166"/>
    <s v="LAKHOCHAK                                                                                           "/>
    <s v="MPG"/>
    <s v="Direct"/>
    <n v="497"/>
    <n v="20313.7"/>
    <n v="478.22000000000008"/>
    <n v="22261.97"/>
    <n v="0"/>
    <n v="0"/>
    <n v="478.22000000000008"/>
    <n v="22261.97"/>
    <n v="20313.7"/>
    <n v="0"/>
    <n v="0"/>
    <n v="1948.2700000000004"/>
    <n v="0"/>
    <n v="0"/>
    <n v="0"/>
    <n v="20314"/>
    <n v="0"/>
    <n v="0"/>
    <n v="0"/>
    <n v="0"/>
    <n v="165.94290140845072"/>
    <n v="71"/>
    <n v="-9.5909164750882431E-2"/>
    <n v="11"/>
    <m/>
    <s v="Sonvarsha"/>
    <m/>
    <n v="0"/>
  </r>
  <r>
    <s v="Munger"/>
    <s v="03-09 Jul"/>
    <n v="1059"/>
    <s v="Gopalpur Bmc"/>
    <x v="167"/>
    <s v="BATTA RAMPUR                                                                                        "/>
    <s v="MPG"/>
    <s v="Direct"/>
    <n v="3657.0000000000005"/>
    <n v="193574.91999999995"/>
    <n v="3732.2699999999995"/>
    <n v="194550.28999999995"/>
    <n v="35.99"/>
    <n v="2306.85"/>
    <n v="3768.2599999999993"/>
    <n v="196857.13999999996"/>
    <n v="193574.91999999995"/>
    <n v="0"/>
    <n v="2306.85"/>
    <n v="3282.2200000000012"/>
    <n v="15000"/>
    <n v="0"/>
    <n v="0"/>
    <n v="176268"/>
    <n v="0"/>
    <n v="0"/>
    <n v="0"/>
    <n v="0"/>
    <n v="0"/>
    <n v="0"/>
    <n v="-1.6955812250884578E-2"/>
    <n v="58"/>
    <m/>
    <s v="Gopalpur Bmc"/>
    <m/>
    <n v="0"/>
  </r>
  <r>
    <s v="Munger"/>
    <s v="03-09 Jul"/>
    <n v="1006"/>
    <s v="Sonvarsha"/>
    <x v="168"/>
    <s v="URAIN"/>
    <s v="MPG"/>
    <s v="Direct"/>
    <n v="2233.9"/>
    <n v="115135.2"/>
    <n v="768.80000000000007"/>
    <n v="41631.850000000013"/>
    <n v="2084.2599999999998"/>
    <n v="115133.31"/>
    <n v="2853.06"/>
    <n v="156765.16"/>
    <n v="115135.2"/>
    <n v="0"/>
    <n v="51.65"/>
    <n v="41629.960000000006"/>
    <n v="0"/>
    <n v="0"/>
    <n v="0"/>
    <n v="2"/>
    <n v="115082"/>
    <n v="0"/>
    <n v="0"/>
    <n v="0"/>
    <n v="0"/>
    <n v="0"/>
    <n v="-0.36157456624907075"/>
    <n v="13"/>
    <m/>
    <s v="Sonvarsha"/>
    <m/>
    <n v="0"/>
  </r>
  <r>
    <s v="Munger"/>
    <s v="03-09 Jul"/>
    <n v="1006"/>
    <s v="Sonvarsha"/>
    <x v="169"/>
    <s v="RANDHIR KUMAR(VLC)"/>
    <s v="vlc"/>
    <s v="Indirect"/>
    <n v="150.5"/>
    <n v="5962.27"/>
    <n v="0"/>
    <n v="0"/>
    <n v="0"/>
    <n v="0"/>
    <n v="0"/>
    <n v="0"/>
    <n v="5962.27"/>
    <n v="0"/>
    <n v="0"/>
    <n v="0"/>
    <n v="0"/>
    <n v="0"/>
    <n v="0"/>
    <n v="0"/>
    <n v="0"/>
    <n v="5962.27"/>
    <n v="0"/>
    <n v="0"/>
    <n v="435.38436744186055"/>
    <n v="21.5"/>
    <n v="0"/>
    <n v="0"/>
    <m/>
    <s v="Sonvarsha"/>
    <m/>
    <n v="0"/>
  </r>
  <r>
    <s v="Munger"/>
    <s v="03-09 Jul"/>
    <n v="1059"/>
    <s v="Gopalpur Bmc"/>
    <x v="170"/>
    <s v="MALIYA"/>
    <s v="MPG"/>
    <s v="Direct"/>
    <n v="756.3"/>
    <n v="36330.450000000004"/>
    <n v="739.09"/>
    <n v="36368.110000000008"/>
    <n v="8.4"/>
    <n v="467.66"/>
    <n v="747.49"/>
    <n v="36835.770000000011"/>
    <n v="36330.450000000004"/>
    <n v="0"/>
    <n v="467.66"/>
    <n v="505.32000000000698"/>
    <n v="0"/>
    <n v="0"/>
    <n v="0"/>
    <n v="35863"/>
    <n v="0"/>
    <n v="0"/>
    <n v="0"/>
    <n v="0"/>
    <n v="0"/>
    <n v="0"/>
    <n v="-1.3908993695371429E-2"/>
    <n v="31"/>
    <m/>
    <s v="Gopalpur Bmc"/>
    <m/>
    <n v="0"/>
  </r>
  <r>
    <s v="Munger"/>
    <s v="03-09 Jul"/>
    <n v="1059"/>
    <s v="Gopalpur Bmc"/>
    <x v="171"/>
    <s v="MAHULIYA"/>
    <s v="MPG"/>
    <s v="Direct"/>
    <n v="878.5"/>
    <n v="40986.890000000007"/>
    <n v="887.5100000000001"/>
    <n v="40861.310000000012"/>
    <n v="10.85"/>
    <n v="487.9"/>
    <n v="898.36000000000013"/>
    <n v="41349.210000000014"/>
    <n v="40986.890000000007"/>
    <n v="0"/>
    <n v="487.9"/>
    <n v="362.32000000000698"/>
    <n v="0"/>
    <n v="0"/>
    <n v="0"/>
    <n v="40499"/>
    <n v="0"/>
    <n v="0"/>
    <n v="0"/>
    <n v="0"/>
    <n v="0"/>
    <n v="0"/>
    <n v="-8.8398997825891879E-3"/>
    <n v="21"/>
    <m/>
    <s v="Gopalpur Bmc"/>
    <m/>
    <n v="0"/>
  </r>
  <r>
    <s v="Munger"/>
    <s v="03-09 Jul"/>
    <n v="1006"/>
    <s v="Sonvarsha"/>
    <x v="172"/>
    <s v="ABGIL RAMPUR"/>
    <s v="vlc"/>
    <s v="Indirect"/>
    <n v="98.6"/>
    <n v="3482.3"/>
    <n v="0"/>
    <n v="0"/>
    <n v="0"/>
    <n v="0"/>
    <n v="0"/>
    <n v="0"/>
    <n v="3482.3"/>
    <n v="0"/>
    <n v="0"/>
    <n v="0"/>
    <n v="0"/>
    <n v="0"/>
    <n v="0"/>
    <n v="0"/>
    <n v="0"/>
    <n v="3482.3"/>
    <n v="0"/>
    <n v="0"/>
    <n v="424.79821906693718"/>
    <n v="14.085714285714285"/>
    <n v="0"/>
    <n v="0"/>
    <m/>
    <s v="Sonvarsha"/>
    <m/>
    <n v="0"/>
  </r>
  <r>
    <s v="Munger"/>
    <s v="03-09 Jul"/>
    <n v="1006"/>
    <s v="Sonvarsha"/>
    <x v="173"/>
    <s v="RUPESH KUMAR"/>
    <s v="vlc"/>
    <s v="Indirect"/>
    <n v="47.7"/>
    <n v="1766.27"/>
    <n v="0"/>
    <n v="0"/>
    <n v="0"/>
    <n v="0"/>
    <n v="0"/>
    <n v="0"/>
    <n v="1766.27"/>
    <n v="0"/>
    <n v="0"/>
    <n v="0"/>
    <n v="0"/>
    <n v="0"/>
    <n v="0"/>
    <n v="0"/>
    <n v="0"/>
    <n v="1766.27"/>
    <n v="0"/>
    <n v="0"/>
    <n v="483.07669643605863"/>
    <n v="6.8142857142857149"/>
    <n v="0"/>
    <n v="0"/>
    <m/>
    <s v="Sonvarsha"/>
    <m/>
    <n v="0"/>
  </r>
  <r>
    <s v="Munger"/>
    <s v="03-09 Jul"/>
    <n v="1006"/>
    <s v="Sonvarsha"/>
    <x v="174"/>
    <s v="ABGIL HUSSAINA-2                                                                                    "/>
    <s v="MPG"/>
    <s v="Direct"/>
    <n v="477.6"/>
    <n v="19128.93"/>
    <n v="301.93"/>
    <n v="12322.92"/>
    <n v="166.31"/>
    <n v="6931.55"/>
    <n v="468.24"/>
    <n v="19254.47"/>
    <n v="19128.93"/>
    <n v="0"/>
    <n v="149.66999999999999"/>
    <n v="125.54000000000087"/>
    <n v="0"/>
    <n v="0"/>
    <n v="0"/>
    <n v="12197"/>
    <n v="6782"/>
    <n v="0"/>
    <n v="0"/>
    <n v="0"/>
    <n v="178.15217889447234"/>
    <n v="68.228571428571428"/>
    <n v="-6.5628344084065794E-3"/>
    <n v="6"/>
    <m/>
    <s v="Sonvarsha"/>
    <m/>
    <n v="0"/>
  </r>
  <r>
    <s v="Munger"/>
    <s v="03-09 Jul"/>
    <n v="1006"/>
    <s v="Sonvarsha"/>
    <x v="175"/>
    <s v="Manish Kumar                                                                                        "/>
    <s v="vlc"/>
    <s v="Indirect"/>
    <n v="161.60000000000002"/>
    <n v="5910.23"/>
    <n v="0"/>
    <n v="0"/>
    <n v="0"/>
    <n v="0"/>
    <n v="0"/>
    <n v="0"/>
    <n v="5910.23"/>
    <n v="0"/>
    <n v="0"/>
    <n v="0"/>
    <n v="0"/>
    <n v="0"/>
    <n v="0"/>
    <n v="0"/>
    <n v="0"/>
    <n v="5910.23"/>
    <n v="0"/>
    <n v="0"/>
    <n v="393.8202762376236"/>
    <n v="23.085714285714289"/>
    <n v="0"/>
    <n v="0"/>
    <m/>
    <s v="Sonvarsha"/>
    <m/>
    <n v="0"/>
  </r>
  <r>
    <s v="Munger"/>
    <s v="03-09 Jul"/>
    <n v="1006"/>
    <s v="Sonvarsha"/>
    <x v="176"/>
    <s v="AKHA-KURHA"/>
    <s v="vlc"/>
    <s v="Indirect"/>
    <n v="348.59999999999997"/>
    <n v="14725.539999999999"/>
    <n v="0"/>
    <n v="0"/>
    <n v="0"/>
    <n v="0"/>
    <n v="0"/>
    <n v="0"/>
    <n v="14725.539999999999"/>
    <n v="0"/>
    <n v="0"/>
    <n v="0"/>
    <n v="0"/>
    <n v="0"/>
    <n v="0"/>
    <n v="0"/>
    <n v="0"/>
    <n v="14725.539999999999"/>
    <n v="0"/>
    <n v="0"/>
    <n v="296.87634859437759"/>
    <n v="49.8"/>
    <n v="0"/>
    <n v="0"/>
    <m/>
    <s v="Sonvarsha"/>
    <m/>
    <n v="0"/>
  </r>
  <r>
    <s v="Munger"/>
    <s v="03-09 Jul"/>
    <n v="1059"/>
    <s v="Gopalpur Bmc"/>
    <x v="177"/>
    <s v="BHANDAR"/>
    <s v="MPG"/>
    <s v="Direct"/>
    <n v="277"/>
    <n v="12980.53"/>
    <n v="277"/>
    <n v="12965.98"/>
    <n v="0"/>
    <n v="0"/>
    <n v="277"/>
    <n v="12965.98"/>
    <n v="12965.98"/>
    <n v="0"/>
    <n v="0"/>
    <n v="0"/>
    <n v="0"/>
    <n v="0"/>
    <n v="0"/>
    <n v="12966"/>
    <n v="0"/>
    <n v="0"/>
    <n v="15"/>
    <n v="0"/>
    <n v="396.4450678700361"/>
    <n v="39.571428571428569"/>
    <n v="1.1209095468367695E-3"/>
    <n v="1"/>
    <m/>
    <s v="Gopalpur Bmc"/>
    <m/>
    <n v="0"/>
  </r>
  <r>
    <s v="Munger"/>
    <s v="03-09 Jul"/>
    <n v="1059"/>
    <s v="Gopalpur Bmc"/>
    <x v="178"/>
    <s v="BASMATIYA"/>
    <s v="MPG"/>
    <s v="Direct"/>
    <n v="347.01000000000005"/>
    <n v="15744.250000000004"/>
    <n v="335.21999999999997"/>
    <n v="15760.18"/>
    <n v="6.1300000000000008"/>
    <n v="279.24000000000007"/>
    <n v="341.34999999999997"/>
    <n v="16039.42"/>
    <n v="15744.250000000004"/>
    <n v="0"/>
    <n v="279.24000000000007"/>
    <n v="295.16999999999643"/>
    <n v="3000"/>
    <n v="0"/>
    <n v="0"/>
    <n v="12465"/>
    <n v="0"/>
    <n v="0"/>
    <n v="0"/>
    <s v="Release1"/>
    <n v="320.31139203481166"/>
    <n v="49.572857142857153"/>
    <n v="-1.8747796814709901E-2"/>
    <n v="9"/>
    <m/>
    <s v="Gopalpur Bmc"/>
    <m/>
    <n v="0"/>
  </r>
  <r>
    <s v="Munger"/>
    <s v="03-09 Jul"/>
    <n v="1006"/>
    <s v="Sonvarsha"/>
    <x v="179"/>
    <s v="AKHA KURHA"/>
    <s v="MPG"/>
    <s v="Direct"/>
    <n v="368.3"/>
    <n v="15144.220000000001"/>
    <n v="367.6"/>
    <n v="15198.76"/>
    <n v="0"/>
    <n v="0"/>
    <n v="367.6"/>
    <n v="15198.76"/>
    <n v="15144.220000000001"/>
    <n v="0"/>
    <n v="0"/>
    <n v="54.539999999999054"/>
    <n v="0"/>
    <n v="0"/>
    <n v="0"/>
    <n v="15144"/>
    <n v="0"/>
    <n v="0"/>
    <n v="0"/>
    <n v="0"/>
    <n v="272.78510855281019"/>
    <n v="52.614285714285714"/>
    <n v="-3.6013739895484251E-3"/>
    <n v="1"/>
    <m/>
    <s v="Sonvarsha"/>
    <m/>
    <n v="0"/>
  </r>
  <r>
    <s v="Munger"/>
    <s v="03-09 Jul"/>
    <n v="1006"/>
    <s v="Sonvarsha"/>
    <x v="180"/>
    <s v="TILATHI"/>
    <s v="MPG"/>
    <s v="Direct"/>
    <n v="1484.9999999999995"/>
    <n v="63612.890000000021"/>
    <n v="1343.12"/>
    <n v="54917.369999999995"/>
    <n v="187.44"/>
    <n v="8765.5800000000017"/>
    <n v="1530.56"/>
    <n v="63682.95"/>
    <n v="63612.890000000021"/>
    <n v="0"/>
    <n v="818.26"/>
    <n v="70.059999999975844"/>
    <n v="0"/>
    <n v="0"/>
    <n v="0"/>
    <n v="54848"/>
    <n v="7947"/>
    <n v="0"/>
    <n v="0"/>
    <n v="0"/>
    <n v="0"/>
    <n v="0"/>
    <n v="-1.1013491133632794E-3"/>
    <n v="37"/>
    <m/>
    <s v="Sonvarsha"/>
    <m/>
    <n v="0"/>
  </r>
  <r>
    <s v="Munger"/>
    <s v="03-09 Jul"/>
    <n v="1006"/>
    <s v="Sonvarsha"/>
    <x v="181"/>
    <s v="GOMUKH WESTOL"/>
    <s v="vlc"/>
    <s v="Indirect"/>
    <n v="249"/>
    <n v="9924.16"/>
    <n v="0"/>
    <n v="0"/>
    <n v="0"/>
    <n v="0"/>
    <n v="0"/>
    <n v="0"/>
    <n v="9924.16"/>
    <n v="0"/>
    <n v="0"/>
    <n v="0"/>
    <n v="0"/>
    <n v="0"/>
    <n v="0"/>
    <n v="0"/>
    <n v="0"/>
    <n v="9924.16"/>
    <n v="0"/>
    <n v="0"/>
    <n v="359.50169959839354"/>
    <n v="35.571428571428569"/>
    <n v="0"/>
    <n v="0"/>
    <m/>
    <s v="Sonvarsha"/>
    <m/>
    <n v="0"/>
  </r>
  <r>
    <s v="Munger"/>
    <s v="03-09 Jul"/>
    <n v="1006"/>
    <s v="Sonvarsha"/>
    <x v="182"/>
    <s v="GOMUKH NAWTOLIYA(OM PRAKASH)"/>
    <s v="vlc"/>
    <s v="Indirect"/>
    <n v="518.80000000000007"/>
    <n v="17305.009999999998"/>
    <n v="0"/>
    <n v="0"/>
    <n v="0"/>
    <n v="0"/>
    <n v="0"/>
    <n v="0"/>
    <n v="17305.009999999998"/>
    <n v="0"/>
    <n v="0"/>
    <n v="0"/>
    <n v="0"/>
    <n v="0"/>
    <n v="0"/>
    <n v="0"/>
    <n v="0"/>
    <n v="17305.009999999998"/>
    <n v="0"/>
    <n v="0"/>
    <n v="120.88156561295287"/>
    <n v="74.114285714285728"/>
    <n v="0"/>
    <n v="0"/>
    <m/>
    <s v="Sonvarsha"/>
    <m/>
    <n v="0"/>
  </r>
  <r>
    <s v="Munger"/>
    <s v="03-09 Jul"/>
    <n v="1059"/>
    <s v="Gopalpur Bmc"/>
    <x v="183"/>
    <s v="SANGRAMPUR"/>
    <s v="MPG"/>
    <s v="Direct"/>
    <n v="684.09999999999991"/>
    <n v="34045.43"/>
    <n v="684.1"/>
    <n v="34045.43"/>
    <n v="0"/>
    <n v="0"/>
    <n v="684.1"/>
    <n v="34045.43"/>
    <n v="34045.43"/>
    <n v="0"/>
    <n v="0"/>
    <n v="0"/>
    <n v="0"/>
    <n v="0"/>
    <n v="0"/>
    <n v="34045"/>
    <n v="0"/>
    <n v="0"/>
    <n v="0"/>
    <n v="0"/>
    <n v="15.825824791697228"/>
    <n v="97.728571428571414"/>
    <n v="0"/>
    <n v="3"/>
    <m/>
    <s v="Gopalpur Bmc"/>
    <m/>
    <n v="0"/>
  </r>
  <r>
    <s v="Munger"/>
    <s v="03-09 Jul"/>
    <n v="1006"/>
    <s v="Sonvarsha"/>
    <x v="184"/>
    <s v="GOMUKH CHASMASKAN"/>
    <s v="vlc"/>
    <s v="Indirect"/>
    <n v="30.2"/>
    <n v="1297.43"/>
    <n v="0"/>
    <n v="0"/>
    <n v="0"/>
    <n v="0"/>
    <n v="0"/>
    <n v="0"/>
    <n v="1297.43"/>
    <n v="0"/>
    <n v="0"/>
    <n v="0"/>
    <n v="0"/>
    <n v="0"/>
    <n v="0"/>
    <n v="0"/>
    <n v="0"/>
    <n v="1297.43"/>
    <n v="0"/>
    <n v="0"/>
    <n v="575.50901589403975"/>
    <n v="4.3142857142857141"/>
    <n v="0"/>
    <n v="0"/>
    <m/>
    <s v="Sonvarsha"/>
    <m/>
    <n v="0"/>
  </r>
  <r>
    <s v="Munger"/>
    <s v="03-09 Jul"/>
    <n v="1006"/>
    <s v="Sonvarsha"/>
    <x v="185"/>
    <s v="RAMDEV TOLA"/>
    <s v="MPG"/>
    <s v="Direct"/>
    <n v="1291.3999999999999"/>
    <n v="57091.360000000001"/>
    <n v="576.73"/>
    <n v="27280.2"/>
    <n v="717.31"/>
    <n v="29769.05"/>
    <n v="1294.04"/>
    <n v="57049.25"/>
    <n v="57049.25"/>
    <n v="0"/>
    <n v="406.01"/>
    <n v="0"/>
    <n v="0"/>
    <n v="0"/>
    <n v="0"/>
    <n v="27280"/>
    <n v="29363"/>
    <n v="0"/>
    <n v="42"/>
    <n v="0"/>
    <n v="0"/>
    <n v="0"/>
    <n v="7.3758971585193597E-4"/>
    <n v="16"/>
    <m/>
    <s v="Sonvarsha"/>
    <m/>
    <n v="0"/>
  </r>
  <r>
    <s v="Munger"/>
    <s v="03-09 Jul"/>
    <n v="1006"/>
    <s v="Sonvarsha"/>
    <x v="186"/>
    <s v="GOMUKH KATEHAR"/>
    <s v="vlc"/>
    <s v="Indirect"/>
    <n v="1669"/>
    <n v="61182.19"/>
    <n v="0"/>
    <n v="0"/>
    <n v="0"/>
    <n v="0"/>
    <n v="0"/>
    <n v="0"/>
    <n v="61182.19"/>
    <n v="0"/>
    <n v="0"/>
    <n v="0"/>
    <n v="0"/>
    <n v="0"/>
    <n v="0"/>
    <n v="0"/>
    <n v="0"/>
    <n v="61182.19"/>
    <n v="0"/>
    <n v="0"/>
    <n v="0"/>
    <n v="0"/>
    <n v="0"/>
    <n v="0"/>
    <m/>
    <s v="Sonvarsha"/>
    <m/>
    <n v="0"/>
  </r>
  <r>
    <s v="Munger"/>
    <s v="03-09 Jul"/>
    <n v="1006"/>
    <s v="Sonvarsha"/>
    <x v="187"/>
    <s v="PIPARPATI"/>
    <s v="MPG"/>
    <s v="Direct"/>
    <n v="656"/>
    <n v="32486.400000000001"/>
    <n v="647.4"/>
    <n v="33851.859999999993"/>
    <n v="36.729999999999997"/>
    <n v="1598.3899999999999"/>
    <n v="684.13"/>
    <n v="35450.249999999993"/>
    <n v="32486.400000000001"/>
    <n v="0"/>
    <n v="1598.3899999999999"/>
    <n v="2963.8499999999913"/>
    <n v="0"/>
    <n v="0"/>
    <n v="0"/>
    <n v="30888"/>
    <n v="0"/>
    <n v="0"/>
    <n v="0"/>
    <n v="0"/>
    <n v="43.579317073170778"/>
    <n v="93.714285714285708"/>
    <n v="-9.1233562352245584E-2"/>
    <n v="11"/>
    <m/>
    <s v="Sonvarsha"/>
    <m/>
    <n v="0"/>
  </r>
  <r>
    <s v="Munger"/>
    <s v="03-09 Jul"/>
    <n v="1006"/>
    <s v="Sonvarsha"/>
    <x v="188"/>
    <s v="GOMUKH JAGMAGLA"/>
    <s v="vlc"/>
    <s v="Indirect"/>
    <n v="938.3"/>
    <n v="37824.269999999997"/>
    <n v="0"/>
    <n v="0"/>
    <n v="0"/>
    <n v="0"/>
    <n v="0"/>
    <n v="0"/>
    <n v="37824.269999999997"/>
    <n v="0"/>
    <n v="0"/>
    <n v="0"/>
    <n v="0"/>
    <n v="0"/>
    <n v="0"/>
    <n v="0"/>
    <n v="0"/>
    <n v="37824.269999999997"/>
    <n v="0"/>
    <n v="0"/>
    <n v="0"/>
    <n v="0"/>
    <n v="0"/>
    <n v="0"/>
    <m/>
    <s v="Sonvarsha"/>
    <m/>
    <n v="0"/>
  </r>
  <r>
    <s v="Munger"/>
    <s v="03-09 Jul"/>
    <n v="1006"/>
    <s v="Sonvarsha"/>
    <x v="189"/>
    <s v="ORABAGICHA"/>
    <s v="MPG"/>
    <s v="Direct"/>
    <n v="485.20000000000005"/>
    <n v="20343.490000000002"/>
    <n v="434.39999999999992"/>
    <n v="17935.669999999998"/>
    <n v="45.400000000000006"/>
    <n v="1901.07"/>
    <n v="479.79999999999995"/>
    <n v="19836.739999999998"/>
    <n v="19836.739999999998"/>
    <n v="0"/>
    <n v="112.69"/>
    <n v="0"/>
    <n v="6750"/>
    <n v="500"/>
    <n v="0"/>
    <n v="10686"/>
    <n v="1788"/>
    <n v="0"/>
    <n v="507"/>
    <s v="Release1"/>
    <n v="180.1229040395713"/>
    <n v="69.314285714285717"/>
    <n v="2.4909688553930696E-2"/>
    <n v="7"/>
    <m/>
    <s v="Sonvarsha"/>
    <m/>
    <n v="500"/>
  </r>
  <r>
    <s v="Munger"/>
    <s v="03-09 Jul"/>
    <n v="1006"/>
    <s v="Sonvarsha"/>
    <x v="190"/>
    <s v="KHAJURIYA"/>
    <s v="MPG"/>
    <s v="Direct"/>
    <n v="403"/>
    <n v="17622.100000000002"/>
    <n v="377.46000000000004"/>
    <n v="21374.22"/>
    <n v="0"/>
    <n v="0"/>
    <n v="377.46000000000004"/>
    <n v="21374.22"/>
    <n v="17622.100000000002"/>
    <n v="0"/>
    <n v="0"/>
    <n v="3752.119999999999"/>
    <n v="0"/>
    <n v="0"/>
    <n v="0"/>
    <n v="17622"/>
    <n v="0"/>
    <n v="0"/>
    <n v="0"/>
    <s v="Release3"/>
    <n v="259.74013399503724"/>
    <n v="57.571428571428569"/>
    <n v="-0.21292127498992733"/>
    <n v="3"/>
    <m/>
    <s v="Sonvarsha"/>
    <m/>
    <n v="0"/>
  </r>
  <r>
    <s v="Munger"/>
    <s v="03-09 Jul"/>
    <n v="1006"/>
    <s v="Sonvarsha"/>
    <x v="191"/>
    <s v="NAYA SALEMPUR"/>
    <s v="vlc"/>
    <s v="Indirect"/>
    <n v="894.5"/>
    <n v="35846.100000000006"/>
    <n v="0"/>
    <n v="0"/>
    <n v="0"/>
    <n v="0"/>
    <n v="0"/>
    <n v="0"/>
    <n v="35846.100000000006"/>
    <n v="0"/>
    <n v="0"/>
    <n v="0"/>
    <n v="0"/>
    <n v="0"/>
    <n v="0"/>
    <n v="0"/>
    <n v="0"/>
    <n v="35846.100000000006"/>
    <n v="0"/>
    <n v="0"/>
    <n v="0"/>
    <n v="0"/>
    <n v="0"/>
    <n v="0"/>
    <m/>
    <s v="Sonvarsha"/>
    <m/>
    <n v="0"/>
  </r>
  <r>
    <s v="Munger"/>
    <s v="03-09 Jul"/>
    <n v="1006"/>
    <s v="Sonvarsha"/>
    <x v="192"/>
    <s v="MANO 2"/>
    <s v="MPG"/>
    <s v="Direct"/>
    <n v="256.2"/>
    <n v="11375.87"/>
    <n v="258.59999999999997"/>
    <n v="11389.08"/>
    <n v="0"/>
    <n v="0"/>
    <n v="258.59999999999997"/>
    <n v="11389.08"/>
    <n v="11375.87"/>
    <n v="0"/>
    <n v="0"/>
    <n v="13.209999999999127"/>
    <n v="0"/>
    <n v="0"/>
    <n v="0"/>
    <n v="11376"/>
    <n v="0"/>
    <n v="0"/>
    <n v="0"/>
    <n v="0"/>
    <n v="394.11484043715848"/>
    <n v="36.6"/>
    <n v="-1.1612298663749784E-3"/>
    <n v="1"/>
    <m/>
    <s v="Sonvarsha"/>
    <m/>
    <n v="0"/>
  </r>
  <r>
    <s v="Munger"/>
    <s v="03-09 Jul"/>
    <n v="1006"/>
    <s v="Sonvarsha"/>
    <x v="193"/>
    <s v="Champanagar"/>
    <s v="MPG"/>
    <s v="Direct"/>
    <n v="547.6"/>
    <n v="28908.710000000006"/>
    <n v="590.78000000000009"/>
    <n v="31580.640000000003"/>
    <n v="0"/>
    <n v="0"/>
    <n v="590.78000000000009"/>
    <n v="31580.640000000003"/>
    <n v="28908.710000000006"/>
    <n v="0"/>
    <n v="0"/>
    <n v="2671.9299999999967"/>
    <n v="0"/>
    <n v="500"/>
    <n v="0"/>
    <n v="28409"/>
    <n v="0"/>
    <n v="0"/>
    <n v="0"/>
    <n v="0"/>
    <n v="160.90896289262238"/>
    <n v="78.228571428571428"/>
    <n v="-9.242646939278841E-2"/>
    <n v="3"/>
    <m/>
    <s v="Sonvarsha"/>
    <m/>
    <n v="500"/>
  </r>
  <r>
    <s v="Munger"/>
    <s v="03-09 Jul"/>
    <n v="1006"/>
    <s v="Sonvarsha"/>
    <x v="194"/>
    <s v="LOSDHANI"/>
    <s v="MPG"/>
    <s v="Direct"/>
    <n v="130"/>
    <n v="4787.9600000000009"/>
    <n v="129.30000000000001"/>
    <n v="4822.53"/>
    <n v="0.79999999999999993"/>
    <n v="30.05"/>
    <n v="130.10000000000002"/>
    <n v="4852.58"/>
    <n v="4787.9600000000009"/>
    <n v="0"/>
    <n v="30.05"/>
    <n v="64.619999999998981"/>
    <n v="0"/>
    <n v="0"/>
    <n v="0"/>
    <n v="4758"/>
    <n v="0"/>
    <n v="0"/>
    <n v="0"/>
    <n v="0"/>
    <n v="419.86726153846166"/>
    <n v="18.571428571428573"/>
    <n v="-1.3496353352993543E-2"/>
    <n v="2"/>
    <m/>
    <s v="Sonvarsha"/>
    <m/>
    <n v="0"/>
  </r>
  <r>
    <s v="Munger"/>
    <s v="03-09 Jul"/>
    <n v="1006"/>
    <s v="Sonvarsha"/>
    <x v="195"/>
    <s v="GOMUKH BAGALWA"/>
    <s v="MPG"/>
    <s v="Direct"/>
    <n v="236"/>
    <n v="14260.779999999999"/>
    <n v="0"/>
    <n v="0"/>
    <n v="224.16"/>
    <n v="14269.630000000001"/>
    <n v="224.16"/>
    <n v="14269.630000000001"/>
    <n v="14260.779999999999"/>
    <n v="0"/>
    <n v="0"/>
    <n v="8.8500000000021828"/>
    <n v="0"/>
    <n v="0"/>
    <n v="0"/>
    <n v="0"/>
    <n v="14261"/>
    <n v="0"/>
    <n v="0"/>
    <s v="Release3"/>
    <n v="560.76287457627109"/>
    <n v="33.714285714285715"/>
    <n v="-6.205831658578411E-4"/>
    <n v="3"/>
    <m/>
    <s v="Sonvarsha"/>
    <m/>
    <n v="0"/>
  </r>
  <r>
    <s v="Munger"/>
    <s v="03-09 Jul"/>
    <n v="1006"/>
    <s v="Sonvarsha"/>
    <x v="196"/>
    <s v="GOMUKH BHITAKITA"/>
    <s v="vlc"/>
    <s v="Indirect"/>
    <n v="84"/>
    <n v="2842.9399999999996"/>
    <n v="0"/>
    <n v="0"/>
    <n v="0"/>
    <n v="0"/>
    <n v="0"/>
    <n v="0"/>
    <n v="2842.9399999999996"/>
    <n v="0"/>
    <n v="0"/>
    <n v="0"/>
    <n v="0"/>
    <n v="0"/>
    <n v="0"/>
    <n v="0"/>
    <n v="0"/>
    <n v="2842.9399999999996"/>
    <n v="0"/>
    <n v="0"/>
    <n v="416.96453333333329"/>
    <n v="12"/>
    <n v="0"/>
    <n v="0"/>
    <m/>
    <s v="Sonvarsha"/>
    <m/>
    <n v="0"/>
  </r>
  <r>
    <s v="Munger"/>
    <s v="03-09 Jul"/>
    <n v="1006"/>
    <s v="Sonvarsha"/>
    <x v="197"/>
    <s v="GOMUKH OJONTOLA"/>
    <s v="vlc"/>
    <s v="Indirect"/>
    <n v="129.69999999999999"/>
    <n v="5281.81"/>
    <n v="0"/>
    <n v="0"/>
    <n v="0"/>
    <n v="0"/>
    <n v="0"/>
    <n v="0"/>
    <n v="5281.81"/>
    <n v="0"/>
    <n v="0"/>
    <n v="0"/>
    <n v="0"/>
    <n v="0"/>
    <n v="0"/>
    <n v="0"/>
    <n v="0"/>
    <n v="5281.81"/>
    <n v="0"/>
    <n v="0"/>
    <n v="464.48978303777966"/>
    <n v="18.528571428571428"/>
    <n v="0"/>
    <n v="0"/>
    <m/>
    <s v="Sonvarsha"/>
    <m/>
    <n v="0"/>
  </r>
  <r>
    <s v="Munger"/>
    <s v="03-09 Jul"/>
    <n v="1006"/>
    <s v="Sonvarsha"/>
    <x v="198"/>
    <s v="KHUDDIBAN SHIVNAGAR"/>
    <s v="MPG"/>
    <s v="Direct"/>
    <n v="1215.8"/>
    <n v="43182.189999999995"/>
    <n v="424.5"/>
    <n v="15073.72"/>
    <n v="809.5"/>
    <n v="29417.549999999996"/>
    <n v="1234"/>
    <n v="44491.27"/>
    <n v="43182.189999999995"/>
    <n v="0"/>
    <n v="0"/>
    <n v="1309.0800000000017"/>
    <n v="0"/>
    <n v="0"/>
    <n v="0"/>
    <n v="13765"/>
    <n v="29417"/>
    <n v="0"/>
    <n v="0"/>
    <n v="0"/>
    <n v="0"/>
    <n v="0"/>
    <n v="-3.0315275811625162E-2"/>
    <n v="6"/>
    <m/>
    <s v="Sonvarsha"/>
    <m/>
    <n v="0"/>
  </r>
  <r>
    <s v="Munger"/>
    <s v="03-09 Jul"/>
    <n v="1006"/>
    <s v="Sonvarsha"/>
    <x v="199"/>
    <s v="BARIYARPUR"/>
    <s v="MPG"/>
    <s v="Direct"/>
    <n v="567.4"/>
    <n v="24258.089999999993"/>
    <n v="382.30000000000007"/>
    <n v="16496.64"/>
    <n v="185.49999999999997"/>
    <n v="7911.7000000000007"/>
    <n v="567.80000000000007"/>
    <n v="24408.34"/>
    <n v="24258.089999999993"/>
    <n v="0"/>
    <n v="152.44999999999999"/>
    <n v="150.25000000000728"/>
    <n v="0"/>
    <n v="0"/>
    <n v="0"/>
    <n v="16347"/>
    <n v="7759"/>
    <n v="0"/>
    <n v="0"/>
    <n v="0"/>
    <n v="113.38113267536131"/>
    <n v="81.05714285714285"/>
    <n v="-6.1938099825669425E-3"/>
    <n v="8"/>
    <m/>
    <s v="Sonvarsha"/>
    <m/>
    <n v="0"/>
  </r>
  <r>
    <s v="Munger"/>
    <s v="03-09 Jul"/>
    <n v="1006"/>
    <s v="Sonvarsha"/>
    <x v="200"/>
    <s v="MASUDAN"/>
    <s v="MPG"/>
    <s v="Direct"/>
    <n v="1835.3000000000002"/>
    <n v="82624.469999999987"/>
    <n v="1398.7200000000007"/>
    <n v="65801.08"/>
    <n v="504.96999999999997"/>
    <n v="25369.9"/>
    <n v="1903.6900000000007"/>
    <n v="91170.98000000001"/>
    <n v="82624.469999999987"/>
    <n v="0"/>
    <n v="0"/>
    <n v="8546.5100000000239"/>
    <n v="0"/>
    <n v="0"/>
    <n v="0"/>
    <n v="57255"/>
    <n v="25369"/>
    <n v="0"/>
    <n v="0"/>
    <n v="0"/>
    <n v="0"/>
    <n v="0"/>
    <n v="-0.10343800087310727"/>
    <n v="22"/>
    <m/>
    <s v="Sonvarsha"/>
    <m/>
    <n v="0"/>
  </r>
  <r>
    <s v="Munger"/>
    <s v="03-09 Jul"/>
    <n v="1006"/>
    <s v="Sonvarsha"/>
    <x v="201"/>
    <s v="GOMUKH BOHLA"/>
    <s v="vlc"/>
    <s v="Indirect"/>
    <n v="118.2"/>
    <n v="4337.76"/>
    <n v="0"/>
    <n v="0"/>
    <n v="0"/>
    <n v="0"/>
    <n v="0"/>
    <n v="0"/>
    <n v="4337.76"/>
    <n v="0"/>
    <n v="0"/>
    <n v="0"/>
    <n v="0"/>
    <n v="0"/>
    <n v="0"/>
    <n v="0"/>
    <n v="0"/>
    <n v="4337.76"/>
    <n v="0"/>
    <n v="0"/>
    <n v="427.02348020304572"/>
    <n v="16.885714285714286"/>
    <n v="0"/>
    <n v="0"/>
    <m/>
    <s v="Sonvarsha"/>
    <m/>
    <n v="0"/>
  </r>
  <r>
    <s v="Munger"/>
    <s v="03-09 Jul"/>
    <n v="1006"/>
    <s v="Sonvarsha"/>
    <x v="202"/>
    <s v="GOMUKH RAMPUR"/>
    <s v="vlc"/>
    <s v="Indirect"/>
    <n v="470.2"/>
    <n v="17016.27"/>
    <n v="0"/>
    <n v="0"/>
    <n v="0"/>
    <n v="0"/>
    <n v="0"/>
    <n v="0"/>
    <n v="17016.27"/>
    <n v="0"/>
    <n v="0"/>
    <n v="0"/>
    <n v="0"/>
    <n v="0"/>
    <n v="0"/>
    <n v="0"/>
    <n v="0"/>
    <n v="17016.27"/>
    <n v="0"/>
    <n v="0"/>
    <n v="166.32662041684395"/>
    <n v="67.171428571428564"/>
    <n v="0"/>
    <n v="0"/>
    <m/>
    <s v="Sonvarsha"/>
    <m/>
    <n v="0"/>
  </r>
  <r>
    <s v="Munger"/>
    <s v="03-09 Jul"/>
    <n v="1007"/>
    <s v="Araria"/>
    <x v="203"/>
    <s v="Gomukh ID Araria"/>
    <s v="vlc"/>
    <s v="Indirect"/>
    <n v="4373.0999999999995"/>
    <n v="169899.28999999998"/>
    <n v="0"/>
    <n v="0"/>
    <n v="0"/>
    <n v="0"/>
    <n v="0"/>
    <n v="0"/>
    <n v="169899.28999999998"/>
    <n v="0"/>
    <n v="0"/>
    <n v="0"/>
    <n v="0"/>
    <n v="0"/>
    <n v="0"/>
    <n v="0"/>
    <n v="0"/>
    <n v="169899.28999999998"/>
    <n v="0"/>
    <n v="0"/>
    <n v="0"/>
    <n v="0"/>
    <n v="0"/>
    <n v="0"/>
    <m/>
    <s v="Araria"/>
    <m/>
    <n v="0"/>
  </r>
  <r>
    <s v="Munger"/>
    <s v="03-09 Jul"/>
    <n v="1007"/>
    <s v="Araria"/>
    <x v="204"/>
    <s v="Gomukh ID Chaidha"/>
    <s v="vlc"/>
    <s v="Indirect"/>
    <n v="1053.7"/>
    <n v="36392.810000000005"/>
    <n v="0"/>
    <n v="0"/>
    <n v="0"/>
    <n v="0"/>
    <n v="0"/>
    <n v="0"/>
    <n v="36392.810000000005"/>
    <n v="0"/>
    <n v="0"/>
    <n v="0"/>
    <n v="0"/>
    <n v="0"/>
    <n v="0"/>
    <n v="0"/>
    <n v="0"/>
    <n v="36392.810000000005"/>
    <n v="0"/>
    <n v="0"/>
    <n v="0"/>
    <n v="0"/>
    <n v="0"/>
    <n v="0"/>
    <m/>
    <s v="Araria"/>
    <m/>
    <n v="0"/>
  </r>
  <r>
    <s v="Munger"/>
    <s v="03-09 Jul"/>
    <n v="1056"/>
    <s v="Chautham"/>
    <x v="205"/>
    <s v="Gomukh ID Pakrail"/>
    <s v="vlc"/>
    <s v="Indirect"/>
    <n v="154.70000000000002"/>
    <n v="5283.7800000000007"/>
    <n v="0"/>
    <n v="0"/>
    <n v="0"/>
    <n v="0"/>
    <n v="0"/>
    <n v="0"/>
    <n v="5283.7800000000007"/>
    <n v="0"/>
    <n v="0"/>
    <n v="0"/>
    <n v="0"/>
    <n v="0"/>
    <n v="0"/>
    <n v="0"/>
    <n v="0"/>
    <n v="5283.7800000000007"/>
    <n v="0"/>
    <n v="0"/>
    <n v="372.4945357466064"/>
    <n v="22.1"/>
    <n v="0"/>
    <n v="0"/>
    <m/>
    <s v="Chautham"/>
    <m/>
    <n v="0"/>
  </r>
  <r>
    <s v="Munger"/>
    <s v="03-09 Jul"/>
    <n v="1056"/>
    <s v="Chautham"/>
    <x v="206"/>
    <s v="Gomukh ID Pipra"/>
    <s v="vlc"/>
    <s v="Indirect"/>
    <n v="598.4"/>
    <n v="21506.899999999994"/>
    <n v="0"/>
    <n v="0"/>
    <n v="0"/>
    <n v="0"/>
    <n v="0"/>
    <n v="0"/>
    <n v="21506.899999999994"/>
    <n v="0"/>
    <n v="0"/>
    <n v="0"/>
    <n v="0"/>
    <n v="0"/>
    <n v="0"/>
    <n v="0"/>
    <n v="0"/>
    <n v="21506.899999999994"/>
    <n v="0"/>
    <n v="0"/>
    <n v="73.031451871657765"/>
    <n v="85.48571428571428"/>
    <n v="0"/>
    <n v="0"/>
    <m/>
    <s v="Chautham"/>
    <m/>
    <n v="0"/>
  </r>
  <r>
    <s v="Munger"/>
    <s v="03-09 Jul"/>
    <n v="1007"/>
    <s v="Araria"/>
    <x v="207"/>
    <s v="Gomukh Fatepur                                                                                      "/>
    <s v="MPG"/>
    <s v="Direct"/>
    <n v="235"/>
    <n v="9527.3100000000013"/>
    <n v="212.4"/>
    <n v="8281.9699999999993"/>
    <n v="25.84"/>
    <n v="1038.7900000000002"/>
    <n v="238.24"/>
    <n v="9320.76"/>
    <n v="9320.76"/>
    <n v="0"/>
    <n v="118.08999999999999"/>
    <n v="0"/>
    <n v="0"/>
    <n v="0"/>
    <n v="0"/>
    <n v="8283"/>
    <n v="921"/>
    <n v="0"/>
    <n v="205"/>
    <n v="0"/>
    <n v="377.03822553191497"/>
    <n v="33.571428571428569"/>
    <n v="2.16797815962744E-2"/>
    <n v="10"/>
    <m/>
    <s v="Araria"/>
    <m/>
    <n v="0"/>
  </r>
  <r>
    <s v="Munger"/>
    <s v="03-09 Jul"/>
    <n v="1007"/>
    <s v="Araria"/>
    <x v="208"/>
    <s v="Gomukh Gauchhari"/>
    <s v="MPG"/>
    <s v="Direct"/>
    <n v="207.89999999999995"/>
    <n v="8583.4600000000009"/>
    <n v="207.21999999999997"/>
    <n v="8584.43"/>
    <n v="1.5100000000000002"/>
    <n v="63.190000000000005"/>
    <n v="208.72999999999996"/>
    <n v="8647.6200000000008"/>
    <n v="8583.4600000000009"/>
    <n v="0"/>
    <n v="63.190000000000005"/>
    <n v="64.159999999999854"/>
    <n v="0"/>
    <n v="0"/>
    <n v="0"/>
    <n v="8520"/>
    <n v="0"/>
    <n v="0"/>
    <n v="0"/>
    <s v="Release4"/>
    <n v="406.34157441077463"/>
    <n v="29.699999999999992"/>
    <n v="-7.4748411479752738E-3"/>
    <n v="5"/>
    <m/>
    <s v="Araria"/>
    <m/>
    <n v="0"/>
  </r>
  <r>
    <s v="Munger"/>
    <s v="03-09 Jul"/>
    <n v="1007"/>
    <s v="Araria"/>
    <x v="209"/>
    <s v="Gomukh Arariya Karjaniya"/>
    <s v="vlc"/>
    <s v="Indirect"/>
    <n v="12147.100000000002"/>
    <n v="475219.13999999996"/>
    <n v="0"/>
    <n v="0"/>
    <n v="0"/>
    <n v="0"/>
    <n v="0"/>
    <n v="0"/>
    <n v="475219.13999999996"/>
    <n v="0"/>
    <n v="0"/>
    <n v="0"/>
    <n v="0"/>
    <n v="0"/>
    <n v="0"/>
    <n v="0"/>
    <n v="0"/>
    <n v="475219.13999999996"/>
    <n v="0"/>
    <n v="0"/>
    <n v="0"/>
    <n v="0"/>
    <n v="0"/>
    <n v="0"/>
    <m/>
    <s v="Araria"/>
    <m/>
    <n v="0"/>
  </r>
  <r>
    <s v="Munger"/>
    <s v="03-09 Jul"/>
    <n v="1007"/>
    <s v="Araria"/>
    <x v="210"/>
    <s v="Gomukh Aariya Dummer Kothi"/>
    <s v="vlc"/>
    <s v="Indirect"/>
    <n v="7447.2"/>
    <n v="291131.88"/>
    <n v="0"/>
    <n v="0"/>
    <n v="0"/>
    <n v="0"/>
    <n v="0"/>
    <n v="0"/>
    <n v="291131.88"/>
    <n v="0"/>
    <n v="0"/>
    <n v="0"/>
    <n v="0"/>
    <n v="0"/>
    <n v="0"/>
    <n v="0"/>
    <n v="0"/>
    <n v="291131.88"/>
    <n v="0"/>
    <n v="0"/>
    <n v="0"/>
    <n v="0"/>
    <n v="0"/>
    <n v="0"/>
    <m/>
    <s v="Araria"/>
    <m/>
    <n v="0"/>
  </r>
  <r>
    <s v="Munger"/>
    <s v="03-09 Jul"/>
    <n v="1007"/>
    <s v="Araria"/>
    <x v="211"/>
    <s v="Gomukh Balha"/>
    <s v="vlc"/>
    <s v="Indirect"/>
    <n v="5148.7"/>
    <n v="197869.03999999998"/>
    <n v="0"/>
    <n v="0"/>
    <n v="0"/>
    <n v="0"/>
    <n v="0"/>
    <n v="0"/>
    <n v="197869.03999999998"/>
    <n v="0"/>
    <n v="0"/>
    <n v="0"/>
    <n v="0"/>
    <n v="0"/>
    <n v="0"/>
    <n v="0"/>
    <n v="0"/>
    <n v="197869.03999999998"/>
    <n v="0"/>
    <n v="0"/>
    <n v="0"/>
    <n v="0"/>
    <n v="0"/>
    <n v="0"/>
    <m/>
    <s v="Araria"/>
    <m/>
    <n v="0"/>
  </r>
  <r>
    <s v="Munger"/>
    <s v="03-09 Jul"/>
    <n v="1007"/>
    <s v="Araria"/>
    <x v="212"/>
    <s v="Haripur - Sanjay"/>
    <s v="vlc"/>
    <s v="Indirect"/>
    <n v="751.9"/>
    <n v="29119.21"/>
    <n v="0"/>
    <n v="0"/>
    <n v="0"/>
    <n v="0"/>
    <n v="0"/>
    <n v="0"/>
    <n v="29119.21"/>
    <n v="0"/>
    <n v="0"/>
    <n v="0"/>
    <n v="0"/>
    <n v="0"/>
    <n v="0"/>
    <n v="0"/>
    <n v="0"/>
    <n v="29119.21"/>
    <n v="0"/>
    <n v="0"/>
    <n v="0"/>
    <n v="0"/>
    <n v="0"/>
    <n v="0"/>
    <m/>
    <s v="Araria"/>
    <m/>
    <n v="0"/>
  </r>
  <r>
    <s v="Munger"/>
    <s v="03-09 Jul"/>
    <n v="1007"/>
    <s v="Araria"/>
    <x v="213"/>
    <s v="Araria - Ankesh"/>
    <s v="vlc"/>
    <s v="Indirect"/>
    <n v="4420.3"/>
    <n v="166641.89000000001"/>
    <n v="0"/>
    <n v="0"/>
    <n v="0"/>
    <n v="0"/>
    <n v="0"/>
    <n v="0"/>
    <n v="166641.89000000001"/>
    <n v="0"/>
    <n v="0"/>
    <n v="0"/>
    <n v="0"/>
    <n v="0"/>
    <n v="0"/>
    <n v="0"/>
    <n v="0"/>
    <n v="166641.89000000001"/>
    <n v="0"/>
    <n v="0"/>
    <n v="0"/>
    <n v="0"/>
    <n v="0"/>
    <n v="0"/>
    <m/>
    <s v="Araria"/>
    <m/>
    <n v="0"/>
  </r>
  <r>
    <s v="Munger"/>
    <s v="03-09 Jul"/>
    <n v="1010"/>
    <s v="Parbatta"/>
    <x v="214"/>
    <s v="Gomukh Kabela                                                                                       "/>
    <s v="MPG"/>
    <s v="Direct"/>
    <n v="452.9"/>
    <n v="23928.829999999998"/>
    <n v="452.90000000000003"/>
    <n v="22735.510000000002"/>
    <n v="0"/>
    <n v="0"/>
    <n v="452.90000000000003"/>
    <n v="22735.510000000002"/>
    <n v="22735.510000000002"/>
    <n v="0"/>
    <n v="0"/>
    <n v="0"/>
    <n v="0"/>
    <n v="0"/>
    <n v="0"/>
    <n v="22736"/>
    <n v="0"/>
    <n v="0"/>
    <n v="1193"/>
    <n v="0"/>
    <n v="261.10902596599686"/>
    <n v="64.7"/>
    <n v="4.9869550663362822E-2"/>
    <n v="1"/>
    <m/>
    <s v="Parbatta"/>
    <m/>
    <n v="0"/>
  </r>
  <r>
    <s v="Munger"/>
    <s v="03-09 Jul"/>
    <n v="1056"/>
    <s v="Chautham"/>
    <x v="215"/>
    <s v="Gomukh Malpa Uttari                                                                                 "/>
    <s v="vlc"/>
    <s v="Indirect"/>
    <n v="181.14"/>
    <n v="6342.9"/>
    <n v="0"/>
    <n v="0"/>
    <n v="0"/>
    <n v="0"/>
    <n v="0"/>
    <n v="0"/>
    <n v="6342.9"/>
    <n v="0"/>
    <n v="0"/>
    <n v="0"/>
    <n v="0"/>
    <n v="0"/>
    <n v="0"/>
    <n v="0"/>
    <n v="0"/>
    <n v="6342.9"/>
    <n v="0"/>
    <n v="0"/>
    <n v="363.37386485591253"/>
    <n v="25.877142857142854"/>
    <n v="0"/>
    <n v="0"/>
    <m/>
    <s v="Chautham"/>
    <m/>
    <n v="0"/>
  </r>
  <r>
    <s v="Munger"/>
    <s v="03-09 Jul"/>
    <n v="1007"/>
    <s v="Araria"/>
    <x v="216"/>
    <s v="Gomukh Sapha"/>
    <s v="MPG"/>
    <s v="Direct"/>
    <n v="266.2"/>
    <n v="10548.02"/>
    <n v="355.88"/>
    <n v="14563.14"/>
    <n v="8.01"/>
    <n v="322.67000000000007"/>
    <n v="363.89"/>
    <n v="14885.81"/>
    <n v="10548.02"/>
    <n v="0"/>
    <n v="322.67000000000007"/>
    <n v="4337.7899999999991"/>
    <n v="0"/>
    <n v="0"/>
    <n v="0"/>
    <n v="10225"/>
    <n v="0"/>
    <n v="0"/>
    <n v="0"/>
    <n v="0"/>
    <n v="343.78144823441028"/>
    <n v="38.028571428571425"/>
    <n v="-0.41124210989361026"/>
    <n v="4"/>
    <m/>
    <s v="Araria"/>
    <m/>
    <n v="0"/>
  </r>
  <r>
    <s v="Munger"/>
    <s v="03-09 Jul"/>
    <n v="1007"/>
    <s v="Araria"/>
    <x v="217"/>
    <s v="Araria"/>
    <s v="vlc"/>
    <s v="Indirect"/>
    <n v="15825.699999999999"/>
    <n v="627822.28999999992"/>
    <n v="0"/>
    <n v="0"/>
    <n v="0"/>
    <n v="0"/>
    <n v="0"/>
    <n v="0"/>
    <n v="627822.28999999992"/>
    <n v="0"/>
    <n v="0"/>
    <n v="0"/>
    <n v="0"/>
    <n v="0"/>
    <n v="0"/>
    <n v="0"/>
    <n v="0"/>
    <n v="627822.28999999992"/>
    <n v="0"/>
    <n v="0"/>
    <n v="0"/>
    <n v="0"/>
    <n v="0"/>
    <n v="0"/>
    <m/>
    <s v="Araria"/>
    <m/>
    <n v="0"/>
  </r>
  <r>
    <s v="Munger"/>
    <s v="03-09 Jul"/>
    <n v="1007"/>
    <s v="Araria"/>
    <x v="218"/>
    <s v="Gomukh Gauchhari"/>
    <s v="MPG"/>
    <s v="Direct"/>
    <n v="9.9"/>
    <n v="394.91"/>
    <n v="0"/>
    <n v="0"/>
    <n v="0"/>
    <n v="0"/>
    <n v="0"/>
    <n v="0"/>
    <n v="0"/>
    <n v="0"/>
    <n v="0"/>
    <n v="0"/>
    <n v="0"/>
    <n v="0"/>
    <n v="0"/>
    <n v="0"/>
    <n v="0"/>
    <n v="0"/>
    <n v="395"/>
    <n v="0"/>
    <n v="550.56038585858585"/>
    <n v="1.4142857142857144"/>
    <n v="1"/>
    <n v="0"/>
    <m/>
    <s v="Araria"/>
    <m/>
    <n v="0"/>
  </r>
  <r>
    <s v="Munger"/>
    <s v="03-09 Jul"/>
    <n v="1056"/>
    <s v="Chautham"/>
    <x v="219"/>
    <s v="Telouch"/>
    <s v="MPG"/>
    <s v="Direct"/>
    <n v="1860.06"/>
    <n v="72825.5"/>
    <n v="1867.2699999999998"/>
    <n v="76004.650000000009"/>
    <n v="5.6000000000000005"/>
    <n v="201.15000000000003"/>
    <n v="1872.8699999999997"/>
    <n v="76205.8"/>
    <n v="72825.5"/>
    <n v="0"/>
    <n v="201.15000000000003"/>
    <n v="3380.3000000000029"/>
    <n v="0"/>
    <n v="0"/>
    <n v="0"/>
    <n v="72624"/>
    <n v="0"/>
    <n v="0"/>
    <n v="0"/>
    <n v="0"/>
    <n v="0"/>
    <n v="0"/>
    <n v="-4.6416433804093389E-2"/>
    <n v="7"/>
    <m/>
    <s v="Chautham"/>
    <m/>
    <n v="0"/>
  </r>
  <r>
    <s v="Munger"/>
    <s v="03-09 Jul"/>
    <n v="1010"/>
    <s v="Parbatta"/>
    <x v="220"/>
    <s v="Gomukh Jhangara B"/>
    <s v="MPG"/>
    <s v="Direct"/>
    <n v="1782.1000000000001"/>
    <n v="71567.989999999991"/>
    <n v="1794.85"/>
    <n v="75733.87"/>
    <n v="0"/>
    <n v="0"/>
    <n v="1794.85"/>
    <n v="75733.87"/>
    <n v="71567.989999999991"/>
    <n v="0"/>
    <n v="0"/>
    <n v="4165.8800000000047"/>
    <n v="0"/>
    <n v="0"/>
    <n v="0"/>
    <n v="71568"/>
    <n v="0"/>
    <n v="0"/>
    <n v="0"/>
    <n v="0"/>
    <n v="0"/>
    <n v="0"/>
    <n v="-5.8208704757532037E-2"/>
    <n v="9"/>
    <m/>
    <s v="Parbatta"/>
    <m/>
    <n v="0"/>
  </r>
  <r>
    <s v="Munger"/>
    <s v="03-09 Jul"/>
    <n v="1056"/>
    <s v="Chautham"/>
    <x v="221"/>
    <s v="Gomukh Saraiya"/>
    <s v="vlc"/>
    <s v="Direct"/>
    <n v="248.01999999999998"/>
    <n v="8803.09"/>
    <n v="336.57"/>
    <n v="14625.439999999999"/>
    <n v="0"/>
    <n v="0"/>
    <n v="336.57"/>
    <n v="14625.439999999999"/>
    <n v="8803.09"/>
    <n v="0"/>
    <n v="0"/>
    <n v="5822.3499999999985"/>
    <n v="0"/>
    <n v="0"/>
    <n v="0"/>
    <n v="8803"/>
    <n v="0"/>
    <n v="0"/>
    <n v="0"/>
    <s v="Release3"/>
    <n v="320.84675576163215"/>
    <n v="35.431428571428569"/>
    <n v="-0.66139844077477328"/>
    <n v="2"/>
    <m/>
    <s v="Chautham"/>
    <m/>
    <n v="0"/>
  </r>
  <r>
    <s v="Munger"/>
    <s v="03-09 Jul"/>
    <n v="1056"/>
    <s v="Chautham"/>
    <x v="222"/>
    <s v=" Gomukh Nauranga"/>
    <s v="vlc"/>
    <s v="Indirect"/>
    <n v="317.33999999999997"/>
    <n v="13540"/>
    <n v="0"/>
    <n v="0"/>
    <n v="0"/>
    <n v="0"/>
    <n v="0"/>
    <n v="0"/>
    <n v="13540"/>
    <n v="0"/>
    <n v="0"/>
    <n v="0"/>
    <n v="6750"/>
    <n v="0"/>
    <n v="0"/>
    <n v="0"/>
    <n v="0"/>
    <n v="6790"/>
    <n v="0"/>
    <n v="0"/>
    <n v="326.54039200857136"/>
    <n v="45.334285714285713"/>
    <n v="0"/>
    <n v="0"/>
    <m/>
    <s v="Chautham"/>
    <m/>
    <n v="0"/>
  </r>
  <r>
    <s v="Munger"/>
    <s v="03-09 Jul"/>
    <n v="1056"/>
    <s v="Chautham"/>
    <x v="223"/>
    <s v="Gomukh Malpa Dhutauli VLC"/>
    <s v="vlc"/>
    <s v="Indirect"/>
    <n v="158.78"/>
    <n v="5444.2000000000007"/>
    <n v="0"/>
    <n v="0"/>
    <n v="0"/>
    <n v="0"/>
    <n v="0"/>
    <n v="0"/>
    <n v="5444.2000000000007"/>
    <n v="0"/>
    <n v="0"/>
    <n v="0"/>
    <n v="0"/>
    <n v="0"/>
    <n v="0"/>
    <n v="0"/>
    <n v="0"/>
    <n v="5444.2000000000007"/>
    <n v="0"/>
    <n v="0"/>
    <n v="371.14371129865225"/>
    <n v="22.682857142857141"/>
    <n v="0"/>
    <n v="0"/>
    <m/>
    <s v="Chautham"/>
    <m/>
    <n v="0"/>
  </r>
  <r>
    <s v="Munger"/>
    <s v="03-09 Jul"/>
    <n v="1056"/>
    <s v="Chautham"/>
    <x v="224"/>
    <s v="Gomukh Pakrail Vijay Nagar VLC"/>
    <s v="vlc"/>
    <s v="Indirect"/>
    <n v="729.68000000000018"/>
    <n v="29362.189999999995"/>
    <n v="0"/>
    <n v="0"/>
    <n v="0"/>
    <n v="0"/>
    <n v="0"/>
    <n v="0"/>
    <n v="29362.189999999995"/>
    <n v="0"/>
    <n v="0"/>
    <n v="0"/>
    <n v="0"/>
    <n v="0"/>
    <n v="0"/>
    <n v="0"/>
    <n v="0"/>
    <n v="29362.189999999995"/>
    <n v="0"/>
    <n v="0"/>
    <n v="0"/>
    <n v="0"/>
    <n v="0"/>
    <n v="0"/>
    <m/>
    <s v="Chautham"/>
    <m/>
    <n v="0"/>
  </r>
  <r>
    <s v="Munger"/>
    <s v="03-09 Jul"/>
    <n v="1056"/>
    <s v="Chautham"/>
    <x v="225"/>
    <s v="Gomukh Pakrail Shirnia VLC"/>
    <s v="vlc"/>
    <s v="Indirect"/>
    <n v="225.34"/>
    <n v="8099.9699999999993"/>
    <n v="0"/>
    <n v="0"/>
    <n v="0"/>
    <n v="0"/>
    <n v="0"/>
    <n v="0"/>
    <n v="8099.9699999999993"/>
    <n v="0"/>
    <n v="0"/>
    <n v="0"/>
    <n v="0"/>
    <n v="0"/>
    <n v="0"/>
    <n v="0"/>
    <n v="0"/>
    <n v="8099.9699999999993"/>
    <n v="0"/>
    <n v="0"/>
    <n v="341.23828527558356"/>
    <n v="32.191428571428574"/>
    <n v="0"/>
    <n v="0"/>
    <m/>
    <s v="Chautham"/>
    <m/>
    <n v="0"/>
  </r>
  <r>
    <s v="Munger"/>
    <s v="03-09 Jul"/>
    <n v="1007"/>
    <s v="Araria"/>
    <x v="226"/>
    <s v="Gomukh Godhiyasi Nayagow VLC"/>
    <s v="vlc"/>
    <s v="Indirect"/>
    <n v="317.60000000000002"/>
    <n v="11584.62"/>
    <n v="0"/>
    <n v="0"/>
    <n v="0"/>
    <n v="0"/>
    <n v="0"/>
    <n v="0"/>
    <n v="11584.62"/>
    <n v="0"/>
    <n v="0"/>
    <n v="0"/>
    <n v="0"/>
    <n v="0"/>
    <n v="0"/>
    <n v="0"/>
    <n v="0"/>
    <n v="11584.62"/>
    <n v="0"/>
    <n v="0"/>
    <n v="278.96465289672545"/>
    <n v="45.371428571428574"/>
    <n v="0"/>
    <n v="0"/>
    <m/>
    <s v="Araria"/>
    <m/>
    <n v="0"/>
  </r>
  <r>
    <s v="Munger"/>
    <s v="03-09 Jul"/>
    <n v="1010"/>
    <s v="Parbatta"/>
    <x v="227"/>
    <s v="Gomukh Bandehra Purbi"/>
    <s v="MPG"/>
    <s v="Direct"/>
    <n v="250.5"/>
    <n v="9979.27"/>
    <n v="250.4"/>
    <n v="12144.86"/>
    <n v="0"/>
    <n v="0"/>
    <n v="250.4"/>
    <n v="12144.86"/>
    <n v="9979.27"/>
    <n v="0"/>
    <n v="0"/>
    <n v="2165.59"/>
    <n v="0"/>
    <n v="0"/>
    <n v="0"/>
    <n v="9979"/>
    <n v="0"/>
    <n v="0"/>
    <n v="0"/>
    <n v="0"/>
    <n v="358.1382726546907"/>
    <n v="35.785714285714285"/>
    <n v="-0.2170088593654646"/>
    <n v="1"/>
    <m/>
    <s v="Parbatta"/>
    <m/>
    <n v="0"/>
  </r>
  <r>
    <s v="Munger"/>
    <s v="03-09 Jul"/>
    <n v="1056"/>
    <s v="Chautham"/>
    <x v="228"/>
    <s v="Gomukh Tila Tol"/>
    <s v="MPG"/>
    <s v="Direct"/>
    <n v="855.93999999999994"/>
    <n v="34938.770000000004"/>
    <n v="860.83999999999992"/>
    <n v="35232.19"/>
    <n v="3.63"/>
    <n v="155.5"/>
    <n v="864.46999999999991"/>
    <n v="35387.69"/>
    <n v="34938.770000000004"/>
    <n v="0"/>
    <n v="155.5"/>
    <n v="448.91999999999825"/>
    <n v="0"/>
    <n v="0"/>
    <n v="0"/>
    <n v="34783"/>
    <n v="0"/>
    <n v="0"/>
    <n v="0"/>
    <n v="0"/>
    <n v="0"/>
    <n v="0"/>
    <n v="-1.2848763708625066E-2"/>
    <n v="2"/>
    <m/>
    <s v="Chautham"/>
    <m/>
    <n v="0"/>
  </r>
  <r>
    <s v="Munger"/>
    <s v="03-09 Jul"/>
    <n v="1007"/>
    <s v="Araria"/>
    <x v="229"/>
    <s v="Gomukh Gulshan Kumar VLC"/>
    <s v="vlc"/>
    <s v="Indirect"/>
    <n v="1473.7"/>
    <n v="56788.93"/>
    <n v="0"/>
    <n v="0"/>
    <n v="0"/>
    <n v="0"/>
    <n v="0"/>
    <n v="0"/>
    <n v="56788.93"/>
    <n v="0"/>
    <n v="0"/>
    <n v="0"/>
    <n v="0"/>
    <n v="0"/>
    <n v="0"/>
    <n v="0"/>
    <n v="0"/>
    <n v="56788.93"/>
    <n v="0"/>
    <n v="0"/>
    <n v="0"/>
    <n v="0"/>
    <n v="0"/>
    <n v="0"/>
    <m/>
    <s v="Araria"/>
    <m/>
    <n v="0"/>
  </r>
  <r>
    <s v="Munger"/>
    <s v="03-09 Jul"/>
    <n v="1007"/>
    <s v="Araria"/>
    <x v="230"/>
    <s v="Gomukh Gogri VLC"/>
    <s v="vlc"/>
    <s v="Indirect"/>
    <n v="392.6"/>
    <n v="13908.26"/>
    <n v="0"/>
    <n v="0"/>
    <n v="0"/>
    <n v="0"/>
    <n v="0"/>
    <n v="0"/>
    <n v="13908.26"/>
    <n v="0"/>
    <n v="0"/>
    <n v="0"/>
    <n v="0"/>
    <n v="0"/>
    <n v="0"/>
    <n v="0"/>
    <n v="0"/>
    <n v="13908.26"/>
    <n v="0"/>
    <n v="0"/>
    <n v="217.79924218033619"/>
    <n v="56.085714285714289"/>
    <n v="0"/>
    <n v="0"/>
    <m/>
    <s v="Araria"/>
    <m/>
    <n v="0"/>
  </r>
  <r>
    <s v="Munger"/>
    <s v="03-09 Jul"/>
    <n v="1007"/>
    <s v="Araria"/>
    <x v="231"/>
    <s v="Gomukh Bari Chak Gogri"/>
    <s v="MPG"/>
    <s v="Direct"/>
    <n v="297.7"/>
    <n v="10017.300000000001"/>
    <n v="297.7"/>
    <n v="12861.8"/>
    <n v="0"/>
    <n v="0"/>
    <n v="297.7"/>
    <n v="12861.8"/>
    <n v="10017.300000000001"/>
    <n v="0"/>
    <n v="0"/>
    <n v="2844.4999999999982"/>
    <n v="0"/>
    <n v="500"/>
    <n v="0"/>
    <n v="9517"/>
    <n v="0"/>
    <n v="0"/>
    <n v="0"/>
    <n v="0"/>
    <n v="270.73965670137727"/>
    <n v="42.528571428571425"/>
    <n v="-0.28395875136014675"/>
    <n v="1"/>
    <m/>
    <s v="Araria"/>
    <m/>
    <n v="500"/>
  </r>
  <r>
    <s v="Munger"/>
    <s v="03-09 Jul"/>
    <n v="1007"/>
    <s v="Araria"/>
    <x v="232"/>
    <s v="Gomukh Khatha"/>
    <s v="MPG"/>
    <s v="Direct"/>
    <n v="915.20000000000016"/>
    <n v="34047.129999999997"/>
    <n v="915.2"/>
    <n v="39948.47"/>
    <n v="0"/>
    <n v="0"/>
    <n v="915.2"/>
    <n v="39948.47"/>
    <n v="34047.129999999997"/>
    <n v="0"/>
    <n v="0"/>
    <n v="5901.3400000000038"/>
    <n v="0"/>
    <n v="0"/>
    <n v="0"/>
    <n v="34047"/>
    <n v="0"/>
    <n v="0"/>
    <n v="0"/>
    <n v="0"/>
    <n v="0"/>
    <n v="0"/>
    <n v="-0.17332855955847098"/>
    <n v="1"/>
    <m/>
    <s v="Araria"/>
    <m/>
    <n v="0"/>
  </r>
  <r>
    <s v="Munger"/>
    <s v="03-09 Jul"/>
    <n v="1007"/>
    <s v="Araria"/>
    <x v="233"/>
    <s v="Gomukh Shailesh Yadav Vlc"/>
    <s v="vlc"/>
    <s v="Indirect"/>
    <n v="206.2"/>
    <n v="10022.35"/>
    <n v="0"/>
    <n v="0"/>
    <n v="0"/>
    <n v="0"/>
    <n v="0"/>
    <n v="0"/>
    <n v="10022.35"/>
    <n v="0"/>
    <n v="0"/>
    <n v="0"/>
    <n v="0"/>
    <n v="0"/>
    <n v="0"/>
    <n v="0"/>
    <n v="0"/>
    <n v="10022.35"/>
    <n v="0"/>
    <n v="0"/>
    <n v="480.02293210475278"/>
    <n v="29.457142857142856"/>
    <n v="0"/>
    <n v="0"/>
    <m/>
    <s v="Araria"/>
    <m/>
    <n v="0"/>
  </r>
  <r>
    <s v="Munger"/>
    <s v="03-09 Jul"/>
    <n v="1055"/>
    <s v="Matihani"/>
    <x v="234"/>
    <s v="Chak Punervas"/>
    <s v="vlc"/>
    <s v="Indirect"/>
    <n v="1121.2"/>
    <n v="43857.88"/>
    <n v="0"/>
    <n v="0"/>
    <n v="0"/>
    <n v="0"/>
    <n v="0"/>
    <n v="0"/>
    <n v="43857.88"/>
    <n v="0"/>
    <n v="0"/>
    <n v="0"/>
    <n v="0"/>
    <n v="0"/>
    <n v="0"/>
    <n v="0"/>
    <n v="0"/>
    <n v="43857.88"/>
    <n v="0"/>
    <n v="0"/>
    <n v="0"/>
    <n v="0"/>
    <n v="0"/>
    <n v="0"/>
    <m/>
    <s v="Matihani"/>
    <m/>
    <n v="0"/>
  </r>
  <r>
    <s v="Munger"/>
    <s v="03-09 Jul"/>
    <n v="1008"/>
    <s v="Teghra"/>
    <x v="235"/>
    <s v="Labherchak"/>
    <s v="vlc"/>
    <s v="Indirect"/>
    <n v="319.25"/>
    <n v="11358.49"/>
    <n v="0"/>
    <n v="0"/>
    <n v="0"/>
    <n v="0"/>
    <n v="0"/>
    <n v="0"/>
    <n v="11358.49"/>
    <n v="0"/>
    <n v="0"/>
    <n v="0"/>
    <n v="0"/>
    <n v="0"/>
    <n v="0"/>
    <n v="0"/>
    <n v="0"/>
    <n v="11358.49"/>
    <n v="0"/>
    <n v="0"/>
    <n v="270.93156256851995"/>
    <n v="45.607142857142854"/>
    <n v="0"/>
    <n v="0"/>
    <m/>
    <s v="Teghra"/>
    <m/>
    <n v="0"/>
  </r>
  <r>
    <s v="Munger"/>
    <s v="03-09 Jul"/>
    <n v="1008"/>
    <s v="Teghra"/>
    <x v="236"/>
    <s v="Paspura"/>
    <s v="vlc"/>
    <s v="Indirect"/>
    <n v="38.5"/>
    <n v="1431.66"/>
    <n v="0"/>
    <n v="0"/>
    <n v="0"/>
    <n v="0"/>
    <n v="0"/>
    <n v="0"/>
    <n v="1431.66"/>
    <n v="0"/>
    <n v="0"/>
    <n v="0"/>
    <n v="0"/>
    <n v="0"/>
    <n v="0"/>
    <n v="0"/>
    <n v="0"/>
    <n v="1431.66"/>
    <n v="0"/>
    <n v="0"/>
    <n v="491.9704363636364"/>
    <n v="5.5"/>
    <n v="0"/>
    <n v="0"/>
    <m/>
    <s v="Teghra"/>
    <m/>
    <n v="0"/>
  </r>
  <r>
    <s v="Munger"/>
    <s v="03-09 Jul"/>
    <n v="1008"/>
    <s v="Teghra"/>
    <x v="237"/>
    <s v="Gomukh Godhna"/>
    <s v="vlc"/>
    <s v="Indirect"/>
    <n v="33.1"/>
    <n v="1291.02"/>
    <n v="0"/>
    <n v="0"/>
    <n v="0"/>
    <n v="0"/>
    <n v="0"/>
    <n v="0"/>
    <n v="1291.02"/>
    <n v="0"/>
    <n v="0"/>
    <n v="0"/>
    <n v="0"/>
    <n v="0"/>
    <n v="0"/>
    <n v="0"/>
    <n v="0"/>
    <n v="1291.02"/>
    <n v="0"/>
    <n v="0"/>
    <n v="520.23035528700905"/>
    <n v="4.7285714285714286"/>
    <n v="0"/>
    <n v="0"/>
    <m/>
    <s v="Teghra"/>
    <m/>
    <n v="0"/>
  </r>
  <r>
    <s v="Munger"/>
    <s v="03-09 Jul"/>
    <n v="1008"/>
    <s v="Teghra"/>
    <x v="238"/>
    <s v="Gomukh Sihma 2"/>
    <s v="vlc"/>
    <s v="Indirect"/>
    <n v="355.90000000000003"/>
    <n v="12819.760000000002"/>
    <n v="0"/>
    <n v="0"/>
    <n v="0"/>
    <n v="0"/>
    <n v="0"/>
    <n v="0"/>
    <n v="12819.760000000002"/>
    <n v="0"/>
    <n v="0"/>
    <n v="0"/>
    <n v="0"/>
    <n v="0"/>
    <n v="0"/>
    <n v="0"/>
    <n v="0"/>
    <n v="12819.760000000002"/>
    <n v="0"/>
    <n v="0"/>
    <n v="247.89431952795726"/>
    <n v="50.842857142857149"/>
    <n v="0"/>
    <n v="0"/>
    <m/>
    <s v="Teghra"/>
    <m/>
    <n v="0"/>
  </r>
  <r>
    <s v="Munger"/>
    <s v="03-09 Jul"/>
    <n v="1008"/>
    <s v="Teghra"/>
    <x v="239"/>
    <s v="Gomukh ID Marsaito"/>
    <s v="vlc"/>
    <s v="Indirect"/>
    <n v="725.05"/>
    <n v="26260.78"/>
    <n v="0"/>
    <n v="0"/>
    <n v="0"/>
    <n v="0"/>
    <n v="0"/>
    <n v="0"/>
    <n v="26260.78"/>
    <n v="0"/>
    <n v="0"/>
    <n v="0"/>
    <n v="0"/>
    <n v="0"/>
    <n v="0"/>
    <n v="0"/>
    <n v="0"/>
    <n v="26260.78"/>
    <n v="0"/>
    <n v="0"/>
    <n v="0"/>
    <n v="0"/>
    <n v="0"/>
    <n v="0"/>
    <m/>
    <s v="Teghra"/>
    <m/>
    <n v="0"/>
  </r>
  <r>
    <s v="Munger"/>
    <s v="03-09 Jul"/>
    <n v="1008"/>
    <s v="Teghra"/>
    <x v="240"/>
    <s v="Gomukh ID Akashpur-2"/>
    <s v="vlc"/>
    <s v="Indirect"/>
    <n v="77.25"/>
    <n v="2995.76"/>
    <n v="0"/>
    <n v="0"/>
    <n v="0"/>
    <n v="0"/>
    <n v="0"/>
    <n v="0"/>
    <n v="2995.76"/>
    <n v="0"/>
    <n v="0"/>
    <n v="0"/>
    <n v="0"/>
    <n v="0"/>
    <n v="0"/>
    <n v="0"/>
    <n v="0"/>
    <n v="2995.76"/>
    <n v="0"/>
    <n v="0"/>
    <n v="483.00570614886738"/>
    <n v="11.035714285714286"/>
    <n v="0"/>
    <n v="0"/>
    <m/>
    <s v="Teghra"/>
    <m/>
    <n v="0"/>
  </r>
  <r>
    <s v="Munger"/>
    <s v="03-09 Jul"/>
    <n v="1008"/>
    <s v="Teghra"/>
    <x v="241"/>
    <s v="Gomukh ID Akashpur"/>
    <s v="vlc"/>
    <s v="Indirect"/>
    <n v="400.75000000000006"/>
    <n v="16134.58"/>
    <n v="0"/>
    <n v="0"/>
    <n v="0"/>
    <n v="0"/>
    <n v="0"/>
    <n v="0"/>
    <n v="16134.58"/>
    <n v="0"/>
    <n v="0"/>
    <n v="0"/>
    <n v="0"/>
    <n v="0"/>
    <n v="0"/>
    <n v="0"/>
    <n v="0"/>
    <n v="16134.58"/>
    <n v="0"/>
    <n v="0"/>
    <n v="240.96184978165931"/>
    <n v="57.250000000000007"/>
    <n v="0"/>
    <n v="0"/>
    <m/>
    <s v="Teghra"/>
    <m/>
    <n v="0"/>
  </r>
  <r>
    <s v="Munger"/>
    <s v="03-09 Jul"/>
    <n v="1008"/>
    <s v="Teghra"/>
    <x v="242"/>
    <s v="Gomukh ID Rachiyahi"/>
    <s v="vlc"/>
    <s v="Indirect"/>
    <n v="210.45"/>
    <n v="8561.3799999999992"/>
    <n v="0"/>
    <n v="0"/>
    <n v="0"/>
    <n v="0"/>
    <n v="0"/>
    <n v="0"/>
    <n v="8561.3799999999992"/>
    <n v="0"/>
    <n v="0"/>
    <n v="0"/>
    <n v="0"/>
    <n v="0"/>
    <n v="0"/>
    <n v="0"/>
    <n v="0"/>
    <n v="8561.3799999999992"/>
    <n v="0"/>
    <n v="0"/>
    <n v="398.31062760750763"/>
    <n v="30.064285714285713"/>
    <n v="0"/>
    <n v="0"/>
    <m/>
    <s v="Teghra"/>
    <m/>
    <n v="0"/>
  </r>
  <r>
    <s v="Munger"/>
    <s v="03-09 Jul"/>
    <n v="1008"/>
    <s v="Teghra"/>
    <x v="243"/>
    <s v="GomukhBariyahi Chanan"/>
    <s v="MPG"/>
    <s v="Direct"/>
    <n v="1418.25"/>
    <n v="50940.02"/>
    <n v="1415.3"/>
    <n v="52401.17"/>
    <n v="2.6999999999999997"/>
    <n v="94.990000000000009"/>
    <n v="1418"/>
    <n v="52496.159999999996"/>
    <n v="50940.02"/>
    <n v="0"/>
    <n v="94.990000000000009"/>
    <n v="1556.1399999999994"/>
    <n v="0"/>
    <n v="0"/>
    <n v="0"/>
    <n v="50845"/>
    <n v="0"/>
    <n v="0"/>
    <n v="0"/>
    <n v="0"/>
    <n v="0"/>
    <n v="0"/>
    <n v="-3.0548476423841207E-2"/>
    <n v="8"/>
    <m/>
    <s v="Teghra"/>
    <m/>
    <n v="0"/>
  </r>
  <r>
    <s v="Munger"/>
    <s v="03-09 Jul"/>
    <n v="1008"/>
    <s v="Teghra"/>
    <x v="244"/>
    <s v="GomukhGehuni"/>
    <s v="MPG"/>
    <s v="Direct"/>
    <n v="87.000000000000014"/>
    <n v="3162.88"/>
    <n v="86.699999999999989"/>
    <n v="3157.5200000000004"/>
    <n v="1.0999999999999999"/>
    <n v="37.869999999999997"/>
    <n v="87.799999999999983"/>
    <n v="3195.3900000000003"/>
    <n v="3162.88"/>
    <n v="0"/>
    <n v="37.869999999999997"/>
    <n v="32.510000000000218"/>
    <n v="0"/>
    <n v="500"/>
    <n v="0"/>
    <n v="2625"/>
    <n v="0"/>
    <n v="0"/>
    <n v="0"/>
    <n v="0"/>
    <n v="445.71159540229877"/>
    <n v="12.428571428571431"/>
    <n v="-1.027860683933637E-2"/>
    <n v="4"/>
    <m/>
    <s v="Teghra"/>
    <m/>
    <n v="500"/>
  </r>
  <r>
    <s v="Munger"/>
    <s v="03-09 Jul"/>
    <n v="1008"/>
    <s v="Teghra"/>
    <x v="245"/>
    <s v="Gomukh Bakhatpur"/>
    <s v="MPG"/>
    <s v="Direct"/>
    <n v="210.95"/>
    <n v="9396.77"/>
    <n v="208.37"/>
    <n v="9184.59"/>
    <n v="3.6400000000000006"/>
    <n v="155.69"/>
    <n v="212.01"/>
    <n v="9340.2800000000007"/>
    <n v="9340.2800000000007"/>
    <n v="0"/>
    <n v="155.69"/>
    <n v="0"/>
    <n v="0"/>
    <n v="0"/>
    <n v="0"/>
    <n v="9185"/>
    <n v="0"/>
    <n v="0"/>
    <n v="56"/>
    <n v="0"/>
    <n v="435.69474932448452"/>
    <n v="30.135714285714283"/>
    <n v="6.0116401699732754E-3"/>
    <n v="7"/>
    <m/>
    <s v="Teghra"/>
    <m/>
    <n v="0"/>
  </r>
  <r>
    <s v="Munger"/>
    <s v="03-09 Jul"/>
    <n v="1008"/>
    <s v="Teghra"/>
    <x v="246"/>
    <s v="Ananaya Dairy"/>
    <s v="vlc"/>
    <s v="Indirect"/>
    <n v="5295.5000000000009"/>
    <n v="209592.41"/>
    <n v="0"/>
    <n v="0"/>
    <n v="0"/>
    <n v="0"/>
    <n v="0"/>
    <n v="0"/>
    <n v="209592.41"/>
    <n v="0"/>
    <n v="0"/>
    <n v="0"/>
    <n v="0"/>
    <n v="0"/>
    <n v="0"/>
    <n v="0"/>
    <n v="0"/>
    <n v="209592.41"/>
    <n v="0"/>
    <n v="0"/>
    <n v="0"/>
    <n v="0"/>
    <n v="0"/>
    <n v="0"/>
    <m/>
    <s v="Teghra"/>
    <m/>
    <n v="0"/>
  </r>
  <r>
    <s v="Munger"/>
    <s v="03-09 Jul"/>
    <n v="1008"/>
    <s v="Teghra"/>
    <x v="247"/>
    <s v="Gomukh Bishanpur"/>
    <s v="MPG"/>
    <s v="Direct"/>
    <n v="816.35"/>
    <n v="30196.01"/>
    <n v="855.34999999999991"/>
    <n v="32928.590000000004"/>
    <n v="13.239999999999998"/>
    <n v="508.42999999999995"/>
    <n v="868.58999999999992"/>
    <n v="33437.020000000004"/>
    <n v="30196.01"/>
    <n v="0"/>
    <n v="508.42999999999995"/>
    <n v="3241.0100000000057"/>
    <n v="0"/>
    <n v="0"/>
    <n v="0"/>
    <n v="29688"/>
    <n v="0"/>
    <n v="0"/>
    <n v="0"/>
    <s v="Release4"/>
    <n v="0"/>
    <n v="0"/>
    <n v="-0.10733239259094185"/>
    <n v="28"/>
    <m/>
    <s v="Teghra"/>
    <m/>
    <n v="0"/>
  </r>
  <r>
    <s v="Munger"/>
    <s v="03-09 Jul"/>
    <n v="1008"/>
    <s v="Teghra"/>
    <x v="248"/>
    <s v="GOMUKH BEGAMSARAI"/>
    <s v="MPG"/>
    <s v="Direct"/>
    <n v="194.75"/>
    <n v="8710.59"/>
    <n v="52.45"/>
    <n v="2374.77"/>
    <n v="154.46999999999997"/>
    <n v="6925.22"/>
    <n v="206.91999999999996"/>
    <n v="9299.99"/>
    <n v="8710.59"/>
    <n v="0"/>
    <n v="180.17999999999998"/>
    <n v="589.39999999999964"/>
    <n v="0"/>
    <n v="0"/>
    <n v="0"/>
    <n v="1785"/>
    <n v="6745"/>
    <n v="0"/>
    <n v="0"/>
    <n v="0"/>
    <n v="451.966685237484"/>
    <n v="27.821428571428573"/>
    <n v="-6.7664762088446323E-2"/>
    <n v="12"/>
    <m/>
    <s v="Teghra"/>
    <m/>
    <n v="0"/>
  </r>
  <r>
    <s v="Munger"/>
    <s v="03-09 Jul"/>
    <n v="1008"/>
    <s v="Teghra"/>
    <x v="249"/>
    <s v="Bariyahi - Ramvaran"/>
    <s v="vlc"/>
    <s v="Indirect"/>
    <n v="55.1"/>
    <n v="2003.69"/>
    <n v="0"/>
    <n v="0"/>
    <n v="0"/>
    <n v="0"/>
    <n v="0"/>
    <n v="0"/>
    <n v="2003.69"/>
    <n v="0"/>
    <n v="0"/>
    <n v="0"/>
    <n v="0"/>
    <n v="0"/>
    <n v="0"/>
    <n v="0"/>
    <n v="0"/>
    <n v="2003.69"/>
    <n v="0"/>
    <n v="0"/>
    <n v="469.03073720508178"/>
    <n v="7.8714285714285719"/>
    <n v="0"/>
    <n v="0"/>
    <m/>
    <s v="Teghra"/>
    <m/>
    <n v="0"/>
  </r>
  <r>
    <s v="Munger"/>
    <s v="03-09 Jul"/>
    <n v="1008"/>
    <s v="Teghra"/>
    <x v="250"/>
    <s v="Hasanpur - Abhijeet"/>
    <s v="vlc"/>
    <s v="Indirect"/>
    <n v="6389.8000000000011"/>
    <n v="231037.12999999998"/>
    <n v="0"/>
    <n v="0"/>
    <n v="0"/>
    <n v="0"/>
    <n v="0"/>
    <n v="0"/>
    <n v="231037.12999999998"/>
    <n v="0"/>
    <n v="0"/>
    <n v="0"/>
    <n v="0"/>
    <n v="0"/>
    <n v="0"/>
    <n v="0"/>
    <n v="0"/>
    <n v="231037.12999999998"/>
    <n v="0"/>
    <n v="0"/>
    <n v="0"/>
    <n v="0"/>
    <n v="0"/>
    <n v="0"/>
    <m/>
    <s v="Teghra"/>
    <m/>
    <n v="0"/>
  </r>
  <r>
    <s v="Munger"/>
    <s v="03-09 Jul"/>
    <n v="1008"/>
    <s v="Teghra"/>
    <x v="251"/>
    <s v="Adharpur - Manish"/>
    <s v="vlc"/>
    <s v="Indirect"/>
    <n v="775.3"/>
    <n v="31685.369999999995"/>
    <n v="0"/>
    <n v="0"/>
    <n v="0"/>
    <n v="0"/>
    <n v="0"/>
    <n v="0"/>
    <n v="31685.369999999995"/>
    <n v="0"/>
    <n v="0"/>
    <n v="0"/>
    <n v="0"/>
    <n v="0"/>
    <n v="0"/>
    <n v="0"/>
    <n v="0"/>
    <n v="31685.369999999995"/>
    <n v="0"/>
    <n v="0"/>
    <n v="0"/>
    <n v="0"/>
    <n v="0"/>
    <n v="0"/>
    <m/>
    <s v="Teghra"/>
    <m/>
    <n v="0"/>
  </r>
  <r>
    <s v="Munger"/>
    <s v="03-09 Jul"/>
    <n v="1008"/>
    <s v="Teghra"/>
    <x v="252"/>
    <s v="Rani - Surender"/>
    <s v="vlc"/>
    <s v="Indirect"/>
    <n v="292.5"/>
    <n v="12185.050000000003"/>
    <n v="0"/>
    <n v="0"/>
    <n v="0"/>
    <n v="0"/>
    <n v="0"/>
    <n v="0"/>
    <n v="12185.050000000003"/>
    <n v="0"/>
    <n v="0"/>
    <n v="0"/>
    <n v="0"/>
    <n v="0"/>
    <n v="0"/>
    <n v="0"/>
    <n v="0"/>
    <n v="12185.050000000003"/>
    <n v="0"/>
    <n v="0"/>
    <n v="339.51506837606843"/>
    <n v="41.785714285714285"/>
    <n v="0"/>
    <n v="0"/>
    <m/>
    <s v="Teghra"/>
    <m/>
    <n v="0"/>
  </r>
  <r>
    <s v="Munger"/>
    <s v="03-09 Jul"/>
    <n v="1008"/>
    <s v="Teghra"/>
    <x v="253"/>
    <s v="GOMUKH RANI 3"/>
    <s v="MPG"/>
    <s v="Direct"/>
    <n v="460.9"/>
    <n v="20976.639999999996"/>
    <n v="393.36999999999995"/>
    <n v="17969.22"/>
    <n v="82.28"/>
    <n v="3211.14"/>
    <n v="475.65"/>
    <n v="21180.36"/>
    <n v="20976.639999999996"/>
    <n v="0"/>
    <n v="117.27"/>
    <n v="203.7200000000048"/>
    <n v="0"/>
    <n v="500"/>
    <n v="0"/>
    <n v="17266"/>
    <n v="3093"/>
    <n v="0"/>
    <n v="0"/>
    <n v="0"/>
    <n v="217.64003575612932"/>
    <n v="65.842857142857142"/>
    <n v="-9.711755552843775E-3"/>
    <n v="9"/>
    <m/>
    <s v="Teghra"/>
    <m/>
    <n v="500"/>
  </r>
  <r>
    <s v="Munger"/>
    <s v="03-09 Jul"/>
    <n v="1008"/>
    <s v="Teghra"/>
    <x v="254"/>
    <s v="GOMUKH NONPUR"/>
    <s v="MPG"/>
    <s v="Direct"/>
    <n v="505.25"/>
    <n v="19615.32"/>
    <n v="510.28"/>
    <n v="20296.349999999999"/>
    <n v="1.5200000000000002"/>
    <n v="60.480000000000004"/>
    <n v="511.79999999999995"/>
    <n v="20356.829999999998"/>
    <n v="19615.32"/>
    <n v="0"/>
    <n v="60.480000000000004"/>
    <n v="741.5099999999984"/>
    <n v="0"/>
    <n v="0"/>
    <n v="0"/>
    <n v="19555"/>
    <n v="0"/>
    <n v="0"/>
    <n v="0"/>
    <n v="0"/>
    <n v="151.2155792182088"/>
    <n v="72.178571428571431"/>
    <n v="-3.7802595114430883E-2"/>
    <n v="4"/>
    <m/>
    <s v="Teghra"/>
    <m/>
    <n v="0"/>
  </r>
  <r>
    <s v="Munger"/>
    <s v="03-09 Jul"/>
    <n v="1008"/>
    <s v="Teghra"/>
    <x v="255"/>
    <s v="GOMUKH FATEHA"/>
    <s v="MPG"/>
    <s v="Direct"/>
    <n v="179.95"/>
    <n v="6848.9500000000007"/>
    <n v="301.03999999999996"/>
    <n v="11877"/>
    <n v="0"/>
    <n v="0"/>
    <n v="301.03999999999996"/>
    <n v="11877"/>
    <n v="6848.9500000000007"/>
    <n v="0"/>
    <n v="0"/>
    <n v="5028.0499999999993"/>
    <n v="0"/>
    <n v="0"/>
    <n v="0"/>
    <n v="6849"/>
    <n v="0"/>
    <n v="0"/>
    <n v="0"/>
    <n v="0"/>
    <n v="395.86512336760217"/>
    <n v="25.707142857142856"/>
    <n v="-0.734134429365085"/>
    <n v="4"/>
    <m/>
    <s v="Teghra"/>
    <m/>
    <n v="0"/>
  </r>
  <r>
    <s v="Munger"/>
    <s v="03-09 Jul"/>
    <n v="1008"/>
    <s v="Teghra"/>
    <x v="256"/>
    <s v="Bablu Singh"/>
    <s v="vlc"/>
    <s v="Indirect"/>
    <n v="1010.35"/>
    <n v="36561.199999999997"/>
    <n v="0"/>
    <n v="0"/>
    <n v="0"/>
    <n v="0"/>
    <n v="0"/>
    <n v="0"/>
    <n v="36561.199999999997"/>
    <n v="0"/>
    <n v="0"/>
    <n v="0"/>
    <n v="0"/>
    <n v="0"/>
    <n v="0"/>
    <n v="0"/>
    <n v="0"/>
    <n v="36561.199999999997"/>
    <n v="0"/>
    <n v="0"/>
    <n v="0"/>
    <n v="0"/>
    <n v="0"/>
    <n v="0"/>
    <m/>
    <s v="Teghra"/>
    <m/>
    <n v="0"/>
  </r>
  <r>
    <s v="Munger"/>
    <s v="03-09 Jul"/>
    <n v="1008"/>
    <s v="Teghra"/>
    <x v="257"/>
    <s v="Gomukh Rani                                                                                         "/>
    <s v="MPG"/>
    <s v="Direct"/>
    <n v="528.65"/>
    <n v="19702.59"/>
    <n v="334.43"/>
    <n v="14214.070000000002"/>
    <n v="203.69"/>
    <n v="8660.5400000000009"/>
    <n v="538.12"/>
    <n v="22874.61"/>
    <n v="19702.59"/>
    <n v="0"/>
    <n v="0"/>
    <n v="3172.0200000000004"/>
    <n v="0"/>
    <n v="0"/>
    <n v="0"/>
    <n v="11043"/>
    <n v="8660"/>
    <n v="0"/>
    <n v="0"/>
    <n v="0"/>
    <n v="127.72302266149627"/>
    <n v="75.521428571428572"/>
    <n v="-0.16099507729694423"/>
    <n v="12"/>
    <m/>
    <s v="Teghra"/>
    <m/>
    <n v="0"/>
  </r>
  <r>
    <s v="Munger"/>
    <s v="03-09 Jul"/>
    <n v="1008"/>
    <s v="Teghra"/>
    <x v="258"/>
    <s v="GOMUKH ROOPNAGAR"/>
    <s v="MPG"/>
    <s v="Direct"/>
    <n v="239.6"/>
    <n v="8102.89"/>
    <n v="239.4"/>
    <n v="8095.8600000000015"/>
    <n v="0"/>
    <n v="0"/>
    <n v="239.4"/>
    <n v="8095.8600000000015"/>
    <n v="8095.8600000000015"/>
    <n v="0"/>
    <n v="0"/>
    <n v="0"/>
    <n v="0"/>
    <n v="0"/>
    <n v="0"/>
    <n v="8096"/>
    <n v="0"/>
    <n v="0"/>
    <n v="7"/>
    <n v="0"/>
    <n v="311.39987946577628"/>
    <n v="34.228571428571428"/>
    <n v="8.675916864228486E-4"/>
    <n v="1"/>
    <m/>
    <s v="Teghra"/>
    <m/>
    <n v="0"/>
  </r>
  <r>
    <s v="Munger"/>
    <s v="03-09 Jul"/>
    <n v="1008"/>
    <s v="Teghra"/>
    <x v="259"/>
    <s v="GOMUKH HADIPUR"/>
    <s v="MPG"/>
    <s v="Direct"/>
    <n v="295.65000000000003"/>
    <n v="11541.67"/>
    <n v="301.05999999999995"/>
    <n v="11799.150000000001"/>
    <n v="0.7300000000000002"/>
    <n v="28.71"/>
    <n v="301.78999999999996"/>
    <n v="11827.86"/>
    <n v="11541.67"/>
    <n v="0"/>
    <n v="28.71"/>
    <n v="286.19000000000051"/>
    <n v="0"/>
    <n v="500"/>
    <n v="0"/>
    <n v="11013"/>
    <n v="0"/>
    <n v="0"/>
    <n v="0"/>
    <n v="0"/>
    <n v="315.70263923558252"/>
    <n v="42.235714285714288"/>
    <n v="-2.4796238325996197E-2"/>
    <n v="2"/>
    <m/>
    <s v="Teghra"/>
    <m/>
    <n v="500"/>
  </r>
  <r>
    <s v="Munger"/>
    <s v="03-09 Jul"/>
    <n v="1008"/>
    <s v="Teghra"/>
    <x v="260"/>
    <s v="Gomukh Harichak"/>
    <s v="MPG"/>
    <s v="Direct"/>
    <n v="93.149999999999991"/>
    <n v="4225.1200000000008"/>
    <n v="88.17"/>
    <n v="3895.71"/>
    <n v="0"/>
    <n v="0"/>
    <n v="88.17"/>
    <n v="3895.71"/>
    <n v="3895.71"/>
    <n v="0"/>
    <n v="0"/>
    <n v="0"/>
    <n v="0"/>
    <n v="500"/>
    <n v="0"/>
    <n v="3396"/>
    <n v="0"/>
    <n v="0"/>
    <n v="329"/>
    <s v="Release4"/>
    <n v="550.51295158346772"/>
    <n v="13.307142857142855"/>
    <n v="7.7964649524747395E-2"/>
    <n v="3"/>
    <m/>
    <s v="Teghra"/>
    <m/>
    <n v="500"/>
  </r>
  <r>
    <s v="Munger"/>
    <s v="03-09 Jul"/>
    <n v="1008"/>
    <s v="Teghra"/>
    <x v="261"/>
    <s v="PAWAN RAY"/>
    <s v="vlc"/>
    <s v="Indirect"/>
    <n v="1224.0000000000002"/>
    <n v="48036.009999999995"/>
    <n v="0"/>
    <n v="0"/>
    <n v="0"/>
    <n v="0"/>
    <n v="0"/>
    <n v="0"/>
    <n v="48036.009999999995"/>
    <n v="0"/>
    <n v="0"/>
    <n v="0"/>
    <n v="0"/>
    <n v="0"/>
    <n v="0"/>
    <n v="0"/>
    <n v="0"/>
    <n v="48036.009999999995"/>
    <n v="0"/>
    <n v="0"/>
    <n v="0"/>
    <n v="0"/>
    <n v="0"/>
    <n v="0"/>
    <m/>
    <s v="Teghra"/>
    <m/>
    <n v="0"/>
  </r>
  <r>
    <s v="Munger"/>
    <s v="03-09 Jul"/>
    <n v="1008"/>
    <s v="Teghra"/>
    <x v="262"/>
    <s v="RAJ BHARDWAJ"/>
    <s v="vlc"/>
    <s v="Indirect"/>
    <n v="331.84999999999997"/>
    <n v="12610.12"/>
    <n v="0"/>
    <n v="0"/>
    <n v="0"/>
    <n v="0"/>
    <n v="0"/>
    <n v="0"/>
    <n v="12610.12"/>
    <n v="0"/>
    <n v="0"/>
    <n v="0"/>
    <n v="0"/>
    <n v="0"/>
    <n v="0"/>
    <n v="0"/>
    <n v="0"/>
    <n v="12610.12"/>
    <n v="0"/>
    <n v="0"/>
    <n v="279.790006207624"/>
    <n v="47.407142857142851"/>
    <n v="0"/>
    <n v="0"/>
    <m/>
    <s v="Teghra"/>
    <m/>
    <n v="0"/>
  </r>
  <r>
    <s v="Munger"/>
    <s v="03-09 Jul"/>
    <n v="1008"/>
    <s v="Teghra"/>
    <x v="263"/>
    <s v="Gomukh Amarpur"/>
    <s v="MPG"/>
    <s v="Direct"/>
    <n v="404.7"/>
    <n v="15085.289999999999"/>
    <n v="420.12999999999994"/>
    <n v="14811.52"/>
    <n v="1.18"/>
    <n v="43.730000000000004"/>
    <n v="421.30999999999995"/>
    <n v="14855.25"/>
    <n v="14855.25"/>
    <n v="0"/>
    <n v="43.730000000000004"/>
    <n v="0"/>
    <n v="0"/>
    <n v="0"/>
    <n v="0"/>
    <n v="14812"/>
    <n v="0"/>
    <n v="0"/>
    <n v="230"/>
    <n v="0"/>
    <n v="220.14757286879168"/>
    <n v="57.81428571428571"/>
    <n v="1.5249292522715776E-2"/>
    <n v="6"/>
    <m/>
    <s v="Teghra"/>
    <m/>
    <n v="0"/>
  </r>
  <r>
    <s v="Munger"/>
    <s v="03-09 Jul"/>
    <n v="1008"/>
    <s v="Teghra"/>
    <x v="264"/>
    <s v="Prashant Kumar"/>
    <s v="vlc"/>
    <s v="Indirect"/>
    <n v="39.65"/>
    <n v="1517.53"/>
    <n v="0"/>
    <n v="0"/>
    <n v="0"/>
    <n v="0"/>
    <n v="0"/>
    <n v="0"/>
    <n v="1517.53"/>
    <n v="0"/>
    <n v="0"/>
    <n v="0"/>
    <n v="0"/>
    <n v="0"/>
    <n v="0"/>
    <n v="0"/>
    <n v="0"/>
    <n v="1517.53"/>
    <n v="0"/>
    <n v="0"/>
    <n v="505.47335964691047"/>
    <n v="5.6642857142857137"/>
    <n v="0"/>
    <n v="0"/>
    <m/>
    <s v="Teghra"/>
    <m/>
    <n v="0"/>
  </r>
  <r>
    <s v="Munger"/>
    <s v="03-09 Jul"/>
    <n v="1008"/>
    <s v="Teghra"/>
    <x v="265"/>
    <s v="Gomukh Barauni 3"/>
    <s v="MPG"/>
    <s v="Direct"/>
    <n v="89.75"/>
    <n v="3704.17"/>
    <n v="106.1"/>
    <n v="4351.16"/>
    <n v="0"/>
    <n v="0"/>
    <n v="106.1"/>
    <n v="4351.16"/>
    <n v="3704.17"/>
    <n v="0"/>
    <n v="0"/>
    <n v="646.98999999999978"/>
    <n v="0"/>
    <n v="500"/>
    <n v="0"/>
    <n v="3204"/>
    <n v="0"/>
    <n v="0"/>
    <n v="0"/>
    <n v="0"/>
    <n v="503.72584791086354"/>
    <n v="12.821428571428571"/>
    <n v="-0.17466530963751659"/>
    <n v="1"/>
    <m/>
    <s v="Teghra"/>
    <m/>
    <n v="500"/>
  </r>
  <r>
    <s v="Munger"/>
    <s v="03-09 Jul"/>
    <n v="1008"/>
    <s v="Teghra"/>
    <x v="266"/>
    <s v="CHANDAN YADAV"/>
    <s v="vlc"/>
    <s v="Indirect"/>
    <n v="365.59999999999991"/>
    <n v="13836.350000000002"/>
    <n v="0"/>
    <n v="0"/>
    <n v="0"/>
    <n v="0"/>
    <n v="0"/>
    <n v="0"/>
    <n v="13836.350000000002"/>
    <n v="0"/>
    <n v="0"/>
    <n v="0"/>
    <n v="0"/>
    <n v="0"/>
    <n v="0"/>
    <n v="0"/>
    <n v="0"/>
    <n v="13836.350000000002"/>
    <n v="0"/>
    <n v="0"/>
    <n v="253.11134792122553"/>
    <n v="52.228571428571414"/>
    <n v="0"/>
    <n v="0"/>
    <m/>
    <s v="Teghra"/>
    <m/>
    <n v="0"/>
  </r>
  <r>
    <s v="Munger"/>
    <s v="03-09 Jul"/>
    <n v="1008"/>
    <s v="Teghra"/>
    <x v="267"/>
    <s v="ANITA DEVI"/>
    <s v="vlc"/>
    <s v="Indirect"/>
    <n v="323.89999999999992"/>
    <n v="11791.9"/>
    <n v="0"/>
    <n v="0"/>
    <n v="0"/>
    <n v="0"/>
    <n v="0"/>
    <n v="0"/>
    <n v="11791.9"/>
    <n v="0"/>
    <n v="0"/>
    <n v="0"/>
    <n v="0"/>
    <n v="0"/>
    <n v="0"/>
    <n v="0"/>
    <n v="0"/>
    <n v="11791.9"/>
    <n v="0"/>
    <n v="0"/>
    <n v="273.84585304106218"/>
    <n v="46.271428571428558"/>
    <n v="0"/>
    <n v="0"/>
    <m/>
    <s v="Teghra"/>
    <m/>
    <n v="0"/>
  </r>
  <r>
    <s v="Munger"/>
    <s v="03-09 Jul"/>
    <n v="1008"/>
    <s v="Teghra"/>
    <x v="268"/>
    <s v="GOMUKH FATEHA SALEMPUR"/>
    <s v="MPG"/>
    <s v="Direct"/>
    <n v="93.6"/>
    <n v="3798.7200000000003"/>
    <n v="93.8"/>
    <n v="3806.39"/>
    <n v="3.5"/>
    <n v="142.99"/>
    <n v="97.3"/>
    <n v="3949.38"/>
    <n v="3798.7200000000003"/>
    <n v="0"/>
    <n v="142.99"/>
    <n v="150.65999999999985"/>
    <n v="0"/>
    <n v="500"/>
    <n v="0"/>
    <n v="3156"/>
    <n v="0"/>
    <n v="0"/>
    <n v="0"/>
    <n v="0"/>
    <n v="492.21021538461554"/>
    <n v="13.37142857142857"/>
    <n v="-3.9660727824109135E-2"/>
    <n v="2"/>
    <m/>
    <s v="Teghra"/>
    <m/>
    <n v="500"/>
  </r>
  <r>
    <s v="Munger"/>
    <s v="03-09 Jul"/>
    <n v="1008"/>
    <s v="Teghra"/>
    <x v="269"/>
    <s v="GOMUKH GEHUNI 2"/>
    <s v="MPG"/>
    <s v="Direct"/>
    <n v="671"/>
    <n v="26963.56"/>
    <n v="680.19"/>
    <n v="27137.539999999997"/>
    <n v="0.76000000000000023"/>
    <n v="30.42"/>
    <n v="680.95"/>
    <n v="27167.959999999995"/>
    <n v="26963.56"/>
    <n v="0"/>
    <n v="30.42"/>
    <n v="204.39999999999418"/>
    <n v="0"/>
    <n v="0"/>
    <n v="0"/>
    <n v="26933"/>
    <n v="0"/>
    <n v="0"/>
    <n v="0"/>
    <n v="0"/>
    <n v="23.306802980625914"/>
    <n v="95.857142857142861"/>
    <n v="-7.5806013745957201E-3"/>
    <n v="3"/>
    <m/>
    <s v="Teghra"/>
    <m/>
    <n v="0"/>
  </r>
  <r>
    <s v="Munger"/>
    <s v="03-09 Jul"/>
    <n v="1008"/>
    <s v="Teghra"/>
    <x v="270"/>
    <s v="GOMUKH MALHIPUR"/>
    <s v="MPG"/>
    <s v="Direct"/>
    <n v="886"/>
    <n v="31067.619999999995"/>
    <n v="891.9"/>
    <n v="30235.93"/>
    <n v="2"/>
    <n v="69.820000000000007"/>
    <n v="893.9"/>
    <n v="30305.75"/>
    <n v="30305.75"/>
    <n v="0"/>
    <n v="69.820000000000007"/>
    <n v="0"/>
    <n v="0"/>
    <n v="0"/>
    <n v="0"/>
    <n v="30235"/>
    <n v="0"/>
    <n v="0"/>
    <n v="763"/>
    <n v="0"/>
    <n v="0"/>
    <n v="0"/>
    <n v="2.452295991775345E-2"/>
    <n v="7"/>
    <m/>
    <s v="Teghra"/>
    <m/>
    <n v="0"/>
  </r>
  <r>
    <s v="Munger"/>
    <s v="03-09 Jul"/>
    <n v="1008"/>
    <s v="Teghra"/>
    <x v="271"/>
    <s v="Rasalpur - Durgesh Kumar"/>
    <s v="vlc"/>
    <s v="Indirect"/>
    <n v="122.64999999999998"/>
    <n v="4595.46"/>
    <n v="0"/>
    <n v="0"/>
    <n v="0"/>
    <n v="0"/>
    <n v="0"/>
    <n v="0"/>
    <n v="4595.46"/>
    <n v="0"/>
    <n v="0"/>
    <n v="0"/>
    <n v="0"/>
    <n v="0"/>
    <n v="0"/>
    <n v="0"/>
    <n v="0"/>
    <n v="4595.46"/>
    <n v="0"/>
    <n v="0"/>
    <n v="432.64391863024872"/>
    <n v="17.521428571428569"/>
    <n v="0"/>
    <n v="0"/>
    <m/>
    <s v="Teghra"/>
    <m/>
    <n v="0"/>
  </r>
  <r>
    <s v="Munger"/>
    <s v="03-09 Jul"/>
    <n v="1008"/>
    <s v="Teghra"/>
    <x v="272"/>
    <s v="Barauni Bariyarpur"/>
    <s v="MPG"/>
    <s v="Direct"/>
    <n v="382.2"/>
    <n v="13734.460000000003"/>
    <n v="381.7"/>
    <n v="13374.77"/>
    <n v="0"/>
    <n v="0"/>
    <n v="381.7"/>
    <n v="13374.77"/>
    <n v="13374.77"/>
    <n v="0"/>
    <n v="0"/>
    <n v="0"/>
    <n v="0"/>
    <n v="0"/>
    <n v="0"/>
    <n v="13375"/>
    <n v="0"/>
    <n v="0"/>
    <n v="359"/>
    <n v="0"/>
    <n v="228.40457289377298"/>
    <n v="54.6"/>
    <n v="2.6188870913017494E-2"/>
    <n v="1"/>
    <m/>
    <s v="Teghra"/>
    <m/>
    <n v="0"/>
  </r>
  <r>
    <s v="Munger"/>
    <s v="03-09 Jul"/>
    <n v="1008"/>
    <s v="Teghra"/>
    <x v="273"/>
    <s v="Jaynagar"/>
    <s v="MPG"/>
    <s v="Direct"/>
    <n v="20.399999999999999"/>
    <n v="724.95"/>
    <n v="20"/>
    <n v="695.6"/>
    <n v="0"/>
    <n v="0"/>
    <n v="20"/>
    <n v="695.6"/>
    <n v="695.6"/>
    <n v="0"/>
    <n v="0"/>
    <n v="0"/>
    <n v="0"/>
    <n v="500"/>
    <n v="0"/>
    <n v="196"/>
    <n v="0"/>
    <n v="0"/>
    <n v="29"/>
    <s v="Release4"/>
    <n v="483.01570588235302"/>
    <n v="2.9142857142857141"/>
    <n v="4.0485550727636418E-2"/>
    <n v="1"/>
    <m/>
    <s v="Teghra"/>
    <m/>
    <n v="500"/>
  </r>
  <r>
    <s v="Munger"/>
    <s v="03-09 Jul"/>
    <n v="1008"/>
    <s v="Teghra"/>
    <x v="274"/>
    <s v="Fateha - Anil Yadav"/>
    <s v="vlc"/>
    <s v="Indirect"/>
    <n v="529.35"/>
    <n v="21845.93"/>
    <n v="0"/>
    <n v="0"/>
    <n v="0"/>
    <n v="0"/>
    <n v="0"/>
    <n v="0"/>
    <n v="21845.93"/>
    <n v="0"/>
    <n v="0"/>
    <n v="0"/>
    <n v="0"/>
    <n v="0"/>
    <n v="0"/>
    <n v="0"/>
    <n v="0"/>
    <n v="21845.93"/>
    <n v="0"/>
    <n v="0"/>
    <n v="140.85228882591852"/>
    <n v="75.621428571428581"/>
    <n v="0"/>
    <n v="0"/>
    <m/>
    <s v="Teghra"/>
    <m/>
    <n v="0"/>
  </r>
  <r>
    <s v="Munger"/>
    <s v="03-09 Jul"/>
    <n v="1008"/>
    <s v="Teghra"/>
    <x v="275"/>
    <s v="Bihat - Chakballi"/>
    <s v="MPG"/>
    <s v="Direct"/>
    <n v="503.8"/>
    <n v="17679.349999999999"/>
    <n v="503.69999999999993"/>
    <n v="17675.830000000002"/>
    <n v="0"/>
    <n v="0"/>
    <n v="503.69999999999993"/>
    <n v="17675.830000000002"/>
    <n v="17675.830000000002"/>
    <n v="0"/>
    <n v="0"/>
    <n v="0"/>
    <n v="0"/>
    <n v="0"/>
    <n v="0"/>
    <n v="17676"/>
    <n v="0"/>
    <n v="0"/>
    <n v="3"/>
    <n v="0"/>
    <n v="137.70101111552202"/>
    <n v="71.971428571428575"/>
    <n v="1.9910234256331814E-4"/>
    <n v="2"/>
    <m/>
    <s v="Teghra"/>
    <m/>
    <n v="0"/>
  </r>
  <r>
    <s v="Munger"/>
    <s v="03-09 Jul"/>
    <n v="1008"/>
    <s v="Teghra"/>
    <x v="276"/>
    <s v="Sibutol- Naya Tola"/>
    <s v="MPG"/>
    <s v="Direct"/>
    <n v="393.95"/>
    <n v="13679.87"/>
    <n v="258.18"/>
    <n v="9505.75"/>
    <n v="197.84"/>
    <n v="7143.16"/>
    <n v="456.02"/>
    <n v="16648.91"/>
    <n v="13679.87"/>
    <n v="0"/>
    <n v="0"/>
    <n v="2969.0399999999991"/>
    <n v="0"/>
    <n v="500"/>
    <n v="0"/>
    <n v="6037"/>
    <n v="7143"/>
    <n v="0"/>
    <n v="0"/>
    <n v="0"/>
    <n v="212.55104523416679"/>
    <n v="56.278571428571425"/>
    <n v="-0.21703715020683667"/>
    <n v="2"/>
    <m/>
    <s v="Teghra"/>
    <m/>
    <n v="500"/>
  </r>
  <r>
    <s v="Munger"/>
    <s v="03-09 Jul"/>
    <n v="1008"/>
    <s v="Teghra"/>
    <x v="277"/>
    <s v="Rasalpur"/>
    <s v="vlc"/>
    <s v="Indirect"/>
    <n v="710.75"/>
    <n v="26712.920000000002"/>
    <n v="0"/>
    <n v="0"/>
    <n v="0"/>
    <n v="0"/>
    <n v="0"/>
    <n v="0"/>
    <n v="26712.920000000002"/>
    <n v="0"/>
    <n v="0"/>
    <n v="0"/>
    <n v="0"/>
    <n v="0"/>
    <n v="0"/>
    <n v="0"/>
    <n v="0"/>
    <n v="26712.920000000002"/>
    <n v="0"/>
    <n v="0"/>
    <n v="0"/>
    <n v="0"/>
    <n v="0"/>
    <n v="0"/>
    <m/>
    <s v="Teghra"/>
    <m/>
    <n v="0"/>
  </r>
  <r>
    <s v="Munger"/>
    <s v="03-09 Jul"/>
    <n v="1065"/>
    <s v="Bachhwara BMC"/>
    <x v="278"/>
    <s v="Samsa"/>
    <s v="vlc"/>
    <s v="Indirect"/>
    <n v="1116.8"/>
    <n v="45833.270000000004"/>
    <n v="0"/>
    <n v="0"/>
    <n v="0"/>
    <n v="0"/>
    <n v="0"/>
    <n v="0"/>
    <n v="45833.270000000004"/>
    <n v="0"/>
    <n v="0"/>
    <n v="0"/>
    <n v="0"/>
    <n v="0"/>
    <n v="0"/>
    <n v="0"/>
    <n v="0"/>
    <n v="45833.270000000004"/>
    <n v="0"/>
    <n v="0"/>
    <n v="0"/>
    <n v="0"/>
    <n v="0"/>
    <n v="0"/>
    <m/>
    <s v="Bachhwara BMC"/>
    <m/>
    <n v="0"/>
  </r>
  <r>
    <s v="Munger"/>
    <s v="03-09 Jul"/>
    <n v="1008"/>
    <s v="Teghra"/>
    <x v="279"/>
    <s v="Dahiya"/>
    <s v="vlc"/>
    <s v="Indirect"/>
    <n v="328.65000000000003"/>
    <n v="12087.16"/>
    <n v="0"/>
    <n v="0"/>
    <n v="0"/>
    <n v="0"/>
    <n v="0"/>
    <n v="0"/>
    <n v="12087.16"/>
    <n v="0"/>
    <n v="0"/>
    <n v="0"/>
    <n v="0"/>
    <n v="0"/>
    <n v="0"/>
    <n v="0"/>
    <n v="0"/>
    <n v="12087.16"/>
    <n v="0"/>
    <n v="0"/>
    <n v="273.15179467518635"/>
    <n v="46.95"/>
    <n v="0"/>
    <n v="0"/>
    <m/>
    <s v="Teghra"/>
    <m/>
    <n v="0"/>
  </r>
  <r>
    <s v="Munger"/>
    <s v="03-09 Jul"/>
    <n v="1008"/>
    <s v="Teghra"/>
    <x v="280"/>
    <s v="Gaura"/>
    <s v="MPG"/>
    <s v="Direct"/>
    <n v="279"/>
    <n v="10555.330000000002"/>
    <n v="278.7"/>
    <n v="10459.61"/>
    <n v="0"/>
    <n v="0"/>
    <n v="278.7"/>
    <n v="10459.61"/>
    <n v="10459.61"/>
    <n v="0"/>
    <n v="0"/>
    <n v="0"/>
    <n v="0"/>
    <n v="0"/>
    <n v="0"/>
    <n v="10460"/>
    <n v="0"/>
    <n v="0"/>
    <n v="95"/>
    <n v="0"/>
    <n v="318.5515362007169"/>
    <n v="39.857142857142854"/>
    <n v="9.0684043037973366E-3"/>
    <n v="1"/>
    <m/>
    <s v="Teghra"/>
    <m/>
    <n v="0"/>
  </r>
  <r>
    <s v="Munger"/>
    <s v="03-09 Jul"/>
    <n v="1008"/>
    <s v="Teghra"/>
    <x v="281"/>
    <s v="Mukhtiyarpur"/>
    <s v="MPG"/>
    <s v="Direct"/>
    <n v="161.75"/>
    <n v="5875.91"/>
    <n v="161.31"/>
    <n v="6277.5900000000011"/>
    <n v="0"/>
    <n v="0"/>
    <n v="161.31"/>
    <n v="6277.5900000000011"/>
    <n v="5875.91"/>
    <n v="0"/>
    <n v="0"/>
    <n v="401.6800000000012"/>
    <n v="0"/>
    <n v="0"/>
    <n v="0"/>
    <n v="5876"/>
    <n v="0"/>
    <n v="0"/>
    <n v="0"/>
    <n v="0"/>
    <n v="391.06133632148379"/>
    <n v="23.107142857142858"/>
    <n v="-6.8360475228518E-2"/>
    <n v="1"/>
    <m/>
    <s v="Teghra"/>
    <m/>
    <n v="0"/>
  </r>
  <r>
    <s v="Munger"/>
    <s v="03-09 Jul"/>
    <n v="1008"/>
    <s v="Teghra"/>
    <x v="282"/>
    <s v="Gomukh Rudauli-02"/>
    <s v="MPG"/>
    <s v="Direct"/>
    <n v="527.85"/>
    <n v="20349.660000000003"/>
    <n v="497.86"/>
    <n v="19159.090000000004"/>
    <n v="31.99"/>
    <n v="1169.48"/>
    <n v="529.85"/>
    <n v="20328.570000000003"/>
    <n v="20328.570000000003"/>
    <n v="0"/>
    <n v="0"/>
    <n v="0"/>
    <n v="0"/>
    <n v="0"/>
    <n v="0"/>
    <n v="19160"/>
    <n v="1170"/>
    <n v="0"/>
    <n v="20"/>
    <n v="0"/>
    <n v="132.73444990053994"/>
    <n v="75.407142857142858"/>
    <n v="1.0363809518193494E-3"/>
    <n v="12"/>
    <m/>
    <s v="Teghra"/>
    <m/>
    <n v="0"/>
  </r>
  <r>
    <s v="Munger"/>
    <s v="03-09 Jul"/>
    <n v="1008"/>
    <s v="Teghra"/>
    <x v="283"/>
    <s v="Gomukh Puranatol Raichiahi"/>
    <s v="MPG"/>
    <s v="Direct"/>
    <n v="644.75"/>
    <n v="24993.21"/>
    <n v="644.4"/>
    <n v="24979.65"/>
    <n v="0"/>
    <n v="0"/>
    <n v="644.4"/>
    <n v="24979.65"/>
    <n v="24979.65"/>
    <n v="0"/>
    <n v="0"/>
    <n v="0"/>
    <n v="0"/>
    <n v="0"/>
    <n v="0"/>
    <n v="24980"/>
    <n v="0"/>
    <n v="0"/>
    <n v="13"/>
    <n v="0"/>
    <n v="42.834427374951503"/>
    <n v="92.107142857142861"/>
    <n v="5.4254735586175889E-4"/>
    <n v="1"/>
    <m/>
    <s v="Teghra"/>
    <m/>
    <n v="0"/>
  </r>
  <r>
    <s v="Munger"/>
    <s v="03-09 Jul"/>
    <n v="1008"/>
    <s v="Teghra"/>
    <x v="284"/>
    <s v="Bihat-Gududaspur"/>
    <s v="MPG"/>
    <s v="Direct"/>
    <n v="273.35000000000002"/>
    <n v="10961.41"/>
    <n v="273"/>
    <n v="10889.97"/>
    <n v="0"/>
    <n v="0"/>
    <n v="273"/>
    <n v="10889.97"/>
    <n v="10889.97"/>
    <n v="0"/>
    <n v="0"/>
    <n v="0"/>
    <n v="0"/>
    <n v="0"/>
    <n v="0"/>
    <n v="10890"/>
    <n v="0"/>
    <n v="0"/>
    <n v="71"/>
    <n v="0"/>
    <n v="342.17564122919327"/>
    <n v="39.050000000000004"/>
    <n v="6.517409712801593E-3"/>
    <n v="1"/>
    <m/>
    <s v="Teghra"/>
    <m/>
    <n v="0"/>
  </r>
  <r>
    <s v="Munger"/>
    <s v="03-09 Jul"/>
    <n v="1008"/>
    <s v="Teghra"/>
    <x v="285"/>
    <s v="Labharchak-2"/>
    <s v="MPG"/>
    <s v="Direct"/>
    <n v="204.85000000000002"/>
    <n v="7152.8500000000013"/>
    <n v="204.39999999999998"/>
    <n v="7137.32"/>
    <n v="0"/>
    <n v="0"/>
    <n v="204.39999999999998"/>
    <n v="7137.32"/>
    <n v="7137.32"/>
    <n v="0"/>
    <n v="0"/>
    <n v="0"/>
    <n v="0"/>
    <n v="0"/>
    <n v="0"/>
    <n v="7137"/>
    <n v="0"/>
    <n v="0"/>
    <n v="16"/>
    <n v="0"/>
    <n v="345.78800854283617"/>
    <n v="29.264285714285716"/>
    <n v="2.17116254360172E-3"/>
    <n v="1"/>
    <m/>
    <s v="Teghra"/>
    <m/>
    <n v="0"/>
  </r>
  <r>
    <s v="Munger"/>
    <s v="03-09 Jul"/>
    <n v="1008"/>
    <s v="Teghra"/>
    <x v="286"/>
    <s v="Shamar Kasha"/>
    <s v="vlc"/>
    <s v="Indirect"/>
    <n v="131.29999999999998"/>
    <n v="5316.25"/>
    <n v="0"/>
    <n v="0"/>
    <n v="0"/>
    <n v="0"/>
    <n v="0"/>
    <n v="0"/>
    <n v="5316.25"/>
    <n v="0"/>
    <n v="0"/>
    <n v="0"/>
    <n v="0"/>
    <n v="0"/>
    <n v="0"/>
    <n v="0"/>
    <n v="0"/>
    <n v="5316.25"/>
    <n v="0"/>
    <n v="0"/>
    <n v="460.52572353389195"/>
    <n v="18.757142857142856"/>
    <n v="0"/>
    <n v="0"/>
    <m/>
    <s v="Teghra"/>
    <m/>
    <n v="0"/>
  </r>
  <r>
    <s v="Munger"/>
    <s v="03-09 Jul"/>
    <n v="1009"/>
    <s v="Halsi"/>
    <x v="287"/>
    <s v="POHE"/>
    <s v="vlc"/>
    <s v="Indirect"/>
    <n v="654.29999999999995"/>
    <n v="28168.01"/>
    <n v="0"/>
    <n v="0"/>
    <n v="0"/>
    <n v="0"/>
    <n v="0"/>
    <n v="0"/>
    <n v="28168.01"/>
    <n v="0"/>
    <n v="0"/>
    <n v="0"/>
    <n v="0"/>
    <n v="0"/>
    <n v="0"/>
    <n v="0"/>
    <n v="0"/>
    <n v="28168.01"/>
    <n v="0"/>
    <n v="0"/>
    <n v="39.348251780528869"/>
    <n v="93.471428571428561"/>
    <n v="0"/>
    <n v="0"/>
    <m/>
    <s v="Halsi"/>
    <m/>
    <n v="0"/>
  </r>
  <r>
    <s v="Munger"/>
    <s v="03-09 Jul"/>
    <n v="1009"/>
    <s v="Halsi"/>
    <x v="288"/>
    <s v="AURO"/>
    <s v="MPG"/>
    <s v="Direct"/>
    <n v="1706.2999999999997"/>
    <n v="75052.310000000012"/>
    <n v="1317.24"/>
    <n v="57646.39"/>
    <n v="390.06000000000006"/>
    <n v="16645.16"/>
    <n v="1707.3000000000002"/>
    <n v="74291.55"/>
    <n v="74291.55"/>
    <n v="0"/>
    <n v="550.13"/>
    <n v="0"/>
    <n v="0"/>
    <n v="0"/>
    <n v="0"/>
    <n v="57647"/>
    <n v="16096"/>
    <n v="0"/>
    <n v="759"/>
    <n v="0"/>
    <n v="0"/>
    <n v="0"/>
    <n v="1.0136396867731443E-2"/>
    <n v="14"/>
    <m/>
    <s v="Halsi"/>
    <m/>
    <n v="0"/>
  </r>
  <r>
    <s v="Munger"/>
    <s v="03-09 Jul"/>
    <n v="1009"/>
    <s v="Halsi"/>
    <x v="289"/>
    <s v="PARSHAMA"/>
    <s v="MPG"/>
    <s v="Direct"/>
    <n v="74.7"/>
    <n v="2668.9399999999996"/>
    <n v="74"/>
    <n v="2658.13"/>
    <n v="0.30000000000000004"/>
    <n v="10.98"/>
    <n v="74.3"/>
    <n v="2669.11"/>
    <n v="2668.9399999999996"/>
    <n v="0"/>
    <n v="10.98"/>
    <n v="0.17000000000052751"/>
    <n v="0"/>
    <n v="0"/>
    <n v="0"/>
    <n v="2658"/>
    <n v="0"/>
    <n v="0"/>
    <n v="0"/>
    <n v="0"/>
    <n v="446.82414511378835"/>
    <n v="10.671428571428573"/>
    <n v="-6.3695699416445312E-5"/>
    <n v="3"/>
    <m/>
    <s v="Halsi"/>
    <m/>
    <n v="0"/>
  </r>
  <r>
    <s v="Munger"/>
    <s v="03-09 Jul"/>
    <n v="1009"/>
    <s v="Halsi"/>
    <x v="290"/>
    <s v="PRATAPUR 2"/>
    <s v="vlc"/>
    <s v="Indirect"/>
    <n v="211"/>
    <n v="9517.6899999999987"/>
    <n v="0"/>
    <n v="0"/>
    <n v="0"/>
    <n v="0"/>
    <n v="0"/>
    <n v="0"/>
    <n v="9517.6899999999987"/>
    <n v="0"/>
    <n v="0"/>
    <n v="0"/>
    <n v="0"/>
    <n v="0"/>
    <n v="0"/>
    <n v="0"/>
    <n v="0"/>
    <n v="9517.6899999999987"/>
    <n v="0"/>
    <n v="0"/>
    <n v="441.15169763033168"/>
    <n v="30.142857142857142"/>
    <n v="0"/>
    <n v="0"/>
    <m/>
    <s v="Halsi"/>
    <m/>
    <n v="0"/>
  </r>
  <r>
    <s v="Munger"/>
    <s v="03-09 Jul"/>
    <n v="1009"/>
    <s v="Halsi"/>
    <x v="291"/>
    <s v="BALLOPUR"/>
    <s v="MPG"/>
    <s v="Direct"/>
    <n v="1295.8"/>
    <n v="56553"/>
    <n v="1269.0999999999997"/>
    <n v="59454.1"/>
    <n v="2.5"/>
    <n v="184.05"/>
    <n v="1271.5999999999997"/>
    <n v="59638.15"/>
    <n v="56553"/>
    <n v="0"/>
    <n v="184.05"/>
    <n v="3085.1500000000015"/>
    <n v="0"/>
    <n v="0"/>
    <n v="0"/>
    <n v="56369"/>
    <n v="0"/>
    <n v="0"/>
    <n v="0"/>
    <n v="0"/>
    <n v="0"/>
    <n v="0"/>
    <n v="-5.4553250932753372E-2"/>
    <n v="12"/>
    <m/>
    <s v="Halsi"/>
    <m/>
    <n v="0"/>
  </r>
  <r>
    <s v="Munger"/>
    <s v="03-09 Jul"/>
    <n v="1009"/>
    <s v="Halsi"/>
    <x v="292"/>
    <s v="KHAIRMA"/>
    <s v="MPG"/>
    <s v="Direct"/>
    <n v="587.29999999999995"/>
    <n v="22168.079999999994"/>
    <n v="644.30000000000007"/>
    <n v="25641.88"/>
    <n v="2.0000000000000004"/>
    <n v="75.820000000000007"/>
    <n v="646.30000000000007"/>
    <n v="25717.7"/>
    <n v="22168.079999999994"/>
    <n v="0"/>
    <n v="75.820000000000007"/>
    <n v="3549.6200000000063"/>
    <n v="0"/>
    <n v="0"/>
    <n v="0"/>
    <n v="22092"/>
    <n v="0"/>
    <n v="0"/>
    <n v="0"/>
    <n v="0"/>
    <n v="85.078924433849849"/>
    <n v="83.899999999999991"/>
    <n v="-0.16012302373502835"/>
    <n v="5"/>
    <m/>
    <s v="Halsi"/>
    <m/>
    <n v="0"/>
  </r>
  <r>
    <s v="Munger"/>
    <s v="03-09 Jul"/>
    <n v="1009"/>
    <s v="Halsi"/>
    <x v="293"/>
    <s v="MAHASONI"/>
    <s v="MPG"/>
    <s v="Direct"/>
    <n v="891.1"/>
    <n v="36057.480000000003"/>
    <n v="896.89999999999986"/>
    <n v="35173.50999999998"/>
    <n v="12.800000000000002"/>
    <n v="499.28999999999996"/>
    <n v="909.69999999999982"/>
    <n v="35672.799999999981"/>
    <n v="35672.799999999981"/>
    <n v="0"/>
    <n v="499.28999999999996"/>
    <n v="0"/>
    <n v="0"/>
    <n v="0"/>
    <n v="0"/>
    <n v="35174"/>
    <n v="0"/>
    <n v="0"/>
    <n v="384"/>
    <n v="0"/>
    <n v="0"/>
    <n v="0"/>
    <n v="1.0668521482921771E-2"/>
    <n v="30"/>
    <m/>
    <s v="Halsi"/>
    <m/>
    <n v="0"/>
  </r>
  <r>
    <s v="Munger"/>
    <s v="03-09 Jul"/>
    <n v="1009"/>
    <s v="Halsi"/>
    <x v="294"/>
    <s v="SONDHI"/>
    <s v="MPG"/>
    <s v="Direct"/>
    <n v="730.19999999999982"/>
    <n v="29128.149999999998"/>
    <n v="733.8"/>
    <n v="28924.49"/>
    <n v="4.9000000000000004"/>
    <n v="202.46"/>
    <n v="738.69999999999993"/>
    <n v="29126.95"/>
    <n v="29126.95"/>
    <n v="0"/>
    <n v="202.46"/>
    <n v="0"/>
    <n v="0"/>
    <n v="0"/>
    <n v="0"/>
    <n v="28924"/>
    <n v="0"/>
    <n v="0"/>
    <n v="2"/>
    <n v="0"/>
    <n v="0"/>
    <n v="0"/>
    <n v="4.1197261068660029E-5"/>
    <n v="11"/>
    <m/>
    <s v="Halsi"/>
    <m/>
    <n v="0"/>
  </r>
  <r>
    <s v="Munger"/>
    <s v="03-09 Jul"/>
    <n v="1009"/>
    <s v="Halsi"/>
    <x v="295"/>
    <s v="BELDARAYA"/>
    <s v="vlc"/>
    <s v="Indirect"/>
    <n v="850.30000000000007"/>
    <n v="32893.199999999997"/>
    <n v="0"/>
    <n v="0"/>
    <n v="0"/>
    <n v="0"/>
    <n v="0"/>
    <n v="0"/>
    <n v="32893.199999999997"/>
    <n v="0"/>
    <n v="0"/>
    <n v="0"/>
    <n v="0"/>
    <n v="0"/>
    <n v="0"/>
    <n v="0"/>
    <n v="0"/>
    <n v="32893.199999999997"/>
    <n v="0"/>
    <n v="0"/>
    <n v="0"/>
    <n v="0"/>
    <n v="0"/>
    <n v="0"/>
    <m/>
    <s v="Halsi"/>
    <m/>
    <n v="0"/>
  </r>
  <r>
    <s v="Munger"/>
    <s v="03-09 Jul"/>
    <n v="1009"/>
    <s v="Halsi"/>
    <x v="296"/>
    <s v="Gomukh ID Aure-2"/>
    <s v="vlc"/>
    <s v="Indirect"/>
    <n v="1050.3000000000002"/>
    <n v="40712.200000000004"/>
    <n v="0"/>
    <n v="0"/>
    <n v="0"/>
    <n v="0"/>
    <n v="0"/>
    <n v="0"/>
    <n v="40712.200000000004"/>
    <n v="0"/>
    <n v="0"/>
    <n v="0"/>
    <n v="0"/>
    <n v="0"/>
    <n v="0"/>
    <n v="0"/>
    <n v="0"/>
    <n v="40712.200000000004"/>
    <n v="0"/>
    <n v="0"/>
    <n v="0"/>
    <n v="0"/>
    <n v="0"/>
    <n v="0"/>
    <m/>
    <s v="Halsi"/>
    <m/>
    <n v="0"/>
  </r>
  <r>
    <s v="Munger"/>
    <s v="03-09 Jul"/>
    <n v="1009"/>
    <s v="Halsi"/>
    <x v="297"/>
    <s v="Gomukh Karma"/>
    <s v="vlc"/>
    <s v="Indirect"/>
    <n v="717.1"/>
    <n v="30321.18"/>
    <n v="0"/>
    <n v="0"/>
    <n v="0"/>
    <n v="0"/>
    <n v="0"/>
    <n v="0"/>
    <n v="30321.18"/>
    <n v="0"/>
    <n v="0"/>
    <n v="0"/>
    <n v="0"/>
    <n v="0"/>
    <n v="0"/>
    <n v="0"/>
    <n v="0"/>
    <n v="30321.18"/>
    <n v="0"/>
    <n v="0"/>
    <n v="0"/>
    <n v="0"/>
    <n v="0"/>
    <n v="0"/>
    <m/>
    <s v="Halsi"/>
    <m/>
    <n v="0"/>
  </r>
  <r>
    <s v="Munger"/>
    <s v="03-09 Jul"/>
    <n v="1009"/>
    <s v="Halsi"/>
    <x v="298"/>
    <s v="GOMUKH UKSI"/>
    <s v="vlc"/>
    <s v="Indirect"/>
    <n v="599.5"/>
    <n v="27069.89"/>
    <n v="0"/>
    <n v="0"/>
    <n v="0"/>
    <n v="0"/>
    <n v="0"/>
    <n v="0"/>
    <n v="27069.89"/>
    <n v="0"/>
    <n v="0"/>
    <n v="0"/>
    <n v="0"/>
    <n v="0"/>
    <n v="0"/>
    <n v="0"/>
    <n v="0"/>
    <n v="27069.89"/>
    <n v="0"/>
    <n v="0"/>
    <n v="90.759764637197691"/>
    <n v="85.642857142857139"/>
    <n v="0"/>
    <n v="0"/>
    <m/>
    <s v="Halsi"/>
    <m/>
    <n v="0"/>
  </r>
  <r>
    <s v="Munger"/>
    <s v="03-09 Jul"/>
    <n v="1009"/>
    <s v="Halsi"/>
    <x v="299"/>
    <s v="Gomukh ID Halsi"/>
    <s v="vlc"/>
    <s v="Indirect"/>
    <n v="5198.7000000000007"/>
    <n v="193520.19"/>
    <n v="0"/>
    <n v="0"/>
    <n v="0"/>
    <n v="0"/>
    <n v="0"/>
    <n v="0"/>
    <n v="193520.19"/>
    <n v="0"/>
    <n v="0"/>
    <n v="0"/>
    <n v="0"/>
    <n v="0"/>
    <n v="0"/>
    <n v="0"/>
    <n v="0"/>
    <n v="193520.19"/>
    <n v="0"/>
    <n v="0"/>
    <n v="0"/>
    <n v="0"/>
    <n v="0"/>
    <n v="0"/>
    <m/>
    <s v="Halsi"/>
    <m/>
    <n v="0"/>
  </r>
  <r>
    <s v="Munger"/>
    <s v="03-09 Jul"/>
    <n v="1009"/>
    <s v="Halsi"/>
    <x v="300"/>
    <s v="Gomukh ID Lalpur"/>
    <s v="vlc"/>
    <s v="Indirect"/>
    <n v="663.19999999999993"/>
    <n v="27044.41"/>
    <n v="0"/>
    <n v="0"/>
    <n v="0"/>
    <n v="0"/>
    <n v="0"/>
    <n v="0"/>
    <n v="27044.41"/>
    <n v="0"/>
    <n v="0"/>
    <n v="0"/>
    <n v="0"/>
    <n v="0"/>
    <n v="0"/>
    <n v="0"/>
    <n v="0"/>
    <n v="27044.41"/>
    <n v="0"/>
    <n v="0"/>
    <n v="30.013096743063993"/>
    <n v="94.742857142857133"/>
    <n v="0"/>
    <n v="0"/>
    <m/>
    <s v="Halsi"/>
    <m/>
    <n v="0"/>
  </r>
  <r>
    <s v="Munger"/>
    <s v="03-09 Jul"/>
    <n v="1009"/>
    <s v="Halsi"/>
    <x v="301"/>
    <s v="KHURIYARI"/>
    <s v="MPG"/>
    <s v="Direct"/>
    <n v="1252.0999999999997"/>
    <n v="56997.01"/>
    <n v="1156.7"/>
    <n v="55439.44"/>
    <n v="1.9999999999999998"/>
    <n v="90.12"/>
    <n v="1158.7"/>
    <n v="55529.560000000005"/>
    <n v="55529.560000000005"/>
    <n v="0"/>
    <n v="90.12"/>
    <n v="0"/>
    <n v="0"/>
    <n v="0"/>
    <n v="0"/>
    <n v="55440"/>
    <n v="0"/>
    <n v="0"/>
    <n v="1467"/>
    <n v="0"/>
    <n v="0"/>
    <n v="0"/>
    <n v="2.5746087382478432E-2"/>
    <n v="8"/>
    <m/>
    <s v="Halsi"/>
    <m/>
    <n v="0"/>
  </r>
  <r>
    <s v="Munger"/>
    <s v="03-09 Jul"/>
    <n v="1009"/>
    <s v="Halsi"/>
    <x v="302"/>
    <s v="BISANPUR"/>
    <s v="vlc"/>
    <s v="Indirect"/>
    <n v="406.8"/>
    <n v="16275.619999999999"/>
    <n v="0"/>
    <n v="0"/>
    <n v="0"/>
    <n v="0"/>
    <n v="0"/>
    <n v="0"/>
    <n v="16275.619999999999"/>
    <n v="0"/>
    <n v="0"/>
    <n v="0"/>
    <n v="0"/>
    <n v="0"/>
    <n v="0"/>
    <n v="0"/>
    <n v="0"/>
    <n v="16275.619999999999"/>
    <n v="0"/>
    <n v="0"/>
    <n v="234.61218210422808"/>
    <n v="58.114285714285714"/>
    <n v="0"/>
    <n v="0"/>
    <m/>
    <s v="Halsi"/>
    <m/>
    <n v="0"/>
  </r>
  <r>
    <s v="Munger"/>
    <s v="03-09 Jul"/>
    <n v="1009"/>
    <s v="Halsi"/>
    <x v="303"/>
    <s v="BEHRAMA"/>
    <s v="vlc"/>
    <s v="Indirect"/>
    <n v="173.00000000000003"/>
    <n v="6810.2199999999984"/>
    <n v="0"/>
    <n v="0"/>
    <n v="0"/>
    <n v="0"/>
    <n v="0"/>
    <n v="0"/>
    <n v="6810.2199999999984"/>
    <n v="0"/>
    <n v="0"/>
    <n v="0"/>
    <n v="0"/>
    <n v="0"/>
    <n v="0"/>
    <n v="0"/>
    <n v="0"/>
    <n v="6810.2199999999984"/>
    <n v="0"/>
    <n v="0"/>
    <n v="414.91166936416164"/>
    <n v="24.714285714285719"/>
    <n v="0"/>
    <n v="0"/>
    <m/>
    <s v="Halsi"/>
    <m/>
    <n v="0"/>
  </r>
  <r>
    <s v="Munger"/>
    <s v="03-09 Jul"/>
    <n v="1009"/>
    <s v="Halsi"/>
    <x v="304"/>
    <s v="Gomukh ID Mathurapur"/>
    <s v="vlc"/>
    <s v="Indirect"/>
    <n v="459"/>
    <n v="18561.489999999998"/>
    <n v="0"/>
    <n v="0"/>
    <n v="0"/>
    <n v="0"/>
    <n v="0"/>
    <n v="0"/>
    <n v="18561.489999999998"/>
    <n v="0"/>
    <n v="0"/>
    <n v="0"/>
    <n v="0"/>
    <n v="0"/>
    <n v="0"/>
    <n v="0"/>
    <n v="0"/>
    <n v="18561.489999999998"/>
    <n v="0"/>
    <n v="0"/>
    <n v="194.91586448801743"/>
    <n v="65.571428571428569"/>
    <n v="0"/>
    <n v="0"/>
    <m/>
    <s v="Halsi"/>
    <m/>
    <n v="0"/>
  </r>
  <r>
    <s v="Munger"/>
    <s v="03-09 Jul"/>
    <n v="1009"/>
    <s v="Halsi"/>
    <x v="305"/>
    <s v="Gomukh ID Kurha Dih"/>
    <s v="vlc"/>
    <s v="Indirect"/>
    <n v="2038.6000000000004"/>
    <n v="89810.36"/>
    <n v="0"/>
    <n v="0"/>
    <n v="0"/>
    <n v="0"/>
    <n v="0"/>
    <n v="0"/>
    <n v="89810.36"/>
    <n v="0"/>
    <n v="0"/>
    <n v="0"/>
    <n v="0"/>
    <n v="0"/>
    <n v="0"/>
    <n v="0"/>
    <n v="0"/>
    <n v="89810.36"/>
    <n v="0"/>
    <n v="0"/>
    <n v="0"/>
    <n v="0"/>
    <n v="0"/>
    <n v="0"/>
    <m/>
    <s v="Halsi"/>
    <m/>
    <n v="0"/>
  </r>
  <r>
    <s v="Munger"/>
    <s v="03-09 Jul"/>
    <n v="1009"/>
    <s v="Halsi"/>
    <x v="306"/>
    <s v="RAMNAGAR"/>
    <s v="MPG"/>
    <s v="Direct"/>
    <n v="772.20000000000016"/>
    <n v="34539.72"/>
    <n v="810.98"/>
    <n v="34293.249999999993"/>
    <n v="5.29"/>
    <n v="252.97"/>
    <n v="816.27"/>
    <n v="34546.219999999994"/>
    <n v="34539.72"/>
    <n v="0"/>
    <n v="252.97"/>
    <n v="6.499999999992724"/>
    <n v="0"/>
    <n v="0"/>
    <n v="0"/>
    <n v="34287"/>
    <n v="0"/>
    <n v="0"/>
    <n v="0"/>
    <n v="0"/>
    <n v="0"/>
    <n v="0"/>
    <n v="-1.8818913413289753E-4"/>
    <n v="17"/>
    <m/>
    <s v="Halsi"/>
    <m/>
    <n v="0"/>
  </r>
  <r>
    <s v="Munger"/>
    <s v="03-09 Jul"/>
    <n v="1009"/>
    <s v="Halsi"/>
    <x v="307"/>
    <s v="SANDH MAAF 2"/>
    <s v="MPG"/>
    <s v="Direct"/>
    <n v="846.1"/>
    <n v="39963.560000000012"/>
    <n v="848.82999999999993"/>
    <n v="40443.340000000004"/>
    <n v="4.3099999999999996"/>
    <n v="211.79"/>
    <n v="853.13999999999987"/>
    <n v="40655.130000000005"/>
    <n v="39963.560000000012"/>
    <n v="0"/>
    <n v="211.79"/>
    <n v="691.56999999999243"/>
    <n v="0"/>
    <n v="0"/>
    <n v="0"/>
    <n v="39752"/>
    <n v="0"/>
    <n v="0"/>
    <n v="0"/>
    <n v="0"/>
    <n v="0"/>
    <n v="0"/>
    <n v="-1.7305014868545049E-2"/>
    <n v="9"/>
    <m/>
    <s v="Halsi"/>
    <m/>
    <n v="0"/>
  </r>
  <r>
    <s v="Munger"/>
    <s v="03-09 Jul"/>
    <n v="1009"/>
    <s v="Halsi"/>
    <x v="308"/>
    <s v="TAAL-SHAHARSHA                                                                                      "/>
    <s v="MPG"/>
    <s v="Direct"/>
    <n v="1554.7999999999997"/>
    <n v="68790.439999999973"/>
    <n v="1541.1399999999999"/>
    <n v="67692.509999999995"/>
    <n v="15.240000000000002"/>
    <n v="675.95"/>
    <n v="1556.3799999999999"/>
    <n v="68368.459999999992"/>
    <n v="68368.459999999992"/>
    <n v="0"/>
    <n v="675.95"/>
    <n v="0"/>
    <n v="0"/>
    <n v="0"/>
    <n v="0"/>
    <n v="67691"/>
    <n v="0"/>
    <n v="0"/>
    <n v="423"/>
    <n v="0"/>
    <n v="0"/>
    <n v="0"/>
    <n v="6.134282612525542E-3"/>
    <n v="34"/>
    <m/>
    <s v="Halsi"/>
    <m/>
    <n v="0"/>
  </r>
  <r>
    <s v="Munger"/>
    <s v="03-09 Jul"/>
    <n v="1009"/>
    <s v="Halsi"/>
    <x v="309"/>
    <s v="Dhira"/>
    <s v="MPG"/>
    <s v="Direct"/>
    <n v="663.7"/>
    <n v="34404.67"/>
    <n v="612.9"/>
    <n v="32755.09"/>
    <n v="53.510000000000005"/>
    <n v="2980.4400000000005"/>
    <n v="666.41"/>
    <n v="35735.53"/>
    <n v="34404.67"/>
    <n v="0"/>
    <n v="287.16999999999996"/>
    <n v="1330.8600000000006"/>
    <n v="0"/>
    <n v="0"/>
    <n v="0"/>
    <n v="31424"/>
    <n v="2693"/>
    <n v="0"/>
    <n v="1"/>
    <n v="0"/>
    <n v="37.634157631459978"/>
    <n v="94.814285714285717"/>
    <n v="-3.8682539318063529E-2"/>
    <n v="10"/>
    <m/>
    <s v="Halsi"/>
    <m/>
    <n v="0"/>
  </r>
  <r>
    <s v="Munger"/>
    <s v="03-09 Jul"/>
    <n v="1009"/>
    <s v="Halsi"/>
    <x v="310"/>
    <s v="SHARMA"/>
    <s v="MPG"/>
    <s v="Direct"/>
    <n v="108.80000000000003"/>
    <n v="4364.6499999999996"/>
    <n v="108.80000000000001"/>
    <n v="4361.04"/>
    <n v="0"/>
    <n v="0"/>
    <n v="108.80000000000001"/>
    <n v="4361.04"/>
    <n v="4361.04"/>
    <n v="0"/>
    <n v="0"/>
    <n v="0"/>
    <n v="0"/>
    <n v="0"/>
    <n v="0"/>
    <n v="4361"/>
    <n v="0"/>
    <n v="0"/>
    <n v="4"/>
    <n v="0"/>
    <n v="474.3347573529411"/>
    <n v="15.542857142857146"/>
    <n v="8.270995383363323E-4"/>
    <n v="1"/>
    <m/>
    <s v="Halsi"/>
    <m/>
    <n v="0"/>
  </r>
  <r>
    <s v="Munger"/>
    <s v="03-09 Jul"/>
    <n v="1009"/>
    <s v="Halsi"/>
    <x v="311"/>
    <s v="AZADNAGAR(VLC)"/>
    <s v="vlc"/>
    <s v="Indirect"/>
    <n v="379.4"/>
    <n v="11737.21"/>
    <n v="0"/>
    <n v="0"/>
    <n v="0"/>
    <n v="0"/>
    <n v="0"/>
    <n v="0"/>
    <n v="11737.21"/>
    <n v="0"/>
    <n v="0"/>
    <n v="0"/>
    <n v="0"/>
    <n v="0"/>
    <n v="0"/>
    <n v="0"/>
    <n v="0"/>
    <n v="11737.21"/>
    <n v="0"/>
    <n v="0"/>
    <n v="198.36318007380078"/>
    <n v="54.199999999999996"/>
    <n v="0"/>
    <n v="0"/>
    <m/>
    <s v="Halsi"/>
    <m/>
    <n v="0"/>
  </r>
  <r>
    <s v="Munger"/>
    <s v="03-09 Jul"/>
    <n v="1009"/>
    <s v="Halsi"/>
    <x v="312"/>
    <s v="REWAI"/>
    <s v="MPG"/>
    <s v="Direct"/>
    <n v="869.4"/>
    <n v="38335.25"/>
    <n v="883.68"/>
    <n v="39634.259999999995"/>
    <n v="2.59"/>
    <n v="122.23000000000002"/>
    <n v="886.27"/>
    <n v="39756.49"/>
    <n v="38335.25"/>
    <n v="0"/>
    <n v="122.23000000000002"/>
    <n v="1421.239999999998"/>
    <n v="0"/>
    <n v="0"/>
    <n v="0"/>
    <n v="38213"/>
    <n v="0"/>
    <n v="0"/>
    <n v="0"/>
    <n v="0"/>
    <n v="0"/>
    <n v="0"/>
    <n v="-3.7073972388337054E-2"/>
    <n v="5"/>
    <m/>
    <s v="Halsi"/>
    <m/>
    <n v="0"/>
  </r>
  <r>
    <s v="Munger"/>
    <s v="03-09 Jul"/>
    <n v="1009"/>
    <s v="Halsi"/>
    <x v="313"/>
    <s v="MANJOS"/>
    <s v="MPG"/>
    <s v="Direct"/>
    <n v="87.499999999999986"/>
    <n v="3634.93"/>
    <n v="87.7"/>
    <n v="3643.36"/>
    <n v="0"/>
    <n v="0"/>
    <n v="87.7"/>
    <n v="3643.36"/>
    <n v="3634.93"/>
    <n v="0"/>
    <n v="0"/>
    <n v="8.430000000000291"/>
    <n v="0"/>
    <n v="0"/>
    <n v="0"/>
    <n v="3635"/>
    <n v="0"/>
    <n v="0"/>
    <n v="0"/>
    <n v="0"/>
    <n v="508.89020000000005"/>
    <n v="12.499999999999998"/>
    <n v="-2.3191643305373946E-3"/>
    <n v="1"/>
    <m/>
    <s v="Halsi"/>
    <m/>
    <n v="0"/>
  </r>
  <r>
    <s v="Munger"/>
    <s v="03-09 Jul"/>
    <n v="1009"/>
    <s v="Halsi"/>
    <x v="314"/>
    <s v="RATA"/>
    <s v="MPG"/>
    <s v="Direct"/>
    <n v="487"/>
    <n v="23458.930000000004"/>
    <n v="494.44999999999987"/>
    <n v="24061.660000000003"/>
    <n v="0"/>
    <n v="0"/>
    <n v="494.44999999999987"/>
    <n v="24061.660000000003"/>
    <n v="23458.930000000004"/>
    <n v="0"/>
    <n v="0"/>
    <n v="602.72999999999956"/>
    <n v="0"/>
    <n v="0"/>
    <n v="0"/>
    <n v="23459"/>
    <n v="0"/>
    <n v="0"/>
    <n v="0"/>
    <n v="0"/>
    <n v="205.20542464065716"/>
    <n v="69.571428571428569"/>
    <n v="-2.5692987702337636E-2"/>
    <n v="4"/>
    <m/>
    <s v="Halsi"/>
    <m/>
    <n v="0"/>
  </r>
  <r>
    <s v="Munger"/>
    <s v="03-09 Jul"/>
    <n v="1009"/>
    <s v="Halsi"/>
    <x v="315"/>
    <s v="BARUI"/>
    <s v="MPG"/>
    <s v="Direct"/>
    <n v="285.99999999999994"/>
    <n v="13008.58"/>
    <n v="286.05"/>
    <n v="13023.15"/>
    <n v="7.9499999999999993"/>
    <n v="359.59"/>
    <n v="294"/>
    <n v="13382.74"/>
    <n v="13008.58"/>
    <n v="0"/>
    <n v="359.59"/>
    <n v="374.15999999999985"/>
    <n v="0"/>
    <n v="0"/>
    <n v="0"/>
    <n v="12649"/>
    <n v="0"/>
    <n v="0"/>
    <n v="0"/>
    <n v="0"/>
    <n v="376.61203636363649"/>
    <n v="40.857142857142847"/>
    <n v="-2.876255517512287E-2"/>
    <n v="15"/>
    <m/>
    <s v="Halsi"/>
    <m/>
    <n v="0"/>
  </r>
  <r>
    <s v="Munger"/>
    <s v="03-09 Jul"/>
    <n v="1009"/>
    <s v="Halsi"/>
    <x v="316"/>
    <s v="LAHUARA                                                                                             "/>
    <s v="MPG"/>
    <s v="Direct"/>
    <n v="722.5"/>
    <n v="39151.499999999993"/>
    <n v="725.88"/>
    <n v="41264.39"/>
    <n v="6.62"/>
    <n v="385.31000000000006"/>
    <n v="732.5"/>
    <n v="41649.699999999997"/>
    <n v="39151.499999999993"/>
    <n v="0"/>
    <n v="385.31000000000006"/>
    <n v="2498.2000000000044"/>
    <n v="0"/>
    <n v="0"/>
    <n v="0"/>
    <n v="38766"/>
    <n v="0"/>
    <n v="0"/>
    <n v="0"/>
    <n v="0"/>
    <n v="0"/>
    <n v="0"/>
    <n v="-6.3808538625595573E-2"/>
    <n v="12"/>
    <m/>
    <s v="Halsi"/>
    <m/>
    <n v="0"/>
  </r>
  <r>
    <s v="Munger"/>
    <s v="03-09 Jul"/>
    <n v="1009"/>
    <s v="Halsi"/>
    <x v="317"/>
    <s v="RAMDIH Ajit Kumar"/>
    <s v="vlc"/>
    <s v="Indirect"/>
    <n v="358.70000000000005"/>
    <n v="13769.619999999999"/>
    <n v="0"/>
    <n v="0"/>
    <n v="0"/>
    <n v="0"/>
    <n v="0"/>
    <n v="0"/>
    <n v="13769.619999999999"/>
    <n v="0"/>
    <n v="0"/>
    <n v="0"/>
    <n v="0"/>
    <n v="0"/>
    <n v="0"/>
    <n v="0"/>
    <n v="0"/>
    <n v="13769.619999999999"/>
    <n v="0"/>
    <n v="0"/>
    <n v="262.03352695846104"/>
    <n v="51.242857142857147"/>
    <n v="0"/>
    <n v="0"/>
    <m/>
    <s v="Halsi"/>
    <m/>
    <n v="0"/>
  </r>
  <r>
    <s v="Munger"/>
    <s v="03-09 Jul"/>
    <n v="1009"/>
    <s v="Halsi"/>
    <x v="318"/>
    <s v="NARAYANPUR"/>
    <s v="MPG"/>
    <s v="Direct"/>
    <n v="342.09999999999997"/>
    <n v="14959.68"/>
    <n v="388.14000000000004"/>
    <n v="16616.96"/>
    <n v="1.5400000000000003"/>
    <n v="70.209999999999994"/>
    <n v="389.68000000000006"/>
    <n v="16687.169999999998"/>
    <n v="14959.68"/>
    <n v="0"/>
    <n v="70.209999999999994"/>
    <n v="1727.489999999998"/>
    <n v="0"/>
    <n v="0"/>
    <n v="0"/>
    <n v="14889"/>
    <n v="0"/>
    <n v="0"/>
    <n v="0"/>
    <n v="0"/>
    <n v="313.01195393159901"/>
    <n v="48.871428571428567"/>
    <n v="-0.11547640056471782"/>
    <n v="4"/>
    <m/>
    <s v="Halsi"/>
    <m/>
    <n v="0"/>
  </r>
  <r>
    <s v="Munger"/>
    <s v="03-09 Jul"/>
    <n v="1009"/>
    <s v="Halsi"/>
    <x v="319"/>
    <s v="NAWKADIH"/>
    <s v="MPG"/>
    <s v="Direct"/>
    <n v="751.6"/>
    <n v="33915.75"/>
    <n v="752.7399999999999"/>
    <n v="36308.989999999991"/>
    <n v="0"/>
    <n v="0"/>
    <n v="752.7399999999999"/>
    <n v="36308.989999999991"/>
    <n v="33915.75"/>
    <n v="0"/>
    <n v="0"/>
    <n v="2393.2399999999907"/>
    <n v="0"/>
    <n v="0"/>
    <n v="0"/>
    <n v="33916"/>
    <n v="0"/>
    <n v="0"/>
    <n v="0"/>
    <n v="0"/>
    <n v="0"/>
    <n v="0"/>
    <n v="-7.0564265864679121E-2"/>
    <n v="3"/>
    <m/>
    <s v="Halsi"/>
    <m/>
    <n v="0"/>
  </r>
  <r>
    <s v="Munger"/>
    <s v="03-09 Jul"/>
    <n v="1009"/>
    <s v="Halsi"/>
    <x v="320"/>
    <s v="CHOTAHA"/>
    <s v="MPG"/>
    <s v="Direct"/>
    <n v="350.90000000000003"/>
    <n v="16954.71"/>
    <n v="974.78000000000009"/>
    <n v="73963.66"/>
    <n v="0"/>
    <n v="0"/>
    <n v="974.78000000000009"/>
    <n v="73963.66"/>
    <n v="16954.71"/>
    <n v="0"/>
    <n v="0"/>
    <n v="57008.950000000004"/>
    <n v="0"/>
    <n v="0"/>
    <n v="0"/>
    <n v="16955"/>
    <n v="0"/>
    <n v="0"/>
    <n v="0"/>
    <s v="Release5"/>
    <n v="337.35475981761181"/>
    <n v="50.128571428571433"/>
    <n v="-3.3624255442882838"/>
    <n v="8"/>
    <m/>
    <s v="Halsi"/>
    <m/>
    <n v="0"/>
  </r>
  <r>
    <s v="Munger"/>
    <s v="03-09 Jul"/>
    <n v="1009"/>
    <s v="Halsi"/>
    <x v="321"/>
    <s v="KHARAGWADA "/>
    <s v="MPG"/>
    <s v="Direct"/>
    <n v="240.29999999999995"/>
    <n v="11495.099999999999"/>
    <n v="240.3"/>
    <n v="11606.18"/>
    <n v="0"/>
    <n v="0"/>
    <n v="240.3"/>
    <n v="11606.18"/>
    <n v="11495.099999999999"/>
    <n v="0"/>
    <n v="0"/>
    <n v="111.08000000000175"/>
    <n v="0"/>
    <n v="500"/>
    <n v="0"/>
    <n v="10995"/>
    <n v="0"/>
    <n v="0"/>
    <n v="0"/>
    <n v="0"/>
    <n v="439.80836204744077"/>
    <n v="34.328571428571422"/>
    <n v="-9.6632478186359193E-3"/>
    <n v="1"/>
    <m/>
    <s v="Halsi"/>
    <m/>
    <n v="500"/>
  </r>
  <r>
    <s v="Munger"/>
    <s v="03-09 Jul"/>
    <n v="1009"/>
    <s v="Halsi"/>
    <x v="322"/>
    <s v="UFFAPUR"/>
    <s v="MPG"/>
    <s v="Direct"/>
    <n v="215.2"/>
    <n v="10426.129999999999"/>
    <n v="244.19999999999996"/>
    <n v="12504.859999999999"/>
    <n v="0"/>
    <n v="0"/>
    <n v="244.19999999999996"/>
    <n v="12504.859999999999"/>
    <n v="10426.129999999999"/>
    <n v="0"/>
    <n v="0"/>
    <n v="2078.7299999999996"/>
    <n v="0"/>
    <n v="500"/>
    <n v="0"/>
    <n v="9926"/>
    <n v="0"/>
    <n v="0"/>
    <n v="0"/>
    <n v="0"/>
    <n v="469.75723271375472"/>
    <n v="30.74285714285714"/>
    <n v="-0.19937695002843814"/>
    <n v="2"/>
    <m/>
    <s v="Halsi"/>
    <m/>
    <n v="500"/>
  </r>
  <r>
    <s v="Munger"/>
    <s v="03-09 Jul"/>
    <n v="1009"/>
    <s v="Halsi"/>
    <x v="323"/>
    <s v="BIHRAURA"/>
    <s v="MPG"/>
    <s v="Direct"/>
    <n v="183.6"/>
    <n v="9687.7300000000014"/>
    <n v="183.6"/>
    <n v="9712.48"/>
    <n v="0"/>
    <n v="0"/>
    <n v="183.6"/>
    <n v="9712.48"/>
    <n v="9687.7300000000014"/>
    <n v="0"/>
    <n v="0"/>
    <n v="24.749999999998181"/>
    <n v="0"/>
    <n v="500"/>
    <n v="0"/>
    <n v="9188"/>
    <n v="0"/>
    <n v="0"/>
    <n v="0"/>
    <n v="0"/>
    <n v="544.96119520697175"/>
    <n v="26.228571428571428"/>
    <n v="-2.5547780543014906E-3"/>
    <n v="1"/>
    <m/>
    <s v="Halsi"/>
    <m/>
    <n v="500"/>
  </r>
  <r>
    <s v="Munger"/>
    <s v="03-09 Jul"/>
    <n v="1009"/>
    <s v="Halsi"/>
    <x v="324"/>
    <s v="SHIJHORI"/>
    <s v="MPG"/>
    <s v="Direct"/>
    <n v="361.90000000000003"/>
    <n v="16789.21"/>
    <n v="373.15000000000003"/>
    <n v="17392.209999999995"/>
    <n v="0"/>
    <n v="0"/>
    <n v="373.15000000000003"/>
    <n v="17392.209999999995"/>
    <n v="16789.21"/>
    <n v="0"/>
    <n v="0"/>
    <n v="602.99999999999636"/>
    <n v="0"/>
    <n v="0"/>
    <n v="0"/>
    <n v="16789"/>
    <n v="0"/>
    <n v="0"/>
    <n v="0"/>
    <n v="0"/>
    <n v="313.70168007736942"/>
    <n v="51.7"/>
    <n v="-3.591592457298446E-2"/>
    <n v="1"/>
    <m/>
    <s v="Halsi"/>
    <m/>
    <n v="0"/>
  </r>
  <r>
    <s v="Munger"/>
    <s v="03-09 Jul"/>
    <n v="1009"/>
    <s v="Halsi"/>
    <x v="325"/>
    <s v="RAM PRAVESH YADAV"/>
    <s v="MPG"/>
    <s v="Direct"/>
    <n v="597.79999999999995"/>
    <n v="26009.090000000004"/>
    <n v="602.57000000000005"/>
    <n v="27535.65"/>
    <n v="0"/>
    <n v="0"/>
    <n v="602.57000000000005"/>
    <n v="27535.65"/>
    <n v="26009.090000000004"/>
    <n v="0"/>
    <n v="0"/>
    <n v="1526.5599999999977"/>
    <n v="0"/>
    <n v="0"/>
    <n v="0"/>
    <n v="26009"/>
    <n v="0"/>
    <n v="0"/>
    <n v="0"/>
    <n v="0"/>
    <n v="88.930377985948539"/>
    <n v="85.399999999999991"/>
    <n v="-5.8693326064079808E-2"/>
    <n v="2"/>
    <m/>
    <s v="Halsi"/>
    <m/>
    <n v="0"/>
  </r>
  <r>
    <s v="Munger"/>
    <s v="03-09 Jul"/>
    <n v="1009"/>
    <s v="Halsi"/>
    <x v="326"/>
    <s v="MAHMADPUR VL"/>
    <s v="vlc"/>
    <s v="Indirect"/>
    <n v="950.5999999999998"/>
    <n v="42330.5"/>
    <n v="0"/>
    <n v="0"/>
    <n v="0"/>
    <n v="0"/>
    <n v="0"/>
    <n v="0"/>
    <n v="42330.5"/>
    <n v="0"/>
    <n v="0"/>
    <n v="0"/>
    <n v="0"/>
    <n v="0"/>
    <n v="0"/>
    <n v="0"/>
    <n v="0"/>
    <n v="42330.5"/>
    <n v="0"/>
    <n v="0"/>
    <n v="0"/>
    <n v="0"/>
    <n v="0"/>
    <n v="0"/>
    <m/>
    <s v="Halsi"/>
    <m/>
    <n v="0"/>
  </r>
  <r>
    <s v="Munger"/>
    <s v="03-09 Jul"/>
    <n v="1009"/>
    <s v="Halsi"/>
    <x v="327"/>
    <s v="BOUDHNAGAR"/>
    <s v="MPG"/>
    <s v="Direct"/>
    <n v="404.99999999999994"/>
    <n v="16383.21"/>
    <n v="429.1099999999999"/>
    <n v="18429.97"/>
    <n v="0"/>
    <n v="0"/>
    <n v="429.1099999999999"/>
    <n v="18429.97"/>
    <n v="16383.21"/>
    <n v="0"/>
    <n v="0"/>
    <n v="2046.760000000002"/>
    <n v="0"/>
    <n v="0"/>
    <n v="0"/>
    <n v="16383"/>
    <n v="0"/>
    <n v="0"/>
    <n v="0"/>
    <n v="0"/>
    <n v="238.66898518518528"/>
    <n v="57.857142857142847"/>
    <n v="-0.12493034026909269"/>
    <n v="1"/>
    <m/>
    <s v="Halsi"/>
    <m/>
    <n v="0"/>
  </r>
  <r>
    <s v="Munger"/>
    <s v="03-09 Jul"/>
    <n v="1009"/>
    <s v="Halsi"/>
    <x v="328"/>
    <s v="MOHADDINGAR"/>
    <s v="MPG"/>
    <s v="Direct"/>
    <n v="420.2"/>
    <n v="17964.560000000001"/>
    <n v="463.65"/>
    <n v="19982.660000000003"/>
    <n v="0"/>
    <n v="0"/>
    <n v="463.65"/>
    <n v="19982.660000000003"/>
    <n v="17964.560000000001"/>
    <n v="0"/>
    <n v="0"/>
    <n v="2018.1000000000022"/>
    <n v="0"/>
    <n v="0"/>
    <n v="0"/>
    <n v="17965"/>
    <n v="0"/>
    <n v="0"/>
    <n v="0"/>
    <n v="0"/>
    <n v="239.2424506425512"/>
    <n v="60.028571428571425"/>
    <n v="-0.1123378474062266"/>
    <n v="3"/>
    <m/>
    <s v="Halsi"/>
    <m/>
    <n v="0"/>
  </r>
  <r>
    <s v="Munger"/>
    <s v="03-09 Jul"/>
    <n v="1009"/>
    <s v="Halsi"/>
    <x v="329"/>
    <s v="PACHAUTA"/>
    <s v="MPG"/>
    <s v="Direct"/>
    <n v="532.90000000000009"/>
    <n v="21434.63"/>
    <n v="573.7700000000001"/>
    <n v="25335.410000000003"/>
    <n v="0"/>
    <n v="0"/>
    <n v="573.7700000000001"/>
    <n v="25335.410000000003"/>
    <n v="21434.63"/>
    <n v="0"/>
    <n v="0"/>
    <n v="3900.7800000000025"/>
    <n v="0"/>
    <n v="0"/>
    <n v="0"/>
    <n v="21435"/>
    <n v="0"/>
    <n v="0"/>
    <n v="0"/>
    <n v="0"/>
    <n v="134.42396971289159"/>
    <n v="76.128571428571448"/>
    <n v="-0.18198494678937785"/>
    <n v="1"/>
    <m/>
    <s v="Halsi"/>
    <m/>
    <n v="0"/>
  </r>
  <r>
    <s v="Munger"/>
    <s v="03-09 Jul"/>
    <n v="1009"/>
    <s v="Halsi"/>
    <x v="330"/>
    <s v="Gomukh Champa"/>
    <s v="vlc"/>
    <s v="Indirect"/>
    <n v="10000"/>
    <n v="409860"/>
    <n v="0"/>
    <n v="0"/>
    <n v="0"/>
    <n v="0"/>
    <n v="0"/>
    <n v="0"/>
    <n v="409860"/>
    <n v="0"/>
    <n v="0"/>
    <n v="0"/>
    <n v="0"/>
    <n v="0"/>
    <n v="0"/>
    <n v="0"/>
    <n v="0"/>
    <n v="409860"/>
    <n v="0"/>
    <n v="0"/>
    <n v="0"/>
    <n v="0"/>
    <n v="0"/>
    <n v="0"/>
    <m/>
    <s v="Halsi"/>
    <m/>
    <n v="0"/>
  </r>
  <r>
    <s v="Munger"/>
    <s v="03-09 Jul"/>
    <n v="1009"/>
    <s v="Halsi"/>
    <x v="331"/>
    <s v="GOMUKH DAKRA"/>
    <s v="vlc"/>
    <s v="Indirect"/>
    <n v="11000"/>
    <n v="453300"/>
    <n v="0"/>
    <n v="0"/>
    <n v="0"/>
    <n v="0"/>
    <n v="0"/>
    <n v="0"/>
    <n v="453300"/>
    <n v="0"/>
    <n v="0"/>
    <n v="0"/>
    <n v="0"/>
    <n v="0"/>
    <n v="0"/>
    <n v="0"/>
    <n v="0"/>
    <n v="453300"/>
    <n v="0"/>
    <n v="0"/>
    <n v="0"/>
    <n v="0"/>
    <n v="0"/>
    <n v="0"/>
    <m/>
    <s v="Halsi"/>
    <m/>
    <n v="0"/>
  </r>
  <r>
    <s v="Munger"/>
    <s v="03-09 Jul"/>
    <n v="1009"/>
    <s v="Halsi"/>
    <x v="332"/>
    <s v="TIYAY"/>
    <s v="MPG"/>
    <s v="Direct"/>
    <n v="238.89999999999998"/>
    <n v="8612.9600000000028"/>
    <n v="253.8"/>
    <n v="9266.4"/>
    <n v="0"/>
    <n v="0"/>
    <n v="253.8"/>
    <n v="9266.4"/>
    <n v="8612.9600000000028"/>
    <n v="0"/>
    <n v="0"/>
    <n v="653.43999999999687"/>
    <n v="0"/>
    <n v="0"/>
    <n v="0"/>
    <n v="8613"/>
    <n v="0"/>
    <n v="0"/>
    <n v="0"/>
    <n v="0"/>
    <n v="332.47684018417755"/>
    <n v="34.128571428571426"/>
    <n v="-7.5867065445560725E-2"/>
    <n v="1"/>
    <m/>
    <s v="Halsi"/>
    <m/>
    <n v="0"/>
  </r>
  <r>
    <s v="Munger"/>
    <s v="03-09 Jul"/>
    <n v="1009"/>
    <s v="Halsi"/>
    <x v="333"/>
    <s v="BILLO 2"/>
    <s v="MPG"/>
    <s v="Direct"/>
    <n v="295.5"/>
    <n v="12046.460000000003"/>
    <n v="295.5"/>
    <n v="12035.130000000001"/>
    <n v="0"/>
    <n v="0"/>
    <n v="295.5"/>
    <n v="12035.130000000001"/>
    <n v="12035.130000000001"/>
    <n v="0"/>
    <n v="0"/>
    <n v="0"/>
    <n v="0"/>
    <n v="0"/>
    <n v="0"/>
    <n v="12035"/>
    <n v="0"/>
    <n v="0"/>
    <n v="11"/>
    <n v="0"/>
    <n v="329.79986937394256"/>
    <n v="42.214285714285715"/>
    <n v="9.4052526634395026E-4"/>
    <n v="1"/>
    <m/>
    <s v="Halsi"/>
    <m/>
    <n v="0"/>
  </r>
  <r>
    <s v="Munger"/>
    <s v="03-09 Jul"/>
    <n v="1009"/>
    <s v="Halsi"/>
    <x v="334"/>
    <s v="NAWADIH 2"/>
    <s v="MPG"/>
    <s v="Direct"/>
    <n v="529.29999999999995"/>
    <n v="26406.93"/>
    <n v="449.2"/>
    <n v="22751.489999999998"/>
    <n v="79.900000000000006"/>
    <n v="3642.99"/>
    <n v="529.1"/>
    <n v="26394.479999999996"/>
    <n v="26394.479999999996"/>
    <n v="0"/>
    <n v="0"/>
    <n v="0"/>
    <n v="0"/>
    <n v="0"/>
    <n v="0"/>
    <n v="22752"/>
    <n v="3643"/>
    <n v="0"/>
    <n v="12"/>
    <n v="0"/>
    <n v="170.32544685433592"/>
    <n v="75.614285714285714"/>
    <n v="4.7146714896447128E-4"/>
    <n v="3"/>
    <m/>
    <s v="Halsi"/>
    <m/>
    <n v="0"/>
  </r>
  <r>
    <s v="Munger"/>
    <s v="03-09 Jul"/>
    <n v="1010"/>
    <s v="Parbatta"/>
    <x v="335"/>
    <s v="Vishan Pur"/>
    <s v="MPG"/>
    <s v="Direct"/>
    <n v="784.7"/>
    <n v="30847.510000000002"/>
    <n v="780.0100000000001"/>
    <n v="32333.38"/>
    <n v="4.1899999999999995"/>
    <n v="172.89"/>
    <n v="784.20000000000016"/>
    <n v="32506.27"/>
    <n v="30847.510000000002"/>
    <n v="0"/>
    <n v="172.89"/>
    <n v="1658.7599999999984"/>
    <n v="0"/>
    <n v="0"/>
    <n v="0"/>
    <n v="30675"/>
    <n v="0"/>
    <n v="0"/>
    <n v="0"/>
    <s v="Release4"/>
    <n v="0"/>
    <n v="0"/>
    <n v="-5.377289771524503E-2"/>
    <n v="10"/>
    <m/>
    <s v="Parbatta"/>
    <m/>
    <n v="0"/>
  </r>
  <r>
    <s v="Munger"/>
    <s v="03-09 Jul"/>
    <n v="1010"/>
    <s v="Parbatta"/>
    <x v="336"/>
    <s v="Gomukh Madhawpur"/>
    <s v="MPG"/>
    <s v="Direct"/>
    <n v="1686.7999999999997"/>
    <n v="70034.95"/>
    <n v="2901.9"/>
    <n v="140897.57"/>
    <n v="6.5"/>
    <n v="316.28999999999991"/>
    <n v="2908.4"/>
    <n v="141213.86000000002"/>
    <n v="70034.95"/>
    <n v="0"/>
    <n v="316.28999999999991"/>
    <n v="71178.910000000018"/>
    <n v="0"/>
    <n v="0"/>
    <n v="0"/>
    <n v="69719"/>
    <n v="0"/>
    <n v="0"/>
    <n v="0"/>
    <n v="0"/>
    <n v="0"/>
    <n v="0"/>
    <n v="-1.0163341303163638"/>
    <n v="5"/>
    <m/>
    <s v="Parbatta"/>
    <m/>
    <n v="0"/>
  </r>
  <r>
    <s v="Munger"/>
    <s v="03-09 Jul"/>
    <n v="1010"/>
    <s v="Parbatta"/>
    <x v="337"/>
    <s v="Gomukh Muradpur"/>
    <s v="vlc"/>
    <s v="Indirect"/>
    <n v="127"/>
    <n v="4830.41"/>
    <n v="0"/>
    <n v="0"/>
    <n v="0"/>
    <n v="0"/>
    <n v="0"/>
    <n v="0"/>
    <n v="4830.41"/>
    <n v="0"/>
    <n v="0"/>
    <n v="0"/>
    <n v="0"/>
    <n v="0"/>
    <n v="0"/>
    <n v="0"/>
    <n v="0"/>
    <n v="4830.41"/>
    <n v="0"/>
    <n v="0"/>
    <n v="435.87794173228349"/>
    <n v="18.142857142857142"/>
    <n v="0"/>
    <n v="0"/>
    <m/>
    <s v="Parbatta"/>
    <m/>
    <n v="0"/>
  </r>
  <r>
    <s v="Munger"/>
    <s v="03-09 Jul"/>
    <n v="1010"/>
    <s v="Parbatta"/>
    <x v="338"/>
    <s v="Gomukh Kanhaiyachak Pachhim"/>
    <s v="MPG"/>
    <s v="Direct"/>
    <n v="1329.6"/>
    <n v="51922.530000000006"/>
    <n v="1369.79"/>
    <n v="58163.94"/>
    <n v="0"/>
    <n v="0"/>
    <n v="1369.79"/>
    <n v="58163.94"/>
    <n v="51922.530000000006"/>
    <n v="0"/>
    <n v="0"/>
    <n v="6241.4099999999962"/>
    <n v="0"/>
    <n v="0"/>
    <n v="0"/>
    <n v="51923"/>
    <n v="0"/>
    <n v="0"/>
    <n v="0"/>
    <n v="0"/>
    <n v="0"/>
    <n v="0"/>
    <n v="-0.12020619950530137"/>
    <n v="3"/>
    <m/>
    <s v="Parbatta"/>
    <m/>
    <n v="0"/>
  </r>
  <r>
    <s v="Munger"/>
    <s v="03-09 Jul"/>
    <n v="1010"/>
    <s v="Parbatta"/>
    <x v="339"/>
    <s v="Gomukh Srirampur Thuthi"/>
    <s v="MPG"/>
    <s v="Direct"/>
    <n v="416.7"/>
    <n v="17370.439999999999"/>
    <n v="416.53000000000003"/>
    <n v="17130.95"/>
    <n v="0"/>
    <n v="0"/>
    <n v="416.53000000000003"/>
    <n v="17130.95"/>
    <n v="17130.95"/>
    <n v="0"/>
    <n v="0"/>
    <n v="0"/>
    <n v="0"/>
    <n v="0"/>
    <n v="0"/>
    <n v="17130"/>
    <n v="0"/>
    <n v="0"/>
    <n v="240"/>
    <n v="0"/>
    <n v="236.19129599232065"/>
    <n v="59.528571428571425"/>
    <n v="1.3787215522462181E-2"/>
    <n v="5"/>
    <m/>
    <s v="Parbatta"/>
    <m/>
    <n v="0"/>
  </r>
  <r>
    <s v="Munger"/>
    <s v="03-09 Jul"/>
    <n v="1010"/>
    <s v="Parbatta"/>
    <x v="340"/>
    <s v="Gomukh Dumariya Bujurg Madhay"/>
    <s v="MPG"/>
    <s v="Direct"/>
    <n v="299.3"/>
    <n v="12655.5"/>
    <n v="299.89999999999998"/>
    <n v="12726.18"/>
    <n v="0"/>
    <n v="0"/>
    <n v="299.89999999999998"/>
    <n v="12726.18"/>
    <n v="12655.5"/>
    <n v="0"/>
    <n v="0"/>
    <n v="70.680000000000291"/>
    <n v="0"/>
    <n v="0"/>
    <n v="0"/>
    <n v="12655"/>
    <n v="0"/>
    <n v="0"/>
    <n v="1"/>
    <n v="0"/>
    <n v="338.86126628800531"/>
    <n v="42.75714285714286"/>
    <n v="-5.5849235510252691E-3"/>
    <n v="2"/>
    <m/>
    <s v="Parbatta"/>
    <m/>
    <n v="0"/>
  </r>
  <r>
    <s v="Munger"/>
    <s v="03-09 Jul"/>
    <n v="1010"/>
    <s v="Parbatta"/>
    <x v="341"/>
    <s v="Gomukh Bandahera                                                                                    "/>
    <s v="MPG"/>
    <s v="Direct"/>
    <n v="552.89999999999986"/>
    <n v="22841.15"/>
    <n v="584.70000000000005"/>
    <n v="24190.21"/>
    <n v="1.4000000000000001"/>
    <n v="58.53"/>
    <n v="586.1"/>
    <n v="24248.739999999998"/>
    <n v="22841.15"/>
    <n v="0"/>
    <n v="58.53"/>
    <n v="1407.5899999999965"/>
    <n v="0"/>
    <n v="0"/>
    <n v="0"/>
    <n v="22783"/>
    <n v="0"/>
    <n v="0"/>
    <n v="0"/>
    <s v="Release4"/>
    <n v="121.53854820039805"/>
    <n v="78.985714285714266"/>
    <n v="-6.1625180868738937E-2"/>
    <n v="4"/>
    <m/>
    <s v="Parbatta"/>
    <m/>
    <n v="0"/>
  </r>
  <r>
    <s v="Munger"/>
    <s v="03-09 Jul"/>
    <n v="1010"/>
    <s v="Parbatta"/>
    <x v="342"/>
    <s v="Gomukh Badi Lagar-1 Kiran"/>
    <s v="vlc"/>
    <s v="Indirect"/>
    <n v="818.9"/>
    <n v="35911.519999999997"/>
    <n v="0"/>
    <n v="0"/>
    <n v="0"/>
    <n v="0"/>
    <n v="0"/>
    <n v="0"/>
    <n v="35911.519999999997"/>
    <n v="0"/>
    <n v="0"/>
    <n v="0"/>
    <n v="0"/>
    <n v="0"/>
    <n v="0"/>
    <n v="0"/>
    <n v="0"/>
    <n v="35911.519999999997"/>
    <n v="0"/>
    <n v="0"/>
    <n v="0"/>
    <n v="0"/>
    <n v="0"/>
    <n v="0"/>
    <m/>
    <s v="Parbatta"/>
    <m/>
    <n v="0"/>
  </r>
  <r>
    <s v="Munger"/>
    <s v="03-09 Jul"/>
    <n v="1010"/>
    <s v="Parbatta"/>
    <x v="343"/>
    <s v="Gomukh Muradpur Deepak"/>
    <s v="vlc"/>
    <s v="Indirect"/>
    <n v="344.4"/>
    <n v="11829.65"/>
    <n v="0"/>
    <n v="0"/>
    <n v="0"/>
    <n v="0"/>
    <n v="0"/>
    <n v="0"/>
    <n v="11829.65"/>
    <n v="0"/>
    <n v="0"/>
    <n v="0"/>
    <n v="0"/>
    <n v="0"/>
    <n v="0"/>
    <n v="0"/>
    <n v="0"/>
    <n v="11829.65"/>
    <n v="0"/>
    <n v="0"/>
    <n v="244.28708130081304"/>
    <n v="49.199999999999996"/>
    <n v="0"/>
    <n v="0"/>
    <m/>
    <s v="Parbatta"/>
    <m/>
    <n v="0"/>
  </r>
  <r>
    <s v="Munger"/>
    <s v="03-09 Jul"/>
    <n v="1007"/>
    <s v="Araria"/>
    <x v="344"/>
    <s v="Gomukh Basudevpur"/>
    <s v="vlc"/>
    <s v="Indirect"/>
    <n v="68.7"/>
    <n v="2790.87"/>
    <n v="0"/>
    <n v="0"/>
    <n v="0"/>
    <n v="0"/>
    <n v="0"/>
    <n v="0"/>
    <n v="2790.87"/>
    <n v="0"/>
    <n v="0"/>
    <n v="0"/>
    <n v="0"/>
    <n v="0"/>
    <n v="0"/>
    <n v="0"/>
    <n v="0"/>
    <n v="2790.87"/>
    <n v="0"/>
    <n v="0"/>
    <n v="512.91884454148465"/>
    <n v="9.8142857142857149"/>
    <n v="0"/>
    <n v="0"/>
    <m/>
    <s v="Araria"/>
    <m/>
    <n v="0"/>
  </r>
  <r>
    <s v="Munger"/>
    <s v="03-09 Jul"/>
    <n v="1007"/>
    <s v="Araria"/>
    <x v="345"/>
    <s v="Gomukh Fudkichak"/>
    <s v="MPG"/>
    <s v="Direct"/>
    <n v="677.5"/>
    <n v="31613.499999999996"/>
    <n v="677.5"/>
    <n v="31705.840000000004"/>
    <n v="0"/>
    <n v="0"/>
    <n v="677.5"/>
    <n v="31705.840000000004"/>
    <n v="31613.499999999996"/>
    <n v="0"/>
    <n v="0"/>
    <n v="92.340000000007421"/>
    <n v="0"/>
    <n v="0"/>
    <n v="0"/>
    <n v="31613"/>
    <n v="0"/>
    <n v="0"/>
    <n v="0"/>
    <n v="0"/>
    <n v="20.99789667896675"/>
    <n v="96.785714285714292"/>
    <n v="-2.920904044158585E-3"/>
    <n v="2"/>
    <m/>
    <s v="Araria"/>
    <m/>
    <n v="0"/>
  </r>
  <r>
    <s v="Munger"/>
    <s v="03-09 Jul"/>
    <n v="1010"/>
    <s v="Parbatta"/>
    <x v="346"/>
    <s v="Gomukh Tehay"/>
    <s v="MPG"/>
    <s v="Direct"/>
    <n v="240.7"/>
    <n v="11390.31"/>
    <n v="258.20000000000005"/>
    <n v="12081.310000000001"/>
    <n v="0"/>
    <n v="0"/>
    <n v="258.20000000000005"/>
    <n v="12081.310000000001"/>
    <n v="11390.31"/>
    <n v="0"/>
    <n v="0"/>
    <n v="691.00000000000182"/>
    <n v="0"/>
    <n v="500"/>
    <n v="0"/>
    <n v="10890"/>
    <n v="0"/>
    <n v="0"/>
    <n v="0"/>
    <n v="0"/>
    <n v="434.69625118404656"/>
    <n v="34.385714285714286"/>
    <n v="-6.0665600848440637E-2"/>
    <n v="2"/>
    <m/>
    <s v="Parbatta"/>
    <m/>
    <n v="500"/>
  </r>
  <r>
    <s v="Munger"/>
    <s v="03-09 Jul"/>
    <n v="1007"/>
    <s v="Araria"/>
    <x v="347"/>
    <s v="Gomukh Buddhnagar"/>
    <s v="vlc"/>
    <s v="Indirect"/>
    <n v="1245.3"/>
    <n v="47582.34"/>
    <n v="0"/>
    <n v="0"/>
    <n v="0"/>
    <n v="0"/>
    <n v="0"/>
    <n v="0"/>
    <n v="47582.34"/>
    <n v="0"/>
    <n v="0"/>
    <n v="0"/>
    <n v="0"/>
    <n v="0"/>
    <n v="0"/>
    <n v="0"/>
    <n v="0"/>
    <n v="47582.34"/>
    <n v="0"/>
    <n v="0"/>
    <n v="0"/>
    <n v="0"/>
    <n v="0"/>
    <n v="0"/>
    <m/>
    <s v="Araria"/>
    <m/>
    <n v="0"/>
  </r>
  <r>
    <s v="Munger"/>
    <s v="03-09 Jul"/>
    <n v="1010"/>
    <s v="Parbatta"/>
    <x v="348"/>
    <s v="Gomukh Krochaka Dudhela"/>
    <s v="MPG"/>
    <s v="Direct"/>
    <n v="1115.0999999999999"/>
    <n v="42324.659999999996"/>
    <n v="1587.8099999999997"/>
    <n v="67693.339999999982"/>
    <n v="4.32"/>
    <n v="165.86"/>
    <n v="1592.1299999999997"/>
    <n v="67859.199999999983"/>
    <n v="42324.659999999996"/>
    <n v="0"/>
    <n v="165.86"/>
    <n v="25534.539999999986"/>
    <n v="0"/>
    <n v="0"/>
    <n v="0"/>
    <n v="42159"/>
    <n v="0"/>
    <n v="0"/>
    <n v="0"/>
    <n v="0"/>
    <n v="0"/>
    <n v="0"/>
    <n v="-0.60330171583185754"/>
    <n v="4"/>
    <m/>
    <s v="Parbatta"/>
    <m/>
    <n v="0"/>
  </r>
  <r>
    <s v="Munger"/>
    <s v="03-09 Jul"/>
    <n v="1007"/>
    <s v="Araria"/>
    <x v="349"/>
    <s v="Gomukh Govind Pur"/>
    <s v="MPG"/>
    <s v="Direct"/>
    <n v="1191.9999999999998"/>
    <n v="47309.429999999993"/>
    <n v="1192"/>
    <n v="51029.520000000004"/>
    <n v="0"/>
    <n v="0"/>
    <n v="1192"/>
    <n v="51029.520000000004"/>
    <n v="47309.429999999993"/>
    <n v="0"/>
    <n v="0"/>
    <n v="3720.0900000000111"/>
    <n v="0"/>
    <n v="0"/>
    <n v="0"/>
    <n v="47309"/>
    <n v="0"/>
    <n v="0"/>
    <n v="0"/>
    <n v="0"/>
    <n v="0"/>
    <n v="0"/>
    <n v="-7.8633160450252981E-2"/>
    <n v="1"/>
    <m/>
    <s v="Araria"/>
    <m/>
    <n v="0"/>
  </r>
  <r>
    <s v="Munger"/>
    <s v="03-09 Jul"/>
    <n v="1007"/>
    <s v="Araria"/>
    <x v="350"/>
    <s v="Gomukh Sondiha"/>
    <s v="MPG"/>
    <s v="Direct"/>
    <n v="2099.1999999999998"/>
    <n v="80746.390000000014"/>
    <n v="2116"/>
    <n v="81791.73"/>
    <n v="0"/>
    <n v="0"/>
    <n v="2116"/>
    <n v="81791.73"/>
    <n v="80746.390000000014"/>
    <n v="0"/>
    <n v="0"/>
    <n v="1045.339999999982"/>
    <n v="0"/>
    <n v="0"/>
    <n v="0"/>
    <n v="80746"/>
    <n v="0"/>
    <n v="0"/>
    <n v="0"/>
    <n v="0"/>
    <n v="0"/>
    <n v="0"/>
    <n v="-1.2945965757725908E-2"/>
    <n v="3"/>
    <m/>
    <s v="Araria"/>
    <m/>
    <n v="0"/>
  </r>
  <r>
    <s v="Munger"/>
    <s v="03-09 Jul"/>
    <n v="1010"/>
    <s v="Parbatta"/>
    <x v="351"/>
    <s v="Gomukh Thebhay B"/>
    <s v="MPG"/>
    <s v="Direct"/>
    <n v="361.90000000000003"/>
    <n v="15813.609999999999"/>
    <n v="553.54000000000008"/>
    <n v="22855.62"/>
    <n v="3.29"/>
    <n v="138.49999999999997"/>
    <n v="556.83000000000004"/>
    <n v="22994.12"/>
    <n v="15813.609999999999"/>
    <n v="0"/>
    <n v="138.49999999999997"/>
    <n v="7180.51"/>
    <n v="0"/>
    <n v="0"/>
    <n v="0"/>
    <n v="15675"/>
    <n v="0"/>
    <n v="0"/>
    <n v="0"/>
    <n v="0"/>
    <n v="295.47286769825911"/>
    <n v="51.7"/>
    <n v="-0.45407152446531823"/>
    <n v="5"/>
    <m/>
    <s v="Parbatta"/>
    <m/>
    <n v="0"/>
  </r>
  <r>
    <s v="Munger"/>
    <s v="03-09 Jul"/>
    <n v="1007"/>
    <s v="Araria"/>
    <x v="352"/>
    <s v="Gomukh Baisa"/>
    <s v="MPG"/>
    <s v="Direct"/>
    <n v="247.6"/>
    <n v="9510.5800000000017"/>
    <n v="339.6"/>
    <n v="14505.650000000001"/>
    <n v="0.89999999999999991"/>
    <n v="34.800000000000004"/>
    <n v="340.5"/>
    <n v="14540.45"/>
    <n v="9510.5800000000017"/>
    <n v="0"/>
    <n v="34.800000000000004"/>
    <n v="5029.869999999999"/>
    <n v="0"/>
    <n v="0"/>
    <n v="0"/>
    <n v="9476"/>
    <n v="0"/>
    <n v="0"/>
    <n v="0"/>
    <n v="0"/>
    <n v="347.54332730210024"/>
    <n v="35.371428571428574"/>
    <n v="-0.52887100471264614"/>
    <n v="5"/>
    <m/>
    <s v="Araria"/>
    <m/>
    <n v="0"/>
  </r>
  <r>
    <s v="Munger"/>
    <s v="03-09 Jul"/>
    <n v="1010"/>
    <s v="Parbatta"/>
    <x v="353"/>
    <s v="Gomukh Khutha VLC"/>
    <s v="vlc"/>
    <s v="Indirect"/>
    <n v="9685.4"/>
    <n v="402315.76999999996"/>
    <n v="0"/>
    <n v="0"/>
    <n v="0"/>
    <n v="0"/>
    <n v="0"/>
    <n v="0"/>
    <n v="402315.76999999996"/>
    <n v="0"/>
    <n v="0"/>
    <n v="0"/>
    <n v="0"/>
    <n v="0"/>
    <n v="0"/>
    <n v="0"/>
    <n v="0"/>
    <n v="402315.76999999996"/>
    <n v="0"/>
    <n v="0"/>
    <n v="0"/>
    <n v="0"/>
    <n v="0"/>
    <n v="0"/>
    <m/>
    <s v="Parbatta"/>
    <m/>
    <n v="0"/>
  </r>
  <r>
    <s v="Munger"/>
    <s v="03-09 Jul"/>
    <n v="1010"/>
    <s v="Parbatta"/>
    <x v="354"/>
    <s v="Gomukh Kabela Vlc"/>
    <s v="vlc"/>
    <s v="Indirect"/>
    <n v="990.49999999999977"/>
    <n v="37040.120000000003"/>
    <n v="0"/>
    <n v="0"/>
    <n v="0"/>
    <n v="0"/>
    <n v="0"/>
    <n v="0"/>
    <n v="37040.120000000003"/>
    <n v="0"/>
    <n v="0"/>
    <n v="0"/>
    <n v="0"/>
    <n v="0"/>
    <n v="0"/>
    <n v="0"/>
    <n v="0"/>
    <n v="37040.120000000003"/>
    <n v="0"/>
    <n v="0"/>
    <n v="0"/>
    <n v="0"/>
    <n v="0"/>
    <n v="0"/>
    <m/>
    <s v="Parbatta"/>
    <m/>
    <n v="0"/>
  </r>
  <r>
    <s v="Munger"/>
    <s v="03-09 Jul"/>
    <n v="1010"/>
    <s v="Parbatta"/>
    <x v="355"/>
    <s v="Gomukh Lagar Wad-13 Vlc"/>
    <s v="vlc"/>
    <s v="Indirect"/>
    <n v="99.1"/>
    <n v="5543.96"/>
    <n v="0"/>
    <n v="0"/>
    <n v="0"/>
    <n v="0"/>
    <n v="0"/>
    <n v="0"/>
    <n v="5543.96"/>
    <n v="0"/>
    <n v="0"/>
    <n v="0"/>
    <n v="0"/>
    <n v="0"/>
    <n v="0"/>
    <n v="0"/>
    <n v="0"/>
    <n v="5543.96"/>
    <n v="0"/>
    <n v="0"/>
    <n v="672.32402906155403"/>
    <n v="14.157142857142857"/>
    <n v="0"/>
    <n v="0"/>
    <m/>
    <s v="Parbatta"/>
    <m/>
    <n v="0"/>
  </r>
  <r>
    <s v="Munger"/>
    <s v="03-09 Jul"/>
    <n v="1010"/>
    <s v="Parbatta"/>
    <x v="356"/>
    <s v="Gomukh Manish Vlc"/>
    <s v="vlc"/>
    <s v="Indirect"/>
    <n v="2455.6999999999998"/>
    <n v="121242.37000000001"/>
    <n v="0"/>
    <n v="0"/>
    <n v="0"/>
    <n v="0"/>
    <n v="0"/>
    <n v="0"/>
    <n v="121242.37000000001"/>
    <n v="0"/>
    <n v="0"/>
    <n v="0"/>
    <n v="0"/>
    <n v="0"/>
    <n v="0"/>
    <n v="0"/>
    <n v="0"/>
    <n v="121242.37000000001"/>
    <n v="0"/>
    <n v="0"/>
    <n v="0"/>
    <n v="0"/>
    <n v="0"/>
    <n v="0"/>
    <m/>
    <s v="Parbatta"/>
    <m/>
    <n v="0"/>
  </r>
  <r>
    <s v="Munger"/>
    <s v="03-09 Jul"/>
    <n v="1010"/>
    <s v="Parbatta"/>
    <x v="357"/>
    <s v="Gomukh Parbatta Vlc"/>
    <s v="vlc"/>
    <s v="Indirect"/>
    <n v="3407.3"/>
    <n v="179652.24"/>
    <n v="0"/>
    <n v="0"/>
    <n v="0"/>
    <n v="0"/>
    <n v="0"/>
    <n v="0"/>
    <n v="179652.24"/>
    <n v="0"/>
    <n v="0"/>
    <n v="0"/>
    <n v="0"/>
    <n v="0"/>
    <n v="0"/>
    <n v="0"/>
    <n v="0"/>
    <n v="179652.24"/>
    <n v="0"/>
    <n v="0"/>
    <n v="0"/>
    <n v="0"/>
    <n v="0"/>
    <n v="0"/>
    <m/>
    <s v="Parbatta"/>
    <m/>
    <n v="0"/>
  </r>
  <r>
    <s v="Munger"/>
    <s v="03-09 Jul"/>
    <n v="1055"/>
    <s v="Matihani"/>
    <x v="358"/>
    <s v="Gomukh Mahendrapur"/>
    <s v="MPG"/>
    <s v="Direct"/>
    <n v="1537.2"/>
    <n v="63826.86"/>
    <n v="1554"/>
    <n v="67101.5"/>
    <n v="30"/>
    <n v="1312.3200000000004"/>
    <n v="1584"/>
    <n v="68413.820000000007"/>
    <n v="63826.86"/>
    <n v="0"/>
    <n v="1312.3200000000004"/>
    <n v="4586.9600000000064"/>
    <n v="0"/>
    <n v="0"/>
    <n v="0"/>
    <n v="62515"/>
    <n v="0"/>
    <n v="0"/>
    <n v="0"/>
    <n v="0"/>
    <n v="0"/>
    <n v="0"/>
    <n v="-7.1865669092918028E-2"/>
    <n v="15"/>
    <m/>
    <s v="Matihani"/>
    <m/>
    <n v="0"/>
  </r>
  <r>
    <s v="Munger"/>
    <s v="03-09 Jul"/>
    <n v="1055"/>
    <s v="Matihani"/>
    <x v="359"/>
    <s v="Gomukh Balahpur"/>
    <s v="MPG"/>
    <s v="Direct"/>
    <n v="724.6"/>
    <n v="27793.34"/>
    <n v="724.69999999999993"/>
    <n v="27861.279999999999"/>
    <n v="0"/>
    <n v="0"/>
    <n v="724.69999999999993"/>
    <n v="27861.279999999999"/>
    <n v="27793.34"/>
    <n v="0"/>
    <n v="0"/>
    <n v="67.93999999999869"/>
    <n v="0"/>
    <n v="0"/>
    <n v="0"/>
    <n v="27793"/>
    <n v="0"/>
    <n v="0"/>
    <n v="0"/>
    <n v="0"/>
    <n v="0"/>
    <n v="0"/>
    <n v="-2.4444705098415191E-3"/>
    <n v="2"/>
    <m/>
    <s v="Matihani"/>
    <m/>
    <n v="0"/>
  </r>
  <r>
    <s v="Munger"/>
    <s v="03-09 Jul"/>
    <n v="1011"/>
    <s v="Sahibpur Kamal"/>
    <x v="360"/>
    <s v="Gomukh Danauli"/>
    <s v="MPG"/>
    <s v="Direct"/>
    <n v="510.50000000000006"/>
    <n v="19758.52"/>
    <n v="941"/>
    <n v="36074.229999999996"/>
    <n v="0.6"/>
    <n v="22.96"/>
    <n v="941.6"/>
    <n v="36097.189999999995"/>
    <n v="19758.52"/>
    <n v="0"/>
    <n v="22.96"/>
    <n v="16338.669999999995"/>
    <n v="0"/>
    <n v="0"/>
    <n v="0"/>
    <n v="19736"/>
    <n v="0"/>
    <n v="0"/>
    <n v="0"/>
    <n v="0"/>
    <n v="146.68911028403525"/>
    <n v="72.928571428571431"/>
    <n v="-0.82691770436247225"/>
    <n v="3"/>
    <m/>
    <s v="Sahibpur Kamal"/>
    <m/>
    <n v="0"/>
  </r>
  <r>
    <s v="Munger"/>
    <s v="03-09 Jul"/>
    <n v="1055"/>
    <s v="Matihani"/>
    <x v="361"/>
    <s v="NAYAGAW"/>
    <s v="MPG"/>
    <s v="Direct"/>
    <n v="3945.9000000000005"/>
    <n v="168703.28999999998"/>
    <n v="3908.8100000000009"/>
    <n v="165888.10999999996"/>
    <n v="33.04"/>
    <n v="2154.15"/>
    <n v="3941.8500000000008"/>
    <n v="168042.25999999995"/>
    <n v="168042.25999999995"/>
    <n v="0"/>
    <n v="2154.15"/>
    <n v="0"/>
    <n v="0"/>
    <n v="0"/>
    <n v="0"/>
    <n v="165887"/>
    <n v="0"/>
    <n v="0"/>
    <n v="662"/>
    <n v="0"/>
    <n v="0"/>
    <n v="0"/>
    <n v="3.9182994000889256E-3"/>
    <n v="34"/>
    <m/>
    <s v="Matihani"/>
    <m/>
    <n v="0"/>
  </r>
  <r>
    <s v="Munger"/>
    <s v="03-09 Jul"/>
    <n v="1011"/>
    <s v="Sahibpur Kamal"/>
    <x v="362"/>
    <s v="Dandari"/>
    <s v="MPG"/>
    <s v="Direct"/>
    <n v="320.60000000000002"/>
    <n v="11764.02"/>
    <n v="316.89999999999998"/>
    <n v="11903.26"/>
    <n v="2.8000000000000003"/>
    <n v="111.24000000000002"/>
    <n v="319.7"/>
    <n v="12014.5"/>
    <n v="11764.02"/>
    <n v="0"/>
    <n v="111.24000000000002"/>
    <n v="250.47999999999956"/>
    <n v="0"/>
    <n v="0"/>
    <n v="0"/>
    <n v="11653"/>
    <n v="0"/>
    <n v="0"/>
    <n v="0"/>
    <n v="0"/>
    <n v="278.43226375545851"/>
    <n v="45.800000000000004"/>
    <n v="-2.1292041326009269E-2"/>
    <n v="5"/>
    <m/>
    <s v="Sahibpur Kamal"/>
    <m/>
    <n v="0"/>
  </r>
  <r>
    <s v="Munger"/>
    <s v="03-09 Jul"/>
    <n v="1011"/>
    <s v="Sahibpur Kamal"/>
    <x v="363"/>
    <s v="Rahimpur Pachkhutti"/>
    <s v="vlc"/>
    <s v="Indirect"/>
    <n v="5698.8"/>
    <n v="227029.83"/>
    <n v="0"/>
    <n v="0"/>
    <n v="0"/>
    <n v="0"/>
    <n v="0"/>
    <n v="0"/>
    <n v="227029.83"/>
    <n v="0"/>
    <n v="0"/>
    <n v="0"/>
    <n v="0"/>
    <n v="0"/>
    <n v="0"/>
    <n v="0"/>
    <n v="0"/>
    <n v="227029.83"/>
    <n v="0"/>
    <n v="0"/>
    <n v="0"/>
    <n v="0"/>
    <n v="0"/>
    <n v="0"/>
    <m/>
    <s v="Sahibpur Kamal"/>
    <m/>
    <n v="0"/>
  </r>
  <r>
    <s v="Munger"/>
    <s v="03-09 Jul"/>
    <n v="1011"/>
    <s v="Sahibpur Kamal"/>
    <x v="364"/>
    <s v="Gomukh Mohanpur                                                                                     "/>
    <s v="MPG"/>
    <s v="Direct"/>
    <n v="846.30000000000007"/>
    <n v="31924.409999999996"/>
    <n v="848"/>
    <n v="32879.57"/>
    <n v="1.6"/>
    <n v="61.49"/>
    <n v="849.6"/>
    <n v="32941.06"/>
    <n v="31924.409999999996"/>
    <n v="0"/>
    <n v="61.49"/>
    <n v="1016.6500000000015"/>
    <n v="1350"/>
    <n v="0"/>
    <n v="0"/>
    <n v="30513"/>
    <n v="0"/>
    <n v="0"/>
    <n v="0"/>
    <n v="0"/>
    <n v="0"/>
    <n v="0"/>
    <n v="-3.1845537630922592E-2"/>
    <n v="6"/>
    <m/>
    <s v="Sahibpur Kamal"/>
    <m/>
    <n v="0"/>
  </r>
  <r>
    <s v="Munger"/>
    <s v="03-09 Jul"/>
    <n v="1011"/>
    <s v="Sahibpur Kamal"/>
    <x v="365"/>
    <s v="Gomukh Raghunathpur"/>
    <s v="MPG"/>
    <s v="Direct"/>
    <n v="1140.2"/>
    <n v="50356.649999999994"/>
    <n v="1140.6999999999998"/>
    <n v="49708.27"/>
    <n v="18.999999999999996"/>
    <n v="833.69"/>
    <n v="1159.6999999999998"/>
    <n v="50541.96"/>
    <n v="50356.649999999994"/>
    <n v="0"/>
    <n v="833.69"/>
    <n v="185.31000000000495"/>
    <n v="6750"/>
    <n v="0"/>
    <n v="0"/>
    <n v="42773"/>
    <n v="0"/>
    <n v="0"/>
    <n v="0"/>
    <n v="0"/>
    <n v="0"/>
    <n v="0"/>
    <n v="-3.6799509101579429E-3"/>
    <n v="38"/>
    <m/>
    <s v="Sahibpur Kamal"/>
    <m/>
    <n v="0"/>
  </r>
  <r>
    <s v="Munger"/>
    <s v="03-09 Jul"/>
    <n v="1055"/>
    <s v="Matihani"/>
    <x v="366"/>
    <s v="Gomukh Chhitraur"/>
    <s v="MPG"/>
    <s v="Direct"/>
    <n v="629.59999999999991"/>
    <n v="27623.430000000004"/>
    <n v="635.09"/>
    <n v="27447.7"/>
    <n v="0"/>
    <n v="0"/>
    <n v="635.09"/>
    <n v="27447.7"/>
    <n v="27447.7"/>
    <n v="0"/>
    <n v="0"/>
    <n v="0"/>
    <n v="0"/>
    <n v="0"/>
    <n v="0"/>
    <n v="27448"/>
    <n v="0"/>
    <n v="0"/>
    <n v="175"/>
    <n v="0"/>
    <n v="61.775396188055964"/>
    <n v="89.942857142857136"/>
    <n v="6.3616285160822961E-3"/>
    <n v="7"/>
    <m/>
    <s v="Matihani"/>
    <m/>
    <n v="0"/>
  </r>
  <r>
    <s v="Munger"/>
    <s v="03-09 Jul"/>
    <n v="1055"/>
    <s v="Matihani"/>
    <x v="367"/>
    <s v="Gomukh Khorampur Chakaur"/>
    <s v="MPG"/>
    <s v="Direct"/>
    <n v="534.6"/>
    <n v="22317.339999999997"/>
    <n v="585.20000000000005"/>
    <n v="24733.31"/>
    <n v="3.35"/>
    <n v="143.26"/>
    <n v="588.55000000000007"/>
    <n v="24876.57"/>
    <n v="22317.339999999997"/>
    <n v="0"/>
    <n v="143.26"/>
    <n v="2559.2300000000032"/>
    <n v="0"/>
    <n v="0"/>
    <n v="0"/>
    <n v="22174"/>
    <n v="0"/>
    <n v="0"/>
    <n v="0"/>
    <n v="0"/>
    <n v="138.09532495323597"/>
    <n v="76.371428571428581"/>
    <n v="-0.11467450870040979"/>
    <n v="6"/>
    <m/>
    <s v="Matihani"/>
    <m/>
    <n v="0"/>
  </r>
  <r>
    <s v="Munger"/>
    <s v="03-09 Jul"/>
    <n v="1011"/>
    <s v="Sahibpur Kamal"/>
    <x v="368"/>
    <s v="GOMUKH Mathar"/>
    <s v="MPG"/>
    <s v="Direct"/>
    <n v="79"/>
    <n v="3253.87"/>
    <n v="85.22"/>
    <n v="3535.62"/>
    <n v="1.05"/>
    <n v="41.81"/>
    <n v="86.27"/>
    <n v="3577.43"/>
    <n v="3253.87"/>
    <n v="0"/>
    <n v="41.81"/>
    <n v="323.55999999999995"/>
    <n v="0"/>
    <n v="0"/>
    <n v="0"/>
    <n v="3212"/>
    <n v="0"/>
    <n v="0"/>
    <n v="0"/>
    <s v="Release4"/>
    <n v="511.55778987341773"/>
    <n v="11.285714285714286"/>
    <n v="-9.9438514753201562E-2"/>
    <n v="4"/>
    <m/>
    <s v="Sahibpur Kamal"/>
    <m/>
    <n v="0"/>
  </r>
  <r>
    <s v="Munger"/>
    <s v="03-09 Jul"/>
    <n v="1011"/>
    <s v="Sahibpur Kamal"/>
    <x v="369"/>
    <s v="Gomukh Kumar Chakki"/>
    <s v="MPG"/>
    <s v="Direct"/>
    <n v="175.79999999999998"/>
    <n v="6734.0499999999993"/>
    <n v="174.6"/>
    <n v="6747.65"/>
    <n v="1.2"/>
    <n v="46.440000000000005"/>
    <n v="175.79999999999998"/>
    <n v="6794.0899999999992"/>
    <n v="6734.0499999999993"/>
    <n v="0"/>
    <n v="46.440000000000005"/>
    <n v="60.039999999999964"/>
    <n v="0"/>
    <n v="500"/>
    <n v="0"/>
    <n v="6188"/>
    <n v="0"/>
    <n v="0"/>
    <n v="0"/>
    <n v="0"/>
    <n v="401.5914687144483"/>
    <n v="25.11428571428571"/>
    <n v="-8.9158827154535488E-3"/>
    <n v="2"/>
    <m/>
    <s v="Sahibpur Kamal"/>
    <m/>
    <n v="500"/>
  </r>
  <r>
    <s v="Munger"/>
    <s v="03-09 Jul"/>
    <n v="1055"/>
    <s v="Matihani"/>
    <x v="370"/>
    <s v="Gomukh Sonapur"/>
    <s v="vlc"/>
    <s v="Indirect"/>
    <n v="537"/>
    <n v="21086.12"/>
    <n v="0"/>
    <n v="0"/>
    <n v="0"/>
    <n v="0"/>
    <n v="0"/>
    <n v="0"/>
    <n v="21086.12"/>
    <n v="0"/>
    <n v="0"/>
    <n v="0"/>
    <n v="0"/>
    <n v="0"/>
    <n v="0"/>
    <n v="0"/>
    <n v="0"/>
    <n v="21086.12"/>
    <n v="0"/>
    <n v="0"/>
    <n v="128.0088476722533"/>
    <n v="76.714285714285708"/>
    <n v="0"/>
    <n v="0"/>
    <m/>
    <s v="Matihani"/>
    <m/>
    <n v="0"/>
  </r>
  <r>
    <s v="Munger"/>
    <s v="03-09 Jul"/>
    <n v="1011"/>
    <s v="Sahibpur Kamal"/>
    <x v="371"/>
    <s v="Gomukh Barkhandi 2"/>
    <s v="MPG"/>
    <s v="Indirect"/>
    <n v="804.6"/>
    <n v="34795.910000000003"/>
    <n v="0"/>
    <n v="0"/>
    <n v="0"/>
    <n v="0"/>
    <n v="0"/>
    <n v="0"/>
    <n v="34795.910000000003"/>
    <n v="0"/>
    <n v="0"/>
    <n v="0"/>
    <n v="0"/>
    <n v="0"/>
    <n v="0"/>
    <n v="0"/>
    <n v="0"/>
    <n v="34795.910000000003"/>
    <n v="0"/>
    <n v="0"/>
    <n v="0"/>
    <n v="0"/>
    <n v="0"/>
    <n v="0"/>
    <m/>
    <s v="Sahibpur Kamal"/>
    <m/>
    <n v="0"/>
  </r>
  <r>
    <s v="Munger"/>
    <s v="03-09 Jul"/>
    <n v="1011"/>
    <s v="Sahibpur Kamal"/>
    <x v="372"/>
    <s v="Gomukh Kalyanpur                                                                                    "/>
    <s v="MPG"/>
    <s v="Direct"/>
    <n v="775.69999999999993"/>
    <n v="30211.38"/>
    <n v="784.7"/>
    <n v="31479.49"/>
    <n v="3.6999999999999993"/>
    <n v="149.09000000000003"/>
    <n v="788.40000000000009"/>
    <n v="31628.58"/>
    <n v="30211.38"/>
    <n v="0"/>
    <n v="149.09000000000003"/>
    <n v="1417.2000000000007"/>
    <n v="0"/>
    <n v="0"/>
    <n v="0"/>
    <n v="30062"/>
    <n v="0"/>
    <n v="0"/>
    <n v="0"/>
    <n v="0"/>
    <n v="0"/>
    <n v="0"/>
    <n v="-4.6909475833278744E-2"/>
    <n v="5"/>
    <m/>
    <s v="Sahibpur Kamal"/>
    <m/>
    <n v="0"/>
  </r>
  <r>
    <s v="Munger"/>
    <s v="03-09 Jul"/>
    <n v="1011"/>
    <s v="Sahibpur Kamal"/>
    <x v="373"/>
    <s v="Gomukh Fatehpur                                                                                     "/>
    <s v="MPG"/>
    <s v="Direct"/>
    <n v="1006.1000000000001"/>
    <n v="45017.930000000008"/>
    <n v="1038"/>
    <n v="44607.98"/>
    <n v="0"/>
    <n v="0"/>
    <n v="1038"/>
    <n v="44607.98"/>
    <n v="44607.98"/>
    <n v="0"/>
    <n v="0"/>
    <n v="0"/>
    <n v="0"/>
    <n v="0"/>
    <n v="0"/>
    <n v="44608"/>
    <n v="0"/>
    <n v="0"/>
    <n v="410"/>
    <n v="0"/>
    <n v="0"/>
    <n v="0"/>
    <n v="9.1063716168203277E-3"/>
    <n v="2"/>
    <m/>
    <s v="Sahibpur Kamal"/>
    <m/>
    <n v="0"/>
  </r>
  <r>
    <s v="Munger"/>
    <s v="03-09 Jul"/>
    <n v="1011"/>
    <s v="Sahibpur Kamal"/>
    <x v="374"/>
    <s v="GOMUKH KATAHRI"/>
    <s v="MPG"/>
    <s v="Direct"/>
    <n v="336.5"/>
    <n v="14107.560000000001"/>
    <n v="334.40000000000003"/>
    <n v="14043.79"/>
    <n v="2.3000000000000003"/>
    <n v="99.34"/>
    <n v="336.70000000000005"/>
    <n v="14143.130000000001"/>
    <n v="14107.560000000001"/>
    <n v="0"/>
    <n v="99.34"/>
    <n v="35.569999999999709"/>
    <n v="0"/>
    <n v="500"/>
    <n v="0"/>
    <n v="13508"/>
    <n v="0"/>
    <n v="0"/>
    <n v="0"/>
    <n v="0"/>
    <n v="304.79037503714716"/>
    <n v="48.071428571428569"/>
    <n v="-2.5213431663590091E-3"/>
    <n v="2"/>
    <m/>
    <s v="Sahibpur Kamal"/>
    <m/>
    <n v="500"/>
  </r>
  <r>
    <s v="Munger"/>
    <s v="03-09 Jul"/>
    <n v="1011"/>
    <s v="Sahibpur Kamal"/>
    <x v="375"/>
    <s v="GOMUKH Mathar Ward 10"/>
    <s v="MPG"/>
    <s v="Direct"/>
    <n v="1020.1999999999999"/>
    <n v="44312.729999999996"/>
    <n v="847"/>
    <n v="37123.43"/>
    <n v="214.8"/>
    <n v="9508.89"/>
    <n v="1061.8"/>
    <n v="46632.32"/>
    <n v="44312.729999999996"/>
    <n v="0"/>
    <n v="0"/>
    <n v="2319.5900000000038"/>
    <n v="0"/>
    <n v="0"/>
    <n v="0"/>
    <n v="34804"/>
    <n v="9509"/>
    <n v="0"/>
    <n v="0"/>
    <n v="0"/>
    <n v="0"/>
    <n v="0"/>
    <n v="-5.2345906018428652E-2"/>
    <n v="5"/>
    <m/>
    <s v="Sahibpur Kamal"/>
    <m/>
    <n v="0"/>
  </r>
  <r>
    <s v="Munger"/>
    <s v="03-09 Jul"/>
    <n v="1011"/>
    <s v="Sahibpur Kamal"/>
    <x v="376"/>
    <s v="GOMUKH Tartor 2"/>
    <s v="MPG"/>
    <s v="Direct"/>
    <n v="185.6"/>
    <n v="8095.2"/>
    <n v="185"/>
    <n v="8023.45"/>
    <n v="0"/>
    <n v="0"/>
    <n v="185"/>
    <n v="8023.45"/>
    <n v="8023.45"/>
    <n v="0"/>
    <n v="0"/>
    <n v="0"/>
    <n v="0"/>
    <n v="0"/>
    <n v="0"/>
    <n v="8023"/>
    <n v="0"/>
    <n v="0"/>
    <n v="72"/>
    <n v="0"/>
    <n v="448.72531034482768"/>
    <n v="26.514285714285712"/>
    <n v="8.8632770036564876E-3"/>
    <n v="1"/>
    <m/>
    <s v="Sahibpur Kamal"/>
    <m/>
    <n v="0"/>
  </r>
  <r>
    <s v="Munger"/>
    <s v="03-09 Jul"/>
    <n v="1011"/>
    <s v="Sahibpur Kamal"/>
    <x v="377"/>
    <s v="Gomukh Chaidha"/>
    <s v="MPG"/>
    <s v="Direct"/>
    <n v="842.69999999999993"/>
    <n v="32926.159999999996"/>
    <n v="841.26000000000022"/>
    <n v="34031.54"/>
    <n v="5.5600000000000005"/>
    <n v="213.91000000000003"/>
    <n v="846.82000000000016"/>
    <n v="34245.450000000004"/>
    <n v="32926.159999999996"/>
    <n v="0"/>
    <n v="213.91000000000003"/>
    <n v="1319.2900000000081"/>
    <n v="3726"/>
    <n v="0"/>
    <n v="0"/>
    <n v="28986"/>
    <n v="0"/>
    <n v="0"/>
    <n v="0"/>
    <n v="0"/>
    <n v="0"/>
    <n v="0"/>
    <n v="-4.0068140347978884E-2"/>
    <n v="18"/>
    <m/>
    <s v="Sahibpur Kamal"/>
    <m/>
    <n v="0"/>
  </r>
  <r>
    <s v="Munger"/>
    <s v="03-09 Jul"/>
    <n v="1011"/>
    <s v="Sahibpur Kamal"/>
    <x v="378"/>
    <s v="Gomukh Bakiya"/>
    <s v="MPG"/>
    <s v="Direct"/>
    <n v="892.4"/>
    <n v="37550.520000000004"/>
    <n v="886.77999999999986"/>
    <n v="37526.400000000001"/>
    <n v="4.78"/>
    <n v="195.51999999999998"/>
    <n v="891.55999999999983"/>
    <n v="37721.919999999998"/>
    <n v="37550.520000000004"/>
    <n v="0"/>
    <n v="195.51999999999998"/>
    <n v="171.39999999999418"/>
    <n v="0"/>
    <n v="0"/>
    <n v="0"/>
    <n v="37355"/>
    <n v="0"/>
    <n v="0"/>
    <n v="0"/>
    <n v="0"/>
    <n v="0"/>
    <n v="0"/>
    <n v="-4.5645173488940809E-3"/>
    <n v="16"/>
    <m/>
    <s v="Sahibpur Kamal"/>
    <m/>
    <n v="0"/>
  </r>
  <r>
    <s v="Munger"/>
    <s v="03-09 Jul"/>
    <n v="1011"/>
    <s v="Sahibpur Kamal"/>
    <x v="379"/>
    <s v="Gomukh Sadpur"/>
    <s v="MPG"/>
    <s v="Direct"/>
    <n v="183.7"/>
    <n v="6665.5"/>
    <n v="303"/>
    <n v="12099.6"/>
    <n v="0"/>
    <n v="0"/>
    <n v="303"/>
    <n v="12099.6"/>
    <n v="6665.5"/>
    <n v="0"/>
    <n v="0"/>
    <n v="5434.1"/>
    <n v="0"/>
    <n v="500"/>
    <n v="0"/>
    <n v="6165"/>
    <n v="0"/>
    <n v="0"/>
    <n v="1"/>
    <n v="0"/>
    <n v="374.67584648884053"/>
    <n v="26.24285714285714"/>
    <n v="-0.81525767009226624"/>
    <n v="2"/>
    <m/>
    <s v="Sahibpur Kamal"/>
    <m/>
    <n v="500"/>
  </r>
  <r>
    <s v="Munger"/>
    <s v="03-09 Jul"/>
    <n v="1011"/>
    <s v="Sahibpur Kamal"/>
    <x v="380"/>
    <s v="GOMUKH Nista Tol"/>
    <s v="MPG"/>
    <s v="Direct"/>
    <n v="310.79999999999995"/>
    <n v="11652.16"/>
    <n v="317.40999999999997"/>
    <n v="11742.53"/>
    <n v="0"/>
    <n v="0"/>
    <n v="317.40999999999997"/>
    <n v="11742.53"/>
    <n v="11652.16"/>
    <n v="0"/>
    <n v="0"/>
    <n v="90.3700000000008"/>
    <n v="0"/>
    <n v="500"/>
    <n v="0"/>
    <n v="11152"/>
    <n v="0"/>
    <n v="0"/>
    <n v="0"/>
    <s v="Release4"/>
    <n v="291.82887207207216"/>
    <n v="44.399999999999991"/>
    <n v="-7.7556435888282349E-3"/>
    <n v="1"/>
    <m/>
    <s v="Sahibpur Kamal"/>
    <m/>
    <n v="500"/>
  </r>
  <r>
    <s v="Munger"/>
    <s v="03-09 Jul"/>
    <n v="1011"/>
    <s v="Sahibpur Kamal"/>
    <x v="381"/>
    <s v="GOMUKH SRINAGAR"/>
    <s v="MPG"/>
    <s v="Direct"/>
    <n v="1907.3"/>
    <n v="78742.009999999995"/>
    <n v="1359.7800000000002"/>
    <n v="62731.6"/>
    <n v="591.26"/>
    <n v="25288"/>
    <n v="1951.0400000000002"/>
    <n v="88019.6"/>
    <n v="78742.009999999995"/>
    <n v="0"/>
    <n v="247.47"/>
    <n v="9277.5900000000111"/>
    <n v="0"/>
    <n v="0"/>
    <n v="0"/>
    <n v="53454"/>
    <n v="25041"/>
    <n v="0"/>
    <n v="0"/>
    <n v="0"/>
    <n v="0"/>
    <n v="0"/>
    <n v="-0.11782262098719619"/>
    <n v="13"/>
    <m/>
    <s v="Sahibpur Kamal"/>
    <m/>
    <n v="0"/>
  </r>
  <r>
    <s v="Munger"/>
    <s v="03-09 Jul"/>
    <n v="1011"/>
    <s v="Sahibpur Kamal"/>
    <x v="382"/>
    <s v="GOMUKH THATHA"/>
    <s v="MPG"/>
    <s v="Direct"/>
    <n v="292.2"/>
    <n v="10953.349999999999"/>
    <n v="311.20000000000005"/>
    <n v="11699.150000000001"/>
    <n v="0"/>
    <n v="0"/>
    <n v="311.20000000000005"/>
    <n v="11699.150000000001"/>
    <n v="10953.349999999999"/>
    <n v="0"/>
    <n v="0"/>
    <n v="745.80000000000291"/>
    <n v="0"/>
    <n v="0"/>
    <n v="0"/>
    <n v="10953"/>
    <n v="0"/>
    <n v="0"/>
    <n v="0"/>
    <n v="0"/>
    <n v="305.73416358658454"/>
    <n v="41.74285714285714"/>
    <n v="-6.8088758233782631E-2"/>
    <n v="2"/>
    <m/>
    <s v="Sahibpur Kamal"/>
    <m/>
    <n v="0"/>
  </r>
  <r>
    <s v="Munger"/>
    <s v="03-09 Jul"/>
    <n v="1011"/>
    <s v="Sahibpur Kamal"/>
    <x v="383"/>
    <s v="GOMUKH GARHIYA"/>
    <s v="MPG"/>
    <s v="Direct"/>
    <n v="39.1"/>
    <n v="1483.85"/>
    <n v="49"/>
    <n v="1825.25"/>
    <n v="0"/>
    <n v="0"/>
    <n v="49"/>
    <n v="1825.25"/>
    <n v="1483.85"/>
    <n v="0"/>
    <n v="0"/>
    <n v="341.40000000000009"/>
    <n v="0"/>
    <n v="0"/>
    <n v="0"/>
    <n v="1484"/>
    <n v="0"/>
    <n v="0"/>
    <n v="0"/>
    <n v="0"/>
    <n v="501.62479028132987"/>
    <n v="5.5857142857142863"/>
    <n v="-0.23007716413384111"/>
    <n v="1"/>
    <m/>
    <s v="Sahibpur Kamal"/>
    <m/>
    <n v="0"/>
  </r>
  <r>
    <s v="Munger"/>
    <s v="03-09 Jul"/>
    <n v="1011"/>
    <s v="Sahibpur Kamal"/>
    <x v="384"/>
    <s v="GOMUKH SANHA NAYATOLA"/>
    <s v="MPG"/>
    <s v="Direct"/>
    <n v="255.5"/>
    <n v="10151.459999999999"/>
    <n v="255"/>
    <n v="10031.700000000001"/>
    <n v="0"/>
    <n v="0"/>
    <n v="255"/>
    <n v="10031.700000000001"/>
    <n v="10031.700000000001"/>
    <n v="0"/>
    <n v="0"/>
    <n v="0"/>
    <n v="0"/>
    <n v="0"/>
    <n v="0"/>
    <n v="10032"/>
    <n v="0"/>
    <n v="0"/>
    <n v="119"/>
    <n v="0"/>
    <n v="353.21518356164381"/>
    <n v="36.5"/>
    <n v="1.1797317824233993E-2"/>
    <n v="1"/>
    <m/>
    <s v="Sahibpur Kamal"/>
    <m/>
    <n v="0"/>
  </r>
  <r>
    <s v="Munger"/>
    <s v="03-09 Jul"/>
    <n v="1011"/>
    <s v="Sahibpur Kamal"/>
    <x v="385"/>
    <s v="Gomukh Durgapur"/>
    <s v="MPG"/>
    <s v="Direct"/>
    <n v="555.80000000000007"/>
    <n v="23358.25"/>
    <n v="619"/>
    <n v="26114.58"/>
    <n v="3.5999999999999992"/>
    <n v="152.87"/>
    <n v="622.6"/>
    <n v="26267.45"/>
    <n v="23358.25"/>
    <n v="0"/>
    <n v="152.87"/>
    <n v="2909.2000000000007"/>
    <n v="8700"/>
    <n v="0"/>
    <n v="0"/>
    <n v="14505"/>
    <n v="0"/>
    <n v="0"/>
    <n v="0"/>
    <s v="Release1"/>
    <n v="121.20401763224177"/>
    <n v="79.400000000000006"/>
    <n v="-0.12454700159472566"/>
    <n v="4"/>
    <m/>
    <s v="Sahibpur Kamal"/>
    <m/>
    <n v="0"/>
  </r>
  <r>
    <s v="Munger"/>
    <s v="03-09 Jul"/>
    <n v="1054"/>
    <s v="Alauli "/>
    <x v="386"/>
    <s v="Gomukh Koniya"/>
    <s v="MPG"/>
    <s v="Direct"/>
    <n v="451.59999999999991"/>
    <n v="18720.71"/>
    <n v="459.70000000000005"/>
    <n v="19526.659999999996"/>
    <n v="10"/>
    <n v="421.56"/>
    <n v="469.70000000000005"/>
    <n v="19948.219999999998"/>
    <n v="18720.71"/>
    <n v="0"/>
    <n v="421.56"/>
    <n v="1227.5099999999984"/>
    <n v="0"/>
    <n v="0"/>
    <n v="0"/>
    <n v="18299"/>
    <n v="0"/>
    <n v="0"/>
    <n v="0"/>
    <n v="0"/>
    <n v="205.94439167404792"/>
    <n v="64.514285714285705"/>
    <n v="-6.5569628502337704E-2"/>
    <n v="2"/>
    <m/>
    <s v="Alauli "/>
    <m/>
    <n v="0"/>
  </r>
  <r>
    <s v="Munger"/>
    <s v="03-09 Jul"/>
    <n v="1011"/>
    <s v="Sahibpur Kamal"/>
    <x v="387"/>
    <s v="GOMUKH ROHUA"/>
    <s v="MPG"/>
    <s v="Direct"/>
    <n v="428.80000000000007"/>
    <n v="16931.93"/>
    <n v="431.21000000000004"/>
    <n v="17061.460000000003"/>
    <n v="6.4599999999999982"/>
    <n v="252.84000000000003"/>
    <n v="437.67"/>
    <n v="17314.300000000003"/>
    <n v="16931.93"/>
    <n v="0"/>
    <n v="252.84000000000003"/>
    <n v="382.37000000000262"/>
    <n v="0"/>
    <n v="0"/>
    <n v="0"/>
    <n v="16679"/>
    <n v="0"/>
    <n v="0"/>
    <n v="0"/>
    <n v="0"/>
    <n v="214.17627873134319"/>
    <n v="61.257142857142867"/>
    <n v="-2.2582777037230994E-2"/>
    <n v="13"/>
    <m/>
    <s v="Sahibpur Kamal"/>
    <m/>
    <n v="0"/>
  </r>
  <r>
    <s v="Munger"/>
    <s v="03-09 Jul"/>
    <n v="1011"/>
    <s v="Sahibpur Kamal"/>
    <x v="388"/>
    <s v="GOMUKH LAXMIPUR"/>
    <s v="MPG"/>
    <s v="Direct"/>
    <n v="418.9"/>
    <n v="19197.739999999998"/>
    <n v="411.32"/>
    <n v="19866.18"/>
    <n v="6.58"/>
    <n v="308.23"/>
    <n v="417.9"/>
    <n v="20174.41"/>
    <n v="19197.739999999998"/>
    <n v="0"/>
    <n v="308.23"/>
    <n v="976.67000000000189"/>
    <n v="0"/>
    <n v="0"/>
    <n v="0"/>
    <n v="18890"/>
    <n v="0"/>
    <n v="0"/>
    <n v="0"/>
    <n v="0"/>
    <n v="257.65026087371689"/>
    <n v="59.842857142857142"/>
    <n v="-5.0874217486016685E-2"/>
    <n v="12"/>
    <m/>
    <s v="Sahibpur Kamal"/>
    <m/>
    <n v="0"/>
  </r>
  <r>
    <s v="Munger"/>
    <s v="03-09 Jul"/>
    <n v="1054"/>
    <s v="Alauli "/>
    <x v="389"/>
    <s v="GOMUKH CHATAR"/>
    <s v="MPG"/>
    <s v="Direct"/>
    <n v="155"/>
    <n v="6010.71"/>
    <n v="9.0500000000000007"/>
    <n v="363.98999999999995"/>
    <n v="150.44999999999999"/>
    <n v="5643.34"/>
    <n v="159.5"/>
    <n v="6007.33"/>
    <n v="6007.33"/>
    <n v="0"/>
    <n v="0"/>
    <n v="0"/>
    <n v="5643"/>
    <n v="364"/>
    <n v="0"/>
    <n v="0"/>
    <n v="0"/>
    <n v="0"/>
    <n v="4"/>
    <s v="Release5"/>
    <n v="422.68863870967743"/>
    <n v="22.142857142857142"/>
    <n v="5.6232957504190177E-4"/>
    <n v="4"/>
    <m/>
    <s v="Alauli "/>
    <m/>
    <n v="364"/>
  </r>
  <r>
    <s v="Munger"/>
    <s v="03-09 Jul"/>
    <n v="1054"/>
    <s v="Alauli "/>
    <x v="390"/>
    <s v="GOMUKH BATHNAMA"/>
    <s v="MPG"/>
    <s v="Direct"/>
    <n v="3884.8999999999996"/>
    <n v="158900.31"/>
    <n v="3890.51"/>
    <n v="159050.59"/>
    <n v="0"/>
    <n v="0"/>
    <n v="3890.51"/>
    <n v="159050.59"/>
    <n v="158900.31"/>
    <n v="0"/>
    <n v="0"/>
    <n v="150.27999999999884"/>
    <n v="0"/>
    <n v="0"/>
    <n v="0"/>
    <n v="158900"/>
    <n v="0"/>
    <n v="0"/>
    <n v="0"/>
    <n v="0"/>
    <n v="0"/>
    <n v="0"/>
    <n v="-9.4575020023559956E-4"/>
    <n v="16"/>
    <m/>
    <s v="Alauli "/>
    <m/>
    <n v="0"/>
  </r>
  <r>
    <s v="Munger"/>
    <s v="03-09 Jul"/>
    <n v="1054"/>
    <s v="Alauli "/>
    <x v="391"/>
    <s v="GOMUKH TILAK NAGAR"/>
    <s v="MPG"/>
    <s v="Direct"/>
    <n v="197.30000000000004"/>
    <n v="9814.4800000000014"/>
    <n v="189.19"/>
    <n v="10731.689999999999"/>
    <n v="0"/>
    <n v="0"/>
    <n v="189.19"/>
    <n v="10731.689999999999"/>
    <n v="9814.4800000000014"/>
    <n v="0"/>
    <n v="0"/>
    <n v="917.20999999999731"/>
    <n v="0"/>
    <n v="0"/>
    <n v="0"/>
    <n v="9814"/>
    <n v="0"/>
    <n v="0"/>
    <n v="0"/>
    <s v="Release4"/>
    <n v="500.12560527116068"/>
    <n v="28.18571428571429"/>
    <n v="-9.3454772947725931E-2"/>
    <n v="9"/>
    <m/>
    <s v="Alauli "/>
    <m/>
    <n v="0"/>
  </r>
  <r>
    <s v="Munger"/>
    <s v="03-09 Jul"/>
    <n v="1011"/>
    <s v="Sahibpur Kamal"/>
    <x v="392"/>
    <s v="Gomukh Rahimpur Dakshin"/>
    <s v="MPG"/>
    <s v="Direct"/>
    <n v="7564.9"/>
    <n v="306470.10000000003"/>
    <n v="1182.4999999999998"/>
    <n v="49659.710000000006"/>
    <n v="6383.8600000000006"/>
    <n v="260344.4"/>
    <n v="7566.3600000000006"/>
    <n v="310004.11"/>
    <n v="306470.10000000003"/>
    <n v="0"/>
    <n v="708.09"/>
    <n v="3534.0099999999511"/>
    <n v="290000"/>
    <n v="0"/>
    <n v="0"/>
    <n v="15762"/>
    <n v="0"/>
    <n v="0"/>
    <n v="0"/>
    <n v="0"/>
    <n v="0"/>
    <n v="0"/>
    <n v="-1.1531336988502143E-2"/>
    <n v="22"/>
    <m/>
    <s v="Sahibpur Kamal"/>
    <m/>
    <n v="0"/>
  </r>
  <r>
    <s v="Munger"/>
    <s v="03-09 Jul"/>
    <n v="1054"/>
    <s v="Alauli "/>
    <x v="393"/>
    <s v="GOMUKH MORKAHI"/>
    <s v="MPG"/>
    <s v="Direct"/>
    <n v="612.29999999999995"/>
    <n v="24089.5"/>
    <n v="617.23"/>
    <n v="24370.74"/>
    <n v="1.3"/>
    <n v="51.819999999999993"/>
    <n v="618.53"/>
    <n v="24422.560000000001"/>
    <n v="24089.5"/>
    <n v="0"/>
    <n v="51.819999999999993"/>
    <n v="333.06000000000131"/>
    <n v="0"/>
    <n v="0"/>
    <n v="0"/>
    <n v="24038"/>
    <n v="0"/>
    <n v="0"/>
    <n v="0"/>
    <n v="0"/>
    <n v="69.006994937122386"/>
    <n v="87.471428571428561"/>
    <n v="-1.382594076257296E-2"/>
    <n v="4"/>
    <m/>
    <s v="Alauli "/>
    <m/>
    <n v="0"/>
  </r>
  <r>
    <s v="Munger"/>
    <s v="03-09 Jul"/>
    <n v="1055"/>
    <s v="Matihani"/>
    <x v="394"/>
    <s v="GOMUKH HANSPUR"/>
    <s v="MPG"/>
    <s v="Direct"/>
    <n v="82.699999999999989"/>
    <n v="3760.1000000000004"/>
    <n v="82.2"/>
    <n v="3707.2400000000002"/>
    <n v="0"/>
    <n v="0"/>
    <n v="82.2"/>
    <n v="3707.2400000000002"/>
    <n v="3707.2400000000002"/>
    <n v="0"/>
    <n v="0"/>
    <n v="0"/>
    <n v="0"/>
    <n v="500"/>
    <n v="0"/>
    <n v="3207"/>
    <n v="0"/>
    <n v="0"/>
    <n v="53"/>
    <n v="0"/>
    <n v="561.33246191052012"/>
    <n v="11.814285714285713"/>
    <n v="1.4058136751682168E-2"/>
    <n v="2"/>
    <m/>
    <s v="Matihani"/>
    <m/>
    <n v="500"/>
  </r>
  <r>
    <s v="Munger"/>
    <s v="03-09 Jul"/>
    <n v="1055"/>
    <s v="Matihani"/>
    <x v="395"/>
    <s v="GOMUKH NAYAGAON 2"/>
    <s v="MPG"/>
    <s v="Direct"/>
    <n v="130.30000000000001"/>
    <n v="7063.2599999999993"/>
    <n v="130.32000000000002"/>
    <n v="7192.1999999999989"/>
    <n v="2.8000000000000007"/>
    <n v="183.32"/>
    <n v="133.12000000000003"/>
    <n v="7375.5199999999986"/>
    <n v="7063.2599999999993"/>
    <n v="0"/>
    <n v="183.32"/>
    <n v="312.25999999999931"/>
    <n v="0"/>
    <n v="0"/>
    <n v="0"/>
    <n v="6880"/>
    <n v="0"/>
    <n v="0"/>
    <n v="0"/>
    <n v="0"/>
    <n v="617.64224435917106"/>
    <n v="18.614285714285717"/>
    <n v="-4.4209047946698742E-2"/>
    <n v="4"/>
    <m/>
    <s v="Matihani"/>
    <m/>
    <n v="0"/>
  </r>
  <r>
    <s v="Munger"/>
    <s v="03-09 Jul"/>
    <n v="1054"/>
    <s v="Alauli "/>
    <x v="396"/>
    <s v="GOMUKH LABHGAON"/>
    <s v="MPG"/>
    <s v="Direct"/>
    <n v="332.1"/>
    <n v="13740.650000000001"/>
    <n v="341.59000000000003"/>
    <n v="13737.300000000001"/>
    <n v="0"/>
    <n v="0"/>
    <n v="341.59000000000003"/>
    <n v="13737.300000000001"/>
    <n v="13737.300000000001"/>
    <n v="0"/>
    <n v="0"/>
    <n v="0"/>
    <n v="0"/>
    <n v="0"/>
    <n v="0"/>
    <n v="13737"/>
    <n v="0"/>
    <n v="0"/>
    <n v="4"/>
    <n v="0"/>
    <n v="304.43752694971391"/>
    <n v="47.442857142857143"/>
    <n v="2.4380214909777655E-4"/>
    <n v="2"/>
    <m/>
    <s v="Alauli "/>
    <m/>
    <n v="0"/>
  </r>
  <r>
    <s v="Munger"/>
    <s v="03-09 Jul"/>
    <n v="1054"/>
    <s v="Alauli "/>
    <x v="397"/>
    <s v="GOMUKH CHANDPURA"/>
    <s v="MPG"/>
    <s v="Direct"/>
    <n v="669.1"/>
    <n v="25426.500000000004"/>
    <n v="453.1"/>
    <n v="17292.28"/>
    <n v="216"/>
    <n v="8220.9599999999991"/>
    <n v="669.1"/>
    <n v="25513.239999999998"/>
    <n v="25426.500000000004"/>
    <n v="0"/>
    <n v="0"/>
    <n v="86.739999999994325"/>
    <n v="0"/>
    <n v="0"/>
    <n v="0"/>
    <n v="17207"/>
    <n v="8220"/>
    <n v="0"/>
    <n v="0"/>
    <n v="0"/>
    <n v="23.484646540128516"/>
    <n v="95.585714285714289"/>
    <n v="-3.4114014905706376E-3"/>
    <n v="10"/>
    <m/>
    <s v="Alauli "/>
    <m/>
    <n v="0"/>
  </r>
  <r>
    <s v="Munger"/>
    <s v="03-09 Jul"/>
    <n v="1054"/>
    <s v="Alauli "/>
    <x v="398"/>
    <s v="GOMUKH BADIL TOL"/>
    <s v="MPG"/>
    <s v="Direct"/>
    <n v="456.70000000000005"/>
    <n v="18706.499999999996"/>
    <n v="220.87000000000003"/>
    <n v="9298.8700000000008"/>
    <n v="246.62999999999997"/>
    <n v="9420.23"/>
    <n v="467.5"/>
    <n v="18719.099999999999"/>
    <n v="18706.499999999996"/>
    <n v="0"/>
    <n v="497.81"/>
    <n v="12.600000000002183"/>
    <n v="0"/>
    <n v="0"/>
    <n v="0"/>
    <n v="9287"/>
    <n v="8922"/>
    <n v="0"/>
    <n v="0"/>
    <n v="0"/>
    <n v="199.31208451937809"/>
    <n v="65.242857142857147"/>
    <n v="-6.7356266538380703E-4"/>
    <n v="14"/>
    <m/>
    <s v="Alauli "/>
    <m/>
    <n v="0"/>
  </r>
  <r>
    <s v="Munger"/>
    <s v="03-09 Jul"/>
    <n v="1054"/>
    <s v="Alauli "/>
    <x v="399"/>
    <s v="GOMUKH TRIBHUVAN TOLA"/>
    <s v="MPG"/>
    <s v="Direct"/>
    <n v="407.70000000000005"/>
    <n v="15526.689999999999"/>
    <n v="437.19"/>
    <n v="15551.919999999998"/>
    <n v="0"/>
    <n v="0"/>
    <n v="437.19"/>
    <n v="15551.919999999998"/>
    <n v="15526.689999999999"/>
    <n v="0"/>
    <n v="0"/>
    <n v="25.229999999999563"/>
    <n v="0"/>
    <n v="0"/>
    <n v="0"/>
    <n v="15527"/>
    <n v="0"/>
    <n v="0"/>
    <n v="0"/>
    <n v="0"/>
    <n v="222.63681564876126"/>
    <n v="58.242857142857147"/>
    <n v="-1.624943886945612E-3"/>
    <n v="14"/>
    <m/>
    <s v="Alauli "/>
    <m/>
    <n v="0"/>
  </r>
  <r>
    <s v="Munger"/>
    <s v="03-09 Jul"/>
    <n v="1054"/>
    <s v="Alauli "/>
    <x v="400"/>
    <s v="GOMUKH SANTOSHPUL"/>
    <s v="MPG"/>
    <s v="Direct"/>
    <n v="1196.4000000000001"/>
    <n v="57423.890000000007"/>
    <n v="33.400000000000006"/>
    <n v="1594.45"/>
    <n v="1163"/>
    <n v="55755.86"/>
    <n v="1196.4000000000001"/>
    <n v="57350.31"/>
    <n v="57350.31"/>
    <n v="0"/>
    <n v="0"/>
    <n v="0"/>
    <n v="0"/>
    <n v="0"/>
    <n v="0"/>
    <n v="1594"/>
    <n v="55754"/>
    <n v="0"/>
    <n v="76"/>
    <n v="0"/>
    <n v="0"/>
    <n v="0"/>
    <n v="1.2813482332877312E-3"/>
    <n v="10"/>
    <m/>
    <s v="Alauli "/>
    <m/>
    <n v="0"/>
  </r>
  <r>
    <s v="Munger"/>
    <s v="03-09 Jul"/>
    <n v="1054"/>
    <s v="Alauli "/>
    <x v="401"/>
    <s v="GOMUKH AHUNA"/>
    <s v="MPG"/>
    <s v="Direct"/>
    <n v="388.3"/>
    <n v="15192.08"/>
    <n v="390.04"/>
    <n v="15160.89"/>
    <n v="0"/>
    <n v="0"/>
    <n v="390.04"/>
    <n v="15160.89"/>
    <n v="15160.89"/>
    <n v="0"/>
    <n v="0"/>
    <n v="0"/>
    <n v="0"/>
    <n v="0"/>
    <n v="0"/>
    <n v="15161"/>
    <n v="0"/>
    <n v="0"/>
    <n v="31"/>
    <n v="0"/>
    <n v="243.90272140097861"/>
    <n v="55.471428571428575"/>
    <n v="2.0530434278914086E-3"/>
    <n v="1"/>
    <m/>
    <s v="Alauli "/>
    <m/>
    <n v="0"/>
  </r>
  <r>
    <s v="Munger"/>
    <s v="03-09 Jul"/>
    <n v="1055"/>
    <s v="Matihani"/>
    <x v="402"/>
    <s v="GOMUKH SHADIPUR"/>
    <s v="MPG"/>
    <s v="Direct"/>
    <n v="938.1"/>
    <n v="39362.020000000004"/>
    <n v="952.94999999999993"/>
    <n v="39285.570000000007"/>
    <n v="12.6"/>
    <n v="496.92000000000007"/>
    <n v="965.55"/>
    <n v="39782.490000000005"/>
    <n v="39362.020000000004"/>
    <n v="0"/>
    <n v="496.92000000000007"/>
    <n v="420.47000000000116"/>
    <n v="0"/>
    <n v="0"/>
    <n v="0"/>
    <n v="38865"/>
    <n v="0"/>
    <n v="0"/>
    <n v="0"/>
    <n v="0"/>
    <n v="0"/>
    <n v="0"/>
    <n v="-1.0682124545437483E-2"/>
    <n v="15"/>
    <m/>
    <s v="Matihani"/>
    <m/>
    <n v="0"/>
  </r>
  <r>
    <s v="Munger"/>
    <s v="03-09 Jul"/>
    <n v="1055"/>
    <s v="Matihani"/>
    <x v="403"/>
    <s v="GOMUKH ASHRAPHA DIYARA"/>
    <s v="MPG"/>
    <s v="Direct"/>
    <n v="1037.8"/>
    <n v="44510.26"/>
    <n v="1028.9299999999998"/>
    <n v="43719.669999999991"/>
    <n v="9.0800000000000018"/>
    <n v="375.40999999999997"/>
    <n v="1038.0099999999998"/>
    <n v="44095.079999999994"/>
    <n v="44095.079999999994"/>
    <n v="0"/>
    <n v="375.40999999999997"/>
    <n v="0"/>
    <n v="0"/>
    <n v="0"/>
    <n v="0"/>
    <n v="43720"/>
    <n v="0"/>
    <n v="0"/>
    <n v="415"/>
    <n v="0"/>
    <n v="0"/>
    <n v="0"/>
    <n v="9.3277370206331645E-3"/>
    <n v="15"/>
    <m/>
    <s v="Matihani"/>
    <m/>
    <n v="0"/>
  </r>
  <r>
    <s v="Munger"/>
    <s v="03-09 Jul"/>
    <n v="1055"/>
    <s v="Matihani"/>
    <x v="404"/>
    <s v="GOMUKH MANIAPPA"/>
    <s v="MPG"/>
    <s v="Direct"/>
    <n v="480.09999999999997"/>
    <n v="19943.189999999999"/>
    <n v="478.57"/>
    <n v="19697.810000000001"/>
    <n v="2.81"/>
    <n v="107.91"/>
    <n v="481.38"/>
    <n v="19805.72"/>
    <n v="19805.72"/>
    <n v="0"/>
    <n v="107.91"/>
    <n v="0"/>
    <n v="0"/>
    <n v="0"/>
    <n v="0"/>
    <n v="19697"/>
    <n v="0"/>
    <n v="0"/>
    <n v="138"/>
    <n v="0"/>
    <n v="182.69141766298696"/>
    <n v="68.585714285714275"/>
    <n v="6.8930797931523258E-3"/>
    <n v="9"/>
    <m/>
    <s v="Matihani"/>
    <m/>
    <n v="0"/>
  </r>
  <r>
    <s v="Munger"/>
    <s v="03-09 Jul"/>
    <n v="1054"/>
    <s v="Alauli "/>
    <x v="405"/>
    <s v="GOMUKH D SANJHAUTI"/>
    <s v="MPG"/>
    <s v="Direct"/>
    <n v="815.9"/>
    <n v="31371.219999999994"/>
    <n v="831"/>
    <n v="35024.43"/>
    <n v="0"/>
    <n v="0"/>
    <n v="831"/>
    <n v="35024.43"/>
    <n v="31371.219999999994"/>
    <n v="0"/>
    <n v="0"/>
    <n v="3653.2100000000064"/>
    <n v="0"/>
    <n v="0"/>
    <n v="0"/>
    <n v="31371"/>
    <n v="0"/>
    <n v="0"/>
    <n v="0"/>
    <n v="0"/>
    <n v="0"/>
    <n v="0"/>
    <n v="-0.11645100190556845"/>
    <n v="3"/>
    <m/>
    <s v="Alauli "/>
    <m/>
    <n v="0"/>
  </r>
  <r>
    <s v="Munger"/>
    <s v="03-09 Jul"/>
    <n v="1054"/>
    <s v="Alauli "/>
    <x v="406"/>
    <s v="GOMUKH DHUSMURI BISHANPUR"/>
    <s v="MPG"/>
    <s v="Direct"/>
    <n v="457.09999999999997"/>
    <n v="18032.829999999998"/>
    <n v="484.29999999999995"/>
    <n v="19195.39"/>
    <n v="0"/>
    <n v="0"/>
    <n v="484.29999999999995"/>
    <n v="19195.39"/>
    <n v="18032.829999999998"/>
    <n v="0"/>
    <n v="0"/>
    <n v="1162.5600000000013"/>
    <n v="0"/>
    <n v="500"/>
    <n v="0"/>
    <n v="17533"/>
    <n v="0"/>
    <n v="0"/>
    <n v="0"/>
    <n v="0"/>
    <n v="191.65059754977028"/>
    <n v="65.3"/>
    <n v="-6.446908222392167E-2"/>
    <n v="2"/>
    <m/>
    <s v="Alauli "/>
    <m/>
    <n v="500"/>
  </r>
  <r>
    <s v="Munger"/>
    <s v="03-09 Jul"/>
    <n v="1054"/>
    <s v="Alauli "/>
    <x v="407"/>
    <s v="GOMUKH ANANDPUR PARAS"/>
    <s v="MPG"/>
    <s v="Direct"/>
    <n v="2464.5"/>
    <n v="98704.16"/>
    <n v="2472.1"/>
    <n v="98961.49"/>
    <n v="0"/>
    <n v="0"/>
    <n v="2472.1"/>
    <n v="98961.49"/>
    <n v="98704.16"/>
    <n v="0"/>
    <n v="0"/>
    <n v="257.33000000000175"/>
    <n v="0"/>
    <n v="0"/>
    <n v="0"/>
    <n v="98704"/>
    <n v="0"/>
    <n v="0"/>
    <n v="0"/>
    <n v="0"/>
    <n v="0"/>
    <n v="0"/>
    <n v="-2.6070836325439752E-3"/>
    <n v="2"/>
    <m/>
    <s v="Alauli "/>
    <m/>
    <n v="0"/>
  </r>
  <r>
    <s v="Munger"/>
    <s v="03-09 Jul"/>
    <n v="1054"/>
    <s v="Alauli "/>
    <x v="408"/>
    <s v="Gomukh Bishanpur"/>
    <s v="MPG"/>
    <s v="Direct"/>
    <n v="326.10000000000002"/>
    <n v="14066.560000000001"/>
    <n v="338.33000000000004"/>
    <n v="13927.500000000002"/>
    <n v="4.71"/>
    <n v="203.45000000000005"/>
    <n v="343.04"/>
    <n v="14130.950000000003"/>
    <n v="14066.560000000001"/>
    <n v="0"/>
    <n v="203.45000000000005"/>
    <n v="64.390000000001237"/>
    <n v="0"/>
    <n v="0"/>
    <n v="0"/>
    <n v="13863"/>
    <n v="0"/>
    <n v="0"/>
    <n v="0"/>
    <n v="0"/>
    <n v="322.56895332720023"/>
    <n v="46.585714285714289"/>
    <n v="-4.5775228627326957E-3"/>
    <n v="8"/>
    <m/>
    <s v="Alauli "/>
    <m/>
    <n v="0"/>
  </r>
  <r>
    <s v="Munger"/>
    <s v="03-09 Jul"/>
    <n v="1054"/>
    <s v="Alauli "/>
    <x v="409"/>
    <s v="GOMUKH BISHANPUR 2"/>
    <s v="MPG"/>
    <s v="Direct"/>
    <n v="649.19999999999993"/>
    <n v="25849.840000000004"/>
    <n v="642.35"/>
    <n v="24990.649999999998"/>
    <n v="22.590000000000003"/>
    <n v="901.78"/>
    <n v="664.94"/>
    <n v="25892.429999999997"/>
    <n v="25849.840000000004"/>
    <n v="0"/>
    <n v="135.18"/>
    <n v="42.58999999999287"/>
    <n v="0"/>
    <n v="0"/>
    <n v="0"/>
    <n v="24948"/>
    <n v="767"/>
    <n v="0"/>
    <n v="0"/>
    <n v="0"/>
    <n v="40.455079235982815"/>
    <n v="92.742857142857133"/>
    <n v="-1.6475924028927398E-3"/>
    <n v="14"/>
    <m/>
    <s v="Alauli "/>
    <m/>
    <n v="0"/>
  </r>
  <r>
    <s v="Munger"/>
    <s v="03-09 Jul"/>
    <n v="1054"/>
    <s v="Alauli "/>
    <x v="410"/>
    <s v="GOMUKH GHAMARIYA"/>
    <s v="MPG"/>
    <s v="Direct"/>
    <n v="152.9"/>
    <n v="7771.9000000000005"/>
    <n v="156.72"/>
    <n v="7687.49"/>
    <n v="2.09"/>
    <n v="104.58000000000001"/>
    <n v="158.81"/>
    <n v="7792.07"/>
    <n v="7771.9000000000005"/>
    <n v="0"/>
    <n v="104.58000000000001"/>
    <n v="20.169999999999163"/>
    <n v="1415"/>
    <n v="0"/>
    <n v="0"/>
    <n v="6252"/>
    <n v="0"/>
    <n v="0"/>
    <n v="0"/>
    <s v="Release1"/>
    <n v="556.18135905820793"/>
    <n v="21.842857142857145"/>
    <n v="-2.5952469795029738E-3"/>
    <n v="5"/>
    <m/>
    <s v="Alauli "/>
    <m/>
    <n v="0"/>
  </r>
  <r>
    <s v="Munger"/>
    <s v="03-09 Jul"/>
    <n v="1054"/>
    <s v="Alauli "/>
    <x v="411"/>
    <s v="GOMUKH MEGHAUMA"/>
    <s v="MPG"/>
    <s v="Direct"/>
    <n v="740.79999999999984"/>
    <n v="30588.860000000004"/>
    <n v="738.00999999999988"/>
    <n v="30219.840000000004"/>
    <n v="9.3800000000000008"/>
    <n v="395.42999999999995"/>
    <n v="747.38999999999987"/>
    <n v="30615.270000000004"/>
    <n v="30588.860000000004"/>
    <n v="0"/>
    <n v="395.42999999999995"/>
    <n v="26.409999999999854"/>
    <n v="0"/>
    <n v="0"/>
    <n v="0"/>
    <n v="30193"/>
    <n v="0"/>
    <n v="0"/>
    <n v="0"/>
    <n v="0"/>
    <n v="0"/>
    <n v="0"/>
    <n v="-8.6338621315079579E-4"/>
    <n v="16"/>
    <m/>
    <s v="Alauli "/>
    <m/>
    <n v="0"/>
  </r>
  <r>
    <s v="Munger"/>
    <s v="03-09 Jul"/>
    <n v="1054"/>
    <s v="Alauli "/>
    <x v="412"/>
    <s v="GOMUKH AURA"/>
    <s v="MPG"/>
    <s v="Direct"/>
    <n v="737.4"/>
    <n v="29211.369999999995"/>
    <n v="833.96"/>
    <n v="33357.51999999999"/>
    <n v="0"/>
    <n v="0"/>
    <n v="833.96"/>
    <n v="33357.51999999999"/>
    <n v="29211.369999999995"/>
    <n v="0"/>
    <n v="0"/>
    <n v="4146.1499999999942"/>
    <n v="500"/>
    <n v="0"/>
    <n v="0"/>
    <n v="28711"/>
    <n v="0"/>
    <n v="0"/>
    <n v="0"/>
    <s v="Release1"/>
    <n v="0"/>
    <n v="0"/>
    <n v="-0.14193617074447365"/>
    <n v="3"/>
    <m/>
    <s v="Alauli "/>
    <m/>
    <n v="0"/>
  </r>
  <r>
    <s v="Munger"/>
    <s v="03-09 Jul"/>
    <n v="1054"/>
    <s v="Alauli "/>
    <x v="413"/>
    <s v="GOMUKH BEHORBA"/>
    <s v="MPG"/>
    <s v="Direct"/>
    <n v="694.3"/>
    <n v="27965.87"/>
    <n v="829.84"/>
    <n v="32195.96"/>
    <n v="0"/>
    <n v="0"/>
    <n v="829.84"/>
    <n v="32195.96"/>
    <n v="27965.87"/>
    <n v="0"/>
    <n v="0"/>
    <n v="4230.09"/>
    <n v="0"/>
    <n v="0"/>
    <n v="0"/>
    <n v="27966"/>
    <n v="0"/>
    <n v="0"/>
    <n v="0"/>
    <n v="0"/>
    <n v="4.5918323203226405"/>
    <n v="99.185714285714283"/>
    <n v="-0.15125901679439976"/>
    <n v="6"/>
    <m/>
    <s v="Alauli "/>
    <m/>
    <n v="0"/>
  </r>
  <r>
    <s v="Munger"/>
    <s v="03-09 Jul"/>
    <n v="1011"/>
    <s v="Sahibpur Kamal"/>
    <x v="414"/>
    <s v="GOMUKH SAIDPUR SAMASTIPUR"/>
    <s v="MPG"/>
    <s v="Direct"/>
    <n v="1899.6"/>
    <n v="77534.5"/>
    <n v="3701.4"/>
    <n v="152026.31"/>
    <n v="0"/>
    <n v="0"/>
    <n v="3701.4"/>
    <n v="152026.31"/>
    <n v="77534.5"/>
    <n v="0"/>
    <n v="0"/>
    <n v="74491.81"/>
    <n v="0"/>
    <n v="0"/>
    <n v="0"/>
    <n v="77534"/>
    <n v="0"/>
    <n v="0"/>
    <n v="1"/>
    <s v="Release4"/>
    <n v="0"/>
    <n v="0"/>
    <n v="-0.96075695335624789"/>
    <n v="3"/>
    <m/>
    <s v="Sahibpur Kamal"/>
    <m/>
    <n v="0"/>
  </r>
  <r>
    <s v="Munger"/>
    <s v="03-09 Jul"/>
    <n v="1054"/>
    <s v="Alauli "/>
    <x v="415"/>
    <s v="GOMUKH PHULTAURA"/>
    <s v="MPG"/>
    <s v="Direct"/>
    <n v="597.70000000000005"/>
    <n v="23853.750000000004"/>
    <n v="469.09000000000003"/>
    <n v="19297.39"/>
    <n v="133.60999999999999"/>
    <n v="4686.41"/>
    <n v="602.70000000000005"/>
    <n v="23983.8"/>
    <n v="23853.750000000004"/>
    <n v="0"/>
    <n v="0"/>
    <n v="130.04999999999563"/>
    <n v="0"/>
    <n v="0"/>
    <n v="0"/>
    <n v="19167"/>
    <n v="4687"/>
    <n v="0"/>
    <n v="0"/>
    <n v="0"/>
    <n v="81.654295633260844"/>
    <n v="85.385714285714286"/>
    <n v="-5.4519729602261957E-3"/>
    <n v="4"/>
    <m/>
    <s v="Alauli "/>
    <m/>
    <n v="0"/>
  </r>
  <r>
    <s v="Munger"/>
    <s v="03-09 Jul"/>
    <n v="1011"/>
    <s v="Sahibpur Kamal"/>
    <x v="416"/>
    <s v="Jangli Tol Vlc "/>
    <s v="vlc"/>
    <s v="Indirect"/>
    <n v="2589.3000000000002"/>
    <n v="108112.15000000002"/>
    <n v="0"/>
    <n v="0"/>
    <n v="0"/>
    <n v="0"/>
    <n v="0"/>
    <n v="0"/>
    <n v="108112.15000000002"/>
    <n v="0"/>
    <n v="0"/>
    <n v="0"/>
    <n v="0"/>
    <n v="0"/>
    <n v="0"/>
    <n v="0"/>
    <n v="0"/>
    <n v="108112.15000000002"/>
    <n v="0"/>
    <n v="0"/>
    <n v="0"/>
    <n v="0"/>
    <n v="0"/>
    <n v="0"/>
    <m/>
    <s v="Sahibpur Kamal"/>
    <m/>
    <n v="0"/>
  </r>
  <r>
    <s v="Munger"/>
    <s v="03-09 Jul"/>
    <n v="1055"/>
    <s v="Matihani"/>
    <x v="417"/>
    <s v="DILKHUSH KUMAR "/>
    <s v="vlc"/>
    <s v="Indirect"/>
    <n v="383.79999999999995"/>
    <n v="14822.59"/>
    <n v="0"/>
    <n v="0"/>
    <n v="0"/>
    <n v="0"/>
    <n v="0"/>
    <n v="0"/>
    <n v="14822.59"/>
    <n v="0"/>
    <n v="0"/>
    <n v="0"/>
    <n v="0"/>
    <n v="0"/>
    <n v="0"/>
    <n v="0"/>
    <n v="0"/>
    <n v="14822.59"/>
    <n v="0"/>
    <n v="0"/>
    <n v="244.23673569567492"/>
    <n v="54.828571428571422"/>
    <n v="0"/>
    <n v="0"/>
    <m/>
    <s v="Matihani"/>
    <m/>
    <n v="0"/>
  </r>
  <r>
    <s v="Munger"/>
    <s v="03-09 Jul"/>
    <n v="1011"/>
    <s v="Sahibpur Kamal"/>
    <x v="418"/>
    <s v="GOMUKH CHOWKI 2"/>
    <s v="MPG"/>
    <s v="Direct"/>
    <n v="7133.300000000002"/>
    <n v="274530.46999999997"/>
    <n v="5927.4799999999987"/>
    <n v="228550.2600000001"/>
    <n v="1188.6200000000001"/>
    <n v="47336.679999999993"/>
    <n v="7116.0999999999985"/>
    <n v="275886.94000000006"/>
    <n v="274530.46999999997"/>
    <n v="0"/>
    <n v="0"/>
    <n v="1356.4700000000885"/>
    <n v="0"/>
    <n v="0"/>
    <n v="0"/>
    <n v="227193"/>
    <n v="47337"/>
    <n v="0"/>
    <n v="0"/>
    <n v="0"/>
    <n v="0"/>
    <n v="0"/>
    <n v="-4.9410544483462571E-3"/>
    <n v="38"/>
    <m/>
    <s v="Sahibpur Kamal"/>
    <m/>
    <n v="0"/>
  </r>
  <r>
    <s v="Munger"/>
    <s v="03-09 Jul"/>
    <n v="1011"/>
    <s v="Sahibpur Kamal"/>
    <x v="419"/>
    <s v="GOMUKH MOHABA"/>
    <s v="MPG"/>
    <s v="Direct"/>
    <n v="1659.3999999999999"/>
    <n v="65279.12000000001"/>
    <n v="724.9"/>
    <n v="28627.11"/>
    <n v="1064.1999999999998"/>
    <n v="41973.4"/>
    <n v="1789.1"/>
    <n v="70600.510000000009"/>
    <n v="65279.12000000001"/>
    <n v="0"/>
    <n v="166.05000000000004"/>
    <n v="5321.3899999999994"/>
    <n v="0"/>
    <n v="0"/>
    <n v="0"/>
    <n v="23305"/>
    <n v="41808"/>
    <n v="0"/>
    <n v="0"/>
    <n v="0"/>
    <n v="0"/>
    <n v="0"/>
    <n v="-8.1517489819102937E-2"/>
    <n v="10"/>
    <m/>
    <s v="Sahibpur Kamal"/>
    <m/>
    <n v="0"/>
  </r>
  <r>
    <s v="Munger"/>
    <s v="03-09 Jul"/>
    <n v="1011"/>
    <s v="Sahibpur Kamal"/>
    <x v="420"/>
    <s v="SANHA VLC"/>
    <s v="vlc"/>
    <s v="Indirect"/>
    <n v="487.40000000000003"/>
    <n v="17925.57"/>
    <n v="0"/>
    <n v="0"/>
    <n v="0"/>
    <n v="0"/>
    <n v="0"/>
    <n v="0"/>
    <n v="17925.57"/>
    <n v="0"/>
    <n v="0"/>
    <n v="0"/>
    <n v="4050"/>
    <n v="0"/>
    <n v="0"/>
    <n v="0"/>
    <n v="0"/>
    <n v="13875.57"/>
    <n v="0"/>
    <n v="0"/>
    <n v="156.37981871153053"/>
    <n v="69.628571428571433"/>
    <n v="0"/>
    <n v="0"/>
    <m/>
    <s v="Sahibpur Kamal"/>
    <m/>
    <n v="0"/>
  </r>
  <r>
    <s v="Munger"/>
    <s v="03-09 Jul"/>
    <n v="1011"/>
    <s v="Sahibpur Kamal"/>
    <x v="421"/>
    <s v="MOHANPUR VLC"/>
    <s v="vlc"/>
    <s v="Indirect"/>
    <n v="898.99999999999989"/>
    <n v="31500.190000000002"/>
    <n v="0"/>
    <n v="0"/>
    <n v="0"/>
    <n v="0"/>
    <n v="0"/>
    <n v="0"/>
    <n v="31500.190000000002"/>
    <n v="0"/>
    <n v="0"/>
    <n v="0"/>
    <n v="713.30000000000007"/>
    <n v="0"/>
    <n v="0"/>
    <n v="0"/>
    <n v="0"/>
    <n v="30786.890000000003"/>
    <n v="0"/>
    <n v="0"/>
    <n v="0"/>
    <n v="0"/>
    <n v="0"/>
    <n v="0"/>
    <m/>
    <s v="Sahibpur Kamal"/>
    <m/>
    <n v="0"/>
  </r>
  <r>
    <s v="Munger"/>
    <s v="03-09 Jul"/>
    <n v="1011"/>
    <s v="Sahibpur Kamal"/>
    <x v="422"/>
    <s v="GOMUKH JANGLITOL"/>
    <s v="MPG"/>
    <s v="Direct"/>
    <n v="260.90000000000003"/>
    <n v="10967.91"/>
    <n v="260"/>
    <n v="10987.599999999999"/>
    <n v="0"/>
    <n v="0"/>
    <n v="260"/>
    <n v="10987.599999999999"/>
    <n v="10967.91"/>
    <n v="0"/>
    <n v="0"/>
    <n v="19.68999999999869"/>
    <n v="0"/>
    <n v="0"/>
    <n v="0"/>
    <n v="10968"/>
    <n v="0"/>
    <n v="0"/>
    <n v="0"/>
    <s v="Release4"/>
    <n v="369.18430670755072"/>
    <n v="37.271428571428579"/>
    <n v="-1.7952371965122517E-3"/>
    <n v="4"/>
    <m/>
    <s v="Sahibpur Kamal"/>
    <m/>
    <n v="0"/>
  </r>
  <r>
    <s v="Munger"/>
    <s v="03-09 Jul"/>
    <n v="1011"/>
    <s v="Sahibpur Kamal"/>
    <x v="423"/>
    <s v="Hiratol VLC"/>
    <s v="vlc"/>
    <s v="Indirect"/>
    <n v="38.1"/>
    <n v="1477.52"/>
    <n v="0"/>
    <n v="0"/>
    <n v="0"/>
    <n v="0"/>
    <n v="0"/>
    <n v="0"/>
    <n v="1477.52"/>
    <n v="0"/>
    <n v="0"/>
    <n v="0"/>
    <n v="0"/>
    <n v="0"/>
    <n v="0"/>
    <n v="0"/>
    <n v="0"/>
    <n v="1477.52"/>
    <n v="0"/>
    <n v="0"/>
    <n v="513.37033490813644"/>
    <n v="5.4428571428571431"/>
    <n v="0"/>
    <n v="0"/>
    <m/>
    <s v="Sahibpur Kamal"/>
    <m/>
    <n v="0"/>
  </r>
  <r>
    <s v="Munger"/>
    <s v="03-09 Jul"/>
    <n v="1011"/>
    <s v="Sahibpur Kamal"/>
    <x v="424"/>
    <s v="GOMUKH BARBIGHI"/>
    <s v="MPG"/>
    <s v="Direct"/>
    <n v="1657.9"/>
    <n v="62401.61"/>
    <n v="1651.3000000000002"/>
    <n v="63787.82"/>
    <n v="6.3"/>
    <n v="245.33"/>
    <n v="1657.6000000000001"/>
    <n v="64033.15"/>
    <n v="62401.61"/>
    <n v="0"/>
    <n v="245.33"/>
    <n v="1631.5400000000009"/>
    <n v="0"/>
    <n v="0"/>
    <n v="0"/>
    <n v="62156"/>
    <n v="0"/>
    <n v="0"/>
    <n v="0"/>
    <n v="0"/>
    <n v="0"/>
    <n v="0"/>
    <n v="-2.6145799763820209E-2"/>
    <n v="3"/>
    <m/>
    <s v="Sahibpur Kamal"/>
    <m/>
    <n v="0"/>
  </r>
  <r>
    <s v="Munger"/>
    <s v="03-09 Jul"/>
    <n v="1011"/>
    <s v="Sahibpur Kamal"/>
    <x v="425"/>
    <s v="Dandari-2"/>
    <s v="MPG"/>
    <s v="Direct"/>
    <n v="221.50000000000003"/>
    <n v="8503.6999999999989"/>
    <n v="221"/>
    <n v="8570.3799999999992"/>
    <n v="0"/>
    <n v="0"/>
    <n v="221"/>
    <n v="8570.3799999999992"/>
    <n v="8503.6999999999989"/>
    <n v="0"/>
    <n v="0"/>
    <n v="66.680000000000291"/>
    <n v="0"/>
    <n v="0"/>
    <n v="0"/>
    <n v="8504"/>
    <n v="0"/>
    <n v="0"/>
    <n v="0"/>
    <s v="Release4"/>
    <n v="367.40590970654625"/>
    <n v="31.642857142857146"/>
    <n v="-7.8412926138034383E-3"/>
    <n v="1"/>
    <m/>
    <s v="Sahibpur Kamal"/>
    <m/>
    <n v="0"/>
  </r>
  <r>
    <s v="Munger"/>
    <s v="03-09 Jul"/>
    <n v="1011"/>
    <s v="Sahibpur Kamal"/>
    <x v="426"/>
    <s v="Barkhanditol"/>
    <s v="vlc"/>
    <s v="Indirect"/>
    <n v="1351.8999999999999"/>
    <n v="60625.849999999991"/>
    <n v="0"/>
    <n v="0"/>
    <n v="0"/>
    <n v="0"/>
    <n v="0"/>
    <n v="0"/>
    <n v="60625.849999999991"/>
    <n v="0"/>
    <n v="0"/>
    <n v="0"/>
    <n v="0"/>
    <n v="0"/>
    <n v="0"/>
    <n v="0"/>
    <n v="0"/>
    <n v="60625.849999999991"/>
    <n v="0"/>
    <n v="0"/>
    <n v="0"/>
    <n v="0"/>
    <n v="0"/>
    <n v="0"/>
    <m/>
    <s v="Sahibpur Kamal"/>
    <m/>
    <n v="0"/>
  </r>
  <r>
    <s v="Munger"/>
    <s v="03-09 Jul"/>
    <n v="1011"/>
    <s v="Sahibpur Kamal"/>
    <x v="427"/>
    <s v="Chauki-VLC"/>
    <s v="vlc"/>
    <s v="Indirect"/>
    <n v="569.30000000000007"/>
    <n v="21951.37"/>
    <n v="0"/>
    <n v="0"/>
    <n v="0"/>
    <n v="0"/>
    <n v="0"/>
    <n v="0"/>
    <n v="21951.37"/>
    <n v="0"/>
    <n v="0"/>
    <n v="0"/>
    <n v="0"/>
    <n v="0"/>
    <n v="0"/>
    <n v="0"/>
    <n v="0"/>
    <n v="21951.37"/>
    <n v="0"/>
    <n v="0"/>
    <n v="100.79199223607934"/>
    <n v="81.328571428571436"/>
    <n v="0"/>
    <n v="0"/>
    <m/>
    <s v="Sahibpur Kamal"/>
    <m/>
    <n v="0"/>
  </r>
  <r>
    <s v="Munger"/>
    <s v="03-09 Jul"/>
    <n v="1011"/>
    <s v="Sahibpur Kamal"/>
    <x v="428"/>
    <s v="Hardia"/>
    <s v="MPG"/>
    <s v="Direct"/>
    <n v="640.40000000000009"/>
    <n v="28786.460000000003"/>
    <n v="727.26"/>
    <n v="32542.109999999997"/>
    <n v="2.8400000000000007"/>
    <n v="140.66000000000003"/>
    <n v="730.1"/>
    <n v="32682.769999999997"/>
    <n v="28786.460000000003"/>
    <n v="0"/>
    <n v="140.66000000000003"/>
    <n v="3896.309999999994"/>
    <n v="0"/>
    <n v="0"/>
    <n v="0"/>
    <n v="28646"/>
    <n v="0"/>
    <n v="0"/>
    <n v="0"/>
    <n v="0"/>
    <n v="53.581293441598945"/>
    <n v="91.485714285714295"/>
    <n v="-0.13535217598829427"/>
    <n v="3"/>
    <m/>
    <s v="Sahibpur Kamal"/>
    <m/>
    <n v="0"/>
  </r>
  <r>
    <s v="Munger"/>
    <s v="03-09 Jul"/>
    <n v="1011"/>
    <s v="Sahibpur Kamal"/>
    <x v="429"/>
    <s v="Pachveer"/>
    <s v="vlc"/>
    <s v="Indirect"/>
    <n v="8840.6999999999989"/>
    <n v="344228.19"/>
    <n v="0"/>
    <n v="0"/>
    <n v="0"/>
    <n v="0"/>
    <n v="0"/>
    <n v="0"/>
    <n v="344228.19"/>
    <n v="0"/>
    <n v="0"/>
    <n v="0"/>
    <n v="0"/>
    <n v="0"/>
    <n v="0"/>
    <n v="0"/>
    <n v="0"/>
    <n v="344228.19"/>
    <n v="0"/>
    <n v="0"/>
    <n v="0"/>
    <n v="0"/>
    <n v="0"/>
    <n v="0"/>
    <m/>
    <s v="Sahibpur Kamal"/>
    <m/>
    <n v="0"/>
  </r>
  <r>
    <s v="Munger"/>
    <s v="03-09 Jul"/>
    <n v="1011"/>
    <s v="Sahibpur Kamal"/>
    <x v="430"/>
    <s v="Mathar-3"/>
    <s v="vlc"/>
    <s v="Indirect"/>
    <n v="3067.5"/>
    <n v="129507.39"/>
    <n v="0"/>
    <n v="0"/>
    <n v="0"/>
    <n v="0"/>
    <n v="0"/>
    <n v="0"/>
    <n v="129507.39"/>
    <n v="0"/>
    <n v="0"/>
    <n v="0"/>
    <n v="0"/>
    <n v="0"/>
    <n v="0"/>
    <n v="0"/>
    <n v="0"/>
    <n v="129507.39"/>
    <n v="0"/>
    <n v="0"/>
    <n v="0"/>
    <n v="0"/>
    <n v="0"/>
    <n v="0"/>
    <m/>
    <s v="Sahibpur Kamal"/>
    <m/>
    <n v="0"/>
  </r>
  <r>
    <s v="Munger"/>
    <s v="03-09 Jul"/>
    <n v="1011"/>
    <s v="Sahibpur Kamal"/>
    <x v="431"/>
    <s v="Ahoghat"/>
    <s v="vlc"/>
    <s v="Indirect"/>
    <n v="636.59999999999991"/>
    <n v="28639.19"/>
    <n v="0"/>
    <n v="0"/>
    <n v="0"/>
    <n v="0"/>
    <n v="0"/>
    <n v="0"/>
    <n v="28639.19"/>
    <n v="0"/>
    <n v="0"/>
    <n v="0"/>
    <n v="0"/>
    <n v="0"/>
    <n v="0"/>
    <n v="0"/>
    <n v="0"/>
    <n v="28639.19"/>
    <n v="0"/>
    <n v="0"/>
    <n v="57.04444379516184"/>
    <n v="90.942857142857136"/>
    <n v="0"/>
    <n v="0"/>
    <m/>
    <s v="Sahibpur Kamal"/>
    <m/>
    <n v="0"/>
  </r>
  <r>
    <s v="Munger"/>
    <s v="03-09 Jul"/>
    <n v="1011"/>
    <s v="Sahibpur Kamal"/>
    <x v="432"/>
    <s v="Mathar-4"/>
    <s v="vlc"/>
    <s v="Indirect"/>
    <n v="372.30000000000007"/>
    <n v="15027.119999999999"/>
    <n v="0"/>
    <n v="0"/>
    <n v="0"/>
    <n v="0"/>
    <n v="0"/>
    <n v="0"/>
    <n v="15027.119999999999"/>
    <n v="0"/>
    <n v="0"/>
    <n v="0"/>
    <n v="0"/>
    <n v="0"/>
    <n v="0"/>
    <n v="0"/>
    <n v="0"/>
    <n v="15027.119999999999"/>
    <n v="0"/>
    <n v="0"/>
    <n v="264.53866365833994"/>
    <n v="53.185714285714297"/>
    <n v="0"/>
    <n v="0"/>
    <m/>
    <s v="Sahibpur Kamal"/>
    <m/>
    <n v="0"/>
  </r>
  <r>
    <s v="Munger"/>
    <s v="03-09 Jul"/>
    <n v="1011"/>
    <s v="Sahibpur Kamal"/>
    <x v="433"/>
    <s v="Sadpur-2"/>
    <s v="MPG"/>
    <s v="Direct"/>
    <n v="665.2"/>
    <n v="24689.65"/>
    <n v="665"/>
    <n v="24771.25"/>
    <n v="0"/>
    <n v="0"/>
    <n v="665"/>
    <n v="24771.25"/>
    <n v="24689.65"/>
    <n v="0"/>
    <n v="0"/>
    <n v="81.599999999998545"/>
    <n v="0"/>
    <n v="0"/>
    <n v="0"/>
    <n v="24690"/>
    <n v="0"/>
    <n v="0"/>
    <n v="0"/>
    <n v="0"/>
    <n v="25.832826819001749"/>
    <n v="95.028571428571439"/>
    <n v="-3.3050286253551E-3"/>
    <n v="1"/>
    <m/>
    <s v="Sahibpur Kamal"/>
    <m/>
    <n v="0"/>
  </r>
  <r>
    <s v="Munger"/>
    <s v="03-09 Jul"/>
    <n v="1011"/>
    <s v="Sahibpur Kamal"/>
    <x v="434"/>
    <s v="Phulmalik"/>
    <s v="vlc"/>
    <s v="Indirect"/>
    <n v="177.3"/>
    <n v="7226.85"/>
    <n v="0"/>
    <n v="0"/>
    <n v="0"/>
    <n v="0"/>
    <n v="0"/>
    <n v="0"/>
    <n v="7226.85"/>
    <n v="0"/>
    <n v="0"/>
    <n v="0"/>
    <n v="0"/>
    <n v="0"/>
    <n v="0"/>
    <n v="0"/>
    <n v="0"/>
    <n v="7226.85"/>
    <n v="0"/>
    <n v="0"/>
    <n v="426.11105414551611"/>
    <n v="25.328571428571429"/>
    <n v="0"/>
    <n v="0"/>
    <m/>
    <s v="Sahibpur Kamal"/>
    <m/>
    <n v="0"/>
  </r>
  <r>
    <s v="Munger"/>
    <s v="03-09 Jul"/>
    <n v="1011"/>
    <s v="Sahibpur Kamal"/>
    <x v="435"/>
    <s v="Baliya"/>
    <s v="vlc"/>
    <s v="Indirect"/>
    <n v="7470.4999999999991"/>
    <n v="294440.01"/>
    <n v="0"/>
    <n v="0"/>
    <n v="0"/>
    <n v="0"/>
    <n v="0"/>
    <n v="0"/>
    <n v="294440.01"/>
    <n v="0"/>
    <n v="0"/>
    <n v="0"/>
    <n v="0"/>
    <n v="0"/>
    <n v="0"/>
    <n v="0"/>
    <n v="0"/>
    <n v="294440.01"/>
    <n v="0"/>
    <n v="0"/>
    <n v="0"/>
    <n v="0"/>
    <n v="0"/>
    <n v="0"/>
    <m/>
    <s v="Sahibpur Kamal"/>
    <m/>
    <n v="0"/>
  </r>
  <r>
    <s v="Munger"/>
    <s v="03-09 Jul"/>
    <n v="1012"/>
    <s v="DalsinghSarai"/>
    <x v="436"/>
    <s v="GOMUKH SUBHANPUR"/>
    <s v="vlc"/>
    <s v="Indirect"/>
    <n v="265.93"/>
    <n v="10479.09"/>
    <n v="0"/>
    <n v="0"/>
    <n v="0"/>
    <n v="0"/>
    <n v="0"/>
    <n v="0"/>
    <n v="10479.09"/>
    <n v="0"/>
    <n v="0"/>
    <n v="0"/>
    <n v="723"/>
    <n v="0"/>
    <n v="0"/>
    <n v="0"/>
    <n v="0"/>
    <n v="9756.09"/>
    <n v="0"/>
    <n v="0"/>
    <n v="342.09443058699657"/>
    <n v="37.99"/>
    <n v="0"/>
    <n v="0"/>
    <m/>
    <s v="DalsinghSarai"/>
    <m/>
    <n v="0"/>
  </r>
  <r>
    <s v="Munger"/>
    <s v="03-09 Jul"/>
    <n v="1012"/>
    <s v="DalsinghSarai"/>
    <x v="437"/>
    <s v="GOMUKH  BHAJANGAMA"/>
    <s v="vlc"/>
    <s v="Indirect"/>
    <n v="436.37000000000006"/>
    <n v="17480.71"/>
    <n v="0"/>
    <n v="0"/>
    <n v="0"/>
    <n v="0"/>
    <n v="0"/>
    <n v="0"/>
    <n v="17480.71"/>
    <n v="0"/>
    <n v="0"/>
    <n v="0"/>
    <n v="0"/>
    <n v="0"/>
    <n v="0"/>
    <n v="0"/>
    <n v="0"/>
    <n v="17480.71"/>
    <n v="0"/>
    <n v="0"/>
    <n v="211.2170670440222"/>
    <n v="62.338571428571434"/>
    <n v="0"/>
    <n v="0"/>
    <m/>
    <s v="DalsinghSarai"/>
    <m/>
    <n v="0"/>
  </r>
  <r>
    <s v="Munger"/>
    <s v="03-09 Jul"/>
    <n v="1012"/>
    <s v="DalsinghSarai"/>
    <x v="438"/>
    <s v="Gomukh Basadhiya Kurni"/>
    <s v="MPG"/>
    <s v="Direct"/>
    <n v="439.18000000000006"/>
    <n v="17489.07"/>
    <n v="453.27"/>
    <n v="17486.100000000002"/>
    <n v="0"/>
    <n v="0"/>
    <n v="453.27"/>
    <n v="17486.100000000002"/>
    <n v="17486.100000000002"/>
    <n v="0"/>
    <n v="0"/>
    <n v="0"/>
    <n v="0"/>
    <n v="0"/>
    <n v="0"/>
    <n v="17486"/>
    <n v="0"/>
    <n v="0"/>
    <n v="3"/>
    <n v="0"/>
    <n v="207.72800388906589"/>
    <n v="62.740000000000009"/>
    <n v="1.6982035065315229E-4"/>
    <n v="5"/>
    <m/>
    <s v="DalsinghSarai"/>
    <m/>
    <n v="0"/>
  </r>
  <r>
    <s v="Munger"/>
    <s v="03-09 Jul"/>
    <n v="1012"/>
    <s v="DalsinghSarai"/>
    <x v="439"/>
    <s v="KHAJURI"/>
    <s v="MPG"/>
    <s v="Direct"/>
    <n v="352.96000000000004"/>
    <n v="13588.499999999998"/>
    <n v="163"/>
    <n v="6539.0899999999992"/>
    <n v="176.7"/>
    <n v="7048.4600000000009"/>
    <n v="339.7"/>
    <n v="13587.55"/>
    <n v="13587.55"/>
    <n v="0"/>
    <n v="222.23000000000002"/>
    <n v="0"/>
    <n v="0"/>
    <n v="0"/>
    <n v="0"/>
    <n v="6540"/>
    <n v="6825"/>
    <n v="0"/>
    <n v="1"/>
    <n v="0"/>
    <n v="267.21175430643689"/>
    <n v="50.422857142857147"/>
    <n v="6.9912057990132001E-5"/>
    <n v="12"/>
    <m/>
    <s v="DalsinghSarai"/>
    <m/>
    <n v="0"/>
  </r>
  <r>
    <s v="Munger"/>
    <s v="03-09 Jul"/>
    <n v="1012"/>
    <s v="DalsinghSarai"/>
    <x v="440"/>
    <s v="ARMAULI-2"/>
    <s v="MPG"/>
    <s v="Direct"/>
    <n v="1216.69"/>
    <n v="50722.200000000004"/>
    <n v="1231.45"/>
    <n v="50099.83"/>
    <n v="15.549999999999999"/>
    <n v="634.61"/>
    <n v="1247"/>
    <n v="50734.44"/>
    <n v="50722.200000000004"/>
    <n v="0"/>
    <n v="634.61"/>
    <n v="12.239999999997963"/>
    <n v="9357"/>
    <n v="0"/>
    <n v="0"/>
    <n v="40731"/>
    <n v="0"/>
    <n v="0"/>
    <n v="0"/>
    <n v="0"/>
    <n v="0"/>
    <n v="0"/>
    <n v="-2.4131445402600759E-4"/>
    <n v="35"/>
    <m/>
    <s v="DalsinghSarai"/>
    <m/>
    <n v="0"/>
  </r>
  <r>
    <s v="Munger"/>
    <s v="03-09 Jul"/>
    <n v="1012"/>
    <s v="DalsinghSarai"/>
    <x v="441"/>
    <s v="MUSAPUR - 2"/>
    <s v="vlc"/>
    <s v="Indirect"/>
    <n v="53.83"/>
    <n v="1863.41"/>
    <n v="0"/>
    <n v="0"/>
    <n v="0"/>
    <n v="0"/>
    <n v="0"/>
    <n v="0"/>
    <n v="1863.41"/>
    <n v="0"/>
    <n v="0"/>
    <n v="0"/>
    <n v="0"/>
    <n v="0"/>
    <n v="0"/>
    <n v="0"/>
    <n v="0"/>
    <n v="1863.41"/>
    <n v="0"/>
    <n v="0"/>
    <n v="447.36378959687909"/>
    <n v="7.6899999999999995"/>
    <n v="0"/>
    <n v="0"/>
    <m/>
    <s v="DalsinghSarai"/>
    <m/>
    <n v="0"/>
  </r>
  <r>
    <s v="Munger"/>
    <s v="03-09 Jul"/>
    <n v="1012"/>
    <s v="DalsinghSarai"/>
    <x v="442"/>
    <s v="Janganath Pur"/>
    <s v="vlc"/>
    <s v="Indirect"/>
    <n v="1807.5499999999997"/>
    <n v="76981.63"/>
    <n v="0"/>
    <n v="0"/>
    <n v="0"/>
    <n v="0"/>
    <n v="0"/>
    <n v="0"/>
    <n v="76981.63"/>
    <n v="0"/>
    <n v="0"/>
    <n v="0"/>
    <n v="0"/>
    <n v="0"/>
    <n v="0"/>
    <n v="0"/>
    <n v="0"/>
    <n v="76981.63"/>
    <n v="0"/>
    <n v="0"/>
    <n v="0"/>
    <n v="0"/>
    <n v="0"/>
    <n v="0"/>
    <m/>
    <s v="DalsinghSarai"/>
    <m/>
    <n v="0"/>
  </r>
  <r>
    <s v="Munger"/>
    <s v="03-09 Jul"/>
    <n v="1012"/>
    <s v="DalsinghSarai"/>
    <x v="443"/>
    <s v="Nagargama"/>
    <s v="vlc"/>
    <s v="Indirect"/>
    <n v="332.74"/>
    <n v="13730.550000000001"/>
    <n v="0"/>
    <n v="0"/>
    <n v="0"/>
    <n v="0"/>
    <n v="0"/>
    <n v="0"/>
    <n v="13730.550000000001"/>
    <n v="0"/>
    <n v="0"/>
    <n v="0"/>
    <n v="7750"/>
    <n v="0"/>
    <n v="0"/>
    <n v="0"/>
    <n v="0"/>
    <n v="5980.5500000000011"/>
    <n v="0"/>
    <n v="0"/>
    <n v="303.10042633888321"/>
    <n v="47.534285714285716"/>
    <n v="0"/>
    <n v="0"/>
    <m/>
    <s v="DalsinghSarai"/>
    <m/>
    <n v="0"/>
  </r>
  <r>
    <s v="Munger"/>
    <s v="03-09 Jul"/>
    <n v="1012"/>
    <s v="DalsinghSarai"/>
    <x v="444"/>
    <s v="Sato Ghachchhi"/>
    <s v="MPG"/>
    <s v="Direct"/>
    <n v="658.2"/>
    <n v="31466.31"/>
    <n v="671.39999999999986"/>
    <n v="30910.17"/>
    <n v="12.100000000000001"/>
    <n v="554.49999999999989"/>
    <n v="683.49999999999989"/>
    <n v="31464.67"/>
    <n v="31464.67"/>
    <n v="0"/>
    <n v="554.49999999999989"/>
    <n v="0"/>
    <n v="0"/>
    <n v="0"/>
    <n v="0"/>
    <n v="30911"/>
    <n v="0"/>
    <n v="0"/>
    <n v="1"/>
    <n v="0"/>
    <n v="39.966325068368207"/>
    <n v="94.028571428571439"/>
    <n v="5.2119234826169828E-5"/>
    <n v="18"/>
    <m/>
    <s v="DalsinghSarai"/>
    <m/>
    <n v="0"/>
  </r>
  <r>
    <s v="Munger"/>
    <s v="03-09 Jul"/>
    <n v="1012"/>
    <s v="DalsinghSarai"/>
    <x v="445"/>
    <s v="Bhatgama"/>
    <s v="vlc"/>
    <s v="Indirect"/>
    <n v="531.55999999999995"/>
    <n v="19045.850000000002"/>
    <n v="0"/>
    <n v="0"/>
    <n v="0"/>
    <n v="0"/>
    <n v="0"/>
    <n v="0"/>
    <n v="19045.850000000002"/>
    <n v="0"/>
    <n v="0"/>
    <n v="0"/>
    <n v="1400"/>
    <n v="0"/>
    <n v="0"/>
    <n v="0"/>
    <n v="0"/>
    <n v="17645.850000000002"/>
    <n v="0"/>
    <n v="0"/>
    <n v="120.70445383399814"/>
    <n v="75.937142857142845"/>
    <n v="0"/>
    <n v="0"/>
    <m/>
    <s v="DalsinghSarai"/>
    <m/>
    <n v="0"/>
  </r>
  <r>
    <s v="Munger"/>
    <s v="03-09 Jul"/>
    <n v="1012"/>
    <s v="DalsinghSarai"/>
    <x v="446"/>
    <s v="Borna Rasalpur"/>
    <s v="MPG"/>
    <s v="Direct"/>
    <n v="1123.6000000000001"/>
    <n v="47953.570000000007"/>
    <n v="657.40000000000009"/>
    <n v="29138.240000000002"/>
    <n v="419.2000000000001"/>
    <n v="18789.570000000003"/>
    <n v="1076.6000000000001"/>
    <n v="47927.810000000005"/>
    <n v="47927.810000000005"/>
    <n v="0"/>
    <n v="95.95"/>
    <n v="0"/>
    <n v="0"/>
    <n v="0"/>
    <n v="0"/>
    <n v="29138"/>
    <n v="18695"/>
    <n v="0"/>
    <n v="25"/>
    <n v="0"/>
    <n v="0"/>
    <n v="0"/>
    <n v="5.3718628248120069E-4"/>
    <n v="15"/>
    <m/>
    <s v="DalsinghSarai"/>
    <m/>
    <n v="0"/>
  </r>
  <r>
    <s v="Munger"/>
    <s v="03-09 Jul"/>
    <n v="1012"/>
    <s v="DalsinghSarai"/>
    <x v="447"/>
    <s v="Rasalpur"/>
    <s v="MPG"/>
    <s v="Direct"/>
    <n v="1192.7199999999998"/>
    <n v="46603.19"/>
    <n v="1040.55"/>
    <n v="39771.679999999993"/>
    <n v="178.18"/>
    <n v="6831.38"/>
    <n v="1218.73"/>
    <n v="46603.05999999999"/>
    <n v="46603.05999999999"/>
    <n v="0"/>
    <n v="0"/>
    <n v="0"/>
    <n v="0"/>
    <n v="0"/>
    <n v="0"/>
    <n v="39772"/>
    <n v="6831"/>
    <n v="0"/>
    <n v="0"/>
    <n v="0"/>
    <n v="0"/>
    <n v="0"/>
    <n v="2.7895086154388263E-6"/>
    <n v="16"/>
    <m/>
    <s v="DalsinghSarai"/>
    <m/>
    <n v="0"/>
  </r>
  <r>
    <s v="Munger"/>
    <s v="03-09 Jul"/>
    <n v="1012"/>
    <s v="DalsinghSarai"/>
    <x v="448"/>
    <s v="Narahan"/>
    <s v="MPG"/>
    <s v="Direct"/>
    <n v="201.06000000000003"/>
    <n v="6857.95"/>
    <n v="193.82"/>
    <n v="6709.43"/>
    <n v="4.1899999999999995"/>
    <n v="148.36000000000001"/>
    <n v="198.01"/>
    <n v="6857.79"/>
    <n v="6857.79"/>
    <n v="0"/>
    <n v="148.36000000000001"/>
    <n v="0"/>
    <n v="1370"/>
    <n v="0"/>
    <n v="0"/>
    <n v="5339"/>
    <n v="0"/>
    <n v="0"/>
    <n v="1"/>
    <s v="Release1"/>
    <n v="340.36661424450409"/>
    <n v="28.722857142857148"/>
    <n v="2.3330587128785496E-5"/>
    <n v="5"/>
    <m/>
    <s v="DalsinghSarai"/>
    <m/>
    <n v="0"/>
  </r>
  <r>
    <s v="Munger"/>
    <s v="03-09 Jul"/>
    <n v="1012"/>
    <s v="DalsinghSarai"/>
    <x v="449"/>
    <s v="Gomukh Dumduma"/>
    <s v="MPG"/>
    <s v="Direct"/>
    <n v="398.22999999999996"/>
    <n v="15979.75"/>
    <n v="389.29999999999995"/>
    <n v="15766.859999999997"/>
    <n v="5"/>
    <n v="197.4"/>
    <n v="394.29999999999995"/>
    <n v="15964.259999999997"/>
    <n v="15964.259999999997"/>
    <n v="0"/>
    <n v="0"/>
    <n v="0"/>
    <n v="2060"/>
    <n v="0"/>
    <n v="0"/>
    <n v="13707"/>
    <n v="197"/>
    <n v="0"/>
    <n v="16"/>
    <n v="0"/>
    <n v="242.18211372824757"/>
    <n v="56.889999999999993"/>
    <n v="9.693518359175469E-4"/>
    <n v="4"/>
    <m/>
    <s v="DalsinghSarai"/>
    <m/>
    <n v="0"/>
  </r>
  <r>
    <s v="Munger"/>
    <s v="03-09 Jul"/>
    <n v="1012"/>
    <s v="DalsinghSarai"/>
    <x v="450"/>
    <s v="SUPOL"/>
    <s v="MPG"/>
    <s v="Direct"/>
    <n v="406.99"/>
    <n v="16930.040000000005"/>
    <n v="371.53999999999996"/>
    <n v="16217.720000000001"/>
    <n v="16.500000000000007"/>
    <n v="711.9100000000002"/>
    <n v="388.03999999999996"/>
    <n v="16929.63"/>
    <n v="16929.63"/>
    <n v="0"/>
    <n v="261.89999999999998"/>
    <n v="0"/>
    <n v="0"/>
    <n v="0"/>
    <n v="0"/>
    <n v="16216"/>
    <n v="452"/>
    <n v="0"/>
    <n v="0"/>
    <n v="0"/>
    <n v="243.77360723359303"/>
    <n v="58.14142857142857"/>
    <n v="2.4217308405856831E-5"/>
    <n v="9"/>
    <m/>
    <s v="DalsinghSarai"/>
    <m/>
    <n v="0"/>
  </r>
  <r>
    <s v="Munger"/>
    <s v="03-09 Jul"/>
    <n v="1012"/>
    <s v="DalsinghSarai"/>
    <x v="451"/>
    <s v="BHUSARAI"/>
    <s v="MPG"/>
    <s v="Direct"/>
    <n v="211.88000000000002"/>
    <n v="8792.2899999999991"/>
    <n v="127.99"/>
    <n v="5184.32"/>
    <n v="88.87"/>
    <n v="3607.75"/>
    <n v="216.86"/>
    <n v="8792.07"/>
    <n v="8792.07"/>
    <n v="0"/>
    <n v="134.07000000000002"/>
    <n v="0"/>
    <n v="0"/>
    <n v="0"/>
    <n v="0"/>
    <n v="5184"/>
    <n v="3474"/>
    <n v="0"/>
    <n v="0"/>
    <n v="0"/>
    <n v="405.1059651500849"/>
    <n v="30.26857142857143"/>
    <n v="2.5021922616217752E-5"/>
    <n v="6"/>
    <m/>
    <s v="DalsinghSarai"/>
    <m/>
    <n v="0"/>
  </r>
  <r>
    <s v="Munger"/>
    <s v="03-09 Jul"/>
    <n v="1012"/>
    <s v="DalsinghSarai"/>
    <x v="452"/>
    <s v="Gomukha Jounapur"/>
    <s v="vlc"/>
    <s v="Indirect"/>
    <n v="48.25"/>
    <n v="2284.0700000000002"/>
    <n v="0"/>
    <n v="0"/>
    <n v="0"/>
    <n v="0"/>
    <n v="0"/>
    <n v="0"/>
    <n v="2284.0700000000002"/>
    <n v="0"/>
    <n v="0"/>
    <n v="0"/>
    <n v="1400"/>
    <n v="0"/>
    <n v="0"/>
    <n v="0"/>
    <n v="0"/>
    <n v="884.07000000000016"/>
    <n v="0"/>
    <n v="0"/>
    <n v="617.05393678756479"/>
    <n v="6.8928571428571432"/>
    <n v="0"/>
    <n v="0"/>
    <m/>
    <s v="DalsinghSarai"/>
    <m/>
    <n v="0"/>
  </r>
  <r>
    <s v="Munger"/>
    <s v="03-09 Jul"/>
    <n v="1012"/>
    <s v="DalsinghSarai"/>
    <x v="453"/>
    <s v="Patailliya"/>
    <s v="vlc"/>
    <s v="Indirect"/>
    <n v="262.41000000000003"/>
    <n v="10058.359999999999"/>
    <n v="0"/>
    <n v="0"/>
    <n v="0"/>
    <n v="0"/>
    <n v="0"/>
    <n v="0"/>
    <n v="10058.359999999999"/>
    <n v="0"/>
    <n v="0"/>
    <n v="0"/>
    <n v="0"/>
    <n v="0"/>
    <n v="0"/>
    <n v="0"/>
    <n v="0"/>
    <n v="10058.359999999999"/>
    <n v="0"/>
    <n v="0"/>
    <n v="335.4626540451963"/>
    <n v="37.487142857142864"/>
    <n v="0"/>
    <n v="0"/>
    <m/>
    <s v="DalsinghSarai"/>
    <m/>
    <n v="0"/>
  </r>
  <r>
    <s v="Munger"/>
    <s v="03-09 Jul"/>
    <n v="1012"/>
    <s v="DalsinghSarai"/>
    <x v="454"/>
    <s v="Badiya"/>
    <s v="vlc"/>
    <s v="Indirect"/>
    <n v="157.25"/>
    <n v="5405.9000000000005"/>
    <n v="0"/>
    <n v="0"/>
    <n v="0"/>
    <n v="0"/>
    <n v="0"/>
    <n v="0"/>
    <n v="5405.9000000000005"/>
    <n v="0"/>
    <n v="0"/>
    <n v="0"/>
    <n v="0"/>
    <n v="0"/>
    <n v="0"/>
    <n v="0"/>
    <n v="0"/>
    <n v="5405.9000000000005"/>
    <n v="0"/>
    <n v="0"/>
    <n v="373.17039427662962"/>
    <n v="22.464285714285715"/>
    <n v="0"/>
    <n v="0"/>
    <m/>
    <s v="DalsinghSarai"/>
    <m/>
    <n v="0"/>
  </r>
  <r>
    <s v="Munger"/>
    <s v="03-09 Jul"/>
    <n v="1012"/>
    <s v="DalsinghSarai"/>
    <x v="455"/>
    <s v="Gomukh Tabhka"/>
    <s v="MPG"/>
    <s v="Direct"/>
    <n v="2282.36"/>
    <n v="95414.42"/>
    <n v="1340.5700000000002"/>
    <n v="61031.42"/>
    <n v="809.02"/>
    <n v="34382.620000000003"/>
    <n v="2149.59"/>
    <n v="95414.040000000008"/>
    <n v="95414.040000000008"/>
    <n v="0"/>
    <n v="531.09999999999991"/>
    <n v="0"/>
    <n v="0"/>
    <n v="0"/>
    <n v="0"/>
    <n v="61031"/>
    <n v="33851"/>
    <n v="0"/>
    <n v="1"/>
    <n v="0"/>
    <n v="0"/>
    <n v="0"/>
    <n v="3.9826265253208554E-6"/>
    <n v="28"/>
    <m/>
    <s v="DalsinghSarai"/>
    <m/>
    <n v="0"/>
  </r>
  <r>
    <s v="Munger"/>
    <s v="03-09 Jul"/>
    <n v="1012"/>
    <s v="DalsinghSarai"/>
    <x v="456"/>
    <s v="Ghato"/>
    <s v="vlc"/>
    <s v="Indirect"/>
    <n v="36.51"/>
    <n v="1175.4299999999998"/>
    <n v="0"/>
    <n v="0"/>
    <n v="0"/>
    <n v="0"/>
    <n v="0"/>
    <n v="0"/>
    <n v="1175.4299999999998"/>
    <n v="0"/>
    <n v="0"/>
    <n v="0"/>
    <n v="0"/>
    <n v="0"/>
    <n v="0"/>
    <n v="0"/>
    <n v="0"/>
    <n v="1175.4299999999998"/>
    <n v="0"/>
    <n v="0"/>
    <n v="427.21777633525056"/>
    <n v="5.2157142857142853"/>
    <n v="0"/>
    <n v="0"/>
    <m/>
    <s v="DalsinghSarai"/>
    <m/>
    <n v="0"/>
  </r>
  <r>
    <s v="Munger"/>
    <s v="03-09 Jul"/>
    <n v="1012"/>
    <s v="DalsinghSarai"/>
    <x v="457"/>
    <s v="RAMNATHPUR                                                                                          "/>
    <s v="MPG"/>
    <s v="Direct"/>
    <n v="574.67000000000007"/>
    <n v="22492.769999999997"/>
    <n v="418.53"/>
    <n v="16249.51"/>
    <n v="167.64000000000004"/>
    <n v="6239.14"/>
    <n v="586.17000000000007"/>
    <n v="22488.65"/>
    <n v="22488.65"/>
    <n v="0"/>
    <n v="195.79000000000002"/>
    <n v="0"/>
    <n v="268"/>
    <n v="0"/>
    <n v="0"/>
    <n v="15981"/>
    <n v="6044"/>
    <n v="0"/>
    <n v="4"/>
    <n v="0"/>
    <n v="98.109136168583632"/>
    <n v="82.095714285714294"/>
    <n v="1.8316996972784339E-4"/>
    <n v="15"/>
    <m/>
    <s v="DalsinghSarai"/>
    <m/>
    <n v="0"/>
  </r>
  <r>
    <s v="Munger"/>
    <s v="03-09 Jul"/>
    <n v="1012"/>
    <s v="DalsinghSarai"/>
    <x v="458"/>
    <s v="DESUA"/>
    <s v="MPG"/>
    <s v="Direct"/>
    <n v="431.04"/>
    <n v="17865.98"/>
    <n v="242.5"/>
    <n v="10711.259999999998"/>
    <n v="169.09999999999997"/>
    <n v="7151.7000000000007"/>
    <n v="411.59999999999997"/>
    <n v="17862.96"/>
    <n v="17862.96"/>
    <n v="0"/>
    <n v="39.68"/>
    <n v="0"/>
    <n v="0"/>
    <n v="0"/>
    <n v="0"/>
    <n v="10711"/>
    <n v="7112"/>
    <n v="0"/>
    <n v="3"/>
    <n v="0"/>
    <n v="222.96000282108383"/>
    <n v="61.57714285714286"/>
    <n v="1.6903634729247634E-4"/>
    <n v="6"/>
    <m/>
    <s v="DalsinghSarai"/>
    <m/>
    <n v="0"/>
  </r>
  <r>
    <s v="Munger"/>
    <s v="03-09 Jul"/>
    <n v="1012"/>
    <s v="DalsinghSarai"/>
    <x v="459"/>
    <s v="Matior"/>
    <s v="MPG"/>
    <s v="Direct"/>
    <n v="207.13"/>
    <n v="8083.7899999999991"/>
    <n v="91.24"/>
    <n v="3662.1"/>
    <n v="116.05"/>
    <n v="4414.47"/>
    <n v="207.29"/>
    <n v="8076.57"/>
    <n v="8076.57"/>
    <n v="0"/>
    <n v="0"/>
    <n v="0"/>
    <n v="6036"/>
    <n v="0"/>
    <n v="0"/>
    <n v="933"/>
    <n v="1107"/>
    <n v="0"/>
    <n v="8"/>
    <n v="0"/>
    <n v="384.71081710037174"/>
    <n v="29.59"/>
    <n v="8.9314541817629429E-4"/>
    <n v="6"/>
    <m/>
    <s v="DalsinghSarai"/>
    <m/>
    <n v="0"/>
  </r>
  <r>
    <s v="Munger"/>
    <s v="03-09 Jul"/>
    <n v="1012"/>
    <s v="DalsinghSarai"/>
    <x v="460"/>
    <s v="TELGAMA"/>
    <s v="vlc"/>
    <s v="Indirect"/>
    <n v="328.01000000000005"/>
    <n v="13337.690000000002"/>
    <n v="0"/>
    <n v="0"/>
    <n v="0"/>
    <n v="0"/>
    <n v="0"/>
    <n v="0"/>
    <n v="13337.690000000002"/>
    <n v="0"/>
    <n v="0"/>
    <n v="0"/>
    <n v="2800"/>
    <n v="0"/>
    <n v="0"/>
    <n v="0"/>
    <n v="0"/>
    <n v="10537.690000000002"/>
    <n v="0"/>
    <n v="0"/>
    <n v="302.520490417975"/>
    <n v="46.858571428571437"/>
    <n v="0"/>
    <n v="0"/>
    <m/>
    <s v="DalsinghSarai"/>
    <m/>
    <n v="0"/>
  </r>
  <r>
    <s v="Munger"/>
    <s v="03-09 Jul"/>
    <n v="1012"/>
    <s v="DalsinghSarai"/>
    <x v="461"/>
    <s v="GOMUKH TATARPUR"/>
    <s v="MPG"/>
    <s v="Direct"/>
    <n v="218.03000000000003"/>
    <n v="10700.670000000002"/>
    <n v="210.13000000000002"/>
    <n v="10380.560000000001"/>
    <n v="8.2000000000000011"/>
    <n v="318.75999999999993"/>
    <n v="218.33"/>
    <n v="10699.320000000002"/>
    <n v="10699.320000000002"/>
    <n v="0"/>
    <n v="0"/>
    <n v="0"/>
    <n v="0"/>
    <n v="500"/>
    <n v="0"/>
    <n v="9881"/>
    <n v="319"/>
    <n v="0"/>
    <n v="1"/>
    <n v="0"/>
    <n v="473.09103516947215"/>
    <n v="31.14714285714286"/>
    <n v="1.2616032454045996E-4"/>
    <n v="8"/>
    <m/>
    <s v="DalsinghSarai"/>
    <m/>
    <n v="500"/>
  </r>
  <r>
    <s v="Munger"/>
    <s v="03-09 Jul"/>
    <n v="1012"/>
    <s v="DalsinghSarai"/>
    <x v="462"/>
    <s v="Gomukh Ghataho"/>
    <s v="MPG"/>
    <s v="Direct"/>
    <n v="2430.81"/>
    <n v="96102.110000000015"/>
    <n v="1810.7200000000003"/>
    <n v="70796.409999999989"/>
    <n v="615.69999999999993"/>
    <n v="25302.369999999995"/>
    <n v="2426.42"/>
    <n v="96098.779999999984"/>
    <n v="96098.779999999984"/>
    <n v="0"/>
    <n v="767.70999999999992"/>
    <n v="0"/>
    <n v="0"/>
    <n v="0"/>
    <n v="0"/>
    <n v="70798"/>
    <n v="24535"/>
    <n v="0"/>
    <n v="1"/>
    <n v="0"/>
    <n v="0"/>
    <n v="0"/>
    <n v="3.4650643987222024E-5"/>
    <n v="35"/>
    <m/>
    <s v="DalsinghSarai"/>
    <m/>
    <n v="0"/>
  </r>
  <r>
    <s v="Munger"/>
    <s v="03-09 Jul"/>
    <n v="1012"/>
    <s v="DalsinghSarai"/>
    <x v="463"/>
    <s v="Kacha - Amarjeet"/>
    <s v="vlc"/>
    <s v="Indirect"/>
    <n v="363.40000000000003"/>
    <n v="16955.460000000003"/>
    <n v="0"/>
    <n v="0"/>
    <n v="0"/>
    <n v="0"/>
    <n v="0"/>
    <n v="0"/>
    <n v="16955.460000000003"/>
    <n v="0"/>
    <n v="0"/>
    <n v="0"/>
    <n v="3100"/>
    <n v="0"/>
    <n v="0"/>
    <n v="0"/>
    <n v="0"/>
    <n v="13855.460000000003"/>
    <n v="0"/>
    <n v="0"/>
    <n v="314.10059636763896"/>
    <n v="51.914285714285718"/>
    <n v="0"/>
    <n v="0"/>
    <m/>
    <s v="DalsinghSarai"/>
    <m/>
    <n v="0"/>
  </r>
  <r>
    <s v="Munger"/>
    <s v="03-09 Jul"/>
    <n v="1012"/>
    <s v="DalsinghSarai"/>
    <x v="464"/>
    <s v="Simri - Suman"/>
    <s v="vlc"/>
    <s v="Indirect"/>
    <n v="3648.1"/>
    <n v="145026.85"/>
    <n v="0"/>
    <n v="0"/>
    <n v="0"/>
    <n v="0"/>
    <n v="0"/>
    <n v="0"/>
    <n v="145026.85"/>
    <n v="0"/>
    <n v="0"/>
    <n v="0"/>
    <n v="0"/>
    <n v="0"/>
    <n v="0"/>
    <n v="0"/>
    <n v="0"/>
    <n v="145026.85"/>
    <n v="0"/>
    <n v="0"/>
    <n v="0"/>
    <n v="0"/>
    <n v="0"/>
    <n v="0"/>
    <m/>
    <s v="DalsinghSarai"/>
    <m/>
    <n v="0"/>
  </r>
  <r>
    <s v="Munger"/>
    <s v="03-09 Jul"/>
    <n v="1012"/>
    <s v="DalsinghSarai"/>
    <x v="465"/>
    <s v="Narenpur"/>
    <s v="MPG"/>
    <s v="Direct"/>
    <n v="317.54999999999995"/>
    <n v="13118.630000000001"/>
    <n v="80.86"/>
    <n v="3652.5299999999997"/>
    <n v="201.59"/>
    <n v="9447.77"/>
    <n v="282.45"/>
    <n v="13100.3"/>
    <n v="13100.3"/>
    <n v="0"/>
    <n v="0"/>
    <n v="0"/>
    <n v="318"/>
    <n v="0"/>
    <n v="0"/>
    <n v="3334"/>
    <n v="9447"/>
    <n v="0"/>
    <n v="20"/>
    <s v="Release1"/>
    <n v="315.99559398519926"/>
    <n v="45.364285714285707"/>
    <n v="1.3972495603581886E-3"/>
    <n v="12"/>
    <m/>
    <s v="DalsinghSarai"/>
    <m/>
    <n v="0"/>
  </r>
  <r>
    <s v="Munger"/>
    <s v="03-09 Jul"/>
    <n v="1012"/>
    <s v="DalsinghSarai"/>
    <x v="466"/>
    <s v="Mordiba"/>
    <s v="MPG"/>
    <s v="Direct"/>
    <n v="1641.7100000000003"/>
    <n v="66833.850000000006"/>
    <n v="1219.68"/>
    <n v="48911.659999999996"/>
    <n v="978.86999999999989"/>
    <n v="38678.419999999969"/>
    <n v="2198.5500000000002"/>
    <n v="87590.079999999958"/>
    <n v="66833.850000000006"/>
    <n v="0"/>
    <n v="152.45999999999998"/>
    <n v="20756.229999999952"/>
    <n v="3050"/>
    <n v="0"/>
    <n v="0"/>
    <n v="25146"/>
    <n v="38485"/>
    <n v="0"/>
    <n v="0"/>
    <n v="0"/>
    <n v="0"/>
    <n v="0"/>
    <n v="-0.31056463154524167"/>
    <n v="33"/>
    <m/>
    <s v="DalsinghSarai"/>
    <m/>
    <n v="0"/>
  </r>
  <r>
    <s v="Munger"/>
    <s v="03-09 Jul"/>
    <n v="1012"/>
    <s v="DalsinghSarai"/>
    <x v="467"/>
    <s v="Jagdispur"/>
    <s v="MPG"/>
    <s v="Direct"/>
    <n v="223.64000000000001"/>
    <n v="8742.59"/>
    <n v="243.33"/>
    <n v="8740.630000000001"/>
    <n v="0"/>
    <n v="0"/>
    <n v="243.33"/>
    <n v="8740.630000000001"/>
    <n v="8740.630000000001"/>
    <n v="0"/>
    <n v="0"/>
    <n v="0"/>
    <n v="1839"/>
    <n v="0"/>
    <n v="0"/>
    <n v="6900"/>
    <n v="0"/>
    <n v="0"/>
    <n v="4"/>
    <n v="0"/>
    <n v="372.43965054551956"/>
    <n v="31.94857142857143"/>
    <n v="2.2418985678147172E-4"/>
    <n v="8"/>
    <m/>
    <s v="DalsinghSarai"/>
    <m/>
    <n v="0"/>
  </r>
  <r>
    <s v="Munger"/>
    <s v="03-09 Jul"/>
    <n v="1012"/>
    <s v="DalsinghSarai"/>
    <x v="468"/>
    <s v="Chaklal Sahi_Vikrant"/>
    <s v="vlc"/>
    <s v="Indirect"/>
    <n v="1244.2"/>
    <n v="50425.61"/>
    <n v="0"/>
    <n v="0"/>
    <n v="0"/>
    <n v="0"/>
    <n v="0"/>
    <n v="0"/>
    <n v="50425.61"/>
    <n v="0"/>
    <n v="0"/>
    <n v="0"/>
    <n v="0"/>
    <n v="0"/>
    <n v="0"/>
    <n v="0"/>
    <n v="0"/>
    <n v="50425.61"/>
    <n v="0"/>
    <n v="0"/>
    <n v="0"/>
    <n v="0"/>
    <n v="0"/>
    <n v="0"/>
    <m/>
    <s v="DalsinghSarai"/>
    <m/>
    <n v="0"/>
  </r>
  <r>
    <s v="Munger"/>
    <s v="03-09 Jul"/>
    <n v="1012"/>
    <s v="DalsinghSarai"/>
    <x v="469"/>
    <s v="Piparpaati"/>
    <s v="vlc"/>
    <s v="Indirect"/>
    <n v="54.599999999999994"/>
    <n v="2095.2600000000002"/>
    <n v="0"/>
    <n v="0"/>
    <n v="0"/>
    <n v="0"/>
    <n v="0"/>
    <n v="0"/>
    <n v="2095.2600000000002"/>
    <n v="0"/>
    <n v="0"/>
    <n v="0"/>
    <n v="0"/>
    <n v="0"/>
    <n v="0"/>
    <n v="0"/>
    <n v="0"/>
    <n v="2095.2600000000002"/>
    <n v="0"/>
    <n v="0"/>
    <n v="495.34095384615404"/>
    <n v="7.7999999999999989"/>
    <n v="0"/>
    <n v="0"/>
    <m/>
    <s v="DalsinghSarai"/>
    <m/>
    <n v="0"/>
  </r>
  <r>
    <s v="Munger"/>
    <s v="03-09 Jul"/>
    <n v="1012"/>
    <s v="DalsinghSarai"/>
    <x v="470"/>
    <s v="Sarhad-Subodh"/>
    <s v="vlc"/>
    <s v="Indirect"/>
    <n v="497.24999999999994"/>
    <n v="18005.330000000002"/>
    <n v="0"/>
    <n v="0"/>
    <n v="0"/>
    <n v="0"/>
    <n v="0"/>
    <n v="0"/>
    <n v="18005.330000000002"/>
    <n v="0"/>
    <n v="0"/>
    <n v="0"/>
    <n v="0"/>
    <n v="0"/>
    <n v="0"/>
    <n v="0"/>
    <n v="0"/>
    <n v="18005.330000000002"/>
    <n v="0"/>
    <n v="0"/>
    <n v="146.83079567621928"/>
    <n v="71.035714285714278"/>
    <n v="0"/>
    <n v="0"/>
    <m/>
    <s v="DalsinghSarai"/>
    <m/>
    <n v="0"/>
  </r>
  <r>
    <s v="Munger"/>
    <s v="03-09 Jul"/>
    <n v="1012"/>
    <s v="DalsinghSarai"/>
    <x v="471"/>
    <s v="Suratpur"/>
    <s v="MPG"/>
    <s v="Direct"/>
    <n v="938.42"/>
    <n v="36599.21"/>
    <n v="67.509999999999991"/>
    <n v="2569.4300000000003"/>
    <n v="891.66000000000008"/>
    <n v="34029.450000000004"/>
    <n v="959.17000000000007"/>
    <n v="36598.880000000005"/>
    <n v="36598.880000000005"/>
    <n v="0"/>
    <n v="283.10000000000002"/>
    <n v="0"/>
    <n v="0"/>
    <n v="0"/>
    <n v="0"/>
    <n v="2568"/>
    <n v="33748"/>
    <n v="0"/>
    <n v="0"/>
    <n v="0"/>
    <n v="0"/>
    <n v="0"/>
    <n v="9.0165880628152975E-6"/>
    <n v="14"/>
    <m/>
    <s v="DalsinghSarai"/>
    <m/>
    <n v="0"/>
  </r>
  <r>
    <s v="Munger"/>
    <s v="03-09 Jul"/>
    <n v="1012"/>
    <s v="DalsinghSarai"/>
    <x v="472"/>
    <s v="Beri"/>
    <s v="MPG"/>
    <s v="Direct"/>
    <n v="414.7999999999999"/>
    <n v="16686.91"/>
    <n v="407.6"/>
    <n v="16398.690000000002"/>
    <n v="7.8999999999999995"/>
    <n v="282.47999999999996"/>
    <n v="415.5"/>
    <n v="16681.170000000002"/>
    <n v="16681.170000000002"/>
    <n v="0"/>
    <n v="0"/>
    <n v="0"/>
    <n v="16399"/>
    <n v="0"/>
    <n v="0"/>
    <n v="0"/>
    <n v="283"/>
    <n v="0"/>
    <n v="5"/>
    <n v="0"/>
    <n v="229.46512690453244"/>
    <n v="59.257142857142846"/>
    <n v="3.4398219922070428E-4"/>
    <n v="9"/>
    <m/>
    <s v="DalsinghSarai"/>
    <m/>
    <n v="0"/>
  </r>
  <r>
    <s v="Munger"/>
    <s v="03-09 Jul"/>
    <n v="1012"/>
    <s v="DalsinghSarai"/>
    <x v="473"/>
    <s v="Mahmmadipur"/>
    <s v="MPG"/>
    <s v="Direct"/>
    <n v="2373.58"/>
    <n v="122003.92"/>
    <n v="774.03000000000009"/>
    <n v="41822.980000000003"/>
    <n v="1479.6400000000003"/>
    <n v="80173.77"/>
    <n v="2253.6700000000005"/>
    <n v="121996.75"/>
    <n v="121996.75"/>
    <n v="0"/>
    <n v="0"/>
    <n v="0"/>
    <n v="0"/>
    <n v="0"/>
    <n v="0"/>
    <n v="41824"/>
    <n v="80172"/>
    <n v="0"/>
    <n v="8"/>
    <n v="0"/>
    <n v="0"/>
    <n v="0"/>
    <n v="5.876860350059452E-5"/>
    <n v="28"/>
    <m/>
    <s v="DalsinghSarai"/>
    <m/>
    <n v="0"/>
  </r>
  <r>
    <s v="Munger"/>
    <s v="03-09 Jul"/>
    <n v="1012"/>
    <s v="DalsinghSarai"/>
    <x v="474"/>
    <s v="Simri-Rupesh"/>
    <s v="vlc"/>
    <s v="Indirect"/>
    <n v="59.45"/>
    <n v="2313.79"/>
    <n v="0"/>
    <n v="0"/>
    <n v="0"/>
    <n v="0"/>
    <n v="0"/>
    <n v="0"/>
    <n v="2313.79"/>
    <n v="0"/>
    <n v="0"/>
    <n v="0"/>
    <n v="0"/>
    <n v="0"/>
    <n v="0"/>
    <n v="0"/>
    <n v="0"/>
    <n v="2313.79"/>
    <n v="0"/>
    <n v="0"/>
    <n v="498.60325803195963"/>
    <n v="8.4928571428571438"/>
    <n v="0"/>
    <n v="0"/>
    <m/>
    <s v="DalsinghSarai"/>
    <m/>
    <n v="0"/>
  </r>
  <r>
    <s v="Munger"/>
    <s v="03-09 Jul"/>
    <n v="1062"/>
    <s v="Singhia BMC"/>
    <x v="475"/>
    <s v="Mithilanchal Dairy Products"/>
    <s v="vlc"/>
    <s v="Indirect"/>
    <n v="4825.9800000000005"/>
    <n v="198408.03"/>
    <n v="0"/>
    <n v="0"/>
    <n v="0"/>
    <n v="0"/>
    <n v="0"/>
    <n v="0"/>
    <n v="198408.03"/>
    <n v="0"/>
    <n v="0"/>
    <n v="0"/>
    <n v="0"/>
    <n v="0"/>
    <n v="0"/>
    <n v="0"/>
    <n v="0"/>
    <n v="198408.03"/>
    <n v="0"/>
    <n v="0"/>
    <n v="0"/>
    <n v="0"/>
    <n v="0"/>
    <n v="0"/>
    <m/>
    <s v="Singhia BMC"/>
    <m/>
    <n v="0"/>
  </r>
  <r>
    <s v="Munger"/>
    <s v="03-09 Jul"/>
    <n v="1012"/>
    <s v="DalsinghSarai"/>
    <x v="476"/>
    <s v="Gomukh Jhaura Tabhka"/>
    <s v="MPG"/>
    <s v="Direct"/>
    <n v="734.99"/>
    <n v="29144.36"/>
    <n v="679.5100000000001"/>
    <n v="28498.690000000002"/>
    <n v="16.2"/>
    <n v="645.42000000000007"/>
    <n v="695.71000000000015"/>
    <n v="29144.11"/>
    <n v="29144.11"/>
    <n v="0"/>
    <n v="58.900000000000006"/>
    <n v="0"/>
    <n v="2800"/>
    <n v="0"/>
    <n v="0"/>
    <n v="25699"/>
    <n v="584"/>
    <n v="0"/>
    <n v="2"/>
    <n v="0"/>
    <n v="0"/>
    <n v="0"/>
    <n v="8.5779890174291003E-6"/>
    <n v="12"/>
    <m/>
    <s v="DalsinghSarai"/>
    <m/>
    <n v="0"/>
  </r>
  <r>
    <s v="Munger"/>
    <s v="03-09 Jul"/>
    <n v="1012"/>
    <s v="DalsinghSarai"/>
    <x v="477"/>
    <s v="Gomukh Mohanpur"/>
    <s v="MPG"/>
    <s v="Direct"/>
    <n v="416.71000000000004"/>
    <n v="16141.160000000002"/>
    <n v="114.43"/>
    <n v="4691.32"/>
    <n v="299.51"/>
    <n v="11449.509999999998"/>
    <n v="413.94"/>
    <n v="16140.829999999998"/>
    <n v="16140.829999999998"/>
    <n v="0"/>
    <n v="349.06"/>
    <n v="0"/>
    <n v="0"/>
    <n v="0"/>
    <n v="0"/>
    <n v="4691"/>
    <n v="11101"/>
    <n v="0"/>
    <n v="0"/>
    <n v="0"/>
    <n v="219.46337819586759"/>
    <n v="59.530000000000008"/>
    <n v="2.0444627276079613E-5"/>
    <n v="12"/>
    <m/>
    <s v="DalsinghSarai"/>
    <m/>
    <n v="0"/>
  </r>
  <r>
    <s v="Munger"/>
    <s v="03-09 Jul"/>
    <n v="1012"/>
    <s v="DalsinghSarai"/>
    <x v="478"/>
    <s v="Gomukh Bochaha"/>
    <s v="MPG"/>
    <s v="Direct"/>
    <n v="1127.04"/>
    <n v="51152.67"/>
    <n v="160.07999999999998"/>
    <n v="6834.4500000000007"/>
    <n v="999.92"/>
    <n v="43898.29"/>
    <n v="1160"/>
    <n v="50732.740000000005"/>
    <n v="50732.740000000005"/>
    <n v="0"/>
    <n v="0"/>
    <n v="0"/>
    <n v="0"/>
    <n v="0"/>
    <n v="0"/>
    <n v="6835"/>
    <n v="43897"/>
    <n v="0"/>
    <n v="421"/>
    <n v="0"/>
    <n v="0"/>
    <n v="0"/>
    <n v="8.2093466479851978E-3"/>
    <n v="24"/>
    <m/>
    <s v="DalsinghSarai"/>
    <m/>
    <n v="0"/>
  </r>
  <r>
    <s v="Munger"/>
    <s v="03-09 Jul"/>
    <n v="1012"/>
    <s v="DalsinghSarai"/>
    <x v="479"/>
    <s v="Gomukh Terganj"/>
    <s v="MPG"/>
    <s v="Direct"/>
    <n v="239.18"/>
    <n v="9848.42"/>
    <n v="63.5"/>
    <n v="2771.7799999999997"/>
    <n v="162"/>
    <n v="7071.2999999999993"/>
    <n v="225.5"/>
    <n v="9843.0799999999981"/>
    <n v="9843.0799999999981"/>
    <n v="0"/>
    <n v="0"/>
    <n v="0"/>
    <n v="0"/>
    <n v="500"/>
    <n v="0"/>
    <n v="2272"/>
    <n v="7071"/>
    <n v="0"/>
    <n v="5"/>
    <n v="0"/>
    <n v="379.49234086462081"/>
    <n v="34.168571428571433"/>
    <n v="5.4221895491885646E-4"/>
    <n v="3"/>
    <m/>
    <s v="DalsinghSarai"/>
    <m/>
    <n v="500"/>
  </r>
  <r>
    <s v="Munger"/>
    <s v="03-09 Jul"/>
    <n v="1012"/>
    <s v="DalsinghSarai"/>
    <x v="480"/>
    <s v="Gomukh Chapra"/>
    <s v="vlc"/>
    <s v="Indirect"/>
    <n v="745.59999999999991"/>
    <n v="30798.619999999995"/>
    <n v="0"/>
    <n v="0"/>
    <n v="0"/>
    <n v="0"/>
    <n v="0"/>
    <n v="0"/>
    <n v="30798.619999999995"/>
    <n v="0"/>
    <n v="0"/>
    <n v="0"/>
    <n v="26000"/>
    <n v="0"/>
    <n v="0"/>
    <n v="0"/>
    <n v="0"/>
    <n v="4798.6199999999953"/>
    <n v="0"/>
    <n v="0"/>
    <n v="0"/>
    <n v="0"/>
    <n v="0"/>
    <n v="0"/>
    <m/>
    <s v="DalsinghSarai"/>
    <m/>
    <n v="0"/>
  </r>
  <r>
    <s v="Munger"/>
    <s v="03-09 Jul"/>
    <n v="1012"/>
    <s v="DalsinghSarai"/>
    <x v="481"/>
    <s v="GOMUKH Chiranjipur"/>
    <s v="vlc"/>
    <s v="Indirect"/>
    <n v="7746"/>
    <n v="310250.69999999995"/>
    <n v="0"/>
    <n v="0"/>
    <n v="0"/>
    <n v="0"/>
    <n v="0"/>
    <n v="0"/>
    <n v="310250.69999999995"/>
    <n v="0"/>
    <n v="0"/>
    <n v="0"/>
    <n v="0"/>
    <n v="0"/>
    <n v="0"/>
    <n v="0"/>
    <n v="0"/>
    <n v="310250.69999999995"/>
    <n v="0"/>
    <n v="0"/>
    <n v="0"/>
    <n v="0"/>
    <n v="0"/>
    <n v="0"/>
    <m/>
    <s v="DalsinghSarai"/>
    <m/>
    <n v="0"/>
  </r>
  <r>
    <s v="Munger"/>
    <s v="03-09 Jul"/>
    <n v="1012"/>
    <s v="DalsinghSarai"/>
    <x v="482"/>
    <s v="Gomukh Sahu Tol"/>
    <s v="vlc"/>
    <s v="Indirect"/>
    <n v="728.95"/>
    <n v="28774.75"/>
    <n v="0"/>
    <n v="0"/>
    <n v="0"/>
    <n v="0"/>
    <n v="0"/>
    <n v="0"/>
    <n v="28774.75"/>
    <n v="0"/>
    <n v="0"/>
    <n v="0"/>
    <n v="0"/>
    <n v="0"/>
    <n v="0"/>
    <n v="0"/>
    <n v="0"/>
    <n v="28774.75"/>
    <n v="0"/>
    <n v="0"/>
    <n v="0"/>
    <n v="0"/>
    <n v="0"/>
    <n v="0"/>
    <m/>
    <s v="DalsinghSarai"/>
    <m/>
    <n v="0"/>
  </r>
  <r>
    <s v="Munger"/>
    <s v="03-09 Jul"/>
    <n v="1012"/>
    <s v="DalsinghSarai"/>
    <x v="483"/>
    <s v="Gomukh Mordiwa East"/>
    <s v="MPG"/>
    <s v="Direct"/>
    <n v="1226.0699999999997"/>
    <n v="48684.239999999991"/>
    <n v="230.60000000000002"/>
    <n v="9443.81"/>
    <n v="973.83"/>
    <n v="39240.140000000014"/>
    <n v="1204.43"/>
    <n v="48683.950000000012"/>
    <n v="48683.950000000012"/>
    <n v="0"/>
    <n v="0"/>
    <n v="0"/>
    <n v="1566"/>
    <n v="0"/>
    <n v="0"/>
    <n v="7877"/>
    <n v="39241"/>
    <n v="0"/>
    <n v="0"/>
    <n v="0"/>
    <n v="0"/>
    <n v="0"/>
    <n v="5.9567531500757798E-6"/>
    <n v="18"/>
    <m/>
    <s v="DalsinghSarai"/>
    <m/>
    <n v="0"/>
  </r>
  <r>
    <s v="Munger"/>
    <s v="03-09 Jul"/>
    <n v="1012"/>
    <s v="DalsinghSarai"/>
    <x v="484"/>
    <s v="Gomukh Belamegh"/>
    <s v="vlc"/>
    <s v="Indirect"/>
    <n v="919.65000000000009"/>
    <n v="36126.559999999998"/>
    <n v="0"/>
    <n v="0"/>
    <n v="0"/>
    <n v="0"/>
    <n v="0"/>
    <n v="0"/>
    <n v="36126.559999999998"/>
    <n v="0"/>
    <n v="0"/>
    <n v="0"/>
    <n v="0"/>
    <n v="0"/>
    <n v="0"/>
    <n v="0"/>
    <n v="0"/>
    <n v="36126.559999999998"/>
    <n v="0"/>
    <n v="0"/>
    <n v="0"/>
    <n v="0"/>
    <n v="0"/>
    <n v="0"/>
    <m/>
    <s v="DalsinghSarai"/>
    <m/>
    <n v="0"/>
  </r>
  <r>
    <s v="Munger"/>
    <s v="03-09 Jul"/>
    <n v="1012"/>
    <s v="DalsinghSarai"/>
    <x v="485"/>
    <s v="Gomukh Ramaiya"/>
    <s v="MPG"/>
    <s v="Direct"/>
    <n v="773.52999999999975"/>
    <n v="32003.51"/>
    <n v="760.87999999999977"/>
    <n v="31482.960000000003"/>
    <n v="13.7"/>
    <n v="511.64999999999992"/>
    <n v="774.57999999999981"/>
    <n v="31994.610000000004"/>
    <n v="31994.610000000004"/>
    <n v="0"/>
    <n v="0"/>
    <n v="0"/>
    <n v="0"/>
    <n v="0"/>
    <n v="0"/>
    <n v="31483"/>
    <n v="512"/>
    <n v="0"/>
    <n v="9"/>
    <n v="0"/>
    <n v="0"/>
    <n v="0"/>
    <n v="2.780944965097322E-4"/>
    <n v="11"/>
    <m/>
    <s v="DalsinghSarai"/>
    <m/>
    <n v="0"/>
  </r>
  <r>
    <s v="Munger"/>
    <s v="03-09 Jul"/>
    <n v="1012"/>
    <s v="DalsinghSarai"/>
    <x v="486"/>
    <s v="GOMUKH MANIKA EAST"/>
    <s v="MPG"/>
    <s v="Direct"/>
    <n v="684.1"/>
    <n v="27659.33"/>
    <n v="442.80000000000007"/>
    <n v="18840.34"/>
    <n v="204.3"/>
    <n v="8813.3799999999992"/>
    <n v="647.10000000000014"/>
    <n v="27653.72"/>
    <n v="27653.72"/>
    <n v="0"/>
    <n v="0"/>
    <n v="0"/>
    <n v="0"/>
    <n v="0"/>
    <n v="0"/>
    <n v="18840"/>
    <n v="8814"/>
    <n v="0"/>
    <n v="5"/>
    <n v="0"/>
    <n v="12.857282473322618"/>
    <n v="97.728571428571428"/>
    <n v="2.0282486958290682E-4"/>
    <n v="14"/>
    <m/>
    <s v="DalsinghSarai"/>
    <m/>
    <n v="0"/>
  </r>
  <r>
    <s v="Munger"/>
    <s v="03-09 Jul"/>
    <n v="1012"/>
    <s v="DalsinghSarai"/>
    <x v="487"/>
    <s v="IMADPUR"/>
    <s v="vlc"/>
    <s v="Indirect"/>
    <n v="585.41"/>
    <n v="23354.769999999997"/>
    <n v="0"/>
    <n v="0"/>
    <n v="0"/>
    <n v="0"/>
    <n v="0"/>
    <n v="0"/>
    <n v="23354.769999999997"/>
    <n v="0"/>
    <n v="0"/>
    <n v="0"/>
    <n v="0"/>
    <n v="0"/>
    <n v="0"/>
    <n v="0"/>
    <n v="0"/>
    <n v="23354.769999999997"/>
    <n v="0"/>
    <n v="0"/>
    <n v="91.430726987923009"/>
    <n v="83.63"/>
    <n v="0"/>
    <n v="0"/>
    <m/>
    <s v="DalsinghSarai"/>
    <m/>
    <n v="0"/>
  </r>
  <r>
    <s v="Munger"/>
    <s v="03-09 Jul"/>
    <n v="1012"/>
    <s v="DalsinghSarai"/>
    <x v="488"/>
    <s v="GOMUKH Kisanpur Tabhka"/>
    <s v="MPG"/>
    <s v="Direct"/>
    <n v="969.71"/>
    <n v="38686.560000000005"/>
    <n v="193.29"/>
    <n v="7853.8700000000008"/>
    <n v="770.76"/>
    <n v="30832.43"/>
    <n v="964.05"/>
    <n v="38686.300000000003"/>
    <n v="38686.300000000003"/>
    <n v="0"/>
    <n v="0"/>
    <n v="0"/>
    <n v="0"/>
    <n v="0"/>
    <n v="0"/>
    <n v="7854"/>
    <n v="30832"/>
    <n v="0"/>
    <n v="1"/>
    <n v="0"/>
    <n v="0"/>
    <n v="0"/>
    <n v="6.7206802569687569E-6"/>
    <n v="11"/>
    <m/>
    <s v="DalsinghSarai"/>
    <m/>
    <n v="0"/>
  </r>
  <r>
    <s v="Munger"/>
    <s v="03-09 Jul"/>
    <n v="1012"/>
    <s v="DalsinghSarai"/>
    <x v="489"/>
    <s v="GOMUKH BIBHUTIPUR"/>
    <s v="MPG"/>
    <s v="Direct"/>
    <n v="102.17999999999999"/>
    <n v="3916.5200000000004"/>
    <n v="102.57000000000001"/>
    <n v="3916.36"/>
    <n v="0"/>
    <n v="0"/>
    <n v="102.57000000000001"/>
    <n v="3916.36"/>
    <n v="3916.36"/>
    <n v="0"/>
    <n v="0"/>
    <n v="0"/>
    <n v="0"/>
    <n v="500"/>
    <n v="0"/>
    <n v="3416"/>
    <n v="0"/>
    <n v="0"/>
    <n v="1"/>
    <s v="Release2"/>
    <n v="458.28420168330405"/>
    <n v="14.597142857142856"/>
    <n v="4.0852593629116974E-5"/>
    <n v="1"/>
    <m/>
    <s v="DalsinghSarai"/>
    <m/>
    <n v="500"/>
  </r>
  <r>
    <s v="Munger"/>
    <s v="03-09 Jul"/>
    <n v="1012"/>
    <s v="DalsinghSarai"/>
    <x v="490"/>
    <s v="GOMUKH PATHAKTOL"/>
    <s v="MPG"/>
    <s v="Direct"/>
    <n v="220.54"/>
    <n v="9352.3100000000013"/>
    <n v="142.69999999999999"/>
    <n v="5925.1999999999989"/>
    <n v="89.699999999999989"/>
    <n v="3411.91"/>
    <n v="232.39999999999998"/>
    <n v="9337.1099999999988"/>
    <n v="9337.1099999999988"/>
    <n v="0"/>
    <n v="0"/>
    <n v="0"/>
    <n v="0"/>
    <n v="500"/>
    <n v="0"/>
    <n v="5425"/>
    <n v="3412"/>
    <n v="0"/>
    <n v="15"/>
    <n v="0"/>
    <n v="406.64356149451356"/>
    <n v="31.505714285714284"/>
    <n v="1.6252669126667683E-3"/>
    <n v="5"/>
    <m/>
    <s v="DalsinghSarai"/>
    <m/>
    <n v="500"/>
  </r>
  <r>
    <s v="Munger"/>
    <s v="03-09 Jul"/>
    <n v="1012"/>
    <s v="DalsinghSarai"/>
    <x v="491"/>
    <s v="Gomukh Musapur West"/>
    <s v="vlc"/>
    <s v="Indirect"/>
    <n v="2000.5900000000001"/>
    <n v="79124.149999999994"/>
    <n v="0"/>
    <n v="0"/>
    <n v="0"/>
    <n v="0"/>
    <n v="0"/>
    <n v="0"/>
    <n v="79124.149999999994"/>
    <n v="0"/>
    <n v="0"/>
    <n v="0"/>
    <n v="0"/>
    <n v="0"/>
    <n v="0"/>
    <n v="0"/>
    <n v="0"/>
    <n v="79124.149999999994"/>
    <n v="0"/>
    <n v="0"/>
    <n v="0"/>
    <n v="0"/>
    <n v="0"/>
    <n v="0"/>
    <m/>
    <s v="DalsinghSarai"/>
    <m/>
    <n v="0"/>
  </r>
  <r>
    <s v="Munger"/>
    <s v="03-09 Jul"/>
    <n v="1012"/>
    <s v="DalsinghSarai"/>
    <x v="492"/>
    <s v="GOMUKH DADHIYA RAMKRISHANPUR"/>
    <s v="MPG"/>
    <s v="Direct"/>
    <n v="1301.97"/>
    <n v="56314.409999999989"/>
    <n v="307"/>
    <n v="11798.93"/>
    <n v="1027.8"/>
    <n v="44451.77"/>
    <n v="1334.8"/>
    <n v="56250.7"/>
    <n v="56250.7"/>
    <n v="0"/>
    <n v="865.33999999999992"/>
    <n v="0"/>
    <n v="8822.25"/>
    <n v="0"/>
    <n v="0"/>
    <n v="9188"/>
    <n v="37374"/>
    <n v="0"/>
    <n v="65"/>
    <n v="0"/>
    <n v="0"/>
    <n v="0"/>
    <n v="1.1313267776398947E-3"/>
    <n v="26"/>
    <m/>
    <s v="DalsinghSarai"/>
    <m/>
    <n v="0"/>
  </r>
  <r>
    <s v="Munger"/>
    <s v="03-09 Jul"/>
    <n v="1012"/>
    <s v="DalsinghSarai"/>
    <x v="493"/>
    <s v="Gomukh Simri Ward 4"/>
    <s v="vlc"/>
    <s v="Indirect"/>
    <n v="1200"/>
    <n v="47868"/>
    <n v="0"/>
    <n v="0"/>
    <n v="0"/>
    <n v="0"/>
    <n v="0"/>
    <n v="0"/>
    <n v="47868"/>
    <n v="0"/>
    <n v="0"/>
    <n v="0"/>
    <n v="0"/>
    <n v="0"/>
    <n v="0"/>
    <n v="0"/>
    <n v="0"/>
    <n v="47868"/>
    <n v="0"/>
    <n v="0"/>
    <n v="0"/>
    <n v="0"/>
    <n v="0"/>
    <n v="0"/>
    <m/>
    <s v="DalsinghSarai"/>
    <m/>
    <n v="0"/>
  </r>
  <r>
    <s v="Munger"/>
    <s v="03-09 Jul"/>
    <n v="1012"/>
    <s v="DalsinghSarai"/>
    <x v="494"/>
    <s v="GOMUKH BALTHARA"/>
    <s v="MPG"/>
    <s v="Direct"/>
    <n v="432.28"/>
    <n v="17819.77"/>
    <n v="172.01999999999998"/>
    <n v="7060.1500000000005"/>
    <n v="297.27999999999997"/>
    <n v="12119.119999999999"/>
    <n v="469.29999999999995"/>
    <n v="19179.27"/>
    <n v="17819.77"/>
    <n v="0"/>
    <n v="0"/>
    <n v="1359.5"/>
    <n v="1550"/>
    <n v="0"/>
    <n v="0"/>
    <n v="5494"/>
    <n v="10776"/>
    <n v="0"/>
    <n v="0"/>
    <s v="Release1"/>
    <n v="220.72308801702607"/>
    <n v="61.754285714285707"/>
    <n v="-7.6291669308863136E-2"/>
    <n v="10"/>
    <m/>
    <s v="DalsinghSarai"/>
    <m/>
    <n v="0"/>
  </r>
  <r>
    <s v="Munger"/>
    <s v="03-09 Jul"/>
    <n v="1012"/>
    <s v="DalsinghSarai"/>
    <x v="495"/>
    <s v="GOMUKH BHASINGPUR"/>
    <s v="MPG"/>
    <s v="Direct"/>
    <n v="1140.26"/>
    <n v="48826.930000000008"/>
    <n v="673.45999999999992"/>
    <n v="30638.519999999997"/>
    <n v="424.59"/>
    <n v="18280.409999999996"/>
    <n v="1098.05"/>
    <n v="48918.929999999993"/>
    <n v="48826.930000000008"/>
    <n v="0"/>
    <n v="0"/>
    <n v="91.999999999985448"/>
    <n v="6063"/>
    <n v="0"/>
    <n v="0"/>
    <n v="27304"/>
    <n v="15460"/>
    <n v="0"/>
    <n v="0"/>
    <n v="0"/>
    <n v="0"/>
    <n v="0"/>
    <n v="-1.8842061133064363E-3"/>
    <n v="21"/>
    <m/>
    <s v="DalsinghSarai"/>
    <m/>
    <n v="0"/>
  </r>
  <r>
    <s v="Munger"/>
    <s v="03-09 Jul"/>
    <n v="1012"/>
    <s v="DalsinghSarai"/>
    <x v="496"/>
    <s v="GOMUKH Chakhale Dad"/>
    <s v="MPG"/>
    <s v="Direct"/>
    <n v="886.54000000000008"/>
    <n v="34528.89"/>
    <n v="519.17999999999995"/>
    <n v="20735.57"/>
    <n v="361.90999999999997"/>
    <n v="13790.91"/>
    <n v="881.08999999999992"/>
    <n v="34526.479999999996"/>
    <n v="34526.479999999996"/>
    <n v="0"/>
    <n v="121.75999999999996"/>
    <n v="0"/>
    <n v="0"/>
    <n v="0"/>
    <n v="0"/>
    <n v="20736"/>
    <n v="13671"/>
    <n v="0"/>
    <n v="0"/>
    <n v="0"/>
    <n v="0"/>
    <n v="0"/>
    <n v="6.9796625376706076E-5"/>
    <n v="21"/>
    <m/>
    <s v="DalsinghSarai"/>
    <m/>
    <n v="0"/>
  </r>
  <r>
    <s v="Munger"/>
    <s v="03-09 Jul"/>
    <n v="1012"/>
    <s v="DalsinghSarai"/>
    <x v="497"/>
    <s v="Gomukh Simri"/>
    <s v="vlc"/>
    <s v="Indirect"/>
    <n v="805.06000000000006"/>
    <n v="32984.53"/>
    <n v="0"/>
    <n v="0"/>
    <n v="0"/>
    <n v="0"/>
    <n v="0"/>
    <n v="0"/>
    <n v="32984.53"/>
    <n v="0"/>
    <n v="0"/>
    <n v="0"/>
    <n v="7000"/>
    <n v="0"/>
    <n v="0"/>
    <n v="0"/>
    <n v="0"/>
    <n v="25984.53"/>
    <n v="0"/>
    <n v="0"/>
    <n v="0"/>
    <n v="0"/>
    <n v="0"/>
    <n v="0"/>
    <m/>
    <s v="DalsinghSarai"/>
    <m/>
    <n v="0"/>
  </r>
  <r>
    <s v="Munger"/>
    <s v="03-09 Jul"/>
    <n v="1013"/>
    <s v="Musrigharari"/>
    <x v="498"/>
    <s v="GOMUKH BANGHARH KISHANPUR"/>
    <s v="MPG"/>
    <s v="Direct"/>
    <n v="840.70000000000016"/>
    <n v="32530.76"/>
    <n v="129.1"/>
    <n v="4971.3600000000006"/>
    <n v="717.3"/>
    <n v="27479.46"/>
    <n v="846.4"/>
    <n v="32450.82"/>
    <n v="32450.82"/>
    <n v="0"/>
    <n v="222.83"/>
    <n v="0"/>
    <n v="1400"/>
    <n v="0"/>
    <n v="0"/>
    <n v="3571"/>
    <n v="27256"/>
    <n v="0"/>
    <n v="81"/>
    <n v="0"/>
    <n v="0"/>
    <n v="0"/>
    <n v="2.4573665048095617E-3"/>
    <n v="13"/>
    <m/>
    <s v="Musrigharari"/>
    <m/>
    <n v="0"/>
  </r>
  <r>
    <s v="Munger"/>
    <s v="03-09 Jul"/>
    <n v="1013"/>
    <s v="Musrigharari"/>
    <x v="499"/>
    <s v="Gomukh Serpur Narsari"/>
    <s v="vlc"/>
    <s v="Indirect"/>
    <n v="164.9"/>
    <n v="5840.66"/>
    <n v="0"/>
    <n v="0"/>
    <n v="0"/>
    <n v="0"/>
    <n v="0"/>
    <n v="0"/>
    <n v="5840.66"/>
    <n v="0"/>
    <n v="0"/>
    <n v="0"/>
    <n v="0"/>
    <n v="0"/>
    <n v="0"/>
    <n v="0"/>
    <n v="0"/>
    <n v="5840.66"/>
    <n v="0"/>
    <n v="0"/>
    <n v="379.05847980594302"/>
    <n v="23.557142857142857"/>
    <n v="0"/>
    <n v="0"/>
    <m/>
    <s v="Musrigharari"/>
    <m/>
    <n v="0"/>
  </r>
  <r>
    <s v="Munger"/>
    <s v="03-09 Jul"/>
    <n v="1013"/>
    <s v="Musrigharari"/>
    <x v="500"/>
    <s v="PARORIYA"/>
    <s v="MPG"/>
    <s v="Direct"/>
    <n v="85.699999999999989"/>
    <n v="2718.0699999999997"/>
    <n v="85.52000000000001"/>
    <n v="2677.1599999999994"/>
    <n v="0.7"/>
    <n v="23.1"/>
    <n v="86.220000000000013"/>
    <n v="2700.2599999999993"/>
    <n v="2700.2599999999993"/>
    <n v="0"/>
    <n v="23.1"/>
    <n v="0"/>
    <n v="0"/>
    <n v="0"/>
    <n v="0"/>
    <n v="2677"/>
    <n v="0"/>
    <n v="0"/>
    <n v="18"/>
    <n v="0"/>
    <n v="389.66403757292881"/>
    <n v="12.242857142857142"/>
    <n v="6.5524434617211481E-3"/>
    <n v="5"/>
    <m/>
    <s v="Musrigharari"/>
    <m/>
    <n v="0"/>
  </r>
  <r>
    <s v="Munger"/>
    <s v="03-09 Jul"/>
    <n v="1013"/>
    <s v="Musrigharari"/>
    <x v="501"/>
    <s v="JHAKHRA"/>
    <s v="vlc"/>
    <s v="Indirect"/>
    <n v="35.4"/>
    <n v="1204.68"/>
    <n v="0"/>
    <n v="0"/>
    <n v="0"/>
    <n v="0"/>
    <n v="0"/>
    <n v="0"/>
    <n v="1204.68"/>
    <n v="0"/>
    <n v="0"/>
    <n v="0"/>
    <n v="1205"/>
    <n v="0"/>
    <n v="0"/>
    <n v="0"/>
    <n v="0"/>
    <n v="-0.31999999999993634"/>
    <n v="0"/>
    <n v="0"/>
    <n v="452.33351864406779"/>
    <n v="5.0571428571428569"/>
    <n v="0"/>
    <n v="0"/>
    <m/>
    <s v="Musrigharari"/>
    <m/>
    <n v="0"/>
  </r>
  <r>
    <s v="Munger"/>
    <s v="03-09 Jul"/>
    <n v="1013"/>
    <s v="Musrigharari"/>
    <x v="502"/>
    <s v="GOMUKH ANDAHA"/>
    <s v="MPG"/>
    <s v="Direct"/>
    <n v="559.1"/>
    <n v="22003.97"/>
    <n v="578.78"/>
    <n v="21994.010000000002"/>
    <n v="0"/>
    <n v="0"/>
    <n v="578.78"/>
    <n v="21994.010000000002"/>
    <n v="21994.010000000002"/>
    <n v="0"/>
    <n v="0"/>
    <n v="0"/>
    <n v="0"/>
    <n v="0"/>
    <n v="0"/>
    <n v="21995"/>
    <n v="0"/>
    <n v="0"/>
    <n v="9"/>
    <n v="0"/>
    <n v="110.90536122339469"/>
    <n v="79.871428571428581"/>
    <n v="4.526455907728981E-4"/>
    <n v="12"/>
    <m/>
    <s v="Musrigharari"/>
    <m/>
    <n v="0"/>
  </r>
  <r>
    <s v="Munger"/>
    <s v="03-09 Jul"/>
    <n v="1013"/>
    <s v="Musrigharari"/>
    <x v="503"/>
    <s v="Gomukha Rohua"/>
    <s v="MPG"/>
    <s v="Direct"/>
    <n v="438.79999999999995"/>
    <n v="18046.370000000003"/>
    <n v="419.49999999999994"/>
    <n v="17981.490000000002"/>
    <n v="27.7"/>
    <n v="1199.58"/>
    <n v="447.19999999999993"/>
    <n v="19181.07"/>
    <n v="18046.370000000003"/>
    <n v="0"/>
    <n v="282.52999999999997"/>
    <n v="1134.6999999999971"/>
    <n v="0"/>
    <n v="0"/>
    <n v="0"/>
    <n v="16847"/>
    <n v="917"/>
    <n v="0"/>
    <n v="0"/>
    <n v="0"/>
    <n v="214.84557174111222"/>
    <n v="62.685714285714276"/>
    <n v="-6.2876910979881101E-2"/>
    <n v="11"/>
    <m/>
    <s v="Musrigharari"/>
    <m/>
    <n v="0"/>
  </r>
  <r>
    <s v="Munger"/>
    <s v="03-09 Jul"/>
    <n v="1013"/>
    <s v="Musrigharari"/>
    <x v="504"/>
    <s v="Gomukha Arniya Ganj"/>
    <s v="MPG"/>
    <s v="Direct"/>
    <n v="2953.7"/>
    <n v="112547.36999999998"/>
    <n v="1651.3"/>
    <n v="63289.38"/>
    <n v="1305.6999999999998"/>
    <n v="49254.640000000007"/>
    <n v="2957"/>
    <n v="112544.02"/>
    <n v="112544.02"/>
    <n v="0"/>
    <n v="1338.1299999999999"/>
    <n v="0"/>
    <n v="0"/>
    <n v="0"/>
    <n v="0"/>
    <n v="63290"/>
    <n v="47918"/>
    <n v="0"/>
    <n v="1"/>
    <n v="0"/>
    <n v="0"/>
    <n v="0"/>
    <n v="2.9765244625233956E-5"/>
    <n v="56"/>
    <m/>
    <s v="Musrigharari"/>
    <m/>
    <n v="0"/>
  </r>
  <r>
    <s v="Munger"/>
    <s v="03-09 Jul"/>
    <n v="1013"/>
    <s v="Musrigharari"/>
    <x v="505"/>
    <s v="Gomukha Vishanupatti II"/>
    <s v="vlc"/>
    <s v="Indirect"/>
    <n v="761.90000000000009"/>
    <n v="30148.999999999996"/>
    <n v="0"/>
    <n v="0"/>
    <n v="0"/>
    <n v="0"/>
    <n v="0"/>
    <n v="0"/>
    <n v="30148.999999999996"/>
    <n v="0"/>
    <n v="0"/>
    <n v="0"/>
    <n v="3059"/>
    <n v="0"/>
    <n v="0"/>
    <n v="0"/>
    <n v="0"/>
    <n v="27089.999999999996"/>
    <n v="0"/>
    <n v="0"/>
    <n v="0"/>
    <n v="0"/>
    <n v="0"/>
    <n v="0"/>
    <m/>
    <s v="Musrigharari"/>
    <m/>
    <n v="0"/>
  </r>
  <r>
    <s v="Munger"/>
    <s v="03-09 Jul"/>
    <n v="1013"/>
    <s v="Musrigharari"/>
    <x v="506"/>
    <s v="Gomukh Khesarhiya"/>
    <s v="vlc"/>
    <s v="Indirect"/>
    <n v="242.39999999999998"/>
    <n v="9873.64"/>
    <n v="0"/>
    <n v="0"/>
    <n v="0"/>
    <n v="0"/>
    <n v="0"/>
    <n v="0"/>
    <n v="9873.64"/>
    <n v="0"/>
    <n v="0"/>
    <n v="0"/>
    <n v="0"/>
    <n v="0"/>
    <n v="0"/>
    <n v="0"/>
    <n v="0"/>
    <n v="9873.64"/>
    <n v="0"/>
    <n v="0"/>
    <n v="372.78693597359734"/>
    <n v="34.628571428571426"/>
    <n v="0"/>
    <n v="0"/>
    <m/>
    <s v="Musrigharari"/>
    <m/>
    <n v="0"/>
  </r>
  <r>
    <s v="Munger"/>
    <s v="03-09 Jul"/>
    <n v="1013"/>
    <s v="Musrigharari"/>
    <x v="507"/>
    <s v="Harsingpur"/>
    <s v="vlc"/>
    <s v="Indirect"/>
    <n v="337.2"/>
    <n v="11639.37"/>
    <n v="0"/>
    <n v="0"/>
    <n v="0"/>
    <n v="0"/>
    <n v="0"/>
    <n v="0"/>
    <n v="11639.37"/>
    <n v="0"/>
    <n v="0"/>
    <n v="0"/>
    <n v="1400"/>
    <n v="0"/>
    <n v="0"/>
    <n v="0"/>
    <n v="0"/>
    <n v="10239.370000000001"/>
    <n v="0"/>
    <n v="0"/>
    <n v="250.46046476868332"/>
    <n v="48.171428571428571"/>
    <n v="0"/>
    <n v="0"/>
    <m/>
    <s v="Musrigharari"/>
    <m/>
    <n v="0"/>
  </r>
  <r>
    <s v="Munger"/>
    <s v="03-09 Jul"/>
    <n v="1013"/>
    <s v="Musrigharari"/>
    <x v="508"/>
    <s v="Gomukh ID Mahathi"/>
    <s v="vlc"/>
    <s v="Indirect"/>
    <n v="543"/>
    <n v="21754.120000000003"/>
    <n v="0"/>
    <n v="0"/>
    <n v="0"/>
    <n v="0"/>
    <n v="0"/>
    <n v="0"/>
    <n v="21754.120000000003"/>
    <n v="0"/>
    <n v="0"/>
    <n v="0"/>
    <n v="0"/>
    <n v="0"/>
    <n v="0"/>
    <n v="0"/>
    <n v="0"/>
    <n v="21754.120000000003"/>
    <n v="0"/>
    <n v="0"/>
    <n v="125.79730534069982"/>
    <n v="77.571428571428569"/>
    <n v="0"/>
    <n v="0"/>
    <m/>
    <s v="Musrigharari"/>
    <m/>
    <n v="0"/>
  </r>
  <r>
    <s v="Munger"/>
    <s v="03-09 Jul"/>
    <n v="1013"/>
    <s v="Musrigharari"/>
    <x v="509"/>
    <s v="MURTUJAPUR"/>
    <s v="vlc"/>
    <s v="Indirect"/>
    <n v="352.09999999999991"/>
    <n v="15687.52"/>
    <n v="0"/>
    <n v="0"/>
    <n v="0"/>
    <n v="0"/>
    <n v="0"/>
    <n v="0"/>
    <n v="15687.52"/>
    <n v="0"/>
    <n v="0"/>
    <n v="0"/>
    <n v="3359"/>
    <n v="0"/>
    <n v="0"/>
    <n v="0"/>
    <n v="0"/>
    <n v="12328.52"/>
    <n v="0"/>
    <n v="0"/>
    <n v="310.00785049701807"/>
    <n v="50.29999999999999"/>
    <n v="0"/>
    <n v="0"/>
    <m/>
    <s v="Musrigharari"/>
    <m/>
    <n v="0"/>
  </r>
  <r>
    <s v="Munger"/>
    <s v="03-09 Jul"/>
    <n v="1013"/>
    <s v="Musrigharari"/>
    <x v="510"/>
    <s v="Rasalpur"/>
    <s v="MPG"/>
    <s v="Direct"/>
    <n v="143.6"/>
    <n v="5713.57"/>
    <n v="52.56"/>
    <n v="2304.2799999999997"/>
    <n v="102.92"/>
    <n v="4283.97"/>
    <n v="155.48000000000002"/>
    <n v="6588.25"/>
    <n v="5713.57"/>
    <n v="0"/>
    <n v="52.22"/>
    <n v="874.68000000000029"/>
    <n v="0"/>
    <n v="500"/>
    <n v="0"/>
    <n v="929"/>
    <n v="4232"/>
    <n v="0"/>
    <n v="0"/>
    <n v="0"/>
    <n v="442.76188690807811"/>
    <n v="20.514285714285712"/>
    <n v="-0.15308817429383037"/>
    <n v="8"/>
    <m/>
    <s v="Musrigharari"/>
    <m/>
    <n v="500"/>
  </r>
  <r>
    <s v="Munger"/>
    <s v="03-09 Jul"/>
    <n v="1013"/>
    <s v="Musrigharari"/>
    <x v="511"/>
    <s v="Gomukh VISHNUPATTI"/>
    <s v="vlc"/>
    <s v="Indirect"/>
    <n v="23.6"/>
    <n v="969.94"/>
    <n v="0"/>
    <n v="0"/>
    <n v="0"/>
    <n v="0"/>
    <n v="0"/>
    <n v="0"/>
    <n v="969.94"/>
    <n v="0"/>
    <n v="0"/>
    <n v="0"/>
    <n v="0"/>
    <n v="0"/>
    <n v="0"/>
    <n v="0"/>
    <n v="0"/>
    <n v="969.94"/>
    <n v="0"/>
    <n v="0"/>
    <n v="555.98933559322052"/>
    <n v="3.3714285714285714"/>
    <n v="0"/>
    <n v="0"/>
    <m/>
    <s v="Musrigharari"/>
    <m/>
    <n v="0"/>
  </r>
  <r>
    <s v="Munger"/>
    <s v="03-09 Jul"/>
    <n v="1013"/>
    <s v="Musrigharari"/>
    <x v="512"/>
    <s v="Chhuchhipur                                                                                         "/>
    <s v="MPG"/>
    <s v="Direct"/>
    <n v="231.10000000000002"/>
    <n v="7761.74"/>
    <n v="231.10000000000002"/>
    <n v="7756.02"/>
    <n v="0"/>
    <n v="0"/>
    <n v="231.10000000000002"/>
    <n v="7756.02"/>
    <n v="7756.02"/>
    <n v="0"/>
    <n v="0"/>
    <n v="0"/>
    <n v="259"/>
    <n v="0"/>
    <n v="0"/>
    <n v="7497"/>
    <n v="0"/>
    <n v="0"/>
    <n v="6"/>
    <n v="0"/>
    <n v="314.97013292946775"/>
    <n v="33.01428571428572"/>
    <n v="7.3694815853137896E-4"/>
    <n v="2"/>
    <m/>
    <s v="Musrigharari"/>
    <m/>
    <n v="0"/>
  </r>
  <r>
    <s v="Munger"/>
    <s v="03-09 Jul"/>
    <n v="1013"/>
    <s v="Musrigharari"/>
    <x v="513"/>
    <s v="Gomukh ID Sararanjan"/>
    <s v="vlc"/>
    <s v="Indirect"/>
    <n v="136.9"/>
    <n v="4923.5599999999995"/>
    <n v="0"/>
    <n v="0"/>
    <n v="0"/>
    <n v="0"/>
    <n v="0"/>
    <n v="0"/>
    <n v="4923.5599999999995"/>
    <n v="0"/>
    <n v="0"/>
    <n v="0"/>
    <n v="4924"/>
    <n v="0"/>
    <n v="0"/>
    <n v="0"/>
    <n v="0"/>
    <n v="-0.44000000000050932"/>
    <n v="0"/>
    <n v="0"/>
    <n v="405.03384017531039"/>
    <n v="19.557142857142857"/>
    <n v="0"/>
    <n v="0"/>
    <m/>
    <s v="Musrigharari"/>
    <m/>
    <n v="0"/>
  </r>
  <r>
    <s v="Munger"/>
    <s v="03-09 Jul"/>
    <n v="1013"/>
    <s v="Musrigharari"/>
    <x v="514"/>
    <s v="Gomukh Soharthi Purvi Tola                                                                          "/>
    <s v="MPG"/>
    <s v="Direct"/>
    <n v="62.899999999999991"/>
    <n v="2667.13"/>
    <n v="61.800000000000011"/>
    <n v="2622.4199999999996"/>
    <n v="0"/>
    <n v="0"/>
    <n v="61.800000000000011"/>
    <n v="2622.4199999999996"/>
    <n v="2622.4199999999996"/>
    <n v="0"/>
    <n v="0"/>
    <n v="0"/>
    <n v="0"/>
    <n v="500"/>
    <n v="0"/>
    <n v="2122"/>
    <n v="0"/>
    <n v="0"/>
    <n v="45"/>
    <n v="0"/>
    <n v="540.29523783783804"/>
    <n v="8.985714285714284"/>
    <n v="1.6763337370132123E-2"/>
    <n v="1"/>
    <m/>
    <s v="Musrigharari"/>
    <m/>
    <n v="500"/>
  </r>
  <r>
    <s v="Munger"/>
    <s v="03-09 Jul"/>
    <n v="1013"/>
    <s v="Musrigharari"/>
    <x v="515"/>
    <s v="Birnama"/>
    <s v="vlc"/>
    <s v="Indirect"/>
    <n v="844.3"/>
    <n v="23098.15"/>
    <n v="0"/>
    <n v="0"/>
    <n v="0"/>
    <n v="0"/>
    <n v="0"/>
    <n v="0"/>
    <n v="23098.15"/>
    <n v="0"/>
    <n v="0"/>
    <n v="0"/>
    <n v="0"/>
    <n v="0"/>
    <n v="0"/>
    <n v="0"/>
    <n v="0"/>
    <n v="23098.15"/>
    <n v="0"/>
    <n v="0"/>
    <n v="0"/>
    <n v="0"/>
    <n v="0"/>
    <n v="0"/>
    <m/>
    <s v="Musrigharari"/>
    <m/>
    <n v="0"/>
  </r>
  <r>
    <s v="Munger"/>
    <s v="03-09 Jul"/>
    <n v="1013"/>
    <s v="Musrigharari"/>
    <x v="516"/>
    <s v="Maraie - Rubi"/>
    <s v="vlc"/>
    <s v="Indirect"/>
    <n v="40.5"/>
    <n v="1611.21"/>
    <n v="0"/>
    <n v="0"/>
    <n v="0"/>
    <n v="0"/>
    <n v="0"/>
    <n v="0"/>
    <n v="1611.21"/>
    <n v="0"/>
    <n v="0"/>
    <n v="0"/>
    <n v="0"/>
    <n v="0"/>
    <n v="0"/>
    <n v="0"/>
    <n v="0"/>
    <n v="1611.21"/>
    <n v="0"/>
    <n v="0"/>
    <n v="524.73728148148143"/>
    <n v="5.7857142857142856"/>
    <n v="0"/>
    <n v="0"/>
    <m/>
    <s v="Musrigharari"/>
    <m/>
    <n v="0"/>
  </r>
  <r>
    <s v="Munger"/>
    <s v="03-09 Jul"/>
    <n v="1013"/>
    <s v="Musrigharari"/>
    <x v="517"/>
    <s v="Arniya East Tola - Seema"/>
    <s v="vlc"/>
    <s v="Indirect"/>
    <n v="10.4"/>
    <n v="435.14"/>
    <n v="0"/>
    <n v="0"/>
    <n v="0"/>
    <n v="0"/>
    <n v="0"/>
    <n v="0"/>
    <n v="435.14"/>
    <n v="0"/>
    <n v="0"/>
    <n v="0"/>
    <n v="0"/>
    <n v="0"/>
    <n v="0"/>
    <n v="0"/>
    <n v="0"/>
    <n v="435.14"/>
    <n v="0"/>
    <n v="0"/>
    <n v="577.06258461538459"/>
    <n v="1.4857142857142858"/>
    <n v="0"/>
    <n v="0"/>
    <m/>
    <s v="Musrigharari"/>
    <m/>
    <n v="0"/>
  </r>
  <r>
    <s v="Munger"/>
    <s v="03-09 Jul"/>
    <n v="1013"/>
    <s v="Musrigharari"/>
    <x v="518"/>
    <s v="Lakshmipur Western Tol - Rajeev"/>
    <s v="MPG"/>
    <s v="Indirect"/>
    <n v="2879.7999999999997"/>
    <n v="128436.12000000001"/>
    <n v="0"/>
    <n v="0"/>
    <n v="0"/>
    <n v="0"/>
    <n v="0"/>
    <n v="0"/>
    <n v="128436.12000000001"/>
    <n v="0"/>
    <n v="0"/>
    <n v="0"/>
    <n v="0"/>
    <n v="0"/>
    <n v="0"/>
    <n v="0"/>
    <n v="0"/>
    <n v="128436.12000000001"/>
    <n v="0"/>
    <n v="0"/>
    <n v="0"/>
    <n v="0"/>
    <n v="0"/>
    <n v="0"/>
    <m/>
    <s v="Musrigharari"/>
    <m/>
    <n v="0"/>
  </r>
  <r>
    <s v="Munger"/>
    <s v="03-09 Jul"/>
    <n v="1013"/>
    <s v="Musrigharari"/>
    <x v="519"/>
    <s v="Jahangipur Salkhanni"/>
    <s v="MPG"/>
    <s v="Direct"/>
    <n v="341.2"/>
    <n v="15215.900000000001"/>
    <n v="207.56999999999996"/>
    <n v="9367.9399999999987"/>
    <n v="89.7"/>
    <n v="5052.2700000000004"/>
    <n v="297.27"/>
    <n v="14420.21"/>
    <n v="14420.21"/>
    <n v="0"/>
    <n v="0"/>
    <n v="0"/>
    <n v="2800"/>
    <n v="0"/>
    <n v="0"/>
    <n v="6568"/>
    <n v="5051"/>
    <n v="0"/>
    <n v="797"/>
    <n v="0"/>
    <n v="320.01552872215717"/>
    <n v="48.74285714285714"/>
    <n v="5.2293324745825237E-2"/>
    <n v="12"/>
    <m/>
    <s v="Musrigharari"/>
    <m/>
    <n v="0"/>
  </r>
  <r>
    <s v="Munger"/>
    <s v="03-09 Jul"/>
    <n v="1013"/>
    <s v="Musrigharari"/>
    <x v="520"/>
    <s v="Sekhpura"/>
    <s v="MPG"/>
    <s v="Direct"/>
    <n v="272.2"/>
    <n v="10183.129999999999"/>
    <n v="269.12"/>
    <n v="10084.17"/>
    <n v="2.67"/>
    <n v="94.65"/>
    <n v="271.79000000000002"/>
    <n v="10178.82"/>
    <n v="10178.82"/>
    <n v="0"/>
    <n v="94.65"/>
    <n v="0"/>
    <n v="0"/>
    <n v="0"/>
    <n v="0"/>
    <n v="10085"/>
    <n v="0"/>
    <n v="0"/>
    <n v="3"/>
    <n v="0"/>
    <n v="320.08398339456278"/>
    <n v="38.885714285714286"/>
    <n v="4.2324904032448675E-4"/>
    <n v="6"/>
    <m/>
    <s v="Musrigharari"/>
    <m/>
    <n v="0"/>
  </r>
  <r>
    <s v="Munger"/>
    <s v="03-09 Jul"/>
    <n v="1013"/>
    <s v="Musrigharari"/>
    <x v="521"/>
    <s v="Songar"/>
    <s v="MPG"/>
    <s v="Direct"/>
    <n v="1101.3999999999999"/>
    <n v="39364.339999999997"/>
    <n v="775.03000000000009"/>
    <n v="28055.15"/>
    <n v="328.12"/>
    <n v="11301.81"/>
    <n v="1103.1500000000001"/>
    <n v="39356.959999999999"/>
    <n v="39356.959999999999"/>
    <n v="0"/>
    <n v="432.16"/>
    <n v="0"/>
    <n v="6809"/>
    <n v="0"/>
    <n v="0"/>
    <n v="22128"/>
    <n v="9987"/>
    <n v="0"/>
    <n v="8"/>
    <n v="0"/>
    <n v="0"/>
    <n v="0"/>
    <n v="1.874793277366617E-4"/>
    <n v="27"/>
    <m/>
    <s v="Musrigharari"/>
    <m/>
    <n v="0"/>
  </r>
  <r>
    <s v="Munger"/>
    <s v="03-09 Jul"/>
    <n v="1013"/>
    <s v="Musrigharari"/>
    <x v="522"/>
    <s v="Rampur Maheshpur"/>
    <s v="MPG"/>
    <s v="Direct"/>
    <n v="722.19999999999993"/>
    <n v="29792.389999999996"/>
    <n v="307.04999999999995"/>
    <n v="13974.31"/>
    <n v="416.59"/>
    <n v="15811.14"/>
    <n v="723.63999999999987"/>
    <n v="29785.449999999997"/>
    <n v="29785.449999999997"/>
    <n v="0"/>
    <n v="0"/>
    <n v="0"/>
    <n v="0"/>
    <n v="0"/>
    <n v="0"/>
    <n v="13975"/>
    <n v="15810"/>
    <n v="0"/>
    <n v="7"/>
    <s v="Release1"/>
    <n v="0"/>
    <n v="0"/>
    <n v="2.3294539310202007E-4"/>
    <n v="16"/>
    <m/>
    <s v="Musrigharari"/>
    <m/>
    <n v="0"/>
  </r>
  <r>
    <s v="Munger"/>
    <s v="03-09 Jul"/>
    <n v="1013"/>
    <s v="Musrigharari"/>
    <x v="523"/>
    <s v="Godhiyari"/>
    <s v="vlc"/>
    <s v="Indirect"/>
    <n v="1103"/>
    <n v="38213.69"/>
    <n v="0"/>
    <n v="0"/>
    <n v="0"/>
    <n v="0"/>
    <n v="0"/>
    <n v="0"/>
    <n v="38213.69"/>
    <n v="0"/>
    <n v="0"/>
    <n v="0"/>
    <n v="0"/>
    <n v="0"/>
    <n v="0"/>
    <n v="0"/>
    <n v="0"/>
    <n v="38213.69"/>
    <n v="0"/>
    <n v="0"/>
    <n v="0"/>
    <n v="0"/>
    <n v="0"/>
    <n v="0"/>
    <m/>
    <s v="Musrigharari"/>
    <m/>
    <n v="0"/>
  </r>
  <r>
    <s v="Munger"/>
    <s v="03-09 Jul"/>
    <n v="1013"/>
    <s v="Musrigharari"/>
    <x v="524"/>
    <s v="Hussainipur Gobindpur"/>
    <s v="vlc"/>
    <s v="Indirect"/>
    <n v="117.50000000000001"/>
    <n v="4600.3999999999996"/>
    <n v="0"/>
    <n v="0"/>
    <n v="0"/>
    <n v="0"/>
    <n v="0"/>
    <n v="0"/>
    <n v="4600.3999999999996"/>
    <n v="0"/>
    <n v="0"/>
    <n v="0"/>
    <n v="0"/>
    <n v="0"/>
    <n v="0"/>
    <n v="0"/>
    <n v="0"/>
    <n v="4600.3999999999996"/>
    <n v="0"/>
    <n v="0"/>
    <n v="456.12476595744664"/>
    <n v="16.785714285714288"/>
    <n v="0"/>
    <n v="0"/>
    <m/>
    <s v="Musrigharari"/>
    <m/>
    <n v="0"/>
  </r>
  <r>
    <s v="Munger"/>
    <s v="03-09 Jul"/>
    <n v="1013"/>
    <s v="Musrigharari"/>
    <x v="525"/>
    <s v="Jhakhra-Rambilash"/>
    <s v="vlc"/>
    <s v="Indirect"/>
    <n v="594.29999999999995"/>
    <n v="23948.32"/>
    <n v="0"/>
    <n v="0"/>
    <n v="0"/>
    <n v="0"/>
    <n v="0"/>
    <n v="0"/>
    <n v="23948.32"/>
    <n v="0"/>
    <n v="0"/>
    <n v="0"/>
    <n v="0"/>
    <n v="0"/>
    <n v="0"/>
    <n v="0"/>
    <n v="0"/>
    <n v="23948.32"/>
    <n v="0"/>
    <n v="0"/>
    <n v="85.187192461719718"/>
    <n v="84.899999999999991"/>
    <n v="0"/>
    <n v="0"/>
    <m/>
    <s v="Musrigharari"/>
    <m/>
    <n v="0"/>
  </r>
  <r>
    <s v="Munger"/>
    <s v="03-09 Jul"/>
    <n v="1013"/>
    <s v="Musrigharari"/>
    <x v="526"/>
    <s v="Dagarua"/>
    <s v="MPG"/>
    <s v="Direct"/>
    <n v="288.2"/>
    <n v="10801.470000000001"/>
    <n v="173.70000000000002"/>
    <n v="6545.93"/>
    <n v="113.3"/>
    <n v="4238.2300000000005"/>
    <n v="287"/>
    <n v="10784.16"/>
    <n v="10784.16"/>
    <n v="0"/>
    <n v="40.340000000000003"/>
    <n v="0"/>
    <n v="1503"/>
    <n v="500"/>
    <n v="0"/>
    <n v="4543"/>
    <n v="4197"/>
    <n v="0"/>
    <n v="18"/>
    <s v="Release1"/>
    <n v="308.67767841776555"/>
    <n v="41.171428571428571"/>
    <n v="1.6025596516030974E-3"/>
    <n v="12"/>
    <m/>
    <s v="Musrigharari"/>
    <m/>
    <n v="500"/>
  </r>
  <r>
    <s v="Munger"/>
    <s v="03-09 Jul"/>
    <n v="1013"/>
    <s v="Musrigharari"/>
    <x v="527"/>
    <s v="Chakmilki"/>
    <s v="MPG"/>
    <s v="Direct"/>
    <n v="224.59999999999997"/>
    <n v="8843.25"/>
    <n v="122.58"/>
    <n v="4612.0999999999995"/>
    <n v="123.57999999999998"/>
    <n v="4500.329999999999"/>
    <n v="246.15999999999997"/>
    <n v="9112.4299999999985"/>
    <n v="8843.25"/>
    <n v="0"/>
    <n v="130.75"/>
    <n v="269.17999999999847"/>
    <n v="0"/>
    <n v="0"/>
    <n v="0"/>
    <n v="4343"/>
    <n v="4369"/>
    <n v="0"/>
    <n v="1"/>
    <n v="0"/>
    <n v="374.36162511130902"/>
    <n v="32.085714285714282"/>
    <n v="-3.0439035422497211E-2"/>
    <n v="9"/>
    <m/>
    <s v="Musrigharari"/>
    <m/>
    <n v="0"/>
  </r>
  <r>
    <s v="Munger"/>
    <s v="03-09 Jul"/>
    <n v="1013"/>
    <s v="Musrigharari"/>
    <x v="528"/>
    <s v="Gomukh Akaha"/>
    <s v="MPG"/>
    <s v="Direct"/>
    <n v="393.09999999999997"/>
    <n v="14799.77"/>
    <n v="363.98"/>
    <n v="12459.89"/>
    <n v="56.059999999999988"/>
    <n v="2321.8599999999997"/>
    <n v="420.04"/>
    <n v="14781.75"/>
    <n v="14781.75"/>
    <n v="0"/>
    <n v="55.459999999999994"/>
    <n v="0"/>
    <n v="0"/>
    <n v="500"/>
    <n v="0"/>
    <n v="11960"/>
    <n v="2267"/>
    <n v="0"/>
    <n v="17"/>
    <n v="0"/>
    <n v="231.08875161536508"/>
    <n v="56.157142857142851"/>
    <n v="1.2175864895197989E-3"/>
    <n v="8"/>
    <m/>
    <s v="Musrigharari"/>
    <m/>
    <n v="500"/>
  </r>
  <r>
    <s v="Munger"/>
    <s v="03-09 Jul"/>
    <n v="1013"/>
    <s v="Musrigharari"/>
    <x v="529"/>
    <s v="Nauachak-Pankaj"/>
    <s v="vlc"/>
    <s v="Indirect"/>
    <n v="55.5"/>
    <n v="2144.04"/>
    <n v="0"/>
    <n v="0"/>
    <n v="0"/>
    <n v="0"/>
    <n v="0"/>
    <n v="0"/>
    <n v="2144.04"/>
    <n v="0"/>
    <n v="0"/>
    <n v="0"/>
    <n v="0"/>
    <n v="0"/>
    <n v="0"/>
    <n v="0"/>
    <n v="0"/>
    <n v="2144.04"/>
    <n v="0"/>
    <n v="0"/>
    <n v="497.95811891891896"/>
    <n v="7.9285714285714288"/>
    <n v="0"/>
    <n v="0"/>
    <m/>
    <s v="Musrigharari"/>
    <m/>
    <n v="0"/>
  </r>
  <r>
    <s v="Munger"/>
    <s v="03-09 Jul"/>
    <n v="1013"/>
    <s v="Musrigharari"/>
    <x v="530"/>
    <s v="Jitwarpur-Manisha"/>
    <s v="vlc"/>
    <s v="Indirect"/>
    <n v="86.5"/>
    <n v="3052.92"/>
    <n v="0"/>
    <n v="0"/>
    <n v="0"/>
    <n v="0"/>
    <n v="0"/>
    <n v="0"/>
    <n v="3052.92"/>
    <n v="0"/>
    <n v="0"/>
    <n v="0"/>
    <n v="0"/>
    <n v="0"/>
    <n v="0"/>
    <n v="0"/>
    <n v="0"/>
    <n v="3052.92"/>
    <n v="0"/>
    <n v="0"/>
    <n v="433.05581965317924"/>
    <n v="12.357142857142858"/>
    <n v="0"/>
    <n v="0"/>
    <m/>
    <s v="Musrigharari"/>
    <m/>
    <n v="0"/>
  </r>
  <r>
    <s v="Munger"/>
    <s v="03-09 Jul"/>
    <n v="1013"/>
    <s v="Musrigharari"/>
    <x v="531"/>
    <s v="Gomukh Sirdulpur 2"/>
    <s v="vlc"/>
    <s v="Indirect"/>
    <n v="621.70000000000005"/>
    <n v="19502.989999999998"/>
    <n v="0"/>
    <n v="0"/>
    <n v="0"/>
    <n v="0"/>
    <n v="0"/>
    <n v="0"/>
    <n v="19502.989999999998"/>
    <n v="0"/>
    <n v="0"/>
    <n v="0"/>
    <n v="0"/>
    <n v="0"/>
    <n v="0"/>
    <n v="0"/>
    <n v="0"/>
    <n v="19502.989999999998"/>
    <n v="0"/>
    <n v="0"/>
    <n v="49.126077432845406"/>
    <n v="88.814285714285717"/>
    <n v="0"/>
    <n v="0"/>
    <m/>
    <s v="Musrigharari"/>
    <m/>
    <n v="0"/>
  </r>
  <r>
    <s v="Munger"/>
    <s v="03-09 Jul"/>
    <n v="1013"/>
    <s v="Musrigharari"/>
    <x v="532"/>
    <s v="Gomukh Patepur"/>
    <s v="vlc"/>
    <s v="Indirect"/>
    <n v="238.9"/>
    <n v="8845.5"/>
    <n v="0"/>
    <n v="0"/>
    <n v="0"/>
    <n v="0"/>
    <n v="0"/>
    <n v="0"/>
    <n v="8845.5"/>
    <n v="0"/>
    <n v="0"/>
    <n v="0"/>
    <n v="0"/>
    <n v="0"/>
    <n v="0"/>
    <n v="0"/>
    <n v="0"/>
    <n v="8845.5"/>
    <n v="0"/>
    <n v="0"/>
    <n v="341.45333193804936"/>
    <n v="34.128571428571426"/>
    <n v="0"/>
    <n v="0"/>
    <m/>
    <s v="Musrigharari"/>
    <m/>
    <n v="0"/>
  </r>
  <r>
    <s v="Munger"/>
    <s v="03-09 Jul"/>
    <n v="1013"/>
    <s v="Musrigharari"/>
    <x v="533"/>
    <s v="Gomukh Sherpur Narsari East"/>
    <s v="MPG"/>
    <s v="Direct"/>
    <n v="266.7"/>
    <n v="11671.25"/>
    <n v="212.3"/>
    <n v="8726.49"/>
    <n v="55.53"/>
    <n v="2915.05"/>
    <n v="267.83000000000004"/>
    <n v="11641.54"/>
    <n v="11641.54"/>
    <n v="0"/>
    <n v="0"/>
    <n v="0"/>
    <n v="0"/>
    <n v="0"/>
    <n v="0"/>
    <n v="8727"/>
    <n v="2915"/>
    <n v="0"/>
    <n v="29"/>
    <n v="0"/>
    <n v="379.23904199475072"/>
    <n v="38.1"/>
    <n v="2.5455713826710185E-3"/>
    <n v="7"/>
    <m/>
    <s v="Musrigharari"/>
    <m/>
    <n v="0"/>
  </r>
  <r>
    <s v="Munger"/>
    <s v="03-09 Jul"/>
    <n v="1013"/>
    <s v="Musrigharari"/>
    <x v="534"/>
    <s v="Gomukh Karhatti"/>
    <s v="MPG"/>
    <s v="Direct"/>
    <n v="84.000000000000014"/>
    <n v="2867.9299999999994"/>
    <n v="82.2"/>
    <n v="2807.4199999999996"/>
    <n v="0"/>
    <n v="0"/>
    <n v="82.2"/>
    <n v="2807.4199999999996"/>
    <n v="2807.4199999999996"/>
    <n v="0"/>
    <n v="0"/>
    <n v="0"/>
    <n v="0"/>
    <n v="500"/>
    <n v="0"/>
    <n v="2307"/>
    <n v="0"/>
    <n v="0"/>
    <n v="61"/>
    <n v="0"/>
    <n v="420.62973333333321"/>
    <n v="12.000000000000002"/>
    <n v="2.1098841324578975E-2"/>
    <n v="1"/>
    <m/>
    <s v="Musrigharari"/>
    <m/>
    <n v="500"/>
  </r>
  <r>
    <s v="Munger"/>
    <s v="03-09 Jul"/>
    <n v="1013"/>
    <s v="Musrigharari"/>
    <x v="535"/>
    <s v="Gomukh Gaopur Bhagwatpur"/>
    <s v="MPG"/>
    <s v="Direct"/>
    <n v="187.7"/>
    <n v="9987.1299999999992"/>
    <n v="184.89000000000001"/>
    <n v="9912.0400000000009"/>
    <n v="1"/>
    <n v="48.65"/>
    <n v="185.89000000000001"/>
    <n v="9960.69"/>
    <n v="9960.69"/>
    <n v="0"/>
    <n v="48.65"/>
    <n v="0"/>
    <n v="0"/>
    <n v="0"/>
    <n v="0"/>
    <n v="9913"/>
    <n v="0"/>
    <n v="0"/>
    <n v="25"/>
    <n v="0"/>
    <n v="545.16853478955773"/>
    <n v="26.814285714285713"/>
    <n v="2.6474072130831072E-3"/>
    <n v="9"/>
    <m/>
    <s v="Musrigharari"/>
    <m/>
    <n v="0"/>
  </r>
  <r>
    <s v="Munger"/>
    <s v="03-09 Jul"/>
    <n v="1013"/>
    <s v="Musrigharari"/>
    <x v="536"/>
    <s v="Gomukh Rajwara"/>
    <s v="MPG"/>
    <s v="Direct"/>
    <n v="92.399999999999991"/>
    <n v="3639.6500000000005"/>
    <n v="90.64"/>
    <n v="3595.1400000000008"/>
    <n v="0.6"/>
    <n v="23.36"/>
    <n v="91.24"/>
    <n v="3618.5000000000009"/>
    <n v="3618.5000000000009"/>
    <n v="0"/>
    <n v="23.36"/>
    <n v="0"/>
    <n v="0"/>
    <n v="500"/>
    <n v="0"/>
    <n v="3095"/>
    <n v="0"/>
    <n v="0"/>
    <n v="21"/>
    <n v="0"/>
    <n v="478.66912121212135"/>
    <n v="13.2"/>
    <n v="5.8109983102769859E-3"/>
    <n v="4"/>
    <m/>
    <s v="Musrigharari"/>
    <m/>
    <n v="500"/>
  </r>
  <r>
    <s v="Munger"/>
    <s v="03-09 Jul"/>
    <n v="1061"/>
    <s v="Mahua BMC"/>
    <x v="537"/>
    <s v="Gomukh Karhatiya Bujurg"/>
    <s v="vlc"/>
    <s v="Indirect"/>
    <n v="70.8"/>
    <n v="2949.05"/>
    <n v="0"/>
    <n v="0"/>
    <n v="0"/>
    <n v="0"/>
    <n v="0"/>
    <n v="0"/>
    <n v="2949.05"/>
    <n v="0"/>
    <n v="0"/>
    <n v="0"/>
    <n v="0"/>
    <n v="0"/>
    <n v="0"/>
    <n v="0"/>
    <n v="0"/>
    <n v="2949.05"/>
    <n v="0"/>
    <n v="0"/>
    <n v="524.16448022598877"/>
    <n v="10.114285714285714"/>
    <n v="0"/>
    <n v="0"/>
    <m/>
    <s v="Mahua BMC"/>
    <m/>
    <n v="0"/>
  </r>
  <r>
    <s v="Munger"/>
    <s v="03-09 Jul"/>
    <n v="1013"/>
    <s v="Musrigharari"/>
    <x v="538"/>
    <s v="GOMUKH NIKASPUR"/>
    <s v="vlc"/>
    <s v="Indirect"/>
    <n v="321"/>
    <n v="10997.23"/>
    <n v="0"/>
    <n v="0"/>
    <n v="0"/>
    <n v="0"/>
    <n v="0"/>
    <n v="0"/>
    <n v="10997.23"/>
    <n v="0"/>
    <n v="0"/>
    <n v="0"/>
    <n v="0"/>
    <n v="0"/>
    <n v="0"/>
    <n v="0"/>
    <n v="0"/>
    <n v="10997.23"/>
    <n v="0"/>
    <s v="Release2"/>
    <n v="259.68536884735204"/>
    <n v="45.857142857142854"/>
    <n v="0"/>
    <n v="0"/>
    <m/>
    <s v="Musrigharari"/>
    <m/>
    <n v="0"/>
  </r>
  <r>
    <s v="Munger"/>
    <s v="03-09 Jul"/>
    <n v="1013"/>
    <s v="Musrigharari"/>
    <x v="539"/>
    <s v="Gomukh Morwa Mohanpur"/>
    <s v="vlc"/>
    <s v="Indirect"/>
    <n v="271.8"/>
    <n v="11066.869999999999"/>
    <n v="0"/>
    <n v="0"/>
    <n v="0"/>
    <n v="0"/>
    <n v="0"/>
    <n v="0"/>
    <n v="11066.869999999999"/>
    <n v="0"/>
    <n v="0"/>
    <n v="0"/>
    <n v="0"/>
    <n v="0"/>
    <n v="0"/>
    <n v="0"/>
    <n v="0"/>
    <n v="11066.869999999999"/>
    <n v="0"/>
    <n v="0"/>
    <n v="348.70005401030164"/>
    <n v="38.828571428571429"/>
    <n v="0"/>
    <n v="0"/>
    <m/>
    <s v="Musrigharari"/>
    <m/>
    <n v="0"/>
  </r>
  <r>
    <s v="Munger"/>
    <s v="03-09 Jul"/>
    <n v="1013"/>
    <s v="Musrigharari"/>
    <x v="540"/>
    <s v="GOMUKH Laguniya"/>
    <s v="vlc"/>
    <s v="Indirect"/>
    <n v="305.7"/>
    <n v="11930.94"/>
    <n v="0"/>
    <n v="0"/>
    <n v="0"/>
    <n v="0"/>
    <n v="0"/>
    <n v="0"/>
    <n v="11930.94"/>
    <n v="0"/>
    <n v="0"/>
    <n v="0"/>
    <n v="264"/>
    <n v="0"/>
    <n v="0"/>
    <n v="0"/>
    <n v="0"/>
    <n v="11666.94"/>
    <n v="0"/>
    <n v="0"/>
    <n v="307.77688204121694"/>
    <n v="43.671428571428571"/>
    <n v="0"/>
    <n v="0"/>
    <m/>
    <s v="Musrigharari"/>
    <m/>
    <n v="0"/>
  </r>
  <r>
    <s v="Munger"/>
    <s v="03-09 Jul"/>
    <n v="1013"/>
    <s v="Musrigharari"/>
    <x v="541"/>
    <s v="GOMUKH MAHINDWARA"/>
    <s v="vlc"/>
    <s v="Indirect"/>
    <n v="342.60000000000008"/>
    <n v="13710.75"/>
    <n v="0"/>
    <n v="0"/>
    <n v="0"/>
    <n v="0"/>
    <n v="0"/>
    <n v="0"/>
    <n v="13710.75"/>
    <n v="0"/>
    <n v="0"/>
    <n v="0"/>
    <n v="0"/>
    <n v="0"/>
    <n v="0"/>
    <n v="0"/>
    <n v="0"/>
    <n v="13710.75"/>
    <n v="0"/>
    <n v="0"/>
    <n v="286.06083187390533"/>
    <n v="48.942857142857157"/>
    <n v="0"/>
    <n v="0"/>
    <m/>
    <s v="Musrigharari"/>
    <m/>
    <n v="0"/>
  </r>
  <r>
    <s v="Munger"/>
    <s v="03-09 Jul"/>
    <n v="1013"/>
    <s v="Musrigharari"/>
    <x v="542"/>
    <s v="GOMUKH MISHRAULIA"/>
    <s v="MPG"/>
    <s v="Direct"/>
    <n v="521.40000000000009"/>
    <n v="24351.570000000003"/>
    <n v="515.19999999999993"/>
    <n v="24276.15"/>
    <n v="0"/>
    <n v="0"/>
    <n v="515.19999999999993"/>
    <n v="24276.15"/>
    <n v="24276.15"/>
    <n v="0"/>
    <n v="0"/>
    <n v="0"/>
    <n v="0"/>
    <n v="0"/>
    <n v="0"/>
    <n v="24276"/>
    <n v="0"/>
    <n v="0"/>
    <n v="76"/>
    <n v="0"/>
    <n v="166.82740322209429"/>
    <n v="74.485714285714295"/>
    <n v="3.0971309036748711E-3"/>
    <n v="2"/>
    <m/>
    <s v="Musrigharari"/>
    <m/>
    <n v="0"/>
  </r>
  <r>
    <s v="Munger"/>
    <s v="03-09 Jul"/>
    <n v="1013"/>
    <s v="Musrigharari"/>
    <x v="543"/>
    <s v="GOMUKH Bhagwatpur East"/>
    <s v="MPG"/>
    <s v="Direct"/>
    <n v="282.39999999999998"/>
    <n v="8974.85"/>
    <n v="281.09999999999997"/>
    <n v="8933.93"/>
    <n v="0"/>
    <n v="0"/>
    <n v="281.09999999999997"/>
    <n v="8933.93"/>
    <n v="8933.93"/>
    <n v="0"/>
    <n v="0"/>
    <n v="0"/>
    <n v="0"/>
    <n v="0"/>
    <n v="0"/>
    <n v="8934"/>
    <n v="0"/>
    <n v="0"/>
    <n v="41"/>
    <n v="0"/>
    <n v="265.43182436260628"/>
    <n v="40.342857142857142"/>
    <n v="4.5594076781227616E-3"/>
    <n v="1"/>
    <m/>
    <s v="Musrigharari"/>
    <m/>
    <n v="0"/>
  </r>
  <r>
    <s v="Munger"/>
    <s v="03-09 Jul"/>
    <n v="1013"/>
    <s v="Musrigharari"/>
    <x v="544"/>
    <s v="Gomukh Rupauli Buzurg"/>
    <s v="vlc"/>
    <s v="Indirect"/>
    <n v="6657.1"/>
    <n v="239648.86"/>
    <n v="0"/>
    <n v="0"/>
    <n v="0"/>
    <n v="0"/>
    <n v="0"/>
    <n v="0"/>
    <n v="239648.86"/>
    <n v="0"/>
    <n v="0"/>
    <n v="0"/>
    <n v="0"/>
    <n v="0"/>
    <n v="0"/>
    <n v="0"/>
    <n v="0"/>
    <n v="239648.86"/>
    <n v="0"/>
    <n v="0"/>
    <n v="0"/>
    <n v="0"/>
    <n v="0"/>
    <n v="0"/>
    <m/>
    <s v="Musrigharari"/>
    <m/>
    <n v="0"/>
  </r>
  <r>
    <s v="Munger"/>
    <s v="03-09 Jul"/>
    <n v="1013"/>
    <s v="Musrigharari"/>
    <x v="545"/>
    <s v="GOMUKH BAKHRI"/>
    <s v="vlc"/>
    <s v="Indirect"/>
    <n v="111"/>
    <n v="4642.5899999999992"/>
    <n v="0"/>
    <n v="0"/>
    <n v="0"/>
    <n v="0"/>
    <n v="0"/>
    <n v="0"/>
    <n v="4642.5899999999992"/>
    <n v="0"/>
    <n v="0"/>
    <n v="0"/>
    <n v="0"/>
    <n v="0"/>
    <n v="0"/>
    <n v="0"/>
    <n v="0"/>
    <n v="4642.5899999999992"/>
    <n v="0"/>
    <n v="0"/>
    <n v="492.70009189189182"/>
    <n v="15.857142857142858"/>
    <n v="0"/>
    <n v="0"/>
    <m/>
    <s v="Musrigharari"/>
    <m/>
    <n v="0"/>
  </r>
  <r>
    <s v="Munger"/>
    <s v="03-09 Jul"/>
    <n v="1013"/>
    <s v="Musrigharari"/>
    <x v="546"/>
    <s v="GOMUKH KAMTAUL"/>
    <s v="MPG"/>
    <s v="Direct"/>
    <n v="490.20000000000005"/>
    <n v="20165.239999999998"/>
    <n v="486.17999999999995"/>
    <n v="19821.61"/>
    <n v="6.3199999999999985"/>
    <n v="278.83"/>
    <n v="492.49999999999994"/>
    <n v="20100.440000000002"/>
    <n v="20100.440000000002"/>
    <n v="0"/>
    <n v="278.83"/>
    <n v="0"/>
    <n v="286"/>
    <n v="0"/>
    <n v="0"/>
    <n v="19536"/>
    <n v="0"/>
    <n v="0"/>
    <n v="64"/>
    <n v="0"/>
    <n v="172.60984708282325"/>
    <n v="70.028571428571439"/>
    <n v="3.2134504721984783E-3"/>
    <n v="7"/>
    <m/>
    <s v="Musrigharari"/>
    <m/>
    <n v="0"/>
  </r>
  <r>
    <s v="Munger"/>
    <s v="03-09 Jul"/>
    <n v="1013"/>
    <s v="Musrigharari"/>
    <x v="547"/>
    <s v="GOMUKH MIRJAPUR NISFI"/>
    <s v="vlc"/>
    <s v="Indirect"/>
    <n v="447.30000000000007"/>
    <n v="15553.44"/>
    <n v="0"/>
    <n v="0"/>
    <n v="0"/>
    <n v="0"/>
    <n v="0"/>
    <n v="0"/>
    <n v="15553.44"/>
    <n v="0"/>
    <n v="0"/>
    <n v="0"/>
    <n v="1400"/>
    <n v="0"/>
    <n v="0"/>
    <n v="0"/>
    <n v="0"/>
    <n v="14153.44"/>
    <n v="0"/>
    <n v="0"/>
    <n v="175.73683380281679"/>
    <n v="63.900000000000013"/>
    <n v="0"/>
    <n v="0"/>
    <m/>
    <s v="Musrigharari"/>
    <m/>
    <n v="0"/>
  </r>
  <r>
    <s v="Munger"/>
    <s v="03-09 Jul"/>
    <n v="1014"/>
    <s v="Dumraon"/>
    <x v="548"/>
    <s v="Dumri Purvi Tola"/>
    <s v="MPG"/>
    <s v="Direct"/>
    <n v="486.10000000000008"/>
    <n v="16371.729999999998"/>
    <n v="485.6"/>
    <n v="16355.57"/>
    <n v="0"/>
    <n v="0"/>
    <n v="485.6"/>
    <n v="16355.57"/>
    <n v="16355.57"/>
    <n v="0"/>
    <n v="0"/>
    <n v="0"/>
    <n v="0"/>
    <n v="0"/>
    <n v="0"/>
    <n v="16355"/>
    <n v="0"/>
    <n v="0"/>
    <n v="17"/>
    <n v="0"/>
    <n v="144.08200152232044"/>
    <n v="69.44285714285715"/>
    <n v="9.8706734108112201E-4"/>
    <n v="5"/>
    <m/>
    <s v="Dumraon"/>
    <m/>
    <n v="0"/>
  </r>
  <r>
    <s v="Munger"/>
    <s v="03-09 Jul"/>
    <n v="1014"/>
    <s v="Dumraon"/>
    <x v="549"/>
    <s v="Simri"/>
    <s v="MPG"/>
    <s v="Direct"/>
    <n v="702.90000000000009"/>
    <n v="26067.449999999997"/>
    <n v="729.06"/>
    <n v="27944.54"/>
    <n v="0"/>
    <n v="0"/>
    <n v="729.06"/>
    <n v="27944.54"/>
    <n v="26067.449999999997"/>
    <n v="0"/>
    <n v="0"/>
    <n v="1877.0900000000038"/>
    <n v="0"/>
    <n v="0"/>
    <n v="0"/>
    <n v="26067"/>
    <n v="0"/>
    <n v="0"/>
    <n v="0"/>
    <n v="0"/>
    <n v="0"/>
    <n v="0"/>
    <n v="-7.2008961367529392E-2"/>
    <n v="10"/>
    <m/>
    <s v="Dumraon"/>
    <m/>
    <n v="0"/>
  </r>
  <r>
    <s v="Munger"/>
    <s v="03-09 Jul"/>
    <n v="1014"/>
    <s v="Dumraon"/>
    <x v="550"/>
    <s v="Sahiyar"/>
    <s v="MPG"/>
    <s v="Direct"/>
    <n v="1111.8"/>
    <n v="46125.520000000004"/>
    <n v="1016.9999999999999"/>
    <n v="45003.26"/>
    <n v="34.700000000000003"/>
    <n v="1434.34"/>
    <n v="1051.6999999999998"/>
    <n v="46437.599999999999"/>
    <n v="46125.520000000004"/>
    <n v="0"/>
    <n v="1434.34"/>
    <n v="312.07999999999447"/>
    <n v="0"/>
    <n v="0"/>
    <n v="0"/>
    <n v="44691"/>
    <n v="0"/>
    <n v="0"/>
    <n v="0"/>
    <n v="0"/>
    <n v="0"/>
    <n v="0"/>
    <n v="-6.7658857829677463E-3"/>
    <n v="23"/>
    <m/>
    <s v="Dumraon"/>
    <m/>
    <n v="0"/>
  </r>
  <r>
    <s v="Munger"/>
    <s v="03-09 Jul"/>
    <n v="1014"/>
    <s v="Dumraon"/>
    <x v="551"/>
    <s v="ENGLISH DUBAULI"/>
    <s v="MPG"/>
    <s v="Direct"/>
    <n v="671.5"/>
    <n v="24566.159999999993"/>
    <n v="724.81000000000006"/>
    <n v="29493.719999999998"/>
    <n v="26.150000000000002"/>
    <n v="1359.29"/>
    <n v="750.96"/>
    <n v="30853.01"/>
    <n v="24566.159999999993"/>
    <n v="0"/>
    <n v="1359.29"/>
    <n v="6286.8500000000058"/>
    <n v="0"/>
    <n v="0"/>
    <n v="0"/>
    <n v="23207"/>
    <n v="0"/>
    <n v="0"/>
    <n v="0"/>
    <s v="Release3"/>
    <n v="20.852883395383451"/>
    <n v="95.928571428571431"/>
    <n v="-0.25591504736597043"/>
    <n v="13"/>
    <m/>
    <s v="Dumraon"/>
    <m/>
    <n v="0"/>
  </r>
  <r>
    <s v="Munger"/>
    <s v="03-09 Jul"/>
    <n v="1014"/>
    <s v="Dumraon"/>
    <x v="552"/>
    <s v="Ramo Bariya"/>
    <s v="MPG"/>
    <s v="Direct"/>
    <n v="687.19999999999993"/>
    <n v="27173.309999999998"/>
    <n v="715.75000000000011"/>
    <n v="27169.550000000003"/>
    <n v="0"/>
    <n v="0"/>
    <n v="715.75000000000011"/>
    <n v="27169.550000000003"/>
    <n v="27169.550000000003"/>
    <n v="0"/>
    <n v="0"/>
    <n v="0"/>
    <n v="0"/>
    <n v="0"/>
    <n v="0"/>
    <n v="27171"/>
    <n v="0"/>
    <n v="0"/>
    <n v="2"/>
    <n v="0"/>
    <n v="10.122769732246843"/>
    <n v="98.171428571428564"/>
    <n v="1.3837107073060888E-4"/>
    <n v="16"/>
    <m/>
    <s v="Dumraon"/>
    <m/>
    <n v="0"/>
  </r>
  <r>
    <s v="Munger"/>
    <s v="03-09 Jul"/>
    <n v="1014"/>
    <s v="Dumraon"/>
    <x v="553"/>
    <s v="HITAN PARARI"/>
    <s v="MPG"/>
    <s v="Direct"/>
    <n v="1176.8999999999996"/>
    <n v="49702.950000000004"/>
    <n v="1198.6699999999998"/>
    <n v="53132.01"/>
    <n v="0"/>
    <n v="0"/>
    <n v="1198.6699999999998"/>
    <n v="53132.01"/>
    <n v="49702.950000000004"/>
    <n v="0"/>
    <n v="0"/>
    <n v="3429.0599999999977"/>
    <n v="0"/>
    <n v="0"/>
    <n v="0"/>
    <n v="49703"/>
    <n v="0"/>
    <n v="0"/>
    <n v="0"/>
    <n v="0"/>
    <n v="0"/>
    <n v="0"/>
    <n v="-6.8991075982411457E-2"/>
    <n v="6"/>
    <m/>
    <s v="Dumraon"/>
    <m/>
    <n v="0"/>
  </r>
  <r>
    <s v="Munger"/>
    <s v="03-09 Jul"/>
    <n v="1014"/>
    <s v="Dumraon"/>
    <x v="554"/>
    <s v="DULLAHPUR2"/>
    <s v="MPG"/>
    <s v="Direct"/>
    <n v="147.30000000000001"/>
    <n v="4699.46"/>
    <n v="148"/>
    <n v="4653.12"/>
    <n v="0"/>
    <n v="0"/>
    <n v="148"/>
    <n v="4653.12"/>
    <n v="4653.12"/>
    <n v="0"/>
    <n v="0"/>
    <n v="0"/>
    <n v="3960"/>
    <n v="0"/>
    <n v="0"/>
    <n v="693"/>
    <n v="0"/>
    <n v="0"/>
    <n v="46"/>
    <s v="Release1"/>
    <n v="352.66687603530215"/>
    <n v="21.042857142857144"/>
    <n v="9.8607074004247609E-3"/>
    <n v="1"/>
    <m/>
    <s v="Dumraon"/>
    <m/>
    <n v="0"/>
  </r>
  <r>
    <s v="Munger"/>
    <s v="03-09 Jul"/>
    <n v="1014"/>
    <s v="Dumraon"/>
    <x v="555"/>
    <s v="Gangauli"/>
    <s v="MPG"/>
    <s v="Direct"/>
    <n v="1221.3"/>
    <n v="52888.210000000006"/>
    <n v="1217.8899999999999"/>
    <n v="53555.630000000005"/>
    <n v="5.1000000000000005"/>
    <n v="201.70000000000005"/>
    <n v="1222.9899999999998"/>
    <n v="53757.33"/>
    <n v="52888.210000000006"/>
    <n v="0"/>
    <n v="201.70000000000005"/>
    <n v="869.11999999999534"/>
    <n v="0"/>
    <n v="0"/>
    <n v="0"/>
    <n v="52687"/>
    <n v="0"/>
    <n v="0"/>
    <n v="0"/>
    <s v="Release3"/>
    <n v="0"/>
    <n v="0"/>
    <n v="-1.6433152114620542E-2"/>
    <n v="15"/>
    <m/>
    <s v="Dumraon"/>
    <m/>
    <n v="0"/>
  </r>
  <r>
    <s v="Munger"/>
    <s v="03-09 Jul"/>
    <n v="1014"/>
    <s v="Dumraon"/>
    <x v="556"/>
    <s v="MATHURA DERA"/>
    <s v="MPG"/>
    <s v="Direct"/>
    <n v="2247"/>
    <n v="89222"/>
    <n v="2307.6"/>
    <n v="89156.859999999986"/>
    <n v="4"/>
    <n v="136.24"/>
    <n v="2311.6"/>
    <n v="89293.099999999991"/>
    <n v="89222"/>
    <n v="0"/>
    <n v="136.24"/>
    <n v="71.099999999991269"/>
    <n v="0"/>
    <n v="0"/>
    <n v="0"/>
    <n v="89086"/>
    <n v="0"/>
    <n v="0"/>
    <n v="0"/>
    <s v="Release3"/>
    <n v="0"/>
    <n v="0"/>
    <n v="-7.96888659747498E-4"/>
    <n v="6"/>
    <m/>
    <s v="Dumraon"/>
    <m/>
    <n v="0"/>
  </r>
  <r>
    <s v="Munger"/>
    <s v="03-09 Jul"/>
    <n v="1014"/>
    <s v="Dumraon"/>
    <x v="557"/>
    <s v="NANDAN"/>
    <s v="MPG"/>
    <s v="Direct"/>
    <n v="350.7"/>
    <n v="18661.379999999997"/>
    <n v="349"/>
    <n v="18626.13"/>
    <n v="0"/>
    <n v="0"/>
    <n v="349"/>
    <n v="18626.13"/>
    <n v="18626.13"/>
    <n v="0"/>
    <n v="0"/>
    <n v="0"/>
    <n v="0"/>
    <n v="0"/>
    <n v="0"/>
    <n v="18626"/>
    <n v="0"/>
    <n v="0"/>
    <n v="35"/>
    <n v="0"/>
    <n v="371.73766946107781"/>
    <n v="50.1"/>
    <n v="1.8889278284883737E-3"/>
    <n v="2"/>
    <m/>
    <s v="Dumraon"/>
    <m/>
    <n v="0"/>
  </r>
  <r>
    <s v="Munger"/>
    <s v="03-09 Jul"/>
    <n v="1014"/>
    <s v="Dumraon"/>
    <x v="558"/>
    <s v="RAJAPUR"/>
    <s v="MPG"/>
    <s v="Direct"/>
    <n v="56.6"/>
    <n v="2052.86"/>
    <n v="68.900000000000006"/>
    <n v="2705.21"/>
    <n v="0"/>
    <n v="0"/>
    <n v="68.900000000000006"/>
    <n v="2705.21"/>
    <n v="2052.86"/>
    <n v="0"/>
    <n v="0"/>
    <n v="652.34999999999991"/>
    <n v="0"/>
    <n v="500"/>
    <n v="0"/>
    <n v="1553"/>
    <n v="0"/>
    <n v="0"/>
    <n v="0"/>
    <n v="0"/>
    <n v="466.71735830388695"/>
    <n v="8.0857142857142854"/>
    <n v="-0.31777617567686051"/>
    <n v="1"/>
    <m/>
    <s v="Dumraon"/>
    <m/>
    <n v="500"/>
  </r>
  <r>
    <s v="Munger"/>
    <s v="03-09 Jul"/>
    <n v="1014"/>
    <s v="Dumraon"/>
    <x v="559"/>
    <s v="HEMDAPUR"/>
    <s v="MPG"/>
    <s v="Direct"/>
    <n v="487.1"/>
    <n v="18889.290000000005"/>
    <n v="480"/>
    <n v="18936.419999999998"/>
    <n v="0"/>
    <n v="0"/>
    <n v="480"/>
    <n v="18936.419999999998"/>
    <n v="18889.290000000005"/>
    <n v="0"/>
    <n v="0"/>
    <n v="47.129999999993743"/>
    <n v="0"/>
    <n v="0"/>
    <n v="0"/>
    <n v="18889"/>
    <n v="0"/>
    <n v="0"/>
    <n v="0"/>
    <n v="0"/>
    <n v="165.1213237938822"/>
    <n v="69.585714285714289"/>
    <n v="-2.495064663626517E-3"/>
    <n v="3"/>
    <m/>
    <s v="Dumraon"/>
    <m/>
    <n v="0"/>
  </r>
  <r>
    <s v="Munger"/>
    <s v="03-09 Jul"/>
    <n v="1014"/>
    <s v="Dumraon"/>
    <x v="560"/>
    <s v="Chaugain"/>
    <s v="MPG"/>
    <s v="Direct"/>
    <n v="417.49999999999994"/>
    <n v="15290.150000000001"/>
    <n v="419"/>
    <n v="15259.98"/>
    <n v="0"/>
    <n v="0"/>
    <n v="419"/>
    <n v="15259.98"/>
    <n v="15259.98"/>
    <n v="0"/>
    <n v="0"/>
    <n v="0"/>
    <n v="0"/>
    <n v="500"/>
    <n v="0"/>
    <n v="14760"/>
    <n v="0"/>
    <n v="0"/>
    <n v="30"/>
    <n v="0"/>
    <n v="206.92059281437133"/>
    <n v="59.642857142857132"/>
    <n v="1.9731657308791535E-3"/>
    <n v="2"/>
    <m/>
    <s v="Dumraon"/>
    <m/>
    <n v="500"/>
  </r>
  <r>
    <s v="Munger"/>
    <s v="03-09 Jul"/>
    <n v="1014"/>
    <s v="Dumraon"/>
    <x v="561"/>
    <s v="Akalupur"/>
    <s v="MPG"/>
    <s v="Direct"/>
    <n v="93.4"/>
    <n v="3584.9800000000005"/>
    <n v="94"/>
    <n v="3528.7599999999998"/>
    <n v="0"/>
    <n v="0"/>
    <n v="94"/>
    <n v="3528.7599999999998"/>
    <n v="3528.7599999999998"/>
    <n v="0"/>
    <n v="0"/>
    <n v="0"/>
    <n v="0"/>
    <n v="0"/>
    <n v="0"/>
    <n v="3529"/>
    <n v="0"/>
    <n v="0"/>
    <n v="56"/>
    <n v="0"/>
    <n v="465.66356916488229"/>
    <n v="13.342857142857143"/>
    <n v="1.568209585548614E-2"/>
    <n v="2"/>
    <m/>
    <s v="Dumraon"/>
    <m/>
    <n v="0"/>
  </r>
  <r>
    <s v="Munger"/>
    <s v="03-09 Jul"/>
    <n v="1014"/>
    <s v="Dumraon"/>
    <x v="562"/>
    <s v="Chhotka Sihanpura"/>
    <s v="MPG"/>
    <s v="Direct"/>
    <n v="348.6"/>
    <n v="12826.949999999999"/>
    <n v="353.4"/>
    <n v="13890.370000000003"/>
    <n v="4.1000000000000005"/>
    <n v="154.14000000000001"/>
    <n v="357.5"/>
    <n v="14044.510000000002"/>
    <n v="12826.949999999999"/>
    <n v="0"/>
    <n v="154.14000000000001"/>
    <n v="1217.5600000000031"/>
    <n v="0"/>
    <n v="0"/>
    <n v="0"/>
    <n v="12673"/>
    <n v="0"/>
    <n v="0"/>
    <n v="0"/>
    <n v="0"/>
    <n v="258.59955421686743"/>
    <n v="49.800000000000004"/>
    <n v="-9.4922019653932016E-2"/>
    <n v="4"/>
    <m/>
    <s v="Dumraon"/>
    <m/>
    <n v="0"/>
  </r>
  <r>
    <s v="Munger"/>
    <s v="03-09 Jul"/>
    <n v="1014"/>
    <s v="Dumraon"/>
    <x v="563"/>
    <s v="Dharauli"/>
    <s v="MPG"/>
    <s v="Direct"/>
    <n v="214.5"/>
    <n v="8610.5300000000007"/>
    <n v="210.9"/>
    <n v="8629.5399999999991"/>
    <n v="4.6000000000000005"/>
    <n v="176.16"/>
    <n v="215.5"/>
    <n v="8805.6999999999989"/>
    <n v="8610.5300000000007"/>
    <n v="0"/>
    <n v="176.16"/>
    <n v="195.16999999999825"/>
    <n v="0"/>
    <n v="0"/>
    <n v="0"/>
    <n v="8434"/>
    <n v="0"/>
    <n v="0"/>
    <n v="0"/>
    <n v="0"/>
    <n v="389.78203403263404"/>
    <n v="30.642857142857142"/>
    <n v="-2.2666432844435619E-2"/>
    <n v="9"/>
    <m/>
    <s v="Dumraon"/>
    <m/>
    <n v="0"/>
  </r>
  <r>
    <s v="Munger"/>
    <s v="03-09 Jul"/>
    <n v="1014"/>
    <s v="Dumraon"/>
    <x v="564"/>
    <s v="Ramopatti"/>
    <s v="MPG"/>
    <s v="Direct"/>
    <n v="220"/>
    <n v="8709.49"/>
    <n v="219"/>
    <n v="8405.2199999999993"/>
    <n v="0"/>
    <n v="0"/>
    <n v="219"/>
    <n v="8405.2199999999993"/>
    <n v="8405.2199999999993"/>
    <n v="0"/>
    <n v="0"/>
    <n v="0"/>
    <n v="0"/>
    <n v="500"/>
    <n v="0"/>
    <n v="7905"/>
    <n v="0"/>
    <n v="0"/>
    <n v="304"/>
    <n v="0"/>
    <n v="380.05047272727273"/>
    <n v="31.428571428571427"/>
    <n v="3.4935455462949086E-2"/>
    <n v="2"/>
    <m/>
    <s v="Dumraon"/>
    <m/>
    <n v="500"/>
  </r>
  <r>
    <s v="Munger"/>
    <s v="03-09 Jul"/>
    <n v="1014"/>
    <s v="Dumraon"/>
    <x v="565"/>
    <s v="Kaithi"/>
    <s v="MPG"/>
    <s v="Direct"/>
    <n v="200.8"/>
    <n v="7400.81"/>
    <n v="198"/>
    <n v="7375.5"/>
    <n v="0"/>
    <n v="0"/>
    <n v="198"/>
    <n v="7375.5"/>
    <n v="7375.5"/>
    <n v="0"/>
    <n v="0"/>
    <n v="0"/>
    <n v="0"/>
    <n v="500"/>
    <n v="0"/>
    <n v="6876"/>
    <n v="0"/>
    <n v="0"/>
    <n v="25"/>
    <n v="0"/>
    <n v="367.97652908366535"/>
    <n v="28.685714285714287"/>
    <n v="3.4198959303103848E-3"/>
    <n v="2"/>
    <m/>
    <s v="Dumraon"/>
    <m/>
    <n v="500"/>
  </r>
  <r>
    <s v="Munger"/>
    <s v="03-09 Jul"/>
    <n v="1014"/>
    <s v="Dumraon"/>
    <x v="566"/>
    <s v="Rangi Dera"/>
    <s v="MPG"/>
    <s v="Direct"/>
    <n v="148.20000000000002"/>
    <n v="5787.2000000000007"/>
    <n v="148"/>
    <n v="5760.16"/>
    <n v="0"/>
    <n v="0"/>
    <n v="148"/>
    <n v="5760.16"/>
    <n v="5760.16"/>
    <n v="0"/>
    <n v="0"/>
    <n v="0"/>
    <n v="0"/>
    <n v="0"/>
    <n v="0"/>
    <n v="5761"/>
    <n v="0"/>
    <n v="0"/>
    <n v="26"/>
    <n v="0"/>
    <n v="430.9550553306342"/>
    <n v="21.171428571428574"/>
    <n v="4.6723804257673609E-3"/>
    <n v="2"/>
    <m/>
    <s v="Dumraon"/>
    <m/>
    <n v="0"/>
  </r>
  <r>
    <s v="Munger"/>
    <s v="03-09 Jul"/>
    <n v="1014"/>
    <s v="Dumraon"/>
    <x v="567"/>
    <s v="Dubki"/>
    <s v="MPG"/>
    <s v="Direct"/>
    <n v="492.1"/>
    <n v="22865"/>
    <n v="556.92999999999995"/>
    <n v="27596.019999999997"/>
    <n v="1.1000000000000001"/>
    <n v="44.75"/>
    <n v="558.03"/>
    <n v="27640.769999999997"/>
    <n v="22865"/>
    <n v="0"/>
    <n v="44.75"/>
    <n v="4775.7699999999968"/>
    <n v="0"/>
    <n v="0"/>
    <n v="0"/>
    <n v="22820"/>
    <n v="0"/>
    <n v="0"/>
    <n v="0"/>
    <n v="0"/>
    <n v="193.19786628734002"/>
    <n v="70.3"/>
    <n v="-0.20886813907719207"/>
    <n v="6"/>
    <m/>
    <s v="Dumraon"/>
    <m/>
    <n v="0"/>
  </r>
  <r>
    <s v="Munger"/>
    <s v="03-09 Jul"/>
    <n v="1014"/>
    <s v="Dumraon"/>
    <x v="568"/>
    <s v="Sonvarsa"/>
    <s v="MPG"/>
    <s v="Direct"/>
    <n v="246.79999999999995"/>
    <n v="9744.0099999999984"/>
    <n v="245.95"/>
    <n v="10043.59"/>
    <n v="0"/>
    <n v="0"/>
    <n v="245.95"/>
    <n v="10043.59"/>
    <n v="9744.0099999999984"/>
    <n v="0"/>
    <n v="0"/>
    <n v="299.58000000000175"/>
    <n v="0"/>
    <n v="0"/>
    <n v="0"/>
    <n v="9744"/>
    <n v="0"/>
    <n v="0"/>
    <n v="0"/>
    <n v="0"/>
    <n v="357.85942722852519"/>
    <n v="35.257142857142853"/>
    <n v="-3.0745042338831938E-2"/>
    <n v="3"/>
    <m/>
    <s v="Dumraon"/>
    <m/>
    <n v="0"/>
  </r>
  <r>
    <s v="Munger"/>
    <s v="03-09 Jul"/>
    <n v="1014"/>
    <s v="Dumraon"/>
    <x v="569"/>
    <s v="Soan"/>
    <s v="MPG"/>
    <s v="Direct"/>
    <n v="394.80000000000007"/>
    <n v="17359.57"/>
    <n v="419.92"/>
    <n v="17629.510000000002"/>
    <n v="3.6500000000000004"/>
    <n v="155.52000000000001"/>
    <n v="423.57"/>
    <n v="17785.030000000002"/>
    <n v="17359.57"/>
    <n v="0"/>
    <n v="155.52000000000001"/>
    <n v="425.46000000000276"/>
    <n v="6650"/>
    <n v="0"/>
    <n v="0"/>
    <n v="10554"/>
    <n v="0"/>
    <n v="0"/>
    <n v="0"/>
    <n v="0"/>
    <n v="268.39618865248218"/>
    <n v="56.400000000000013"/>
    <n v="-2.4508671585759485E-2"/>
    <n v="9"/>
    <m/>
    <s v="Dumraon"/>
    <m/>
    <n v="0"/>
  </r>
  <r>
    <s v="Munger"/>
    <s v="03-09 Jul"/>
    <n v="1014"/>
    <s v="Dumraon"/>
    <x v="570"/>
    <s v="PURANA BHOJPUR                                                                                      "/>
    <s v="MPG"/>
    <s v="Direct"/>
    <n v="319.19999999999993"/>
    <n v="12226.080000000002"/>
    <n v="320.89999999999998"/>
    <n v="12223.08"/>
    <n v="0"/>
    <n v="0"/>
    <n v="320.89999999999998"/>
    <n v="12223.08"/>
    <n v="12223.08"/>
    <n v="0"/>
    <n v="0"/>
    <n v="0"/>
    <n v="2660"/>
    <n v="0"/>
    <n v="0"/>
    <n v="9563"/>
    <n v="0"/>
    <n v="0"/>
    <n v="3"/>
    <n v="0"/>
    <n v="291.7099789473686"/>
    <n v="45.599999999999987"/>
    <n v="2.4537709552054451E-4"/>
    <n v="3"/>
    <m/>
    <s v="Dumraon"/>
    <m/>
    <n v="0"/>
  </r>
  <r>
    <s v="Munger"/>
    <s v="03-09 Jul"/>
    <n v="1014"/>
    <s v="Dumraon"/>
    <x v="571"/>
    <s v="Gomukh Kant"/>
    <s v="MPG"/>
    <s v="Direct"/>
    <n v="212.9"/>
    <n v="10068.85"/>
    <n v="229.5"/>
    <n v="12293.94"/>
    <n v="1.4"/>
    <n v="71.490000000000009"/>
    <n v="230.9"/>
    <n v="12365.43"/>
    <n v="10068.85"/>
    <n v="0"/>
    <n v="71.490000000000009"/>
    <n v="2296.58"/>
    <n v="0"/>
    <n v="500"/>
    <n v="0"/>
    <n v="9497"/>
    <n v="0"/>
    <n v="0"/>
    <n v="0"/>
    <n v="0"/>
    <n v="460.73619868482865"/>
    <n v="30.414285714285715"/>
    <n v="-0.22808761675861691"/>
    <n v="5"/>
    <m/>
    <s v="Dumraon"/>
    <m/>
    <n v="500"/>
  </r>
  <r>
    <s v="Munger"/>
    <s v="03-09 Jul"/>
    <n v="1014"/>
    <s v="Dumraon"/>
    <x v="572"/>
    <s v="Gomukh Naat"/>
    <s v="MPG"/>
    <s v="Direct"/>
    <n v="393.3"/>
    <n v="15329.310000000001"/>
    <n v="396.19"/>
    <n v="16003.030000000002"/>
    <n v="0"/>
    <n v="0"/>
    <n v="396.19"/>
    <n v="16003.030000000002"/>
    <n v="15329.310000000001"/>
    <n v="0"/>
    <n v="0"/>
    <n v="673.72000000000116"/>
    <n v="0"/>
    <n v="0"/>
    <n v="0"/>
    <n v="15329"/>
    <n v="0"/>
    <n v="0"/>
    <n v="0"/>
    <n v="0"/>
    <n v="239.07955133485888"/>
    <n v="56.18571428571429"/>
    <n v="-4.3949792913053565E-2"/>
    <n v="2"/>
    <m/>
    <s v="Dumraon"/>
    <m/>
    <n v="0"/>
  </r>
  <r>
    <s v="Munger"/>
    <s v="03-09 Jul"/>
    <n v="1014"/>
    <s v="Dumraon"/>
    <x v="573"/>
    <s v="Gomukh Raghunathpur"/>
    <s v="MPG"/>
    <s v="Direct"/>
    <n v="432.29999999999995"/>
    <n v="16677.52"/>
    <n v="389.4"/>
    <n v="16649.169999999998"/>
    <n v="0"/>
    <n v="0"/>
    <n v="389.4"/>
    <n v="16649.169999999998"/>
    <n v="16649.169999999998"/>
    <n v="0"/>
    <n v="0"/>
    <n v="0"/>
    <n v="0"/>
    <n v="0"/>
    <n v="0"/>
    <n v="16649"/>
    <n v="0"/>
    <n v="0"/>
    <n v="29"/>
    <n v="0"/>
    <n v="206.54971566042107"/>
    <n v="61.757142857142853"/>
    <n v="1.6998930296592168E-3"/>
    <n v="3"/>
    <m/>
    <s v="Dumraon"/>
    <m/>
    <n v="0"/>
  </r>
  <r>
    <s v="Munger"/>
    <s v="03-09 Jul"/>
    <n v="1014"/>
    <s v="Dumraon"/>
    <x v="574"/>
    <s v="Gomukh Tilakraika Hata 1 - Manoj"/>
    <s v="vlc"/>
    <s v="Indirect"/>
    <n v="1534.8999999999999"/>
    <n v="52969.020000000004"/>
    <n v="0"/>
    <n v="0"/>
    <n v="0"/>
    <n v="0"/>
    <n v="0"/>
    <n v="0"/>
    <n v="52969.020000000004"/>
    <n v="0"/>
    <n v="0"/>
    <n v="0"/>
    <n v="0"/>
    <n v="0"/>
    <n v="0"/>
    <n v="0"/>
    <n v="0"/>
    <n v="52969.020000000004"/>
    <n v="0"/>
    <n v="0"/>
    <n v="0"/>
    <n v="0"/>
    <n v="0"/>
    <n v="0"/>
    <m/>
    <s v="Dumraon"/>
    <m/>
    <n v="0"/>
  </r>
  <r>
    <s v="Munger"/>
    <s v="03-09 Jul"/>
    <n v="1014"/>
    <s v="Dumraon"/>
    <x v="575"/>
    <s v="Gomukh Murar"/>
    <s v="MPG"/>
    <s v="Direct"/>
    <n v="1078.5999999999999"/>
    <n v="44559.25"/>
    <n v="573.30000000000007"/>
    <n v="23627.46"/>
    <n v="655.6"/>
    <n v="31311.89"/>
    <n v="1228.9000000000001"/>
    <n v="54939.35"/>
    <n v="44559.25"/>
    <n v="0"/>
    <n v="321.32"/>
    <n v="10380.099999999999"/>
    <n v="0"/>
    <n v="0"/>
    <n v="0"/>
    <n v="13249"/>
    <n v="30989"/>
    <n v="0"/>
    <n v="0"/>
    <n v="0"/>
    <n v="0"/>
    <n v="0"/>
    <n v="-0.23295050971459347"/>
    <n v="15"/>
    <m/>
    <s v="Dumraon"/>
    <m/>
    <n v="0"/>
  </r>
  <r>
    <s v="Munger"/>
    <s v="03-09 Jul"/>
    <n v="1014"/>
    <s v="Dumraon"/>
    <x v="576"/>
    <s v="Gomukh Churamanpur                                                                                  "/>
    <s v="MPG"/>
    <s v="Direct"/>
    <n v="159.1"/>
    <n v="6480.9"/>
    <n v="159"/>
    <n v="6431.55"/>
    <n v="0"/>
    <n v="0"/>
    <n v="159"/>
    <n v="6431.55"/>
    <n v="6431.55"/>
    <n v="0"/>
    <n v="0"/>
    <n v="0"/>
    <n v="0"/>
    <n v="0"/>
    <n v="0"/>
    <n v="6432"/>
    <n v="0"/>
    <n v="0"/>
    <n v="49"/>
    <n v="0"/>
    <n v="440.66861219358896"/>
    <n v="22.728571428571428"/>
    <n v="7.6146831458592879E-3"/>
    <n v="1"/>
    <m/>
    <s v="Dumraon"/>
    <m/>
    <n v="0"/>
  </r>
  <r>
    <s v="Munger"/>
    <s v="03-09 Jul"/>
    <n v="1014"/>
    <s v="Dumraon"/>
    <x v="577"/>
    <s v="Gomukh Ekauni Karuwaj"/>
    <s v="MPG"/>
    <s v="Direct"/>
    <n v="19"/>
    <n v="666.55"/>
    <n v="21.8"/>
    <n v="757.28"/>
    <n v="39.500000000000007"/>
    <n v="1409.58"/>
    <n v="61.300000000000011"/>
    <n v="2166.8599999999997"/>
    <n v="666.55"/>
    <n v="0"/>
    <n v="0"/>
    <n v="1500.3099999999997"/>
    <n v="0"/>
    <n v="0"/>
    <n v="0"/>
    <n v="0"/>
    <n v="667"/>
    <n v="0"/>
    <n v="0"/>
    <s v="Release3"/>
    <n v="477.81110526315791"/>
    <n v="2.7142857142857144"/>
    <n v="-2.2508589003075534"/>
    <n v="2"/>
    <m/>
    <s v="Dumraon"/>
    <m/>
    <n v="0"/>
  </r>
  <r>
    <s v="Munger"/>
    <s v="03-09 Jul"/>
    <n v="1014"/>
    <s v="Dumraon"/>
    <x v="578"/>
    <s v="Kulharia Agriculture Producer Company Limited"/>
    <s v="MPG"/>
    <s v="Direct"/>
    <n v="972.09999999999991"/>
    <n v="39857.160000000003"/>
    <n v="936.51999999999987"/>
    <n v="39393"/>
    <n v="11.589999999999998"/>
    <n v="457.57999999999993"/>
    <n v="948.1099999999999"/>
    <n v="39850.58"/>
    <n v="39850.58"/>
    <n v="0"/>
    <n v="457.57999999999993"/>
    <n v="0"/>
    <n v="0"/>
    <n v="0"/>
    <n v="0"/>
    <n v="39393"/>
    <n v="0"/>
    <n v="0"/>
    <n v="7"/>
    <n v="0"/>
    <n v="0"/>
    <n v="0"/>
    <n v="1.6508953472855933E-4"/>
    <n v="4"/>
    <m/>
    <s v="Dumraon"/>
    <m/>
    <n v="0"/>
  </r>
  <r>
    <s v="Munger"/>
    <s v="03-09 Jul"/>
    <n v="1014"/>
    <s v="Dumraon"/>
    <x v="579"/>
    <s v="Gomukh Dhakaich"/>
    <s v="MPG"/>
    <s v="Direct"/>
    <n v="180.09999999999997"/>
    <n v="7093.64"/>
    <n v="192.8"/>
    <n v="7149.82"/>
    <n v="0"/>
    <n v="0"/>
    <n v="192.8"/>
    <n v="7149.82"/>
    <n v="7093.64"/>
    <n v="0"/>
    <n v="0"/>
    <n v="56.179999999999382"/>
    <n v="0"/>
    <n v="0"/>
    <n v="0"/>
    <n v="7094"/>
    <n v="0"/>
    <n v="0"/>
    <n v="0"/>
    <n v="0"/>
    <n v="409.54841043864525"/>
    <n v="25.728571428571424"/>
    <n v="-7.9197703858666889E-3"/>
    <n v="6"/>
    <m/>
    <s v="Dumraon"/>
    <m/>
    <n v="0"/>
  </r>
  <r>
    <s v="Munger"/>
    <s v="03-09 Jul"/>
    <n v="1014"/>
    <s v="Dumraon"/>
    <x v="580"/>
    <s v="Gomukh Kajipura Chandan"/>
    <s v="vlc"/>
    <s v="Indirect"/>
    <n v="688"/>
    <n v="26197.179999999997"/>
    <n v="0"/>
    <n v="0"/>
    <n v="0"/>
    <n v="0"/>
    <n v="0"/>
    <n v="0"/>
    <n v="26197.179999999997"/>
    <n v="0"/>
    <n v="0"/>
    <n v="0"/>
    <n v="0"/>
    <n v="0"/>
    <n v="0"/>
    <n v="0"/>
    <n v="0"/>
    <n v="26197.179999999997"/>
    <n v="0"/>
    <n v="0"/>
    <n v="9.1385511627906642"/>
    <n v="98.285714285714292"/>
    <n v="0"/>
    <n v="0"/>
    <m/>
    <s v="Dumraon"/>
    <m/>
    <n v="0"/>
  </r>
  <r>
    <s v="Munger"/>
    <s v="03-09 Jul"/>
    <n v="1014"/>
    <s v="Dumraon"/>
    <x v="581"/>
    <s v="Gomukh Sikraul Lakh"/>
    <s v="MPG"/>
    <s v="Direct"/>
    <n v="547.70000000000005"/>
    <n v="22478.39"/>
    <n v="537.40000000000009"/>
    <n v="22699.39"/>
    <n v="8.69"/>
    <n v="349.71999999999997"/>
    <n v="546.09000000000015"/>
    <n v="23049.11"/>
    <n v="22478.39"/>
    <n v="0"/>
    <n v="349.71999999999997"/>
    <n v="570.72000000000116"/>
    <n v="0"/>
    <n v="0"/>
    <n v="0"/>
    <n v="22129"/>
    <n v="0"/>
    <n v="0"/>
    <n v="0"/>
    <s v="Release3"/>
    <n v="125.01218904509763"/>
    <n v="78.242857142857147"/>
    <n v="-2.5389718747650572E-2"/>
    <n v="2"/>
    <m/>
    <s v="Dumraon"/>
    <m/>
    <n v="0"/>
  </r>
  <r>
    <s v="Munger"/>
    <s v="03-09 Jul"/>
    <n v="1014"/>
    <s v="Dumraon"/>
    <x v="582"/>
    <s v="Gomukh Dafadihari"/>
    <s v="MPG"/>
    <s v="Direct"/>
    <n v="248.7"/>
    <n v="9207.39"/>
    <n v="252.33"/>
    <n v="9866.6300000000028"/>
    <n v="1.2"/>
    <n v="49.860000000000007"/>
    <n v="253.53"/>
    <n v="9916.4900000000034"/>
    <n v="9207.39"/>
    <n v="0"/>
    <n v="49.860000000000007"/>
    <n v="709.100000000004"/>
    <n v="0"/>
    <n v="0"/>
    <n v="0"/>
    <n v="9158"/>
    <n v="0"/>
    <n v="0"/>
    <n v="0"/>
    <s v="Release3"/>
    <n v="334.16124704463209"/>
    <n v="35.528571428571425"/>
    <n v="-7.7014224443626697E-2"/>
    <n v="6"/>
    <m/>
    <s v="Dumraon"/>
    <m/>
    <n v="0"/>
  </r>
  <r>
    <s v="Munger"/>
    <s v="03-09 Jul"/>
    <n v="1014"/>
    <s v="Dumraon"/>
    <x v="583"/>
    <s v="Gomukh Paharpur"/>
    <s v="MPG"/>
    <s v="Direct"/>
    <n v="96.2"/>
    <n v="3473.9900000000002"/>
    <n v="96"/>
    <n v="3456"/>
    <n v="0"/>
    <n v="0"/>
    <n v="96"/>
    <n v="3456"/>
    <n v="3456"/>
    <n v="0"/>
    <n v="0"/>
    <n v="0"/>
    <n v="0"/>
    <n v="500"/>
    <n v="0"/>
    <n v="2956"/>
    <n v="0"/>
    <n v="0"/>
    <n v="18"/>
    <n v="0"/>
    <n v="436.09047027027026"/>
    <n v="13.742857142857144"/>
    <n v="5.1784835304650376E-3"/>
    <n v="2"/>
    <m/>
    <s v="Dumraon"/>
    <m/>
    <n v="500"/>
  </r>
  <r>
    <s v="Munger"/>
    <s v="03-09 Jul"/>
    <n v="1014"/>
    <s v="Dumraon"/>
    <x v="584"/>
    <s v="Gomukh Basaon Kalan"/>
    <s v="MPG"/>
    <s v="Direct"/>
    <n v="30"/>
    <n v="1165.8699999999999"/>
    <n v="30"/>
    <n v="1143.3"/>
    <n v="0"/>
    <n v="0"/>
    <n v="30"/>
    <n v="1143.3"/>
    <n v="1143.3"/>
    <n v="0"/>
    <n v="0"/>
    <n v="0"/>
    <n v="0"/>
    <n v="0"/>
    <n v="0"/>
    <n v="1143"/>
    <n v="0"/>
    <n v="0"/>
    <n v="23"/>
    <n v="0"/>
    <n v="520.75526666666667"/>
    <n v="4.2857142857142856"/>
    <n v="1.9358933671850154E-2"/>
    <n v="1"/>
    <m/>
    <s v="Dumraon"/>
    <m/>
    <n v="0"/>
  </r>
  <r>
    <s v="Munger"/>
    <s v="03-09 Jul"/>
    <n v="1014"/>
    <s v="Dumraon"/>
    <x v="585"/>
    <s v="Gomukh Mangolpur"/>
    <s v="MPG"/>
    <s v="Direct"/>
    <n v="364.40000000000003"/>
    <n v="12413.250000000002"/>
    <n v="342.7"/>
    <n v="12207.779999999999"/>
    <n v="5.6"/>
    <n v="201.35999999999996"/>
    <n v="348.3"/>
    <n v="12409.14"/>
    <n v="12409.14"/>
    <n v="0"/>
    <n v="201.35999999999996"/>
    <n v="0"/>
    <n v="0"/>
    <n v="0"/>
    <n v="0"/>
    <n v="12209"/>
    <n v="0"/>
    <n v="0"/>
    <n v="3"/>
    <n v="0"/>
    <n v="228.64361690450053"/>
    <n v="52.057142857142864"/>
    <n v="3.3109781886310198E-4"/>
    <n v="9"/>
    <m/>
    <s v="Dumraon"/>
    <m/>
    <n v="0"/>
  </r>
  <r>
    <s v="Munger"/>
    <s v="03-09 Jul"/>
    <n v="1014"/>
    <s v="Dumraon"/>
    <x v="586"/>
    <s v="Gomukh Dhanipur"/>
    <s v="MPG"/>
    <s v="Direct"/>
    <n v="207"/>
    <n v="8982.9699999999993"/>
    <n v="210.81"/>
    <n v="10162.029999999999"/>
    <n v="0"/>
    <n v="0"/>
    <n v="210.81"/>
    <n v="10162.029999999999"/>
    <n v="8982.9699999999993"/>
    <n v="0"/>
    <n v="0"/>
    <n v="1179.0599999999995"/>
    <n v="0"/>
    <n v="0"/>
    <n v="0"/>
    <n v="8983"/>
    <n v="0"/>
    <n v="0"/>
    <n v="0"/>
    <n v="0"/>
    <n v="427.88446473429946"/>
    <n v="29.571428571428573"/>
    <n v="-0.13125503035187688"/>
    <n v="2"/>
    <m/>
    <s v="Dumraon"/>
    <m/>
    <n v="0"/>
  </r>
  <r>
    <s v="Munger"/>
    <s v="03-09 Jul"/>
    <n v="1014"/>
    <s v="Dumraon"/>
    <x v="587"/>
    <s v="Gomukh Rakshanagar_tola"/>
    <s v="MPG"/>
    <s v="Direct"/>
    <n v="559.09999999999991"/>
    <n v="24621.239999999998"/>
    <n v="563.20000000000005"/>
    <n v="26072.690000000002"/>
    <n v="0"/>
    <n v="0"/>
    <n v="563.20000000000005"/>
    <n v="26072.690000000002"/>
    <n v="24621.239999999998"/>
    <n v="0"/>
    <n v="0"/>
    <n v="1451.4500000000044"/>
    <n v="0"/>
    <n v="0"/>
    <n v="0"/>
    <n v="24621"/>
    <n v="0"/>
    <n v="0"/>
    <n v="0"/>
    <n v="0"/>
    <n v="124.09703866929007"/>
    <n v="79.871428571428552"/>
    <n v="-5.8951133249178535E-2"/>
    <n v="3"/>
    <m/>
    <s v="Dumraon"/>
    <m/>
    <n v="0"/>
  </r>
  <r>
    <s v="Munger"/>
    <s v="03-09 Jul"/>
    <n v="1014"/>
    <s v="Dumraon"/>
    <x v="588"/>
    <s v="Gomukh Nadaon"/>
    <s v="MPG"/>
    <s v="Direct"/>
    <n v="294.99999999999994"/>
    <n v="9190.0500000000011"/>
    <n v="294.5"/>
    <n v="9182.51"/>
    <n v="0"/>
    <n v="0"/>
    <n v="294.5"/>
    <n v="9182.51"/>
    <n v="9182.51"/>
    <n v="0"/>
    <n v="0"/>
    <n v="0"/>
    <n v="0"/>
    <n v="500"/>
    <n v="0"/>
    <n v="8683"/>
    <n v="0"/>
    <n v="0"/>
    <n v="7"/>
    <n v="0"/>
    <n v="252.33696610169503"/>
    <n v="42.142857142857132"/>
    <n v="8.2045255466519469E-4"/>
    <n v="1"/>
    <m/>
    <s v="Dumraon"/>
    <m/>
    <n v="500"/>
  </r>
  <r>
    <s v="Munger"/>
    <s v="03-09 Jul"/>
    <n v="1014"/>
    <s v="Dumraon"/>
    <x v="589"/>
    <s v="Gomukh Mathuradera Upendra "/>
    <s v="vlc"/>
    <s v="Indirect"/>
    <n v="317.5"/>
    <n v="13320.449999999999"/>
    <n v="0"/>
    <n v="0"/>
    <n v="0"/>
    <n v="0"/>
    <n v="0"/>
    <n v="0"/>
    <n v="13320.449999999999"/>
    <n v="0"/>
    <n v="0"/>
    <n v="0"/>
    <n v="0"/>
    <n v="0"/>
    <n v="0"/>
    <n v="0"/>
    <n v="0"/>
    <n v="13320.449999999999"/>
    <n v="0"/>
    <n v="0"/>
    <n v="320.94942519685037"/>
    <n v="45.357142857142854"/>
    <n v="0"/>
    <n v="0"/>
    <m/>
    <s v="Dumraon"/>
    <m/>
    <n v="0"/>
  </r>
  <r>
    <s v="Munger"/>
    <s v="03-09 Jul"/>
    <n v="1014"/>
    <s v="Dumraon"/>
    <x v="590"/>
    <s v="Gomukh Bramhpur"/>
    <s v="MPG"/>
    <s v="Direct"/>
    <n v="143.9"/>
    <n v="4903.1499999999996"/>
    <n v="194.13"/>
    <n v="7618.64"/>
    <n v="0"/>
    <n v="0"/>
    <n v="194.13"/>
    <n v="7618.64"/>
    <n v="4903.1499999999996"/>
    <n v="0"/>
    <n v="0"/>
    <n v="2715.4900000000007"/>
    <n v="0"/>
    <n v="500"/>
    <n v="0"/>
    <n v="4403"/>
    <n v="0"/>
    <n v="0"/>
    <n v="0"/>
    <n v="0"/>
    <n v="378.96340722724113"/>
    <n v="20.557142857142857"/>
    <n v="-0.55382560190897712"/>
    <n v="2"/>
    <m/>
    <s v="Dumraon"/>
    <m/>
    <n v="500"/>
  </r>
  <r>
    <s v="Munger"/>
    <s v="03-09 Jul"/>
    <n v="1014"/>
    <s v="Dumraon"/>
    <x v="591"/>
    <s v="Gomukh Mashariya"/>
    <s v="MPG"/>
    <s v="Direct"/>
    <n v="1688.5999999999997"/>
    <n v="68501.469999999987"/>
    <n v="872.2"/>
    <n v="40013.410000000003"/>
    <n v="1169.04"/>
    <n v="45886.460000000006"/>
    <n v="2041.24"/>
    <n v="85899.87000000001"/>
    <n v="68501.469999999987"/>
    <n v="0"/>
    <n v="1563.3100000000002"/>
    <n v="17398.400000000023"/>
    <n v="0"/>
    <n v="0"/>
    <n v="0"/>
    <n v="22615"/>
    <n v="44323"/>
    <n v="0"/>
    <n v="0"/>
    <n v="0"/>
    <n v="0"/>
    <n v="0"/>
    <n v="-0.25398579037792951"/>
    <n v="6"/>
    <m/>
    <s v="Dumraon"/>
    <m/>
    <n v="0"/>
  </r>
  <r>
    <s v="Munger"/>
    <s v="03-09 Jul"/>
    <n v="1014"/>
    <s v="Dumraon"/>
    <x v="592"/>
    <s v="Gomukh Basawkala Sudhir Kumar"/>
    <s v="vlc"/>
    <s v="Indirect"/>
    <n v="325.3"/>
    <n v="13890.739999999998"/>
    <n v="0"/>
    <n v="0"/>
    <n v="0"/>
    <n v="0"/>
    <n v="0"/>
    <n v="0"/>
    <n v="13890.739999999998"/>
    <n v="0"/>
    <n v="0"/>
    <n v="0"/>
    <n v="0"/>
    <n v="0"/>
    <n v="0"/>
    <n v="0"/>
    <n v="0"/>
    <n v="13890.739999999998"/>
    <n v="0"/>
    <n v="0"/>
    <n v="320.0037059944666"/>
    <n v="46.471428571428575"/>
    <n v="0"/>
    <n v="0"/>
    <m/>
    <s v="Dumraon"/>
    <m/>
    <n v="0"/>
  </r>
  <r>
    <s v="Munger"/>
    <s v="03-09 Jul"/>
    <n v="1014"/>
    <s v="Dumraon"/>
    <x v="593"/>
    <s v="Gomukh KritSagar"/>
    <s v="MPG"/>
    <s v="Direct"/>
    <n v="298.60000000000002"/>
    <n v="14300.039999999999"/>
    <n v="298"/>
    <n v="14250.36"/>
    <n v="0"/>
    <n v="0"/>
    <n v="298"/>
    <n v="14250.36"/>
    <n v="14250.36"/>
    <n v="0"/>
    <n v="0"/>
    <n v="0"/>
    <n v="0"/>
    <n v="0"/>
    <n v="0"/>
    <n v="14250"/>
    <n v="0"/>
    <n v="0"/>
    <n v="50"/>
    <n v="0"/>
    <n v="384.46323215003343"/>
    <n v="42.657142857142858"/>
    <n v="3.4741161563183374E-3"/>
    <n v="1"/>
    <m/>
    <s v="Dumraon"/>
    <m/>
    <n v="0"/>
  </r>
  <r>
    <s v="Munger"/>
    <s v="03-09 Jul"/>
    <n v="1014"/>
    <s v="Dumraon"/>
    <x v="594"/>
    <s v="Gomukh Navdera Jaipraksh"/>
    <s v="vlc"/>
    <s v="Indirect"/>
    <n v="1686.2999999999997"/>
    <n v="65904.78"/>
    <n v="0"/>
    <n v="0"/>
    <n v="0"/>
    <n v="0"/>
    <n v="0"/>
    <n v="0"/>
    <n v="65904.78"/>
    <n v="0"/>
    <n v="0"/>
    <n v="0"/>
    <n v="0"/>
    <n v="0"/>
    <n v="0"/>
    <n v="0"/>
    <n v="0"/>
    <n v="65904.78"/>
    <n v="0"/>
    <n v="0"/>
    <n v="0"/>
    <n v="0"/>
    <n v="0"/>
    <n v="0"/>
    <m/>
    <s v="Dumraon"/>
    <m/>
    <n v="0"/>
  </r>
  <r>
    <s v="Munger"/>
    <s v="03-09 Jul"/>
    <n v="1014"/>
    <s v="Dumraon"/>
    <x v="595"/>
    <s v="Gomukh Ataon"/>
    <s v="MPG"/>
    <s v="Direct"/>
    <n v="360.90000000000003"/>
    <n v="15449.289999999999"/>
    <n v="401.99999999999994"/>
    <n v="19221.379999999997"/>
    <n v="0"/>
    <n v="0"/>
    <n v="401.99999999999994"/>
    <n v="19221.379999999997"/>
    <n v="15449.289999999999"/>
    <n v="0"/>
    <n v="0"/>
    <n v="3772.0899999999983"/>
    <n v="0"/>
    <n v="0"/>
    <n v="0"/>
    <n v="15449"/>
    <n v="0"/>
    <n v="0"/>
    <n v="0"/>
    <s v="Release3"/>
    <n v="290.32165358825154"/>
    <n v="51.557142857142864"/>
    <n v="-0.24415944033674031"/>
    <n v="2"/>
    <m/>
    <s v="Dumraon"/>
    <m/>
    <n v="0"/>
  </r>
  <r>
    <s v="Munger"/>
    <s v="03-09 Jul"/>
    <n v="1014"/>
    <s v="Dumraon"/>
    <x v="596"/>
    <s v="Gumukh Gayghat"/>
    <s v="MPG"/>
    <s v="Direct"/>
    <n v="793"/>
    <n v="30443.009999999995"/>
    <n v="798.94999999999993"/>
    <n v="34087.49"/>
    <n v="0"/>
    <n v="0"/>
    <n v="798.94999999999993"/>
    <n v="34087.49"/>
    <n v="30443.009999999995"/>
    <n v="0"/>
    <n v="0"/>
    <n v="3644.4800000000032"/>
    <n v="5320"/>
    <n v="0"/>
    <n v="0"/>
    <n v="25123"/>
    <n v="0"/>
    <n v="0"/>
    <n v="0"/>
    <s v="Release3"/>
    <n v="0"/>
    <n v="0"/>
    <n v="-0.11971483765895698"/>
    <n v="1"/>
    <m/>
    <s v="Dumraon"/>
    <m/>
    <n v="0"/>
  </r>
  <r>
    <s v="Munger"/>
    <s v="03-09 Jul"/>
    <n v="1014"/>
    <s v="Dumraon"/>
    <x v="597"/>
    <s v="Gomukh Chakki Janardan Yadav"/>
    <s v="vlc"/>
    <s v="Indirect"/>
    <n v="118.80000000000001"/>
    <n v="4467.4000000000005"/>
    <n v="0"/>
    <n v="0"/>
    <n v="0"/>
    <n v="0"/>
    <n v="0"/>
    <n v="0"/>
    <n v="4467.4000000000005"/>
    <n v="0"/>
    <n v="0"/>
    <n v="0"/>
    <n v="0"/>
    <n v="0"/>
    <n v="0"/>
    <n v="0"/>
    <n v="0"/>
    <n v="4467.4000000000005"/>
    <n v="0"/>
    <n v="0"/>
    <n v="437.11327946127949"/>
    <n v="16.971428571428572"/>
    <n v="0"/>
    <n v="0"/>
    <m/>
    <s v="Dumraon"/>
    <m/>
    <n v="0"/>
  </r>
  <r>
    <s v="Munger"/>
    <s v="03-09 Jul"/>
    <n v="1014"/>
    <s v="Dumraon"/>
    <x v="598"/>
    <s v="Gomukh Rajpur"/>
    <s v="MPG"/>
    <s v="Direct"/>
    <n v="1105"/>
    <n v="46742.23000000001"/>
    <n v="1098.8400000000004"/>
    <n v="47365.85"/>
    <n v="14.399999999999999"/>
    <n v="624.99999999999989"/>
    <n v="1113.2400000000005"/>
    <n v="47990.85"/>
    <n v="46742.23000000001"/>
    <n v="0"/>
    <n v="624.99999999999989"/>
    <n v="1248.6199999999881"/>
    <n v="0"/>
    <n v="0"/>
    <n v="0"/>
    <n v="46117"/>
    <n v="0"/>
    <n v="0"/>
    <n v="0"/>
    <s v="Release3"/>
    <n v="0"/>
    <n v="0"/>
    <n v="-2.6712888965716608E-2"/>
    <n v="42"/>
    <m/>
    <s v="Dumraon"/>
    <m/>
    <n v="0"/>
  </r>
  <r>
    <s v="Munger"/>
    <s v="03-09 Jul"/>
    <n v="1014"/>
    <s v="Dumraon"/>
    <x v="599"/>
    <s v="Gomukh Gangauli Dubha"/>
    <s v="MPG"/>
    <s v="Direct"/>
    <n v="207.79999999999998"/>
    <n v="8509.9399999999987"/>
    <n v="232"/>
    <n v="9382.66"/>
    <n v="2.6999999999999997"/>
    <n v="110.39"/>
    <n v="234.7"/>
    <n v="9493.0499999999993"/>
    <n v="8509.9399999999987"/>
    <n v="0"/>
    <n v="110.39"/>
    <n v="983.11000000000058"/>
    <n v="2660"/>
    <n v="0"/>
    <n v="0"/>
    <n v="5740"/>
    <n v="0"/>
    <n v="0"/>
    <n v="0"/>
    <n v="0"/>
    <n v="403.13690741097207"/>
    <n v="29.685714285714283"/>
    <n v="-0.11552490381835838"/>
    <n v="7"/>
    <m/>
    <s v="Dumraon"/>
    <m/>
    <n v="0"/>
  </r>
  <r>
    <s v="Munger"/>
    <s v="03-09 Jul"/>
    <n v="1014"/>
    <s v="Dumraon"/>
    <x v="600"/>
    <s v="Gomukh Jagdishpur"/>
    <s v="MPG"/>
    <s v="Direct"/>
    <n v="328.90000000000003"/>
    <n v="11486.03"/>
    <n v="327"/>
    <n v="11458.08"/>
    <n v="0"/>
    <n v="0"/>
    <n v="327"/>
    <n v="11458.08"/>
    <n v="11458.08"/>
    <n v="0"/>
    <n v="0"/>
    <n v="0"/>
    <n v="0"/>
    <n v="0"/>
    <n v="0"/>
    <n v="11458"/>
    <n v="0"/>
    <n v="0"/>
    <n v="28"/>
    <n v="0"/>
    <n v="259.19524068105801"/>
    <n v="46.985714285714288"/>
    <n v="2.4333908234612589E-3"/>
    <n v="1"/>
    <m/>
    <s v="Dumraon"/>
    <m/>
    <n v="0"/>
  </r>
  <r>
    <s v="Munger"/>
    <s v="03-09 Jul"/>
    <n v="1014"/>
    <s v="Dumraon"/>
    <x v="601"/>
    <s v="Gumukk JP Dera"/>
    <s v="vlc"/>
    <s v="Indirect"/>
    <n v="288.69999999999993"/>
    <n v="11343.260000000002"/>
    <n v="0"/>
    <n v="0"/>
    <n v="0"/>
    <n v="0"/>
    <n v="0"/>
    <n v="0"/>
    <n v="11343.260000000002"/>
    <n v="0"/>
    <n v="0"/>
    <n v="0"/>
    <n v="0"/>
    <n v="0"/>
    <n v="0"/>
    <n v="0"/>
    <n v="0"/>
    <n v="11343.260000000002"/>
    <n v="0"/>
    <n v="0"/>
    <n v="323.2062928992035"/>
    <n v="41.242857142857133"/>
    <n v="0"/>
    <n v="0"/>
    <m/>
    <s v="Dumraon"/>
    <m/>
    <n v="0"/>
  </r>
  <r>
    <s v="Munger"/>
    <s v="03-09 Jul"/>
    <n v="1014"/>
    <s v="Dumraon"/>
    <x v="602"/>
    <s v="Gumukh Orap Khurd"/>
    <s v="MPG"/>
    <s v="Direct"/>
    <n v="452.59999999999997"/>
    <n v="18323.530000000002"/>
    <n v="463.65000000000003"/>
    <n v="18778.980000000003"/>
    <n v="0"/>
    <n v="0"/>
    <n v="463.65000000000003"/>
    <n v="18778.980000000003"/>
    <n v="18323.530000000002"/>
    <n v="0"/>
    <n v="0"/>
    <n v="455.45000000000073"/>
    <n v="0"/>
    <n v="0"/>
    <n v="0"/>
    <n v="18324"/>
    <n v="0"/>
    <n v="0"/>
    <n v="0"/>
    <n v="0"/>
    <n v="200.31998771542203"/>
    <n v="64.657142857142858"/>
    <n v="-2.4856018463691256E-2"/>
    <n v="1"/>
    <m/>
    <s v="Dumraon"/>
    <m/>
    <n v="0"/>
  </r>
  <r>
    <s v="Munger"/>
    <s v="03-09 Jul"/>
    <n v="1014"/>
    <s v="Dumraon"/>
    <x v="603"/>
    <s v="Gomukh Daunpura Manendra"/>
    <s v="vlc"/>
    <s v="Indirect"/>
    <n v="407.3"/>
    <n v="16236.9"/>
    <n v="0"/>
    <n v="0"/>
    <n v="0"/>
    <n v="0"/>
    <n v="0"/>
    <n v="0"/>
    <n v="16236.9"/>
    <n v="0"/>
    <n v="0"/>
    <n v="0"/>
    <n v="0"/>
    <n v="0"/>
    <n v="0"/>
    <n v="0"/>
    <n v="0"/>
    <n v="16236.9"/>
    <n v="0"/>
    <n v="0"/>
    <n v="233.36806432604962"/>
    <n v="58.18571428571429"/>
    <n v="0"/>
    <n v="0"/>
    <m/>
    <s v="Dumraon"/>
    <m/>
    <n v="0"/>
  </r>
  <r>
    <s v="Munger"/>
    <s v="03-09 Jul"/>
    <n v="1014"/>
    <s v="Dumraon"/>
    <x v="604"/>
    <s v="Gumukh Mathiyapur"/>
    <s v="MPG"/>
    <s v="Direct"/>
    <n v="237.70000000000002"/>
    <n v="9629.6099999999988"/>
    <n v="239"/>
    <n v="9600.6299999999992"/>
    <n v="0"/>
    <n v="0"/>
    <n v="239"/>
    <n v="9600.6299999999992"/>
    <n v="9600.6299999999992"/>
    <n v="0"/>
    <n v="0"/>
    <n v="0"/>
    <n v="0"/>
    <n v="0"/>
    <n v="0"/>
    <n v="9601"/>
    <n v="0"/>
    <n v="0"/>
    <n v="29"/>
    <n v="0"/>
    <n v="374.57035784602425"/>
    <n v="33.957142857142863"/>
    <n v="3.0094676731455966E-3"/>
    <n v="1"/>
    <m/>
    <s v="Dumraon"/>
    <m/>
    <n v="0"/>
  </r>
  <r>
    <s v="Munger"/>
    <s v="03-09 Jul"/>
    <n v="1014"/>
    <s v="Dumraon"/>
    <x v="605"/>
    <s v="Gomukh Raghunathpur Dasrath"/>
    <s v="vlc"/>
    <s v="Indirect"/>
    <n v="839.2"/>
    <n v="35524.629999999997"/>
    <n v="0"/>
    <n v="0"/>
    <n v="0"/>
    <n v="0"/>
    <n v="0"/>
    <n v="0"/>
    <n v="35524.629999999997"/>
    <n v="0"/>
    <n v="0"/>
    <n v="0"/>
    <n v="0"/>
    <n v="0"/>
    <n v="0"/>
    <n v="0"/>
    <n v="0"/>
    <n v="35524.629999999997"/>
    <n v="0"/>
    <n v="0"/>
    <n v="0"/>
    <n v="0"/>
    <n v="0"/>
    <n v="0"/>
    <m/>
    <s v="Dumraon"/>
    <m/>
    <n v="0"/>
  </r>
  <r>
    <s v="Munger"/>
    <s v="03-09 Jul"/>
    <n v="1014"/>
    <s v="Dumraon"/>
    <x v="606"/>
    <s v="Gomukh Lakshman Dera Raja"/>
    <s v="vlc"/>
    <s v="Indirect"/>
    <n v="140.5"/>
    <n v="5244.11"/>
    <n v="0"/>
    <n v="0"/>
    <n v="0"/>
    <n v="0"/>
    <n v="0"/>
    <n v="0"/>
    <n v="5244.11"/>
    <n v="0"/>
    <n v="0"/>
    <n v="0"/>
    <n v="0"/>
    <n v="0"/>
    <n v="0"/>
    <n v="0"/>
    <n v="0"/>
    <n v="5244.11"/>
    <n v="0"/>
    <n v="0"/>
    <n v="417.662568683274"/>
    <n v="20.071428571428573"/>
    <n v="0"/>
    <n v="0"/>
    <m/>
    <s v="Dumraon"/>
    <m/>
    <n v="0"/>
  </r>
  <r>
    <s v="Munger"/>
    <s v="03-09 Jul"/>
    <n v="1014"/>
    <s v="Dumraon"/>
    <x v="607"/>
    <s v="Sohan Narayan Farmer Dairy Producer Company Ltd"/>
    <s v="vlc"/>
    <s v="Indirect"/>
    <n v="671.8"/>
    <n v="25101.279999999999"/>
    <n v="0"/>
    <n v="0"/>
    <n v="0"/>
    <n v="0"/>
    <n v="0"/>
    <n v="0"/>
    <n v="25101.279999999999"/>
    <n v="0"/>
    <n v="0"/>
    <n v="0"/>
    <n v="0"/>
    <n v="0"/>
    <n v="0"/>
    <n v="0"/>
    <n v="0"/>
    <n v="25101.279999999999"/>
    <n v="0"/>
    <n v="0"/>
    <n v="21.073417564751473"/>
    <n v="95.971428571428561"/>
    <n v="0"/>
    <n v="0"/>
    <m/>
    <s v="Dumraon"/>
    <m/>
    <n v="0"/>
  </r>
  <r>
    <s v="Munger"/>
    <s v="03-09 Jul"/>
    <n v="1014"/>
    <s v="Dumraon"/>
    <x v="608"/>
    <s v="Gomukh Arion Govind "/>
    <s v="vlc"/>
    <s v="Indirect"/>
    <n v="87.1"/>
    <n v="3807.3500000000004"/>
    <n v="0"/>
    <n v="0"/>
    <n v="0"/>
    <n v="0"/>
    <n v="0"/>
    <n v="0"/>
    <n v="3807.3500000000004"/>
    <n v="0"/>
    <n v="0"/>
    <n v="0"/>
    <n v="1330"/>
    <n v="0"/>
    <n v="0"/>
    <n v="0"/>
    <n v="0"/>
    <n v="2477.3500000000004"/>
    <n v="0"/>
    <n v="0"/>
    <n v="535.82659357060868"/>
    <n v="12.442857142857141"/>
    <n v="0"/>
    <n v="0"/>
    <m/>
    <s v="Dumraon"/>
    <m/>
    <n v="0"/>
  </r>
  <r>
    <s v="Munger"/>
    <s v="03-09 Jul"/>
    <n v="1014"/>
    <s v="Dumraon"/>
    <x v="609"/>
    <s v="Gumukh Basawkala Dahpura Tola"/>
    <s v="MPG"/>
    <s v="Direct"/>
    <n v="521.59999999999991"/>
    <n v="21405.29"/>
    <n v="523.51"/>
    <n v="21371.3"/>
    <n v="0"/>
    <n v="0"/>
    <n v="523.51"/>
    <n v="21371.3"/>
    <n v="21371.3"/>
    <n v="0"/>
    <n v="0"/>
    <n v="0"/>
    <n v="0"/>
    <n v="0"/>
    <n v="0"/>
    <n v="21371"/>
    <n v="0"/>
    <n v="0"/>
    <n v="34"/>
    <n v="0"/>
    <n v="146.42268926380376"/>
    <n v="74.514285714285705"/>
    <n v="1.5879252278292702E-3"/>
    <n v="1"/>
    <m/>
    <s v="Dumraon"/>
    <m/>
    <n v="0"/>
  </r>
  <r>
    <s v="Munger"/>
    <s v="03-09 Jul"/>
    <n v="1014"/>
    <s v="Dumraon"/>
    <x v="610"/>
    <s v="GomukhSimari Bakulha Patti"/>
    <s v="vlc"/>
    <s v="Indirect"/>
    <n v="274.10000000000002"/>
    <n v="9732.7000000000007"/>
    <n v="0"/>
    <n v="0"/>
    <n v="0"/>
    <n v="0"/>
    <n v="0"/>
    <n v="0"/>
    <n v="9732.7000000000007"/>
    <n v="0"/>
    <n v="0"/>
    <n v="0"/>
    <n v="0"/>
    <n v="0"/>
    <n v="0"/>
    <n v="0"/>
    <n v="0"/>
    <n v="9732.7000000000007"/>
    <n v="0"/>
    <n v="0"/>
    <n v="302.45581393651952"/>
    <n v="39.157142857142858"/>
    <n v="0"/>
    <n v="0"/>
    <m/>
    <s v="Dumraon"/>
    <m/>
    <n v="0"/>
  </r>
  <r>
    <s v="Munger"/>
    <s v="03-09 Jul"/>
    <n v="1014"/>
    <s v="Dumraon"/>
    <x v="611"/>
    <s v="Gomukh Baijnathpur"/>
    <s v="MPG"/>
    <s v="Direct"/>
    <n v="928.5"/>
    <n v="37299.290000000008"/>
    <n v="927.38"/>
    <n v="37280.080000000009"/>
    <n v="0"/>
    <n v="0"/>
    <n v="927.38"/>
    <n v="37280.080000000009"/>
    <n v="37280.080000000009"/>
    <n v="0"/>
    <n v="0"/>
    <n v="0"/>
    <n v="0"/>
    <n v="0"/>
    <n v="0"/>
    <n v="37280"/>
    <n v="0"/>
    <n v="0"/>
    <n v="19"/>
    <n v="0"/>
    <n v="0"/>
    <n v="0"/>
    <n v="5.1502320821654034E-4"/>
    <n v="2"/>
    <m/>
    <s v="Dumraon"/>
    <m/>
    <n v="0"/>
  </r>
  <r>
    <s v="Munger"/>
    <s v="03-09 Jul"/>
    <n v="1014"/>
    <s v="Dumraon"/>
    <x v="612"/>
    <s v="Gomukh Banjhudera"/>
    <s v="vlc"/>
    <s v="Indirect"/>
    <n v="714.8"/>
    <n v="26620.019999999997"/>
    <n v="0"/>
    <n v="0"/>
    <n v="0"/>
    <n v="0"/>
    <n v="0"/>
    <n v="0"/>
    <n v="26620.019999999997"/>
    <n v="0"/>
    <n v="0"/>
    <n v="0"/>
    <n v="0"/>
    <n v="0"/>
    <n v="0"/>
    <n v="0"/>
    <n v="0"/>
    <n v="26620.019999999997"/>
    <n v="0"/>
    <n v="0"/>
    <n v="0"/>
    <n v="0"/>
    <n v="0"/>
    <n v="0"/>
    <m/>
    <s v="Dumraon"/>
    <m/>
    <n v="0"/>
  </r>
  <r>
    <s v="Munger"/>
    <s v="03-09 Jul"/>
    <n v="1002"/>
    <s v="Laldiyara"/>
    <x v="613"/>
    <s v="Gaachhi Tola"/>
    <s v="vlc"/>
    <s v="Indirect"/>
    <n v="801.5"/>
    <n v="33393.4"/>
    <n v="0"/>
    <n v="0"/>
    <n v="0"/>
    <n v="0"/>
    <n v="0"/>
    <n v="0"/>
    <n v="33393.4"/>
    <n v="0"/>
    <n v="0"/>
    <n v="0"/>
    <n v="0"/>
    <n v="0"/>
    <n v="0"/>
    <n v="0"/>
    <n v="0"/>
    <n v="33393.4"/>
    <n v="0"/>
    <n v="0"/>
    <n v="0"/>
    <n v="0"/>
    <n v="0"/>
    <n v="0"/>
    <m/>
    <s v="Laldiyara"/>
    <m/>
    <n v="0"/>
  </r>
  <r>
    <s v="Munger"/>
    <s v="03-09 Jul"/>
    <n v="1003"/>
    <s v="Asarganj"/>
    <x v="614"/>
    <s v="KUMARPUIR KATHARA"/>
    <s v="RMC"/>
    <s v="Direct"/>
    <n v="2221.6999999999998"/>
    <n v="84624.55"/>
    <n v="2307.8000000000011"/>
    <n v="83120.5"/>
    <n v="28.700000000000003"/>
    <n v="1496.7899999999997"/>
    <n v="2336.5000000000009"/>
    <n v="84617.29"/>
    <n v="84617.29"/>
    <n v="0"/>
    <n v="1496.7899999999997"/>
    <n v="0"/>
    <n v="0"/>
    <n v="0"/>
    <n v="0"/>
    <n v="83122"/>
    <n v="0"/>
    <n v="0"/>
    <n v="6"/>
    <n v="0"/>
    <n v="0"/>
    <n v="0"/>
    <n v="8.5790707306677709E-5"/>
    <n v="71"/>
    <m/>
    <s v="Asarganj"/>
    <m/>
    <n v="0"/>
  </r>
  <r>
    <s v="Munger"/>
    <s v="03-09 Jul"/>
    <n v="1003"/>
    <s v="Asarganj"/>
    <x v="615"/>
    <s v="KUDHIYA MPG"/>
    <s v="RMC"/>
    <s v="Direct"/>
    <n v="2075.8000000000002"/>
    <n v="89125.859999999986"/>
    <n v="2091.5000000000005"/>
    <n v="89766.889999999985"/>
    <n v="12.399999999999999"/>
    <n v="526.79000000000008"/>
    <n v="2103.9000000000005"/>
    <n v="90293.679999999978"/>
    <n v="89125.859999999986"/>
    <n v="0"/>
    <n v="526.79000000000008"/>
    <n v="1167.8199999999924"/>
    <n v="0"/>
    <n v="0"/>
    <n v="0"/>
    <n v="88599"/>
    <n v="0"/>
    <n v="0"/>
    <n v="0"/>
    <n v="0"/>
    <n v="0"/>
    <n v="0"/>
    <n v="-1.3103043269372016E-2"/>
    <n v="18"/>
    <m/>
    <s v="Asarganj"/>
    <m/>
    <n v="0"/>
  </r>
  <r>
    <s v="Munger"/>
    <s v="03-09 Jul"/>
    <n v="1003"/>
    <s v="Asarganj"/>
    <x v="616"/>
    <s v="SHAHJADPUR MPG"/>
    <s v="RMC"/>
    <s v="Direct"/>
    <n v="1558.55"/>
    <n v="59391.899999999994"/>
    <n v="1575.6"/>
    <n v="68486.010000000009"/>
    <n v="7.8999999999999995"/>
    <n v="349.61"/>
    <n v="1583.5"/>
    <n v="68835.62000000001"/>
    <n v="59391.899999999994"/>
    <n v="0"/>
    <n v="349.61"/>
    <n v="9443.7200000000157"/>
    <n v="25"/>
    <n v="0"/>
    <n v="0"/>
    <n v="59017"/>
    <n v="0"/>
    <n v="0"/>
    <n v="0"/>
    <n v="0"/>
    <n v="0"/>
    <n v="0"/>
    <n v="-0.15900686793990454"/>
    <n v="15"/>
    <m/>
    <s v="Asarganj"/>
    <m/>
    <n v="0"/>
  </r>
  <r>
    <s v="Munger"/>
    <s v="03-09 Jul"/>
    <n v="1006"/>
    <s v="Sonvarsha"/>
    <x v="617"/>
    <s v="FARDA - 3"/>
    <s v="RMC"/>
    <s v="Direct"/>
    <n v="1827.6999999999998"/>
    <n v="66706.95"/>
    <n v="195.29999999999998"/>
    <n v="7278.3000000000011"/>
    <n v="1680.5999999999997"/>
    <n v="63402.060000000005"/>
    <n v="1875.8999999999996"/>
    <n v="70680.36"/>
    <n v="66706.95"/>
    <n v="0"/>
    <n v="312.97000000000003"/>
    <n v="3973.4100000000035"/>
    <n v="0"/>
    <n v="0"/>
    <n v="0"/>
    <n v="3304"/>
    <n v="63090"/>
    <n v="0"/>
    <n v="0"/>
    <n v="0"/>
    <n v="0"/>
    <n v="0"/>
    <n v="-5.9565157753427543E-2"/>
    <n v="14"/>
    <m/>
    <s v="Sonvarsha"/>
    <m/>
    <n v="0"/>
  </r>
  <r>
    <s v="Munger"/>
    <s v="03-09 Jul"/>
    <n v="1006"/>
    <s v="Sonvarsha"/>
    <x v="618"/>
    <s v="CHANDANPURA"/>
    <s v="vlc"/>
    <s v="Indirect"/>
    <n v="561.4"/>
    <n v="23214.759999999995"/>
    <n v="0"/>
    <n v="0"/>
    <n v="0"/>
    <n v="0"/>
    <n v="0"/>
    <n v="0"/>
    <n v="23214.759999999995"/>
    <n v="0"/>
    <n v="0"/>
    <n v="0"/>
    <n v="0"/>
    <n v="0"/>
    <n v="0"/>
    <n v="0"/>
    <n v="0"/>
    <n v="23214.759999999995"/>
    <n v="0"/>
    <n v="0"/>
    <n v="114.62649576059844"/>
    <n v="80.2"/>
    <n v="0"/>
    <n v="0"/>
    <m/>
    <s v="Sonvarsha"/>
    <m/>
    <n v="0"/>
  </r>
  <r>
    <s v="Munger"/>
    <s v="03-09 Jul"/>
    <n v="1006"/>
    <s v="Sonvarsha"/>
    <x v="619"/>
    <s v="MANIKPUR"/>
    <s v="RMC"/>
    <s v="Direct"/>
    <n v="1065.4000000000001"/>
    <n v="42865.340000000004"/>
    <n v="0"/>
    <n v="0"/>
    <n v="1041.2"/>
    <n v="41875.459999999992"/>
    <n v="1041.2"/>
    <n v="41875.459999999992"/>
    <n v="41875.459999999992"/>
    <n v="0"/>
    <n v="249.29"/>
    <n v="0"/>
    <n v="0"/>
    <n v="0"/>
    <n v="0"/>
    <n v="0"/>
    <n v="41625"/>
    <n v="0"/>
    <n v="991"/>
    <n v="0"/>
    <n v="0"/>
    <n v="0"/>
    <n v="2.3092783120348792E-2"/>
    <n v="11"/>
    <m/>
    <s v="Sonvarsha"/>
    <m/>
    <n v="0"/>
  </r>
  <r>
    <s v="Munger"/>
    <s v="03-09 Jul"/>
    <n v="1006"/>
    <s v="Sonvarsha"/>
    <x v="620"/>
    <s v="JAKARPURA"/>
    <s v="vlc"/>
    <s v="Indirect"/>
    <n v="2046.5000000000002"/>
    <n v="81216.700000000026"/>
    <n v="0"/>
    <n v="0"/>
    <n v="0"/>
    <n v="0"/>
    <n v="0"/>
    <n v="0"/>
    <n v="81216.700000000026"/>
    <n v="0"/>
    <n v="0"/>
    <n v="0"/>
    <n v="0"/>
    <n v="0"/>
    <n v="0"/>
    <n v="0"/>
    <n v="0"/>
    <n v="81216.700000000026"/>
    <n v="0"/>
    <n v="0"/>
    <n v="0"/>
    <n v="0"/>
    <n v="0"/>
    <n v="0"/>
    <m/>
    <s v="Sonvarsha"/>
    <m/>
    <n v="0"/>
  </r>
  <r>
    <s v="Munger"/>
    <s v="03-09 Jul"/>
    <n v="1006"/>
    <s v="Sonvarsha"/>
    <x v="621"/>
    <s v="KISHANPUR"/>
    <s v="vlc"/>
    <s v="Indirect"/>
    <n v="2496"/>
    <n v="96473.68"/>
    <n v="0"/>
    <n v="0"/>
    <n v="0"/>
    <n v="0"/>
    <n v="0"/>
    <n v="0"/>
    <n v="96473.68"/>
    <n v="0"/>
    <n v="0"/>
    <n v="0"/>
    <n v="0"/>
    <n v="0"/>
    <n v="0"/>
    <n v="0"/>
    <n v="0"/>
    <n v="96473.68"/>
    <n v="0"/>
    <n v="0"/>
    <n v="0"/>
    <n v="0"/>
    <n v="0"/>
    <n v="0"/>
    <m/>
    <s v="Sonvarsha"/>
    <m/>
    <n v="0"/>
  </r>
  <r>
    <s v="Munger"/>
    <s v="03-09 Jul"/>
    <n v="1006"/>
    <s v="Sonvarsha"/>
    <x v="622"/>
    <s v="NANDPUR"/>
    <s v="vlc"/>
    <s v="Indirect"/>
    <n v="1400.8999999999996"/>
    <n v="54229.26"/>
    <n v="0"/>
    <n v="0"/>
    <n v="0"/>
    <n v="0"/>
    <n v="0"/>
    <n v="0"/>
    <n v="54229.26"/>
    <n v="0"/>
    <n v="0"/>
    <n v="0"/>
    <n v="0"/>
    <n v="0"/>
    <n v="0"/>
    <n v="0"/>
    <n v="0"/>
    <n v="54229.26"/>
    <n v="0"/>
    <n v="0"/>
    <n v="0"/>
    <n v="0"/>
    <n v="0"/>
    <n v="0"/>
    <m/>
    <s v="Sonvarsha"/>
    <m/>
    <n v="0"/>
  </r>
  <r>
    <s v="Munger"/>
    <s v="03-09 Jul"/>
    <n v="1006"/>
    <s v="Sonvarsha"/>
    <x v="623"/>
    <s v="NOWAGADHI"/>
    <s v="RMC"/>
    <s v="Direct"/>
    <n v="1849.8999999999999"/>
    <n v="74177.47"/>
    <n v="1940.7"/>
    <n v="74011.35000000002"/>
    <n v="18.8"/>
    <n v="723.8"/>
    <n v="1959.5"/>
    <n v="74735.150000000023"/>
    <n v="74177.47"/>
    <n v="0"/>
    <n v="723.8"/>
    <n v="557.68000000002212"/>
    <n v="0"/>
    <n v="0"/>
    <n v="0"/>
    <n v="73454"/>
    <n v="0"/>
    <n v="0"/>
    <n v="0"/>
    <n v="0"/>
    <n v="0"/>
    <n v="0"/>
    <n v="-7.5181857779730438E-3"/>
    <n v="17"/>
    <m/>
    <s v="Sonvarsha"/>
    <m/>
    <n v="0"/>
  </r>
  <r>
    <s v="Munger"/>
    <s v="03-09 Jul"/>
    <n v="1036"/>
    <s v="MAHADAT PUR 2"/>
    <x v="624"/>
    <s v="MAHADAT PUR 2"/>
    <s v="RMC"/>
    <s v="Direct"/>
    <n v="2345.8000000000002"/>
    <n v="93052.680000000008"/>
    <n v="2322.9"/>
    <n v="92162.280000000013"/>
    <n v="22.9"/>
    <n v="890.4"/>
    <n v="2345.8000000000002"/>
    <n v="93052.680000000008"/>
    <n v="93052.680000000008"/>
    <n v="0"/>
    <n v="890.4"/>
    <n v="0"/>
    <n v="0"/>
    <n v="0"/>
    <n v="0"/>
    <n v="92161"/>
    <n v="0"/>
    <n v="0"/>
    <n v="1"/>
    <n v="0"/>
    <n v="0"/>
    <n v="0"/>
    <n v="0"/>
    <n v="12"/>
    <m/>
    <s v="MAHADAT PUR 2"/>
    <m/>
    <n v="0"/>
  </r>
  <r>
    <s v="Munger"/>
    <s v="03-09 Jul"/>
    <n v="1007"/>
    <s v="Araria"/>
    <x v="625"/>
    <s v="SONBARSHA 1"/>
    <s v="RMC"/>
    <s v="Direct"/>
    <n v="426"/>
    <n v="15336"/>
    <n v="422"/>
    <n v="15192"/>
    <n v="4"/>
    <n v="144"/>
    <n v="426"/>
    <n v="15336"/>
    <n v="15336"/>
    <n v="0"/>
    <n v="144"/>
    <n v="0"/>
    <n v="0"/>
    <n v="0"/>
    <n v="0"/>
    <n v="15192"/>
    <n v="0"/>
    <n v="0"/>
    <n v="0"/>
    <n v="0"/>
    <n v="197.28"/>
    <n v="60.857142857142854"/>
    <n v="0"/>
    <n v="8"/>
    <m/>
    <s v="Araria"/>
    <m/>
    <n v="0"/>
  </r>
  <r>
    <s v="Munger"/>
    <s v="03-09 Jul"/>
    <n v="1007"/>
    <s v="Araria"/>
    <x v="626"/>
    <s v="GANOUL"/>
    <s v="RMC"/>
    <s v="Indirect"/>
    <n v="708"/>
    <n v="25010.48"/>
    <n v="600"/>
    <n v="21684"/>
    <n v="0"/>
    <n v="0"/>
    <n v="600"/>
    <n v="21684"/>
    <n v="25010.48"/>
    <n v="0"/>
    <n v="28.97"/>
    <n v="0"/>
    <n v="0"/>
    <n v="0"/>
    <n v="0"/>
    <n v="0"/>
    <n v="0"/>
    <n v="24981.51"/>
    <n v="0"/>
    <n v="0"/>
    <n v="0"/>
    <n v="0"/>
    <n v="0"/>
    <n v="5"/>
    <m/>
    <s v="Araria"/>
    <m/>
    <n v="0"/>
  </r>
  <r>
    <s v="Munger"/>
    <s v="03-09 Jul"/>
    <n v="1007"/>
    <s v="Araria"/>
    <x v="627"/>
    <s v="Gauripur"/>
    <s v="RMC"/>
    <s v="Direct"/>
    <n v="2697"/>
    <n v="94780.83"/>
    <n v="2324"/>
    <n v="81784.160000000003"/>
    <n v="373"/>
    <n v="12993.620000000003"/>
    <n v="2697"/>
    <n v="94777.78"/>
    <n v="94777.78"/>
    <n v="0"/>
    <n v="211.01999999999998"/>
    <n v="0"/>
    <n v="0"/>
    <n v="0"/>
    <n v="0"/>
    <n v="81785"/>
    <n v="12783"/>
    <n v="0"/>
    <n v="2"/>
    <n v="0"/>
    <n v="0"/>
    <n v="0"/>
    <n v="3.2179502964923499E-5"/>
    <n v="16"/>
    <m/>
    <s v="Araria"/>
    <m/>
    <n v="0"/>
  </r>
  <r>
    <s v="Munger"/>
    <s v="03-09 Jul"/>
    <n v="1007"/>
    <s v="Araria"/>
    <x v="628"/>
    <s v="Bhramarpur"/>
    <s v="RMC"/>
    <s v="Direct"/>
    <n v="2374"/>
    <n v="83081.14"/>
    <n v="870"/>
    <n v="30463.5"/>
    <n v="1596"/>
    <n v="55878.479999999996"/>
    <n v="2466"/>
    <n v="86341.98"/>
    <n v="83081.14"/>
    <n v="0"/>
    <n v="139.84"/>
    <n v="3260.8399999999965"/>
    <n v="0"/>
    <n v="0"/>
    <n v="0"/>
    <n v="27202"/>
    <n v="55739"/>
    <n v="0"/>
    <n v="0"/>
    <n v="0"/>
    <n v="0"/>
    <n v="0"/>
    <n v="-3.9248859608811297E-2"/>
    <n v="15"/>
    <m/>
    <s v="Araria"/>
    <m/>
    <n v="0"/>
  </r>
  <r>
    <s v="Munger"/>
    <s v="03-09 Jul"/>
    <n v="1011"/>
    <s v="Sahibpur Kamal"/>
    <x v="629"/>
    <s v="Gomukh Bariyarpur"/>
    <s v="MPG"/>
    <s v="Direct"/>
    <n v="784.10000000000014"/>
    <n v="28627.379999999997"/>
    <n v="774"/>
    <n v="28376.579999999998"/>
    <n v="0"/>
    <n v="0"/>
    <n v="774"/>
    <n v="28376.579999999998"/>
    <n v="28376.579999999998"/>
    <n v="0"/>
    <n v="0"/>
    <n v="0"/>
    <n v="0"/>
    <n v="0"/>
    <n v="0"/>
    <n v="28377"/>
    <n v="0"/>
    <n v="0"/>
    <n v="250"/>
    <n v="0"/>
    <n v="0"/>
    <n v="0"/>
    <n v="8.7608436398999585E-3"/>
    <n v="1"/>
    <m/>
    <s v="Sahibpur Kamal"/>
    <m/>
    <n v="0"/>
  </r>
  <r>
    <s v="Munger"/>
    <s v="03-09 Jul"/>
    <n v="1011"/>
    <s v="Sahibpur Kamal"/>
    <x v="630"/>
    <s v="Gomukh Sadananpur"/>
    <s v="MPG"/>
    <s v="Direct"/>
    <n v="58.400000000000006"/>
    <n v="1928.19"/>
    <n v="257.39999999999998"/>
    <n v="9533.99"/>
    <n v="0"/>
    <n v="0"/>
    <n v="257.39999999999998"/>
    <n v="9533.99"/>
    <n v="1928.19"/>
    <n v="0"/>
    <n v="0"/>
    <n v="7605.7999999999993"/>
    <n v="0"/>
    <n v="0"/>
    <n v="0"/>
    <n v="1928"/>
    <n v="0"/>
    <n v="0"/>
    <n v="0"/>
    <s v="Release4"/>
    <n v="423.67352876712323"/>
    <n v="8.3428571428571434"/>
    <n v="-3.9445282881873669"/>
    <n v="1"/>
    <m/>
    <s v="Sahibpur Kamal"/>
    <m/>
    <n v="0"/>
  </r>
  <r>
    <s v="Munger"/>
    <s v="03-09 Jul"/>
    <n v="1003"/>
    <s v="Asarganj"/>
    <x v="631"/>
    <s v="TILAKPUR  2"/>
    <s v="MPG"/>
    <s v="Direct"/>
    <n v="485.15000000000003"/>
    <n v="17298.43"/>
    <n v="490.90000000000003"/>
    <n v="18529.29"/>
    <n v="1"/>
    <n v="38.71"/>
    <n v="491.90000000000003"/>
    <n v="18568"/>
    <n v="17298.43"/>
    <n v="0"/>
    <n v="38.71"/>
    <n v="1269.5699999999997"/>
    <n v="0"/>
    <n v="0"/>
    <n v="0"/>
    <n v="17260"/>
    <n v="0"/>
    <n v="0"/>
    <n v="0"/>
    <n v="0"/>
    <n v="153.21313760692564"/>
    <n v="69.307142857142864"/>
    <n v="-7.3392209582025636E-2"/>
    <n v="11"/>
    <m/>
    <s v="Asarganj"/>
    <m/>
    <n v="0"/>
  </r>
  <r>
    <s v="Munger"/>
    <s v="03-09 Jul"/>
    <n v="1003"/>
    <s v="Asarganj"/>
    <x v="632"/>
    <s v="TILAKPUR"/>
    <s v="MPG"/>
    <s v="Direct"/>
    <n v="784.84999999999991"/>
    <n v="24846.95"/>
    <n v="777.7"/>
    <n v="25858.98"/>
    <n v="1.8000000000000005"/>
    <n v="58.559999999999988"/>
    <n v="779.5"/>
    <n v="25917.54"/>
    <n v="24846.95"/>
    <n v="0"/>
    <n v="58.559999999999988"/>
    <n v="1070.5900000000001"/>
    <n v="0"/>
    <n v="0"/>
    <n v="0"/>
    <n v="24788"/>
    <n v="0"/>
    <n v="0"/>
    <n v="0"/>
    <n v="0"/>
    <n v="0"/>
    <n v="0"/>
    <n v="-4.3087380946152352E-2"/>
    <n v="4"/>
    <m/>
    <s v="Asarganj"/>
    <m/>
    <n v="0"/>
  </r>
  <r>
    <s v="Munger"/>
    <s v="03-09 Jul"/>
    <n v="1036"/>
    <s v="MAHADAT PUR 2"/>
    <x v="633"/>
    <s v="Prasharpur Kadwa Gomukh"/>
    <s v="MPG"/>
    <s v="Direct"/>
    <n v="390.9"/>
    <n v="14540.82"/>
    <n v="388"/>
    <n v="14410.2"/>
    <n v="2.9000000000000004"/>
    <n v="108.57000000000001"/>
    <n v="390.9"/>
    <n v="14518.77"/>
    <n v="14518.77"/>
    <n v="0"/>
    <n v="108.57000000000001"/>
    <n v="0"/>
    <n v="0"/>
    <n v="0"/>
    <n v="0"/>
    <n v="14410"/>
    <n v="0"/>
    <n v="0"/>
    <n v="22"/>
    <n v="0"/>
    <n v="229.95996224098235"/>
    <n v="55.842857142857142"/>
    <n v="1.5164206695357809E-3"/>
    <n v="3"/>
    <m/>
    <s v="MAHADAT PUR 2"/>
    <m/>
    <n v="0"/>
  </r>
  <r>
    <s v="Munger"/>
    <s v="03-09 Jul"/>
    <n v="1036"/>
    <s v="MAHADAT PUR 2"/>
    <x v="634"/>
    <s v="Borwa Tola Gomukh"/>
    <s v="vlc"/>
    <s v="Indirect"/>
    <n v="390.99999999999994"/>
    <n v="13050.69"/>
    <n v="391.3"/>
    <n v="13151.51"/>
    <n v="0"/>
    <n v="0"/>
    <n v="391.3"/>
    <n v="13151.51"/>
    <n v="13050.69"/>
    <n v="0"/>
    <n v="0"/>
    <n v="100.81999999999971"/>
    <n v="0"/>
    <n v="0"/>
    <n v="0"/>
    <n v="0"/>
    <n v="0"/>
    <n v="13050.69"/>
    <n v="0"/>
    <n v="0"/>
    <n v="206.27433299232743"/>
    <n v="55.857142857142847"/>
    <n v="0"/>
    <n v="1"/>
    <m/>
    <s v="MAHADAT PUR 2"/>
    <m/>
    <n v="0"/>
  </r>
  <r>
    <s v="Munger"/>
    <s v="03-09 Jul"/>
    <n v="1007"/>
    <s v="Araria"/>
    <x v="635"/>
    <s v="Sheela Devi"/>
    <s v="vlc"/>
    <s v="Indirect"/>
    <n v="627"/>
    <n v="21023.31"/>
    <n v="0"/>
    <n v="0"/>
    <n v="0"/>
    <n v="0"/>
    <n v="0"/>
    <n v="0"/>
    <n v="21023.31"/>
    <n v="0"/>
    <n v="0"/>
    <n v="0"/>
    <n v="0"/>
    <n v="0"/>
    <n v="0"/>
    <n v="0"/>
    <n v="0"/>
    <n v="21023.31"/>
    <n v="0"/>
    <n v="0"/>
    <n v="48.953800000000008"/>
    <n v="89.571428571428569"/>
    <n v="0"/>
    <n v="0"/>
    <m/>
    <s v="Araria"/>
    <m/>
    <n v="0"/>
  </r>
  <r>
    <s v="Munger"/>
    <s v="03-09 Jul"/>
    <n v="1036"/>
    <s v="MAHADAT PUR 2"/>
    <x v="636"/>
    <s v="Gomukh Vijay Lalganj"/>
    <s v="MPG"/>
    <s v="Direct"/>
    <n v="395.8"/>
    <n v="16172.599999999999"/>
    <n v="2465.8999999999996"/>
    <n v="98854.450000000012"/>
    <n v="1.4000000000000001"/>
    <n v="58.27000000000001"/>
    <n v="2467.2999999999997"/>
    <n v="98912.720000000016"/>
    <n v="16172.599999999999"/>
    <n v="0"/>
    <n v="58.27000000000001"/>
    <n v="82740.120000000024"/>
    <n v="0"/>
    <n v="0"/>
    <n v="0"/>
    <n v="16114"/>
    <n v="0"/>
    <n v="0"/>
    <n v="0"/>
    <n v="0"/>
    <n v="248.59549873673569"/>
    <n v="56.542857142857144"/>
    <n v="-5.1160679173416783"/>
    <n v="3"/>
    <m/>
    <s v="MAHADAT PUR 2"/>
    <m/>
    <n v="0"/>
  </r>
  <r>
    <s v="Munger"/>
    <s v="03-09 Jul"/>
    <n v="1036"/>
    <s v="MAHADAT PUR 2"/>
    <x v="637"/>
    <s v="Gomukh Sarswati Nagar Nakdahri"/>
    <s v="MPG"/>
    <s v="Direct"/>
    <n v="549.9"/>
    <n v="22191.87"/>
    <n v="364.08000000000004"/>
    <n v="14888.85"/>
    <n v="196.96000000000004"/>
    <n v="8149.62"/>
    <n v="561.04000000000008"/>
    <n v="23038.47"/>
    <n v="22191.87"/>
    <n v="0"/>
    <n v="123.74000000000001"/>
    <n v="846.60000000000218"/>
    <n v="0"/>
    <n v="0"/>
    <n v="0"/>
    <n v="14042"/>
    <n v="8026"/>
    <n v="0"/>
    <n v="0"/>
    <n v="0"/>
    <n v="121.14928848881618"/>
    <n v="78.55714285714285"/>
    <n v="-3.814910595637061E-2"/>
    <n v="9"/>
    <m/>
    <s v="MAHADAT PUR 2"/>
    <m/>
    <n v="0"/>
  </r>
  <r>
    <s v="Munger"/>
    <s v="03-09 Jul"/>
    <n v="1036"/>
    <s v="MAHADAT PUR 2"/>
    <x v="638"/>
    <s v="Dhobina Basa"/>
    <s v="MPG"/>
    <s v="Direct"/>
    <n v="478.7999999999999"/>
    <n v="18458.55"/>
    <n v="285.3"/>
    <n v="12453.36"/>
    <n v="275"/>
    <n v="12003.849999999999"/>
    <n v="560.29999999999995"/>
    <n v="24457.21"/>
    <n v="18458.55"/>
    <n v="0"/>
    <n v="61.179999999999986"/>
    <n v="5998.66"/>
    <n v="0"/>
    <n v="0"/>
    <n v="0"/>
    <n v="6454"/>
    <n v="11943"/>
    <n v="0"/>
    <n v="0"/>
    <n v="0"/>
    <n v="170.55268421052639"/>
    <n v="68.399999999999991"/>
    <n v="-0.3249800228078587"/>
    <n v="3"/>
    <m/>
    <s v="MAHADAT PUR 2"/>
    <m/>
    <n v="0"/>
  </r>
  <r>
    <s v="Munger"/>
    <s v="03-09 Jul"/>
    <n v="1036"/>
    <s v="MAHADAT PUR 2"/>
    <x v="639"/>
    <s v="Gomukh Shreepur Madhay"/>
    <s v="MPG"/>
    <s v="Direct"/>
    <n v="1148.5000000000002"/>
    <n v="46224.849999999984"/>
    <n v="985.6"/>
    <n v="40570.229999999996"/>
    <n v="163.6"/>
    <n v="6675.5599999999995"/>
    <n v="1149.2"/>
    <n v="47245.789999999994"/>
    <n v="46224.849999999984"/>
    <n v="0"/>
    <n v="2706.3399999999997"/>
    <n v="1020.9400000000096"/>
    <n v="0"/>
    <n v="0"/>
    <n v="0"/>
    <n v="39550"/>
    <n v="3969"/>
    <n v="0"/>
    <n v="0"/>
    <n v="0"/>
    <n v="0"/>
    <n v="0"/>
    <n v="-2.2086388598340719E-2"/>
    <n v="7"/>
    <m/>
    <s v="MAHADAT PUR 2"/>
    <m/>
    <n v="0"/>
  </r>
  <r>
    <s v="Munger"/>
    <s v="03-09 Jul"/>
    <n v="1036"/>
    <s v="MAHADAT PUR 2"/>
    <x v="640"/>
    <s v="Gomukh Dhoriya Dadpur -VLC"/>
    <s v="vlc"/>
    <s v="Indirect"/>
    <n v="369.8"/>
    <n v="13798.84"/>
    <n v="0"/>
    <n v="0"/>
    <n v="0"/>
    <n v="0"/>
    <n v="0"/>
    <n v="0"/>
    <n v="13798.84"/>
    <n v="0"/>
    <n v="0"/>
    <n v="0"/>
    <n v="0"/>
    <n v="0"/>
    <n v="0"/>
    <n v="0"/>
    <n v="0"/>
    <n v="13798.84"/>
    <n v="0"/>
    <n v="0"/>
    <n v="246.42384899945915"/>
    <n v="52.828571428571429"/>
    <n v="0"/>
    <n v="0"/>
    <m/>
    <s v="MAHADAT PUR 2"/>
    <m/>
    <n v="0"/>
  </r>
  <r>
    <s v="Munger"/>
    <s v="03-09 Jul"/>
    <n v="1036"/>
    <s v="MAHADAT PUR 2"/>
    <x v="641"/>
    <s v="Gomukh Mohanpur  VLC"/>
    <s v="vlc"/>
    <s v="Indirect"/>
    <n v="154.20000000000005"/>
    <n v="5439.14"/>
    <n v="0"/>
    <n v="0"/>
    <n v="0"/>
    <n v="0"/>
    <n v="0"/>
    <n v="0"/>
    <n v="5439.14"/>
    <n v="0"/>
    <n v="0"/>
    <n v="0"/>
    <n v="0"/>
    <n v="0"/>
    <n v="0"/>
    <n v="0"/>
    <n v="0"/>
    <n v="5439.14"/>
    <n v="0"/>
    <n v="0"/>
    <n v="385.04314033722426"/>
    <n v="22.028571428571436"/>
    <n v="0"/>
    <n v="0"/>
    <m/>
    <s v="MAHADAT PUR 2"/>
    <m/>
    <n v="0"/>
  </r>
  <r>
    <s v="Munger"/>
    <s v="03-09 Jul"/>
    <n v="1036"/>
    <s v="MAHADAT PUR 2"/>
    <x v="642"/>
    <s v="Gomukh Abhirampur VLC"/>
    <s v="vlc"/>
    <s v="Indirect"/>
    <n v="373.2"/>
    <n v="15455.41"/>
    <n v="0"/>
    <n v="0"/>
    <n v="0"/>
    <n v="0"/>
    <n v="0"/>
    <n v="0"/>
    <n v="15455.41"/>
    <n v="0"/>
    <n v="0"/>
    <n v="0"/>
    <n v="0"/>
    <n v="0"/>
    <n v="0"/>
    <n v="0"/>
    <n v="0"/>
    <n v="15455.41"/>
    <n v="0"/>
    <n v="0"/>
    <n v="270.6767410503752"/>
    <n v="53.31428571428571"/>
    <n v="0"/>
    <n v="0"/>
    <m/>
    <s v="MAHADAT PUR 2"/>
    <m/>
    <n v="0"/>
  </r>
  <r>
    <s v="Munger"/>
    <s v="03-09 Jul"/>
    <n v="1003"/>
    <s v="Asarganj"/>
    <x v="643"/>
    <s v="KUNTHA M"/>
    <s v="RMC"/>
    <s v="Direct"/>
    <n v="1000"/>
    <n v="37250"/>
    <n v="1019.5999999999999"/>
    <n v="37720.100000000006"/>
    <n v="11.699999999999998"/>
    <n v="422.2"/>
    <n v="1031.3"/>
    <n v="38142.300000000003"/>
    <n v="37250"/>
    <n v="0"/>
    <n v="422.2"/>
    <n v="892.30000000000291"/>
    <n v="0"/>
    <n v="0"/>
    <n v="0"/>
    <n v="36828"/>
    <n v="0"/>
    <n v="0"/>
    <n v="0"/>
    <n v="0"/>
    <n v="0"/>
    <n v="0"/>
    <n v="-2.3954362416107461E-2"/>
    <n v="10"/>
    <m/>
    <s v="Asarganj"/>
    <m/>
    <n v="0"/>
  </r>
  <r>
    <s v="Munger"/>
    <s v="03-09 Jul"/>
    <n v="1014"/>
    <s v="Dumraon"/>
    <x v="644"/>
    <s v="ARAK"/>
    <s v="MPG"/>
    <s v="Direct"/>
    <n v="2375.8999999999996"/>
    <n v="90955.459999999992"/>
    <n v="2361.2999999999997"/>
    <n v="92652.76"/>
    <n v="14.400000000000002"/>
    <n v="759.12"/>
    <n v="2375.6999999999998"/>
    <n v="93411.87999999999"/>
    <n v="90955.459999999992"/>
    <n v="0"/>
    <n v="759.12"/>
    <n v="2456.4199999999983"/>
    <n v="0"/>
    <n v="0"/>
    <n v="0"/>
    <n v="90196"/>
    <n v="0"/>
    <n v="0"/>
    <n v="0"/>
    <n v="0"/>
    <n v="0"/>
    <n v="0"/>
    <n v="-2.7006844888696056E-2"/>
    <n v="37"/>
    <m/>
    <s v="Dumraon"/>
    <m/>
    <n v="0"/>
  </r>
  <r>
    <s v="Munger"/>
    <s v="03-09 Jul"/>
    <n v="1014"/>
    <s v="Dumraon"/>
    <x v="645"/>
    <s v="Diyaman"/>
    <s v="MPG"/>
    <s v="Direct"/>
    <n v="1160.0999999999999"/>
    <n v="48301.069999999992"/>
    <n v="1150.6200000000001"/>
    <n v="48429.609999999986"/>
    <n v="6.09"/>
    <n v="261.35000000000002"/>
    <n v="1156.71"/>
    <n v="48690.959999999985"/>
    <n v="48301.069999999992"/>
    <n v="0"/>
    <n v="261.35000000000002"/>
    <n v="389.88999999999214"/>
    <n v="0"/>
    <n v="0"/>
    <n v="0"/>
    <n v="48040"/>
    <n v="0"/>
    <n v="0"/>
    <n v="0"/>
    <n v="0"/>
    <n v="0"/>
    <n v="0"/>
    <n v="-8.0720779063484967E-3"/>
    <n v="10"/>
    <m/>
    <s v="Dumraon"/>
    <m/>
    <n v="0"/>
  </r>
  <r>
    <s v="Munger"/>
    <s v="03-09 Jul"/>
    <n v="1014"/>
    <s v="Dumraon"/>
    <x v="646"/>
    <s v="HENHA"/>
    <s v="MPG"/>
    <s v="Direct"/>
    <n v="2278.8000000000002"/>
    <n v="88953.36"/>
    <n v="2272.6999999999998"/>
    <n v="88395.849999999991"/>
    <n v="11.499999999999998"/>
    <n v="548.20000000000005"/>
    <n v="2284.1999999999998"/>
    <n v="88944.049999999988"/>
    <n v="88944.049999999988"/>
    <n v="0"/>
    <n v="548.20000000000005"/>
    <n v="0"/>
    <n v="0"/>
    <n v="0"/>
    <n v="0"/>
    <n v="88395"/>
    <n v="0"/>
    <n v="0"/>
    <n v="10"/>
    <n v="0"/>
    <n v="0"/>
    <n v="0"/>
    <n v="1.0466158894967232E-4"/>
    <n v="6"/>
    <m/>
    <s v="Dumraon"/>
    <m/>
    <n v="0"/>
  </r>
  <r>
    <s v="Munger"/>
    <s v="03-09 Jul"/>
    <n v="1012"/>
    <s v="DalsinghSarai"/>
    <x v="647"/>
    <s v="Suddh Dairy"/>
    <s v="vlc"/>
    <s v="Indirect"/>
    <n v="3884.7"/>
    <n v="151905.19999999998"/>
    <n v="0"/>
    <n v="0"/>
    <n v="0"/>
    <n v="0"/>
    <n v="0"/>
    <n v="0"/>
    <n v="151905.19999999998"/>
    <n v="0"/>
    <n v="0"/>
    <n v="0"/>
    <n v="0"/>
    <n v="0"/>
    <n v="0"/>
    <n v="0"/>
    <n v="0"/>
    <n v="151905.19999999998"/>
    <n v="0"/>
    <n v="0"/>
    <n v="0"/>
    <n v="0"/>
    <n v="0"/>
    <n v="0"/>
    <m/>
    <s v="DalsinghSarai"/>
    <m/>
    <n v="0"/>
  </r>
  <r>
    <s v="Munger"/>
    <s v="03-09 Jul"/>
    <n v="1053"/>
    <s v="Kalyanpur"/>
    <x v="648"/>
    <s v="Anik Kumar"/>
    <s v="vlc"/>
    <s v="Indirect"/>
    <n v="5209"/>
    <n v="214961.83000000002"/>
    <n v="0"/>
    <n v="0"/>
    <n v="0"/>
    <n v="0"/>
    <n v="0"/>
    <n v="0"/>
    <n v="214961.83000000002"/>
    <n v="0"/>
    <n v="0"/>
    <n v="0"/>
    <n v="0"/>
    <n v="0"/>
    <n v="0"/>
    <n v="0"/>
    <n v="0"/>
    <n v="214961.83000000002"/>
    <n v="0"/>
    <n v="0"/>
    <n v="0"/>
    <n v="0"/>
    <n v="0"/>
    <n v="0"/>
    <m/>
    <s v="Kalyanpur"/>
    <m/>
    <n v="0"/>
  </r>
  <r>
    <s v="Munger"/>
    <s v="03-09 Jul"/>
    <n v="1010"/>
    <s v="Parbatta"/>
    <x v="649"/>
    <s v="Nand Kishor Kumar"/>
    <s v="vlc"/>
    <s v="Indirect"/>
    <n v="12940"/>
    <n v="410246.2"/>
    <n v="0"/>
    <n v="0"/>
    <n v="0"/>
    <n v="0"/>
    <n v="0"/>
    <n v="0"/>
    <n v="410246.2"/>
    <n v="0"/>
    <n v="0"/>
    <n v="0"/>
    <n v="0"/>
    <n v="0"/>
    <n v="0"/>
    <n v="0"/>
    <n v="0"/>
    <n v="410246.2"/>
    <n v="0"/>
    <n v="0"/>
    <n v="0"/>
    <n v="0"/>
    <n v="0"/>
    <n v="0"/>
    <m/>
    <s v="Parbatta"/>
    <m/>
    <n v="0"/>
  </r>
  <r>
    <s v="Munger"/>
    <s v="03-09 Jul"/>
    <n v="1053"/>
    <s v="Kalyanpur"/>
    <x v="650"/>
    <s v="Gomukh CHANDAULI"/>
    <s v="MPG"/>
    <s v="Direct"/>
    <n v="1322.9"/>
    <n v="56912.44"/>
    <n v="1328.8999999999999"/>
    <n v="56357.699999999983"/>
    <n v="11.820000000000002"/>
    <n v="513.80999999999995"/>
    <n v="1340.7199999999998"/>
    <n v="56871.50999999998"/>
    <n v="56871.50999999998"/>
    <n v="0"/>
    <n v="513.80999999999995"/>
    <n v="0"/>
    <n v="0"/>
    <n v="0"/>
    <n v="0"/>
    <n v="56358"/>
    <n v="0"/>
    <n v="0"/>
    <n v="41"/>
    <n v="0"/>
    <n v="0"/>
    <n v="0"/>
    <n v="7.1917492906686331E-4"/>
    <n v="27"/>
    <m/>
    <s v="Kalyanpur"/>
    <m/>
    <n v="0"/>
  </r>
  <r>
    <s v="Munger"/>
    <s v="03-09 Jul"/>
    <n v="1053"/>
    <s v="Kalyanpur"/>
    <x v="651"/>
    <s v="GOMUKH HATHA"/>
    <s v="MPG"/>
    <s v="Direct"/>
    <n v="1413.0500000000002"/>
    <n v="58834.97"/>
    <n v="1418.1299999999997"/>
    <n v="58054.689999999995"/>
    <n v="14.610000000000001"/>
    <n v="614.95000000000005"/>
    <n v="1432.7399999999996"/>
    <n v="58669.639999999992"/>
    <n v="58669.639999999992"/>
    <n v="0"/>
    <n v="614.95000000000005"/>
    <n v="0"/>
    <n v="2109"/>
    <n v="0"/>
    <n v="0"/>
    <n v="55947"/>
    <n v="0"/>
    <n v="0"/>
    <n v="164"/>
    <n v="0"/>
    <n v="0"/>
    <n v="0"/>
    <n v="2.8100634707557259E-3"/>
    <n v="34"/>
    <m/>
    <s v="Kalyanpur"/>
    <m/>
    <n v="0"/>
  </r>
  <r>
    <s v="Munger"/>
    <s v="03-09 Jul"/>
    <n v="1053"/>
    <s v="Kalyanpur"/>
    <x v="652"/>
    <s v="GOMUKH VADEYA"/>
    <s v="MPG"/>
    <s v="Direct"/>
    <n v="653.1"/>
    <n v="28786.760000000002"/>
    <n v="630.89"/>
    <n v="28605.890000000003"/>
    <n v="4.03"/>
    <n v="176.01000000000002"/>
    <n v="634.91999999999996"/>
    <n v="28781.9"/>
    <n v="28781.9"/>
    <n v="0"/>
    <n v="176.01000000000002"/>
    <n v="0"/>
    <n v="0"/>
    <n v="0"/>
    <n v="0"/>
    <n v="28606"/>
    <n v="0"/>
    <n v="0"/>
    <n v="5"/>
    <n v="0"/>
    <n v="41.344328403001093"/>
    <n v="93.3"/>
    <n v="1.6882761380581149E-4"/>
    <n v="22"/>
    <m/>
    <s v="Kalyanpur"/>
    <m/>
    <n v="0"/>
  </r>
  <r>
    <s v="Munger"/>
    <s v="03-09 Jul"/>
    <n v="1053"/>
    <s v="Kalyanpur"/>
    <x v="653"/>
    <s v="GOMUKH CHANDPURA"/>
    <s v="MPG"/>
    <s v="Direct"/>
    <n v="590.15"/>
    <n v="27877.289999999997"/>
    <n v="584.45000000000005"/>
    <n v="27359.29"/>
    <n v="10.639999999999999"/>
    <n v="484.05000000000007"/>
    <n v="595.09"/>
    <n v="27843.34"/>
    <n v="27843.34"/>
    <n v="0"/>
    <n v="484.05000000000007"/>
    <n v="0"/>
    <n v="79"/>
    <n v="0"/>
    <n v="0"/>
    <n v="27280"/>
    <n v="0"/>
    <n v="0"/>
    <n v="34"/>
    <n v="0"/>
    <n v="103.78108299584856"/>
    <n v="84.30714285714285"/>
    <n v="1.2178371714035724E-3"/>
    <n v="18"/>
    <m/>
    <s v="Kalyanpur"/>
    <m/>
    <n v="0"/>
  </r>
  <r>
    <s v="Munger"/>
    <s v="03-09 Jul"/>
    <n v="1053"/>
    <s v="Kalyanpur"/>
    <x v="654"/>
    <s v="GOMUKH BARGAMA"/>
    <s v="MPG"/>
    <s v="Direct"/>
    <n v="1186.5999999999999"/>
    <n v="53528.46"/>
    <n v="1155.78"/>
    <n v="50356.319999999985"/>
    <n v="60.320000000000014"/>
    <n v="3151.64"/>
    <n v="1216.0999999999999"/>
    <n v="53507.959999999985"/>
    <n v="53507.959999999985"/>
    <n v="0"/>
    <n v="3151.64"/>
    <n v="0"/>
    <n v="0"/>
    <n v="0"/>
    <n v="0"/>
    <n v="50354"/>
    <n v="0"/>
    <n v="0"/>
    <n v="23"/>
    <n v="0"/>
    <n v="0"/>
    <n v="0"/>
    <n v="3.8297384232639147E-4"/>
    <n v="60"/>
    <m/>
    <s v="Kalyanpur"/>
    <m/>
    <n v="0"/>
  </r>
  <r>
    <s v="Munger"/>
    <s v="03-09 Jul"/>
    <n v="1053"/>
    <s v="Kalyanpur"/>
    <x v="655"/>
    <s v="Gomukh Gograha Tola"/>
    <s v="MPG"/>
    <s v="Direct"/>
    <n v="408.09999999999997"/>
    <n v="18959.650000000001"/>
    <n v="410.99"/>
    <n v="18911.289999999997"/>
    <n v="0.85000000000000009"/>
    <n v="46.04"/>
    <n v="411.84000000000003"/>
    <n v="18957.329999999998"/>
    <n v="18957.329999999998"/>
    <n v="0"/>
    <n v="46.04"/>
    <n v="0"/>
    <n v="0"/>
    <n v="0"/>
    <n v="0"/>
    <n v="18911"/>
    <n v="0"/>
    <n v="0"/>
    <n v="3"/>
    <n v="0"/>
    <n v="271.22380960548895"/>
    <n v="58.3"/>
    <n v="1.2236512804842637E-4"/>
    <n v="12"/>
    <m/>
    <s v="Kalyanpur"/>
    <m/>
    <n v="0"/>
  </r>
  <r>
    <s v="Munger"/>
    <s v="03-09 Jul"/>
    <n v="1053"/>
    <s v="Kalyanpur"/>
    <x v="656"/>
    <s v="Gomukh Patsara"/>
    <s v="MPG"/>
    <s v="Direct"/>
    <n v="410.14999999999992"/>
    <n v="18858.730000000003"/>
    <n v="393.2"/>
    <n v="18777.189999999995"/>
    <n v="1.78"/>
    <n v="79.25"/>
    <n v="394.97999999999996"/>
    <n v="18856.439999999995"/>
    <n v="18856.439999999995"/>
    <n v="0"/>
    <n v="79.25"/>
    <n v="0"/>
    <n v="0"/>
    <n v="0"/>
    <n v="0"/>
    <n v="18776"/>
    <n v="0"/>
    <n v="0"/>
    <n v="3"/>
    <n v="0"/>
    <n v="266.54652641716461"/>
    <n v="58.592857142857135"/>
    <n v="1.2142917365104377E-4"/>
    <n v="9"/>
    <m/>
    <s v="Kalyanpur"/>
    <m/>
    <n v="0"/>
  </r>
  <r>
    <s v="Munger"/>
    <s v="03-09 Jul"/>
    <n v="1053"/>
    <s v="Kalyanpur"/>
    <x v="657"/>
    <s v="Gomukh Singhiya"/>
    <s v="vlc"/>
    <s v="Indirect"/>
    <n v="7878.05"/>
    <n v="329097.17000000004"/>
    <n v="0"/>
    <n v="0"/>
    <n v="0"/>
    <n v="0"/>
    <n v="0"/>
    <n v="0"/>
    <n v="329097.17000000004"/>
    <n v="0"/>
    <n v="0"/>
    <n v="0"/>
    <n v="0"/>
    <n v="0"/>
    <n v="0"/>
    <n v="0"/>
    <n v="0"/>
    <n v="329097.17000000004"/>
    <n v="0"/>
    <n v="0"/>
    <n v="0"/>
    <n v="0"/>
    <n v="0"/>
    <n v="0"/>
    <m/>
    <s v="Kalyanpur"/>
    <m/>
    <n v="0"/>
  </r>
  <r>
    <s v="Munger"/>
    <s v="03-09 Jul"/>
    <n v="1053"/>
    <s v="Kalyanpur"/>
    <x v="658"/>
    <s v="Gomukh BALHA "/>
    <s v="vlc"/>
    <s v="Indirect"/>
    <n v="2147.5499999999997"/>
    <n v="95538.839999999967"/>
    <n v="0"/>
    <n v="0"/>
    <n v="0"/>
    <n v="0"/>
    <n v="0"/>
    <n v="0"/>
    <n v="95538.839999999967"/>
    <n v="0"/>
    <n v="0"/>
    <n v="0"/>
    <n v="0"/>
    <n v="0"/>
    <n v="0"/>
    <n v="0"/>
    <n v="0"/>
    <n v="95538.839999999967"/>
    <n v="0"/>
    <n v="0"/>
    <n v="0"/>
    <n v="0"/>
    <n v="0"/>
    <n v="0"/>
    <m/>
    <s v="Kalyanpur"/>
    <m/>
    <n v="0"/>
  </r>
  <r>
    <s v="Munger"/>
    <s v="03-09 Jul"/>
    <n v="1053"/>
    <s v="Kalyanpur"/>
    <x v="659"/>
    <s v="Gomukh Namapur 2"/>
    <s v="vlc"/>
    <s v="Indirect"/>
    <n v="26.35"/>
    <n v="959.67"/>
    <n v="0"/>
    <n v="0"/>
    <n v="0"/>
    <n v="0"/>
    <n v="0"/>
    <n v="0"/>
    <n v="959.67"/>
    <n v="0"/>
    <n v="0"/>
    <n v="0"/>
    <n v="0"/>
    <n v="0"/>
    <n v="0"/>
    <n v="0"/>
    <n v="0"/>
    <n v="959.67"/>
    <n v="0"/>
    <n v="0"/>
    <n v="490.68819392789368"/>
    <n v="3.7642857142857147"/>
    <n v="0"/>
    <n v="0"/>
    <m/>
    <s v="Kalyanpur"/>
    <m/>
    <n v="0"/>
  </r>
  <r>
    <s v="Munger"/>
    <s v="03-09 Jul"/>
    <n v="1053"/>
    <s v="Kalyanpur"/>
    <x v="660"/>
    <s v="Gomukh Madhopur"/>
    <s v="vlc"/>
    <s v="Indirect"/>
    <n v="395.15"/>
    <n v="16098.189999999999"/>
    <n v="0"/>
    <n v="0"/>
    <n v="0"/>
    <n v="0"/>
    <n v="0"/>
    <n v="0"/>
    <n v="16098.189999999999"/>
    <n v="0"/>
    <n v="0"/>
    <n v="0"/>
    <n v="0"/>
    <n v="0"/>
    <n v="0"/>
    <n v="0"/>
    <n v="0"/>
    <n v="16098.189999999999"/>
    <n v="0"/>
    <n v="0"/>
    <n v="248.38837006200177"/>
    <n v="56.449999999999996"/>
    <n v="0"/>
    <n v="0"/>
    <m/>
    <s v="Kalyanpur"/>
    <m/>
    <n v="0"/>
  </r>
  <r>
    <s v="Munger"/>
    <s v="03-09 Jul"/>
    <n v="1053"/>
    <s v="Kalyanpur"/>
    <x v="661"/>
    <s v="Gomukh Kalyanpur East"/>
    <s v="vlc"/>
    <s v="Indirect"/>
    <n v="893"/>
    <n v="35792.03"/>
    <n v="0"/>
    <n v="0"/>
    <n v="0"/>
    <n v="0"/>
    <n v="0"/>
    <n v="0"/>
    <n v="35792.03"/>
    <n v="0"/>
    <n v="0"/>
    <n v="0"/>
    <n v="0"/>
    <n v="0"/>
    <n v="0"/>
    <n v="0"/>
    <n v="0"/>
    <n v="35792.03"/>
    <n v="0"/>
    <n v="0"/>
    <n v="0"/>
    <n v="0"/>
    <n v="0"/>
    <n v="0"/>
    <m/>
    <s v="Kalyanpur"/>
    <m/>
    <n v="0"/>
  </r>
  <r>
    <s v="Munger"/>
    <s v="03-09 Jul"/>
    <n v="1053"/>
    <s v="Kalyanpur"/>
    <x v="662"/>
    <s v="Gomukh Bazidpur"/>
    <s v="vlc"/>
    <s v="Indirect"/>
    <n v="3001.3499999999995"/>
    <n v="131334.09"/>
    <n v="0"/>
    <n v="0"/>
    <n v="0"/>
    <n v="0"/>
    <n v="0"/>
    <n v="0"/>
    <n v="131334.09"/>
    <n v="0"/>
    <n v="0"/>
    <n v="0"/>
    <n v="0"/>
    <n v="0"/>
    <n v="0"/>
    <n v="0"/>
    <n v="0"/>
    <n v="131334.09"/>
    <n v="0"/>
    <n v="0"/>
    <n v="0"/>
    <n v="0"/>
    <n v="0"/>
    <n v="0"/>
    <m/>
    <s v="Kalyanpur"/>
    <m/>
    <n v="0"/>
  </r>
  <r>
    <s v="Munger"/>
    <s v="03-09 Jul"/>
    <n v="1053"/>
    <s v="Kalyanpur"/>
    <x v="663"/>
    <s v="Gomukh Belsandi"/>
    <s v="vlc"/>
    <s v="Indirect"/>
    <n v="607.4"/>
    <n v="25936.09"/>
    <n v="0"/>
    <n v="0"/>
    <n v="0"/>
    <n v="0"/>
    <n v="0"/>
    <n v="0"/>
    <n v="25936.09"/>
    <n v="0"/>
    <n v="0"/>
    <n v="0"/>
    <n v="0"/>
    <n v="0"/>
    <n v="0"/>
    <n v="0"/>
    <n v="0"/>
    <n v="25936.09"/>
    <n v="0"/>
    <n v="0"/>
    <n v="79.080735396773122"/>
    <n v="86.771428571428572"/>
    <n v="0"/>
    <n v="0"/>
    <m/>
    <s v="Kalyanpur"/>
    <m/>
    <n v="0"/>
  </r>
  <r>
    <s v="Munger"/>
    <s v="03-09 Jul"/>
    <n v="1053"/>
    <s v="Kalyanpur"/>
    <x v="664"/>
    <s v="Belsandi"/>
    <s v="vlc"/>
    <s v="Indirect"/>
    <n v="314.14999999999998"/>
    <n v="13822.469999999998"/>
    <n v="0"/>
    <n v="0"/>
    <n v="0"/>
    <n v="0"/>
    <n v="0"/>
    <n v="0"/>
    <n v="13822.469999999998"/>
    <n v="0"/>
    <n v="0"/>
    <n v="0"/>
    <n v="0"/>
    <n v="0"/>
    <n v="0"/>
    <n v="0"/>
    <n v="0"/>
    <n v="13822.469999999998"/>
    <n v="0"/>
    <n v="0"/>
    <n v="339.54480658920897"/>
    <n v="44.878571428571426"/>
    <n v="0"/>
    <n v="0"/>
    <m/>
    <s v="Kalyanpur"/>
    <m/>
    <n v="0"/>
  </r>
  <r>
    <s v="Munger"/>
    <s v="03-09 Jul"/>
    <n v="1053"/>
    <s v="Kalyanpur"/>
    <x v="665"/>
    <s v="Gomukh Belsandi East"/>
    <s v="vlc"/>
    <s v="Indirect"/>
    <n v="415.34999999999997"/>
    <n v="23818.23"/>
    <n v="0"/>
    <n v="0"/>
    <n v="0"/>
    <n v="0"/>
    <n v="0"/>
    <n v="0"/>
    <n v="23818.23"/>
    <n v="0"/>
    <n v="0"/>
    <n v="0"/>
    <n v="0"/>
    <n v="0"/>
    <n v="0"/>
    <n v="0"/>
    <n v="0"/>
    <n v="23818.23"/>
    <n v="0"/>
    <n v="0"/>
    <n v="326.46486912242693"/>
    <n v="59.335714285714282"/>
    <n v="0"/>
    <n v="0"/>
    <m/>
    <s v="Kalyanpur"/>
    <m/>
    <n v="0"/>
  </r>
  <r>
    <s v="Munger"/>
    <s v="03-09 Jul"/>
    <n v="1053"/>
    <s v="Kalyanpur"/>
    <x v="666"/>
    <s v="Gomukh Belsandi West Tola"/>
    <s v="vlc"/>
    <s v="Indirect"/>
    <n v="325.44999999999993"/>
    <n v="13453.59"/>
    <n v="0"/>
    <n v="0"/>
    <n v="0"/>
    <n v="0"/>
    <n v="0"/>
    <n v="0"/>
    <n v="13453.59"/>
    <n v="0"/>
    <n v="0"/>
    <n v="0"/>
    <n v="0"/>
    <n v="0"/>
    <n v="0"/>
    <n v="0"/>
    <n v="0"/>
    <n v="13453.59"/>
    <n v="0"/>
    <n v="0"/>
    <n v="309.66613209402379"/>
    <n v="46.492857142857133"/>
    <n v="0"/>
    <n v="0"/>
    <m/>
    <s v="Kalyanpur"/>
    <m/>
    <n v="0"/>
  </r>
  <r>
    <s v="Munger"/>
    <s v="03-09 Jul"/>
    <n v="1053"/>
    <s v="Kalyanpur"/>
    <x v="667"/>
    <s v="Gomukh Gopalpur"/>
    <s v="vlc"/>
    <s v="Indirect"/>
    <n v="1909.3500000000001"/>
    <n v="82649.77"/>
    <n v="0"/>
    <n v="0"/>
    <n v="0"/>
    <n v="0"/>
    <n v="0"/>
    <n v="0"/>
    <n v="82649.77"/>
    <n v="0"/>
    <n v="0"/>
    <n v="0"/>
    <n v="1550"/>
    <n v="0"/>
    <n v="0"/>
    <n v="0"/>
    <n v="0"/>
    <n v="81099.77"/>
    <n v="0"/>
    <n v="0"/>
    <n v="0"/>
    <n v="0"/>
    <n v="0"/>
    <n v="0"/>
    <m/>
    <s v="Kalyanpur"/>
    <m/>
    <n v="0"/>
  </r>
  <r>
    <s v="Munger"/>
    <s v="03-09 Jul"/>
    <n v="1053"/>
    <s v="Kalyanpur"/>
    <x v="668"/>
    <s v="Gomukh Bharav"/>
    <s v="MPG"/>
    <s v="Direct"/>
    <n v="529.55000000000018"/>
    <n v="24579.579999999994"/>
    <n v="527.52999999999986"/>
    <n v="23694.23"/>
    <n v="14.12"/>
    <n v="852.70999999999992"/>
    <n v="541.64999999999986"/>
    <n v="24546.94"/>
    <n v="24546.94"/>
    <n v="0"/>
    <n v="852.70999999999992"/>
    <n v="0"/>
    <n v="1427"/>
    <n v="0"/>
    <n v="0"/>
    <n v="22267"/>
    <n v="0"/>
    <n v="0"/>
    <n v="33"/>
    <n v="0"/>
    <n v="158.23206159947105"/>
    <n v="75.65000000000002"/>
    <n v="1.3279315594487695E-3"/>
    <n v="20"/>
    <m/>
    <s v="Kalyanpur"/>
    <m/>
    <n v="0"/>
  </r>
  <r>
    <s v="Munger"/>
    <s v="03-09 Jul"/>
    <n v="1053"/>
    <s v="Kalyanpur"/>
    <x v="669"/>
    <s v="Gomukh Harpur"/>
    <s v="MPG"/>
    <s v="Direct"/>
    <n v="853.6500000000002"/>
    <n v="38044.080000000009"/>
    <n v="841.43"/>
    <n v="37192.05999999999"/>
    <n v="16.189999999999998"/>
    <n v="756.79"/>
    <n v="857.61999999999989"/>
    <n v="37948.849999999991"/>
    <n v="37948.849999999991"/>
    <n v="0"/>
    <n v="756.79"/>
    <n v="0"/>
    <n v="0"/>
    <n v="0"/>
    <n v="0"/>
    <n v="37192"/>
    <n v="0"/>
    <n v="0"/>
    <n v="95"/>
    <n v="0"/>
    <n v="0"/>
    <n v="0"/>
    <n v="2.5031489787640479E-3"/>
    <n v="23"/>
    <m/>
    <s v="Kalyanpur"/>
    <m/>
    <n v="0"/>
  </r>
  <r>
    <s v="Munger"/>
    <s v="03-09 Jul"/>
    <n v="1053"/>
    <s v="Kalyanpur"/>
    <x v="670"/>
    <s v="Gomukh Fulhatta"/>
    <s v="MPG"/>
    <s v="Direct"/>
    <n v="1505.6999999999998"/>
    <n v="77153.86"/>
    <n v="1504.27"/>
    <n v="77150.16"/>
    <n v="0"/>
    <n v="0"/>
    <n v="1504.27"/>
    <n v="77150.16"/>
    <n v="77150.16"/>
    <n v="0"/>
    <n v="0"/>
    <n v="0"/>
    <n v="0"/>
    <n v="0"/>
    <n v="0"/>
    <n v="77151"/>
    <n v="0"/>
    <n v="0"/>
    <n v="3"/>
    <n v="0"/>
    <n v="0"/>
    <n v="0"/>
    <n v="4.7956122998863434E-5"/>
    <n v="42"/>
    <m/>
    <s v="Kalyanpur"/>
    <m/>
    <n v="0"/>
  </r>
  <r>
    <s v="Munger"/>
    <s v="03-09 Jul"/>
    <n v="1053"/>
    <s v="Kalyanpur"/>
    <x v="671"/>
    <s v="Gomukh Birauli Khurd"/>
    <s v="MPG"/>
    <s v="Direct"/>
    <n v="732.7"/>
    <n v="35556.44"/>
    <n v="737.15000000000009"/>
    <n v="34515.31"/>
    <n v="15.88"/>
    <n v="710.62000000000012"/>
    <n v="753.03000000000009"/>
    <n v="35225.93"/>
    <n v="35225.93"/>
    <n v="0"/>
    <n v="710.62000000000012"/>
    <n v="0"/>
    <n v="0"/>
    <n v="0"/>
    <n v="0"/>
    <n v="34517"/>
    <n v="0"/>
    <n v="0"/>
    <n v="329"/>
    <n v="0"/>
    <n v="0"/>
    <n v="0"/>
    <n v="9.2953625278571761E-3"/>
    <n v="21"/>
    <m/>
    <s v="Kalyanpur"/>
    <m/>
    <n v="0"/>
  </r>
  <r>
    <s v="Munger"/>
    <s v="03-09 Jul"/>
    <n v="1053"/>
    <s v="Kalyanpur"/>
    <x v="672"/>
    <s v="Gomukh Bedauliya"/>
    <s v="vlc"/>
    <s v="Indirect"/>
    <n v="619.74999999999989"/>
    <n v="24311.61"/>
    <n v="0"/>
    <n v="0"/>
    <n v="0"/>
    <n v="0"/>
    <n v="0"/>
    <n v="0"/>
    <n v="24311.61"/>
    <n v="0"/>
    <n v="0"/>
    <n v="0"/>
    <n v="0"/>
    <n v="0"/>
    <n v="0"/>
    <n v="0"/>
    <n v="0"/>
    <n v="24311.61"/>
    <n v="0"/>
    <n v="0"/>
    <n v="62.961087615974321"/>
    <n v="88.535714285714263"/>
    <n v="0"/>
    <n v="0"/>
    <m/>
    <s v="Kalyanpur"/>
    <m/>
    <n v="0"/>
  </r>
  <r>
    <s v="Munger"/>
    <s v="03-09 Jul"/>
    <n v="1053"/>
    <s v="Kalyanpur"/>
    <x v="673"/>
    <s v="Gomukh Khanua"/>
    <s v="MPG"/>
    <s v="Direct"/>
    <n v="451.2"/>
    <n v="21105.79"/>
    <n v="443.16999999999996"/>
    <n v="20081.139999999992"/>
    <n v="21.890000000000004"/>
    <n v="1008.42"/>
    <n v="465.05999999999995"/>
    <n v="21089.55999999999"/>
    <n v="21089.55999999999"/>
    <n v="0"/>
    <n v="1008.42"/>
    <n v="0"/>
    <n v="227"/>
    <n v="0"/>
    <n v="0"/>
    <n v="19853"/>
    <n v="0"/>
    <n v="0"/>
    <n v="17"/>
    <n v="0"/>
    <n v="232.76243581560288"/>
    <n v="64.457142857142856"/>
    <n v="7.6898329794859504E-4"/>
    <n v="23"/>
    <m/>
    <s v="Kalyanpur"/>
    <m/>
    <n v="0"/>
  </r>
  <r>
    <s v="Munger"/>
    <s v="03-09 Jul"/>
    <n v="1053"/>
    <s v="Kalyanpur"/>
    <x v="674"/>
    <s v="Gomukh Punas"/>
    <s v="MPG"/>
    <s v="Direct"/>
    <n v="1125.3"/>
    <n v="50503.56"/>
    <n v="1120.3999999999996"/>
    <n v="49821.55"/>
    <n v="14.95"/>
    <n v="669.1099999999999"/>
    <n v="1135.3499999999997"/>
    <n v="50490.66"/>
    <n v="50490.66"/>
    <n v="0"/>
    <n v="669.1099999999999"/>
    <n v="0"/>
    <n v="0"/>
    <n v="0"/>
    <n v="0"/>
    <n v="49821"/>
    <n v="0"/>
    <n v="0"/>
    <n v="13"/>
    <n v="0"/>
    <n v="0"/>
    <n v="0"/>
    <n v="2.5542753817739145E-4"/>
    <n v="23"/>
    <m/>
    <s v="Kalyanpur"/>
    <m/>
    <n v="0"/>
  </r>
  <r>
    <s v="Munger"/>
    <s v="03-09 Jul"/>
    <n v="1053"/>
    <s v="Kalyanpur"/>
    <x v="675"/>
    <s v="Gomukh Loharkha"/>
    <s v="MPG"/>
    <s v="Direct"/>
    <n v="246.4"/>
    <n v="12834.32"/>
    <n v="237.38"/>
    <n v="12572.3"/>
    <n v="0.52"/>
    <n v="19.54"/>
    <n v="237.9"/>
    <n v="12591.84"/>
    <n v="12591.84"/>
    <n v="0"/>
    <n v="19.54"/>
    <n v="0"/>
    <n v="0"/>
    <n v="0"/>
    <n v="0"/>
    <n v="12572"/>
    <n v="0"/>
    <n v="0"/>
    <n v="243"/>
    <n v="0"/>
    <n v="472.53632727272725"/>
    <n v="35.200000000000003"/>
    <n v="1.8893092894676115E-2"/>
    <n v="15"/>
    <m/>
    <s v="Kalyanpur"/>
    <m/>
    <n v="0"/>
  </r>
  <r>
    <s v="Munger"/>
    <s v="03-09 Jul"/>
    <n v="1053"/>
    <s v="Kalyanpur"/>
    <x v="676"/>
    <s v="Gomukh Dighra"/>
    <s v="MPG"/>
    <s v="Direct"/>
    <n v="359.95000000000005"/>
    <n v="12769.2"/>
    <n v="336.65999999999997"/>
    <n v="12737.74"/>
    <n v="0.18"/>
    <n v="6.18"/>
    <n v="336.84"/>
    <n v="12743.92"/>
    <n v="12743.92"/>
    <n v="0"/>
    <n v="6.18"/>
    <n v="0"/>
    <n v="0"/>
    <n v="0"/>
    <n v="0"/>
    <n v="12739"/>
    <n v="0"/>
    <n v="0"/>
    <n v="24"/>
    <n v="0"/>
    <n v="241.26497902486452"/>
    <n v="51.421428571428578"/>
    <n v="1.9797638066598264E-3"/>
    <n v="6"/>
    <m/>
    <s v="Kalyanpur"/>
    <m/>
    <n v="0"/>
  </r>
  <r>
    <s v="Munger"/>
    <s v="03-09 Jul"/>
    <n v="1053"/>
    <s v="Kalyanpur"/>
    <x v="677"/>
    <s v="Basuwari"/>
    <s v="MPG"/>
    <s v="Direct"/>
    <n v="303.89999999999998"/>
    <n v="12182.039999999999"/>
    <n v="299.25000000000006"/>
    <n v="11895.37"/>
    <n v="5.8800000000000008"/>
    <n v="271.73999999999995"/>
    <n v="305.13000000000005"/>
    <n v="12167.11"/>
    <n v="12167.11"/>
    <n v="0"/>
    <n v="271.73999999999995"/>
    <n v="0"/>
    <n v="0"/>
    <n v="0"/>
    <n v="0"/>
    <n v="11896"/>
    <n v="0"/>
    <n v="0"/>
    <n v="14"/>
    <n v="0"/>
    <n v="317.55880513326758"/>
    <n v="43.414285714285711"/>
    <n v="1.2255746984904394E-3"/>
    <n v="10"/>
    <m/>
    <s v="Kalyanpur"/>
    <m/>
    <n v="0"/>
  </r>
  <r>
    <s v="Munger"/>
    <s v="03-09 Jul"/>
    <n v="1053"/>
    <s v="Kalyanpur"/>
    <x v="678"/>
    <s v="Belsandi 3"/>
    <s v="vlc"/>
    <s v="Indirect"/>
    <n v="1453"/>
    <n v="57866.42"/>
    <n v="0"/>
    <n v="0"/>
    <n v="0"/>
    <n v="0"/>
    <n v="0"/>
    <n v="0"/>
    <n v="57866.42"/>
    <n v="0"/>
    <n v="0"/>
    <n v="0"/>
    <n v="0"/>
    <n v="0"/>
    <n v="0"/>
    <n v="0"/>
    <n v="0"/>
    <n v="57866.42"/>
    <n v="0"/>
    <n v="0"/>
    <n v="0"/>
    <n v="0"/>
    <n v="0"/>
    <n v="0"/>
    <m/>
    <s v="Kalyanpur"/>
    <m/>
    <n v="0"/>
  </r>
  <r>
    <s v="Munger"/>
    <s v="03-09 Jul"/>
    <n v="1053"/>
    <s v="Kalyanpur"/>
    <x v="679"/>
    <s v="Gomukh Bhagwanpur"/>
    <s v="vlc"/>
    <s v="Indirect"/>
    <n v="328.55"/>
    <n v="15773.91"/>
    <n v="0"/>
    <n v="0"/>
    <n v="0"/>
    <n v="0"/>
    <n v="0"/>
    <n v="0"/>
    <n v="15773.91"/>
    <n v="0"/>
    <n v="0"/>
    <n v="0"/>
    <n v="0"/>
    <n v="0"/>
    <n v="0"/>
    <n v="0"/>
    <n v="0"/>
    <n v="15773.91"/>
    <n v="0"/>
    <n v="0"/>
    <n v="356.67136627606146"/>
    <n v="46.93571428571429"/>
    <n v="0"/>
    <n v="0"/>
    <m/>
    <s v="Kalyanpur"/>
    <m/>
    <n v="0"/>
  </r>
  <r>
    <s v="Munger"/>
    <s v="03-09 Jul"/>
    <n v="1053"/>
    <s v="Kalyanpur"/>
    <x v="680"/>
    <s v="Gomukh Balaha East"/>
    <s v="vlc"/>
    <s v="Indirect"/>
    <n v="218.85000000000002"/>
    <n v="10611.81"/>
    <n v="0"/>
    <n v="0"/>
    <n v="0"/>
    <n v="0"/>
    <n v="0"/>
    <n v="0"/>
    <n v="10611.81"/>
    <n v="0"/>
    <n v="0"/>
    <n v="0"/>
    <n v="0"/>
    <n v="0"/>
    <n v="0"/>
    <n v="0"/>
    <n v="0"/>
    <n v="10611.81"/>
    <n v="0"/>
    <n v="0"/>
    <n v="466.60931062371486"/>
    <n v="31.264285714285716"/>
    <n v="0"/>
    <n v="0"/>
    <m/>
    <s v="Kalyanpur"/>
    <m/>
    <n v="0"/>
  </r>
  <r>
    <s v="Munger"/>
    <s v="03-09 Jul"/>
    <n v="1053"/>
    <s v="Kalyanpur"/>
    <x v="681"/>
    <s v="GOMUKH HARPUR W-13"/>
    <s v="MPG"/>
    <s v="Direct"/>
    <n v="1540.5"/>
    <n v="63102.239999999998"/>
    <n v="1524.6799999999998"/>
    <n v="62304.489999999983"/>
    <n v="19.260000000000002"/>
    <n v="786.2"/>
    <n v="1543.9399999999998"/>
    <n v="63090.689999999981"/>
    <n v="63090.689999999981"/>
    <n v="0"/>
    <n v="786.2"/>
    <n v="0"/>
    <n v="0"/>
    <n v="0"/>
    <n v="0"/>
    <n v="62301"/>
    <n v="0"/>
    <n v="0"/>
    <n v="15"/>
    <n v="0"/>
    <n v="0"/>
    <n v="0"/>
    <n v="1.8303629158041715E-4"/>
    <n v="48"/>
    <m/>
    <s v="Kalyanpur"/>
    <m/>
    <n v="0"/>
  </r>
  <r>
    <s v="Munger"/>
    <s v="03-09 Jul"/>
    <n v="1053"/>
    <s v="Kalyanpur"/>
    <x v="682"/>
    <s v="GOMUKH MILKI"/>
    <s v="vlc"/>
    <s v="Indirect"/>
    <n v="66.75"/>
    <n v="3058.1400000000003"/>
    <n v="0"/>
    <n v="0"/>
    <n v="0"/>
    <n v="0"/>
    <n v="0"/>
    <n v="0"/>
    <n v="3058.1400000000003"/>
    <n v="0"/>
    <n v="0"/>
    <n v="0"/>
    <n v="0"/>
    <n v="0"/>
    <n v="0"/>
    <n v="0"/>
    <n v="0"/>
    <n v="3058.1400000000003"/>
    <n v="0"/>
    <n v="0"/>
    <n v="580.24484044943824"/>
    <n v="9.5357142857142865"/>
    <n v="0"/>
    <n v="0"/>
    <m/>
    <s v="Kalyanpur"/>
    <m/>
    <n v="0"/>
  </r>
  <r>
    <s v="Munger"/>
    <s v="03-09 Jul"/>
    <n v="1053"/>
    <s v="Kalyanpur"/>
    <x v="683"/>
    <s v="Gomukh Ratwara"/>
    <s v="MPG"/>
    <s v="Direct"/>
    <n v="156.05000000000001"/>
    <n v="5841.24"/>
    <n v="158.18"/>
    <n v="5830.3099999999995"/>
    <n v="0"/>
    <n v="0"/>
    <n v="158.18"/>
    <n v="5830.3099999999995"/>
    <n v="5830.3099999999995"/>
    <n v="0"/>
    <n v="0"/>
    <n v="0"/>
    <n v="0"/>
    <n v="500"/>
    <n v="0"/>
    <n v="5330"/>
    <n v="0"/>
    <n v="0"/>
    <n v="11"/>
    <s v="Release2"/>
    <n v="407.22108272989425"/>
    <n v="22.292857142857144"/>
    <n v="1.8711780375400243E-3"/>
    <n v="8"/>
    <m/>
    <s v="Kalyanpur"/>
    <m/>
    <n v="500"/>
  </r>
  <r>
    <s v="Munger"/>
    <s v="03-09 Jul"/>
    <n v="1053"/>
    <s v="Kalyanpur"/>
    <x v="684"/>
    <s v="Gomukh Fulhara"/>
    <s v="vlc"/>
    <s v="Indirect"/>
    <n v="2185.1000000000004"/>
    <n v="101215.29000000001"/>
    <n v="0"/>
    <n v="0"/>
    <n v="0"/>
    <n v="0"/>
    <n v="0"/>
    <n v="0"/>
    <n v="101215.29000000001"/>
    <n v="0"/>
    <n v="0"/>
    <n v="0"/>
    <n v="0"/>
    <n v="0"/>
    <n v="0"/>
    <n v="0"/>
    <n v="0"/>
    <n v="101215.29000000001"/>
    <n v="0"/>
    <n v="0"/>
    <n v="0"/>
    <n v="0"/>
    <n v="0"/>
    <n v="0"/>
    <m/>
    <s v="Kalyanpur"/>
    <m/>
    <n v="0"/>
  </r>
  <r>
    <s v="Munger"/>
    <s v="03-09 Jul"/>
    <n v="1053"/>
    <s v="Kalyanpur"/>
    <x v="685"/>
    <s v="Gomukh Ranitola"/>
    <s v="vlc"/>
    <s v="Indirect"/>
    <n v="1081.0000000000002"/>
    <n v="45785.06"/>
    <n v="0"/>
    <n v="0"/>
    <n v="0"/>
    <n v="0"/>
    <n v="0"/>
    <n v="0"/>
    <n v="45785.06"/>
    <n v="0"/>
    <n v="0"/>
    <n v="0"/>
    <n v="0"/>
    <n v="0"/>
    <n v="0"/>
    <n v="0"/>
    <n v="0"/>
    <n v="45785.06"/>
    <n v="0"/>
    <n v="0"/>
    <n v="0"/>
    <n v="0"/>
    <n v="0"/>
    <n v="0"/>
    <m/>
    <s v="Kalyanpur"/>
    <m/>
    <n v="0"/>
  </r>
  <r>
    <s v="Munger"/>
    <s v="03-09 Jul"/>
    <n v="1053"/>
    <s v="Kalyanpur"/>
    <x v="686"/>
    <s v="Gomukh Malinagar East"/>
    <s v="MPG"/>
    <s v="Direct"/>
    <n v="1058.5999999999999"/>
    <n v="44919.31"/>
    <n v="1054.98"/>
    <n v="44374.820000000007"/>
    <n v="5.83"/>
    <n v="294.5"/>
    <n v="1060.81"/>
    <n v="44669.320000000007"/>
    <n v="44669.320000000007"/>
    <n v="0"/>
    <n v="294.5"/>
    <n v="0"/>
    <n v="0"/>
    <n v="0"/>
    <n v="0"/>
    <n v="44375"/>
    <n v="0"/>
    <n v="0"/>
    <n v="250"/>
    <n v="0"/>
    <n v="0"/>
    <n v="0"/>
    <n v="5.5653125571160974E-3"/>
    <n v="10"/>
    <m/>
    <s v="Kalyanpur"/>
    <m/>
    <n v="0"/>
  </r>
  <r>
    <s v="Munger"/>
    <s v="03-09 Jul"/>
    <n v="1053"/>
    <s v="Kalyanpur"/>
    <x v="687"/>
    <s v="GOMUKH Singhiya Ward 11"/>
    <s v="vlc"/>
    <s v="Indirect"/>
    <n v="644.20000000000005"/>
    <n v="30619.01"/>
    <n v="0"/>
    <n v="0"/>
    <n v="0"/>
    <n v="0"/>
    <n v="0"/>
    <n v="0"/>
    <n v="30619.01"/>
    <n v="0"/>
    <n v="0"/>
    <n v="0"/>
    <n v="3100"/>
    <n v="0"/>
    <n v="0"/>
    <n v="0"/>
    <n v="0"/>
    <n v="27519.01"/>
    <n v="0"/>
    <n v="0"/>
    <n v="53.043798758149563"/>
    <n v="92.028571428571439"/>
    <n v="0"/>
    <n v="0"/>
    <m/>
    <s v="Kalyanpur"/>
    <m/>
    <n v="0"/>
  </r>
  <r>
    <s v="Munger"/>
    <s v="03-09 Jul"/>
    <n v="1053"/>
    <s v="Kalyanpur"/>
    <x v="688"/>
    <s v="GOMUKH MANIYARPUR"/>
    <s v="MPG"/>
    <s v="Direct"/>
    <n v="1157.2999999999997"/>
    <n v="50625.80000000001"/>
    <n v="1157.19"/>
    <n v="49880.420000000013"/>
    <n v="17.05"/>
    <n v="739.09"/>
    <n v="1174.24"/>
    <n v="50619.510000000009"/>
    <n v="50619.510000000009"/>
    <n v="0"/>
    <n v="739.09"/>
    <n v="0"/>
    <n v="5816"/>
    <n v="0"/>
    <n v="0"/>
    <n v="44065"/>
    <n v="0"/>
    <n v="0"/>
    <n v="6"/>
    <n v="0"/>
    <n v="0"/>
    <n v="0"/>
    <n v="1.2424495020327327E-4"/>
    <n v="34"/>
    <m/>
    <s v="Kalyanpur"/>
    <m/>
    <n v="0"/>
  </r>
  <r>
    <s v="Munger"/>
    <s v="03-09 Jul"/>
    <n v="1053"/>
    <s v="Kalyanpur"/>
    <x v="689"/>
    <s v="GOMUKH DIGHRA W-6"/>
    <s v="MPG"/>
    <s v="Direct"/>
    <n v="1052.8499999999999"/>
    <n v="41416.290000000008"/>
    <n v="1046.9299999999998"/>
    <n v="40783.360000000001"/>
    <n v="10.87"/>
    <n v="446.71999999999997"/>
    <n v="1057.7999999999997"/>
    <n v="41230.080000000002"/>
    <n v="41230.080000000002"/>
    <n v="0"/>
    <n v="446.71999999999997"/>
    <n v="0"/>
    <n v="9184"/>
    <n v="0"/>
    <n v="0"/>
    <n v="31599"/>
    <n v="0"/>
    <n v="0"/>
    <n v="187"/>
    <s v="Release2"/>
    <n v="0"/>
    <n v="0"/>
    <n v="4.4960569862729461E-3"/>
    <n v="9"/>
    <m/>
    <s v="Kalyanpur"/>
    <m/>
    <n v="0"/>
  </r>
  <r>
    <s v="Munger"/>
    <s v="03-09 Jul"/>
    <n v="1053"/>
    <s v="Kalyanpur"/>
    <x v="690"/>
    <s v="GOMUKH BANDRA W-6"/>
    <s v="MPG"/>
    <s v="Direct"/>
    <n v="534.15000000000009"/>
    <n v="23644.539999999997"/>
    <n v="551.53"/>
    <n v="23403.52"/>
    <n v="5.43"/>
    <n v="232.97999999999996"/>
    <n v="556.95999999999992"/>
    <n v="23636.5"/>
    <n v="23636.5"/>
    <n v="0"/>
    <n v="232.97999999999996"/>
    <n v="0"/>
    <n v="0"/>
    <n v="0"/>
    <n v="0"/>
    <n v="23402"/>
    <n v="0"/>
    <n v="0"/>
    <n v="10"/>
    <n v="0"/>
    <n v="146.82942840026203"/>
    <n v="76.307142857142864"/>
    <n v="3.4003621977831821E-4"/>
    <n v="19"/>
    <m/>
    <s v="Kalyanpur"/>
    <m/>
    <n v="0"/>
  </r>
  <r>
    <s v="Munger"/>
    <s v="03-09 Jul"/>
    <n v="1066"/>
    <s v="Gaighat"/>
    <x v="691"/>
    <s v="BELSANDI W-9"/>
    <s v="vlc"/>
    <s v="Indirect"/>
    <n v="265.14999999999998"/>
    <n v="11147.16"/>
    <n v="0"/>
    <n v="0"/>
    <n v="0"/>
    <n v="0"/>
    <n v="0"/>
    <n v="0"/>
    <n v="11147.16"/>
    <n v="0"/>
    <n v="0"/>
    <n v="0"/>
    <n v="0"/>
    <n v="0"/>
    <n v="0"/>
    <n v="0"/>
    <n v="0"/>
    <n v="11147.16"/>
    <n v="0"/>
    <n v="0"/>
    <n v="365.63021127663592"/>
    <n v="37.878571428571426"/>
    <n v="0"/>
    <n v="0"/>
    <m/>
    <s v="Gaighat"/>
    <m/>
    <n v="0"/>
  </r>
  <r>
    <s v="Munger"/>
    <s v="03-09 Jul"/>
    <n v="1053"/>
    <s v="Kalyanpur"/>
    <x v="692"/>
    <s v="GOMUKH PARAN 2"/>
    <s v="MPG"/>
    <s v="Direct"/>
    <n v="240.45000000000002"/>
    <n v="12363.449999999995"/>
    <n v="244.82000000000002"/>
    <n v="12048.080000000002"/>
    <n v="5.58"/>
    <n v="312.7000000000001"/>
    <n v="250.40000000000003"/>
    <n v="12360.780000000002"/>
    <n v="12360.780000000002"/>
    <n v="0"/>
    <n v="312.7000000000001"/>
    <n v="0"/>
    <n v="0"/>
    <n v="500"/>
    <n v="0"/>
    <n v="11547"/>
    <n v="0"/>
    <n v="0"/>
    <n v="4"/>
    <n v="0"/>
    <n v="472.58252838427927"/>
    <n v="34.35"/>
    <n v="2.1595913761877127E-4"/>
    <n v="13"/>
    <m/>
    <s v="Kalyanpur"/>
    <m/>
    <n v="500"/>
  </r>
  <r>
    <s v="Munger"/>
    <s v="03-09 Jul"/>
    <n v="1053"/>
    <s v="Kalyanpur"/>
    <x v="693"/>
    <s v="GOMUKH KHARAGPUR"/>
    <s v="MPG"/>
    <s v="Direct"/>
    <n v="378.64999999999981"/>
    <n v="17774.439999999995"/>
    <n v="375.43"/>
    <n v="17771.079999999998"/>
    <n v="0"/>
    <n v="0"/>
    <n v="375.43"/>
    <n v="17771.079999999998"/>
    <n v="17771.079999999998"/>
    <n v="0"/>
    <n v="0"/>
    <n v="0"/>
    <n v="0"/>
    <n v="0"/>
    <n v="0"/>
    <n v="17771"/>
    <n v="0"/>
    <n v="0"/>
    <n v="3"/>
    <n v="0"/>
    <n v="301.6937168361286"/>
    <n v="54.092857142857113"/>
    <n v="1.89035491413341E-4"/>
    <n v="11"/>
    <m/>
    <s v="Kalyanpur"/>
    <m/>
    <n v="0"/>
  </r>
  <r>
    <s v="Munger"/>
    <s v="03-09 Jul"/>
    <n v="1053"/>
    <s v="Kalyanpur"/>
    <x v="694"/>
    <s v="KAMARGAMA"/>
    <s v="vlc"/>
    <s v="Indirect"/>
    <n v="476.4"/>
    <n v="28647.61"/>
    <n v="0"/>
    <n v="0"/>
    <n v="0"/>
    <n v="0"/>
    <n v="0"/>
    <n v="0"/>
    <n v="28647.61"/>
    <n v="0"/>
    <n v="0"/>
    <n v="0"/>
    <n v="0"/>
    <n v="0"/>
    <n v="0"/>
    <n v="0"/>
    <n v="0"/>
    <n v="28647.61"/>
    <n v="0"/>
    <n v="0"/>
    <n v="268.91711150293878"/>
    <n v="68.05714285714285"/>
    <n v="0"/>
    <n v="0"/>
    <m/>
    <s v="Kalyanpur"/>
    <m/>
    <n v="0"/>
  </r>
  <r>
    <s v="Munger"/>
    <s v="03-09 Jul"/>
    <n v="1053"/>
    <s v="Kalyanpur"/>
    <x v="695"/>
    <s v="GOMUKH BALAHA W-9"/>
    <s v="MPG"/>
    <s v="Direct"/>
    <n v="740.6"/>
    <n v="31580.120000000003"/>
    <n v="727.69"/>
    <n v="30968.549999999996"/>
    <n v="14.28"/>
    <n v="591.39"/>
    <n v="741.97"/>
    <n v="31559.939999999995"/>
    <n v="31559.939999999995"/>
    <n v="0"/>
    <n v="591.39"/>
    <n v="0"/>
    <n v="750"/>
    <n v="0"/>
    <n v="0"/>
    <n v="30217"/>
    <n v="0"/>
    <n v="0"/>
    <n v="22"/>
    <n v="0"/>
    <n v="0"/>
    <n v="0"/>
    <n v="6.3900960477691557E-4"/>
    <n v="24"/>
    <m/>
    <s v="Kalyanpur"/>
    <m/>
    <n v="0"/>
  </r>
  <r>
    <s v="Munger"/>
    <s v="03-09 Jul"/>
    <n v="1053"/>
    <s v="Kalyanpur"/>
    <x v="696"/>
    <s v="Gomukh NAMAPUR East"/>
    <s v="vlc"/>
    <s v="Indirect"/>
    <n v="36.1"/>
    <n v="1605.73"/>
    <n v="0"/>
    <n v="0"/>
    <n v="0"/>
    <n v="0"/>
    <n v="0"/>
    <n v="0"/>
    <n v="1605.73"/>
    <n v="0"/>
    <n v="0"/>
    <n v="0"/>
    <n v="0"/>
    <n v="0"/>
    <n v="0"/>
    <n v="0"/>
    <n v="0"/>
    <n v="1605.73"/>
    <n v="0"/>
    <n v="0"/>
    <n v="590.60617562326865"/>
    <n v="5.1571428571428575"/>
    <n v="0"/>
    <n v="0"/>
    <m/>
    <s v="Kalyanpur"/>
    <m/>
    <n v="0"/>
  </r>
  <r>
    <s v="Munger"/>
    <s v="03-09 Jul"/>
    <n v="1053"/>
    <s v="Kalyanpur"/>
    <x v="697"/>
    <s v="GOMUKH Madanpur W-3"/>
    <s v="MPG"/>
    <s v="Direct"/>
    <n v="2037.9"/>
    <n v="97853.37000000001"/>
    <n v="2060.6099999999997"/>
    <n v="96627.6"/>
    <n v="26.25"/>
    <n v="1206.4399999999998"/>
    <n v="2086.8599999999997"/>
    <n v="97834.040000000008"/>
    <n v="97834.040000000008"/>
    <n v="0"/>
    <n v="1206.4399999999998"/>
    <n v="0"/>
    <n v="245"/>
    <n v="0"/>
    <n v="0"/>
    <n v="96381"/>
    <n v="0"/>
    <n v="0"/>
    <n v="21"/>
    <n v="0"/>
    <n v="0"/>
    <n v="0"/>
    <n v="1.9754046283742446E-4"/>
    <n v="46"/>
    <m/>
    <s v="Kalyanpur"/>
    <m/>
    <n v="0"/>
  </r>
  <r>
    <s v="Munger"/>
    <s v="03-09 Jul"/>
    <n v="1053"/>
    <s v="Kalyanpur"/>
    <x v="698"/>
    <s v="Gomukh Namapur East (08)"/>
    <s v="vlc"/>
    <s v="Indirect"/>
    <n v="572.70000000000005"/>
    <n v="23373.74"/>
    <n v="0"/>
    <n v="0"/>
    <n v="0"/>
    <n v="0"/>
    <n v="0"/>
    <n v="0"/>
    <n v="23373.74"/>
    <n v="0"/>
    <n v="0"/>
    <n v="0"/>
    <n v="0"/>
    <n v="0"/>
    <n v="0"/>
    <n v="0"/>
    <n v="0"/>
    <n v="23373.74"/>
    <n v="0"/>
    <n v="0"/>
    <n v="103.91049771258947"/>
    <n v="81.814285714285717"/>
    <n v="0"/>
    <n v="0"/>
    <m/>
    <s v="Kalyanpur"/>
    <m/>
    <n v="0"/>
  </r>
  <r>
    <s v="Munger"/>
    <s v="03-09 Jul"/>
    <n v="1053"/>
    <s v="Kalyanpur"/>
    <x v="699"/>
    <s v="GOMUKH Kalaunjar"/>
    <s v="MPG"/>
    <s v="Direct"/>
    <n v="675.69999999999993"/>
    <n v="28915.43"/>
    <n v="668.41"/>
    <n v="27475.530000000002"/>
    <n v="32.01"/>
    <n v="1424.04"/>
    <n v="700.42"/>
    <n v="28899.570000000003"/>
    <n v="28899.570000000003"/>
    <n v="0"/>
    <n v="1424.04"/>
    <n v="0"/>
    <n v="0"/>
    <n v="0"/>
    <n v="0"/>
    <n v="27477"/>
    <n v="0"/>
    <n v="0"/>
    <n v="14"/>
    <n v="0"/>
    <n v="20.797541778895983"/>
    <n v="96.528571428571425"/>
    <n v="5.4849607977460282E-4"/>
    <n v="14"/>
    <m/>
    <s v="Kalyanpur"/>
    <m/>
    <n v="0"/>
  </r>
  <r>
    <s v="Munger"/>
    <s v="03-09 Jul"/>
    <n v="1053"/>
    <s v="Kalyanpur"/>
    <x v="700"/>
    <s v="Jitwariya W-11"/>
    <s v="vlc"/>
    <s v="Indirect"/>
    <n v="44.05"/>
    <n v="2034.7199999999998"/>
    <n v="0"/>
    <n v="0"/>
    <n v="0"/>
    <n v="0"/>
    <n v="0"/>
    <n v="0"/>
    <n v="2034.7199999999998"/>
    <n v="0"/>
    <n v="0"/>
    <n v="0"/>
    <n v="0"/>
    <n v="0"/>
    <n v="0"/>
    <n v="0"/>
    <n v="0"/>
    <n v="2034.7199999999998"/>
    <n v="0"/>
    <n v="0"/>
    <n v="605.98164994324634"/>
    <n v="6.2928571428571427"/>
    <n v="0"/>
    <n v="0"/>
    <m/>
    <s v="Kalyanpur"/>
    <m/>
    <n v="0"/>
  </r>
  <r>
    <s v="Munger"/>
    <s v="03-09 Jul"/>
    <n v="1053"/>
    <s v="Kalyanpur"/>
    <x v="701"/>
    <s v="Pastara Lakshman"/>
    <s v="vlc"/>
    <s v="Indirect"/>
    <n v="124.79999999999998"/>
    <n v="3960.4300000000003"/>
    <n v="0"/>
    <n v="0"/>
    <n v="0"/>
    <n v="0"/>
    <n v="0"/>
    <n v="0"/>
    <n v="3960.4300000000003"/>
    <n v="0"/>
    <n v="0"/>
    <n v="0"/>
    <n v="0"/>
    <n v="0"/>
    <n v="0"/>
    <n v="0"/>
    <n v="0"/>
    <n v="3960.4300000000003"/>
    <n v="0"/>
    <n v="0"/>
    <n v="365.07040641025645"/>
    <n v="17.828571428571426"/>
    <n v="0"/>
    <n v="0"/>
    <m/>
    <s v="Kalyanpur"/>
    <m/>
    <n v="0"/>
  </r>
  <r>
    <s v="Munger"/>
    <s v="03-09 Jul"/>
    <n v="1053"/>
    <s v="Kalyanpur"/>
    <x v="702"/>
    <s v="GOMUKH DADHIYA-2"/>
    <s v="MPG"/>
    <s v="Direct"/>
    <n v="1440.9"/>
    <n v="65496.4"/>
    <n v="1453.5899999999997"/>
    <n v="64291.069999999992"/>
    <n v="13.620000000000001"/>
    <n v="684.40000000000009"/>
    <n v="1467.2099999999996"/>
    <n v="64975.469999999994"/>
    <n v="64975.469999999994"/>
    <n v="0"/>
    <n v="684.40000000000009"/>
    <n v="0"/>
    <n v="0"/>
    <n v="0"/>
    <n v="0"/>
    <n v="64290"/>
    <n v="0"/>
    <n v="0"/>
    <n v="522"/>
    <n v="0"/>
    <n v="0"/>
    <n v="0"/>
    <n v="7.9535669136014744E-3"/>
    <n v="40"/>
    <m/>
    <s v="Kalyanpur"/>
    <m/>
    <n v="0"/>
  </r>
  <r>
    <s v="Munger"/>
    <s v="03-09 Jul"/>
    <n v="1053"/>
    <s v="Kalyanpur"/>
    <x v="703"/>
    <s v="GOMUKH PREMNAGAR"/>
    <s v="MPG"/>
    <s v="Direct"/>
    <n v="1247.9000000000003"/>
    <n v="53714.970000000016"/>
    <n v="1265.0700000000002"/>
    <n v="53162.439999999995"/>
    <n v="13.24"/>
    <n v="533.68000000000006"/>
    <n v="1278.3100000000002"/>
    <n v="53696.119999999995"/>
    <n v="53696.119999999995"/>
    <n v="0"/>
    <n v="533.68000000000006"/>
    <n v="0"/>
    <n v="1166"/>
    <n v="0"/>
    <n v="0"/>
    <n v="51998"/>
    <n v="0"/>
    <n v="0"/>
    <n v="17"/>
    <n v="0"/>
    <n v="0"/>
    <n v="0"/>
    <n v="3.5092638048611711E-4"/>
    <n v="28"/>
    <m/>
    <s v="Kalyanpur"/>
    <m/>
    <n v="0"/>
  </r>
  <r>
    <s v="Munger"/>
    <s v="03-09 Jul"/>
    <n v="1053"/>
    <s v="Kalyanpur"/>
    <x v="704"/>
    <s v="GOMUKH JITWARIYA W-6"/>
    <s v="MPG"/>
    <s v="Direct"/>
    <n v="2259.0999999999995"/>
    <n v="91577.579999999987"/>
    <n v="2241.41"/>
    <n v="90763.449999999968"/>
    <n v="19.350000000000001"/>
    <n v="810.70999999999981"/>
    <n v="2260.7599999999998"/>
    <n v="91574.159999999974"/>
    <n v="91574.159999999974"/>
    <n v="0"/>
    <n v="810.70999999999981"/>
    <n v="0"/>
    <n v="3507"/>
    <n v="0"/>
    <n v="0"/>
    <n v="87254"/>
    <n v="0"/>
    <n v="0"/>
    <n v="6"/>
    <n v="0"/>
    <n v="0"/>
    <n v="0"/>
    <n v="3.7345385191580803E-5"/>
    <n v="44"/>
    <m/>
    <s v="Kalyanpur"/>
    <m/>
    <n v="0"/>
  </r>
  <r>
    <s v="Munger"/>
    <s v="03-09 Jul"/>
    <n v="1053"/>
    <s v="Kalyanpur"/>
    <x v="705"/>
    <s v="GOMUKH SUSTA"/>
    <s v="MPG"/>
    <s v="Direct"/>
    <n v="778.99999999999989"/>
    <n v="33778.47"/>
    <n v="790.44999999999982"/>
    <n v="33108.659999999996"/>
    <n v="10"/>
    <n v="612.6"/>
    <n v="800.44999999999982"/>
    <n v="33721.259999999995"/>
    <n v="33721.259999999995"/>
    <n v="0"/>
    <n v="612.6"/>
    <n v="0"/>
    <n v="0"/>
    <n v="0"/>
    <n v="0"/>
    <n v="33109"/>
    <n v="0"/>
    <n v="0"/>
    <n v="57"/>
    <n v="0"/>
    <n v="0"/>
    <n v="0"/>
    <n v="1.6936823959168784E-3"/>
    <n v="18"/>
    <m/>
    <s v="Kalyanpur"/>
    <m/>
    <n v="0"/>
  </r>
  <r>
    <s v="Munger"/>
    <s v="03-09 Jul"/>
    <n v="1066"/>
    <s v="Gaighat"/>
    <x v="706"/>
    <s v="DIH LAHI"/>
    <s v="vlc"/>
    <s v="Indirect"/>
    <n v="419.28"/>
    <n v="16052.350000000002"/>
    <n v="0"/>
    <n v="0"/>
    <n v="0"/>
    <n v="0"/>
    <n v="0"/>
    <n v="0"/>
    <n v="16052.350000000002"/>
    <n v="0"/>
    <n v="0"/>
    <n v="0"/>
    <n v="0"/>
    <n v="0"/>
    <n v="0"/>
    <n v="0"/>
    <n v="0"/>
    <n v="16052.350000000002"/>
    <n v="0"/>
    <n v="0"/>
    <n v="214.95018565159327"/>
    <n v="59.897142857142853"/>
    <n v="0"/>
    <n v="0"/>
    <m/>
    <s v="Gaighat"/>
    <m/>
    <n v="0"/>
  </r>
  <r>
    <s v="Munger"/>
    <s v="03-09 Jul"/>
    <n v="1012"/>
    <s v="DalsinghSarai"/>
    <x v="707"/>
    <s v="BHATGAMA W-5"/>
    <s v="vlc"/>
    <s v="Indirect"/>
    <n v="191.82999999999998"/>
    <n v="7162.18"/>
    <n v="0"/>
    <n v="0"/>
    <n v="0"/>
    <n v="0"/>
    <n v="0"/>
    <n v="0"/>
    <n v="7162.18"/>
    <n v="0"/>
    <n v="0"/>
    <n v="0"/>
    <n v="0"/>
    <n v="0"/>
    <n v="0"/>
    <n v="0"/>
    <n v="0"/>
    <n v="7162.18"/>
    <n v="0"/>
    <n v="0"/>
    <n v="379.46150347703707"/>
    <n v="27.404285714285713"/>
    <n v="0"/>
    <n v="0"/>
    <m/>
    <s v="DalsinghSarai"/>
    <m/>
    <n v="0"/>
  </r>
  <r>
    <s v="Munger"/>
    <s v="03-09 Jul"/>
    <n v="1053"/>
    <s v="Kalyanpur"/>
    <x v="708"/>
    <s v="GOMUKH TOKE"/>
    <s v="MPG"/>
    <s v="Direct"/>
    <n v="147.74999999999997"/>
    <n v="5883.0399999999991"/>
    <n v="146.24"/>
    <n v="5879.1"/>
    <n v="0"/>
    <n v="0"/>
    <n v="146.24"/>
    <n v="5879.1"/>
    <n v="5879.1"/>
    <n v="0"/>
    <n v="0"/>
    <n v="0"/>
    <n v="0"/>
    <n v="0"/>
    <n v="0"/>
    <n v="5879"/>
    <n v="0"/>
    <n v="0"/>
    <n v="4"/>
    <n v="0"/>
    <n v="439.78461455160743"/>
    <n v="21.107142857142854"/>
    <n v="6.6972177649628271E-4"/>
    <n v="7"/>
    <m/>
    <s v="Kalyanpur"/>
    <m/>
    <n v="0"/>
  </r>
  <r>
    <s v="Munger"/>
    <s v="03-09 Jul"/>
    <n v="1053"/>
    <s v="Kalyanpur"/>
    <x v="709"/>
    <s v="GOMUKH SHIVNAGAR"/>
    <s v="MPG"/>
    <s v="Direct"/>
    <n v="1026.1000000000001"/>
    <n v="42739.399999999994"/>
    <n v="831.39999999999975"/>
    <n v="33265.119999999995"/>
    <n v="187.3"/>
    <n v="9228.24"/>
    <n v="1018.6999999999998"/>
    <n v="42493.359999999993"/>
    <n v="42493.359999999993"/>
    <n v="0"/>
    <n v="0"/>
    <n v="0"/>
    <n v="4200"/>
    <n v="0"/>
    <n v="0"/>
    <n v="29065"/>
    <n v="9227"/>
    <n v="0"/>
    <n v="247"/>
    <n v="0"/>
    <n v="0"/>
    <n v="0"/>
    <n v="5.7567490418677127E-3"/>
    <n v="19"/>
    <m/>
    <s v="Kalyanpur"/>
    <m/>
    <n v="0"/>
  </r>
  <r>
    <s v="Munger"/>
    <s v="03-09 Jul"/>
    <n v="1053"/>
    <s v="Kalyanpur"/>
    <x v="710"/>
    <s v="GOMUKH BAKHITIYARPUR"/>
    <s v="MPG"/>
    <s v="Direct"/>
    <n v="1140.3999999999999"/>
    <n v="52102.259999999995"/>
    <n v="1131.0999999999999"/>
    <n v="51217.169999999991"/>
    <n v="19.5"/>
    <n v="864.74"/>
    <n v="1150.5999999999999"/>
    <n v="52081.909999999989"/>
    <n v="52081.909999999989"/>
    <n v="0"/>
    <n v="864.74"/>
    <n v="0"/>
    <n v="6160"/>
    <n v="0"/>
    <n v="0"/>
    <n v="45056"/>
    <n v="0"/>
    <n v="0"/>
    <n v="22"/>
    <n v="0"/>
    <n v="0"/>
    <n v="0"/>
    <n v="3.9057806705516848E-4"/>
    <n v="36"/>
    <m/>
    <s v="Kalyanpur"/>
    <m/>
    <n v="0"/>
  </r>
  <r>
    <s v="Munger"/>
    <s v="03-09 Jul"/>
    <n v="1066"/>
    <s v="Gaighat"/>
    <x v="711"/>
    <s v="Gomukh Bhagwanpur East "/>
    <s v="vlc"/>
    <s v="Indirect"/>
    <n v="504.96"/>
    <n v="19339.96"/>
    <n v="0"/>
    <n v="0"/>
    <n v="0"/>
    <n v="0"/>
    <n v="0"/>
    <n v="0"/>
    <n v="19339.96"/>
    <n v="0"/>
    <n v="0"/>
    <n v="0"/>
    <n v="0"/>
    <n v="0"/>
    <n v="0"/>
    <n v="0"/>
    <n v="0"/>
    <n v="19339.96"/>
    <n v="0"/>
    <n v="0"/>
    <n v="149.40057820025356"/>
    <n v="72.137142857142848"/>
    <n v="0"/>
    <n v="0"/>
    <m/>
    <s v="Gaighat"/>
    <m/>
    <n v="0"/>
  </r>
  <r>
    <s v="Munger"/>
    <s v="03-09 Jul"/>
    <n v="1053"/>
    <s v="Kalyanpur"/>
    <x v="712"/>
    <s v="GOMUKH BHARJA"/>
    <s v="MPG"/>
    <s v="Direct"/>
    <n v="1607.0500000000002"/>
    <n v="82137.150000000009"/>
    <n v="1635.8999999999999"/>
    <n v="81656.380000000019"/>
    <n v="8"/>
    <n v="436.16"/>
    <n v="1643.8999999999999"/>
    <n v="82092.540000000023"/>
    <n v="82092.540000000023"/>
    <n v="0"/>
    <n v="436.16"/>
    <n v="0"/>
    <n v="5900"/>
    <n v="0"/>
    <n v="0"/>
    <n v="75758"/>
    <n v="0"/>
    <n v="0"/>
    <n v="43"/>
    <n v="0"/>
    <n v="0"/>
    <n v="0"/>
    <n v="5.4311599562422146E-4"/>
    <n v="13"/>
    <m/>
    <s v="Kalyanpur"/>
    <m/>
    <n v="0"/>
  </r>
  <r>
    <s v="Munger"/>
    <s v="03-09 Jul"/>
    <n v="1053"/>
    <s v="Kalyanpur"/>
    <x v="713"/>
    <s v="GOMUKH NAWABGANJ"/>
    <s v="MPG"/>
    <s v="Direct"/>
    <n v="781.7"/>
    <n v="32375.35"/>
    <n v="774.19999999999982"/>
    <n v="32006.060000000009"/>
    <n v="8.6999999999999993"/>
    <n v="364.93000000000006"/>
    <n v="782.89999999999986"/>
    <n v="32370.990000000009"/>
    <n v="32370.990000000009"/>
    <n v="0"/>
    <n v="364.93000000000006"/>
    <n v="0"/>
    <n v="331"/>
    <n v="0"/>
    <n v="0"/>
    <n v="31676"/>
    <n v="0"/>
    <n v="0"/>
    <n v="3"/>
    <n v="0"/>
    <n v="0"/>
    <n v="0"/>
    <n v="1.3467035877572499E-4"/>
    <n v="20"/>
    <m/>
    <s v="Kalyanpur"/>
    <m/>
    <n v="0"/>
  </r>
  <r>
    <s v="Munger"/>
    <s v="03-09 Jul"/>
    <n v="1053"/>
    <s v="Kalyanpur"/>
    <x v="714"/>
    <s v="GOMUKH CHAKKI"/>
    <s v="MPG"/>
    <s v="Direct"/>
    <n v="176.44999999999996"/>
    <n v="7589.95"/>
    <n v="192.20000000000002"/>
    <n v="7523.8100000000013"/>
    <n v="1.4"/>
    <n v="55.86"/>
    <n v="193.60000000000002"/>
    <n v="7579.670000000001"/>
    <n v="7579.670000000001"/>
    <n v="0"/>
    <n v="55.86"/>
    <n v="0"/>
    <n v="0"/>
    <n v="0"/>
    <n v="0"/>
    <n v="7523"/>
    <n v="0"/>
    <n v="0"/>
    <n v="11"/>
    <n v="0"/>
    <n v="450.40729073391901"/>
    <n v="25.207142857142852"/>
    <n v="1.354422624654818E-3"/>
    <n v="6"/>
    <m/>
    <s v="Kalyanpur"/>
    <m/>
    <n v="0"/>
  </r>
  <r>
    <s v="Munger"/>
    <s v="03-09 Jul"/>
    <n v="1053"/>
    <s v="Kalyanpur"/>
    <x v="715"/>
    <s v="GOMUKH LAKSHMAN NAGAR"/>
    <s v="MPG"/>
    <s v="Direct"/>
    <n v="544.29999999999995"/>
    <n v="23356.039999999994"/>
    <n v="558.39999999999986"/>
    <n v="23140.54"/>
    <n v="0"/>
    <n v="0"/>
    <n v="558.39999999999986"/>
    <n v="23140.54"/>
    <n v="23140.54"/>
    <n v="0"/>
    <n v="0"/>
    <n v="0"/>
    <n v="603"/>
    <n v="0"/>
    <n v="0"/>
    <n v="22538"/>
    <n v="0"/>
    <n v="0"/>
    <n v="215"/>
    <n v="0"/>
    <n v="133.62246658092963"/>
    <n v="77.757142857142853"/>
    <n v="9.226735354109377E-3"/>
    <n v="18"/>
    <m/>
    <s v="Kalyanpur"/>
    <m/>
    <n v="0"/>
  </r>
  <r>
    <s v="Munger"/>
    <s v="03-09 Jul"/>
    <n v="1053"/>
    <s v="Kalyanpur"/>
    <x v="716"/>
    <s v="GOMUKH KOTHIYA"/>
    <s v="MPG"/>
    <s v="Direct"/>
    <n v="108.35000000000001"/>
    <n v="4793.6900000000005"/>
    <n v="105.89999999999999"/>
    <n v="4454.4800000000005"/>
    <n v="1.2"/>
    <n v="52.16"/>
    <n v="107.1"/>
    <n v="4506.6400000000003"/>
    <n v="4506.6400000000003"/>
    <n v="0"/>
    <n v="52.16"/>
    <n v="0"/>
    <n v="0"/>
    <n v="500"/>
    <n v="0"/>
    <n v="3954"/>
    <n v="0"/>
    <n v="0"/>
    <n v="288"/>
    <n v="0"/>
    <n v="523.52315431472073"/>
    <n v="15.47857142857143"/>
    <n v="5.9880801637152203E-2"/>
    <n v="5"/>
    <m/>
    <s v="Kalyanpur"/>
    <m/>
    <n v="500"/>
  </r>
  <r>
    <s v="Munger"/>
    <s v="03-09 Jul"/>
    <n v="1053"/>
    <s v="Kalyanpur"/>
    <x v="717"/>
    <s v="GOMUKH JHAHURI"/>
    <s v="MPG"/>
    <s v="Direct"/>
    <n v="2676.2500000000005"/>
    <n v="114232.66999999998"/>
    <n v="2650.3"/>
    <n v="111469.56999999996"/>
    <n v="51.8"/>
    <n v="2399.2799999999997"/>
    <n v="2702.1000000000004"/>
    <n v="113868.84999999996"/>
    <n v="113868.84999999996"/>
    <n v="0"/>
    <n v="2399.2799999999997"/>
    <n v="0"/>
    <n v="28089"/>
    <n v="0"/>
    <n v="0"/>
    <n v="83380"/>
    <n v="0"/>
    <n v="0"/>
    <n v="364"/>
    <n v="0"/>
    <n v="0"/>
    <n v="0"/>
    <n v="3.184903233024507E-3"/>
    <n v="24"/>
    <m/>
    <s v="Kalyanpur"/>
    <m/>
    <n v="0"/>
  </r>
  <r>
    <s v="Munger"/>
    <s v="03-09 Jul"/>
    <n v="1053"/>
    <s v="Kalyanpur"/>
    <x v="718"/>
    <s v="GOMUKH Keotsa"/>
    <s v="MPG"/>
    <s v="Direct"/>
    <n v="669.94999999999993"/>
    <n v="29530.33"/>
    <n v="545.35"/>
    <n v="24103.75"/>
    <n v="127.36"/>
    <n v="5067.53"/>
    <n v="672.71"/>
    <n v="29171.279999999999"/>
    <n v="29171.279999999999"/>
    <n v="0"/>
    <n v="1130.6799999999998"/>
    <n v="0"/>
    <n v="0"/>
    <n v="0"/>
    <n v="0"/>
    <n v="24102"/>
    <n v="3937"/>
    <n v="0"/>
    <n v="361"/>
    <n v="0"/>
    <n v="26.491123710724782"/>
    <n v="95.707142857142841"/>
    <n v="1.2158685663180969E-2"/>
    <n v="10"/>
    <m/>
    <s v="Kalyanpur"/>
    <m/>
    <n v="0"/>
  </r>
  <r>
    <s v="Munger"/>
    <s v="03-09 Jul"/>
    <n v="1053"/>
    <s v="Kalyanpur"/>
    <x v="719"/>
    <s v="Gomukh NAMAPUR East"/>
    <s v="vlc"/>
    <s v="Indirect"/>
    <n v="579.35"/>
    <n v="35888.020000000004"/>
    <n v="0"/>
    <n v="0"/>
    <n v="0"/>
    <n v="0"/>
    <n v="0"/>
    <n v="0"/>
    <n v="35888.020000000004"/>
    <n v="0"/>
    <n v="0"/>
    <n v="0"/>
    <n v="0"/>
    <n v="0"/>
    <n v="0"/>
    <n v="0"/>
    <n v="0"/>
    <n v="35888.020000000004"/>
    <n v="0"/>
    <n v="0"/>
    <n v="149.47405240355567"/>
    <n v="82.76428571428572"/>
    <n v="0"/>
    <n v="0"/>
    <m/>
    <s v="Kalyanpur"/>
    <m/>
    <n v="0"/>
  </r>
  <r>
    <s v="Munger"/>
    <s v="03-09 Jul"/>
    <n v="1053"/>
    <s v="Kalyanpur"/>
    <x v="720"/>
    <s v="GOMUKH Waini"/>
    <s v="MPG"/>
    <s v="Direct"/>
    <n v="390.1"/>
    <n v="16276.36"/>
    <n v="382.42"/>
    <n v="15682.43"/>
    <n v="8.34"/>
    <n v="338.47999999999996"/>
    <n v="390.76"/>
    <n v="16020.91"/>
    <n v="16020.91"/>
    <n v="0"/>
    <n v="338.47999999999996"/>
    <n v="0"/>
    <n v="0"/>
    <n v="0"/>
    <n v="0"/>
    <n v="15683"/>
    <n v="0"/>
    <n v="0"/>
    <n v="255"/>
    <n v="0"/>
    <n v="258.60261286849521"/>
    <n v="55.728571428571435"/>
    <n v="1.5694541039888571E-2"/>
    <n v="9"/>
    <m/>
    <s v="Kalyanpur"/>
    <m/>
    <n v="0"/>
  </r>
  <r>
    <s v="Munger"/>
    <s v="03-09 Jul"/>
    <n v="1053"/>
    <s v="Kalyanpur"/>
    <x v="721"/>
    <s v="GOMUKH SAKARI"/>
    <s v="MPG"/>
    <s v="Direct"/>
    <n v="1669.3000000000002"/>
    <n v="73541.01999999999"/>
    <n v="1659.7900000000002"/>
    <n v="72857.16"/>
    <n v="14.969999999999999"/>
    <n v="669.35000000000014"/>
    <n v="1674.7600000000002"/>
    <n v="73526.510000000009"/>
    <n v="73526.510000000009"/>
    <n v="0"/>
    <n v="669.35000000000014"/>
    <n v="0"/>
    <n v="16733"/>
    <n v="0"/>
    <n v="0"/>
    <n v="56122"/>
    <n v="0"/>
    <n v="0"/>
    <n v="17"/>
    <n v="0"/>
    <n v="0"/>
    <n v="0"/>
    <n v="1.9730485108827986E-4"/>
    <n v="24"/>
    <m/>
    <s v="Kalyanpur"/>
    <m/>
    <n v="0"/>
  </r>
  <r>
    <s v="Munger"/>
    <s v="03-09 Jul"/>
    <n v="1053"/>
    <s v="Kalyanpur"/>
    <x v="722"/>
    <s v="GOMUKH DHOBGAMA"/>
    <s v="MPG"/>
    <s v="Direct"/>
    <n v="768.94999999999993"/>
    <n v="31699.58"/>
    <n v="757.38"/>
    <n v="30822.579999999998"/>
    <n v="16.39"/>
    <n v="699.4799999999999"/>
    <n v="773.77"/>
    <n v="31522.059999999998"/>
    <n v="31522.059999999998"/>
    <n v="0"/>
    <n v="699.4799999999999"/>
    <n v="0"/>
    <n v="0"/>
    <n v="0"/>
    <n v="0"/>
    <n v="30824"/>
    <n v="0"/>
    <n v="0"/>
    <n v="176"/>
    <n v="0"/>
    <n v="0"/>
    <n v="0"/>
    <n v="5.6000741965667707E-3"/>
    <n v="16"/>
    <m/>
    <s v="Kalyanpur"/>
    <m/>
    <n v="0"/>
  </r>
  <r>
    <s v="Munger"/>
    <s v="03-09 Jul"/>
    <n v="1053"/>
    <s v="Kalyanpur"/>
    <x v="723"/>
    <s v="GOMUKH BHUSKOUL"/>
    <s v="MPG"/>
    <s v="Direct"/>
    <n v="505.54999999999995"/>
    <n v="20186.849999999999"/>
    <n v="508.16"/>
    <n v="19708.580000000002"/>
    <n v="11.829999999999997"/>
    <n v="472.7"/>
    <n v="519.99"/>
    <n v="20181.280000000002"/>
    <n v="20181.280000000002"/>
    <n v="0"/>
    <n v="472.7"/>
    <n v="0"/>
    <n v="0"/>
    <n v="0"/>
    <n v="0"/>
    <n v="19708"/>
    <n v="0"/>
    <n v="0"/>
    <n v="6"/>
    <n v="0"/>
    <n v="155.28960468796365"/>
    <n v="72.221428571428561"/>
    <n v="2.7592219687549427E-4"/>
    <n v="17"/>
    <m/>
    <s v="Kalyanpur"/>
    <m/>
    <n v="0"/>
  </r>
  <r>
    <s v="Munger"/>
    <s v="03-09 Jul"/>
    <n v="1053"/>
    <s v="Kalyanpur"/>
    <x v="724"/>
    <s v="GOMUKH BIRSINGHPUR"/>
    <s v="MPG"/>
    <s v="Direct"/>
    <n v="395.25"/>
    <n v="16053.420000000002"/>
    <n v="397.20999999999992"/>
    <n v="15854.339999999997"/>
    <n v="0"/>
    <n v="0"/>
    <n v="397.20999999999992"/>
    <n v="15854.339999999997"/>
    <n v="15854.339999999997"/>
    <n v="0"/>
    <n v="0"/>
    <n v="0"/>
    <n v="0"/>
    <n v="0"/>
    <n v="0"/>
    <n v="15855"/>
    <n v="0"/>
    <n v="0"/>
    <n v="198"/>
    <n v="0"/>
    <n v="247.55368728652758"/>
    <n v="56.464285714285715"/>
    <n v="1.2401095841260328E-2"/>
    <n v="4"/>
    <m/>
    <s v="Kalyanpur"/>
    <m/>
    <n v="0"/>
  </r>
  <r>
    <s v="Munger"/>
    <s v="03-09 Jul"/>
    <n v="1053"/>
    <s v="Kalyanpur"/>
    <x v="725"/>
    <s v="GOMUKH GHOSRAWAN"/>
    <s v="MPG"/>
    <s v="Direct"/>
    <n v="455.8"/>
    <n v="18228.299999999996"/>
    <n v="444.72"/>
    <n v="18125.05"/>
    <n v="2.620000000000001"/>
    <n v="99.87"/>
    <n v="447.34000000000003"/>
    <n v="18224.919999999998"/>
    <n v="18224.919999999998"/>
    <n v="0"/>
    <n v="99.87"/>
    <n v="0"/>
    <n v="3330.2"/>
    <n v="0"/>
    <n v="0"/>
    <n v="14795"/>
    <n v="0"/>
    <n v="0"/>
    <n v="3"/>
    <n v="0"/>
    <n v="195.32035366388757"/>
    <n v="65.114285714285714"/>
    <n v="1.8542595853685652E-4"/>
    <n v="7"/>
    <m/>
    <s v="Kalyanpur"/>
    <m/>
    <n v="0"/>
  </r>
  <r>
    <s v="Munger"/>
    <s v="03-09 Jul"/>
    <n v="1053"/>
    <s v="Kalyanpur"/>
    <x v="726"/>
    <s v="GOMUKH BANDRA W-9"/>
    <s v="MPG"/>
    <s v="Direct"/>
    <n v="377.34999999999997"/>
    <n v="17068.37"/>
    <n v="372.06"/>
    <n v="16914.580000000002"/>
    <n v="3.28"/>
    <n v="150.07"/>
    <n v="375.34"/>
    <n v="17064.650000000001"/>
    <n v="17064.650000000001"/>
    <n v="0"/>
    <n v="150.07"/>
    <n v="0"/>
    <n v="0"/>
    <n v="0"/>
    <n v="0"/>
    <n v="16916"/>
    <n v="0"/>
    <n v="0"/>
    <n v="2"/>
    <n v="0"/>
    <n v="291.88337514244074"/>
    <n v="53.907142857142851"/>
    <n v="2.1794699786784131E-4"/>
    <n v="15"/>
    <m/>
    <s v="Kalyanpur"/>
    <m/>
    <n v="0"/>
  </r>
  <r>
    <s v="Munger"/>
    <s v="03-09 Jul"/>
    <n v="1053"/>
    <s v="Kalyanpur"/>
    <x v="727"/>
    <s v="AMI Dairy"/>
    <s v="vlc"/>
    <s v="Indirect"/>
    <n v="702.59999999999991"/>
    <n v="27888.880000000001"/>
    <n v="0"/>
    <n v="0"/>
    <n v="0"/>
    <n v="0"/>
    <n v="0"/>
    <n v="0"/>
    <n v="27888.880000000001"/>
    <n v="0"/>
    <n v="0"/>
    <n v="0"/>
    <n v="0"/>
    <n v="0"/>
    <n v="0"/>
    <n v="0"/>
    <n v="0"/>
    <n v="27888.880000000001"/>
    <n v="0"/>
    <n v="0"/>
    <n v="0"/>
    <n v="0"/>
    <n v="0"/>
    <n v="0"/>
    <m/>
    <s v="Kalyanpur"/>
    <m/>
    <n v="0"/>
  </r>
  <r>
    <s v="Munger"/>
    <s v="03-09 Jul"/>
    <n v="1054"/>
    <s v="Alauli "/>
    <x v="728"/>
    <s v="GOMUKH ANANDPUR PARAS 2"/>
    <s v="MPG"/>
    <s v="Direct"/>
    <n v="2763.6"/>
    <n v="116781.21"/>
    <n v="2763.6"/>
    <n v="116781.21000000002"/>
    <n v="0"/>
    <n v="0"/>
    <n v="2763.6"/>
    <n v="116781.21000000002"/>
    <n v="116781.21"/>
    <n v="0"/>
    <n v="0"/>
    <n v="0"/>
    <n v="0"/>
    <n v="0"/>
    <n v="0"/>
    <n v="116781"/>
    <n v="0"/>
    <n v="0"/>
    <n v="0"/>
    <n v="0"/>
    <n v="0"/>
    <n v="0"/>
    <n v="-1.2460836146814074E-16"/>
    <n v="1"/>
    <m/>
    <s v="Alauli "/>
    <m/>
    <n v="0"/>
  </r>
  <r>
    <s v="Munger"/>
    <s v="03-09 Jul"/>
    <n v="1054"/>
    <s v="Alauli "/>
    <x v="729"/>
    <s v="GOMUKH GADBANNI"/>
    <s v="MPG"/>
    <s v="Direct"/>
    <n v="298.09999999999997"/>
    <n v="13264.36"/>
    <n v="321.57"/>
    <n v="13587.09"/>
    <n v="0"/>
    <n v="0"/>
    <n v="321.57"/>
    <n v="13587.09"/>
    <n v="13264.36"/>
    <n v="0"/>
    <n v="0"/>
    <n v="322.72999999999956"/>
    <n v="1376"/>
    <n v="0"/>
    <n v="0"/>
    <n v="11888"/>
    <n v="0"/>
    <n v="0"/>
    <n v="0"/>
    <s v="Release5"/>
    <n v="357.66160912445497"/>
    <n v="42.585714285714282"/>
    <n v="-2.4330612257206494E-2"/>
    <n v="10"/>
    <m/>
    <s v="Alauli "/>
    <m/>
    <n v="0"/>
  </r>
  <r>
    <s v="Munger"/>
    <s v="03-09 Jul"/>
    <n v="1054"/>
    <s v="Alauli "/>
    <x v="730"/>
    <s v="GOMUKH PARRI"/>
    <s v="MPG"/>
    <s v="Direct"/>
    <n v="96.800000000000011"/>
    <n v="4378.55"/>
    <n v="107.36000000000001"/>
    <n v="5105.49"/>
    <n v="0"/>
    <n v="0"/>
    <n v="107.36000000000001"/>
    <n v="5105.49"/>
    <n v="4378.55"/>
    <n v="0"/>
    <n v="0"/>
    <n v="726.9399999999996"/>
    <n v="0"/>
    <n v="500"/>
    <n v="0"/>
    <n v="3879"/>
    <n v="0"/>
    <n v="0"/>
    <n v="0"/>
    <s v="Release5"/>
    <n v="545.69036363636349"/>
    <n v="13.828571428571431"/>
    <n v="-0.16602299848123228"/>
    <n v="7"/>
    <m/>
    <s v="Alauli "/>
    <m/>
    <n v="500"/>
  </r>
  <r>
    <s v="Munger"/>
    <s v="03-09 Jul"/>
    <n v="1054"/>
    <s v="Alauli "/>
    <x v="731"/>
    <s v="GOMUKH BHIKHARI GHAT"/>
    <s v="MPG"/>
    <s v="Direct"/>
    <n v="1114"/>
    <n v="48321.97"/>
    <n v="1128.2300000000002"/>
    <n v="48858.630000000005"/>
    <n v="0"/>
    <n v="0"/>
    <n v="1128.2300000000002"/>
    <n v="48858.630000000005"/>
    <n v="48321.97"/>
    <n v="0"/>
    <n v="0"/>
    <n v="536.66000000000349"/>
    <n v="0"/>
    <n v="0"/>
    <n v="0"/>
    <n v="48322"/>
    <n v="0"/>
    <n v="0"/>
    <n v="0"/>
    <n v="0"/>
    <n v="0"/>
    <n v="0"/>
    <n v="-1.1105921385241609E-2"/>
    <n v="29"/>
    <m/>
    <s v="Alauli "/>
    <m/>
    <n v="0"/>
  </r>
  <r>
    <s v="Munger"/>
    <s v="03-09 Jul"/>
    <n v="1054"/>
    <s v="Alauli "/>
    <x v="732"/>
    <s v="Vikash Kumar"/>
    <s v="vlc"/>
    <s v="Indirect"/>
    <n v="2191.2999999999997"/>
    <n v="91661.37000000001"/>
    <n v="0"/>
    <n v="0"/>
    <n v="0"/>
    <n v="0"/>
    <n v="0"/>
    <n v="0"/>
    <n v="91661.37000000001"/>
    <n v="0"/>
    <n v="0"/>
    <n v="0"/>
    <n v="0"/>
    <n v="0"/>
    <n v="0"/>
    <n v="0"/>
    <n v="0"/>
    <n v="91661.37000000001"/>
    <n v="0"/>
    <n v="0"/>
    <n v="0"/>
    <n v="0"/>
    <n v="0"/>
    <n v="0"/>
    <m/>
    <s v="Alauli "/>
    <m/>
    <n v="0"/>
  </r>
  <r>
    <s v="Munger"/>
    <s v="03-09 Jul"/>
    <n v="1054"/>
    <s v="Alauli "/>
    <x v="733"/>
    <s v="Rajkishore Yadav"/>
    <s v="vlc"/>
    <s v="Indirect"/>
    <n v="164.20000000000002"/>
    <n v="6064.97"/>
    <n v="0"/>
    <n v="0"/>
    <n v="0"/>
    <n v="0"/>
    <n v="0"/>
    <n v="0"/>
    <n v="6064.97"/>
    <n v="0"/>
    <n v="0"/>
    <n v="0"/>
    <n v="0"/>
    <n v="0"/>
    <n v="0"/>
    <n v="0"/>
    <n v="0"/>
    <n v="6064.97"/>
    <n v="0"/>
    <n v="0"/>
    <n v="395.81131863580998"/>
    <n v="23.457142857142859"/>
    <n v="0"/>
    <n v="0"/>
    <m/>
    <s v="Alauli "/>
    <m/>
    <n v="0"/>
  </r>
  <r>
    <s v="Munger"/>
    <s v="03-09 Jul"/>
    <n v="1054"/>
    <s v="Alauli "/>
    <x v="734"/>
    <s v="BHADAS VLC"/>
    <s v="vlc"/>
    <s v="Indirect"/>
    <n v="59.699999999999996"/>
    <n v="3030.2499999999995"/>
    <n v="0"/>
    <n v="0"/>
    <n v="0"/>
    <n v="0"/>
    <n v="0"/>
    <n v="0"/>
    <n v="3030.2499999999995"/>
    <n v="0"/>
    <n v="0"/>
    <n v="0"/>
    <n v="0"/>
    <n v="0"/>
    <n v="0"/>
    <n v="0"/>
    <n v="0"/>
    <n v="3030.2499999999995"/>
    <n v="0"/>
    <n v="0"/>
    <n v="650.00639028475712"/>
    <n v="8.5285714285714285"/>
    <n v="0"/>
    <n v="0"/>
    <m/>
    <s v="Alauli "/>
    <m/>
    <n v="0"/>
  </r>
  <r>
    <s v="Munger"/>
    <s v="03-09 Jul"/>
    <n v="1054"/>
    <s v="Alauli "/>
    <x v="735"/>
    <s v="GOMUKH BENHER"/>
    <s v="MPG"/>
    <s v="Direct"/>
    <n v="424.7"/>
    <n v="24427.359999999997"/>
    <n v="432.95999999999992"/>
    <n v="24294.05"/>
    <n v="3.100000000000001"/>
    <n v="157.34999999999997"/>
    <n v="436.05999999999995"/>
    <n v="24451.399999999998"/>
    <n v="24427.359999999997"/>
    <n v="0"/>
    <n v="157.34999999999997"/>
    <n v="24.040000000000873"/>
    <n v="0"/>
    <n v="0"/>
    <n v="0"/>
    <n v="24270"/>
    <n v="0"/>
    <n v="0"/>
    <n v="0"/>
    <n v="0"/>
    <n v="316.68717720744053"/>
    <n v="60.671428571428571"/>
    <n v="-9.8414237150477478E-4"/>
    <n v="9"/>
    <m/>
    <s v="Alauli "/>
    <m/>
    <n v="0"/>
  </r>
  <r>
    <s v="Munger"/>
    <s v="03-09 Jul"/>
    <n v="1054"/>
    <s v="Alauli "/>
    <x v="736"/>
    <s v="GOMUKH LADORA"/>
    <s v="MPG"/>
    <s v="Direct"/>
    <n v="735.1"/>
    <n v="28918.39"/>
    <n v="735.04"/>
    <n v="29059.62"/>
    <n v="0"/>
    <n v="0"/>
    <n v="735.04"/>
    <n v="29059.62"/>
    <n v="28918.39"/>
    <n v="0"/>
    <n v="0"/>
    <n v="141.22999999999956"/>
    <n v="0"/>
    <n v="0"/>
    <n v="0"/>
    <n v="28918"/>
    <n v="0"/>
    <n v="0"/>
    <n v="0"/>
    <n v="0"/>
    <n v="0"/>
    <n v="0"/>
    <n v="-4.8837435279073128E-3"/>
    <n v="2"/>
    <m/>
    <s v="Alauli "/>
    <m/>
    <n v="0"/>
  </r>
  <r>
    <s v="Munger"/>
    <s v="03-09 Jul"/>
    <n v="1054"/>
    <s v="Alauli "/>
    <x v="737"/>
    <s v="GOMUKH SAHSI"/>
    <s v="MPG"/>
    <s v="Direct"/>
    <n v="349.1"/>
    <n v="15573.95"/>
    <n v="373.53"/>
    <n v="15592.55"/>
    <n v="0"/>
    <n v="0"/>
    <n v="373.53"/>
    <n v="15592.55"/>
    <n v="15573.95"/>
    <n v="0"/>
    <n v="0"/>
    <n v="18.599999999998545"/>
    <n v="0"/>
    <n v="500"/>
    <n v="0"/>
    <n v="15074"/>
    <n v="0"/>
    <n v="0"/>
    <n v="0"/>
    <n v="0"/>
    <n v="313.08502177026634"/>
    <n v="49.871428571428574"/>
    <n v="-1.1943020235713191E-3"/>
    <n v="8"/>
    <m/>
    <s v="Alauli "/>
    <m/>
    <n v="500"/>
  </r>
  <r>
    <s v="Munger"/>
    <s v="03-09 Jul"/>
    <n v="1054"/>
    <s v="Alauli "/>
    <x v="738"/>
    <s v="Gomukh Chikni"/>
    <s v="MPG"/>
    <s v="Direct"/>
    <n v="116.10000000000001"/>
    <n v="3804.8199999999993"/>
    <n v="121.05"/>
    <n v="4233.0599999999995"/>
    <n v="0"/>
    <n v="0"/>
    <n v="121.05"/>
    <n v="4233.0599999999995"/>
    <n v="3804.8199999999993"/>
    <n v="0"/>
    <n v="0"/>
    <n v="428.24000000000024"/>
    <n v="0"/>
    <n v="500"/>
    <n v="0"/>
    <n v="3305"/>
    <n v="0"/>
    <n v="0"/>
    <n v="0"/>
    <s v="Release4"/>
    <n v="382.71049061154162"/>
    <n v="16.585714285714285"/>
    <n v="-0.11255197354934013"/>
    <n v="2"/>
    <m/>
    <s v="Alauli "/>
    <m/>
    <n v="500"/>
  </r>
  <r>
    <s v="Munger"/>
    <s v="03-09 Jul"/>
    <n v="1054"/>
    <s v="Alauli "/>
    <x v="739"/>
    <s v="GOMUKH BUDWA"/>
    <s v="MPG"/>
    <s v="Direct"/>
    <n v="75.7"/>
    <n v="3084.6"/>
    <n v="85.33"/>
    <n v="3432.8300000000004"/>
    <n v="0"/>
    <n v="0"/>
    <n v="85.33"/>
    <n v="3432.8300000000004"/>
    <n v="3084.6"/>
    <n v="0"/>
    <n v="0"/>
    <n v="348.23000000000047"/>
    <n v="0"/>
    <n v="500"/>
    <n v="0"/>
    <n v="2585"/>
    <n v="0"/>
    <n v="0"/>
    <n v="0"/>
    <s v="Release5"/>
    <n v="508.77563540290618"/>
    <n v="10.814285714285715"/>
    <n v="-0.11289308176100644"/>
    <n v="6"/>
    <m/>
    <s v="Alauli "/>
    <m/>
    <n v="500"/>
  </r>
  <r>
    <s v="Munger"/>
    <s v="03-09 Jul"/>
    <n v="1054"/>
    <s v="Alauli "/>
    <x v="740"/>
    <s v="GOMUKH GANGIYA"/>
    <s v="MPG"/>
    <s v="Indirect"/>
    <n v="725.19999999999993"/>
    <n v="25387.61"/>
    <n v="0"/>
    <n v="0"/>
    <n v="0"/>
    <n v="0"/>
    <n v="0"/>
    <n v="0"/>
    <n v="25387.61"/>
    <n v="0"/>
    <n v="0"/>
    <n v="0"/>
    <n v="0"/>
    <n v="0"/>
    <n v="0"/>
    <n v="0"/>
    <n v="0"/>
    <n v="25387.61"/>
    <n v="0"/>
    <n v="0"/>
    <n v="0"/>
    <n v="0"/>
    <n v="0"/>
    <n v="0"/>
    <m/>
    <s v="Alauli "/>
    <m/>
    <n v="0"/>
  </r>
  <r>
    <s v="Munger"/>
    <s v="03-09 Jul"/>
    <n v="1054"/>
    <s v="Alauli "/>
    <x v="741"/>
    <s v="GOMUKH AMBA ICHARUA"/>
    <s v="MPG"/>
    <s v="Direct"/>
    <n v="516.99999999999989"/>
    <n v="20870.269999999997"/>
    <n v="97.320000000000007"/>
    <n v="4333.2700000000004"/>
    <n v="465.16000000000008"/>
    <n v="20156.559999999998"/>
    <n v="562.48000000000013"/>
    <n v="24489.829999999998"/>
    <n v="20870.269999999997"/>
    <n v="0"/>
    <n v="0"/>
    <n v="3619.5600000000013"/>
    <n v="0"/>
    <n v="0"/>
    <n v="0"/>
    <n v="713"/>
    <n v="20157"/>
    <n v="0"/>
    <n v="0"/>
    <n v="0"/>
    <n v="147.74697911025152"/>
    <n v="73.857142857142847"/>
    <n v="-0.17343139307732972"/>
    <n v="7"/>
    <m/>
    <s v="Alauli "/>
    <m/>
    <n v="0"/>
  </r>
  <r>
    <s v="Munger"/>
    <s v="03-09 Jul"/>
    <n v="1054"/>
    <s v="Alauli "/>
    <x v="742"/>
    <s v="RAJAURA VLC"/>
    <s v="vlc"/>
    <s v="Indirect"/>
    <n v="984.2"/>
    <n v="38014.31"/>
    <n v="0"/>
    <n v="0"/>
    <n v="0"/>
    <n v="0"/>
    <n v="0"/>
    <n v="0"/>
    <n v="38014.31"/>
    <n v="0"/>
    <n v="0"/>
    <n v="0"/>
    <n v="0"/>
    <n v="0"/>
    <n v="0"/>
    <n v="0"/>
    <n v="0"/>
    <n v="38014.31"/>
    <n v="0"/>
    <n v="0"/>
    <n v="0"/>
    <n v="0"/>
    <n v="0"/>
    <n v="0"/>
    <m/>
    <s v="Alauli "/>
    <m/>
    <n v="0"/>
  </r>
  <r>
    <s v="Munger"/>
    <s v="03-09 Jul"/>
    <n v="1054"/>
    <s v="Alauli "/>
    <x v="743"/>
    <s v="GOMUKH JWALAPUR"/>
    <s v="MPG"/>
    <s v="Direct"/>
    <n v="202.6"/>
    <n v="7491.97"/>
    <n v="350"/>
    <n v="14881.5"/>
    <n v="0"/>
    <n v="0"/>
    <n v="350"/>
    <n v="14881.5"/>
    <n v="7491.97"/>
    <n v="0"/>
    <n v="0"/>
    <n v="7389.53"/>
    <n v="0"/>
    <n v="500"/>
    <n v="0"/>
    <n v="6992"/>
    <n v="0"/>
    <n v="0"/>
    <n v="0"/>
    <n v="0"/>
    <n v="367.86829990128331"/>
    <n v="28.942857142857143"/>
    <n v="-0.98632669378014048"/>
    <n v="1"/>
    <m/>
    <s v="Alauli "/>
    <m/>
    <n v="500"/>
  </r>
  <r>
    <s v="Munger"/>
    <s v="03-09 Jul"/>
    <n v="1054"/>
    <s v="Alauli "/>
    <x v="744"/>
    <s v="VLC Dhushmuri Bishanpur"/>
    <s v="vlc"/>
    <s v="Indirect"/>
    <n v="378.29999999999995"/>
    <n v="12732.95"/>
    <n v="0"/>
    <n v="0"/>
    <n v="0"/>
    <n v="0"/>
    <n v="0"/>
    <n v="0"/>
    <n v="12732.95"/>
    <n v="0"/>
    <n v="0"/>
    <n v="0"/>
    <n v="0"/>
    <n v="0"/>
    <n v="0"/>
    <n v="0"/>
    <n v="0"/>
    <n v="12732.95"/>
    <n v="0"/>
    <n v="0"/>
    <n v="216.5577591858314"/>
    <n v="54.042857142857137"/>
    <n v="0"/>
    <n v="0"/>
    <m/>
    <s v="Alauli "/>
    <m/>
    <n v="0"/>
  </r>
  <r>
    <s v="Munger"/>
    <s v="03-09 Jul"/>
    <n v="1054"/>
    <s v="Alauli "/>
    <x v="745"/>
    <s v="VLC Govindpur"/>
    <s v="vlc"/>
    <s v="Indirect"/>
    <n v="583.09999999999991"/>
    <n v="22518.500000000004"/>
    <n v="0"/>
    <n v="0"/>
    <n v="0"/>
    <n v="0"/>
    <n v="0"/>
    <n v="0"/>
    <n v="22518.500000000004"/>
    <n v="0"/>
    <n v="0"/>
    <n v="0"/>
    <n v="0"/>
    <n v="0"/>
    <n v="0"/>
    <n v="0"/>
    <n v="0"/>
    <n v="22518.500000000004"/>
    <n v="0"/>
    <n v="0"/>
    <n v="90.290264105642379"/>
    <n v="83.299999999999983"/>
    <n v="0"/>
    <n v="0"/>
    <m/>
    <s v="Alauli "/>
    <m/>
    <n v="0"/>
  </r>
  <r>
    <s v="Munger"/>
    <s v="03-09 Jul"/>
    <n v="1054"/>
    <s v="Alauli "/>
    <x v="746"/>
    <s v="Gomukh Darhi Mor"/>
    <s v="MPG"/>
    <s v="Indirect"/>
    <n v="96.300000000000011"/>
    <n v="3780.13"/>
    <n v="0"/>
    <n v="0"/>
    <n v="0"/>
    <n v="0"/>
    <n v="0"/>
    <n v="0"/>
    <n v="3780.13"/>
    <n v="0"/>
    <n v="0"/>
    <n v="0"/>
    <n v="0"/>
    <n v="0"/>
    <n v="0"/>
    <n v="0"/>
    <n v="0"/>
    <n v="3780.13"/>
    <n v="0"/>
    <n v="0"/>
    <n v="473.94900955347867"/>
    <n v="13.757142857142858"/>
    <n v="0"/>
    <n v="0"/>
    <m/>
    <s v="Alauli "/>
    <m/>
    <n v="0"/>
  </r>
  <r>
    <s v="Munger"/>
    <s v="03-09 Jul"/>
    <n v="1054"/>
    <s v="Alauli "/>
    <x v="747"/>
    <s v="Gomukh Balaur"/>
    <s v="MPG"/>
    <s v="Direct"/>
    <n v="1453.9000000000003"/>
    <n v="77742.48"/>
    <n v="1323"/>
    <n v="77936.22"/>
    <n v="0"/>
    <n v="0"/>
    <n v="1323"/>
    <n v="77936.22"/>
    <n v="77742.48"/>
    <n v="0"/>
    <n v="0"/>
    <n v="193.74000000000524"/>
    <n v="0"/>
    <n v="0"/>
    <n v="0"/>
    <n v="77742"/>
    <n v="0"/>
    <n v="0"/>
    <n v="0"/>
    <n v="0"/>
    <n v="0"/>
    <n v="0"/>
    <n v="-2.4920738314497459E-3"/>
    <n v="1"/>
    <m/>
    <s v="Alauli "/>
    <m/>
    <n v="0"/>
  </r>
  <r>
    <s v="Munger"/>
    <s v="03-09 Jul"/>
    <n v="1054"/>
    <s v="Alauli "/>
    <x v="748"/>
    <s v="Gomukh Usri"/>
    <s v="MPG"/>
    <s v="Direct"/>
    <n v="52.300000000000004"/>
    <n v="2428.23"/>
    <n v="57.01"/>
    <n v="2463.4499999999998"/>
    <n v="0"/>
    <n v="0"/>
    <n v="57.01"/>
    <n v="2463.4499999999998"/>
    <n v="2428.23"/>
    <n v="0"/>
    <n v="0"/>
    <n v="35.2199999999998"/>
    <n v="0"/>
    <n v="0"/>
    <n v="0"/>
    <n v="2428"/>
    <n v="0"/>
    <n v="0"/>
    <n v="0"/>
    <n v="0"/>
    <n v="601.43960650095596"/>
    <n v="7.4714285714285724"/>
    <n v="-1.4504392088064063E-2"/>
    <n v="1"/>
    <m/>
    <s v="Alauli "/>
    <m/>
    <n v="0"/>
  </r>
  <r>
    <s v="Munger"/>
    <s v="03-09 Jul"/>
    <n v="1054"/>
    <s v="Alauli "/>
    <x v="749"/>
    <s v="Gomukh Hathwan - 2"/>
    <s v="MPG"/>
    <s v="Direct"/>
    <n v="235.9"/>
    <n v="9960.18"/>
    <n v="261"/>
    <n v="10001.01"/>
    <n v="0"/>
    <n v="0"/>
    <n v="261"/>
    <n v="10001.01"/>
    <n v="9960.18"/>
    <n v="0"/>
    <n v="0"/>
    <n v="40.829999999999927"/>
    <n v="0"/>
    <n v="0"/>
    <n v="0"/>
    <n v="9960"/>
    <n v="0"/>
    <n v="0"/>
    <n v="0"/>
    <n v="0"/>
    <n v="391.90500534124624"/>
    <n v="33.700000000000003"/>
    <n v="-4.0993235062016875E-3"/>
    <n v="1"/>
    <m/>
    <s v="Alauli "/>
    <m/>
    <n v="0"/>
  </r>
  <r>
    <s v="Munger"/>
    <s v="03-09 Jul"/>
    <n v="1054"/>
    <s v="Alauli "/>
    <x v="750"/>
    <s v="VLC Sunil Khas"/>
    <s v="vlc"/>
    <s v="Indirect"/>
    <n v="809.60000000000014"/>
    <n v="36399.879999999997"/>
    <n v="0"/>
    <n v="0"/>
    <n v="0"/>
    <n v="0"/>
    <n v="0"/>
    <n v="0"/>
    <n v="36399.879999999997"/>
    <n v="0"/>
    <n v="0"/>
    <n v="0"/>
    <n v="0"/>
    <n v="0"/>
    <n v="0"/>
    <n v="0"/>
    <n v="0"/>
    <n v="36399.879999999997"/>
    <n v="0"/>
    <n v="0"/>
    <n v="0"/>
    <n v="0"/>
    <n v="0"/>
    <n v="0"/>
    <m/>
    <s v="Alauli "/>
    <m/>
    <n v="0"/>
  </r>
  <r>
    <s v="Munger"/>
    <s v="03-09 Jul"/>
    <n v="1054"/>
    <s v="Alauli "/>
    <x v="751"/>
    <s v="Gomukh Hathwan "/>
    <s v="MPG"/>
    <s v="Direct"/>
    <n v="576.5"/>
    <n v="24033.43"/>
    <n v="609.13"/>
    <n v="29777.260000000002"/>
    <n v="0"/>
    <n v="0"/>
    <n v="609.13"/>
    <n v="29777.260000000002"/>
    <n v="24033.43"/>
    <n v="0"/>
    <n v="0"/>
    <n v="5743.8300000000017"/>
    <n v="350"/>
    <n v="0"/>
    <n v="0"/>
    <n v="23683"/>
    <n v="0"/>
    <n v="0"/>
    <n v="0"/>
    <s v="Release1"/>
    <n v="102.97063677363398"/>
    <n v="82.357142857142861"/>
    <n v="-0.23899335217653084"/>
    <n v="2"/>
    <m/>
    <s v="Alauli "/>
    <m/>
    <n v="0"/>
  </r>
  <r>
    <s v="Munger"/>
    <s v="03-09 Jul"/>
    <n v="1054"/>
    <s v="Alauli "/>
    <x v="752"/>
    <s v="Gomukh Bekhari Ghat-2"/>
    <s v="MPG"/>
    <s v="Direct"/>
    <n v="95.8"/>
    <n v="3440.7400000000002"/>
    <n v="130.72"/>
    <n v="4117.68"/>
    <n v="0"/>
    <n v="0"/>
    <n v="130.72"/>
    <n v="4117.68"/>
    <n v="3440.7400000000002"/>
    <n v="0"/>
    <n v="0"/>
    <n v="676.94"/>
    <n v="0"/>
    <n v="0"/>
    <n v="0"/>
    <n v="3441"/>
    <n v="0"/>
    <n v="0"/>
    <n v="0"/>
    <n v="0"/>
    <n v="434.00732943632573"/>
    <n v="13.685714285714285"/>
    <n v="-0.19674256119323169"/>
    <n v="1"/>
    <m/>
    <s v="Alauli "/>
    <m/>
    <n v="0"/>
  </r>
  <r>
    <s v="Munger"/>
    <s v="03-09 Jul"/>
    <n v="1054"/>
    <s v="Alauli "/>
    <x v="753"/>
    <s v="Gomukh Rahul VLC"/>
    <s v="vlc"/>
    <s v="Indirect"/>
    <n v="1175.9000000000001"/>
    <n v="52657.279999999992"/>
    <n v="0"/>
    <n v="0"/>
    <n v="0"/>
    <n v="0"/>
    <n v="0"/>
    <n v="0"/>
    <n v="52657.279999999992"/>
    <n v="0"/>
    <n v="0"/>
    <n v="0"/>
    <n v="0"/>
    <n v="0"/>
    <n v="0"/>
    <n v="0"/>
    <n v="0"/>
    <n v="52657.279999999992"/>
    <n v="0"/>
    <n v="0"/>
    <n v="0"/>
    <n v="0"/>
    <n v="0"/>
    <n v="0"/>
    <m/>
    <s v="Alauli "/>
    <m/>
    <n v="0"/>
  </r>
  <r>
    <s v="Munger"/>
    <s v="03-09 Jul"/>
    <n v="1054"/>
    <s v="Alauli "/>
    <x v="754"/>
    <s v="Gomukh Sachin VLC"/>
    <s v="vlc"/>
    <s v="Indirect"/>
    <n v="508.8"/>
    <n v="20192.02"/>
    <n v="0"/>
    <n v="0"/>
    <n v="0"/>
    <n v="0"/>
    <n v="0"/>
    <n v="0"/>
    <n v="20192.02"/>
    <n v="0"/>
    <n v="0"/>
    <n v="0"/>
    <n v="0"/>
    <n v="0"/>
    <n v="0"/>
    <n v="0"/>
    <n v="0"/>
    <n v="20192.02"/>
    <n v="0"/>
    <n v="0"/>
    <n v="151.757634591195"/>
    <n v="72.685714285714283"/>
    <n v="0"/>
    <n v="0"/>
    <m/>
    <s v="Alauli "/>
    <m/>
    <n v="0"/>
  </r>
  <r>
    <s v="Munger"/>
    <s v="03-09 Jul"/>
    <n v="1054"/>
    <s v="Alauli "/>
    <x v="755"/>
    <s v="Gomukh Khutauna"/>
    <s v="MPG"/>
    <s v="Direct"/>
    <n v="294.80000000000007"/>
    <n v="10558.05"/>
    <n v="558.02"/>
    <n v="21397.88"/>
    <n v="0"/>
    <n v="0"/>
    <n v="558.02"/>
    <n v="21397.88"/>
    <n v="10558.05"/>
    <n v="0"/>
    <n v="0"/>
    <n v="10839.830000000002"/>
    <n v="0"/>
    <n v="0"/>
    <n v="0"/>
    <n v="10558"/>
    <n v="0"/>
    <n v="0"/>
    <n v="0"/>
    <n v="0"/>
    <n v="290.23893215739469"/>
    <n v="42.114285714285721"/>
    <n v="-1.02668864042129"/>
    <n v="1"/>
    <m/>
    <s v="Alauli "/>
    <m/>
    <n v="0"/>
  </r>
  <r>
    <s v="Munger"/>
    <s v="03-09 Jul"/>
    <n v="1054"/>
    <s v="Alauli "/>
    <x v="756"/>
    <s v="Gomukh Bathnaha VLC"/>
    <s v="vlc"/>
    <s v="Indirect"/>
    <n v="477.8"/>
    <n v="17984.82"/>
    <n v="0"/>
    <n v="0"/>
    <n v="0"/>
    <n v="0"/>
    <n v="0"/>
    <n v="0"/>
    <n v="17984.82"/>
    <n v="0"/>
    <n v="0"/>
    <n v="0"/>
    <n v="0"/>
    <n v="0"/>
    <n v="0"/>
    <n v="0"/>
    <n v="0"/>
    <n v="17984.82"/>
    <n v="0"/>
    <n v="0"/>
    <n v="167.27614081205527"/>
    <n v="68.257142857142853"/>
    <n v="0"/>
    <n v="0"/>
    <m/>
    <s v="Alauli "/>
    <m/>
    <n v="0"/>
  </r>
  <r>
    <s v="Munger"/>
    <s v="03-09 Jul"/>
    <n v="1055"/>
    <s v="Matihani"/>
    <x v="757"/>
    <s v="Balahpur-Anil Yadav"/>
    <s v="vlc"/>
    <s v="Indirect"/>
    <n v="22494.9"/>
    <n v="828880.33"/>
    <n v="0"/>
    <n v="0"/>
    <n v="0"/>
    <n v="0"/>
    <n v="0"/>
    <n v="0"/>
    <n v="828880.33"/>
    <n v="0"/>
    <n v="0"/>
    <n v="0"/>
    <n v="0"/>
    <n v="0"/>
    <n v="0"/>
    <n v="0"/>
    <n v="0"/>
    <n v="828880.33"/>
    <n v="0"/>
    <n v="0"/>
    <n v="0"/>
    <n v="0"/>
    <n v="0"/>
    <n v="0"/>
    <m/>
    <s v="Matihani"/>
    <m/>
    <n v="0"/>
  </r>
  <r>
    <s v="Munger"/>
    <s v="03-09 Jul"/>
    <n v="1055"/>
    <s v="Matihani"/>
    <x v="758"/>
    <s v="Bagdobh"/>
    <s v="vlc"/>
    <s v="Indirect"/>
    <n v="167.70000000000002"/>
    <n v="6456.630000000001"/>
    <n v="0"/>
    <n v="0"/>
    <n v="0"/>
    <n v="0"/>
    <n v="0"/>
    <n v="0"/>
    <n v="6456.630000000001"/>
    <n v="0"/>
    <n v="0"/>
    <n v="0"/>
    <n v="0"/>
    <n v="0"/>
    <n v="0"/>
    <n v="0"/>
    <n v="0"/>
    <n v="6456.630000000001"/>
    <n v="0"/>
    <n v="0"/>
    <n v="409.88242683363148"/>
    <n v="23.957142857142859"/>
    <n v="0"/>
    <n v="0"/>
    <m/>
    <s v="Matihani"/>
    <m/>
    <n v="0"/>
  </r>
  <r>
    <s v="Munger"/>
    <s v="03-09 Jul"/>
    <n v="1055"/>
    <s v="Matihani"/>
    <x v="759"/>
    <s v="Gomukh Matihani"/>
    <s v="MPG"/>
    <s v="Direct"/>
    <n v="246.5"/>
    <n v="10088.74"/>
    <n v="218.8"/>
    <n v="8815.7699999999986"/>
    <n v="31.200000000000003"/>
    <n v="1284.4500000000003"/>
    <n v="250"/>
    <n v="10100.219999999999"/>
    <n v="10088.74"/>
    <n v="0"/>
    <n v="1284.4500000000003"/>
    <n v="11.479999999999563"/>
    <n v="0"/>
    <n v="0"/>
    <n v="0"/>
    <n v="8804"/>
    <n v="0"/>
    <n v="0"/>
    <n v="0"/>
    <n v="0"/>
    <n v="371.21651845841785"/>
    <n v="35.214285714285715"/>
    <n v="-1.1379022553856639E-3"/>
    <n v="3"/>
    <m/>
    <s v="Matihani"/>
    <m/>
    <n v="0"/>
  </r>
  <r>
    <s v="Munger"/>
    <s v="03-09 Jul"/>
    <n v="1055"/>
    <s v="Matihani"/>
    <x v="760"/>
    <s v="Jalalpur"/>
    <s v="vlc"/>
    <s v="Indirect"/>
    <n v="1714.6000000000001"/>
    <n v="59844.44"/>
    <n v="0"/>
    <n v="0"/>
    <n v="0"/>
    <n v="0"/>
    <n v="0"/>
    <n v="0"/>
    <n v="59844.44"/>
    <n v="0"/>
    <n v="0"/>
    <n v="0"/>
    <n v="0"/>
    <n v="0"/>
    <n v="0"/>
    <n v="0"/>
    <n v="0"/>
    <n v="59844.44"/>
    <n v="0"/>
    <n v="0"/>
    <n v="0"/>
    <n v="0"/>
    <n v="0"/>
    <n v="0"/>
    <m/>
    <s v="Matihani"/>
    <m/>
    <n v="0"/>
  </r>
  <r>
    <s v="Munger"/>
    <s v="03-09 Jul"/>
    <n v="1055"/>
    <s v="Matihani"/>
    <x v="761"/>
    <s v="Saidpur"/>
    <s v="vlc"/>
    <s v="Indirect"/>
    <n v="97.4"/>
    <n v="3500.89"/>
    <n v="0"/>
    <n v="0"/>
    <n v="0"/>
    <n v="0"/>
    <n v="0"/>
    <n v="0"/>
    <n v="3500.89"/>
    <n v="0"/>
    <n v="0"/>
    <n v="0"/>
    <n v="0"/>
    <n v="0"/>
    <n v="0"/>
    <n v="0"/>
    <n v="0"/>
    <n v="3500.89"/>
    <n v="0"/>
    <n v="0"/>
    <n v="433.19020821355235"/>
    <n v="13.914285714285715"/>
    <n v="0"/>
    <n v="0"/>
    <m/>
    <s v="Matihani"/>
    <m/>
    <n v="0"/>
  </r>
  <r>
    <s v="Munger"/>
    <s v="03-09 Jul"/>
    <n v="1055"/>
    <s v="Matihani"/>
    <x v="762"/>
    <s v="Chak"/>
    <s v="vlc"/>
    <s v="Indirect"/>
    <n v="1348.8"/>
    <n v="52154.54"/>
    <n v="0"/>
    <n v="0"/>
    <n v="0"/>
    <n v="0"/>
    <n v="0"/>
    <n v="0"/>
    <n v="52154.54"/>
    <n v="0"/>
    <n v="0"/>
    <n v="0"/>
    <n v="0"/>
    <n v="0"/>
    <n v="0"/>
    <n v="0"/>
    <n v="0"/>
    <n v="52154.54"/>
    <n v="0"/>
    <n v="0"/>
    <n v="0"/>
    <n v="0"/>
    <n v="0"/>
    <n v="0"/>
    <m/>
    <s v="Matihani"/>
    <m/>
    <n v="0"/>
  </r>
  <r>
    <s v="Munger"/>
    <s v="03-09 Jul"/>
    <n v="1055"/>
    <s v="Matihani"/>
    <x v="763"/>
    <s v="Manmana Dhala"/>
    <s v="MPG"/>
    <s v="Direct"/>
    <n v="326.09999999999997"/>
    <n v="13935.79"/>
    <n v="321.75000000000006"/>
    <n v="13806.439999999999"/>
    <n v="3.87"/>
    <n v="175.06"/>
    <n v="325.62000000000006"/>
    <n v="13981.499999999998"/>
    <n v="13935.79"/>
    <n v="0"/>
    <n v="175.06"/>
    <n v="45.709999999997308"/>
    <n v="0"/>
    <n v="0"/>
    <n v="0"/>
    <n v="13761"/>
    <n v="0"/>
    <n v="0"/>
    <n v="0"/>
    <n v="0"/>
    <n v="319.5701858938977"/>
    <n v="46.585714285714282"/>
    <n v="-3.2800436860771658E-3"/>
    <n v="6"/>
    <m/>
    <s v="Matihani"/>
    <m/>
    <n v="0"/>
  </r>
  <r>
    <s v="Munger"/>
    <s v="03-09 Jul"/>
    <n v="1055"/>
    <s v="Matihani"/>
    <x v="764"/>
    <s v="Mahendarpur 2"/>
    <s v="MPG"/>
    <s v="Direct"/>
    <n v="302.49999999999994"/>
    <n v="12164.789999999997"/>
    <n v="300.90999999999997"/>
    <n v="12644.61"/>
    <n v="1.71"/>
    <n v="69.47"/>
    <n v="302.61999999999995"/>
    <n v="12714.08"/>
    <n v="12164.789999999997"/>
    <n v="0"/>
    <n v="69.47"/>
    <n v="549.29000000000269"/>
    <n v="0"/>
    <n v="0"/>
    <n v="0"/>
    <n v="12095"/>
    <n v="0"/>
    <n v="0"/>
    <n v="0"/>
    <n v="0"/>
    <n v="319.70274545454549"/>
    <n v="43.214285714285708"/>
    <n v="-4.5154088151131491E-2"/>
    <n v="6"/>
    <m/>
    <s v="Matihani"/>
    <m/>
    <n v="0"/>
  </r>
  <r>
    <s v="Munger"/>
    <s v="03-09 Jul"/>
    <n v="1056"/>
    <s v="Chautham"/>
    <x v="765"/>
    <s v="Gomukh Chautham(Mithun Kumar VLC)"/>
    <s v="vlc"/>
    <s v="Indirect"/>
    <n v="579.79999999999995"/>
    <n v="23473.09"/>
    <n v="0"/>
    <n v="0"/>
    <n v="0"/>
    <n v="0"/>
    <n v="0"/>
    <n v="0"/>
    <n v="23473.09"/>
    <n v="0"/>
    <n v="0"/>
    <n v="0"/>
    <n v="23473"/>
    <n v="0"/>
    <n v="0"/>
    <n v="0"/>
    <n v="0"/>
    <n v="9.0000000000145519E-2"/>
    <n v="0"/>
    <n v="0"/>
    <n v="97.325471472921734"/>
    <n v="82.828571428571422"/>
    <n v="0"/>
    <n v="0"/>
    <m/>
    <s v="Chautham"/>
    <m/>
    <n v="0"/>
  </r>
  <r>
    <s v="Munger"/>
    <s v="03-09 Jul"/>
    <n v="1056"/>
    <s v="Chautham"/>
    <x v="766"/>
    <s v="Gomukh Pansalwa"/>
    <s v="vlc"/>
    <s v="Indirect"/>
    <n v="305.12"/>
    <n v="10905.8"/>
    <n v="0"/>
    <n v="0"/>
    <n v="0"/>
    <n v="0"/>
    <n v="0"/>
    <n v="0"/>
    <n v="10905.8"/>
    <n v="0"/>
    <n v="0"/>
    <n v="0"/>
    <n v="0"/>
    <n v="0"/>
    <n v="0"/>
    <n v="0"/>
    <n v="0"/>
    <n v="10905.8"/>
    <n v="0"/>
    <n v="0"/>
    <n v="282.28122076560044"/>
    <n v="43.588571428571427"/>
    <n v="0"/>
    <n v="0"/>
    <m/>
    <s v="Chautham"/>
    <m/>
    <n v="0"/>
  </r>
  <r>
    <s v="Munger"/>
    <s v="03-09 Jul"/>
    <n v="1056"/>
    <s v="Chautham"/>
    <x v="767"/>
    <s v="Gomukh Nawada"/>
    <s v="MPG"/>
    <s v="Direct"/>
    <n v="910.68000000000018"/>
    <n v="32443.629999999997"/>
    <n v="910.68000000000006"/>
    <n v="32590.52"/>
    <n v="0"/>
    <n v="0"/>
    <n v="910.68000000000006"/>
    <n v="32590.52"/>
    <n v="32443.629999999997"/>
    <n v="0"/>
    <n v="0"/>
    <n v="146.89000000000306"/>
    <n v="0"/>
    <n v="0"/>
    <n v="0"/>
    <n v="32444"/>
    <n v="0"/>
    <n v="0"/>
    <n v="0"/>
    <n v="0"/>
    <n v="0"/>
    <n v="0"/>
    <n v="-4.5275451606371746E-3"/>
    <n v="1"/>
    <m/>
    <s v="Chautham"/>
    <m/>
    <n v="0"/>
  </r>
  <r>
    <s v="Munger"/>
    <s v="03-09 Jul"/>
    <n v="1056"/>
    <s v="Chautham"/>
    <x v="768"/>
    <s v="Gomukh Yadav Tol Kanauli"/>
    <s v="MPG"/>
    <s v="Direct"/>
    <n v="1823.6200000000003"/>
    <n v="76007.05"/>
    <n v="21.049999999999997"/>
    <n v="888.43999999999994"/>
    <n v="2089"/>
    <n v="88209.12"/>
    <n v="2110.0500000000002"/>
    <n v="89097.56"/>
    <n v="76007.05"/>
    <n v="0"/>
    <n v="0"/>
    <n v="13090.509999999995"/>
    <n v="0"/>
    <n v="0"/>
    <n v="0"/>
    <n v="0"/>
    <n v="76007"/>
    <n v="0"/>
    <n v="0"/>
    <s v="Release3"/>
    <n v="0"/>
    <n v="0"/>
    <n v="-0.17222757625772864"/>
    <n v="3"/>
    <m/>
    <s v="Chautham"/>
    <m/>
    <n v="0"/>
  </r>
  <r>
    <s v="Munger"/>
    <s v="03-09 Jul"/>
    <n v="1056"/>
    <s v="Chautham"/>
    <x v="769"/>
    <s v="Gomukh Hardia"/>
    <s v="MPG"/>
    <s v="Direct"/>
    <n v="199.51999999999998"/>
    <n v="8211.5300000000007"/>
    <n v="270.92"/>
    <n v="11279.27"/>
    <n v="0"/>
    <n v="0"/>
    <n v="270.92"/>
    <n v="11279.27"/>
    <n v="8211.5300000000007"/>
    <n v="0"/>
    <n v="0"/>
    <n v="3067.74"/>
    <n v="0"/>
    <n v="500"/>
    <n v="0"/>
    <n v="7712"/>
    <n v="0"/>
    <n v="0"/>
    <n v="0"/>
    <n v="0"/>
    <n v="411.95935589414609"/>
    <n v="28.502857142857142"/>
    <n v="-0.37358933109907649"/>
    <n v="1"/>
    <m/>
    <s v="Chautham"/>
    <m/>
    <n v="500"/>
  </r>
  <r>
    <s v="Munger"/>
    <s v="03-09 Jul"/>
    <n v="1056"/>
    <s v="Chautham"/>
    <x v="770"/>
    <s v="Gomukh Ashatol Paharpur"/>
    <s v="MPG"/>
    <s v="Direct"/>
    <n v="1940.2999999999995"/>
    <n v="77455.510000000009"/>
    <n v="1949.7099999999998"/>
    <n v="80148.39"/>
    <n v="0"/>
    <n v="0"/>
    <n v="1949.7099999999998"/>
    <n v="80148.39"/>
    <n v="77455.510000000009"/>
    <n v="0"/>
    <n v="0"/>
    <n v="2692.8799999999901"/>
    <n v="0"/>
    <n v="0"/>
    <n v="0"/>
    <n v="77456"/>
    <n v="0"/>
    <n v="0"/>
    <n v="0"/>
    <n v="0"/>
    <n v="0"/>
    <n v="0"/>
    <n v="-3.4766797094228544E-2"/>
    <n v="14"/>
    <m/>
    <s v="Chautham"/>
    <m/>
    <n v="0"/>
  </r>
  <r>
    <s v="Munger"/>
    <s v="03-09 Jul"/>
    <n v="1056"/>
    <s v="Chautham"/>
    <x v="771"/>
    <s v="Gomukh Kharawa"/>
    <s v="MPG"/>
    <s v="Direct"/>
    <n v="1449.18"/>
    <n v="59195.460000000006"/>
    <n v="1448.7200000000003"/>
    <n v="58681.889999999992"/>
    <n v="3.83"/>
    <n v="269.69"/>
    <n v="1452.5500000000002"/>
    <n v="58951.579999999994"/>
    <n v="58951.579999999994"/>
    <n v="0"/>
    <n v="0"/>
    <n v="0"/>
    <n v="0"/>
    <n v="0"/>
    <n v="0"/>
    <n v="58682"/>
    <n v="270"/>
    <n v="0"/>
    <n v="243"/>
    <n v="0"/>
    <n v="0"/>
    <n v="0"/>
    <n v="4.1199105471941919E-3"/>
    <n v="7"/>
    <m/>
    <s v="Chautham"/>
    <m/>
    <n v="0"/>
  </r>
  <r>
    <s v="Munger"/>
    <s v="03-09 Jul"/>
    <n v="1056"/>
    <s v="Chautham"/>
    <x v="772"/>
    <s v="Gomukh Patel Nagar"/>
    <s v="vlc"/>
    <s v="Indirect"/>
    <n v="559.42000000000007"/>
    <n v="21382.91"/>
    <n v="0"/>
    <n v="0"/>
    <n v="0"/>
    <n v="0"/>
    <n v="0"/>
    <n v="0"/>
    <n v="21382.91"/>
    <n v="0"/>
    <n v="0"/>
    <n v="0"/>
    <n v="0"/>
    <n v="0"/>
    <n v="0"/>
    <n v="0"/>
    <n v="0"/>
    <n v="21382.91"/>
    <n v="0"/>
    <n v="0"/>
    <n v="107.46878866683346"/>
    <n v="79.917142857142863"/>
    <n v="0"/>
    <n v="0"/>
    <m/>
    <s v="Chautham"/>
    <m/>
    <n v="0"/>
  </r>
  <r>
    <s v="Munger"/>
    <s v="03-09 Jul"/>
    <n v="1056"/>
    <s v="Chautham"/>
    <x v="773"/>
    <s v="Gomukh Pachout"/>
    <s v="MPG"/>
    <s v="Direct"/>
    <n v="879.12000000000012"/>
    <n v="32775"/>
    <n v="1200.3499999999999"/>
    <n v="45750.590000000004"/>
    <n v="0"/>
    <n v="0"/>
    <n v="1200.3499999999999"/>
    <n v="45750.590000000004"/>
    <n v="32775"/>
    <n v="0"/>
    <n v="0"/>
    <n v="12975.590000000004"/>
    <n v="0"/>
    <n v="0"/>
    <n v="0"/>
    <n v="32775"/>
    <n v="0"/>
    <n v="0"/>
    <n v="0"/>
    <n v="0"/>
    <n v="0"/>
    <n v="0"/>
    <n v="-0.39589900839054171"/>
    <n v="1"/>
    <m/>
    <s v="Chautham"/>
    <m/>
    <n v="0"/>
  </r>
  <r>
    <s v="Munger"/>
    <s v="03-09 Jul"/>
    <n v="1056"/>
    <s v="Chautham"/>
    <x v="774"/>
    <s v="Gomukh Telihar"/>
    <s v="MPG"/>
    <s v="Direct"/>
    <n v="947.88000000000011"/>
    <n v="37597.73000000001"/>
    <n v="949.32999999999993"/>
    <n v="38101"/>
    <n v="0"/>
    <n v="0"/>
    <n v="949.32999999999993"/>
    <n v="38101"/>
    <n v="37597.73000000001"/>
    <n v="0"/>
    <n v="0"/>
    <n v="503.26999999998952"/>
    <n v="3711"/>
    <n v="0"/>
    <n v="0"/>
    <n v="33887"/>
    <n v="0"/>
    <n v="0"/>
    <n v="0"/>
    <s v="Release1"/>
    <n v="0"/>
    <n v="0"/>
    <n v="-1.3385648548462617E-2"/>
    <n v="15"/>
    <m/>
    <s v="Chautham"/>
    <m/>
    <n v="0"/>
  </r>
  <r>
    <s v="Munger"/>
    <s v="03-09 Jul"/>
    <n v="1056"/>
    <s v="Chautham"/>
    <x v="775"/>
    <s v="Gomukh Pansalba Ward No 05"/>
    <s v="MPG"/>
    <s v="Indirect"/>
    <n v="1539.64"/>
    <n v="57676.310000000012"/>
    <n v="0"/>
    <n v="0"/>
    <n v="0"/>
    <n v="0"/>
    <n v="0"/>
    <n v="0"/>
    <n v="57676.310000000012"/>
    <n v="0"/>
    <n v="0"/>
    <n v="0"/>
    <n v="8100"/>
    <n v="0"/>
    <n v="0"/>
    <n v="0"/>
    <n v="0"/>
    <n v="49576.310000000012"/>
    <n v="0"/>
    <n v="0"/>
    <n v="0"/>
    <n v="0"/>
    <n v="0"/>
    <n v="0"/>
    <m/>
    <s v="Chautham"/>
    <m/>
    <n v="0"/>
  </r>
  <r>
    <s v="Munger"/>
    <s v="03-09 Jul"/>
    <n v="1056"/>
    <s v="Chautham"/>
    <x v="776"/>
    <s v="Gomukh Paharpur Jilebya "/>
    <s v="MPG"/>
    <s v="Direct"/>
    <n v="2239.42"/>
    <n v="95111.35"/>
    <n v="2253.3200000000002"/>
    <n v="96057.430000000008"/>
    <n v="0"/>
    <n v="0"/>
    <n v="2253.3200000000002"/>
    <n v="96057.430000000008"/>
    <n v="95111.35"/>
    <n v="0"/>
    <n v="0"/>
    <n v="946.08000000000175"/>
    <n v="0"/>
    <n v="0"/>
    <n v="0"/>
    <n v="95111"/>
    <n v="0"/>
    <n v="0"/>
    <n v="0"/>
    <n v="0"/>
    <n v="0"/>
    <n v="0"/>
    <n v="-9.9470778198396063E-3"/>
    <n v="1"/>
    <m/>
    <s v="Chautham"/>
    <m/>
    <n v="0"/>
  </r>
  <r>
    <s v="Munger"/>
    <s v="03-09 Jul"/>
    <n v="1056"/>
    <s v="Chautham"/>
    <x v="777"/>
    <s v="Gomukh Debka Vlc"/>
    <s v="vlc"/>
    <s v="Indirect"/>
    <n v="78.720000000000013"/>
    <n v="3328.0499999999997"/>
    <n v="0"/>
    <n v="0"/>
    <n v="0"/>
    <n v="0"/>
    <n v="0"/>
    <n v="0"/>
    <n v="3328.0499999999997"/>
    <n v="0"/>
    <n v="0"/>
    <n v="0"/>
    <n v="0"/>
    <n v="0"/>
    <n v="0"/>
    <n v="0"/>
    <n v="0"/>
    <n v="3328.0499999999997"/>
    <n v="0"/>
    <n v="0"/>
    <n v="525.31781097560963"/>
    <n v="11.245714285714287"/>
    <n v="0"/>
    <n v="0"/>
    <m/>
    <s v="Chautham"/>
    <m/>
    <n v="0"/>
  </r>
  <r>
    <s v="Munger"/>
    <s v="03-09 Jul"/>
    <n v="1056"/>
    <s v="Chautham"/>
    <x v="778"/>
    <s v="Gomukh Azad Nagar"/>
    <s v="MPG"/>
    <s v="Direct"/>
    <n v="980.92000000000007"/>
    <n v="38389.89"/>
    <n v="989.43999999999994"/>
    <n v="39591.050000000003"/>
    <n v="0"/>
    <n v="0"/>
    <n v="989.43999999999994"/>
    <n v="39591.050000000003"/>
    <n v="38389.89"/>
    <n v="0"/>
    <n v="0"/>
    <n v="1201.1600000000035"/>
    <n v="0"/>
    <n v="0"/>
    <n v="0"/>
    <n v="38390"/>
    <n v="0"/>
    <n v="0"/>
    <n v="0"/>
    <n v="0"/>
    <n v="0"/>
    <n v="0"/>
    <n v="-3.1288445994505414E-2"/>
    <n v="21"/>
    <m/>
    <s v="Chautham"/>
    <m/>
    <n v="0"/>
  </r>
  <r>
    <s v="Munger"/>
    <s v="03-09 Jul"/>
    <n v="1056"/>
    <s v="Chautham"/>
    <x v="779"/>
    <s v="Gomukh Uttari Hardia"/>
    <s v="MPG"/>
    <s v="Direct"/>
    <n v="399.12000000000006"/>
    <n v="19097.819999999996"/>
    <n v="407"/>
    <n v="19430.34"/>
    <n v="0"/>
    <n v="0"/>
    <n v="407"/>
    <n v="19430.34"/>
    <n v="19097.819999999996"/>
    <n v="0"/>
    <n v="0"/>
    <n v="332.52000000000407"/>
    <n v="0"/>
    <n v="0"/>
    <n v="0"/>
    <n v="19098"/>
    <n v="0"/>
    <n v="0"/>
    <n v="0"/>
    <n v="0"/>
    <n v="287.94107444377613"/>
    <n v="57.017142857142865"/>
    <n v="-1.7411411354804063E-2"/>
    <n v="1"/>
    <m/>
    <s v="Chautham"/>
    <m/>
    <n v="0"/>
  </r>
  <r>
    <s v="Munger"/>
    <s v="03-09 Jul"/>
    <n v="1056"/>
    <s v="Chautham"/>
    <x v="780"/>
    <s v="Gomukh Nirpur Keshv Nagar"/>
    <s v="MPG"/>
    <s v="Direct"/>
    <n v="581.11999999999989"/>
    <n v="22700.570000000003"/>
    <n v="581.41999999999996"/>
    <n v="22712.620000000003"/>
    <n v="0"/>
    <n v="0"/>
    <n v="581.41999999999996"/>
    <n v="22712.620000000003"/>
    <n v="22700.570000000003"/>
    <n v="0"/>
    <n v="0"/>
    <n v="12.049999999999272"/>
    <n v="0"/>
    <n v="0"/>
    <n v="0"/>
    <n v="22701"/>
    <n v="0"/>
    <n v="0"/>
    <n v="0"/>
    <n v="0"/>
    <n v="92.877332103524338"/>
    <n v="83.017142857142844"/>
    <n v="-5.3082367535261317E-4"/>
    <n v="1"/>
    <m/>
    <s v="Chautham"/>
    <m/>
    <n v="0"/>
  </r>
  <r>
    <s v="Munger"/>
    <s v="03-09 Jul"/>
    <n v="1056"/>
    <s v="Chautham"/>
    <x v="781"/>
    <s v="Gomukh Thuthi Vlc"/>
    <s v="vlc"/>
    <s v="Indirect"/>
    <n v="253.91999999999996"/>
    <n v="10780.81"/>
    <n v="0"/>
    <n v="0"/>
    <n v="0"/>
    <n v="0"/>
    <n v="0"/>
    <n v="0"/>
    <n v="10780.81"/>
    <n v="0"/>
    <n v="0"/>
    <n v="0"/>
    <n v="0"/>
    <n v="0"/>
    <n v="0"/>
    <n v="0"/>
    <n v="0"/>
    <n v="10780.81"/>
    <n v="0"/>
    <n v="0"/>
    <n v="378.78888821676128"/>
    <n v="36.27428571428571"/>
    <n v="0"/>
    <n v="0"/>
    <m/>
    <s v="Chautham"/>
    <m/>
    <n v="0"/>
  </r>
  <r>
    <s v="Munger"/>
    <s v="03-09 Jul"/>
    <n v="1056"/>
    <s v="Chautham"/>
    <x v="782"/>
    <s v="Gomukh Nawadai Vlc"/>
    <s v="vlc"/>
    <s v="Indirect"/>
    <n v="243.02"/>
    <n v="8451.89"/>
    <n v="0"/>
    <n v="0"/>
    <n v="0"/>
    <n v="0"/>
    <n v="0"/>
    <n v="0"/>
    <n v="8451.89"/>
    <n v="0"/>
    <n v="0"/>
    <n v="0"/>
    <n v="0"/>
    <n v="0"/>
    <n v="0"/>
    <n v="0"/>
    <n v="0"/>
    <n v="8451.89"/>
    <n v="0"/>
    <n v="0"/>
    <n v="317.86229052752856"/>
    <n v="34.717142857142861"/>
    <n v="0"/>
    <n v="0"/>
    <m/>
    <s v="Chautham"/>
    <m/>
    <n v="0"/>
  </r>
  <r>
    <s v="Munger"/>
    <s v="03-09 Jul"/>
    <n v="1056"/>
    <s v="Chautham"/>
    <x v="783"/>
    <s v="Gomukh Kharra Basa"/>
    <s v="MPG"/>
    <s v="Direct"/>
    <n v="401.48"/>
    <n v="14223.34"/>
    <n v="408.3"/>
    <n v="13879.839999999998"/>
    <n v="0"/>
    <n v="0"/>
    <n v="408.3"/>
    <n v="13879.839999999998"/>
    <n v="13879.839999999998"/>
    <n v="0"/>
    <n v="0"/>
    <n v="0"/>
    <n v="0"/>
    <n v="0"/>
    <n v="0"/>
    <n v="13880"/>
    <n v="0"/>
    <n v="0"/>
    <n v="343"/>
    <n v="0"/>
    <n v="211.51496746039652"/>
    <n v="57.354285714285716"/>
    <n v="2.4150445675910286E-2"/>
    <n v="1"/>
    <m/>
    <s v="Chautham"/>
    <m/>
    <n v="0"/>
  </r>
  <r>
    <s v="Munger"/>
    <s v="03-09 Jul"/>
    <n v="1056"/>
    <s v="Chautham"/>
    <x v="784"/>
    <s v="Gomukh Bangalia"/>
    <s v="MPG"/>
    <s v="Direct"/>
    <n v="557.78000000000009"/>
    <n v="28468.649999999998"/>
    <n v="564.67999999999995"/>
    <n v="28510.25"/>
    <n v="0"/>
    <n v="0"/>
    <n v="564.67999999999995"/>
    <n v="28510.25"/>
    <n v="28468.649999999998"/>
    <n v="0"/>
    <n v="0"/>
    <n v="41.600000000002183"/>
    <n v="0"/>
    <n v="0"/>
    <n v="0"/>
    <n v="28469"/>
    <n v="0"/>
    <n v="0"/>
    <n v="0"/>
    <n v="0"/>
    <n v="145.17592609989586"/>
    <n v="79.682857142857159"/>
    <n v="-1.4612565049625531E-3"/>
    <n v="2"/>
    <m/>
    <s v="Chautham"/>
    <m/>
    <n v="0"/>
  </r>
  <r>
    <s v="Munger"/>
    <s v="03-09 Jul"/>
    <n v="1056"/>
    <s v="Chautham"/>
    <x v="785"/>
    <s v="Gomukh Soharba Purvi"/>
    <s v="MPG"/>
    <s v="Direct"/>
    <n v="324.02"/>
    <n v="12824.080000000002"/>
    <n v="511.09999999999985"/>
    <n v="20644.220000000012"/>
    <n v="0"/>
    <n v="0"/>
    <n v="511.09999999999985"/>
    <n v="20644.220000000012"/>
    <n v="12824.080000000002"/>
    <n v="0"/>
    <n v="0"/>
    <n v="7820.1400000000103"/>
    <n v="0"/>
    <n v="0"/>
    <n v="0"/>
    <n v="12824"/>
    <n v="0"/>
    <n v="0"/>
    <n v="0"/>
    <n v="0"/>
    <n v="297.61111032652315"/>
    <n v="46.288571428571423"/>
    <n v="-0.60980124890050669"/>
    <n v="1"/>
    <m/>
    <s v="Chautham"/>
    <m/>
    <n v="0"/>
  </r>
  <r>
    <s v="Munger"/>
    <s v="03-09 Jul"/>
    <n v="1056"/>
    <s v="Chautham"/>
    <x v="786"/>
    <s v="Gommukh Khushbu Kumari Vlc"/>
    <s v="vlc"/>
    <s v="Indirect"/>
    <n v="401.44"/>
    <n v="13394.710000000001"/>
    <n v="0"/>
    <n v="0"/>
    <n v="0"/>
    <n v="0"/>
    <n v="0"/>
    <n v="0"/>
    <n v="13394.710000000001"/>
    <n v="0"/>
    <n v="0"/>
    <n v="0"/>
    <n v="0"/>
    <n v="0"/>
    <n v="0"/>
    <n v="0"/>
    <n v="0"/>
    <n v="13394.710000000001"/>
    <n v="0"/>
    <n v="0"/>
    <n v="199.2389705858908"/>
    <n v="57.348571428571425"/>
    <n v="0"/>
    <n v="0"/>
    <m/>
    <s v="Chautham"/>
    <m/>
    <n v="0"/>
  </r>
  <r>
    <s v="Munger"/>
    <s v="03-09 Jul"/>
    <n v="1056"/>
    <s v="Chautham"/>
    <x v="787"/>
    <s v="Gomukh Saraiya Wad -5 Vlc"/>
    <s v="vlc"/>
    <s v="Indirect"/>
    <n v="126.29999999999998"/>
    <n v="4963.8700000000008"/>
    <n v="0"/>
    <n v="0"/>
    <n v="0"/>
    <n v="0"/>
    <n v="0"/>
    <n v="0"/>
    <n v="4963.8700000000008"/>
    <n v="0"/>
    <n v="0"/>
    <n v="0"/>
    <n v="0"/>
    <n v="0"/>
    <n v="0"/>
    <n v="0"/>
    <n v="0"/>
    <n v="4963.8700000000008"/>
    <n v="0"/>
    <n v="0"/>
    <n v="450.95363721298514"/>
    <n v="18.042857142857141"/>
    <n v="0"/>
    <n v="0"/>
    <m/>
    <s v="Chautham"/>
    <m/>
    <n v="0"/>
  </r>
  <r>
    <s v="Munger"/>
    <s v="03-09 Jul"/>
    <n v="1063"/>
    <s v="Rosera"/>
    <x v="788"/>
    <s v="Karian"/>
    <s v="MPG"/>
    <s v="Direct"/>
    <n v="57.6"/>
    <n v="2155.96"/>
    <n v="57.699999999999996"/>
    <n v="2162.1999999999998"/>
    <n v="0"/>
    <n v="0"/>
    <n v="57.699999999999996"/>
    <n v="2162.1999999999998"/>
    <n v="2155.96"/>
    <n v="0"/>
    <n v="0"/>
    <n v="6.2399999999997817"/>
    <n v="0"/>
    <n v="500"/>
    <n v="0"/>
    <n v="1656"/>
    <n v="0"/>
    <n v="0"/>
    <n v="0"/>
    <n v="0"/>
    <n v="480.89885555555549"/>
    <n v="8.2285714285714295"/>
    <n v="-2.8943023061651337E-3"/>
    <n v="1"/>
    <m/>
    <s v="Rosera"/>
    <m/>
    <n v="500"/>
  </r>
  <r>
    <s v="Munger"/>
    <s v="03-09 Jul"/>
    <n v="1057"/>
    <s v="Warisnagar"/>
    <x v="789"/>
    <s v="Teghara"/>
    <s v="MPG"/>
    <s v="Direct"/>
    <n v="294.7000000000001"/>
    <n v="11580.119999999999"/>
    <n v="73.7"/>
    <n v="2806.99"/>
    <n v="220.7"/>
    <n v="8695"/>
    <n v="294.39999999999998"/>
    <n v="11501.99"/>
    <n v="11501.99"/>
    <n v="0"/>
    <n v="0"/>
    <n v="0"/>
    <n v="7750"/>
    <n v="500"/>
    <n v="0"/>
    <n v="2307"/>
    <n v="945"/>
    <n v="0"/>
    <n v="78"/>
    <s v="Release1"/>
    <n v="318.52206555819453"/>
    <n v="42.100000000000016"/>
    <n v="6.7469076313543559E-3"/>
    <n v="7"/>
    <m/>
    <s v="Warisnagar"/>
    <m/>
    <n v="500"/>
  </r>
  <r>
    <s v="Munger"/>
    <s v="03-09 Jul"/>
    <n v="1057"/>
    <s v="Warisnagar"/>
    <x v="790"/>
    <s v="Basantpur"/>
    <s v="MPG"/>
    <s v="Direct"/>
    <n v="656.3"/>
    <n v="28415.899999999998"/>
    <n v="30"/>
    <n v="1327.4"/>
    <n v="626.40000000000009"/>
    <n v="27079.140000000003"/>
    <n v="656.40000000000009"/>
    <n v="28406.540000000005"/>
    <n v="28406.540000000005"/>
    <n v="0"/>
    <n v="0"/>
    <n v="0"/>
    <n v="7000"/>
    <n v="0"/>
    <n v="0"/>
    <n v="1327"/>
    <n v="20080"/>
    <n v="0"/>
    <n v="9"/>
    <s v="Release1"/>
    <n v="37.841683071765992"/>
    <n v="93.757142857142853"/>
    <n v="3.2939305107328317E-4"/>
    <n v="8"/>
    <m/>
    <s v="Warisnagar"/>
    <m/>
    <n v="0"/>
  </r>
  <r>
    <s v="Munger"/>
    <s v="03-09 Jul"/>
    <n v="1057"/>
    <s v="Warisnagar"/>
    <x v="791"/>
    <s v="Chakoti"/>
    <s v="MPG"/>
    <s v="Direct"/>
    <n v="922.3"/>
    <n v="37134.409999999996"/>
    <n v="55"/>
    <n v="2278.6099999999997"/>
    <n v="867.30000000000007"/>
    <n v="34826.710000000006"/>
    <n v="922.30000000000007"/>
    <n v="37105.320000000007"/>
    <n v="37105.320000000007"/>
    <n v="0"/>
    <n v="554.56999999999994"/>
    <n v="0"/>
    <n v="0"/>
    <n v="0"/>
    <n v="0"/>
    <n v="2279"/>
    <n v="34271"/>
    <n v="0"/>
    <n v="30"/>
    <n v="0"/>
    <n v="0"/>
    <n v="0"/>
    <n v="7.8337046421335995E-4"/>
    <n v="16"/>
    <m/>
    <s v="Warisnagar"/>
    <m/>
    <n v="0"/>
  </r>
  <r>
    <s v="Munger"/>
    <s v="03-09 Jul"/>
    <n v="1057"/>
    <s v="Warisnagar"/>
    <x v="792"/>
    <s v="Nathudawar"/>
    <s v="MPG"/>
    <s v="Direct"/>
    <n v="756"/>
    <n v="30304.279999999995"/>
    <n v="90.9"/>
    <n v="3719.6399999999994"/>
    <n v="664.7"/>
    <n v="26567.779999999992"/>
    <n v="755.6"/>
    <n v="30287.419999999991"/>
    <n v="30287.419999999991"/>
    <n v="0"/>
    <n v="0"/>
    <n v="0"/>
    <n v="10550"/>
    <n v="0"/>
    <n v="0"/>
    <n v="0"/>
    <n v="19738"/>
    <n v="0"/>
    <n v="16"/>
    <s v="Release1"/>
    <n v="0"/>
    <n v="0"/>
    <n v="5.5635705583515676E-4"/>
    <n v="6"/>
    <m/>
    <s v="Warisnagar"/>
    <m/>
    <n v="0"/>
  </r>
  <r>
    <s v="Munger"/>
    <s v="03-09 Jul"/>
    <n v="1057"/>
    <s v="Warisnagar"/>
    <x v="793"/>
    <s v="Purnahi"/>
    <s v="vlc"/>
    <s v="Indirect"/>
    <n v="10.1"/>
    <n v="358.15"/>
    <n v="0"/>
    <n v="0"/>
    <n v="0"/>
    <n v="0"/>
    <n v="0"/>
    <n v="0"/>
    <n v="358.15"/>
    <n v="0"/>
    <n v="0"/>
    <n v="0"/>
    <n v="0"/>
    <n v="0"/>
    <n v="0"/>
    <n v="0"/>
    <n v="0"/>
    <n v="358.15"/>
    <n v="0"/>
    <n v="0"/>
    <n v="489.28254455445546"/>
    <n v="1.4428571428571428"/>
    <n v="0"/>
    <n v="0"/>
    <m/>
    <s v="Warisnagar"/>
    <m/>
    <n v="0"/>
  </r>
  <r>
    <s v="Munger"/>
    <s v="03-09 Jul"/>
    <n v="1057"/>
    <s v="Warisnagar"/>
    <x v="794"/>
    <s v="Baghopur "/>
    <s v="vlc"/>
    <s v="Indirect"/>
    <n v="1145.5"/>
    <n v="44224.22"/>
    <n v="0"/>
    <n v="0"/>
    <n v="0"/>
    <n v="0"/>
    <n v="0"/>
    <n v="0"/>
    <n v="44224.22"/>
    <n v="0"/>
    <n v="0"/>
    <n v="0"/>
    <n v="0"/>
    <n v="0"/>
    <n v="0"/>
    <n v="0"/>
    <n v="0"/>
    <n v="44224.22"/>
    <n v="0"/>
    <n v="0"/>
    <n v="0"/>
    <n v="0"/>
    <n v="0"/>
    <n v="0"/>
    <m/>
    <s v="Warisnagar"/>
    <m/>
    <n v="0"/>
  </r>
  <r>
    <s v="Munger"/>
    <s v="03-09 Jul"/>
    <n v="1063"/>
    <s v="Rosera"/>
    <x v="795"/>
    <s v="Dewanpur"/>
    <s v="MPG"/>
    <s v="Direct"/>
    <n v="141.6"/>
    <n v="6862.9"/>
    <n v="13.1"/>
    <n v="544.44000000000005"/>
    <n v="126.1"/>
    <n v="6316.2599999999993"/>
    <n v="139.19999999999999"/>
    <n v="6860.6999999999989"/>
    <n v="6860.6999999999989"/>
    <n v="0"/>
    <n v="0"/>
    <n v="0"/>
    <n v="0"/>
    <n v="500"/>
    <n v="0"/>
    <n v="44"/>
    <n v="6315"/>
    <n v="0"/>
    <n v="4"/>
    <n v="0"/>
    <n v="541.2773107344633"/>
    <n v="20.228571428571428"/>
    <n v="3.205641929797502E-4"/>
    <n v="11"/>
    <m/>
    <s v="Rosera"/>
    <m/>
    <n v="500"/>
  </r>
  <r>
    <s v="Munger"/>
    <s v="03-09 Jul"/>
    <n v="1057"/>
    <s v="Warisnagar"/>
    <x v="796"/>
    <s v="Gohi"/>
    <s v="MPG"/>
    <s v="Direct"/>
    <n v="386.80000000000007"/>
    <n v="15193.619999999999"/>
    <n v="44"/>
    <n v="1728.5800000000006"/>
    <n v="342.8"/>
    <n v="13446.280000000002"/>
    <n v="386.8"/>
    <n v="15174.860000000002"/>
    <n v="15174.860000000002"/>
    <n v="0"/>
    <n v="328.98"/>
    <n v="0"/>
    <n v="0"/>
    <n v="0"/>
    <n v="0"/>
    <n v="1729"/>
    <n v="13118"/>
    <n v="0"/>
    <n v="18"/>
    <n v="0"/>
    <n v="246.05179855222326"/>
    <n v="55.257142857142867"/>
    <n v="1.2347287874776769E-3"/>
    <n v="13"/>
    <m/>
    <s v="Warisnagar"/>
    <m/>
    <n v="0"/>
  </r>
  <r>
    <s v="Munger"/>
    <s v="03-09 Jul"/>
    <n v="1057"/>
    <s v="Warisnagar"/>
    <x v="797"/>
    <s v="Matua"/>
    <s v="MPG"/>
    <s v="Direct"/>
    <n v="527.6"/>
    <n v="23753.089999999997"/>
    <n v="114.89999999999999"/>
    <n v="4694.97"/>
    <n v="430.90000000000009"/>
    <n v="18677.98"/>
    <n v="545.80000000000007"/>
    <n v="23372.95"/>
    <n v="23372.95"/>
    <n v="0"/>
    <n v="130.20000000000002"/>
    <n v="0"/>
    <n v="0"/>
    <n v="0"/>
    <n v="0"/>
    <n v="4695"/>
    <n v="18549"/>
    <n v="0"/>
    <n v="379"/>
    <n v="0"/>
    <n v="155.23247596664132"/>
    <n v="75.371428571428581"/>
    <n v="1.6003812556597725E-2"/>
    <n v="12"/>
    <m/>
    <s v="Warisnagar"/>
    <m/>
    <n v="0"/>
  </r>
  <r>
    <s v="Munger"/>
    <s v="03-09 Jul"/>
    <n v="1057"/>
    <s v="Warisnagar"/>
    <x v="798"/>
    <s v="Ratni Chouk"/>
    <s v="MPG"/>
    <s v="Direct"/>
    <n v="679.79999999999984"/>
    <n v="30940.71"/>
    <n v="679.8"/>
    <n v="30940.710000000006"/>
    <n v="0"/>
    <n v="0"/>
    <n v="679.8"/>
    <n v="30940.710000000006"/>
    <n v="30940.71"/>
    <n v="0"/>
    <n v="0"/>
    <n v="0"/>
    <n v="0"/>
    <n v="0"/>
    <n v="0"/>
    <n v="30941"/>
    <n v="0"/>
    <n v="0"/>
    <n v="0"/>
    <n v="0"/>
    <n v="18.38783000882631"/>
    <n v="97.114285714285685"/>
    <n v="-2.3515806890609251E-16"/>
    <n v="1"/>
    <m/>
    <s v="Warisnagar"/>
    <m/>
    <n v="0"/>
  </r>
  <r>
    <s v="Munger"/>
    <s v="03-09 Jul"/>
    <n v="1057"/>
    <s v="Warisnagar"/>
    <x v="799"/>
    <s v="Balahi 2"/>
    <s v="MPG"/>
    <s v="Direct"/>
    <n v="636.70000000000005"/>
    <n v="24318.890000000003"/>
    <n v="608.5"/>
    <n v="23663.37"/>
    <n v="17.5"/>
    <n v="670.23"/>
    <n v="626"/>
    <n v="24333.599999999999"/>
    <n v="24318.890000000003"/>
    <n v="0"/>
    <n v="20.92"/>
    <n v="14.709999999995489"/>
    <n v="0"/>
    <n v="0"/>
    <n v="0"/>
    <n v="23648"/>
    <n v="650"/>
    <n v="0"/>
    <n v="0"/>
    <n v="0"/>
    <n v="48.355135448405782"/>
    <n v="90.95714285714287"/>
    <n v="-6.0487958126359748E-4"/>
    <n v="8"/>
    <m/>
    <s v="Warisnagar"/>
    <m/>
    <n v="0"/>
  </r>
  <r>
    <s v="Munger"/>
    <s v="03-09 Jul"/>
    <n v="1057"/>
    <s v="Warisnagar"/>
    <x v="800"/>
    <s v="Chandauli"/>
    <s v="vlc"/>
    <s v="Indirect"/>
    <n v="217.20000000000002"/>
    <n v="9655.4500000000007"/>
    <n v="0"/>
    <n v="0"/>
    <n v="0"/>
    <n v="0"/>
    <n v="0"/>
    <n v="0"/>
    <n v="9655.4500000000007"/>
    <n v="0"/>
    <n v="0"/>
    <n v="0"/>
    <n v="0"/>
    <n v="0"/>
    <n v="0"/>
    <n v="0"/>
    <n v="0"/>
    <n v="9655.4500000000007"/>
    <n v="0"/>
    <n v="0"/>
    <n v="429.24965561694285"/>
    <n v="31.028571428571432"/>
    <n v="0"/>
    <n v="0"/>
    <m/>
    <s v="Warisnagar"/>
    <m/>
    <n v="0"/>
  </r>
  <r>
    <s v="Munger"/>
    <s v="03-09 Jul"/>
    <n v="1057"/>
    <s v="Warisnagar"/>
    <x v="801"/>
    <s v="Gulabi Choak"/>
    <s v="vlc"/>
    <s v="Indirect"/>
    <n v="795.7"/>
    <n v="30994.93"/>
    <n v="0"/>
    <n v="0"/>
    <n v="0"/>
    <n v="0"/>
    <n v="0"/>
    <n v="0"/>
    <n v="30994.93"/>
    <n v="0"/>
    <n v="0"/>
    <n v="0"/>
    <n v="0"/>
    <n v="0"/>
    <n v="0"/>
    <n v="0"/>
    <n v="0"/>
    <n v="30994.93"/>
    <n v="0"/>
    <n v="0"/>
    <n v="0"/>
    <n v="0"/>
    <n v="0"/>
    <n v="0"/>
    <m/>
    <s v="Warisnagar"/>
    <m/>
    <n v="0"/>
  </r>
  <r>
    <s v="Munger"/>
    <s v="03-09 Jul"/>
    <n v="1057"/>
    <s v="Warisnagar"/>
    <x v="802"/>
    <s v="Satmalpur"/>
    <s v="vlc"/>
    <s v="Indirect"/>
    <n v="1172.5"/>
    <n v="44748.57"/>
    <n v="0"/>
    <n v="0"/>
    <n v="0"/>
    <n v="0"/>
    <n v="0"/>
    <n v="0"/>
    <n v="44748.57"/>
    <n v="0"/>
    <n v="0"/>
    <n v="0"/>
    <n v="7750"/>
    <n v="0"/>
    <n v="0"/>
    <n v="0"/>
    <n v="0"/>
    <n v="36998.57"/>
    <n v="0"/>
    <n v="0"/>
    <n v="0"/>
    <n v="0"/>
    <n v="0"/>
    <n v="0"/>
    <m/>
    <s v="Warisnagar"/>
    <m/>
    <n v="0"/>
  </r>
  <r>
    <s v="Munger"/>
    <s v="03-09 Jul"/>
    <n v="1057"/>
    <s v="Warisnagar"/>
    <x v="803"/>
    <s v="Chhatnesar 2"/>
    <s v="MPG"/>
    <s v="Direct"/>
    <n v="404.39999999999992"/>
    <n v="15765.519999999999"/>
    <n v="83.399999999999991"/>
    <n v="3012.2"/>
    <n v="328.6"/>
    <n v="12853.539999999999"/>
    <n v="412"/>
    <n v="15865.739999999998"/>
    <n v="15765.519999999999"/>
    <n v="0"/>
    <n v="0"/>
    <n v="100.21999999999935"/>
    <n v="0"/>
    <n v="0"/>
    <n v="0"/>
    <n v="2912"/>
    <n v="12854"/>
    <n v="0"/>
    <n v="0"/>
    <n v="0"/>
    <n v="230.47911533135516"/>
    <n v="57.771428571428558"/>
    <n v="-6.3569105237251521E-3"/>
    <n v="5"/>
    <m/>
    <s v="Warisnagar"/>
    <m/>
    <n v="0"/>
  </r>
  <r>
    <s v="Munger"/>
    <s v="03-09 Jul"/>
    <n v="1057"/>
    <s v="Warisnagar"/>
    <x v="804"/>
    <s v="Hajpurwa"/>
    <s v="MPG"/>
    <s v="Direct"/>
    <n v="204.20000000000002"/>
    <n v="8891.6500000000015"/>
    <n v="20"/>
    <n v="823"/>
    <n v="192.1"/>
    <n v="8069.5899999999992"/>
    <n v="212.1"/>
    <n v="8892.59"/>
    <n v="8891.6500000000015"/>
    <n v="0"/>
    <n v="0"/>
    <n v="0.93999999999869033"/>
    <n v="0"/>
    <n v="0"/>
    <n v="0"/>
    <n v="822"/>
    <n v="8070"/>
    <n v="0"/>
    <n v="0"/>
    <n v="0"/>
    <n v="431.78061410381974"/>
    <n v="29.171428571428574"/>
    <n v="-1.0571716160652862E-4"/>
    <n v="10"/>
    <m/>
    <s v="Warisnagar"/>
    <m/>
    <n v="0"/>
  </r>
  <r>
    <s v="Munger"/>
    <s v="03-09 Jul"/>
    <n v="1057"/>
    <s v="Warisnagar"/>
    <x v="805"/>
    <s v="Shekhopur"/>
    <s v="MPG"/>
    <s v="Direct"/>
    <n v="314.5"/>
    <n v="11359.73"/>
    <n v="14.5"/>
    <n v="525.25"/>
    <n v="300"/>
    <n v="10794.17"/>
    <n v="314.5"/>
    <n v="11319.42"/>
    <n v="11319.42"/>
    <n v="0"/>
    <n v="0"/>
    <n v="0"/>
    <n v="0"/>
    <n v="0"/>
    <n v="0"/>
    <n v="525"/>
    <n v="10794"/>
    <n v="0"/>
    <n v="41"/>
    <n v="0"/>
    <n v="278.48495484896659"/>
    <n v="44.928571428571431"/>
    <n v="3.5484998323023075E-3"/>
    <n v="6"/>
    <m/>
    <s v="Warisnagar"/>
    <m/>
    <n v="0"/>
  </r>
  <r>
    <s v="Munger"/>
    <s v="03-09 Jul"/>
    <n v="1057"/>
    <s v="Warisnagar"/>
    <x v="806"/>
    <s v="Dharampur"/>
    <s v="MPG"/>
    <s v="Direct"/>
    <n v="125.00000000000001"/>
    <n v="5195.0999999999995"/>
    <n v="124.99999999999999"/>
    <n v="5059.6000000000004"/>
    <n v="0"/>
    <n v="0"/>
    <n v="124.99999999999999"/>
    <n v="5059.6000000000004"/>
    <n v="5059.6000000000004"/>
    <n v="0"/>
    <n v="0"/>
    <n v="0"/>
    <n v="0"/>
    <n v="500"/>
    <n v="0"/>
    <n v="4560"/>
    <n v="0"/>
    <n v="0"/>
    <n v="135"/>
    <n v="0"/>
    <n v="477.94919999999991"/>
    <n v="17.857142857142858"/>
    <n v="2.6082269831186909E-2"/>
    <n v="1"/>
    <m/>
    <s v="Warisnagar"/>
    <m/>
    <n v="500"/>
  </r>
  <r>
    <s v="Munger"/>
    <s v="03-09 Jul"/>
    <n v="1057"/>
    <s v="Warisnagar"/>
    <x v="807"/>
    <s v="Pauriya 2"/>
    <s v="vlc"/>
    <s v="Indirect"/>
    <n v="241.4"/>
    <n v="10427.459999999999"/>
    <n v="0"/>
    <n v="0"/>
    <n v="0"/>
    <n v="0"/>
    <n v="0"/>
    <n v="0"/>
    <n v="10427.459999999999"/>
    <n v="0"/>
    <n v="0"/>
    <n v="0"/>
    <n v="0"/>
    <n v="0"/>
    <n v="0"/>
    <n v="0"/>
    <n v="0"/>
    <n v="10427.459999999999"/>
    <n v="0"/>
    <n v="0"/>
    <n v="396.1916450704224"/>
    <n v="34.485714285714288"/>
    <n v="0"/>
    <n v="0"/>
    <m/>
    <s v="Warisnagar"/>
    <m/>
    <n v="0"/>
  </r>
  <r>
    <s v="Munger"/>
    <s v="03-09 Jul"/>
    <n v="1057"/>
    <s v="Warisnagar"/>
    <x v="808"/>
    <s v="Hajpurwa Pachim"/>
    <s v="MPG"/>
    <s v="Direct"/>
    <n v="278.8"/>
    <n v="12401.689999999999"/>
    <n v="277.60000000000002"/>
    <n v="12357.190000000002"/>
    <n v="0"/>
    <n v="0"/>
    <n v="277.60000000000002"/>
    <n v="12357.190000000002"/>
    <n v="12357.190000000002"/>
    <n v="0"/>
    <n v="0"/>
    <n v="0"/>
    <n v="0"/>
    <n v="0"/>
    <n v="0"/>
    <n v="12358"/>
    <n v="0"/>
    <n v="0"/>
    <n v="44"/>
    <n v="0"/>
    <n v="374.71964332855089"/>
    <n v="39.828571428571429"/>
    <n v="3.5882206376708632E-3"/>
    <n v="3"/>
    <m/>
    <s v="Warisnagar"/>
    <m/>
    <n v="0"/>
  </r>
  <r>
    <s v="Munger"/>
    <s v="03-09 Jul"/>
    <n v="1057"/>
    <s v="Warisnagar"/>
    <x v="809"/>
    <s v="Almasnagar"/>
    <s v="vlc"/>
    <s v="Indirect"/>
    <n v="220.8"/>
    <n v="7986.2"/>
    <n v="0"/>
    <n v="0"/>
    <n v="0"/>
    <n v="0"/>
    <n v="0"/>
    <n v="0"/>
    <n v="7986.2"/>
    <n v="0"/>
    <n v="0"/>
    <n v="0"/>
    <n v="0"/>
    <n v="0"/>
    <n v="0"/>
    <n v="0"/>
    <n v="0"/>
    <n v="7986.2"/>
    <n v="0"/>
    <n v="0"/>
    <n v="346.64737681159414"/>
    <n v="31.542857142857144"/>
    <n v="0"/>
    <n v="0"/>
    <m/>
    <s v="Warisnagar"/>
    <m/>
    <n v="0"/>
  </r>
  <r>
    <s v="Munger"/>
    <s v="03-09 Jul"/>
    <n v="1057"/>
    <s v="Warisnagar"/>
    <x v="810"/>
    <s v="Kadarchak"/>
    <s v="vlc"/>
    <s v="Indirect"/>
    <n v="58.6"/>
    <n v="2297.54"/>
    <n v="0"/>
    <n v="0"/>
    <n v="0"/>
    <n v="0"/>
    <n v="0"/>
    <n v="0"/>
    <n v="2297.54"/>
    <n v="0"/>
    <n v="0"/>
    <n v="0"/>
    <n v="0"/>
    <n v="0"/>
    <n v="0"/>
    <n v="0"/>
    <n v="0"/>
    <n v="2297.54"/>
    <n v="0"/>
    <n v="0"/>
    <n v="502.94954129692837"/>
    <n v="8.3714285714285719"/>
    <n v="0"/>
    <n v="0"/>
    <m/>
    <s v="Warisnagar"/>
    <m/>
    <n v="0"/>
  </r>
  <r>
    <s v="Munger"/>
    <s v="03-09 Jul"/>
    <n v="1057"/>
    <s v="Warisnagar"/>
    <x v="811"/>
    <s v="Rahua"/>
    <s v="MPG"/>
    <s v="Direct"/>
    <n v="174.9"/>
    <n v="6535.4299999999994"/>
    <n v="174.9"/>
    <n v="6525.53"/>
    <n v="0"/>
    <n v="0"/>
    <n v="174.9"/>
    <n v="6525.53"/>
    <n v="6525.53"/>
    <n v="0"/>
    <n v="0"/>
    <n v="0"/>
    <n v="0"/>
    <n v="0"/>
    <n v="0"/>
    <n v="6526"/>
    <n v="0"/>
    <n v="0"/>
    <n v="9"/>
    <n v="0"/>
    <n v="392.42473333333322"/>
    <n v="24.985714285714288"/>
    <n v="1.5148199888912646E-3"/>
    <n v="1"/>
    <m/>
    <s v="Warisnagar"/>
    <m/>
    <n v="0"/>
  </r>
  <r>
    <s v="Munger"/>
    <s v="03-09 Jul"/>
    <n v="1057"/>
    <s v="Warisnagar"/>
    <x v="812"/>
    <s v="Dagrua"/>
    <s v="MPG"/>
    <s v="Direct"/>
    <n v="104.89999999999999"/>
    <n v="5170.9099999999989"/>
    <n v="104.90000000000002"/>
    <n v="5175.2500000000009"/>
    <n v="0"/>
    <n v="0"/>
    <n v="104.90000000000002"/>
    <n v="5175.2500000000009"/>
    <n v="5170.9099999999989"/>
    <n v="0"/>
    <n v="0"/>
    <n v="4.3400000000019645"/>
    <n v="0"/>
    <n v="0"/>
    <n v="0"/>
    <n v="5171"/>
    <n v="0"/>
    <n v="0"/>
    <n v="0"/>
    <n v="0"/>
    <n v="586.69371611058148"/>
    <n v="14.985714285714284"/>
    <n v="-8.393106822594022E-4"/>
    <n v="1"/>
    <m/>
    <s v="Warisnagar"/>
    <m/>
    <n v="0"/>
  </r>
  <r>
    <s v="Munger"/>
    <s v="03-09 Jul"/>
    <n v="1057"/>
    <s v="Warisnagar"/>
    <x v="813"/>
    <s v="Buzurgdoar"/>
    <s v="MPG"/>
    <s v="Direct"/>
    <n v="1003.5"/>
    <n v="40659.380000000005"/>
    <n v="994.09999999999991"/>
    <n v="40377.420000000006"/>
    <n v="0"/>
    <n v="0"/>
    <n v="994.09999999999991"/>
    <n v="40377.420000000006"/>
    <n v="40377.420000000006"/>
    <n v="0"/>
    <n v="0"/>
    <n v="0"/>
    <n v="14000"/>
    <n v="0"/>
    <n v="0"/>
    <n v="26376"/>
    <n v="0"/>
    <n v="0"/>
    <n v="283"/>
    <s v="Release1"/>
    <n v="0"/>
    <n v="0"/>
    <n v="6.934685182115396E-3"/>
    <n v="11"/>
    <m/>
    <s v="Warisnagar"/>
    <m/>
    <n v="0"/>
  </r>
  <r>
    <s v="Munger"/>
    <s v="03-09 Jul"/>
    <n v="1057"/>
    <s v="Warisnagar"/>
    <x v="814"/>
    <s v="Patpara"/>
    <s v="vlc"/>
    <s v="Indirect"/>
    <n v="515.70000000000005"/>
    <n v="18324.61"/>
    <n v="0"/>
    <n v="0"/>
    <n v="0"/>
    <n v="0"/>
    <n v="0"/>
    <n v="0"/>
    <n v="18324.61"/>
    <n v="0"/>
    <n v="0"/>
    <n v="0"/>
    <n v="0"/>
    <n v="0"/>
    <n v="0"/>
    <n v="0"/>
    <n v="0"/>
    <n v="18324.61"/>
    <n v="0"/>
    <n v="0"/>
    <n v="130.97636699631565"/>
    <n v="73.671428571428578"/>
    <n v="0"/>
    <n v="0"/>
    <m/>
    <s v="Warisnagar"/>
    <m/>
    <n v="0"/>
  </r>
  <r>
    <s v="Munger"/>
    <s v="03-09 Jul"/>
    <n v="1057"/>
    <s v="Warisnagar"/>
    <x v="815"/>
    <s v="Kamopur"/>
    <s v="MPG"/>
    <s v="Direct"/>
    <n v="405.7"/>
    <n v="17492.879999999997"/>
    <n v="341.49999999999994"/>
    <n v="13846.32"/>
    <n v="64.099999999999994"/>
    <n v="3589.5899999999997"/>
    <n v="405.59999999999991"/>
    <n v="17435.91"/>
    <n v="17435.91"/>
    <n v="0"/>
    <n v="0"/>
    <n v="0"/>
    <n v="0"/>
    <n v="0"/>
    <n v="0"/>
    <n v="13847"/>
    <n v="3589"/>
    <n v="0"/>
    <n v="57"/>
    <n v="0"/>
    <n v="253.79120453537098"/>
    <n v="57.957142857142856"/>
    <n v="3.2567536048951078E-3"/>
    <n v="10"/>
    <m/>
    <s v="Warisnagar"/>
    <m/>
    <n v="0"/>
  </r>
  <r>
    <s v="Munger"/>
    <s v="03-09 Jul"/>
    <n v="1057"/>
    <s v="Warisnagar"/>
    <x v="816"/>
    <s v="Kussaiya"/>
    <s v="MPG"/>
    <s v="Direct"/>
    <n v="418.40000000000003"/>
    <n v="18692.21"/>
    <n v="58.44"/>
    <n v="2299.5500000000002"/>
    <n v="359.6"/>
    <n v="16357.48"/>
    <n v="418.04"/>
    <n v="18657.03"/>
    <n v="18657.03"/>
    <n v="0"/>
    <n v="0"/>
    <n v="0"/>
    <n v="0"/>
    <n v="0"/>
    <n v="0"/>
    <n v="2300"/>
    <n v="16358"/>
    <n v="0"/>
    <n v="34"/>
    <n v="0"/>
    <n v="251.61215755258121"/>
    <n v="59.771428571428579"/>
    <n v="1.8820674494883318E-3"/>
    <n v="10"/>
    <m/>
    <s v="Warisnagar"/>
    <m/>
    <n v="0"/>
  </r>
  <r>
    <s v="Munger"/>
    <s v="03-09 Jul"/>
    <n v="1057"/>
    <s v="Warisnagar"/>
    <x v="817"/>
    <s v="Jagdishpur"/>
    <s v="MPG"/>
    <s v="Direct"/>
    <n v="162.69999999999999"/>
    <n v="6101.5999999999995"/>
    <n v="163.79999999999998"/>
    <n v="5812.2700000000013"/>
    <n v="0"/>
    <n v="0"/>
    <n v="163.79999999999998"/>
    <n v="5812.2700000000013"/>
    <n v="5812.2700000000013"/>
    <n v="0"/>
    <n v="0"/>
    <n v="0"/>
    <n v="0"/>
    <n v="0"/>
    <n v="0"/>
    <n v="5812"/>
    <n v="0"/>
    <n v="0"/>
    <n v="290"/>
    <n v="0"/>
    <n v="402.99811677934855"/>
    <n v="23.24285714285714"/>
    <n v="4.7418709846597309E-2"/>
    <n v="2"/>
    <m/>
    <s v="Warisnagar"/>
    <m/>
    <n v="0"/>
  </r>
  <r>
    <s v="Munger"/>
    <s v="03-09 Jul"/>
    <n v="1057"/>
    <s v="Warisnagar"/>
    <x v="818"/>
    <s v="Kanu Bisanpur"/>
    <s v="vlc"/>
    <s v="Indirect"/>
    <n v="123.29999999999998"/>
    <n v="4896.3599999999997"/>
    <n v="0"/>
    <n v="0"/>
    <n v="0"/>
    <n v="0"/>
    <n v="0"/>
    <n v="0"/>
    <n v="4896.3599999999997"/>
    <n v="0"/>
    <n v="0"/>
    <n v="0"/>
    <n v="0"/>
    <n v="0"/>
    <n v="0"/>
    <n v="0"/>
    <n v="0"/>
    <n v="4896.3599999999997"/>
    <n v="0"/>
    <n v="0"/>
    <n v="458.02608467153289"/>
    <n v="17.61428571428571"/>
    <n v="0"/>
    <n v="0"/>
    <m/>
    <s v="Warisnagar"/>
    <m/>
    <n v="0"/>
  </r>
  <r>
    <s v="Munger"/>
    <s v="03-09 Jul"/>
    <n v="1057"/>
    <s v="Warisnagar"/>
    <x v="819"/>
    <s v="Raini 2"/>
    <s v="MPG"/>
    <s v="Direct"/>
    <n v="412.50000000000006"/>
    <n v="16826.75"/>
    <n v="60.2"/>
    <n v="2402.5800000000004"/>
    <n v="351.69999999999987"/>
    <n v="14390.260000000006"/>
    <n v="411.89999999999986"/>
    <n v="16792.840000000007"/>
    <n v="16792.840000000007"/>
    <n v="0"/>
    <n v="0"/>
    <n v="0"/>
    <n v="0"/>
    <n v="0"/>
    <n v="0"/>
    <n v="2403"/>
    <n v="14394"/>
    <n v="0"/>
    <n v="30"/>
    <n v="0"/>
    <n v="234.55469696969692"/>
    <n v="58.928571428571438"/>
    <n v="2.0152435853621514E-3"/>
    <n v="9"/>
    <m/>
    <s v="Warisnagar"/>
    <m/>
    <n v="0"/>
  </r>
  <r>
    <s v="Munger"/>
    <s v="03-09 Jul"/>
    <n v="1057"/>
    <s v="Warisnagar"/>
    <x v="820"/>
    <s v="Babupur"/>
    <s v="vlc"/>
    <s v="Indirect"/>
    <n v="545.5"/>
    <n v="19928.919999999998"/>
    <n v="0"/>
    <n v="0"/>
    <n v="0"/>
    <n v="0"/>
    <n v="0"/>
    <n v="0"/>
    <n v="19928.919999999998"/>
    <n v="0"/>
    <n v="0"/>
    <n v="0"/>
    <n v="0"/>
    <n v="0"/>
    <n v="0"/>
    <n v="0"/>
    <n v="0"/>
    <n v="19928.919999999998"/>
    <n v="0"/>
    <n v="0"/>
    <n v="112.88792447296056"/>
    <n v="77.928571428571431"/>
    <n v="0"/>
    <n v="0"/>
    <m/>
    <s v="Warisnagar"/>
    <m/>
    <n v="0"/>
  </r>
  <r>
    <s v="Munger"/>
    <s v="03-09 Jul"/>
    <n v="1057"/>
    <s v="Warisnagar"/>
    <x v="821"/>
    <s v="Rahua 2"/>
    <s v="vlc"/>
    <s v="Indirect"/>
    <n v="1193.7"/>
    <n v="51603.909999999996"/>
    <n v="0"/>
    <n v="0"/>
    <n v="0"/>
    <n v="0"/>
    <n v="0"/>
    <n v="0"/>
    <n v="51603.909999999996"/>
    <n v="0"/>
    <n v="0"/>
    <n v="0"/>
    <n v="0"/>
    <n v="0"/>
    <n v="0"/>
    <n v="0"/>
    <n v="0"/>
    <n v="51603.909999999996"/>
    <n v="0"/>
    <n v="0"/>
    <n v="0"/>
    <n v="0"/>
    <n v="0"/>
    <n v="0"/>
    <m/>
    <s v="Warisnagar"/>
    <m/>
    <n v="0"/>
  </r>
  <r>
    <s v="Munger"/>
    <s v="03-09 Jul"/>
    <n v="1057"/>
    <s v="Warisnagar"/>
    <x v="822"/>
    <s v="Madhopur"/>
    <s v="vlc"/>
    <s v="Indirect"/>
    <n v="615.1"/>
    <n v="26571.61"/>
    <n v="0"/>
    <n v="0"/>
    <n v="0"/>
    <n v="0"/>
    <n v="0"/>
    <n v="0"/>
    <n v="26571.61"/>
    <n v="0"/>
    <n v="0"/>
    <n v="0"/>
    <n v="0"/>
    <n v="0"/>
    <n v="0"/>
    <n v="0"/>
    <n v="0"/>
    <n v="26571.61"/>
    <n v="0"/>
    <n v="0"/>
    <n v="73.351640026011978"/>
    <n v="87.871428571428581"/>
    <n v="0"/>
    <n v="0"/>
    <m/>
    <s v="Warisnagar"/>
    <m/>
    <n v="0"/>
  </r>
  <r>
    <s v="Munger"/>
    <s v="03-09 Jul"/>
    <n v="1057"/>
    <s v="Warisnagar"/>
    <x v="823"/>
    <s v="Ekdara"/>
    <s v="vlc"/>
    <s v="Indirect"/>
    <n v="2750.8999999999996"/>
    <n v="102794.68"/>
    <n v="0"/>
    <n v="0"/>
    <n v="0"/>
    <n v="0"/>
    <n v="0"/>
    <n v="0"/>
    <n v="102794.68"/>
    <n v="0"/>
    <n v="0"/>
    <n v="0"/>
    <n v="0"/>
    <n v="0"/>
    <n v="0"/>
    <n v="0"/>
    <n v="0"/>
    <n v="102794.68"/>
    <n v="0"/>
    <n v="0"/>
    <n v="0"/>
    <n v="0"/>
    <n v="0"/>
    <n v="0"/>
    <m/>
    <s v="Warisnagar"/>
    <m/>
    <n v="0"/>
  </r>
  <r>
    <s v="Munger"/>
    <s v="03-09 Jul"/>
    <n v="1057"/>
    <s v="Warisnagar"/>
    <x v="824"/>
    <s v="Khokasaha"/>
    <s v="vlc"/>
    <s v="Indirect"/>
    <n v="498.00000000000006"/>
    <n v="20064.840000000004"/>
    <n v="0"/>
    <n v="0"/>
    <n v="0"/>
    <n v="0"/>
    <n v="0"/>
    <n v="0"/>
    <n v="20064.840000000004"/>
    <n v="0"/>
    <n v="0"/>
    <n v="0"/>
    <n v="0"/>
    <n v="0"/>
    <n v="0"/>
    <n v="0"/>
    <n v="0"/>
    <n v="20064.840000000004"/>
    <n v="0"/>
    <n v="0"/>
    <n v="162.77500722891563"/>
    <n v="71.142857142857153"/>
    <n v="0"/>
    <n v="0"/>
    <m/>
    <s v="Warisnagar"/>
    <m/>
    <n v="0"/>
  </r>
  <r>
    <s v="Munger"/>
    <s v="03-09 Jul"/>
    <n v="1057"/>
    <s v="Warisnagar"/>
    <x v="825"/>
    <s v="Madhopur 2"/>
    <s v="vlc"/>
    <s v="Indirect"/>
    <n v="1659.0000000000002"/>
    <n v="64312.009999999995"/>
    <n v="0"/>
    <n v="0"/>
    <n v="0"/>
    <n v="0"/>
    <n v="0"/>
    <n v="0"/>
    <n v="64312.009999999995"/>
    <n v="0"/>
    <n v="0"/>
    <n v="0"/>
    <n v="0"/>
    <n v="0"/>
    <n v="0"/>
    <n v="0"/>
    <n v="0"/>
    <n v="64312.009999999995"/>
    <n v="0"/>
    <n v="0"/>
    <n v="0"/>
    <n v="0"/>
    <n v="0"/>
    <n v="0"/>
    <m/>
    <s v="Warisnagar"/>
    <m/>
    <n v="0"/>
  </r>
  <r>
    <s v="Munger"/>
    <s v="03-09 Jul"/>
    <n v="1057"/>
    <s v="Warisnagar"/>
    <x v="826"/>
    <s v="Kadarchak 2"/>
    <s v="vlc"/>
    <s v="Indirect"/>
    <n v="133.19999999999999"/>
    <n v="4874.9199999999992"/>
    <n v="0"/>
    <n v="0"/>
    <n v="0"/>
    <n v="0"/>
    <n v="0"/>
    <n v="0"/>
    <n v="4874.9199999999992"/>
    <n v="0"/>
    <n v="0"/>
    <n v="0"/>
    <n v="0"/>
    <n v="0"/>
    <n v="0"/>
    <n v="0"/>
    <n v="0"/>
    <n v="4874.9199999999992"/>
    <n v="0"/>
    <n v="0"/>
    <n v="414.88057897897897"/>
    <n v="19.028571428571428"/>
    <n v="0"/>
    <n v="0"/>
    <m/>
    <s v="Warisnagar"/>
    <m/>
    <n v="0"/>
  </r>
  <r>
    <s v="Munger"/>
    <s v="03-09 Jul"/>
    <n v="1057"/>
    <s v="Warisnagar"/>
    <x v="827"/>
    <s v="Madhopur Dih"/>
    <s v="vlc"/>
    <s v="Indirect"/>
    <n v="603.29999999999995"/>
    <n v="25201.020000000004"/>
    <n v="0"/>
    <n v="0"/>
    <n v="0"/>
    <n v="0"/>
    <n v="0"/>
    <n v="0"/>
    <n v="25201.020000000004"/>
    <n v="0"/>
    <n v="0"/>
    <n v="0"/>
    <n v="0"/>
    <n v="0"/>
    <n v="0"/>
    <n v="0"/>
    <n v="0"/>
    <n v="25201.020000000004"/>
    <n v="0"/>
    <n v="0"/>
    <n v="80.786959522625594"/>
    <n v="86.185714285714283"/>
    <n v="0"/>
    <n v="0"/>
    <m/>
    <s v="Warisnagar"/>
    <m/>
    <n v="0"/>
  </r>
  <r>
    <s v="Munger"/>
    <s v="03-09 Jul"/>
    <n v="1057"/>
    <s v="Warisnagar"/>
    <x v="828"/>
    <s v="Alampur"/>
    <s v="vlc"/>
    <s v="Indirect"/>
    <n v="35.9"/>
    <n v="1228.1400000000001"/>
    <n v="0"/>
    <n v="0"/>
    <n v="0"/>
    <n v="0"/>
    <n v="0"/>
    <n v="0"/>
    <n v="1228.1400000000001"/>
    <n v="0"/>
    <n v="0"/>
    <n v="0"/>
    <n v="0"/>
    <n v="0"/>
    <n v="0"/>
    <n v="0"/>
    <n v="0"/>
    <n v="1228.1400000000001"/>
    <n v="0"/>
    <n v="0"/>
    <n v="454.37758997214485"/>
    <n v="5.1285714285714281"/>
    <n v="0"/>
    <n v="0"/>
    <m/>
    <s v="Warisnagar"/>
    <m/>
    <n v="0"/>
  </r>
  <r>
    <s v="Munger"/>
    <s v="03-09 Jul"/>
    <n v="1057"/>
    <s v="Warisnagar"/>
    <x v="829"/>
    <s v="Satmalpur Pachim"/>
    <s v="vlc"/>
    <s v="Indirect"/>
    <n v="76.100000000000009"/>
    <n v="2872.3599999999997"/>
    <n v="0"/>
    <n v="0"/>
    <n v="0"/>
    <n v="0"/>
    <n v="0"/>
    <n v="0"/>
    <n v="2872.3599999999997"/>
    <n v="0"/>
    <n v="0"/>
    <n v="0"/>
    <n v="0"/>
    <n v="0"/>
    <n v="0"/>
    <n v="0"/>
    <n v="0"/>
    <n v="2872.3599999999997"/>
    <n v="0"/>
    <n v="0"/>
    <n v="470.97645308804204"/>
    <n v="10.871428571428572"/>
    <n v="0"/>
    <n v="0"/>
    <m/>
    <s v="Warisnagar"/>
    <m/>
    <n v="0"/>
  </r>
  <r>
    <s v="Munger"/>
    <s v="03-09 Jul"/>
    <n v="1057"/>
    <s v="Warisnagar"/>
    <x v="830"/>
    <s v="Ganopur"/>
    <s v="vlc"/>
    <s v="Indirect"/>
    <n v="206.1"/>
    <n v="7870.0899999999992"/>
    <n v="0"/>
    <n v="0"/>
    <n v="0"/>
    <n v="0"/>
    <n v="0"/>
    <n v="0"/>
    <n v="7870.0899999999992"/>
    <n v="0"/>
    <n v="0"/>
    <n v="0"/>
    <n v="0"/>
    <n v="0"/>
    <n v="0"/>
    <n v="0"/>
    <n v="0"/>
    <n v="7870.0899999999992"/>
    <n v="0"/>
    <n v="0"/>
    <n v="377.19917040271707"/>
    <n v="29.442857142857143"/>
    <n v="0"/>
    <n v="0"/>
    <m/>
    <s v="Warisnagar"/>
    <m/>
    <n v="0"/>
  </r>
  <r>
    <s v="Munger"/>
    <s v="03-09 Jul"/>
    <n v="1058"/>
    <s v="Hasanpur"/>
    <x v="831"/>
    <s v="Mahuli"/>
    <s v="MPG"/>
    <s v="Direct"/>
    <n v="451.03000000000009"/>
    <n v="19886.43"/>
    <n v="453.4"/>
    <n v="19965.120000000003"/>
    <n v="8.6"/>
    <n v="374.40999999999997"/>
    <n v="462"/>
    <n v="20339.530000000002"/>
    <n v="19886.43"/>
    <n v="0"/>
    <n v="374.40999999999997"/>
    <n v="453.10000000000218"/>
    <n v="1350"/>
    <n v="0"/>
    <n v="0"/>
    <n v="18162"/>
    <n v="0"/>
    <n v="0"/>
    <n v="0"/>
    <n v="0"/>
    <n v="219.54745702503146"/>
    <n v="64.432857142857159"/>
    <n v="-2.2784381108122583E-2"/>
    <n v="17"/>
    <m/>
    <s v="Hasanpur"/>
    <m/>
    <n v="0"/>
  </r>
  <r>
    <s v="Munger"/>
    <s v="03-09 Jul"/>
    <n v="1058"/>
    <s v="Hasanpur"/>
    <x v="832"/>
    <s v="Sakhwa Ghat"/>
    <s v="MPG"/>
    <s v="Direct"/>
    <n v="409.15"/>
    <n v="17880.509999999998"/>
    <n v="405.69999999999993"/>
    <n v="18655.82"/>
    <n v="5.5"/>
    <n v="246.46"/>
    <n v="411.19999999999993"/>
    <n v="18902.28"/>
    <n v="17880.509999999998"/>
    <n v="0"/>
    <n v="246.46"/>
    <n v="1021.7700000000004"/>
    <n v="0"/>
    <n v="0"/>
    <n v="0"/>
    <n v="17634"/>
    <n v="0"/>
    <n v="0"/>
    <n v="0"/>
    <n v="0"/>
    <n v="254.21221231822071"/>
    <n v="58.449999999999996"/>
    <n v="-5.7144343198264509E-2"/>
    <n v="7"/>
    <m/>
    <s v="Hasanpur"/>
    <m/>
    <n v="0"/>
  </r>
  <r>
    <s v="Munger"/>
    <s v="03-09 Jul"/>
    <n v="1058"/>
    <s v="Hasanpur"/>
    <x v="833"/>
    <s v="Patiya"/>
    <s v="MPG"/>
    <s v="Direct"/>
    <n v="282.65999999999997"/>
    <n v="11690.810000000001"/>
    <n v="217.29999999999995"/>
    <n v="8930.0599999999977"/>
    <n v="2.3000000000000003"/>
    <n v="92.449999999999989"/>
    <n v="219.59999999999997"/>
    <n v="9022.5099999999984"/>
    <n v="9022.5099999999984"/>
    <n v="0"/>
    <n v="92.449999999999989"/>
    <n v="0"/>
    <n v="0"/>
    <n v="0"/>
    <n v="0"/>
    <n v="8931"/>
    <n v="0"/>
    <n v="0"/>
    <n v="2667"/>
    <n v="0"/>
    <n v="345.22342357602787"/>
    <n v="40.379999999999995"/>
    <n v="0.22823910404839379"/>
    <n v="3"/>
    <m/>
    <s v="Hasanpur"/>
    <m/>
    <n v="0"/>
  </r>
  <r>
    <s v="Munger"/>
    <s v="03-09 Jul"/>
    <n v="1058"/>
    <s v="Hasanpur"/>
    <x v="834"/>
    <s v="Kasiya"/>
    <s v="MPG"/>
    <s v="Direct"/>
    <n v="600.05999999999995"/>
    <n v="24638.100000000006"/>
    <n v="592.6"/>
    <n v="25165.629999999997"/>
    <n v="9.3999999999999986"/>
    <n v="389.59"/>
    <n v="602"/>
    <n v="25555.219999999998"/>
    <n v="24638.100000000006"/>
    <n v="0"/>
    <n v="389.59"/>
    <n v="917.11999999999171"/>
    <n v="0"/>
    <n v="0"/>
    <n v="0"/>
    <n v="24249"/>
    <n v="0"/>
    <n v="0"/>
    <n v="0"/>
    <n v="0"/>
    <n v="82.069516848315232"/>
    <n v="85.722857142857137"/>
    <n v="-3.7223649550898463E-2"/>
    <n v="12"/>
    <m/>
    <s v="Hasanpur"/>
    <m/>
    <n v="0"/>
  </r>
  <r>
    <s v="Munger"/>
    <s v="03-09 Jul"/>
    <n v="1058"/>
    <s v="Hasanpur"/>
    <x v="835"/>
    <s v="Godah"/>
    <s v="MPG"/>
    <s v="Direct"/>
    <n v="454.33999999999992"/>
    <n v="20646.850000000002"/>
    <n v="520.4"/>
    <n v="23239.65"/>
    <n v="0"/>
    <n v="0"/>
    <n v="520.4"/>
    <n v="23239.65"/>
    <n v="20646.850000000002"/>
    <n v="0"/>
    <n v="0"/>
    <n v="2592.7999999999993"/>
    <n v="0"/>
    <n v="0"/>
    <n v="0"/>
    <n v="20647"/>
    <n v="0"/>
    <n v="0"/>
    <n v="0"/>
    <n v="0"/>
    <n v="223.2735471673198"/>
    <n v="64.905714285714268"/>
    <n v="-0.12557847807292633"/>
    <n v="6"/>
    <m/>
    <s v="Hasanpur"/>
    <m/>
    <n v="0"/>
  </r>
  <r>
    <s v="Munger"/>
    <s v="03-09 Jul"/>
    <n v="1058"/>
    <s v="Hasanpur"/>
    <x v="836"/>
    <s v="Ballahpur"/>
    <s v="MPG"/>
    <s v="Direct"/>
    <n v="441.47999999999996"/>
    <n v="16689.37"/>
    <n v="443.59"/>
    <n v="18139.440000000002"/>
    <n v="0"/>
    <n v="0"/>
    <n v="443.59"/>
    <n v="18139.440000000002"/>
    <n v="16689.37"/>
    <n v="0"/>
    <n v="0"/>
    <n v="1450.0700000000033"/>
    <n v="0"/>
    <n v="500"/>
    <n v="0"/>
    <n v="16189"/>
    <n v="0"/>
    <n v="0"/>
    <n v="0"/>
    <n v="0"/>
    <n v="195.45782062154578"/>
    <n v="63.068571428571424"/>
    <n v="-8.6885844103162871E-2"/>
    <n v="3"/>
    <m/>
    <s v="Hasanpur"/>
    <m/>
    <n v="500"/>
  </r>
  <r>
    <s v="Munger"/>
    <s v="03-09 Jul"/>
    <n v="1058"/>
    <s v="Hasanpur"/>
    <x v="837"/>
    <s v="Laxmipur-VLC"/>
    <s v="vlc"/>
    <s v="Indirect"/>
    <n v="196.23999999999998"/>
    <n v="6916.0400000000009"/>
    <n v="0"/>
    <n v="0"/>
    <n v="0"/>
    <n v="0"/>
    <n v="0"/>
    <n v="0"/>
    <n v="6916.0400000000009"/>
    <n v="0"/>
    <n v="0"/>
    <n v="0"/>
    <n v="0"/>
    <n v="0"/>
    <n v="0"/>
    <n v="0"/>
    <n v="0"/>
    <n v="6916.0400000000009"/>
    <n v="0"/>
    <n v="0"/>
    <n v="355.07789547492877"/>
    <n v="28.034285714285712"/>
    <n v="0"/>
    <n v="0"/>
    <m/>
    <s v="Hasanpur"/>
    <m/>
    <n v="0"/>
  </r>
  <r>
    <s v="Munger"/>
    <s v="03-09 Jul"/>
    <n v="1058"/>
    <s v="Hasanpur"/>
    <x v="838"/>
    <s v="Birpur"/>
    <s v="MPG"/>
    <s v="Direct"/>
    <n v="551.93999999999994"/>
    <n v="20585.569999999996"/>
    <n v="555.68000000000018"/>
    <n v="20882.419999999998"/>
    <n v="0"/>
    <n v="0"/>
    <n v="555.68000000000018"/>
    <n v="20882.419999999998"/>
    <n v="20585.569999999996"/>
    <n v="0"/>
    <n v="0"/>
    <n v="296.85000000000218"/>
    <n v="0"/>
    <n v="0"/>
    <n v="0"/>
    <n v="20586"/>
    <n v="0"/>
    <n v="0"/>
    <n v="0"/>
    <n v="0"/>
    <n v="110.44314578396207"/>
    <n v="78.848571428571418"/>
    <n v="-1.4420295381667947E-2"/>
    <n v="7"/>
    <m/>
    <s v="Hasanpur"/>
    <m/>
    <n v="0"/>
  </r>
  <r>
    <s v="Munger"/>
    <s v="03-09 Jul"/>
    <n v="1058"/>
    <s v="Hasanpur"/>
    <x v="839"/>
    <s v="Ahilwar"/>
    <s v="MPG"/>
    <s v="Direct"/>
    <n v="902.4899999999999"/>
    <n v="38303.03"/>
    <n v="507.1"/>
    <n v="22707.98"/>
    <n v="395"/>
    <n v="15203.109999999999"/>
    <n v="902.1"/>
    <n v="37911.089999999997"/>
    <n v="37911.089999999997"/>
    <n v="0"/>
    <n v="211.3"/>
    <n v="0"/>
    <n v="2700"/>
    <n v="0"/>
    <n v="0"/>
    <n v="20008"/>
    <n v="14991"/>
    <n v="0"/>
    <n v="393"/>
    <n v="0"/>
    <n v="0"/>
    <n v="0"/>
    <n v="1.0232610840447931E-2"/>
    <n v="8"/>
    <m/>
    <s v="Hasanpur"/>
    <m/>
    <n v="0"/>
  </r>
  <r>
    <s v="Munger"/>
    <s v="03-09 Jul"/>
    <n v="1058"/>
    <s v="Hasanpur"/>
    <x v="840"/>
    <s v="Paridah"/>
    <s v="MPG"/>
    <s v="Direct"/>
    <n v="387.86"/>
    <n v="15018.8"/>
    <n v="488.20999999999992"/>
    <n v="19171.540000000005"/>
    <n v="3.01"/>
    <n v="117.18000000000002"/>
    <n v="491.21999999999991"/>
    <n v="19288.720000000005"/>
    <n v="15018.8"/>
    <n v="0"/>
    <n v="117.18000000000002"/>
    <n v="4269.9200000000055"/>
    <n v="0"/>
    <n v="500"/>
    <n v="0"/>
    <n v="14402"/>
    <n v="0"/>
    <n v="0"/>
    <n v="0"/>
    <s v="Release4"/>
    <n v="241.73507100500177"/>
    <n v="55.408571428571427"/>
    <n v="-0.28430500439449263"/>
    <n v="15"/>
    <m/>
    <s v="Hasanpur"/>
    <m/>
    <n v="500"/>
  </r>
  <r>
    <s v="Munger"/>
    <s v="03-09 Jul"/>
    <n v="1058"/>
    <s v="Hasanpur"/>
    <x v="841"/>
    <s v="KOLAWARI"/>
    <s v="MPG"/>
    <s v="Direct"/>
    <n v="394.46000000000004"/>
    <n v="16090.349999999999"/>
    <n v="399.4"/>
    <n v="16821.48"/>
    <n v="0"/>
    <n v="0"/>
    <n v="399.4"/>
    <n v="16821.48"/>
    <n v="16090.349999999999"/>
    <n v="0"/>
    <n v="0"/>
    <n v="731.13000000000102"/>
    <n v="0"/>
    <n v="0"/>
    <n v="0"/>
    <n v="16090"/>
    <n v="0"/>
    <n v="0"/>
    <n v="0"/>
    <n v="0"/>
    <n v="249.26459154286866"/>
    <n v="56.351428571428578"/>
    <n v="-4.5439036441096751E-2"/>
    <n v="4"/>
    <m/>
    <s v="Hasanpur"/>
    <m/>
    <n v="0"/>
  </r>
  <r>
    <s v="Munger"/>
    <s v="03-09 Jul"/>
    <n v="1058"/>
    <s v="Hasanpur"/>
    <x v="842"/>
    <s v="MALDAH"/>
    <s v="vlc"/>
    <s v="Indirect"/>
    <n v="780.81"/>
    <n v="30921.31"/>
    <n v="0"/>
    <n v="0"/>
    <n v="0"/>
    <n v="0"/>
    <n v="0"/>
    <n v="0"/>
    <n v="30921.31"/>
    <n v="0"/>
    <n v="0"/>
    <n v="0"/>
    <n v="0"/>
    <n v="0"/>
    <n v="0"/>
    <n v="0"/>
    <n v="0"/>
    <n v="30921.31"/>
    <n v="0"/>
    <n v="0"/>
    <n v="0"/>
    <n v="0"/>
    <n v="0"/>
    <n v="0"/>
    <m/>
    <s v="Hasanpur"/>
    <m/>
    <n v="0"/>
  </r>
  <r>
    <s v="Munger"/>
    <s v="03-09 Jul"/>
    <n v="1058"/>
    <s v="Hasanpur"/>
    <x v="843"/>
    <s v="KARANCHI"/>
    <s v="MPG"/>
    <s v="Direct"/>
    <n v="472.35"/>
    <n v="18578.830000000002"/>
    <n v="489.39999999999986"/>
    <n v="21706.949999999997"/>
    <n v="0"/>
    <n v="0"/>
    <n v="489.39999999999986"/>
    <n v="21706.949999999997"/>
    <n v="18578.830000000002"/>
    <n v="0"/>
    <n v="0"/>
    <n v="3128.1199999999953"/>
    <n v="0"/>
    <n v="0"/>
    <n v="0"/>
    <n v="18579"/>
    <n v="0"/>
    <n v="0"/>
    <n v="0"/>
    <s v="Release4"/>
    <n v="179.08206412617764"/>
    <n v="67.478571428571428"/>
    <n v="-0.16837012879713067"/>
    <n v="2"/>
    <m/>
    <s v="Hasanpur"/>
    <m/>
    <n v="0"/>
  </r>
  <r>
    <s v="Munger"/>
    <s v="03-09 Jul"/>
    <n v="1058"/>
    <s v="Hasanpur"/>
    <x v="844"/>
    <s v="MARTHUA"/>
    <s v="MPG"/>
    <s v="Direct"/>
    <n v="711.54000000000008"/>
    <n v="31284.150000000005"/>
    <n v="793.46"/>
    <n v="36060.089999999989"/>
    <n v="0"/>
    <n v="0"/>
    <n v="793.46"/>
    <n v="36060.089999999989"/>
    <n v="31284.150000000005"/>
    <n v="0"/>
    <n v="0"/>
    <n v="4775.9399999999841"/>
    <n v="0"/>
    <n v="0"/>
    <n v="0"/>
    <n v="31284"/>
    <n v="0"/>
    <n v="0"/>
    <n v="0"/>
    <n v="0"/>
    <n v="0"/>
    <n v="0"/>
    <n v="-0.15266324960083569"/>
    <n v="13"/>
    <m/>
    <s v="Hasanpur"/>
    <m/>
    <n v="0"/>
  </r>
  <r>
    <s v="Munger"/>
    <s v="03-09 Jul"/>
    <n v="1058"/>
    <s v="Hasanpur"/>
    <x v="845"/>
    <s v="GARHPURA "/>
    <s v="MPG"/>
    <s v="Direct"/>
    <n v="88.48"/>
    <n v="3116.72"/>
    <n v="89.899999999999991"/>
    <n v="3193.0499999999997"/>
    <n v="0"/>
    <n v="0"/>
    <n v="89.899999999999991"/>
    <n v="3193.0499999999997"/>
    <n v="3116.72"/>
    <n v="0"/>
    <n v="0"/>
    <n v="76.329999999999927"/>
    <n v="0"/>
    <n v="0"/>
    <n v="0"/>
    <n v="3117"/>
    <n v="0"/>
    <n v="0"/>
    <n v="0"/>
    <n v="0"/>
    <n v="430.81749873417715"/>
    <n v="12.64"/>
    <n v="-2.44904900023101E-2"/>
    <n v="1"/>
    <m/>
    <s v="Hasanpur"/>
    <m/>
    <n v="0"/>
  </r>
  <r>
    <s v="Munger"/>
    <s v="03-09 Jul"/>
    <n v="1058"/>
    <s v="Hasanpur"/>
    <x v="846"/>
    <s v="KOKANI"/>
    <s v="MPG"/>
    <s v="Direct"/>
    <n v="153.13"/>
    <n v="5707.3300000000008"/>
    <n v="155.4"/>
    <n v="5834.0399999999991"/>
    <n v="0"/>
    <n v="0"/>
    <n v="155.4"/>
    <n v="5834.0399999999991"/>
    <n v="5707.3300000000008"/>
    <n v="0"/>
    <n v="0"/>
    <n v="126.70999999999822"/>
    <n v="0"/>
    <n v="0"/>
    <n v="0"/>
    <n v="5707"/>
    <n v="0"/>
    <n v="0"/>
    <n v="0"/>
    <n v="0"/>
    <n v="407.64939033500951"/>
    <n v="21.875714285714285"/>
    <n v="-2.2201274501386498E-2"/>
    <n v="1"/>
    <m/>
    <s v="Hasanpur"/>
    <m/>
    <n v="0"/>
  </r>
  <r>
    <s v="Munger"/>
    <s v="03-09 Jul"/>
    <n v="1058"/>
    <s v="Hasanpur"/>
    <x v="847"/>
    <s v="DURGAPUR "/>
    <s v="MPG"/>
    <s v="Direct"/>
    <n v="469.80000000000007"/>
    <n v="19382.489999999998"/>
    <n v="479.5"/>
    <n v="19782.250000000004"/>
    <n v="0"/>
    <n v="0"/>
    <n v="479.5"/>
    <n v="19782.250000000004"/>
    <n v="19382.489999999998"/>
    <n v="0"/>
    <n v="0"/>
    <n v="399.76000000000568"/>
    <n v="0"/>
    <n v="0"/>
    <n v="0"/>
    <n v="19382"/>
    <n v="0"/>
    <n v="0"/>
    <n v="0"/>
    <n v="0"/>
    <n v="189.94675172413778"/>
    <n v="67.114285714285728"/>
    <n v="-2.0624801044654518E-2"/>
    <n v="3"/>
    <m/>
    <s v="Hasanpur"/>
    <m/>
    <n v="0"/>
  </r>
  <r>
    <s v="Munger"/>
    <s v="03-09 Jul"/>
    <n v="1058"/>
    <s v="Hasanpur"/>
    <x v="848"/>
    <s v="Chandauli"/>
    <s v="MPG"/>
    <s v="Direct"/>
    <n v="211.48"/>
    <n v="9727.19"/>
    <n v="217.19999999999996"/>
    <n v="10292.380000000001"/>
    <n v="0"/>
    <n v="0"/>
    <n v="217.19999999999996"/>
    <n v="10292.380000000001"/>
    <n v="9727.19"/>
    <n v="0"/>
    <n v="0"/>
    <n v="565.19000000000051"/>
    <n v="0"/>
    <n v="0"/>
    <n v="0"/>
    <n v="9727"/>
    <n v="0"/>
    <n v="0"/>
    <n v="0"/>
    <s v="Release4"/>
    <n v="449.39728189899762"/>
    <n v="30.21142857142857"/>
    <n v="-5.8104139016509439E-2"/>
    <n v="11"/>
    <m/>
    <s v="Hasanpur"/>
    <m/>
    <n v="0"/>
  </r>
  <r>
    <s v="Munger"/>
    <s v="03-09 Jul"/>
    <n v="1058"/>
    <s v="Hasanpur"/>
    <x v="849"/>
    <s v="Girdharpur"/>
    <s v="MPG"/>
    <s v="Direct"/>
    <n v="94.210000000000008"/>
    <n v="3466.51"/>
    <n v="94.2"/>
    <n v="3523.7599999999998"/>
    <n v="0"/>
    <n v="0"/>
    <n v="94.2"/>
    <n v="3523.7599999999998"/>
    <n v="3466.51"/>
    <n v="0"/>
    <n v="0"/>
    <n v="57.249999999999545"/>
    <n v="0"/>
    <n v="0"/>
    <n v="0"/>
    <n v="3467"/>
    <n v="0"/>
    <n v="0"/>
    <n v="0"/>
    <n v="0"/>
    <n v="445.80768345186283"/>
    <n v="13.45857142857143"/>
    <n v="-1.6515169435541665E-2"/>
    <n v="1"/>
    <m/>
    <s v="Hasanpur"/>
    <m/>
    <n v="0"/>
  </r>
  <r>
    <s v="Munger"/>
    <s v="03-09 Jul"/>
    <n v="1059"/>
    <s v="Gopalpur Bmc"/>
    <x v="850"/>
    <s v="MISHRBIGHA"/>
    <s v="MPG"/>
    <s v="Direct"/>
    <n v="792.9000000000002"/>
    <n v="40370.780000000006"/>
    <n v="910.11000000000013"/>
    <n v="45891.09"/>
    <n v="0"/>
    <n v="0"/>
    <n v="910.11000000000013"/>
    <n v="45891.09"/>
    <n v="40370.780000000006"/>
    <n v="0"/>
    <n v="0"/>
    <n v="5520.3099999999904"/>
    <n v="0"/>
    <n v="0"/>
    <n v="0"/>
    <n v="40371"/>
    <n v="0"/>
    <n v="0"/>
    <n v="0"/>
    <n v="0"/>
    <n v="0"/>
    <n v="0"/>
    <n v="-0.13674023637888566"/>
    <n v="2"/>
    <m/>
    <s v="Gopalpur Bmc"/>
    <m/>
    <n v="0"/>
  </r>
  <r>
    <s v="Munger"/>
    <s v="03-09 Jul"/>
    <n v="1059"/>
    <s v="Gopalpur Bmc"/>
    <x v="851"/>
    <s v="DIGHOI"/>
    <s v="MPG"/>
    <s v="Direct"/>
    <n v="122.69999999999999"/>
    <n v="7541.52"/>
    <n v="118.27"/>
    <n v="7304.34"/>
    <n v="0"/>
    <n v="0"/>
    <n v="118.27"/>
    <n v="7304.34"/>
    <n v="7304.34"/>
    <n v="0"/>
    <n v="0"/>
    <n v="0"/>
    <n v="0"/>
    <n v="500"/>
    <n v="0"/>
    <n v="6804"/>
    <n v="0"/>
    <n v="0"/>
    <n v="238"/>
    <n v="0"/>
    <n v="709.65272958435219"/>
    <n v="17.528571428571428"/>
    <n v="3.1449893390191934E-2"/>
    <n v="1"/>
    <m/>
    <s v="Gopalpur Bmc"/>
    <m/>
    <n v="500"/>
  </r>
  <r>
    <s v="Munger"/>
    <s v="03-09 Jul"/>
    <n v="1059"/>
    <s v="Gopalpur Bmc"/>
    <x v="852"/>
    <s v="PRATAPUR"/>
    <s v="MPG"/>
    <s v="Direct"/>
    <n v="910.70000000000016"/>
    <n v="36079.680000000008"/>
    <n v="910.19999999999993"/>
    <n v="36059.519999999997"/>
    <n v="0"/>
    <n v="0"/>
    <n v="910.19999999999993"/>
    <n v="36059.519999999997"/>
    <n v="36059.519999999997"/>
    <n v="0"/>
    <n v="0"/>
    <n v="0"/>
    <n v="0"/>
    <n v="0"/>
    <n v="0"/>
    <n v="36060"/>
    <n v="0"/>
    <n v="0"/>
    <n v="20"/>
    <n v="0"/>
    <n v="0"/>
    <n v="0"/>
    <n v="5.5876327062797575E-4"/>
    <n v="1"/>
    <m/>
    <s v="Gopalpur Bmc"/>
    <m/>
    <n v="0"/>
  </r>
  <r>
    <s v="Munger"/>
    <s v="03-09 Jul"/>
    <n v="1059"/>
    <s v="Gopalpur Bmc"/>
    <x v="853"/>
    <s v="GOPALPUR"/>
    <s v="MPG"/>
    <s v="Direct"/>
    <n v="1109.1999999999998"/>
    <n v="51933.830000000009"/>
    <n v="1190.6000000000001"/>
    <n v="54324.6"/>
    <n v="0"/>
    <n v="0"/>
    <n v="1190.6000000000001"/>
    <n v="54324.6"/>
    <n v="51933.830000000009"/>
    <n v="0"/>
    <n v="0"/>
    <n v="2390.7699999999895"/>
    <n v="0"/>
    <n v="0"/>
    <n v="0"/>
    <n v="51934"/>
    <n v="0"/>
    <n v="0"/>
    <n v="0"/>
    <n v="0"/>
    <n v="0"/>
    <n v="0"/>
    <n v="-4.6034925596667706E-2"/>
    <n v="13"/>
    <m/>
    <s v="Gopalpur Bmc"/>
    <m/>
    <n v="0"/>
  </r>
  <r>
    <s v="Munger"/>
    <s v="03-09 Jul"/>
    <n v="1059"/>
    <s v="Gopalpur Bmc"/>
    <x v="854"/>
    <s v="NARMDA"/>
    <s v="MPG"/>
    <s v="Direct"/>
    <n v="316.59999999999997"/>
    <n v="16121.649999999998"/>
    <n v="323.2"/>
    <n v="16115.87"/>
    <n v="0"/>
    <n v="0"/>
    <n v="323.2"/>
    <n v="16115.87"/>
    <n v="16115.87"/>
    <n v="0"/>
    <n v="0"/>
    <n v="0"/>
    <n v="0"/>
    <n v="0"/>
    <n v="0"/>
    <n v="16116"/>
    <n v="0"/>
    <n v="0"/>
    <n v="6"/>
    <n v="0"/>
    <n v="390.46371509791544"/>
    <n v="45.228571428571421"/>
    <n v="3.5852409647877341E-4"/>
    <n v="1"/>
    <m/>
    <s v="Gopalpur Bmc"/>
    <m/>
    <n v="0"/>
  </r>
  <r>
    <s v="Munger"/>
    <s v="03-09 Jul"/>
    <n v="1059"/>
    <s v="Gopalpur Bmc"/>
    <x v="855"/>
    <s v="AMRATH"/>
    <s v="MPG"/>
    <s v="Direct"/>
    <n v="1475.8999999999999"/>
    <n v="78562.37000000001"/>
    <n v="1475.9"/>
    <n v="75261.5"/>
    <n v="0"/>
    <n v="0"/>
    <n v="1475.9"/>
    <n v="75261.5"/>
    <n v="75261.5"/>
    <n v="0"/>
    <n v="0"/>
    <n v="0"/>
    <n v="0"/>
    <n v="0"/>
    <n v="0"/>
    <n v="75262"/>
    <n v="0"/>
    <n v="0"/>
    <n v="3300"/>
    <n v="0"/>
    <n v="0"/>
    <n v="0"/>
    <n v="4.2015916780514764E-2"/>
    <n v="4"/>
    <m/>
    <s v="Gopalpur Bmc"/>
    <m/>
    <n v="0"/>
  </r>
  <r>
    <s v="Munger"/>
    <s v="03-09 Jul"/>
    <n v="1059"/>
    <s v="Gopalpur Bmc"/>
    <x v="856"/>
    <s v="PUTERIA"/>
    <s v="MPG"/>
    <s v="Direct"/>
    <n v="647"/>
    <n v="27827.160000000003"/>
    <n v="536.73"/>
    <n v="22798.390000000003"/>
    <n v="0"/>
    <n v="0"/>
    <n v="536.73"/>
    <n v="22798.390000000003"/>
    <n v="22798.390000000003"/>
    <n v="0"/>
    <n v="0"/>
    <n v="0"/>
    <n v="0"/>
    <n v="0"/>
    <n v="0"/>
    <n v="22799"/>
    <n v="0"/>
    <n v="0"/>
    <n v="5028"/>
    <n v="0"/>
    <n v="45.590092117465211"/>
    <n v="92.428571428571431"/>
    <n v="0.18071445307390333"/>
    <n v="6"/>
    <m/>
    <s v="Gopalpur Bmc"/>
    <m/>
    <n v="0"/>
  </r>
  <r>
    <s v="Munger"/>
    <s v="03-09 Jul"/>
    <n v="1059"/>
    <s v="Gopalpur Bmc"/>
    <x v="857"/>
    <s v="LAKHAPUR"/>
    <s v="MPG"/>
    <s v="Direct"/>
    <n v="1071.2"/>
    <n v="47872.03"/>
    <n v="1071.1999999999998"/>
    <n v="47872.029999999984"/>
    <n v="0"/>
    <n v="0"/>
    <n v="1071.1999999999998"/>
    <n v="47872.029999999984"/>
    <n v="47872.029999999984"/>
    <n v="0"/>
    <n v="0"/>
    <n v="0"/>
    <n v="0"/>
    <n v="0"/>
    <n v="0"/>
    <n v="47872"/>
    <n v="0"/>
    <n v="0"/>
    <n v="0"/>
    <n v="0"/>
    <n v="0"/>
    <n v="0"/>
    <n v="3.0397531143690483E-16"/>
    <n v="1"/>
    <m/>
    <s v="Gopalpur Bmc"/>
    <m/>
    <n v="0"/>
  </r>
  <r>
    <s v="Munger"/>
    <s v="03-09 Jul"/>
    <n v="1059"/>
    <s v="Gopalpur Bmc"/>
    <x v="858"/>
    <s v="BARIYARPUR"/>
    <s v="MPG"/>
    <s v="Direct"/>
    <n v="810.30000000000018"/>
    <n v="37021.589999999989"/>
    <n v="810.3"/>
    <n v="36048.520000000004"/>
    <n v="0"/>
    <n v="0"/>
    <n v="810.3"/>
    <n v="36048.520000000004"/>
    <n v="36048.520000000004"/>
    <n v="0"/>
    <n v="0"/>
    <n v="0"/>
    <n v="0"/>
    <n v="0"/>
    <n v="0"/>
    <n v="36049"/>
    <n v="0"/>
    <n v="0"/>
    <n v="973"/>
    <n v="0"/>
    <n v="0"/>
    <n v="0"/>
    <n v="2.6283852206239262E-2"/>
    <n v="1"/>
    <m/>
    <s v="Gopalpur Bmc"/>
    <m/>
    <n v="0"/>
  </r>
  <r>
    <s v="Munger"/>
    <s v="03-09 Jul"/>
    <n v="1059"/>
    <s v="Gopalpur Bmc"/>
    <x v="859"/>
    <s v="BAGWANA"/>
    <s v="MPG"/>
    <s v="Direct"/>
    <n v="665.4"/>
    <n v="32623.17"/>
    <n v="731.40000000000009"/>
    <n v="34952.539999999994"/>
    <n v="0"/>
    <n v="0"/>
    <n v="731.40000000000009"/>
    <n v="34952.539999999994"/>
    <n v="32623.17"/>
    <n v="0"/>
    <n v="0"/>
    <n v="2329.3699999999953"/>
    <n v="0"/>
    <n v="0"/>
    <n v="0"/>
    <n v="32623"/>
    <n v="0"/>
    <n v="0"/>
    <n v="0"/>
    <n v="0"/>
    <n v="33.927312353471642"/>
    <n v="95.05714285714285"/>
    <n v="-7.1402319271854808E-2"/>
    <n v="1"/>
    <m/>
    <s v="Gopalpur Bmc"/>
    <m/>
    <n v="0"/>
  </r>
  <r>
    <s v="Munger"/>
    <s v="03-09 Jul"/>
    <n v="1059"/>
    <s v="Gopalpur Bmc"/>
    <x v="860"/>
    <s v="GOMUKH DAND"/>
    <s v="vlc"/>
    <s v="Indirect"/>
    <n v="429.40000000000003"/>
    <n v="20693.329999999998"/>
    <n v="0"/>
    <n v="0"/>
    <n v="0"/>
    <n v="0"/>
    <n v="0"/>
    <n v="0"/>
    <n v="20693.329999999998"/>
    <n v="0"/>
    <n v="0"/>
    <n v="0"/>
    <n v="0"/>
    <n v="0"/>
    <n v="0"/>
    <n v="0"/>
    <n v="0"/>
    <n v="20693.329999999998"/>
    <n v="0"/>
    <n v="0"/>
    <n v="260.81113637633899"/>
    <n v="61.342857142857149"/>
    <n v="0"/>
    <n v="0"/>
    <m/>
    <s v="Gopalpur Bmc"/>
    <m/>
    <n v="0"/>
  </r>
  <r>
    <s v="Munger"/>
    <s v="03-09 Jul"/>
    <n v="1014"/>
    <s v="Dumraon"/>
    <x v="861"/>
    <s v="Gomukh Ama"/>
    <s v="MPG"/>
    <s v="Direct"/>
    <n v="613.93000000000006"/>
    <n v="23155.140000000003"/>
    <n v="578.59"/>
    <n v="23140.660000000003"/>
    <n v="0"/>
    <n v="0"/>
    <n v="578.59"/>
    <n v="23140.660000000003"/>
    <n v="23140.660000000003"/>
    <n v="0"/>
    <n v="0"/>
    <n v="0"/>
    <n v="0"/>
    <n v="0"/>
    <n v="0"/>
    <n v="23141"/>
    <n v="0"/>
    <n v="0"/>
    <n v="14"/>
    <n v="0"/>
    <n v="64.924760145293419"/>
    <n v="87.704285714285717"/>
    <n v="6.2534711515454286E-4"/>
    <n v="1"/>
    <m/>
    <s v="Dumraon"/>
    <m/>
    <n v="0"/>
  </r>
  <r>
    <s v="Munger"/>
    <s v="03-09 Jul"/>
    <n v="1014"/>
    <s v="Dumraon"/>
    <x v="862"/>
    <s v="Gomukh Pawat"/>
    <s v="MPG"/>
    <s v="Direct"/>
    <n v="179.20000000000002"/>
    <n v="7249.89"/>
    <n v="188.43999999999997"/>
    <n v="8589.93"/>
    <n v="0"/>
    <n v="0"/>
    <n v="188.43999999999997"/>
    <n v="8589.93"/>
    <n v="7249.89"/>
    <n v="0"/>
    <n v="0"/>
    <n v="1340.04"/>
    <n v="0"/>
    <n v="0"/>
    <n v="0"/>
    <n v="7250"/>
    <n v="0"/>
    <n v="0"/>
    <n v="0"/>
    <s v="Release3"/>
    <n v="421.39985625000008"/>
    <n v="25.6"/>
    <n v="-0.18483590785515366"/>
    <n v="2"/>
    <m/>
    <s v="Dumraon"/>
    <m/>
    <n v="0"/>
  </r>
  <r>
    <s v="Munger"/>
    <s v="03-09 Jul"/>
    <n v="1014"/>
    <s v="Dumraon"/>
    <x v="863"/>
    <s v="Gomukh Barja"/>
    <s v="MPG"/>
    <s v="Direct"/>
    <n v="140.5"/>
    <n v="5432.72"/>
    <n v="142.56"/>
    <n v="5338.6099999999988"/>
    <n v="2.2600000000000002"/>
    <n v="79.77"/>
    <n v="144.82"/>
    <n v="5418.3799999999992"/>
    <n v="5418.3799999999992"/>
    <n v="0"/>
    <n v="79.77"/>
    <n v="0"/>
    <n v="0"/>
    <n v="0"/>
    <n v="0"/>
    <n v="5339"/>
    <n v="0"/>
    <n v="0"/>
    <n v="14"/>
    <n v="0"/>
    <n v="432.68424768683275"/>
    <n v="20.071428571428573"/>
    <n v="2.6395617664818093E-3"/>
    <n v="2"/>
    <m/>
    <s v="Dumraon"/>
    <m/>
    <n v="0"/>
  </r>
  <r>
    <s v="Munger"/>
    <s v="03-09 Jul"/>
    <n v="1014"/>
    <s v="Dumraon"/>
    <x v="864"/>
    <s v="Gomukh Charghat"/>
    <s v="MPG"/>
    <s v="Direct"/>
    <n v="136.6"/>
    <n v="5845.3499999999995"/>
    <n v="143.52000000000004"/>
    <n v="5849.9500000000007"/>
    <n v="0"/>
    <n v="0"/>
    <n v="143.52000000000004"/>
    <n v="5849.9500000000007"/>
    <n v="5845.3499999999995"/>
    <n v="0"/>
    <n v="0"/>
    <n v="4.6000000000012733"/>
    <n v="0"/>
    <n v="0"/>
    <n v="0"/>
    <n v="5845"/>
    <n v="0"/>
    <n v="0"/>
    <n v="0"/>
    <n v="0"/>
    <n v="482.17718740849205"/>
    <n v="19.514285714285712"/>
    <n v="-7.8695031093112885E-4"/>
    <n v="1"/>
    <m/>
    <s v="Dumraon"/>
    <m/>
    <n v="0"/>
  </r>
  <r>
    <s v="Munger"/>
    <s v="03-09 Jul"/>
    <n v="1014"/>
    <s v="Dumraon"/>
    <x v="865"/>
    <s v="Gomukh Ramdihra"/>
    <s v="MPG"/>
    <s v="Direct"/>
    <n v="85.300000000000011"/>
    <n v="2999.4200000000005"/>
    <n v="85"/>
    <n v="2989.45"/>
    <n v="0"/>
    <n v="0"/>
    <n v="85"/>
    <n v="2989.45"/>
    <n v="2989.45"/>
    <n v="0"/>
    <n v="0"/>
    <n v="0"/>
    <n v="0"/>
    <n v="500"/>
    <n v="0"/>
    <n v="2489"/>
    <n v="0"/>
    <n v="0"/>
    <n v="10"/>
    <n v="0"/>
    <n v="432.29624243845262"/>
    <n v="12.185714285714287"/>
    <n v="3.3239759686875155E-3"/>
    <n v="1"/>
    <m/>
    <s v="Dumraon"/>
    <m/>
    <n v="500"/>
  </r>
  <r>
    <s v="Munger"/>
    <s v="03-09 Jul"/>
    <n v="1014"/>
    <s v="Dumraon"/>
    <x v="866"/>
    <s v="Gomukh Bara"/>
    <s v="MPG"/>
    <s v="Direct"/>
    <n v="41.3"/>
    <n v="1526.0399999999997"/>
    <n v="43.58"/>
    <n v="1748.71"/>
    <n v="0"/>
    <n v="0"/>
    <n v="43.58"/>
    <n v="1748.71"/>
    <n v="1526.0399999999997"/>
    <n v="0"/>
    <n v="0"/>
    <n v="222.6700000000003"/>
    <n v="0"/>
    <n v="0"/>
    <n v="0"/>
    <n v="1526"/>
    <n v="0"/>
    <n v="0"/>
    <n v="0"/>
    <n v="0"/>
    <n v="486.78089491525418"/>
    <n v="5.8999999999999995"/>
    <n v="-0.14591360645854654"/>
    <n v="1"/>
    <m/>
    <s v="Dumraon"/>
    <m/>
    <n v="0"/>
  </r>
  <r>
    <s v="Munger"/>
    <s v="03-09 Jul"/>
    <n v="1014"/>
    <s v="Dumraon"/>
    <x v="867"/>
    <s v="Gumukh Khajuriya"/>
    <s v="MPG"/>
    <s v="Direct"/>
    <n v="358.20000000000005"/>
    <n v="13814.290000000003"/>
    <n v="404.01"/>
    <n v="15083.18"/>
    <n v="0"/>
    <n v="0"/>
    <n v="404.01"/>
    <n v="15083.18"/>
    <n v="13814.290000000003"/>
    <n v="0"/>
    <n v="0"/>
    <n v="1268.8899999999976"/>
    <n v="0"/>
    <n v="0"/>
    <n v="0"/>
    <n v="13814"/>
    <n v="0"/>
    <n v="0"/>
    <n v="0"/>
    <n v="0"/>
    <n v="263.63619888330538"/>
    <n v="51.171428571428578"/>
    <n v="-9.1853435826234814E-2"/>
    <n v="2"/>
    <m/>
    <s v="Dumraon"/>
    <m/>
    <n v="0"/>
  </r>
  <r>
    <s v="Munger"/>
    <s v="03-09 Jul"/>
    <n v="1061"/>
    <s v="Mahua BMC"/>
    <x v="868"/>
    <s v="GOMUKH BHATOLIYA"/>
    <s v="MPG"/>
    <s v="Direct"/>
    <n v="677.99999999999989"/>
    <n v="30775.719999999994"/>
    <n v="693.7"/>
    <n v="30902.289999999997"/>
    <n v="0.8"/>
    <n v="39.69"/>
    <n v="694.5"/>
    <n v="30941.979999999996"/>
    <n v="30775.719999999994"/>
    <n v="0"/>
    <n v="39.69"/>
    <n v="166.26000000000204"/>
    <n v="0"/>
    <n v="0"/>
    <n v="0"/>
    <n v="30736"/>
    <n v="0"/>
    <n v="0"/>
    <n v="0"/>
    <n v="0"/>
    <n v="19.972443657817173"/>
    <n v="96.857142857142847"/>
    <n v="-5.4023106526834164E-3"/>
    <n v="9"/>
    <m/>
    <s v="Mahua BMC"/>
    <m/>
    <n v="0"/>
  </r>
  <r>
    <s v="Munger"/>
    <s v="03-09 Jul"/>
    <n v="1061"/>
    <s v="Mahua BMC"/>
    <x v="869"/>
    <s v="GOMUKH CHEHRAKALA"/>
    <s v="MPG"/>
    <s v="Direct"/>
    <n v="303.70000000000005"/>
    <n v="13874.440000000002"/>
    <n v="324.29999999999995"/>
    <n v="15613.94"/>
    <n v="0"/>
    <n v="0"/>
    <n v="324.29999999999995"/>
    <n v="15613.94"/>
    <n v="13874.440000000002"/>
    <n v="0"/>
    <n v="0"/>
    <n v="1739.4999999999982"/>
    <n v="0"/>
    <n v="0"/>
    <n v="0"/>
    <n v="13874"/>
    <n v="0"/>
    <n v="0"/>
    <n v="0"/>
    <s v="Release3"/>
    <n v="362.09684372736251"/>
    <n v="43.385714285714293"/>
    <n v="-0.12537442952652489"/>
    <n v="8"/>
    <m/>
    <s v="Mahua BMC"/>
    <m/>
    <n v="0"/>
  </r>
  <r>
    <s v="Munger"/>
    <s v="03-09 Jul"/>
    <n v="1061"/>
    <s v="Mahua BMC"/>
    <x v="870"/>
    <s v="GOMUKH KHAJECHAND"/>
    <s v="MPG"/>
    <s v="Direct"/>
    <n v="255.8"/>
    <n v="10180.999999999998"/>
    <n v="259"/>
    <n v="10421.119999999999"/>
    <n v="0"/>
    <n v="0"/>
    <n v="259"/>
    <n v="10421.119999999999"/>
    <n v="10180.999999999998"/>
    <n v="0"/>
    <n v="0"/>
    <n v="240.1200000000008"/>
    <n v="0"/>
    <n v="0"/>
    <n v="0"/>
    <n v="10181"/>
    <n v="0"/>
    <n v="0"/>
    <n v="0"/>
    <n v="0"/>
    <n v="353.58875684128219"/>
    <n v="36.542857142857144"/>
    <n v="-2.3585109517729186E-2"/>
    <n v="3"/>
    <m/>
    <s v="Mahua BMC"/>
    <m/>
    <n v="0"/>
  </r>
  <r>
    <s v="Munger"/>
    <s v="03-09 Jul"/>
    <n v="1061"/>
    <s v="Mahua BMC"/>
    <x v="871"/>
    <s v="GOMUKH SALEMPUR"/>
    <s v="MPG"/>
    <s v="Direct"/>
    <n v="350.2"/>
    <n v="15476.45"/>
    <n v="344.40000000000003"/>
    <n v="15639.17"/>
    <n v="7.8000000000000007"/>
    <n v="337.17000000000007"/>
    <n v="352.20000000000005"/>
    <n v="15976.34"/>
    <n v="15476.45"/>
    <n v="0"/>
    <n v="337.17000000000007"/>
    <n v="499.88999999999942"/>
    <n v="0"/>
    <n v="0"/>
    <n v="0"/>
    <n v="15139"/>
    <n v="0"/>
    <n v="0"/>
    <n v="0"/>
    <n v="0"/>
    <n v="309.17545459737295"/>
    <n v="50.028571428571425"/>
    <n v="-3.2300042968510183E-2"/>
    <n v="9"/>
    <m/>
    <s v="Mahua BMC"/>
    <m/>
    <n v="0"/>
  </r>
  <r>
    <s v="Munger"/>
    <s v="03-09 Jul"/>
    <n v="1061"/>
    <s v="Mahua BMC"/>
    <x v="872"/>
    <s v="Gomukh Paharpur"/>
    <s v="MPG"/>
    <s v="Direct"/>
    <n v="799.69999999999982"/>
    <n v="37268.949999999997"/>
    <n v="840"/>
    <n v="37735.490000000005"/>
    <n v="0"/>
    <n v="0"/>
    <n v="840"/>
    <n v="37735.490000000005"/>
    <n v="37268.949999999997"/>
    <n v="0"/>
    <n v="0"/>
    <n v="466.54000000000815"/>
    <n v="0"/>
    <n v="0"/>
    <n v="0"/>
    <n v="37269"/>
    <n v="0"/>
    <n v="0"/>
    <n v="0"/>
    <n v="0"/>
    <n v="0"/>
    <n v="0"/>
    <n v="-1.2518195441513866E-2"/>
    <n v="3"/>
    <m/>
    <s v="Mahua BMC"/>
    <m/>
    <n v="0"/>
  </r>
  <r>
    <s v="Munger"/>
    <s v="03-09 Jul"/>
    <n v="1061"/>
    <s v="Mahua BMC"/>
    <x v="873"/>
    <s v="GOMUKH PREMRAJ"/>
    <s v="MPG"/>
    <s v="Direct"/>
    <n v="400.8"/>
    <n v="19679.11"/>
    <n v="403.1"/>
    <n v="19456.98"/>
    <n v="0"/>
    <n v="0"/>
    <n v="403.1"/>
    <n v="19456.98"/>
    <n v="19456.98"/>
    <n v="0"/>
    <n v="0"/>
    <n v="0"/>
    <n v="0"/>
    <n v="0"/>
    <n v="0"/>
    <n v="19456"/>
    <n v="0"/>
    <n v="0"/>
    <n v="223"/>
    <n v="0"/>
    <n v="293.81186187624752"/>
    <n v="57.25714285714286"/>
    <n v="1.1287603961764583E-2"/>
    <n v="11"/>
    <m/>
    <s v="Mahua BMC"/>
    <m/>
    <n v="0"/>
  </r>
  <r>
    <s v="Munger"/>
    <s v="03-09 Jul"/>
    <n v="1061"/>
    <s v="Mahua BMC"/>
    <x v="874"/>
    <s v="GOMUKH GANGATI"/>
    <s v="MPG"/>
    <s v="Direct"/>
    <n v="406"/>
    <n v="19735.05"/>
    <n v="421.50000000000006"/>
    <n v="19095.47"/>
    <n v="0"/>
    <n v="0"/>
    <n v="421.50000000000006"/>
    <n v="19095.47"/>
    <n v="19095.47"/>
    <n v="0"/>
    <n v="0"/>
    <n v="0"/>
    <n v="0"/>
    <n v="0"/>
    <n v="0"/>
    <n v="19096"/>
    <n v="0"/>
    <n v="0"/>
    <n v="639"/>
    <n v="0"/>
    <n v="285.81796551724142"/>
    <n v="58"/>
    <n v="3.2408329342970915E-2"/>
    <n v="3"/>
    <m/>
    <s v="Mahua BMC"/>
    <m/>
    <n v="0"/>
  </r>
  <r>
    <s v="Munger"/>
    <s v="03-09 Jul"/>
    <n v="1061"/>
    <s v="Mahua BMC"/>
    <x v="875"/>
    <s v="GOMUKH Khanpatti"/>
    <s v="MPG"/>
    <s v="Direct"/>
    <n v="1221.9000000000003"/>
    <n v="56818.35"/>
    <n v="1232.8"/>
    <n v="56380.869999999995"/>
    <n v="12.599999999999998"/>
    <n v="562.64"/>
    <n v="1245.3999999999999"/>
    <n v="56943.509999999995"/>
    <n v="56818.35"/>
    <n v="0"/>
    <n v="562.64"/>
    <n v="125.15999999999622"/>
    <n v="2336"/>
    <n v="0"/>
    <n v="0"/>
    <n v="53920"/>
    <n v="0"/>
    <n v="0"/>
    <n v="0"/>
    <s v="Release1"/>
    <n v="0"/>
    <n v="0"/>
    <n v="-2.2028094796838738E-3"/>
    <n v="31"/>
    <m/>
    <s v="Mahua BMC"/>
    <m/>
    <n v="0"/>
  </r>
  <r>
    <s v="Munger"/>
    <s v="03-09 Jul"/>
    <n v="1061"/>
    <s v="Mahua BMC"/>
    <x v="876"/>
    <s v="GOMUKH Bhagwatpur"/>
    <s v="MPG"/>
    <s v="Direct"/>
    <n v="504.90000000000003"/>
    <n v="25349.68"/>
    <n v="531.1"/>
    <n v="25425.720000000005"/>
    <n v="0"/>
    <n v="0"/>
    <n v="531.1"/>
    <n v="25425.720000000005"/>
    <n v="25349.68"/>
    <n v="0"/>
    <n v="0"/>
    <n v="76.040000000004511"/>
    <n v="0"/>
    <n v="0"/>
    <n v="0"/>
    <n v="25350"/>
    <n v="0"/>
    <n v="0"/>
    <n v="0"/>
    <n v="0"/>
    <n v="195.90899457318278"/>
    <n v="72.128571428571433"/>
    <n v="-2.999643388003498E-3"/>
    <n v="14"/>
    <m/>
    <s v="Mahua BMC"/>
    <m/>
    <n v="0"/>
  </r>
  <r>
    <s v="Munger"/>
    <s v="03-09 Jul"/>
    <n v="1061"/>
    <s v="Mahua BMC"/>
    <x v="877"/>
    <s v="GOMUKH JIRWARA"/>
    <s v="vlc"/>
    <s v="Indirect"/>
    <n v="287.79999999999995"/>
    <n v="11321.1"/>
    <n v="0"/>
    <n v="0"/>
    <n v="0"/>
    <n v="0"/>
    <n v="0"/>
    <n v="0"/>
    <n v="11321.1"/>
    <n v="0"/>
    <n v="0"/>
    <n v="0"/>
    <n v="0"/>
    <n v="0"/>
    <n v="0"/>
    <n v="0"/>
    <n v="0"/>
    <n v="11321.1"/>
    <n v="0"/>
    <n v="0"/>
    <n v="324.29169006254358"/>
    <n v="41.114285714285707"/>
    <n v="0"/>
    <n v="0"/>
    <m/>
    <s v="Mahua BMC"/>
    <m/>
    <n v="0"/>
  </r>
  <r>
    <s v="Munger"/>
    <s v="03-09 Jul"/>
    <n v="1061"/>
    <s v="Mahua BMC"/>
    <x v="878"/>
    <s v="GOMUKH Karhatiya"/>
    <s v="vlc"/>
    <s v="Indirect"/>
    <n v="170.20000000000002"/>
    <n v="6109.5999999999985"/>
    <n v="0"/>
    <n v="0"/>
    <n v="0"/>
    <n v="0"/>
    <n v="0"/>
    <n v="0"/>
    <n v="6109.5999999999985"/>
    <n v="0"/>
    <n v="0"/>
    <n v="0"/>
    <n v="0"/>
    <n v="0"/>
    <n v="0"/>
    <n v="0"/>
    <n v="0"/>
    <n v="6109.5999999999985"/>
    <n v="0"/>
    <n v="0"/>
    <n v="380.36029142185652"/>
    <n v="24.314285714285717"/>
    <n v="0"/>
    <n v="0"/>
    <m/>
    <s v="Mahua BMC"/>
    <m/>
    <n v="0"/>
  </r>
  <r>
    <s v="Munger"/>
    <s v="03-09 Jul"/>
    <n v="1061"/>
    <s v="Mahua BMC"/>
    <x v="879"/>
    <s v="GOMUKH Bheraukhara"/>
    <s v="MPG"/>
    <s v="Direct"/>
    <n v="179.9"/>
    <n v="7850.82"/>
    <n v="180.5"/>
    <n v="8108.4100000000008"/>
    <n v="0"/>
    <n v="0"/>
    <n v="180.5"/>
    <n v="8108.4100000000008"/>
    <n v="7850.82"/>
    <n v="0"/>
    <n v="0"/>
    <n v="257.59000000000106"/>
    <n v="0"/>
    <n v="0"/>
    <n v="0"/>
    <n v="7851"/>
    <n v="0"/>
    <n v="0"/>
    <n v="0"/>
    <s v="Release3"/>
    <n v="453.94235486381325"/>
    <n v="25.7"/>
    <n v="-3.2810585391080303E-2"/>
    <n v="9"/>
    <m/>
    <s v="Mahua BMC"/>
    <m/>
    <n v="0"/>
  </r>
  <r>
    <s v="Munger"/>
    <s v="03-09 Jul"/>
    <n v="1061"/>
    <s v="Mahua BMC"/>
    <x v="880"/>
    <s v="GOMUKH SUPOLTARIYA"/>
    <s v="MPG"/>
    <s v="Direct"/>
    <n v="487.9"/>
    <n v="22139.389999999996"/>
    <n v="433.59999999999997"/>
    <n v="19033.62"/>
    <n v="95"/>
    <n v="4306.55"/>
    <n v="528.59999999999991"/>
    <n v="23340.17"/>
    <n v="22139.389999999996"/>
    <n v="0"/>
    <n v="0"/>
    <n v="1200.7800000000025"/>
    <n v="201"/>
    <n v="0"/>
    <n v="0"/>
    <n v="17632"/>
    <n v="4306"/>
    <n v="0"/>
    <n v="0"/>
    <s v="Release1"/>
    <n v="192.48881406025819"/>
    <n v="69.7"/>
    <n v="-5.4237266699760145E-2"/>
    <n v="15"/>
    <m/>
    <s v="Mahua BMC"/>
    <m/>
    <n v="0"/>
  </r>
  <r>
    <s v="Munger"/>
    <s v="03-09 Jul"/>
    <n v="1061"/>
    <s v="Mahua BMC"/>
    <x v="881"/>
    <s v="GOMUKH Shravanapatti"/>
    <s v="MPG"/>
    <s v="Direct"/>
    <n v="97.800000000000026"/>
    <n v="5008"/>
    <n v="101.2"/>
    <n v="5410.5599999999995"/>
    <n v="0"/>
    <n v="0"/>
    <n v="101.2"/>
    <n v="5410.5599999999995"/>
    <n v="5008"/>
    <n v="0"/>
    <n v="0"/>
    <n v="402.55999999999949"/>
    <n v="0"/>
    <n v="0"/>
    <n v="0"/>
    <n v="5008"/>
    <n v="0"/>
    <n v="0"/>
    <n v="0"/>
    <n v="0"/>
    <n v="616.731615541922"/>
    <n v="13.971428571428575"/>
    <n v="-8.038338658146954E-2"/>
    <n v="5"/>
    <m/>
    <s v="Mahua BMC"/>
    <m/>
    <n v="0"/>
  </r>
  <r>
    <s v="Munger"/>
    <s v="03-09 Jul"/>
    <n v="1061"/>
    <s v="Mahua BMC"/>
    <x v="882"/>
    <s v="GOMUKH Jilwara"/>
    <s v="MPG"/>
    <s v="Direct"/>
    <n v="349.3"/>
    <n v="15116.710000000001"/>
    <n v="349.9"/>
    <n v="14847.090000000002"/>
    <n v="0"/>
    <n v="0"/>
    <n v="349.9"/>
    <n v="14847.090000000002"/>
    <n v="14847.090000000002"/>
    <n v="0"/>
    <n v="0"/>
    <n v="0"/>
    <n v="1400"/>
    <n v="0"/>
    <n v="0"/>
    <n v="13446"/>
    <n v="0"/>
    <n v="0"/>
    <n v="271"/>
    <s v="Release1"/>
    <n v="303.54596032064131"/>
    <n v="49.9"/>
    <n v="1.7835891539891877E-2"/>
    <n v="11"/>
    <m/>
    <s v="Mahua BMC"/>
    <m/>
    <n v="0"/>
  </r>
  <r>
    <s v="Munger"/>
    <s v="03-09 Jul"/>
    <n v="1061"/>
    <s v="Mahua BMC"/>
    <x v="883"/>
    <s v="GOMUKH ABBUCHAK"/>
    <s v="MPG"/>
    <s v="Direct"/>
    <n v="194.50000000000003"/>
    <n v="10124.84"/>
    <n v="201.29999999999998"/>
    <n v="10324.199999999999"/>
    <n v="0"/>
    <n v="0"/>
    <n v="201.29999999999998"/>
    <n v="10324.199999999999"/>
    <n v="10124.84"/>
    <n v="0"/>
    <n v="0"/>
    <n v="199.35999999999876"/>
    <n v="0"/>
    <n v="0"/>
    <n v="0"/>
    <n v="10125"/>
    <n v="0"/>
    <n v="0"/>
    <n v="0"/>
    <n v="0"/>
    <n v="526.28345706940866"/>
    <n v="27.785714285714288"/>
    <n v="-1.9690187696793111E-2"/>
    <n v="4"/>
    <m/>
    <s v="Mahua BMC"/>
    <m/>
    <n v="0"/>
  </r>
  <r>
    <s v="Munger"/>
    <s v="03-09 Jul"/>
    <n v="1061"/>
    <s v="Mahua BMC"/>
    <x v="884"/>
    <s v="GOMUKH KAILA JALALPUR"/>
    <s v="MPG"/>
    <s v="Direct"/>
    <n v="335.2"/>
    <n v="13393.4"/>
    <n v="331.29999999999995"/>
    <n v="13239.73"/>
    <n v="5"/>
    <n v="188.02"/>
    <n v="336.29999999999995"/>
    <n v="13427.75"/>
    <n v="13393.4"/>
    <n v="0"/>
    <n v="188.02"/>
    <n v="34.350000000000364"/>
    <n v="0"/>
    <n v="0"/>
    <n v="0"/>
    <n v="13205"/>
    <n v="0"/>
    <n v="0"/>
    <n v="0"/>
    <s v="Release3"/>
    <n v="291.52221479713609"/>
    <n v="47.885714285714286"/>
    <n v="-2.5646960443203642E-3"/>
    <n v="9"/>
    <m/>
    <s v="Mahua BMC"/>
    <m/>
    <n v="0"/>
  </r>
  <r>
    <s v="Munger"/>
    <s v="03-09 Jul"/>
    <n v="1061"/>
    <s v="Mahua BMC"/>
    <x v="885"/>
    <s v="Gomukh Dumari"/>
    <s v="vlc"/>
    <s v="Indirect"/>
    <n v="14.6"/>
    <n v="580.95000000000005"/>
    <n v="0"/>
    <n v="0"/>
    <n v="0"/>
    <n v="0"/>
    <n v="0"/>
    <n v="0"/>
    <n v="580.95000000000005"/>
    <n v="0"/>
    <n v="0"/>
    <n v="0"/>
    <n v="0"/>
    <n v="0"/>
    <n v="0"/>
    <n v="0"/>
    <n v="0"/>
    <n v="580.95000000000005"/>
    <n v="0"/>
    <n v="0"/>
    <n v="545.45634246575344"/>
    <n v="2.0857142857142859"/>
    <n v="0"/>
    <n v="0"/>
    <m/>
    <s v="Mahua BMC"/>
    <m/>
    <n v="0"/>
  </r>
  <r>
    <s v="Munger"/>
    <s v="03-09 Jul"/>
    <n v="1061"/>
    <s v="Mahua BMC"/>
    <x v="886"/>
    <s v="Gomukh Jhitkahi East"/>
    <s v="MPG"/>
    <s v="Direct"/>
    <n v="155.1"/>
    <n v="8696.73"/>
    <n v="150.30000000000001"/>
    <n v="8614.75"/>
    <n v="0"/>
    <n v="0"/>
    <n v="150.30000000000001"/>
    <n v="8614.75"/>
    <n v="8614.75"/>
    <n v="0"/>
    <n v="0"/>
    <n v="0"/>
    <n v="0"/>
    <n v="0"/>
    <n v="0"/>
    <n v="8614"/>
    <n v="0"/>
    <n v="0"/>
    <n v="83"/>
    <n v="0"/>
    <n v="611.07004216634425"/>
    <n v="22.157142857142855"/>
    <n v="9.4265315814104338E-3"/>
    <n v="8"/>
    <m/>
    <s v="Mahua BMC"/>
    <m/>
    <n v="0"/>
  </r>
  <r>
    <s v="Munger"/>
    <s v="03-09 Jul"/>
    <n v="1061"/>
    <s v="Mahua BMC"/>
    <x v="887"/>
    <s v="GOMUKH UPHRAUL"/>
    <s v="vlc"/>
    <s v="Indirect"/>
    <n v="1614.7000000000003"/>
    <n v="63420"/>
    <n v="0"/>
    <n v="0"/>
    <n v="0"/>
    <n v="0"/>
    <n v="0"/>
    <n v="0"/>
    <n v="63420"/>
    <n v="0"/>
    <n v="0"/>
    <n v="0"/>
    <n v="0"/>
    <n v="0"/>
    <n v="0"/>
    <n v="0"/>
    <n v="0"/>
    <n v="63420"/>
    <n v="0"/>
    <n v="0"/>
    <n v="0"/>
    <n v="0"/>
    <n v="0"/>
    <n v="0"/>
    <m/>
    <s v="Mahua BMC"/>
    <m/>
    <n v="0"/>
  </r>
  <r>
    <s v="Munger"/>
    <s v="03-09 Jul"/>
    <n v="1061"/>
    <s v="Mahua BMC"/>
    <x v="888"/>
    <s v="GOMUKH SHERPUR"/>
    <s v="vlc"/>
    <s v="Indirect"/>
    <n v="233.10000000000002"/>
    <n v="9214.83"/>
    <n v="0"/>
    <n v="0"/>
    <n v="0"/>
    <n v="0"/>
    <n v="0"/>
    <n v="0"/>
    <n v="9214.83"/>
    <n v="0"/>
    <n v="0"/>
    <n v="0"/>
    <n v="0"/>
    <n v="0"/>
    <n v="0"/>
    <n v="0"/>
    <n v="0"/>
    <n v="9214.83"/>
    <n v="0"/>
    <n v="0"/>
    <n v="369.14664324324309"/>
    <n v="33.300000000000004"/>
    <n v="0"/>
    <n v="0"/>
    <m/>
    <s v="Mahua BMC"/>
    <m/>
    <n v="0"/>
  </r>
  <r>
    <s v="Munger"/>
    <s v="03-09 Jul"/>
    <n v="1061"/>
    <s v="Mahua BMC"/>
    <x v="889"/>
    <s v="GOMUKH GARAHI"/>
    <s v="vlc"/>
    <s v="Indirect"/>
    <n v="441.3"/>
    <n v="14115.54"/>
    <n v="0"/>
    <n v="0"/>
    <n v="0"/>
    <n v="0"/>
    <n v="0"/>
    <n v="0"/>
    <n v="14115.54"/>
    <n v="0"/>
    <n v="0"/>
    <n v="0"/>
    <n v="0"/>
    <n v="0"/>
    <n v="0"/>
    <n v="0"/>
    <n v="0"/>
    <n v="14115.54"/>
    <n v="0"/>
    <n v="0"/>
    <n v="165.49694983004761"/>
    <n v="63.042857142857144"/>
    <n v="0"/>
    <n v="0"/>
    <m/>
    <s v="Mahua BMC"/>
    <m/>
    <n v="0"/>
  </r>
  <r>
    <s v="Munger"/>
    <s v="03-09 Jul"/>
    <n v="1061"/>
    <s v="Mahua BMC"/>
    <x v="890"/>
    <s v="GOMUKH BAIKUNTHPUR"/>
    <s v="vlc"/>
    <s v="Indirect"/>
    <n v="306.7"/>
    <n v="11516.719999999998"/>
    <n v="0"/>
    <n v="0"/>
    <n v="0"/>
    <n v="0"/>
    <n v="0"/>
    <n v="0"/>
    <n v="11516.719999999998"/>
    <n v="0"/>
    <n v="0"/>
    <n v="0"/>
    <n v="0"/>
    <n v="0"/>
    <n v="0"/>
    <n v="0"/>
    <n v="0"/>
    <n v="11516.719999999998"/>
    <n v="0"/>
    <n v="0"/>
    <n v="295.37176237365503"/>
    <n v="43.81428571428571"/>
    <n v="0"/>
    <n v="0"/>
    <m/>
    <s v="Mahua BMC"/>
    <m/>
    <n v="0"/>
  </r>
  <r>
    <s v="Munger"/>
    <s v="03-09 Jul"/>
    <n v="1061"/>
    <s v="Mahua BMC"/>
    <x v="891"/>
    <s v="GOMUKH BAHASHI"/>
    <s v="vlc"/>
    <s v="Indirect"/>
    <n v="781.1"/>
    <n v="30234.379999999997"/>
    <n v="0"/>
    <n v="0"/>
    <n v="0"/>
    <n v="0"/>
    <n v="0"/>
    <n v="0"/>
    <n v="30234.379999999997"/>
    <n v="0"/>
    <n v="0"/>
    <n v="0"/>
    <n v="0"/>
    <n v="0"/>
    <n v="0"/>
    <n v="0"/>
    <n v="0"/>
    <n v="30234.379999999997"/>
    <n v="0"/>
    <n v="0"/>
    <n v="0"/>
    <n v="0"/>
    <n v="0"/>
    <n v="0"/>
    <m/>
    <s v="Mahua BMC"/>
    <m/>
    <n v="0"/>
  </r>
  <r>
    <s v="Munger"/>
    <s v="03-09 Jul"/>
    <n v="1061"/>
    <s v="Mahua BMC"/>
    <x v="892"/>
    <s v="GOMUKH RUSULPUR GANGATI"/>
    <s v="vlc"/>
    <s v="Indirect"/>
    <n v="19.299999999999997"/>
    <n v="733.58"/>
    <n v="0"/>
    <n v="0"/>
    <n v="0"/>
    <n v="0"/>
    <n v="0"/>
    <n v="0"/>
    <n v="733.58"/>
    <n v="0"/>
    <n v="0"/>
    <n v="0"/>
    <n v="0"/>
    <n v="0"/>
    <n v="0"/>
    <n v="0"/>
    <n v="0"/>
    <n v="733.58"/>
    <n v="0"/>
    <n v="0"/>
    <n v="517.45896994818668"/>
    <n v="2.7571428571428567"/>
    <n v="0"/>
    <n v="0"/>
    <m/>
    <s v="Mahua BMC"/>
    <m/>
    <n v="0"/>
  </r>
  <r>
    <s v="Munger"/>
    <s v="03-09 Jul"/>
    <n v="1061"/>
    <s v="Mahua BMC"/>
    <x v="893"/>
    <s v="GOMUKH KHARIKA"/>
    <s v="vlc"/>
    <s v="Indirect"/>
    <n v="801.19999999999993"/>
    <n v="31139.600000000006"/>
    <n v="0"/>
    <n v="0"/>
    <n v="0"/>
    <n v="0"/>
    <n v="0"/>
    <n v="0"/>
    <n v="31139.600000000006"/>
    <n v="0"/>
    <n v="0"/>
    <n v="0"/>
    <n v="0"/>
    <n v="0"/>
    <n v="0"/>
    <n v="0"/>
    <n v="0"/>
    <n v="31139.600000000006"/>
    <n v="0"/>
    <n v="0"/>
    <n v="0"/>
    <n v="0"/>
    <n v="0"/>
    <n v="0"/>
    <m/>
    <s v="Mahua BMC"/>
    <m/>
    <n v="0"/>
  </r>
  <r>
    <s v="Munger"/>
    <s v="03-09 Jul"/>
    <n v="1061"/>
    <s v="Mahua BMC"/>
    <x v="894"/>
    <s v="GOMUKH KALYANPUR"/>
    <s v="vlc"/>
    <s v="Indirect"/>
    <n v="189.79999999999998"/>
    <n v="7422.95"/>
    <n v="0"/>
    <n v="0"/>
    <n v="0"/>
    <n v="0"/>
    <n v="0"/>
    <n v="0"/>
    <n v="7422.95"/>
    <n v="0"/>
    <n v="0"/>
    <n v="0"/>
    <n v="0"/>
    <n v="0"/>
    <n v="0"/>
    <n v="0"/>
    <n v="0"/>
    <n v="7422.95"/>
    <n v="0"/>
    <n v="0"/>
    <n v="399.07155848261328"/>
    <n v="27.11428571428571"/>
    <n v="0"/>
    <n v="0"/>
    <m/>
    <s v="Mahua BMC"/>
    <m/>
    <n v="0"/>
  </r>
  <r>
    <s v="Munger"/>
    <s v="03-09 Jul"/>
    <n v="1061"/>
    <s v="Mahua BMC"/>
    <x v="895"/>
    <s v="GOMUKH SARMASTPUR"/>
    <s v="vlc"/>
    <s v="Indirect"/>
    <n v="69.8"/>
    <n v="2668.74"/>
    <n v="0"/>
    <n v="0"/>
    <n v="0"/>
    <n v="0"/>
    <n v="0"/>
    <n v="0"/>
    <n v="2668.74"/>
    <n v="0"/>
    <n v="0"/>
    <n v="0"/>
    <n v="0"/>
    <n v="0"/>
    <n v="0"/>
    <n v="0"/>
    <n v="0"/>
    <n v="2668.74"/>
    <n v="0"/>
    <n v="0"/>
    <n v="481.90256389684811"/>
    <n v="9.9714285714285715"/>
    <n v="0"/>
    <n v="0"/>
    <m/>
    <s v="Mahua BMC"/>
    <m/>
    <n v="0"/>
  </r>
  <r>
    <s v="Munger"/>
    <s v="03-09 Jul"/>
    <n v="1061"/>
    <s v="Mahua BMC"/>
    <x v="896"/>
    <s v="GOMUKH HARPUR RAJESH"/>
    <s v="vlc"/>
    <s v="Indirect"/>
    <n v="439.1"/>
    <n v="18176.39"/>
    <n v="0"/>
    <n v="0"/>
    <n v="0"/>
    <n v="0"/>
    <n v="0"/>
    <n v="0"/>
    <n v="18176.39"/>
    <n v="0"/>
    <n v="0"/>
    <n v="0"/>
    <n v="0"/>
    <n v="0"/>
    <n v="0"/>
    <n v="0"/>
    <n v="0"/>
    <n v="18176.39"/>
    <n v="0"/>
    <n v="0"/>
    <n v="215.99727401503071"/>
    <n v="62.728571428571435"/>
    <n v="0"/>
    <n v="0"/>
    <m/>
    <s v="Mahua BMC"/>
    <m/>
    <n v="0"/>
  </r>
  <r>
    <s v="Munger"/>
    <s v="03-09 Jul"/>
    <n v="1061"/>
    <s v="Mahua BMC"/>
    <x v="897"/>
    <s v="GOMUKH SANICHAR HATT"/>
    <s v="vlc"/>
    <s v="Indirect"/>
    <n v="75.8"/>
    <n v="3051.04"/>
    <n v="0"/>
    <n v="0"/>
    <n v="0"/>
    <n v="0"/>
    <n v="0"/>
    <n v="0"/>
    <n v="3051.04"/>
    <n v="0"/>
    <n v="0"/>
    <n v="0"/>
    <n v="0"/>
    <n v="0"/>
    <n v="0"/>
    <n v="0"/>
    <n v="0"/>
    <n v="3051.04"/>
    <n v="0"/>
    <n v="0"/>
    <n v="502.49582269129291"/>
    <n v="10.828571428571427"/>
    <n v="0"/>
    <n v="0"/>
    <m/>
    <s v="Mahua BMC"/>
    <m/>
    <n v="0"/>
  </r>
  <r>
    <s v="Munger"/>
    <s v="03-09 Jul"/>
    <n v="1061"/>
    <s v="Mahua BMC"/>
    <x v="898"/>
    <s v="GOMUKH SAHARIYA"/>
    <s v="vlc"/>
    <s v="Indirect"/>
    <n v="927.30000000000007"/>
    <n v="39201.679999999993"/>
    <n v="0"/>
    <n v="0"/>
    <n v="0"/>
    <n v="0"/>
    <n v="0"/>
    <n v="0"/>
    <n v="39201.679999999993"/>
    <n v="0"/>
    <n v="0"/>
    <n v="0"/>
    <n v="0"/>
    <n v="0"/>
    <n v="0"/>
    <n v="0"/>
    <n v="0"/>
    <n v="39201.679999999993"/>
    <n v="0"/>
    <n v="0"/>
    <n v="0"/>
    <n v="0"/>
    <n v="0"/>
    <n v="0"/>
    <m/>
    <s v="Mahua BMC"/>
    <m/>
    <n v="0"/>
  </r>
  <r>
    <s v="Munger"/>
    <s v="03-09 Jul"/>
    <n v="1061"/>
    <s v="Mahua BMC"/>
    <x v="899"/>
    <s v="GOMUKH TAJPUR BUZURG"/>
    <s v="MPG"/>
    <s v="Direct"/>
    <n v="486"/>
    <n v="19592.939999999999"/>
    <n v="491.6"/>
    <n v="19674.660000000003"/>
    <n v="0"/>
    <n v="0"/>
    <n v="491.6"/>
    <n v="19674.660000000003"/>
    <n v="19592.939999999999"/>
    <n v="0"/>
    <n v="0"/>
    <n v="81.720000000004802"/>
    <n v="0"/>
    <n v="0"/>
    <n v="0"/>
    <n v="19593"/>
    <n v="0"/>
    <n v="0"/>
    <n v="0"/>
    <n v="0"/>
    <n v="172.54687901234567"/>
    <n v="69.428571428571431"/>
    <n v="-4.1708901267499829E-3"/>
    <n v="4"/>
    <m/>
    <s v="Mahua BMC"/>
    <m/>
    <n v="0"/>
  </r>
  <r>
    <s v="Munger"/>
    <s v="03-09 Jul"/>
    <n v="1061"/>
    <s v="Mahua BMC"/>
    <x v="900"/>
    <s v="GOMUKH PAITRAPUR"/>
    <s v="MPG"/>
    <s v="Direct"/>
    <n v="208.00000000000003"/>
    <n v="9955.9999999999964"/>
    <n v="187.5"/>
    <n v="8607.6800000000021"/>
    <n v="26.9"/>
    <n v="1634.9700000000003"/>
    <n v="214.4"/>
    <n v="10242.650000000001"/>
    <n v="9955.9999999999964"/>
    <n v="0"/>
    <n v="0"/>
    <n v="286.65000000000509"/>
    <n v="1400"/>
    <n v="0"/>
    <n v="0"/>
    <n v="6921"/>
    <n v="1635"/>
    <n v="0"/>
    <n v="0"/>
    <s v="Release1"/>
    <n v="470.99538461538435"/>
    <n v="29.714285714285719"/>
    <n v="-2.8791683406991283E-2"/>
    <n v="11"/>
    <m/>
    <s v="Mahua BMC"/>
    <m/>
    <n v="0"/>
  </r>
  <r>
    <s v="Munger"/>
    <s v="03-09 Jul"/>
    <n v="1061"/>
    <s v="Mahua BMC"/>
    <x v="901"/>
    <s v="GOMUKH JAI MATA DI MILK CENTER"/>
    <s v="vlc"/>
    <s v="Indirect"/>
    <n v="359.09999999999997"/>
    <n v="14510.97"/>
    <n v="0"/>
    <n v="0"/>
    <n v="0"/>
    <n v="0"/>
    <n v="0"/>
    <n v="0"/>
    <n v="14510.97"/>
    <n v="0"/>
    <n v="0"/>
    <n v="0"/>
    <n v="0"/>
    <n v="0"/>
    <n v="0"/>
    <n v="0"/>
    <n v="0"/>
    <n v="14510.97"/>
    <n v="0"/>
    <n v="0"/>
    <n v="275.51042456140351"/>
    <n v="51.3"/>
    <n v="0"/>
    <n v="0"/>
    <m/>
    <s v="Mahua BMC"/>
    <m/>
    <n v="0"/>
  </r>
  <r>
    <s v="Munger"/>
    <s v="03-09 Jul"/>
    <n v="1061"/>
    <s v="Mahua BMC"/>
    <x v="902"/>
    <s v="GOMUKH NEW GANGAJAL"/>
    <s v="vlc"/>
    <s v="Indirect"/>
    <n v="252.7"/>
    <n v="9706.0700000000015"/>
    <n v="0"/>
    <n v="0"/>
    <n v="0"/>
    <n v="0"/>
    <n v="0"/>
    <n v="0"/>
    <n v="9706.0700000000015"/>
    <n v="0"/>
    <n v="0"/>
    <n v="0"/>
    <n v="0"/>
    <n v="0"/>
    <n v="0"/>
    <n v="0"/>
    <n v="0"/>
    <n v="9706.0700000000015"/>
    <n v="0"/>
    <n v="0"/>
    <n v="343.6110099722992"/>
    <n v="36.1"/>
    <n v="0"/>
    <n v="0"/>
    <m/>
    <s v="Mahua BMC"/>
    <m/>
    <n v="0"/>
  </r>
  <r>
    <s v="Munger"/>
    <s v="03-09 Jul"/>
    <n v="1061"/>
    <s v="Mahua BMC"/>
    <x v="903"/>
    <s v="GOMUKH MANSURPUR HALAIYA"/>
    <s v="MPG"/>
    <s v="Direct"/>
    <n v="19.600000000000001"/>
    <n v="972.79"/>
    <n v="27"/>
    <n v="1356.0700000000002"/>
    <n v="0"/>
    <n v="0"/>
    <n v="27"/>
    <n v="1356.0700000000002"/>
    <n v="972.79"/>
    <n v="0"/>
    <n v="0"/>
    <n v="383.2800000000002"/>
    <n v="0"/>
    <n v="0"/>
    <n v="0"/>
    <n v="973"/>
    <n v="0"/>
    <n v="0"/>
    <n v="0"/>
    <n v="0"/>
    <n v="675.39419999999996"/>
    <n v="2.8000000000000003"/>
    <n v="-0.3940007606986094"/>
    <n v="3"/>
    <m/>
    <s v="Mahua BMC"/>
    <m/>
    <n v="0"/>
  </r>
  <r>
    <s v="Munger"/>
    <s v="03-09 Jul"/>
    <n v="1061"/>
    <s v="Mahua BMC"/>
    <x v="904"/>
    <s v="GOMUKH BAHJRANGI"/>
    <s v="vlc"/>
    <s v="Indirect"/>
    <n v="882.99999999999989"/>
    <n v="36329.39"/>
    <n v="0"/>
    <n v="0"/>
    <n v="0"/>
    <n v="0"/>
    <n v="0"/>
    <n v="0"/>
    <n v="36329.39"/>
    <n v="0"/>
    <n v="0"/>
    <n v="0"/>
    <n v="0"/>
    <n v="0"/>
    <n v="0"/>
    <n v="0"/>
    <n v="0"/>
    <n v="36329.39"/>
    <n v="0"/>
    <n v="0"/>
    <n v="0"/>
    <n v="0"/>
    <n v="0"/>
    <n v="0"/>
    <m/>
    <s v="Mahua BMC"/>
    <m/>
    <n v="0"/>
  </r>
  <r>
    <s v="Munger"/>
    <s v="03-09 Jul"/>
    <n v="1057"/>
    <s v="Warisnagar"/>
    <x v="905"/>
    <s v="Karua"/>
    <s v="MPG"/>
    <s v="Direct"/>
    <n v="198.10000000000002"/>
    <n v="8707.2999999999993"/>
    <n v="29.5"/>
    <n v="1285.29"/>
    <n v="170.89999999999998"/>
    <n v="7560.51"/>
    <n v="200.39999999999998"/>
    <n v="8845.7999999999993"/>
    <n v="8707.2999999999993"/>
    <n v="0"/>
    <n v="0"/>
    <n v="138.5"/>
    <n v="0"/>
    <n v="0"/>
    <n v="0"/>
    <n v="1147"/>
    <n v="7560"/>
    <n v="0"/>
    <n v="0"/>
    <n v="0"/>
    <n v="441.21089045936378"/>
    <n v="28.300000000000004"/>
    <n v="-1.5906193653601002E-2"/>
    <n v="10"/>
    <m/>
    <s v="Warisnagar"/>
    <m/>
    <n v="0"/>
  </r>
  <r>
    <s v="Munger"/>
    <s v="03-09 Jul"/>
    <n v="1063"/>
    <s v="Rosera"/>
    <x v="906"/>
    <s v="Erout"/>
    <s v="MPG"/>
    <s v="Direct"/>
    <n v="74.599999999999994"/>
    <n v="4457.6600000000008"/>
    <n v="75.099999999999994"/>
    <n v="4454.4799999999996"/>
    <n v="0"/>
    <n v="0"/>
    <n v="75.099999999999994"/>
    <n v="4454.4799999999996"/>
    <n v="4454.4799999999996"/>
    <n v="0"/>
    <n v="0"/>
    <n v="0"/>
    <n v="0"/>
    <n v="0"/>
    <n v="0"/>
    <n v="4456"/>
    <n v="0"/>
    <n v="0"/>
    <n v="2"/>
    <n v="0"/>
    <n v="747.40497694369992"/>
    <n v="10.657142857142857"/>
    <n v="7.1337876823292939E-4"/>
    <n v="5"/>
    <m/>
    <s v="Rosera"/>
    <m/>
    <n v="0"/>
  </r>
  <r>
    <s v="Munger"/>
    <s v="03-09 Jul"/>
    <n v="1063"/>
    <s v="Rosera"/>
    <x v="907"/>
    <s v="Murli"/>
    <s v="MPG"/>
    <s v="Direct"/>
    <n v="257.60000000000002"/>
    <n v="10731.32"/>
    <n v="258.99999999999989"/>
    <n v="10806.030000000002"/>
    <n v="0"/>
    <n v="0"/>
    <n v="258.99999999999989"/>
    <n v="10806.030000000002"/>
    <n v="10731.32"/>
    <n v="0"/>
    <n v="0"/>
    <n v="74.710000000002765"/>
    <n v="0"/>
    <n v="0"/>
    <n v="0"/>
    <n v="10731"/>
    <n v="0"/>
    <n v="0"/>
    <n v="0"/>
    <n v="0"/>
    <n v="368.59751304347827"/>
    <n v="36.800000000000004"/>
    <n v="-6.961864896396973E-3"/>
    <n v="6"/>
    <m/>
    <s v="Rosera"/>
    <m/>
    <n v="0"/>
  </r>
  <r>
    <s v="Munger"/>
    <s v="03-09 Jul"/>
    <n v="1063"/>
    <s v="Rosera"/>
    <x v="908"/>
    <s v="Raj Nagar"/>
    <s v="MPG"/>
    <s v="Direct"/>
    <n v="15.1"/>
    <n v="852.24"/>
    <n v="15.1"/>
    <n v="852.24"/>
    <n v="0"/>
    <n v="0"/>
    <n v="15.1"/>
    <n v="852.24"/>
    <n v="852.24"/>
    <n v="0"/>
    <n v="0"/>
    <n v="0"/>
    <n v="0"/>
    <n v="0"/>
    <n v="0"/>
    <n v="852"/>
    <n v="0"/>
    <n v="0"/>
    <n v="0"/>
    <n v="0"/>
    <n v="773.11149139072847"/>
    <n v="2.157142857142857"/>
    <n v="0"/>
    <n v="1"/>
    <m/>
    <s v="Rosera"/>
    <m/>
    <n v="0"/>
  </r>
  <r>
    <s v="Munger"/>
    <s v="03-09 Jul"/>
    <n v="1063"/>
    <s v="Rosera"/>
    <x v="909"/>
    <s v="Nauapokhar"/>
    <s v="MPG"/>
    <s v="Direct"/>
    <n v="1432.3999999999999"/>
    <n v="56551.209999999985"/>
    <n v="1271.4000000000001"/>
    <n v="56451.380000000005"/>
    <n v="1.0999999999999999"/>
    <n v="54.5"/>
    <n v="1272.5"/>
    <n v="56505.880000000005"/>
    <n v="56505.880000000005"/>
    <n v="0"/>
    <n v="54.5"/>
    <n v="0"/>
    <n v="0"/>
    <n v="0"/>
    <n v="0"/>
    <n v="56452"/>
    <n v="0"/>
    <n v="0"/>
    <n v="45"/>
    <n v="0"/>
    <n v="0"/>
    <n v="0"/>
    <n v="8.0157436065435078E-4"/>
    <n v="5"/>
    <m/>
    <s v="Rosera"/>
    <m/>
    <n v="0"/>
  </r>
  <r>
    <s v="Munger"/>
    <s v="03-09 Jul"/>
    <n v="1063"/>
    <s v="Rosera"/>
    <x v="910"/>
    <s v="Erout 2"/>
    <s v="vlc"/>
    <s v="Indirect"/>
    <n v="488.6"/>
    <n v="19248.32"/>
    <n v="0"/>
    <n v="0"/>
    <n v="0"/>
    <n v="0"/>
    <n v="0"/>
    <n v="0"/>
    <n v="19248.32"/>
    <n v="0"/>
    <n v="0"/>
    <n v="0"/>
    <n v="0"/>
    <n v="0"/>
    <n v="0"/>
    <n v="0"/>
    <n v="0"/>
    <n v="19248.32"/>
    <n v="0"/>
    <n v="0"/>
    <n v="166.56139369627508"/>
    <n v="69.8"/>
    <n v="0"/>
    <n v="0"/>
    <m/>
    <s v="Rosera"/>
    <m/>
    <n v="0"/>
  </r>
  <r>
    <s v="Munger"/>
    <s v="03-09 Jul"/>
    <n v="1063"/>
    <s v="Rosera"/>
    <x v="911"/>
    <s v="Parsuram"/>
    <s v="vlc"/>
    <s v="Indirect"/>
    <n v="126"/>
    <n v="3724.3"/>
    <n v="0"/>
    <n v="0"/>
    <n v="0"/>
    <n v="0"/>
    <n v="0"/>
    <n v="0"/>
    <n v="3724.3"/>
    <n v="0"/>
    <n v="0"/>
    <n v="0"/>
    <n v="0"/>
    <n v="0"/>
    <n v="0"/>
    <n v="0"/>
    <n v="0"/>
    <n v="3724.3"/>
    <n v="0"/>
    <n v="0"/>
    <n v="339.32511111111114"/>
    <n v="18"/>
    <n v="0"/>
    <n v="0"/>
    <m/>
    <s v="Rosera"/>
    <m/>
    <n v="0"/>
  </r>
  <r>
    <s v="Munger"/>
    <s v="03-09 Jul"/>
    <n v="1063"/>
    <s v="Rosera"/>
    <x v="912"/>
    <s v="Gudarghat"/>
    <s v="vlc"/>
    <s v="Indirect"/>
    <n v="163.30000000000001"/>
    <n v="6193.33"/>
    <n v="0"/>
    <n v="0"/>
    <n v="0"/>
    <n v="0"/>
    <n v="0"/>
    <n v="0"/>
    <n v="6193.33"/>
    <n v="0"/>
    <n v="0"/>
    <n v="0"/>
    <n v="0"/>
    <n v="0"/>
    <n v="0"/>
    <n v="0"/>
    <n v="0"/>
    <n v="6193.33"/>
    <n v="0"/>
    <n v="0"/>
    <n v="407.09861739130434"/>
    <n v="23.328571428571429"/>
    <n v="0"/>
    <n v="0"/>
    <m/>
    <s v="Rosera"/>
    <m/>
    <n v="0"/>
  </r>
  <r>
    <s v="Munger"/>
    <s v="03-09 Jul"/>
    <n v="1063"/>
    <s v="Rosera"/>
    <x v="913"/>
    <s v="Sedukha"/>
    <s v="MPG"/>
    <s v="Direct"/>
    <n v="378.00000000000006"/>
    <n v="14355.070000000003"/>
    <n v="350.70000000000005"/>
    <n v="14058.9"/>
    <n v="8"/>
    <n v="301.06"/>
    <n v="358.70000000000005"/>
    <n v="14359.96"/>
    <n v="14355.070000000003"/>
    <n v="0"/>
    <n v="301.06"/>
    <n v="4.8899999999957799"/>
    <n v="0"/>
    <n v="0"/>
    <n v="0"/>
    <n v="14054"/>
    <n v="0"/>
    <n v="0"/>
    <n v="0"/>
    <n v="0"/>
    <n v="244.56785925925925"/>
    <n v="54.000000000000007"/>
    <n v="-3.4064619677896232E-4"/>
    <n v="10"/>
    <m/>
    <s v="Rosera"/>
    <m/>
    <n v="0"/>
  </r>
  <r>
    <s v="Munger"/>
    <s v="03-09 Jul"/>
    <n v="1057"/>
    <s v="Warisnagar"/>
    <x v="914"/>
    <s v="Madhuban 2"/>
    <s v="vlc"/>
    <s v="Indirect"/>
    <n v="403.50000000000006"/>
    <n v="14965.410000000002"/>
    <n v="0"/>
    <n v="0"/>
    <n v="0"/>
    <n v="0"/>
    <n v="0"/>
    <n v="0"/>
    <n v="14965.410000000002"/>
    <n v="0"/>
    <n v="0"/>
    <n v="0"/>
    <n v="0"/>
    <n v="0"/>
    <n v="0"/>
    <n v="0"/>
    <n v="0"/>
    <n v="14965.410000000002"/>
    <n v="0"/>
    <n v="0"/>
    <n v="219.93774795539031"/>
    <n v="57.642857142857153"/>
    <n v="0"/>
    <n v="0"/>
    <m/>
    <s v="Warisnagar"/>
    <m/>
    <n v="0"/>
  </r>
  <r>
    <s v="Munger"/>
    <s v="03-09 Jul"/>
    <n v="1063"/>
    <s v="Rosera"/>
    <x v="915"/>
    <s v="Yadav Jee"/>
    <s v="vlc"/>
    <s v="Indirect"/>
    <n v="172"/>
    <n v="6339.18"/>
    <n v="0"/>
    <n v="0"/>
    <n v="0"/>
    <n v="0"/>
    <n v="0"/>
    <n v="0"/>
    <n v="6339.18"/>
    <n v="0"/>
    <n v="0"/>
    <n v="0"/>
    <n v="0"/>
    <n v="0"/>
    <n v="0"/>
    <n v="0"/>
    <n v="0"/>
    <n v="6339.18"/>
    <n v="0"/>
    <n v="0"/>
    <n v="389.19616744186055"/>
    <n v="24.571428571428573"/>
    <n v="0"/>
    <n v="0"/>
    <m/>
    <s v="Rosera"/>
    <m/>
    <n v="0"/>
  </r>
  <r>
    <s v="Munger"/>
    <s v="03-09 Jul"/>
    <n v="1063"/>
    <s v="Rosera"/>
    <x v="916"/>
    <s v="Durgaashtan 2"/>
    <s v="vlc"/>
    <s v="Indirect"/>
    <n v="1170.0999999999999"/>
    <n v="41355.67"/>
    <n v="0"/>
    <n v="0"/>
    <n v="0"/>
    <n v="0"/>
    <n v="0"/>
    <n v="0"/>
    <n v="41355.67"/>
    <n v="0"/>
    <n v="0"/>
    <n v="0"/>
    <n v="0"/>
    <n v="0"/>
    <n v="0"/>
    <n v="0"/>
    <n v="0"/>
    <n v="41355.67"/>
    <n v="0"/>
    <n v="0"/>
    <n v="0"/>
    <n v="0"/>
    <n v="0"/>
    <n v="0"/>
    <m/>
    <s v="Rosera"/>
    <m/>
    <n v="0"/>
  </r>
  <r>
    <s v="Munger"/>
    <s v="03-09 Jul"/>
    <n v="1063"/>
    <s v="Rosera"/>
    <x v="917"/>
    <s v="Durgaashtan "/>
    <s v="vlc"/>
    <s v="Indirect"/>
    <n v="1002.8"/>
    <n v="37400.410000000003"/>
    <n v="0"/>
    <n v="0"/>
    <n v="0"/>
    <n v="0"/>
    <n v="0"/>
    <n v="0"/>
    <n v="37400.410000000003"/>
    <n v="0"/>
    <n v="0"/>
    <n v="0"/>
    <n v="0"/>
    <n v="0"/>
    <n v="0"/>
    <n v="0"/>
    <n v="0"/>
    <n v="37400.410000000003"/>
    <n v="0"/>
    <n v="0"/>
    <n v="0"/>
    <n v="0"/>
    <n v="0"/>
    <n v="0"/>
    <m/>
    <s v="Rosera"/>
    <m/>
    <n v="0"/>
  </r>
  <r>
    <s v="Munger"/>
    <s v="03-09 Jul"/>
    <n v="1063"/>
    <s v="Rosera"/>
    <x v="918"/>
    <s v="Motipur"/>
    <s v="vlc"/>
    <s v="Indirect"/>
    <n v="387.2"/>
    <n v="13245.580000000002"/>
    <n v="0"/>
    <n v="0"/>
    <n v="0"/>
    <n v="0"/>
    <n v="0"/>
    <n v="0"/>
    <n v="13245.580000000002"/>
    <n v="0"/>
    <n v="0"/>
    <n v="0"/>
    <n v="0"/>
    <n v="0"/>
    <n v="0"/>
    <n v="0"/>
    <n v="0"/>
    <n v="13245.580000000002"/>
    <n v="0"/>
    <n v="0"/>
    <n v="214.00916446280993"/>
    <n v="55.31428571428571"/>
    <n v="0"/>
    <n v="0"/>
    <m/>
    <s v="Rosera"/>
    <m/>
    <n v="0"/>
  </r>
  <r>
    <s v="Munger"/>
    <s v="03-09 Jul"/>
    <n v="1063"/>
    <s v="Rosera"/>
    <x v="919"/>
    <s v="Haripur"/>
    <s v="MPG"/>
    <s v="Direct"/>
    <n v="149.79999999999998"/>
    <n v="5941.93"/>
    <n v="149.80000000000001"/>
    <n v="5975.52"/>
    <n v="0"/>
    <n v="0"/>
    <n v="149.80000000000001"/>
    <n v="5975.52"/>
    <n v="5941.93"/>
    <n v="0"/>
    <n v="0"/>
    <n v="33.590000000000146"/>
    <n v="0"/>
    <n v="0"/>
    <n v="0"/>
    <n v="5942"/>
    <n v="0"/>
    <n v="0"/>
    <n v="0"/>
    <n v="0"/>
    <n v="436.48196074766361"/>
    <n v="21.4"/>
    <n v="-5.6530453909756839E-3"/>
    <n v="1"/>
    <m/>
    <s v="Rosera"/>
    <m/>
    <n v="0"/>
  </r>
  <r>
    <s v="Munger"/>
    <s v="03-09 Jul"/>
    <n v="1063"/>
    <s v="Rosera"/>
    <x v="920"/>
    <s v="Jakhar"/>
    <s v="MPG"/>
    <s v="Indirect"/>
    <n v="248.5"/>
    <n v="8176.1200000000008"/>
    <n v="0"/>
    <n v="0"/>
    <n v="0"/>
    <n v="0"/>
    <n v="0"/>
    <n v="0"/>
    <n v="8176.1200000000008"/>
    <n v="0"/>
    <n v="0"/>
    <n v="0"/>
    <n v="0"/>
    <n v="0"/>
    <n v="0"/>
    <n v="0"/>
    <n v="0"/>
    <n v="8176.1200000000008"/>
    <n v="0"/>
    <n v="0"/>
    <n v="297.10407887323947"/>
    <n v="35.5"/>
    <n v="0"/>
    <n v="0"/>
    <m/>
    <s v="Rosera"/>
    <m/>
    <n v="0"/>
  </r>
  <r>
    <s v="Munger"/>
    <s v="03-09 Jul"/>
    <n v="1063"/>
    <s v="Rosera"/>
    <x v="921"/>
    <s v="Dhattha"/>
    <s v="vlc"/>
    <s v="Indirect"/>
    <n v="204.9"/>
    <n v="6907.0300000000007"/>
    <n v="0"/>
    <n v="0"/>
    <n v="0"/>
    <n v="0"/>
    <n v="0"/>
    <n v="0"/>
    <n v="6907.0300000000007"/>
    <n v="0"/>
    <n v="0"/>
    <n v="0"/>
    <n v="0"/>
    <n v="0"/>
    <n v="0"/>
    <n v="0"/>
    <n v="0"/>
    <n v="6907.0300000000007"/>
    <n v="0"/>
    <n v="0"/>
    <n v="333.78921942410932"/>
    <n v="29.271428571428572"/>
    <n v="0"/>
    <n v="0"/>
    <m/>
    <s v="Rosera"/>
    <m/>
    <n v="0"/>
  </r>
  <r>
    <s v="Munger"/>
    <s v="03-09 Jul"/>
    <n v="1063"/>
    <s v="Rosera"/>
    <x v="922"/>
    <s v="Jandaha"/>
    <s v="vlc"/>
    <s v="Indirect"/>
    <n v="29.299999999999997"/>
    <n v="1123.3699999999999"/>
    <n v="0"/>
    <n v="0"/>
    <n v="0"/>
    <n v="0"/>
    <n v="0"/>
    <n v="0"/>
    <n v="1123.3699999999999"/>
    <n v="0"/>
    <n v="0"/>
    <n v="0"/>
    <n v="0"/>
    <n v="0"/>
    <n v="0"/>
    <n v="0"/>
    <n v="0"/>
    <n v="1123.3699999999999"/>
    <n v="0"/>
    <n v="0"/>
    <n v="514.29642252559722"/>
    <n v="4.1857142857142851"/>
    <n v="0"/>
    <n v="0"/>
    <m/>
    <s v="Rosera"/>
    <m/>
    <n v="0"/>
  </r>
  <r>
    <s v="Munger"/>
    <s v="03-09 Jul"/>
    <n v="1063"/>
    <s v="Rosera"/>
    <x v="923"/>
    <s v="Bhoraha"/>
    <s v="vlc"/>
    <s v="Indirect"/>
    <n v="148.29999999999995"/>
    <n v="6334.4599999999991"/>
    <n v="0"/>
    <n v="0"/>
    <n v="0"/>
    <n v="0"/>
    <n v="0"/>
    <n v="0"/>
    <n v="6334.4599999999991"/>
    <n v="0"/>
    <n v="0"/>
    <n v="0"/>
    <n v="0"/>
    <n v="0"/>
    <n v="0"/>
    <n v="0"/>
    <n v="0"/>
    <n v="6334.4599999999991"/>
    <n v="0"/>
    <n v="0"/>
    <n v="471.30432663519906"/>
    <n v="21.18571428571428"/>
    <n v="0"/>
    <n v="0"/>
    <m/>
    <s v="Rosera"/>
    <m/>
    <n v="0"/>
  </r>
  <r>
    <s v="Munger"/>
    <s v="03-09 Jul"/>
    <n v="1063"/>
    <s v="Rosera"/>
    <x v="924"/>
    <s v="Shivnagar"/>
    <s v="vlc"/>
    <s v="Indirect"/>
    <n v="234"/>
    <n v="7664.64"/>
    <n v="0"/>
    <n v="0"/>
    <n v="0"/>
    <n v="0"/>
    <n v="0"/>
    <n v="0"/>
    <n v="7664.64"/>
    <n v="0"/>
    <n v="0"/>
    <n v="0"/>
    <n v="0"/>
    <n v="0"/>
    <n v="0"/>
    <n v="0"/>
    <n v="0"/>
    <n v="7664.64"/>
    <n v="0"/>
    <n v="0"/>
    <n v="305.27540512820514"/>
    <n v="33.428571428571431"/>
    <n v="0"/>
    <n v="0"/>
    <m/>
    <s v="Rosera"/>
    <m/>
    <n v="0"/>
  </r>
  <r>
    <s v="Munger"/>
    <s v="03-09 Jul"/>
    <n v="1063"/>
    <s v="Rosera"/>
    <x v="925"/>
    <s v="Baritha"/>
    <s v="vlc"/>
    <s v="Indirect"/>
    <n v="870.00000000000011"/>
    <n v="28830.590000000004"/>
    <n v="0"/>
    <n v="0"/>
    <n v="0"/>
    <n v="0"/>
    <n v="0"/>
    <n v="0"/>
    <n v="28830.590000000004"/>
    <n v="0"/>
    <n v="0"/>
    <n v="0"/>
    <n v="0"/>
    <n v="0"/>
    <n v="0"/>
    <n v="0"/>
    <n v="0"/>
    <n v="28830.590000000004"/>
    <n v="0"/>
    <n v="0"/>
    <n v="0"/>
    <n v="0"/>
    <n v="0"/>
    <n v="0"/>
    <m/>
    <s v="Rosera"/>
    <m/>
    <n v="0"/>
  </r>
  <r>
    <s v="Munger"/>
    <s v="03-09 Jul"/>
    <n v="1063"/>
    <s v="Rosera"/>
    <x v="926"/>
    <s v="Tolapur Erout"/>
    <s v="vlc"/>
    <s v="Indirect"/>
    <n v="421.89999999999992"/>
    <n v="13375.99"/>
    <n v="0"/>
    <n v="0"/>
    <n v="0"/>
    <n v="0"/>
    <n v="0"/>
    <n v="0"/>
    <n v="13375.99"/>
    <n v="0"/>
    <n v="0"/>
    <n v="0"/>
    <n v="0"/>
    <n v="0"/>
    <n v="0"/>
    <n v="0"/>
    <n v="0"/>
    <n v="13375.99"/>
    <n v="0"/>
    <n v="0"/>
    <n v="176.3386024650392"/>
    <n v="60.271428571428558"/>
    <n v="0"/>
    <n v="0"/>
    <m/>
    <s v="Rosera"/>
    <m/>
    <n v="0"/>
  </r>
  <r>
    <s v="Munger"/>
    <s v="03-09 Jul"/>
    <n v="1063"/>
    <s v="Rosera"/>
    <x v="927"/>
    <s v="Sunil Erout"/>
    <s v="vlc"/>
    <s v="Indirect"/>
    <n v="59.6"/>
    <n v="1887.8799999999999"/>
    <n v="0"/>
    <n v="0"/>
    <n v="0"/>
    <n v="0"/>
    <n v="0"/>
    <n v="0"/>
    <n v="1887.8799999999999"/>
    <n v="0"/>
    <n v="0"/>
    <n v="0"/>
    <n v="0"/>
    <n v="0"/>
    <n v="0"/>
    <n v="0"/>
    <n v="0"/>
    <n v="1887.8799999999999"/>
    <n v="0"/>
    <n v="0"/>
    <n v="405.70414496644293"/>
    <n v="8.5142857142857142"/>
    <n v="0"/>
    <n v="0"/>
    <m/>
    <s v="Rosera"/>
    <m/>
    <n v="0"/>
  </r>
  <r>
    <s v="Munger"/>
    <s v="03-09 Jul"/>
    <n v="1062"/>
    <s v="Singhia BMC"/>
    <x v="928"/>
    <s v="DUMRA "/>
    <s v="MPG"/>
    <s v="Direct"/>
    <n v="1159"/>
    <n v="48056.6"/>
    <n v="1163.1000000000004"/>
    <n v="46995.029999999992"/>
    <n v="0"/>
    <n v="0"/>
    <n v="1163.1000000000004"/>
    <n v="46995.029999999992"/>
    <n v="46995.029999999992"/>
    <n v="0"/>
    <n v="0"/>
    <n v="0"/>
    <n v="0"/>
    <n v="0"/>
    <n v="0"/>
    <n v="46995"/>
    <n v="0"/>
    <n v="0"/>
    <n v="1062"/>
    <n v="0"/>
    <n v="0"/>
    <n v="0"/>
    <n v="2.2089993882214037E-2"/>
    <n v="5"/>
    <m/>
    <s v="Singhia BMC"/>
    <m/>
    <n v="0"/>
  </r>
  <r>
    <s v="Munger"/>
    <s v="03-09 Jul"/>
    <n v="1062"/>
    <s v="Singhia BMC"/>
    <x v="929"/>
    <s v="BALHA"/>
    <s v="MPG"/>
    <s v="Direct"/>
    <n v="1664.02"/>
    <n v="73573.78"/>
    <n v="1671.4999999999995"/>
    <n v="72830.150000000023"/>
    <n v="16.799999999999997"/>
    <n v="735.20999999999981"/>
    <n v="1688.2999999999995"/>
    <n v="73565.36000000003"/>
    <n v="73565.36000000003"/>
    <n v="0"/>
    <n v="735.20999999999981"/>
    <n v="0"/>
    <n v="0"/>
    <n v="0"/>
    <n v="0"/>
    <n v="72829"/>
    <n v="0"/>
    <n v="0"/>
    <n v="10"/>
    <n v="0"/>
    <n v="0"/>
    <n v="0"/>
    <n v="1.1444294421149966E-4"/>
    <n v="24"/>
    <m/>
    <s v="Singhia BMC"/>
    <m/>
    <n v="0"/>
  </r>
  <r>
    <s v="Munger"/>
    <s v="03-09 Jul"/>
    <n v="1062"/>
    <s v="Singhia BMC"/>
    <x v="930"/>
    <s v="BARA"/>
    <s v="MPG"/>
    <s v="Direct"/>
    <n v="148.31"/>
    <n v="6324.12"/>
    <n v="146.5"/>
    <n v="6246.0700000000006"/>
    <n v="1.2"/>
    <n v="51.809999999999995"/>
    <n v="147.69999999999999"/>
    <n v="6297.880000000001"/>
    <n v="6297.880000000001"/>
    <n v="0"/>
    <n v="51.809999999999995"/>
    <n v="0"/>
    <n v="0"/>
    <n v="0"/>
    <n v="0"/>
    <n v="6246"/>
    <n v="0"/>
    <n v="0"/>
    <n v="26"/>
    <n v="0"/>
    <n v="470.49474247184946"/>
    <n v="21.187142857142856"/>
    <n v="4.149193879938849E-3"/>
    <n v="2"/>
    <m/>
    <s v="Singhia BMC"/>
    <m/>
    <n v="0"/>
  </r>
  <r>
    <s v="Munger"/>
    <s v="03-09 Jul"/>
    <n v="1062"/>
    <s v="Singhia BMC"/>
    <x v="931"/>
    <s v="KABILASHI"/>
    <s v="MPG"/>
    <s v="Direct"/>
    <n v="246.49999999999997"/>
    <n v="12213.829999999998"/>
    <n v="252.70000000000002"/>
    <n v="12805.219999999998"/>
    <n v="6.1"/>
    <n v="347.09999999999997"/>
    <n v="258.8"/>
    <n v="13152.319999999998"/>
    <n v="12213.829999999998"/>
    <n v="0"/>
    <n v="347.09999999999997"/>
    <n v="938.48999999999978"/>
    <n v="0"/>
    <n v="0"/>
    <n v="0"/>
    <n v="11867"/>
    <n v="0"/>
    <n v="0"/>
    <n v="0"/>
    <n v="0"/>
    <n v="449.40948519269779"/>
    <n v="35.214285714285708"/>
    <n v="-7.6838305429173318E-2"/>
    <n v="8"/>
    <m/>
    <s v="Singhia BMC"/>
    <m/>
    <n v="0"/>
  </r>
  <r>
    <s v="Munger"/>
    <s v="03-09 Jul"/>
    <n v="1062"/>
    <s v="Singhia BMC"/>
    <x v="932"/>
    <s v="SULTANPUR"/>
    <s v="vlc"/>
    <s v="Indirect"/>
    <n v="159.14000000000001"/>
    <n v="7315.6600000000008"/>
    <n v="0"/>
    <n v="0"/>
    <n v="0"/>
    <n v="0"/>
    <n v="0"/>
    <n v="0"/>
    <n v="7315.6600000000008"/>
    <n v="0"/>
    <n v="0"/>
    <n v="0"/>
    <n v="0"/>
    <n v="0"/>
    <n v="0"/>
    <n v="0"/>
    <n v="0"/>
    <n v="7315.6600000000008"/>
    <n v="0"/>
    <n v="0"/>
    <n v="497.26628975744637"/>
    <n v="22.734285714285715"/>
    <n v="0"/>
    <n v="0"/>
    <m/>
    <s v="Singhia BMC"/>
    <m/>
    <n v="0"/>
  </r>
  <r>
    <s v="Munger"/>
    <s v="03-09 Jul"/>
    <n v="1062"/>
    <s v="Singhia BMC"/>
    <x v="933"/>
    <s v="BHUSNA"/>
    <s v="MPG"/>
    <s v="Direct"/>
    <n v="149.67999999999998"/>
    <n v="6505.54"/>
    <n v="149.10000000000002"/>
    <n v="6477.43"/>
    <n v="0"/>
    <n v="0"/>
    <n v="149.10000000000002"/>
    <n v="6477.43"/>
    <n v="6477.43"/>
    <n v="0"/>
    <n v="0"/>
    <n v="0"/>
    <n v="0"/>
    <n v="0"/>
    <n v="0"/>
    <n v="6477"/>
    <n v="0"/>
    <n v="0"/>
    <n v="29"/>
    <n v="0"/>
    <n v="478.37102789951899"/>
    <n v="21.382857142857141"/>
    <n v="4.3209326205049343E-3"/>
    <n v="1"/>
    <m/>
    <s v="Singhia BMC"/>
    <m/>
    <n v="0"/>
  </r>
  <r>
    <s v="Munger"/>
    <s v="03-09 Jul"/>
    <n v="1062"/>
    <s v="Singhia BMC"/>
    <x v="934"/>
    <s v="SUKUMARPUR"/>
    <s v="MPG"/>
    <s v="Direct"/>
    <n v="242.95000000000002"/>
    <n v="12056.23"/>
    <n v="240.29999999999995"/>
    <n v="11924.63"/>
    <n v="0"/>
    <n v="0"/>
    <n v="240.29999999999995"/>
    <n v="11924.63"/>
    <n v="11924.63"/>
    <n v="0"/>
    <n v="0"/>
    <n v="0"/>
    <n v="0"/>
    <n v="0"/>
    <n v="0"/>
    <n v="11925"/>
    <n v="0"/>
    <n v="0"/>
    <n v="131"/>
    <n v="0"/>
    <n v="453.61596390203744"/>
    <n v="34.707142857142863"/>
    <n v="1.0915518366852686E-2"/>
    <n v="1"/>
    <m/>
    <s v="Singhia BMC"/>
    <m/>
    <n v="0"/>
  </r>
  <r>
    <s v="Munger"/>
    <s v="03-09 Jul"/>
    <n v="1062"/>
    <s v="Singhia BMC"/>
    <x v="935"/>
    <s v="SISAUNA VLC"/>
    <s v="vlc"/>
    <s v="Indirect"/>
    <n v="281"/>
    <n v="11424.529999999999"/>
    <n v="0"/>
    <n v="0"/>
    <n v="0"/>
    <n v="0"/>
    <n v="0"/>
    <n v="0"/>
    <n v="11424.529999999999"/>
    <n v="0"/>
    <n v="0"/>
    <n v="0"/>
    <n v="0"/>
    <n v="0"/>
    <n v="0"/>
    <n v="0"/>
    <n v="0"/>
    <n v="11424.529999999999"/>
    <n v="0"/>
    <n v="0"/>
    <n v="340.70306548042703"/>
    <n v="40.142857142857146"/>
    <n v="0"/>
    <n v="0"/>
    <m/>
    <s v="Singhia BMC"/>
    <m/>
    <n v="0"/>
  </r>
  <r>
    <s v="Munger"/>
    <s v="03-09 Jul"/>
    <n v="1062"/>
    <s v="Singhia BMC"/>
    <x v="936"/>
    <s v="Aditya Bishwas "/>
    <s v="vlc"/>
    <s v="Indirect"/>
    <n v="222.17000000000002"/>
    <n v="10771.500000000002"/>
    <n v="0"/>
    <n v="0"/>
    <n v="0"/>
    <n v="0"/>
    <n v="0"/>
    <n v="0"/>
    <n v="10771.500000000002"/>
    <n v="0"/>
    <n v="0"/>
    <n v="0"/>
    <n v="0"/>
    <n v="0"/>
    <n v="0"/>
    <n v="0"/>
    <n v="0"/>
    <n v="10771.500000000002"/>
    <n v="0"/>
    <n v="0"/>
    <n v="463.33400954224243"/>
    <n v="31.738571428571429"/>
    <n v="0"/>
    <n v="0"/>
    <m/>
    <s v="Singhia BMC"/>
    <m/>
    <n v="0"/>
  </r>
  <r>
    <s v="Munger"/>
    <s v="03-09 Jul"/>
    <n v="1065"/>
    <s v="Bachhwara BMC"/>
    <x v="937"/>
    <s v="Gomukh Vijaiya"/>
    <s v="MPG"/>
    <s v="Direct"/>
    <n v="334.70000000000005"/>
    <n v="13641.85"/>
    <n v="333.69999999999993"/>
    <n v="14517.5"/>
    <n v="0"/>
    <n v="0"/>
    <n v="333.69999999999993"/>
    <n v="14517.5"/>
    <n v="13641.85"/>
    <n v="0"/>
    <n v="0"/>
    <n v="875.64999999999964"/>
    <n v="0"/>
    <n v="0"/>
    <n v="0"/>
    <n v="13642"/>
    <n v="0"/>
    <n v="0"/>
    <n v="0"/>
    <n v="0"/>
    <n v="297.78116552136231"/>
    <n v="47.814285714285724"/>
    <n v="-6.4188508156884858E-2"/>
    <n v="3"/>
    <m/>
    <s v="Bachhwara BMC"/>
    <m/>
    <n v="0"/>
  </r>
  <r>
    <s v="Munger"/>
    <s v="03-09 Jul"/>
    <n v="1065"/>
    <s v="Bachhwara BMC"/>
    <x v="938"/>
    <s v="Gomukh Gangauli"/>
    <s v="MPG"/>
    <s v="Direct"/>
    <n v="1157.5"/>
    <n v="48374.189999999995"/>
    <n v="1169.3"/>
    <n v="49125.63"/>
    <n v="0"/>
    <n v="0"/>
    <n v="1169.3"/>
    <n v="49125.63"/>
    <n v="48374.189999999995"/>
    <n v="0"/>
    <n v="0"/>
    <n v="751.44000000000233"/>
    <n v="0"/>
    <n v="0"/>
    <n v="0"/>
    <n v="48374"/>
    <n v="0"/>
    <n v="0"/>
    <n v="0"/>
    <n v="0"/>
    <n v="0"/>
    <n v="0"/>
    <n v="-1.5533903513423221E-2"/>
    <n v="21"/>
    <m/>
    <s v="Bachhwara BMC"/>
    <m/>
    <n v="0"/>
  </r>
  <r>
    <s v="Munger"/>
    <s v="03-09 Jul"/>
    <n v="1065"/>
    <s v="Bachhwara BMC"/>
    <x v="939"/>
    <s v="Gomukh KARRAKH"/>
    <s v="MPG"/>
    <s v="Direct"/>
    <n v="600.19999999999993"/>
    <n v="23296.390000000003"/>
    <n v="356.90000000000009"/>
    <n v="14667.759999999997"/>
    <n v="248.60000000000002"/>
    <n v="9653.7099999999991"/>
    <n v="605.50000000000011"/>
    <n v="24321.469999999994"/>
    <n v="23296.390000000003"/>
    <n v="0"/>
    <n v="0"/>
    <n v="1025.0799999999908"/>
    <n v="0"/>
    <n v="0"/>
    <n v="0"/>
    <n v="13642"/>
    <n v="9654"/>
    <n v="0"/>
    <n v="0"/>
    <n v="0"/>
    <n v="77.473499566811142"/>
    <n v="85.742857142857133"/>
    <n v="-4.4001667211099688E-2"/>
    <n v="7"/>
    <m/>
    <s v="Bachhwara BMC"/>
    <m/>
    <n v="0"/>
  </r>
  <r>
    <s v="Munger"/>
    <s v="03-09 Jul"/>
    <n v="1065"/>
    <s v="Bachhwara BMC"/>
    <x v="940"/>
    <s v="HAWASPUR"/>
    <s v="vlc"/>
    <s v="Indirect"/>
    <n v="14.7"/>
    <n v="563.65000000000009"/>
    <n v="0"/>
    <n v="0"/>
    <n v="0"/>
    <n v="0"/>
    <n v="0"/>
    <n v="0"/>
    <n v="563.65000000000009"/>
    <n v="0"/>
    <n v="0"/>
    <n v="0"/>
    <n v="0"/>
    <n v="0"/>
    <n v="0"/>
    <n v="0"/>
    <n v="0"/>
    <n v="563.65000000000009"/>
    <n v="0"/>
    <n v="0"/>
    <n v="525.53652380952394"/>
    <n v="2.1"/>
    <n v="0"/>
    <n v="0"/>
    <m/>
    <s v="Bachhwara BMC"/>
    <m/>
    <n v="0"/>
  </r>
  <r>
    <s v="Munger"/>
    <s v="03-09 Jul"/>
    <n v="1065"/>
    <s v="Bachhwara BMC"/>
    <x v="941"/>
    <s v="Gomukh Manda"/>
    <s v="MPG"/>
    <s v="Direct"/>
    <n v="611.80000000000007"/>
    <n v="24516.680000000004"/>
    <n v="602.6"/>
    <n v="25384.97"/>
    <n v="0"/>
    <n v="0"/>
    <n v="602.6"/>
    <n v="25384.97"/>
    <n v="24516.680000000004"/>
    <n v="0"/>
    <n v="0"/>
    <n v="868.28999999999724"/>
    <n v="0"/>
    <n v="0"/>
    <n v="0"/>
    <n v="24517"/>
    <n v="0"/>
    <n v="0"/>
    <n v="0"/>
    <n v="0"/>
    <n v="70.688825629290591"/>
    <n v="87.4"/>
    <n v="-3.5416296170606994E-2"/>
    <n v="9"/>
    <m/>
    <s v="Bachhwara BMC"/>
    <m/>
    <n v="0"/>
  </r>
  <r>
    <s v="Munger"/>
    <s v="03-09 Jul"/>
    <n v="1065"/>
    <s v="Bachhwara BMC"/>
    <x v="942"/>
    <s v="Gomukh NAVTOL"/>
    <s v="MPG"/>
    <s v="Direct"/>
    <n v="326.7"/>
    <n v="12342.320000000002"/>
    <n v="343.99999999999994"/>
    <n v="12272.869999999999"/>
    <n v="0"/>
    <n v="0"/>
    <n v="343.99999999999994"/>
    <n v="12272.869999999999"/>
    <n v="12272.869999999999"/>
    <n v="0"/>
    <n v="0"/>
    <n v="0"/>
    <n v="0"/>
    <n v="0"/>
    <n v="0"/>
    <n v="12273"/>
    <n v="0"/>
    <n v="0"/>
    <n v="69"/>
    <n v="0"/>
    <n v="282.0562017753291"/>
    <n v="46.671428571428571"/>
    <n v="5.6269809889876897E-3"/>
    <n v="3"/>
    <m/>
    <s v="Bachhwara BMC"/>
    <m/>
    <n v="0"/>
  </r>
  <r>
    <s v="Munger"/>
    <s v="03-09 Jul"/>
    <n v="1065"/>
    <s v="Bachhwara BMC"/>
    <x v="943"/>
    <s v="Gomukh BACHHWARA"/>
    <s v="MPG"/>
    <s v="Direct"/>
    <n v="165.1"/>
    <n v="6183.41"/>
    <n v="206.39999999999998"/>
    <n v="6855.82"/>
    <n v="0"/>
    <n v="0"/>
    <n v="206.39999999999998"/>
    <n v="6855.82"/>
    <n v="6183.41"/>
    <n v="0"/>
    <n v="0"/>
    <n v="672.40999999999985"/>
    <n v="0"/>
    <n v="0"/>
    <n v="0"/>
    <n v="6183"/>
    <n v="0"/>
    <n v="0"/>
    <n v="0"/>
    <n v="0"/>
    <n v="400.66699079345847"/>
    <n v="23.585714285714285"/>
    <n v="-0.10874420424975861"/>
    <n v="1"/>
    <m/>
    <s v="Bachhwara BMC"/>
    <m/>
    <n v="0"/>
  </r>
  <r>
    <s v="Munger"/>
    <s v="03-09 Jul"/>
    <n v="1065"/>
    <s v="Bachhwara BMC"/>
    <x v="944"/>
    <s v="Gomukh KASTOLI"/>
    <s v="MPG"/>
    <s v="Direct"/>
    <n v="238.79999999999998"/>
    <n v="9090.7599999999984"/>
    <n v="113.50000000000003"/>
    <n v="4493.59"/>
    <n v="129.89999999999998"/>
    <n v="4673.2900000000009"/>
    <n v="243.4"/>
    <n v="9166.880000000001"/>
    <n v="9090.7599999999984"/>
    <n v="0"/>
    <n v="0"/>
    <n v="76.120000000002619"/>
    <n v="0"/>
    <n v="0"/>
    <n v="0"/>
    <n v="4418"/>
    <n v="4673"/>
    <n v="0"/>
    <n v="0"/>
    <n v="0"/>
    <n v="351.14392897822438"/>
    <n v="34.114285714285714"/>
    <n v="-8.3733373227323823E-3"/>
    <n v="6"/>
    <m/>
    <s v="Bachhwara BMC"/>
    <m/>
    <n v="0"/>
  </r>
  <r>
    <s v="Munger"/>
    <s v="03-09 Jul"/>
    <n v="1065"/>
    <s v="Bachhwara BMC"/>
    <x v="945"/>
    <s v="GANPATI DAIRY"/>
    <s v="vlc"/>
    <s v="Indirect"/>
    <n v="798.70000000000027"/>
    <n v="32076.66"/>
    <n v="0"/>
    <n v="0"/>
    <n v="0"/>
    <n v="0"/>
    <n v="0"/>
    <n v="0"/>
    <n v="32076.66"/>
    <n v="0"/>
    <n v="0"/>
    <n v="0"/>
    <n v="0"/>
    <n v="0"/>
    <n v="0"/>
    <n v="0"/>
    <n v="0"/>
    <n v="32076.66"/>
    <n v="0"/>
    <n v="0"/>
    <n v="0"/>
    <n v="0"/>
    <n v="0"/>
    <n v="0"/>
    <m/>
    <s v="Bachhwara BMC"/>
    <m/>
    <n v="0"/>
  </r>
  <r>
    <s v="Munger"/>
    <s v="03-09 Jul"/>
    <n v="1066"/>
    <s v="Gaighat"/>
    <x v="946"/>
    <s v="GOMUKH CHATAUNA W-2"/>
    <s v="MPG"/>
    <s v="Direct"/>
    <n v="623.15"/>
    <n v="32721.929999999997"/>
    <n v="622.29999999999995"/>
    <n v="33179.229999999996"/>
    <n v="0"/>
    <n v="0"/>
    <n v="622.29999999999995"/>
    <n v="33179.229999999996"/>
    <n v="32721.929999999997"/>
    <n v="0"/>
    <n v="0"/>
    <n v="457.29999999999927"/>
    <n v="0"/>
    <n v="0"/>
    <n v="0"/>
    <n v="32722"/>
    <n v="0"/>
    <n v="0"/>
    <n v="0"/>
    <n v="0"/>
    <n v="80.708667913022524"/>
    <n v="89.021428571428572"/>
    <n v="-1.3975337029325572E-2"/>
    <n v="5"/>
    <m/>
    <s v="Gaighat"/>
    <m/>
    <n v="0"/>
  </r>
  <r>
    <s v="Munger"/>
    <s v="03-09 Jul"/>
    <n v="1066"/>
    <s v="Gaighat"/>
    <x v="947"/>
    <s v="GOMUKH TEERA JATMALPUR"/>
    <s v="MPG"/>
    <s v="Direct"/>
    <n v="364.25999999999993"/>
    <n v="16446.93"/>
    <n v="355.9"/>
    <n v="16352.96"/>
    <n v="8.7999999999999989"/>
    <n v="390.9"/>
    <n v="364.7"/>
    <n v="16743.86"/>
    <n v="16446.93"/>
    <n v="0"/>
    <n v="390.9"/>
    <n v="296.93000000000029"/>
    <n v="0"/>
    <n v="0"/>
    <n v="0"/>
    <n v="16056"/>
    <n v="0"/>
    <n v="0"/>
    <n v="0"/>
    <n v="0"/>
    <n v="303.18411454455622"/>
    <n v="52.037142857142847"/>
    <n v="-1.8053825242765689E-2"/>
    <n v="8"/>
    <m/>
    <s v="Gaighat"/>
    <m/>
    <n v="0"/>
  </r>
  <r>
    <s v="Munger"/>
    <s v="03-09 Jul"/>
    <n v="1066"/>
    <s v="Gaighat"/>
    <x v="948"/>
    <s v="GOMUKH GOBARSITTHA"/>
    <s v="MPG"/>
    <s v="Direct"/>
    <n v="597.05999999999995"/>
    <n v="25494.799999999999"/>
    <n v="584.09999999999991"/>
    <n v="25343.980000000003"/>
    <n v="9.6"/>
    <n v="416.19"/>
    <n v="593.69999999999993"/>
    <n v="25760.170000000002"/>
    <n v="25494.799999999999"/>
    <n v="0"/>
    <n v="416.19"/>
    <n v="265.37000000000262"/>
    <n v="0"/>
    <n v="0"/>
    <n v="0"/>
    <n v="25079"/>
    <n v="0"/>
    <n v="0"/>
    <n v="0"/>
    <n v="0"/>
    <n v="87.91192550162468"/>
    <n v="85.294285714285706"/>
    <n v="-1.0408789243296775E-2"/>
    <n v="19"/>
    <m/>
    <s v="Gaighat"/>
    <m/>
    <n v="0"/>
  </r>
  <r>
    <s v="Munger"/>
    <s v="03-09 Jul"/>
    <n v="1066"/>
    <s v="Gaighat"/>
    <x v="949"/>
    <s v="GOMUKH UGHRA"/>
    <s v="MPG"/>
    <s v="Direct"/>
    <n v="565.79000000000008"/>
    <n v="27046.829999999998"/>
    <n v="552.6"/>
    <n v="28029.609999999997"/>
    <n v="7.1000000000000014"/>
    <n v="401.99999999999994"/>
    <n v="559.70000000000005"/>
    <n v="28431.609999999997"/>
    <n v="27046.829999999998"/>
    <n v="0"/>
    <n v="401.99999999999994"/>
    <n v="1384.7799999999988"/>
    <n v="0"/>
    <n v="0"/>
    <n v="0"/>
    <n v="26645"/>
    <n v="0"/>
    <n v="0"/>
    <n v="0"/>
    <n v="0"/>
    <n v="128.31457092914314"/>
    <n v="80.827142857142874"/>
    <n v="-5.1199345727392043E-2"/>
    <n v="17"/>
    <m/>
    <s v="Gaighat"/>
    <m/>
    <n v="0"/>
  </r>
  <r>
    <s v="Munger"/>
    <s v="03-09 Jul"/>
    <n v="1066"/>
    <s v="Gaighat"/>
    <x v="950"/>
    <s v="GOMUKH BALUAHA"/>
    <s v="MPG"/>
    <s v="Direct"/>
    <n v="314.50999999999993"/>
    <n v="14028.900000000001"/>
    <n v="301.7"/>
    <n v="11927.84"/>
    <n v="6.2000000000000011"/>
    <n v="242.89999999999998"/>
    <n v="307.89999999999998"/>
    <n v="12170.74"/>
    <n v="12170.74"/>
    <n v="0"/>
    <n v="242.89999999999998"/>
    <n v="0"/>
    <n v="0"/>
    <n v="0"/>
    <n v="0"/>
    <n v="11929"/>
    <n v="0"/>
    <n v="0"/>
    <n v="1857"/>
    <n v="0"/>
    <n v="343.9000770086804"/>
    <n v="44.929999999999993"/>
    <n v="0.13245229490551658"/>
    <n v="13"/>
    <m/>
    <s v="Gaighat"/>
    <m/>
    <n v="0"/>
  </r>
  <r>
    <s v="Munger"/>
    <s v="03-09 Jul"/>
    <n v="1066"/>
    <s v="Gaighat"/>
    <x v="951"/>
    <s v="GOMUKH DHAB WEST"/>
    <s v="vlc"/>
    <s v="Indirect"/>
    <n v="138.72999999999999"/>
    <n v="5295.85"/>
    <n v="0"/>
    <n v="0"/>
    <n v="0"/>
    <n v="0"/>
    <n v="0"/>
    <n v="0"/>
    <n v="5295.85"/>
    <n v="0"/>
    <n v="0"/>
    <n v="0"/>
    <n v="0"/>
    <n v="0"/>
    <n v="0"/>
    <n v="0"/>
    <n v="0"/>
    <n v="5295.85"/>
    <n v="0"/>
    <n v="0"/>
    <n v="428.5160714337203"/>
    <n v="19.818571428571428"/>
    <n v="0"/>
    <n v="0"/>
    <m/>
    <s v="Gaighat"/>
    <m/>
    <n v="0"/>
  </r>
  <r>
    <s v="Munger"/>
    <s v="03-09 Jul"/>
    <n v="1066"/>
    <s v="Gaighat"/>
    <x v="952"/>
    <s v="GOMUKH HAYAGHAT WEST"/>
    <s v="vlc"/>
    <s v="Indirect"/>
    <n v="1835.47"/>
    <n v="71624.039999999994"/>
    <n v="0"/>
    <n v="0"/>
    <n v="0"/>
    <n v="0"/>
    <n v="0"/>
    <n v="0"/>
    <n v="71624.039999999994"/>
    <n v="0"/>
    <n v="0"/>
    <n v="0"/>
    <n v="0"/>
    <n v="0"/>
    <n v="0"/>
    <n v="0"/>
    <n v="0"/>
    <n v="71624.039999999994"/>
    <n v="0"/>
    <n v="0"/>
    <n v="0"/>
    <n v="0"/>
    <n v="0"/>
    <n v="0"/>
    <m/>
    <s v="Gaighat"/>
    <m/>
    <n v="0"/>
  </r>
  <r>
    <s v="Munger"/>
    <s v="03-09 Jul"/>
    <n v="1066"/>
    <s v="Gaighat"/>
    <x v="953"/>
    <s v="GOMUKH GHOGHARAHA"/>
    <s v="vlc"/>
    <s v="Indirect"/>
    <n v="1033.8600000000001"/>
    <n v="43334.45"/>
    <n v="0"/>
    <n v="0"/>
    <n v="0"/>
    <n v="0"/>
    <n v="0"/>
    <n v="0"/>
    <n v="43334.45"/>
    <n v="0"/>
    <n v="0"/>
    <n v="0"/>
    <n v="0"/>
    <n v="0"/>
    <n v="0"/>
    <n v="0"/>
    <n v="0"/>
    <n v="43334.45"/>
    <n v="0"/>
    <n v="0"/>
    <n v="0"/>
    <n v="0"/>
    <n v="0"/>
    <n v="0"/>
    <m/>
    <s v="Gaighat"/>
    <m/>
    <n v="0"/>
  </r>
  <r>
    <s v="Munger"/>
    <s v="03-09 Jul"/>
    <n v="1066"/>
    <s v="Gaighat"/>
    <x v="954"/>
    <s v="Gomukh Jatmalpur Dhab"/>
    <s v="vlc"/>
    <s v="Indirect"/>
    <n v="9.01"/>
    <n v="626.47"/>
    <n v="0"/>
    <n v="0"/>
    <n v="0"/>
    <n v="0"/>
    <n v="0"/>
    <n v="0"/>
    <n v="626.47"/>
    <n v="0"/>
    <n v="0"/>
    <n v="0"/>
    <n v="0"/>
    <n v="0"/>
    <n v="0"/>
    <n v="0"/>
    <n v="0"/>
    <n v="626.47"/>
    <n v="0"/>
    <n v="0"/>
    <n v="960.8979029966705"/>
    <n v="1.2871428571428571"/>
    <n v="0"/>
    <n v="0"/>
    <m/>
    <s v="Gaighat"/>
    <m/>
    <n v="0"/>
  </r>
  <r>
    <s v="Munger"/>
    <s v="03-09 Jul"/>
    <n v="1066"/>
    <s v="Gaighat"/>
    <x v="955"/>
    <s v="GOMUKH MORWARA"/>
    <s v="MPG"/>
    <s v="Direct"/>
    <n v="270.54999999999995"/>
    <n v="11245.740000000002"/>
    <n v="269.64"/>
    <n v="11284.739999999998"/>
    <n v="0"/>
    <n v="0"/>
    <n v="269.64"/>
    <n v="11284.739999999998"/>
    <n v="11245.740000000002"/>
    <n v="0"/>
    <n v="0"/>
    <n v="38.999999999996362"/>
    <n v="0"/>
    <n v="0"/>
    <n v="0"/>
    <n v="11246"/>
    <n v="0"/>
    <n v="0"/>
    <n v="0"/>
    <n v="0"/>
    <n v="357.01223751617096"/>
    <n v="38.649999999999991"/>
    <n v="-3.4679798750456934E-3"/>
    <n v="3"/>
    <m/>
    <s v="Gaighat"/>
    <m/>
    <n v="0"/>
  </r>
  <r>
    <s v="Munger"/>
    <s v="03-09 Jul"/>
    <n v="1066"/>
    <s v="Gaighat"/>
    <x v="956"/>
    <s v="GOMUKH NIYAMCHAKHAIDAR"/>
    <s v="vlc"/>
    <s v="Indirect"/>
    <n v="960.2600000000001"/>
    <n v="40389.970000000016"/>
    <n v="0"/>
    <n v="0"/>
    <n v="0"/>
    <n v="0"/>
    <n v="0"/>
    <n v="0"/>
    <n v="40389.970000000016"/>
    <n v="0"/>
    <n v="0"/>
    <n v="0"/>
    <n v="0"/>
    <n v="0"/>
    <n v="0"/>
    <n v="0"/>
    <n v="0"/>
    <n v="40389.970000000016"/>
    <n v="0"/>
    <n v="0"/>
    <n v="0"/>
    <n v="0"/>
    <n v="0"/>
    <n v="0"/>
    <m/>
    <s v="Gaighat"/>
    <m/>
    <n v="0"/>
  </r>
  <r>
    <s v="Munger"/>
    <s v="03-09 Jul"/>
    <n v="1066"/>
    <s v="Gaighat"/>
    <x v="957"/>
    <s v="GOMUKH JATMAPUR WARD 1"/>
    <s v="vlc"/>
    <s v="Indirect"/>
    <n v="694.93999999999994"/>
    <n v="27229.98"/>
    <n v="0"/>
    <n v="0"/>
    <n v="0"/>
    <n v="0"/>
    <n v="0"/>
    <n v="0"/>
    <n v="27229.98"/>
    <n v="0"/>
    <n v="0"/>
    <n v="0"/>
    <n v="0"/>
    <n v="0"/>
    <n v="0"/>
    <n v="0"/>
    <n v="0"/>
    <n v="27229.98"/>
    <n v="0"/>
    <n v="0"/>
    <n v="3.9653408582036325"/>
    <n v="99.277142857142849"/>
    <n v="0"/>
    <n v="0"/>
    <m/>
    <s v="Gaighat"/>
    <m/>
    <n v="0"/>
  </r>
  <r>
    <s v="Munger"/>
    <s v="03-09 Jul"/>
    <n v="1066"/>
    <s v="Gaighat"/>
    <x v="958"/>
    <s v="GOMUKH JATMALPUR"/>
    <s v="MPG"/>
    <s v="Direct"/>
    <n v="220.15999999999997"/>
    <n v="9449.4699999999975"/>
    <n v="212.6"/>
    <n v="9218.7000000000007"/>
    <n v="6.0999999999999988"/>
    <n v="258.27"/>
    <n v="218.7"/>
    <n v="9476.9700000000012"/>
    <n v="9449.4699999999975"/>
    <n v="0"/>
    <n v="258.27"/>
    <n v="27.500000000003638"/>
    <n v="0"/>
    <n v="0"/>
    <n v="0"/>
    <n v="9191"/>
    <n v="0"/>
    <n v="0"/>
    <n v="0"/>
    <n v="0"/>
    <n v="411.90349607558136"/>
    <n v="31.451428571428568"/>
    <n v="-2.9102161285239959E-3"/>
    <n v="8"/>
    <m/>
    <s v="Gaighat"/>
    <m/>
    <n v="0"/>
  </r>
  <r>
    <s v="Munger"/>
    <s v="03-09 Jul"/>
    <n v="1066"/>
    <s v="Gaighat"/>
    <x v="959"/>
    <s v="GOMUKH PURUSHOTTAMPUR WEST"/>
    <s v="vlc"/>
    <s v="Indirect"/>
    <n v="32.21"/>
    <n v="1231.3900000000001"/>
    <n v="0"/>
    <n v="0"/>
    <n v="0"/>
    <n v="0"/>
    <n v="0"/>
    <n v="0"/>
    <n v="1231.3900000000001"/>
    <n v="0"/>
    <n v="0"/>
    <n v="0"/>
    <n v="0"/>
    <n v="0"/>
    <n v="0"/>
    <n v="0"/>
    <n v="0"/>
    <n v="1231.3900000000001"/>
    <n v="0"/>
    <n v="0"/>
    <n v="510.59293890096251"/>
    <n v="4.6014285714285714"/>
    <n v="0"/>
    <n v="0"/>
    <m/>
    <s v="Gaighat"/>
    <m/>
    <n v="0"/>
  </r>
  <r>
    <s v="Munger"/>
    <s v="03-09 Jul"/>
    <n v="1066"/>
    <s v="Gaighat"/>
    <x v="960"/>
    <s v="Gomukh Barhetta"/>
    <s v="vlc"/>
    <s v="Indirect"/>
    <n v="1212.18"/>
    <n v="47684.35"/>
    <n v="0"/>
    <n v="0"/>
    <n v="0"/>
    <n v="0"/>
    <n v="0"/>
    <n v="0"/>
    <n v="47684.35"/>
    <n v="0"/>
    <n v="0"/>
    <n v="0"/>
    <n v="0"/>
    <n v="0"/>
    <n v="0"/>
    <n v="0"/>
    <n v="0"/>
    <n v="47684.35"/>
    <n v="0"/>
    <n v="0"/>
    <n v="0"/>
    <n v="0"/>
    <n v="0"/>
    <n v="0"/>
    <m/>
    <s v="Gaighat"/>
    <m/>
    <n v="0"/>
  </r>
  <r>
    <s v="Munger"/>
    <s v="03-09 Jul"/>
    <n v="1066"/>
    <s v="Gaighat"/>
    <x v="961"/>
    <s v="GOMUKH BHADOGHAT"/>
    <s v="vlc"/>
    <s v="Indirect"/>
    <n v="7863.66"/>
    <n v="322045.0199999999"/>
    <n v="0"/>
    <n v="0"/>
    <n v="0"/>
    <n v="0"/>
    <n v="0"/>
    <n v="0"/>
    <n v="322045.0199999999"/>
    <n v="0"/>
    <n v="0"/>
    <n v="0"/>
    <n v="0"/>
    <n v="0"/>
    <n v="0"/>
    <n v="0"/>
    <n v="0"/>
    <n v="322045.0199999999"/>
    <n v="0"/>
    <n v="0"/>
    <n v="0"/>
    <n v="0"/>
    <n v="0"/>
    <n v="0"/>
    <m/>
    <s v="Gaighat"/>
    <m/>
    <n v="0"/>
  </r>
  <r>
    <s v="Munger"/>
    <s v="03-09 Jul"/>
    <n v="1066"/>
    <s v="Gaighat"/>
    <x v="962"/>
    <s v="GOMUKH BALUAHA"/>
    <s v="vlc"/>
    <s v="Indirect"/>
    <n v="113.28999999999999"/>
    <n v="4308.62"/>
    <n v="0"/>
    <n v="0"/>
    <n v="0"/>
    <n v="0"/>
    <n v="0"/>
    <n v="0"/>
    <n v="4308.62"/>
    <n v="0"/>
    <n v="0"/>
    <n v="0"/>
    <n v="0"/>
    <n v="0"/>
    <n v="0"/>
    <n v="0"/>
    <n v="0"/>
    <n v="4308.62"/>
    <n v="0"/>
    <n v="0"/>
    <n v="446.27247598199313"/>
    <n v="16.184285714285714"/>
    <n v="0"/>
    <n v="0"/>
    <m/>
    <s v="Gaighat"/>
    <m/>
    <n v="0"/>
  </r>
  <r>
    <s v="Munger"/>
    <s v="03-09 Jul"/>
    <n v="1066"/>
    <s v="Gaighat"/>
    <x v="963"/>
    <s v="GOMUKH CHHATAUNA W-1"/>
    <s v="MPG"/>
    <s v="Direct"/>
    <n v="444.27999999999992"/>
    <n v="22532.09"/>
    <n v="442.8"/>
    <n v="22880.499999999996"/>
    <n v="0"/>
    <n v="0"/>
    <n v="442.8"/>
    <n v="22880.499999999996"/>
    <n v="22532.09"/>
    <n v="0"/>
    <n v="0"/>
    <n v="348.40999999999622"/>
    <n v="0"/>
    <n v="0"/>
    <n v="0"/>
    <n v="22532"/>
    <n v="0"/>
    <n v="0"/>
    <n v="0"/>
    <n v="0"/>
    <n v="259.38174371117327"/>
    <n v="63.468571428571416"/>
    <n v="-1.5462835449352289E-2"/>
    <n v="14"/>
    <m/>
    <s v="Gaighat"/>
    <m/>
    <n v="0"/>
  </r>
  <r>
    <s v="Munger"/>
    <s v="03-09 Jul"/>
    <n v="1066"/>
    <s v="Gaighat"/>
    <x v="964"/>
    <s v="GOMUKH MORWARA"/>
    <s v="vlc"/>
    <s v="Indirect"/>
    <n v="100.44"/>
    <n v="4087.57"/>
    <n v="0"/>
    <n v="0"/>
    <n v="0"/>
    <n v="0"/>
    <n v="0"/>
    <n v="0"/>
    <n v="4087.57"/>
    <n v="0"/>
    <n v="0"/>
    <n v="0"/>
    <n v="0"/>
    <n v="0"/>
    <n v="0"/>
    <n v="0"/>
    <n v="0"/>
    <n v="4087.57"/>
    <n v="0"/>
    <n v="0"/>
    <n v="488.00148729589807"/>
    <n v="14.348571428571429"/>
    <n v="0"/>
    <n v="0"/>
    <m/>
    <s v="Gaighat"/>
    <m/>
    <n v="0"/>
  </r>
  <r>
    <s v="Munger"/>
    <s v="10-16 Jul"/>
    <n v="1001"/>
    <s v="Majhaul"/>
    <x v="0"/>
    <s v="Gomukh Kumbhi"/>
    <s v="MPG"/>
    <s v="Direct"/>
    <n v="586.80000000000007"/>
    <n v="22285.370000000003"/>
    <n v="584.3599999999999"/>
    <n v="22655.009999999995"/>
    <n v="1.51"/>
    <n v="57.649999999999991"/>
    <n v="585.86999999999989"/>
    <n v="22712.659999999996"/>
    <n v="22285.370000000003"/>
    <n v="0"/>
    <n v="57.649999999999991"/>
    <n v="427.2899999999936"/>
    <n v="0"/>
    <n v="0"/>
    <n v="0"/>
    <n v="22228"/>
    <n v="0"/>
    <n v="0"/>
    <n v="0"/>
    <n v="0"/>
    <n v="85.981727471029288"/>
    <n v="83.828571428571436"/>
    <n v="-1.917356543777346E-2"/>
    <n v="16"/>
    <m/>
    <s v="Majhaul"/>
    <m/>
    <n v="0"/>
  </r>
  <r>
    <s v="Munger"/>
    <s v="10-16 Jul"/>
    <n v="1001"/>
    <s v="Majhaul"/>
    <x v="1"/>
    <s v="Gomukh Jagdar                                                                                       "/>
    <s v="MPG"/>
    <s v="Direct"/>
    <n v="918.8"/>
    <n v="35343.799999999996"/>
    <n v="913.46000000000015"/>
    <n v="35516.58"/>
    <n v="10.040000000000001"/>
    <n v="374.07000000000005"/>
    <n v="923.50000000000011"/>
    <n v="35890.65"/>
    <n v="35343.799999999996"/>
    <n v="0"/>
    <n v="374.07000000000005"/>
    <n v="546.85000000000582"/>
    <n v="0"/>
    <n v="0"/>
    <n v="0"/>
    <n v="34970"/>
    <n v="0"/>
    <n v="0"/>
    <n v="0"/>
    <s v="Release2"/>
    <n v="0"/>
    <n v="0"/>
    <n v="-1.5472303487457656E-2"/>
    <n v="10"/>
    <m/>
    <s v="Majhaul"/>
    <m/>
    <n v="0"/>
  </r>
  <r>
    <s v="Munger"/>
    <s v="10-16 Jul"/>
    <n v="1058"/>
    <s v="Hasanpur"/>
    <x v="2"/>
    <s v="Gomukh Goriyari"/>
    <s v="MPG"/>
    <s v="Direct"/>
    <n v="847.96000000000015"/>
    <n v="33003.94"/>
    <n v="722.8"/>
    <n v="28136.960000000003"/>
    <n v="124.89999999999999"/>
    <n v="4856.87"/>
    <n v="847.69999999999993"/>
    <n v="32993.83"/>
    <n v="32993.83"/>
    <n v="0"/>
    <n v="136.66"/>
    <n v="0"/>
    <n v="0"/>
    <n v="0"/>
    <n v="0"/>
    <n v="28136"/>
    <n v="4720"/>
    <n v="0"/>
    <n v="11"/>
    <n v="0"/>
    <n v="0"/>
    <n v="0"/>
    <n v="3.0632706276888705E-4"/>
    <n v="12"/>
    <m/>
    <s v="Hasanpur"/>
    <m/>
    <n v="0"/>
  </r>
  <r>
    <s v="Munger"/>
    <s v="10-16 Jul"/>
    <n v="1058"/>
    <s v="Hasanpur"/>
    <x v="3"/>
    <s v="Gomukh Kanausi"/>
    <s v="MPG"/>
    <s v="Direct"/>
    <n v="303.73"/>
    <n v="12225.620000000003"/>
    <n v="262.2"/>
    <n v="10592.02"/>
    <n v="40.900000000000006"/>
    <n v="1632.28"/>
    <n v="303.10000000000002"/>
    <n v="12224.300000000001"/>
    <n v="12224.300000000001"/>
    <n v="0"/>
    <n v="194.6"/>
    <n v="0"/>
    <n v="0"/>
    <n v="0"/>
    <n v="0"/>
    <n v="10592"/>
    <n v="1438"/>
    <n v="0"/>
    <n v="1"/>
    <n v="0"/>
    <n v="319.01007061534921"/>
    <n v="43.39"/>
    <n v="1.0796998434447722E-4"/>
    <n v="5"/>
    <m/>
    <s v="Hasanpur"/>
    <m/>
    <n v="0"/>
  </r>
  <r>
    <s v="Munger"/>
    <s v="10-16 Jul"/>
    <n v="1001"/>
    <s v="Majhaul"/>
    <x v="4"/>
    <s v="Mohanpur - Chandan"/>
    <s v="vlc"/>
    <s v="Indirect"/>
    <n v="40.5"/>
    <n v="1655.24"/>
    <n v="0"/>
    <n v="0"/>
    <n v="0"/>
    <n v="0"/>
    <n v="0"/>
    <n v="0"/>
    <n v="1655.24"/>
    <n v="0"/>
    <n v="0"/>
    <n v="0"/>
    <n v="0"/>
    <n v="0"/>
    <n v="0"/>
    <n v="0"/>
    <n v="0"/>
    <n v="1655.24"/>
    <n v="0"/>
    <n v="0"/>
    <n v="539.07692839506183"/>
    <n v="5.7857142857142856"/>
    <n v="0"/>
    <n v="0"/>
    <m/>
    <s v="Majhaul"/>
    <m/>
    <n v="0"/>
  </r>
  <r>
    <s v="Munger"/>
    <s v="10-16 Jul"/>
    <n v="1001"/>
    <s v="Majhaul"/>
    <x v="965"/>
    <s v="Birpur-2 - Pankaj"/>
    <s v="vlc"/>
    <s v="Indirect"/>
    <n v="616.5"/>
    <n v="24794.570000000003"/>
    <n v="0"/>
    <n v="0"/>
    <n v="0"/>
    <n v="0"/>
    <n v="0"/>
    <n v="0"/>
    <n v="24794.570000000003"/>
    <n v="0"/>
    <n v="0"/>
    <n v="0"/>
    <n v="0"/>
    <n v="0"/>
    <n v="0"/>
    <n v="0"/>
    <n v="0"/>
    <n v="24794.570000000003"/>
    <n v="0"/>
    <n v="0"/>
    <n v="67.16452862935931"/>
    <n v="88.071428571428569"/>
    <n v="0"/>
    <n v="0"/>
    <m/>
    <s v="Majhaul"/>
    <m/>
    <n v="0"/>
  </r>
  <r>
    <s v="Munger"/>
    <s v="10-16 Jul"/>
    <n v="1058"/>
    <s v="Hasanpur"/>
    <x v="5"/>
    <s v="Ekamba - Ashutosh"/>
    <s v="MPG"/>
    <s v="Indirect"/>
    <n v="1195.96"/>
    <n v="51945.509999999987"/>
    <n v="0"/>
    <n v="0"/>
    <n v="0"/>
    <n v="0"/>
    <n v="0"/>
    <n v="0"/>
    <n v="51945.509999999987"/>
    <n v="0"/>
    <n v="0"/>
    <n v="0"/>
    <n v="0"/>
    <n v="0"/>
    <n v="0"/>
    <n v="0"/>
    <n v="0"/>
    <n v="51945.509999999987"/>
    <n v="0"/>
    <n v="0"/>
    <n v="0"/>
    <n v="0"/>
    <n v="0"/>
    <n v="0"/>
    <m/>
    <s v="Hasanpur"/>
    <m/>
    <n v="0"/>
  </r>
  <r>
    <s v="Munger"/>
    <s v="10-16 Jul"/>
    <n v="1001"/>
    <s v="Majhaul"/>
    <x v="6"/>
    <s v="GOMUKH BIRPUR PASCHIM                                                                               "/>
    <s v="MPG"/>
    <s v="Direct"/>
    <n v="98.7"/>
    <n v="4118.6000000000004"/>
    <n v="96.199999999999989"/>
    <n v="3988.55"/>
    <n v="0.5"/>
    <n v="17.399999999999999"/>
    <n v="96.699999999999989"/>
    <n v="4005.9500000000003"/>
    <n v="4005.9500000000003"/>
    <n v="0"/>
    <n v="0"/>
    <n v="0"/>
    <n v="0"/>
    <n v="500"/>
    <n v="0"/>
    <n v="3488"/>
    <n v="15"/>
    <n v="0"/>
    <n v="116"/>
    <n v="0"/>
    <n v="501.82658156028373"/>
    <n v="14.1"/>
    <n v="2.7351527217986712E-2"/>
    <n v="7"/>
    <m/>
    <s v="Majhaul"/>
    <m/>
    <n v="500"/>
  </r>
  <r>
    <s v="Munger"/>
    <s v="10-16 Jul"/>
    <n v="1001"/>
    <s v="Majhaul"/>
    <x v="7"/>
    <s v="Manish Dairy                                                                                        "/>
    <s v="vlc"/>
    <s v="Indirect"/>
    <n v="9854"/>
    <n v="366803.14"/>
    <n v="0"/>
    <n v="0"/>
    <n v="0"/>
    <n v="0"/>
    <n v="0"/>
    <n v="0"/>
    <n v="366803.14"/>
    <n v="0"/>
    <n v="0"/>
    <n v="0"/>
    <n v="0"/>
    <n v="0"/>
    <n v="0"/>
    <n v="0"/>
    <n v="0"/>
    <n v="366803.14"/>
    <n v="0"/>
    <n v="0"/>
    <n v="0"/>
    <n v="0"/>
    <n v="0"/>
    <n v="0"/>
    <m/>
    <s v="Majhaul"/>
    <m/>
    <n v="0"/>
  </r>
  <r>
    <s v="Munger"/>
    <s v="10-16 Jul"/>
    <n v="1001"/>
    <s v="Majhaul"/>
    <x v="8"/>
    <s v="Gomukh Bhith-02"/>
    <s v="MPG"/>
    <s v="Direct"/>
    <n v="827.9"/>
    <n v="36552.65"/>
    <n v="354.1"/>
    <n v="16186.910000000002"/>
    <n v="535.65"/>
    <n v="24117.280000000002"/>
    <n v="889.75"/>
    <n v="40304.19"/>
    <n v="36552.65"/>
    <n v="0"/>
    <n v="0"/>
    <n v="3751.5400000000009"/>
    <n v="0"/>
    <n v="0"/>
    <n v="0"/>
    <n v="12436"/>
    <n v="24117"/>
    <n v="0"/>
    <n v="0"/>
    <n v="0"/>
    <n v="0"/>
    <n v="0"/>
    <n v="-0.10263387196277153"/>
    <n v="12"/>
    <m/>
    <s v="Majhaul"/>
    <m/>
    <n v="0"/>
  </r>
  <r>
    <s v="Munger"/>
    <s v="10-16 Jul"/>
    <n v="1058"/>
    <s v="Hasanpur"/>
    <x v="966"/>
    <s v="Chandan Dairy"/>
    <s v="vlc"/>
    <s v="Indirect"/>
    <n v="110.86"/>
    <n v="4485.21"/>
    <n v="0"/>
    <n v="0"/>
    <n v="0"/>
    <n v="0"/>
    <n v="0"/>
    <n v="0"/>
    <n v="4485.21"/>
    <n v="0"/>
    <n v="0"/>
    <n v="0"/>
    <n v="0"/>
    <n v="0"/>
    <n v="0"/>
    <n v="0"/>
    <n v="0"/>
    <n v="4485.21"/>
    <n v="0"/>
    <n v="0"/>
    <n v="476.71236142882924"/>
    <n v="15.837142857142856"/>
    <n v="0"/>
    <n v="0"/>
    <m/>
    <s v="Hasanpur"/>
    <m/>
    <n v="0"/>
  </r>
  <r>
    <s v="Munger"/>
    <s v="10-16 Jul"/>
    <n v="1001"/>
    <s v="Majhaul"/>
    <x v="9"/>
    <s v="Gomukh Sharmatola Sahuri"/>
    <s v="MPG"/>
    <s v="Direct"/>
    <n v="1148.2"/>
    <n v="44569.48"/>
    <n v="1110.52"/>
    <n v="42654.130000000005"/>
    <n v="43.22"/>
    <n v="1609.41"/>
    <n v="1153.74"/>
    <n v="44263.540000000008"/>
    <n v="44263.540000000008"/>
    <n v="0"/>
    <n v="0"/>
    <n v="0"/>
    <n v="0"/>
    <n v="0"/>
    <n v="0"/>
    <n v="42654"/>
    <n v="1609"/>
    <n v="0"/>
    <n v="306"/>
    <n v="0"/>
    <n v="0"/>
    <n v="0"/>
    <n v="6.8643385563393385E-3"/>
    <n v="7"/>
    <m/>
    <s v="Majhaul"/>
    <m/>
    <n v="0"/>
  </r>
  <r>
    <s v="Munger"/>
    <s v="10-16 Jul"/>
    <n v="1001"/>
    <s v="Majhaul"/>
    <x v="10"/>
    <s v="Sangat- Sanjeev Kumar"/>
    <s v="vlc"/>
    <s v="Indirect"/>
    <n v="301.89999999999998"/>
    <n v="10122.749999999998"/>
    <n v="0"/>
    <n v="0"/>
    <n v="0"/>
    <n v="0"/>
    <n v="0"/>
    <n v="0"/>
    <n v="10122.749999999998"/>
    <n v="0"/>
    <n v="0"/>
    <n v="0"/>
    <n v="0"/>
    <n v="0"/>
    <n v="0"/>
    <n v="0"/>
    <n v="0"/>
    <n v="10122.749999999998"/>
    <n v="0"/>
    <n v="0"/>
    <n v="266.96699403776086"/>
    <n v="43.128571428571426"/>
    <n v="0"/>
    <n v="0"/>
    <m/>
    <s v="Majhaul"/>
    <m/>
    <n v="0"/>
  </r>
  <r>
    <s v="Munger"/>
    <s v="10-16 Jul"/>
    <n v="1058"/>
    <s v="Hasanpur"/>
    <x v="11"/>
    <s v="Gomukh Garhi Bisanpur"/>
    <s v="MPG"/>
    <s v="Direct"/>
    <n v="51.65"/>
    <n v="2368.3599999999997"/>
    <n v="80.650000000000006"/>
    <n v="4363.59"/>
    <n v="1.66"/>
    <n v="93.92"/>
    <n v="82.31"/>
    <n v="4457.51"/>
    <n v="2368.3599999999997"/>
    <n v="0"/>
    <n v="93.92"/>
    <n v="2089.1500000000005"/>
    <n v="0"/>
    <n v="500"/>
    <n v="0"/>
    <n v="1774"/>
    <n v="0"/>
    <n v="0"/>
    <n v="0"/>
    <s v="Release3"/>
    <n v="594.58904394966112"/>
    <n v="7.3785714285714281"/>
    <n v="-0.88210829434714355"/>
    <n v="6"/>
    <m/>
    <s v="Hasanpur"/>
    <m/>
    <n v="500"/>
  </r>
  <r>
    <s v="Munger"/>
    <s v="10-16 Jul"/>
    <n v="1058"/>
    <s v="Hasanpur"/>
    <x v="13"/>
    <s v="Gomukh Barkurwa"/>
    <s v="MPG"/>
    <s v="Direct"/>
    <n v="472.12999999999988"/>
    <n v="20157.509999999998"/>
    <n v="465.95999999999992"/>
    <n v="20116.879999999997"/>
    <n v="6.7600000000000007"/>
    <n v="317.22000000000003"/>
    <n v="472.71999999999991"/>
    <n v="20434.099999999999"/>
    <n v="20157.509999999998"/>
    <n v="0"/>
    <n v="0"/>
    <n v="276.59000000000015"/>
    <n v="0"/>
    <n v="0"/>
    <n v="0"/>
    <n v="19841"/>
    <n v="317"/>
    <n v="0"/>
    <n v="0"/>
    <n v="0"/>
    <n v="194.57741739351468"/>
    <n v="67.447142857142836"/>
    <n v="-1.372143682429031E-2"/>
    <n v="5"/>
    <m/>
    <s v="Hasanpur"/>
    <m/>
    <n v="0"/>
  </r>
  <r>
    <s v="Munger"/>
    <s v="10-16 Jul"/>
    <n v="1001"/>
    <s v="Majhaul"/>
    <x v="14"/>
    <s v="Kamla- Amarjeet"/>
    <s v="vlc"/>
    <s v="Indirect"/>
    <n v="831.59999999999991"/>
    <n v="26612.670000000002"/>
    <n v="0"/>
    <n v="0"/>
    <n v="0"/>
    <n v="0"/>
    <n v="0"/>
    <n v="0"/>
    <n v="26612.670000000002"/>
    <n v="0"/>
    <n v="0"/>
    <n v="0"/>
    <n v="0"/>
    <n v="0"/>
    <n v="0"/>
    <n v="0"/>
    <n v="0"/>
    <n v="26612.670000000002"/>
    <n v="0"/>
    <n v="0"/>
    <n v="0"/>
    <n v="0"/>
    <n v="0"/>
    <n v="0"/>
    <m/>
    <s v="Majhaul"/>
    <m/>
    <n v="0"/>
  </r>
  <r>
    <s v="Munger"/>
    <s v="10-16 Jul"/>
    <n v="1058"/>
    <s v="Hasanpur"/>
    <x v="15"/>
    <s v="Gomukh Goha-02"/>
    <s v="MPG"/>
    <s v="Direct"/>
    <n v="272.18"/>
    <n v="11989.010000000002"/>
    <n v="266.40000000000003"/>
    <n v="11556.37"/>
    <n v="5"/>
    <n v="195.3"/>
    <n v="271.40000000000003"/>
    <n v="11751.67"/>
    <n v="11751.67"/>
    <n v="0"/>
    <n v="195.3"/>
    <n v="0"/>
    <n v="0"/>
    <n v="0"/>
    <n v="0"/>
    <n v="11557"/>
    <n v="0"/>
    <n v="0"/>
    <n v="237"/>
    <n v="0"/>
    <n v="376.89310443089141"/>
    <n v="38.882857142857141"/>
    <n v="1.9796463594575524E-2"/>
    <n v="3"/>
    <m/>
    <s v="Hasanpur"/>
    <m/>
    <n v="0"/>
  </r>
  <r>
    <s v="Munger"/>
    <s v="10-16 Jul"/>
    <n v="1001"/>
    <s v="Majhaul"/>
    <x v="16"/>
    <s v="Gomukh Cheria Bariarpur"/>
    <s v="MPG"/>
    <s v="Direct"/>
    <n v="1264.3"/>
    <n v="48884.82"/>
    <n v="1253.3800000000003"/>
    <n v="53073.66"/>
    <n v="2.9900000000000011"/>
    <n v="118.86999999999999"/>
    <n v="1256.3700000000003"/>
    <n v="53192.530000000006"/>
    <n v="48884.82"/>
    <n v="0"/>
    <n v="118.86999999999999"/>
    <n v="4307.7100000000064"/>
    <n v="0"/>
    <n v="0"/>
    <n v="0"/>
    <n v="48766"/>
    <n v="0"/>
    <n v="0"/>
    <n v="0"/>
    <n v="0"/>
    <n v="0"/>
    <n v="0"/>
    <n v="-8.8119583952646366E-2"/>
    <n v="12"/>
    <m/>
    <s v="Majhaul"/>
    <m/>
    <n v="0"/>
  </r>
  <r>
    <s v="Munger"/>
    <s v="10-16 Jul"/>
    <n v="1058"/>
    <s v="Hasanpur"/>
    <x v="17"/>
    <s v="Gomukh Bagraha-01"/>
    <s v="MPG"/>
    <s v="Direct"/>
    <n v="161.07"/>
    <n v="6705.7300000000005"/>
    <n v="157.1"/>
    <n v="6496.79"/>
    <n v="4.5"/>
    <n v="175.14"/>
    <n v="161.6"/>
    <n v="6671.93"/>
    <n v="6671.93"/>
    <n v="0"/>
    <n v="175.14"/>
    <n v="0"/>
    <n v="0"/>
    <n v="500"/>
    <n v="0"/>
    <n v="5997"/>
    <n v="0"/>
    <n v="0"/>
    <n v="34"/>
    <n v="0"/>
    <n v="448.73894193828778"/>
    <n v="23.009999999999998"/>
    <n v="5.0404653930295699E-3"/>
    <n v="2"/>
    <m/>
    <s v="Hasanpur"/>
    <m/>
    <n v="500"/>
  </r>
  <r>
    <s v="Munger"/>
    <s v="10-16 Jul"/>
    <n v="1001"/>
    <s v="Majhaul"/>
    <x v="18"/>
    <s v="Gomukh Pirauna"/>
    <s v="MPG"/>
    <s v="Direct"/>
    <n v="269.39999999999998"/>
    <n v="9647.2999999999993"/>
    <n v="281.64"/>
    <n v="10012.44"/>
    <n v="0.2"/>
    <n v="7.12"/>
    <n v="281.83999999999997"/>
    <n v="10019.560000000001"/>
    <n v="9647.2999999999993"/>
    <n v="0"/>
    <n v="7.12"/>
    <n v="372.26000000000204"/>
    <n v="0"/>
    <n v="500"/>
    <n v="0"/>
    <n v="9140"/>
    <n v="0"/>
    <n v="0"/>
    <n v="0"/>
    <n v="0"/>
    <n v="308.39846919079434"/>
    <n v="38.48571428571428"/>
    <n v="-3.8586962155214628E-2"/>
    <n v="2"/>
    <m/>
    <s v="Majhaul"/>
    <m/>
    <n v="500"/>
  </r>
  <r>
    <s v="Munger"/>
    <s v="10-16 Jul"/>
    <n v="1001"/>
    <s v="Majhaul"/>
    <x v="19"/>
    <s v="Parra- Nagendra Kumar"/>
    <s v="vlc"/>
    <s v="Indirect"/>
    <n v="283.09999999999997"/>
    <n v="9743.9999999999964"/>
    <n v="0"/>
    <n v="0"/>
    <n v="0"/>
    <n v="0"/>
    <n v="0"/>
    <n v="0"/>
    <n v="9743.9999999999964"/>
    <n v="0"/>
    <n v="0"/>
    <n v="0"/>
    <n v="0"/>
    <n v="0"/>
    <n v="0"/>
    <n v="0"/>
    <n v="0"/>
    <n v="9743.9999999999964"/>
    <n v="0"/>
    <n v="0"/>
    <n v="286.98506534793358"/>
    <n v="40.442857142857136"/>
    <n v="0"/>
    <n v="0"/>
    <m/>
    <s v="Majhaul"/>
    <m/>
    <n v="0"/>
  </r>
  <r>
    <s v="Munger"/>
    <s v="10-16 Jul"/>
    <n v="1001"/>
    <s v="Majhaul"/>
    <x v="20"/>
    <s v="Gomukh Basahi"/>
    <s v="MPG"/>
    <s v="Direct"/>
    <n v="882.99999999999989"/>
    <n v="35754"/>
    <n v="888.65000000000009"/>
    <n v="37717.249999999993"/>
    <n v="3.3699999999999997"/>
    <n v="140.14999999999998"/>
    <n v="892.0200000000001"/>
    <n v="37857.399999999994"/>
    <n v="35754"/>
    <n v="0"/>
    <n v="140.14999999999998"/>
    <n v="2103.3999999999942"/>
    <n v="0"/>
    <n v="0"/>
    <n v="0"/>
    <n v="35614"/>
    <n v="0"/>
    <n v="0"/>
    <n v="0"/>
    <n v="0"/>
    <n v="0"/>
    <n v="0"/>
    <n v="-5.8829781283212902E-2"/>
    <n v="28"/>
    <m/>
    <s v="Majhaul"/>
    <m/>
    <n v="0"/>
  </r>
  <r>
    <s v="Munger"/>
    <s v="10-16 Jul"/>
    <n v="1001"/>
    <s v="Majhaul"/>
    <x v="21"/>
    <s v="Gomukh Sawantpur"/>
    <s v="MPG"/>
    <s v="Direct"/>
    <n v="1391"/>
    <n v="52977.84"/>
    <n v="1368.03"/>
    <n v="52543.359999999993"/>
    <n v="0.87"/>
    <n v="34.92"/>
    <n v="1368.8999999999999"/>
    <n v="52578.279999999992"/>
    <n v="52578.279999999992"/>
    <n v="0"/>
    <n v="34.92"/>
    <n v="0"/>
    <n v="0"/>
    <n v="0"/>
    <n v="0"/>
    <n v="52544"/>
    <n v="0"/>
    <n v="0"/>
    <n v="399"/>
    <n v="0"/>
    <n v="0"/>
    <n v="0"/>
    <n v="7.5420213432636166E-3"/>
    <n v="11"/>
    <m/>
    <s v="Majhaul"/>
    <m/>
    <n v="0"/>
  </r>
  <r>
    <s v="Munger"/>
    <s v="10-16 Jul"/>
    <n v="1001"/>
    <s v="Majhaul"/>
    <x v="22"/>
    <s v="Maida- Ram Kumar"/>
    <s v="vlc"/>
    <s v="Indirect"/>
    <n v="243.00000000000003"/>
    <n v="9893.5499999999993"/>
    <n v="0"/>
    <n v="0"/>
    <n v="0"/>
    <n v="0"/>
    <n v="0"/>
    <n v="0"/>
    <n v="9893.5499999999993"/>
    <n v="0"/>
    <n v="0"/>
    <n v="0"/>
    <n v="0"/>
    <n v="0"/>
    <n v="0"/>
    <n v="0"/>
    <n v="0"/>
    <n v="9893.5499999999993"/>
    <n v="0"/>
    <n v="0"/>
    <n v="372.12776543209867"/>
    <n v="34.714285714285715"/>
    <n v="0"/>
    <n v="0"/>
    <m/>
    <s v="Majhaul"/>
    <m/>
    <n v="0"/>
  </r>
  <r>
    <s v="Munger"/>
    <s v="10-16 Jul"/>
    <n v="1001"/>
    <s v="Majhaul"/>
    <x v="23"/>
    <s v="Gomukh Aure Bikrampur"/>
    <s v="MPG"/>
    <s v="Direct"/>
    <n v="934"/>
    <n v="40684.32"/>
    <n v="1182.1000000000004"/>
    <n v="51358.82"/>
    <n v="0"/>
    <n v="0"/>
    <n v="1182.1000000000004"/>
    <n v="51358.82"/>
    <n v="40684.32"/>
    <n v="0"/>
    <n v="0"/>
    <n v="10674.5"/>
    <n v="0"/>
    <n v="0"/>
    <n v="0"/>
    <n v="40684"/>
    <n v="0"/>
    <n v="0"/>
    <n v="0"/>
    <n v="0"/>
    <n v="0"/>
    <n v="0"/>
    <n v="-0.26237380887771999"/>
    <n v="17"/>
    <m/>
    <s v="Majhaul"/>
    <m/>
    <n v="0"/>
  </r>
  <r>
    <s v="Munger"/>
    <s v="10-16 Jul"/>
    <n v="1001"/>
    <s v="Majhaul"/>
    <x v="24"/>
    <s v="Manjhaul- Gulshan Kumar"/>
    <s v="vlc"/>
    <s v="Indirect"/>
    <n v="1104.5999999999999"/>
    <n v="45043.31"/>
    <n v="0"/>
    <n v="0"/>
    <n v="0"/>
    <n v="0"/>
    <n v="0"/>
    <n v="0"/>
    <n v="45043.31"/>
    <n v="0"/>
    <n v="0"/>
    <n v="0"/>
    <n v="0"/>
    <n v="0"/>
    <n v="0"/>
    <n v="0"/>
    <n v="0"/>
    <n v="45043.31"/>
    <n v="0"/>
    <n v="0"/>
    <n v="0"/>
    <n v="0"/>
    <n v="0"/>
    <n v="0"/>
    <m/>
    <s v="Majhaul"/>
    <m/>
    <n v="0"/>
  </r>
  <r>
    <s v="Munger"/>
    <s v="10-16 Jul"/>
    <n v="1001"/>
    <s v="Majhaul"/>
    <x v="25"/>
    <s v="Khaira Manjhaul"/>
    <s v="vlc"/>
    <s v="Indirect"/>
    <n v="446.4"/>
    <n v="16600.63"/>
    <n v="0"/>
    <n v="0"/>
    <n v="0"/>
    <n v="0"/>
    <n v="0"/>
    <n v="0"/>
    <n v="16600.63"/>
    <n v="0"/>
    <n v="0"/>
    <n v="0"/>
    <n v="0"/>
    <n v="0"/>
    <n v="0"/>
    <n v="0"/>
    <n v="0"/>
    <n v="16600.63"/>
    <n v="0"/>
    <n v="0"/>
    <n v="188.61647706093197"/>
    <n v="63.771428571428565"/>
    <n v="0"/>
    <n v="0"/>
    <m/>
    <s v="Majhaul"/>
    <m/>
    <n v="0"/>
  </r>
  <r>
    <s v="Munger"/>
    <s v="10-16 Jul"/>
    <n v="1001"/>
    <s v="Majhaul"/>
    <x v="26"/>
    <s v="Mehda Shahpur"/>
    <s v="vlc"/>
    <s v="Indirect"/>
    <n v="870.3"/>
    <n v="29950.550000000003"/>
    <n v="0"/>
    <n v="0"/>
    <n v="0"/>
    <n v="0"/>
    <n v="0"/>
    <n v="0"/>
    <n v="29950.550000000003"/>
    <n v="0"/>
    <n v="0"/>
    <n v="0"/>
    <n v="0"/>
    <n v="0"/>
    <n v="0"/>
    <n v="0"/>
    <n v="0"/>
    <n v="29950.550000000003"/>
    <n v="0"/>
    <n v="0"/>
    <n v="0"/>
    <n v="0"/>
    <n v="0"/>
    <n v="0"/>
    <m/>
    <s v="Majhaul"/>
    <m/>
    <n v="0"/>
  </r>
  <r>
    <s v="Munger"/>
    <s v="10-16 Jul"/>
    <n v="1001"/>
    <s v="Majhaul"/>
    <x v="27"/>
    <s v="Shri Bhairav Laxmipur"/>
    <s v="MPG"/>
    <s v="Direct"/>
    <n v="222.6"/>
    <n v="10174.129999999999"/>
    <n v="237.85000000000002"/>
    <n v="10854.42"/>
    <n v="0"/>
    <n v="0"/>
    <n v="237.85000000000002"/>
    <n v="10854.42"/>
    <n v="10174.129999999999"/>
    <n v="0"/>
    <n v="0"/>
    <n v="680.29000000000087"/>
    <n v="0"/>
    <n v="0"/>
    <n v="0"/>
    <n v="10174"/>
    <n v="0"/>
    <n v="0"/>
    <n v="0"/>
    <s v="Release3"/>
    <n v="436.3997899371069"/>
    <n v="31.8"/>
    <n v="-6.6864685235985877E-2"/>
    <n v="4"/>
    <m/>
    <s v="Majhaul"/>
    <m/>
    <n v="0"/>
  </r>
  <r>
    <s v="Munger"/>
    <s v="10-16 Jul"/>
    <n v="1001"/>
    <s v="Majhaul"/>
    <x v="28"/>
    <s v="Goapalpur"/>
    <s v="MPG"/>
    <s v="Direct"/>
    <n v="18.3"/>
    <n v="700.98"/>
    <n v="18.36"/>
    <n v="711.2600000000001"/>
    <n v="0"/>
    <n v="0"/>
    <n v="18.36"/>
    <n v="711.2600000000001"/>
    <n v="700.98"/>
    <n v="0"/>
    <n v="0"/>
    <n v="10.280000000000086"/>
    <n v="0"/>
    <n v="500"/>
    <n v="0"/>
    <n v="201"/>
    <n v="0"/>
    <n v="0"/>
    <n v="0"/>
    <s v="Release3"/>
    <n v="522.24925245901647"/>
    <n v="2.6142857142857143"/>
    <n v="-1.4665183029473146E-2"/>
    <n v="4"/>
    <m/>
    <s v="Majhaul"/>
    <m/>
    <n v="500"/>
  </r>
  <r>
    <s v="Munger"/>
    <s v="10-16 Jul"/>
    <n v="1001"/>
    <s v="Majhaul"/>
    <x v="29"/>
    <s v="Gomukh Akaha"/>
    <s v="MPG"/>
    <s v="Direct"/>
    <n v="239.4"/>
    <n v="7954.92"/>
    <n v="237.89999999999998"/>
    <n v="7954.9099999999989"/>
    <n v="0"/>
    <n v="0"/>
    <n v="237.89999999999998"/>
    <n v="7954.9099999999989"/>
    <n v="7954.9099999999989"/>
    <n v="0"/>
    <n v="0"/>
    <n v="0"/>
    <n v="0"/>
    <n v="0"/>
    <n v="0"/>
    <n v="7952"/>
    <n v="0"/>
    <n v="0"/>
    <n v="3"/>
    <n v="0"/>
    <n v="306.10159999999996"/>
    <n v="34.200000000000003"/>
    <n v="1.2570836666022754E-6"/>
    <n v="7"/>
    <m/>
    <s v="Majhaul"/>
    <m/>
    <n v="0"/>
  </r>
  <r>
    <s v="Munger"/>
    <s v="10-16 Jul"/>
    <n v="1001"/>
    <s v="Majhaul"/>
    <x v="30"/>
    <s v="Gomukh Rajakpur"/>
    <s v="MPG"/>
    <s v="Direct"/>
    <n v="96.499999999999986"/>
    <n v="3398.9700000000007"/>
    <n v="104.07000000000001"/>
    <n v="3290.87"/>
    <n v="0"/>
    <n v="0"/>
    <n v="104.07000000000001"/>
    <n v="3290.87"/>
    <n v="3290.87"/>
    <n v="0"/>
    <n v="0"/>
    <n v="0"/>
    <n v="0"/>
    <n v="0"/>
    <n v="0"/>
    <n v="3291"/>
    <n v="0"/>
    <n v="0"/>
    <n v="108"/>
    <n v="0"/>
    <n v="425.13541865284992"/>
    <n v="13.785714285714283"/>
    <n v="3.1803752313200997E-2"/>
    <n v="2"/>
    <m/>
    <s v="Majhaul"/>
    <m/>
    <n v="0"/>
  </r>
  <r>
    <s v="Munger"/>
    <s v="10-16 Jul"/>
    <n v="1001"/>
    <s v="Majhaul"/>
    <x v="31"/>
    <s v="Gomukh Mohanpur"/>
    <s v="MPG"/>
    <s v="Direct"/>
    <n v="177.79999999999998"/>
    <n v="6896.3899999999994"/>
    <n v="175.39000000000001"/>
    <n v="7413.75"/>
    <n v="1.31"/>
    <n v="50.84"/>
    <n v="176.70000000000002"/>
    <n v="7464.59"/>
    <n v="6896.3899999999994"/>
    <n v="0"/>
    <n v="50.84"/>
    <n v="568.20000000000073"/>
    <n v="0"/>
    <n v="0"/>
    <n v="0"/>
    <n v="6846"/>
    <n v="0"/>
    <n v="0"/>
    <n v="0"/>
    <n v="0"/>
    <n v="405.09503464566922"/>
    <n v="25.4"/>
    <n v="-8.2390932067357092E-2"/>
    <n v="7"/>
    <m/>
    <s v="Majhaul"/>
    <m/>
    <n v="0"/>
  </r>
  <r>
    <s v="Munger"/>
    <s v="10-16 Jul"/>
    <n v="1001"/>
    <s v="Majhaul"/>
    <x v="32"/>
    <s v="Gomukh Chakka"/>
    <s v="MPG"/>
    <s v="Direct"/>
    <n v="136.29999999999998"/>
    <n v="5645.96"/>
    <n v="138.01999999999998"/>
    <n v="5813.0499999999993"/>
    <n v="0"/>
    <n v="0"/>
    <n v="138.01999999999998"/>
    <n v="5813.0499999999993"/>
    <n v="5645.96"/>
    <n v="0"/>
    <n v="0"/>
    <n v="167.08999999999924"/>
    <n v="0"/>
    <n v="0"/>
    <n v="0"/>
    <n v="5646"/>
    <n v="0"/>
    <n v="0"/>
    <n v="0"/>
    <n v="0"/>
    <n v="467.00332384446085"/>
    <n v="19.471428571428568"/>
    <n v="-2.9594612785070959E-2"/>
    <n v="3"/>
    <m/>
    <s v="Majhaul"/>
    <m/>
    <n v="0"/>
  </r>
  <r>
    <s v="Munger"/>
    <s v="10-16 Jul"/>
    <n v="1001"/>
    <s v="Majhaul"/>
    <x v="33"/>
    <s v="Gamharia"/>
    <s v="vlc"/>
    <s v="Indirect"/>
    <n v="94.3"/>
    <n v="3860.8499999999995"/>
    <n v="0"/>
    <n v="0"/>
    <n v="0"/>
    <n v="0"/>
    <n v="0"/>
    <n v="0"/>
    <n v="3860.8499999999995"/>
    <n v="0"/>
    <n v="0"/>
    <n v="0"/>
    <n v="0"/>
    <n v="0"/>
    <n v="0"/>
    <n v="0"/>
    <n v="0"/>
    <n v="3860.8499999999995"/>
    <n v="0"/>
    <n v="0"/>
    <n v="495.97388016967119"/>
    <n v="13.471428571428572"/>
    <n v="0"/>
    <n v="0"/>
    <m/>
    <s v="Majhaul"/>
    <m/>
    <n v="0"/>
  </r>
  <r>
    <s v="Munger"/>
    <s v="10-16 Jul"/>
    <n v="1001"/>
    <s v="Majhaul"/>
    <x v="34"/>
    <s v="Gomukh Meghaul-02"/>
    <s v="MPG"/>
    <s v="Direct"/>
    <n v="376.8"/>
    <n v="16054.819999999998"/>
    <n v="373.37"/>
    <n v="16176.899999999998"/>
    <n v="5.38"/>
    <n v="223.53000000000003"/>
    <n v="378.75"/>
    <n v="16400.429999999997"/>
    <n v="16054.819999999998"/>
    <n v="0"/>
    <n v="223.53000000000003"/>
    <n v="345.60999999999876"/>
    <n v="0"/>
    <n v="0"/>
    <n v="0"/>
    <n v="15831"/>
    <n v="0"/>
    <n v="0"/>
    <n v="0"/>
    <n v="0"/>
    <n v="275.42026666666663"/>
    <n v="53.828571428571429"/>
    <n v="-2.1526868566573702E-2"/>
    <n v="7"/>
    <m/>
    <s v="Majhaul"/>
    <m/>
    <n v="0"/>
  </r>
  <r>
    <s v="Munger"/>
    <s v="10-16 Jul"/>
    <n v="1001"/>
    <s v="Majhaul"/>
    <x v="35"/>
    <s v="Gomukh Meida"/>
    <s v="MPG"/>
    <s v="Direct"/>
    <n v="268.20000000000005"/>
    <n v="10429.429999999998"/>
    <n v="266.7000000000001"/>
    <n v="10364.839999999998"/>
    <n v="0"/>
    <n v="0"/>
    <n v="266.7000000000001"/>
    <n v="10364.839999999998"/>
    <n v="10364.839999999998"/>
    <n v="0"/>
    <n v="0"/>
    <n v="0"/>
    <n v="0"/>
    <n v="0"/>
    <n v="0"/>
    <n v="10362"/>
    <n v="0"/>
    <n v="0"/>
    <n v="67"/>
    <n v="0"/>
    <n v="335.82609052945548"/>
    <n v="38.314285714285724"/>
    <n v="6.1930517775180575E-3"/>
    <n v="6"/>
    <m/>
    <s v="Majhaul"/>
    <m/>
    <n v="0"/>
  </r>
  <r>
    <s v="Munger"/>
    <s v="10-16 Jul"/>
    <n v="1002"/>
    <s v="Laldiyara"/>
    <x v="36"/>
    <s v="PIPARIYA DIH -2"/>
    <s v="MPG"/>
    <s v="Direct"/>
    <n v="2298.0000000000005"/>
    <n v="107651.41999999997"/>
    <n v="1400.9"/>
    <n v="66014.930000000008"/>
    <n v="897"/>
    <n v="42245.610000000008"/>
    <n v="2297.9"/>
    <n v="108260.54000000001"/>
    <n v="107651.41999999997"/>
    <n v="0"/>
    <n v="1055.5200000000002"/>
    <n v="609.120000000039"/>
    <n v="0"/>
    <n v="0"/>
    <n v="0"/>
    <n v="65406"/>
    <n v="41190"/>
    <n v="0"/>
    <n v="0"/>
    <n v="0"/>
    <n v="0"/>
    <n v="0"/>
    <n v="-5.6582625663464461E-3"/>
    <n v="14"/>
    <m/>
    <s v="Laldiyara"/>
    <m/>
    <n v="0"/>
  </r>
  <r>
    <s v="Munger"/>
    <s v="10-16 Jul"/>
    <n v="1002"/>
    <s v="Laldiyara"/>
    <x v="37"/>
    <s v="LAL DIYARA -1"/>
    <s v="MPG"/>
    <s v="Direct"/>
    <n v="577.00000000000011"/>
    <n v="23470.170000000002"/>
    <n v="576.4"/>
    <n v="23621.26"/>
    <n v="0"/>
    <n v="0"/>
    <n v="576.4"/>
    <n v="23621.26"/>
    <n v="23470.170000000002"/>
    <n v="0"/>
    <n v="0"/>
    <n v="151.08999999999651"/>
    <n v="0"/>
    <n v="0"/>
    <n v="0"/>
    <n v="23470"/>
    <n v="0"/>
    <n v="0"/>
    <n v="0"/>
    <n v="0"/>
    <n v="100.06346308492189"/>
    <n v="82.428571428571445"/>
    <n v="-6.4375332603043133E-3"/>
    <n v="1"/>
    <m/>
    <s v="Laldiyara"/>
    <m/>
    <n v="0"/>
  </r>
  <r>
    <s v="Munger"/>
    <s v="10-16 Jul"/>
    <n v="1002"/>
    <s v="Laldiyara"/>
    <x v="38"/>
    <s v="GANGA KINARE KHUTHA"/>
    <s v="vlc"/>
    <s v="Indirect"/>
    <n v="175.4"/>
    <n v="6932.1100000000006"/>
    <n v="0"/>
    <n v="0"/>
    <n v="0"/>
    <n v="0"/>
    <n v="0"/>
    <n v="0"/>
    <n v="6932.1100000000006"/>
    <n v="0"/>
    <n v="0"/>
    <n v="0"/>
    <n v="0"/>
    <n v="0"/>
    <n v="0"/>
    <n v="0"/>
    <n v="0"/>
    <n v="6932.1100000000006"/>
    <n v="0"/>
    <n v="0"/>
    <n v="414.66190490307878"/>
    <n v="25.057142857142857"/>
    <n v="0"/>
    <n v="0"/>
    <m/>
    <s v="Laldiyara"/>
    <m/>
    <n v="0"/>
  </r>
  <r>
    <s v="Munger"/>
    <s v="10-16 Jul"/>
    <n v="1002"/>
    <s v="Laldiyara"/>
    <x v="39"/>
    <s v="Gomukh ID Khutaha Ganga"/>
    <s v="vlc"/>
    <s v="Indirect"/>
    <n v="118.6"/>
    <n v="4452.04"/>
    <n v="0"/>
    <n v="0"/>
    <n v="0"/>
    <n v="0"/>
    <n v="0"/>
    <n v="0"/>
    <n v="4452.04"/>
    <n v="0"/>
    <n v="0"/>
    <n v="0"/>
    <n v="0"/>
    <n v="0"/>
    <n v="0"/>
    <n v="0"/>
    <n v="0"/>
    <n v="4452.04"/>
    <n v="0"/>
    <n v="0"/>
    <n v="436.49511905564918"/>
    <n v="16.942857142857143"/>
    <n v="0"/>
    <n v="0"/>
    <m/>
    <s v="Laldiyara"/>
    <m/>
    <n v="0"/>
  </r>
  <r>
    <s v="Munger"/>
    <s v="10-16 Jul"/>
    <n v="1002"/>
    <s v="Laldiyara"/>
    <x v="40"/>
    <s v="Gomukh ID Khutaha Dhih"/>
    <s v="vlc"/>
    <s v="Indirect"/>
    <n v="1791.1000000000001"/>
    <n v="75586.819999999992"/>
    <n v="0"/>
    <n v="0"/>
    <n v="0"/>
    <n v="0"/>
    <n v="0"/>
    <n v="0"/>
    <n v="75586.819999999992"/>
    <n v="0"/>
    <n v="0"/>
    <n v="0"/>
    <n v="0"/>
    <n v="0"/>
    <n v="0"/>
    <n v="0"/>
    <n v="0"/>
    <n v="75586.819999999992"/>
    <n v="0"/>
    <n v="0"/>
    <n v="0"/>
    <n v="0"/>
    <n v="0"/>
    <n v="0"/>
    <m/>
    <s v="Laldiyara"/>
    <m/>
    <n v="0"/>
  </r>
  <r>
    <s v="Munger"/>
    <s v="10-16 Jul"/>
    <n v="1002"/>
    <s v="Laldiyara"/>
    <x v="41"/>
    <s v="GOMUKH RAHATPUR"/>
    <s v="MPG"/>
    <s v="Direct"/>
    <n v="136.1"/>
    <n v="5682.79"/>
    <n v="136.10000000000002"/>
    <n v="5683.75"/>
    <n v="0.5"/>
    <n v="20.170000000000002"/>
    <n v="136.60000000000002"/>
    <n v="5703.92"/>
    <n v="5682.79"/>
    <n v="0"/>
    <n v="20.170000000000002"/>
    <n v="21.130000000000109"/>
    <n v="0"/>
    <n v="0"/>
    <n v="0"/>
    <n v="5663"/>
    <n v="0"/>
    <n v="0"/>
    <n v="0"/>
    <n v="0"/>
    <n v="470.90746230712716"/>
    <n v="19.442857142857143"/>
    <n v="-3.7182440315408644E-3"/>
    <n v="4"/>
    <m/>
    <s v="Laldiyara"/>
    <m/>
    <n v="0"/>
  </r>
  <r>
    <s v="Munger"/>
    <s v="10-16 Jul"/>
    <n v="1002"/>
    <s v="Laldiyara"/>
    <x v="42"/>
    <s v="Vikash Kumar"/>
    <s v="vlc"/>
    <s v="Indirect"/>
    <n v="1563.9"/>
    <n v="61483.890000000007"/>
    <n v="0"/>
    <n v="0"/>
    <n v="0"/>
    <n v="0"/>
    <n v="0"/>
    <n v="0"/>
    <n v="61483.890000000007"/>
    <n v="0"/>
    <n v="0"/>
    <n v="0"/>
    <n v="0"/>
    <n v="0"/>
    <n v="0"/>
    <n v="0"/>
    <n v="0"/>
    <n v="61483.890000000007"/>
    <n v="0"/>
    <n v="0"/>
    <n v="0"/>
    <n v="0"/>
    <n v="0"/>
    <n v="0"/>
    <m/>
    <s v="Laldiyara"/>
    <m/>
    <n v="0"/>
  </r>
  <r>
    <s v="Munger"/>
    <s v="10-16 Jul"/>
    <n v="1002"/>
    <s v="Laldiyara"/>
    <x v="43"/>
    <s v="GOMUKH  LALDIYARA TIRASHI                                                                           "/>
    <s v="vlc"/>
    <s v="Indirect"/>
    <n v="31364.099999999995"/>
    <n v="1275241.2499999998"/>
    <n v="0"/>
    <n v="0"/>
    <n v="0"/>
    <n v="0"/>
    <n v="0"/>
    <n v="0"/>
    <n v="1275241.2499999998"/>
    <n v="0"/>
    <n v="0"/>
    <n v="0"/>
    <n v="0"/>
    <n v="0"/>
    <n v="0"/>
    <n v="0"/>
    <n v="0"/>
    <n v="1275241.2499999998"/>
    <n v="0"/>
    <n v="0"/>
    <n v="0"/>
    <n v="0"/>
    <n v="0"/>
    <n v="0"/>
    <m/>
    <s v="Laldiyara"/>
    <m/>
    <n v="0"/>
  </r>
  <r>
    <s v="Munger"/>
    <s v="10-16 Jul"/>
    <n v="1002"/>
    <s v="Laldiyara"/>
    <x v="44"/>
    <s v="GOMUKH  LALDIYARA PURBI"/>
    <s v="vlc"/>
    <s v="Indirect"/>
    <n v="31350.099999999995"/>
    <n v="1274667.1099999999"/>
    <n v="0"/>
    <n v="0"/>
    <n v="0"/>
    <n v="0"/>
    <n v="0"/>
    <n v="0"/>
    <n v="1274667.1099999999"/>
    <n v="0"/>
    <n v="0"/>
    <n v="0"/>
    <n v="0"/>
    <n v="0"/>
    <n v="0"/>
    <n v="0"/>
    <n v="0"/>
    <n v="1274667.1099999999"/>
    <n v="0"/>
    <n v="0"/>
    <n v="0"/>
    <n v="0"/>
    <n v="0"/>
    <n v="0"/>
    <m/>
    <s v="Laldiyara"/>
    <m/>
    <n v="0"/>
  </r>
  <r>
    <s v="Munger"/>
    <s v="10-16 Jul"/>
    <n v="1002"/>
    <s v="Laldiyara"/>
    <x v="45"/>
    <s v="GOMUKH RAMCHANDARPUR II"/>
    <s v="MPG"/>
    <s v="Direct"/>
    <n v="3535.4"/>
    <n v="150295.38999999998"/>
    <n v="3860.9000000000005"/>
    <n v="148475.63999999998"/>
    <n v="31.900000000000006"/>
    <n v="1463.26"/>
    <n v="3892.8000000000006"/>
    <n v="149938.9"/>
    <n v="149938.9"/>
    <n v="0"/>
    <n v="1463.26"/>
    <n v="0"/>
    <n v="0"/>
    <n v="0"/>
    <n v="0"/>
    <n v="148477"/>
    <n v="0"/>
    <n v="0"/>
    <n v="355"/>
    <n v="0"/>
    <n v="0"/>
    <n v="0"/>
    <n v="2.3719290392073284E-3"/>
    <n v="64"/>
    <m/>
    <s v="Laldiyara"/>
    <m/>
    <n v="0"/>
  </r>
  <r>
    <s v="Munger"/>
    <s v="10-16 Jul"/>
    <n v="1002"/>
    <s v="Laldiyara"/>
    <x v="46"/>
    <s v="MOHANPUR"/>
    <s v="MPG"/>
    <s v="Direct"/>
    <n v="3895.1"/>
    <n v="167954.55999999997"/>
    <n v="3724.2"/>
    <n v="160116.81"/>
    <n v="248.60000000000002"/>
    <n v="10448.799999999999"/>
    <n v="3972.7999999999997"/>
    <n v="170565.61"/>
    <n v="167954.55999999997"/>
    <n v="0"/>
    <n v="1858.7299999999998"/>
    <n v="2611.0500000000175"/>
    <n v="0"/>
    <n v="0"/>
    <n v="0"/>
    <n v="157505"/>
    <n v="8591"/>
    <n v="0"/>
    <n v="0"/>
    <n v="0"/>
    <n v="0"/>
    <n v="0"/>
    <n v="-1.5546169154323752E-2"/>
    <n v="28"/>
    <m/>
    <s v="Laldiyara"/>
    <m/>
    <n v="0"/>
  </r>
  <r>
    <s v="Munger"/>
    <s v="10-16 Jul"/>
    <n v="1002"/>
    <s v="Laldiyara"/>
    <x v="47"/>
    <s v="Juwas"/>
    <s v="MPG"/>
    <s v="Direct"/>
    <n v="969.8"/>
    <n v="39147.519999999997"/>
    <n v="952.50000000000023"/>
    <n v="36988.970000000008"/>
    <n v="9.2999999999999989"/>
    <n v="352.96"/>
    <n v="961.80000000000018"/>
    <n v="37341.930000000008"/>
    <n v="37341.930000000008"/>
    <n v="0"/>
    <n v="352.96"/>
    <n v="0"/>
    <n v="0"/>
    <n v="0"/>
    <n v="0"/>
    <n v="36991"/>
    <n v="0"/>
    <n v="0"/>
    <n v="1804"/>
    <n v="0"/>
    <n v="0"/>
    <n v="0"/>
    <n v="4.6122717352210033E-2"/>
    <n v="24"/>
    <m/>
    <s v="Laldiyara"/>
    <m/>
    <n v="0"/>
  </r>
  <r>
    <s v="Munger"/>
    <s v="10-16 Jul"/>
    <n v="1002"/>
    <s v="Laldiyara"/>
    <x v="48"/>
    <s v="Morwariya"/>
    <s v="MPG"/>
    <s v="Direct"/>
    <n v="2723.7"/>
    <n v="113229.84000000003"/>
    <n v="2688.5499999999993"/>
    <n v="112580.37000000004"/>
    <n v="0"/>
    <n v="0"/>
    <n v="2688.5499999999993"/>
    <n v="112580.37000000004"/>
    <n v="112580.37000000004"/>
    <n v="0"/>
    <n v="0"/>
    <n v="0"/>
    <n v="0"/>
    <n v="0"/>
    <n v="0"/>
    <n v="112579"/>
    <n v="0"/>
    <n v="0"/>
    <n v="651"/>
    <n v="0"/>
    <n v="0"/>
    <n v="0"/>
    <n v="5.7358554953357392E-3"/>
    <n v="66"/>
    <m/>
    <s v="Laldiyara"/>
    <m/>
    <n v="0"/>
  </r>
  <r>
    <s v="Munger"/>
    <s v="10-16 Jul"/>
    <n v="1002"/>
    <s v="Laldiyara"/>
    <x v="49"/>
    <s v="Dumri 2"/>
    <s v="MPG"/>
    <s v="Direct"/>
    <n v="960.90000000000009"/>
    <n v="40049.220000000008"/>
    <n v="949.26"/>
    <n v="39065.53"/>
    <n v="10.93"/>
    <n v="456.15999999999997"/>
    <n v="960.18999999999994"/>
    <n v="39521.69"/>
    <n v="39521.69"/>
    <n v="0"/>
    <n v="456.15999999999997"/>
    <n v="0"/>
    <n v="0"/>
    <n v="0"/>
    <n v="0"/>
    <n v="39065"/>
    <n v="0"/>
    <n v="0"/>
    <n v="528"/>
    <n v="0"/>
    <n v="0"/>
    <n v="0"/>
    <n v="1.3172041802562097E-2"/>
    <n v="19"/>
    <m/>
    <s v="Laldiyara"/>
    <m/>
    <n v="0"/>
  </r>
  <r>
    <s v="Munger"/>
    <s v="10-16 Jul"/>
    <n v="1002"/>
    <s v="Laldiyara"/>
    <x v="50"/>
    <s v="Gomukh Jhakhaur"/>
    <s v="MPG"/>
    <s v="Direct"/>
    <n v="505.00000000000006"/>
    <n v="20882.550000000003"/>
    <n v="516"/>
    <n v="21085.960000000003"/>
    <n v="1.1100000000000001"/>
    <n v="45.31"/>
    <n v="517.11"/>
    <n v="21131.270000000004"/>
    <n v="20882.550000000003"/>
    <n v="0"/>
    <n v="45.31"/>
    <n v="248.72000000000116"/>
    <n v="0"/>
    <n v="0"/>
    <n v="0"/>
    <n v="20837"/>
    <n v="0"/>
    <n v="0"/>
    <n v="0"/>
    <n v="0"/>
    <n v="161.27117821782173"/>
    <n v="72.142857142857153"/>
    <n v="-1.191042281713685E-2"/>
    <n v="5"/>
    <m/>
    <s v="Laldiyara"/>
    <m/>
    <n v="0"/>
  </r>
  <r>
    <s v="Munger"/>
    <s v="10-16 Jul"/>
    <n v="1002"/>
    <s v="Laldiyara"/>
    <x v="51"/>
    <s v="Gomukh Repura"/>
    <s v="MPG"/>
    <s v="Direct"/>
    <n v="688.5"/>
    <n v="29534.61"/>
    <n v="687.40000000000009"/>
    <n v="29212.84"/>
    <n v="0"/>
    <n v="0"/>
    <n v="687.40000000000009"/>
    <n v="29212.84"/>
    <n v="29212.84"/>
    <n v="0"/>
    <n v="0"/>
    <n v="0"/>
    <n v="0"/>
    <n v="0"/>
    <n v="0"/>
    <n v="29213"/>
    <n v="0"/>
    <n v="0"/>
    <n v="322"/>
    <n v="0"/>
    <n v="9.8663185185184954"/>
    <n v="98.357142857142861"/>
    <n v="1.0894675771916421E-2"/>
    <n v="1"/>
    <m/>
    <s v="Laldiyara"/>
    <m/>
    <n v="0"/>
  </r>
  <r>
    <s v="Munger"/>
    <s v="10-16 Jul"/>
    <n v="1002"/>
    <s v="Laldiyara"/>
    <x v="52"/>
    <s v="Gomukh Virupur"/>
    <s v="MPG"/>
    <s v="Direct"/>
    <n v="346.40000000000003"/>
    <n v="14330.609999999999"/>
    <n v="343.84000000000003"/>
    <n v="15133.329999999998"/>
    <n v="1.66"/>
    <n v="69.2"/>
    <n v="345.50000000000006"/>
    <n v="15202.529999999999"/>
    <n v="14330.609999999999"/>
    <n v="0"/>
    <n v="69.2"/>
    <n v="871.92000000000007"/>
    <n v="0"/>
    <n v="0"/>
    <n v="0"/>
    <n v="14261"/>
    <n v="0"/>
    <n v="0"/>
    <n v="0"/>
    <s v="Release3"/>
    <n v="292.56949745958423"/>
    <n v="49.485714285714288"/>
    <n v="-6.0843188112718168E-2"/>
    <n v="5"/>
    <m/>
    <s v="Laldiyara"/>
    <m/>
    <n v="0"/>
  </r>
  <r>
    <s v="Munger"/>
    <s v="10-16 Jul"/>
    <n v="1002"/>
    <s v="Laldiyara"/>
    <x v="53"/>
    <s v="Gomukh Diyarapipariya                                                                               "/>
    <s v="MPG"/>
    <s v="Direct"/>
    <n v="1361.9"/>
    <n v="61715.89"/>
    <n v="1350.28"/>
    <n v="59790.780000000006"/>
    <n v="13.61"/>
    <n v="636.67999999999995"/>
    <n v="1363.8899999999999"/>
    <n v="60427.460000000006"/>
    <n v="60427.460000000006"/>
    <n v="0"/>
    <n v="636.67999999999995"/>
    <n v="0"/>
    <n v="0"/>
    <n v="0"/>
    <n v="0"/>
    <n v="59793"/>
    <n v="0"/>
    <n v="0"/>
    <n v="1286"/>
    <n v="0"/>
    <n v="0"/>
    <n v="0"/>
    <n v="2.0876795262937845E-2"/>
    <n v="20"/>
    <m/>
    <s v="Laldiyara"/>
    <m/>
    <n v="0"/>
  </r>
  <r>
    <s v="Munger"/>
    <s v="10-16 Jul"/>
    <n v="1002"/>
    <s v="Laldiyara"/>
    <x v="54"/>
    <s v="TAJPUR"/>
    <s v="MPG"/>
    <s v="Direct"/>
    <n v="931.8"/>
    <n v="42203.069999999992"/>
    <n v="916.00000000000011"/>
    <n v="39261.81"/>
    <n v="10.27"/>
    <n v="396.58000000000004"/>
    <n v="926.2700000000001"/>
    <n v="39658.39"/>
    <n v="39658.39"/>
    <n v="0"/>
    <n v="396.58000000000004"/>
    <n v="0"/>
    <n v="0"/>
    <n v="0"/>
    <n v="0"/>
    <n v="39261"/>
    <n v="0"/>
    <n v="0"/>
    <n v="2545"/>
    <n v="0"/>
    <n v="0"/>
    <n v="0"/>
    <n v="6.0296087464726936E-2"/>
    <n v="23"/>
    <m/>
    <s v="Laldiyara"/>
    <m/>
    <n v="0"/>
  </r>
  <r>
    <s v="Munger"/>
    <s v="10-16 Jul"/>
    <n v="1002"/>
    <s v="Laldiyara"/>
    <x v="55"/>
    <s v="PATHUA"/>
    <s v="MPG"/>
    <s v="Direct"/>
    <n v="1572"/>
    <n v="68344.359999999986"/>
    <n v="1496.8999999999999"/>
    <n v="65342.020000000004"/>
    <n v="54.800000000000004"/>
    <n v="2372.4799999999996"/>
    <n v="1551.6999999999998"/>
    <n v="67714.5"/>
    <n v="67714.5"/>
    <n v="0"/>
    <n v="2030.0499999999997"/>
    <n v="0"/>
    <n v="0"/>
    <n v="0"/>
    <n v="0"/>
    <n v="65342"/>
    <n v="342"/>
    <n v="0"/>
    <n v="630"/>
    <n v="0"/>
    <n v="0"/>
    <n v="0"/>
    <n v="9.2159762707557172E-3"/>
    <n v="7"/>
    <m/>
    <s v="Laldiyara"/>
    <m/>
    <n v="0"/>
  </r>
  <r>
    <s v="Munger"/>
    <s v="10-16 Jul"/>
    <n v="1002"/>
    <s v="Laldiyara"/>
    <x v="56"/>
    <s v="LODIYA"/>
    <s v="MPG"/>
    <s v="Direct"/>
    <n v="616.90000000000009"/>
    <n v="26696.03"/>
    <n v="611.44000000000005"/>
    <n v="25416.390000000003"/>
    <n v="5.87"/>
    <n v="247.23"/>
    <n v="617.31000000000006"/>
    <n v="25663.620000000003"/>
    <n v="25663.620000000003"/>
    <n v="0"/>
    <n v="247.23"/>
    <n v="0"/>
    <n v="0"/>
    <n v="0"/>
    <n v="0"/>
    <n v="25417"/>
    <n v="0"/>
    <n v="0"/>
    <n v="1032"/>
    <n v="0"/>
    <n v="71.922194618252419"/>
    <n v="88.128571428571448"/>
    <n v="3.8672791422544713E-2"/>
    <n v="13"/>
    <m/>
    <s v="Laldiyara"/>
    <m/>
    <n v="0"/>
  </r>
  <r>
    <s v="Munger"/>
    <s v="10-16 Jul"/>
    <n v="1002"/>
    <s v="Laldiyara"/>
    <x v="57"/>
    <s v="ADARSH LAXMIPUR-3"/>
    <s v="MPG"/>
    <s v="Direct"/>
    <n v="237.5"/>
    <n v="12307.390000000001"/>
    <n v="235.56"/>
    <n v="11965.17"/>
    <n v="2.4700000000000002"/>
    <n v="106.51"/>
    <n v="238.03"/>
    <n v="12071.68"/>
    <n v="12071.68"/>
    <n v="0"/>
    <n v="106.51"/>
    <n v="0"/>
    <n v="0"/>
    <n v="500"/>
    <n v="0"/>
    <n v="11465"/>
    <n v="0"/>
    <n v="0"/>
    <n v="236"/>
    <n v="0"/>
    <n v="479.34045263157901"/>
    <n v="33.928571428571431"/>
    <n v="1.9151907918738328E-2"/>
    <n v="7"/>
    <m/>
    <s v="Laldiyara"/>
    <m/>
    <n v="500"/>
  </r>
  <r>
    <s v="Munger"/>
    <s v="10-16 Jul"/>
    <n v="1002"/>
    <s v="Laldiyara"/>
    <x v="58"/>
    <s v="BHANPUR"/>
    <s v="MPG"/>
    <s v="Direct"/>
    <n v="726.2"/>
    <n v="27782.2"/>
    <n v="726.2"/>
    <n v="27791.010000000002"/>
    <n v="0"/>
    <n v="0"/>
    <n v="726.2"/>
    <n v="27791.010000000002"/>
    <n v="27782.2"/>
    <n v="0"/>
    <n v="0"/>
    <n v="8.8100000000013097"/>
    <n v="0"/>
    <n v="0"/>
    <n v="0"/>
    <n v="27782"/>
    <n v="0"/>
    <n v="0"/>
    <n v="0"/>
    <n v="0"/>
    <n v="0"/>
    <n v="0"/>
    <n v="-3.1710951616507367E-4"/>
    <n v="1"/>
    <m/>
    <s v="Laldiyara"/>
    <m/>
    <n v="0"/>
  </r>
  <r>
    <s v="Munger"/>
    <s v="10-16 Jul"/>
    <n v="1002"/>
    <s v="Laldiyara"/>
    <x v="59"/>
    <s v="Karari Pipariya 2"/>
    <s v="MPG"/>
    <s v="Direct"/>
    <n v="830.6"/>
    <n v="37268.33"/>
    <n v="824.8399999999998"/>
    <n v="37295.840000000004"/>
    <n v="12.770000000000001"/>
    <n v="553.54999999999995"/>
    <n v="837.60999999999979"/>
    <n v="37849.390000000007"/>
    <n v="37268.33"/>
    <n v="0"/>
    <n v="553.54999999999995"/>
    <n v="581.06000000000495"/>
    <n v="0"/>
    <n v="0"/>
    <n v="0"/>
    <n v="36715"/>
    <n v="0"/>
    <n v="0"/>
    <n v="0"/>
    <n v="0"/>
    <n v="0"/>
    <n v="0"/>
    <n v="-1.5591254021846563E-2"/>
    <n v="8"/>
    <m/>
    <s v="Laldiyara"/>
    <m/>
    <n v="0"/>
  </r>
  <r>
    <s v="Munger"/>
    <s v="10-16 Jul"/>
    <n v="1002"/>
    <s v="Laldiyara"/>
    <x v="60"/>
    <s v="DIYARA PIPARIYA-THANA                                                                               "/>
    <s v="MPG"/>
    <s v="Direct"/>
    <n v="1342.3000000000002"/>
    <n v="61456.61"/>
    <n v="1312.9199999999996"/>
    <n v="58436.869999999988"/>
    <n v="23.28"/>
    <n v="1166.4900000000002"/>
    <n v="1336.1999999999996"/>
    <n v="59603.359999999986"/>
    <n v="59603.359999999986"/>
    <n v="0"/>
    <n v="1166.4900000000002"/>
    <n v="0"/>
    <n v="0"/>
    <n v="0"/>
    <n v="0"/>
    <n v="58438"/>
    <n v="0"/>
    <n v="0"/>
    <n v="1852"/>
    <n v="0"/>
    <n v="0"/>
    <n v="0"/>
    <n v="3.0155421849659695E-2"/>
    <n v="20"/>
    <m/>
    <s v="Laldiyara"/>
    <m/>
    <n v="0"/>
  </r>
  <r>
    <s v="Munger"/>
    <s v="10-16 Jul"/>
    <n v="1002"/>
    <s v="Laldiyara"/>
    <x v="61"/>
    <s v="SRI RAM SINGH(VLC)"/>
    <s v="vlc"/>
    <s v="Indirect"/>
    <n v="3319.7999999999997"/>
    <n v="142189.43"/>
    <n v="0"/>
    <n v="0"/>
    <n v="0"/>
    <n v="0"/>
    <n v="0"/>
    <n v="0"/>
    <n v="142189.43"/>
    <n v="0"/>
    <n v="0"/>
    <n v="0"/>
    <n v="0"/>
    <n v="0"/>
    <n v="0"/>
    <n v="0"/>
    <n v="0"/>
    <n v="142189.43"/>
    <n v="0"/>
    <n v="0"/>
    <n v="0"/>
    <n v="0"/>
    <n v="0"/>
    <n v="0"/>
    <m/>
    <s v="Laldiyara"/>
    <m/>
    <n v="0"/>
  </r>
  <r>
    <s v="Munger"/>
    <s v="10-16 Jul"/>
    <n v="1002"/>
    <s v="Laldiyara"/>
    <x v="62"/>
    <s v="GADHTOLA"/>
    <s v="MPG"/>
    <s v="Direct"/>
    <n v="1422"/>
    <n v="66762.259999999995"/>
    <n v="1456.9899999999998"/>
    <n v="66397.33"/>
    <n v="6.1000000000000005"/>
    <n v="262.66000000000003"/>
    <n v="1463.0899999999997"/>
    <n v="66659.990000000005"/>
    <n v="66659.990000000005"/>
    <n v="0"/>
    <n v="262.66000000000003"/>
    <n v="0"/>
    <n v="0"/>
    <n v="0"/>
    <n v="0"/>
    <n v="66398"/>
    <n v="0"/>
    <n v="0"/>
    <n v="102"/>
    <n v="0"/>
    <n v="0"/>
    <n v="0"/>
    <n v="1.5318534753016081E-3"/>
    <n v="11"/>
    <m/>
    <s v="Laldiyara"/>
    <m/>
    <n v="0"/>
  </r>
  <r>
    <s v="Munger"/>
    <s v="10-16 Jul"/>
    <n v="1002"/>
    <s v="Laldiyara"/>
    <x v="63"/>
    <s v="Chetan Tola - Ravi"/>
    <s v="vlc"/>
    <s v="Indirect"/>
    <n v="742.50000000000011"/>
    <n v="44032.959999999999"/>
    <n v="0"/>
    <n v="0"/>
    <n v="0"/>
    <n v="0"/>
    <n v="0"/>
    <n v="0"/>
    <n v="44032.959999999999"/>
    <n v="0"/>
    <n v="0"/>
    <n v="0"/>
    <n v="0"/>
    <n v="0"/>
    <n v="0"/>
    <n v="0"/>
    <n v="0"/>
    <n v="44032.959999999999"/>
    <n v="0"/>
    <n v="0"/>
    <n v="0"/>
    <n v="0"/>
    <n v="0"/>
    <n v="0"/>
    <m/>
    <s v="Laldiyara"/>
    <m/>
    <n v="0"/>
  </r>
  <r>
    <s v="Munger"/>
    <s v="10-16 Jul"/>
    <n v="1002"/>
    <s v="Laldiyara"/>
    <x v="64"/>
    <s v="Diyara-Pipariya-Utri - Chandan"/>
    <s v="vlc"/>
    <s v="Indirect"/>
    <n v="1907.2"/>
    <n v="82741.310000000012"/>
    <n v="0"/>
    <n v="0"/>
    <n v="0"/>
    <n v="0"/>
    <n v="0"/>
    <n v="0"/>
    <n v="82741.310000000012"/>
    <n v="0"/>
    <n v="0"/>
    <n v="0"/>
    <n v="0"/>
    <n v="0"/>
    <n v="0"/>
    <n v="0"/>
    <n v="0"/>
    <n v="82741.310000000012"/>
    <n v="0"/>
    <n v="0"/>
    <n v="0"/>
    <n v="0"/>
    <n v="0"/>
    <n v="0"/>
    <m/>
    <s v="Laldiyara"/>
    <m/>
    <n v="0"/>
  </r>
  <r>
    <s v="Munger"/>
    <s v="10-16 Jul"/>
    <n v="1002"/>
    <s v="Laldiyara"/>
    <x v="967"/>
    <s v="Chetan Tola-Dakshin - Hari Om"/>
    <s v="vlc"/>
    <s v="Indirect"/>
    <n v="110.6"/>
    <n v="6242.26"/>
    <n v="0"/>
    <n v="0"/>
    <n v="0"/>
    <n v="0"/>
    <n v="0"/>
    <n v="0"/>
    <n v="6242.26"/>
    <n v="0"/>
    <n v="0"/>
    <n v="0"/>
    <n v="0"/>
    <n v="0"/>
    <n v="0"/>
    <n v="0"/>
    <n v="0"/>
    <n v="6242.26"/>
    <n v="0"/>
    <n v="0"/>
    <n v="665.31429367088617"/>
    <n v="15.799999999999999"/>
    <n v="0"/>
    <n v="0"/>
    <m/>
    <s v="Laldiyara"/>
    <m/>
    <n v="0"/>
  </r>
  <r>
    <s v="Munger"/>
    <s v="10-16 Jul"/>
    <n v="1002"/>
    <s v="Laldiyara"/>
    <x v="65"/>
    <s v="KANHARPUR-2"/>
    <s v="MPG"/>
    <s v="Direct"/>
    <n v="2687.2000000000007"/>
    <n v="128346.85000000003"/>
    <n v="2494.29"/>
    <n v="118990.67000000001"/>
    <n v="206.43"/>
    <n v="9193.07"/>
    <n v="2700.72"/>
    <n v="128183.74000000002"/>
    <n v="128183.74000000002"/>
    <n v="0"/>
    <n v="1729.54"/>
    <n v="0"/>
    <n v="0"/>
    <n v="0"/>
    <n v="0"/>
    <n v="118991"/>
    <n v="7464"/>
    <n v="0"/>
    <n v="162"/>
    <n v="0"/>
    <n v="0"/>
    <n v="0"/>
    <n v="1.270853160790585E-3"/>
    <n v="13"/>
    <m/>
    <s v="Laldiyara"/>
    <m/>
    <n v="0"/>
  </r>
  <r>
    <s v="Munger"/>
    <s v="10-16 Jul"/>
    <n v="1002"/>
    <s v="Laldiyara"/>
    <x v="66"/>
    <s v="BASAUNA"/>
    <s v="MPG"/>
    <s v="Direct"/>
    <n v="710.80000000000007"/>
    <n v="29683.9"/>
    <n v="509.57000000000011"/>
    <n v="22434.800000000003"/>
    <n v="179.92000000000002"/>
    <n v="6967.38"/>
    <n v="689.49000000000012"/>
    <n v="29402.180000000004"/>
    <n v="29402.180000000004"/>
    <n v="0"/>
    <n v="213.10000000000002"/>
    <n v="0"/>
    <n v="0"/>
    <n v="0"/>
    <n v="0"/>
    <n v="22436"/>
    <n v="6754"/>
    <n v="0"/>
    <n v="281"/>
    <n v="0"/>
    <n v="0"/>
    <n v="0"/>
    <n v="9.4906666576830365E-3"/>
    <n v="9"/>
    <m/>
    <s v="Laldiyara"/>
    <m/>
    <n v="0"/>
  </r>
  <r>
    <s v="Munger"/>
    <s v="10-16 Jul"/>
    <n v="1002"/>
    <s v="Laldiyara"/>
    <x v="67"/>
    <s v="GANGA-SARAI"/>
    <s v="MPG"/>
    <s v="Direct"/>
    <n v="1198.3"/>
    <n v="52631.020000000004"/>
    <n v="896.83999999999992"/>
    <n v="37420.5"/>
    <n v="344.32000000000005"/>
    <n v="14911.33"/>
    <n v="1241.1599999999999"/>
    <n v="52331.83"/>
    <n v="52331.83"/>
    <n v="0"/>
    <n v="418.15"/>
    <n v="0"/>
    <n v="0"/>
    <n v="0"/>
    <n v="0"/>
    <n v="37419"/>
    <n v="14493"/>
    <n v="0"/>
    <n v="301"/>
    <n v="0"/>
    <n v="0"/>
    <n v="0"/>
    <n v="5.6846703711993856E-3"/>
    <n v="10"/>
    <m/>
    <s v="Laldiyara"/>
    <m/>
    <n v="0"/>
  </r>
  <r>
    <s v="Munger"/>
    <s v="10-16 Jul"/>
    <n v="1002"/>
    <s v="Laldiyara"/>
    <x v="68"/>
    <s v="GOVIND-BIGHA                                                                                        "/>
    <s v="MPG"/>
    <s v="Direct"/>
    <n v="232.5"/>
    <n v="9927.2100000000009"/>
    <n v="233.83"/>
    <n v="10050.74"/>
    <n v="3.52"/>
    <n v="150.03"/>
    <n v="237.35000000000002"/>
    <n v="10200.77"/>
    <n v="9927.2100000000009"/>
    <n v="0"/>
    <n v="150.03"/>
    <n v="273.55999999999949"/>
    <n v="0"/>
    <n v="0"/>
    <n v="0"/>
    <n v="9777"/>
    <n v="0"/>
    <n v="0"/>
    <n v="0"/>
    <n v="0"/>
    <n v="399.22328387096775"/>
    <n v="33.214285714285715"/>
    <n v="-2.7556584377685118E-2"/>
    <n v="10"/>
    <m/>
    <s v="Laldiyara"/>
    <m/>
    <n v="0"/>
  </r>
  <r>
    <s v="Munger"/>
    <s v="10-16 Jul"/>
    <n v="1002"/>
    <s v="Laldiyara"/>
    <x v="69"/>
    <s v="MALPUR                                                                                              "/>
    <s v="MPG"/>
    <s v="Direct"/>
    <n v="983.89999999999986"/>
    <n v="45712.78"/>
    <n v="480.19000000000011"/>
    <n v="25033.79"/>
    <n v="551.94999999999993"/>
    <n v="23971.520000000004"/>
    <n v="1032.1400000000001"/>
    <n v="49005.310000000005"/>
    <n v="45712.78"/>
    <n v="0"/>
    <n v="292.87"/>
    <n v="3292.5300000000061"/>
    <n v="0"/>
    <n v="0"/>
    <n v="0"/>
    <n v="21741"/>
    <n v="23679"/>
    <n v="0"/>
    <n v="0"/>
    <n v="0"/>
    <n v="0"/>
    <n v="0"/>
    <n v="-7.2026466121728014E-2"/>
    <n v="10"/>
    <m/>
    <s v="Laldiyara"/>
    <m/>
    <n v="0"/>
  </r>
  <r>
    <s v="Munger"/>
    <s v="10-16 Jul"/>
    <n v="1002"/>
    <s v="Laldiyara"/>
    <x v="70"/>
    <s v="Gomukh Hasanpur"/>
    <s v="vlc"/>
    <s v="Indirect"/>
    <n v="1064.2"/>
    <n v="44909.299999999981"/>
    <n v="0"/>
    <n v="0"/>
    <n v="0"/>
    <n v="0"/>
    <n v="0"/>
    <n v="0"/>
    <n v="44909.299999999981"/>
    <n v="0"/>
    <n v="0"/>
    <n v="0"/>
    <n v="0"/>
    <n v="0"/>
    <n v="0"/>
    <n v="0"/>
    <n v="0"/>
    <n v="44909.299999999981"/>
    <n v="0"/>
    <n v="0"/>
    <n v="0"/>
    <n v="0"/>
    <n v="0"/>
    <n v="0"/>
    <m/>
    <s v="Laldiyara"/>
    <m/>
    <n v="0"/>
  </r>
  <r>
    <s v="Munger"/>
    <s v="10-16 Jul"/>
    <n v="1002"/>
    <s v="Laldiyara"/>
    <x v="71"/>
    <s v="ADARSH LAXMIPUR-2"/>
    <s v="vlc"/>
    <s v="Indirect"/>
    <n v="1294.3999999999999"/>
    <n v="53787.579999999994"/>
    <n v="0"/>
    <n v="0"/>
    <n v="0"/>
    <n v="0"/>
    <n v="0"/>
    <n v="0"/>
    <n v="53787.579999999994"/>
    <n v="0"/>
    <n v="0"/>
    <n v="0"/>
    <n v="0"/>
    <n v="0"/>
    <n v="0"/>
    <n v="0"/>
    <n v="0"/>
    <n v="0"/>
    <n v="53788"/>
    <s v="Yes"/>
    <n v="0"/>
    <n v="0"/>
    <n v="0"/>
    <n v="0"/>
    <m/>
    <s v="Laldiyara"/>
    <m/>
    <n v="0"/>
  </r>
  <r>
    <s v="Munger"/>
    <s v="10-16 Jul"/>
    <n v="1002"/>
    <s v="Laldiyara"/>
    <x v="72"/>
    <s v="SABIKPUR"/>
    <s v="MPG"/>
    <s v="Direct"/>
    <n v="1488.2"/>
    <n v="64820.509999999995"/>
    <n v="1569.82"/>
    <n v="70151.45"/>
    <n v="0"/>
    <n v="0"/>
    <n v="1569.82"/>
    <n v="70151.45"/>
    <n v="64820.509999999995"/>
    <n v="0"/>
    <n v="0"/>
    <n v="5330.9400000000023"/>
    <n v="0"/>
    <n v="0"/>
    <n v="0"/>
    <n v="64821"/>
    <n v="0"/>
    <n v="0"/>
    <n v="0"/>
    <n v="0"/>
    <n v="0"/>
    <n v="0"/>
    <n v="-8.2241562122852829E-2"/>
    <n v="35"/>
    <m/>
    <s v="Laldiyara"/>
    <m/>
    <n v="0"/>
  </r>
  <r>
    <s v="Munger"/>
    <s v="10-16 Jul"/>
    <n v="1002"/>
    <s v="Laldiyara"/>
    <x v="73"/>
    <s v="CHETAN-TOLA-KHUTHA"/>
    <s v="MPG"/>
    <s v="Direct"/>
    <n v="201.4"/>
    <n v="8488.0899999999983"/>
    <n v="344.62"/>
    <n v="14053.330000000002"/>
    <n v="0.04"/>
    <n v="1.76"/>
    <n v="344.66"/>
    <n v="14055.090000000002"/>
    <n v="8488.0899999999983"/>
    <n v="0"/>
    <n v="1.76"/>
    <n v="5567.0000000000036"/>
    <n v="0"/>
    <n v="500"/>
    <n v="0"/>
    <n v="7986"/>
    <n v="0"/>
    <n v="0"/>
    <n v="0"/>
    <n v="0"/>
    <n v="420.27424766633561"/>
    <n v="28.771428571428572"/>
    <n v="-0.65586015228396555"/>
    <n v="2"/>
    <m/>
    <s v="Laldiyara"/>
    <m/>
    <n v="500"/>
  </r>
  <r>
    <s v="Munger"/>
    <s v="10-16 Jul"/>
    <n v="1002"/>
    <s v="Laldiyara"/>
    <x v="74"/>
    <s v="LAXMIPUR"/>
    <s v="MPG"/>
    <s v="Direct"/>
    <n v="769.20000000000016"/>
    <n v="30744.489999999998"/>
    <n v="765.6"/>
    <n v="35119.14"/>
    <n v="0"/>
    <n v="0"/>
    <n v="765.6"/>
    <n v="35119.14"/>
    <n v="30744.489999999998"/>
    <n v="0"/>
    <n v="0"/>
    <n v="4374.6500000000015"/>
    <n v="0"/>
    <n v="0"/>
    <n v="0"/>
    <n v="30744"/>
    <n v="0"/>
    <n v="0"/>
    <n v="0"/>
    <s v="Release3"/>
    <n v="0"/>
    <n v="0"/>
    <n v="-0.14229053726375041"/>
    <n v="9"/>
    <m/>
    <s v="Laldiyara"/>
    <m/>
    <n v="0"/>
  </r>
  <r>
    <s v="Munger"/>
    <s v="10-16 Jul"/>
    <n v="1002"/>
    <s v="Laldiyara"/>
    <x v="75"/>
    <s v="REHUA RK"/>
    <s v="vlc"/>
    <s v="Indirect"/>
    <n v="1129.1999999999998"/>
    <n v="44550.270000000004"/>
    <n v="0"/>
    <n v="0"/>
    <n v="0"/>
    <n v="0"/>
    <n v="0"/>
    <n v="0"/>
    <n v="44550.270000000004"/>
    <n v="0"/>
    <n v="0"/>
    <n v="0"/>
    <n v="0"/>
    <n v="0"/>
    <n v="0"/>
    <n v="0"/>
    <n v="0"/>
    <n v="44550.270000000004"/>
    <n v="0"/>
    <n v="0"/>
    <n v="0"/>
    <n v="0"/>
    <n v="0"/>
    <n v="0"/>
    <m/>
    <s v="Laldiyara"/>
    <m/>
    <n v="0"/>
  </r>
  <r>
    <s v="Munger"/>
    <s v="10-16 Jul"/>
    <n v="1002"/>
    <s v="Laldiyara"/>
    <x v="76"/>
    <s v="RAMNAGAR"/>
    <s v="MPG"/>
    <s v="Direct"/>
    <n v="233"/>
    <n v="10699.43"/>
    <n v="241.77"/>
    <n v="11419.95"/>
    <n v="0"/>
    <n v="0"/>
    <n v="241.77"/>
    <n v="11419.95"/>
    <n v="10699.43"/>
    <n v="0"/>
    <n v="0"/>
    <n v="720.52000000000044"/>
    <n v="0"/>
    <n v="0"/>
    <n v="0"/>
    <n v="10699"/>
    <n v="0"/>
    <n v="0"/>
    <n v="0"/>
    <s v="Release3"/>
    <n v="428.8956060085838"/>
    <n v="33.285714285714285"/>
    <n v="-6.7341905129525634E-2"/>
    <n v="7"/>
    <m/>
    <s v="Laldiyara"/>
    <m/>
    <n v="0"/>
  </r>
  <r>
    <s v="Munger"/>
    <s v="10-16 Jul"/>
    <n v="1002"/>
    <s v="Laldiyara"/>
    <x v="77"/>
    <s v="BANSIPUR"/>
    <s v="MPG"/>
    <s v="Direct"/>
    <n v="301.39999999999998"/>
    <n v="15171.849999999999"/>
    <n v="301.39999999999998"/>
    <n v="15191.850000000002"/>
    <n v="0"/>
    <n v="0"/>
    <n v="301.39999999999998"/>
    <n v="15191.850000000002"/>
    <n v="15171.849999999999"/>
    <n v="0"/>
    <n v="0"/>
    <n v="20.000000000003638"/>
    <n v="0"/>
    <n v="500"/>
    <n v="0"/>
    <n v="14672"/>
    <n v="0"/>
    <n v="0"/>
    <n v="0"/>
    <n v="0"/>
    <n v="401.29392236230927"/>
    <n v="43.057142857142857"/>
    <n v="-1.3182308024402851E-3"/>
    <n v="1"/>
    <m/>
    <s v="Laldiyara"/>
    <m/>
    <n v="500"/>
  </r>
  <r>
    <s v="Munger"/>
    <s v="10-16 Jul"/>
    <n v="1002"/>
    <s v="Laldiyara"/>
    <x v="78"/>
    <s v="GODIH"/>
    <s v="MPG"/>
    <s v="Direct"/>
    <n v="567.30000000000007"/>
    <n v="25026.57"/>
    <n v="566.96"/>
    <n v="32405.119999999999"/>
    <n v="0"/>
    <n v="0"/>
    <n v="566.96"/>
    <n v="32405.119999999999"/>
    <n v="25026.57"/>
    <n v="0"/>
    <n v="0"/>
    <n v="7378.5499999999993"/>
    <n v="0"/>
    <n v="0"/>
    <n v="0"/>
    <n v="25027"/>
    <n v="0"/>
    <n v="0"/>
    <n v="0"/>
    <n v="0"/>
    <n v="117.0818205182442"/>
    <n v="81.042857142857159"/>
    <n v="-0.29482865610429232"/>
    <n v="2"/>
    <m/>
    <s v="Laldiyara"/>
    <m/>
    <n v="0"/>
  </r>
  <r>
    <s v="Munger"/>
    <s v="10-16 Jul"/>
    <n v="1002"/>
    <s v="Laldiyara"/>
    <x v="79"/>
    <s v="SINGARPUR"/>
    <s v="MPG"/>
    <s v="Direct"/>
    <n v="146.9"/>
    <n v="6555.1400000000012"/>
    <n v="146.61999999999998"/>
    <n v="7282.55"/>
    <n v="0"/>
    <n v="0"/>
    <n v="146.61999999999998"/>
    <n v="7282.55"/>
    <n v="6555.1400000000012"/>
    <n v="0"/>
    <n v="0"/>
    <n v="727.40999999999894"/>
    <n v="0"/>
    <n v="500"/>
    <n v="0"/>
    <n v="6055"/>
    <n v="0"/>
    <n v="0"/>
    <n v="0"/>
    <n v="0"/>
    <n v="493.62122995234853"/>
    <n v="20.985714285714288"/>
    <n v="-0.11096788169283933"/>
    <n v="3"/>
    <m/>
    <s v="Laldiyara"/>
    <m/>
    <n v="500"/>
  </r>
  <r>
    <s v="Munger"/>
    <s v="10-16 Jul"/>
    <n v="1002"/>
    <s v="Laldiyara"/>
    <x v="80"/>
    <s v="G WOLIPUR"/>
    <s v="MPG"/>
    <s v="Indirect"/>
    <n v="2188.1999999999998"/>
    <n v="92601.700000000012"/>
    <n v="0"/>
    <n v="0"/>
    <n v="0"/>
    <n v="0"/>
    <n v="0"/>
    <n v="0"/>
    <n v="92601.700000000012"/>
    <n v="0"/>
    <n v="0"/>
    <n v="0"/>
    <n v="0"/>
    <n v="0"/>
    <n v="0"/>
    <n v="0"/>
    <n v="0"/>
    <n v="92601.700000000012"/>
    <n v="0"/>
    <n v="0"/>
    <n v="0"/>
    <n v="0"/>
    <n v="0"/>
    <n v="0"/>
    <m/>
    <s v="Laldiyara"/>
    <m/>
    <n v="0"/>
  </r>
  <r>
    <s v="Munger"/>
    <s v="10-16 Jul"/>
    <n v="1002"/>
    <s v="Laldiyara"/>
    <x v="81"/>
    <s v="REHUA 3"/>
    <s v="MPG"/>
    <s v="Indirect"/>
    <n v="1663.5999999999997"/>
    <n v="71853.179999999978"/>
    <n v="0"/>
    <n v="0"/>
    <n v="0"/>
    <n v="0"/>
    <n v="0"/>
    <n v="0"/>
    <n v="71853.179999999978"/>
    <n v="0"/>
    <n v="0"/>
    <n v="0"/>
    <n v="0"/>
    <n v="0"/>
    <n v="0"/>
    <n v="0"/>
    <n v="0"/>
    <n v="71853.179999999978"/>
    <n v="0"/>
    <n v="0"/>
    <n v="0"/>
    <n v="0"/>
    <n v="0"/>
    <n v="0"/>
    <m/>
    <s v="Laldiyara"/>
    <m/>
    <n v="0"/>
  </r>
  <r>
    <s v="Munger"/>
    <s v="10-16 Jul"/>
    <n v="1002"/>
    <s v="Laldiyara"/>
    <x v="82"/>
    <s v="BICHWAY"/>
    <s v="MPG"/>
    <s v="Direct"/>
    <n v="588.59999999999991"/>
    <n v="23408.129999999997"/>
    <n v="589.79999999999995"/>
    <n v="24923.8"/>
    <n v="0"/>
    <n v="0"/>
    <n v="589.79999999999995"/>
    <n v="24923.8"/>
    <n v="23408.129999999997"/>
    <n v="0"/>
    <n v="0"/>
    <n v="1515.6700000000019"/>
    <n v="0"/>
    <n v="0"/>
    <n v="0"/>
    <n v="23408"/>
    <n v="0"/>
    <n v="0"/>
    <n v="0"/>
    <n v="0"/>
    <n v="88.605697655453682"/>
    <n v="84.085714285714275"/>
    <n v="-6.474972584311528E-2"/>
    <n v="2"/>
    <m/>
    <s v="Laldiyara"/>
    <m/>
    <n v="0"/>
  </r>
  <r>
    <s v="Munger"/>
    <s v="10-16 Jul"/>
    <n v="1002"/>
    <s v="Laldiyara"/>
    <x v="83"/>
    <s v="MANOHARPUR"/>
    <s v="MPG"/>
    <s v="Direct"/>
    <n v="611.40000000000009"/>
    <n v="25937.98"/>
    <n v="143.38"/>
    <n v="5690.52"/>
    <n v="469.97"/>
    <n v="18951.050000000003"/>
    <n v="613.35"/>
    <n v="24641.570000000003"/>
    <n v="24641.570000000003"/>
    <n v="0"/>
    <n v="0"/>
    <n v="0"/>
    <n v="0"/>
    <n v="0"/>
    <n v="0"/>
    <n v="5691"/>
    <n v="18953"/>
    <n v="0"/>
    <n v="1294"/>
    <n v="0"/>
    <n v="75.175172652927628"/>
    <n v="87.342857142857156"/>
    <n v="4.9981147336839504E-2"/>
    <n v="26"/>
    <m/>
    <s v="Laldiyara"/>
    <m/>
    <n v="0"/>
  </r>
  <r>
    <s v="Munger"/>
    <s v="10-16 Jul"/>
    <n v="1002"/>
    <s v="Laldiyara"/>
    <x v="84"/>
    <s v="HIRDANBIGHA"/>
    <s v="MPG"/>
    <s v="Direct"/>
    <n v="744.39999999999986"/>
    <n v="31546.06"/>
    <n v="760.48999999999978"/>
    <n v="30856.18"/>
    <n v="0"/>
    <n v="0"/>
    <n v="760.48999999999978"/>
    <n v="30856.18"/>
    <n v="30856.18"/>
    <n v="0"/>
    <n v="0"/>
    <n v="0"/>
    <n v="0"/>
    <n v="0"/>
    <n v="0"/>
    <n v="30856"/>
    <n v="0"/>
    <n v="0"/>
    <n v="690"/>
    <n v="0"/>
    <n v="0"/>
    <n v="0"/>
    <n v="2.1868975079613776E-2"/>
    <n v="3"/>
    <m/>
    <s v="Laldiyara"/>
    <m/>
    <n v="0"/>
  </r>
  <r>
    <s v="Munger"/>
    <s v="10-16 Jul"/>
    <n v="1002"/>
    <s v="Laldiyara"/>
    <x v="85"/>
    <s v="KHUTAHA DIH C"/>
    <s v="MPG"/>
    <s v="Direct"/>
    <n v="285.8"/>
    <n v="11502.990000000002"/>
    <n v="284.6099999999999"/>
    <n v="11860.199999999997"/>
    <n v="0"/>
    <n v="0"/>
    <n v="284.6099999999999"/>
    <n v="11860.199999999997"/>
    <n v="11502.990000000002"/>
    <n v="0"/>
    <n v="0"/>
    <n v="357.20999999999549"/>
    <n v="0"/>
    <n v="0"/>
    <n v="0"/>
    <n v="11503"/>
    <n v="0"/>
    <n v="0"/>
    <n v="0"/>
    <n v="0"/>
    <n v="333.41766675997206"/>
    <n v="40.828571428571429"/>
    <n v="-3.1053665177488241E-2"/>
    <n v="1"/>
    <m/>
    <s v="Laldiyara"/>
    <m/>
    <n v="0"/>
  </r>
  <r>
    <s v="Munger"/>
    <s v="10-16 Jul"/>
    <n v="1003"/>
    <s v="Asarganj"/>
    <x v="86"/>
    <s v="MOHANPUR"/>
    <s v="vlc"/>
    <s v="Indirect"/>
    <n v="537.5"/>
    <n v="22637.35"/>
    <n v="0"/>
    <n v="0"/>
    <n v="0"/>
    <n v="0"/>
    <n v="0"/>
    <n v="0"/>
    <n v="22637.35"/>
    <n v="0"/>
    <n v="0"/>
    <n v="0"/>
    <n v="0"/>
    <n v="0"/>
    <n v="0"/>
    <n v="0"/>
    <n v="0"/>
    <n v="22637.35"/>
    <n v="0"/>
    <n v="0"/>
    <n v="136.87699999999995"/>
    <n v="76.785714285714292"/>
    <n v="0"/>
    <n v="0"/>
    <m/>
    <s v="Asarganj"/>
    <m/>
    <n v="0"/>
  </r>
  <r>
    <s v="Munger"/>
    <s v="10-16 Jul"/>
    <n v="1003"/>
    <s v="Asarganj"/>
    <x v="87"/>
    <s v="CHATMADIH"/>
    <s v="MPG"/>
    <s v="Direct"/>
    <n v="1841.4"/>
    <n v="90312.349999999977"/>
    <n v="1821.9999999999993"/>
    <n v="88528.35"/>
    <n v="28.8"/>
    <n v="2097.6499999999996"/>
    <n v="1850.7999999999993"/>
    <n v="90626"/>
    <n v="90312.349999999977"/>
    <n v="0"/>
    <n v="2097.6499999999996"/>
    <n v="313.65000000002328"/>
    <n v="0"/>
    <n v="0"/>
    <n v="0"/>
    <n v="88215"/>
    <n v="0"/>
    <n v="0"/>
    <n v="0"/>
    <n v="0"/>
    <n v="0"/>
    <n v="0"/>
    <n v="-3.4729469446872258E-3"/>
    <n v="70"/>
    <m/>
    <s v="Asarganj"/>
    <m/>
    <n v="0"/>
  </r>
  <r>
    <s v="Munger"/>
    <s v="10-16 Jul"/>
    <n v="1003"/>
    <s v="Asarganj"/>
    <x v="88"/>
    <s v="SIYADIH"/>
    <s v="vlc"/>
    <s v="Indirect"/>
    <n v="802.25000000000011"/>
    <n v="23901.95"/>
    <n v="0"/>
    <n v="0"/>
    <n v="0"/>
    <n v="0"/>
    <n v="0"/>
    <n v="0"/>
    <n v="23901.95"/>
    <n v="0"/>
    <n v="0"/>
    <n v="0"/>
    <n v="0"/>
    <n v="0"/>
    <n v="0"/>
    <n v="0"/>
    <n v="0"/>
    <n v="23901.95"/>
    <n v="0"/>
    <n v="0"/>
    <n v="0"/>
    <n v="0"/>
    <n v="0"/>
    <n v="0"/>
    <m/>
    <s v="Asarganj"/>
    <m/>
    <n v="0"/>
  </r>
  <r>
    <s v="Munger"/>
    <s v="10-16 Jul"/>
    <n v="1003"/>
    <s v="Asarganj"/>
    <x v="89"/>
    <s v="Gomukh ID Laldiyara"/>
    <s v="vlc"/>
    <s v="Indirect"/>
    <n v="16526.099999999999"/>
    <n v="694071.55999999982"/>
    <n v="0"/>
    <n v="0"/>
    <n v="0"/>
    <n v="0"/>
    <n v="0"/>
    <n v="0"/>
    <n v="694071.55999999982"/>
    <n v="0"/>
    <n v="0"/>
    <n v="0"/>
    <n v="0"/>
    <n v="0"/>
    <n v="0"/>
    <n v="0"/>
    <n v="0"/>
    <n v="694071.55999999982"/>
    <n v="0"/>
    <n v="0"/>
    <n v="0"/>
    <n v="0"/>
    <n v="0"/>
    <n v="0"/>
    <m/>
    <s v="Asarganj"/>
    <m/>
    <n v="0"/>
  </r>
  <r>
    <s v="Munger"/>
    <s v="10-16 Jul"/>
    <n v="1003"/>
    <s v="Asarganj"/>
    <x v="90"/>
    <s v="KATHNI"/>
    <s v="MPG"/>
    <s v="Direct"/>
    <n v="214.3"/>
    <n v="7595.98"/>
    <n v="269.39999999999998"/>
    <n v="10289.929999999998"/>
    <n v="0"/>
    <n v="0"/>
    <n v="269.39999999999998"/>
    <n v="10289.929999999998"/>
    <n v="7595.98"/>
    <n v="0"/>
    <n v="0"/>
    <n v="2693.9499999999989"/>
    <n v="0"/>
    <n v="0"/>
    <n v="0"/>
    <n v="7596"/>
    <n v="0"/>
    <n v="0"/>
    <n v="0"/>
    <n v="0"/>
    <n v="344.31801082594495"/>
    <n v="30.614285714285717"/>
    <n v="-0.35465469893285645"/>
    <n v="1"/>
    <m/>
    <s v="Asarganj"/>
    <m/>
    <n v="0"/>
  </r>
  <r>
    <s v="Munger"/>
    <s v="10-16 Jul"/>
    <n v="1003"/>
    <s v="Asarganj"/>
    <x v="91"/>
    <s v="DEVDHA GOMUKH MPG"/>
    <s v="MPG"/>
    <s v="Direct"/>
    <n v="1504.6"/>
    <n v="63998.63"/>
    <n v="1476.2"/>
    <n v="62698.659999999989"/>
    <n v="6.9"/>
    <n v="295.53999999999996"/>
    <n v="1483.1000000000001"/>
    <n v="62994.19999999999"/>
    <n v="62994.19999999999"/>
    <n v="0"/>
    <n v="295.53999999999996"/>
    <n v="0"/>
    <n v="0"/>
    <n v="0"/>
    <n v="0"/>
    <n v="62702"/>
    <n v="0"/>
    <n v="0"/>
    <n v="1001"/>
    <n v="0"/>
    <n v="0"/>
    <n v="0"/>
    <n v="1.5694554711561913E-2"/>
    <n v="17"/>
    <m/>
    <s v="Asarganj"/>
    <m/>
    <n v="0"/>
  </r>
  <r>
    <s v="Munger"/>
    <s v="10-16 Jul"/>
    <n v="1003"/>
    <s v="Asarganj"/>
    <x v="92"/>
    <s v="KASBA(MANGOAN)"/>
    <s v="vlc"/>
    <s v="Indirect"/>
    <n v="171.3"/>
    <n v="7188.99"/>
    <n v="0"/>
    <n v="0"/>
    <n v="0"/>
    <n v="0"/>
    <n v="0"/>
    <n v="0"/>
    <n v="7188.99"/>
    <n v="0"/>
    <n v="0"/>
    <n v="0"/>
    <n v="0"/>
    <n v="0"/>
    <n v="0"/>
    <n v="0"/>
    <n v="0"/>
    <n v="7188.99"/>
    <n v="0"/>
    <n v="0"/>
    <n v="443.76170612959714"/>
    <n v="24.471428571428572"/>
    <n v="0"/>
    <n v="0"/>
    <m/>
    <s v="Asarganj"/>
    <m/>
    <n v="0"/>
  </r>
  <r>
    <s v="Munger"/>
    <s v="10-16 Jul"/>
    <n v="1003"/>
    <s v="Asarganj"/>
    <x v="93"/>
    <s v="LOHRA"/>
    <s v="MPG"/>
    <s v="Direct"/>
    <n v="681.19999999999993"/>
    <n v="37356.89"/>
    <n v="645.75999999999988"/>
    <n v="37136.200000000004"/>
    <n v="17.739999999999998"/>
    <n v="986.4000000000002"/>
    <n v="663.49999999999989"/>
    <n v="38122.600000000006"/>
    <n v="37356.89"/>
    <n v="0"/>
    <n v="986.4000000000002"/>
    <n v="765.7100000000064"/>
    <n v="0"/>
    <n v="0"/>
    <n v="0"/>
    <n v="36370"/>
    <n v="0"/>
    <n v="0"/>
    <n v="0"/>
    <n v="0"/>
    <n v="20.619774867880306"/>
    <n v="97.314285714285703"/>
    <n v="-2.0497155946332963E-2"/>
    <n v="12"/>
    <m/>
    <s v="Asarganj"/>
    <m/>
    <n v="0"/>
  </r>
  <r>
    <s v="Munger"/>
    <s v="10-16 Jul"/>
    <n v="1003"/>
    <s v="Asarganj"/>
    <x v="94"/>
    <s v="KAMATPUR"/>
    <s v="MPG"/>
    <s v="Direct"/>
    <n v="206.7"/>
    <n v="8120.51"/>
    <n v="0"/>
    <n v="0"/>
    <n v="0"/>
    <n v="0"/>
    <n v="0"/>
    <n v="0"/>
    <n v="0"/>
    <n v="0"/>
    <n v="0"/>
    <n v="0"/>
    <n v="0"/>
    <n v="0"/>
    <n v="0"/>
    <n v="0"/>
    <n v="0"/>
    <n v="0"/>
    <n v="8121"/>
    <n v="0"/>
    <n v="387.60015316884375"/>
    <n v="29.528571428571428"/>
    <n v="1"/>
    <n v="0"/>
    <m/>
    <s v="Asarganj"/>
    <m/>
    <n v="0"/>
  </r>
  <r>
    <s v="Munger"/>
    <s v="10-16 Jul"/>
    <n v="1003"/>
    <s v="Asarganj"/>
    <x v="95"/>
    <s v="GIRDHARA"/>
    <s v="MPG"/>
    <s v="Direct"/>
    <n v="1346.05"/>
    <n v="59696.129999999976"/>
    <n v="224.97"/>
    <n v="11700.300000000001"/>
    <n v="1127.21"/>
    <n v="49706.26"/>
    <n v="1352.18"/>
    <n v="61406.560000000005"/>
    <n v="59696.129999999976"/>
    <n v="0"/>
    <n v="367.24"/>
    <n v="1710.4300000000294"/>
    <n v="0"/>
    <n v="0"/>
    <n v="0"/>
    <n v="9990"/>
    <n v="49339"/>
    <n v="0"/>
    <n v="0"/>
    <n v="0"/>
    <n v="0"/>
    <n v="0"/>
    <n v="-2.8652276119072208E-2"/>
    <n v="13"/>
    <m/>
    <s v="Asarganj"/>
    <m/>
    <n v="0"/>
  </r>
  <r>
    <s v="Munger"/>
    <s v="10-16 Jul"/>
    <n v="1003"/>
    <s v="Asarganj"/>
    <x v="96"/>
    <s v="RATNI"/>
    <s v="MPG"/>
    <s v="Direct"/>
    <n v="1434.55"/>
    <n v="76499.87000000001"/>
    <n v="1420.5799999999997"/>
    <n v="74606.66"/>
    <n v="36.339999999999996"/>
    <n v="1966.8699999999994"/>
    <n v="1456.9199999999996"/>
    <n v="76573.53"/>
    <n v="76499.87000000001"/>
    <n v="0"/>
    <n v="1966.8699999999994"/>
    <n v="73.659999999988941"/>
    <n v="0"/>
    <n v="0"/>
    <n v="0"/>
    <n v="74533"/>
    <n v="0"/>
    <n v="0"/>
    <n v="0"/>
    <n v="0"/>
    <n v="0"/>
    <n v="0"/>
    <n v="-9.6287745325565827E-4"/>
    <n v="36"/>
    <m/>
    <s v="Asarganj"/>
    <m/>
    <n v="0"/>
  </r>
  <r>
    <s v="Munger"/>
    <s v="10-16 Jul"/>
    <n v="1003"/>
    <s v="Asarganj"/>
    <x v="97"/>
    <s v="DHAPARI"/>
    <s v="MPG"/>
    <s v="Direct"/>
    <n v="703.55000000000007"/>
    <n v="29662.989999999998"/>
    <n v="676.43"/>
    <n v="30403.219999999998"/>
    <n v="24.840000000000003"/>
    <n v="1048.9699999999998"/>
    <n v="701.27"/>
    <n v="31452.19"/>
    <n v="29662.989999999998"/>
    <n v="0"/>
    <n v="1048.9699999999998"/>
    <n v="1789.2000000000007"/>
    <n v="0"/>
    <n v="0"/>
    <n v="0"/>
    <n v="28614"/>
    <n v="0"/>
    <n v="0"/>
    <n v="0"/>
    <s v="Release3"/>
    <n v="0"/>
    <n v="0"/>
    <n v="-6.0317587674067953E-2"/>
    <n v="21"/>
    <m/>
    <s v="Asarganj"/>
    <m/>
    <n v="0"/>
  </r>
  <r>
    <s v="Munger"/>
    <s v="10-16 Jul"/>
    <n v="1003"/>
    <s v="Asarganj"/>
    <x v="98"/>
    <s v="KHARUI"/>
    <s v="MPG"/>
    <s v="Direct"/>
    <n v="418.89999999999992"/>
    <n v="18600.870000000003"/>
    <n v="397.9"/>
    <n v="18096.66"/>
    <n v="17.5"/>
    <n v="1157.6999999999998"/>
    <n v="415.4"/>
    <n v="19254.36"/>
    <n v="18600.870000000003"/>
    <n v="0"/>
    <n v="1157.6999999999998"/>
    <n v="653.48999999999796"/>
    <n v="0"/>
    <n v="0"/>
    <n v="0"/>
    <n v="17443"/>
    <n v="0"/>
    <n v="0"/>
    <n v="0"/>
    <n v="0"/>
    <n v="249.63974967772754"/>
    <n v="59.842857142857135"/>
    <n v="-3.5132227686124243E-2"/>
    <n v="7"/>
    <m/>
    <s v="Asarganj"/>
    <m/>
    <n v="0"/>
  </r>
  <r>
    <s v="Munger"/>
    <s v="10-16 Jul"/>
    <n v="1003"/>
    <s v="Asarganj"/>
    <x v="99"/>
    <s v="KHAIRA"/>
    <s v="MPG"/>
    <s v="Direct"/>
    <n v="574.45000000000005"/>
    <n v="23642.300000000003"/>
    <n v="622.78000000000009"/>
    <n v="26947.33"/>
    <n v="23.23"/>
    <n v="994.5"/>
    <n v="646.0100000000001"/>
    <n v="27941.83"/>
    <n v="23642.300000000003"/>
    <n v="0"/>
    <n v="994.5"/>
    <n v="4299.5299999999988"/>
    <n v="0"/>
    <n v="0"/>
    <n v="0"/>
    <n v="22648"/>
    <n v="0"/>
    <n v="0"/>
    <n v="0"/>
    <n v="0"/>
    <n v="103.34374671424841"/>
    <n v="82.064285714285717"/>
    <n v="-0.18185751809257131"/>
    <n v="8"/>
    <m/>
    <s v="Asarganj"/>
    <m/>
    <n v="0"/>
  </r>
  <r>
    <s v="Munger"/>
    <s v="10-16 Jul"/>
    <n v="1003"/>
    <s v="Asarganj"/>
    <x v="100"/>
    <s v="SISUA"/>
    <s v="MPG"/>
    <s v="Direct"/>
    <n v="1659.7"/>
    <n v="68862.989999999991"/>
    <n v="1522.3"/>
    <n v="64348.639999999999"/>
    <n v="168.63"/>
    <n v="6765.18"/>
    <n v="1690.9299999999998"/>
    <n v="71113.820000000007"/>
    <n v="68862.989999999991"/>
    <n v="0"/>
    <n v="624.56000000000006"/>
    <n v="2250.8300000000163"/>
    <n v="0"/>
    <n v="0"/>
    <n v="0"/>
    <n v="62098"/>
    <n v="6140"/>
    <n v="0"/>
    <n v="0"/>
    <n v="0"/>
    <n v="0"/>
    <n v="0"/>
    <n v="-3.2685626923838432E-2"/>
    <n v="24"/>
    <m/>
    <s v="Asarganj"/>
    <m/>
    <n v="0"/>
  </r>
  <r>
    <s v="Munger"/>
    <s v="10-16 Jul"/>
    <n v="1003"/>
    <s v="Asarganj"/>
    <x v="101"/>
    <s v="BISAI"/>
    <s v="MPG"/>
    <s v="Direct"/>
    <n v="446.90000000000003"/>
    <n v="18715.669999999998"/>
    <n v="430.37000000000012"/>
    <n v="18374.439999999999"/>
    <n v="12.08"/>
    <n v="526.04999999999995"/>
    <n v="442.4500000000001"/>
    <n v="18900.489999999998"/>
    <n v="18715.669999999998"/>
    <n v="0"/>
    <n v="526.04999999999995"/>
    <n v="184.81999999999971"/>
    <n v="0"/>
    <n v="0"/>
    <n v="0"/>
    <n v="18190"/>
    <n v="0"/>
    <n v="0"/>
    <n v="0"/>
    <n v="0"/>
    <n v="211.99087388677552"/>
    <n v="63.842857142857149"/>
    <n v="-9.8751474032187855E-3"/>
    <n v="15"/>
    <m/>
    <s v="Asarganj"/>
    <m/>
    <n v="0"/>
  </r>
  <r>
    <s v="Munger"/>
    <s v="10-16 Jul"/>
    <n v="1003"/>
    <s v="Asarganj"/>
    <x v="102"/>
    <s v="SAJUA-1"/>
    <s v="MPG"/>
    <s v="Direct"/>
    <n v="839.69999999999982"/>
    <n v="33398.350000000006"/>
    <n v="846.95"/>
    <n v="33601.789999999994"/>
    <n v="8.5499999999999989"/>
    <n v="342.76000000000005"/>
    <n v="855.5"/>
    <n v="33944.549999999996"/>
    <n v="33398.350000000006"/>
    <n v="0"/>
    <n v="342.76000000000005"/>
    <n v="546.19999999998981"/>
    <n v="0"/>
    <n v="0"/>
    <n v="0"/>
    <n v="33056"/>
    <n v="0"/>
    <n v="0"/>
    <n v="0"/>
    <n v="0"/>
    <n v="0"/>
    <n v="0"/>
    <n v="-1.6354101325364568E-2"/>
    <n v="8"/>
    <m/>
    <s v="Asarganj"/>
    <m/>
    <n v="0"/>
  </r>
  <r>
    <s v="Munger"/>
    <s v="10-16 Jul"/>
    <n v="1003"/>
    <s v="Asarganj"/>
    <x v="103"/>
    <s v="SAJUA-2"/>
    <s v="MPG"/>
    <s v="Direct"/>
    <n v="1434.8"/>
    <n v="58830.22"/>
    <n v="1426.9800000000002"/>
    <n v="59852.12"/>
    <n v="15.18"/>
    <n v="1158.4299999999998"/>
    <n v="1442.1600000000003"/>
    <n v="61010.55"/>
    <n v="58830.22"/>
    <n v="0"/>
    <n v="1158.4299999999998"/>
    <n v="2180.3300000000017"/>
    <n v="0"/>
    <n v="0"/>
    <n v="0"/>
    <n v="57672"/>
    <n v="0"/>
    <n v="0"/>
    <n v="0"/>
    <s v="Release3"/>
    <n v="0"/>
    <n v="0"/>
    <n v="-3.706139463697402E-2"/>
    <n v="44"/>
    <m/>
    <s v="Asarganj"/>
    <m/>
    <n v="0"/>
  </r>
  <r>
    <s v="Munger"/>
    <s v="10-16 Jul"/>
    <n v="1003"/>
    <s v="Asarganj"/>
    <x v="104"/>
    <s v="CHORGAUN"/>
    <s v="MPG"/>
    <s v="Direct"/>
    <n v="1088.2500000000002"/>
    <n v="42130.080000000002"/>
    <n v="1025.2000000000003"/>
    <n v="40365.400000000009"/>
    <n v="28.099999999999998"/>
    <n v="1161.3"/>
    <n v="1053.3000000000002"/>
    <n v="41526.700000000012"/>
    <n v="41526.700000000012"/>
    <n v="0"/>
    <n v="1161.3"/>
    <n v="0"/>
    <n v="0"/>
    <n v="0"/>
    <n v="0"/>
    <n v="40369"/>
    <n v="0"/>
    <n v="0"/>
    <n v="600"/>
    <n v="0"/>
    <n v="0"/>
    <n v="0"/>
    <n v="1.4321833711210376E-2"/>
    <n v="45"/>
    <m/>
    <s v="Asarganj"/>
    <m/>
    <n v="0"/>
  </r>
  <r>
    <s v="Munger"/>
    <s v="10-16 Jul"/>
    <n v="1003"/>
    <s v="Asarganj"/>
    <x v="105"/>
    <s v="PADARATHPUR"/>
    <s v="MPG"/>
    <s v="Direct"/>
    <n v="1232.3"/>
    <n v="51909.81"/>
    <n v="1208.6000000000001"/>
    <n v="52150.049999999996"/>
    <n v="22.5"/>
    <n v="895.78000000000009"/>
    <n v="1231.1000000000001"/>
    <n v="53045.829999999994"/>
    <n v="51909.81"/>
    <n v="0"/>
    <n v="895.78000000000009"/>
    <n v="1136.0199999999968"/>
    <n v="0"/>
    <n v="0"/>
    <n v="0"/>
    <n v="51014"/>
    <n v="0"/>
    <n v="0"/>
    <n v="0"/>
    <n v="0"/>
    <n v="0"/>
    <n v="0"/>
    <n v="-2.1884495435448459E-2"/>
    <n v="47"/>
    <m/>
    <s v="Asarganj"/>
    <m/>
    <n v="0"/>
  </r>
  <r>
    <s v="Munger"/>
    <s v="10-16 Jul"/>
    <n v="1003"/>
    <s v="Asarganj"/>
    <x v="968"/>
    <s v="MACHIDIH"/>
    <s v="MPG"/>
    <s v="Direct"/>
    <n v="174.29999999999995"/>
    <n v="8049.829999999999"/>
    <n v="185"/>
    <n v="8075.25"/>
    <n v="0"/>
    <n v="0"/>
    <n v="185"/>
    <n v="8075.25"/>
    <n v="8049.829999999999"/>
    <n v="0"/>
    <n v="0"/>
    <n v="25.420000000000982"/>
    <n v="0"/>
    <n v="0"/>
    <n v="0"/>
    <n v="8050"/>
    <n v="0"/>
    <n v="0"/>
    <n v="0"/>
    <n v="0"/>
    <n v="485.57609076305238"/>
    <n v="24.899999999999995"/>
    <n v="-3.1578306622625555E-3"/>
    <n v="1"/>
    <m/>
    <s v="Asarganj"/>
    <m/>
    <n v="0"/>
  </r>
  <r>
    <s v="Munger"/>
    <s v="10-16 Jul"/>
    <n v="1003"/>
    <s v="Asarganj"/>
    <x v="106"/>
    <s v="BADARKHA"/>
    <s v="MPG"/>
    <s v="Direct"/>
    <n v="846.54999999999984"/>
    <n v="32891.660000000003"/>
    <n v="866.96"/>
    <n v="33510.730000000003"/>
    <n v="0"/>
    <n v="0"/>
    <n v="866.96"/>
    <n v="33510.730000000003"/>
    <n v="32891.660000000003"/>
    <n v="0"/>
    <n v="0"/>
    <n v="619.06999999999971"/>
    <n v="0"/>
    <n v="0"/>
    <n v="0"/>
    <n v="32892"/>
    <n v="0"/>
    <n v="0"/>
    <n v="0"/>
    <n v="0"/>
    <n v="0"/>
    <n v="0"/>
    <n v="-1.8821488486747084E-2"/>
    <n v="24"/>
    <m/>
    <s v="Asarganj"/>
    <m/>
    <n v="0"/>
  </r>
  <r>
    <s v="Munger"/>
    <s v="10-16 Jul"/>
    <n v="1003"/>
    <s v="Asarganj"/>
    <x v="107"/>
    <s v="MAHDMADPUR                                                                                          "/>
    <s v="MPG"/>
    <s v="Direct"/>
    <n v="1369.9"/>
    <n v="51056.239999999991"/>
    <n v="1344"/>
    <n v="50313.77"/>
    <n v="0"/>
    <n v="0"/>
    <n v="1344"/>
    <n v="50313.77"/>
    <n v="50313.77"/>
    <n v="0"/>
    <n v="0"/>
    <n v="0"/>
    <n v="0"/>
    <n v="0"/>
    <n v="0"/>
    <n v="50313"/>
    <n v="0"/>
    <n v="0"/>
    <n v="743"/>
    <s v="Release1"/>
    <n v="0"/>
    <n v="0"/>
    <n v="1.4542198955504636E-2"/>
    <n v="3"/>
    <m/>
    <s v="Asarganj"/>
    <m/>
    <n v="0"/>
  </r>
  <r>
    <s v="Munger"/>
    <s v="10-16 Jul"/>
    <n v="1003"/>
    <s v="Asarganj"/>
    <x v="108"/>
    <s v="MUSKIPUR                                                                                            "/>
    <s v="MPG"/>
    <s v="Direct"/>
    <n v="1268.0499999999997"/>
    <n v="55435.680000000015"/>
    <n v="1244.5699999999997"/>
    <n v="52968.92"/>
    <n v="0"/>
    <n v="0"/>
    <n v="1244.5699999999997"/>
    <n v="52968.92"/>
    <n v="52968.92"/>
    <n v="0"/>
    <n v="0"/>
    <n v="0"/>
    <n v="0"/>
    <n v="0"/>
    <n v="0"/>
    <n v="52969"/>
    <n v="0"/>
    <n v="0"/>
    <n v="2467"/>
    <n v="0"/>
    <n v="0"/>
    <n v="0"/>
    <n v="4.4497695347112474E-2"/>
    <n v="36"/>
    <m/>
    <s v="Asarganj"/>
    <m/>
    <n v="0"/>
  </r>
  <r>
    <s v="Munger"/>
    <s v="10-16 Jul"/>
    <n v="1003"/>
    <s v="Asarganj"/>
    <x v="109"/>
    <s v="NAYAGAUN                                                                                            "/>
    <s v="MPG"/>
    <s v="Direct"/>
    <n v="734.25"/>
    <n v="30693.889999999996"/>
    <n v="725.73999999999978"/>
    <n v="30203.750000000004"/>
    <n v="3.54"/>
    <n v="149.57000000000002"/>
    <n v="729.27999999999975"/>
    <n v="30353.320000000003"/>
    <n v="30353.320000000003"/>
    <n v="0"/>
    <n v="149.57000000000002"/>
    <n v="0"/>
    <n v="0"/>
    <n v="0"/>
    <n v="0"/>
    <n v="30204"/>
    <n v="0"/>
    <n v="0"/>
    <n v="340"/>
    <n v="0"/>
    <n v="0"/>
    <n v="0"/>
    <n v="1.1095693638049542E-2"/>
    <n v="8"/>
    <m/>
    <s v="Asarganj"/>
    <m/>
    <n v="0"/>
  </r>
  <r>
    <s v="Munger"/>
    <s v="10-16 Jul"/>
    <n v="1003"/>
    <s v="Asarganj"/>
    <x v="110"/>
    <s v="LAUNA                                                                                               "/>
    <s v="MPG"/>
    <s v="Direct"/>
    <n v="1538.2"/>
    <n v="59166.78"/>
    <n v="1557.8500000000001"/>
    <n v="60550.439999999988"/>
    <n v="16.79"/>
    <n v="642.54999999999995"/>
    <n v="1574.64"/>
    <n v="61192.989999999991"/>
    <n v="59166.78"/>
    <n v="0"/>
    <n v="642.54999999999995"/>
    <n v="2026.2099999999919"/>
    <n v="13500"/>
    <n v="0"/>
    <n v="0"/>
    <n v="45024"/>
    <n v="0"/>
    <n v="0"/>
    <n v="0"/>
    <s v="Release1"/>
    <n v="0"/>
    <n v="0"/>
    <n v="-3.4245737219432797E-2"/>
    <n v="16"/>
    <m/>
    <s v="Asarganj"/>
    <m/>
    <n v="0"/>
  </r>
  <r>
    <s v="Munger"/>
    <s v="10-16 Jul"/>
    <n v="1003"/>
    <s v="Asarganj"/>
    <x v="111"/>
    <s v="DULHAR"/>
    <s v="MPG"/>
    <s v="Direct"/>
    <n v="584.75"/>
    <n v="24862.329999999998"/>
    <n v="588.8599999999999"/>
    <n v="30175.19"/>
    <n v="0"/>
    <n v="0"/>
    <n v="588.8599999999999"/>
    <n v="30175.19"/>
    <n v="24862.329999999998"/>
    <n v="0"/>
    <n v="0"/>
    <n v="5312.8600000000006"/>
    <n v="0"/>
    <n v="0"/>
    <n v="0"/>
    <n v="24862"/>
    <n v="0"/>
    <n v="0"/>
    <n v="0"/>
    <s v="Release3"/>
    <n v="98.003712099187652"/>
    <n v="83.535714285714292"/>
    <n v="-0.21369115444932157"/>
    <n v="20"/>
    <m/>
    <s v="Asarganj"/>
    <m/>
    <n v="0"/>
  </r>
  <r>
    <s v="Munger"/>
    <s v="10-16 Jul"/>
    <n v="1003"/>
    <s v="Asarganj"/>
    <x v="112"/>
    <s v="Ghorpithiya - Vikas"/>
    <s v="vlc"/>
    <s v="Indirect"/>
    <n v="365.4"/>
    <n v="16497.68"/>
    <n v="0"/>
    <n v="0"/>
    <n v="0"/>
    <n v="0"/>
    <n v="0"/>
    <n v="0"/>
    <n v="16497.68"/>
    <n v="0"/>
    <n v="0"/>
    <n v="0"/>
    <n v="0"/>
    <n v="0"/>
    <n v="0"/>
    <n v="0"/>
    <n v="0"/>
    <n v="16497.68"/>
    <n v="0"/>
    <n v="0"/>
    <n v="302.14141915708819"/>
    <n v="52.199999999999996"/>
    <n v="0"/>
    <n v="0"/>
    <m/>
    <s v="Asarganj"/>
    <m/>
    <n v="0"/>
  </r>
  <r>
    <s v="Munger"/>
    <s v="10-16 Jul"/>
    <n v="1003"/>
    <s v="Asarganj"/>
    <x v="113"/>
    <s v="Akbarnagar - Rakhi"/>
    <s v="vlc"/>
    <s v="Indirect"/>
    <n v="1137.8"/>
    <n v="45751.380000000005"/>
    <n v="0"/>
    <n v="0"/>
    <n v="0"/>
    <n v="0"/>
    <n v="0"/>
    <n v="0"/>
    <n v="45751.380000000005"/>
    <n v="0"/>
    <n v="0"/>
    <n v="0"/>
    <n v="0"/>
    <n v="0"/>
    <n v="0"/>
    <n v="0"/>
    <n v="0"/>
    <n v="45751.380000000005"/>
    <n v="0"/>
    <n v="0"/>
    <n v="0"/>
    <n v="0"/>
    <n v="0"/>
    <n v="0"/>
    <m/>
    <s v="Asarganj"/>
    <m/>
    <n v="0"/>
  </r>
  <r>
    <s v="Munger"/>
    <s v="10-16 Jul"/>
    <n v="1003"/>
    <s v="Asarganj"/>
    <x v="969"/>
    <s v="Maheshi - Chamcham"/>
    <s v="vlc"/>
    <s v="Indirect"/>
    <n v="506.6"/>
    <n v="21430.95"/>
    <n v="0"/>
    <n v="0"/>
    <n v="0"/>
    <n v="0"/>
    <n v="0"/>
    <n v="0"/>
    <n v="21430.95"/>
    <n v="0"/>
    <n v="0"/>
    <n v="0"/>
    <n v="0"/>
    <n v="0"/>
    <n v="0"/>
    <n v="0"/>
    <n v="0"/>
    <n v="21430.95"/>
    <n v="0"/>
    <n v="0"/>
    <n v="163.62991433083295"/>
    <n v="72.371428571428581"/>
    <n v="0"/>
    <n v="0"/>
    <m/>
    <s v="Asarganj"/>
    <m/>
    <n v="0"/>
  </r>
  <r>
    <s v="Munger"/>
    <s v="10-16 Jul"/>
    <n v="1003"/>
    <s v="Asarganj"/>
    <x v="114"/>
    <s v="Ghorpithiya - Dheeraj"/>
    <s v="vlc"/>
    <s v="Indirect"/>
    <n v="15695.1"/>
    <n v="659591.50999999989"/>
    <n v="0"/>
    <n v="0"/>
    <n v="0"/>
    <n v="0"/>
    <n v="0"/>
    <n v="0"/>
    <n v="659591.50999999989"/>
    <n v="0"/>
    <n v="0"/>
    <n v="0"/>
    <n v="0"/>
    <n v="0"/>
    <n v="0"/>
    <n v="0"/>
    <n v="0"/>
    <n v="659591.50999999989"/>
    <n v="0"/>
    <n v="0"/>
    <n v="0"/>
    <n v="0"/>
    <n v="0"/>
    <n v="0"/>
    <m/>
    <s v="Asarganj"/>
    <m/>
    <n v="0"/>
  </r>
  <r>
    <s v="Munger"/>
    <s v="10-16 Jul"/>
    <n v="1003"/>
    <s v="Asarganj"/>
    <x v="115"/>
    <s v="Asarganj Chhotki Tola - Akash"/>
    <s v="vlc"/>
    <s v="Indirect"/>
    <n v="15695.1"/>
    <n v="659591.50999999989"/>
    <n v="0"/>
    <n v="0"/>
    <n v="0"/>
    <n v="0"/>
    <n v="0"/>
    <n v="0"/>
    <n v="659591.50999999989"/>
    <n v="0"/>
    <n v="0"/>
    <n v="0"/>
    <n v="0"/>
    <n v="0"/>
    <n v="0"/>
    <n v="0"/>
    <n v="0"/>
    <n v="659591.50999999989"/>
    <n v="0"/>
    <n v="0"/>
    <n v="0"/>
    <n v="0"/>
    <n v="0"/>
    <n v="0"/>
    <m/>
    <s v="Asarganj"/>
    <m/>
    <n v="0"/>
  </r>
  <r>
    <s v="Munger"/>
    <s v="10-16 Jul"/>
    <n v="1003"/>
    <s v="Asarganj"/>
    <x v="116"/>
    <s v="Manikpur - Golu"/>
    <s v="vlc"/>
    <s v="Indirect"/>
    <n v="726.35"/>
    <n v="30118.809999999998"/>
    <n v="0"/>
    <n v="0"/>
    <n v="0"/>
    <n v="0"/>
    <n v="0"/>
    <n v="0"/>
    <n v="30118.809999999998"/>
    <n v="0"/>
    <n v="0"/>
    <n v="0"/>
    <n v="0"/>
    <n v="0"/>
    <n v="0"/>
    <n v="0"/>
    <n v="0"/>
    <n v="30118.809999999998"/>
    <n v="0"/>
    <n v="0"/>
    <n v="0"/>
    <n v="0"/>
    <n v="0"/>
    <n v="0"/>
    <m/>
    <s v="Asarganj"/>
    <m/>
    <n v="0"/>
  </r>
  <r>
    <s v="Munger"/>
    <s v="10-16 Jul"/>
    <n v="1003"/>
    <s v="Asarganj"/>
    <x v="117"/>
    <s v="Rangaon - Jayram"/>
    <s v="vlc"/>
    <s v="Indirect"/>
    <n v="506.6"/>
    <n v="21430.95"/>
    <n v="0"/>
    <n v="0"/>
    <n v="0"/>
    <n v="0"/>
    <n v="0"/>
    <n v="0"/>
    <n v="21430.95"/>
    <n v="0"/>
    <n v="0"/>
    <n v="0"/>
    <n v="0"/>
    <n v="0"/>
    <n v="0"/>
    <n v="0"/>
    <n v="0"/>
    <n v="21430.95"/>
    <n v="0"/>
    <n v="0"/>
    <n v="163.62991433083295"/>
    <n v="72.371428571428581"/>
    <n v="0"/>
    <n v="0"/>
    <m/>
    <s v="Asarganj"/>
    <m/>
    <n v="0"/>
  </r>
  <r>
    <s v="Munger"/>
    <s v="10-16 Jul"/>
    <n v="1003"/>
    <s v="Asarganj"/>
    <x v="970"/>
    <s v="Karso - Aparajita"/>
    <s v="vlc"/>
    <s v="Indirect"/>
    <n v="506.6"/>
    <n v="21430.95"/>
    <n v="0"/>
    <n v="0"/>
    <n v="0"/>
    <n v="0"/>
    <n v="0"/>
    <n v="0"/>
    <n v="21430.95"/>
    <n v="0"/>
    <n v="0"/>
    <n v="0"/>
    <n v="0"/>
    <n v="0"/>
    <n v="0"/>
    <n v="0"/>
    <n v="0"/>
    <n v="21430.95"/>
    <n v="0"/>
    <n v="0"/>
    <n v="163.62991433083295"/>
    <n v="72.371428571428581"/>
    <n v="0"/>
    <n v="0"/>
    <m/>
    <s v="Asarganj"/>
    <m/>
    <n v="0"/>
  </r>
  <r>
    <s v="Munger"/>
    <s v="10-16 Jul"/>
    <n v="1003"/>
    <s v="Asarganj"/>
    <x v="971"/>
    <s v="Unchagaon - Niraj"/>
    <s v="vlc"/>
    <s v="Indirect"/>
    <n v="506.6"/>
    <n v="21430.95"/>
    <n v="0"/>
    <n v="0"/>
    <n v="0"/>
    <n v="0"/>
    <n v="0"/>
    <n v="0"/>
    <n v="21430.95"/>
    <n v="0"/>
    <n v="0"/>
    <n v="0"/>
    <n v="0"/>
    <n v="0"/>
    <n v="0"/>
    <n v="0"/>
    <n v="0"/>
    <n v="21430.95"/>
    <n v="0"/>
    <n v="0"/>
    <n v="163.62991433083295"/>
    <n v="72.371428571428581"/>
    <n v="0"/>
    <n v="0"/>
    <m/>
    <s v="Asarganj"/>
    <m/>
    <n v="0"/>
  </r>
  <r>
    <s v="Munger"/>
    <s v="10-16 Jul"/>
    <n v="1003"/>
    <s v="Asarganj"/>
    <x v="118"/>
    <s v="PAIN"/>
    <s v="MPG"/>
    <s v="Direct"/>
    <n v="622.29999999999995"/>
    <n v="22693.389999999996"/>
    <n v="605.45999999999992"/>
    <n v="24615.37"/>
    <n v="2.7300000000000004"/>
    <n v="112.44999999999999"/>
    <n v="608.18999999999994"/>
    <n v="24727.82"/>
    <n v="22693.389999999996"/>
    <n v="0"/>
    <n v="112.44999999999999"/>
    <n v="2034.4300000000039"/>
    <n v="0"/>
    <n v="0"/>
    <n v="0"/>
    <n v="22581"/>
    <n v="0"/>
    <n v="0"/>
    <n v="0"/>
    <n v="0"/>
    <n v="56.669657817772816"/>
    <n v="88.899999999999991"/>
    <n v="-8.9648571676598524E-2"/>
    <n v="10"/>
    <m/>
    <s v="Asarganj"/>
    <m/>
    <n v="0"/>
  </r>
  <r>
    <s v="Munger"/>
    <s v="10-16 Jul"/>
    <n v="1003"/>
    <s v="Asarganj"/>
    <x v="119"/>
    <s v="MOTICHAK"/>
    <s v="MPG"/>
    <s v="Direct"/>
    <n v="3744.5000000000005"/>
    <n v="140783.65000000002"/>
    <n v="3671.6299999999992"/>
    <n v="139253.05999999997"/>
    <n v="82.81"/>
    <n v="3120.28"/>
    <n v="3754.4399999999991"/>
    <n v="142373.33999999997"/>
    <n v="140783.65000000002"/>
    <n v="0"/>
    <n v="3120.28"/>
    <n v="1589.6899999999441"/>
    <n v="0"/>
    <n v="0"/>
    <n v="0"/>
    <n v="137663"/>
    <n v="0"/>
    <n v="0"/>
    <n v="0"/>
    <n v="0"/>
    <n v="0"/>
    <n v="0"/>
    <n v="-1.1291723151089944E-2"/>
    <n v="7"/>
    <m/>
    <s v="Asarganj"/>
    <m/>
    <n v="0"/>
  </r>
  <r>
    <s v="Munger"/>
    <s v="10-16 Jul"/>
    <n v="1003"/>
    <s v="Asarganj"/>
    <x v="120"/>
    <s v="MIRATTHI"/>
    <s v="MPG"/>
    <s v="Direct"/>
    <n v="228.45000000000002"/>
    <n v="8975.42"/>
    <n v="225.09999999999997"/>
    <n v="8386.91"/>
    <n v="3.15"/>
    <n v="117.69"/>
    <n v="228.24999999999997"/>
    <n v="8504.6"/>
    <n v="8504.6"/>
    <n v="0"/>
    <n v="117.69"/>
    <n v="0"/>
    <n v="0"/>
    <n v="0"/>
    <n v="0"/>
    <n v="8387"/>
    <n v="0"/>
    <n v="0"/>
    <n v="471"/>
    <n v="0"/>
    <n v="370.52828198730577"/>
    <n v="32.635714285714286"/>
    <n v="5.2456598131340897E-2"/>
    <n v="7"/>
    <m/>
    <s v="Asarganj"/>
    <m/>
    <n v="0"/>
  </r>
  <r>
    <s v="Munger"/>
    <s v="10-16 Jul"/>
    <n v="1003"/>
    <s v="Asarganj"/>
    <x v="121"/>
    <s v="DAULATPUR"/>
    <s v="MPG"/>
    <s v="Direct"/>
    <n v="239.45"/>
    <n v="10394.400000000001"/>
    <n v="230.61999999999995"/>
    <n v="10246.94"/>
    <n v="2.65"/>
    <n v="117.33"/>
    <n v="233.26999999999995"/>
    <n v="10364.27"/>
    <n v="10364.27"/>
    <n v="0"/>
    <n v="117.33"/>
    <n v="0"/>
    <n v="0"/>
    <n v="0"/>
    <n v="0"/>
    <n v="10248"/>
    <n v="0"/>
    <n v="0"/>
    <n v="29"/>
    <n v="0"/>
    <n v="399.84472081854261"/>
    <n v="34.207142857142856"/>
    <n v="2.8986762102671646E-3"/>
    <n v="5"/>
    <m/>
    <s v="Asarganj"/>
    <m/>
    <n v="0"/>
  </r>
  <r>
    <s v="Munger"/>
    <s v="10-16 Jul"/>
    <n v="1003"/>
    <s v="Asarganj"/>
    <x v="122"/>
    <s v="MOHADDIPUR"/>
    <s v="MPG"/>
    <s v="Direct"/>
    <n v="255.30000000000004"/>
    <n v="9157.02"/>
    <n v="360"/>
    <n v="17332.900000000001"/>
    <n v="0"/>
    <n v="0"/>
    <n v="360"/>
    <n v="17332.900000000001"/>
    <n v="9157.02"/>
    <n v="0"/>
    <n v="0"/>
    <n v="8175.880000000001"/>
    <n v="0"/>
    <n v="500"/>
    <n v="0"/>
    <n v="8657"/>
    <n v="0"/>
    <n v="0"/>
    <n v="0"/>
    <s v="Release3"/>
    <n v="319.00719106933013"/>
    <n v="36.471428571428575"/>
    <n v="-0.89285378867797605"/>
    <n v="1"/>
    <m/>
    <s v="Asarganj"/>
    <m/>
    <n v="500"/>
  </r>
  <r>
    <s v="Munger"/>
    <s v="10-16 Jul"/>
    <n v="1003"/>
    <s v="Asarganj"/>
    <x v="123"/>
    <s v="JHAJHA"/>
    <s v="MPG"/>
    <s v="Direct"/>
    <n v="730.05"/>
    <n v="31375.55"/>
    <n v="724.65999999999985"/>
    <n v="33682"/>
    <n v="0"/>
    <n v="0"/>
    <n v="724.65999999999985"/>
    <n v="33682"/>
    <n v="31375.55"/>
    <n v="0"/>
    <n v="0"/>
    <n v="2306.4500000000007"/>
    <n v="0"/>
    <n v="0"/>
    <n v="0"/>
    <n v="31376"/>
    <n v="0"/>
    <n v="0"/>
    <n v="0"/>
    <n v="0"/>
    <n v="0"/>
    <n v="0"/>
    <n v="-7.3511061957479654E-2"/>
    <n v="11"/>
    <m/>
    <s v="Asarganj"/>
    <m/>
    <n v="0"/>
  </r>
  <r>
    <s v="Munger"/>
    <s v="10-16 Jul"/>
    <n v="1003"/>
    <s v="Asarganj"/>
    <x v="124"/>
    <s v="KAMARDUH"/>
    <s v="MPG"/>
    <s v="Direct"/>
    <n v="682.3"/>
    <n v="24325.499999999996"/>
    <n v="682.19999999999993"/>
    <n v="24321.67"/>
    <n v="7"/>
    <n v="248.89999999999998"/>
    <n v="689.19999999999993"/>
    <n v="24570.57"/>
    <n v="24325.499999999996"/>
    <n v="0"/>
    <n v="248.89999999999998"/>
    <n v="245.07000000000335"/>
    <n v="0"/>
    <n v="0"/>
    <n v="0"/>
    <n v="24077"/>
    <n v="0"/>
    <n v="0"/>
    <n v="0"/>
    <n v="0"/>
    <n v="12.620880844203482"/>
    <n v="97.471428571428561"/>
    <n v="-1.0074613060368888E-2"/>
    <n v="2"/>
    <m/>
    <s v="Asarganj"/>
    <m/>
    <n v="0"/>
  </r>
  <r>
    <s v="Munger"/>
    <s v="10-16 Jul"/>
    <n v="1003"/>
    <s v="Asarganj"/>
    <x v="125"/>
    <s v="BARSABAD"/>
    <s v="MPG"/>
    <s v="Direct"/>
    <n v="389.00000000000006"/>
    <n v="15527.929999999998"/>
    <n v="373.95"/>
    <n v="13681.8"/>
    <n v="7.32"/>
    <n v="279.40999999999997"/>
    <n v="381.27"/>
    <n v="13961.21"/>
    <n v="13961.21"/>
    <n v="0"/>
    <n v="279.40999999999997"/>
    <n v="0"/>
    <n v="0"/>
    <n v="0"/>
    <n v="0"/>
    <n v="13680"/>
    <n v="0"/>
    <n v="0"/>
    <n v="1569"/>
    <n v="0"/>
    <n v="248.28720976863744"/>
    <n v="55.571428571428577"/>
    <n v="0.10089689997314513"/>
    <n v="9"/>
    <m/>
    <s v="Asarganj"/>
    <m/>
    <n v="0"/>
  </r>
  <r>
    <s v="Munger"/>
    <s v="10-16 Jul"/>
    <n v="1003"/>
    <s v="Asarganj"/>
    <x v="126"/>
    <s v="GONAI"/>
    <s v="MPG"/>
    <s v="Direct"/>
    <n v="1776.6"/>
    <n v="74735.009999999995"/>
    <n v="1878.9799999999996"/>
    <n v="78775.030000000013"/>
    <n v="11.2"/>
    <n v="485.87"/>
    <n v="1890.1799999999996"/>
    <n v="79260.900000000009"/>
    <n v="74735.009999999995"/>
    <n v="0"/>
    <n v="485.87"/>
    <n v="4525.890000000014"/>
    <n v="0"/>
    <n v="0"/>
    <n v="0"/>
    <n v="74249"/>
    <n v="0"/>
    <n v="0"/>
    <n v="0"/>
    <n v="0"/>
    <n v="0"/>
    <n v="0"/>
    <n v="-6.0559167651145218E-2"/>
    <n v="8"/>
    <m/>
    <s v="Asarganj"/>
    <m/>
    <n v="0"/>
  </r>
  <r>
    <s v="Munger"/>
    <s v="10-16 Jul"/>
    <n v="1003"/>
    <s v="Asarganj"/>
    <x v="127"/>
    <s v="SHIKARITOLA"/>
    <s v="MPG"/>
    <s v="Direct"/>
    <n v="1242.0999999999999"/>
    <n v="50757.16"/>
    <n v="1236.3000000000002"/>
    <n v="54960.070000000007"/>
    <n v="0"/>
    <n v="0"/>
    <n v="1236.3000000000002"/>
    <n v="54960.070000000007"/>
    <n v="50757.16"/>
    <n v="0"/>
    <n v="0"/>
    <n v="4202.9100000000035"/>
    <n v="22500"/>
    <n v="0"/>
    <n v="0"/>
    <n v="28257"/>
    <n v="0"/>
    <n v="0"/>
    <n v="0"/>
    <s v="Release1"/>
    <n v="0"/>
    <n v="0"/>
    <n v="-8.2804278253550898E-2"/>
    <n v="3"/>
    <m/>
    <s v="Asarganj"/>
    <m/>
    <n v="0"/>
  </r>
  <r>
    <s v="Munger"/>
    <s v="10-16 Jul"/>
    <n v="1003"/>
    <s v="Asarganj"/>
    <x v="128"/>
    <s v="BAIKUNTHPUR"/>
    <s v="MPG"/>
    <s v="Direct"/>
    <n v="357.5"/>
    <n v="13845.570000000003"/>
    <n v="390.36"/>
    <n v="14218.55"/>
    <n v="3.6099999999999985"/>
    <n v="132.13999999999999"/>
    <n v="393.97"/>
    <n v="14350.689999999999"/>
    <n v="13845.570000000003"/>
    <n v="0"/>
    <n v="132.13999999999999"/>
    <n v="505.11999999999534"/>
    <n v="0"/>
    <n v="500"/>
    <n v="0"/>
    <n v="13213"/>
    <n v="0"/>
    <n v="0"/>
    <n v="0"/>
    <n v="0"/>
    <n v="265.29273986013993"/>
    <n v="51.071428571428569"/>
    <n v="-3.6482427231236791E-2"/>
    <n v="4"/>
    <m/>
    <s v="Asarganj"/>
    <m/>
    <n v="500"/>
  </r>
  <r>
    <s v="Munger"/>
    <s v="10-16 Jul"/>
    <n v="1003"/>
    <s v="Asarganj"/>
    <x v="129"/>
    <s v="KAITHA"/>
    <s v="MPG"/>
    <s v="Direct"/>
    <n v="3584.9999999999995"/>
    <n v="156041.21"/>
    <n v="2277.7399999999998"/>
    <n v="104649.19999999998"/>
    <n v="1336.53"/>
    <n v="55371.73"/>
    <n v="3614.2699999999995"/>
    <n v="160020.93"/>
    <n v="156041.21"/>
    <n v="0"/>
    <n v="861.18999999999994"/>
    <n v="3979.7200000000012"/>
    <n v="0"/>
    <n v="0"/>
    <n v="0"/>
    <n v="100671"/>
    <n v="54509"/>
    <n v="0"/>
    <n v="0"/>
    <n v="0"/>
    <n v="0"/>
    <n v="0"/>
    <n v="-2.5504288258210772E-2"/>
    <n v="19"/>
    <m/>
    <s v="Asarganj"/>
    <m/>
    <n v="0"/>
  </r>
  <r>
    <s v="Munger"/>
    <s v="10-16 Jul"/>
    <n v="1003"/>
    <s v="Asarganj"/>
    <x v="130"/>
    <s v="DORAI"/>
    <s v="MPG"/>
    <s v="Direct"/>
    <n v="1103.8499999999999"/>
    <n v="40216.569999999992"/>
    <n v="1200.3099999999997"/>
    <n v="49635.629999999983"/>
    <n v="40.550000000000004"/>
    <n v="2094.7600000000002"/>
    <n v="1240.8599999999997"/>
    <n v="51730.389999999985"/>
    <n v="40216.569999999992"/>
    <n v="0"/>
    <n v="2094.7600000000002"/>
    <n v="11513.819999999992"/>
    <n v="0"/>
    <n v="0"/>
    <n v="0"/>
    <n v="38122"/>
    <n v="0"/>
    <n v="0"/>
    <n v="0"/>
    <n v="0"/>
    <n v="0"/>
    <n v="0"/>
    <n v="-0.28629542499521948"/>
    <n v="10"/>
    <m/>
    <s v="Asarganj"/>
    <m/>
    <n v="0"/>
  </r>
  <r>
    <s v="Munger"/>
    <s v="10-16 Jul"/>
    <n v="1003"/>
    <s v="Asarganj"/>
    <x v="131"/>
    <s v="RAGHUNATHPUR"/>
    <s v="MPG"/>
    <s v="Indirect"/>
    <n v="1115.2"/>
    <n v="39376.060000000005"/>
    <n v="0"/>
    <n v="0"/>
    <n v="0"/>
    <n v="0"/>
    <n v="0"/>
    <n v="0"/>
    <n v="39376.060000000005"/>
    <n v="0"/>
    <n v="0"/>
    <n v="0"/>
    <n v="0"/>
    <n v="0"/>
    <n v="0"/>
    <n v="0"/>
    <n v="0"/>
    <n v="39376.060000000005"/>
    <n v="0"/>
    <n v="0"/>
    <n v="0"/>
    <n v="0"/>
    <n v="0"/>
    <n v="0"/>
    <m/>
    <s v="Asarganj"/>
    <m/>
    <n v="0"/>
  </r>
  <r>
    <s v="Munger"/>
    <s v="10-16 Jul"/>
    <n v="1003"/>
    <s v="Asarganj"/>
    <x v="132"/>
    <s v="BANGAMA"/>
    <s v="MPG"/>
    <s v="Direct"/>
    <n v="677.25"/>
    <n v="28879.840000000004"/>
    <n v="682.8"/>
    <n v="30751.940000000002"/>
    <n v="13.600000000000001"/>
    <n v="615.39999999999986"/>
    <n v="696.4"/>
    <n v="31367.340000000004"/>
    <n v="28879.840000000004"/>
    <n v="0"/>
    <n v="615.39999999999986"/>
    <n v="2487.5"/>
    <n v="0"/>
    <n v="0"/>
    <n v="0"/>
    <n v="28264"/>
    <n v="0"/>
    <n v="0"/>
    <n v="0"/>
    <n v="0"/>
    <n v="19.402476485788117"/>
    <n v="96.75"/>
    <n v="-8.6132748657887295E-2"/>
    <n v="5"/>
    <m/>
    <s v="Asarganj"/>
    <m/>
    <n v="0"/>
  </r>
  <r>
    <s v="Munger"/>
    <s v="10-16 Jul"/>
    <n v="1003"/>
    <s v="Asarganj"/>
    <x v="133"/>
    <s v="KORIYA"/>
    <s v="MPG"/>
    <s v="Direct"/>
    <n v="215.7"/>
    <n v="9438.6299999999992"/>
    <n v="219.29999999999998"/>
    <n v="9608.9599999999991"/>
    <n v="0"/>
    <n v="0"/>
    <n v="219.29999999999998"/>
    <n v="9608.9599999999991"/>
    <n v="9438.6299999999992"/>
    <n v="0"/>
    <n v="0"/>
    <n v="170.32999999999993"/>
    <n v="0"/>
    <n v="500"/>
    <n v="0"/>
    <n v="8939"/>
    <n v="0"/>
    <n v="0"/>
    <n v="0"/>
    <n v="0"/>
    <n v="423.84130820584136"/>
    <n v="30.814285714285713"/>
    <n v="-1.8046051174799727E-2"/>
    <n v="1"/>
    <m/>
    <s v="Asarganj"/>
    <m/>
    <n v="500"/>
  </r>
  <r>
    <s v="Munger"/>
    <s v="10-16 Jul"/>
    <n v="1003"/>
    <s v="Asarganj"/>
    <x v="134"/>
    <s v="HARLACHAK"/>
    <s v="MPG"/>
    <s v="Direct"/>
    <n v="1300.7"/>
    <n v="53118.49"/>
    <n v="1273.04"/>
    <n v="53223.740000000013"/>
    <n v="14.1"/>
    <n v="596.53"/>
    <n v="1287.1399999999999"/>
    <n v="53820.270000000011"/>
    <n v="53118.49"/>
    <n v="0"/>
    <n v="596.53"/>
    <n v="701.78000000001339"/>
    <n v="0"/>
    <n v="0"/>
    <n v="0"/>
    <n v="52522"/>
    <n v="0"/>
    <n v="0"/>
    <n v="0"/>
    <n v="0"/>
    <n v="0"/>
    <n v="0"/>
    <n v="-1.3211595435036151E-2"/>
    <n v="24"/>
    <m/>
    <s v="Asarganj"/>
    <m/>
    <n v="0"/>
  </r>
  <r>
    <s v="Munger"/>
    <s v="10-16 Jul"/>
    <n v="1003"/>
    <s v="Asarganj"/>
    <x v="135"/>
    <s v="Jangle Jhakra"/>
    <s v="MPG"/>
    <s v="Direct"/>
    <n v="1959.9"/>
    <n v="82320.029999999984"/>
    <n v="2058.73"/>
    <n v="89252.239999999991"/>
    <n v="14.57"/>
    <n v="573.77"/>
    <n v="2073.3000000000002"/>
    <n v="89826.01"/>
    <n v="82320.029999999984"/>
    <n v="0"/>
    <n v="573.77"/>
    <n v="7505.9800000000105"/>
    <n v="0"/>
    <n v="0"/>
    <n v="0"/>
    <n v="81746"/>
    <n v="0"/>
    <n v="0"/>
    <n v="0"/>
    <n v="0"/>
    <n v="0"/>
    <n v="0"/>
    <n v="-9.1180481834129704E-2"/>
    <n v="4"/>
    <m/>
    <s v="Asarganj"/>
    <m/>
    <n v="0"/>
  </r>
  <r>
    <s v="Munger"/>
    <s v="10-16 Jul"/>
    <n v="1003"/>
    <s v="Asarganj"/>
    <x v="136"/>
    <s v="KATAHRA"/>
    <s v="MPG"/>
    <s v="Direct"/>
    <n v="501.75"/>
    <n v="22351.79"/>
    <n v="505.14"/>
    <n v="23375.96"/>
    <n v="0"/>
    <n v="0"/>
    <n v="505.14"/>
    <n v="23375.96"/>
    <n v="22351.79"/>
    <n v="0"/>
    <n v="0"/>
    <n v="1024.1699999999983"/>
    <n v="0"/>
    <n v="0"/>
    <n v="0"/>
    <n v="22352"/>
    <n v="0"/>
    <n v="0"/>
    <n v="0"/>
    <n v="0"/>
    <n v="176.63148450423517"/>
    <n v="71.678571428571431"/>
    <n v="-4.5820491334251E-2"/>
    <n v="8"/>
    <m/>
    <s v="Asarganj"/>
    <m/>
    <n v="0"/>
  </r>
  <r>
    <s v="Munger"/>
    <s v="10-16 Jul"/>
    <n v="1003"/>
    <s v="Asarganj"/>
    <x v="137"/>
    <s v="KARHARIA V"/>
    <s v="vlc"/>
    <s v="Indirect"/>
    <n v="156.25"/>
    <n v="5794.07"/>
    <n v="0"/>
    <n v="0"/>
    <n v="0"/>
    <n v="0"/>
    <n v="0"/>
    <n v="0"/>
    <n v="5794.07"/>
    <n v="0"/>
    <n v="0"/>
    <n v="0"/>
    <n v="0"/>
    <n v="0"/>
    <n v="0"/>
    <n v="0"/>
    <n v="0"/>
    <n v="5794.07"/>
    <n v="0"/>
    <n v="0"/>
    <n v="403.26727200000005"/>
    <n v="22.321428571428573"/>
    <n v="0"/>
    <n v="0"/>
    <m/>
    <s v="Asarganj"/>
    <m/>
    <n v="0"/>
  </r>
  <r>
    <s v="Munger"/>
    <s v="10-16 Jul"/>
    <n v="1003"/>
    <s v="Asarganj"/>
    <x v="138"/>
    <s v="BALADEV ITAHARI"/>
    <s v="MPG"/>
    <s v="Direct"/>
    <n v="746.84999999999991"/>
    <n v="35228.07"/>
    <n v="743.68"/>
    <n v="37235.06"/>
    <n v="0"/>
    <n v="0"/>
    <n v="743.68"/>
    <n v="37235.06"/>
    <n v="35228.07"/>
    <n v="0"/>
    <n v="0"/>
    <n v="2006.989999999998"/>
    <n v="0"/>
    <n v="0"/>
    <n v="0"/>
    <n v="35228"/>
    <n v="0"/>
    <n v="0"/>
    <n v="0"/>
    <n v="0"/>
    <n v="0"/>
    <n v="0"/>
    <n v="-5.6971329964996605E-2"/>
    <n v="5"/>
    <m/>
    <s v="Asarganj"/>
    <m/>
    <n v="0"/>
  </r>
  <r>
    <s v="Munger"/>
    <s v="10-16 Jul"/>
    <n v="1003"/>
    <s v="Asarganj"/>
    <x v="139"/>
    <s v="PAHALANPUR"/>
    <s v="MPG"/>
    <s v="Direct"/>
    <n v="926.00000000000011"/>
    <n v="38135.96"/>
    <n v="923.16999999999985"/>
    <n v="35943.79"/>
    <n v="0"/>
    <n v="0"/>
    <n v="923.16999999999985"/>
    <n v="35943.79"/>
    <n v="35943.79"/>
    <n v="0"/>
    <n v="0"/>
    <n v="0"/>
    <n v="0"/>
    <n v="0"/>
    <n v="0"/>
    <n v="35943"/>
    <n v="0"/>
    <n v="0"/>
    <n v="2193"/>
    <n v="0"/>
    <n v="0"/>
    <n v="0"/>
    <n v="5.7483016030014669E-2"/>
    <n v="26"/>
    <m/>
    <s v="Asarganj"/>
    <m/>
    <n v="0"/>
  </r>
  <r>
    <s v="Munger"/>
    <s v="10-16 Jul"/>
    <n v="1003"/>
    <s v="Asarganj"/>
    <x v="140"/>
    <s v="RAMBRAN YADAV"/>
    <s v="MPG"/>
    <s v="Direct"/>
    <n v="619.65"/>
    <n v="25572.890000000007"/>
    <n v="614.30999999999995"/>
    <n v="25396.860000000004"/>
    <n v="0"/>
    <n v="0"/>
    <n v="614.30999999999995"/>
    <n v="25396.860000000004"/>
    <n v="25396.860000000004"/>
    <n v="0"/>
    <n v="0"/>
    <n v="0"/>
    <n v="0"/>
    <n v="0"/>
    <n v="0"/>
    <n v="25397"/>
    <n v="0"/>
    <n v="0"/>
    <n v="176"/>
    <n v="0"/>
    <n v="66.320720132332781"/>
    <n v="88.521428571428572"/>
    <n v="6.8834613530188585E-3"/>
    <n v="1"/>
    <m/>
    <s v="Asarganj"/>
    <m/>
    <n v="0"/>
  </r>
  <r>
    <s v="Munger"/>
    <s v="10-16 Jul"/>
    <n v="1003"/>
    <s v="Asarganj"/>
    <x v="141"/>
    <s v="Gomukh Beldra"/>
    <s v="MPG"/>
    <s v="Direct"/>
    <n v="358.2"/>
    <n v="14977.17"/>
    <n v="347.47"/>
    <n v="15537.039999999999"/>
    <n v="0"/>
    <n v="0"/>
    <n v="347.47"/>
    <n v="15537.039999999999"/>
    <n v="14977.17"/>
    <n v="0"/>
    <n v="0"/>
    <n v="559.86999999999898"/>
    <n v="0"/>
    <n v="0"/>
    <n v="0"/>
    <n v="14977"/>
    <n v="0"/>
    <n v="0"/>
    <n v="0"/>
    <n v="0"/>
    <n v="285.82896180904527"/>
    <n v="51.171428571428571"/>
    <n v="-3.7381561403122147E-2"/>
    <n v="1"/>
    <m/>
    <s v="Asarganj"/>
    <m/>
    <n v="0"/>
  </r>
  <r>
    <s v="Munger"/>
    <s v="10-16 Jul"/>
    <n v="1003"/>
    <s v="Asarganj"/>
    <x v="142"/>
    <s v="Gomukh Chandanpura"/>
    <s v="MPG"/>
    <s v="Direct"/>
    <n v="1153.5"/>
    <n v="54283.710000000006"/>
    <n v="1144.3899999999996"/>
    <n v="57040.03"/>
    <n v="0"/>
    <n v="0"/>
    <n v="1144.3899999999996"/>
    <n v="57040.03"/>
    <n v="54283.710000000006"/>
    <n v="0"/>
    <n v="0"/>
    <n v="2756.3199999999924"/>
    <n v="0"/>
    <n v="0"/>
    <n v="0"/>
    <n v="54284"/>
    <n v="0"/>
    <n v="0"/>
    <n v="0"/>
    <n v="0"/>
    <n v="0"/>
    <n v="0"/>
    <n v="-5.0776190499875418E-2"/>
    <n v="1"/>
    <m/>
    <s v="Asarganj"/>
    <m/>
    <n v="0"/>
  </r>
  <r>
    <s v="Munger"/>
    <s v="10-16 Jul"/>
    <n v="1003"/>
    <s v="Asarganj"/>
    <x v="143"/>
    <s v="DARIYAPUR R"/>
    <s v="MPG"/>
    <s v="Direct"/>
    <n v="465.5"/>
    <n v="24432.35"/>
    <n v="499.31999999999994"/>
    <n v="29648.100000000002"/>
    <n v="0"/>
    <n v="0"/>
    <n v="499.31999999999994"/>
    <n v="29648.100000000002"/>
    <n v="24432.35"/>
    <n v="0"/>
    <n v="0"/>
    <n v="5215.7500000000036"/>
    <n v="0"/>
    <n v="0"/>
    <n v="0"/>
    <n v="24432"/>
    <n v="0"/>
    <n v="0"/>
    <n v="0"/>
    <n v="0"/>
    <n v="246.16051879699248"/>
    <n v="66.5"/>
    <n v="-0.21347721361228061"/>
    <n v="1"/>
    <m/>
    <s v="Asarganj"/>
    <m/>
    <n v="0"/>
  </r>
  <r>
    <s v="Munger"/>
    <s v="10-16 Jul"/>
    <n v="1003"/>
    <s v="Asarganj"/>
    <x v="144"/>
    <s v="MUZAFFARGANJ"/>
    <s v="MPG"/>
    <s v="Direct"/>
    <n v="437.3"/>
    <n v="16462.830000000002"/>
    <n v="407.2"/>
    <n v="15117.85"/>
    <n v="0"/>
    <n v="0"/>
    <n v="407.2"/>
    <n v="15117.85"/>
    <n v="15117.85"/>
    <n v="0"/>
    <n v="0"/>
    <n v="0"/>
    <n v="0"/>
    <n v="0"/>
    <n v="0"/>
    <n v="15118"/>
    <n v="0"/>
    <n v="0"/>
    <n v="1345"/>
    <n v="0"/>
    <n v="197.79489782757835"/>
    <n v="62.471428571428575"/>
    <n v="8.1697982667621627E-2"/>
    <n v="1"/>
    <m/>
    <s v="Asarganj"/>
    <m/>
    <n v="0"/>
  </r>
  <r>
    <s v="Munger"/>
    <s v="10-16 Jul"/>
    <n v="1003"/>
    <s v="Asarganj"/>
    <x v="145"/>
    <s v="SARHA"/>
    <s v="MPG"/>
    <s v="Direct"/>
    <n v="1006.6999999999999"/>
    <n v="52231.699999999983"/>
    <n v="1073.3499999999999"/>
    <n v="55901.020000000004"/>
    <n v="0"/>
    <n v="0"/>
    <n v="1073.3499999999999"/>
    <n v="55901.020000000004"/>
    <n v="52231.699999999983"/>
    <n v="0"/>
    <n v="0"/>
    <n v="3669.3200000000215"/>
    <n v="0"/>
    <n v="0"/>
    <n v="0"/>
    <n v="52232"/>
    <n v="0"/>
    <n v="0"/>
    <n v="0"/>
    <n v="0"/>
    <n v="0"/>
    <n v="0"/>
    <n v="-7.0250824690753375E-2"/>
    <n v="2"/>
    <m/>
    <s v="Asarganj"/>
    <m/>
    <n v="0"/>
  </r>
  <r>
    <s v="Munger"/>
    <s v="10-16 Jul"/>
    <n v="1003"/>
    <s v="Asarganj"/>
    <x v="146"/>
    <s v="KUSUMBHA"/>
    <s v="MPG"/>
    <s v="Direct"/>
    <n v="595.35"/>
    <n v="25844.98"/>
    <n v="570.86"/>
    <n v="25254.160000000003"/>
    <n v="0"/>
    <n v="0"/>
    <n v="570.86"/>
    <n v="25254.160000000003"/>
    <n v="25254.160000000003"/>
    <n v="0"/>
    <n v="0"/>
    <n v="0"/>
    <n v="0"/>
    <n v="0"/>
    <n v="0"/>
    <n v="25254"/>
    <n v="0"/>
    <n v="0"/>
    <n v="591"/>
    <n v="0"/>
    <n v="90.860070781893029"/>
    <n v="85.05"/>
    <n v="2.2860145374459413E-2"/>
    <n v="1"/>
    <m/>
    <s v="Asarganj"/>
    <m/>
    <n v="0"/>
  </r>
  <r>
    <s v="Munger"/>
    <s v="10-16 Jul"/>
    <n v="1006"/>
    <s v="Sonvarsha"/>
    <x v="147"/>
    <s v="MANO"/>
    <s v="vlc"/>
    <s v="Indirect"/>
    <n v="1295.8"/>
    <n v="55273.250000000007"/>
    <n v="0"/>
    <n v="0"/>
    <n v="0"/>
    <n v="0"/>
    <n v="0"/>
    <n v="0"/>
    <n v="55273.250000000007"/>
    <n v="0"/>
    <n v="0"/>
    <n v="0"/>
    <n v="0"/>
    <n v="0"/>
    <n v="0"/>
    <n v="0"/>
    <n v="0"/>
    <n v="55273.250000000007"/>
    <n v="0"/>
    <n v="0"/>
    <n v="0"/>
    <n v="0"/>
    <n v="0"/>
    <n v="0"/>
    <m/>
    <s v="Sonvarsha"/>
    <m/>
    <n v="0"/>
  </r>
  <r>
    <s v="Munger"/>
    <s v="10-16 Jul"/>
    <n v="1006"/>
    <s v="Sonvarsha"/>
    <x v="148"/>
    <s v="PURANI SALEMPUR"/>
    <s v="vlc"/>
    <s v="Indirect"/>
    <n v="1635.7999999999997"/>
    <n v="66516.83"/>
    <n v="0"/>
    <n v="0"/>
    <n v="0"/>
    <n v="0"/>
    <n v="0"/>
    <n v="0"/>
    <n v="66516.83"/>
    <n v="0"/>
    <n v="0"/>
    <n v="0"/>
    <n v="0"/>
    <n v="0"/>
    <n v="0"/>
    <n v="0"/>
    <n v="0"/>
    <n v="66516.83"/>
    <n v="0"/>
    <n v="0"/>
    <n v="0"/>
    <n v="0"/>
    <n v="0"/>
    <n v="0"/>
    <m/>
    <s v="Sonvarsha"/>
    <m/>
    <n v="0"/>
  </r>
  <r>
    <s v="Munger"/>
    <s v="10-16 Jul"/>
    <n v="1006"/>
    <s v="Sonvarsha"/>
    <x v="149"/>
    <s v="DHANDHHA"/>
    <s v="MPG"/>
    <s v="Indirect"/>
    <n v="2460.5000000000005"/>
    <n v="100402.25"/>
    <n v="0"/>
    <n v="0"/>
    <n v="0"/>
    <n v="0"/>
    <n v="0"/>
    <n v="0"/>
    <n v="100402.25"/>
    <n v="0"/>
    <n v="0"/>
    <n v="0"/>
    <n v="0"/>
    <n v="0"/>
    <n v="0"/>
    <n v="0"/>
    <n v="0"/>
    <n v="100402.25"/>
    <n v="0"/>
    <n v="0"/>
    <n v="0"/>
    <n v="0"/>
    <n v="0"/>
    <n v="0"/>
    <m/>
    <s v="Sonvarsha"/>
    <m/>
    <n v="0"/>
  </r>
  <r>
    <s v="Munger"/>
    <s v="10-16 Jul"/>
    <n v="1006"/>
    <s v="Sonvarsha"/>
    <x v="150"/>
    <s v="CHALISH"/>
    <s v="vlc"/>
    <s v="Indirect"/>
    <n v="853.59999999999991"/>
    <n v="35592.26"/>
    <n v="0"/>
    <n v="0"/>
    <n v="0"/>
    <n v="0"/>
    <n v="0"/>
    <n v="0"/>
    <n v="35592.26"/>
    <n v="0"/>
    <n v="0"/>
    <n v="0"/>
    <n v="0"/>
    <n v="0"/>
    <n v="0"/>
    <n v="0"/>
    <n v="0"/>
    <n v="35592.26"/>
    <n v="0"/>
    <n v="0"/>
    <n v="0"/>
    <n v="0"/>
    <n v="0"/>
    <n v="0"/>
    <m/>
    <s v="Sonvarsha"/>
    <m/>
    <n v="0"/>
  </r>
  <r>
    <s v="Munger"/>
    <s v="10-16 Jul"/>
    <n v="1006"/>
    <s v="Sonvarsha"/>
    <x v="151"/>
    <s v="MAA BHAGWATI"/>
    <s v="vlc"/>
    <s v="Indirect"/>
    <n v="611.20000000000005"/>
    <n v="23110.78"/>
    <n v="0"/>
    <n v="0"/>
    <n v="0"/>
    <n v="0"/>
    <n v="0"/>
    <n v="0"/>
    <n v="23110.78"/>
    <n v="0"/>
    <n v="0"/>
    <n v="0"/>
    <n v="0"/>
    <n v="0"/>
    <n v="0"/>
    <n v="0"/>
    <n v="0"/>
    <n v="23110.78"/>
    <n v="0"/>
    <n v="0"/>
    <n v="67.154360732984273"/>
    <n v="87.314285714285717"/>
    <n v="0"/>
    <n v="0"/>
    <m/>
    <s v="Sonvarsha"/>
    <m/>
    <n v="0"/>
  </r>
  <r>
    <s v="Munger"/>
    <s v="10-16 Jul"/>
    <n v="1006"/>
    <s v="Sonvarsha"/>
    <x v="152"/>
    <s v="MAIDINICHOKI"/>
    <s v="vlc"/>
    <s v="Indirect"/>
    <n v="388.4"/>
    <n v="15647.960000000001"/>
    <n v="0"/>
    <n v="0"/>
    <n v="0"/>
    <n v="0"/>
    <n v="0"/>
    <n v="0"/>
    <n v="15647.960000000001"/>
    <n v="0"/>
    <n v="0"/>
    <n v="0"/>
    <n v="0"/>
    <n v="0"/>
    <n v="0"/>
    <n v="0"/>
    <n v="0"/>
    <n v="15647.960000000001"/>
    <n v="0"/>
    <n v="0"/>
    <n v="251.07643336766225"/>
    <n v="55.48571428571428"/>
    <n v="0"/>
    <n v="0"/>
    <m/>
    <s v="Sonvarsha"/>
    <m/>
    <n v="0"/>
  </r>
  <r>
    <s v="Munger"/>
    <s v="10-16 Jul"/>
    <n v="1006"/>
    <s v="Sonvarsha"/>
    <x v="153"/>
    <s v="GOMUKH JAJWARA"/>
    <s v="vlc"/>
    <s v="Indirect"/>
    <n v="1382.8999999999999"/>
    <n v="61002.12"/>
    <n v="0"/>
    <n v="0"/>
    <n v="0"/>
    <n v="0"/>
    <n v="0"/>
    <n v="0"/>
    <n v="61002.12"/>
    <n v="0"/>
    <n v="0"/>
    <n v="0"/>
    <n v="0"/>
    <n v="0"/>
    <n v="0"/>
    <n v="0"/>
    <n v="0"/>
    <n v="61002.12"/>
    <n v="0"/>
    <n v="0"/>
    <n v="0"/>
    <n v="0"/>
    <n v="0"/>
    <n v="0"/>
    <m/>
    <s v="Sonvarsha"/>
    <m/>
    <n v="0"/>
  </r>
  <r>
    <s v="Munger"/>
    <s v="10-16 Jul"/>
    <n v="1006"/>
    <s v="Sonvarsha"/>
    <x v="154"/>
    <s v="Gomukh ID Sonvarsha"/>
    <s v="vlc"/>
    <s v="Indirect"/>
    <n v="2076.1999999999998"/>
    <n v="88969.170000000013"/>
    <n v="0"/>
    <n v="0"/>
    <n v="0"/>
    <n v="0"/>
    <n v="0"/>
    <n v="0"/>
    <n v="88969.170000000013"/>
    <n v="0"/>
    <n v="0"/>
    <n v="0"/>
    <n v="0"/>
    <n v="0"/>
    <n v="0"/>
    <n v="0"/>
    <n v="0"/>
    <n v="88969.170000000013"/>
    <n v="0"/>
    <n v="0"/>
    <n v="0"/>
    <n v="0"/>
    <n v="0"/>
    <n v="0"/>
    <m/>
    <s v="Sonvarsha"/>
    <m/>
    <n v="0"/>
  </r>
  <r>
    <s v="Munger"/>
    <s v="10-16 Jul"/>
    <n v="1059"/>
    <s v="Gopalpur Bmc"/>
    <x v="155"/>
    <s v="BALHAPUR"/>
    <s v="MPG"/>
    <s v="Direct"/>
    <n v="523.79999999999995"/>
    <n v="26366.620000000003"/>
    <n v="521.55000000000007"/>
    <n v="25455.09"/>
    <n v="10.439999999999998"/>
    <n v="508.31"/>
    <n v="531.99"/>
    <n v="25963.4"/>
    <n v="25963.4"/>
    <n v="0"/>
    <n v="508.31"/>
    <n v="0"/>
    <n v="0"/>
    <n v="0"/>
    <n v="0"/>
    <n v="25455"/>
    <n v="0"/>
    <n v="0"/>
    <n v="403"/>
    <n v="0"/>
    <n v="177.38825673921355"/>
    <n v="74.828571428571422"/>
    <n v="1.5292820998671849E-2"/>
    <n v="23"/>
    <m/>
    <s v="Gopalpur Bmc"/>
    <m/>
    <n v="0"/>
  </r>
  <r>
    <s v="Munger"/>
    <s v="10-16 Jul"/>
    <n v="1006"/>
    <s v="Sonvarsha"/>
    <x v="156"/>
    <s v="Gomukh ID Husaina"/>
    <s v="vlc"/>
    <s v="Indirect"/>
    <n v="168"/>
    <n v="6871.88"/>
    <n v="0"/>
    <n v="0"/>
    <n v="0"/>
    <n v="0"/>
    <n v="0"/>
    <n v="0"/>
    <n v="6871.88"/>
    <n v="0"/>
    <n v="0"/>
    <n v="0"/>
    <n v="0"/>
    <n v="0"/>
    <n v="0"/>
    <n v="0"/>
    <n v="0"/>
    <n v="6871.88"/>
    <n v="0"/>
    <n v="0"/>
    <n v="435.21906666666661"/>
    <n v="24"/>
    <n v="0"/>
    <n v="0"/>
    <m/>
    <s v="Sonvarsha"/>
    <m/>
    <n v="0"/>
  </r>
  <r>
    <s v="Munger"/>
    <s v="10-16 Jul"/>
    <n v="1006"/>
    <s v="Sonvarsha"/>
    <x v="157"/>
    <s v="Gomukh ID Prarotol"/>
    <s v="vlc"/>
    <s v="Indirect"/>
    <n v="153.6"/>
    <n v="6973.43"/>
    <n v="0"/>
    <n v="0"/>
    <n v="0"/>
    <n v="0"/>
    <n v="0"/>
    <n v="0"/>
    <n v="6973.43"/>
    <n v="0"/>
    <n v="0"/>
    <n v="0"/>
    <n v="0"/>
    <n v="0"/>
    <n v="0"/>
    <n v="0"/>
    <n v="0"/>
    <n v="6973.43"/>
    <n v="0"/>
    <n v="0"/>
    <n v="496.13048854166669"/>
    <n v="21.942857142857143"/>
    <n v="0"/>
    <n v="0"/>
    <m/>
    <s v="Sonvarsha"/>
    <m/>
    <n v="0"/>
  </r>
  <r>
    <s v="Munger"/>
    <s v="10-16 Jul"/>
    <n v="1006"/>
    <s v="Sonvarsha"/>
    <x v="158"/>
    <s v="MAA SARDE"/>
    <s v="vlc"/>
    <s v="Indirect"/>
    <n v="1307"/>
    <n v="50749.900000000009"/>
    <n v="0"/>
    <n v="0"/>
    <n v="0"/>
    <n v="0"/>
    <n v="0"/>
    <n v="0"/>
    <n v="50749.900000000009"/>
    <n v="0"/>
    <n v="0"/>
    <n v="0"/>
    <n v="0"/>
    <n v="0"/>
    <n v="0"/>
    <n v="0"/>
    <n v="0"/>
    <n v="50749.900000000009"/>
    <n v="0"/>
    <n v="0"/>
    <n v="0"/>
    <n v="0"/>
    <n v="0"/>
    <n v="0"/>
    <m/>
    <s v="Sonvarsha"/>
    <m/>
    <n v="0"/>
  </r>
  <r>
    <s v="Munger"/>
    <s v="10-16 Jul"/>
    <n v="1006"/>
    <s v="Sonvarsha"/>
    <x v="159"/>
    <s v="PURANI DIH"/>
    <s v="vlc"/>
    <s v="Indirect"/>
    <n v="2278.3000000000006"/>
    <n v="101323.78000000001"/>
    <n v="0"/>
    <n v="0"/>
    <n v="0"/>
    <n v="0"/>
    <n v="0"/>
    <n v="0"/>
    <n v="101323.78000000001"/>
    <n v="0"/>
    <n v="0"/>
    <n v="0"/>
    <n v="14000"/>
    <n v="0"/>
    <n v="0"/>
    <n v="0"/>
    <n v="0"/>
    <n v="87323.780000000013"/>
    <n v="0"/>
    <n v="0"/>
    <n v="0"/>
    <n v="0"/>
    <n v="0"/>
    <n v="0"/>
    <m/>
    <s v="Sonvarsha"/>
    <m/>
    <n v="0"/>
  </r>
  <r>
    <s v="Munger"/>
    <s v="10-16 Jul"/>
    <n v="1006"/>
    <s v="Sonvarsha"/>
    <x v="160"/>
    <s v="Farda Ravi Tola"/>
    <s v="MPG"/>
    <s v="Direct"/>
    <n v="969.30000000000007"/>
    <n v="37804.29"/>
    <n v="531.29999999999995"/>
    <n v="21443.47"/>
    <n v="492.80000000000007"/>
    <n v="19526.740000000002"/>
    <n v="1024.0999999999999"/>
    <n v="40970.210000000006"/>
    <n v="37804.29"/>
    <n v="0"/>
    <n v="598.37999999999988"/>
    <n v="3165.9200000000055"/>
    <n v="8894"/>
    <n v="0"/>
    <n v="0"/>
    <n v="18278"/>
    <n v="10033"/>
    <n v="0"/>
    <n v="1"/>
    <s v="Release1"/>
    <n v="0"/>
    <n v="0"/>
    <n v="-8.3744992962439063E-2"/>
    <n v="26"/>
    <m/>
    <s v="Sonvarsha"/>
    <m/>
    <n v="0"/>
  </r>
  <r>
    <s v="Munger"/>
    <s v="10-16 Jul"/>
    <n v="1006"/>
    <s v="Sonvarsha"/>
    <x v="161"/>
    <s v="Gomukh Puranidih 2"/>
    <s v="MPG"/>
    <s v="Indirect"/>
    <n v="154.19999999999999"/>
    <n v="6912.829999999999"/>
    <n v="0"/>
    <n v="0"/>
    <n v="0"/>
    <n v="0"/>
    <n v="0"/>
    <n v="0"/>
    <n v="6912.829999999999"/>
    <n v="0"/>
    <n v="0"/>
    <n v="0"/>
    <n v="0"/>
    <n v="0"/>
    <n v="0"/>
    <n v="0"/>
    <n v="0"/>
    <n v="6912.829999999999"/>
    <n v="0"/>
    <n v="0"/>
    <n v="489.36739481193257"/>
    <n v="22.028571428571428"/>
    <n v="0"/>
    <n v="0"/>
    <m/>
    <s v="Sonvarsha"/>
    <m/>
    <n v="0"/>
  </r>
  <r>
    <s v="Munger"/>
    <s v="10-16 Jul"/>
    <n v="1006"/>
    <s v="Sonvarsha"/>
    <x v="162"/>
    <s v="Gomukh Arma"/>
    <s v="MPG"/>
    <s v="Direct"/>
    <n v="954.80000000000007"/>
    <n v="52723.869999999995"/>
    <n v="664.65"/>
    <n v="37032.49"/>
    <n v="293.79999999999995"/>
    <n v="15477.369999999999"/>
    <n v="958.44999999999993"/>
    <n v="52509.86"/>
    <n v="52509.86"/>
    <n v="0"/>
    <n v="0"/>
    <n v="0"/>
    <n v="0"/>
    <n v="0"/>
    <n v="0"/>
    <n v="37033"/>
    <n v="15478"/>
    <n v="0"/>
    <n v="213"/>
    <n v="0"/>
    <n v="0"/>
    <n v="0"/>
    <n v="4.0590722949585224E-3"/>
    <n v="11"/>
    <m/>
    <s v="Sonvarsha"/>
    <m/>
    <n v="0"/>
  </r>
  <r>
    <s v="Munger"/>
    <s v="10-16 Jul"/>
    <n v="1059"/>
    <s v="Gopalpur Bmc"/>
    <x v="163"/>
    <s v="Singhchak"/>
    <s v="MPG"/>
    <s v="Direct"/>
    <n v="1715.4"/>
    <n v="76645.969999999987"/>
    <n v="1698.7399999999996"/>
    <n v="76860.049999999988"/>
    <n v="25.72"/>
    <n v="1152.2299999999998"/>
    <n v="1724.4599999999996"/>
    <n v="78012.279999999984"/>
    <n v="76645.969999999987"/>
    <n v="0"/>
    <n v="1152.2299999999998"/>
    <n v="1366.3099999999977"/>
    <n v="0"/>
    <n v="0"/>
    <n v="0"/>
    <n v="75494"/>
    <n v="0"/>
    <n v="0"/>
    <n v="0"/>
    <n v="0"/>
    <n v="0"/>
    <n v="0"/>
    <n v="-1.7826247094269901E-2"/>
    <n v="82"/>
    <m/>
    <s v="Gopalpur Bmc"/>
    <m/>
    <n v="0"/>
  </r>
  <r>
    <s v="Munger"/>
    <s v="10-16 Jul"/>
    <n v="1006"/>
    <s v="Sonvarsha"/>
    <x v="164"/>
    <s v="MAHA-LAXMI"/>
    <s v="vlc"/>
    <s v="Indirect"/>
    <n v="357.4"/>
    <n v="13804.1"/>
    <n v="0"/>
    <n v="0"/>
    <n v="0"/>
    <n v="0"/>
    <n v="0"/>
    <n v="0"/>
    <n v="13804.1"/>
    <n v="0"/>
    <n v="0"/>
    <n v="0"/>
    <n v="0"/>
    <n v="0"/>
    <n v="0"/>
    <n v="0"/>
    <n v="0"/>
    <n v="13804.1"/>
    <n v="0"/>
    <n v="0"/>
    <n v="264.64939339675436"/>
    <n v="51.057142857142857"/>
    <n v="0"/>
    <n v="0"/>
    <m/>
    <s v="Sonvarsha"/>
    <m/>
    <n v="0"/>
  </r>
  <r>
    <s v="Munger"/>
    <s v="10-16 Jul"/>
    <n v="1006"/>
    <s v="Sonvarsha"/>
    <x v="165"/>
    <s v="PAWAI"/>
    <s v="MPG"/>
    <s v="Direct"/>
    <n v="2634.099999999999"/>
    <n v="134034.12000000002"/>
    <n v="2180.3100000000004"/>
    <n v="110203.48"/>
    <n v="477.98"/>
    <n v="23920.410000000003"/>
    <n v="2658.2900000000004"/>
    <n v="134123.89000000001"/>
    <n v="134034.12000000002"/>
    <n v="0"/>
    <n v="1246.79"/>
    <n v="89.769999999989523"/>
    <n v="0"/>
    <n v="0"/>
    <n v="0"/>
    <n v="110113"/>
    <n v="22674"/>
    <n v="0"/>
    <n v="0"/>
    <n v="0"/>
    <n v="0"/>
    <n v="0"/>
    <n v="-6.6975483555970308E-4"/>
    <n v="39"/>
    <m/>
    <s v="Sonvarsha"/>
    <m/>
    <n v="0"/>
  </r>
  <r>
    <s v="Munger"/>
    <s v="10-16 Jul"/>
    <n v="1006"/>
    <s v="Sonvarsha"/>
    <x v="166"/>
    <s v="LAKHOCHAK                                                                                           "/>
    <s v="MPG"/>
    <s v="Direct"/>
    <n v="488.09999999999997"/>
    <n v="20762.120000000003"/>
    <n v="496.77"/>
    <n v="22755.02"/>
    <n v="0"/>
    <n v="0"/>
    <n v="496.77"/>
    <n v="22755.02"/>
    <n v="20762.120000000003"/>
    <n v="0"/>
    <n v="0"/>
    <n v="1992.8999999999978"/>
    <n v="4228"/>
    <n v="0"/>
    <n v="0"/>
    <n v="16534"/>
    <n v="0"/>
    <n v="0"/>
    <n v="0"/>
    <s v="Release1"/>
    <n v="180.27015890186442"/>
    <n v="69.728571428571428"/>
    <n v="-9.5987307654516865E-2"/>
    <n v="11"/>
    <m/>
    <s v="Sonvarsha"/>
    <m/>
    <n v="0"/>
  </r>
  <r>
    <s v="Munger"/>
    <s v="10-16 Jul"/>
    <n v="1059"/>
    <s v="Gopalpur Bmc"/>
    <x v="167"/>
    <s v="BATTA RAMPUR                                                                                        "/>
    <s v="MPG"/>
    <s v="Direct"/>
    <n v="3662.0000000000005"/>
    <n v="196456.95999999999"/>
    <n v="3752.2199999999993"/>
    <n v="200243.37"/>
    <n v="33.79"/>
    <n v="2267.86"/>
    <n v="3786.0099999999993"/>
    <n v="202511.22999999998"/>
    <n v="196456.95999999999"/>
    <n v="0"/>
    <n v="2267.86"/>
    <n v="6054.2699999999895"/>
    <n v="15000"/>
    <n v="0"/>
    <n v="0"/>
    <n v="179189"/>
    <n v="0"/>
    <n v="0"/>
    <n v="0"/>
    <s v="Release1"/>
    <n v="0"/>
    <n v="0"/>
    <n v="-3.0817284355820176E-2"/>
    <n v="60"/>
    <m/>
    <s v="Gopalpur Bmc"/>
    <m/>
    <n v="0"/>
  </r>
  <r>
    <s v="Munger"/>
    <s v="10-16 Jul"/>
    <n v="1006"/>
    <s v="Sonvarsha"/>
    <x v="168"/>
    <s v="URAIN"/>
    <s v="MPG"/>
    <s v="Direct"/>
    <n v="912.5"/>
    <n v="47769.38"/>
    <n v="660.18999999999994"/>
    <n v="37697.69999999999"/>
    <n v="2161.1000000000004"/>
    <n v="119790.95"/>
    <n v="2821.2900000000004"/>
    <n v="157488.65"/>
    <n v="47769.38"/>
    <n v="0"/>
    <n v="0"/>
    <n v="109719.26999999999"/>
    <n v="0"/>
    <n v="0"/>
    <n v="0"/>
    <n v="2080"/>
    <n v="45689"/>
    <n v="0"/>
    <n v="0"/>
    <s v="Release3"/>
    <n v="0"/>
    <n v="0"/>
    <n v="-2.2968535492819875"/>
    <n v="13"/>
    <m/>
    <s v="Sonvarsha"/>
    <m/>
    <n v="0"/>
  </r>
  <r>
    <s v="Munger"/>
    <s v="10-16 Jul"/>
    <n v="1006"/>
    <s v="Sonvarsha"/>
    <x v="169"/>
    <s v="RANDHIR KUMAR(VLC)"/>
    <s v="vlc"/>
    <s v="Indirect"/>
    <n v="225.40000000000003"/>
    <n v="9805"/>
    <n v="0"/>
    <n v="0"/>
    <n v="0"/>
    <n v="0"/>
    <n v="0"/>
    <n v="0"/>
    <n v="9805"/>
    <n v="0"/>
    <n v="0"/>
    <n v="0"/>
    <n v="0"/>
    <n v="0"/>
    <n v="0"/>
    <n v="0"/>
    <n v="0"/>
    <n v="9805"/>
    <n v="0"/>
    <n v="0"/>
    <n v="412.90621118012416"/>
    <n v="32.200000000000003"/>
    <n v="0"/>
    <n v="0"/>
    <m/>
    <s v="Sonvarsha"/>
    <m/>
    <n v="0"/>
  </r>
  <r>
    <s v="Munger"/>
    <s v="10-16 Jul"/>
    <n v="1006"/>
    <s v="Sonvarsha"/>
    <x v="972"/>
    <s v="Abgil-2 - Sheshnath"/>
    <s v="vlc"/>
    <s v="Indirect"/>
    <n v="127.2"/>
    <n v="5463.35"/>
    <n v="0"/>
    <n v="0"/>
    <n v="0"/>
    <n v="0"/>
    <n v="0"/>
    <n v="0"/>
    <n v="5463.35"/>
    <n v="0"/>
    <n v="0"/>
    <n v="0"/>
    <n v="0"/>
    <n v="0"/>
    <n v="0"/>
    <n v="0"/>
    <n v="0"/>
    <n v="5463.35"/>
    <n v="0"/>
    <n v="0"/>
    <n v="492.04510691823896"/>
    <n v="18.171428571428571"/>
    <n v="0"/>
    <n v="0"/>
    <m/>
    <s v="Sonvarsha"/>
    <m/>
    <n v="0"/>
  </r>
  <r>
    <s v="Munger"/>
    <s v="10-16 Jul"/>
    <n v="1059"/>
    <s v="Gopalpur Bmc"/>
    <x v="170"/>
    <s v="MALIYA"/>
    <s v="MPG"/>
    <s v="Direct"/>
    <n v="714.89999999999986"/>
    <n v="34083.539999999994"/>
    <n v="721.61"/>
    <n v="34031.490000000013"/>
    <n v="8.41"/>
    <n v="484.42"/>
    <n v="730.02"/>
    <n v="34515.910000000011"/>
    <n v="34083.539999999994"/>
    <n v="0"/>
    <n v="484.42"/>
    <n v="432.37000000001717"/>
    <n v="0"/>
    <n v="0"/>
    <n v="0"/>
    <n v="33599"/>
    <n v="0"/>
    <n v="0"/>
    <n v="0"/>
    <n v="0"/>
    <n v="0"/>
    <n v="0"/>
    <n v="-1.2685595451646667E-2"/>
    <n v="32"/>
    <m/>
    <s v="Gopalpur Bmc"/>
    <m/>
    <n v="0"/>
  </r>
  <r>
    <s v="Munger"/>
    <s v="10-16 Jul"/>
    <n v="1059"/>
    <s v="Gopalpur Bmc"/>
    <x v="171"/>
    <s v="MAHULIYA"/>
    <s v="MPG"/>
    <s v="Direct"/>
    <n v="715.4"/>
    <n v="34889.35"/>
    <n v="696.25"/>
    <n v="32323.799999999996"/>
    <n v="10.45"/>
    <n v="478.09"/>
    <n v="706.7"/>
    <n v="32801.889999999992"/>
    <n v="32801.889999999992"/>
    <n v="0"/>
    <n v="478.09"/>
    <n v="0"/>
    <n v="0"/>
    <n v="0"/>
    <n v="0"/>
    <n v="32325"/>
    <n v="0"/>
    <n v="0"/>
    <n v="2086"/>
    <n v="0"/>
    <n v="0"/>
    <n v="0"/>
    <n v="5.9830865292704122E-2"/>
    <n v="21"/>
    <m/>
    <s v="Gopalpur Bmc"/>
    <m/>
    <n v="0"/>
  </r>
  <r>
    <s v="Munger"/>
    <s v="10-16 Jul"/>
    <n v="1006"/>
    <s v="Sonvarsha"/>
    <x v="172"/>
    <s v="ABGIL RAMPUR"/>
    <s v="vlc"/>
    <s v="Indirect"/>
    <n v="69.900000000000006"/>
    <n v="2768.7200000000003"/>
    <n v="0"/>
    <n v="0"/>
    <n v="0"/>
    <n v="0"/>
    <n v="0"/>
    <n v="0"/>
    <n v="2768.7200000000003"/>
    <n v="0"/>
    <n v="0"/>
    <n v="0"/>
    <n v="0"/>
    <n v="0"/>
    <n v="0"/>
    <n v="0"/>
    <n v="0"/>
    <n v="2768.7200000000003"/>
    <n v="0"/>
    <n v="0"/>
    <n v="499.1617945636624"/>
    <n v="9.9857142857142858"/>
    <n v="0"/>
    <n v="0"/>
    <m/>
    <s v="Sonvarsha"/>
    <m/>
    <n v="0"/>
  </r>
  <r>
    <s v="Munger"/>
    <s v="10-16 Jul"/>
    <n v="1006"/>
    <s v="Sonvarsha"/>
    <x v="173"/>
    <s v="RUPESH KUMAR"/>
    <s v="vlc"/>
    <s v="Indirect"/>
    <n v="104.7"/>
    <n v="4052.68"/>
    <n v="0"/>
    <n v="0"/>
    <n v="0"/>
    <n v="0"/>
    <n v="0"/>
    <n v="0"/>
    <n v="4052.68"/>
    <n v="0"/>
    <n v="0"/>
    <n v="0"/>
    <n v="0"/>
    <n v="0"/>
    <n v="0"/>
    <n v="0"/>
    <n v="0"/>
    <n v="4052.68"/>
    <n v="0"/>
    <n v="0"/>
    <n v="460.85203514804198"/>
    <n v="14.957142857142857"/>
    <n v="0"/>
    <n v="0"/>
    <m/>
    <s v="Sonvarsha"/>
    <m/>
    <n v="0"/>
  </r>
  <r>
    <s v="Munger"/>
    <s v="10-16 Jul"/>
    <n v="1006"/>
    <s v="Sonvarsha"/>
    <x v="174"/>
    <s v="ABGIL HUSSAINA-2                                                                                    "/>
    <s v="MPG"/>
    <s v="Direct"/>
    <n v="458.2"/>
    <n v="18214.270000000004"/>
    <n v="260.45000000000005"/>
    <n v="10621.33"/>
    <n v="201.07000000000002"/>
    <n v="8224.1500000000015"/>
    <n v="461.5200000000001"/>
    <n v="18845.480000000003"/>
    <n v="18214.270000000004"/>
    <n v="0"/>
    <n v="168.22000000000003"/>
    <n v="631.20999999999913"/>
    <n v="0"/>
    <n v="0"/>
    <n v="0"/>
    <n v="9990"/>
    <n v="8056"/>
    <n v="0"/>
    <n v="0"/>
    <n v="0"/>
    <n v="192.239654561327"/>
    <n v="65.457142857142856"/>
    <n v="-3.4654696564836197E-2"/>
    <n v="6"/>
    <m/>
    <s v="Sonvarsha"/>
    <m/>
    <n v="0"/>
  </r>
  <r>
    <s v="Munger"/>
    <s v="10-16 Jul"/>
    <n v="1006"/>
    <s v="Sonvarsha"/>
    <x v="175"/>
    <s v="Manish Kumar                                                                                        "/>
    <s v="vlc"/>
    <s v="Indirect"/>
    <n v="167.3"/>
    <n v="6537.3700000000008"/>
    <n v="0"/>
    <n v="0"/>
    <n v="0"/>
    <n v="0"/>
    <n v="0"/>
    <n v="0"/>
    <n v="6537.3700000000008"/>
    <n v="0"/>
    <n v="0"/>
    <n v="0"/>
    <n v="0"/>
    <n v="0"/>
    <n v="0"/>
    <n v="0"/>
    <n v="0"/>
    <n v="6537.3700000000008"/>
    <n v="0"/>
    <n v="0"/>
    <n v="416.31285104602512"/>
    <n v="23.900000000000002"/>
    <n v="0"/>
    <n v="0"/>
    <m/>
    <s v="Sonvarsha"/>
    <m/>
    <n v="0"/>
  </r>
  <r>
    <s v="Munger"/>
    <s v="10-16 Jul"/>
    <n v="1006"/>
    <s v="Sonvarsha"/>
    <x v="176"/>
    <s v="AKHA-KURHA"/>
    <s v="vlc"/>
    <s v="Indirect"/>
    <n v="313.50000000000006"/>
    <n v="13339.880000000001"/>
    <n v="0"/>
    <n v="0"/>
    <n v="0"/>
    <n v="0"/>
    <n v="0"/>
    <n v="0"/>
    <n v="13339.880000000001"/>
    <n v="0"/>
    <n v="0"/>
    <n v="0"/>
    <n v="0"/>
    <n v="0"/>
    <n v="0"/>
    <n v="0"/>
    <n v="0"/>
    <n v="13339.880000000001"/>
    <n v="0"/>
    <n v="0"/>
    <n v="328.92271897926628"/>
    <n v="44.785714285714292"/>
    <n v="0"/>
    <n v="0"/>
    <m/>
    <s v="Sonvarsha"/>
    <m/>
    <n v="0"/>
  </r>
  <r>
    <s v="Munger"/>
    <s v="10-16 Jul"/>
    <n v="1059"/>
    <s v="Gopalpur Bmc"/>
    <x v="177"/>
    <s v="BHANDAR"/>
    <s v="MPG"/>
    <s v="Direct"/>
    <n v="296"/>
    <n v="14306.16"/>
    <n v="296"/>
    <n v="14306.16"/>
    <n v="0"/>
    <n v="0"/>
    <n v="296"/>
    <n v="14306.16"/>
    <n v="14306.16"/>
    <n v="0"/>
    <n v="0"/>
    <n v="0"/>
    <n v="0"/>
    <n v="0"/>
    <n v="0"/>
    <n v="14306"/>
    <n v="0"/>
    <n v="0"/>
    <n v="0"/>
    <n v="0"/>
    <n v="390.51950270270277"/>
    <n v="42.285714285714285"/>
    <n v="0"/>
    <n v="1"/>
    <m/>
    <s v="Gopalpur Bmc"/>
    <m/>
    <n v="0"/>
  </r>
  <r>
    <s v="Munger"/>
    <s v="10-16 Jul"/>
    <n v="1059"/>
    <s v="Gopalpur Bmc"/>
    <x v="178"/>
    <s v="BASMATIYA"/>
    <s v="MPG"/>
    <s v="Direct"/>
    <n v="394.5"/>
    <n v="18028.509999999998"/>
    <n v="380.8"/>
    <n v="18006.13"/>
    <n v="6.49"/>
    <n v="295.41000000000003"/>
    <n v="387.29"/>
    <n v="18301.54"/>
    <n v="18028.509999999998"/>
    <n v="0"/>
    <n v="295.41000000000003"/>
    <n v="273.03000000000247"/>
    <n v="3500"/>
    <n v="0"/>
    <n v="0"/>
    <n v="14233"/>
    <n v="0"/>
    <n v="0"/>
    <n v="0"/>
    <s v="Release1"/>
    <n v="279.22483168567805"/>
    <n v="56.357142857142854"/>
    <n v="-1.5144346371386348E-2"/>
    <n v="10"/>
    <m/>
    <s v="Gopalpur Bmc"/>
    <m/>
    <n v="0"/>
  </r>
  <r>
    <s v="Munger"/>
    <s v="10-16 Jul"/>
    <n v="1006"/>
    <s v="Sonvarsha"/>
    <x v="179"/>
    <s v="AKHA KURHA"/>
    <s v="MPG"/>
    <s v="Direct"/>
    <n v="397.5"/>
    <n v="16796.240000000002"/>
    <n v="397.49999999999994"/>
    <n v="16781.830000000002"/>
    <n v="0"/>
    <n v="0"/>
    <n v="397.49999999999994"/>
    <n v="16781.830000000002"/>
    <n v="16781.830000000002"/>
    <n v="0"/>
    <n v="0"/>
    <n v="0"/>
    <n v="0"/>
    <n v="0"/>
    <n v="0"/>
    <n v="16782"/>
    <n v="0"/>
    <n v="0"/>
    <n v="14"/>
    <n v="0"/>
    <n v="255.64088553459126"/>
    <n v="56.785714285714285"/>
    <n v="8.5793010816705725E-4"/>
    <n v="1"/>
    <m/>
    <s v="Sonvarsha"/>
    <m/>
    <n v="0"/>
  </r>
  <r>
    <s v="Munger"/>
    <s v="10-16 Jul"/>
    <n v="1006"/>
    <s v="Sonvarsha"/>
    <x v="180"/>
    <s v="TILATHI"/>
    <s v="MPG"/>
    <s v="Direct"/>
    <n v="1524.0000000000002"/>
    <n v="66211.67"/>
    <n v="1374.32"/>
    <n v="56274.530000000013"/>
    <n v="195.04000000000002"/>
    <n v="8954.4500000000007"/>
    <n v="1569.36"/>
    <n v="65228.98000000001"/>
    <n v="65228.98000000001"/>
    <n v="0"/>
    <n v="819.31000000000006"/>
    <n v="0"/>
    <n v="0"/>
    <n v="0"/>
    <n v="0"/>
    <n v="56279"/>
    <n v="8134"/>
    <n v="0"/>
    <n v="979"/>
    <n v="0"/>
    <n v="0"/>
    <n v="0"/>
    <n v="1.4841643474632007E-2"/>
    <n v="37"/>
    <m/>
    <s v="Sonvarsha"/>
    <m/>
    <n v="0"/>
  </r>
  <r>
    <s v="Munger"/>
    <s v="10-16 Jul"/>
    <n v="1006"/>
    <s v="Sonvarsha"/>
    <x v="181"/>
    <s v="GOMUKH WESTOL"/>
    <s v="vlc"/>
    <s v="Indirect"/>
    <n v="2343.4"/>
    <n v="94597.73000000001"/>
    <n v="0"/>
    <n v="0"/>
    <n v="0"/>
    <n v="0"/>
    <n v="0"/>
    <n v="0"/>
    <n v="94597.73000000001"/>
    <n v="0"/>
    <n v="0"/>
    <n v="0"/>
    <n v="0"/>
    <n v="0"/>
    <n v="0"/>
    <n v="0"/>
    <n v="0"/>
    <n v="94597.73000000001"/>
    <n v="0"/>
    <n v="0"/>
    <n v="0"/>
    <n v="0"/>
    <n v="0"/>
    <n v="0"/>
    <m/>
    <s v="Sonvarsha"/>
    <m/>
    <n v="0"/>
  </r>
  <r>
    <s v="Munger"/>
    <s v="10-16 Jul"/>
    <n v="1006"/>
    <s v="Sonvarsha"/>
    <x v="182"/>
    <s v="GOMUKH NAWTOLIYA(OM PRAKASH)"/>
    <s v="vlc"/>
    <s v="Indirect"/>
    <n v="253.4"/>
    <n v="9067.86"/>
    <n v="0"/>
    <n v="0"/>
    <n v="0"/>
    <n v="0"/>
    <n v="0"/>
    <n v="0"/>
    <n v="9067.86"/>
    <n v="0"/>
    <n v="0"/>
    <n v="0"/>
    <n v="0"/>
    <n v="0"/>
    <n v="0"/>
    <n v="0"/>
    <n v="0"/>
    <n v="9067.86"/>
    <n v="0"/>
    <n v="0"/>
    <n v="319.62954033149174"/>
    <n v="36.200000000000003"/>
    <n v="0"/>
    <n v="0"/>
    <m/>
    <s v="Sonvarsha"/>
    <m/>
    <n v="0"/>
  </r>
  <r>
    <s v="Munger"/>
    <s v="10-16 Jul"/>
    <n v="1059"/>
    <s v="Gopalpur Bmc"/>
    <x v="183"/>
    <s v="SANGRAMPUR"/>
    <s v="MPG"/>
    <s v="Direct"/>
    <n v="659.59999999999991"/>
    <n v="32091.460000000003"/>
    <n v="659.6"/>
    <n v="32124.92"/>
    <n v="0"/>
    <n v="0"/>
    <n v="659.6"/>
    <n v="32124.92"/>
    <n v="32091.460000000003"/>
    <n v="0"/>
    <n v="0"/>
    <n v="33.459999999995489"/>
    <n v="0"/>
    <n v="0"/>
    <n v="0"/>
    <n v="32091"/>
    <n v="0"/>
    <n v="0"/>
    <n v="0"/>
    <n v="0"/>
    <n v="39.311551970891564"/>
    <n v="94.228571428571414"/>
    <n v="-1.0426449902869949E-3"/>
    <n v="3"/>
    <m/>
    <s v="Gopalpur Bmc"/>
    <m/>
    <n v="0"/>
  </r>
  <r>
    <s v="Munger"/>
    <s v="10-16 Jul"/>
    <n v="1006"/>
    <s v="Sonvarsha"/>
    <x v="184"/>
    <s v="GOMUKH CHASMASKAN"/>
    <s v="vlc"/>
    <s v="Indirect"/>
    <n v="1107.4999999999998"/>
    <n v="43506.02"/>
    <n v="0"/>
    <n v="0"/>
    <n v="0"/>
    <n v="0"/>
    <n v="0"/>
    <n v="0"/>
    <n v="43506.02"/>
    <n v="0"/>
    <n v="0"/>
    <n v="0"/>
    <n v="0"/>
    <n v="0"/>
    <n v="0"/>
    <n v="0"/>
    <n v="0"/>
    <n v="43506.02"/>
    <n v="0"/>
    <n v="0"/>
    <n v="0"/>
    <n v="0"/>
    <n v="0"/>
    <n v="0"/>
    <m/>
    <s v="Sonvarsha"/>
    <m/>
    <n v="0"/>
  </r>
  <r>
    <s v="Munger"/>
    <s v="10-16 Jul"/>
    <n v="1006"/>
    <s v="Sonvarsha"/>
    <x v="973"/>
    <s v="GOMUKH KAJITOLA"/>
    <s v="vlc"/>
    <s v="Indirect"/>
    <n v="1312.7999999999997"/>
    <n v="53514.18"/>
    <n v="0"/>
    <n v="0"/>
    <n v="0"/>
    <n v="0"/>
    <n v="0"/>
    <n v="0"/>
    <n v="53514.18"/>
    <n v="0"/>
    <n v="0"/>
    <n v="0"/>
    <n v="0"/>
    <n v="0"/>
    <n v="0"/>
    <n v="0"/>
    <n v="0"/>
    <n v="53514.18"/>
    <n v="0"/>
    <n v="0"/>
    <n v="0"/>
    <n v="0"/>
    <n v="0"/>
    <n v="0"/>
    <m/>
    <s v="Sonvarsha"/>
    <m/>
    <n v="0"/>
  </r>
  <r>
    <s v="Munger"/>
    <s v="10-16 Jul"/>
    <n v="1006"/>
    <s v="Sonvarsha"/>
    <x v="185"/>
    <s v="RAMDEV TOLA"/>
    <s v="MPG"/>
    <s v="Direct"/>
    <n v="1439.1"/>
    <n v="68412.75"/>
    <n v="1052.9599999999998"/>
    <n v="52358.04"/>
    <n v="403.41"/>
    <n v="16619.25"/>
    <n v="1456.37"/>
    <n v="68977.290000000008"/>
    <n v="68412.75"/>
    <n v="0"/>
    <n v="438.97000000000008"/>
    <n v="564.54000000000815"/>
    <n v="2700"/>
    <n v="0"/>
    <n v="0"/>
    <n v="51794"/>
    <n v="13480"/>
    <n v="0"/>
    <n v="0"/>
    <s v="Release1"/>
    <n v="0"/>
    <n v="0"/>
    <n v="-8.251970575660357E-3"/>
    <n v="18"/>
    <m/>
    <s v="Sonvarsha"/>
    <m/>
    <n v="0"/>
  </r>
  <r>
    <s v="Munger"/>
    <s v="10-16 Jul"/>
    <n v="1006"/>
    <s v="Sonvarsha"/>
    <x v="186"/>
    <s v="GOMUKH KATEHAR"/>
    <s v="vlc"/>
    <s v="Indirect"/>
    <n v="1569.6"/>
    <n v="56422.23"/>
    <n v="0"/>
    <n v="0"/>
    <n v="0"/>
    <n v="0"/>
    <n v="0"/>
    <n v="0"/>
    <n v="56422.23"/>
    <n v="0"/>
    <n v="0"/>
    <n v="0"/>
    <n v="0"/>
    <n v="0"/>
    <n v="0"/>
    <n v="0"/>
    <n v="0"/>
    <n v="56422.23"/>
    <n v="0"/>
    <n v="0"/>
    <n v="0"/>
    <n v="0"/>
    <n v="0"/>
    <n v="0"/>
    <m/>
    <s v="Sonvarsha"/>
    <m/>
    <n v="0"/>
  </r>
  <r>
    <s v="Munger"/>
    <s v="10-16 Jul"/>
    <n v="1006"/>
    <s v="Sonvarsha"/>
    <x v="187"/>
    <s v="PIPARPATI"/>
    <s v="MPG"/>
    <s v="Direct"/>
    <n v="716.49999999999989"/>
    <n v="36191.89"/>
    <n v="706.84"/>
    <n v="37210.880000000012"/>
    <n v="8.2099999999999991"/>
    <n v="361.62000000000006"/>
    <n v="715.05000000000007"/>
    <n v="37572.500000000015"/>
    <n v="36191.89"/>
    <n v="0"/>
    <n v="361.62000000000006"/>
    <n v="1380.6100000000151"/>
    <n v="0"/>
    <n v="0"/>
    <n v="0"/>
    <n v="35830"/>
    <n v="0"/>
    <n v="0"/>
    <n v="0"/>
    <n v="0"/>
    <n v="0"/>
    <n v="0"/>
    <n v="-3.8146943970044533E-2"/>
    <n v="11"/>
    <m/>
    <s v="Sonvarsha"/>
    <m/>
    <n v="0"/>
  </r>
  <r>
    <s v="Munger"/>
    <s v="10-16 Jul"/>
    <n v="1006"/>
    <s v="Sonvarsha"/>
    <x v="188"/>
    <s v="GOMUKH JAGMAGLA"/>
    <s v="vlc"/>
    <s v="Indirect"/>
    <n v="1073.8"/>
    <n v="43373.729999999996"/>
    <n v="0"/>
    <n v="0"/>
    <n v="0"/>
    <n v="0"/>
    <n v="0"/>
    <n v="0"/>
    <n v="43373.729999999996"/>
    <n v="0"/>
    <n v="0"/>
    <n v="0"/>
    <n v="0"/>
    <n v="0"/>
    <n v="0"/>
    <n v="0"/>
    <n v="0"/>
    <n v="43373.729999999996"/>
    <n v="0"/>
    <n v="0"/>
    <n v="0"/>
    <n v="0"/>
    <n v="0"/>
    <n v="0"/>
    <m/>
    <s v="Sonvarsha"/>
    <m/>
    <n v="0"/>
  </r>
  <r>
    <s v="Munger"/>
    <s v="10-16 Jul"/>
    <n v="1006"/>
    <s v="Sonvarsha"/>
    <x v="189"/>
    <s v="ORABAGICHA"/>
    <s v="MPG"/>
    <s v="Direct"/>
    <n v="486.5"/>
    <n v="20480.000000000004"/>
    <n v="436.10000000000008"/>
    <n v="18282.73"/>
    <n v="42.099999999999994"/>
    <n v="1760.28"/>
    <n v="478.20000000000005"/>
    <n v="20043.009999999998"/>
    <n v="20043.009999999998"/>
    <n v="0"/>
    <n v="12.26"/>
    <n v="0"/>
    <n v="0"/>
    <n v="500"/>
    <n v="0"/>
    <n v="17783"/>
    <n v="1748"/>
    <n v="0"/>
    <n v="437"/>
    <n v="0"/>
    <n v="179.75251798561152"/>
    <n v="69.5"/>
    <n v="2.1337402343750252E-2"/>
    <n v="3"/>
    <m/>
    <s v="Sonvarsha"/>
    <m/>
    <n v="500"/>
  </r>
  <r>
    <s v="Munger"/>
    <s v="10-16 Jul"/>
    <n v="1006"/>
    <s v="Sonvarsha"/>
    <x v="190"/>
    <s v="KHAJURIYA"/>
    <s v="MPG"/>
    <s v="Direct"/>
    <n v="457.5"/>
    <n v="19915.64"/>
    <n v="441.51000000000005"/>
    <n v="20108.659999999996"/>
    <n v="0"/>
    <n v="0"/>
    <n v="441.51000000000005"/>
    <n v="20108.659999999996"/>
    <n v="19915.64"/>
    <n v="0"/>
    <n v="0"/>
    <n v="193.0199999999968"/>
    <n v="0"/>
    <n v="0"/>
    <n v="0"/>
    <n v="19916"/>
    <n v="0"/>
    <n v="0"/>
    <n v="0"/>
    <s v="Release3"/>
    <n v="211.12754972677595"/>
    <n v="65.357142857142861"/>
    <n v="-9.6918803513217147E-3"/>
    <n v="2"/>
    <m/>
    <s v="Sonvarsha"/>
    <m/>
    <n v="0"/>
  </r>
  <r>
    <s v="Munger"/>
    <s v="10-16 Jul"/>
    <n v="1006"/>
    <s v="Sonvarsha"/>
    <x v="191"/>
    <s v="NAYA SALEMPUR"/>
    <s v="vlc"/>
    <s v="Indirect"/>
    <n v="906.5"/>
    <n v="36661.65"/>
    <n v="0"/>
    <n v="0"/>
    <n v="0"/>
    <n v="0"/>
    <n v="0"/>
    <n v="0"/>
    <n v="36661.65"/>
    <n v="0"/>
    <n v="0"/>
    <n v="0"/>
    <n v="0"/>
    <n v="0"/>
    <n v="0"/>
    <n v="0"/>
    <n v="0"/>
    <n v="36661.65"/>
    <n v="0"/>
    <n v="0"/>
    <n v="0"/>
    <n v="0"/>
    <n v="0"/>
    <n v="0"/>
    <m/>
    <s v="Sonvarsha"/>
    <m/>
    <n v="0"/>
  </r>
  <r>
    <s v="Munger"/>
    <s v="10-16 Jul"/>
    <n v="1006"/>
    <s v="Sonvarsha"/>
    <x v="192"/>
    <s v="MANO 2"/>
    <s v="MPG"/>
    <s v="Direct"/>
    <n v="313.89999999999998"/>
    <n v="14192.88"/>
    <n v="313.89999999999992"/>
    <n v="14192.89"/>
    <n v="0"/>
    <n v="0"/>
    <n v="313.89999999999992"/>
    <n v="14192.89"/>
    <n v="14192.88"/>
    <n v="0"/>
    <n v="0"/>
    <n v="1.0000000000218279E-2"/>
    <n v="0"/>
    <n v="0"/>
    <n v="0"/>
    <n v="14193"/>
    <n v="0"/>
    <n v="0"/>
    <n v="0"/>
    <n v="0"/>
    <n v="349.14756087926094"/>
    <n v="44.842857142857142"/>
    <n v="-7.0457863380922541E-7"/>
    <n v="1"/>
    <m/>
    <s v="Sonvarsha"/>
    <m/>
    <n v="0"/>
  </r>
  <r>
    <s v="Munger"/>
    <s v="10-16 Jul"/>
    <n v="1006"/>
    <s v="Sonvarsha"/>
    <x v="193"/>
    <s v="Champanagar"/>
    <s v="MPG"/>
    <s v="Direct"/>
    <n v="545.69999999999993"/>
    <n v="28442.339999999997"/>
    <n v="588.68000000000006"/>
    <n v="30838.190000000002"/>
    <n v="0"/>
    <n v="0"/>
    <n v="588.68000000000006"/>
    <n v="30838.190000000002"/>
    <n v="28442.339999999997"/>
    <n v="0"/>
    <n v="0"/>
    <n v="2395.8500000000058"/>
    <n v="0"/>
    <n v="500"/>
    <n v="0"/>
    <n v="27942"/>
    <n v="0"/>
    <n v="0"/>
    <n v="0"/>
    <n v="0"/>
    <n v="160.84489873556913"/>
    <n v="77.957142857142841"/>
    <n v="-8.4235333661014045E-2"/>
    <n v="3"/>
    <m/>
    <s v="Sonvarsha"/>
    <m/>
    <n v="500"/>
  </r>
  <r>
    <s v="Munger"/>
    <s v="10-16 Jul"/>
    <n v="1006"/>
    <s v="Sonvarsha"/>
    <x v="194"/>
    <s v="LOSDHANI"/>
    <s v="MPG"/>
    <s v="Direct"/>
    <n v="122"/>
    <n v="4559.6200000000008"/>
    <n v="121.60000000000001"/>
    <n v="4669.67"/>
    <n v="1.4"/>
    <n v="55.59"/>
    <n v="123.00000000000001"/>
    <n v="4725.26"/>
    <n v="4559.6200000000008"/>
    <n v="0"/>
    <n v="55.59"/>
    <n v="165.63999999999942"/>
    <n v="0"/>
    <n v="0"/>
    <n v="0"/>
    <n v="4504"/>
    <n v="0"/>
    <n v="0"/>
    <n v="0"/>
    <n v="0"/>
    <n v="432.04268196721324"/>
    <n v="17.428571428571427"/>
    <n v="-3.6327588702567186E-2"/>
    <n v="2"/>
    <m/>
    <s v="Sonvarsha"/>
    <m/>
    <n v="0"/>
  </r>
  <r>
    <s v="Munger"/>
    <s v="10-16 Jul"/>
    <n v="1006"/>
    <s v="Sonvarsha"/>
    <x v="195"/>
    <s v="GOMUKH BAGALWA"/>
    <s v="MPG"/>
    <s v="Direct"/>
    <n v="147"/>
    <n v="9057.380000000001"/>
    <n v="26.740000000000002"/>
    <n v="1451.75"/>
    <n v="140.94"/>
    <n v="9356.34"/>
    <n v="167.68"/>
    <n v="10808.09"/>
    <n v="9057.380000000001"/>
    <n v="0"/>
    <n v="0"/>
    <n v="1750.7099999999991"/>
    <n v="0"/>
    <n v="0"/>
    <n v="0"/>
    <n v="0"/>
    <n v="9057"/>
    <n v="0"/>
    <n v="0"/>
    <s v="Release3"/>
    <n v="681.4600190476192"/>
    <n v="21"/>
    <n v="-0.19329099585089715"/>
    <n v="5"/>
    <m/>
    <s v="Sonvarsha"/>
    <m/>
    <n v="0"/>
  </r>
  <r>
    <s v="Munger"/>
    <s v="10-16 Jul"/>
    <n v="1006"/>
    <s v="Sonvarsha"/>
    <x v="196"/>
    <s v="GOMUKH BHITAKITA"/>
    <s v="vlc"/>
    <s v="Indirect"/>
    <n v="64.8"/>
    <n v="2521.2799999999997"/>
    <n v="0"/>
    <n v="0"/>
    <n v="0"/>
    <n v="0"/>
    <n v="0"/>
    <n v="0"/>
    <n v="2521.2799999999997"/>
    <n v="0"/>
    <n v="0"/>
    <n v="0"/>
    <n v="0"/>
    <n v="0"/>
    <n v="0"/>
    <n v="0"/>
    <n v="0"/>
    <n v="2521.2799999999997"/>
    <n v="0"/>
    <n v="0"/>
    <n v="494.29538765432102"/>
    <n v="9.2571428571428562"/>
    <n v="0"/>
    <n v="0"/>
    <m/>
    <s v="Sonvarsha"/>
    <m/>
    <n v="0"/>
  </r>
  <r>
    <s v="Munger"/>
    <s v="10-16 Jul"/>
    <n v="1006"/>
    <s v="Sonvarsha"/>
    <x v="197"/>
    <s v="GOMUKH OJONTOLA"/>
    <s v="vlc"/>
    <s v="Indirect"/>
    <n v="137"/>
    <n v="5616.99"/>
    <n v="0"/>
    <n v="0"/>
    <n v="0"/>
    <n v="0"/>
    <n v="0"/>
    <n v="0"/>
    <n v="5616.99"/>
    <n v="0"/>
    <n v="0"/>
    <n v="0"/>
    <n v="0"/>
    <n v="0"/>
    <n v="0"/>
    <n v="0"/>
    <n v="0"/>
    <n v="5616.99"/>
    <n v="0"/>
    <n v="0"/>
    <n v="461.6591781021898"/>
    <n v="19.571428571428573"/>
    <n v="0"/>
    <n v="0"/>
    <m/>
    <s v="Sonvarsha"/>
    <m/>
    <n v="0"/>
  </r>
  <r>
    <s v="Munger"/>
    <s v="10-16 Jul"/>
    <n v="1006"/>
    <s v="Sonvarsha"/>
    <x v="198"/>
    <s v="KHUDDIBAN SHIVNAGAR"/>
    <s v="MPG"/>
    <s v="Direct"/>
    <n v="1004.0999999999999"/>
    <n v="35914.630000000005"/>
    <n v="527.20000000000005"/>
    <n v="18960.46"/>
    <n v="498.9"/>
    <n v="18463.330000000002"/>
    <n v="1026.0999999999999"/>
    <n v="37423.79"/>
    <n v="35914.630000000005"/>
    <n v="0"/>
    <n v="0"/>
    <n v="1509.1599999999962"/>
    <n v="0"/>
    <n v="0"/>
    <n v="0"/>
    <n v="17451"/>
    <n v="18464"/>
    <n v="0"/>
    <n v="0"/>
    <n v="0"/>
    <n v="0"/>
    <n v="0"/>
    <n v="-4.2020758671326867E-2"/>
    <n v="6"/>
    <m/>
    <s v="Sonvarsha"/>
    <m/>
    <n v="0"/>
  </r>
  <r>
    <s v="Munger"/>
    <s v="10-16 Jul"/>
    <n v="1006"/>
    <s v="Sonvarsha"/>
    <x v="199"/>
    <s v="BARIYARPUR"/>
    <s v="MPG"/>
    <s v="Direct"/>
    <n v="522.10000000000014"/>
    <n v="22775.160000000007"/>
    <n v="330.1"/>
    <n v="14974.4"/>
    <n v="206.70000000000002"/>
    <n v="8569.0600000000013"/>
    <n v="536.80000000000007"/>
    <n v="23543.46"/>
    <n v="22775.160000000007"/>
    <n v="0"/>
    <n v="136.30000000000001"/>
    <n v="768.299999999992"/>
    <n v="0"/>
    <n v="0"/>
    <n v="0"/>
    <n v="14205"/>
    <n v="8434"/>
    <n v="0"/>
    <n v="0"/>
    <n v="0"/>
    <n v="155.2078515226967"/>
    <n v="74.585714285714303"/>
    <n v="-3.3734120857987021E-2"/>
    <n v="8"/>
    <m/>
    <s v="Sonvarsha"/>
    <m/>
    <n v="0"/>
  </r>
  <r>
    <s v="Munger"/>
    <s v="10-16 Jul"/>
    <n v="1006"/>
    <s v="Sonvarsha"/>
    <x v="200"/>
    <s v="MASUDAN"/>
    <s v="MPG"/>
    <s v="Direct"/>
    <n v="2000.1000000000001"/>
    <n v="90538.890000000043"/>
    <n v="1420.41"/>
    <n v="67499"/>
    <n v="570.79999999999995"/>
    <n v="28554.43"/>
    <n v="1991.21"/>
    <n v="96053.43"/>
    <n v="90538.890000000043"/>
    <n v="0"/>
    <n v="0"/>
    <n v="5514.5399999999499"/>
    <n v="0"/>
    <n v="0"/>
    <n v="0"/>
    <n v="61985"/>
    <n v="28554"/>
    <n v="0"/>
    <n v="0"/>
    <n v="0"/>
    <n v="0"/>
    <n v="0"/>
    <n v="-6.0907970044695128E-2"/>
    <n v="21"/>
    <m/>
    <s v="Sonvarsha"/>
    <m/>
    <n v="0"/>
  </r>
  <r>
    <s v="Munger"/>
    <s v="10-16 Jul"/>
    <n v="1006"/>
    <s v="Sonvarsha"/>
    <x v="201"/>
    <s v="GOMUKH BOHLA"/>
    <s v="vlc"/>
    <s v="Indirect"/>
    <n v="871.69999999999993"/>
    <n v="33882.799999999996"/>
    <n v="0"/>
    <n v="0"/>
    <n v="0"/>
    <n v="0"/>
    <n v="0"/>
    <n v="0"/>
    <n v="33882.799999999996"/>
    <n v="0"/>
    <n v="0"/>
    <n v="0"/>
    <n v="0"/>
    <n v="0"/>
    <n v="0"/>
    <n v="0"/>
    <n v="0"/>
    <n v="33882.799999999996"/>
    <n v="0"/>
    <n v="0"/>
    <n v="0"/>
    <n v="0"/>
    <n v="0"/>
    <n v="0"/>
    <m/>
    <s v="Sonvarsha"/>
    <m/>
    <n v="0"/>
  </r>
  <r>
    <s v="Munger"/>
    <s v="10-16 Jul"/>
    <n v="1006"/>
    <s v="Sonvarsha"/>
    <x v="974"/>
    <s v="TOTAHA"/>
    <s v="vlc"/>
    <s v="Direct"/>
    <n v="365.8"/>
    <n v="15538.160000000002"/>
    <n v="305.77999999999997"/>
    <n v="12517.829999999998"/>
    <n v="63.629999999999995"/>
    <n v="2441.6400000000003"/>
    <n v="369.40999999999997"/>
    <n v="14959.469999999998"/>
    <n v="14959.469999999998"/>
    <n v="0"/>
    <n v="0"/>
    <n v="0"/>
    <n v="0"/>
    <n v="0"/>
    <n v="0"/>
    <n v="12518"/>
    <n v="2441"/>
    <n v="0"/>
    <n v="579"/>
    <n v="0"/>
    <n v="283.9176091853472"/>
    <n v="52.25714285714286"/>
    <n v="3.7243148480901475E-2"/>
    <n v="7"/>
    <m/>
    <s v="Sonvarsha"/>
    <m/>
    <n v="0"/>
  </r>
  <r>
    <s v="Munger"/>
    <s v="10-16 Jul"/>
    <n v="1006"/>
    <s v="Sonvarsha"/>
    <x v="202"/>
    <s v="GOMUKH RAMPUR"/>
    <s v="vlc"/>
    <s v="Indirect"/>
    <n v="818.59999999999991"/>
    <n v="28914.679999999997"/>
    <n v="0"/>
    <n v="0"/>
    <n v="0"/>
    <n v="0"/>
    <n v="0"/>
    <n v="0"/>
    <n v="28914.679999999997"/>
    <n v="0"/>
    <n v="0"/>
    <n v="0"/>
    <n v="0"/>
    <n v="0"/>
    <n v="0"/>
    <n v="0"/>
    <n v="0"/>
    <n v="28914.679999999997"/>
    <n v="0"/>
    <n v="0"/>
    <n v="0"/>
    <n v="0"/>
    <n v="0"/>
    <n v="0"/>
    <m/>
    <s v="Sonvarsha"/>
    <m/>
    <n v="0"/>
  </r>
  <r>
    <s v="Munger"/>
    <s v="10-16 Jul"/>
    <n v="1007"/>
    <s v="Araria"/>
    <x v="203"/>
    <s v="Gomukh ID Araria"/>
    <s v="vlc"/>
    <s v="Indirect"/>
    <n v="4740.2"/>
    <n v="186073.28999999998"/>
    <n v="0"/>
    <n v="0"/>
    <n v="0"/>
    <n v="0"/>
    <n v="0"/>
    <n v="0"/>
    <n v="186073.28999999998"/>
    <n v="0"/>
    <n v="0"/>
    <n v="0"/>
    <n v="0"/>
    <n v="0"/>
    <n v="0"/>
    <n v="0"/>
    <n v="0"/>
    <n v="186073.28999999998"/>
    <n v="0"/>
    <n v="0"/>
    <n v="0"/>
    <n v="0"/>
    <n v="0"/>
    <n v="0"/>
    <m/>
    <s v="Araria"/>
    <m/>
    <n v="0"/>
  </r>
  <r>
    <s v="Munger"/>
    <s v="10-16 Jul"/>
    <n v="1007"/>
    <s v="Araria"/>
    <x v="204"/>
    <s v="Gomukh ID Chaidha"/>
    <s v="vlc"/>
    <s v="Indirect"/>
    <n v="933.89999999999986"/>
    <n v="32172.020000000004"/>
    <n v="0"/>
    <n v="0"/>
    <n v="0"/>
    <n v="0"/>
    <n v="0"/>
    <n v="0"/>
    <n v="32172.020000000004"/>
    <n v="0"/>
    <n v="0"/>
    <n v="0"/>
    <n v="13500"/>
    <n v="0"/>
    <n v="0"/>
    <n v="0"/>
    <n v="0"/>
    <n v="18672.020000000004"/>
    <n v="0"/>
    <n v="0"/>
    <n v="0"/>
    <n v="0"/>
    <n v="0"/>
    <n v="0"/>
    <m/>
    <s v="Araria"/>
    <m/>
    <n v="0"/>
  </r>
  <r>
    <s v="Munger"/>
    <s v="10-16 Jul"/>
    <n v="1056"/>
    <s v="Chautham"/>
    <x v="205"/>
    <s v="Gomukh ID Pakrail"/>
    <s v="MPG"/>
    <s v="Indirect"/>
    <n v="160.57999999999998"/>
    <n v="5510.48"/>
    <n v="0"/>
    <n v="0"/>
    <n v="0"/>
    <n v="0"/>
    <n v="0"/>
    <n v="0"/>
    <n v="5510.48"/>
    <n v="0"/>
    <n v="0"/>
    <n v="0"/>
    <n v="0"/>
    <n v="0"/>
    <n v="0"/>
    <n v="0"/>
    <n v="0"/>
    <n v="5510.48"/>
    <n v="0"/>
    <n v="0"/>
    <n v="370.21585771578037"/>
    <n v="22.939999999999998"/>
    <n v="0"/>
    <n v="0"/>
    <m/>
    <s v="Chautham"/>
    <m/>
    <n v="0"/>
  </r>
  <r>
    <s v="Munger"/>
    <s v="10-16 Jul"/>
    <n v="1056"/>
    <s v="Chautham"/>
    <x v="206"/>
    <s v="Gomukh ID Pipra"/>
    <s v="MPG"/>
    <s v="Indirect"/>
    <n v="269.66000000000003"/>
    <n v="9435.67"/>
    <n v="0"/>
    <n v="0"/>
    <n v="0"/>
    <n v="0"/>
    <n v="0"/>
    <n v="0"/>
    <n v="9435.67"/>
    <n v="0"/>
    <n v="0"/>
    <n v="0"/>
    <n v="0"/>
    <n v="0"/>
    <n v="0"/>
    <n v="0"/>
    <n v="0"/>
    <n v="9435.67"/>
    <n v="0"/>
    <n v="0"/>
    <n v="301.16044113327888"/>
    <n v="38.522857142857148"/>
    <n v="0"/>
    <n v="0"/>
    <m/>
    <s v="Chautham"/>
    <m/>
    <n v="0"/>
  </r>
  <r>
    <s v="Munger"/>
    <s v="10-16 Jul"/>
    <n v="1007"/>
    <s v="Araria"/>
    <x v="207"/>
    <s v="Gomukh Fatepur                                                                                      "/>
    <s v="MPG"/>
    <s v="Direct"/>
    <n v="213.10000000000002"/>
    <n v="8680.6999999999989"/>
    <n v="186.92000000000002"/>
    <n v="7552.07"/>
    <n v="26.18"/>
    <n v="1058.8"/>
    <n v="213.10000000000002"/>
    <n v="8610.869999999999"/>
    <n v="8610.869999999999"/>
    <n v="0"/>
    <n v="154.86000000000001"/>
    <n v="0"/>
    <n v="0"/>
    <n v="0"/>
    <n v="0"/>
    <n v="7552"/>
    <n v="904"/>
    <n v="0"/>
    <n v="70"/>
    <n v="0"/>
    <n v="396.68069732519928"/>
    <n v="30.442857142857147"/>
    <n v="8.044282143145131E-3"/>
    <n v="10"/>
    <m/>
    <s v="Araria"/>
    <m/>
    <n v="0"/>
  </r>
  <r>
    <s v="Munger"/>
    <s v="10-16 Jul"/>
    <n v="1007"/>
    <s v="Araria"/>
    <x v="208"/>
    <s v="Gomukh Gauchhari"/>
    <s v="MPG"/>
    <s v="Direct"/>
    <n v="177.49999999999997"/>
    <n v="7404.4699999999993"/>
    <n v="176.7"/>
    <n v="7341.96"/>
    <n v="1.3200000000000003"/>
    <n v="55.099999999999994"/>
    <n v="178.01999999999998"/>
    <n v="7397.06"/>
    <n v="7397.06"/>
    <n v="0"/>
    <n v="55.099999999999994"/>
    <n v="0"/>
    <n v="0"/>
    <n v="0"/>
    <n v="0"/>
    <n v="7343"/>
    <n v="0"/>
    <n v="0"/>
    <n v="6"/>
    <n v="0"/>
    <n v="435.92513521126762"/>
    <n v="25.357142857142854"/>
    <n v="1.000746846161703E-3"/>
    <n v="5"/>
    <m/>
    <s v="Araria"/>
    <m/>
    <n v="0"/>
  </r>
  <r>
    <s v="Munger"/>
    <s v="10-16 Jul"/>
    <n v="1007"/>
    <s v="Araria"/>
    <x v="209"/>
    <s v="Gomukh Arariya Karjaniya"/>
    <s v="vlc"/>
    <s v="Indirect"/>
    <n v="11954.2"/>
    <n v="473209.06000000006"/>
    <n v="0"/>
    <n v="0"/>
    <n v="0"/>
    <n v="0"/>
    <n v="0"/>
    <n v="0"/>
    <n v="473209.06000000006"/>
    <n v="0"/>
    <n v="0"/>
    <n v="0"/>
    <n v="0"/>
    <n v="0"/>
    <n v="0"/>
    <n v="0"/>
    <n v="0"/>
    <n v="473209.06000000006"/>
    <n v="0"/>
    <n v="0"/>
    <n v="0"/>
    <n v="0"/>
    <n v="0"/>
    <n v="0"/>
    <m/>
    <s v="Araria"/>
    <m/>
    <n v="0"/>
  </r>
  <r>
    <s v="Munger"/>
    <s v="10-16 Jul"/>
    <n v="1007"/>
    <s v="Araria"/>
    <x v="210"/>
    <s v="Gomukh Aariya Dummer Kothi"/>
    <s v="vlc"/>
    <s v="Indirect"/>
    <n v="6873.8000000000011"/>
    <n v="267196.21999999997"/>
    <n v="0"/>
    <n v="0"/>
    <n v="0"/>
    <n v="0"/>
    <n v="0"/>
    <n v="0"/>
    <n v="267196.21999999997"/>
    <n v="0"/>
    <n v="0"/>
    <n v="0"/>
    <n v="0"/>
    <n v="0"/>
    <n v="0"/>
    <n v="0"/>
    <n v="0"/>
    <n v="267196.21999999997"/>
    <n v="0"/>
    <n v="0"/>
    <n v="0"/>
    <n v="0"/>
    <n v="0"/>
    <n v="0"/>
    <m/>
    <s v="Araria"/>
    <m/>
    <n v="0"/>
  </r>
  <r>
    <s v="Munger"/>
    <s v="10-16 Jul"/>
    <n v="1007"/>
    <s v="Araria"/>
    <x v="211"/>
    <s v="Gomukh Balha"/>
    <s v="vlc"/>
    <s v="Indirect"/>
    <n v="5898.6"/>
    <n v="223941.18000000002"/>
    <n v="0"/>
    <n v="0"/>
    <n v="0"/>
    <n v="0"/>
    <n v="0"/>
    <n v="0"/>
    <n v="223941.18000000002"/>
    <n v="0"/>
    <n v="0"/>
    <n v="0"/>
    <n v="0"/>
    <n v="0"/>
    <n v="0"/>
    <n v="0"/>
    <n v="0"/>
    <n v="223941.18000000002"/>
    <n v="0"/>
    <n v="0"/>
    <n v="0"/>
    <n v="0"/>
    <n v="0"/>
    <n v="0"/>
    <m/>
    <s v="Araria"/>
    <m/>
    <n v="0"/>
  </r>
  <r>
    <s v="Munger"/>
    <s v="10-16 Jul"/>
    <n v="1007"/>
    <s v="Araria"/>
    <x v="212"/>
    <s v="Haripur - Sanjay"/>
    <s v="vlc"/>
    <s v="Indirect"/>
    <n v="779.4"/>
    <n v="30214.720000000005"/>
    <n v="0"/>
    <n v="0"/>
    <n v="0"/>
    <n v="0"/>
    <n v="0"/>
    <n v="0"/>
    <n v="30214.720000000005"/>
    <n v="0"/>
    <n v="0"/>
    <n v="0"/>
    <n v="0"/>
    <n v="0"/>
    <n v="0"/>
    <n v="0"/>
    <n v="0"/>
    <n v="30214.720000000005"/>
    <n v="0"/>
    <n v="0"/>
    <n v="0"/>
    <n v="0"/>
    <n v="0"/>
    <n v="0"/>
    <m/>
    <s v="Araria"/>
    <m/>
    <n v="0"/>
  </r>
  <r>
    <s v="Munger"/>
    <s v="10-16 Jul"/>
    <n v="1007"/>
    <s v="Araria"/>
    <x v="213"/>
    <s v="Araria - Ankesh"/>
    <s v="vlc"/>
    <s v="Indirect"/>
    <n v="4131.3999999999996"/>
    <n v="158835.52999999997"/>
    <n v="0"/>
    <n v="0"/>
    <n v="0"/>
    <n v="0"/>
    <n v="0"/>
    <n v="0"/>
    <n v="158835.52999999997"/>
    <n v="0"/>
    <n v="0"/>
    <n v="0"/>
    <n v="0"/>
    <n v="0"/>
    <n v="0"/>
    <n v="0"/>
    <n v="0"/>
    <n v="158835.52999999997"/>
    <n v="0"/>
    <n v="0"/>
    <n v="0"/>
    <n v="0"/>
    <n v="0"/>
    <n v="0"/>
    <m/>
    <s v="Araria"/>
    <m/>
    <n v="0"/>
  </r>
  <r>
    <s v="Munger"/>
    <s v="10-16 Jul"/>
    <n v="1010"/>
    <s v="Parbatta"/>
    <x v="214"/>
    <s v="Gomukh Kabela                                                                                       "/>
    <s v="MPG"/>
    <s v="Direct"/>
    <n v="489"/>
    <n v="25835.62"/>
    <n v="489"/>
    <n v="25206.42"/>
    <n v="0"/>
    <n v="0"/>
    <n v="489"/>
    <n v="25206.42"/>
    <n v="25206.42"/>
    <n v="0"/>
    <n v="0"/>
    <n v="0"/>
    <n v="0"/>
    <n v="0"/>
    <n v="0"/>
    <n v="25207"/>
    <n v="0"/>
    <n v="0"/>
    <n v="629"/>
    <n v="0"/>
    <n v="222.95770224948873"/>
    <n v="69.857142857142861"/>
    <n v="2.4353973312813887E-2"/>
    <n v="2"/>
    <m/>
    <s v="Parbatta"/>
    <m/>
    <n v="0"/>
  </r>
  <r>
    <s v="Munger"/>
    <s v="10-16 Jul"/>
    <n v="1056"/>
    <s v="Chautham"/>
    <x v="975"/>
    <s v="Gomukh Navlolya                                                                                     "/>
    <s v="MPG"/>
    <s v="Indirect"/>
    <n v="19.899999999999999"/>
    <n v="998.18"/>
    <n v="0"/>
    <n v="0"/>
    <n v="0"/>
    <n v="0"/>
    <n v="0"/>
    <n v="0"/>
    <n v="998.18"/>
    <n v="0"/>
    <n v="0"/>
    <n v="0"/>
    <n v="0"/>
    <n v="0"/>
    <n v="0"/>
    <n v="0"/>
    <n v="0"/>
    <n v="998.18"/>
    <n v="0"/>
    <n v="0"/>
    <n v="682.27358592964822"/>
    <n v="2.8428571428571425"/>
    <n v="0"/>
    <n v="0"/>
    <m/>
    <s v="Chautham"/>
    <m/>
    <n v="0"/>
  </r>
  <r>
    <s v="Munger"/>
    <s v="10-16 Jul"/>
    <n v="1056"/>
    <s v="Chautham"/>
    <x v="215"/>
    <s v="Gomukh Malpa Uttari                                                                                 "/>
    <s v="vlc"/>
    <s v="Indirect"/>
    <n v="130.18"/>
    <n v="4599.5999999999995"/>
    <n v="0"/>
    <n v="0"/>
    <n v="0"/>
    <n v="0"/>
    <n v="0"/>
    <n v="0"/>
    <n v="4599.5999999999995"/>
    <n v="0"/>
    <n v="0"/>
    <n v="0"/>
    <n v="0"/>
    <n v="0"/>
    <n v="0"/>
    <n v="0"/>
    <n v="0"/>
    <n v="4599.5999999999995"/>
    <n v="0"/>
    <n v="0"/>
    <n v="402.66462928253191"/>
    <n v="18.59714285714286"/>
    <n v="0"/>
    <n v="0"/>
    <m/>
    <s v="Chautham"/>
    <m/>
    <n v="0"/>
  </r>
  <r>
    <s v="Munger"/>
    <s v="10-16 Jul"/>
    <n v="1007"/>
    <s v="Araria"/>
    <x v="216"/>
    <s v="Gomukh Sapha"/>
    <s v="MPG"/>
    <s v="Direct"/>
    <n v="193.59999999999997"/>
    <n v="7936.1100000000006"/>
    <n v="193.6"/>
    <n v="7966.64"/>
    <n v="0"/>
    <n v="0"/>
    <n v="193.6"/>
    <n v="7966.64"/>
    <n v="7936.1100000000006"/>
    <n v="0"/>
    <n v="0"/>
    <n v="30.529999999999745"/>
    <n v="0"/>
    <n v="0"/>
    <n v="0"/>
    <n v="7936"/>
    <n v="0"/>
    <n v="0"/>
    <n v="0"/>
    <n v="0"/>
    <n v="415.17005206611589"/>
    <n v="27.657142857142851"/>
    <n v="-3.8469728872205329E-3"/>
    <n v="1"/>
    <m/>
    <s v="Araria"/>
    <m/>
    <n v="0"/>
  </r>
  <r>
    <s v="Munger"/>
    <s v="10-16 Jul"/>
    <n v="1007"/>
    <s v="Araria"/>
    <x v="217"/>
    <s v="Araria"/>
    <s v="vlc"/>
    <s v="Indirect"/>
    <n v="14258.600000000002"/>
    <n v="564637.75999999989"/>
    <n v="0"/>
    <n v="0"/>
    <n v="0"/>
    <n v="0"/>
    <n v="0"/>
    <n v="0"/>
    <n v="564637.75999999989"/>
    <n v="0"/>
    <n v="0"/>
    <n v="0"/>
    <n v="0"/>
    <n v="0"/>
    <n v="0"/>
    <n v="0"/>
    <n v="0"/>
    <n v="564637.75999999989"/>
    <n v="0"/>
    <n v="0"/>
    <n v="0"/>
    <n v="0"/>
    <n v="0"/>
    <n v="0"/>
    <m/>
    <s v="Araria"/>
    <m/>
    <n v="0"/>
  </r>
  <r>
    <s v="Munger"/>
    <s v="10-16 Jul"/>
    <n v="1007"/>
    <s v="Araria"/>
    <x v="218"/>
    <s v="Gomukh Gauchhari"/>
    <s v="MPG"/>
    <s v="Direct"/>
    <n v="30.3"/>
    <n v="1154.43"/>
    <n v="30.3"/>
    <n v="1183.52"/>
    <n v="0"/>
    <n v="0"/>
    <n v="30.3"/>
    <n v="1183.52"/>
    <n v="1154.43"/>
    <n v="0"/>
    <n v="0"/>
    <n v="29.089999999999918"/>
    <n v="0"/>
    <n v="0"/>
    <n v="0"/>
    <n v="1154"/>
    <n v="0"/>
    <n v="0"/>
    <n v="0"/>
    <n v="0"/>
    <n v="510.31140000000011"/>
    <n v="4.3285714285714283"/>
    <n v="-2.5198582850410954E-2"/>
    <n v="1"/>
    <m/>
    <s v="Araria"/>
    <m/>
    <n v="0"/>
  </r>
  <r>
    <s v="Munger"/>
    <s v="10-16 Jul"/>
    <n v="1056"/>
    <s v="Chautham"/>
    <x v="219"/>
    <s v="Telouch"/>
    <s v="MPG"/>
    <s v="Direct"/>
    <n v="1678.12"/>
    <n v="66635.739999999991"/>
    <n v="1759.36"/>
    <n v="71915.47"/>
    <n v="5.6000000000000005"/>
    <n v="203.99"/>
    <n v="1764.9599999999998"/>
    <n v="72119.460000000006"/>
    <n v="66635.739999999991"/>
    <n v="0"/>
    <n v="203.99"/>
    <n v="5483.7200000000157"/>
    <n v="0"/>
    <n v="0"/>
    <n v="0"/>
    <n v="66432"/>
    <n v="0"/>
    <n v="0"/>
    <n v="0"/>
    <n v="0"/>
    <n v="0"/>
    <n v="0"/>
    <n v="-8.2293976175548081E-2"/>
    <n v="7"/>
    <m/>
    <s v="Chautham"/>
    <m/>
    <n v="0"/>
  </r>
  <r>
    <s v="Munger"/>
    <s v="10-16 Jul"/>
    <n v="1010"/>
    <s v="Parbatta"/>
    <x v="220"/>
    <s v="Gomukh Jhangara B"/>
    <s v="MPG"/>
    <s v="Direct"/>
    <n v="1645.8000000000002"/>
    <n v="66806.73"/>
    <n v="1663.4599999999998"/>
    <n v="69750.289999999994"/>
    <n v="0"/>
    <n v="0"/>
    <n v="1663.4599999999998"/>
    <n v="69750.289999999994"/>
    <n v="66806.73"/>
    <n v="0"/>
    <n v="0"/>
    <n v="2943.5599999999977"/>
    <n v="0"/>
    <n v="0"/>
    <n v="0"/>
    <n v="66807"/>
    <n v="0"/>
    <n v="0"/>
    <n v="0"/>
    <n v="0"/>
    <n v="0"/>
    <n v="0"/>
    <n v="-4.4060830398374502E-2"/>
    <n v="8"/>
    <m/>
    <s v="Parbatta"/>
    <m/>
    <n v="0"/>
  </r>
  <r>
    <s v="Munger"/>
    <s v="10-16 Jul"/>
    <n v="1056"/>
    <s v="Chautham"/>
    <x v="221"/>
    <s v="Gomukh Saraiya"/>
    <s v="MPG"/>
    <s v="Direct"/>
    <n v="245.39999999999998"/>
    <n v="9101.91"/>
    <n v="257.54000000000002"/>
    <n v="11065.34"/>
    <n v="0"/>
    <n v="0"/>
    <n v="257.54000000000002"/>
    <n v="11065.34"/>
    <n v="9101.91"/>
    <n v="0"/>
    <n v="0"/>
    <n v="1963.4300000000003"/>
    <n v="0"/>
    <n v="0"/>
    <n v="0"/>
    <n v="9102"/>
    <n v="0"/>
    <n v="0"/>
    <n v="0"/>
    <s v="Release3"/>
    <n v="337.22316919315409"/>
    <n v="35.057142857142857"/>
    <n v="-0.21571626175165437"/>
    <n v="2"/>
    <m/>
    <s v="Chautham"/>
    <m/>
    <n v="0"/>
  </r>
  <r>
    <s v="Munger"/>
    <s v="10-16 Jul"/>
    <n v="1056"/>
    <s v="Chautham"/>
    <x v="222"/>
    <s v=" Gomukh Nauranga"/>
    <s v="vlc"/>
    <s v="Indirect"/>
    <n v="183.71999999999997"/>
    <n v="7814.01"/>
    <n v="0"/>
    <n v="0"/>
    <n v="0"/>
    <n v="0"/>
    <n v="0"/>
    <n v="0"/>
    <n v="7814.01"/>
    <n v="0"/>
    <n v="0"/>
    <n v="0"/>
    <n v="0"/>
    <n v="0"/>
    <n v="0"/>
    <n v="0"/>
    <n v="0"/>
    <n v="7814.01"/>
    <n v="0"/>
    <n v="0"/>
    <n v="439.17015924232533"/>
    <n v="26.245714285714282"/>
    <n v="0"/>
    <n v="0"/>
    <m/>
    <s v="Chautham"/>
    <m/>
    <n v="0"/>
  </r>
  <r>
    <s v="Munger"/>
    <s v="10-16 Jul"/>
    <n v="1056"/>
    <s v="Chautham"/>
    <x v="223"/>
    <s v="Gomukh Malpa Dhutauli VLC"/>
    <s v="vlc"/>
    <s v="Indirect"/>
    <n v="165.26"/>
    <n v="5666.2000000000007"/>
    <n v="0"/>
    <n v="0"/>
    <n v="0"/>
    <n v="0"/>
    <n v="0"/>
    <n v="0"/>
    <n v="5666.2000000000007"/>
    <n v="0"/>
    <n v="0"/>
    <n v="0"/>
    <n v="0"/>
    <n v="0"/>
    <n v="0"/>
    <n v="0"/>
    <n v="0"/>
    <n v="5666.2000000000007"/>
    <n v="0"/>
    <n v="0"/>
    <n v="366.68810214207923"/>
    <n v="23.608571428571427"/>
    <n v="0"/>
    <n v="0"/>
    <m/>
    <s v="Chautham"/>
    <m/>
    <n v="0"/>
  </r>
  <r>
    <s v="Munger"/>
    <s v="10-16 Jul"/>
    <n v="1056"/>
    <s v="Chautham"/>
    <x v="224"/>
    <s v="Gomukh Pakrail Vijay Nagar VLC"/>
    <s v="vlc"/>
    <s v="Indirect"/>
    <n v="480.21999999999997"/>
    <n v="18927.22"/>
    <n v="0"/>
    <n v="0"/>
    <n v="0"/>
    <n v="0"/>
    <n v="0"/>
    <n v="0"/>
    <n v="18927.22"/>
    <n v="0"/>
    <n v="0"/>
    <n v="0"/>
    <n v="0"/>
    <n v="0"/>
    <n v="0"/>
    <n v="0"/>
    <n v="0"/>
    <n v="18927.22"/>
    <n v="0"/>
    <n v="0"/>
    <n v="173.24661245262595"/>
    <n v="68.602857142857133"/>
    <n v="0"/>
    <n v="0"/>
    <m/>
    <s v="Chautham"/>
    <m/>
    <n v="0"/>
  </r>
  <r>
    <s v="Munger"/>
    <s v="10-16 Jul"/>
    <n v="1056"/>
    <s v="Chautham"/>
    <x v="225"/>
    <s v="Gomukh Pakrail Shirnia VLC"/>
    <s v="vlc"/>
    <s v="Indirect"/>
    <n v="152.19999999999999"/>
    <n v="5880.23"/>
    <n v="0"/>
    <n v="0"/>
    <n v="0"/>
    <n v="0"/>
    <n v="0"/>
    <n v="0"/>
    <n v="5880.23"/>
    <n v="0"/>
    <n v="0"/>
    <n v="0"/>
    <n v="0"/>
    <n v="0"/>
    <n v="0"/>
    <n v="0"/>
    <n v="0"/>
    <n v="5880.23"/>
    <n v="0"/>
    <n v="0"/>
    <n v="423.2838362680684"/>
    <n v="21.74285714285714"/>
    <n v="0"/>
    <n v="0"/>
    <m/>
    <s v="Chautham"/>
    <m/>
    <n v="0"/>
  </r>
  <r>
    <s v="Munger"/>
    <s v="10-16 Jul"/>
    <n v="1007"/>
    <s v="Araria"/>
    <x v="226"/>
    <s v="Gomukh Godhiyasi Nayagow VLC"/>
    <s v="vlc"/>
    <s v="Indirect"/>
    <n v="345.3"/>
    <n v="13156.59"/>
    <n v="0"/>
    <n v="0"/>
    <n v="0"/>
    <n v="0"/>
    <n v="0"/>
    <n v="0"/>
    <n v="13156.59"/>
    <n v="0"/>
    <n v="0"/>
    <n v="0"/>
    <n v="0"/>
    <n v="0"/>
    <n v="0"/>
    <n v="0"/>
    <n v="0"/>
    <n v="13156.59"/>
    <n v="0"/>
    <n v="0"/>
    <n v="270.29495933970458"/>
    <n v="49.328571428571429"/>
    <n v="0"/>
    <n v="0"/>
    <m/>
    <s v="Araria"/>
    <m/>
    <n v="0"/>
  </r>
  <r>
    <s v="Munger"/>
    <s v="10-16 Jul"/>
    <n v="1010"/>
    <s v="Parbatta"/>
    <x v="227"/>
    <s v="Gomukh Bandehra Purbi"/>
    <s v="MPG"/>
    <s v="Direct"/>
    <n v="341.79999999999995"/>
    <n v="14026.690000000002"/>
    <n v="341"/>
    <n v="14187.66"/>
    <n v="0"/>
    <n v="0"/>
    <n v="341"/>
    <n v="14187.66"/>
    <n v="14026.690000000002"/>
    <n v="0"/>
    <n v="0"/>
    <n v="160.96999999999753"/>
    <n v="6750"/>
    <n v="0"/>
    <n v="0"/>
    <n v="7277"/>
    <n v="0"/>
    <n v="0"/>
    <n v="0"/>
    <n v="0"/>
    <n v="293.99416957284978"/>
    <n v="48.828571428571422"/>
    <n v="-1.1475979008589874E-2"/>
    <n v="1"/>
    <m/>
    <s v="Parbatta"/>
    <m/>
    <n v="0"/>
  </r>
  <r>
    <s v="Munger"/>
    <s v="10-16 Jul"/>
    <n v="1056"/>
    <s v="Chautham"/>
    <x v="228"/>
    <s v="Gomukh Tila Tol"/>
    <s v="MPG"/>
    <s v="Direct"/>
    <n v="679.56"/>
    <n v="28372.559999999998"/>
    <n v="660.18000000000006"/>
    <n v="27462.89"/>
    <n v="28.560000000000006"/>
    <n v="1217.1899999999998"/>
    <n v="688.74000000000012"/>
    <n v="28680.079999999998"/>
    <n v="28372.559999999998"/>
    <n v="0"/>
    <n v="1217.1899999999998"/>
    <n v="307.52000000000044"/>
    <n v="0"/>
    <n v="0"/>
    <n v="0"/>
    <n v="27155"/>
    <n v="0"/>
    <n v="0"/>
    <n v="0"/>
    <n v="0"/>
    <n v="17.067959456118675"/>
    <n v="97.08"/>
    <n v="-1.0838641278756674E-2"/>
    <n v="2"/>
    <m/>
    <s v="Chautham"/>
    <m/>
    <n v="0"/>
  </r>
  <r>
    <s v="Munger"/>
    <s v="10-16 Jul"/>
    <n v="1007"/>
    <s v="Araria"/>
    <x v="229"/>
    <s v="Gomukh Gulshan Kumar VLC"/>
    <s v="vlc"/>
    <s v="Indirect"/>
    <n v="1570.8"/>
    <n v="62102.310000000005"/>
    <n v="0"/>
    <n v="0"/>
    <n v="0"/>
    <n v="0"/>
    <n v="0"/>
    <n v="0"/>
    <n v="62102.310000000005"/>
    <n v="0"/>
    <n v="0"/>
    <n v="0"/>
    <n v="0"/>
    <n v="0"/>
    <n v="0"/>
    <n v="0"/>
    <n v="0"/>
    <n v="62102.310000000005"/>
    <n v="0"/>
    <n v="0"/>
    <n v="0"/>
    <n v="0"/>
    <n v="0"/>
    <n v="0"/>
    <m/>
    <s v="Araria"/>
    <m/>
    <n v="0"/>
  </r>
  <r>
    <s v="Munger"/>
    <s v="10-16 Jul"/>
    <n v="1007"/>
    <s v="Araria"/>
    <x v="230"/>
    <s v="Gomukh Gogri VLC"/>
    <s v="vlc"/>
    <s v="Indirect"/>
    <n v="329.90000000000003"/>
    <n v="12064.61"/>
    <n v="0"/>
    <n v="0"/>
    <n v="0"/>
    <n v="0"/>
    <n v="0"/>
    <n v="0"/>
    <n v="12064.61"/>
    <n v="0"/>
    <n v="0"/>
    <n v="0"/>
    <n v="0"/>
    <n v="0"/>
    <n v="0"/>
    <n v="0"/>
    <n v="0"/>
    <n v="12064.61"/>
    <n v="0"/>
    <n v="0"/>
    <n v="270.69488699605938"/>
    <n v="47.128571428571433"/>
    <n v="0"/>
    <n v="0"/>
    <m/>
    <s v="Araria"/>
    <m/>
    <n v="0"/>
  </r>
  <r>
    <s v="Munger"/>
    <s v="10-16 Jul"/>
    <n v="1007"/>
    <s v="Araria"/>
    <x v="231"/>
    <s v="Gomukh Bari Chak Gogri"/>
    <s v="MPG"/>
    <s v="Direct"/>
    <n v="361.09999999999997"/>
    <n v="12288.710000000001"/>
    <n v="361.1"/>
    <n v="12461.56"/>
    <n v="0"/>
    <n v="0"/>
    <n v="361.1"/>
    <n v="12461.56"/>
    <n v="12288.710000000001"/>
    <n v="0"/>
    <n v="0"/>
    <n v="172.84999999999854"/>
    <n v="0"/>
    <n v="500"/>
    <n v="0"/>
    <n v="11789"/>
    <n v="0"/>
    <n v="0"/>
    <n v="0"/>
    <n v="0"/>
    <n v="230.6642934921075"/>
    <n v="51.585714285714282"/>
    <n v="-1.4065756291750602E-2"/>
    <n v="1"/>
    <m/>
    <s v="Araria"/>
    <m/>
    <n v="500"/>
  </r>
  <r>
    <s v="Munger"/>
    <s v="10-16 Jul"/>
    <n v="1007"/>
    <s v="Araria"/>
    <x v="232"/>
    <s v="Gomukh Khatha"/>
    <s v="MPG"/>
    <s v="Direct"/>
    <n v="890.5"/>
    <n v="33150.97"/>
    <n v="890.5"/>
    <n v="33545.14"/>
    <n v="0"/>
    <n v="0"/>
    <n v="890.5"/>
    <n v="33545.14"/>
    <n v="33150.97"/>
    <n v="0"/>
    <n v="0"/>
    <n v="394.16999999999825"/>
    <n v="0"/>
    <n v="0"/>
    <n v="0"/>
    <n v="33151"/>
    <n v="0"/>
    <n v="0"/>
    <n v="0"/>
    <n v="0"/>
    <n v="0"/>
    <n v="0"/>
    <n v="-1.1890149820653761E-2"/>
    <n v="1"/>
    <m/>
    <s v="Araria"/>
    <m/>
    <n v="0"/>
  </r>
  <r>
    <s v="Munger"/>
    <s v="10-16 Jul"/>
    <n v="1007"/>
    <s v="Araria"/>
    <x v="233"/>
    <s v="Gomukh Shailesh Yadav Vlc"/>
    <s v="vlc"/>
    <s v="Indirect"/>
    <n v="169.29999999999998"/>
    <n v="8197.58"/>
    <n v="0"/>
    <n v="0"/>
    <n v="0"/>
    <n v="0"/>
    <n v="0"/>
    <n v="0"/>
    <n v="8197.58"/>
    <n v="0"/>
    <n v="0"/>
    <n v="0"/>
    <n v="0"/>
    <n v="0"/>
    <n v="0"/>
    <n v="0"/>
    <n v="0"/>
    <n v="8197.58"/>
    <n v="0"/>
    <n v="0"/>
    <n v="513.93451931482582"/>
    <n v="24.185714285714283"/>
    <n v="0"/>
    <n v="0"/>
    <m/>
    <s v="Araria"/>
    <m/>
    <n v="0"/>
  </r>
  <r>
    <s v="Munger"/>
    <s v="10-16 Jul"/>
    <n v="1055"/>
    <s v="Matihani"/>
    <x v="234"/>
    <s v="Chak Punervas"/>
    <s v="vlc"/>
    <s v="Indirect"/>
    <n v="623.9"/>
    <n v="23956.62"/>
    <n v="0"/>
    <n v="0"/>
    <n v="0"/>
    <n v="0"/>
    <n v="0"/>
    <n v="0"/>
    <n v="23956.62"/>
    <n v="0"/>
    <n v="0"/>
    <n v="0"/>
    <n v="0"/>
    <n v="0"/>
    <n v="0"/>
    <n v="0"/>
    <n v="0"/>
    <n v="23956.62"/>
    <n v="0"/>
    <n v="0"/>
    <n v="58.442018977400274"/>
    <n v="89.128571428571419"/>
    <n v="0"/>
    <n v="0"/>
    <m/>
    <s v="Matihani"/>
    <m/>
    <n v="0"/>
  </r>
  <r>
    <s v="Munger"/>
    <s v="10-16 Jul"/>
    <n v="1008"/>
    <s v="Teghra"/>
    <x v="235"/>
    <s v="Labherchak"/>
    <s v="MPG"/>
    <s v="Indirect"/>
    <n v="301.59999999999997"/>
    <n v="11342.439999999999"/>
    <n v="0"/>
    <n v="0"/>
    <n v="0"/>
    <n v="0"/>
    <n v="0"/>
    <n v="0"/>
    <n v="11342.439999999999"/>
    <n v="0"/>
    <n v="0"/>
    <n v="0"/>
    <n v="0"/>
    <n v="0"/>
    <n v="0"/>
    <n v="0"/>
    <n v="0"/>
    <n v="11342.439999999999"/>
    <n v="0"/>
    <n v="0"/>
    <n v="299.6570355437666"/>
    <n v="43.085714285714282"/>
    <n v="0"/>
    <n v="0"/>
    <m/>
    <s v="Teghra"/>
    <m/>
    <n v="0"/>
  </r>
  <r>
    <s v="Munger"/>
    <s v="10-16 Jul"/>
    <n v="1008"/>
    <s v="Teghra"/>
    <x v="236"/>
    <s v="Paspura"/>
    <s v="vlc"/>
    <s v="Indirect"/>
    <n v="27.699999999999996"/>
    <n v="902.93999999999994"/>
    <n v="0"/>
    <n v="0"/>
    <n v="0"/>
    <n v="0"/>
    <n v="0"/>
    <n v="0"/>
    <n v="902.93999999999994"/>
    <n v="0"/>
    <n v="0"/>
    <n v="0"/>
    <n v="0"/>
    <n v="0"/>
    <n v="0"/>
    <n v="0"/>
    <n v="0"/>
    <n v="902.93999999999994"/>
    <n v="0"/>
    <n v="0"/>
    <n v="438.30076678700362"/>
    <n v="3.9571428571428564"/>
    <n v="0"/>
    <n v="0"/>
    <m/>
    <s v="Teghra"/>
    <m/>
    <n v="0"/>
  </r>
  <r>
    <s v="Munger"/>
    <s v="10-16 Jul"/>
    <n v="1008"/>
    <s v="Teghra"/>
    <x v="237"/>
    <s v="Gomukh Godhna"/>
    <s v="vlc"/>
    <s v="Indirect"/>
    <n v="13.65"/>
    <n v="489.48"/>
    <n v="0"/>
    <n v="0"/>
    <n v="0"/>
    <n v="0"/>
    <n v="0"/>
    <n v="0"/>
    <n v="489.48"/>
    <n v="0"/>
    <n v="0"/>
    <n v="0"/>
    <n v="0"/>
    <n v="0"/>
    <n v="0"/>
    <n v="0"/>
    <n v="0"/>
    <n v="489.48"/>
    <n v="0"/>
    <n v="0"/>
    <n v="492.24116923076923"/>
    <n v="1.95"/>
    <n v="0"/>
    <n v="0"/>
    <m/>
    <s v="Teghra"/>
    <m/>
    <n v="0"/>
  </r>
  <r>
    <s v="Munger"/>
    <s v="10-16 Jul"/>
    <n v="1008"/>
    <s v="Teghra"/>
    <x v="238"/>
    <s v="Gomukh Sihma 2"/>
    <s v="vlc"/>
    <s v="Indirect"/>
    <n v="368.4"/>
    <n v="13260.48"/>
    <n v="0"/>
    <n v="0"/>
    <n v="0"/>
    <n v="0"/>
    <n v="0"/>
    <n v="0"/>
    <n v="13260.48"/>
    <n v="0"/>
    <n v="0"/>
    <n v="0"/>
    <n v="0"/>
    <n v="0"/>
    <n v="0"/>
    <n v="0"/>
    <n v="0"/>
    <n v="13260.48"/>
    <n v="0"/>
    <n v="0"/>
    <n v="238.71743583061888"/>
    <n v="52.628571428571426"/>
    <n v="0"/>
    <n v="0"/>
    <m/>
    <s v="Teghra"/>
    <m/>
    <n v="0"/>
  </r>
  <r>
    <s v="Munger"/>
    <s v="10-16 Jul"/>
    <n v="1008"/>
    <s v="Teghra"/>
    <x v="239"/>
    <s v="Gomukh ID Marsaito"/>
    <s v="vlc"/>
    <s v="Indirect"/>
    <n v="719"/>
    <n v="25714.54"/>
    <n v="0"/>
    <n v="0"/>
    <n v="0"/>
    <n v="0"/>
    <n v="0"/>
    <n v="0"/>
    <n v="25714.54"/>
    <n v="0"/>
    <n v="0"/>
    <n v="0"/>
    <n v="0"/>
    <n v="0"/>
    <n v="0"/>
    <n v="0"/>
    <n v="0"/>
    <n v="25714.54"/>
    <n v="0"/>
    <n v="0"/>
    <n v="0"/>
    <n v="0"/>
    <n v="0"/>
    <n v="0"/>
    <m/>
    <s v="Teghra"/>
    <m/>
    <n v="0"/>
  </r>
  <r>
    <s v="Munger"/>
    <s v="10-16 Jul"/>
    <n v="1008"/>
    <s v="Teghra"/>
    <x v="240"/>
    <s v="Gomukh ID Akashpur-2"/>
    <s v="vlc"/>
    <s v="Indirect"/>
    <n v="813.75"/>
    <n v="31102.399999999998"/>
    <n v="0"/>
    <n v="0"/>
    <n v="0"/>
    <n v="0"/>
    <n v="0"/>
    <n v="0"/>
    <n v="31102.399999999998"/>
    <n v="0"/>
    <n v="0"/>
    <n v="0"/>
    <n v="0"/>
    <n v="0"/>
    <n v="0"/>
    <n v="0"/>
    <n v="0"/>
    <n v="31102.399999999998"/>
    <n v="0"/>
    <n v="0"/>
    <n v="0"/>
    <n v="0"/>
    <n v="0"/>
    <n v="0"/>
    <m/>
    <s v="Teghra"/>
    <m/>
    <n v="0"/>
  </r>
  <r>
    <s v="Munger"/>
    <s v="10-16 Jul"/>
    <n v="1008"/>
    <s v="Teghra"/>
    <x v="241"/>
    <s v="Gomukh ID Akashpur"/>
    <s v="vlc"/>
    <s v="Indirect"/>
    <n v="423.65000000000003"/>
    <n v="17074.84"/>
    <n v="0"/>
    <n v="0"/>
    <n v="0"/>
    <n v="0"/>
    <n v="0"/>
    <n v="0"/>
    <n v="17074.84"/>
    <n v="0"/>
    <n v="0"/>
    <n v="0"/>
    <n v="0"/>
    <n v="0"/>
    <n v="0"/>
    <n v="0"/>
    <n v="0"/>
    <n v="17074.84"/>
    <n v="0"/>
    <n v="0"/>
    <n v="222.76086552578775"/>
    <n v="60.521428571428579"/>
    <n v="0"/>
    <n v="0"/>
    <m/>
    <s v="Teghra"/>
    <m/>
    <n v="0"/>
  </r>
  <r>
    <s v="Munger"/>
    <s v="10-16 Jul"/>
    <n v="1008"/>
    <s v="Teghra"/>
    <x v="242"/>
    <s v="Gomukh ID Rachiyahi"/>
    <s v="vlc"/>
    <s v="Indirect"/>
    <n v="674.85"/>
    <n v="27723.909999999996"/>
    <n v="0"/>
    <n v="0"/>
    <n v="0"/>
    <n v="0"/>
    <n v="0"/>
    <n v="0"/>
    <n v="27723.909999999996"/>
    <n v="0"/>
    <n v="0"/>
    <n v="0"/>
    <n v="0"/>
    <n v="0"/>
    <n v="0"/>
    <n v="0"/>
    <n v="0"/>
    <n v="27723.909999999996"/>
    <n v="0"/>
    <n v="0"/>
    <n v="20.664039016077638"/>
    <n v="96.407142857142858"/>
    <n v="0"/>
    <n v="0"/>
    <m/>
    <s v="Teghra"/>
    <m/>
    <n v="0"/>
  </r>
  <r>
    <s v="Munger"/>
    <s v="10-16 Jul"/>
    <n v="1008"/>
    <s v="Teghra"/>
    <x v="243"/>
    <s v="GomukhBariyahi Chanan"/>
    <s v="MPG"/>
    <s v="Direct"/>
    <n v="1000.6499999999999"/>
    <n v="37165.360000000001"/>
    <n v="1015.5"/>
    <n v="38300.31"/>
    <n v="2.3000000000000003"/>
    <n v="82.940000000000012"/>
    <n v="1017.8"/>
    <n v="38383.25"/>
    <n v="37165.360000000001"/>
    <n v="0"/>
    <n v="82.940000000000012"/>
    <n v="1217.8899999999994"/>
    <n v="0"/>
    <n v="0"/>
    <n v="0"/>
    <n v="37082"/>
    <n v="0"/>
    <n v="0"/>
    <n v="0"/>
    <n v="0"/>
    <n v="0"/>
    <n v="0"/>
    <n v="-3.2769492882619711E-2"/>
    <n v="7"/>
    <m/>
    <s v="Teghra"/>
    <m/>
    <n v="0"/>
  </r>
  <r>
    <s v="Munger"/>
    <s v="10-16 Jul"/>
    <n v="1008"/>
    <s v="Teghra"/>
    <x v="244"/>
    <s v="GomukhGehuni"/>
    <s v="MPG"/>
    <s v="Direct"/>
    <n v="117.24999999999999"/>
    <n v="4390.2999999999993"/>
    <n v="117"/>
    <n v="4382.6100000000006"/>
    <n v="0.7"/>
    <n v="24.06"/>
    <n v="117.7"/>
    <n v="4406.670000000001"/>
    <n v="4390.2999999999993"/>
    <n v="0"/>
    <n v="24.06"/>
    <n v="16.37000000000171"/>
    <n v="0"/>
    <n v="500"/>
    <n v="0"/>
    <n v="3866"/>
    <n v="0"/>
    <n v="0"/>
    <n v="0"/>
    <n v="0"/>
    <n v="436.40892537313425"/>
    <n v="16.749999999999996"/>
    <n v="-3.7286745780474484E-3"/>
    <n v="4"/>
    <m/>
    <s v="Teghra"/>
    <m/>
    <n v="500"/>
  </r>
  <r>
    <s v="Munger"/>
    <s v="10-16 Jul"/>
    <n v="1008"/>
    <s v="Teghra"/>
    <x v="245"/>
    <s v="Gomukh Bakhatpur"/>
    <s v="MPG"/>
    <s v="Direct"/>
    <n v="207.35000000000002"/>
    <n v="9307.2199999999993"/>
    <n v="206.54"/>
    <n v="9208.2800000000025"/>
    <n v="3.44"/>
    <n v="147.34"/>
    <n v="209.98"/>
    <n v="9355.6200000000026"/>
    <n v="9307.2199999999993"/>
    <n v="0"/>
    <n v="147.34"/>
    <n v="48.400000000003274"/>
    <n v="0"/>
    <n v="0"/>
    <n v="0"/>
    <n v="9160"/>
    <n v="0"/>
    <n v="0"/>
    <n v="0"/>
    <n v="0"/>
    <n v="442.26688526645762"/>
    <n v="29.621428571428574"/>
    <n v="-5.2002638811592802E-3"/>
    <n v="6"/>
    <m/>
    <s v="Teghra"/>
    <m/>
    <n v="0"/>
  </r>
  <r>
    <s v="Munger"/>
    <s v="10-16 Jul"/>
    <n v="1008"/>
    <s v="Teghra"/>
    <x v="246"/>
    <s v="Ananaya Dairy"/>
    <s v="vlc"/>
    <s v="Indirect"/>
    <n v="3656.6"/>
    <n v="145726.48000000001"/>
    <n v="0"/>
    <n v="0"/>
    <n v="0"/>
    <n v="0"/>
    <n v="0"/>
    <n v="0"/>
    <n v="145726.48000000001"/>
    <n v="0"/>
    <n v="0"/>
    <n v="0"/>
    <n v="0"/>
    <n v="0"/>
    <n v="0"/>
    <n v="0"/>
    <n v="0"/>
    <n v="145726.48000000001"/>
    <n v="0"/>
    <n v="0"/>
    <n v="0"/>
    <n v="0"/>
    <n v="0"/>
    <n v="0"/>
    <m/>
    <s v="Teghra"/>
    <m/>
    <n v="0"/>
  </r>
  <r>
    <s v="Munger"/>
    <s v="10-16 Jul"/>
    <n v="1008"/>
    <s v="Teghra"/>
    <x v="247"/>
    <s v="Gomukh Bishanpur"/>
    <s v="MPG"/>
    <s v="Direct"/>
    <n v="769.74999999999989"/>
    <n v="28216.62"/>
    <n v="812.55999999999983"/>
    <n v="30759.509999999995"/>
    <n v="7.1499999999999995"/>
    <n v="268.19"/>
    <n v="819.70999999999981"/>
    <n v="31027.699999999993"/>
    <n v="28216.62"/>
    <n v="0"/>
    <n v="268.19"/>
    <n v="2811.0799999999945"/>
    <n v="0"/>
    <n v="0"/>
    <n v="0"/>
    <n v="27948"/>
    <n v="0"/>
    <n v="0"/>
    <n v="0"/>
    <s v="Release3"/>
    <n v="0"/>
    <n v="0"/>
    <n v="-9.9624972799718561E-2"/>
    <n v="25"/>
    <m/>
    <s v="Teghra"/>
    <m/>
    <n v="0"/>
  </r>
  <r>
    <s v="Munger"/>
    <s v="10-16 Jul"/>
    <n v="1008"/>
    <s v="Teghra"/>
    <x v="248"/>
    <s v="GOMUKH BEGAMSARAI"/>
    <s v="MPG"/>
    <s v="Direct"/>
    <n v="176.14999999999998"/>
    <n v="7886.24"/>
    <n v="203.91"/>
    <n v="9292.2799999999988"/>
    <n v="133.51"/>
    <n v="6031.11"/>
    <n v="337.41999999999996"/>
    <n v="15323.39"/>
    <n v="7886.24"/>
    <n v="0"/>
    <n v="180.23000000000002"/>
    <n v="7437.15"/>
    <n v="0"/>
    <n v="0"/>
    <n v="0"/>
    <n v="1856"/>
    <n v="5850"/>
    <n v="0"/>
    <n v="0"/>
    <n v="0"/>
    <n v="469.05555764973042"/>
    <n v="25.164285714285711"/>
    <n v="-0.94305397756091625"/>
    <n v="14"/>
    <m/>
    <s v="Teghra"/>
    <m/>
    <n v="0"/>
  </r>
  <r>
    <s v="Munger"/>
    <s v="10-16 Jul"/>
    <n v="1008"/>
    <s v="Teghra"/>
    <x v="249"/>
    <s v="Bariyahi - Ramvaran"/>
    <s v="vlc"/>
    <s v="Indirect"/>
    <n v="67.2"/>
    <n v="2902.29"/>
    <n v="0"/>
    <n v="0"/>
    <n v="0"/>
    <n v="0"/>
    <n v="0"/>
    <n v="0"/>
    <n v="2902.29"/>
    <n v="0"/>
    <n v="0"/>
    <n v="0"/>
    <n v="0"/>
    <n v="0"/>
    <n v="0"/>
    <n v="0"/>
    <n v="0"/>
    <n v="2902.29"/>
    <n v="0"/>
    <n v="0"/>
    <n v="546.59794999999997"/>
    <n v="9.6"/>
    <n v="0"/>
    <n v="0"/>
    <m/>
    <s v="Teghra"/>
    <m/>
    <n v="0"/>
  </r>
  <r>
    <s v="Munger"/>
    <s v="10-16 Jul"/>
    <n v="1008"/>
    <s v="Teghra"/>
    <x v="250"/>
    <s v="Hasanpur - Abhijeet"/>
    <s v="vlc"/>
    <s v="Indirect"/>
    <n v="8689.6000000000022"/>
    <n v="328994.44999999995"/>
    <n v="0"/>
    <n v="0"/>
    <n v="0"/>
    <n v="0"/>
    <n v="0"/>
    <n v="0"/>
    <n v="328994.44999999995"/>
    <n v="0"/>
    <n v="0"/>
    <n v="0"/>
    <n v="0"/>
    <n v="0"/>
    <n v="0"/>
    <n v="0"/>
    <n v="0"/>
    <n v="328994.44999999995"/>
    <n v="0"/>
    <n v="0"/>
    <n v="0"/>
    <n v="0"/>
    <n v="0"/>
    <n v="0"/>
    <m/>
    <s v="Teghra"/>
    <m/>
    <n v="0"/>
  </r>
  <r>
    <s v="Munger"/>
    <s v="10-16 Jul"/>
    <n v="1008"/>
    <s v="Teghra"/>
    <x v="251"/>
    <s v="Adharpur - Manish"/>
    <s v="vlc"/>
    <s v="Indirect"/>
    <n v="940.05000000000007"/>
    <n v="37909.279999999999"/>
    <n v="0"/>
    <n v="0"/>
    <n v="0"/>
    <n v="0"/>
    <n v="0"/>
    <n v="0"/>
    <n v="37909.279999999999"/>
    <n v="0"/>
    <n v="0"/>
    <n v="0"/>
    <n v="0"/>
    <n v="0"/>
    <n v="0"/>
    <n v="0"/>
    <n v="0"/>
    <n v="37909.279999999999"/>
    <n v="0"/>
    <n v="0"/>
    <n v="0"/>
    <n v="0"/>
    <n v="0"/>
    <n v="0"/>
    <m/>
    <s v="Teghra"/>
    <m/>
    <n v="0"/>
  </r>
  <r>
    <s v="Munger"/>
    <s v="10-16 Jul"/>
    <n v="1008"/>
    <s v="Teghra"/>
    <x v="252"/>
    <s v="Rani - Surender"/>
    <s v="vlc"/>
    <s v="Indirect"/>
    <n v="273.54999999999995"/>
    <n v="10876.47"/>
    <n v="0"/>
    <n v="0"/>
    <n v="0"/>
    <n v="0"/>
    <n v="0"/>
    <n v="0"/>
    <n v="10876.47"/>
    <n v="0"/>
    <n v="0"/>
    <n v="0"/>
    <n v="0"/>
    <n v="0"/>
    <n v="0"/>
    <n v="0"/>
    <n v="0"/>
    <n v="10876.47"/>
    <n v="0"/>
    <n v="0"/>
    <n v="339.11684383110952"/>
    <n v="39.078571428571422"/>
    <n v="0"/>
    <n v="0"/>
    <m/>
    <s v="Teghra"/>
    <m/>
    <n v="0"/>
  </r>
  <r>
    <s v="Munger"/>
    <s v="10-16 Jul"/>
    <n v="1008"/>
    <s v="Teghra"/>
    <x v="253"/>
    <s v="GOMUKH RANI 3"/>
    <s v="MPG"/>
    <s v="Direct"/>
    <n v="424.75000000000006"/>
    <n v="19249.21"/>
    <n v="379.15"/>
    <n v="17869.68"/>
    <n v="50.37"/>
    <n v="2161.7799999999997"/>
    <n v="429.52"/>
    <n v="20031.46"/>
    <n v="19249.21"/>
    <n v="0"/>
    <n v="131.84"/>
    <n v="782.25"/>
    <n v="0"/>
    <n v="500"/>
    <n v="0"/>
    <n v="16587"/>
    <n v="2030"/>
    <n v="0"/>
    <n v="0"/>
    <n v="0"/>
    <n v="249.48063814008231"/>
    <n v="60.678571428571438"/>
    <n v="-4.0638031378950099E-2"/>
    <n v="9"/>
    <m/>
    <s v="Teghra"/>
    <m/>
    <n v="500"/>
  </r>
  <r>
    <s v="Munger"/>
    <s v="10-16 Jul"/>
    <n v="1008"/>
    <s v="Teghra"/>
    <x v="254"/>
    <s v="GOMUKH NONPUR"/>
    <s v="MPG"/>
    <s v="Direct"/>
    <n v="447.2"/>
    <n v="17689.21"/>
    <n v="444.98"/>
    <n v="17864.069999999996"/>
    <n v="1.3400000000000003"/>
    <n v="53.67"/>
    <n v="446.32"/>
    <n v="17917.739999999994"/>
    <n v="17689.21"/>
    <n v="0"/>
    <n v="53.67"/>
    <n v="228.5299999999952"/>
    <n v="0"/>
    <n v="0"/>
    <n v="0"/>
    <n v="17636"/>
    <n v="0"/>
    <n v="0"/>
    <n v="0"/>
    <n v="0"/>
    <n v="199.99249946332742"/>
    <n v="63.885714285714286"/>
    <n v="-1.2919175022513454E-2"/>
    <n v="4"/>
    <m/>
    <s v="Teghra"/>
    <m/>
    <n v="0"/>
  </r>
  <r>
    <s v="Munger"/>
    <s v="10-16 Jul"/>
    <n v="1008"/>
    <s v="Teghra"/>
    <x v="255"/>
    <s v="GOMUKH FATEHA"/>
    <s v="MPG"/>
    <s v="Direct"/>
    <n v="52.8"/>
    <n v="2003.09"/>
    <n v="54.28"/>
    <n v="2124.9499999999998"/>
    <n v="0"/>
    <n v="0"/>
    <n v="54.28"/>
    <n v="2124.9499999999998"/>
    <n v="2003.09"/>
    <n v="0"/>
    <n v="0"/>
    <n v="121.8599999999999"/>
    <n v="0"/>
    <n v="0"/>
    <n v="0"/>
    <n v="2003"/>
    <n v="0"/>
    <n v="0"/>
    <n v="0"/>
    <n v="0"/>
    <n v="491.06054848484854"/>
    <n v="7.5428571428571427"/>
    <n v="-6.0836008367072827E-2"/>
    <n v="1"/>
    <m/>
    <s v="Teghra"/>
    <m/>
    <n v="0"/>
  </r>
  <r>
    <s v="Munger"/>
    <s v="10-16 Jul"/>
    <n v="1008"/>
    <s v="Teghra"/>
    <x v="256"/>
    <s v="Bablu Singh"/>
    <s v="vlc"/>
    <s v="Indirect"/>
    <n v="1201.9499999999998"/>
    <n v="44843.42"/>
    <n v="0"/>
    <n v="0"/>
    <n v="0"/>
    <n v="0"/>
    <n v="0"/>
    <n v="0"/>
    <n v="44843.42"/>
    <n v="0"/>
    <n v="0"/>
    <n v="0"/>
    <n v="0"/>
    <n v="0"/>
    <n v="0"/>
    <n v="0"/>
    <n v="0"/>
    <n v="44843.42"/>
    <n v="0"/>
    <n v="0"/>
    <n v="0"/>
    <n v="0"/>
    <n v="0"/>
    <n v="0"/>
    <m/>
    <s v="Teghra"/>
    <m/>
    <n v="0"/>
  </r>
  <r>
    <s v="Munger"/>
    <s v="10-16 Jul"/>
    <n v="1008"/>
    <s v="Teghra"/>
    <x v="257"/>
    <s v="Gomukh Rani                                                                                         "/>
    <s v="MPG"/>
    <s v="Direct"/>
    <n v="749"/>
    <n v="28453.64"/>
    <n v="358.15000000000003"/>
    <n v="15316.36"/>
    <n v="401.8"/>
    <n v="17430.080000000002"/>
    <n v="759.95"/>
    <n v="32746.440000000002"/>
    <n v="28453.64"/>
    <n v="0"/>
    <n v="0"/>
    <n v="4292.8000000000029"/>
    <n v="0"/>
    <n v="0"/>
    <n v="0"/>
    <n v="11023"/>
    <n v="17431"/>
    <n v="0"/>
    <n v="0"/>
    <n v="0"/>
    <n v="0"/>
    <n v="0"/>
    <n v="-0.15086997656538859"/>
    <n v="12"/>
    <m/>
    <s v="Teghra"/>
    <m/>
    <n v="0"/>
  </r>
  <r>
    <s v="Munger"/>
    <s v="10-16 Jul"/>
    <n v="1008"/>
    <s v="Teghra"/>
    <x v="258"/>
    <s v="GOMUKH ROOPNAGAR"/>
    <s v="vlc"/>
    <s v="Direct"/>
    <n v="213.79999999999998"/>
    <n v="7686.9"/>
    <n v="213.5"/>
    <n v="7675.9"/>
    <n v="0"/>
    <n v="0"/>
    <n v="213.5"/>
    <n v="7675.9"/>
    <n v="7675.9"/>
    <n v="0"/>
    <n v="0"/>
    <n v="0"/>
    <n v="0"/>
    <n v="0"/>
    <n v="0"/>
    <n v="7676"/>
    <n v="0"/>
    <n v="0"/>
    <n v="11"/>
    <n v="0"/>
    <n v="349.61373058933583"/>
    <n v="30.542857142857141"/>
    <n v="1.431005997216043E-3"/>
    <n v="1"/>
    <m/>
    <s v="Teghra"/>
    <m/>
    <n v="0"/>
  </r>
  <r>
    <s v="Munger"/>
    <s v="10-16 Jul"/>
    <n v="1008"/>
    <s v="Teghra"/>
    <x v="259"/>
    <s v="GOMUKH HADIPUR"/>
    <s v="MPG"/>
    <s v="Direct"/>
    <n v="381.85"/>
    <n v="14920.05"/>
    <n v="368.48999999999995"/>
    <n v="14775.48"/>
    <n v="28.680000000000007"/>
    <n v="1151.98"/>
    <n v="397.16999999999996"/>
    <n v="15927.46"/>
    <n v="14920.05"/>
    <n v="0"/>
    <n v="1151.98"/>
    <n v="1007.4099999999999"/>
    <n v="0"/>
    <n v="500"/>
    <n v="0"/>
    <n v="13268"/>
    <n v="0"/>
    <n v="0"/>
    <n v="0"/>
    <n v="0"/>
    <n v="248.62191475710355"/>
    <n v="54.550000000000004"/>
    <n v="-6.7520551204587109E-2"/>
    <n v="2"/>
    <m/>
    <s v="Teghra"/>
    <m/>
    <n v="500"/>
  </r>
  <r>
    <s v="Munger"/>
    <s v="10-16 Jul"/>
    <n v="1008"/>
    <s v="Teghra"/>
    <x v="260"/>
    <s v="Gomukh Harichak"/>
    <s v="MPG"/>
    <s v="Direct"/>
    <n v="124.65000000000002"/>
    <n v="5271.96"/>
    <n v="130.16999999999999"/>
    <n v="5194.6100000000006"/>
    <n v="0"/>
    <n v="0"/>
    <n v="130.16999999999999"/>
    <n v="5194.6100000000006"/>
    <n v="5194.6100000000006"/>
    <n v="0"/>
    <n v="0"/>
    <n v="0"/>
    <n v="0"/>
    <n v="500"/>
    <n v="0"/>
    <n v="4694"/>
    <n v="0"/>
    <n v="0"/>
    <n v="78"/>
    <n v="0"/>
    <n v="486.67824885679892"/>
    <n v="17.80714285714286"/>
    <n v="1.4671962609731382E-2"/>
    <n v="4"/>
    <m/>
    <s v="Teghra"/>
    <m/>
    <n v="500"/>
  </r>
  <r>
    <s v="Munger"/>
    <s v="10-16 Jul"/>
    <n v="1008"/>
    <s v="Teghra"/>
    <x v="261"/>
    <s v="PAWAN RAY"/>
    <s v="vlc"/>
    <s v="Indirect"/>
    <n v="1736.1"/>
    <n v="70213.989999999991"/>
    <n v="0"/>
    <n v="0"/>
    <n v="0"/>
    <n v="0"/>
    <n v="0"/>
    <n v="0"/>
    <n v="70213.989999999991"/>
    <n v="0"/>
    <n v="0"/>
    <n v="0"/>
    <n v="0"/>
    <n v="0"/>
    <n v="0"/>
    <n v="0"/>
    <n v="0"/>
    <n v="70213.989999999991"/>
    <n v="0"/>
    <n v="0"/>
    <n v="0"/>
    <n v="0"/>
    <n v="0"/>
    <n v="0"/>
    <m/>
    <s v="Teghra"/>
    <m/>
    <n v="0"/>
  </r>
  <r>
    <s v="Munger"/>
    <s v="10-16 Jul"/>
    <n v="1008"/>
    <s v="Teghra"/>
    <x v="262"/>
    <s v="RAJ BHARDWAJ"/>
    <s v="vlc"/>
    <s v="Indirect"/>
    <n v="285.79999999999995"/>
    <n v="10495.199999999997"/>
    <n v="0"/>
    <n v="0"/>
    <n v="0"/>
    <n v="0"/>
    <n v="0"/>
    <n v="0"/>
    <n v="10495.199999999997"/>
    <n v="0"/>
    <n v="0"/>
    <n v="0"/>
    <n v="0"/>
    <n v="0"/>
    <n v="0"/>
    <n v="0"/>
    <n v="0"/>
    <n v="10495.199999999997"/>
    <n v="0"/>
    <n v="0"/>
    <n v="304.20656682995099"/>
    <n v="40.828571428571422"/>
    <n v="0"/>
    <n v="0"/>
    <m/>
    <s v="Teghra"/>
    <m/>
    <n v="0"/>
  </r>
  <r>
    <s v="Munger"/>
    <s v="10-16 Jul"/>
    <n v="1008"/>
    <s v="Teghra"/>
    <x v="263"/>
    <s v="Gomukh Amarpur"/>
    <s v="MPG"/>
    <s v="Direct"/>
    <n v="270.7"/>
    <n v="10213.19"/>
    <n v="288.06"/>
    <n v="10390.49"/>
    <n v="0.85000000000000009"/>
    <n v="30.82"/>
    <n v="288.91000000000003"/>
    <n v="10421.31"/>
    <n v="10213.19"/>
    <n v="0"/>
    <n v="30.82"/>
    <n v="208.11999999999898"/>
    <n v="0"/>
    <n v="0"/>
    <n v="0"/>
    <n v="10182"/>
    <n v="0"/>
    <n v="0"/>
    <n v="0"/>
    <n v="0"/>
    <n v="323.93959859623203"/>
    <n v="38.671428571428571"/>
    <n v="-2.0377570572955066E-2"/>
    <n v="6"/>
    <m/>
    <s v="Teghra"/>
    <m/>
    <n v="0"/>
  </r>
  <r>
    <s v="Munger"/>
    <s v="10-16 Jul"/>
    <n v="1008"/>
    <s v="Teghra"/>
    <x v="264"/>
    <s v="Prashant Kumar"/>
    <s v="vlc"/>
    <s v="Indirect"/>
    <n v="78.599999999999994"/>
    <n v="3012.54"/>
    <n v="0"/>
    <n v="0"/>
    <n v="0"/>
    <n v="0"/>
    <n v="0"/>
    <n v="0"/>
    <n v="3012.54"/>
    <n v="0"/>
    <n v="0"/>
    <n v="0"/>
    <n v="0"/>
    <n v="0"/>
    <n v="0"/>
    <n v="0"/>
    <n v="0"/>
    <n v="3012.54"/>
    <n v="0"/>
    <n v="0"/>
    <n v="476.33393282442756"/>
    <n v="11.228571428571428"/>
    <n v="0"/>
    <n v="0"/>
    <m/>
    <s v="Teghra"/>
    <m/>
    <n v="0"/>
  </r>
  <r>
    <s v="Munger"/>
    <s v="10-16 Jul"/>
    <n v="1008"/>
    <s v="Teghra"/>
    <x v="266"/>
    <s v="CHANDAN YADAV"/>
    <s v="vlc"/>
    <s v="Indirect"/>
    <n v="433.90000000000009"/>
    <n v="15986.56"/>
    <n v="0"/>
    <n v="0"/>
    <n v="0"/>
    <n v="0"/>
    <n v="0"/>
    <n v="0"/>
    <n v="15986.56"/>
    <n v="0"/>
    <n v="0"/>
    <n v="0"/>
    <n v="0"/>
    <n v="0"/>
    <n v="0"/>
    <n v="0"/>
    <n v="0"/>
    <n v="15986.56"/>
    <n v="0"/>
    <n v="0"/>
    <n v="196.0831351002534"/>
    <n v="61.985714285714302"/>
    <n v="0"/>
    <n v="0"/>
    <m/>
    <s v="Teghra"/>
    <m/>
    <n v="0"/>
  </r>
  <r>
    <s v="Munger"/>
    <s v="10-16 Jul"/>
    <n v="1008"/>
    <s v="Teghra"/>
    <x v="976"/>
    <s v="DINESH YADAV"/>
    <s v="vlc"/>
    <s v="Indirect"/>
    <n v="63.2"/>
    <n v="2541.4700000000003"/>
    <n v="0"/>
    <n v="0"/>
    <n v="0"/>
    <n v="0"/>
    <n v="0"/>
    <n v="0"/>
    <n v="2541.4700000000003"/>
    <n v="0"/>
    <n v="0"/>
    <n v="0"/>
    <n v="0"/>
    <n v="0"/>
    <n v="0"/>
    <n v="0"/>
    <n v="0"/>
    <n v="2541.4700000000003"/>
    <n v="0"/>
    <n v="0"/>
    <n v="512.15446075949376"/>
    <n v="9.0285714285714285"/>
    <n v="0"/>
    <n v="0"/>
    <m/>
    <s v="Teghra"/>
    <m/>
    <n v="0"/>
  </r>
  <r>
    <s v="Munger"/>
    <s v="10-16 Jul"/>
    <n v="1008"/>
    <s v="Teghra"/>
    <x v="267"/>
    <s v="ANITA DEVI"/>
    <s v="vlc"/>
    <s v="Indirect"/>
    <n v="314.3"/>
    <n v="11070.99"/>
    <n v="0"/>
    <n v="0"/>
    <n v="0"/>
    <n v="0"/>
    <n v="0"/>
    <n v="0"/>
    <n v="11070.99"/>
    <n v="0"/>
    <n v="0"/>
    <n v="0"/>
    <n v="0"/>
    <n v="0"/>
    <n v="0"/>
    <n v="0"/>
    <n v="0"/>
    <n v="11070.99"/>
    <n v="0"/>
    <n v="0"/>
    <n v="271.72006636971042"/>
    <n v="44.9"/>
    <n v="0"/>
    <n v="0"/>
    <m/>
    <s v="Teghra"/>
    <m/>
    <n v="0"/>
  </r>
  <r>
    <s v="Munger"/>
    <s v="10-16 Jul"/>
    <n v="1008"/>
    <s v="Teghra"/>
    <x v="268"/>
    <s v="GOMUKH FATEHA SALEMPUR"/>
    <s v="MPG"/>
    <s v="Direct"/>
    <n v="211.25"/>
    <n v="8247.58"/>
    <n v="226.9"/>
    <n v="8848.7000000000007"/>
    <n v="6"/>
    <n v="235.78"/>
    <n v="232.9"/>
    <n v="9084.4800000000014"/>
    <n v="8247.58"/>
    <n v="0"/>
    <n v="235.78"/>
    <n v="836.90000000000146"/>
    <n v="0"/>
    <n v="500"/>
    <n v="0"/>
    <n v="7512"/>
    <n v="0"/>
    <n v="0"/>
    <n v="0"/>
    <n v="0"/>
    <n v="381.63358343195267"/>
    <n v="30.178571428571427"/>
    <n v="-0.10147218941798702"/>
    <n v="3"/>
    <m/>
    <s v="Teghra"/>
    <m/>
    <n v="500"/>
  </r>
  <r>
    <s v="Munger"/>
    <s v="10-16 Jul"/>
    <n v="1008"/>
    <s v="Teghra"/>
    <x v="269"/>
    <s v="GOMUKH GEHUNI 2"/>
    <s v="MPG"/>
    <s v="Direct"/>
    <n v="543.90000000000009"/>
    <n v="21855.26"/>
    <n v="546.28"/>
    <n v="21639.710000000003"/>
    <n v="0.69000000000000006"/>
    <n v="27.970000000000002"/>
    <n v="546.97"/>
    <n v="21667.680000000004"/>
    <n v="21667.680000000004"/>
    <n v="0"/>
    <n v="27.970000000000002"/>
    <n v="0"/>
    <n v="0"/>
    <n v="0"/>
    <n v="0"/>
    <n v="21639"/>
    <n v="0"/>
    <n v="0"/>
    <n v="188"/>
    <n v="0"/>
    <n v="125.44975495495483"/>
    <n v="77.700000000000017"/>
    <n v="8.5828308608542972E-3"/>
    <n v="3"/>
    <m/>
    <s v="Teghra"/>
    <m/>
    <n v="0"/>
  </r>
  <r>
    <s v="Munger"/>
    <s v="10-16 Jul"/>
    <n v="1008"/>
    <s v="Teghra"/>
    <x v="270"/>
    <s v="GOMUKH MALHIPUR"/>
    <s v="MPG"/>
    <s v="Direct"/>
    <n v="541.30000000000007"/>
    <n v="18119.190000000002"/>
    <n v="546"/>
    <n v="17080.39"/>
    <n v="2.8000000000000003"/>
    <n v="86.61999999999999"/>
    <n v="548.79999999999995"/>
    <n v="17167.009999999998"/>
    <n v="17167.009999999998"/>
    <n v="0"/>
    <n v="86.61999999999999"/>
    <n v="0"/>
    <n v="0"/>
    <n v="0"/>
    <n v="0"/>
    <n v="17080"/>
    <n v="0"/>
    <n v="0"/>
    <n v="953"/>
    <n v="0"/>
    <n v="106.24479782006279"/>
    <n v="77.328571428571436"/>
    <n v="5.2550914251685857E-2"/>
    <n v="7"/>
    <m/>
    <s v="Teghra"/>
    <m/>
    <n v="0"/>
  </r>
  <r>
    <s v="Munger"/>
    <s v="10-16 Jul"/>
    <n v="1008"/>
    <s v="Teghra"/>
    <x v="271"/>
    <s v="Rasalpur - Durgesh Kumar"/>
    <s v="vlc"/>
    <s v="Indirect"/>
    <n v="143.04999999999998"/>
    <n v="5290.8499999999995"/>
    <n v="0"/>
    <n v="0"/>
    <n v="0"/>
    <n v="0"/>
    <n v="0"/>
    <n v="0"/>
    <n v="5290.8499999999995"/>
    <n v="0"/>
    <n v="0"/>
    <n v="0"/>
    <n v="0"/>
    <n v="0"/>
    <n v="0"/>
    <n v="0"/>
    <n v="0"/>
    <n v="5290.8499999999995"/>
    <n v="0"/>
    <n v="0"/>
    <n v="411.98726424327162"/>
    <n v="20.435714285714283"/>
    <n v="0"/>
    <n v="0"/>
    <m/>
    <s v="Teghra"/>
    <m/>
    <n v="0"/>
  </r>
  <r>
    <s v="Munger"/>
    <s v="10-16 Jul"/>
    <n v="1008"/>
    <s v="Teghra"/>
    <x v="272"/>
    <s v="Barauni Bariyarpur"/>
    <s v="MPG"/>
    <s v="Direct"/>
    <n v="397.6"/>
    <n v="14479.759999999998"/>
    <n v="397.2"/>
    <n v="14632.85"/>
    <n v="0"/>
    <n v="0"/>
    <n v="397.2"/>
    <n v="14632.85"/>
    <n v="14479.759999999998"/>
    <n v="0"/>
    <n v="0"/>
    <n v="153.09000000000196"/>
    <n v="0"/>
    <n v="0"/>
    <n v="0"/>
    <n v="14480"/>
    <n v="0"/>
    <n v="0"/>
    <n v="0"/>
    <n v="0"/>
    <n v="220.25550422535207"/>
    <n v="56.800000000000004"/>
    <n v="-1.057268905009489E-2"/>
    <n v="1"/>
    <m/>
    <s v="Teghra"/>
    <m/>
    <n v="0"/>
  </r>
  <r>
    <s v="Munger"/>
    <s v="10-16 Jul"/>
    <n v="1008"/>
    <s v="Teghra"/>
    <x v="274"/>
    <s v="Fateha - Anil Yadav"/>
    <s v="vlc"/>
    <s v="Indirect"/>
    <n v="177.94999999999996"/>
    <n v="6852.09"/>
    <n v="0"/>
    <n v="0"/>
    <n v="0"/>
    <n v="0"/>
    <n v="0"/>
    <n v="0"/>
    <n v="6852.09"/>
    <n v="0"/>
    <n v="0"/>
    <n v="0"/>
    <n v="0"/>
    <n v="0"/>
    <n v="0"/>
    <n v="0"/>
    <n v="0"/>
    <n v="6852.09"/>
    <n v="0"/>
    <n v="0"/>
    <n v="402.03805389154275"/>
    <n v="25.421428571428567"/>
    <n v="0"/>
    <n v="0"/>
    <m/>
    <s v="Teghra"/>
    <m/>
    <n v="0"/>
  </r>
  <r>
    <s v="Munger"/>
    <s v="10-16 Jul"/>
    <n v="1008"/>
    <s v="Teghra"/>
    <x v="275"/>
    <s v="Bihat - Chakballi"/>
    <s v="MPG"/>
    <s v="Direct"/>
    <n v="335.3"/>
    <n v="11878.36"/>
    <n v="335"/>
    <n v="11738.4"/>
    <n v="0"/>
    <n v="0"/>
    <n v="335"/>
    <n v="11738.4"/>
    <n v="11738.4"/>
    <n v="0"/>
    <n v="0"/>
    <n v="0"/>
    <n v="0"/>
    <n v="0"/>
    <n v="0"/>
    <n v="11738"/>
    <n v="0"/>
    <n v="0"/>
    <n v="140"/>
    <n v="0"/>
    <n v="258.39772693110649"/>
    <n v="47.9"/>
    <n v="1.1782771359009235E-2"/>
    <n v="1"/>
    <m/>
    <s v="Teghra"/>
    <m/>
    <n v="0"/>
  </r>
  <r>
    <s v="Munger"/>
    <s v="10-16 Jul"/>
    <n v="1008"/>
    <s v="Teghra"/>
    <x v="276"/>
    <s v="Sibutol- Naya Tola"/>
    <s v="MPG"/>
    <s v="Direct"/>
    <n v="15.4"/>
    <n v="567.62"/>
    <n v="15.4"/>
    <n v="565.33000000000004"/>
    <n v="0"/>
    <n v="0"/>
    <n v="15.4"/>
    <n v="565.33000000000004"/>
    <n v="565.33000000000004"/>
    <n v="0"/>
    <n v="0"/>
    <n v="0"/>
    <n v="0"/>
    <n v="500"/>
    <n v="0"/>
    <n v="65"/>
    <n v="0"/>
    <n v="0"/>
    <n v="3"/>
    <n v="0"/>
    <n v="504.66578181818181"/>
    <n v="2.2000000000000002"/>
    <n v="4.0343892040448958E-3"/>
    <n v="1"/>
    <m/>
    <s v="Teghra"/>
    <m/>
    <n v="500"/>
  </r>
  <r>
    <s v="Munger"/>
    <s v="10-16 Jul"/>
    <n v="1008"/>
    <s v="Teghra"/>
    <x v="277"/>
    <s v="Rasalpur"/>
    <s v="vlc"/>
    <s v="Indirect"/>
    <n v="1068.45"/>
    <n v="39153.24"/>
    <n v="0"/>
    <n v="0"/>
    <n v="0"/>
    <n v="0"/>
    <n v="0"/>
    <n v="0"/>
    <n v="39153.24"/>
    <n v="0"/>
    <n v="0"/>
    <n v="0"/>
    <n v="0"/>
    <n v="0"/>
    <n v="0"/>
    <n v="0"/>
    <n v="0"/>
    <n v="39153.24"/>
    <n v="0"/>
    <n v="0"/>
    <n v="0"/>
    <n v="0"/>
    <n v="0"/>
    <n v="0"/>
    <m/>
    <s v="Teghra"/>
    <m/>
    <n v="0"/>
  </r>
  <r>
    <s v="Munger"/>
    <s v="10-16 Jul"/>
    <n v="1065"/>
    <s v="Bachhwara BMC"/>
    <x v="278"/>
    <s v="Samsa"/>
    <s v="vlc"/>
    <s v="Indirect"/>
    <n v="1138.5"/>
    <n v="47609.679999999993"/>
    <n v="0"/>
    <n v="0"/>
    <n v="0"/>
    <n v="0"/>
    <n v="0"/>
    <n v="0"/>
    <n v="47609.679999999993"/>
    <n v="0"/>
    <n v="0"/>
    <n v="0"/>
    <n v="0"/>
    <n v="0"/>
    <n v="0"/>
    <n v="0"/>
    <n v="0"/>
    <n v="47609.679999999993"/>
    <n v="0"/>
    <n v="0"/>
    <n v="0"/>
    <n v="0"/>
    <n v="0"/>
    <n v="0"/>
    <m/>
    <s v="Bachhwara BMC"/>
    <m/>
    <n v="0"/>
  </r>
  <r>
    <s v="Munger"/>
    <s v="10-16 Jul"/>
    <n v="1008"/>
    <s v="Teghra"/>
    <x v="279"/>
    <s v="Dahiya"/>
    <s v="vlc"/>
    <s v="Indirect"/>
    <n v="396.45"/>
    <n v="14385.559999999998"/>
    <n v="0"/>
    <n v="0"/>
    <n v="0"/>
    <n v="0"/>
    <n v="0"/>
    <n v="0"/>
    <n v="14385.559999999998"/>
    <n v="0"/>
    <n v="0"/>
    <n v="0"/>
    <n v="0"/>
    <n v="0"/>
    <n v="0"/>
    <n v="0"/>
    <n v="0"/>
    <n v="14385.559999999998"/>
    <n v="0"/>
    <n v="0"/>
    <n v="220.29192775885986"/>
    <n v="56.635714285714286"/>
    <n v="0"/>
    <n v="0"/>
    <m/>
    <s v="Teghra"/>
    <m/>
    <n v="0"/>
  </r>
  <r>
    <s v="Munger"/>
    <s v="10-16 Jul"/>
    <n v="1008"/>
    <s v="Teghra"/>
    <x v="280"/>
    <s v="Gaura"/>
    <s v="MPG"/>
    <s v="Direct"/>
    <n v="376.04999999999995"/>
    <n v="14027.56"/>
    <n v="376"/>
    <n v="13953.36"/>
    <n v="0"/>
    <n v="0"/>
    <n v="376"/>
    <n v="13953.36"/>
    <n v="13953.36"/>
    <n v="0"/>
    <n v="0"/>
    <n v="0"/>
    <n v="0"/>
    <n v="0"/>
    <n v="0"/>
    <n v="13953"/>
    <n v="0"/>
    <n v="0"/>
    <n v="75"/>
    <n v="0"/>
    <n v="241.6821200372292"/>
    <n v="53.721428571428568"/>
    <n v="5.2895870700249304E-3"/>
    <n v="1"/>
    <m/>
    <s v="Teghra"/>
    <m/>
    <n v="0"/>
  </r>
  <r>
    <s v="Munger"/>
    <s v="10-16 Jul"/>
    <n v="1008"/>
    <s v="Teghra"/>
    <x v="281"/>
    <s v="Mukhtiyarpur"/>
    <s v="MPG"/>
    <s v="Direct"/>
    <n v="62.85"/>
    <n v="2165.8700000000003"/>
    <n v="122.53"/>
    <n v="4079.9300000000003"/>
    <n v="0"/>
    <n v="0"/>
    <n v="122.53"/>
    <n v="4079.9300000000003"/>
    <n v="2165.8700000000003"/>
    <n v="0"/>
    <n v="0"/>
    <n v="1914.06"/>
    <n v="0"/>
    <n v="0"/>
    <n v="0"/>
    <n v="2166"/>
    <n v="0"/>
    <n v="0"/>
    <n v="0"/>
    <n v="0"/>
    <n v="439.13574240254582"/>
    <n v="8.9785714285714295"/>
    <n v="-0.88373725108155132"/>
    <n v="2"/>
    <m/>
    <s v="Teghra"/>
    <m/>
    <n v="0"/>
  </r>
  <r>
    <s v="Munger"/>
    <s v="10-16 Jul"/>
    <n v="1008"/>
    <s v="Teghra"/>
    <x v="282"/>
    <s v="Gomukh Rudauli-02"/>
    <s v="MPG"/>
    <s v="Direct"/>
    <n v="576.54999999999995"/>
    <n v="22749.32"/>
    <n v="517.21999999999991"/>
    <n v="19985.879999999997"/>
    <n v="69.149999999999991"/>
    <n v="2605.21"/>
    <n v="586.36999999999989"/>
    <n v="22591.089999999997"/>
    <n v="22591.089999999997"/>
    <n v="0"/>
    <n v="0"/>
    <n v="0"/>
    <n v="0"/>
    <n v="0"/>
    <n v="0"/>
    <n v="19987"/>
    <n v="2605"/>
    <n v="0"/>
    <n v="157"/>
    <n v="0"/>
    <n v="97.420988778076506"/>
    <n v="82.364285714285714"/>
    <n v="6.9553727320202626E-3"/>
    <n v="11"/>
    <m/>
    <s v="Teghra"/>
    <m/>
    <n v="0"/>
  </r>
  <r>
    <s v="Munger"/>
    <s v="10-16 Jul"/>
    <n v="1008"/>
    <s v="Teghra"/>
    <x v="283"/>
    <s v="Gomukh Puranatol Raichiahi"/>
    <s v="MPG"/>
    <s v="Direct"/>
    <n v="635.54999999999995"/>
    <n v="24750.180000000004"/>
    <n v="635"/>
    <n v="24447.5"/>
    <n v="0"/>
    <n v="0"/>
    <n v="635"/>
    <n v="24447.5"/>
    <n v="24447.5"/>
    <n v="0"/>
    <n v="0"/>
    <n v="0"/>
    <n v="0"/>
    <n v="0"/>
    <n v="0"/>
    <n v="24448"/>
    <n v="0"/>
    <n v="0"/>
    <n v="302"/>
    <n v="0"/>
    <n v="50.197438470616078"/>
    <n v="90.79285714285713"/>
    <n v="1.22294060083605E-2"/>
    <n v="1"/>
    <m/>
    <s v="Teghra"/>
    <m/>
    <n v="0"/>
  </r>
  <r>
    <s v="Munger"/>
    <s v="10-16 Jul"/>
    <n v="1008"/>
    <s v="Teghra"/>
    <x v="284"/>
    <s v="Bihat-Gududaspur"/>
    <s v="MPG"/>
    <s v="Direct"/>
    <n v="314.55"/>
    <n v="12687.550000000001"/>
    <n v="314"/>
    <n v="12525.46"/>
    <n v="0"/>
    <n v="0"/>
    <n v="314"/>
    <n v="12525.46"/>
    <n v="12525.46"/>
    <n v="0"/>
    <n v="0"/>
    <n v="0"/>
    <n v="0"/>
    <n v="0"/>
    <n v="0"/>
    <n v="12525"/>
    <n v="0"/>
    <n v="0"/>
    <n v="163"/>
    <n v="0"/>
    <n v="310.94682228580513"/>
    <n v="44.93571428571429"/>
    <n v="1.2775516155601511E-2"/>
    <n v="1"/>
    <m/>
    <s v="Teghra"/>
    <m/>
    <n v="0"/>
  </r>
  <r>
    <s v="Munger"/>
    <s v="10-16 Jul"/>
    <n v="1008"/>
    <s v="Teghra"/>
    <x v="285"/>
    <s v="Labharchak-2"/>
    <s v="MPG"/>
    <s v="Direct"/>
    <n v="198.04999999999998"/>
    <n v="7447.4999999999991"/>
    <n v="198"/>
    <n v="7458.66"/>
    <n v="0"/>
    <n v="0"/>
    <n v="198"/>
    <n v="7458.66"/>
    <n v="7447.4999999999991"/>
    <n v="0"/>
    <n v="0"/>
    <n v="11.160000000000764"/>
    <n v="0"/>
    <n v="0"/>
    <n v="0"/>
    <n v="7447"/>
    <n v="0"/>
    <n v="0"/>
    <n v="0"/>
    <n v="0"/>
    <n v="377.50796516031306"/>
    <n v="28.292857142857141"/>
    <n v="-1.4984894259819758E-3"/>
    <n v="1"/>
    <m/>
    <s v="Teghra"/>
    <m/>
    <n v="0"/>
  </r>
  <r>
    <s v="Munger"/>
    <s v="10-16 Jul"/>
    <n v="1008"/>
    <s v="Teghra"/>
    <x v="286"/>
    <s v="Shamar Kasha"/>
    <s v="MPG"/>
    <s v="Indirect"/>
    <n v="236.49999999999997"/>
    <n v="9252.9"/>
    <n v="0"/>
    <n v="0"/>
    <n v="0"/>
    <n v="0"/>
    <n v="0"/>
    <n v="0"/>
    <n v="9252.9"/>
    <n v="0"/>
    <n v="0"/>
    <n v="0"/>
    <n v="0"/>
    <n v="0"/>
    <n v="0"/>
    <n v="0"/>
    <n v="0"/>
    <n v="9252.9"/>
    <n v="0"/>
    <n v="0"/>
    <n v="362.68238054968299"/>
    <n v="33.785714285714285"/>
    <n v="0"/>
    <n v="0"/>
    <m/>
    <s v="Teghra"/>
    <m/>
    <n v="0"/>
  </r>
  <r>
    <s v="Munger"/>
    <s v="10-16 Jul"/>
    <n v="1009"/>
    <s v="Halsi"/>
    <x v="287"/>
    <s v="POHE"/>
    <s v="MPG"/>
    <s v="Indirect"/>
    <n v="738.5"/>
    <n v="31689.480000000007"/>
    <n v="0"/>
    <n v="0"/>
    <n v="0"/>
    <n v="0"/>
    <n v="0"/>
    <n v="0"/>
    <n v="31689.480000000007"/>
    <n v="0"/>
    <n v="0"/>
    <n v="0"/>
    <n v="0"/>
    <n v="0"/>
    <n v="0"/>
    <n v="0"/>
    <n v="0"/>
    <n v="31689.480000000007"/>
    <n v="0"/>
    <n v="0"/>
    <n v="0"/>
    <n v="0"/>
    <n v="0"/>
    <n v="0"/>
    <m/>
    <s v="Halsi"/>
    <m/>
    <n v="0"/>
  </r>
  <r>
    <s v="Munger"/>
    <s v="10-16 Jul"/>
    <n v="1009"/>
    <s v="Halsi"/>
    <x v="288"/>
    <s v="AURO"/>
    <s v="MPG"/>
    <s v="Direct"/>
    <n v="1748.3999999999996"/>
    <n v="76410.930000000008"/>
    <n v="1316.8899999999996"/>
    <n v="57398.2"/>
    <n v="420.83000000000004"/>
    <n v="18034.07"/>
    <n v="1737.7199999999998"/>
    <n v="75432.26999999999"/>
    <n v="75432.26999999999"/>
    <n v="0"/>
    <n v="592.62000000000012"/>
    <n v="0"/>
    <n v="0"/>
    <n v="0"/>
    <n v="0"/>
    <n v="57399"/>
    <n v="17442"/>
    <n v="0"/>
    <n v="977"/>
    <n v="0"/>
    <n v="0"/>
    <n v="0"/>
    <n v="1.2807853536137016E-2"/>
    <n v="14"/>
    <m/>
    <s v="Halsi"/>
    <m/>
    <n v="0"/>
  </r>
  <r>
    <s v="Munger"/>
    <s v="10-16 Jul"/>
    <n v="1009"/>
    <s v="Halsi"/>
    <x v="289"/>
    <s v="PARSHAMA"/>
    <s v="MPG"/>
    <s v="Direct"/>
    <n v="68.5"/>
    <n v="2422.6000000000004"/>
    <n v="68.2"/>
    <n v="2510.38"/>
    <n v="0.7"/>
    <n v="25.550000000000004"/>
    <n v="68.900000000000006"/>
    <n v="2535.9300000000003"/>
    <n v="2422.6000000000004"/>
    <n v="0"/>
    <n v="25.550000000000004"/>
    <n v="113.32999999999993"/>
    <n v="0"/>
    <n v="0"/>
    <n v="0"/>
    <n v="2397"/>
    <n v="0"/>
    <n v="0"/>
    <n v="0"/>
    <n v="0"/>
    <n v="446.67792700729939"/>
    <n v="9.7857142857142865"/>
    <n v="-4.678031866589611E-2"/>
    <n v="3"/>
    <m/>
    <s v="Halsi"/>
    <m/>
    <n v="0"/>
  </r>
  <r>
    <s v="Munger"/>
    <s v="10-16 Jul"/>
    <n v="1009"/>
    <s v="Halsi"/>
    <x v="290"/>
    <s v="PRATAPUR 2"/>
    <s v="MPG"/>
    <s v="Indirect"/>
    <n v="83.600000000000009"/>
    <n v="3680.11"/>
    <n v="0"/>
    <n v="0"/>
    <n v="0"/>
    <n v="0"/>
    <n v="0"/>
    <n v="0"/>
    <n v="3680.11"/>
    <n v="0"/>
    <n v="0"/>
    <n v="0"/>
    <n v="0"/>
    <n v="0"/>
    <n v="0"/>
    <n v="0"/>
    <n v="0"/>
    <n v="3680.11"/>
    <n v="0"/>
    <n v="0"/>
    <n v="542.68416363636356"/>
    <n v="11.942857142857145"/>
    <n v="0"/>
    <n v="0"/>
    <m/>
    <s v="Halsi"/>
    <m/>
    <n v="0"/>
  </r>
  <r>
    <s v="Munger"/>
    <s v="10-16 Jul"/>
    <n v="1009"/>
    <s v="Halsi"/>
    <x v="291"/>
    <s v="BALLOPUR"/>
    <s v="MPG"/>
    <s v="Direct"/>
    <n v="1510.6999999999998"/>
    <n v="64892.739999999991"/>
    <n v="1513.8999999999999"/>
    <n v="68802.58"/>
    <n v="0"/>
    <n v="0"/>
    <n v="1513.8999999999999"/>
    <n v="68802.58"/>
    <n v="64892.739999999991"/>
    <n v="0"/>
    <n v="0"/>
    <n v="3909.8400000000111"/>
    <n v="0"/>
    <n v="0"/>
    <n v="0"/>
    <n v="64893"/>
    <n v="0"/>
    <n v="0"/>
    <n v="0"/>
    <n v="0"/>
    <n v="0"/>
    <n v="0"/>
    <n v="-6.025080771747366E-2"/>
    <n v="9"/>
    <m/>
    <s v="Halsi"/>
    <m/>
    <n v="0"/>
  </r>
  <r>
    <s v="Munger"/>
    <s v="10-16 Jul"/>
    <n v="1009"/>
    <s v="Halsi"/>
    <x v="292"/>
    <s v="KHAIRMA"/>
    <s v="MPG"/>
    <s v="Direct"/>
    <n v="623.50000000000011"/>
    <n v="23090.7"/>
    <n v="695.2"/>
    <n v="28384.48"/>
    <n v="1.8"/>
    <n v="68.960000000000008"/>
    <n v="697"/>
    <n v="28453.439999999999"/>
    <n v="23090.7"/>
    <n v="0"/>
    <n v="68.960000000000008"/>
    <n v="5362.739999999998"/>
    <n v="0"/>
    <n v="0"/>
    <n v="0"/>
    <n v="23022"/>
    <n v="0"/>
    <n v="0"/>
    <n v="0"/>
    <n v="0"/>
    <n v="56.662022453889271"/>
    <n v="89.071428571428584"/>
    <n v="-0.23224674869103135"/>
    <n v="6"/>
    <m/>
    <s v="Halsi"/>
    <m/>
    <n v="0"/>
  </r>
  <r>
    <s v="Munger"/>
    <s v="10-16 Jul"/>
    <n v="1009"/>
    <s v="Halsi"/>
    <x v="293"/>
    <s v="MAHASONI"/>
    <s v="MPG"/>
    <s v="Direct"/>
    <n v="889.09999999999991"/>
    <n v="36371.299999999996"/>
    <n v="910.0999999999998"/>
    <n v="35894.06"/>
    <n v="13.200000000000001"/>
    <n v="513.8900000000001"/>
    <n v="923.29999999999984"/>
    <n v="36407.949999999997"/>
    <n v="36371.299999999996"/>
    <n v="0"/>
    <n v="513.8900000000001"/>
    <n v="36.650000000001455"/>
    <n v="0"/>
    <n v="0"/>
    <n v="0"/>
    <n v="35857"/>
    <n v="0"/>
    <n v="0"/>
    <n v="0"/>
    <n v="0"/>
    <n v="0"/>
    <n v="0"/>
    <n v="-1.007662635099693E-3"/>
    <n v="28"/>
    <m/>
    <s v="Halsi"/>
    <m/>
    <n v="0"/>
  </r>
  <r>
    <s v="Munger"/>
    <s v="10-16 Jul"/>
    <n v="1009"/>
    <s v="Halsi"/>
    <x v="294"/>
    <s v="SONDHI"/>
    <s v="MPG"/>
    <s v="Direct"/>
    <n v="639.60000000000014"/>
    <n v="25519.910000000007"/>
    <n v="656.39999999999986"/>
    <n v="26408.68"/>
    <n v="4.4999999999999991"/>
    <n v="189.96"/>
    <n v="660.89999999999986"/>
    <n v="26598.639999999999"/>
    <n v="25519.910000000007"/>
    <n v="0"/>
    <n v="189.96"/>
    <n v="1078.7299999999923"/>
    <n v="0"/>
    <n v="0"/>
    <n v="0"/>
    <n v="25330"/>
    <n v="0"/>
    <n v="0"/>
    <n v="0"/>
    <n v="0"/>
    <n v="48.198954471544596"/>
    <n v="91.371428571428595"/>
    <n v="-4.2270133397805554E-2"/>
    <n v="10"/>
    <m/>
    <s v="Halsi"/>
    <m/>
    <n v="0"/>
  </r>
  <r>
    <s v="Munger"/>
    <s v="10-16 Jul"/>
    <n v="1009"/>
    <s v="Halsi"/>
    <x v="295"/>
    <s v="BELDARAYA"/>
    <s v="vlc"/>
    <s v="Indirect"/>
    <n v="750"/>
    <n v="28864"/>
    <n v="0"/>
    <n v="0"/>
    <n v="0"/>
    <n v="0"/>
    <n v="0"/>
    <n v="0"/>
    <n v="28864"/>
    <n v="0"/>
    <n v="0"/>
    <n v="0"/>
    <n v="0"/>
    <n v="0"/>
    <n v="0"/>
    <n v="0"/>
    <n v="0"/>
    <n v="28864"/>
    <n v="0"/>
    <n v="0"/>
    <n v="0"/>
    <n v="0"/>
    <n v="0"/>
    <n v="0"/>
    <m/>
    <s v="Halsi"/>
    <m/>
    <n v="0"/>
  </r>
  <r>
    <s v="Munger"/>
    <s v="10-16 Jul"/>
    <n v="1009"/>
    <s v="Halsi"/>
    <x v="296"/>
    <s v="Gomukh ID Aure-2"/>
    <s v="vlc"/>
    <s v="Indirect"/>
    <n v="1000"/>
    <n v="38552"/>
    <n v="0"/>
    <n v="0"/>
    <n v="0"/>
    <n v="0"/>
    <n v="0"/>
    <n v="0"/>
    <n v="38552"/>
    <n v="0"/>
    <n v="0"/>
    <n v="0"/>
    <n v="0"/>
    <n v="0"/>
    <n v="0"/>
    <n v="0"/>
    <n v="0"/>
    <n v="38552"/>
    <n v="0"/>
    <n v="0"/>
    <n v="0"/>
    <n v="0"/>
    <n v="0"/>
    <n v="0"/>
    <m/>
    <s v="Halsi"/>
    <m/>
    <n v="0"/>
  </r>
  <r>
    <s v="Munger"/>
    <s v="10-16 Jul"/>
    <n v="1009"/>
    <s v="Halsi"/>
    <x v="297"/>
    <s v="Gomukh Karma"/>
    <s v="vlc"/>
    <s v="Indirect"/>
    <n v="765.3"/>
    <n v="32719.920000000002"/>
    <n v="0"/>
    <n v="0"/>
    <n v="0"/>
    <n v="0"/>
    <n v="0"/>
    <n v="0"/>
    <n v="32719.920000000002"/>
    <n v="0"/>
    <n v="0"/>
    <n v="0"/>
    <n v="0"/>
    <n v="0"/>
    <n v="0"/>
    <n v="0"/>
    <n v="0"/>
    <n v="32719.920000000002"/>
    <n v="0"/>
    <n v="0"/>
    <n v="0"/>
    <n v="0"/>
    <n v="0"/>
    <n v="0"/>
    <m/>
    <s v="Halsi"/>
    <m/>
    <n v="0"/>
  </r>
  <r>
    <s v="Munger"/>
    <s v="10-16 Jul"/>
    <n v="1009"/>
    <s v="Halsi"/>
    <x v="298"/>
    <s v="GOMUKH UKSI"/>
    <s v="MPG"/>
    <s v="Indirect"/>
    <n v="606.20000000000005"/>
    <n v="26853.040000000001"/>
    <n v="0"/>
    <n v="0"/>
    <n v="0"/>
    <n v="0"/>
    <n v="0"/>
    <n v="0"/>
    <n v="26853.040000000001"/>
    <n v="0"/>
    <n v="0"/>
    <n v="0"/>
    <n v="0"/>
    <n v="0"/>
    <n v="0"/>
    <n v="0"/>
    <n v="0"/>
    <n v="26853.040000000001"/>
    <n v="0"/>
    <n v="0"/>
    <n v="83.101786605080775"/>
    <n v="86.600000000000009"/>
    <n v="0"/>
    <n v="0"/>
    <m/>
    <s v="Halsi"/>
    <m/>
    <n v="0"/>
  </r>
  <r>
    <s v="Munger"/>
    <s v="10-16 Jul"/>
    <n v="1009"/>
    <s v="Halsi"/>
    <x v="299"/>
    <s v="Gomukh ID Halsi"/>
    <s v="vlc"/>
    <s v="Indirect"/>
    <n v="5463.8000000000011"/>
    <n v="204460.89"/>
    <n v="0"/>
    <n v="0"/>
    <n v="0"/>
    <n v="0"/>
    <n v="0"/>
    <n v="0"/>
    <n v="204460.89"/>
    <n v="0"/>
    <n v="0"/>
    <n v="0"/>
    <n v="0"/>
    <n v="0"/>
    <n v="0"/>
    <n v="0"/>
    <n v="0"/>
    <n v="204460.89"/>
    <n v="0"/>
    <n v="0"/>
    <n v="0"/>
    <n v="0"/>
    <n v="0"/>
    <n v="0"/>
    <m/>
    <s v="Halsi"/>
    <m/>
    <n v="0"/>
  </r>
  <r>
    <s v="Munger"/>
    <s v="10-16 Jul"/>
    <n v="1009"/>
    <s v="Halsi"/>
    <x v="300"/>
    <s v="Gomukh ID Lalpur"/>
    <s v="vlc"/>
    <s v="Indirect"/>
    <n v="600.40000000000009"/>
    <n v="23977.159999999996"/>
    <n v="0"/>
    <n v="0"/>
    <n v="0"/>
    <n v="0"/>
    <n v="0"/>
    <n v="0"/>
    <n v="23977.159999999996"/>
    <n v="0"/>
    <n v="0"/>
    <n v="0"/>
    <n v="0"/>
    <n v="0"/>
    <n v="0"/>
    <n v="0"/>
    <n v="0"/>
    <n v="23977.159999999996"/>
    <n v="0"/>
    <n v="0"/>
    <n v="79.551137108594162"/>
    <n v="85.771428571428586"/>
    <n v="0"/>
    <n v="0"/>
    <m/>
    <s v="Halsi"/>
    <m/>
    <n v="0"/>
  </r>
  <r>
    <s v="Munger"/>
    <s v="10-16 Jul"/>
    <n v="1009"/>
    <s v="Halsi"/>
    <x v="301"/>
    <s v="KHURIYARI"/>
    <s v="MPG"/>
    <s v="Direct"/>
    <n v="1501.4999999999998"/>
    <n v="70184.23"/>
    <n v="1583.1000000000004"/>
    <n v="75713.77"/>
    <n v="1.6999999999999997"/>
    <n v="77.34"/>
    <n v="1584.8000000000004"/>
    <n v="75791.11"/>
    <n v="70184.23"/>
    <n v="0"/>
    <n v="77.34"/>
    <n v="5606.8800000000047"/>
    <n v="0"/>
    <n v="0"/>
    <n v="0"/>
    <n v="70107"/>
    <n v="0"/>
    <n v="0"/>
    <n v="0"/>
    <n v="0"/>
    <n v="0"/>
    <n v="0"/>
    <n v="-7.9888031827092851E-2"/>
    <n v="8"/>
    <m/>
    <s v="Halsi"/>
    <m/>
    <n v="0"/>
  </r>
  <r>
    <s v="Munger"/>
    <s v="10-16 Jul"/>
    <n v="1009"/>
    <s v="Halsi"/>
    <x v="302"/>
    <s v="BISANPUR"/>
    <s v="MPG"/>
    <s v="Indirect"/>
    <n v="483.29999999999995"/>
    <n v="19918.25"/>
    <n v="0"/>
    <n v="0"/>
    <n v="0"/>
    <n v="0"/>
    <n v="0"/>
    <n v="0"/>
    <n v="19918.25"/>
    <n v="0"/>
    <n v="0"/>
    <n v="0"/>
    <n v="0"/>
    <n v="0"/>
    <n v="0"/>
    <n v="0"/>
    <n v="0"/>
    <n v="19918.25"/>
    <n v="0"/>
    <n v="0"/>
    <n v="178.61720566935659"/>
    <n v="69.04285714285713"/>
    <n v="0"/>
    <n v="0"/>
    <m/>
    <s v="Halsi"/>
    <m/>
    <n v="0"/>
  </r>
  <r>
    <s v="Munger"/>
    <s v="10-16 Jul"/>
    <n v="1009"/>
    <s v="Halsi"/>
    <x v="303"/>
    <s v="BEHRAMA"/>
    <s v="MPG"/>
    <s v="Indirect"/>
    <n v="162.20000000000002"/>
    <n v="6482.42"/>
    <n v="0"/>
    <n v="0"/>
    <n v="0"/>
    <n v="0"/>
    <n v="0"/>
    <n v="0"/>
    <n v="6482.42"/>
    <n v="0"/>
    <n v="0"/>
    <n v="0"/>
    <n v="0"/>
    <n v="0"/>
    <n v="0"/>
    <n v="0"/>
    <n v="0"/>
    <n v="6482.42"/>
    <n v="0"/>
    <n v="0"/>
    <n v="429.86997237977801"/>
    <n v="23.171428571428574"/>
    <n v="0"/>
    <n v="0"/>
    <m/>
    <s v="Halsi"/>
    <m/>
    <n v="0"/>
  </r>
  <r>
    <s v="Munger"/>
    <s v="10-16 Jul"/>
    <n v="1009"/>
    <s v="Halsi"/>
    <x v="304"/>
    <s v="Gomukh ID Mathurapur"/>
    <s v="vlc"/>
    <s v="Indirect"/>
    <n v="461.9"/>
    <n v="17868.82"/>
    <n v="0"/>
    <n v="0"/>
    <n v="0"/>
    <n v="0"/>
    <n v="0"/>
    <n v="0"/>
    <n v="17868.82"/>
    <n v="0"/>
    <n v="0"/>
    <n v="0"/>
    <n v="0"/>
    <n v="0"/>
    <n v="0"/>
    <n v="0"/>
    <n v="0"/>
    <n v="17868.82"/>
    <n v="0"/>
    <n v="0"/>
    <n v="184.2202226455943"/>
    <n v="65.98571428571428"/>
    <n v="0"/>
    <n v="0"/>
    <m/>
    <s v="Halsi"/>
    <m/>
    <n v="0"/>
  </r>
  <r>
    <s v="Munger"/>
    <s v="10-16 Jul"/>
    <n v="1009"/>
    <s v="Halsi"/>
    <x v="305"/>
    <s v="Gomukh ID Kurha Dih"/>
    <s v="vlc"/>
    <s v="Indirect"/>
    <n v="1871.6"/>
    <n v="81154.809999999983"/>
    <n v="0"/>
    <n v="0"/>
    <n v="0"/>
    <n v="0"/>
    <n v="0"/>
    <n v="0"/>
    <n v="81154.809999999983"/>
    <n v="0"/>
    <n v="0"/>
    <n v="0"/>
    <n v="0"/>
    <n v="0"/>
    <n v="0"/>
    <n v="0"/>
    <n v="0"/>
    <n v="81154.809999999983"/>
    <n v="0"/>
    <n v="0"/>
    <n v="0"/>
    <n v="0"/>
    <n v="0"/>
    <n v="0"/>
    <m/>
    <s v="Halsi"/>
    <m/>
    <n v="0"/>
  </r>
  <r>
    <s v="Munger"/>
    <s v="10-16 Jul"/>
    <n v="1009"/>
    <s v="Halsi"/>
    <x v="306"/>
    <s v="RAMNAGAR"/>
    <s v="MPG"/>
    <s v="Direct"/>
    <n v="851.2"/>
    <n v="38492.99"/>
    <n v="884.04999999999984"/>
    <n v="38285.999999999993"/>
    <n v="6.11"/>
    <n v="225.09"/>
    <n v="890.15999999999985"/>
    <n v="38511.089999999989"/>
    <n v="38492.99"/>
    <n v="0"/>
    <n v="225.09"/>
    <n v="18.099999999991269"/>
    <n v="0"/>
    <n v="0"/>
    <n v="0"/>
    <n v="38268"/>
    <n v="0"/>
    <n v="0"/>
    <n v="0"/>
    <n v="0"/>
    <n v="0"/>
    <n v="0"/>
    <n v="-4.7021548598826098E-4"/>
    <n v="17"/>
    <m/>
    <s v="Halsi"/>
    <m/>
    <n v="0"/>
  </r>
  <r>
    <s v="Munger"/>
    <s v="10-16 Jul"/>
    <n v="1009"/>
    <s v="Halsi"/>
    <x v="307"/>
    <s v="SANDH MAAF 2"/>
    <s v="MPG"/>
    <s v="Direct"/>
    <n v="1078.9000000000001"/>
    <n v="50211.53"/>
    <n v="1074.01"/>
    <n v="51075.169999999991"/>
    <n v="4.04"/>
    <n v="189.43999999999997"/>
    <n v="1078.05"/>
    <n v="51264.609999999993"/>
    <n v="50211.53"/>
    <n v="0"/>
    <n v="189.43999999999997"/>
    <n v="1053.0799999999945"/>
    <n v="0"/>
    <n v="0"/>
    <n v="0"/>
    <n v="50022"/>
    <n v="0"/>
    <n v="0"/>
    <n v="0"/>
    <n v="0"/>
    <n v="0"/>
    <n v="0"/>
    <n v="-2.0972872167010138E-2"/>
    <n v="10"/>
    <m/>
    <s v="Halsi"/>
    <m/>
    <n v="0"/>
  </r>
  <r>
    <s v="Munger"/>
    <s v="10-16 Jul"/>
    <n v="1009"/>
    <s v="Halsi"/>
    <x v="308"/>
    <s v="TAAL-SHAHARSHA                                                                                      "/>
    <s v="MPG"/>
    <s v="Direct"/>
    <n v="1736.3999999999996"/>
    <n v="78014.69"/>
    <n v="1729.8600000000001"/>
    <n v="76838.530000000013"/>
    <n v="12.379999999999999"/>
    <n v="552.13"/>
    <n v="1742.2400000000002"/>
    <n v="77390.660000000018"/>
    <n v="77390.660000000018"/>
    <n v="0"/>
    <n v="552.13"/>
    <n v="0"/>
    <n v="0"/>
    <n v="0"/>
    <n v="0"/>
    <n v="76838"/>
    <n v="0"/>
    <n v="0"/>
    <n v="625"/>
    <n v="0"/>
    <n v="0"/>
    <n v="0"/>
    <n v="7.9988781599976133E-3"/>
    <n v="36"/>
    <m/>
    <s v="Halsi"/>
    <m/>
    <n v="0"/>
  </r>
  <r>
    <s v="Munger"/>
    <s v="10-16 Jul"/>
    <n v="1009"/>
    <s v="Halsi"/>
    <x v="309"/>
    <s v="Dhira"/>
    <s v="MPG"/>
    <s v="Direct"/>
    <n v="748.4"/>
    <n v="38458.780000000006"/>
    <n v="537.19999999999993"/>
    <n v="27475.059999999994"/>
    <n v="221.64999999999998"/>
    <n v="13466.76"/>
    <n v="758.84999999999991"/>
    <n v="40941.819999999992"/>
    <n v="38458.780000000006"/>
    <n v="0"/>
    <n v="294.25"/>
    <n v="2483.0399999999863"/>
    <n v="0"/>
    <n v="0"/>
    <n v="0"/>
    <n v="24992"/>
    <n v="13173"/>
    <n v="0"/>
    <n v="0"/>
    <s v="Release3"/>
    <n v="0"/>
    <n v="0"/>
    <n v="-6.4563670506448359E-2"/>
    <n v="10"/>
    <m/>
    <s v="Halsi"/>
    <m/>
    <n v="0"/>
  </r>
  <r>
    <s v="Munger"/>
    <s v="10-16 Jul"/>
    <n v="1009"/>
    <s v="Halsi"/>
    <x v="310"/>
    <s v="SHARMA"/>
    <s v="vlc"/>
    <s v="Direct"/>
    <n v="227.5"/>
    <n v="9431.5699999999979"/>
    <n v="210.28999999999994"/>
    <n v="8320.25"/>
    <n v="0"/>
    <n v="0"/>
    <n v="210.28999999999994"/>
    <n v="8320.25"/>
    <n v="8320.25"/>
    <n v="0"/>
    <n v="0"/>
    <n v="0"/>
    <n v="0"/>
    <n v="0"/>
    <n v="0"/>
    <n v="8321"/>
    <n v="0"/>
    <n v="0"/>
    <n v="1111"/>
    <n v="0"/>
    <n v="391.77290769230763"/>
    <n v="32.5"/>
    <n v="0.11782979928050136"/>
    <n v="6"/>
    <m/>
    <s v="Halsi"/>
    <m/>
    <n v="0"/>
  </r>
  <r>
    <s v="Munger"/>
    <s v="10-16 Jul"/>
    <n v="1009"/>
    <s v="Halsi"/>
    <x v="311"/>
    <s v="AZADNAGAR(VLC)"/>
    <s v="vlc"/>
    <s v="Indirect"/>
    <n v="375.1"/>
    <n v="9570.75"/>
    <n v="0"/>
    <n v="0"/>
    <n v="0"/>
    <n v="0"/>
    <n v="0"/>
    <n v="0"/>
    <n v="9570.75"/>
    <n v="0"/>
    <n v="0"/>
    <n v="0"/>
    <n v="0"/>
    <n v="0"/>
    <n v="0"/>
    <n v="0"/>
    <n v="0"/>
    <n v="9570.75"/>
    <n v="0"/>
    <n v="0"/>
    <n v="165.79774326846172"/>
    <n v="53.585714285714289"/>
    <n v="0"/>
    <n v="0"/>
    <m/>
    <s v="Halsi"/>
    <m/>
    <n v="0"/>
  </r>
  <r>
    <s v="Munger"/>
    <s v="10-16 Jul"/>
    <n v="1009"/>
    <s v="Halsi"/>
    <x v="312"/>
    <s v="REWAI"/>
    <s v="MPG"/>
    <s v="Direct"/>
    <n v="983.40000000000009"/>
    <n v="43907.229999999996"/>
    <n v="994.62"/>
    <n v="45693.8"/>
    <n v="2.41"/>
    <n v="108.78"/>
    <n v="997.03"/>
    <n v="45802.58"/>
    <n v="43907.229999999996"/>
    <n v="0"/>
    <n v="108.78"/>
    <n v="1895.3500000000058"/>
    <n v="0"/>
    <n v="0"/>
    <n v="0"/>
    <n v="43798"/>
    <n v="0"/>
    <n v="0"/>
    <n v="0"/>
    <n v="0"/>
    <n v="0"/>
    <n v="0"/>
    <n v="-4.3167150375917722E-2"/>
    <n v="5"/>
    <m/>
    <s v="Halsi"/>
    <m/>
    <n v="0"/>
  </r>
  <r>
    <s v="Munger"/>
    <s v="10-16 Jul"/>
    <n v="1009"/>
    <s v="Halsi"/>
    <x v="313"/>
    <s v="MANJOS"/>
    <s v="MPG"/>
    <s v="Direct"/>
    <n v="123.9"/>
    <n v="5271.29"/>
    <n v="124.1"/>
    <n v="5245.0999999999995"/>
    <n v="0"/>
    <n v="0"/>
    <n v="124.1"/>
    <n v="5245.0999999999995"/>
    <n v="5245.0999999999995"/>
    <n v="0"/>
    <n v="0"/>
    <n v="0"/>
    <n v="0"/>
    <n v="0"/>
    <n v="0"/>
    <n v="5245"/>
    <n v="0"/>
    <n v="0"/>
    <n v="26"/>
    <n v="0"/>
    <n v="490.20018870056498"/>
    <n v="17.7"/>
    <n v="4.9684232891759909E-3"/>
    <n v="2"/>
    <m/>
    <s v="Halsi"/>
    <m/>
    <n v="0"/>
  </r>
  <r>
    <s v="Munger"/>
    <s v="10-16 Jul"/>
    <n v="1009"/>
    <s v="Halsi"/>
    <x v="314"/>
    <s v="RATA"/>
    <s v="MPG"/>
    <s v="Direct"/>
    <n v="603.4"/>
    <n v="28712.48"/>
    <n v="619.44000000000005"/>
    <n v="30447.350000000006"/>
    <n v="0"/>
    <n v="0"/>
    <n v="619.44000000000005"/>
    <n v="30447.350000000006"/>
    <n v="28712.48"/>
    <n v="0"/>
    <n v="0"/>
    <n v="1734.8700000000063"/>
    <n v="0"/>
    <n v="0"/>
    <n v="0"/>
    <n v="28712"/>
    <n v="0"/>
    <n v="0"/>
    <n v="0"/>
    <n v="0"/>
    <n v="91.933230626450097"/>
    <n v="86.2"/>
    <n v="-6.0422157890924304E-2"/>
    <n v="4"/>
    <m/>
    <s v="Halsi"/>
    <m/>
    <n v="0"/>
  </r>
  <r>
    <s v="Munger"/>
    <s v="10-16 Jul"/>
    <n v="1009"/>
    <s v="Halsi"/>
    <x v="315"/>
    <s v="BARUI"/>
    <s v="MPG"/>
    <s v="Direct"/>
    <n v="309.2"/>
    <n v="14159.680000000002"/>
    <n v="315.90000000000003"/>
    <n v="14293.470000000001"/>
    <n v="6.6000000000000005"/>
    <n v="295.31"/>
    <n v="322.50000000000006"/>
    <n v="14588.78"/>
    <n v="14159.680000000002"/>
    <n v="0"/>
    <n v="295.31"/>
    <n v="429.09999999999854"/>
    <n v="0"/>
    <n v="0"/>
    <n v="0"/>
    <n v="13864"/>
    <n v="0"/>
    <n v="0"/>
    <n v="0"/>
    <n v="0"/>
    <n v="357.93033272962492"/>
    <n v="44.171428571428571"/>
    <n v="-3.0304357160613693E-2"/>
    <n v="16"/>
    <m/>
    <s v="Halsi"/>
    <m/>
    <n v="0"/>
  </r>
  <r>
    <s v="Munger"/>
    <s v="10-16 Jul"/>
    <n v="1009"/>
    <s v="Halsi"/>
    <x v="316"/>
    <s v="LAHUARA                                                                                             "/>
    <s v="MPG"/>
    <s v="Direct"/>
    <n v="815.2"/>
    <n v="44274.780000000006"/>
    <n v="809.96"/>
    <n v="46831.46"/>
    <n v="6.2600000000000016"/>
    <n v="379.68000000000006"/>
    <n v="816.22"/>
    <n v="47211.14"/>
    <n v="44274.780000000006"/>
    <n v="0"/>
    <n v="379.68000000000006"/>
    <n v="2936.3599999999933"/>
    <n v="0"/>
    <n v="0"/>
    <n v="0"/>
    <n v="43895"/>
    <n v="0"/>
    <n v="0"/>
    <n v="0"/>
    <n v="0"/>
    <n v="0"/>
    <n v="0"/>
    <n v="-6.6321278163324421E-2"/>
    <n v="11"/>
    <m/>
    <s v="Halsi"/>
    <m/>
    <n v="0"/>
  </r>
  <r>
    <s v="Munger"/>
    <s v="10-16 Jul"/>
    <n v="1009"/>
    <s v="Halsi"/>
    <x v="317"/>
    <s v="RAMDIH Ajit Kumar"/>
    <s v="vlc"/>
    <s v="Indirect"/>
    <n v="360.69999999999993"/>
    <n v="13542.22"/>
    <n v="0"/>
    <n v="0"/>
    <n v="0"/>
    <n v="0"/>
    <n v="0"/>
    <n v="0"/>
    <n v="13542.22"/>
    <n v="0"/>
    <n v="0"/>
    <n v="0"/>
    <n v="0"/>
    <n v="0"/>
    <n v="0"/>
    <n v="0"/>
    <n v="0"/>
    <n v="13542.22"/>
    <n v="0"/>
    <n v="0"/>
    <n v="254.77545029110075"/>
    <n v="51.528571428571418"/>
    <n v="0"/>
    <n v="0"/>
    <m/>
    <s v="Halsi"/>
    <m/>
    <n v="0"/>
  </r>
  <r>
    <s v="Munger"/>
    <s v="10-16 Jul"/>
    <n v="1009"/>
    <s v="Halsi"/>
    <x v="318"/>
    <s v="NARAYANPUR"/>
    <s v="MPG"/>
    <s v="Direct"/>
    <n v="346.8"/>
    <n v="15308.07"/>
    <n v="434.1"/>
    <n v="18879.75"/>
    <n v="1.59"/>
    <n v="70.94"/>
    <n v="435.69"/>
    <n v="18950.689999999999"/>
    <n v="15308.07"/>
    <n v="0"/>
    <n v="70.94"/>
    <n v="3642.619999999999"/>
    <n v="0"/>
    <n v="0"/>
    <n v="0"/>
    <n v="15237"/>
    <n v="0"/>
    <n v="0"/>
    <n v="0"/>
    <n v="0"/>
    <n v="311.81143737024217"/>
    <n v="49.542857142857144"/>
    <n v="-0.23795422937052149"/>
    <n v="4"/>
    <m/>
    <s v="Halsi"/>
    <m/>
    <n v="0"/>
  </r>
  <r>
    <s v="Munger"/>
    <s v="10-16 Jul"/>
    <n v="1009"/>
    <s v="Halsi"/>
    <x v="319"/>
    <s v="NAWKADIH"/>
    <s v="MPG"/>
    <s v="Direct"/>
    <n v="876.30000000000007"/>
    <n v="39920.740000000005"/>
    <n v="844.4"/>
    <n v="42139.070000000007"/>
    <n v="0"/>
    <n v="0"/>
    <n v="844.4"/>
    <n v="42139.070000000007"/>
    <n v="39920.740000000005"/>
    <n v="0"/>
    <n v="0"/>
    <n v="2218.3300000000017"/>
    <n v="0"/>
    <n v="0"/>
    <n v="0"/>
    <n v="39921"/>
    <n v="0"/>
    <n v="0"/>
    <n v="0"/>
    <n v="0"/>
    <n v="0"/>
    <n v="0"/>
    <n v="-5.5568358702769577E-2"/>
    <n v="4"/>
    <m/>
    <s v="Halsi"/>
    <m/>
    <n v="0"/>
  </r>
  <r>
    <s v="Munger"/>
    <s v="10-16 Jul"/>
    <n v="1009"/>
    <s v="Halsi"/>
    <x v="320"/>
    <s v="CHOTAHA"/>
    <s v="MPG"/>
    <s v="Direct"/>
    <n v="303.50000000000006"/>
    <n v="14024.25"/>
    <n v="487.36"/>
    <n v="37376.680000000008"/>
    <n v="0"/>
    <n v="0"/>
    <n v="487.36"/>
    <n v="37376.680000000008"/>
    <n v="14024.25"/>
    <n v="0"/>
    <n v="0"/>
    <n v="23352.430000000008"/>
    <n v="0"/>
    <n v="0"/>
    <n v="0"/>
    <n v="14024"/>
    <n v="0"/>
    <n v="0"/>
    <n v="0"/>
    <n v="0"/>
    <n v="366.43262767710041"/>
    <n v="43.357142857142868"/>
    <n v="-1.6651464427687761"/>
    <n v="7"/>
    <m/>
    <s v="Halsi"/>
    <m/>
    <n v="0"/>
  </r>
  <r>
    <s v="Munger"/>
    <s v="10-16 Jul"/>
    <n v="1009"/>
    <s v="Halsi"/>
    <x v="321"/>
    <s v="KHARAGWADA "/>
    <s v="MPG"/>
    <s v="Direct"/>
    <n v="214.30000000000004"/>
    <n v="10357.869999999999"/>
    <n v="214.6"/>
    <n v="10370.89"/>
    <n v="0"/>
    <n v="0"/>
    <n v="214.6"/>
    <n v="10370.89"/>
    <n v="10357.869999999999"/>
    <n v="0"/>
    <n v="0"/>
    <n v="13.020000000000437"/>
    <n v="0"/>
    <n v="500"/>
    <n v="0"/>
    <n v="9858"/>
    <n v="0"/>
    <n v="0"/>
    <n v="0"/>
    <n v="0"/>
    <n v="469.51166206252896"/>
    <n v="30.614285714285721"/>
    <n v="-1.2570151971399949E-3"/>
    <n v="1"/>
    <m/>
    <s v="Halsi"/>
    <m/>
    <n v="500"/>
  </r>
  <r>
    <s v="Munger"/>
    <s v="10-16 Jul"/>
    <n v="1009"/>
    <s v="Halsi"/>
    <x v="322"/>
    <s v="UFFAPUR"/>
    <s v="MPG"/>
    <s v="Direct"/>
    <n v="263.20000000000005"/>
    <n v="12031.519999999999"/>
    <n v="274.19000000000005"/>
    <n v="12626.68"/>
    <n v="0"/>
    <n v="0"/>
    <n v="274.19000000000005"/>
    <n v="12626.68"/>
    <n v="12031.519999999999"/>
    <n v="0"/>
    <n v="0"/>
    <n v="595.16000000000167"/>
    <n v="0"/>
    <n v="500"/>
    <n v="0"/>
    <n v="11532"/>
    <n v="0"/>
    <n v="0"/>
    <n v="0"/>
    <n v="0"/>
    <n v="399.3440680851063"/>
    <n v="37.600000000000009"/>
    <n v="-4.9466734045241309E-2"/>
    <n v="3"/>
    <m/>
    <s v="Halsi"/>
    <m/>
    <n v="500"/>
  </r>
  <r>
    <s v="Munger"/>
    <s v="10-16 Jul"/>
    <n v="1009"/>
    <s v="Halsi"/>
    <x v="323"/>
    <s v="BIHRAURA"/>
    <s v="MPG"/>
    <s v="Direct"/>
    <n v="195.1"/>
    <n v="10760.570000000002"/>
    <n v="204"/>
    <n v="11372.77"/>
    <n v="0"/>
    <n v="0"/>
    <n v="204"/>
    <n v="11372.77"/>
    <n v="10760.570000000002"/>
    <n v="0"/>
    <n v="0"/>
    <n v="612.19999999999891"/>
    <n v="0"/>
    <n v="500"/>
    <n v="0"/>
    <n v="10261"/>
    <n v="0"/>
    <n v="0"/>
    <n v="0"/>
    <n v="0"/>
    <n v="556.94636524859061"/>
    <n v="27.87142857142857"/>
    <n v="-5.689289693761565E-2"/>
    <n v="1"/>
    <m/>
    <s v="Halsi"/>
    <m/>
    <n v="500"/>
  </r>
  <r>
    <s v="Munger"/>
    <s v="10-16 Jul"/>
    <n v="1009"/>
    <s v="Halsi"/>
    <x v="324"/>
    <s v="SHIJHORI"/>
    <s v="MPG"/>
    <s v="Direct"/>
    <n v="450.9"/>
    <n v="21932.789999999997"/>
    <n v="450.90000000000009"/>
    <n v="21936.070000000003"/>
    <n v="0"/>
    <n v="0"/>
    <n v="450.90000000000009"/>
    <n v="21936.070000000003"/>
    <n v="21932.789999999997"/>
    <n v="0"/>
    <n v="0"/>
    <n v="3.2800000000061118"/>
    <n v="0"/>
    <n v="0"/>
    <n v="0"/>
    <n v="21933"/>
    <n v="0"/>
    <n v="0"/>
    <n v="0"/>
    <n v="0"/>
    <n v="242.33568369926812"/>
    <n v="64.414285714285711"/>
    <n v="-1.4954777755160707E-4"/>
    <n v="1"/>
    <m/>
    <s v="Halsi"/>
    <m/>
    <n v="0"/>
  </r>
  <r>
    <s v="Munger"/>
    <s v="10-16 Jul"/>
    <n v="1009"/>
    <s v="Halsi"/>
    <x v="325"/>
    <s v="RAM PRAVESH YADAV"/>
    <s v="MPG"/>
    <s v="Direct"/>
    <n v="711.79999999999984"/>
    <n v="30107.22"/>
    <n v="714.9"/>
    <n v="32216.01"/>
    <n v="0"/>
    <n v="0"/>
    <n v="714.9"/>
    <n v="32216.01"/>
    <n v="30107.22"/>
    <n v="0"/>
    <n v="0"/>
    <n v="2108.7899999999972"/>
    <n v="0"/>
    <n v="0"/>
    <n v="0"/>
    <n v="30107"/>
    <n v="0"/>
    <n v="0"/>
    <n v="0"/>
    <n v="0"/>
    <n v="0"/>
    <n v="0"/>
    <n v="-7.0042667506332271E-2"/>
    <n v="2"/>
    <m/>
    <s v="Halsi"/>
    <m/>
    <n v="0"/>
  </r>
  <r>
    <s v="Munger"/>
    <s v="10-16 Jul"/>
    <n v="1009"/>
    <s v="Halsi"/>
    <x v="326"/>
    <s v="MAHMADPUR VL"/>
    <s v="vlc"/>
    <s v="Indirect"/>
    <n v="918.4"/>
    <n v="41669.94999999999"/>
    <n v="0"/>
    <n v="0"/>
    <n v="0"/>
    <n v="0"/>
    <n v="0"/>
    <n v="0"/>
    <n v="41669.94999999999"/>
    <n v="0"/>
    <n v="0"/>
    <n v="0"/>
    <n v="0"/>
    <n v="0"/>
    <n v="0"/>
    <n v="0"/>
    <n v="0"/>
    <n v="41669.94999999999"/>
    <n v="0"/>
    <n v="0"/>
    <n v="0"/>
    <n v="0"/>
    <n v="0"/>
    <n v="0"/>
    <m/>
    <s v="Halsi"/>
    <m/>
    <n v="0"/>
  </r>
  <r>
    <s v="Munger"/>
    <s v="10-16 Jul"/>
    <n v="1009"/>
    <s v="Halsi"/>
    <x v="327"/>
    <s v="BOUDHNAGAR"/>
    <s v="MPG"/>
    <s v="Direct"/>
    <n v="394.90000000000003"/>
    <n v="15577.480000000005"/>
    <n v="393.29"/>
    <n v="15377.18"/>
    <n v="0"/>
    <n v="0"/>
    <n v="393.29"/>
    <n v="15377.18"/>
    <n v="15377.18"/>
    <n v="0"/>
    <n v="0"/>
    <n v="0"/>
    <n v="0"/>
    <n v="0"/>
    <n v="0"/>
    <n v="15377"/>
    <n v="0"/>
    <n v="0"/>
    <n v="200"/>
    <n v="0"/>
    <n v="240.7034260825526"/>
    <n v="56.414285714285718"/>
    <n v="1.2858305707983875E-2"/>
    <n v="1"/>
    <m/>
    <s v="Halsi"/>
    <m/>
    <n v="0"/>
  </r>
  <r>
    <s v="Munger"/>
    <s v="10-16 Jul"/>
    <n v="1009"/>
    <s v="Halsi"/>
    <x v="328"/>
    <s v="MOHADDINGAR"/>
    <s v="MPG"/>
    <s v="Direct"/>
    <n v="380.30000000000007"/>
    <n v="16097.48"/>
    <n v="433.9"/>
    <n v="18378.960000000003"/>
    <n v="0"/>
    <n v="0"/>
    <n v="433.9"/>
    <n v="18378.960000000003"/>
    <n v="16097.48"/>
    <n v="0"/>
    <n v="0"/>
    <n v="2281.4800000000032"/>
    <n v="0"/>
    <n v="0"/>
    <n v="0"/>
    <n v="16097"/>
    <n v="0"/>
    <n v="0"/>
    <n v="0"/>
    <n v="0"/>
    <n v="270.64761272679453"/>
    <n v="54.328571428571436"/>
    <n v="-0.14172901597020174"/>
    <n v="3"/>
    <m/>
    <s v="Halsi"/>
    <m/>
    <n v="0"/>
  </r>
  <r>
    <s v="Munger"/>
    <s v="10-16 Jul"/>
    <n v="1009"/>
    <s v="Halsi"/>
    <x v="329"/>
    <s v="PACHAUTA"/>
    <s v="MPG"/>
    <s v="Direct"/>
    <n v="533.29999999999995"/>
    <n v="21343.35"/>
    <n v="574.80000000000018"/>
    <n v="25379.540000000005"/>
    <n v="0"/>
    <n v="0"/>
    <n v="574.80000000000018"/>
    <n v="25379.540000000005"/>
    <n v="21343.35"/>
    <n v="0"/>
    <n v="0"/>
    <n v="4036.190000000006"/>
    <n v="0"/>
    <n v="0"/>
    <n v="0"/>
    <n v="21343"/>
    <n v="0"/>
    <n v="0"/>
    <n v="0"/>
    <n v="0"/>
    <n v="133.43095612225767"/>
    <n v="76.185714285714283"/>
    <n v="-0.18910761431546624"/>
    <n v="1"/>
    <m/>
    <s v="Halsi"/>
    <m/>
    <n v="0"/>
  </r>
  <r>
    <s v="Munger"/>
    <s v="10-16 Jul"/>
    <n v="1009"/>
    <s v="Halsi"/>
    <x v="330"/>
    <s v="Gomukh Champa"/>
    <s v="vlc"/>
    <s v="Indirect"/>
    <n v="8000"/>
    <n v="328200"/>
    <n v="0"/>
    <n v="0"/>
    <n v="0"/>
    <n v="0"/>
    <n v="0"/>
    <n v="0"/>
    <n v="328200"/>
    <n v="0"/>
    <n v="0"/>
    <n v="0"/>
    <n v="0"/>
    <n v="0"/>
    <n v="0"/>
    <n v="0"/>
    <n v="0"/>
    <n v="328200"/>
    <n v="0"/>
    <n v="0"/>
    <n v="0"/>
    <n v="0"/>
    <n v="0"/>
    <n v="0"/>
    <m/>
    <s v="Halsi"/>
    <m/>
    <n v="0"/>
  </r>
  <r>
    <s v="Munger"/>
    <s v="10-16 Jul"/>
    <n v="1009"/>
    <s v="Halsi"/>
    <x v="331"/>
    <s v="GOMUKH DAKRA"/>
    <s v="vlc"/>
    <s v="Indirect"/>
    <n v="8000"/>
    <n v="327085"/>
    <n v="0"/>
    <n v="0"/>
    <n v="0"/>
    <n v="0"/>
    <n v="0"/>
    <n v="0"/>
    <n v="327085"/>
    <n v="0"/>
    <n v="0"/>
    <n v="0"/>
    <n v="0"/>
    <n v="0"/>
    <n v="0"/>
    <n v="0"/>
    <n v="0"/>
    <n v="327085"/>
    <n v="0"/>
    <n v="0"/>
    <n v="0"/>
    <n v="0"/>
    <n v="0"/>
    <n v="0"/>
    <m/>
    <s v="Halsi"/>
    <m/>
    <n v="0"/>
  </r>
  <r>
    <s v="Munger"/>
    <s v="10-16 Jul"/>
    <n v="1009"/>
    <s v="Halsi"/>
    <x v="332"/>
    <s v="TIYAY"/>
    <s v="MPG"/>
    <s v="Direct"/>
    <n v="299.7"/>
    <n v="10654.58"/>
    <n v="329.90000000000003"/>
    <n v="11810.979999999998"/>
    <n v="0"/>
    <n v="0"/>
    <n v="329.90000000000003"/>
    <n v="11810.979999999998"/>
    <n v="10654.58"/>
    <n v="0"/>
    <n v="0"/>
    <n v="1156.3999999999978"/>
    <n v="0"/>
    <n v="0"/>
    <n v="0"/>
    <n v="10655"/>
    <n v="0"/>
    <n v="0"/>
    <n v="0"/>
    <n v="0"/>
    <n v="284.61984477811149"/>
    <n v="42.81428571428571"/>
    <n v="-0.10853548427061394"/>
    <n v="1"/>
    <m/>
    <s v="Halsi"/>
    <m/>
    <n v="0"/>
  </r>
  <r>
    <s v="Munger"/>
    <s v="10-16 Jul"/>
    <n v="1009"/>
    <s v="Halsi"/>
    <x v="333"/>
    <s v="BILLO 2"/>
    <s v="MPG"/>
    <s v="Direct"/>
    <n v="288.10000000000002"/>
    <n v="11235.06"/>
    <n v="288.40000000000003"/>
    <n v="11281.460000000003"/>
    <n v="0"/>
    <n v="0"/>
    <n v="288.40000000000003"/>
    <n v="11281.460000000003"/>
    <n v="11235.06"/>
    <n v="0"/>
    <n v="0"/>
    <n v="46.400000000003274"/>
    <n v="0"/>
    <n v="0"/>
    <n v="0"/>
    <n v="11235"/>
    <n v="0"/>
    <n v="0"/>
    <n v="0"/>
    <n v="0"/>
    <n v="321.25798083998603"/>
    <n v="41.157142857142858"/>
    <n v="-4.1299289901436465E-3"/>
    <n v="1"/>
    <m/>
    <s v="Halsi"/>
    <m/>
    <n v="0"/>
  </r>
  <r>
    <s v="Munger"/>
    <s v="10-16 Jul"/>
    <n v="1009"/>
    <s v="Halsi"/>
    <x v="334"/>
    <s v="NAWADIH 2"/>
    <s v="MPG"/>
    <s v="Direct"/>
    <n v="565.1"/>
    <n v="29059.620000000006"/>
    <n v="470.79999999999995"/>
    <n v="24634.93"/>
    <n v="94.9"/>
    <n v="4451.6500000000005"/>
    <n v="565.69999999999993"/>
    <n v="29086.58"/>
    <n v="29059.620000000006"/>
    <n v="0"/>
    <n v="0"/>
    <n v="26.959999999995489"/>
    <n v="0"/>
    <n v="0"/>
    <n v="0"/>
    <n v="24608"/>
    <n v="4452"/>
    <n v="0"/>
    <n v="0"/>
    <n v="0"/>
    <n v="138.74155859139978"/>
    <n v="80.728571428571428"/>
    <n v="-9.2774785079761826E-4"/>
    <n v="3"/>
    <m/>
    <s v="Halsi"/>
    <m/>
    <n v="0"/>
  </r>
  <r>
    <s v="Munger"/>
    <s v="10-16 Jul"/>
    <n v="1010"/>
    <s v="Parbatta"/>
    <x v="335"/>
    <s v="Vishan Pur"/>
    <s v="MPG"/>
    <s v="Direct"/>
    <n v="876.60000000000014"/>
    <n v="35774.82"/>
    <n v="891.92"/>
    <n v="36941.11"/>
    <n v="3.0300000000000002"/>
    <n v="130.26"/>
    <n v="894.94999999999993"/>
    <n v="37071.370000000003"/>
    <n v="35774.82"/>
    <n v="0"/>
    <n v="130.26"/>
    <n v="1296.5500000000029"/>
    <n v="0"/>
    <n v="0"/>
    <n v="0"/>
    <n v="35645"/>
    <n v="0"/>
    <n v="0"/>
    <n v="0"/>
    <n v="0"/>
    <n v="0"/>
    <n v="0"/>
    <n v="-3.6241971308311347E-2"/>
    <n v="10"/>
    <m/>
    <s v="Parbatta"/>
    <m/>
    <n v="0"/>
  </r>
  <r>
    <s v="Munger"/>
    <s v="10-16 Jul"/>
    <n v="1010"/>
    <s v="Parbatta"/>
    <x v="336"/>
    <s v="Gomukh Madhawpur"/>
    <s v="MPG"/>
    <s v="Direct"/>
    <n v="1817.6999999999998"/>
    <n v="77463.86"/>
    <n v="1836.6"/>
    <n v="82800.100000000006"/>
    <n v="6.9"/>
    <n v="339.46999999999997"/>
    <n v="1843.5"/>
    <n v="83139.570000000007"/>
    <n v="77463.86"/>
    <n v="0"/>
    <n v="339.46999999999997"/>
    <n v="5675.7100000000064"/>
    <n v="13500"/>
    <n v="0"/>
    <n v="0"/>
    <n v="63624"/>
    <n v="0"/>
    <n v="0"/>
    <n v="0"/>
    <n v="0"/>
    <n v="0"/>
    <n v="0"/>
    <n v="-7.3269134793954319E-2"/>
    <n v="5"/>
    <m/>
    <s v="Parbatta"/>
    <m/>
    <n v="0"/>
  </r>
  <r>
    <s v="Munger"/>
    <s v="10-16 Jul"/>
    <n v="1010"/>
    <s v="Parbatta"/>
    <x v="337"/>
    <s v="Gomukh Muradpur"/>
    <s v="vlc"/>
    <s v="Indirect"/>
    <n v="104.60000000000001"/>
    <n v="4106.37"/>
    <n v="0"/>
    <n v="0"/>
    <n v="0"/>
    <n v="0"/>
    <n v="0"/>
    <n v="0"/>
    <n v="4106.37"/>
    <n v="0"/>
    <n v="0"/>
    <n v="0"/>
    <n v="0"/>
    <n v="0"/>
    <n v="0"/>
    <n v="0"/>
    <n v="0"/>
    <n v="4106.37"/>
    <n v="0"/>
    <n v="0"/>
    <n v="467.48235143403434"/>
    <n v="14.942857142857145"/>
    <n v="0"/>
    <n v="0"/>
    <m/>
    <s v="Parbatta"/>
    <m/>
    <n v="0"/>
  </r>
  <r>
    <s v="Munger"/>
    <s v="10-16 Jul"/>
    <n v="1010"/>
    <s v="Parbatta"/>
    <x v="338"/>
    <s v="Gomukh Kanhaiyachak Pachhim"/>
    <s v="MPG"/>
    <s v="Direct"/>
    <n v="1418.6000000000001"/>
    <n v="56654.979999999996"/>
    <n v="1455.45"/>
    <n v="62721.57"/>
    <n v="0"/>
    <n v="0"/>
    <n v="1455.45"/>
    <n v="62721.57"/>
    <n v="56654.979999999996"/>
    <n v="0"/>
    <n v="0"/>
    <n v="6066.5900000000038"/>
    <n v="0"/>
    <n v="0"/>
    <n v="0"/>
    <n v="56655"/>
    <n v="0"/>
    <n v="0"/>
    <n v="0"/>
    <n v="0"/>
    <n v="0"/>
    <n v="0"/>
    <n v="-0.10707955417158393"/>
    <n v="3"/>
    <m/>
    <s v="Parbatta"/>
    <m/>
    <n v="0"/>
  </r>
  <r>
    <s v="Munger"/>
    <s v="10-16 Jul"/>
    <n v="1010"/>
    <s v="Parbatta"/>
    <x v="339"/>
    <s v="Gomukh Srirampur Thuthi"/>
    <s v="MPG"/>
    <s v="Direct"/>
    <n v="399.6"/>
    <n v="16723.649999999994"/>
    <n v="411.01000000000005"/>
    <n v="17010.5"/>
    <n v="0"/>
    <n v="0"/>
    <n v="411.01000000000005"/>
    <n v="17010.5"/>
    <n v="16723.649999999994"/>
    <n v="0"/>
    <n v="0"/>
    <n v="286.85000000000582"/>
    <n v="0"/>
    <n v="0"/>
    <n v="0"/>
    <n v="16724"/>
    <n v="0"/>
    <n v="0"/>
    <n v="0"/>
    <s v="Release3"/>
    <n v="251.44066366366351"/>
    <n v="57.085714285714289"/>
    <n v="-1.7152356094513214E-2"/>
    <n v="4"/>
    <m/>
    <s v="Parbatta"/>
    <m/>
    <n v="0"/>
  </r>
  <r>
    <s v="Munger"/>
    <s v="10-16 Jul"/>
    <n v="1010"/>
    <s v="Parbatta"/>
    <x v="340"/>
    <s v="Gomukh Dumariya Bujurg Madhay"/>
    <s v="MPG"/>
    <s v="Direct"/>
    <n v="271.70000000000005"/>
    <n v="11689.539999999999"/>
    <n v="66.2"/>
    <n v="2806.88"/>
    <n v="210"/>
    <n v="9078.2999999999993"/>
    <n v="276.2"/>
    <n v="11885.18"/>
    <n v="11689.539999999999"/>
    <n v="0"/>
    <n v="9078.2999999999993"/>
    <n v="195.64000000000124"/>
    <n v="0"/>
    <n v="0"/>
    <n v="0"/>
    <n v="2611"/>
    <n v="0"/>
    <n v="0"/>
    <n v="0"/>
    <s v="Release3"/>
    <n v="368.54103658446803"/>
    <n v="38.814285714285724"/>
    <n v="-1.6736330086556121E-2"/>
    <n v="3"/>
    <m/>
    <s v="Parbatta"/>
    <m/>
    <n v="0"/>
  </r>
  <r>
    <s v="Munger"/>
    <s v="10-16 Jul"/>
    <n v="1010"/>
    <s v="Parbatta"/>
    <x v="341"/>
    <s v="Gomukh Bandahera                                                                                    "/>
    <s v="MPG"/>
    <s v="Direct"/>
    <n v="533.59999999999991"/>
    <n v="22506.18"/>
    <n v="532.6"/>
    <n v="22498.53"/>
    <n v="1.3"/>
    <n v="55.730000000000004"/>
    <n v="533.9"/>
    <n v="22554.26"/>
    <n v="22506.18"/>
    <n v="0"/>
    <n v="55.730000000000004"/>
    <n v="48.079999999998108"/>
    <n v="0"/>
    <n v="0"/>
    <n v="0"/>
    <n v="22450"/>
    <n v="0"/>
    <n v="0"/>
    <n v="0"/>
    <n v="0"/>
    <n v="140.36837901049486"/>
    <n v="76.228571428571414"/>
    <n v="-2.1363021179070865E-3"/>
    <n v="4"/>
    <m/>
    <s v="Parbatta"/>
    <m/>
    <n v="0"/>
  </r>
  <r>
    <s v="Munger"/>
    <s v="10-16 Jul"/>
    <n v="1010"/>
    <s v="Parbatta"/>
    <x v="342"/>
    <s v="Gomukh Badi Lagar-1 Kiran"/>
    <s v="vlc"/>
    <s v="Indirect"/>
    <n v="899.7"/>
    <n v="39901.170000000006"/>
    <n v="0"/>
    <n v="0"/>
    <n v="0"/>
    <n v="0"/>
    <n v="0"/>
    <n v="0"/>
    <n v="39901.170000000006"/>
    <n v="0"/>
    <n v="0"/>
    <n v="0"/>
    <n v="0"/>
    <n v="0"/>
    <n v="0"/>
    <n v="0"/>
    <n v="0"/>
    <n v="39901.170000000006"/>
    <n v="0"/>
    <n v="0"/>
    <n v="0"/>
    <n v="0"/>
    <n v="0"/>
    <n v="0"/>
    <m/>
    <s v="Parbatta"/>
    <m/>
    <n v="0"/>
  </r>
  <r>
    <s v="Munger"/>
    <s v="10-16 Jul"/>
    <n v="1010"/>
    <s v="Parbatta"/>
    <x v="343"/>
    <s v="Gomukh Muradpur Deepak"/>
    <s v="vlc"/>
    <s v="Indirect"/>
    <n v="406.9"/>
    <n v="14124.920000000002"/>
    <n v="0"/>
    <n v="0"/>
    <n v="0"/>
    <n v="0"/>
    <n v="0"/>
    <n v="0"/>
    <n v="14124.920000000002"/>
    <n v="0"/>
    <n v="0"/>
    <n v="0"/>
    <n v="0"/>
    <n v="0"/>
    <n v="0"/>
    <n v="0"/>
    <n v="0"/>
    <n v="14124.920000000002"/>
    <n v="0"/>
    <n v="0"/>
    <n v="203.49049161956259"/>
    <n v="58.128571428571426"/>
    <n v="0"/>
    <n v="0"/>
    <m/>
    <s v="Parbatta"/>
    <m/>
    <n v="0"/>
  </r>
  <r>
    <s v="Munger"/>
    <s v="10-16 Jul"/>
    <n v="1007"/>
    <s v="Araria"/>
    <x v="344"/>
    <s v="Gomukh Basudevpur"/>
    <s v="vlc"/>
    <s v="Indirect"/>
    <n v="126.10000000000001"/>
    <n v="4912.0200000000004"/>
    <n v="0"/>
    <n v="0"/>
    <n v="0"/>
    <n v="0"/>
    <n v="0"/>
    <n v="0"/>
    <n v="4912.0200000000004"/>
    <n v="0"/>
    <n v="0"/>
    <n v="0"/>
    <n v="0"/>
    <n v="0"/>
    <n v="0"/>
    <n v="0"/>
    <n v="0"/>
    <n v="4912.0200000000004"/>
    <n v="0"/>
    <n v="0"/>
    <n v="447.10678477398892"/>
    <n v="18.014285714285716"/>
    <n v="0"/>
    <n v="0"/>
    <m/>
    <s v="Araria"/>
    <m/>
    <n v="0"/>
  </r>
  <r>
    <s v="Munger"/>
    <s v="10-16 Jul"/>
    <n v="1007"/>
    <s v="Araria"/>
    <x v="345"/>
    <s v="Gomukh Fudkichak"/>
    <s v="MPG"/>
    <s v="Direct"/>
    <n v="518.29999999999995"/>
    <n v="24712.57"/>
    <n v="545"/>
    <n v="28973.620000000003"/>
    <n v="0"/>
    <n v="0"/>
    <n v="545"/>
    <n v="28973.620000000003"/>
    <n v="24712.57"/>
    <n v="0"/>
    <n v="0"/>
    <n v="4261.0500000000029"/>
    <n v="0"/>
    <n v="500"/>
    <n v="0"/>
    <n v="24213"/>
    <n v="0"/>
    <n v="0"/>
    <n v="0"/>
    <n v="0"/>
    <n v="173.26930229596772"/>
    <n v="74.04285714285713"/>
    <n v="-0.17242439778622795"/>
    <n v="2"/>
    <m/>
    <s v="Araria"/>
    <m/>
    <n v="500"/>
  </r>
  <r>
    <s v="Munger"/>
    <s v="10-16 Jul"/>
    <n v="1010"/>
    <s v="Parbatta"/>
    <x v="346"/>
    <s v="Gomukh Tehay"/>
    <s v="MPG"/>
    <s v="Direct"/>
    <n v="206.3"/>
    <n v="9829.61"/>
    <n v="333.4"/>
    <n v="16396.740000000002"/>
    <n v="0"/>
    <n v="0"/>
    <n v="333.4"/>
    <n v="16396.740000000002"/>
    <n v="9829.61"/>
    <n v="0"/>
    <n v="0"/>
    <n v="6567.130000000001"/>
    <n v="0"/>
    <n v="500"/>
    <n v="0"/>
    <n v="9330"/>
    <n v="0"/>
    <n v="0"/>
    <n v="0"/>
    <n v="0"/>
    <n v="470.46810053320405"/>
    <n v="29.471428571428572"/>
    <n v="-0.66809669966560226"/>
    <n v="2"/>
    <m/>
    <s v="Parbatta"/>
    <m/>
    <n v="500"/>
  </r>
  <r>
    <s v="Munger"/>
    <s v="10-16 Jul"/>
    <n v="1007"/>
    <s v="Araria"/>
    <x v="347"/>
    <s v="Gomukh Buddhnagar"/>
    <s v="vlc"/>
    <s v="Indirect"/>
    <n v="990.8"/>
    <n v="38659.29"/>
    <n v="0"/>
    <n v="0"/>
    <n v="0"/>
    <n v="0"/>
    <n v="0"/>
    <n v="0"/>
    <n v="38659.29"/>
    <n v="0"/>
    <n v="0"/>
    <n v="0"/>
    <n v="0"/>
    <n v="0"/>
    <n v="0"/>
    <n v="0"/>
    <n v="0"/>
    <n v="38659.29"/>
    <n v="0"/>
    <n v="0"/>
    <n v="0"/>
    <n v="0"/>
    <n v="0"/>
    <n v="0"/>
    <m/>
    <s v="Araria"/>
    <m/>
    <n v="0"/>
  </r>
  <r>
    <s v="Munger"/>
    <s v="10-16 Jul"/>
    <n v="1010"/>
    <s v="Parbatta"/>
    <x v="348"/>
    <s v="Gomukh Krochaka Dudhela"/>
    <s v="MPG"/>
    <s v="Direct"/>
    <n v="1711.8999999999996"/>
    <n v="64158.11"/>
    <n v="1715.43"/>
    <n v="65783.760000000009"/>
    <n v="4.4400000000000004"/>
    <n v="171.11"/>
    <n v="1719.8700000000001"/>
    <n v="65954.87000000001"/>
    <n v="64158.11"/>
    <n v="0"/>
    <n v="171.11"/>
    <n v="1796.7600000000093"/>
    <n v="0"/>
    <n v="0"/>
    <n v="0"/>
    <n v="63987"/>
    <n v="0"/>
    <n v="0"/>
    <n v="0"/>
    <n v="0"/>
    <n v="0"/>
    <n v="0"/>
    <n v="-2.8005189055600441E-2"/>
    <n v="4"/>
    <m/>
    <s v="Parbatta"/>
    <m/>
    <n v="0"/>
  </r>
  <r>
    <s v="Munger"/>
    <s v="10-16 Jul"/>
    <n v="1007"/>
    <s v="Araria"/>
    <x v="349"/>
    <s v="Gomukh Govind Pur"/>
    <s v="MPG"/>
    <s v="Direct"/>
    <n v="971.30000000000007"/>
    <n v="37439.569999999992"/>
    <n v="971.3"/>
    <n v="37395.050000000003"/>
    <n v="0"/>
    <n v="0"/>
    <n v="971.3"/>
    <n v="37395.050000000003"/>
    <n v="37395.050000000003"/>
    <n v="0"/>
    <n v="0"/>
    <n v="0"/>
    <n v="0"/>
    <n v="0"/>
    <n v="0"/>
    <n v="37395"/>
    <n v="0"/>
    <n v="0"/>
    <n v="45"/>
    <n v="0"/>
    <n v="0"/>
    <n v="0"/>
    <n v="1.1891162211529014E-3"/>
    <n v="1"/>
    <m/>
    <s v="Araria"/>
    <m/>
    <n v="0"/>
  </r>
  <r>
    <s v="Munger"/>
    <s v="10-16 Jul"/>
    <n v="1007"/>
    <s v="Araria"/>
    <x v="350"/>
    <s v="Gomukh Sondiha"/>
    <s v="MPG"/>
    <s v="Direct"/>
    <n v="1826.7"/>
    <n v="71184.42"/>
    <n v="2063.6999999999998"/>
    <n v="81769.179999999993"/>
    <n v="0"/>
    <n v="0"/>
    <n v="2063.6999999999998"/>
    <n v="81769.179999999993"/>
    <n v="71184.42"/>
    <n v="0"/>
    <n v="0"/>
    <n v="10584.759999999995"/>
    <n v="0"/>
    <n v="0"/>
    <n v="0"/>
    <n v="71184"/>
    <n v="0"/>
    <n v="0"/>
    <n v="0"/>
    <n v="0"/>
    <n v="0"/>
    <n v="0"/>
    <n v="-0.14869489700133814"/>
    <n v="3"/>
    <m/>
    <s v="Araria"/>
    <m/>
    <n v="0"/>
  </r>
  <r>
    <s v="Munger"/>
    <s v="10-16 Jul"/>
    <n v="1010"/>
    <s v="Parbatta"/>
    <x v="351"/>
    <s v="Gomukh Thebhay B"/>
    <s v="MPG"/>
    <s v="Direct"/>
    <n v="340.40000000000003"/>
    <n v="15276.92"/>
    <n v="499.84"/>
    <n v="21429.000000000004"/>
    <n v="3.0700000000000003"/>
    <n v="130.86999999999998"/>
    <n v="502.90999999999997"/>
    <n v="21559.870000000003"/>
    <n v="15276.92"/>
    <n v="0"/>
    <n v="130.86999999999998"/>
    <n v="6282.9500000000025"/>
    <n v="0"/>
    <n v="0"/>
    <n v="0"/>
    <n v="15146"/>
    <n v="0"/>
    <n v="0"/>
    <n v="0"/>
    <n v="0"/>
    <n v="322.77205828437121"/>
    <n v="48.628571428571433"/>
    <n v="-0.41127072734556458"/>
    <n v="5"/>
    <m/>
    <s v="Parbatta"/>
    <m/>
    <n v="0"/>
  </r>
  <r>
    <s v="Munger"/>
    <s v="10-16 Jul"/>
    <n v="1010"/>
    <s v="Parbatta"/>
    <x v="977"/>
    <s v="Gomukh Rahempur"/>
    <s v="vlc"/>
    <s v="Indirect"/>
    <n v="1042.5"/>
    <n v="50229"/>
    <n v="0"/>
    <n v="0"/>
    <n v="0"/>
    <n v="0"/>
    <n v="0"/>
    <n v="0"/>
    <n v="50229"/>
    <n v="0"/>
    <n v="0"/>
    <n v="0"/>
    <n v="0"/>
    <n v="0"/>
    <n v="0"/>
    <n v="0"/>
    <n v="0"/>
    <n v="50229"/>
    <n v="0"/>
    <n v="0"/>
    <n v="0"/>
    <n v="0"/>
    <n v="0"/>
    <n v="0"/>
    <m/>
    <s v="Parbatta"/>
    <m/>
    <n v="0"/>
  </r>
  <r>
    <s v="Munger"/>
    <s v="10-16 Jul"/>
    <n v="1007"/>
    <s v="Araria"/>
    <x v="352"/>
    <s v="Gomukh Baisa"/>
    <s v="MPG"/>
    <s v="Direct"/>
    <n v="217.4"/>
    <n v="8483.19"/>
    <n v="216.70000000000002"/>
    <n v="8440.2100000000009"/>
    <n v="0.30000000000000004"/>
    <n v="11.59"/>
    <n v="217.00000000000003"/>
    <n v="8451.8000000000011"/>
    <n v="8451.8000000000011"/>
    <n v="0"/>
    <n v="11.59"/>
    <n v="0"/>
    <n v="2024"/>
    <n v="0"/>
    <n v="0"/>
    <n v="6417"/>
    <n v="0"/>
    <n v="0"/>
    <n v="31"/>
    <n v="0"/>
    <n v="376.631784176633"/>
    <n v="31.057142857142857"/>
    <n v="3.7002589827646692E-3"/>
    <n v="6"/>
    <m/>
    <s v="Araria"/>
    <m/>
    <n v="0"/>
  </r>
  <r>
    <s v="Munger"/>
    <s v="10-16 Jul"/>
    <n v="1010"/>
    <s v="Parbatta"/>
    <x v="353"/>
    <s v="Gomukh Khutha VLC"/>
    <s v="vlc"/>
    <s v="Indirect"/>
    <n v="9225.2000000000007"/>
    <n v="382501.74000000005"/>
    <n v="0"/>
    <n v="0"/>
    <n v="0"/>
    <n v="0"/>
    <n v="0"/>
    <n v="0"/>
    <n v="382501.74000000005"/>
    <n v="0"/>
    <n v="0"/>
    <n v="0"/>
    <n v="0"/>
    <n v="0"/>
    <n v="0"/>
    <n v="0"/>
    <n v="0"/>
    <n v="382501.74000000005"/>
    <n v="0"/>
    <n v="0"/>
    <n v="0"/>
    <n v="0"/>
    <n v="0"/>
    <n v="0"/>
    <m/>
    <s v="Parbatta"/>
    <m/>
    <n v="0"/>
  </r>
  <r>
    <s v="Munger"/>
    <s v="10-16 Jul"/>
    <n v="1010"/>
    <s v="Parbatta"/>
    <x v="354"/>
    <s v="Gomukh Kabela Vlc"/>
    <s v="vlc"/>
    <s v="Indirect"/>
    <n v="1206.3000000000002"/>
    <n v="47119.570000000007"/>
    <n v="0"/>
    <n v="0"/>
    <n v="0"/>
    <n v="0"/>
    <n v="0"/>
    <n v="0"/>
    <n v="47119.570000000007"/>
    <n v="0"/>
    <n v="0"/>
    <n v="0"/>
    <n v="0"/>
    <n v="0"/>
    <n v="0"/>
    <n v="0"/>
    <n v="0"/>
    <n v="47119.570000000007"/>
    <n v="0"/>
    <n v="0"/>
    <n v="0"/>
    <n v="0"/>
    <n v="0"/>
    <n v="0"/>
    <m/>
    <s v="Parbatta"/>
    <m/>
    <n v="0"/>
  </r>
  <r>
    <s v="Munger"/>
    <s v="10-16 Jul"/>
    <n v="1010"/>
    <s v="Parbatta"/>
    <x v="355"/>
    <s v="Gomukh Lagar Wad-13 Vlc"/>
    <s v="vlc"/>
    <s v="Indirect"/>
    <n v="709.59999999999991"/>
    <n v="33267.08"/>
    <n v="0"/>
    <n v="0"/>
    <n v="0"/>
    <n v="0"/>
    <n v="0"/>
    <n v="0"/>
    <n v="33267.08"/>
    <n v="0"/>
    <n v="0"/>
    <n v="0"/>
    <n v="0"/>
    <n v="0"/>
    <n v="0"/>
    <n v="0"/>
    <n v="0"/>
    <n v="33267.08"/>
    <n v="0"/>
    <n v="0"/>
    <n v="0"/>
    <n v="0"/>
    <n v="0"/>
    <n v="0"/>
    <m/>
    <s v="Parbatta"/>
    <m/>
    <n v="0"/>
  </r>
  <r>
    <s v="Munger"/>
    <s v="10-16 Jul"/>
    <n v="1010"/>
    <s v="Parbatta"/>
    <x v="356"/>
    <s v="Gomukh Manish Vlc"/>
    <s v="vlc"/>
    <s v="Indirect"/>
    <n v="2709.7"/>
    <n v="140982.76"/>
    <n v="0"/>
    <n v="0"/>
    <n v="0"/>
    <n v="0"/>
    <n v="0"/>
    <n v="0"/>
    <n v="140982.76"/>
    <n v="0"/>
    <n v="0"/>
    <n v="0"/>
    <n v="0"/>
    <n v="0"/>
    <n v="0"/>
    <n v="0"/>
    <n v="0"/>
    <n v="140982.76"/>
    <n v="0"/>
    <n v="0"/>
    <n v="0"/>
    <n v="0"/>
    <n v="0"/>
    <n v="0"/>
    <m/>
    <s v="Parbatta"/>
    <m/>
    <n v="0"/>
  </r>
  <r>
    <s v="Munger"/>
    <s v="10-16 Jul"/>
    <n v="1010"/>
    <s v="Parbatta"/>
    <x v="357"/>
    <s v="Gomukh Parbatta Vlc"/>
    <s v="vlc"/>
    <s v="Indirect"/>
    <n v="4760.3"/>
    <n v="240561.53"/>
    <n v="0"/>
    <n v="0"/>
    <n v="0"/>
    <n v="0"/>
    <n v="0"/>
    <n v="0"/>
    <n v="240561.53"/>
    <n v="0"/>
    <n v="0"/>
    <n v="0"/>
    <n v="0"/>
    <n v="0"/>
    <n v="0"/>
    <n v="0"/>
    <n v="0"/>
    <n v="240561.53"/>
    <n v="0"/>
    <n v="0"/>
    <n v="0"/>
    <n v="0"/>
    <n v="0"/>
    <n v="0"/>
    <m/>
    <s v="Parbatta"/>
    <m/>
    <n v="0"/>
  </r>
  <r>
    <s v="Munger"/>
    <s v="10-16 Jul"/>
    <n v="1055"/>
    <s v="Matihani"/>
    <x v="358"/>
    <s v="Gomukh Mahendrapur"/>
    <s v="MPG"/>
    <s v="Direct"/>
    <n v="2078.4"/>
    <n v="86264.43"/>
    <n v="1992.4"/>
    <n v="86172.989999999962"/>
    <n v="42"/>
    <n v="1823.1600000000005"/>
    <n v="2034.4"/>
    <n v="87996.149999999965"/>
    <n v="86264.43"/>
    <n v="0"/>
    <n v="1823.1600000000005"/>
    <n v="1731.7199999999721"/>
    <n v="0"/>
    <n v="0"/>
    <n v="0"/>
    <n v="84441"/>
    <n v="0"/>
    <n v="0"/>
    <n v="0"/>
    <n v="0"/>
    <n v="0"/>
    <n v="0"/>
    <n v="-2.0074554483232223E-2"/>
    <n v="16"/>
    <m/>
    <s v="Matihani"/>
    <m/>
    <n v="0"/>
  </r>
  <r>
    <s v="Munger"/>
    <s v="10-16 Jul"/>
    <n v="1055"/>
    <s v="Matihani"/>
    <x v="359"/>
    <s v="Gomukh Balahpur"/>
    <s v="vlc"/>
    <s v="Direct"/>
    <n v="606.69999999999993"/>
    <n v="23469.760000000006"/>
    <n v="654.79999999999995"/>
    <n v="25447.14"/>
    <n v="0"/>
    <n v="0"/>
    <n v="654.79999999999995"/>
    <n v="25447.14"/>
    <n v="23469.760000000006"/>
    <n v="0"/>
    <n v="0"/>
    <n v="1977.3799999999937"/>
    <n v="0"/>
    <n v="0"/>
    <n v="0"/>
    <n v="23470"/>
    <n v="0"/>
    <n v="0"/>
    <n v="0"/>
    <n v="0"/>
    <n v="72.184889006098643"/>
    <n v="86.671428571428564"/>
    <n v="-8.4252246294806307E-2"/>
    <n v="2"/>
    <m/>
    <s v="Matihani"/>
    <m/>
    <n v="0"/>
  </r>
  <r>
    <s v="Munger"/>
    <s v="10-16 Jul"/>
    <n v="1011"/>
    <s v="Sahibpur Kamal"/>
    <x v="360"/>
    <s v="Gomukh Danauli"/>
    <s v="MPG"/>
    <s v="Direct"/>
    <n v="536.20000000000005"/>
    <n v="20551.030000000002"/>
    <n v="536.5"/>
    <n v="20631.399999999998"/>
    <n v="0.99999999999999989"/>
    <n v="38.590000000000003"/>
    <n v="537.5"/>
    <n v="20669.989999999998"/>
    <n v="20551.030000000002"/>
    <n v="0"/>
    <n v="38.590000000000003"/>
    <n v="118.95999999999549"/>
    <n v="0"/>
    <n v="0"/>
    <n v="0"/>
    <n v="20512"/>
    <n v="0"/>
    <n v="0"/>
    <n v="0"/>
    <n v="0"/>
    <n v="125.55981775456917"/>
    <n v="76.600000000000009"/>
    <n v="-5.7885176558058393E-3"/>
    <n v="3"/>
    <m/>
    <s v="Sahibpur Kamal"/>
    <m/>
    <n v="0"/>
  </r>
  <r>
    <s v="Munger"/>
    <s v="10-16 Jul"/>
    <n v="1055"/>
    <s v="Matihani"/>
    <x v="361"/>
    <s v="NAYAGAW"/>
    <s v="MPG"/>
    <s v="Direct"/>
    <n v="3538.9999999999995"/>
    <n v="150551.14000000001"/>
    <n v="3511.5099999999998"/>
    <n v="149622.56999999998"/>
    <n v="29.2"/>
    <n v="1899.7300000000005"/>
    <n v="3540.7099999999996"/>
    <n v="151522.29999999999"/>
    <n v="150551.14000000001"/>
    <n v="0"/>
    <n v="1899.7300000000005"/>
    <n v="971.15999999997439"/>
    <n v="0"/>
    <n v="0"/>
    <n v="0"/>
    <n v="148651"/>
    <n v="0"/>
    <n v="0"/>
    <n v="0"/>
    <n v="0"/>
    <n v="0"/>
    <n v="0"/>
    <n v="-6.4506984138411327E-3"/>
    <n v="33"/>
    <m/>
    <s v="Matihani"/>
    <m/>
    <n v="0"/>
  </r>
  <r>
    <s v="Munger"/>
    <s v="10-16 Jul"/>
    <n v="1011"/>
    <s v="Sahibpur Kamal"/>
    <x v="362"/>
    <s v="Dandari"/>
    <s v="MPG"/>
    <s v="Direct"/>
    <n v="383.29999999999995"/>
    <n v="14482.990000000003"/>
    <n v="380.59999999999997"/>
    <n v="14524.259999999998"/>
    <n v="2.6"/>
    <n v="99.060000000000016"/>
    <n v="383.2"/>
    <n v="14623.319999999998"/>
    <n v="14482.990000000003"/>
    <n v="0"/>
    <n v="99.060000000000016"/>
    <n v="140.32999999999447"/>
    <n v="0"/>
    <n v="0"/>
    <n v="0"/>
    <n v="14384"/>
    <n v="0"/>
    <n v="0"/>
    <n v="0"/>
    <n v="0"/>
    <n v="239.33018173754252"/>
    <n v="54.757142857142853"/>
    <n v="-9.689297582888232E-3"/>
    <n v="5"/>
    <m/>
    <s v="Sahibpur Kamal"/>
    <m/>
    <n v="0"/>
  </r>
  <r>
    <s v="Munger"/>
    <s v="10-16 Jul"/>
    <n v="1011"/>
    <s v="Sahibpur Kamal"/>
    <x v="363"/>
    <s v="Rahimpur Pachkhutti"/>
    <s v="MPG"/>
    <s v="Indirect"/>
    <n v="8703"/>
    <n v="349268.81"/>
    <n v="0"/>
    <n v="0"/>
    <n v="0"/>
    <n v="0"/>
    <n v="0"/>
    <n v="0"/>
    <n v="349268.81"/>
    <n v="0"/>
    <n v="0"/>
    <n v="0"/>
    <n v="0"/>
    <n v="0"/>
    <n v="0"/>
    <n v="0"/>
    <n v="0"/>
    <n v="349268.81"/>
    <n v="0"/>
    <n v="0"/>
    <n v="0"/>
    <n v="0"/>
    <n v="0"/>
    <n v="0"/>
    <m/>
    <s v="Sahibpur Kamal"/>
    <m/>
    <n v="0"/>
  </r>
  <r>
    <s v="Munger"/>
    <s v="10-16 Jul"/>
    <n v="1011"/>
    <s v="Sahibpur Kamal"/>
    <x v="364"/>
    <s v="Gomukh Mohanpur                                                                                     "/>
    <s v="MPG"/>
    <s v="Direct"/>
    <n v="956.59999999999991"/>
    <n v="36467.879999999997"/>
    <n v="958"/>
    <n v="37047.75"/>
    <n v="1.2"/>
    <n v="46.2"/>
    <n v="959.2"/>
    <n v="37093.949999999997"/>
    <n v="36467.879999999997"/>
    <n v="0"/>
    <n v="46.2"/>
    <n v="626.06999999999971"/>
    <n v="1350"/>
    <n v="0"/>
    <n v="0"/>
    <n v="35072"/>
    <n v="0"/>
    <n v="0"/>
    <n v="0"/>
    <n v="0"/>
    <n v="0"/>
    <n v="0"/>
    <n v="-1.7167710324811854E-2"/>
    <n v="6"/>
    <m/>
    <s v="Sahibpur Kamal"/>
    <m/>
    <n v="0"/>
  </r>
  <r>
    <s v="Munger"/>
    <s v="10-16 Jul"/>
    <n v="1011"/>
    <s v="Sahibpur Kamal"/>
    <x v="365"/>
    <s v="Gomukh Raghunathpur"/>
    <s v="MPG"/>
    <s v="Direct"/>
    <n v="1233.8000000000004"/>
    <n v="55381.580000000009"/>
    <n v="1213.5999999999997"/>
    <n v="53556.210000000014"/>
    <n v="40.700000000000003"/>
    <n v="1700.0500000000002"/>
    <n v="1254.2999999999997"/>
    <n v="55256.260000000017"/>
    <n v="55256.260000000017"/>
    <n v="0"/>
    <n v="1700.0500000000002"/>
    <n v="0"/>
    <n v="0"/>
    <n v="0"/>
    <n v="0"/>
    <n v="53556"/>
    <n v="0"/>
    <n v="0"/>
    <n v="126"/>
    <n v="0"/>
    <n v="0"/>
    <n v="0"/>
    <n v="2.2628462387673377E-3"/>
    <n v="39"/>
    <m/>
    <s v="Sahibpur Kamal"/>
    <m/>
    <n v="0"/>
  </r>
  <r>
    <s v="Munger"/>
    <s v="10-16 Jul"/>
    <n v="1055"/>
    <s v="Matihani"/>
    <x v="366"/>
    <s v="Gomukh Chhitraur"/>
    <s v="MPG"/>
    <s v="Direct"/>
    <n v="662.80000000000007"/>
    <n v="28897.78"/>
    <n v="688.79"/>
    <n v="29437.940000000002"/>
    <n v="0"/>
    <n v="0"/>
    <n v="688.79"/>
    <n v="29437.940000000002"/>
    <n v="28897.78"/>
    <n v="0"/>
    <n v="0"/>
    <n v="540.16000000000349"/>
    <n v="0"/>
    <n v="0"/>
    <n v="0"/>
    <n v="28898"/>
    <n v="0"/>
    <n v="0"/>
    <n v="0"/>
    <n v="0"/>
    <n v="32.438063246831547"/>
    <n v="94.685714285714297"/>
    <n v="-1.8692093302669046E-2"/>
    <n v="7"/>
    <m/>
    <s v="Matihani"/>
    <m/>
    <n v="0"/>
  </r>
  <r>
    <s v="Munger"/>
    <s v="10-16 Jul"/>
    <n v="1055"/>
    <s v="Matihani"/>
    <x v="367"/>
    <s v="Gomukh Khorampur Chakaur"/>
    <s v="MPG"/>
    <s v="Direct"/>
    <n v="611.4"/>
    <n v="25608.06"/>
    <n v="608.6"/>
    <n v="25628.53"/>
    <n v="3.5"/>
    <n v="147.99"/>
    <n v="612.1"/>
    <n v="25776.52"/>
    <n v="25608.06"/>
    <n v="0"/>
    <n v="147.99"/>
    <n v="168.45999999999913"/>
    <n v="0"/>
    <n v="0"/>
    <n v="0"/>
    <n v="25460"/>
    <n v="0"/>
    <n v="0"/>
    <n v="0"/>
    <n v="0"/>
    <n v="74.218976643768414"/>
    <n v="87.342857142857142"/>
    <n v="-6.5783975826360572E-3"/>
    <n v="6"/>
    <m/>
    <m/>
    <m/>
    <n v="0"/>
  </r>
  <r>
    <s v="Munger"/>
    <s v="10-16 Jul"/>
    <n v="1011"/>
    <s v="Sahibpur Kamal"/>
    <x v="368"/>
    <s v="GOMUKH Mathar"/>
    <s v="MPG"/>
    <s v="Direct"/>
    <n v="125.39999999999999"/>
    <n v="5432.11"/>
    <n v="130.77000000000001"/>
    <n v="5962.51"/>
    <n v="1.48"/>
    <n v="66.279999999999987"/>
    <n v="132.25"/>
    <n v="6028.79"/>
    <n v="5432.11"/>
    <n v="0"/>
    <n v="66.279999999999987"/>
    <n v="596.68000000000029"/>
    <n v="0"/>
    <n v="0"/>
    <n v="0"/>
    <n v="5366"/>
    <n v="0"/>
    <n v="0"/>
    <n v="0"/>
    <s v="Release3"/>
    <n v="497.81346188197773"/>
    <n v="17.914285714285715"/>
    <n v="-0.10984313646078601"/>
    <n v="5"/>
    <m/>
    <s v="Sahibpur Kamal"/>
    <m/>
    <n v="0"/>
  </r>
  <r>
    <s v="Munger"/>
    <s v="10-16 Jul"/>
    <n v="1011"/>
    <s v="Sahibpur Kamal"/>
    <x v="369"/>
    <s v="Gomukh Kumar Chakki"/>
    <s v="MPG"/>
    <s v="Direct"/>
    <n v="118.2"/>
    <n v="4575.6200000000008"/>
    <n v="117.4"/>
    <n v="4453.87"/>
    <n v="0.60000000000000009"/>
    <n v="22.91"/>
    <n v="118"/>
    <n v="4476.78"/>
    <n v="4476.78"/>
    <n v="0"/>
    <n v="22.91"/>
    <n v="0"/>
    <n v="0"/>
    <n v="500"/>
    <n v="0"/>
    <n v="3954"/>
    <n v="0"/>
    <n v="0"/>
    <n v="99"/>
    <n v="0"/>
    <n v="450.43920744500849"/>
    <n v="16.885714285714286"/>
    <n v="2.1601444175871475E-2"/>
    <n v="2"/>
    <m/>
    <s v="Sahibpur Kamal"/>
    <m/>
    <n v="500"/>
  </r>
  <r>
    <s v="Munger"/>
    <s v="10-16 Jul"/>
    <n v="1055"/>
    <s v="Matihani"/>
    <x v="370"/>
    <s v="Gomukh Sonapur"/>
    <s v="vlc"/>
    <s v="Indirect"/>
    <n v="513.20000000000005"/>
    <n v="20507.04"/>
    <n v="0"/>
    <n v="0"/>
    <n v="0"/>
    <n v="0"/>
    <n v="0"/>
    <n v="0"/>
    <n v="20507.04"/>
    <n v="0"/>
    <n v="0"/>
    <n v="0"/>
    <n v="0"/>
    <n v="0"/>
    <n v="0"/>
    <n v="0"/>
    <n v="0"/>
    <n v="20507.04"/>
    <n v="0"/>
    <n v="0"/>
    <n v="149.28741512081058"/>
    <n v="73.314285714285717"/>
    <n v="0"/>
    <n v="0"/>
    <m/>
    <s v="Matihani"/>
    <m/>
    <n v="0"/>
  </r>
  <r>
    <s v="Munger"/>
    <s v="10-16 Jul"/>
    <n v="1011"/>
    <s v="Sahibpur Kamal"/>
    <x v="371"/>
    <s v="Gomukh Barkhandi 2"/>
    <s v="MPG"/>
    <s v="Indirect"/>
    <n v="1461"/>
    <n v="63438.160000000011"/>
    <n v="0"/>
    <n v="0"/>
    <n v="0"/>
    <n v="0"/>
    <n v="0"/>
    <n v="0"/>
    <n v="63438.160000000011"/>
    <n v="0"/>
    <n v="0"/>
    <n v="0"/>
    <n v="0"/>
    <n v="0"/>
    <n v="0"/>
    <n v="0"/>
    <n v="0"/>
    <n v="63438.160000000011"/>
    <n v="0"/>
    <n v="0"/>
    <n v="0"/>
    <n v="0"/>
    <n v="0"/>
    <n v="0"/>
    <m/>
    <s v="Sahibpur Kamal"/>
    <m/>
    <n v="0"/>
  </r>
  <r>
    <s v="Munger"/>
    <s v="10-16 Jul"/>
    <n v="1011"/>
    <s v="Sahibpur Kamal"/>
    <x v="372"/>
    <s v="Gomukh Kalyanpur                                                                                    "/>
    <s v="MPG"/>
    <s v="Direct"/>
    <n v="818.40000000000009"/>
    <n v="31875.93"/>
    <n v="822.10000000000014"/>
    <n v="32977.699999999997"/>
    <n v="3.9999999999999996"/>
    <n v="159.68"/>
    <n v="826.10000000000014"/>
    <n v="33137.379999999997"/>
    <n v="31875.93"/>
    <n v="0"/>
    <n v="159.68"/>
    <n v="1261.4499999999971"/>
    <n v="0"/>
    <n v="0"/>
    <n v="0"/>
    <n v="31716"/>
    <n v="0"/>
    <n v="0"/>
    <n v="0"/>
    <n v="0"/>
    <n v="0"/>
    <n v="0"/>
    <n v="-3.9573747338508936E-2"/>
    <n v="5"/>
    <m/>
    <s v="Sahibpur Kamal"/>
    <m/>
    <n v="0"/>
  </r>
  <r>
    <s v="Munger"/>
    <s v="10-16 Jul"/>
    <n v="1011"/>
    <s v="Sahibpur Kamal"/>
    <x v="373"/>
    <s v="Gomukh Fatehpur                                                                                     "/>
    <s v="MPG"/>
    <s v="Direct"/>
    <n v="1103.6000000000001"/>
    <n v="50601.41"/>
    <n v="1113"/>
    <n v="50897.49"/>
    <n v="0"/>
    <n v="0"/>
    <n v="1113"/>
    <n v="50897.49"/>
    <n v="50601.41"/>
    <n v="0"/>
    <n v="0"/>
    <n v="296.07999999999447"/>
    <n v="1350"/>
    <n v="0"/>
    <n v="0"/>
    <n v="49251"/>
    <n v="0"/>
    <n v="0"/>
    <n v="0"/>
    <n v="0"/>
    <n v="0"/>
    <n v="0"/>
    <n v="-5.8512203513695462E-3"/>
    <n v="1"/>
    <m/>
    <s v="Sahibpur Kamal"/>
    <m/>
    <n v="0"/>
  </r>
  <r>
    <s v="Munger"/>
    <s v="10-16 Jul"/>
    <n v="1011"/>
    <s v="Sahibpur Kamal"/>
    <x v="374"/>
    <s v="GOMUKH KATAHRI"/>
    <s v="MPG"/>
    <s v="Direct"/>
    <n v="349.9"/>
    <n v="15102.249999999998"/>
    <n v="348.3"/>
    <n v="14993.080000000002"/>
    <n v="1.5999999999999999"/>
    <n v="69.42"/>
    <n v="349.90000000000003"/>
    <n v="15062.500000000002"/>
    <n v="15062.500000000002"/>
    <n v="0"/>
    <n v="69.42"/>
    <n v="0"/>
    <n v="0"/>
    <n v="500"/>
    <n v="0"/>
    <n v="14493"/>
    <n v="0"/>
    <n v="0"/>
    <n v="40"/>
    <n v="0"/>
    <n v="302.21764647042011"/>
    <n v="49.98571428571428"/>
    <n v="2.6320581370323209E-3"/>
    <n v="2"/>
    <m/>
    <s v="Sahibpur Kamal"/>
    <m/>
    <n v="500"/>
  </r>
  <r>
    <s v="Munger"/>
    <s v="10-16 Jul"/>
    <n v="1011"/>
    <s v="Sahibpur Kamal"/>
    <x v="375"/>
    <s v="GOMUKH Mathar Ward 10"/>
    <s v="MPG"/>
    <s v="Direct"/>
    <n v="881.4"/>
    <n v="40375.43"/>
    <n v="715"/>
    <n v="32773.9"/>
    <n v="180"/>
    <n v="8230.35"/>
    <n v="895"/>
    <n v="41004.25"/>
    <n v="40375.43"/>
    <n v="0"/>
    <n v="0"/>
    <n v="628.81999999999971"/>
    <n v="0"/>
    <n v="0"/>
    <n v="0"/>
    <n v="32145"/>
    <n v="8230"/>
    <n v="0"/>
    <n v="0"/>
    <n v="0"/>
    <n v="0"/>
    <n v="0"/>
    <n v="-1.5574323295132701E-2"/>
    <n v="5"/>
    <m/>
    <s v="Sahibpur Kamal"/>
    <m/>
    <n v="0"/>
  </r>
  <r>
    <s v="Munger"/>
    <s v="10-16 Jul"/>
    <n v="1011"/>
    <s v="Sahibpur Kamal"/>
    <x v="376"/>
    <s v="GOMUKH Tartor 2"/>
    <s v="vlc"/>
    <s v="Direct"/>
    <n v="257.3"/>
    <n v="11458.01"/>
    <n v="257"/>
    <n v="11431.36"/>
    <n v="0"/>
    <n v="0"/>
    <n v="257"/>
    <n v="11431.36"/>
    <n v="11431.36"/>
    <n v="0"/>
    <n v="0"/>
    <n v="0"/>
    <n v="0"/>
    <n v="0"/>
    <n v="0"/>
    <n v="11431"/>
    <n v="0"/>
    <n v="0"/>
    <n v="27"/>
    <n v="0"/>
    <n v="394.28379533618346"/>
    <n v="36.75714285714286"/>
    <n v="2.3258838140305022E-3"/>
    <n v="1"/>
    <m/>
    <s v="Sahibpur Kamal"/>
    <m/>
    <n v="0"/>
  </r>
  <r>
    <s v="Munger"/>
    <s v="10-16 Jul"/>
    <n v="1011"/>
    <s v="Sahibpur Kamal"/>
    <x v="377"/>
    <s v="Gomukh Chaidha"/>
    <s v="MPG"/>
    <s v="Direct"/>
    <n v="762.49999999999989"/>
    <n v="30414.44"/>
    <n v="756.4"/>
    <n v="29771.56"/>
    <n v="3.36"/>
    <n v="138.25000000000003"/>
    <n v="759.76"/>
    <n v="29909.81"/>
    <n v="29909.81"/>
    <n v="0"/>
    <n v="138.25000000000003"/>
    <n v="0"/>
    <n v="4426"/>
    <n v="0"/>
    <n v="0"/>
    <n v="25347"/>
    <n v="0"/>
    <n v="0"/>
    <n v="503"/>
    <s v="Release1"/>
    <n v="0"/>
    <n v="0"/>
    <n v="1.6591789952404103E-2"/>
    <n v="18"/>
    <m/>
    <s v="Sahibpur Kamal"/>
    <m/>
    <n v="0"/>
  </r>
  <r>
    <s v="Munger"/>
    <s v="10-16 Jul"/>
    <n v="1011"/>
    <s v="Sahibpur Kamal"/>
    <x v="378"/>
    <s v="Gomukh Bakiya"/>
    <s v="MPG"/>
    <s v="Direct"/>
    <n v="911.69999999999993"/>
    <n v="38518.28"/>
    <n v="909.34000000000026"/>
    <n v="38899.520000000004"/>
    <n v="6.16"/>
    <n v="251.24"/>
    <n v="915.50000000000023"/>
    <n v="39150.76"/>
    <n v="38518.28"/>
    <n v="0"/>
    <n v="251.24"/>
    <n v="632.4800000000032"/>
    <n v="0"/>
    <n v="0"/>
    <n v="0"/>
    <n v="38267"/>
    <n v="0"/>
    <n v="0"/>
    <n v="0"/>
    <n v="0"/>
    <n v="0"/>
    <n v="0"/>
    <n v="-1.6420255525428529E-2"/>
    <n v="16"/>
    <m/>
    <s v="Sahibpur Kamal"/>
    <m/>
    <n v="0"/>
  </r>
  <r>
    <s v="Munger"/>
    <s v="10-16 Jul"/>
    <n v="1011"/>
    <s v="Sahibpur Kamal"/>
    <x v="379"/>
    <s v="Gomukh Sadpur"/>
    <s v="MPG"/>
    <s v="Direct"/>
    <n v="282.89999999999998"/>
    <n v="10188.460000000001"/>
    <n v="360.6"/>
    <n v="14156.36"/>
    <n v="0"/>
    <n v="0"/>
    <n v="360.6"/>
    <n v="14156.36"/>
    <n v="10188.460000000001"/>
    <n v="0"/>
    <n v="0"/>
    <n v="3967.8999999999996"/>
    <n v="0"/>
    <n v="500"/>
    <n v="0"/>
    <n v="9688"/>
    <n v="0"/>
    <n v="0"/>
    <n v="0"/>
    <n v="0"/>
    <n v="300.43171905266888"/>
    <n v="40.414285714285711"/>
    <n v="-0.38945041743305653"/>
    <n v="1"/>
    <m/>
    <s v="Sahibpur Kamal"/>
    <m/>
    <n v="500"/>
  </r>
  <r>
    <s v="Munger"/>
    <s v="10-16 Jul"/>
    <n v="1011"/>
    <s v="Sahibpur Kamal"/>
    <x v="380"/>
    <s v="GOMUKH Nista Tol"/>
    <s v="MPG"/>
    <s v="Direct"/>
    <n v="287.39999999999998"/>
    <n v="10589.32"/>
    <n v="285.45000000000005"/>
    <n v="10701.89"/>
    <n v="0"/>
    <n v="0"/>
    <n v="285.45000000000005"/>
    <n v="10701.89"/>
    <n v="10589.32"/>
    <n v="0"/>
    <n v="0"/>
    <n v="112.56999999999971"/>
    <n v="0"/>
    <n v="500"/>
    <n v="0"/>
    <n v="10089"/>
    <n v="0"/>
    <n v="0"/>
    <n v="0"/>
    <n v="0"/>
    <n v="304.04686374391099"/>
    <n v="41.057142857142857"/>
    <n v="-1.0630522073183142E-2"/>
    <n v="2"/>
    <m/>
    <s v="Sahibpur Kamal"/>
    <m/>
    <n v="500"/>
  </r>
  <r>
    <s v="Munger"/>
    <s v="10-16 Jul"/>
    <n v="1011"/>
    <s v="Sahibpur Kamal"/>
    <x v="381"/>
    <s v="GOMUKH SRINAGAR"/>
    <s v="MPG"/>
    <s v="Direct"/>
    <n v="2068.1"/>
    <n v="86624.550000000017"/>
    <n v="1470.5200000000002"/>
    <n v="67421.510000000009"/>
    <n v="628.56000000000006"/>
    <n v="27831.21"/>
    <n v="2099.0800000000004"/>
    <n v="95252.72"/>
    <n v="86624.550000000017"/>
    <n v="0"/>
    <n v="273.74"/>
    <n v="8628.1699999999837"/>
    <n v="0"/>
    <n v="0"/>
    <n v="0"/>
    <n v="58794"/>
    <n v="27557"/>
    <n v="0"/>
    <n v="0"/>
    <n v="0"/>
    <n v="0"/>
    <n v="0"/>
    <n v="-9.9604211508169241E-2"/>
    <n v="13"/>
    <m/>
    <s v="Sahibpur Kamal"/>
    <m/>
    <n v="0"/>
  </r>
  <r>
    <s v="Munger"/>
    <s v="10-16 Jul"/>
    <n v="1011"/>
    <s v="Sahibpur Kamal"/>
    <x v="382"/>
    <s v="GOMUKH THATHA"/>
    <s v="vlc"/>
    <s v="Direct"/>
    <n v="246.30000000000004"/>
    <n v="9235.18"/>
    <n v="246"/>
    <n v="9266.82"/>
    <n v="0"/>
    <n v="0"/>
    <n v="246"/>
    <n v="9266.82"/>
    <n v="9235.18"/>
    <n v="0"/>
    <n v="0"/>
    <n v="31.639999999999418"/>
    <n v="0"/>
    <n v="0"/>
    <n v="0"/>
    <n v="9235"/>
    <n v="0"/>
    <n v="0"/>
    <n v="0"/>
    <n v="0"/>
    <n v="340.23557986195692"/>
    <n v="35.18571428571429"/>
    <n v="-3.4260295955248752E-3"/>
    <n v="1"/>
    <m/>
    <s v="Sahibpur Kamal"/>
    <m/>
    <n v="0"/>
  </r>
  <r>
    <s v="Munger"/>
    <s v="10-16 Jul"/>
    <n v="1011"/>
    <s v="Sahibpur Kamal"/>
    <x v="384"/>
    <s v="GOMUKH SANHA NAYATOLA"/>
    <s v="MPG"/>
    <s v="Direct"/>
    <n v="232.50000000000003"/>
    <n v="9048.1799999999985"/>
    <n v="232"/>
    <n v="9449.36"/>
    <n v="0"/>
    <n v="0"/>
    <n v="232"/>
    <n v="9449.36"/>
    <n v="9048.1799999999985"/>
    <n v="0"/>
    <n v="0"/>
    <n v="401.18000000000211"/>
    <n v="0"/>
    <n v="0"/>
    <n v="0"/>
    <n v="9048"/>
    <n v="0"/>
    <n v="0"/>
    <n v="0"/>
    <n v="0"/>
    <n v="363.87304516129024"/>
    <n v="33.214285714285715"/>
    <n v="-4.4338198400120488E-2"/>
    <n v="1"/>
    <m/>
    <s v="Sahibpur Kamal"/>
    <m/>
    <n v="0"/>
  </r>
  <r>
    <s v="Munger"/>
    <s v="10-16 Jul"/>
    <n v="1011"/>
    <s v="Sahibpur Kamal"/>
    <x v="385"/>
    <s v="Gomukh Durgapur"/>
    <s v="MPG"/>
    <s v="Direct"/>
    <n v="469.1"/>
    <n v="19722.48"/>
    <n v="486.1"/>
    <n v="21017.08"/>
    <n v="1.8"/>
    <n v="77.28"/>
    <n v="487.90000000000003"/>
    <n v="21094.36"/>
    <n v="19722.48"/>
    <n v="0"/>
    <n v="77.28"/>
    <n v="1371.880000000001"/>
    <n v="3486.8"/>
    <n v="0"/>
    <n v="0"/>
    <n v="16158"/>
    <n v="0"/>
    <n v="0"/>
    <n v="0"/>
    <n v="0"/>
    <n v="194.15564408441693"/>
    <n v="67.01428571428572"/>
    <n v="-6.9559203507875325E-2"/>
    <n v="5"/>
    <m/>
    <s v="Sahibpur Kamal"/>
    <m/>
    <n v="0"/>
  </r>
  <r>
    <s v="Munger"/>
    <s v="10-16 Jul"/>
    <n v="1054"/>
    <s v="Alauli "/>
    <x v="386"/>
    <s v="Gomukh Koniya"/>
    <s v="MPG"/>
    <s v="Direct"/>
    <n v="474.59999999999997"/>
    <n v="18734.530000000002"/>
    <n v="476.09999999999997"/>
    <n v="19219.55"/>
    <n v="14"/>
    <n v="564.84"/>
    <n v="490.09999999999997"/>
    <n v="19784.39"/>
    <n v="18734.530000000002"/>
    <n v="0"/>
    <n v="564.84"/>
    <n v="1049.8599999999969"/>
    <n v="0"/>
    <n v="0"/>
    <n v="0"/>
    <n v="18170"/>
    <n v="0"/>
    <n v="0"/>
    <n v="0"/>
    <n v="0"/>
    <n v="177.95040294985259"/>
    <n v="67.8"/>
    <n v="-5.6038769053720419E-2"/>
    <n v="3"/>
    <m/>
    <s v="Alauli "/>
    <m/>
    <n v="0"/>
  </r>
  <r>
    <s v="Munger"/>
    <s v="10-16 Jul"/>
    <n v="1011"/>
    <s v="Sahibpur Kamal"/>
    <x v="387"/>
    <s v="GOMUKH ROHUA"/>
    <s v="MPG"/>
    <s v="Direct"/>
    <n v="409.90000000000003"/>
    <n v="16408.18"/>
    <n v="404.09999999999997"/>
    <n v="16083.280000000002"/>
    <n v="6.05"/>
    <n v="239.91"/>
    <n v="410.15"/>
    <n v="16323.190000000002"/>
    <n v="16323.190000000002"/>
    <n v="0"/>
    <n v="239.91"/>
    <n v="0"/>
    <n v="0"/>
    <n v="0"/>
    <n v="0"/>
    <n v="16083"/>
    <n v="0"/>
    <n v="0"/>
    <n v="85"/>
    <n v="0"/>
    <n v="232.25240390339104"/>
    <n v="58.557142857142864"/>
    <n v="5.1797335231572273E-3"/>
    <n v="11"/>
    <m/>
    <s v="Sahibpur Kamal"/>
    <m/>
    <n v="0"/>
  </r>
  <r>
    <s v="Munger"/>
    <s v="10-16 Jul"/>
    <n v="1011"/>
    <s v="Sahibpur Kamal"/>
    <x v="388"/>
    <s v="GOMUKH LAXMIPUR"/>
    <s v="MPG"/>
    <s v="Direct"/>
    <n v="372.1"/>
    <n v="17115.03"/>
    <n v="379.26"/>
    <n v="18412.32"/>
    <n v="6.3900000000000006"/>
    <n v="291.19"/>
    <n v="385.65"/>
    <n v="18703.509999999998"/>
    <n v="17115.03"/>
    <n v="0"/>
    <n v="291.19"/>
    <n v="1588.4799999999996"/>
    <n v="0"/>
    <n v="0"/>
    <n v="0"/>
    <n v="16824"/>
    <n v="0"/>
    <n v="0"/>
    <n v="0"/>
    <n v="0"/>
    <n v="301.64032985756512"/>
    <n v="53.157142857142858"/>
    <n v="-9.2811990396744828E-2"/>
    <n v="12"/>
    <m/>
    <s v="Sahibpur Kamal"/>
    <m/>
    <n v="0"/>
  </r>
  <r>
    <s v="Munger"/>
    <s v="10-16 Jul"/>
    <n v="1054"/>
    <s v="Alauli "/>
    <x v="389"/>
    <s v="GOMUKH CHATAR"/>
    <s v="MPG"/>
    <s v="Direct"/>
    <n v="155.70000000000002"/>
    <n v="5819.52"/>
    <n v="170"/>
    <n v="6957"/>
    <n v="7.6"/>
    <n v="294.76"/>
    <n v="177.6"/>
    <n v="7251.76"/>
    <n v="5819.52"/>
    <n v="0"/>
    <n v="0"/>
    <n v="1432.2399999999998"/>
    <n v="5026"/>
    <n v="500"/>
    <n v="0"/>
    <n v="0"/>
    <n v="294"/>
    <n v="0"/>
    <n v="0"/>
    <s v="Release1"/>
    <n v="406.88050558766861"/>
    <n v="22.242857142857144"/>
    <n v="-0.24610964478170017"/>
    <n v="4"/>
    <m/>
    <s v="Alauli "/>
    <m/>
    <n v="500"/>
  </r>
  <r>
    <s v="Munger"/>
    <s v="10-16 Jul"/>
    <n v="1054"/>
    <s v="Alauli "/>
    <x v="390"/>
    <s v="GOMUKH BATHNAMA"/>
    <s v="MPG"/>
    <s v="Direct"/>
    <n v="3727.8999999999996"/>
    <n v="151973.16999999998"/>
    <n v="3630.2"/>
    <n v="152153.91"/>
    <n v="0"/>
    <n v="0"/>
    <n v="3630.2"/>
    <n v="152153.91"/>
    <n v="151973.16999999998"/>
    <n v="0"/>
    <n v="0"/>
    <n v="180.74000000001979"/>
    <n v="3707"/>
    <n v="0"/>
    <n v="0"/>
    <n v="148266"/>
    <n v="0"/>
    <n v="0"/>
    <n v="0"/>
    <n v="0"/>
    <n v="0"/>
    <n v="0"/>
    <n v="-1.189288872503086E-3"/>
    <n v="16"/>
    <m/>
    <s v="Alauli "/>
    <m/>
    <n v="0"/>
  </r>
  <r>
    <s v="Munger"/>
    <s v="10-16 Jul"/>
    <n v="1054"/>
    <s v="Alauli "/>
    <x v="391"/>
    <s v="GOMUKH TILAK NAGAR"/>
    <s v="MPG"/>
    <s v="Direct"/>
    <n v="268.10000000000002"/>
    <n v="12288.979999999998"/>
    <n v="263.19"/>
    <n v="14706.74"/>
    <n v="0"/>
    <n v="0"/>
    <n v="263.19"/>
    <n v="14706.74"/>
    <n v="12288.979999999998"/>
    <n v="0"/>
    <n v="0"/>
    <n v="2417.760000000002"/>
    <n v="7000"/>
    <n v="0"/>
    <n v="0"/>
    <n v="6448"/>
    <n v="0"/>
    <n v="0"/>
    <n v="-1159"/>
    <s v="Release2"/>
    <n v="395.94259321148814"/>
    <n v="38.300000000000004"/>
    <n v="-0.19674212180343711"/>
    <n v="9"/>
    <m/>
    <s v="Alauli "/>
    <m/>
    <n v="0"/>
  </r>
  <r>
    <s v="Munger"/>
    <s v="10-16 Jul"/>
    <n v="1011"/>
    <s v="Sahibpur Kamal"/>
    <x v="392"/>
    <s v="Gomukh Rahimpur Dakshin"/>
    <s v="MPG"/>
    <s v="Direct"/>
    <n v="7237.4999999999982"/>
    <n v="294899.38"/>
    <n v="1258.82"/>
    <n v="52765.009999999987"/>
    <n v="5976.380000000001"/>
    <n v="243021.58000000007"/>
    <n v="7235.2000000000007"/>
    <n v="295786.59000000008"/>
    <n v="294899.38"/>
    <n v="0"/>
    <n v="623.30999999999995"/>
    <n v="887.21000000007916"/>
    <n v="0"/>
    <n v="0"/>
    <n v="0"/>
    <n v="51878"/>
    <n v="242398"/>
    <n v="0"/>
    <n v="0"/>
    <n v="0"/>
    <n v="0"/>
    <n v="0"/>
    <n v="-3.0085176849136783E-3"/>
    <n v="22"/>
    <m/>
    <s v="Sahibpur Kamal"/>
    <m/>
    <n v="0"/>
  </r>
  <r>
    <s v="Munger"/>
    <s v="10-16 Jul"/>
    <n v="1054"/>
    <s v="Alauli "/>
    <x v="393"/>
    <s v="GOMUKH MORKAHI"/>
    <s v="MPG"/>
    <s v="Direct"/>
    <n v="797"/>
    <n v="31278.44"/>
    <n v="791.13000000000011"/>
    <n v="31192.39"/>
    <n v="1.4100000000000004"/>
    <n v="55.800000000000011"/>
    <n v="792.54000000000008"/>
    <n v="31248.19"/>
    <n v="31248.19"/>
    <n v="0"/>
    <n v="55.800000000000011"/>
    <n v="0"/>
    <n v="0"/>
    <n v="0"/>
    <n v="0"/>
    <n v="31193"/>
    <n v="0"/>
    <n v="0"/>
    <n v="30"/>
    <n v="0"/>
    <n v="0"/>
    <n v="0"/>
    <n v="9.6711984357276135E-4"/>
    <n v="4"/>
    <m/>
    <s v="Alauli "/>
    <m/>
    <n v="0"/>
  </r>
  <r>
    <s v="Munger"/>
    <s v="10-16 Jul"/>
    <n v="1055"/>
    <s v="Matihani"/>
    <x v="394"/>
    <s v="GOMUKH HANSPUR"/>
    <s v="MPG"/>
    <s v="Direct"/>
    <n v="65.199999999999989"/>
    <n v="2796.13"/>
    <n v="65.300000000000011"/>
    <n v="2807.0600000000004"/>
    <n v="0"/>
    <n v="0"/>
    <n v="65.300000000000011"/>
    <n v="2807.0600000000004"/>
    <n v="2796.13"/>
    <n v="0"/>
    <n v="0"/>
    <n v="10.930000000000291"/>
    <n v="0"/>
    <n v="500"/>
    <n v="0"/>
    <n v="2296"/>
    <n v="0"/>
    <n v="0"/>
    <n v="0"/>
    <n v="0"/>
    <n v="544.47341226993876"/>
    <n v="9.3142857142857132"/>
    <n v="-3.9089741893260652E-3"/>
    <n v="2"/>
    <m/>
    <s v="Matihani"/>
    <m/>
    <n v="500"/>
  </r>
  <r>
    <s v="Munger"/>
    <s v="10-16 Jul"/>
    <n v="1055"/>
    <s v="Matihani"/>
    <x v="395"/>
    <s v="GOMUKH NAYAGAON 2"/>
    <s v="MPG"/>
    <s v="Direct"/>
    <n v="117.30000000000001"/>
    <n v="6113.53"/>
    <n v="119.42"/>
    <n v="6284.2800000000007"/>
    <n v="6.1800000000000006"/>
    <n v="346.89999999999992"/>
    <n v="125.60000000000001"/>
    <n v="6631.18"/>
    <n v="6113.53"/>
    <n v="0"/>
    <n v="346.89999999999992"/>
    <n v="517.65000000000055"/>
    <n v="0"/>
    <n v="0"/>
    <n v="0"/>
    <n v="5767"/>
    <n v="0"/>
    <n v="0"/>
    <n v="0"/>
    <n v="0"/>
    <n v="607.39197459505522"/>
    <n v="16.75714285714286"/>
    <n v="-8.4672848583388083E-2"/>
    <n v="4"/>
    <m/>
    <s v="Matihani"/>
    <m/>
    <n v="0"/>
  </r>
  <r>
    <s v="Munger"/>
    <s v="10-16 Jul"/>
    <n v="1054"/>
    <s v="Alauli "/>
    <x v="978"/>
    <s v="GOMUKH ALOLI"/>
    <s v="MPG"/>
    <s v="Direct"/>
    <n v="57.2"/>
    <n v="2110.6999999999998"/>
    <n v="57.02"/>
    <n v="2464.9699999999998"/>
    <n v="0"/>
    <n v="0"/>
    <n v="57.02"/>
    <n v="2464.9699999999998"/>
    <n v="2110.6999999999998"/>
    <n v="0"/>
    <n v="0"/>
    <n v="354.27"/>
    <n v="0"/>
    <n v="500"/>
    <n v="0"/>
    <n v="1611"/>
    <n v="0"/>
    <n v="0"/>
    <n v="0"/>
    <n v="0"/>
    <n v="474.39089510489504"/>
    <n v="8.1714285714285726"/>
    <n v="-0.1678447908276875"/>
    <n v="1"/>
    <m/>
    <s v="Alauli "/>
    <m/>
    <n v="500"/>
  </r>
  <r>
    <s v="Munger"/>
    <s v="10-16 Jul"/>
    <n v="1054"/>
    <s v="Alauli "/>
    <x v="396"/>
    <s v="GOMUKH LABHGAON"/>
    <s v="MPG"/>
    <s v="Direct"/>
    <n v="267.39999999999998"/>
    <n v="11076.939999999999"/>
    <n v="286.67"/>
    <n v="11466.449999999999"/>
    <n v="0"/>
    <n v="0"/>
    <n v="286.67"/>
    <n v="11466.449999999999"/>
    <n v="11076.939999999999"/>
    <n v="0"/>
    <n v="0"/>
    <n v="389.51000000000022"/>
    <n v="0"/>
    <n v="0"/>
    <n v="0"/>
    <n v="11077"/>
    <n v="0"/>
    <n v="0"/>
    <n v="0"/>
    <n v="0"/>
    <n v="358.40570261780101"/>
    <n v="38.199999999999996"/>
    <n v="-3.516404349937801E-2"/>
    <n v="2"/>
    <m/>
    <s v="Alauli "/>
    <m/>
    <n v="0"/>
  </r>
  <r>
    <s v="Munger"/>
    <s v="10-16 Jul"/>
    <n v="1054"/>
    <s v="Alauli "/>
    <x v="397"/>
    <s v="GOMUKH CHANDPURA"/>
    <s v="MPG"/>
    <s v="Direct"/>
    <n v="737.99999999999989"/>
    <n v="27981.119999999999"/>
    <n v="391.20000000000005"/>
    <n v="14867.17"/>
    <n v="346.5"/>
    <n v="13111.84"/>
    <n v="737.7"/>
    <n v="27979.010000000002"/>
    <n v="27979.010000000002"/>
    <n v="0"/>
    <n v="0"/>
    <n v="0"/>
    <n v="0"/>
    <n v="0"/>
    <n v="0"/>
    <n v="14867"/>
    <n v="13111"/>
    <n v="0"/>
    <n v="3"/>
    <n v="0"/>
    <n v="0"/>
    <n v="0"/>
    <n v="7.5407989387020396E-5"/>
    <n v="10"/>
    <m/>
    <s v="Alauli "/>
    <m/>
    <n v="0"/>
  </r>
  <r>
    <s v="Munger"/>
    <s v="10-16 Jul"/>
    <n v="1054"/>
    <s v="Alauli "/>
    <x v="398"/>
    <s v="GOMUKH BADIL TOL"/>
    <s v="MPG"/>
    <s v="Direct"/>
    <n v="442.79999999999995"/>
    <n v="18244.34"/>
    <n v="197.28"/>
    <n v="8544.82"/>
    <n v="255.98999999999998"/>
    <n v="9719.0300000000007"/>
    <n v="453.27"/>
    <n v="18263.849999999999"/>
    <n v="18244.34"/>
    <n v="0"/>
    <n v="522.46"/>
    <n v="19.509999999998399"/>
    <n v="0"/>
    <n v="0"/>
    <n v="0"/>
    <n v="8525"/>
    <n v="9197"/>
    <n v="0"/>
    <n v="0"/>
    <n v="0"/>
    <n v="211.94418464317982"/>
    <n v="63.257142857142853"/>
    <n v="-1.0693727479315995E-3"/>
    <n v="14"/>
    <m/>
    <s v="Alauli "/>
    <m/>
    <n v="0"/>
  </r>
  <r>
    <s v="Munger"/>
    <s v="10-16 Jul"/>
    <n v="1054"/>
    <s v="Alauli "/>
    <x v="399"/>
    <s v="GOMUKH TRIBHUVAN TOLA"/>
    <s v="MPG"/>
    <s v="Direct"/>
    <n v="391.5"/>
    <n v="14835.099999999999"/>
    <n v="406.20999999999992"/>
    <n v="14843.49"/>
    <n v="0"/>
    <n v="0"/>
    <n v="406.20999999999992"/>
    <n v="14843.49"/>
    <n v="14835.099999999999"/>
    <n v="0"/>
    <n v="0"/>
    <n v="8.3900000000012369"/>
    <n v="0"/>
    <n v="0"/>
    <n v="0"/>
    <n v="14835"/>
    <n v="0"/>
    <n v="0"/>
    <n v="0"/>
    <n v="0"/>
    <n v="233.79966028097061"/>
    <n v="55.928571428571431"/>
    <n v="-5.6555061981390339E-4"/>
    <n v="13"/>
    <m/>
    <s v="Alauli "/>
    <m/>
    <n v="0"/>
  </r>
  <r>
    <s v="Munger"/>
    <s v="10-16 Jul"/>
    <n v="1054"/>
    <s v="Alauli "/>
    <x v="400"/>
    <s v="GOMUKH SANTOSHPUL"/>
    <s v="MPG"/>
    <s v="Direct"/>
    <n v="991.19999999999982"/>
    <n v="47054.69"/>
    <n v="30.299999999999997"/>
    <n v="1429.8600000000001"/>
    <n v="961"/>
    <n v="45630.03"/>
    <n v="991.3"/>
    <n v="47059.89"/>
    <n v="47054.69"/>
    <n v="0"/>
    <n v="0"/>
    <n v="5.1999999999970896"/>
    <n v="0"/>
    <n v="0"/>
    <n v="0"/>
    <n v="1423"/>
    <n v="45632"/>
    <n v="0"/>
    <n v="0"/>
    <n v="0"/>
    <n v="0"/>
    <n v="0"/>
    <n v="-1.1050970689631765E-4"/>
    <n v="10"/>
    <m/>
    <s v="Alauli "/>
    <m/>
    <n v="0"/>
  </r>
  <r>
    <s v="Munger"/>
    <s v="10-16 Jul"/>
    <n v="1054"/>
    <s v="Alauli "/>
    <x v="401"/>
    <s v="GOMUKH AHUNA"/>
    <s v="MPG"/>
    <s v="Direct"/>
    <n v="346.40000000000003"/>
    <n v="13364.28"/>
    <n v="347.23999999999995"/>
    <n v="13407.119999999997"/>
    <n v="0"/>
    <n v="0"/>
    <n v="347.23999999999995"/>
    <n v="13407.119999999997"/>
    <n v="13364.28"/>
    <n v="0"/>
    <n v="0"/>
    <n v="42.839999999996508"/>
    <n v="0"/>
    <n v="0"/>
    <n v="0"/>
    <n v="13364"/>
    <n v="0"/>
    <n v="0"/>
    <n v="0"/>
    <n v="0"/>
    <n v="272.84118983833713"/>
    <n v="49.485714285714288"/>
    <n v="-3.2055598954823235E-3"/>
    <n v="1"/>
    <m/>
    <s v="Alauli "/>
    <m/>
    <n v="0"/>
  </r>
  <r>
    <s v="Munger"/>
    <s v="10-16 Jul"/>
    <n v="1055"/>
    <s v="Matihani"/>
    <x v="402"/>
    <s v="GOMUKH SHADIPUR"/>
    <s v="MPG"/>
    <s v="Direct"/>
    <n v="942.39999999999986"/>
    <n v="39749.79"/>
    <n v="963.73000000000025"/>
    <n v="40293.429999999993"/>
    <n v="11.14"/>
    <n v="441.09999999999997"/>
    <n v="974.87000000000023"/>
    <n v="40734.529999999992"/>
    <n v="39749.79"/>
    <n v="0"/>
    <n v="441.09999999999997"/>
    <n v="984.73999999999069"/>
    <n v="0"/>
    <n v="0"/>
    <n v="0"/>
    <n v="39309"/>
    <n v="0"/>
    <n v="0"/>
    <n v="0"/>
    <n v="0"/>
    <n v="0"/>
    <n v="0"/>
    <n v="-2.4773464212011955E-2"/>
    <n v="15"/>
    <m/>
    <s v="Matihani"/>
    <m/>
    <n v="0"/>
  </r>
  <r>
    <s v="Munger"/>
    <s v="10-16 Jul"/>
    <n v="1055"/>
    <s v="Matihani"/>
    <x v="403"/>
    <s v="GOMUKH ASHRAPHA DIYARA"/>
    <s v="MPG"/>
    <s v="Direct"/>
    <n v="1144.1999999999998"/>
    <n v="49419.62000000001"/>
    <n v="1134.9899999999998"/>
    <n v="48480.92"/>
    <n v="9.1700000000000017"/>
    <n v="365.34000000000003"/>
    <n v="1144.1599999999999"/>
    <n v="48846.259999999995"/>
    <n v="48846.259999999995"/>
    <n v="0"/>
    <n v="365.34000000000003"/>
    <n v="0"/>
    <n v="0"/>
    <n v="0"/>
    <n v="0"/>
    <n v="48481"/>
    <n v="0"/>
    <n v="0"/>
    <n v="573"/>
    <n v="0"/>
    <n v="0"/>
    <n v="0"/>
    <n v="1.1601869864641108E-2"/>
    <n v="15"/>
    <m/>
    <s v="Matihani"/>
    <m/>
    <n v="0"/>
  </r>
  <r>
    <s v="Munger"/>
    <s v="10-16 Jul"/>
    <n v="1055"/>
    <s v="Matihani"/>
    <x v="404"/>
    <s v="GOMUKH MANIAPPA"/>
    <s v="MPG"/>
    <s v="Direct"/>
    <n v="518.80000000000007"/>
    <n v="21239.31"/>
    <n v="515.01"/>
    <n v="21152.95"/>
    <n v="3.33"/>
    <n v="128.16999999999999"/>
    <n v="518.34"/>
    <n v="21281.119999999999"/>
    <n v="21239.31"/>
    <n v="0"/>
    <n v="128.16999999999999"/>
    <n v="41.809999999997672"/>
    <n v="0"/>
    <n v="0"/>
    <n v="0"/>
    <n v="21111"/>
    <n v="0"/>
    <n v="0"/>
    <n v="0"/>
    <n v="0"/>
    <n v="148.36403130300684"/>
    <n v="74.114285714285728"/>
    <n v="-1.9685196929654339E-3"/>
    <n v="9"/>
    <m/>
    <s v="Matihani"/>
    <m/>
    <n v="0"/>
  </r>
  <r>
    <s v="Munger"/>
    <s v="10-16 Jul"/>
    <n v="1054"/>
    <s v="Alauli "/>
    <x v="405"/>
    <s v="GOMUKH D SANJHAUTI"/>
    <s v="MPG"/>
    <s v="Direct"/>
    <n v="795.2"/>
    <n v="30165.08"/>
    <n v="790.2"/>
    <n v="33296.629999999997"/>
    <n v="0"/>
    <n v="0"/>
    <n v="790.2"/>
    <n v="33296.629999999997"/>
    <n v="30165.08"/>
    <n v="0"/>
    <n v="0"/>
    <n v="3131.5499999999956"/>
    <n v="0"/>
    <n v="0"/>
    <n v="0"/>
    <n v="30165"/>
    <n v="0"/>
    <n v="0"/>
    <n v="0"/>
    <n v="0"/>
    <n v="0"/>
    <n v="0"/>
    <n v="-0.10381374755180478"/>
    <n v="3"/>
    <m/>
    <s v="Alauli "/>
    <m/>
    <n v="0"/>
  </r>
  <r>
    <s v="Munger"/>
    <s v="10-16 Jul"/>
    <n v="1054"/>
    <s v="Alauli "/>
    <x v="406"/>
    <s v="GOMUKH DHUSMURI BISHANPUR"/>
    <s v="MPG"/>
    <s v="Direct"/>
    <n v="355.9"/>
    <n v="14404.990000000002"/>
    <n v="367.64"/>
    <n v="15159.36"/>
    <n v="19.740000000000002"/>
    <n v="795.58"/>
    <n v="387.38"/>
    <n v="15954.94"/>
    <n v="14404.990000000002"/>
    <n v="0"/>
    <n v="0"/>
    <n v="1549.9499999999989"/>
    <n v="0"/>
    <n v="500"/>
    <n v="0"/>
    <n v="13109"/>
    <n v="796"/>
    <n v="0"/>
    <n v="0"/>
    <n v="0"/>
    <n v="278.54774144422601"/>
    <n v="50.842857142857142"/>
    <n v="-0.10759813092546394"/>
    <n v="7"/>
    <m/>
    <s v="Alauli "/>
    <m/>
    <n v="500"/>
  </r>
  <r>
    <s v="Munger"/>
    <s v="10-16 Jul"/>
    <n v="1054"/>
    <s v="Alauli "/>
    <x v="407"/>
    <s v="GOMUKH ANANDPUR PARAS"/>
    <s v="MPG"/>
    <s v="Direct"/>
    <n v="2858.8"/>
    <n v="108702.20000000001"/>
    <n v="2856.2999999999997"/>
    <n v="108602.8"/>
    <n v="0"/>
    <n v="0"/>
    <n v="2856.2999999999997"/>
    <n v="108602.8"/>
    <n v="108602.8"/>
    <n v="0"/>
    <n v="0"/>
    <n v="0"/>
    <n v="0"/>
    <n v="0"/>
    <n v="0"/>
    <n v="108603"/>
    <n v="0"/>
    <n v="0"/>
    <n v="99"/>
    <n v="0"/>
    <n v="0"/>
    <n v="0"/>
    <n v="9.1442491504319806E-4"/>
    <n v="1"/>
    <m/>
    <s v="Alauli "/>
    <m/>
    <n v="0"/>
  </r>
  <r>
    <s v="Munger"/>
    <s v="10-16 Jul"/>
    <n v="1054"/>
    <s v="Alauli "/>
    <x v="408"/>
    <s v="Gomukh Bishanpur"/>
    <s v="MPG"/>
    <s v="Direct"/>
    <n v="302.2"/>
    <n v="12850.630000000003"/>
    <n v="306.42"/>
    <n v="12700.34"/>
    <n v="4.3499999999999996"/>
    <n v="180.64999999999995"/>
    <n v="310.77000000000004"/>
    <n v="12880.99"/>
    <n v="12850.630000000003"/>
    <n v="0"/>
    <n v="180.64999999999995"/>
    <n v="30.359999999996944"/>
    <n v="0"/>
    <n v="0"/>
    <n v="0"/>
    <n v="12670"/>
    <n v="0"/>
    <n v="0"/>
    <n v="0"/>
    <n v="0"/>
    <n v="338.31771105228336"/>
    <n v="43.171428571428571"/>
    <n v="-2.3625300860733627E-3"/>
    <n v="8"/>
    <m/>
    <s v="Alauli "/>
    <m/>
    <n v="0"/>
  </r>
  <r>
    <s v="Munger"/>
    <s v="10-16 Jul"/>
    <n v="1054"/>
    <s v="Alauli "/>
    <x v="409"/>
    <s v="GOMUKH BISHANPUR 2"/>
    <s v="MPG"/>
    <s v="Direct"/>
    <n v="612.6"/>
    <n v="24091.69"/>
    <n v="552.82000000000005"/>
    <n v="21268.050000000003"/>
    <n v="64.040000000000006"/>
    <n v="2930.2099999999996"/>
    <n v="616.86"/>
    <n v="24198.260000000002"/>
    <n v="24091.69"/>
    <n v="0"/>
    <n v="0"/>
    <n v="106.57000000000335"/>
    <n v="0"/>
    <n v="0"/>
    <n v="0"/>
    <n v="21162"/>
    <n v="2930"/>
    <n v="0"/>
    <n v="0"/>
    <s v="Release3"/>
    <n v="68.743509826966999"/>
    <n v="87.51428571428572"/>
    <n v="-4.4235169886381303E-3"/>
    <n v="13"/>
    <m/>
    <s v="Alauli "/>
    <m/>
    <n v="0"/>
  </r>
  <r>
    <s v="Munger"/>
    <s v="10-16 Jul"/>
    <n v="1054"/>
    <s v="Alauli "/>
    <x v="410"/>
    <s v="GOMUKH GHAMARIYA"/>
    <s v="MPG"/>
    <s v="Direct"/>
    <n v="105.10000000000001"/>
    <n v="5707.7400000000007"/>
    <n v="133.37"/>
    <n v="6690.82"/>
    <n v="1.4500000000000002"/>
    <n v="78.960000000000008"/>
    <n v="134.82"/>
    <n v="6769.78"/>
    <n v="5707.7400000000007"/>
    <n v="0"/>
    <n v="78.960000000000008"/>
    <n v="1062.0399999999991"/>
    <n v="0"/>
    <n v="0"/>
    <n v="0"/>
    <n v="5629"/>
    <n v="0"/>
    <n v="0"/>
    <n v="0"/>
    <n v="0"/>
    <n v="646.15309724072313"/>
    <n v="15.014285714285716"/>
    <n v="-0.18607014334920632"/>
    <n v="4"/>
    <m/>
    <s v="Alauli "/>
    <m/>
    <n v="0"/>
  </r>
  <r>
    <s v="Munger"/>
    <s v="10-16 Jul"/>
    <n v="1054"/>
    <s v="Alauli "/>
    <x v="411"/>
    <s v="GOMUKH MEGHAUMA"/>
    <s v="MPG"/>
    <s v="Direct"/>
    <n v="763.4"/>
    <n v="31634.739999999998"/>
    <n v="746.8499999999998"/>
    <n v="31425.06"/>
    <n v="9.1399999999999988"/>
    <n v="388.09"/>
    <n v="755.98999999999978"/>
    <n v="31813.15"/>
    <n v="31634.739999999998"/>
    <n v="0"/>
    <n v="388.09"/>
    <n v="178.41000000000349"/>
    <n v="0"/>
    <n v="0"/>
    <n v="0"/>
    <n v="31247"/>
    <n v="0"/>
    <n v="0"/>
    <n v="0"/>
    <n v="0"/>
    <n v="0"/>
    <n v="0"/>
    <n v="-5.6396859907811318E-3"/>
    <n v="17"/>
    <m/>
    <s v="Alauli "/>
    <m/>
    <n v="0"/>
  </r>
  <r>
    <s v="Munger"/>
    <s v="10-16 Jul"/>
    <n v="1054"/>
    <s v="Alauli "/>
    <x v="412"/>
    <s v="GOMUKH AURA"/>
    <s v="MPG"/>
    <s v="Direct"/>
    <n v="705.2"/>
    <n v="27385.760000000006"/>
    <n v="717.14"/>
    <n v="29312.510000000006"/>
    <n v="0"/>
    <n v="0"/>
    <n v="717.14"/>
    <n v="29312.510000000006"/>
    <n v="27385.760000000006"/>
    <n v="0"/>
    <n v="0"/>
    <n v="1926.75"/>
    <n v="0"/>
    <n v="0"/>
    <n v="0"/>
    <n v="27386"/>
    <n v="0"/>
    <n v="0"/>
    <n v="0"/>
    <n v="0"/>
    <n v="0"/>
    <n v="0"/>
    <n v="-7.0355907595772385E-2"/>
    <n v="4"/>
    <m/>
    <s v="Alauli "/>
    <m/>
    <n v="0"/>
  </r>
  <r>
    <s v="Munger"/>
    <s v="10-16 Jul"/>
    <n v="1054"/>
    <s v="Alauli "/>
    <x v="413"/>
    <s v="GOMUKH BEHORBA"/>
    <s v="MPG"/>
    <s v="Direct"/>
    <n v="722.2"/>
    <n v="27902.120000000003"/>
    <n v="802.15000000000009"/>
    <n v="31160.23"/>
    <n v="0"/>
    <n v="0"/>
    <n v="802.15000000000009"/>
    <n v="31160.23"/>
    <n v="27902.120000000003"/>
    <n v="0"/>
    <n v="0"/>
    <n v="3258.1099999999969"/>
    <n v="6149"/>
    <n v="0"/>
    <n v="0"/>
    <n v="21753"/>
    <n v="0"/>
    <n v="0"/>
    <n v="0"/>
    <n v="0"/>
    <n v="0"/>
    <n v="0"/>
    <n v="-0.1167692634108088"/>
    <n v="6"/>
    <m/>
    <s v="Alauli "/>
    <m/>
    <n v="0"/>
  </r>
  <r>
    <s v="Munger"/>
    <s v="10-16 Jul"/>
    <n v="1011"/>
    <s v="Sahibpur Kamal"/>
    <x v="414"/>
    <s v="GOMUKH SAIDPUR SAMASTIPUR"/>
    <s v="MPG"/>
    <s v="Direct"/>
    <n v="1520.5"/>
    <n v="61630.33"/>
    <n v="1479.6"/>
    <n v="60147.740000000005"/>
    <n v="41"/>
    <n v="1624.42"/>
    <n v="1520.6"/>
    <n v="61772.160000000003"/>
    <n v="61630.33"/>
    <n v="0"/>
    <n v="1624.42"/>
    <n v="141.83000000000175"/>
    <n v="0"/>
    <n v="0"/>
    <n v="0"/>
    <n v="60006"/>
    <n v="0"/>
    <n v="0"/>
    <n v="0"/>
    <n v="0"/>
    <n v="0"/>
    <n v="0"/>
    <n v="-2.3013019725839816E-3"/>
    <n v="3"/>
    <m/>
    <s v="Sahibpur Kamal"/>
    <m/>
    <n v="0"/>
  </r>
  <r>
    <s v="Munger"/>
    <s v="10-16 Jul"/>
    <n v="1054"/>
    <s v="Alauli "/>
    <x v="415"/>
    <s v="GOMUKH PHULTAURA"/>
    <s v="MPG"/>
    <s v="Direct"/>
    <n v="651.5"/>
    <n v="26189.040000000001"/>
    <n v="163.82"/>
    <n v="7312.46"/>
    <n v="491.27"/>
    <n v="20327.650000000001"/>
    <n v="655.08999999999992"/>
    <n v="27640.11"/>
    <n v="26189.040000000001"/>
    <n v="0"/>
    <n v="0"/>
    <n v="1451.0699999999997"/>
    <n v="11461"/>
    <n v="0"/>
    <n v="0"/>
    <n v="0"/>
    <n v="14728"/>
    <n v="0"/>
    <n v="0"/>
    <n v="0"/>
    <n v="38.992124021488884"/>
    <n v="93.071428571428569"/>
    <n v="-5.5407529256513398E-2"/>
    <n v="4"/>
    <m/>
    <s v="Alauli "/>
    <m/>
    <n v="0"/>
  </r>
  <r>
    <s v="Munger"/>
    <s v="10-16 Jul"/>
    <n v="1011"/>
    <s v="Sahibpur Kamal"/>
    <x v="416"/>
    <s v="Jangli Tol Vlc "/>
    <s v="vlc"/>
    <s v="Indirect"/>
    <n v="2684.0000000000005"/>
    <n v="110226.79000000001"/>
    <n v="0"/>
    <n v="0"/>
    <n v="0"/>
    <n v="0"/>
    <n v="0"/>
    <n v="0"/>
    <n v="110226.79000000001"/>
    <n v="0"/>
    <n v="0"/>
    <n v="0"/>
    <n v="1350"/>
    <n v="0"/>
    <n v="0"/>
    <n v="0"/>
    <n v="0"/>
    <n v="108876.79000000001"/>
    <n v="0"/>
    <n v="0"/>
    <n v="0"/>
    <n v="0"/>
    <n v="0"/>
    <n v="0"/>
    <m/>
    <s v="Sahibpur Kamal"/>
    <m/>
    <n v="0"/>
  </r>
  <r>
    <s v="Munger"/>
    <s v="10-16 Jul"/>
    <n v="1055"/>
    <s v="Matihani"/>
    <x v="417"/>
    <s v="DILKHUSH KUMAR "/>
    <s v="vlc"/>
    <s v="Indirect"/>
    <n v="395.6"/>
    <n v="15489.96"/>
    <n v="0"/>
    <n v="0"/>
    <n v="0"/>
    <n v="0"/>
    <n v="0"/>
    <n v="0"/>
    <n v="15489.96"/>
    <n v="0"/>
    <n v="0"/>
    <n v="0"/>
    <n v="0"/>
    <n v="0"/>
    <n v="0"/>
    <n v="0"/>
    <n v="0"/>
    <n v="15489.96"/>
    <n v="0"/>
    <n v="0"/>
    <n v="238.37936420626892"/>
    <n v="56.51428571428572"/>
    <n v="0"/>
    <n v="0"/>
    <m/>
    <s v="Matihani"/>
    <m/>
    <n v="0"/>
  </r>
  <r>
    <s v="Munger"/>
    <s v="10-16 Jul"/>
    <n v="1011"/>
    <s v="Sahibpur Kamal"/>
    <x v="418"/>
    <s v="GOMUKH CHOWKI 2"/>
    <s v="MPG"/>
    <s v="Direct"/>
    <n v="6716.7"/>
    <n v="262952.64999999997"/>
    <n v="5513.9600000000028"/>
    <n v="215567.13"/>
    <n v="1199.46"/>
    <n v="48378.750000000007"/>
    <n v="6713.4200000000028"/>
    <n v="263945.88"/>
    <n v="262952.64999999997"/>
    <n v="0"/>
    <n v="0"/>
    <n v="993.23000000003958"/>
    <n v="0"/>
    <n v="0"/>
    <n v="0"/>
    <n v="214576"/>
    <n v="48377"/>
    <n v="0"/>
    <n v="0"/>
    <n v="0"/>
    <n v="0"/>
    <n v="0"/>
    <n v="-3.7772199671691452E-3"/>
    <n v="40"/>
    <m/>
    <s v="Sahibpur Kamal"/>
    <m/>
    <n v="0"/>
  </r>
  <r>
    <s v="Munger"/>
    <s v="10-16 Jul"/>
    <n v="1011"/>
    <s v="Sahibpur Kamal"/>
    <x v="419"/>
    <s v="GOMUKH MOHABA"/>
    <s v="MPG"/>
    <s v="Direct"/>
    <n v="1947"/>
    <n v="76705.58"/>
    <n v="841.2"/>
    <n v="33134.89"/>
    <n v="1105.8000000000002"/>
    <n v="43580.01"/>
    <n v="1947.0000000000002"/>
    <n v="76714.899999999994"/>
    <n v="76705.58"/>
    <n v="0"/>
    <n v="165.52000000000004"/>
    <n v="9.319999999992433"/>
    <n v="0"/>
    <n v="0"/>
    <n v="0"/>
    <n v="33125"/>
    <n v="43415"/>
    <n v="0"/>
    <n v="0"/>
    <n v="0"/>
    <n v="0"/>
    <n v="0"/>
    <n v="-1.2150354641725456E-4"/>
    <n v="8"/>
    <m/>
    <s v="Sahibpur Kamal"/>
    <m/>
    <n v="0"/>
  </r>
  <r>
    <s v="Munger"/>
    <s v="10-16 Jul"/>
    <n v="1011"/>
    <s v="Sahibpur Kamal"/>
    <x v="420"/>
    <s v="SANHA VLC"/>
    <s v="vlc"/>
    <s v="Indirect"/>
    <n v="470.90000000000009"/>
    <n v="17249.579999999998"/>
    <n v="0"/>
    <n v="0"/>
    <n v="0"/>
    <n v="0"/>
    <n v="0"/>
    <n v="0"/>
    <n v="17249.579999999998"/>
    <n v="0"/>
    <n v="0"/>
    <n v="0"/>
    <n v="0"/>
    <n v="0"/>
    <n v="0"/>
    <n v="0"/>
    <n v="0"/>
    <n v="17249.579999999998"/>
    <n v="0"/>
    <n v="0"/>
    <n v="167.84365164578455"/>
    <n v="67.271428571428586"/>
    <n v="0"/>
    <n v="0"/>
    <m/>
    <s v="Sahibpur Kamal"/>
    <m/>
    <n v="0"/>
  </r>
  <r>
    <s v="Munger"/>
    <s v="10-16 Jul"/>
    <n v="1011"/>
    <s v="Sahibpur Kamal"/>
    <x v="421"/>
    <s v="MOHANPUR VLC"/>
    <s v="vlc"/>
    <s v="Indirect"/>
    <n v="797.40000000000009"/>
    <n v="29547.03"/>
    <n v="0"/>
    <n v="0"/>
    <n v="0"/>
    <n v="0"/>
    <n v="0"/>
    <n v="0"/>
    <n v="29547.03"/>
    <n v="0"/>
    <n v="0"/>
    <n v="0"/>
    <n v="1350.03"/>
    <n v="0"/>
    <n v="0"/>
    <n v="0"/>
    <n v="0"/>
    <n v="28197"/>
    <n v="0"/>
    <n v="0"/>
    <n v="0"/>
    <n v="0"/>
    <n v="0"/>
    <n v="0"/>
    <m/>
    <s v="Sahibpur Kamal"/>
    <m/>
    <n v="0"/>
  </r>
  <r>
    <s v="Munger"/>
    <s v="10-16 Jul"/>
    <n v="1011"/>
    <s v="Sahibpur Kamal"/>
    <x v="422"/>
    <s v="GOMUKH JANGLITOL"/>
    <s v="MPG"/>
    <s v="Direct"/>
    <n v="238.10000000000002"/>
    <n v="9510.39"/>
    <n v="238"/>
    <n v="9748.16"/>
    <n v="0"/>
    <n v="0"/>
    <n v="238"/>
    <n v="9748.16"/>
    <n v="9510.39"/>
    <n v="0"/>
    <n v="0"/>
    <n v="237.77000000000044"/>
    <n v="0"/>
    <n v="0"/>
    <n v="0"/>
    <n v="9510"/>
    <n v="0"/>
    <n v="0"/>
    <n v="0"/>
    <n v="0"/>
    <n v="368.99194800503983"/>
    <n v="34.01428571428572"/>
    <n v="-2.5001077768629934E-2"/>
    <n v="4"/>
    <m/>
    <s v="Sahibpur Kamal"/>
    <m/>
    <n v="0"/>
  </r>
  <r>
    <s v="Munger"/>
    <s v="10-16 Jul"/>
    <n v="1011"/>
    <s v="Sahibpur Kamal"/>
    <x v="423"/>
    <s v="Hiratol VLC"/>
    <s v="vlc"/>
    <s v="Indirect"/>
    <n v="21"/>
    <n v="800.31"/>
    <n v="0"/>
    <n v="0"/>
    <n v="0"/>
    <n v="0"/>
    <n v="0"/>
    <n v="0"/>
    <n v="800.31"/>
    <n v="0"/>
    <n v="0"/>
    <n v="0"/>
    <n v="0"/>
    <n v="0"/>
    <n v="0"/>
    <n v="0"/>
    <n v="0"/>
    <n v="800.31"/>
    <n v="0"/>
    <n v="0"/>
    <n v="517.53379999999993"/>
    <n v="3"/>
    <n v="0"/>
    <n v="0"/>
    <m/>
    <s v="Sahibpur Kamal"/>
    <m/>
    <n v="0"/>
  </r>
  <r>
    <s v="Munger"/>
    <s v="10-16 Jul"/>
    <n v="1011"/>
    <s v="Sahibpur Kamal"/>
    <x v="424"/>
    <s v="GOMUKH BARBIGHI"/>
    <s v="MPG"/>
    <s v="Direct"/>
    <n v="1636.9999999999998"/>
    <n v="62235.45"/>
    <n v="1637.1"/>
    <n v="64228.590000000004"/>
    <n v="2.2000000000000002"/>
    <n v="85.92"/>
    <n v="1639.3"/>
    <n v="64314.51"/>
    <n v="62235.45"/>
    <n v="0"/>
    <n v="85.92"/>
    <n v="2079.0600000000049"/>
    <n v="10800"/>
    <n v="0"/>
    <n v="0"/>
    <n v="51350"/>
    <n v="0"/>
    <n v="0"/>
    <n v="0"/>
    <n v="0"/>
    <n v="0"/>
    <n v="0"/>
    <n v="-3.34063624509826E-2"/>
    <n v="3"/>
    <m/>
    <s v="Sahibpur Kamal"/>
    <m/>
    <n v="0"/>
  </r>
  <r>
    <s v="Munger"/>
    <s v="10-16 Jul"/>
    <n v="1011"/>
    <s v="Sahibpur Kamal"/>
    <x v="425"/>
    <s v="Dandari-2"/>
    <s v="MPG"/>
    <s v="Direct"/>
    <n v="232.6"/>
    <n v="8915.77"/>
    <n v="232"/>
    <n v="8836.8799999999992"/>
    <n v="0"/>
    <n v="0"/>
    <n v="232"/>
    <n v="8836.8799999999992"/>
    <n v="8836.8799999999992"/>
    <n v="0"/>
    <n v="0"/>
    <n v="0"/>
    <n v="0"/>
    <n v="0"/>
    <n v="0"/>
    <n v="8837"/>
    <n v="0"/>
    <n v="0"/>
    <n v="79"/>
    <n v="0"/>
    <n v="358.31736010318144"/>
    <n v="33.228571428571428"/>
    <n v="8.8483664338583467E-3"/>
    <n v="1"/>
    <m/>
    <s v="Sahibpur Kamal"/>
    <m/>
    <n v="0"/>
  </r>
  <r>
    <s v="Munger"/>
    <s v="10-16 Jul"/>
    <n v="1011"/>
    <s v="Sahibpur Kamal"/>
    <x v="426"/>
    <s v="Barkhanditol"/>
    <s v="vlc"/>
    <s v="Indirect"/>
    <n v="1193.1000000000001"/>
    <n v="52235.51"/>
    <n v="0"/>
    <n v="0"/>
    <n v="0"/>
    <n v="0"/>
    <n v="0"/>
    <n v="0"/>
    <n v="52235.51"/>
    <n v="0"/>
    <n v="0"/>
    <n v="0"/>
    <n v="0"/>
    <n v="0"/>
    <n v="0"/>
    <n v="0"/>
    <n v="0"/>
    <n v="52235.51"/>
    <n v="0"/>
    <n v="0"/>
    <n v="0"/>
    <n v="0"/>
    <n v="0"/>
    <n v="0"/>
    <m/>
    <s v="Sahibpur Kamal"/>
    <m/>
    <n v="0"/>
  </r>
  <r>
    <s v="Munger"/>
    <s v="10-16 Jul"/>
    <n v="1011"/>
    <s v="Sahibpur Kamal"/>
    <x v="427"/>
    <s v="Chauki-VLC"/>
    <s v="vlc"/>
    <s v="Indirect"/>
    <n v="551.20000000000005"/>
    <n v="23708.479999999996"/>
    <n v="0"/>
    <n v="0"/>
    <n v="0"/>
    <n v="0"/>
    <n v="0"/>
    <n v="0"/>
    <n v="23708.479999999996"/>
    <n v="0"/>
    <n v="0"/>
    <n v="0"/>
    <n v="0"/>
    <n v="0"/>
    <n v="0"/>
    <n v="0"/>
    <n v="0"/>
    <n v="23708.479999999996"/>
    <n v="0"/>
    <n v="0"/>
    <n v="128.00514600870821"/>
    <n v="78.742857142857147"/>
    <n v="0"/>
    <n v="0"/>
    <m/>
    <s v="Sahibpur Kamal"/>
    <m/>
    <n v="0"/>
  </r>
  <r>
    <s v="Munger"/>
    <s v="10-16 Jul"/>
    <n v="1011"/>
    <s v="Sahibpur Kamal"/>
    <x v="428"/>
    <s v="Hardia"/>
    <s v="MPG"/>
    <s v="Direct"/>
    <n v="690.5"/>
    <n v="30648.240000000002"/>
    <n v="687.4"/>
    <n v="30833.84"/>
    <n v="2.7"/>
    <n v="133.03"/>
    <n v="690.1"/>
    <n v="30966.87"/>
    <n v="30648.240000000002"/>
    <n v="0"/>
    <n v="133.03"/>
    <n v="318.62999999999738"/>
    <n v="0"/>
    <n v="0"/>
    <n v="0"/>
    <n v="30515"/>
    <n v="0"/>
    <n v="0"/>
    <n v="0"/>
    <n v="0"/>
    <n v="8.4332593772628783"/>
    <n v="98.642857142857139"/>
    <n v="-1.0396355549290836E-2"/>
    <n v="3"/>
    <m/>
    <s v="Sahibpur Kamal"/>
    <m/>
    <n v="0"/>
  </r>
  <r>
    <s v="Munger"/>
    <s v="10-16 Jul"/>
    <n v="1011"/>
    <s v="Sahibpur Kamal"/>
    <x v="429"/>
    <s v="Pachveer"/>
    <s v="vlc"/>
    <s v="Indirect"/>
    <n v="16692.399999999998"/>
    <n v="662024.19999999995"/>
    <n v="0"/>
    <n v="0"/>
    <n v="0"/>
    <n v="0"/>
    <n v="0"/>
    <n v="0"/>
    <n v="662024.19999999995"/>
    <n v="0"/>
    <n v="0"/>
    <n v="0"/>
    <n v="0"/>
    <n v="0"/>
    <n v="0"/>
    <n v="0"/>
    <n v="0"/>
    <n v="662024.19999999995"/>
    <n v="0"/>
    <n v="0"/>
    <n v="0"/>
    <n v="0"/>
    <n v="0"/>
    <n v="0"/>
    <m/>
    <s v="Sahibpur Kamal"/>
    <m/>
    <n v="0"/>
  </r>
  <r>
    <s v="Munger"/>
    <s v="10-16 Jul"/>
    <n v="1011"/>
    <s v="Sahibpur Kamal"/>
    <x v="979"/>
    <s v="Barkhaditol-3"/>
    <s v="vlc"/>
    <s v="Indirect"/>
    <n v="164.9"/>
    <n v="6931.91"/>
    <n v="0"/>
    <n v="0"/>
    <n v="0"/>
    <n v="0"/>
    <n v="0"/>
    <n v="0"/>
    <n v="6931.91"/>
    <n v="0"/>
    <n v="0"/>
    <n v="0"/>
    <n v="0"/>
    <n v="0"/>
    <n v="0"/>
    <n v="0"/>
    <n v="0"/>
    <n v="6931.91"/>
    <n v="0"/>
    <n v="0"/>
    <n v="449.88053862947243"/>
    <n v="23.557142857142857"/>
    <n v="0"/>
    <n v="0"/>
    <m/>
    <s v="Sahibpur Kamal"/>
    <m/>
    <n v="0"/>
  </r>
  <r>
    <s v="Munger"/>
    <s v="10-16 Jul"/>
    <n v="1011"/>
    <s v="Sahibpur Kamal"/>
    <x v="430"/>
    <s v="Mathar-3"/>
    <s v="vlc"/>
    <s v="Indirect"/>
    <n v="3200.5999999999995"/>
    <n v="133771.85999999999"/>
    <n v="0"/>
    <n v="0"/>
    <n v="0"/>
    <n v="0"/>
    <n v="0"/>
    <n v="0"/>
    <n v="133771.85999999999"/>
    <n v="0"/>
    <n v="0"/>
    <n v="0"/>
    <n v="1350"/>
    <n v="0"/>
    <n v="0"/>
    <n v="0"/>
    <n v="0"/>
    <n v="132421.85999999999"/>
    <n v="0"/>
    <n v="0"/>
    <n v="0"/>
    <n v="0"/>
    <n v="0"/>
    <n v="0"/>
    <m/>
    <s v="Sahibpur Kamal"/>
    <m/>
    <n v="0"/>
  </r>
  <r>
    <s v="Munger"/>
    <s v="10-16 Jul"/>
    <n v="1011"/>
    <s v="Sahibpur Kamal"/>
    <x v="431"/>
    <s v="Ahoghat"/>
    <s v="vlc"/>
    <s v="Direct"/>
    <n v="613.29999999999995"/>
    <n v="27331.400000000005"/>
    <n v="0"/>
    <n v="0"/>
    <n v="0"/>
    <n v="0"/>
    <n v="0"/>
    <n v="0"/>
    <n v="0"/>
    <n v="0"/>
    <n v="0"/>
    <n v="0"/>
    <n v="0"/>
    <n v="0"/>
    <n v="0"/>
    <n v="0"/>
    <n v="0"/>
    <n v="27331"/>
    <n v="0"/>
    <n v="0"/>
    <n v="77.274820805478583"/>
    <n v="87.614285714285714"/>
    <n v="1"/>
    <n v="0"/>
    <m/>
    <s v="Sahibpur Kamal"/>
    <m/>
    <n v="0"/>
  </r>
  <r>
    <s v="Munger"/>
    <s v="10-16 Jul"/>
    <n v="1011"/>
    <s v="Sahibpur Kamal"/>
    <x v="432"/>
    <s v="Mathar-4"/>
    <s v="vlc"/>
    <s v="Indirect"/>
    <n v="320"/>
    <n v="13176.930000000002"/>
    <n v="0"/>
    <n v="0"/>
    <n v="0"/>
    <n v="0"/>
    <n v="0"/>
    <n v="0"/>
    <n v="13176.930000000002"/>
    <n v="0"/>
    <n v="0"/>
    <n v="0"/>
    <n v="0"/>
    <n v="0"/>
    <n v="0"/>
    <n v="0"/>
    <n v="0"/>
    <n v="13176.930000000002"/>
    <n v="0"/>
    <n v="0"/>
    <n v="312.95208750000006"/>
    <n v="45.714285714285715"/>
    <n v="0"/>
    <n v="0"/>
    <m/>
    <s v="Sahibpur Kamal"/>
    <m/>
    <n v="0"/>
  </r>
  <r>
    <s v="Munger"/>
    <s v="10-16 Jul"/>
    <n v="1011"/>
    <s v="Sahibpur Kamal"/>
    <x v="433"/>
    <s v="Sadpur-2"/>
    <s v="vlc"/>
    <s v="Direct"/>
    <n v="810.00000000000011"/>
    <n v="30906.41"/>
    <n v="810"/>
    <n v="30852.9"/>
    <n v="0"/>
    <n v="0"/>
    <n v="810"/>
    <n v="30852.9"/>
    <n v="30852.9"/>
    <n v="0"/>
    <n v="0"/>
    <n v="0"/>
    <n v="0"/>
    <n v="0"/>
    <n v="0"/>
    <n v="30853"/>
    <n v="0"/>
    <n v="0"/>
    <n v="53"/>
    <n v="0"/>
    <n v="0"/>
    <n v="0"/>
    <n v="1.7313560520292846E-3"/>
    <n v="1"/>
    <m/>
    <s v="Sahibpur Kamal"/>
    <m/>
    <n v="0"/>
  </r>
  <r>
    <s v="Munger"/>
    <s v="10-16 Jul"/>
    <n v="1011"/>
    <s v="Sahibpur Kamal"/>
    <x v="434"/>
    <s v="Phulmalik"/>
    <s v="vlc"/>
    <s v="Indirect"/>
    <n v="164.6"/>
    <n v="6120.43"/>
    <n v="0"/>
    <n v="0"/>
    <n v="0"/>
    <n v="0"/>
    <n v="0"/>
    <n v="0"/>
    <n v="6120.43"/>
    <n v="0"/>
    <n v="0"/>
    <n v="0"/>
    <n v="0"/>
    <n v="0"/>
    <n v="0"/>
    <n v="0"/>
    <n v="0"/>
    <n v="6120.43"/>
    <n v="0"/>
    <n v="0"/>
    <n v="398.16260291616049"/>
    <n v="23.514285714285712"/>
    <n v="0"/>
    <n v="0"/>
    <m/>
    <s v="Sahibpur Kamal"/>
    <m/>
    <n v="0"/>
  </r>
  <r>
    <s v="Munger"/>
    <s v="10-16 Jul"/>
    <n v="1011"/>
    <s v="Sahibpur Kamal"/>
    <x v="435"/>
    <s v="Baliya"/>
    <s v="vlc"/>
    <s v="Indirect"/>
    <n v="6454.9"/>
    <n v="254795.43000000002"/>
    <n v="0"/>
    <n v="0"/>
    <n v="0"/>
    <n v="0"/>
    <n v="0"/>
    <n v="0"/>
    <n v="254795.43000000002"/>
    <n v="0"/>
    <n v="0"/>
    <n v="0"/>
    <n v="0"/>
    <n v="0"/>
    <n v="0"/>
    <n v="0"/>
    <n v="0"/>
    <n v="254795.43000000002"/>
    <n v="0"/>
    <n v="0"/>
    <n v="0"/>
    <n v="0"/>
    <n v="0"/>
    <n v="0"/>
    <m/>
    <s v="Sahibpur Kamal"/>
    <m/>
    <n v="0"/>
  </r>
  <r>
    <s v="Munger"/>
    <s v="10-16 Jul"/>
    <n v="1012"/>
    <s v="DalsinghSarai"/>
    <x v="436"/>
    <s v="GOMUKH SUBHANPUR"/>
    <s v="MPG"/>
    <s v="Indirect"/>
    <n v="231.15000000000003"/>
    <n v="9063.0500000000011"/>
    <n v="0"/>
    <n v="0"/>
    <n v="0"/>
    <n v="0"/>
    <n v="0"/>
    <n v="0"/>
    <n v="9063.0500000000011"/>
    <n v="0"/>
    <n v="0"/>
    <n v="0"/>
    <n v="0"/>
    <n v="0"/>
    <n v="0"/>
    <n v="0"/>
    <n v="0"/>
    <n v="9063.0500000000011"/>
    <n v="0"/>
    <n v="0"/>
    <n v="367.65831646117243"/>
    <n v="33.021428571428579"/>
    <n v="0"/>
    <n v="0"/>
    <m/>
    <s v="DalsinghSarai"/>
    <m/>
    <n v="0"/>
  </r>
  <r>
    <s v="Munger"/>
    <s v="10-16 Jul"/>
    <n v="1012"/>
    <s v="DalsinghSarai"/>
    <x v="437"/>
    <s v="GOMUKH  BHAJANGAMA"/>
    <s v="MPG"/>
    <s v="Indirect"/>
    <n v="466.95000000000005"/>
    <n v="18663.239999999998"/>
    <n v="0"/>
    <n v="0"/>
    <n v="0"/>
    <n v="0"/>
    <n v="0"/>
    <n v="0"/>
    <n v="18663.239999999998"/>
    <n v="0"/>
    <n v="0"/>
    <n v="0"/>
    <n v="0"/>
    <n v="0"/>
    <n v="0"/>
    <n v="0"/>
    <n v="0"/>
    <n v="18663.239999999998"/>
    <n v="0"/>
    <n v="0"/>
    <n v="186.29266867973004"/>
    <n v="66.70714285714287"/>
    <n v="0"/>
    <n v="0"/>
    <m/>
    <s v="DalsinghSarai"/>
    <m/>
    <n v="0"/>
  </r>
  <r>
    <s v="Munger"/>
    <s v="10-16 Jul"/>
    <n v="1012"/>
    <s v="DalsinghSarai"/>
    <x v="438"/>
    <s v="Gomukh Basadhiya Kurni"/>
    <s v="MPG"/>
    <s v="Direct"/>
    <n v="544.44999999999993"/>
    <n v="21051.5"/>
    <n v="533.9"/>
    <n v="21051.440000000002"/>
    <n v="0"/>
    <n v="0"/>
    <n v="533.9"/>
    <n v="21051.440000000002"/>
    <n v="21051.440000000002"/>
    <n v="0"/>
    <n v="0"/>
    <n v="0"/>
    <n v="0"/>
    <n v="0"/>
    <n v="0"/>
    <n v="21051"/>
    <n v="0"/>
    <n v="0"/>
    <n v="1"/>
    <n v="0"/>
    <n v="120.28876205344847"/>
    <n v="77.778571428571425"/>
    <n v="2.8501531956236703E-6"/>
    <n v="5"/>
    <m/>
    <s v="DalsinghSarai"/>
    <m/>
    <n v="0"/>
  </r>
  <r>
    <s v="Munger"/>
    <s v="10-16 Jul"/>
    <n v="1012"/>
    <s v="DalsinghSarai"/>
    <x v="439"/>
    <s v="KHAJURI"/>
    <s v="MPG"/>
    <s v="Direct"/>
    <n v="389.05000000000007"/>
    <n v="14720.180000000002"/>
    <n v="234.05000000000004"/>
    <n v="9436.5"/>
    <n v="133.9"/>
    <n v="5258.43"/>
    <n v="367.95000000000005"/>
    <n v="14694.93"/>
    <n v="14694.93"/>
    <n v="0"/>
    <n v="181.85000000000002"/>
    <n v="0"/>
    <n v="0"/>
    <n v="0"/>
    <n v="0"/>
    <n v="9436"/>
    <n v="5076"/>
    <n v="0"/>
    <n v="26"/>
    <n v="0"/>
    <n v="235.3034299447371"/>
    <n v="55.578571428571436"/>
    <n v="1.7153322853390254E-3"/>
    <n v="12"/>
    <m/>
    <s v="DalsinghSarai"/>
    <m/>
    <n v="0"/>
  </r>
  <r>
    <s v="Munger"/>
    <s v="10-16 Jul"/>
    <n v="1012"/>
    <s v="DalsinghSarai"/>
    <x v="440"/>
    <s v="ARMAULI-2"/>
    <s v="MPG"/>
    <s v="Direct"/>
    <n v="1155.25"/>
    <n v="47396.600000000006"/>
    <n v="1150.71"/>
    <n v="46787.85000000002"/>
    <n v="14.400000000000002"/>
    <n v="587.4899999999999"/>
    <n v="1165.1100000000001"/>
    <n v="47375.340000000018"/>
    <n v="47375.340000000018"/>
    <n v="0"/>
    <n v="587.4899999999999"/>
    <n v="0"/>
    <n v="6213"/>
    <n v="0"/>
    <n v="0"/>
    <n v="40576"/>
    <n v="0"/>
    <n v="0"/>
    <n v="20"/>
    <n v="0"/>
    <n v="0"/>
    <n v="0"/>
    <n v="4.4855538160938721E-4"/>
    <n v="29"/>
    <m/>
    <s v="DalsinghSarai"/>
    <m/>
    <n v="0"/>
  </r>
  <r>
    <s v="Munger"/>
    <s v="10-16 Jul"/>
    <n v="1012"/>
    <s v="DalsinghSarai"/>
    <x v="441"/>
    <s v="MUSAPUR - 2"/>
    <s v="MPG"/>
    <s v="Indirect"/>
    <n v="59.7"/>
    <n v="2055.08"/>
    <n v="0"/>
    <n v="0"/>
    <n v="0"/>
    <n v="0"/>
    <n v="0"/>
    <n v="0"/>
    <n v="2055.08"/>
    <n v="0"/>
    <n v="0"/>
    <n v="0"/>
    <n v="0"/>
    <n v="0"/>
    <n v="0"/>
    <n v="0"/>
    <n v="0"/>
    <n v="2055.08"/>
    <n v="0"/>
    <n v="0"/>
    <n v="440.82670820770522"/>
    <n v="8.5285714285714285"/>
    <n v="0"/>
    <n v="0"/>
    <m/>
    <s v="DalsinghSarai"/>
    <m/>
    <n v="0"/>
  </r>
  <r>
    <s v="Munger"/>
    <s v="10-16 Jul"/>
    <n v="1012"/>
    <s v="DalsinghSarai"/>
    <x v="442"/>
    <s v="Janganath Pur"/>
    <s v="MPG"/>
    <s v="Indirect"/>
    <n v="2022.5500000000006"/>
    <n v="86165.680000000022"/>
    <n v="0"/>
    <n v="0"/>
    <n v="0"/>
    <n v="0"/>
    <n v="0"/>
    <n v="0"/>
    <n v="86165.680000000022"/>
    <n v="0"/>
    <n v="0"/>
    <n v="0"/>
    <n v="0"/>
    <n v="0"/>
    <n v="0"/>
    <n v="0"/>
    <n v="0"/>
    <n v="86165.680000000022"/>
    <n v="0"/>
    <n v="0"/>
    <n v="0"/>
    <n v="0"/>
    <n v="0"/>
    <n v="0"/>
    <m/>
    <s v="DalsinghSarai"/>
    <m/>
    <n v="0"/>
  </r>
  <r>
    <s v="Munger"/>
    <s v="10-16 Jul"/>
    <n v="1012"/>
    <s v="DalsinghSarai"/>
    <x v="443"/>
    <s v="Nagargama"/>
    <s v="MPG"/>
    <s v="Indirect"/>
    <n v="389.20000000000005"/>
    <n v="15908.85"/>
    <n v="0"/>
    <n v="0"/>
    <n v="0"/>
    <n v="0"/>
    <n v="0"/>
    <n v="0"/>
    <n v="15908.85"/>
    <n v="0"/>
    <n v="0"/>
    <n v="0"/>
    <n v="0"/>
    <n v="0"/>
    <n v="0"/>
    <n v="0"/>
    <n v="0"/>
    <n v="15908.85"/>
    <n v="0"/>
    <n v="0"/>
    <n v="254.08379136690641"/>
    <n v="55.600000000000009"/>
    <n v="0"/>
    <n v="0"/>
    <m/>
    <s v="DalsinghSarai"/>
    <m/>
    <n v="0"/>
  </r>
  <r>
    <s v="Munger"/>
    <s v="10-16 Jul"/>
    <n v="1012"/>
    <s v="DalsinghSarai"/>
    <x v="444"/>
    <s v="Sato Ghachchhi"/>
    <s v="MPG"/>
    <s v="Direct"/>
    <n v="665.2"/>
    <n v="31831.600000000002"/>
    <n v="660.8"/>
    <n v="31291.420000000002"/>
    <n v="11.700000000000001"/>
    <n v="537.29"/>
    <n v="672.5"/>
    <n v="31828.710000000003"/>
    <n v="31828.710000000003"/>
    <n v="0"/>
    <n v="537.29"/>
    <n v="0"/>
    <n v="0"/>
    <n v="0"/>
    <n v="0"/>
    <n v="31292"/>
    <n v="0"/>
    <n v="0"/>
    <n v="2"/>
    <n v="0"/>
    <n v="33.305462417318033"/>
    <n v="95.028571428571439"/>
    <n v="9.0790283868841576E-5"/>
    <n v="18"/>
    <m/>
    <s v="DalsinghSarai"/>
    <m/>
    <n v="0"/>
  </r>
  <r>
    <s v="Munger"/>
    <s v="10-16 Jul"/>
    <n v="1012"/>
    <s v="DalsinghSarai"/>
    <x v="445"/>
    <s v="Bhatgama"/>
    <s v="MPG"/>
    <s v="Indirect"/>
    <n v="469.85000000000008"/>
    <n v="16687.479999999996"/>
    <n v="0"/>
    <n v="0"/>
    <n v="0"/>
    <n v="0"/>
    <n v="0"/>
    <n v="0"/>
    <n v="16687.479999999996"/>
    <n v="0"/>
    <n v="0"/>
    <n v="0"/>
    <n v="2800"/>
    <n v="0"/>
    <n v="0"/>
    <n v="0"/>
    <n v="0"/>
    <n v="13887.479999999996"/>
    <n v="0"/>
    <n v="0"/>
    <n v="163.48296358412247"/>
    <n v="67.121428571428581"/>
    <n v="0"/>
    <n v="0"/>
    <m/>
    <s v="DalsinghSarai"/>
    <m/>
    <n v="0"/>
  </r>
  <r>
    <s v="Munger"/>
    <s v="10-16 Jul"/>
    <n v="1012"/>
    <s v="DalsinghSarai"/>
    <x v="446"/>
    <s v="Borna Rasalpur"/>
    <s v="MPG"/>
    <s v="Direct"/>
    <n v="1104"/>
    <n v="47052.039999999994"/>
    <n v="326.89999999999998"/>
    <n v="16821.899999999998"/>
    <n v="705"/>
    <n v="30228.009999999991"/>
    <n v="1031.9000000000001"/>
    <n v="47049.909999999989"/>
    <n v="47049.909999999989"/>
    <n v="0"/>
    <n v="0"/>
    <n v="0"/>
    <n v="0"/>
    <n v="0"/>
    <n v="0"/>
    <n v="16822"/>
    <n v="30228"/>
    <n v="0"/>
    <n v="2"/>
    <n v="0"/>
    <n v="0"/>
    <n v="0"/>
    <n v="4.5269025530129127E-5"/>
    <n v="19"/>
    <m/>
    <s v="DalsinghSarai"/>
    <m/>
    <n v="0"/>
  </r>
  <r>
    <s v="Munger"/>
    <s v="10-16 Jul"/>
    <n v="1012"/>
    <s v="DalsinghSarai"/>
    <x v="447"/>
    <s v="Rasalpur"/>
    <s v="MPG"/>
    <s v="Direct"/>
    <n v="1151"/>
    <n v="43772.82"/>
    <n v="940.63"/>
    <n v="35592.9"/>
    <n v="212"/>
    <n v="8178.9"/>
    <n v="1152.6300000000001"/>
    <n v="43771.8"/>
    <n v="43771.8"/>
    <n v="0"/>
    <n v="0"/>
    <n v="0"/>
    <n v="1400"/>
    <n v="0"/>
    <n v="0"/>
    <n v="34192"/>
    <n v="8178"/>
    <n v="0"/>
    <n v="3"/>
    <n v="0"/>
    <n v="0"/>
    <n v="0"/>
    <n v="2.3302131322514716E-5"/>
    <n v="16"/>
    <m/>
    <s v="DalsinghSarai"/>
    <m/>
    <n v="0"/>
  </r>
  <r>
    <s v="Munger"/>
    <s v="10-16 Jul"/>
    <n v="1012"/>
    <s v="DalsinghSarai"/>
    <x v="448"/>
    <s v="Narahan"/>
    <s v="MPG"/>
    <s v="Direct"/>
    <n v="194.8"/>
    <n v="7075.74"/>
    <n v="193.70000000000005"/>
    <n v="7006.99"/>
    <n v="1.8399999999999996"/>
    <n v="67.260000000000005"/>
    <n v="195.54000000000005"/>
    <n v="7074.25"/>
    <n v="7074.25"/>
    <n v="0"/>
    <n v="67.260000000000005"/>
    <n v="0"/>
    <n v="0"/>
    <n v="0"/>
    <n v="0"/>
    <n v="7008"/>
    <n v="0"/>
    <n v="0"/>
    <n v="0"/>
    <n v="0"/>
    <n v="367.00860862422996"/>
    <n v="27.828571428571429"/>
    <n v="2.1057868152303248E-4"/>
    <n v="5"/>
    <m/>
    <s v="DalsinghSarai"/>
    <m/>
    <n v="0"/>
  </r>
  <r>
    <s v="Munger"/>
    <s v="10-16 Jul"/>
    <n v="1012"/>
    <s v="DalsinghSarai"/>
    <x v="449"/>
    <s v="Gomukh Dumduma"/>
    <s v="MPG"/>
    <s v="Direct"/>
    <n v="470.4"/>
    <n v="18861.8"/>
    <n v="460.2"/>
    <n v="18470.21"/>
    <n v="10.199999999999999"/>
    <n v="379.09"/>
    <n v="470.4"/>
    <n v="18849.3"/>
    <n v="18849.3"/>
    <n v="0"/>
    <n v="0"/>
    <n v="0"/>
    <n v="0"/>
    <n v="0"/>
    <n v="0"/>
    <n v="18469"/>
    <n v="379"/>
    <n v="0"/>
    <n v="14"/>
    <n v="0"/>
    <n v="184.12709523809522"/>
    <n v="67.2"/>
    <n v="6.6271511732708438E-4"/>
    <n v="10"/>
    <m/>
    <s v="DalsinghSarai"/>
    <m/>
    <n v="0"/>
  </r>
  <r>
    <s v="Munger"/>
    <s v="10-16 Jul"/>
    <n v="1012"/>
    <s v="DalsinghSarai"/>
    <x v="450"/>
    <s v="SUPOL"/>
    <s v="MPG"/>
    <s v="Direct"/>
    <n v="446.60000000000008"/>
    <n v="19301.219999999998"/>
    <n v="407.55"/>
    <n v="17789.560000000001"/>
    <n v="34.6"/>
    <n v="1510.29"/>
    <n v="442.15000000000003"/>
    <n v="19299.850000000002"/>
    <n v="19299.850000000002"/>
    <n v="0"/>
    <n v="419.04"/>
    <n v="0"/>
    <n v="0"/>
    <n v="0"/>
    <n v="0"/>
    <n v="17789"/>
    <n v="1091"/>
    <n v="0"/>
    <n v="2"/>
    <n v="0"/>
    <n v="219.02951849529768"/>
    <n v="63.800000000000011"/>
    <n v="7.0979969141605738E-5"/>
    <n v="4"/>
    <m/>
    <s v="DalsinghSarai"/>
    <m/>
    <n v="0"/>
  </r>
  <r>
    <s v="Munger"/>
    <s v="10-16 Jul"/>
    <n v="1012"/>
    <s v="DalsinghSarai"/>
    <x v="451"/>
    <s v="BHUSARAI"/>
    <s v="MPG"/>
    <s v="Direct"/>
    <n v="250.35"/>
    <n v="10534.78"/>
    <n v="132.97999999999999"/>
    <n v="5832.92"/>
    <n v="106.94999999999999"/>
    <n v="4700.55"/>
    <n v="239.92999999999998"/>
    <n v="10533.470000000001"/>
    <n v="10533.470000000001"/>
    <n v="0"/>
    <n v="153.53000000000003"/>
    <n v="0"/>
    <n v="0"/>
    <n v="0"/>
    <n v="0"/>
    <n v="5833"/>
    <n v="4547"/>
    <n v="0"/>
    <n v="1"/>
    <n v="0"/>
    <n v="378.42730792889967"/>
    <n v="35.764285714285712"/>
    <n v="1.2435001015678453E-4"/>
    <n v="6"/>
    <m/>
    <s v="DalsinghSarai"/>
    <m/>
    <n v="0"/>
  </r>
  <r>
    <s v="Munger"/>
    <s v="10-16 Jul"/>
    <n v="1012"/>
    <s v="DalsinghSarai"/>
    <x v="452"/>
    <s v="Gomukha Jounapur"/>
    <s v="MPG"/>
    <s v="Indirect"/>
    <n v="170.64999999999998"/>
    <n v="7942.7300000000005"/>
    <n v="0"/>
    <n v="0"/>
    <n v="0"/>
    <n v="0"/>
    <n v="0"/>
    <n v="0"/>
    <n v="7942.7300000000005"/>
    <n v="0"/>
    <n v="0"/>
    <n v="0"/>
    <n v="0"/>
    <n v="0"/>
    <n v="0"/>
    <n v="0"/>
    <n v="0"/>
    <n v="7942.7300000000005"/>
    <n v="0"/>
    <n v="0"/>
    <n v="492.7611046586581"/>
    <n v="24.378571428571426"/>
    <n v="0"/>
    <n v="0"/>
    <m/>
    <s v="DalsinghSarai"/>
    <m/>
    <n v="0"/>
  </r>
  <r>
    <s v="Munger"/>
    <s v="10-16 Jul"/>
    <n v="1012"/>
    <s v="DalsinghSarai"/>
    <x v="453"/>
    <s v="Patailliya"/>
    <s v="MPG"/>
    <s v="Indirect"/>
    <n v="246.60000000000002"/>
    <n v="9502.7199999999993"/>
    <n v="0"/>
    <n v="0"/>
    <n v="0"/>
    <n v="0"/>
    <n v="0"/>
    <n v="0"/>
    <n v="9502.7199999999993"/>
    <n v="0"/>
    <n v="0"/>
    <n v="0"/>
    <n v="1400"/>
    <n v="0"/>
    <n v="0"/>
    <n v="0"/>
    <n v="0"/>
    <n v="8102.7199999999993"/>
    <n v="0"/>
    <n v="0"/>
    <n v="349.43497550689369"/>
    <n v="35.228571428571435"/>
    <n v="0"/>
    <n v="0"/>
    <m/>
    <s v="DalsinghSarai"/>
    <m/>
    <n v="0"/>
  </r>
  <r>
    <s v="Munger"/>
    <s v="10-16 Jul"/>
    <n v="1012"/>
    <s v="DalsinghSarai"/>
    <x v="454"/>
    <s v="Badiya"/>
    <s v="MPG"/>
    <s v="Indirect"/>
    <n v="173.35000000000002"/>
    <n v="6077.3899999999994"/>
    <n v="0"/>
    <n v="0"/>
    <n v="0"/>
    <n v="0"/>
    <n v="0"/>
    <n v="0"/>
    <n v="6077.3899999999994"/>
    <n v="0"/>
    <n v="0"/>
    <n v="0"/>
    <n v="0"/>
    <n v="0"/>
    <n v="0"/>
    <n v="0"/>
    <n v="0"/>
    <n v="6077.3899999999994"/>
    <n v="0"/>
    <n v="0"/>
    <n v="369.27112125757128"/>
    <n v="24.764285714285716"/>
    <n v="0"/>
    <n v="0"/>
    <m/>
    <s v="DalsinghSarai"/>
    <m/>
    <n v="0"/>
  </r>
  <r>
    <s v="Munger"/>
    <s v="10-16 Jul"/>
    <n v="1012"/>
    <s v="DalsinghSarai"/>
    <x v="455"/>
    <s v="Gomukh Tabhka"/>
    <s v="MPG"/>
    <s v="Direct"/>
    <n v="2482.6500000000005"/>
    <n v="104464.04999999999"/>
    <n v="1579.25"/>
    <n v="71345.53"/>
    <n v="784.89"/>
    <n v="33116.18"/>
    <n v="2364.14"/>
    <n v="104461.70999999999"/>
    <n v="104461.70999999999"/>
    <n v="0"/>
    <n v="739.67"/>
    <n v="0"/>
    <n v="0"/>
    <n v="0"/>
    <n v="0"/>
    <n v="71346"/>
    <n v="32375"/>
    <n v="0"/>
    <n v="3"/>
    <n v="0"/>
    <n v="0"/>
    <n v="0"/>
    <n v="2.240005054367036E-5"/>
    <n v="28"/>
    <m/>
    <s v="DalsinghSarai"/>
    <m/>
    <n v="0"/>
  </r>
  <r>
    <s v="Munger"/>
    <s v="10-16 Jul"/>
    <n v="1012"/>
    <s v="DalsinghSarai"/>
    <x v="456"/>
    <s v="Ghato"/>
    <s v="MPG"/>
    <s v="Indirect"/>
    <n v="46.7"/>
    <n v="1659.43"/>
    <n v="0"/>
    <n v="0"/>
    <n v="0"/>
    <n v="0"/>
    <n v="0"/>
    <n v="0"/>
    <n v="1659.43"/>
    <n v="0"/>
    <n v="0"/>
    <n v="0"/>
    <n v="0"/>
    <n v="0"/>
    <n v="0"/>
    <n v="0"/>
    <n v="0"/>
    <n v="1659.43"/>
    <n v="0"/>
    <n v="0"/>
    <n v="464.28506167023551"/>
    <n v="6.6714285714285717"/>
    <n v="0"/>
    <n v="0"/>
    <m/>
    <s v="DalsinghSarai"/>
    <m/>
    <n v="0"/>
  </r>
  <r>
    <s v="Munger"/>
    <s v="10-16 Jul"/>
    <n v="1012"/>
    <s v="DalsinghSarai"/>
    <x v="457"/>
    <s v="RAMNATHPUR                                                                                          "/>
    <s v="MPG"/>
    <s v="Direct"/>
    <n v="630.90000000000009"/>
    <n v="24652.310000000005"/>
    <n v="430.84000000000003"/>
    <n v="16951.79"/>
    <n v="199.82"/>
    <n v="7697.6399999999994"/>
    <n v="630.66000000000008"/>
    <n v="24649.43"/>
    <n v="24649.43"/>
    <n v="0"/>
    <n v="203.9"/>
    <n v="0"/>
    <n v="0"/>
    <n v="0"/>
    <n v="0"/>
    <n v="16952"/>
    <n v="7494"/>
    <n v="0"/>
    <n v="2"/>
    <n v="0"/>
    <n v="54.001414518941104"/>
    <n v="90.128571428571448"/>
    <n v="1.1682475191998868E-4"/>
    <n v="15"/>
    <m/>
    <s v="DalsinghSarai"/>
    <m/>
    <n v="0"/>
  </r>
  <r>
    <s v="Munger"/>
    <s v="10-16 Jul"/>
    <n v="1012"/>
    <s v="DalsinghSarai"/>
    <x v="458"/>
    <s v="DESUA"/>
    <s v="MPG"/>
    <s v="Direct"/>
    <n v="488.74999999999994"/>
    <n v="20368.099999999999"/>
    <n v="264.05"/>
    <n v="11511.859999999999"/>
    <n v="197.89999999999998"/>
    <n v="8849.8100000000013"/>
    <n v="461.95"/>
    <n v="20361.669999999998"/>
    <n v="20361.669999999998"/>
    <n v="0"/>
    <n v="111.00999999999999"/>
    <n v="0"/>
    <n v="0"/>
    <n v="0"/>
    <n v="0"/>
    <n v="11512"/>
    <n v="8738"/>
    <n v="0"/>
    <n v="7"/>
    <n v="0"/>
    <n v="176.07206649616367"/>
    <n v="69.821428571428569"/>
    <n v="3.1568973050997843E-4"/>
    <n v="7"/>
    <m/>
    <s v="DalsinghSarai"/>
    <m/>
    <n v="0"/>
  </r>
  <r>
    <s v="Munger"/>
    <s v="10-16 Jul"/>
    <n v="1012"/>
    <s v="DalsinghSarai"/>
    <x v="459"/>
    <s v="Matior"/>
    <s v="MPG"/>
    <s v="Direct"/>
    <n v="209.8"/>
    <n v="8244.7899999999991"/>
    <n v="88.640000000000015"/>
    <n v="3469.65"/>
    <n v="127.74"/>
    <n v="4770.7699999999995"/>
    <n v="216.38"/>
    <n v="8240.42"/>
    <n v="8240.42"/>
    <n v="0"/>
    <n v="0"/>
    <n v="0"/>
    <n v="0"/>
    <n v="0"/>
    <n v="0"/>
    <n v="3470"/>
    <n v="4771"/>
    <n v="0"/>
    <n v="4"/>
    <n v="0"/>
    <n v="385.28084442326019"/>
    <n v="29.971428571428572"/>
    <n v="5.3003169274159578E-4"/>
    <n v="4"/>
    <m/>
    <s v="DalsinghSarai"/>
    <m/>
    <n v="0"/>
  </r>
  <r>
    <s v="Munger"/>
    <s v="10-16 Jul"/>
    <n v="1012"/>
    <s v="DalsinghSarai"/>
    <x v="460"/>
    <s v="TELGAMA"/>
    <s v="MPG"/>
    <s v="Indirect"/>
    <n v="355.05000000000007"/>
    <n v="15839.390000000003"/>
    <n v="0"/>
    <n v="0"/>
    <n v="0"/>
    <n v="0"/>
    <n v="0"/>
    <n v="0"/>
    <n v="15839.390000000003"/>
    <n v="0"/>
    <n v="0"/>
    <n v="0"/>
    <n v="0"/>
    <n v="0"/>
    <n v="0"/>
    <n v="0"/>
    <n v="0"/>
    <n v="15839.390000000003"/>
    <n v="0"/>
    <n v="0"/>
    <n v="307.77623323475564"/>
    <n v="50.721428571428582"/>
    <n v="0"/>
    <n v="0"/>
    <m/>
    <s v="DalsinghSarai"/>
    <m/>
    <n v="0"/>
  </r>
  <r>
    <s v="Munger"/>
    <s v="10-16 Jul"/>
    <n v="1012"/>
    <s v="DalsinghSarai"/>
    <x v="461"/>
    <s v="GOMUKH TATARPUR"/>
    <s v="MPG"/>
    <s v="Direct"/>
    <n v="196.20000000000002"/>
    <n v="9622.67"/>
    <n v="191.20000000000002"/>
    <n v="9349.5399999999991"/>
    <n v="6.2"/>
    <n v="254.33"/>
    <n v="197.4"/>
    <n v="9603.869999999999"/>
    <n v="9603.869999999999"/>
    <n v="0"/>
    <n v="0"/>
    <n v="0"/>
    <n v="0"/>
    <n v="500"/>
    <n v="0"/>
    <n v="8850"/>
    <n v="254"/>
    <n v="0"/>
    <n v="19"/>
    <n v="0"/>
    <n v="494.17952558613655"/>
    <n v="28.028571428571432"/>
    <n v="1.9537197056535339E-3"/>
    <n v="8"/>
    <m/>
    <s v="DalsinghSarai"/>
    <m/>
    <n v="500"/>
  </r>
  <r>
    <s v="Munger"/>
    <s v="10-16 Jul"/>
    <n v="1012"/>
    <s v="DalsinghSarai"/>
    <x v="462"/>
    <s v="Gomukh Ghataho"/>
    <s v="MPG"/>
    <s v="Direct"/>
    <n v="2284.3500000000004"/>
    <n v="90904.66"/>
    <n v="1693.8999999999996"/>
    <n v="67090.159999999989"/>
    <n v="582"/>
    <n v="23795.670000000002"/>
    <n v="2275.8999999999996"/>
    <n v="90885.829999999987"/>
    <n v="90885.829999999987"/>
    <n v="0"/>
    <n v="729.28000000000009"/>
    <n v="0"/>
    <n v="0"/>
    <n v="0"/>
    <n v="0"/>
    <n v="67089"/>
    <n v="23065"/>
    <n v="0"/>
    <n v="21"/>
    <n v="0"/>
    <n v="0"/>
    <n v="0"/>
    <n v="2.0714009600845872E-4"/>
    <n v="34"/>
    <m/>
    <s v="DalsinghSarai"/>
    <m/>
    <n v="0"/>
  </r>
  <r>
    <s v="Munger"/>
    <s v="10-16 Jul"/>
    <n v="1012"/>
    <s v="DalsinghSarai"/>
    <x v="463"/>
    <s v="Kacha - Amarjeet"/>
    <s v="vlc"/>
    <s v="Indirect"/>
    <n v="366.84999999999997"/>
    <n v="16689.34"/>
    <n v="0"/>
    <n v="0"/>
    <n v="0"/>
    <n v="0"/>
    <n v="0"/>
    <n v="0"/>
    <n v="16689.34"/>
    <n v="0"/>
    <n v="0"/>
    <n v="0"/>
    <n v="3100"/>
    <n v="0"/>
    <n v="0"/>
    <n v="0"/>
    <n v="0"/>
    <n v="13589.34"/>
    <n v="0"/>
    <n v="0"/>
    <n v="303.12409000954074"/>
    <n v="52.407142857142851"/>
    <n v="0"/>
    <n v="0"/>
    <m/>
    <s v="DalsinghSarai"/>
    <m/>
    <n v="0"/>
  </r>
  <r>
    <s v="Munger"/>
    <s v="10-16 Jul"/>
    <n v="1012"/>
    <s v="DalsinghSarai"/>
    <x v="464"/>
    <s v="Simri - Suman"/>
    <s v="vlc"/>
    <s v="Indirect"/>
    <n v="6394"/>
    <n v="246779.08000000002"/>
    <n v="0"/>
    <n v="0"/>
    <n v="0"/>
    <n v="0"/>
    <n v="0"/>
    <n v="0"/>
    <n v="246779.08000000002"/>
    <n v="0"/>
    <n v="0"/>
    <n v="0"/>
    <n v="0"/>
    <n v="0"/>
    <n v="0"/>
    <n v="0"/>
    <n v="0"/>
    <n v="246779.08000000002"/>
    <n v="0"/>
    <n v="0"/>
    <n v="0"/>
    <n v="0"/>
    <n v="0"/>
    <n v="0"/>
    <m/>
    <s v="DalsinghSarai"/>
    <m/>
    <n v="0"/>
  </r>
  <r>
    <s v="Munger"/>
    <s v="10-16 Jul"/>
    <n v="1012"/>
    <s v="DalsinghSarai"/>
    <x v="465"/>
    <s v="Narenpur"/>
    <s v="MPG"/>
    <s v="Direct"/>
    <n v="229.60000000000002"/>
    <n v="10018.330000000002"/>
    <n v="56.71"/>
    <n v="2367.54"/>
    <n v="161.37"/>
    <n v="7646.47"/>
    <n v="218.08"/>
    <n v="10014.01"/>
    <n v="10014.01"/>
    <n v="0"/>
    <n v="0"/>
    <n v="0"/>
    <n v="0"/>
    <n v="0"/>
    <n v="0"/>
    <n v="2367"/>
    <n v="7646"/>
    <n v="0"/>
    <n v="5"/>
    <n v="0"/>
    <n v="410.50718048780487"/>
    <n v="32.800000000000004"/>
    <n v="4.3120959281652005E-4"/>
    <n v="10"/>
    <m/>
    <s v="DalsinghSarai"/>
    <m/>
    <n v="0"/>
  </r>
  <r>
    <s v="Munger"/>
    <s v="10-16 Jul"/>
    <n v="1012"/>
    <s v="DalsinghSarai"/>
    <x v="466"/>
    <s v="Mordiba"/>
    <s v="MPG"/>
    <s v="Direct"/>
    <n v="1653.8"/>
    <n v="65749.330000000016"/>
    <n v="925.79"/>
    <n v="37814.949999999997"/>
    <n v="704.46999999999991"/>
    <n v="27931.429999999993"/>
    <n v="1630.2599999999998"/>
    <n v="65746.37999999999"/>
    <n v="65746.37999999999"/>
    <n v="0"/>
    <n v="247.63"/>
    <n v="0"/>
    <n v="0"/>
    <n v="0"/>
    <n v="0"/>
    <n v="37815"/>
    <n v="27687"/>
    <n v="0"/>
    <n v="0"/>
    <n v="0"/>
    <n v="0"/>
    <n v="0"/>
    <n v="4.4867377356182837E-5"/>
    <n v="34"/>
    <m/>
    <s v="DalsinghSarai"/>
    <m/>
    <n v="0"/>
  </r>
  <r>
    <s v="Munger"/>
    <s v="10-16 Jul"/>
    <n v="1012"/>
    <s v="DalsinghSarai"/>
    <x v="467"/>
    <s v="Jagdispur"/>
    <s v="MPG"/>
    <s v="Direct"/>
    <n v="192.54999999999998"/>
    <n v="7572.3899999999985"/>
    <n v="202.06"/>
    <n v="7569.0499999999993"/>
    <n v="0"/>
    <n v="0"/>
    <n v="202.06"/>
    <n v="7569.0499999999993"/>
    <n v="7569.0499999999993"/>
    <n v="0"/>
    <n v="0"/>
    <n v="0"/>
    <n v="0"/>
    <n v="0"/>
    <n v="0"/>
    <n v="7569"/>
    <n v="0"/>
    <n v="0"/>
    <n v="3"/>
    <n v="0"/>
    <n v="399.12846590495974"/>
    <n v="27.507142857142856"/>
    <n v="4.4107606713326134E-4"/>
    <n v="8"/>
    <m/>
    <s v="DalsinghSarai"/>
    <m/>
    <n v="0"/>
  </r>
  <r>
    <s v="Munger"/>
    <s v="10-16 Jul"/>
    <n v="1012"/>
    <s v="DalsinghSarai"/>
    <x v="468"/>
    <s v="Chaklal Sahi_Vikrant"/>
    <s v="vlc"/>
    <s v="Indirect"/>
    <n v="3323.55"/>
    <n v="128275.28"/>
    <n v="0"/>
    <n v="0"/>
    <n v="0"/>
    <n v="0"/>
    <n v="0"/>
    <n v="0"/>
    <n v="128275.28"/>
    <n v="0"/>
    <n v="0"/>
    <n v="0"/>
    <n v="0"/>
    <n v="0"/>
    <n v="0"/>
    <n v="0"/>
    <n v="0"/>
    <n v="128275.28"/>
    <n v="0"/>
    <n v="0"/>
    <n v="0"/>
    <n v="0"/>
    <n v="0"/>
    <n v="0"/>
    <m/>
    <s v="DalsinghSarai"/>
    <m/>
    <n v="0"/>
  </r>
  <r>
    <s v="Munger"/>
    <s v="10-16 Jul"/>
    <n v="1012"/>
    <s v="DalsinghSarai"/>
    <x v="469"/>
    <s v="Piparpaati"/>
    <s v="vlc"/>
    <s v="Indirect"/>
    <n v="7.5"/>
    <n v="267.89999999999998"/>
    <n v="0"/>
    <n v="0"/>
    <n v="0"/>
    <n v="0"/>
    <n v="0"/>
    <n v="0"/>
    <n v="267.89999999999998"/>
    <n v="0"/>
    <n v="0"/>
    <n v="0"/>
    <n v="0"/>
    <n v="0"/>
    <n v="0"/>
    <n v="0"/>
    <n v="0"/>
    <n v="267.89999999999998"/>
    <n v="0"/>
    <n v="0"/>
    <n v="494.72199999999998"/>
    <n v="1.0714285714285714"/>
    <n v="0"/>
    <n v="0"/>
    <m/>
    <s v="DalsinghSarai"/>
    <m/>
    <n v="0"/>
  </r>
  <r>
    <s v="Munger"/>
    <s v="10-16 Jul"/>
    <n v="1012"/>
    <s v="DalsinghSarai"/>
    <x v="470"/>
    <s v="Sarhad-Subodh"/>
    <s v="vlc"/>
    <s v="Indirect"/>
    <n v="420.45"/>
    <n v="15202.42"/>
    <n v="0"/>
    <n v="0"/>
    <n v="0"/>
    <n v="0"/>
    <n v="0"/>
    <n v="0"/>
    <n v="15202.42"/>
    <n v="0"/>
    <n v="0"/>
    <n v="0"/>
    <n v="0"/>
    <n v="0"/>
    <n v="0"/>
    <n v="0"/>
    <n v="0"/>
    <n v="15202.42"/>
    <n v="0"/>
    <n v="0"/>
    <n v="202.15657086454991"/>
    <n v="60.06428571428571"/>
    <n v="0"/>
    <n v="0"/>
    <m/>
    <s v="DalsinghSarai"/>
    <m/>
    <n v="0"/>
  </r>
  <r>
    <s v="Munger"/>
    <s v="10-16 Jul"/>
    <n v="1012"/>
    <s v="DalsinghSarai"/>
    <x v="471"/>
    <s v="Suratpur"/>
    <s v="MPG"/>
    <s v="Direct"/>
    <n v="990.99999999999989"/>
    <n v="39062.939999999995"/>
    <n v="211.14000000000001"/>
    <n v="8338.7000000000007"/>
    <n v="783.66"/>
    <n v="30719.66"/>
    <n v="994.8"/>
    <n v="39058.36"/>
    <n v="39058.36"/>
    <n v="0"/>
    <n v="75.97"/>
    <n v="0"/>
    <n v="0"/>
    <n v="0"/>
    <n v="0"/>
    <n v="8339"/>
    <n v="30643"/>
    <n v="0"/>
    <n v="5"/>
    <n v="0"/>
    <n v="0"/>
    <n v="0"/>
    <n v="1.1724667933326245E-4"/>
    <n v="14"/>
    <m/>
    <s v="DalsinghSarai"/>
    <m/>
    <n v="0"/>
  </r>
  <r>
    <s v="Munger"/>
    <s v="10-16 Jul"/>
    <n v="1012"/>
    <s v="DalsinghSarai"/>
    <x v="472"/>
    <s v="Beri"/>
    <s v="MPG"/>
    <s v="Direct"/>
    <n v="450.59999999999997"/>
    <n v="18498.5"/>
    <n v="435.34999999999997"/>
    <n v="17622.240000000002"/>
    <n v="23.8"/>
    <n v="873.4899999999999"/>
    <n v="459.15"/>
    <n v="18495.730000000003"/>
    <n v="18495.730000000003"/>
    <n v="0"/>
    <n v="0"/>
    <n v="0"/>
    <n v="16204"/>
    <n v="0"/>
    <n v="0"/>
    <n v="1418"/>
    <n v="874"/>
    <n v="0"/>
    <n v="3"/>
    <n v="0"/>
    <n v="204.77256546826459"/>
    <n v="64.371428571428567"/>
    <n v="1.4974187096233741E-4"/>
    <n v="14"/>
    <m/>
    <s v="DalsinghSarai"/>
    <m/>
    <n v="0"/>
  </r>
  <r>
    <s v="Munger"/>
    <s v="10-16 Jul"/>
    <n v="1012"/>
    <s v="DalsinghSarai"/>
    <x v="473"/>
    <s v="Mahmmadipur"/>
    <s v="MPG"/>
    <s v="Direct"/>
    <n v="2419.3000000000002"/>
    <n v="122019.63"/>
    <n v="705.74000000000012"/>
    <n v="38581.870000000003"/>
    <n v="1555.8799999999997"/>
    <n v="83435.66"/>
    <n v="2261.62"/>
    <n v="122017.53"/>
    <n v="122017.53"/>
    <n v="0"/>
    <n v="0"/>
    <n v="0"/>
    <n v="0"/>
    <n v="0"/>
    <n v="0"/>
    <n v="38582"/>
    <n v="83437"/>
    <n v="0"/>
    <n v="1"/>
    <n v="0"/>
    <n v="0"/>
    <n v="0"/>
    <n v="1.7210345581328354E-5"/>
    <n v="29"/>
    <m/>
    <s v="DalsinghSarai"/>
    <m/>
    <n v="0"/>
  </r>
  <r>
    <s v="Munger"/>
    <s v="10-16 Jul"/>
    <n v="1062"/>
    <s v="Singhia BMC"/>
    <x v="475"/>
    <s v="Mithilanchal Dairy Products"/>
    <s v="vlc"/>
    <s v="Indirect"/>
    <n v="5780.58"/>
    <n v="245906.85000000003"/>
    <n v="0"/>
    <n v="0"/>
    <n v="0"/>
    <n v="0"/>
    <n v="0"/>
    <n v="0"/>
    <n v="245906.85000000003"/>
    <n v="0"/>
    <n v="0"/>
    <n v="0"/>
    <n v="0"/>
    <n v="0"/>
    <n v="0"/>
    <n v="0"/>
    <n v="0"/>
    <n v="245906.85000000003"/>
    <n v="0"/>
    <n v="0"/>
    <n v="0"/>
    <n v="0"/>
    <n v="0"/>
    <n v="0"/>
    <m/>
    <s v="Singhia BMC"/>
    <m/>
    <n v="0"/>
  </r>
  <r>
    <s v="Munger"/>
    <s v="10-16 Jul"/>
    <n v="1012"/>
    <s v="DalsinghSarai"/>
    <x v="476"/>
    <s v="Gomukh Jhaura Tabhka"/>
    <s v="MPG"/>
    <s v="Direct"/>
    <n v="702.1"/>
    <n v="27533.26"/>
    <n v="652.62"/>
    <n v="27291.190000000002"/>
    <n v="6.099999999999997"/>
    <n v="240.65999999999997"/>
    <n v="658.72"/>
    <n v="27531.850000000002"/>
    <n v="27531.850000000002"/>
    <n v="0"/>
    <n v="58.640000000000008"/>
    <n v="0"/>
    <n v="2800"/>
    <n v="0"/>
    <n v="0"/>
    <n v="24490"/>
    <n v="185"/>
    <n v="0"/>
    <n v="0"/>
    <n v="0"/>
    <n v="0"/>
    <n v="0"/>
    <n v="5.121079014966686E-5"/>
    <n v="12"/>
    <m/>
    <s v="DalsinghSarai"/>
    <m/>
    <n v="0"/>
  </r>
  <r>
    <s v="Munger"/>
    <s v="10-16 Jul"/>
    <n v="1012"/>
    <s v="DalsinghSarai"/>
    <x v="477"/>
    <s v="Gomukh Mohanpur"/>
    <s v="MPG"/>
    <s v="Direct"/>
    <n v="425.05"/>
    <n v="16456.78"/>
    <n v="116.35"/>
    <n v="4388.92"/>
    <n v="308.99"/>
    <n v="12015"/>
    <n v="425.34000000000003"/>
    <n v="16403.919999999998"/>
    <n v="16403.919999999998"/>
    <n v="0"/>
    <n v="306.97000000000003"/>
    <n v="0"/>
    <n v="0"/>
    <n v="0"/>
    <n v="0"/>
    <n v="4389"/>
    <n v="11709"/>
    <n v="0"/>
    <n v="52"/>
    <n v="0"/>
    <n v="212.90632447947297"/>
    <n v="60.721428571428575"/>
    <n v="3.212049987907755E-3"/>
    <n v="11"/>
    <m/>
    <s v="DalsinghSarai"/>
    <m/>
    <n v="0"/>
  </r>
  <r>
    <s v="Munger"/>
    <s v="10-16 Jul"/>
    <n v="1012"/>
    <s v="DalsinghSarai"/>
    <x v="478"/>
    <s v="Gomukh Bochaha"/>
    <s v="MPG"/>
    <s v="Direct"/>
    <n v="1220.0500000000002"/>
    <n v="54093.34"/>
    <n v="205.54"/>
    <n v="8786.73"/>
    <n v="1035.0700000000002"/>
    <n v="45304.740000000005"/>
    <n v="1240.6100000000001"/>
    <n v="54091.47"/>
    <n v="54091.47"/>
    <n v="0"/>
    <n v="0"/>
    <n v="0"/>
    <n v="0"/>
    <n v="0"/>
    <n v="0"/>
    <n v="8786"/>
    <n v="45304"/>
    <n v="0"/>
    <n v="3"/>
    <n v="0"/>
    <n v="0"/>
    <n v="0"/>
    <n v="3.4569874960491321E-5"/>
    <n v="24"/>
    <m/>
    <s v="DalsinghSarai"/>
    <m/>
    <n v="0"/>
  </r>
  <r>
    <s v="Munger"/>
    <s v="10-16 Jul"/>
    <n v="1012"/>
    <s v="DalsinghSarai"/>
    <x v="479"/>
    <s v="Gomukh Terganj"/>
    <s v="MPG"/>
    <s v="Direct"/>
    <n v="233.59999999999997"/>
    <n v="9587.41"/>
    <n v="147.61000000000001"/>
    <n v="6266.29"/>
    <n v="94.7"/>
    <n v="3824.4300000000003"/>
    <n v="242.31"/>
    <n v="10090.720000000001"/>
    <n v="9587.41"/>
    <n v="0"/>
    <n v="0"/>
    <n v="503.31000000000131"/>
    <n v="0"/>
    <n v="500"/>
    <n v="0"/>
    <n v="5263"/>
    <n v="3824"/>
    <n v="0"/>
    <n v="0"/>
    <n v="0"/>
    <n v="382.83972808219187"/>
    <n v="33.371428571428567"/>
    <n v="-5.2496972592180925E-2"/>
    <n v="7"/>
    <m/>
    <s v="DalsinghSarai"/>
    <m/>
    <n v="500"/>
  </r>
  <r>
    <s v="Munger"/>
    <s v="10-16 Jul"/>
    <n v="1012"/>
    <s v="DalsinghSarai"/>
    <x v="480"/>
    <s v="Gomukh Chapra"/>
    <s v="vlc"/>
    <s v="Indirect"/>
    <n v="1161.5999999999999"/>
    <n v="47523.689999999995"/>
    <n v="0"/>
    <n v="0"/>
    <n v="0"/>
    <n v="0"/>
    <n v="0"/>
    <n v="0"/>
    <n v="47523.689999999995"/>
    <n v="0"/>
    <n v="0"/>
    <n v="0"/>
    <n v="0"/>
    <n v="0"/>
    <n v="0"/>
    <n v="0"/>
    <n v="0"/>
    <n v="47523.689999999995"/>
    <n v="0"/>
    <n v="0"/>
    <n v="0"/>
    <n v="0"/>
    <n v="0"/>
    <n v="0"/>
    <m/>
    <s v="DalsinghSarai"/>
    <m/>
    <n v="0"/>
  </r>
  <r>
    <s v="Munger"/>
    <s v="10-16 Jul"/>
    <n v="1012"/>
    <s v="DalsinghSarai"/>
    <x v="481"/>
    <s v="GOMUKH Chiranjipur"/>
    <s v="vlc"/>
    <s v="Indirect"/>
    <n v="10232"/>
    <n v="411308.54000000004"/>
    <n v="0"/>
    <n v="0"/>
    <n v="0"/>
    <n v="0"/>
    <n v="0"/>
    <n v="0"/>
    <n v="411308.54000000004"/>
    <n v="0"/>
    <n v="0"/>
    <n v="0"/>
    <n v="0"/>
    <n v="0"/>
    <n v="0"/>
    <n v="0"/>
    <n v="0"/>
    <n v="411308.54000000004"/>
    <n v="0"/>
    <n v="0"/>
    <n v="0"/>
    <n v="0"/>
    <n v="0"/>
    <n v="0"/>
    <m/>
    <s v="DalsinghSarai"/>
    <m/>
    <n v="0"/>
  </r>
  <r>
    <s v="Munger"/>
    <s v="10-16 Jul"/>
    <n v="1012"/>
    <s v="DalsinghSarai"/>
    <x v="482"/>
    <s v="Gomukh Sahu Tol"/>
    <s v="vlc"/>
    <s v="Indirect"/>
    <n v="1562.4"/>
    <n v="62505.51"/>
    <n v="0"/>
    <n v="0"/>
    <n v="0"/>
    <n v="0"/>
    <n v="0"/>
    <n v="0"/>
    <n v="62505.51"/>
    <n v="0"/>
    <n v="0"/>
    <n v="0"/>
    <n v="0"/>
    <n v="0"/>
    <n v="0"/>
    <n v="0"/>
    <n v="0"/>
    <n v="62505.51"/>
    <n v="0"/>
    <n v="0"/>
    <n v="0"/>
    <n v="0"/>
    <n v="0"/>
    <n v="0"/>
    <m/>
    <s v="DalsinghSarai"/>
    <m/>
    <n v="0"/>
  </r>
  <r>
    <s v="Munger"/>
    <s v="10-16 Jul"/>
    <n v="1012"/>
    <s v="DalsinghSarai"/>
    <x v="483"/>
    <s v="Gomukh Mordiwa East"/>
    <s v="MPG"/>
    <s v="Direct"/>
    <n v="1064.6000000000001"/>
    <n v="42279.12999999999"/>
    <n v="204.09"/>
    <n v="8237.67"/>
    <n v="856.72000000000014"/>
    <n v="34039.860000000008"/>
    <n v="1060.8100000000002"/>
    <n v="42277.530000000006"/>
    <n v="42277.530000000006"/>
    <n v="0"/>
    <n v="311.36"/>
    <n v="0"/>
    <n v="2800"/>
    <n v="0"/>
    <n v="0"/>
    <n v="5437"/>
    <n v="33730"/>
    <n v="0"/>
    <n v="1"/>
    <n v="0"/>
    <n v="0"/>
    <n v="0"/>
    <n v="3.7843730464273822E-5"/>
    <n v="19"/>
    <m/>
    <s v="DalsinghSarai"/>
    <m/>
    <n v="0"/>
  </r>
  <r>
    <s v="Munger"/>
    <s v="10-16 Jul"/>
    <n v="1012"/>
    <s v="DalsinghSarai"/>
    <x v="484"/>
    <s v="Gomukh Belamegh"/>
    <s v="vlc"/>
    <s v="Indirect"/>
    <n v="1840"/>
    <n v="69617.7"/>
    <n v="0"/>
    <n v="0"/>
    <n v="0"/>
    <n v="0"/>
    <n v="0"/>
    <n v="0"/>
    <n v="69617.7"/>
    <n v="0"/>
    <n v="0"/>
    <n v="0"/>
    <n v="0"/>
    <n v="0"/>
    <n v="0"/>
    <n v="0"/>
    <n v="0"/>
    <n v="69617.7"/>
    <n v="0"/>
    <n v="0"/>
    <n v="0"/>
    <n v="0"/>
    <n v="0"/>
    <n v="0"/>
    <m/>
    <s v="DalsinghSarai"/>
    <m/>
    <n v="0"/>
  </r>
  <r>
    <s v="Munger"/>
    <s v="10-16 Jul"/>
    <n v="1012"/>
    <s v="DalsinghSarai"/>
    <x v="485"/>
    <s v="Gomukh Ramaiya"/>
    <s v="MPG"/>
    <s v="Direct"/>
    <n v="810.60000000000014"/>
    <n v="32635.809999999998"/>
    <n v="793.69999999999993"/>
    <n v="31977.809999999998"/>
    <n v="16.8"/>
    <n v="620.6099999999999"/>
    <n v="810.49999999999989"/>
    <n v="32598.42"/>
    <n v="32598.42"/>
    <n v="0"/>
    <n v="0"/>
    <n v="0"/>
    <n v="0"/>
    <n v="0"/>
    <n v="0"/>
    <n v="31978"/>
    <n v="620"/>
    <n v="0"/>
    <n v="38"/>
    <n v="0"/>
    <n v="0"/>
    <n v="0"/>
    <n v="1.1456740310719857E-3"/>
    <n v="12"/>
    <m/>
    <s v="DalsinghSarai"/>
    <m/>
    <n v="0"/>
  </r>
  <r>
    <s v="Munger"/>
    <s v="10-16 Jul"/>
    <n v="1012"/>
    <s v="DalsinghSarai"/>
    <x v="486"/>
    <s v="GOMUKH MANIKA EAST"/>
    <s v="MPG"/>
    <s v="Direct"/>
    <n v="636.45000000000005"/>
    <n v="24361.75"/>
    <n v="381.82"/>
    <n v="15783.93"/>
    <n v="203.7"/>
    <n v="8578.1700000000019"/>
    <n v="585.52"/>
    <n v="24362.100000000002"/>
    <n v="24361.75"/>
    <n v="0"/>
    <n v="0"/>
    <n v="0.35000000000218279"/>
    <n v="0"/>
    <n v="0"/>
    <n v="0"/>
    <n v="15783"/>
    <n v="8579"/>
    <n v="0"/>
    <n v="0"/>
    <n v="0"/>
    <n v="48.650772645140982"/>
    <n v="90.921428571428578"/>
    <n v="-1.4366783995492229E-5"/>
    <n v="14"/>
    <m/>
    <s v="DalsinghSarai"/>
    <m/>
    <n v="0"/>
  </r>
  <r>
    <s v="Munger"/>
    <s v="10-16 Jul"/>
    <n v="1012"/>
    <s v="DalsinghSarai"/>
    <x v="487"/>
    <s v="IMADPUR"/>
    <s v="vlc"/>
    <s v="Indirect"/>
    <n v="1374.8000000000002"/>
    <n v="51226.01999999999"/>
    <n v="0"/>
    <n v="0"/>
    <n v="0"/>
    <n v="0"/>
    <n v="0"/>
    <n v="0"/>
    <n v="51226.01999999999"/>
    <n v="0"/>
    <n v="0"/>
    <n v="0"/>
    <n v="0"/>
    <n v="0"/>
    <n v="0"/>
    <n v="0"/>
    <n v="0"/>
    <n v="51226.01999999999"/>
    <n v="0"/>
    <n v="0"/>
    <n v="0"/>
    <n v="0"/>
    <n v="0"/>
    <n v="0"/>
    <m/>
    <s v="DalsinghSarai"/>
    <m/>
    <n v="0"/>
  </r>
  <r>
    <s v="Munger"/>
    <s v="10-16 Jul"/>
    <n v="1012"/>
    <s v="DalsinghSarai"/>
    <x v="488"/>
    <s v="GOMUKH Kisanpur Tabhka"/>
    <s v="MPG"/>
    <s v="Direct"/>
    <n v="1078.4000000000001"/>
    <n v="43505.01"/>
    <n v="148.34000000000003"/>
    <n v="5955.89"/>
    <n v="929.7"/>
    <n v="37547.340000000004"/>
    <n v="1078.04"/>
    <n v="43503.23"/>
    <n v="43503.23"/>
    <n v="0"/>
    <n v="0"/>
    <n v="0"/>
    <n v="0"/>
    <n v="0"/>
    <n v="0"/>
    <n v="5956"/>
    <n v="37547"/>
    <n v="0"/>
    <n v="2"/>
    <n v="0"/>
    <n v="0"/>
    <n v="0"/>
    <n v="4.0914827970361016E-5"/>
    <n v="10"/>
    <m/>
    <s v="DalsinghSarai"/>
    <m/>
    <n v="0"/>
  </r>
  <r>
    <s v="Munger"/>
    <s v="10-16 Jul"/>
    <n v="1012"/>
    <s v="DalsinghSarai"/>
    <x v="489"/>
    <s v="GOMUKH BIBHUTIPUR"/>
    <s v="MPG"/>
    <s v="Direct"/>
    <n v="92.75"/>
    <n v="3677.2400000000002"/>
    <n v="93.91"/>
    <n v="3618.09"/>
    <n v="0"/>
    <n v="0"/>
    <n v="93.91"/>
    <n v="3618.09"/>
    <n v="3618.09"/>
    <n v="0"/>
    <n v="0"/>
    <n v="0"/>
    <n v="0"/>
    <n v="500"/>
    <n v="0"/>
    <n v="3118"/>
    <n v="0"/>
    <n v="0"/>
    <n v="59"/>
    <n v="0"/>
    <n v="481.51029433962265"/>
    <n v="13.25"/>
    <n v="1.608543364044775E-2"/>
    <n v="2"/>
    <m/>
    <s v="DalsinghSarai"/>
    <m/>
    <n v="500"/>
  </r>
  <r>
    <s v="Munger"/>
    <s v="10-16 Jul"/>
    <n v="1012"/>
    <s v="DalsinghSarai"/>
    <x v="490"/>
    <s v="GOMUKH PATHAKTOL"/>
    <s v="MPG"/>
    <s v="Direct"/>
    <n v="182.65"/>
    <n v="7662.84"/>
    <n v="124.10000000000001"/>
    <n v="5213.4399999999996"/>
    <n v="66.300000000000011"/>
    <n v="2445.5299999999997"/>
    <n v="190.40000000000003"/>
    <n v="7658.9699999999993"/>
    <n v="7658.9699999999993"/>
    <n v="0"/>
    <n v="0"/>
    <n v="0"/>
    <n v="0"/>
    <n v="500"/>
    <n v="0"/>
    <n v="4713"/>
    <n v="2446"/>
    <n v="0"/>
    <n v="4"/>
    <n v="0"/>
    <n v="434.0947466739666"/>
    <n v="26.092857142857145"/>
    <n v="5.0503468687859861E-4"/>
    <n v="5"/>
    <m/>
    <s v="DalsinghSarai"/>
    <m/>
    <n v="500"/>
  </r>
  <r>
    <s v="Munger"/>
    <s v="10-16 Jul"/>
    <n v="1012"/>
    <s v="DalsinghSarai"/>
    <x v="491"/>
    <s v="Gomukh Musapur West"/>
    <s v="vlc"/>
    <s v="Indirect"/>
    <n v="1725.9"/>
    <n v="66496.289999999994"/>
    <n v="0"/>
    <n v="0"/>
    <n v="0"/>
    <n v="0"/>
    <n v="0"/>
    <n v="0"/>
    <n v="66496.289999999994"/>
    <n v="0"/>
    <n v="0"/>
    <n v="0"/>
    <n v="0"/>
    <n v="0"/>
    <n v="0"/>
    <n v="0"/>
    <n v="0"/>
    <n v="66496.289999999994"/>
    <n v="0"/>
    <n v="0"/>
    <n v="0"/>
    <n v="0"/>
    <n v="0"/>
    <n v="0"/>
    <m/>
    <s v="DalsinghSarai"/>
    <m/>
    <n v="0"/>
  </r>
  <r>
    <s v="Munger"/>
    <s v="10-16 Jul"/>
    <n v="1012"/>
    <s v="DalsinghSarai"/>
    <x v="492"/>
    <s v="GOMUKH DADHIYA RAMKRISHANPUR"/>
    <s v="MPG"/>
    <s v="Direct"/>
    <n v="1378.2000000000005"/>
    <n v="59559.659999999989"/>
    <n v="346.8"/>
    <n v="13795.53"/>
    <n v="1056.3000000000002"/>
    <n v="45751.34"/>
    <n v="1403.1000000000001"/>
    <n v="59546.869999999995"/>
    <n v="59546.869999999995"/>
    <n v="0"/>
    <n v="1767.5800000000002"/>
    <n v="0"/>
    <n v="1066.5"/>
    <n v="0"/>
    <n v="0"/>
    <n v="13795"/>
    <n v="42919"/>
    <n v="0"/>
    <n v="12"/>
    <n v="0"/>
    <n v="0"/>
    <n v="0"/>
    <n v="2.1474266307083687E-4"/>
    <n v="27"/>
    <m/>
    <s v="DalsinghSarai"/>
    <m/>
    <n v="0"/>
  </r>
  <r>
    <s v="Munger"/>
    <s v="10-16 Jul"/>
    <n v="1012"/>
    <s v="DalsinghSarai"/>
    <x v="493"/>
    <s v="Gomukh Simri Ward 4"/>
    <s v="vlc"/>
    <s v="Indirect"/>
    <n v="500"/>
    <n v="19390"/>
    <n v="0"/>
    <n v="0"/>
    <n v="0"/>
    <n v="0"/>
    <n v="0"/>
    <n v="0"/>
    <n v="19390"/>
    <n v="0"/>
    <n v="0"/>
    <n v="0"/>
    <n v="0"/>
    <n v="0"/>
    <n v="0"/>
    <n v="0"/>
    <n v="0"/>
    <n v="19390"/>
    <n v="0"/>
    <n v="0"/>
    <n v="155.12"/>
    <n v="71.428571428571431"/>
    <n v="0"/>
    <n v="0"/>
    <m/>
    <s v="DalsinghSarai"/>
    <m/>
    <n v="0"/>
  </r>
  <r>
    <s v="Munger"/>
    <s v="10-16 Jul"/>
    <n v="1012"/>
    <s v="DalsinghSarai"/>
    <x v="494"/>
    <s v="GOMUKH BALTHARA"/>
    <s v="MPG"/>
    <s v="Direct"/>
    <n v="409"/>
    <n v="17149.370000000003"/>
    <n v="102.03"/>
    <n v="4329.0999999999995"/>
    <n v="307.87"/>
    <n v="12795.420000000002"/>
    <n v="409.9"/>
    <n v="17124.52"/>
    <n v="17124.52"/>
    <n v="0"/>
    <n v="0"/>
    <n v="0"/>
    <n v="208"/>
    <n v="0"/>
    <n v="0"/>
    <n v="4121"/>
    <n v="12796"/>
    <n v="0"/>
    <n v="24"/>
    <n v="0"/>
    <n v="244.03260000000006"/>
    <n v="58.428571428571431"/>
    <n v="1.4490328216139822E-3"/>
    <n v="11"/>
    <m/>
    <s v="DalsinghSarai"/>
    <m/>
    <n v="0"/>
  </r>
  <r>
    <s v="Munger"/>
    <s v="10-16 Jul"/>
    <n v="1012"/>
    <s v="DalsinghSarai"/>
    <x v="495"/>
    <s v="GOMUKH BHASINGPUR"/>
    <s v="MPG"/>
    <s v="Direct"/>
    <n v="1204.2000000000003"/>
    <n v="51717.750000000007"/>
    <n v="697.26"/>
    <n v="29820"/>
    <n v="506.51"/>
    <n v="21892.969999999998"/>
    <n v="1203.77"/>
    <n v="51712.97"/>
    <n v="51712.97"/>
    <n v="0"/>
    <n v="0"/>
    <n v="0"/>
    <n v="7000"/>
    <n v="0"/>
    <n v="0"/>
    <n v="22820"/>
    <n v="21893"/>
    <n v="0"/>
    <n v="5"/>
    <n v="0"/>
    <n v="0"/>
    <n v="0"/>
    <n v="9.2424747789803517E-5"/>
    <n v="19"/>
    <m/>
    <s v="DalsinghSarai"/>
    <m/>
    <n v="0"/>
  </r>
  <r>
    <s v="Munger"/>
    <s v="10-16 Jul"/>
    <n v="1012"/>
    <s v="DalsinghSarai"/>
    <x v="496"/>
    <s v="GOMUKH Chakhale Dad"/>
    <s v="MPG"/>
    <s v="Direct"/>
    <n v="972.30000000000007"/>
    <n v="38148.239999999998"/>
    <n v="593.63999999999987"/>
    <n v="24153.360000000001"/>
    <n v="365.40999999999997"/>
    <n v="13994.48"/>
    <n v="959.04999999999984"/>
    <n v="38147.839999999997"/>
    <n v="38147.839999999997"/>
    <n v="0"/>
    <n v="153.36000000000001"/>
    <n v="0"/>
    <n v="0"/>
    <n v="0"/>
    <n v="0"/>
    <n v="24154"/>
    <n v="13841"/>
    <n v="0"/>
    <n v="0"/>
    <n v="0"/>
    <n v="0"/>
    <n v="0"/>
    <n v="1.0485411646813987E-5"/>
    <n v="20"/>
    <m/>
    <s v="DalsinghSarai"/>
    <m/>
    <n v="0"/>
  </r>
  <r>
    <s v="Munger"/>
    <s v="10-16 Jul"/>
    <n v="1012"/>
    <s v="DalsinghSarai"/>
    <x v="497"/>
    <s v="Gomukh Simri"/>
    <s v="vlc"/>
    <s v="Indirect"/>
    <n v="980.55000000000007"/>
    <n v="40176.82"/>
    <n v="0"/>
    <n v="0"/>
    <n v="0"/>
    <n v="0"/>
    <n v="0"/>
    <n v="0"/>
    <n v="40176.82"/>
    <n v="0"/>
    <n v="0"/>
    <n v="0"/>
    <n v="0"/>
    <n v="0"/>
    <n v="0"/>
    <n v="0"/>
    <n v="0"/>
    <n v="40176.82"/>
    <n v="0"/>
    <n v="0"/>
    <n v="0"/>
    <n v="0"/>
    <n v="0"/>
    <n v="0"/>
    <m/>
    <s v="DalsinghSarai"/>
    <m/>
    <n v="0"/>
  </r>
  <r>
    <s v="Munger"/>
    <s v="10-16 Jul"/>
    <n v="1013"/>
    <s v="Musrigharari"/>
    <x v="498"/>
    <s v="GOMUKH BANGHARH KISHANPUR"/>
    <s v="MPG"/>
    <s v="Direct"/>
    <n v="710.00000000000011"/>
    <n v="26537.71"/>
    <n v="145.22"/>
    <n v="5310.3200000000006"/>
    <n v="623.1"/>
    <n v="23247.030000000002"/>
    <n v="768.32"/>
    <n v="28557.350000000002"/>
    <n v="26537.71"/>
    <n v="0"/>
    <n v="83.759999999999991"/>
    <n v="2019.6400000000031"/>
    <n v="0"/>
    <n v="0"/>
    <n v="0"/>
    <n v="3290"/>
    <n v="23164"/>
    <n v="0"/>
    <n v="0"/>
    <n v="0"/>
    <n v="0"/>
    <n v="0"/>
    <n v="-7.6104532003703526E-2"/>
    <n v="16"/>
    <m/>
    <s v="Musrigharari"/>
    <m/>
    <n v="0"/>
  </r>
  <r>
    <s v="Munger"/>
    <s v="10-16 Jul"/>
    <n v="1013"/>
    <s v="Musrigharari"/>
    <x v="499"/>
    <s v="Gomukh Serpur Narsari"/>
    <s v="vlc"/>
    <s v="Indirect"/>
    <n v="195.5"/>
    <n v="6898.59"/>
    <n v="0"/>
    <n v="0"/>
    <n v="0"/>
    <n v="0"/>
    <n v="0"/>
    <n v="0"/>
    <n v="6898.59"/>
    <n v="0"/>
    <n v="0"/>
    <n v="0"/>
    <n v="0"/>
    <n v="0"/>
    <n v="0"/>
    <n v="0"/>
    <n v="0"/>
    <n v="6898.59"/>
    <n v="0"/>
    <n v="0"/>
    <n v="356.04487519181589"/>
    <n v="27.928571428571427"/>
    <n v="0"/>
    <n v="0"/>
    <m/>
    <s v="Musrigharari"/>
    <m/>
    <n v="0"/>
  </r>
  <r>
    <s v="Munger"/>
    <s v="10-16 Jul"/>
    <n v="1013"/>
    <s v="Musrigharari"/>
    <x v="500"/>
    <s v="PARORIYA"/>
    <s v="MPG"/>
    <s v="Direct"/>
    <n v="114.10000000000001"/>
    <n v="3704.16"/>
    <n v="113.03"/>
    <n v="3653.38"/>
    <n v="1.1000000000000001"/>
    <n v="33.380000000000003"/>
    <n v="114.13"/>
    <n v="3686.76"/>
    <n v="3686.76"/>
    <n v="0"/>
    <n v="33.380000000000003"/>
    <n v="0"/>
    <n v="0"/>
    <n v="0"/>
    <n v="0"/>
    <n v="3654"/>
    <n v="0"/>
    <n v="0"/>
    <n v="17"/>
    <n v="0"/>
    <n v="380.41495950920239"/>
    <n v="16.3"/>
    <n v="4.6974212776984894E-3"/>
    <n v="5"/>
    <m/>
    <s v="Musrigharari"/>
    <m/>
    <n v="0"/>
  </r>
  <r>
    <s v="Munger"/>
    <s v="10-16 Jul"/>
    <n v="1013"/>
    <s v="Musrigharari"/>
    <x v="501"/>
    <s v="JHAKHRA"/>
    <s v="MPG"/>
    <s v="Indirect"/>
    <n v="38.900000000000006"/>
    <n v="1376.89"/>
    <n v="0"/>
    <n v="0"/>
    <n v="0"/>
    <n v="0"/>
    <n v="0"/>
    <n v="0"/>
    <n v="1376.89"/>
    <n v="0"/>
    <n v="0"/>
    <n v="0"/>
    <n v="1377"/>
    <n v="0"/>
    <n v="0"/>
    <n v="0"/>
    <n v="0"/>
    <n v="-0.10999999999989996"/>
    <n v="0"/>
    <n v="0"/>
    <n v="468.00101748071967"/>
    <n v="5.5571428571428578"/>
    <n v="0"/>
    <n v="0"/>
    <m/>
    <s v="Musrigharari"/>
    <m/>
    <n v="0"/>
  </r>
  <r>
    <s v="Munger"/>
    <s v="10-16 Jul"/>
    <n v="1013"/>
    <s v="Musrigharari"/>
    <x v="502"/>
    <s v="GOMUKH ANDAHA"/>
    <s v="MPG"/>
    <s v="Direct"/>
    <n v="545.59999999999991"/>
    <n v="21084.700000000004"/>
    <n v="556.78"/>
    <n v="21054.25"/>
    <n v="0"/>
    <n v="0"/>
    <n v="556.78"/>
    <n v="21054.25"/>
    <n v="21054.25"/>
    <n v="0"/>
    <n v="0"/>
    <n v="0"/>
    <n v="884"/>
    <n v="0"/>
    <n v="0"/>
    <n v="20169"/>
    <n v="0"/>
    <n v="0"/>
    <n v="32"/>
    <n v="0"/>
    <n v="119.33569208211151"/>
    <n v="77.942857142857136"/>
    <n v="1.4441751601874514E-3"/>
    <n v="10"/>
    <m/>
    <s v="Musrigharari"/>
    <m/>
    <n v="0"/>
  </r>
  <r>
    <s v="Munger"/>
    <s v="10-16 Jul"/>
    <n v="1013"/>
    <s v="Musrigharari"/>
    <x v="503"/>
    <s v="Gomukha Rohua"/>
    <s v="MPG"/>
    <s v="Direct"/>
    <n v="362.19999999999993"/>
    <n v="14373.220000000001"/>
    <n v="309.77000000000004"/>
    <n v="13273.2"/>
    <n v="18.649999999999999"/>
    <n v="768.75"/>
    <n v="328.42"/>
    <n v="14041.95"/>
    <n v="14041.95"/>
    <n v="0"/>
    <n v="152.64000000000001"/>
    <n v="0"/>
    <n v="0"/>
    <n v="0"/>
    <n v="0"/>
    <n v="13274"/>
    <n v="616"/>
    <n v="0"/>
    <n v="331"/>
    <n v="0"/>
    <n v="268.09904561016026"/>
    <n v="51.742857142857133"/>
    <n v="2.304772347462854E-2"/>
    <n v="10"/>
    <m/>
    <s v="Musrigharari"/>
    <m/>
    <n v="0"/>
  </r>
  <r>
    <s v="Munger"/>
    <s v="10-16 Jul"/>
    <n v="1013"/>
    <s v="Musrigharari"/>
    <x v="504"/>
    <s v="Gomukha Arniya Ganj"/>
    <s v="MPG"/>
    <s v="Direct"/>
    <n v="3104.2999999999997"/>
    <n v="117323.11999999997"/>
    <n v="1640.8999999999999"/>
    <n v="62935.110000000008"/>
    <n v="1440.7000000000005"/>
    <n v="54375.73"/>
    <n v="3081.6000000000004"/>
    <n v="117310.84000000001"/>
    <n v="117310.84000000001"/>
    <n v="0"/>
    <n v="1378.71"/>
    <n v="0"/>
    <n v="0"/>
    <n v="0"/>
    <n v="0"/>
    <n v="62937"/>
    <n v="52996"/>
    <n v="0"/>
    <n v="11"/>
    <n v="0"/>
    <n v="0"/>
    <n v="0"/>
    <n v="1.0466820179991109E-4"/>
    <n v="56"/>
    <m/>
    <s v="Musrigharari"/>
    <m/>
    <n v="0"/>
  </r>
  <r>
    <s v="Munger"/>
    <s v="10-16 Jul"/>
    <n v="1013"/>
    <s v="Musrigharari"/>
    <x v="505"/>
    <s v="Gomukha Vishanupatti II"/>
    <s v="MPG"/>
    <s v="Indirect"/>
    <n v="734.50000000000011"/>
    <n v="27103.48"/>
    <n v="0"/>
    <n v="0"/>
    <n v="0"/>
    <n v="0"/>
    <n v="0"/>
    <n v="0"/>
    <n v="27103.48"/>
    <n v="0"/>
    <n v="0"/>
    <n v="0"/>
    <n v="2800"/>
    <n v="0"/>
    <n v="0"/>
    <n v="0"/>
    <n v="0"/>
    <n v="24303.48"/>
    <n v="0"/>
    <n v="0"/>
    <n v="0"/>
    <n v="0"/>
    <n v="0"/>
    <n v="0"/>
    <m/>
    <s v="Musrigharari"/>
    <m/>
    <n v="0"/>
  </r>
  <r>
    <s v="Munger"/>
    <s v="10-16 Jul"/>
    <n v="1013"/>
    <s v="Musrigharari"/>
    <x v="506"/>
    <s v="Gomukh Khesarhiya"/>
    <s v="MPG"/>
    <s v="Indirect"/>
    <n v="260.89999999999998"/>
    <n v="10700.39"/>
    <n v="0"/>
    <n v="0"/>
    <n v="0"/>
    <n v="0"/>
    <n v="0"/>
    <n v="0"/>
    <n v="10700.39"/>
    <n v="0"/>
    <n v="0"/>
    <n v="0"/>
    <n v="0"/>
    <n v="0"/>
    <n v="0"/>
    <n v="0"/>
    <n v="0"/>
    <n v="10700.39"/>
    <n v="0"/>
    <n v="0"/>
    <n v="360.17947481793794"/>
    <n v="37.271428571428565"/>
    <n v="0"/>
    <n v="0"/>
    <m/>
    <s v="Musrigharari"/>
    <m/>
    <n v="0"/>
  </r>
  <r>
    <s v="Munger"/>
    <s v="10-16 Jul"/>
    <n v="1013"/>
    <s v="Musrigharari"/>
    <x v="507"/>
    <s v="Harsingpur"/>
    <s v="MPG"/>
    <s v="Indirect"/>
    <n v="433.79999999999995"/>
    <n v="15183.59"/>
    <n v="0"/>
    <n v="0"/>
    <n v="0"/>
    <n v="0"/>
    <n v="0"/>
    <n v="0"/>
    <n v="15183.59"/>
    <n v="0"/>
    <n v="0"/>
    <n v="0"/>
    <n v="0"/>
    <n v="0"/>
    <n v="0"/>
    <n v="0"/>
    <n v="0"/>
    <n v="15183.59"/>
    <n v="0"/>
    <n v="0"/>
    <n v="186.34724103273405"/>
    <n v="61.971428571428568"/>
    <n v="0"/>
    <n v="0"/>
    <m/>
    <s v="Musrigharari"/>
    <m/>
    <n v="0"/>
  </r>
  <r>
    <s v="Munger"/>
    <s v="10-16 Jul"/>
    <n v="1013"/>
    <s v="Musrigharari"/>
    <x v="508"/>
    <s v="Gomukh ID Mahathi"/>
    <s v="vlc"/>
    <s v="Indirect"/>
    <n v="635.70000000000005"/>
    <n v="25719.47"/>
    <n v="0"/>
    <n v="0"/>
    <n v="0"/>
    <n v="0"/>
    <n v="0"/>
    <n v="0"/>
    <n v="25719.47"/>
    <n v="0"/>
    <n v="0"/>
    <n v="0"/>
    <n v="264"/>
    <n v="0"/>
    <n v="0"/>
    <n v="0"/>
    <n v="0"/>
    <n v="25455.47"/>
    <n v="0"/>
    <n v="0"/>
    <n v="52.029634135598535"/>
    <n v="90.814285714285717"/>
    <n v="0"/>
    <n v="0"/>
    <m/>
    <s v="Musrigharari"/>
    <m/>
    <n v="0"/>
  </r>
  <r>
    <s v="Munger"/>
    <s v="10-16 Jul"/>
    <n v="1013"/>
    <s v="Musrigharari"/>
    <x v="509"/>
    <s v="MURTUJAPUR"/>
    <s v="MPG"/>
    <s v="Indirect"/>
    <n v="395.40000000000003"/>
    <n v="16563.810000000001"/>
    <n v="0"/>
    <n v="0"/>
    <n v="0"/>
    <n v="0"/>
    <n v="0"/>
    <n v="0"/>
    <n v="16563.810000000001"/>
    <n v="0"/>
    <n v="0"/>
    <n v="0"/>
    <n v="0"/>
    <n v="0"/>
    <n v="0"/>
    <n v="0"/>
    <n v="0"/>
    <n v="16563.810000000001"/>
    <n v="0"/>
    <n v="0"/>
    <n v="255.20164522003031"/>
    <n v="56.485714285714288"/>
    <n v="0"/>
    <n v="0"/>
    <m/>
    <s v="Musrigharari"/>
    <m/>
    <n v="0"/>
  </r>
  <r>
    <s v="Munger"/>
    <s v="10-16 Jul"/>
    <n v="1013"/>
    <s v="Musrigharari"/>
    <x v="510"/>
    <s v="Rasalpur"/>
    <s v="MPG"/>
    <s v="Direct"/>
    <n v="190.2"/>
    <n v="7893.4400000000005"/>
    <n v="50.27"/>
    <n v="2419.8900000000003"/>
    <n v="128.37"/>
    <n v="5468.33"/>
    <n v="178.64000000000001"/>
    <n v="7888.22"/>
    <n v="7888.22"/>
    <n v="0"/>
    <n v="72.06"/>
    <n v="0"/>
    <n v="0"/>
    <n v="500"/>
    <n v="0"/>
    <n v="1920"/>
    <n v="5396"/>
    <n v="0"/>
    <n v="5"/>
    <n v="0"/>
    <n v="423.14150494216614"/>
    <n v="27.171428571428571"/>
    <n v="6.6130863096447868E-4"/>
    <n v="8"/>
    <m/>
    <s v="Musrigharari"/>
    <m/>
    <n v="500"/>
  </r>
  <r>
    <s v="Munger"/>
    <s v="10-16 Jul"/>
    <n v="1013"/>
    <s v="Musrigharari"/>
    <x v="511"/>
    <s v="Gomukh VISHNUPATTI"/>
    <s v="MPG"/>
    <s v="Indirect"/>
    <n v="87.2"/>
    <n v="3368.5199999999995"/>
    <n v="0"/>
    <n v="0"/>
    <n v="0"/>
    <n v="0"/>
    <n v="0"/>
    <n v="0"/>
    <n v="3368.5199999999995"/>
    <n v="0"/>
    <n v="0"/>
    <n v="0"/>
    <n v="0"/>
    <n v="0"/>
    <n v="0"/>
    <n v="0"/>
    <n v="0"/>
    <n v="3368.5199999999995"/>
    <n v="0"/>
    <n v="0"/>
    <n v="473.44703119266046"/>
    <n v="12.457142857142857"/>
    <n v="0"/>
    <n v="0"/>
    <m/>
    <s v="Musrigharari"/>
    <m/>
    <n v="0"/>
  </r>
  <r>
    <s v="Munger"/>
    <s v="10-16 Jul"/>
    <n v="1013"/>
    <s v="Musrigharari"/>
    <x v="512"/>
    <s v="Chhuchhipur                                                                                         "/>
    <s v="MPG"/>
    <s v="Direct"/>
    <n v="342.99999999999994"/>
    <n v="11586.620000000003"/>
    <n v="282.39999999999998"/>
    <n v="9882.6999999999971"/>
    <n v="53.8"/>
    <n v="1674.6000000000001"/>
    <n v="336.2"/>
    <n v="11557.299999999997"/>
    <n v="11557.299999999997"/>
    <n v="0"/>
    <n v="0"/>
    <n v="0"/>
    <n v="1400"/>
    <n v="0"/>
    <n v="0"/>
    <n v="8482"/>
    <n v="1675"/>
    <n v="0"/>
    <n v="30"/>
    <n v="0"/>
    <n v="241.19086530612259"/>
    <n v="48.999999999999993"/>
    <n v="2.5305050135419269E-3"/>
    <n v="8"/>
    <m/>
    <s v="Musrigharari"/>
    <m/>
    <n v="0"/>
  </r>
  <r>
    <s v="Munger"/>
    <s v="10-16 Jul"/>
    <n v="1013"/>
    <s v="Musrigharari"/>
    <x v="513"/>
    <s v="Gomukh ID Sararanjan"/>
    <s v="vlc"/>
    <s v="Indirect"/>
    <n v="130.1"/>
    <n v="4528.34"/>
    <n v="0"/>
    <n v="0"/>
    <n v="0"/>
    <n v="0"/>
    <n v="0"/>
    <n v="0"/>
    <n v="4528.34"/>
    <n v="0"/>
    <n v="0"/>
    <n v="0"/>
    <n v="3339"/>
    <n v="0"/>
    <n v="0"/>
    <n v="0"/>
    <n v="0"/>
    <n v="1189.3400000000001"/>
    <n v="0"/>
    <n v="0"/>
    <n v="396.7257441967717"/>
    <n v="18.585714285714285"/>
    <n v="0"/>
    <n v="0"/>
    <m/>
    <s v="Musrigharari"/>
    <m/>
    <n v="0"/>
  </r>
  <r>
    <s v="Munger"/>
    <s v="10-16 Jul"/>
    <n v="1013"/>
    <s v="Musrigharari"/>
    <x v="514"/>
    <s v="Gomukh Soharthi Purvi Tola                                                                          "/>
    <s v="MPG"/>
    <s v="Direct"/>
    <n v="71.2"/>
    <n v="3062.07"/>
    <n v="58.000000000000007"/>
    <n v="2574.7199999999998"/>
    <n v="9"/>
    <n v="320.64"/>
    <n v="67"/>
    <n v="2895.3599999999997"/>
    <n v="2895.3599999999997"/>
    <n v="0"/>
    <n v="0"/>
    <n v="0"/>
    <n v="0"/>
    <n v="500"/>
    <n v="0"/>
    <n v="2075"/>
    <n v="321"/>
    <n v="0"/>
    <n v="166"/>
    <n v="0"/>
    <n v="540.85101573033705"/>
    <n v="10.171428571428573"/>
    <n v="5.4443562687985739E-2"/>
    <n v="3"/>
    <m/>
    <s v="Musrigharari"/>
    <m/>
    <n v="500"/>
  </r>
  <r>
    <s v="Munger"/>
    <s v="10-16 Jul"/>
    <n v="1013"/>
    <s v="Musrigharari"/>
    <x v="515"/>
    <s v="Birnama"/>
    <s v="vlc"/>
    <s v="Indirect"/>
    <n v="1044.9000000000001"/>
    <n v="28086.920000000002"/>
    <n v="0"/>
    <n v="0"/>
    <n v="0"/>
    <n v="0"/>
    <n v="0"/>
    <n v="0"/>
    <n v="28086.920000000002"/>
    <n v="0"/>
    <n v="0"/>
    <n v="0"/>
    <n v="0"/>
    <n v="0"/>
    <n v="0"/>
    <n v="0"/>
    <n v="0"/>
    <n v="28086.920000000002"/>
    <n v="0"/>
    <n v="0"/>
    <n v="0"/>
    <n v="0"/>
    <n v="0"/>
    <n v="0"/>
    <m/>
    <s v="Musrigharari"/>
    <m/>
    <n v="0"/>
  </r>
  <r>
    <s v="Munger"/>
    <s v="10-16 Jul"/>
    <n v="1013"/>
    <s v="Musrigharari"/>
    <x v="516"/>
    <s v="Maraie - Rubi"/>
    <s v="vlc"/>
    <s v="Indirect"/>
    <n v="26.799999999999997"/>
    <n v="947.78"/>
    <n v="0"/>
    <n v="0"/>
    <n v="0"/>
    <n v="0"/>
    <n v="0"/>
    <n v="0"/>
    <n v="947.78"/>
    <n v="0"/>
    <n v="0"/>
    <n v="0"/>
    <n v="259"/>
    <n v="0"/>
    <n v="0"/>
    <n v="0"/>
    <n v="0"/>
    <n v="688.78"/>
    <n v="0"/>
    <n v="0"/>
    <n v="476.15335522388074"/>
    <n v="3.8285714285714283"/>
    <n v="0"/>
    <n v="0"/>
    <m/>
    <s v="Musrigharari"/>
    <m/>
    <n v="0"/>
  </r>
  <r>
    <s v="Munger"/>
    <s v="10-16 Jul"/>
    <n v="1013"/>
    <s v="Musrigharari"/>
    <x v="517"/>
    <s v="Arniya East Tola - Seema"/>
    <s v="vlc"/>
    <s v="Indirect"/>
    <n v="11.4"/>
    <n v="437.53"/>
    <n v="0"/>
    <n v="0"/>
    <n v="0"/>
    <n v="0"/>
    <n v="0"/>
    <n v="0"/>
    <n v="437.53"/>
    <n v="0"/>
    <n v="0"/>
    <n v="0"/>
    <n v="0"/>
    <n v="0"/>
    <n v="0"/>
    <n v="0"/>
    <n v="0"/>
    <n v="437.53"/>
    <n v="0"/>
    <n v="0"/>
    <n v="528.56694385964897"/>
    <n v="1.6285714285714286"/>
    <n v="0"/>
    <n v="0"/>
    <m/>
    <s v="Musrigharari"/>
    <m/>
    <n v="0"/>
  </r>
  <r>
    <s v="Munger"/>
    <s v="10-16 Jul"/>
    <n v="1013"/>
    <s v="Musrigharari"/>
    <x v="518"/>
    <s v="Lakshmipur Western Tol - Rajeev"/>
    <s v="MPG"/>
    <s v="Indirect"/>
    <n v="2628.0000000000005"/>
    <n v="118932.94000000002"/>
    <n v="0"/>
    <n v="0"/>
    <n v="0"/>
    <n v="0"/>
    <n v="0"/>
    <n v="0"/>
    <n v="118932.94000000002"/>
    <n v="0"/>
    <n v="0"/>
    <n v="0"/>
    <n v="0"/>
    <n v="0"/>
    <n v="0"/>
    <n v="0"/>
    <n v="0"/>
    <n v="118932.94000000002"/>
    <n v="0"/>
    <n v="0"/>
    <n v="0"/>
    <n v="0"/>
    <n v="0"/>
    <n v="0"/>
    <m/>
    <s v="Musrigharari"/>
    <m/>
    <n v="0"/>
  </r>
  <r>
    <s v="Munger"/>
    <s v="10-16 Jul"/>
    <n v="1013"/>
    <s v="Musrigharari"/>
    <x v="519"/>
    <s v="Jahangipur Salkhanni"/>
    <s v="MPG"/>
    <s v="Direct"/>
    <n v="330.10000000000008"/>
    <n v="14772.390000000001"/>
    <n v="275.91999999999996"/>
    <n v="12815.05"/>
    <n v="26.76"/>
    <n v="1817.79"/>
    <n v="302.67999999999995"/>
    <n v="14632.84"/>
    <n v="14632.84"/>
    <n v="0"/>
    <n v="0"/>
    <n v="0"/>
    <n v="1809"/>
    <n v="0"/>
    <n v="0"/>
    <n v="11006"/>
    <n v="1818"/>
    <n v="0"/>
    <n v="139"/>
    <n v="0"/>
    <n v="331.06980072705227"/>
    <n v="47.157142857142865"/>
    <n v="9.4466772133690678E-3"/>
    <n v="9"/>
    <m/>
    <s v="Musrigharari"/>
    <m/>
    <n v="0"/>
  </r>
  <r>
    <s v="Munger"/>
    <s v="10-16 Jul"/>
    <n v="1013"/>
    <s v="Musrigharari"/>
    <x v="520"/>
    <s v="Sekhpura"/>
    <s v="MPG"/>
    <s v="Direct"/>
    <n v="256.89999999999998"/>
    <n v="9829.9700000000012"/>
    <n v="253.36999999999995"/>
    <n v="9748.61"/>
    <n v="1.7899999999999998"/>
    <n v="65.94"/>
    <n v="255.15999999999994"/>
    <n v="9814.5500000000011"/>
    <n v="9814.5500000000011"/>
    <n v="0"/>
    <n v="65.94"/>
    <n v="0"/>
    <n v="0"/>
    <n v="0"/>
    <n v="0"/>
    <n v="9749"/>
    <n v="0"/>
    <n v="0"/>
    <n v="15"/>
    <n v="0"/>
    <n v="339.09378801089929"/>
    <n v="36.699999999999996"/>
    <n v="1.5686721322649073E-3"/>
    <n v="8"/>
    <m/>
    <s v="Musrigharari"/>
    <m/>
    <n v="0"/>
  </r>
  <r>
    <s v="Munger"/>
    <s v="10-16 Jul"/>
    <n v="1013"/>
    <s v="Musrigharari"/>
    <x v="521"/>
    <s v="Songar"/>
    <s v="MPG"/>
    <s v="Direct"/>
    <n v="1160.9000000000001"/>
    <n v="42077.99"/>
    <n v="834.42"/>
    <n v="30731.809999999998"/>
    <n v="324.32"/>
    <n v="11319.18"/>
    <n v="1158.74"/>
    <n v="42050.99"/>
    <n v="42050.99"/>
    <n v="0"/>
    <n v="493.14"/>
    <n v="0"/>
    <n v="316"/>
    <n v="0"/>
    <n v="0"/>
    <n v="30415"/>
    <n v="10827"/>
    <n v="0"/>
    <n v="27"/>
    <n v="0"/>
    <n v="0"/>
    <n v="0"/>
    <n v="6.4166563089158965E-4"/>
    <n v="28"/>
    <m/>
    <s v="Musrigharari"/>
    <m/>
    <n v="0"/>
  </r>
  <r>
    <s v="Munger"/>
    <s v="10-16 Jul"/>
    <n v="1013"/>
    <s v="Musrigharari"/>
    <x v="522"/>
    <s v="Rampur Maheshpur"/>
    <s v="MPG"/>
    <s v="Direct"/>
    <n v="804.59999999999991"/>
    <n v="32665.889999999996"/>
    <n v="320.71999999999997"/>
    <n v="13780.73"/>
    <n v="484.90999999999997"/>
    <n v="18869.009999999998"/>
    <n v="805.62999999999988"/>
    <n v="32649.739999999998"/>
    <n v="32649.739999999998"/>
    <n v="0"/>
    <n v="152.37"/>
    <n v="0"/>
    <n v="1238"/>
    <n v="0"/>
    <n v="0"/>
    <n v="12544"/>
    <n v="18716"/>
    <n v="0"/>
    <n v="16"/>
    <s v="Release1"/>
    <n v="0"/>
    <n v="0"/>
    <n v="4.9439950970256192E-4"/>
    <n v="18"/>
    <m/>
    <s v="Musrigharari"/>
    <m/>
    <n v="0"/>
  </r>
  <r>
    <s v="Munger"/>
    <s v="10-16 Jul"/>
    <n v="1013"/>
    <s v="Musrigharari"/>
    <x v="523"/>
    <s v="Godhiyari"/>
    <s v="vlc"/>
    <s v="Indirect"/>
    <n v="1344.7"/>
    <n v="44725.66"/>
    <n v="0"/>
    <n v="0"/>
    <n v="0"/>
    <n v="0"/>
    <n v="0"/>
    <n v="0"/>
    <n v="44725.66"/>
    <n v="0"/>
    <n v="0"/>
    <n v="0"/>
    <n v="0"/>
    <n v="0"/>
    <n v="0"/>
    <n v="0"/>
    <n v="0"/>
    <n v="44725.66"/>
    <n v="0"/>
    <n v="0"/>
    <n v="0"/>
    <n v="0"/>
    <n v="0"/>
    <n v="0"/>
    <m/>
    <s v="Musrigharari"/>
    <m/>
    <n v="0"/>
  </r>
  <r>
    <s v="Munger"/>
    <s v="10-16 Jul"/>
    <n v="1013"/>
    <s v="Musrigharari"/>
    <x v="524"/>
    <s v="Hussainipur Gobindpur"/>
    <s v="vlc"/>
    <s v="Indirect"/>
    <n v="274.10000000000002"/>
    <n v="11453.710000000001"/>
    <n v="0"/>
    <n v="0"/>
    <n v="0"/>
    <n v="0"/>
    <n v="0"/>
    <n v="0"/>
    <n v="11453.710000000001"/>
    <n v="0"/>
    <n v="0"/>
    <n v="0"/>
    <n v="0"/>
    <n v="0"/>
    <n v="0"/>
    <n v="0"/>
    <n v="0"/>
    <n v="11453.710000000001"/>
    <n v="0"/>
    <n v="0"/>
    <n v="355.9383501641737"/>
    <n v="39.157142857142858"/>
    <n v="0"/>
    <n v="0"/>
    <m/>
    <s v="Musrigharari"/>
    <m/>
    <n v="0"/>
  </r>
  <r>
    <s v="Munger"/>
    <s v="10-16 Jul"/>
    <n v="1013"/>
    <s v="Musrigharari"/>
    <x v="525"/>
    <s v="Jhakhra-Rambilash"/>
    <s v="vlc"/>
    <s v="Indirect"/>
    <n v="530.6"/>
    <n v="21093.58"/>
    <n v="0"/>
    <n v="0"/>
    <n v="0"/>
    <n v="0"/>
    <n v="0"/>
    <n v="0"/>
    <n v="21093.58"/>
    <n v="0"/>
    <n v="0"/>
    <n v="0"/>
    <n v="0"/>
    <n v="0"/>
    <n v="0"/>
    <n v="0"/>
    <n v="0"/>
    <n v="21093.58"/>
    <n v="0"/>
    <n v="0"/>
    <n v="134.68723905013198"/>
    <n v="75.8"/>
    <n v="0"/>
    <n v="0"/>
    <m/>
    <s v="Musrigharari"/>
    <m/>
    <n v="0"/>
  </r>
  <r>
    <s v="Munger"/>
    <s v="10-16 Jul"/>
    <n v="1013"/>
    <s v="Musrigharari"/>
    <x v="526"/>
    <s v="Dagarua"/>
    <s v="MPG"/>
    <s v="Direct"/>
    <n v="658.09999999999991"/>
    <n v="24850.499999999996"/>
    <n v="353.32000000000005"/>
    <n v="12981.849999999999"/>
    <n v="311.02000000000004"/>
    <n v="11873.440000000002"/>
    <n v="664.34000000000015"/>
    <n v="24855.29"/>
    <n v="24850.499999999996"/>
    <n v="0"/>
    <n v="0"/>
    <n v="4.7900000000045111"/>
    <n v="3100"/>
    <n v="0"/>
    <n v="0"/>
    <n v="9876"/>
    <n v="11874"/>
    <n v="0"/>
    <n v="0"/>
    <n v="0"/>
    <n v="31.643700045585824"/>
    <n v="94.014285714285705"/>
    <n v="-1.9275266091243684E-4"/>
    <n v="16"/>
    <m/>
    <s v="Musrigharari"/>
    <m/>
    <n v="0"/>
  </r>
  <r>
    <s v="Munger"/>
    <s v="10-16 Jul"/>
    <n v="1013"/>
    <s v="Musrigharari"/>
    <x v="527"/>
    <s v="Chakmilki"/>
    <s v="MPG"/>
    <s v="Direct"/>
    <n v="206.2"/>
    <n v="7827.15"/>
    <n v="98.960000000000008"/>
    <n v="3697.0299999999993"/>
    <n v="104.91999999999999"/>
    <n v="3850.66"/>
    <n v="203.88"/>
    <n v="7547.6899999999987"/>
    <n v="7547.6899999999987"/>
    <n v="0"/>
    <n v="99.92"/>
    <n v="0"/>
    <n v="0"/>
    <n v="0"/>
    <n v="0"/>
    <n v="3697"/>
    <n v="3750"/>
    <n v="0"/>
    <n v="280"/>
    <n v="0"/>
    <n v="374.88328516003878"/>
    <n v="29.457142857142856"/>
    <n v="3.5703927994225351E-2"/>
    <n v="10"/>
    <m/>
    <s v="Musrigharari"/>
    <m/>
    <n v="0"/>
  </r>
  <r>
    <s v="Munger"/>
    <s v="10-16 Jul"/>
    <n v="1013"/>
    <s v="Musrigharari"/>
    <x v="528"/>
    <s v="Gomukh Akaha"/>
    <s v="MPG"/>
    <s v="Direct"/>
    <n v="393.49999999999994"/>
    <n v="14463.660000000002"/>
    <n v="320.04000000000002"/>
    <n v="11578.470000000001"/>
    <n v="75.429999999999993"/>
    <n v="2881.8"/>
    <n v="395.47"/>
    <n v="14460.27"/>
    <n v="14460.27"/>
    <n v="0"/>
    <n v="34.090000000000003"/>
    <n v="0"/>
    <n v="0"/>
    <n v="500"/>
    <n v="0"/>
    <n v="11079"/>
    <n v="2847"/>
    <n v="0"/>
    <n v="4"/>
    <n v="0"/>
    <n v="225.31699059720469"/>
    <n v="56.214285714285708"/>
    <n v="2.3438050949768153E-4"/>
    <n v="8"/>
    <m/>
    <s v="Musrigharari"/>
    <m/>
    <n v="500"/>
  </r>
  <r>
    <s v="Munger"/>
    <s v="10-16 Jul"/>
    <n v="1013"/>
    <s v="Musrigharari"/>
    <x v="529"/>
    <s v="Nauachak-Pankaj"/>
    <s v="vlc"/>
    <s v="Indirect"/>
    <n v="21.400000000000002"/>
    <n v="779.33999999999992"/>
    <n v="0"/>
    <n v="0"/>
    <n v="0"/>
    <n v="0"/>
    <n v="0"/>
    <n v="0"/>
    <n v="779.33999999999992"/>
    <n v="0"/>
    <n v="0"/>
    <n v="0"/>
    <n v="0"/>
    <n v="0"/>
    <n v="0"/>
    <n v="0"/>
    <n v="0"/>
    <n v="779.33999999999992"/>
    <n v="0"/>
    <n v="0"/>
    <n v="494.26179813084093"/>
    <n v="3.0571428571428574"/>
    <n v="0"/>
    <n v="0"/>
    <m/>
    <s v="Musrigharari"/>
    <m/>
    <n v="0"/>
  </r>
  <r>
    <s v="Munger"/>
    <s v="10-16 Jul"/>
    <n v="1013"/>
    <s v="Musrigharari"/>
    <x v="530"/>
    <s v="Jitwarpur-Manisha"/>
    <s v="vlc"/>
    <s v="Indirect"/>
    <n v="35.9"/>
    <n v="1332.69"/>
    <n v="0"/>
    <n v="0"/>
    <n v="0"/>
    <n v="0"/>
    <n v="0"/>
    <n v="0"/>
    <n v="1332.69"/>
    <n v="0"/>
    <n v="0"/>
    <n v="0"/>
    <n v="1333"/>
    <n v="0"/>
    <n v="0"/>
    <n v="0"/>
    <n v="0"/>
    <n v="-0.30999999999994543"/>
    <n v="0"/>
    <n v="0"/>
    <n v="493.05817771587738"/>
    <n v="5.1285714285714281"/>
    <n v="0"/>
    <n v="0"/>
    <m/>
    <s v="Musrigharari"/>
    <m/>
    <n v="0"/>
  </r>
  <r>
    <s v="Munger"/>
    <s v="10-16 Jul"/>
    <n v="1013"/>
    <s v="Musrigharari"/>
    <x v="531"/>
    <s v="Gomukh Sirdulpur 2"/>
    <s v="vlc"/>
    <s v="Indirect"/>
    <n v="1203.5999999999999"/>
    <n v="39299.94000000001"/>
    <n v="0"/>
    <n v="0"/>
    <n v="0"/>
    <n v="0"/>
    <n v="0"/>
    <n v="0"/>
    <n v="39299.94000000001"/>
    <n v="0"/>
    <n v="0"/>
    <n v="0"/>
    <n v="0"/>
    <n v="0"/>
    <n v="0"/>
    <n v="0"/>
    <n v="0"/>
    <n v="39299.94000000001"/>
    <n v="0"/>
    <n v="0"/>
    <n v="0"/>
    <n v="0"/>
    <n v="0"/>
    <n v="0"/>
    <m/>
    <s v="Musrigharari"/>
    <m/>
    <n v="0"/>
  </r>
  <r>
    <s v="Munger"/>
    <s v="10-16 Jul"/>
    <n v="1013"/>
    <s v="Musrigharari"/>
    <x v="532"/>
    <s v="Gomukh Patepur"/>
    <s v="vlc"/>
    <s v="Indirect"/>
    <n v="367.5"/>
    <n v="12695.57"/>
    <n v="0"/>
    <n v="0"/>
    <n v="0"/>
    <n v="0"/>
    <n v="0"/>
    <n v="0"/>
    <n v="12695.57"/>
    <n v="0"/>
    <n v="0"/>
    <n v="0"/>
    <n v="518"/>
    <n v="0"/>
    <n v="0"/>
    <n v="0"/>
    <n v="0"/>
    <n v="12177.57"/>
    <n v="0"/>
    <n v="0"/>
    <n v="229.7293619047619"/>
    <n v="52.5"/>
    <n v="0"/>
    <n v="0"/>
    <m/>
    <s v="Musrigharari"/>
    <m/>
    <n v="0"/>
  </r>
  <r>
    <s v="Munger"/>
    <s v="10-16 Jul"/>
    <n v="1013"/>
    <s v="Musrigharari"/>
    <x v="980"/>
    <s v="Gomukh Akowahi Purvi Tol"/>
    <s v="MPG"/>
    <s v="Direct"/>
    <n v="7.1"/>
    <n v="302.10000000000002"/>
    <n v="0"/>
    <n v="0"/>
    <n v="0"/>
    <n v="0"/>
    <n v="0"/>
    <n v="0"/>
    <n v="0"/>
    <n v="0"/>
    <n v="0"/>
    <n v="0"/>
    <n v="0"/>
    <n v="0"/>
    <n v="0"/>
    <n v="0"/>
    <n v="0"/>
    <n v="0"/>
    <n v="302"/>
    <n v="0"/>
    <n v="589.64814084507054"/>
    <n v="1.0142857142857142"/>
    <n v="1"/>
    <n v="0"/>
    <m/>
    <s v="Musrigharari"/>
    <m/>
    <n v="0"/>
  </r>
  <r>
    <s v="Munger"/>
    <s v="10-16 Jul"/>
    <n v="1013"/>
    <s v="Musrigharari"/>
    <x v="533"/>
    <s v="Gomukh Sherpur Narsari East"/>
    <s v="MPG"/>
    <s v="Direct"/>
    <n v="247.90000000000003"/>
    <n v="10704.23"/>
    <n v="194.72000000000003"/>
    <n v="7814.6299999999992"/>
    <n v="54.839999999999996"/>
    <n v="2886.2299999999996"/>
    <n v="249.56000000000003"/>
    <n v="10700.859999999999"/>
    <n v="10700.859999999999"/>
    <n v="0"/>
    <n v="164.63"/>
    <n v="0"/>
    <n v="0"/>
    <n v="0"/>
    <n v="0"/>
    <n v="7815"/>
    <n v="2723"/>
    <n v="0"/>
    <n v="2"/>
    <n v="0"/>
    <n v="390.43020435659537"/>
    <n v="35.414285714285718"/>
    <n v="3.1482881066651223E-4"/>
    <n v="10"/>
    <m/>
    <s v="Musrigharari"/>
    <m/>
    <n v="0"/>
  </r>
  <r>
    <s v="Munger"/>
    <s v="10-16 Jul"/>
    <n v="1013"/>
    <s v="Musrigharari"/>
    <x v="534"/>
    <s v="Gomukh Karhatti"/>
    <s v="MPG"/>
    <s v="Direct"/>
    <n v="83.5"/>
    <n v="2802.71"/>
    <n v="60.600000000000009"/>
    <n v="2078.73"/>
    <n v="19.299999999999997"/>
    <n v="709.5"/>
    <n v="79.900000000000006"/>
    <n v="2788.23"/>
    <n v="2788.23"/>
    <n v="0"/>
    <n v="0"/>
    <n v="0"/>
    <n v="0"/>
    <n v="500"/>
    <n v="0"/>
    <n v="1579"/>
    <n v="710"/>
    <n v="0"/>
    <n v="14"/>
    <n v="0"/>
    <n v="413.86124910179643"/>
    <n v="11.928571428571429"/>
    <n v="5.1664282069853887E-3"/>
    <n v="2"/>
    <m/>
    <s v="Musrigharari"/>
    <m/>
    <n v="500"/>
  </r>
  <r>
    <s v="Munger"/>
    <s v="10-16 Jul"/>
    <n v="1013"/>
    <s v="Musrigharari"/>
    <x v="535"/>
    <s v="Gomukh Gaopur Bhagwatpur"/>
    <s v="MPG"/>
    <s v="Direct"/>
    <n v="229.9"/>
    <n v="12095.58"/>
    <n v="227.20999999999998"/>
    <n v="12073.419999999998"/>
    <n v="0.1"/>
    <n v="3.81"/>
    <n v="227.30999999999997"/>
    <n v="12077.229999999998"/>
    <n v="12077.229999999998"/>
    <n v="0"/>
    <n v="3.81"/>
    <n v="0"/>
    <n v="0"/>
    <n v="0"/>
    <n v="0"/>
    <n v="12074"/>
    <n v="0"/>
    <n v="0"/>
    <n v="18"/>
    <n v="0"/>
    <n v="494.6613447585907"/>
    <n v="32.842857142857142"/>
    <n v="1.5170830997771239E-3"/>
    <n v="8"/>
    <m/>
    <s v="Musrigharari"/>
    <m/>
    <n v="0"/>
  </r>
  <r>
    <s v="Munger"/>
    <s v="10-16 Jul"/>
    <n v="1013"/>
    <s v="Musrigharari"/>
    <x v="536"/>
    <s v="Gomukh Rajwara"/>
    <s v="MPG"/>
    <s v="Direct"/>
    <n v="84.21"/>
    <n v="3363.5099999999998"/>
    <n v="85.38"/>
    <n v="3349.9100000000003"/>
    <n v="0.2"/>
    <n v="6.95"/>
    <n v="85.58"/>
    <n v="3356.86"/>
    <n v="3356.86"/>
    <n v="0"/>
    <n v="6.95"/>
    <n v="0"/>
    <n v="0"/>
    <n v="500"/>
    <n v="0"/>
    <n v="2849"/>
    <n v="0"/>
    <n v="0"/>
    <n v="8"/>
    <n v="0"/>
    <n v="491.91683241895265"/>
    <n v="12.03"/>
    <n v="1.9771013019136666E-3"/>
    <n v="5"/>
    <m/>
    <s v="Musrigharari"/>
    <m/>
    <n v="500"/>
  </r>
  <r>
    <s v="Munger"/>
    <s v="10-16 Jul"/>
    <n v="1061"/>
    <s v="Mahua BMC"/>
    <x v="537"/>
    <s v="Gomukh Karhatiya Bujurg"/>
    <s v="vlc"/>
    <s v="Indirect"/>
    <n v="293.2"/>
    <n v="11845.63"/>
    <n v="0"/>
    <n v="0"/>
    <n v="0"/>
    <n v="0"/>
    <n v="0"/>
    <n v="0"/>
    <n v="11845.63"/>
    <n v="0"/>
    <n v="0"/>
    <n v="0"/>
    <n v="0"/>
    <n v="0"/>
    <n v="0"/>
    <n v="0"/>
    <n v="0"/>
    <n v="11845.63"/>
    <n v="0"/>
    <n v="0"/>
    <n v="328.70411214188266"/>
    <n v="41.885714285714286"/>
    <n v="0"/>
    <n v="0"/>
    <m/>
    <s v="Mahua BMC"/>
    <m/>
    <n v="0"/>
  </r>
  <r>
    <s v="Munger"/>
    <s v="10-16 Jul"/>
    <n v="1013"/>
    <s v="Musrigharari"/>
    <x v="538"/>
    <s v="GOMUKH NIKASPUR"/>
    <s v="vlc"/>
    <s v="Indirect"/>
    <n v="192.3"/>
    <n v="6534.2799999999988"/>
    <n v="0"/>
    <n v="0"/>
    <n v="0"/>
    <n v="0"/>
    <n v="0"/>
    <n v="0"/>
    <n v="6534.2799999999988"/>
    <n v="0"/>
    <n v="0"/>
    <n v="0"/>
    <n v="0"/>
    <n v="0"/>
    <n v="0"/>
    <n v="0"/>
    <n v="0"/>
    <n v="6534.2799999999988"/>
    <n v="0"/>
    <n v="0"/>
    <n v="345.02901258450328"/>
    <n v="27.471428571428572"/>
    <n v="0"/>
    <n v="0"/>
    <m/>
    <s v="Musrigharari"/>
    <m/>
    <n v="0"/>
  </r>
  <r>
    <s v="Munger"/>
    <s v="10-16 Jul"/>
    <n v="1013"/>
    <s v="Musrigharari"/>
    <x v="539"/>
    <s v="Gomukh Morwa Mohanpur"/>
    <s v="vlc"/>
    <s v="Indirect"/>
    <n v="251.49999999999997"/>
    <n v="10263.529999999999"/>
    <n v="0"/>
    <n v="0"/>
    <n v="0"/>
    <n v="0"/>
    <n v="0"/>
    <n v="0"/>
    <n v="10263.529999999999"/>
    <n v="0"/>
    <n v="0"/>
    <n v="0"/>
    <n v="0"/>
    <n v="0"/>
    <n v="0"/>
    <n v="0"/>
    <n v="0"/>
    <n v="10263.529999999999"/>
    <n v="0"/>
    <n v="0"/>
    <n v="366.05910178926456"/>
    <n v="35.928571428571423"/>
    <n v="0"/>
    <n v="0"/>
    <m/>
    <s v="Musrigharari"/>
    <m/>
    <n v="0"/>
  </r>
  <r>
    <s v="Munger"/>
    <s v="10-16 Jul"/>
    <n v="1013"/>
    <s v="Musrigharari"/>
    <x v="981"/>
    <s v="Gomukh Gangapur East"/>
    <s v="vlc"/>
    <s v="Indirect"/>
    <n v="500"/>
    <n v="15380"/>
    <n v="0"/>
    <n v="0"/>
    <n v="0"/>
    <n v="0"/>
    <n v="0"/>
    <n v="0"/>
    <n v="15380"/>
    <n v="0"/>
    <n v="0"/>
    <n v="0"/>
    <n v="0"/>
    <n v="0"/>
    <n v="0"/>
    <n v="0"/>
    <n v="0"/>
    <n v="15380"/>
    <n v="0"/>
    <n v="0"/>
    <n v="123.04"/>
    <n v="71.428571428571431"/>
    <n v="0"/>
    <n v="0"/>
    <m/>
    <s v="Musrigharari"/>
    <m/>
    <n v="0"/>
  </r>
  <r>
    <s v="Munger"/>
    <s v="10-16 Jul"/>
    <n v="1013"/>
    <s v="Musrigharari"/>
    <x v="540"/>
    <s v="GOMUKH Laguniya"/>
    <s v="vlc"/>
    <s v="Indirect"/>
    <n v="38"/>
    <n v="1478.96"/>
    <n v="0"/>
    <n v="0"/>
    <n v="0"/>
    <n v="0"/>
    <n v="0"/>
    <n v="0"/>
    <n v="1478.96"/>
    <n v="0"/>
    <n v="0"/>
    <n v="0"/>
    <n v="0"/>
    <n v="0"/>
    <n v="0"/>
    <n v="0"/>
    <n v="0"/>
    <n v="1478.96"/>
    <n v="0"/>
    <n v="0"/>
    <n v="515.30079999999998"/>
    <n v="5.4285714285714288"/>
    <n v="0"/>
    <n v="0"/>
    <m/>
    <s v="Musrigharari"/>
    <m/>
    <n v="0"/>
  </r>
  <r>
    <s v="Munger"/>
    <s v="10-16 Jul"/>
    <n v="1013"/>
    <s v="Musrigharari"/>
    <x v="541"/>
    <s v="GOMUKH MAHINDWARA"/>
    <s v="vlc"/>
    <s v="Indirect"/>
    <n v="383.7000000000001"/>
    <n v="15277.080000000002"/>
    <n v="0"/>
    <n v="0"/>
    <n v="0"/>
    <n v="0"/>
    <n v="0"/>
    <n v="0"/>
    <n v="15277.080000000002"/>
    <n v="0"/>
    <n v="0"/>
    <n v="0"/>
    <n v="0"/>
    <n v="0"/>
    <n v="0"/>
    <n v="0"/>
    <n v="0"/>
    <n v="15277.080000000002"/>
    <n v="0"/>
    <n v="0"/>
    <n v="251.87075340109453"/>
    <n v="54.814285714285731"/>
    <n v="0"/>
    <n v="0"/>
    <m/>
    <s v="Musrigharari"/>
    <m/>
    <n v="0"/>
  </r>
  <r>
    <s v="Munger"/>
    <s v="10-16 Jul"/>
    <n v="1013"/>
    <s v="Musrigharari"/>
    <x v="542"/>
    <s v="GOMUKH MISHRAULIA"/>
    <s v="MPG"/>
    <s v="Direct"/>
    <n v="470.59999999999997"/>
    <n v="21557.819999999996"/>
    <n v="459.29999999999995"/>
    <n v="21530.440000000002"/>
    <n v="0"/>
    <n v="0"/>
    <n v="459.29999999999995"/>
    <n v="21530.440000000002"/>
    <n v="21530.440000000002"/>
    <n v="0"/>
    <n v="0"/>
    <n v="0"/>
    <n v="0"/>
    <n v="0"/>
    <n v="0"/>
    <n v="21530"/>
    <n v="0"/>
    <n v="0"/>
    <n v="28"/>
    <n v="0"/>
    <n v="210.1727117722057"/>
    <n v="67.228571428571428"/>
    <n v="1.2700727624589939E-3"/>
    <n v="2"/>
    <m/>
    <s v="Musrigharari"/>
    <m/>
    <n v="0"/>
  </r>
  <r>
    <s v="Munger"/>
    <s v="10-16 Jul"/>
    <n v="1013"/>
    <s v="Musrigharari"/>
    <x v="543"/>
    <s v="GOMUKH Bhagwatpur East"/>
    <s v="vlc"/>
    <s v="Direct"/>
    <n v="300.5"/>
    <n v="9170.9499999999989"/>
    <n v="300.2"/>
    <n v="9153.64"/>
    <n v="0"/>
    <n v="0"/>
    <n v="300.2"/>
    <n v="9153.64"/>
    <n v="9153.64"/>
    <n v="0"/>
    <n v="0"/>
    <n v="0"/>
    <n v="0"/>
    <n v="0"/>
    <n v="0"/>
    <n v="9154"/>
    <n v="0"/>
    <n v="0"/>
    <n v="17"/>
    <n v="0"/>
    <n v="243.84655740432612"/>
    <n v="42.928571428571431"/>
    <n v="1.8874816676570576E-3"/>
    <n v="1"/>
    <m/>
    <s v="Musrigharari"/>
    <m/>
    <n v="0"/>
  </r>
  <r>
    <s v="Munger"/>
    <s v="10-16 Jul"/>
    <n v="1013"/>
    <s v="Musrigharari"/>
    <x v="544"/>
    <s v="Gomukh Rupauli Buzurg"/>
    <s v="vlc"/>
    <s v="Indirect"/>
    <n v="11007"/>
    <n v="392155.43"/>
    <n v="0"/>
    <n v="0"/>
    <n v="0"/>
    <n v="0"/>
    <n v="0"/>
    <n v="0"/>
    <n v="392155.43"/>
    <n v="0"/>
    <n v="0"/>
    <n v="0"/>
    <n v="0"/>
    <n v="0"/>
    <n v="0"/>
    <n v="0"/>
    <n v="0"/>
    <n v="392155.43"/>
    <n v="0"/>
    <n v="0"/>
    <n v="0"/>
    <n v="0"/>
    <n v="0"/>
    <n v="0"/>
    <m/>
    <s v="Musrigharari"/>
    <m/>
    <n v="0"/>
  </r>
  <r>
    <s v="Munger"/>
    <s v="10-16 Jul"/>
    <n v="1013"/>
    <s v="Musrigharari"/>
    <x v="545"/>
    <s v="GOMUKH BAKHRI"/>
    <s v="vlc"/>
    <s v="Indirect"/>
    <n v="91"/>
    <n v="3724.8900000000003"/>
    <n v="0"/>
    <n v="0"/>
    <n v="0"/>
    <n v="0"/>
    <n v="0"/>
    <n v="0"/>
    <n v="3724.8900000000003"/>
    <n v="0"/>
    <n v="0"/>
    <n v="0"/>
    <n v="0"/>
    <n v="0"/>
    <n v="0"/>
    <n v="0"/>
    <n v="0"/>
    <n v="3724.8900000000003"/>
    <n v="0"/>
    <n v="0"/>
    <n v="498.56220000000002"/>
    <n v="13"/>
    <n v="0"/>
    <n v="0"/>
    <m/>
    <s v="Musrigharari"/>
    <m/>
    <n v="0"/>
  </r>
  <r>
    <s v="Munger"/>
    <s v="10-16 Jul"/>
    <n v="1013"/>
    <s v="Musrigharari"/>
    <x v="546"/>
    <s v="GOMUKH KAMTAUL"/>
    <s v="MPG"/>
    <s v="Direct"/>
    <n v="465.8"/>
    <n v="19199.12"/>
    <n v="460.32"/>
    <n v="18888.05"/>
    <n v="6.11"/>
    <n v="278.12"/>
    <n v="466.43"/>
    <n v="19166.169999999998"/>
    <n v="19166.169999999998"/>
    <n v="0"/>
    <n v="278.12"/>
    <n v="0"/>
    <n v="0"/>
    <n v="0"/>
    <n v="0"/>
    <n v="18887"/>
    <n v="0"/>
    <n v="0"/>
    <n v="34"/>
    <n v="0"/>
    <n v="193.06285547445256"/>
    <n v="66.542857142857144"/>
    <n v="1.7162244936226624E-3"/>
    <n v="7"/>
    <m/>
    <s v="Musrigharari"/>
    <m/>
    <n v="0"/>
  </r>
  <r>
    <s v="Munger"/>
    <s v="10-16 Jul"/>
    <n v="1013"/>
    <s v="Musrigharari"/>
    <x v="547"/>
    <s v="GOMUKH MIRJAPUR NISFI"/>
    <s v="vlc"/>
    <s v="Indirect"/>
    <n v="466.1"/>
    <n v="16316.439999999999"/>
    <n v="0"/>
    <n v="0"/>
    <n v="0"/>
    <n v="0"/>
    <n v="0"/>
    <n v="0"/>
    <n v="16316.439999999999"/>
    <n v="0"/>
    <n v="0"/>
    <n v="0"/>
    <n v="0"/>
    <n v="0"/>
    <n v="0"/>
    <n v="0"/>
    <n v="0"/>
    <n v="16316.439999999999"/>
    <n v="0"/>
    <n v="0"/>
    <n v="163.75950723020807"/>
    <n v="66.585714285714289"/>
    <n v="0"/>
    <n v="0"/>
    <m/>
    <s v="Musrigharari"/>
    <m/>
    <n v="0"/>
  </r>
  <r>
    <s v="Munger"/>
    <s v="10-16 Jul"/>
    <n v="1014"/>
    <s v="Dumraon"/>
    <x v="548"/>
    <s v="Dumri Purvi Tola"/>
    <s v="MPG"/>
    <s v="Direct"/>
    <n v="631.30000000000007"/>
    <n v="21622.350000000002"/>
    <n v="432.09999999999997"/>
    <n v="21437.439999999999"/>
    <n v="0"/>
    <n v="0"/>
    <n v="432.09999999999997"/>
    <n v="21437.439999999999"/>
    <n v="21437.439999999999"/>
    <n v="0"/>
    <n v="0"/>
    <n v="0"/>
    <n v="6650"/>
    <n v="0"/>
    <n v="0"/>
    <n v="14788"/>
    <n v="0"/>
    <n v="0"/>
    <n v="184"/>
    <n v="0"/>
    <n v="47.060207349912815"/>
    <n v="90.185714285714297"/>
    <n v="8.5517994112574939E-3"/>
    <n v="5"/>
    <m/>
    <s v="Dumraon"/>
    <m/>
    <n v="0"/>
  </r>
  <r>
    <s v="Munger"/>
    <s v="10-16 Jul"/>
    <n v="1014"/>
    <s v="Dumraon"/>
    <x v="549"/>
    <s v="Simri"/>
    <s v="MPG"/>
    <s v="Direct"/>
    <n v="767.5"/>
    <n v="28881.05"/>
    <n v="789.93999999999994"/>
    <n v="30509.11"/>
    <n v="0"/>
    <n v="0"/>
    <n v="789.93999999999994"/>
    <n v="30509.11"/>
    <n v="28881.05"/>
    <n v="0"/>
    <n v="0"/>
    <n v="1628.0600000000013"/>
    <n v="0"/>
    <n v="0"/>
    <n v="0"/>
    <n v="28881"/>
    <n v="0"/>
    <n v="0"/>
    <n v="0"/>
    <n v="0"/>
    <n v="0"/>
    <n v="0"/>
    <n v="-5.6371219190438068E-2"/>
    <n v="10"/>
    <m/>
    <s v="Dumraon"/>
    <m/>
    <n v="0"/>
  </r>
  <r>
    <s v="Munger"/>
    <s v="10-16 Jul"/>
    <n v="1014"/>
    <s v="Dumraon"/>
    <x v="550"/>
    <s v="Sahiyar"/>
    <s v="MPG"/>
    <s v="Direct"/>
    <n v="1107"/>
    <n v="46127.85"/>
    <n v="1002.3999999999999"/>
    <n v="44775.290000000008"/>
    <n v="31"/>
    <n v="1301.1799999999998"/>
    <n v="1033.3999999999999"/>
    <n v="46076.470000000008"/>
    <n v="46076.470000000008"/>
    <n v="0"/>
    <n v="1301.1799999999998"/>
    <n v="0"/>
    <n v="0"/>
    <n v="0"/>
    <n v="0"/>
    <n v="44775"/>
    <n v="0"/>
    <n v="0"/>
    <n v="52"/>
    <n v="0"/>
    <n v="0"/>
    <n v="0"/>
    <n v="1.1138607153810573E-3"/>
    <n v="26"/>
    <m/>
    <s v="Dumraon"/>
    <m/>
    <n v="0"/>
  </r>
  <r>
    <s v="Munger"/>
    <s v="10-16 Jul"/>
    <n v="1014"/>
    <s v="Dumraon"/>
    <x v="551"/>
    <s v="ENGLISH DUBAULI"/>
    <s v="MPG"/>
    <s v="Direct"/>
    <n v="742.7"/>
    <n v="27601.809999999998"/>
    <n v="726.13000000000011"/>
    <n v="29479.489999999994"/>
    <n v="27.259999999999998"/>
    <n v="1465.99"/>
    <n v="753.3900000000001"/>
    <n v="30945.479999999996"/>
    <n v="27601.809999999998"/>
    <n v="0"/>
    <n v="1465.99"/>
    <n v="3343.6699999999983"/>
    <n v="0"/>
    <n v="0"/>
    <n v="0"/>
    <n v="26136"/>
    <n v="0"/>
    <n v="0"/>
    <n v="0"/>
    <s v="Release1"/>
    <n v="0"/>
    <n v="0"/>
    <n v="-0.12113951947354172"/>
    <n v="13"/>
    <m/>
    <s v="Dumraon"/>
    <m/>
    <n v="0"/>
  </r>
  <r>
    <s v="Munger"/>
    <s v="10-16 Jul"/>
    <n v="1014"/>
    <s v="Dumraon"/>
    <x v="552"/>
    <s v="Ramo Bariya"/>
    <s v="MPG"/>
    <s v="Direct"/>
    <n v="588.00000000000011"/>
    <n v="22769.679999999997"/>
    <n v="596.43999999999994"/>
    <n v="22318.11"/>
    <n v="10.7"/>
    <n v="449.61"/>
    <n v="607.14"/>
    <n v="22767.72"/>
    <n v="22767.72"/>
    <n v="0"/>
    <n v="449.61"/>
    <n v="0"/>
    <n v="0"/>
    <n v="0"/>
    <n v="0"/>
    <n v="22319"/>
    <n v="0"/>
    <n v="0"/>
    <n v="1"/>
    <n v="0"/>
    <n v="86.741638095238002"/>
    <n v="84.000000000000014"/>
    <n v="8.6079382757925859E-5"/>
    <n v="14"/>
    <m/>
    <s v="Dumraon"/>
    <m/>
    <n v="0"/>
  </r>
  <r>
    <s v="Munger"/>
    <s v="10-16 Jul"/>
    <n v="1014"/>
    <s v="Dumraon"/>
    <x v="553"/>
    <s v="HITAN PARARI"/>
    <s v="MPG"/>
    <s v="Direct"/>
    <n v="1238.0999999999999"/>
    <n v="51676.960000000006"/>
    <n v="1240.4099999999999"/>
    <n v="53931.130000000005"/>
    <n v="0"/>
    <n v="0"/>
    <n v="1240.4099999999999"/>
    <n v="53931.130000000005"/>
    <n v="51676.960000000006"/>
    <n v="0"/>
    <n v="0"/>
    <n v="2254.1699999999983"/>
    <n v="0"/>
    <n v="0"/>
    <n v="0"/>
    <n v="51677"/>
    <n v="0"/>
    <n v="0"/>
    <n v="0"/>
    <n v="0"/>
    <n v="0"/>
    <n v="0"/>
    <n v="-4.3620406463538063E-2"/>
    <n v="6"/>
    <m/>
    <s v="Dumraon"/>
    <m/>
    <n v="0"/>
  </r>
  <r>
    <s v="Munger"/>
    <s v="10-16 Jul"/>
    <n v="1014"/>
    <s v="Dumraon"/>
    <x v="554"/>
    <s v="DULLAHPUR2"/>
    <s v="MPG"/>
    <s v="Direct"/>
    <n v="204.79999999999998"/>
    <n v="6458.4099999999989"/>
    <n v="206"/>
    <n v="6423.08"/>
    <n v="0"/>
    <n v="0"/>
    <n v="206"/>
    <n v="6423.08"/>
    <n v="6423.08"/>
    <n v="0"/>
    <n v="0"/>
    <n v="0"/>
    <n v="0"/>
    <n v="0"/>
    <n v="0"/>
    <n v="6423"/>
    <n v="0"/>
    <n v="0"/>
    <n v="35"/>
    <s v="Release1"/>
    <n v="312.32467109375"/>
    <n v="29.257142857142856"/>
    <n v="5.4703866741193305E-3"/>
    <n v="1"/>
    <m/>
    <s v="Dumraon"/>
    <m/>
    <n v="0"/>
  </r>
  <r>
    <s v="Munger"/>
    <s v="10-16 Jul"/>
    <n v="1014"/>
    <s v="Dumraon"/>
    <x v="555"/>
    <s v="Gangauli"/>
    <s v="MPG"/>
    <s v="Direct"/>
    <n v="1301.0999999999997"/>
    <n v="57961.09"/>
    <n v="1295.9100000000001"/>
    <n v="59239.150000000009"/>
    <n v="7.02"/>
    <n v="271.33"/>
    <n v="1302.93"/>
    <n v="59510.48000000001"/>
    <n v="57961.09"/>
    <n v="0"/>
    <n v="271.33"/>
    <n v="1549.390000000014"/>
    <n v="0"/>
    <n v="0"/>
    <n v="0"/>
    <n v="57690"/>
    <n v="0"/>
    <n v="0"/>
    <n v="0"/>
    <s v="Release1"/>
    <n v="0"/>
    <n v="0"/>
    <n v="-2.673155387519479E-2"/>
    <n v="19"/>
    <m/>
    <s v="Dumraon"/>
    <m/>
    <n v="0"/>
  </r>
  <r>
    <s v="Munger"/>
    <s v="10-16 Jul"/>
    <n v="1014"/>
    <s v="Dumraon"/>
    <x v="556"/>
    <s v="MATHURA DERA"/>
    <s v="MPG"/>
    <s v="Direct"/>
    <n v="1902.4999999999998"/>
    <n v="76368.639999999999"/>
    <n v="2059.4"/>
    <n v="76175.97"/>
    <n v="4"/>
    <n v="136.24"/>
    <n v="2063.4"/>
    <n v="76312.210000000006"/>
    <n v="76312.210000000006"/>
    <n v="0"/>
    <n v="136.24"/>
    <n v="0"/>
    <n v="0"/>
    <n v="0"/>
    <n v="0"/>
    <n v="76176"/>
    <n v="0"/>
    <n v="0"/>
    <n v="56"/>
    <n v="0"/>
    <n v="0"/>
    <n v="0"/>
    <n v="7.389158691315311E-4"/>
    <n v="5"/>
    <m/>
    <s v="Dumraon"/>
    <m/>
    <n v="0"/>
  </r>
  <r>
    <s v="Munger"/>
    <s v="10-16 Jul"/>
    <n v="1014"/>
    <s v="Dumraon"/>
    <x v="557"/>
    <s v="NANDAN"/>
    <s v="MPG"/>
    <s v="Direct"/>
    <n v="326.39999999999998"/>
    <n v="16478.599999999999"/>
    <n v="328"/>
    <n v="16445.919999999998"/>
    <n v="0"/>
    <n v="0"/>
    <n v="328"/>
    <n v="16445.919999999998"/>
    <n v="16445.919999999998"/>
    <n v="0"/>
    <n v="0"/>
    <n v="0"/>
    <n v="6650"/>
    <n v="0"/>
    <n v="0"/>
    <n v="9796"/>
    <n v="0"/>
    <n v="0"/>
    <n v="33"/>
    <n v="0"/>
    <n v="377.23069607843138"/>
    <n v="46.628571428571426"/>
    <n v="1.9831781826126185E-3"/>
    <n v="2"/>
    <m/>
    <s v="Dumraon"/>
    <m/>
    <n v="0"/>
  </r>
  <r>
    <s v="Munger"/>
    <s v="10-16 Jul"/>
    <n v="1014"/>
    <s v="Dumraon"/>
    <x v="558"/>
    <s v="RAJAPUR"/>
    <s v="MPG"/>
    <s v="Direct"/>
    <n v="69.3"/>
    <n v="2563.3700000000003"/>
    <n v="68.599999999999994"/>
    <n v="2558.11"/>
    <n v="0"/>
    <n v="0"/>
    <n v="68.599999999999994"/>
    <n v="2558.11"/>
    <n v="2558.11"/>
    <n v="0"/>
    <n v="0"/>
    <n v="0"/>
    <n v="0"/>
    <n v="500"/>
    <n v="0"/>
    <n v="2058"/>
    <n v="0"/>
    <n v="0"/>
    <n v="5"/>
    <n v="0"/>
    <n v="466.58512525252536"/>
    <n v="9.9"/>
    <n v="2.0519862524724162E-3"/>
    <n v="2"/>
    <m/>
    <s v="Dumraon"/>
    <m/>
    <n v="500"/>
  </r>
  <r>
    <s v="Munger"/>
    <s v="10-16 Jul"/>
    <n v="1014"/>
    <s v="Dumraon"/>
    <x v="559"/>
    <s v="HEMDAPUR"/>
    <s v="MPG"/>
    <s v="Direct"/>
    <n v="576.6"/>
    <n v="21550.119999999995"/>
    <n v="549.9"/>
    <n v="21529.86"/>
    <n v="0"/>
    <n v="0"/>
    <n v="549.9"/>
    <n v="21529.86"/>
    <n v="21529.86"/>
    <n v="0"/>
    <n v="0"/>
    <n v="0"/>
    <n v="0"/>
    <n v="0"/>
    <n v="0"/>
    <n v="21530"/>
    <n v="0"/>
    <n v="0"/>
    <n v="20"/>
    <n v="0"/>
    <n v="92.24019451959758"/>
    <n v="82.371428571428581"/>
    <n v="9.401339760518626E-4"/>
    <n v="3"/>
    <m/>
    <s v="Dumraon"/>
    <m/>
    <n v="0"/>
  </r>
  <r>
    <s v="Munger"/>
    <s v="10-16 Jul"/>
    <n v="1014"/>
    <s v="Dumraon"/>
    <x v="560"/>
    <s v="Chaugain"/>
    <s v="MPG"/>
    <s v="Direct"/>
    <n v="393.09999999999997"/>
    <n v="14365.400000000001"/>
    <n v="389.9"/>
    <n v="14363.92"/>
    <n v="0"/>
    <n v="0"/>
    <n v="389.9"/>
    <n v="14363.92"/>
    <n v="14363.92"/>
    <n v="0"/>
    <n v="0"/>
    <n v="0"/>
    <n v="0"/>
    <n v="500"/>
    <n v="0"/>
    <n v="13864"/>
    <n v="0"/>
    <n v="0"/>
    <n v="1"/>
    <n v="0"/>
    <n v="224.30634749427634"/>
    <n v="56.157142857142851"/>
    <n v="1.0302532473870427E-4"/>
    <n v="2"/>
    <m/>
    <s v="Dumraon"/>
    <m/>
    <n v="500"/>
  </r>
  <r>
    <s v="Munger"/>
    <s v="10-16 Jul"/>
    <n v="1014"/>
    <s v="Dumraon"/>
    <x v="561"/>
    <s v="Akalupur"/>
    <s v="MPG"/>
    <s v="Direct"/>
    <n v="37.200000000000003"/>
    <n v="1525.48"/>
    <n v="38"/>
    <n v="1510.8799999999999"/>
    <n v="0"/>
    <n v="0"/>
    <n v="38"/>
    <n v="1510.8799999999999"/>
    <n v="1510.8799999999999"/>
    <n v="0"/>
    <n v="0"/>
    <n v="0"/>
    <n v="0"/>
    <n v="0"/>
    <n v="0"/>
    <n v="1511"/>
    <n v="0"/>
    <n v="0"/>
    <n v="14"/>
    <n v="0"/>
    <n v="543.59577634408595"/>
    <n v="5.3142857142857149"/>
    <n v="9.570758056480673E-3"/>
    <n v="2"/>
    <m/>
    <s v="Dumraon"/>
    <m/>
    <n v="0"/>
  </r>
  <r>
    <s v="Munger"/>
    <s v="10-16 Jul"/>
    <n v="1014"/>
    <s v="Dumraon"/>
    <x v="562"/>
    <s v="Chhotka Sihanpura"/>
    <s v="MPG"/>
    <s v="Direct"/>
    <n v="394.8"/>
    <n v="14635.49"/>
    <n v="397.9"/>
    <n v="16006.45"/>
    <n v="4.7"/>
    <n v="176.55"/>
    <n v="402.59999999999997"/>
    <n v="16183"/>
    <n v="14635.49"/>
    <n v="0"/>
    <n v="176.55"/>
    <n v="1547.5100000000002"/>
    <n v="0"/>
    <n v="0"/>
    <n v="0"/>
    <n v="14459"/>
    <n v="0"/>
    <n v="0"/>
    <n v="0"/>
    <n v="0"/>
    <n v="226.27920709219859"/>
    <n v="56.4"/>
    <n v="-0.10573680826538778"/>
    <n v="4"/>
    <m/>
    <s v="Dumraon"/>
    <m/>
    <n v="0"/>
  </r>
  <r>
    <s v="Munger"/>
    <s v="10-16 Jul"/>
    <n v="1014"/>
    <s v="Dumraon"/>
    <x v="563"/>
    <s v="Dharauli"/>
    <s v="MPG"/>
    <s v="Direct"/>
    <n v="279.3"/>
    <n v="11136.810000000001"/>
    <n v="279.59999999999997"/>
    <n v="10915.12"/>
    <n v="4.9000000000000004"/>
    <n v="188.34"/>
    <n v="284.49999999999994"/>
    <n v="11103.460000000001"/>
    <n v="11103.460000000001"/>
    <n v="0"/>
    <n v="188.34"/>
    <n v="0"/>
    <n v="0"/>
    <n v="0"/>
    <n v="0"/>
    <n v="10915"/>
    <n v="0"/>
    <n v="0"/>
    <n v="33"/>
    <n v="0"/>
    <n v="335.49989022556395"/>
    <n v="39.9"/>
    <n v="2.9945738501420387E-3"/>
    <n v="9"/>
    <m/>
    <s v="Dumraon"/>
    <m/>
    <n v="0"/>
  </r>
  <r>
    <s v="Munger"/>
    <s v="10-16 Jul"/>
    <n v="1014"/>
    <s v="Dumraon"/>
    <x v="564"/>
    <s v="Ramopatti"/>
    <s v="MPG"/>
    <s v="Direct"/>
    <n v="313.20000000000005"/>
    <n v="12361.24"/>
    <n v="315"/>
    <n v="12351.15"/>
    <n v="0"/>
    <n v="0"/>
    <n v="315"/>
    <n v="12351.15"/>
    <n v="12351.15"/>
    <n v="0"/>
    <n v="0"/>
    <n v="0"/>
    <n v="0"/>
    <n v="500"/>
    <n v="0"/>
    <n v="11851"/>
    <n v="0"/>
    <n v="0"/>
    <n v="10"/>
    <n v="0"/>
    <n v="305.32104929757338"/>
    <n v="44.742857142857147"/>
    <n v="8.1626115179384473E-4"/>
    <n v="2"/>
    <m/>
    <s v="Dumraon"/>
    <m/>
    <n v="500"/>
  </r>
  <r>
    <s v="Munger"/>
    <s v="10-16 Jul"/>
    <n v="1014"/>
    <s v="Dumraon"/>
    <x v="565"/>
    <s v="Kaithi"/>
    <s v="MPG"/>
    <s v="Direct"/>
    <n v="176.5"/>
    <n v="6858.31"/>
    <n v="177"/>
    <n v="6814.5"/>
    <n v="0"/>
    <n v="0"/>
    <n v="177"/>
    <n v="6814.5"/>
    <n v="6814.5"/>
    <n v="0"/>
    <n v="0"/>
    <n v="0"/>
    <n v="0"/>
    <n v="500"/>
    <n v="0"/>
    <n v="6315"/>
    <n v="0"/>
    <n v="0"/>
    <n v="43"/>
    <n v="0"/>
    <n v="406.83572634560909"/>
    <n v="25.214285714285715"/>
    <n v="6.387871064445964E-3"/>
    <n v="2"/>
    <m/>
    <s v="Dumraon"/>
    <m/>
    <n v="500"/>
  </r>
  <r>
    <s v="Munger"/>
    <s v="10-16 Jul"/>
    <n v="1014"/>
    <s v="Dumraon"/>
    <x v="566"/>
    <s v="Rangi Dera"/>
    <s v="MPG"/>
    <s v="Direct"/>
    <n v="149.5"/>
    <n v="5915.1200000000008"/>
    <n v="150.69999999999999"/>
    <n v="5907.4400000000005"/>
    <n v="0"/>
    <n v="0"/>
    <n v="150.69999999999999"/>
    <n v="5907.4400000000005"/>
    <n v="5907.4400000000005"/>
    <n v="0"/>
    <n v="0"/>
    <n v="0"/>
    <n v="0"/>
    <n v="0"/>
    <n v="0"/>
    <n v="5907"/>
    <n v="0"/>
    <n v="0"/>
    <n v="8"/>
    <n v="0"/>
    <n v="435.62188093645494"/>
    <n v="21.357142857142858"/>
    <n v="1.2983675732699065E-3"/>
    <n v="2"/>
    <m/>
    <s v="Dumraon"/>
    <m/>
    <n v="0"/>
  </r>
  <r>
    <s v="Munger"/>
    <s v="10-16 Jul"/>
    <n v="1014"/>
    <s v="Dumraon"/>
    <x v="567"/>
    <s v="Dubki"/>
    <s v="MPG"/>
    <s v="Direct"/>
    <n v="566.1"/>
    <n v="28037.349999999995"/>
    <n v="639.54999999999995"/>
    <n v="32593.819999999996"/>
    <n v="1.8699999999999997"/>
    <n v="81.249999999999986"/>
    <n v="641.41999999999996"/>
    <n v="32675.069999999996"/>
    <n v="28037.349999999995"/>
    <n v="0"/>
    <n v="81.249999999999986"/>
    <n v="4637.7200000000012"/>
    <n v="0"/>
    <n v="0"/>
    <n v="0"/>
    <n v="27956"/>
    <n v="0"/>
    <n v="0"/>
    <n v="0"/>
    <n v="0"/>
    <n v="132.63385143967486"/>
    <n v="80.871428571428581"/>
    <n v="-0.16541220907111415"/>
    <n v="6"/>
    <m/>
    <s v="Dumraon"/>
    <m/>
    <n v="0"/>
  </r>
  <r>
    <s v="Munger"/>
    <s v="10-16 Jul"/>
    <n v="1014"/>
    <s v="Dumraon"/>
    <x v="568"/>
    <s v="Sonvarsa"/>
    <s v="MPG"/>
    <s v="Direct"/>
    <n v="311.60000000000002"/>
    <n v="12403.179999999998"/>
    <n v="315.69000000000005"/>
    <n v="12672.9"/>
    <n v="0"/>
    <n v="0"/>
    <n v="315.69000000000005"/>
    <n v="12672.9"/>
    <n v="12403.179999999998"/>
    <n v="0"/>
    <n v="0"/>
    <n v="269.72000000000116"/>
    <n v="0"/>
    <n v="0"/>
    <n v="0"/>
    <n v="12403"/>
    <n v="0"/>
    <n v="0"/>
    <n v="0"/>
    <n v="0"/>
    <n v="309.2037940949935"/>
    <n v="44.51428571428572"/>
    <n v="-2.1746036097194527E-2"/>
    <n v="4"/>
    <m/>
    <s v="Dumraon"/>
    <m/>
    <n v="0"/>
  </r>
  <r>
    <s v="Munger"/>
    <s v="10-16 Jul"/>
    <n v="1014"/>
    <s v="Dumraon"/>
    <x v="569"/>
    <s v="Soan"/>
    <s v="MPG"/>
    <s v="Direct"/>
    <n v="371.00000000000006"/>
    <n v="16454.859999999997"/>
    <n v="382.86999999999995"/>
    <n v="16283.480000000003"/>
    <n v="3.6500000000000008"/>
    <n v="154.71"/>
    <n v="386.51999999999992"/>
    <n v="16438.190000000002"/>
    <n v="16438.190000000002"/>
    <n v="0"/>
    <n v="154.71"/>
    <n v="0"/>
    <n v="0"/>
    <n v="0"/>
    <n v="0"/>
    <n v="16283"/>
    <n v="0"/>
    <n v="0"/>
    <n v="17"/>
    <n v="0"/>
    <n v="291.84091320754703"/>
    <n v="53.000000000000007"/>
    <n v="1.0130745566959926E-3"/>
    <n v="10"/>
    <m/>
    <s v="Dumraon"/>
    <m/>
    <n v="0"/>
  </r>
  <r>
    <s v="Munger"/>
    <s v="10-16 Jul"/>
    <n v="1014"/>
    <s v="Dumraon"/>
    <x v="570"/>
    <s v="PURANA BHOJPUR                                                                                      "/>
    <s v="MPG"/>
    <s v="Direct"/>
    <n v="222.70000000000002"/>
    <n v="8696.8900000000012"/>
    <n v="223"/>
    <n v="8679.16"/>
    <n v="0"/>
    <n v="0"/>
    <n v="223"/>
    <n v="8679.16"/>
    <n v="8679.16"/>
    <n v="0"/>
    <n v="0"/>
    <n v="0"/>
    <n v="0"/>
    <n v="0"/>
    <n v="0"/>
    <n v="8679"/>
    <n v="0"/>
    <n v="0"/>
    <n v="18"/>
    <n v="0"/>
    <n v="372.79080350246966"/>
    <n v="31.814285714285717"/>
    <n v="2.0386597967780875E-3"/>
    <n v="2"/>
    <m/>
    <s v="Dumraon"/>
    <m/>
    <n v="0"/>
  </r>
  <r>
    <s v="Munger"/>
    <s v="10-16 Jul"/>
    <n v="1014"/>
    <s v="Dumraon"/>
    <x v="571"/>
    <s v="Gomukh Kant"/>
    <s v="MPG"/>
    <s v="Direct"/>
    <n v="185.4"/>
    <n v="9020.11"/>
    <n v="211.3"/>
    <n v="11858.42"/>
    <n v="0.9"/>
    <n v="55.88"/>
    <n v="212.20000000000002"/>
    <n v="11914.3"/>
    <n v="9020.11"/>
    <n v="0"/>
    <n v="55.88"/>
    <n v="2894.1899999999987"/>
    <n v="0"/>
    <n v="500"/>
    <n v="0"/>
    <n v="8464"/>
    <n v="0"/>
    <n v="0"/>
    <n v="0"/>
    <n v="0"/>
    <n v="500.72800496224374"/>
    <n v="26.485714285714288"/>
    <n v="-0.3208597234401796"/>
    <n v="5"/>
    <m/>
    <s v="Dumraon"/>
    <m/>
    <n v="500"/>
  </r>
  <r>
    <s v="Munger"/>
    <s v="10-16 Jul"/>
    <n v="1014"/>
    <s v="Dumraon"/>
    <x v="572"/>
    <s v="Gomukh Naat"/>
    <s v="MPG"/>
    <s v="Direct"/>
    <n v="565.39999999999986"/>
    <n v="21265.430000000004"/>
    <n v="591.87999999999988"/>
    <n v="23699.55"/>
    <n v="0"/>
    <n v="0"/>
    <n v="591.87999999999988"/>
    <n v="23699.55"/>
    <n v="21265.430000000004"/>
    <n v="0"/>
    <n v="0"/>
    <n v="2434.1199999999953"/>
    <n v="0"/>
    <n v="0"/>
    <n v="0"/>
    <n v="21265"/>
    <n v="0"/>
    <n v="0"/>
    <n v="0"/>
    <n v="0"/>
    <n v="101.24962426600646"/>
    <n v="80.771428571428558"/>
    <n v="-0.11446370941006107"/>
    <n v="2"/>
    <m/>
    <s v="Dumraon"/>
    <m/>
    <n v="0"/>
  </r>
  <r>
    <s v="Munger"/>
    <s v="10-16 Jul"/>
    <n v="1014"/>
    <s v="Dumraon"/>
    <x v="573"/>
    <s v="Gomukh Raghunathpur"/>
    <s v="MPG"/>
    <s v="Direct"/>
    <n v="388.03999999999996"/>
    <n v="15666.359999999999"/>
    <n v="389.4"/>
    <n v="15631.919999999998"/>
    <n v="0"/>
    <n v="0"/>
    <n v="389.4"/>
    <n v="15631.919999999998"/>
    <n v="15631.919999999998"/>
    <n v="0"/>
    <n v="0"/>
    <n v="0"/>
    <n v="0"/>
    <n v="0"/>
    <n v="0"/>
    <n v="15632"/>
    <n v="0"/>
    <n v="0"/>
    <n v="34"/>
    <n v="0"/>
    <n v="251.89556054015051"/>
    <n v="55.434285714285707"/>
    <n v="2.1983409036943177E-3"/>
    <n v="4"/>
    <m/>
    <s v="Dumraon"/>
    <m/>
    <n v="0"/>
  </r>
  <r>
    <s v="Munger"/>
    <s v="10-16 Jul"/>
    <n v="1014"/>
    <s v="Dumraon"/>
    <x v="574"/>
    <s v="Gomukh Tilakraika Hata 1 - Manoj"/>
    <s v="vlc"/>
    <s v="Indirect"/>
    <n v="1522.7"/>
    <n v="53524.78"/>
    <n v="0"/>
    <n v="0"/>
    <n v="0"/>
    <n v="0"/>
    <n v="0"/>
    <n v="0"/>
    <n v="53524.78"/>
    <n v="0"/>
    <n v="0"/>
    <n v="0"/>
    <n v="0"/>
    <n v="0"/>
    <n v="0"/>
    <n v="0"/>
    <n v="0"/>
    <n v="53524.78"/>
    <n v="0"/>
    <n v="0"/>
    <n v="0"/>
    <n v="0"/>
    <n v="0"/>
    <n v="0"/>
    <m/>
    <s v="Dumraon"/>
    <m/>
    <n v="0"/>
  </r>
  <r>
    <s v="Munger"/>
    <s v="10-16 Jul"/>
    <n v="1014"/>
    <s v="Dumraon"/>
    <x v="575"/>
    <s v="Gomukh Murar"/>
    <s v="MPG"/>
    <s v="Direct"/>
    <n v="1207.92"/>
    <n v="49678.58"/>
    <n v="546.59999999999991"/>
    <n v="22756.590000000004"/>
    <n v="812.9"/>
    <n v="38581.19"/>
    <n v="1359.5"/>
    <n v="61337.780000000006"/>
    <n v="49678.58"/>
    <n v="0"/>
    <n v="355.06999999999994"/>
    <n v="11659.200000000004"/>
    <n v="0"/>
    <n v="0"/>
    <n v="0"/>
    <n v="11096"/>
    <n v="38228"/>
    <n v="0"/>
    <n v="0"/>
    <n v="0"/>
    <n v="0"/>
    <n v="0"/>
    <n v="-0.23469269854331593"/>
    <n v="18"/>
    <m/>
    <s v="Dumraon"/>
    <m/>
    <n v="0"/>
  </r>
  <r>
    <s v="Munger"/>
    <s v="10-16 Jul"/>
    <n v="1014"/>
    <s v="Dumraon"/>
    <x v="576"/>
    <s v="Gomukh Churamanpur                                                                                  "/>
    <s v="MPG"/>
    <s v="Direct"/>
    <n v="187.2"/>
    <n v="7582.41"/>
    <n v="186.7"/>
    <n v="7578.15"/>
    <n v="0"/>
    <n v="0"/>
    <n v="186.7"/>
    <n v="7578.15"/>
    <n v="7578.15"/>
    <n v="0"/>
    <n v="0"/>
    <n v="0"/>
    <n v="0"/>
    <n v="0"/>
    <n v="0"/>
    <n v="7578"/>
    <n v="0"/>
    <n v="0"/>
    <n v="4"/>
    <n v="0"/>
    <n v="415.41237692307698"/>
    <n v="26.74285714285714"/>
    <n v="5.6182664878319933E-4"/>
    <n v="1"/>
    <m/>
    <s v="Dumraon"/>
    <m/>
    <n v="0"/>
  </r>
  <r>
    <s v="Munger"/>
    <s v="10-16 Jul"/>
    <n v="1014"/>
    <s v="Dumraon"/>
    <x v="577"/>
    <s v="Gomukh Ekauni Karuwaj"/>
    <s v="MPG"/>
    <s v="Direct"/>
    <n v="16.100000000000001"/>
    <n v="572.27"/>
    <n v="6"/>
    <n v="208.5"/>
    <n v="9.6999999999999993"/>
    <n v="341.90999999999997"/>
    <n v="15.7"/>
    <n v="550.41"/>
    <n v="550.41"/>
    <n v="0"/>
    <n v="0"/>
    <n v="0"/>
    <n v="0"/>
    <n v="500"/>
    <n v="0"/>
    <n v="1"/>
    <n v="50"/>
    <n v="0"/>
    <n v="21"/>
    <s v="Release1"/>
    <n v="486.1806869565217"/>
    <n v="2.3000000000000003"/>
    <n v="3.819875233718352E-2"/>
    <n v="2"/>
    <m/>
    <s v="Dumraon"/>
    <m/>
    <n v="500"/>
  </r>
  <r>
    <s v="Munger"/>
    <s v="10-16 Jul"/>
    <n v="1014"/>
    <s v="Dumraon"/>
    <x v="578"/>
    <s v="Kulharia Agriculture Producer Company Limited"/>
    <s v="MPG"/>
    <s v="Direct"/>
    <n v="1139.5"/>
    <n v="47088.69"/>
    <n v="1128.1299999999999"/>
    <n v="46190.770000000004"/>
    <n v="11.42"/>
    <n v="460.86"/>
    <n v="1139.55"/>
    <n v="46651.630000000005"/>
    <n v="46651.630000000005"/>
    <n v="0"/>
    <n v="460.86"/>
    <n v="0"/>
    <n v="26600"/>
    <n v="0"/>
    <n v="0"/>
    <n v="19591"/>
    <n v="0"/>
    <n v="0"/>
    <n v="437"/>
    <n v="0"/>
    <n v="0"/>
    <n v="0"/>
    <n v="9.2816342947743425E-3"/>
    <n v="4"/>
    <m/>
    <s v="Dumraon"/>
    <m/>
    <n v="0"/>
  </r>
  <r>
    <s v="Munger"/>
    <s v="10-16 Jul"/>
    <n v="1014"/>
    <s v="Dumraon"/>
    <x v="579"/>
    <s v="Gomukh Dhakaich"/>
    <s v="MPG"/>
    <s v="Direct"/>
    <n v="240.2"/>
    <n v="9480.14"/>
    <n v="242.78999999999996"/>
    <n v="9308.36"/>
    <n v="0"/>
    <n v="0"/>
    <n v="242.78999999999996"/>
    <n v="9308.36"/>
    <n v="9308.36"/>
    <n v="0"/>
    <n v="0"/>
    <n v="0"/>
    <n v="0"/>
    <n v="0"/>
    <n v="0"/>
    <n v="9307"/>
    <n v="0"/>
    <n v="0"/>
    <n v="173"/>
    <n v="0"/>
    <n v="362.94491024146544"/>
    <n v="34.31428571428571"/>
    <n v="1.8119985569833234E-2"/>
    <n v="5"/>
    <m/>
    <s v="Dumraon"/>
    <m/>
    <n v="0"/>
  </r>
  <r>
    <s v="Munger"/>
    <s v="10-16 Jul"/>
    <n v="1014"/>
    <s v="Dumraon"/>
    <x v="580"/>
    <s v="Gomukh Kajipura Chandan"/>
    <s v="vlc"/>
    <s v="Indirect"/>
    <n v="742.80000000000007"/>
    <n v="28302.11"/>
    <n v="0"/>
    <n v="0"/>
    <n v="0"/>
    <n v="0"/>
    <n v="0"/>
    <n v="0"/>
    <n v="28302.11"/>
    <n v="0"/>
    <n v="0"/>
    <n v="0"/>
    <n v="0"/>
    <n v="0"/>
    <n v="0"/>
    <n v="0"/>
    <n v="0"/>
    <n v="28302.11"/>
    <n v="0"/>
    <n v="0"/>
    <n v="0"/>
    <n v="0"/>
    <n v="0"/>
    <n v="0"/>
    <m/>
    <s v="Dumraon"/>
    <m/>
    <n v="0"/>
  </r>
  <r>
    <s v="Munger"/>
    <s v="10-16 Jul"/>
    <n v="1014"/>
    <s v="Dumraon"/>
    <x v="982"/>
    <s v="Gomukh Keshopur Surendra"/>
    <s v="vlc"/>
    <s v="Indirect"/>
    <n v="108"/>
    <n v="3557.52"/>
    <n v="0"/>
    <n v="0"/>
    <n v="0"/>
    <n v="0"/>
    <n v="0"/>
    <n v="0"/>
    <n v="3557.52"/>
    <n v="0"/>
    <n v="0"/>
    <n v="0"/>
    <n v="0"/>
    <n v="0"/>
    <n v="0"/>
    <n v="0"/>
    <n v="0"/>
    <n v="3557.52"/>
    <n v="0"/>
    <n v="0"/>
    <n v="390.00959999999998"/>
    <n v="15.428571428571429"/>
    <n v="0"/>
    <n v="0"/>
    <m/>
    <s v="Dumraon"/>
    <m/>
    <n v="0"/>
  </r>
  <r>
    <s v="Munger"/>
    <s v="10-16 Jul"/>
    <n v="1014"/>
    <s v="Dumraon"/>
    <x v="581"/>
    <s v="Gomukh Sikraul Lakh"/>
    <s v="MPG"/>
    <s v="Direct"/>
    <n v="517.80000000000007"/>
    <n v="21575.040000000001"/>
    <n v="511.5"/>
    <n v="21273.54"/>
    <n v="5.9399999999999995"/>
    <n v="238.74"/>
    <n v="517.44000000000005"/>
    <n v="21512.280000000002"/>
    <n v="21512.280000000002"/>
    <n v="0"/>
    <n v="238.74"/>
    <n v="0"/>
    <n v="0"/>
    <n v="0"/>
    <n v="0"/>
    <n v="21274"/>
    <n v="0"/>
    <n v="0"/>
    <n v="62"/>
    <n v="0"/>
    <n v="151.83361483198144"/>
    <n v="73.971428571428575"/>
    <n v="2.9089169707216486E-3"/>
    <n v="3"/>
    <m/>
    <s v="Dumraon"/>
    <m/>
    <n v="0"/>
  </r>
  <r>
    <s v="Munger"/>
    <s v="10-16 Jul"/>
    <n v="1014"/>
    <s v="Dumraon"/>
    <x v="582"/>
    <s v="Gomukh Dafadihari"/>
    <s v="MPG"/>
    <s v="Direct"/>
    <n v="221.79999999999998"/>
    <n v="7931.68"/>
    <n v="219.7"/>
    <n v="8258.9499999999989"/>
    <n v="1.6999999999999997"/>
    <n v="70.640000000000015"/>
    <n v="221.39999999999998"/>
    <n v="8329.5899999999983"/>
    <n v="7931.68"/>
    <n v="0"/>
    <n v="70.640000000000015"/>
    <n v="397.90999999999804"/>
    <n v="0"/>
    <n v="0"/>
    <n v="0"/>
    <n v="7861"/>
    <n v="0"/>
    <n v="0"/>
    <n v="0"/>
    <s v="Release1"/>
    <n v="342.01346943192078"/>
    <n v="31.685714285714283"/>
    <n v="-5.0167177697536716E-2"/>
    <n v="5"/>
    <m/>
    <s v="Dumraon"/>
    <m/>
    <n v="0"/>
  </r>
  <r>
    <s v="Munger"/>
    <s v="10-16 Jul"/>
    <n v="1014"/>
    <s v="Dumraon"/>
    <x v="583"/>
    <s v="Gomukh Paharpur"/>
    <s v="MPG"/>
    <s v="Direct"/>
    <n v="119.2"/>
    <n v="4511.8300000000008"/>
    <n v="117"/>
    <n v="4504.5"/>
    <n v="0"/>
    <n v="0"/>
    <n v="117"/>
    <n v="4504.5"/>
    <n v="4504.5"/>
    <n v="0"/>
    <n v="0"/>
    <n v="0"/>
    <n v="0"/>
    <n v="500"/>
    <n v="0"/>
    <n v="4005"/>
    <n v="0"/>
    <n v="0"/>
    <n v="7"/>
    <n v="0"/>
    <n v="439.67631946308734"/>
    <n v="17.028571428571428"/>
    <n v="1.624617948814746E-3"/>
    <n v="2"/>
    <m/>
    <s v="Dumraon"/>
    <m/>
    <n v="500"/>
  </r>
  <r>
    <s v="Munger"/>
    <s v="10-16 Jul"/>
    <n v="1014"/>
    <s v="Dumraon"/>
    <x v="584"/>
    <s v="Gomukh Basaon Kalan"/>
    <s v="MPG"/>
    <s v="Direct"/>
    <n v="42"/>
    <n v="1555.8700000000001"/>
    <n v="41.9"/>
    <n v="1554.91"/>
    <n v="0"/>
    <n v="0"/>
    <n v="41.9"/>
    <n v="1554.91"/>
    <n v="1554.91"/>
    <n v="0"/>
    <n v="0"/>
    <n v="0"/>
    <n v="0"/>
    <n v="0"/>
    <n v="0"/>
    <n v="1555"/>
    <n v="0"/>
    <n v="0"/>
    <n v="1"/>
    <n v="0"/>
    <n v="487.5059333333333"/>
    <n v="6"/>
    <n v="6.1701813133490345E-4"/>
    <n v="1"/>
    <m/>
    <s v="Dumraon"/>
    <m/>
    <n v="0"/>
  </r>
  <r>
    <s v="Munger"/>
    <s v="10-16 Jul"/>
    <n v="1014"/>
    <s v="Dumraon"/>
    <x v="585"/>
    <s v="Gomukh Mangolpur"/>
    <s v="MPG"/>
    <s v="Direct"/>
    <n v="352.20000000000005"/>
    <n v="12215.990000000002"/>
    <n v="348.8"/>
    <n v="12190"/>
    <n v="5.5000000000000009"/>
    <n v="193.17"/>
    <n v="354.3"/>
    <n v="12383.17"/>
    <n v="12215.990000000002"/>
    <n v="0"/>
    <n v="193.17"/>
    <n v="167.17999999999847"/>
    <n v="0"/>
    <n v="0"/>
    <n v="0"/>
    <n v="12023"/>
    <n v="0"/>
    <n v="0"/>
    <n v="0"/>
    <n v="0"/>
    <n v="241.26753674048834"/>
    <n v="50.314285714285724"/>
    <n v="-1.3685341916618993E-2"/>
    <n v="9"/>
    <m/>
    <s v="Dumraon"/>
    <m/>
    <n v="0"/>
  </r>
  <r>
    <s v="Munger"/>
    <s v="10-16 Jul"/>
    <n v="1014"/>
    <s v="Dumraon"/>
    <x v="586"/>
    <s v="Gomukh Dhanipur"/>
    <s v="MPG"/>
    <s v="Direct"/>
    <n v="349.5"/>
    <n v="14393.59"/>
    <n v="353.01000000000005"/>
    <n v="15776.239999999998"/>
    <n v="0"/>
    <n v="0"/>
    <n v="353.01000000000005"/>
    <n v="15776.239999999998"/>
    <n v="14393.59"/>
    <n v="0"/>
    <n v="0"/>
    <n v="1382.6499999999978"/>
    <n v="0"/>
    <n v="0"/>
    <n v="0"/>
    <n v="14394"/>
    <n v="0"/>
    <n v="0"/>
    <n v="0"/>
    <n v="0"/>
    <n v="288.69546752503578"/>
    <n v="49.928571428571431"/>
    <n v="-9.606012120673145E-2"/>
    <n v="3"/>
    <m/>
    <s v="Dumraon"/>
    <m/>
    <n v="0"/>
  </r>
  <r>
    <s v="Munger"/>
    <s v="10-16 Jul"/>
    <n v="1014"/>
    <s v="Dumraon"/>
    <x v="587"/>
    <s v="Gomukh Rakshanagar_tola"/>
    <s v="MPG"/>
    <s v="Direct"/>
    <n v="570.4"/>
    <n v="24298.28"/>
    <n v="595.29999999999995"/>
    <n v="27317.01"/>
    <n v="0"/>
    <n v="0"/>
    <n v="595.29999999999995"/>
    <n v="27317.01"/>
    <n v="24298.28"/>
    <n v="0"/>
    <n v="0"/>
    <n v="3018.7299999999996"/>
    <n v="0"/>
    <n v="0"/>
    <n v="0"/>
    <n v="24298"/>
    <n v="0"/>
    <n v="0"/>
    <n v="0"/>
    <n v="0"/>
    <n v="110.41574642356241"/>
    <n v="81.48571428571428"/>
    <n v="-0.12423636570160521"/>
    <n v="3"/>
    <m/>
    <s v="Dumraon"/>
    <m/>
    <n v="0"/>
  </r>
  <r>
    <s v="Munger"/>
    <s v="10-16 Jul"/>
    <n v="1014"/>
    <s v="Dumraon"/>
    <x v="588"/>
    <s v="Gomukh Nadaon"/>
    <s v="MPG"/>
    <s v="Direct"/>
    <n v="305.5"/>
    <n v="9382.81"/>
    <n v="225.79999999999998"/>
    <n v="9379.8799999999992"/>
    <n v="0"/>
    <n v="0"/>
    <n v="225.79999999999998"/>
    <n v="9379.8799999999992"/>
    <n v="9379.8799999999992"/>
    <n v="0"/>
    <n v="0"/>
    <n v="0"/>
    <n v="0"/>
    <n v="500"/>
    <n v="0"/>
    <n v="8880"/>
    <n v="0"/>
    <n v="0"/>
    <n v="3"/>
    <n v="0"/>
    <n v="242.32527299509002"/>
    <n v="43.642857142857146"/>
    <n v="3.1227318894875748E-4"/>
    <n v="2"/>
    <m/>
    <s v="Dumraon"/>
    <m/>
    <n v="500"/>
  </r>
  <r>
    <s v="Munger"/>
    <s v="10-16 Jul"/>
    <n v="1014"/>
    <s v="Dumraon"/>
    <x v="589"/>
    <s v="Gomukh Mathuradera Upendra "/>
    <s v="vlc"/>
    <s v="Indirect"/>
    <n v="473.2"/>
    <n v="19784.810000000005"/>
    <n v="0"/>
    <n v="0"/>
    <n v="0"/>
    <n v="0"/>
    <n v="0"/>
    <n v="0"/>
    <n v="19784.810000000005"/>
    <n v="0"/>
    <n v="0"/>
    <n v="0"/>
    <n v="0"/>
    <n v="0"/>
    <n v="0"/>
    <n v="0"/>
    <n v="0"/>
    <n v="19784.810000000005"/>
    <n v="0"/>
    <n v="0"/>
    <n v="189.65320828402375"/>
    <n v="67.599999999999994"/>
    <n v="0"/>
    <n v="0"/>
    <m/>
    <s v="Dumraon"/>
    <m/>
    <n v="0"/>
  </r>
  <r>
    <s v="Munger"/>
    <s v="10-16 Jul"/>
    <n v="1014"/>
    <s v="Dumraon"/>
    <x v="590"/>
    <s v="Gomukh Bramhpur"/>
    <s v="MPG"/>
    <s v="Direct"/>
    <n v="146.70000000000002"/>
    <n v="4803.12"/>
    <n v="205.06"/>
    <n v="7978.1299999999992"/>
    <n v="0"/>
    <n v="0"/>
    <n v="205.06"/>
    <n v="7978.1299999999992"/>
    <n v="4803.12"/>
    <n v="0"/>
    <n v="0"/>
    <n v="3175.0099999999993"/>
    <n v="0"/>
    <n v="500"/>
    <n v="0"/>
    <n v="4303"/>
    <n v="0"/>
    <n v="0"/>
    <n v="0"/>
    <n v="0"/>
    <n v="362.31306012269931"/>
    <n v="20.957142857142859"/>
    <n v="-0.66103074668132367"/>
    <n v="2"/>
    <m/>
    <s v="Dumraon"/>
    <m/>
    <n v="500"/>
  </r>
  <r>
    <s v="Munger"/>
    <s v="10-16 Jul"/>
    <n v="1014"/>
    <s v="Dumraon"/>
    <x v="591"/>
    <s v="Gomukh Mashariya"/>
    <s v="MPG"/>
    <s v="Direct"/>
    <n v="660.7"/>
    <n v="25516.09"/>
    <n v="395.70000000000005"/>
    <n v="16508.730000000003"/>
    <n v="227.14"/>
    <n v="8971.51"/>
    <n v="622.84"/>
    <n v="25480.240000000005"/>
    <n v="25480.240000000005"/>
    <n v="0"/>
    <n v="900.15000000000009"/>
    <n v="0"/>
    <n v="0"/>
    <n v="0"/>
    <n v="0"/>
    <n v="16509"/>
    <n v="8071"/>
    <n v="0"/>
    <n v="36"/>
    <n v="0"/>
    <n v="30.355148690782499"/>
    <n v="94.385714285714286"/>
    <n v="1.4049958281223693E-3"/>
    <n v="5"/>
    <m/>
    <s v="Dumraon"/>
    <m/>
    <n v="0"/>
  </r>
  <r>
    <s v="Munger"/>
    <s v="10-16 Jul"/>
    <n v="1014"/>
    <s v="Dumraon"/>
    <x v="592"/>
    <s v="Gomukh Basawkala Sudhir Kumar"/>
    <s v="vlc"/>
    <s v="Indirect"/>
    <n v="239.1"/>
    <n v="9448.130000000001"/>
    <n v="0"/>
    <n v="0"/>
    <n v="0"/>
    <n v="0"/>
    <n v="0"/>
    <n v="0"/>
    <n v="9448.130000000001"/>
    <n v="0"/>
    <n v="0"/>
    <n v="0"/>
    <n v="0"/>
    <n v="0"/>
    <n v="0"/>
    <n v="0"/>
    <n v="0"/>
    <n v="9448.130000000001"/>
    <n v="0"/>
    <n v="0"/>
    <n v="364.2528746967796"/>
    <n v="34.157142857142858"/>
    <n v="0"/>
    <n v="0"/>
    <m/>
    <s v="Dumraon"/>
    <m/>
    <n v="0"/>
  </r>
  <r>
    <s v="Munger"/>
    <s v="10-16 Jul"/>
    <n v="1014"/>
    <s v="Dumraon"/>
    <x v="593"/>
    <s v="Gomukh KritSagar"/>
    <s v="MPG"/>
    <s v="Direct"/>
    <n v="349.3"/>
    <n v="17092.25"/>
    <n v="349"/>
    <n v="17031.2"/>
    <n v="0"/>
    <n v="0"/>
    <n v="349"/>
    <n v="17031.2"/>
    <n v="17031.2"/>
    <n v="0"/>
    <n v="0"/>
    <n v="0"/>
    <n v="0"/>
    <n v="0"/>
    <n v="0"/>
    <n v="17031"/>
    <n v="0"/>
    <n v="0"/>
    <n v="61"/>
    <n v="0"/>
    <n v="343.21512024048099"/>
    <n v="49.9"/>
    <n v="3.5717942342289206E-3"/>
    <n v="1"/>
    <m/>
    <s v="Dumraon"/>
    <m/>
    <n v="0"/>
  </r>
  <r>
    <s v="Munger"/>
    <s v="10-16 Jul"/>
    <n v="1014"/>
    <s v="Dumraon"/>
    <x v="594"/>
    <s v="Gomukh Navdera Jaipraksh"/>
    <s v="vlc"/>
    <s v="Indirect"/>
    <n v="2230.5"/>
    <n v="85998.750000000015"/>
    <n v="0"/>
    <n v="0"/>
    <n v="0"/>
    <n v="0"/>
    <n v="0"/>
    <n v="0"/>
    <n v="85998.750000000015"/>
    <n v="0"/>
    <n v="0"/>
    <n v="0"/>
    <n v="0"/>
    <n v="0"/>
    <n v="0"/>
    <n v="0"/>
    <n v="0"/>
    <n v="85998.750000000015"/>
    <n v="0"/>
    <n v="0"/>
    <n v="0"/>
    <n v="0"/>
    <n v="0"/>
    <n v="0"/>
    <m/>
    <s v="Dumraon"/>
    <m/>
    <n v="0"/>
  </r>
  <r>
    <s v="Munger"/>
    <s v="10-16 Jul"/>
    <n v="1014"/>
    <s v="Dumraon"/>
    <x v="595"/>
    <s v="Gomukh Ataon"/>
    <s v="MPG"/>
    <s v="Direct"/>
    <n v="365.40000000000003"/>
    <n v="16301.179999999998"/>
    <n v="381.09999999999997"/>
    <n v="17851.419999999998"/>
    <n v="0"/>
    <n v="0"/>
    <n v="381.09999999999997"/>
    <n v="17851.419999999998"/>
    <n v="16301.179999999998"/>
    <n v="0"/>
    <n v="0"/>
    <n v="1550.2399999999998"/>
    <n v="0"/>
    <n v="0"/>
    <n v="0"/>
    <n v="16301"/>
    <n v="0"/>
    <n v="0"/>
    <n v="0"/>
    <s v="Release1"/>
    <n v="298.54268352490408"/>
    <n v="52.2"/>
    <n v="-9.5099863936230378E-2"/>
    <n v="2"/>
    <m/>
    <s v="Dumraon"/>
    <m/>
    <n v="0"/>
  </r>
  <r>
    <s v="Munger"/>
    <s v="10-16 Jul"/>
    <n v="1014"/>
    <s v="Dumraon"/>
    <x v="596"/>
    <s v="Gumukh Gayghat"/>
    <s v="MPG"/>
    <s v="Direct"/>
    <n v="854.5"/>
    <n v="31654.29"/>
    <n v="862.45"/>
    <n v="37421.56"/>
    <n v="0"/>
    <n v="0"/>
    <n v="862.45"/>
    <n v="37421.56"/>
    <n v="31654.29"/>
    <n v="0"/>
    <n v="0"/>
    <n v="5767.2699999999968"/>
    <n v="0"/>
    <n v="0"/>
    <n v="0"/>
    <n v="31654"/>
    <n v="0"/>
    <n v="0"/>
    <n v="0"/>
    <s v="Release1"/>
    <n v="0"/>
    <n v="0"/>
    <n v="-0.18219552547221868"/>
    <n v="2"/>
    <m/>
    <s v="Dumraon"/>
    <m/>
    <n v="0"/>
  </r>
  <r>
    <s v="Munger"/>
    <s v="10-16 Jul"/>
    <n v="1014"/>
    <s v="Dumraon"/>
    <x v="597"/>
    <s v="Gomukh Chakki Janardan Yadav"/>
    <s v="vlc"/>
    <s v="Indirect"/>
    <n v="66.099999999999994"/>
    <n v="2455.48"/>
    <n v="0"/>
    <n v="0"/>
    <n v="0"/>
    <n v="0"/>
    <n v="0"/>
    <n v="0"/>
    <n v="2455.48"/>
    <n v="0"/>
    <n v="0"/>
    <n v="0"/>
    <n v="0"/>
    <n v="0"/>
    <n v="0"/>
    <n v="0"/>
    <n v="0"/>
    <n v="2455.48"/>
    <n v="0"/>
    <n v="0"/>
    <n v="470.96180695915297"/>
    <n v="9.4428571428571413"/>
    <n v="0"/>
    <n v="0"/>
    <m/>
    <s v="Dumraon"/>
    <m/>
    <n v="0"/>
  </r>
  <r>
    <s v="Munger"/>
    <s v="10-16 Jul"/>
    <n v="1014"/>
    <s v="Dumraon"/>
    <x v="598"/>
    <s v="Gomukh Rajpur"/>
    <s v="MPG"/>
    <s v="Direct"/>
    <n v="1099.2"/>
    <n v="46947.439999999995"/>
    <n v="1077.93"/>
    <n v="46369.34"/>
    <n v="11.38"/>
    <n v="500.26999999999992"/>
    <n v="1089.3100000000002"/>
    <n v="46869.609999999993"/>
    <n v="46869.609999999993"/>
    <n v="0"/>
    <n v="500.26999999999992"/>
    <n v="0"/>
    <n v="0"/>
    <n v="0"/>
    <n v="0"/>
    <n v="46368"/>
    <n v="0"/>
    <n v="0"/>
    <n v="79"/>
    <n v="0"/>
    <n v="0"/>
    <n v="0"/>
    <n v="1.6578113737405439E-3"/>
    <n v="42"/>
    <m/>
    <s v="Dumraon"/>
    <m/>
    <n v="0"/>
  </r>
  <r>
    <s v="Munger"/>
    <s v="10-16 Jul"/>
    <n v="1014"/>
    <s v="Dumraon"/>
    <x v="599"/>
    <s v="Gomukh Gangauli Dubha"/>
    <s v="MPG"/>
    <s v="Direct"/>
    <n v="176.59999999999997"/>
    <n v="7384.0800000000008"/>
    <n v="183.1"/>
    <n v="7280.5700000000006"/>
    <n v="3.0999999999999996"/>
    <n v="132.06"/>
    <n v="186.2"/>
    <n v="7412.630000000001"/>
    <n v="7384.0800000000008"/>
    <n v="0"/>
    <n v="132.06"/>
    <n v="28.550000000000182"/>
    <n v="0"/>
    <n v="0"/>
    <n v="0"/>
    <n v="7252"/>
    <n v="0"/>
    <n v="0"/>
    <n v="0"/>
    <n v="0"/>
    <n v="437.69280543601371"/>
    <n v="25.228571428571424"/>
    <n v="-3.8664261492291768E-3"/>
    <n v="7"/>
    <m/>
    <s v="Dumraon"/>
    <m/>
    <n v="0"/>
  </r>
  <r>
    <s v="Munger"/>
    <s v="10-16 Jul"/>
    <n v="1014"/>
    <s v="Dumraon"/>
    <x v="600"/>
    <s v="Gomukh Jagdishpur"/>
    <s v="MPG"/>
    <s v="Direct"/>
    <n v="511.40000000000009"/>
    <n v="17903.12"/>
    <n v="509"/>
    <n v="17901.53"/>
    <n v="0"/>
    <n v="0"/>
    <n v="509"/>
    <n v="17901.53"/>
    <n v="17901.53"/>
    <n v="0"/>
    <n v="0"/>
    <n v="0"/>
    <n v="6650"/>
    <n v="0"/>
    <n v="0"/>
    <n v="11252"/>
    <n v="0"/>
    <n v="0"/>
    <n v="1"/>
    <n v="0"/>
    <n v="132.05038842393424"/>
    <n v="73.057142857142864"/>
    <n v="8.8811335677811774E-5"/>
    <n v="1"/>
    <m/>
    <s v="Dumraon"/>
    <m/>
    <n v="0"/>
  </r>
  <r>
    <s v="Munger"/>
    <s v="10-16 Jul"/>
    <n v="1014"/>
    <s v="Dumraon"/>
    <x v="601"/>
    <s v="Gumukk JP Dera"/>
    <s v="vlc"/>
    <s v="Indirect"/>
    <n v="464.99999999999994"/>
    <n v="18471.699999999997"/>
    <n v="0"/>
    <n v="0"/>
    <n v="0"/>
    <n v="0"/>
    <n v="0"/>
    <n v="0"/>
    <n v="18471.699999999997"/>
    <n v="0"/>
    <n v="0"/>
    <n v="0"/>
    <n v="0"/>
    <n v="0"/>
    <n v="0"/>
    <n v="0"/>
    <n v="0"/>
    <n v="18471.699999999997"/>
    <n v="0"/>
    <n v="0"/>
    <n v="186.70320430107532"/>
    <n v="66.428571428571416"/>
    <n v="0"/>
    <n v="0"/>
    <m/>
    <s v="Dumraon"/>
    <m/>
    <n v="0"/>
  </r>
  <r>
    <s v="Munger"/>
    <s v="10-16 Jul"/>
    <n v="1014"/>
    <s v="Dumraon"/>
    <x v="602"/>
    <s v="Gumukh Orap Khurd"/>
    <s v="MPG"/>
    <s v="Direct"/>
    <n v="410.5"/>
    <n v="16354.609999999997"/>
    <n v="420.56999999999994"/>
    <n v="16368.740000000005"/>
    <n v="0"/>
    <n v="0"/>
    <n v="420.56999999999994"/>
    <n v="16368.740000000005"/>
    <n v="16354.609999999997"/>
    <n v="0"/>
    <n v="0"/>
    <n v="14.130000000008295"/>
    <n v="0"/>
    <n v="0"/>
    <n v="0"/>
    <n v="16355"/>
    <n v="0"/>
    <n v="0"/>
    <n v="0"/>
    <n v="0"/>
    <n v="230.67769037758828"/>
    <n v="58.642857142857146"/>
    <n v="-8.639765790812681E-4"/>
    <n v="1"/>
    <m/>
    <s v="Dumraon"/>
    <m/>
    <n v="0"/>
  </r>
  <r>
    <s v="Munger"/>
    <s v="10-16 Jul"/>
    <n v="1014"/>
    <s v="Dumraon"/>
    <x v="603"/>
    <s v="Gomukh Daunpura Manendra"/>
    <s v="vlc"/>
    <s v="Indirect"/>
    <n v="416.10000000000008"/>
    <n v="16381.399999999998"/>
    <n v="0"/>
    <n v="0"/>
    <n v="0"/>
    <n v="0"/>
    <n v="0"/>
    <n v="0"/>
    <n v="16381.399999999998"/>
    <n v="0"/>
    <n v="0"/>
    <n v="0"/>
    <n v="0"/>
    <n v="0"/>
    <n v="0"/>
    <n v="0"/>
    <n v="0"/>
    <n v="16381.399999999998"/>
    <n v="0"/>
    <n v="0"/>
    <n v="223.53662388848821"/>
    <n v="59.442857142857157"/>
    <n v="0"/>
    <n v="0"/>
    <m/>
    <s v="Dumraon"/>
    <m/>
    <n v="0"/>
  </r>
  <r>
    <s v="Munger"/>
    <s v="10-16 Jul"/>
    <n v="1014"/>
    <s v="Dumraon"/>
    <x v="604"/>
    <s v="Gumukh Mathiyapur"/>
    <s v="MPG"/>
    <s v="Direct"/>
    <n v="192.1"/>
    <n v="8021.48"/>
    <n v="192.3"/>
    <n v="8018.91"/>
    <n v="0"/>
    <n v="0"/>
    <n v="192.3"/>
    <n v="8018.91"/>
    <n v="8018.91"/>
    <n v="0"/>
    <n v="0"/>
    <n v="0"/>
    <n v="0"/>
    <n v="0"/>
    <n v="0"/>
    <n v="8019"/>
    <n v="0"/>
    <n v="0"/>
    <n v="2"/>
    <n v="0"/>
    <n v="424.16550671525243"/>
    <n v="27.442857142857143"/>
    <n v="3.2038975351178451E-4"/>
    <n v="1"/>
    <m/>
    <s v="Dumraon"/>
    <m/>
    <n v="0"/>
  </r>
  <r>
    <s v="Munger"/>
    <s v="10-16 Jul"/>
    <n v="1014"/>
    <s v="Dumraon"/>
    <x v="605"/>
    <s v="Gomukh Raghunathpur Dasrath"/>
    <s v="vlc"/>
    <s v="Indirect"/>
    <n v="875.59999999999991"/>
    <n v="36649.94"/>
    <n v="0"/>
    <n v="0"/>
    <n v="0"/>
    <n v="0"/>
    <n v="0"/>
    <n v="0"/>
    <n v="36649.94"/>
    <n v="0"/>
    <n v="0"/>
    <n v="0"/>
    <n v="0"/>
    <n v="0"/>
    <n v="0"/>
    <n v="0"/>
    <n v="0"/>
    <n v="36649.94"/>
    <n v="0"/>
    <n v="0"/>
    <n v="0"/>
    <n v="0"/>
    <n v="0"/>
    <n v="0"/>
    <m/>
    <s v="Dumraon"/>
    <m/>
    <n v="0"/>
  </r>
  <r>
    <s v="Munger"/>
    <s v="10-16 Jul"/>
    <n v="1014"/>
    <s v="Dumraon"/>
    <x v="606"/>
    <s v="Gomukh Lakshman Dera Raja"/>
    <s v="vlc"/>
    <s v="Indirect"/>
    <n v="145.90000000000003"/>
    <n v="5234.0399999999991"/>
    <n v="0"/>
    <n v="0"/>
    <n v="0"/>
    <n v="0"/>
    <n v="0"/>
    <n v="0"/>
    <n v="5234.0399999999991"/>
    <n v="0"/>
    <n v="0"/>
    <n v="0"/>
    <n v="0"/>
    <n v="0"/>
    <n v="0"/>
    <n v="0"/>
    <n v="0"/>
    <n v="5234.0399999999991"/>
    <n v="0"/>
    <n v="0"/>
    <n v="397.55744537354332"/>
    <n v="20.842857142857149"/>
    <n v="0"/>
    <n v="0"/>
    <m/>
    <s v="Dumraon"/>
    <m/>
    <n v="0"/>
  </r>
  <r>
    <s v="Munger"/>
    <s v="10-16 Jul"/>
    <n v="1014"/>
    <s v="Dumraon"/>
    <x v="607"/>
    <s v="Sohan Narayan Farmer Dairy Producer Company Ltd"/>
    <s v="vlc"/>
    <s v="Indirect"/>
    <n v="2937.6"/>
    <n v="108518.93000000001"/>
    <n v="0"/>
    <n v="0"/>
    <n v="0"/>
    <n v="0"/>
    <n v="0"/>
    <n v="0"/>
    <n v="108518.93000000001"/>
    <n v="0"/>
    <n v="0"/>
    <n v="0"/>
    <n v="0"/>
    <n v="0"/>
    <n v="0"/>
    <n v="0"/>
    <n v="0"/>
    <n v="108518.93000000001"/>
    <n v="0"/>
    <n v="0"/>
    <n v="0"/>
    <n v="0"/>
    <n v="0"/>
    <n v="0"/>
    <m/>
    <s v="Dumraon"/>
    <m/>
    <n v="0"/>
  </r>
  <r>
    <s v="Munger"/>
    <s v="10-16 Jul"/>
    <n v="1014"/>
    <s v="Dumraon"/>
    <x v="608"/>
    <s v="Gomukh Arion Govind "/>
    <s v="vlc"/>
    <s v="Indirect"/>
    <n v="99.8"/>
    <n v="4140.12"/>
    <n v="0"/>
    <n v="0"/>
    <n v="0"/>
    <n v="0"/>
    <n v="0"/>
    <n v="0"/>
    <n v="4140.12"/>
    <n v="0"/>
    <n v="0"/>
    <n v="0"/>
    <n v="0"/>
    <n v="0"/>
    <n v="0"/>
    <n v="0"/>
    <n v="0"/>
    <n v="4140.12"/>
    <n v="0"/>
    <n v="0"/>
    <n v="497.97595671342697"/>
    <n v="14.257142857142856"/>
    <n v="0"/>
    <n v="0"/>
    <m/>
    <s v="Dumraon"/>
    <m/>
    <n v="0"/>
  </r>
  <r>
    <s v="Munger"/>
    <s v="10-16 Jul"/>
    <n v="1014"/>
    <s v="Dumraon"/>
    <x v="609"/>
    <s v="Gumukh Basawkala Dahpura Tola"/>
    <s v="MPG"/>
    <s v="Direct"/>
    <n v="797.00000000000011"/>
    <n v="32808.650000000009"/>
    <n v="795.03"/>
    <n v="32803.839999999997"/>
    <n v="0"/>
    <n v="0"/>
    <n v="795.03"/>
    <n v="32803.839999999997"/>
    <n v="32803.839999999997"/>
    <n v="0"/>
    <n v="0"/>
    <n v="0"/>
    <n v="0"/>
    <n v="0"/>
    <n v="0"/>
    <n v="32804"/>
    <n v="0"/>
    <n v="0"/>
    <n v="5"/>
    <n v="0"/>
    <n v="0"/>
    <n v="0"/>
    <n v="1.4660767815841927E-4"/>
    <n v="1"/>
    <m/>
    <s v="Dumraon"/>
    <m/>
    <n v="0"/>
  </r>
  <r>
    <s v="Munger"/>
    <s v="10-16 Jul"/>
    <n v="1014"/>
    <s v="Dumraon"/>
    <x v="610"/>
    <s v="GomukhSimari Bakulha Patti"/>
    <s v="vlc"/>
    <s v="Indirect"/>
    <n v="322.7"/>
    <n v="11543.220000000001"/>
    <n v="0"/>
    <n v="0"/>
    <n v="0"/>
    <n v="0"/>
    <n v="0"/>
    <n v="0"/>
    <n v="11543.220000000001"/>
    <n v="0"/>
    <n v="0"/>
    <n v="0"/>
    <n v="0"/>
    <n v="0"/>
    <n v="0"/>
    <n v="0"/>
    <n v="0"/>
    <n v="11543.220000000001"/>
    <n v="0"/>
    <n v="0"/>
    <n v="269.92605553145341"/>
    <n v="46.1"/>
    <n v="0"/>
    <n v="0"/>
    <m/>
    <s v="Dumraon"/>
    <m/>
    <n v="0"/>
  </r>
  <r>
    <s v="Munger"/>
    <s v="10-16 Jul"/>
    <n v="1014"/>
    <s v="Dumraon"/>
    <x v="611"/>
    <s v="Gomukh Baijnathpur"/>
    <s v="MPG"/>
    <s v="Direct"/>
    <n v="963.10000000000014"/>
    <n v="39472.730000000003"/>
    <n v="963.12"/>
    <n v="40183.719999999994"/>
    <n v="0"/>
    <n v="0"/>
    <n v="963.12"/>
    <n v="40183.719999999994"/>
    <n v="39472.730000000003"/>
    <n v="0"/>
    <n v="0"/>
    <n v="710.98999999999069"/>
    <n v="0"/>
    <n v="0"/>
    <n v="0"/>
    <n v="39473"/>
    <n v="0"/>
    <n v="0"/>
    <n v="0"/>
    <n v="0"/>
    <n v="0"/>
    <n v="0"/>
    <n v="-1.8012182081147937E-2"/>
    <n v="2"/>
    <m/>
    <s v="Dumraon"/>
    <m/>
    <n v="0"/>
  </r>
  <r>
    <s v="Munger"/>
    <s v="10-16 Jul"/>
    <n v="1002"/>
    <s v="Laldiyara"/>
    <x v="613"/>
    <s v="Gaachhi Tola"/>
    <s v="MPG"/>
    <s v="Indirect"/>
    <n v="724.1"/>
    <n v="30035.900000000005"/>
    <n v="0"/>
    <n v="0"/>
    <n v="0"/>
    <n v="0"/>
    <n v="0"/>
    <n v="0"/>
    <n v="30035.900000000005"/>
    <n v="0"/>
    <n v="0"/>
    <n v="0"/>
    <n v="0"/>
    <n v="0"/>
    <n v="0"/>
    <n v="0"/>
    <n v="0"/>
    <n v="30035.900000000005"/>
    <n v="0"/>
    <n v="0"/>
    <n v="0"/>
    <n v="0"/>
    <n v="0"/>
    <n v="0"/>
    <m/>
    <s v="Laldiyara"/>
    <m/>
    <n v="0"/>
  </r>
  <r>
    <s v="Munger"/>
    <s v="10-16 Jul"/>
    <n v="1002"/>
    <s v="Laldiyara"/>
    <x v="983"/>
    <s v="SHIVNAR-2"/>
    <s v="MPG"/>
    <s v="Direct"/>
    <n v="472.5"/>
    <n v="19178.78"/>
    <n v="472.5"/>
    <n v="19178.78"/>
    <n v="0"/>
    <n v="0"/>
    <n v="472.5"/>
    <n v="19178.78"/>
    <n v="19178.78"/>
    <n v="0"/>
    <n v="0"/>
    <n v="0"/>
    <n v="0"/>
    <n v="0"/>
    <n v="0"/>
    <n v="19179"/>
    <n v="0"/>
    <n v="0"/>
    <n v="0"/>
    <n v="0"/>
    <n v="184.68454814814814"/>
    <n v="67.5"/>
    <n v="0"/>
    <n v="1"/>
    <m/>
    <s v="Laldiyara"/>
    <m/>
    <n v="0"/>
  </r>
  <r>
    <s v="Munger"/>
    <s v="10-16 Jul"/>
    <n v="1003"/>
    <s v="Asarganj"/>
    <x v="614"/>
    <s v="KUMARPUIR KATHARA"/>
    <s v="MPG"/>
    <s v="Direct"/>
    <n v="2246.0499999999997"/>
    <n v="86984.38"/>
    <n v="2332.2000000000007"/>
    <n v="85503.549999999988"/>
    <n v="28.499999999999996"/>
    <n v="1502.03"/>
    <n v="2360.7000000000007"/>
    <n v="87005.579999999987"/>
    <n v="86984.38"/>
    <n v="0"/>
    <n v="1502.03"/>
    <n v="21.199999999982538"/>
    <n v="0"/>
    <n v="0"/>
    <n v="0"/>
    <n v="85482"/>
    <n v="0"/>
    <n v="0"/>
    <n v="0"/>
    <n v="0"/>
    <n v="0"/>
    <n v="0"/>
    <n v="-2.4372191880867044E-4"/>
    <n v="70"/>
    <m/>
    <s v="Asarganj"/>
    <m/>
    <n v="0"/>
  </r>
  <r>
    <s v="Munger"/>
    <s v="10-16 Jul"/>
    <n v="1003"/>
    <s v="Asarganj"/>
    <x v="615"/>
    <s v="KUDHIYA MPG"/>
    <s v="MPG"/>
    <s v="Direct"/>
    <n v="1181.1000000000001"/>
    <n v="52772.36"/>
    <n v="1171.5"/>
    <n v="52408.320000000007"/>
    <n v="13.9"/>
    <n v="616.28"/>
    <n v="1185.4000000000001"/>
    <n v="53024.600000000006"/>
    <n v="52772.36"/>
    <n v="0"/>
    <n v="616.28"/>
    <n v="252.24000000000524"/>
    <n v="0"/>
    <n v="0"/>
    <n v="0"/>
    <n v="52156"/>
    <n v="0"/>
    <n v="0"/>
    <n v="0"/>
    <n v="0"/>
    <n v="0"/>
    <n v="0"/>
    <n v="-4.779774866994867E-3"/>
    <n v="16"/>
    <m/>
    <s v="Asarganj"/>
    <m/>
    <n v="0"/>
  </r>
  <r>
    <s v="Munger"/>
    <s v="10-16 Jul"/>
    <n v="1003"/>
    <s v="Asarganj"/>
    <x v="616"/>
    <s v="SHAHJADPUR MPG"/>
    <s v="MPG"/>
    <s v="Direct"/>
    <n v="1577.45"/>
    <n v="59995.89"/>
    <n v="1573.9"/>
    <n v="68381.36"/>
    <n v="9.5999999999999979"/>
    <n v="413.82"/>
    <n v="1583.5"/>
    <n v="68795.180000000008"/>
    <n v="59995.89"/>
    <n v="0"/>
    <n v="413.82"/>
    <n v="8799.2900000000081"/>
    <n v="1250"/>
    <n v="0"/>
    <n v="0"/>
    <n v="58332"/>
    <n v="0"/>
    <n v="0"/>
    <n v="0"/>
    <s v="Release1"/>
    <n v="0"/>
    <n v="0"/>
    <n v="-0.1466648798776051"/>
    <n v="15"/>
    <m/>
    <s v="Asarganj"/>
    <m/>
    <n v="0"/>
  </r>
  <r>
    <s v="Munger"/>
    <s v="10-16 Jul"/>
    <n v="1006"/>
    <s v="Sonvarsha"/>
    <x v="617"/>
    <s v="FARDA - 3"/>
    <s v="MPG"/>
    <s v="Direct"/>
    <n v="2369.6"/>
    <n v="87731.780000000013"/>
    <n v="238.19999999999996"/>
    <n v="8850.74"/>
    <n v="2204.6999999999998"/>
    <n v="83416.69"/>
    <n v="2442.8999999999996"/>
    <n v="92267.430000000008"/>
    <n v="87731.780000000013"/>
    <n v="0"/>
    <n v="335.37999999999994"/>
    <n v="4535.6499999999942"/>
    <n v="0"/>
    <n v="0"/>
    <n v="0"/>
    <n v="4314"/>
    <n v="83082"/>
    <n v="0"/>
    <n v="0"/>
    <n v="0"/>
    <n v="0"/>
    <n v="0"/>
    <n v="-5.1699053638259627E-2"/>
    <n v="14"/>
    <m/>
    <s v="Sonvarsha"/>
    <m/>
    <n v="0"/>
  </r>
  <r>
    <s v="Munger"/>
    <s v="10-16 Jul"/>
    <n v="1006"/>
    <s v="Sonvarsha"/>
    <x v="618"/>
    <s v="CHANDANPURA"/>
    <s v="MPG"/>
    <s v="Indirect"/>
    <n v="1282.3999999999999"/>
    <n v="54498.71"/>
    <n v="0"/>
    <n v="0"/>
    <n v="0"/>
    <n v="0"/>
    <n v="0"/>
    <n v="0"/>
    <n v="54498.71"/>
    <n v="0"/>
    <n v="0"/>
    <n v="0"/>
    <n v="0"/>
    <n v="0"/>
    <n v="0"/>
    <n v="0"/>
    <n v="0"/>
    <n v="54498.71"/>
    <n v="0"/>
    <n v="0"/>
    <n v="0"/>
    <n v="0"/>
    <n v="0"/>
    <n v="0"/>
    <m/>
    <s v="Sonvarsha"/>
    <m/>
    <n v="0"/>
  </r>
  <r>
    <s v="Munger"/>
    <s v="10-16 Jul"/>
    <n v="1006"/>
    <s v="Sonvarsha"/>
    <x v="619"/>
    <s v="MANIKPUR"/>
    <s v="MPG"/>
    <s v="Direct"/>
    <n v="886.19999999999993"/>
    <n v="37641.94"/>
    <n v="0"/>
    <n v="0"/>
    <n v="991.2"/>
    <n v="41834.570000000022"/>
    <n v="991.2"/>
    <n v="41834.570000000022"/>
    <n v="37641.94"/>
    <n v="0"/>
    <n v="261.29000000000002"/>
    <n v="4192.6300000000192"/>
    <n v="0"/>
    <n v="0"/>
    <n v="0"/>
    <n v="0"/>
    <n v="37381"/>
    <n v="0"/>
    <n v="0"/>
    <s v="Release3"/>
    <n v="0"/>
    <n v="0"/>
    <n v="-0.11138187882983765"/>
    <n v="19"/>
    <m/>
    <s v="Sonvarsha"/>
    <m/>
    <n v="0"/>
  </r>
  <r>
    <s v="Munger"/>
    <s v="10-16 Jul"/>
    <n v="1006"/>
    <s v="Sonvarsha"/>
    <x v="620"/>
    <s v="JAKARPURA"/>
    <s v="MPG"/>
    <s v="Indirect"/>
    <n v="1782.6000000000001"/>
    <n v="71616.310000000012"/>
    <n v="0"/>
    <n v="0"/>
    <n v="0"/>
    <n v="0"/>
    <n v="0"/>
    <n v="0"/>
    <n v="71616.310000000012"/>
    <n v="0"/>
    <n v="0"/>
    <n v="0"/>
    <n v="0"/>
    <n v="0"/>
    <n v="0"/>
    <n v="0"/>
    <n v="0"/>
    <n v="71616.310000000012"/>
    <n v="0"/>
    <n v="0"/>
    <n v="0"/>
    <n v="0"/>
    <n v="0"/>
    <n v="0"/>
    <m/>
    <s v="Sonvarsha"/>
    <m/>
    <n v="0"/>
  </r>
  <r>
    <s v="Munger"/>
    <s v="10-16 Jul"/>
    <n v="1006"/>
    <s v="Sonvarsha"/>
    <x v="621"/>
    <s v="KISHANPUR"/>
    <s v="MPG"/>
    <s v="Indirect"/>
    <n v="3131.2000000000003"/>
    <n v="124105.26000000001"/>
    <n v="0"/>
    <n v="0"/>
    <n v="0"/>
    <n v="0"/>
    <n v="0"/>
    <n v="0"/>
    <n v="124105.26000000001"/>
    <n v="0"/>
    <n v="0"/>
    <n v="0"/>
    <n v="0"/>
    <n v="0"/>
    <n v="0"/>
    <n v="0"/>
    <n v="0"/>
    <n v="124105.26000000001"/>
    <n v="0"/>
    <n v="0"/>
    <n v="0"/>
    <n v="0"/>
    <n v="0"/>
    <n v="0"/>
    <m/>
    <s v="Sonvarsha"/>
    <m/>
    <n v="0"/>
  </r>
  <r>
    <s v="Munger"/>
    <s v="10-16 Jul"/>
    <n v="1006"/>
    <s v="Sonvarsha"/>
    <x v="622"/>
    <s v="NANDPUR"/>
    <s v="MPG"/>
    <s v="Indirect"/>
    <n v="1456"/>
    <n v="56729.639999999992"/>
    <n v="0"/>
    <n v="0"/>
    <n v="0"/>
    <n v="0"/>
    <n v="0"/>
    <n v="0"/>
    <n v="56729.639999999992"/>
    <n v="0"/>
    <n v="0"/>
    <n v="0"/>
    <n v="0"/>
    <n v="0"/>
    <n v="0"/>
    <n v="0"/>
    <n v="0"/>
    <n v="56729.639999999992"/>
    <n v="0"/>
    <n v="0"/>
    <n v="0"/>
    <n v="0"/>
    <n v="0"/>
    <n v="0"/>
    <m/>
    <s v="Sonvarsha"/>
    <m/>
    <n v="0"/>
  </r>
  <r>
    <s v="Munger"/>
    <s v="10-16 Jul"/>
    <n v="1006"/>
    <s v="Sonvarsha"/>
    <x v="623"/>
    <s v="NOWAGADHI"/>
    <s v="MPG"/>
    <s v="Direct"/>
    <n v="1718.3000000000002"/>
    <n v="67513.290000000008"/>
    <n v="1832.4"/>
    <n v="70285.77"/>
    <n v="19.100000000000001"/>
    <n v="674.42"/>
    <n v="1851.5"/>
    <n v="70960.19"/>
    <n v="67513.290000000008"/>
    <n v="0"/>
    <n v="674.42"/>
    <n v="3446.8999999999942"/>
    <n v="0"/>
    <n v="0"/>
    <n v="0"/>
    <n v="66839"/>
    <n v="0"/>
    <n v="0"/>
    <n v="0"/>
    <n v="0"/>
    <n v="0"/>
    <n v="0"/>
    <n v="-5.1055132996777282E-2"/>
    <n v="19"/>
    <m/>
    <s v="Sonvarsha"/>
    <m/>
    <n v="0"/>
  </r>
  <r>
    <s v="Munger"/>
    <s v="10-16 Jul"/>
    <n v="1036"/>
    <s v="MAHADAT PUR 2"/>
    <x v="624"/>
    <s v="MAHADAT PUR 2"/>
    <s v="MPG"/>
    <s v="Direct"/>
    <n v="2406.2000000000003"/>
    <n v="93233.340000000011"/>
    <n v="2365.4"/>
    <n v="91689.170000000013"/>
    <n v="40.799999999999997"/>
    <n v="1544.17"/>
    <n v="2406.2000000000003"/>
    <n v="93233.340000000011"/>
    <n v="93233.340000000011"/>
    <n v="0"/>
    <n v="1544.17"/>
    <n v="0"/>
    <n v="0"/>
    <n v="0"/>
    <n v="0"/>
    <n v="91689"/>
    <n v="0"/>
    <n v="0"/>
    <n v="0"/>
    <n v="0"/>
    <n v="0"/>
    <n v="0"/>
    <n v="0"/>
    <n v="13"/>
    <m/>
    <s v="MAHADAT PUR 2"/>
    <m/>
    <n v="0"/>
  </r>
  <r>
    <s v="Munger"/>
    <s v="10-16 Jul"/>
    <n v="1007"/>
    <s v="Araria"/>
    <x v="625"/>
    <s v="SONBARSHA 1"/>
    <s v="MPG"/>
    <s v="Direct"/>
    <n v="708"/>
    <n v="25437.86"/>
    <n v="624"/>
    <n v="22382.329999999998"/>
    <n v="85"/>
    <n v="3091.9500000000003"/>
    <n v="709"/>
    <n v="25474.28"/>
    <n v="25437.86"/>
    <n v="0"/>
    <n v="178.35000000000002"/>
    <n v="36.419999999998254"/>
    <n v="0"/>
    <n v="0"/>
    <n v="0"/>
    <n v="22348"/>
    <n v="2912"/>
    <n v="0"/>
    <n v="0"/>
    <n v="0"/>
    <n v="0"/>
    <n v="0"/>
    <n v="-1.4317242095049762E-3"/>
    <n v="12"/>
    <m/>
    <s v="Araria"/>
    <m/>
    <n v="0"/>
  </r>
  <r>
    <s v="Munger"/>
    <s v="10-16 Jul"/>
    <n v="1007"/>
    <s v="Araria"/>
    <x v="626"/>
    <s v="GANOUL"/>
    <s v="vlc"/>
    <s v="Indirect"/>
    <n v="496"/>
    <n v="17967.3"/>
    <n v="400"/>
    <n v="14484"/>
    <n v="0"/>
    <n v="0"/>
    <n v="400"/>
    <n v="14484"/>
    <n v="17967.3"/>
    <n v="0"/>
    <n v="28.97"/>
    <n v="0"/>
    <n v="0"/>
    <n v="0"/>
    <n v="0"/>
    <n v="0"/>
    <n v="0"/>
    <n v="17938.329999999998"/>
    <n v="0"/>
    <n v="0"/>
    <n v="147.7955322580645"/>
    <n v="70.857142857142861"/>
    <n v="0"/>
    <n v="13"/>
    <m/>
    <s v="Araria"/>
    <m/>
    <n v="0"/>
  </r>
  <r>
    <s v="Munger"/>
    <s v="10-16 Jul"/>
    <n v="1007"/>
    <s v="Araria"/>
    <x v="627"/>
    <s v="Gauripur"/>
    <s v="MPG"/>
    <s v="Direct"/>
    <n v="1599"/>
    <n v="55565.25"/>
    <n v="1438"/>
    <n v="49969.24"/>
    <n v="161"/>
    <n v="5594.75"/>
    <n v="1599"/>
    <n v="55563.99"/>
    <n v="55563.99"/>
    <n v="0"/>
    <n v="243.25"/>
    <n v="0"/>
    <n v="0"/>
    <n v="0"/>
    <n v="0"/>
    <n v="49970"/>
    <n v="5352"/>
    <n v="0"/>
    <n v="0"/>
    <n v="0"/>
    <n v="0"/>
    <n v="0"/>
    <n v="2.2676043030527845E-5"/>
    <n v="16"/>
    <m/>
    <s v="Araria"/>
    <m/>
    <n v="0"/>
  </r>
  <r>
    <s v="Munger"/>
    <s v="10-16 Jul"/>
    <n v="1007"/>
    <s v="Araria"/>
    <x v="628"/>
    <s v="Bhramarpur"/>
    <s v="MPG"/>
    <s v="Direct"/>
    <n v="3584"/>
    <n v="122366.6"/>
    <n v="646"/>
    <n v="21981.1"/>
    <n v="2944"/>
    <n v="100590.2"/>
    <n v="3590"/>
    <n v="122571.29999999999"/>
    <n v="122366.6"/>
    <n v="0"/>
    <n v="204.7"/>
    <n v="204.69999999998254"/>
    <n v="0"/>
    <n v="0"/>
    <n v="0"/>
    <n v="21777"/>
    <n v="100385"/>
    <n v="0"/>
    <n v="0"/>
    <n v="0"/>
    <n v="0"/>
    <n v="0"/>
    <n v="-1.6728420990693746E-3"/>
    <n v="17"/>
    <m/>
    <s v="Araria"/>
    <m/>
    <n v="0"/>
  </r>
  <r>
    <s v="Munger"/>
    <s v="10-16 Jul"/>
    <n v="1011"/>
    <s v="Sahibpur Kamal"/>
    <x v="629"/>
    <s v="Gomukh Bariyarpur"/>
    <s v="MPG"/>
    <s v="Direct"/>
    <n v="453.30000000000007"/>
    <n v="17663.100000000002"/>
    <n v="453"/>
    <n v="17630.759999999998"/>
    <n v="0"/>
    <n v="0"/>
    <n v="453"/>
    <n v="17630.759999999998"/>
    <n v="17630.759999999998"/>
    <n v="0"/>
    <n v="0"/>
    <n v="0"/>
    <n v="1350"/>
    <n v="0"/>
    <n v="0"/>
    <n v="16281"/>
    <n v="0"/>
    <n v="0"/>
    <n v="32"/>
    <n v="0"/>
    <n v="192.25619986763726"/>
    <n v="64.757142857142867"/>
    <n v="1.8309356794675782E-3"/>
    <n v="1"/>
    <m/>
    <s v="Sahibpur Kamal"/>
    <m/>
    <n v="0"/>
  </r>
  <r>
    <s v="Munger"/>
    <s v="10-16 Jul"/>
    <n v="1011"/>
    <s v="Sahibpur Kamal"/>
    <x v="630"/>
    <s v="Gomukh Sadananpur"/>
    <s v="MPG"/>
    <s v="Direct"/>
    <n v="110.3"/>
    <n v="3766.2799999999997"/>
    <n v="120.99999999999999"/>
    <n v="4600.2699999999995"/>
    <n v="0"/>
    <n v="0"/>
    <n v="120.99999999999999"/>
    <n v="4600.2699999999995"/>
    <n v="3766.2799999999997"/>
    <n v="0"/>
    <n v="0"/>
    <n v="833.98999999999978"/>
    <n v="0"/>
    <n v="0"/>
    <n v="0"/>
    <n v="3766"/>
    <n v="0"/>
    <n v="0"/>
    <n v="0"/>
    <s v="Release3"/>
    <n v="402.71537914777883"/>
    <n v="15.757142857142856"/>
    <n v="-0.22143600582006645"/>
    <n v="2"/>
    <m/>
    <s v="Sahibpur Kamal"/>
    <m/>
    <n v="0"/>
  </r>
  <r>
    <s v="Munger"/>
    <s v="10-16 Jul"/>
    <n v="1003"/>
    <s v="Asarganj"/>
    <x v="631"/>
    <s v="TILAKPUR  2"/>
    <s v="MPG"/>
    <s v="Direct"/>
    <n v="584.6"/>
    <n v="20502.129999999997"/>
    <n v="585.50000000000011"/>
    <n v="21684.38"/>
    <n v="1.6"/>
    <n v="59.199999999999996"/>
    <n v="587.10000000000014"/>
    <n v="21743.58"/>
    <n v="20502.129999999997"/>
    <n v="0"/>
    <n v="59.199999999999996"/>
    <n v="1241.4500000000044"/>
    <n v="0"/>
    <n v="0"/>
    <n v="0"/>
    <n v="20443"/>
    <n v="0"/>
    <n v="0"/>
    <n v="0"/>
    <n v="0"/>
    <n v="80.942381183715327"/>
    <n v="83.51428571428572"/>
    <n v="-6.0552245059415997E-2"/>
    <n v="9"/>
    <m/>
    <s v="Asarganj"/>
    <m/>
    <n v="0"/>
  </r>
  <r>
    <s v="Munger"/>
    <s v="10-16 Jul"/>
    <n v="1003"/>
    <s v="Asarganj"/>
    <x v="632"/>
    <s v="TILAKPUR"/>
    <s v="MPG"/>
    <s v="Direct"/>
    <n v="793.75"/>
    <n v="25717.849999999995"/>
    <n v="790.59999999999991"/>
    <n v="26771.58"/>
    <n v="3.8"/>
    <n v="133.12"/>
    <n v="794.39999999999986"/>
    <n v="26904.7"/>
    <n v="25717.849999999995"/>
    <n v="0"/>
    <n v="61.94"/>
    <n v="1186.8500000000058"/>
    <n v="0"/>
    <n v="0"/>
    <n v="0"/>
    <n v="25585"/>
    <n v="71"/>
    <n v="0"/>
    <n v="0"/>
    <n v="0"/>
    <n v="0"/>
    <n v="0"/>
    <n v="-4.6148881030101896E-2"/>
    <n v="5"/>
    <m/>
    <s v="Asarganj"/>
    <m/>
    <n v="0"/>
  </r>
  <r>
    <s v="Munger"/>
    <s v="10-16 Jul"/>
    <n v="1036"/>
    <s v="MAHADAT PUR 2"/>
    <x v="633"/>
    <s v="Prasharpur Kadwa Gomukh"/>
    <s v="MPG"/>
    <s v="Direct"/>
    <n v="346.8"/>
    <n v="13106.91"/>
    <n v="345.84999999999997"/>
    <n v="13278.22"/>
    <n v="3.0999999999999996"/>
    <n v="118.35"/>
    <n v="348.95"/>
    <n v="13396.57"/>
    <n v="13106.91"/>
    <n v="0"/>
    <n v="118.35"/>
    <n v="289.65999999999985"/>
    <n v="0"/>
    <n v="0"/>
    <n v="0"/>
    <n v="12989"/>
    <n v="0"/>
    <n v="0"/>
    <n v="0"/>
    <n v="0"/>
    <n v="266.97581384083043"/>
    <n v="49.542857142857144"/>
    <n v="-2.2099793162537917E-2"/>
    <n v="3"/>
    <m/>
    <s v="MAHADAT PUR 2"/>
    <m/>
    <n v="0"/>
  </r>
  <r>
    <s v="Munger"/>
    <s v="10-16 Jul"/>
    <n v="1036"/>
    <s v="MAHADAT PUR 2"/>
    <x v="634"/>
    <s v="Borwa Tola Gomukh"/>
    <s v="MPG"/>
    <s v="Indirect"/>
    <n v="530.6"/>
    <n v="18198.36"/>
    <n v="532.70000000000005"/>
    <n v="18477.339999999997"/>
    <n v="0"/>
    <n v="0"/>
    <n v="532.70000000000005"/>
    <n v="18477.339999999997"/>
    <n v="18198.36"/>
    <n v="0"/>
    <n v="0"/>
    <n v="278.97999999999593"/>
    <n v="0"/>
    <n v="0"/>
    <n v="0"/>
    <n v="0"/>
    <n v="0"/>
    <n v="18198.36"/>
    <n v="0"/>
    <n v="0"/>
    <n v="116.20061002638526"/>
    <n v="75.8"/>
    <n v="0"/>
    <n v="1"/>
    <m/>
    <s v="MAHADAT PUR 2"/>
    <m/>
    <n v="0"/>
  </r>
  <r>
    <s v="Munger"/>
    <s v="10-16 Jul"/>
    <n v="1007"/>
    <s v="Araria"/>
    <x v="635"/>
    <s v="Sheela Devi"/>
    <s v="MPG"/>
    <s v="Indirect"/>
    <n v="2024"/>
    <n v="60479.14"/>
    <n v="0"/>
    <n v="0"/>
    <n v="0"/>
    <n v="0"/>
    <n v="0"/>
    <n v="0"/>
    <n v="60479.14"/>
    <n v="0"/>
    <n v="0"/>
    <n v="0"/>
    <n v="0"/>
    <n v="0"/>
    <n v="0"/>
    <n v="0"/>
    <n v="0"/>
    <n v="60479.14"/>
    <n v="0"/>
    <n v="0"/>
    <n v="0"/>
    <n v="0"/>
    <n v="0"/>
    <n v="0"/>
    <m/>
    <s v="Araria"/>
    <m/>
    <n v="0"/>
  </r>
  <r>
    <s v="Munger"/>
    <s v="10-16 Jul"/>
    <n v="1036"/>
    <s v="MAHADAT PUR 2"/>
    <x v="636"/>
    <s v="Gomukh Vijay Lalganj"/>
    <s v="MPG"/>
    <s v="Direct"/>
    <n v="394.9"/>
    <n v="16001.499999999998"/>
    <n v="397.6"/>
    <n v="16416.510000000002"/>
    <n v="1.4000000000000001"/>
    <n v="57.4"/>
    <n v="399"/>
    <n v="16473.910000000003"/>
    <n v="16001.499999999998"/>
    <n v="0"/>
    <n v="57.4"/>
    <n v="472.41000000000531"/>
    <n v="0"/>
    <n v="0"/>
    <n v="0"/>
    <n v="15944"/>
    <n v="0"/>
    <n v="0"/>
    <n v="0"/>
    <n v="0"/>
    <n v="247.2553887060015"/>
    <n v="56.414285714285711"/>
    <n v="-2.9522857232134821E-2"/>
    <n v="3"/>
    <m/>
    <s v="MAHADAT PUR 2"/>
    <m/>
    <n v="0"/>
  </r>
  <r>
    <s v="Munger"/>
    <s v="10-16 Jul"/>
    <n v="1036"/>
    <s v="MAHADAT PUR 2"/>
    <x v="637"/>
    <s v="Gomukh Sarswati Nagar Nakdahri"/>
    <s v="MPG"/>
    <s v="Direct"/>
    <n v="459.30000000000007"/>
    <n v="18713.72"/>
    <n v="274.08999999999997"/>
    <n v="11315.99"/>
    <n v="204.64000000000001"/>
    <n v="8527.57"/>
    <n v="478.73"/>
    <n v="19843.559999999998"/>
    <n v="18713.72"/>
    <n v="0"/>
    <n v="120.13000000000001"/>
    <n v="1129.8399999999965"/>
    <n v="0"/>
    <n v="0"/>
    <n v="0"/>
    <n v="10187"/>
    <n v="8407"/>
    <n v="0"/>
    <n v="0"/>
    <n v="0"/>
    <n v="196.14162438493349"/>
    <n v="65.614285714285728"/>
    <n v="-6.0374954845963093E-2"/>
    <n v="12"/>
    <m/>
    <s v="MAHADAT PUR 2"/>
    <m/>
    <n v="0"/>
  </r>
  <r>
    <s v="Munger"/>
    <s v="10-16 Jul"/>
    <n v="1036"/>
    <s v="MAHADAT PUR 2"/>
    <x v="638"/>
    <s v="Dhobina Basa"/>
    <s v="MPG"/>
    <s v="Direct"/>
    <n v="580.00000000000011"/>
    <n v="22651.1"/>
    <n v="242.39999999999998"/>
    <n v="10580.77"/>
    <n v="251.79999999999998"/>
    <n v="10991.140000000001"/>
    <n v="494.19999999999993"/>
    <n v="21571.910000000003"/>
    <n v="21571.910000000003"/>
    <n v="0"/>
    <n v="43.699999999999996"/>
    <n v="0"/>
    <n v="0"/>
    <n v="0"/>
    <n v="0"/>
    <n v="10581"/>
    <n v="10947"/>
    <n v="0"/>
    <n v="1079"/>
    <n v="0"/>
    <n v="93.728689655172289"/>
    <n v="82.857142857142875"/>
    <n v="4.7644043777123189E-2"/>
    <n v="3"/>
    <m/>
    <s v="MAHADAT PUR 2"/>
    <m/>
    <n v="0"/>
  </r>
  <r>
    <s v="Munger"/>
    <s v="10-16 Jul"/>
    <n v="1036"/>
    <s v="MAHADAT PUR 2"/>
    <x v="639"/>
    <s v="Gomukh Shreepur Madhay"/>
    <s v="MPG"/>
    <s v="Direct"/>
    <n v="1841.9999999999995"/>
    <n v="73318.360000000015"/>
    <n v="1380"/>
    <n v="55737.25"/>
    <n v="334.7"/>
    <n v="13489.550000000001"/>
    <n v="1714.7"/>
    <n v="69226.8"/>
    <n v="69226.8"/>
    <n v="0"/>
    <n v="2735.04"/>
    <n v="0"/>
    <n v="0"/>
    <n v="0"/>
    <n v="0"/>
    <n v="55737"/>
    <n v="10755"/>
    <n v="0"/>
    <n v="4091"/>
    <n v="0"/>
    <n v="0"/>
    <n v="0"/>
    <n v="5.5805394446902676E-2"/>
    <n v="7"/>
    <m/>
    <s v="MAHADAT PUR 2"/>
    <m/>
    <n v="0"/>
  </r>
  <r>
    <s v="Munger"/>
    <s v="10-16 Jul"/>
    <n v="1036"/>
    <s v="MAHADAT PUR 2"/>
    <x v="640"/>
    <s v="Gomukh Dhoriya Dadpur -VLC"/>
    <s v="vlc"/>
    <s v="Indirect"/>
    <n v="878.8"/>
    <n v="32463.910000000003"/>
    <n v="0"/>
    <n v="0"/>
    <n v="0"/>
    <n v="0"/>
    <n v="0"/>
    <n v="0"/>
    <n v="32463.910000000003"/>
    <n v="0"/>
    <n v="0"/>
    <n v="0"/>
    <n v="0"/>
    <n v="0"/>
    <n v="0"/>
    <n v="0"/>
    <n v="0"/>
    <n v="32463.910000000003"/>
    <n v="0"/>
    <n v="0"/>
    <n v="0"/>
    <n v="0"/>
    <n v="0"/>
    <n v="0"/>
    <m/>
    <s v="MAHADAT PUR 2"/>
    <m/>
    <n v="0"/>
  </r>
  <r>
    <s v="Munger"/>
    <s v="10-16 Jul"/>
    <n v="1036"/>
    <s v="MAHADAT PUR 2"/>
    <x v="641"/>
    <s v="Gomukh Mohanpur  VLC"/>
    <s v="vlc"/>
    <s v="Indirect"/>
    <n v="148.19999999999999"/>
    <n v="5308.7199999999993"/>
    <n v="0"/>
    <n v="0"/>
    <n v="0"/>
    <n v="0"/>
    <n v="0"/>
    <n v="0"/>
    <n v="5308.7199999999993"/>
    <n v="0"/>
    <n v="0"/>
    <n v="0"/>
    <n v="0"/>
    <n v="0"/>
    <n v="0"/>
    <n v="0"/>
    <n v="0"/>
    <n v="5308.7199999999993"/>
    <n v="0"/>
    <n v="0"/>
    <n v="395.32411551956818"/>
    <n v="21.171428571428571"/>
    <n v="0"/>
    <n v="0"/>
    <m/>
    <s v="MAHADAT PUR 2"/>
    <m/>
    <n v="0"/>
  </r>
  <r>
    <s v="Munger"/>
    <s v="10-16 Jul"/>
    <n v="1036"/>
    <s v="MAHADAT PUR 2"/>
    <x v="642"/>
    <s v="Gomukh Abhirampur VLC"/>
    <s v="vlc"/>
    <s v="Indirect"/>
    <n v="301.10000000000002"/>
    <n v="12430.210000000001"/>
    <n v="0"/>
    <n v="0"/>
    <n v="0"/>
    <n v="0"/>
    <n v="0"/>
    <n v="0"/>
    <n v="12430.210000000001"/>
    <n v="0"/>
    <n v="0"/>
    <n v="0"/>
    <n v="0"/>
    <n v="0"/>
    <n v="0"/>
    <n v="0"/>
    <n v="0"/>
    <n v="12430.210000000001"/>
    <n v="0"/>
    <n v="0"/>
    <n v="329.35308993689802"/>
    <n v="43.01428571428572"/>
    <n v="0"/>
    <n v="0"/>
    <m/>
    <s v="MAHADAT PUR 2"/>
    <m/>
    <n v="0"/>
  </r>
  <r>
    <s v="Munger"/>
    <s v="10-16 Jul"/>
    <n v="1003"/>
    <s v="Asarganj"/>
    <x v="643"/>
    <s v="KUNTHA M"/>
    <s v="MPG"/>
    <s v="Direct"/>
    <n v="747.75"/>
    <n v="28905.64"/>
    <n v="741.1"/>
    <n v="28906.649999999998"/>
    <n v="8.1"/>
    <n v="317.18"/>
    <n v="749.2"/>
    <n v="29223.829999999998"/>
    <n v="28905.64"/>
    <n v="0"/>
    <n v="317.18"/>
    <n v="318.18999999999869"/>
    <n v="0"/>
    <n v="0"/>
    <n v="0"/>
    <n v="28588"/>
    <n v="0"/>
    <n v="0"/>
    <n v="0"/>
    <n v="0"/>
    <n v="0"/>
    <n v="0"/>
    <n v="-1.1007886350207042E-2"/>
    <n v="10"/>
    <m/>
    <s v="Asarganj"/>
    <m/>
    <n v="0"/>
  </r>
  <r>
    <s v="Munger"/>
    <s v="10-16 Jul"/>
    <n v="1014"/>
    <s v="Dumraon"/>
    <x v="644"/>
    <s v="ARAK"/>
    <s v="MPG"/>
    <s v="Direct"/>
    <n v="2366.3999999999996"/>
    <n v="90530.439999999988"/>
    <n v="2348.1999999999998"/>
    <n v="91578.530000000028"/>
    <n v="13.2"/>
    <n v="706.79000000000008"/>
    <n v="2361.3999999999996"/>
    <n v="92285.320000000022"/>
    <n v="90530.439999999988"/>
    <n v="0"/>
    <n v="706.79000000000008"/>
    <n v="1754.8800000000338"/>
    <n v="0"/>
    <n v="0"/>
    <n v="0"/>
    <n v="89824"/>
    <n v="0"/>
    <n v="0"/>
    <n v="0"/>
    <n v="0"/>
    <n v="0"/>
    <n v="0"/>
    <n v="-1.9384419207506713E-2"/>
    <n v="36"/>
    <m/>
    <s v="Dumraon"/>
    <m/>
    <n v="0"/>
  </r>
  <r>
    <s v="Munger"/>
    <s v="10-16 Jul"/>
    <n v="1014"/>
    <s v="Dumraon"/>
    <x v="645"/>
    <s v="Diyaman"/>
    <s v="MPG"/>
    <s v="Direct"/>
    <n v="1073.3"/>
    <n v="45372.800000000003"/>
    <n v="1066.0499999999997"/>
    <n v="45287.26"/>
    <n v="5.99"/>
    <n v="256.38"/>
    <n v="1072.0399999999997"/>
    <n v="45543.64"/>
    <n v="45372.800000000003"/>
    <n v="0"/>
    <n v="256.38"/>
    <n v="170.83999999999651"/>
    <n v="0"/>
    <n v="0"/>
    <n v="0"/>
    <n v="45116"/>
    <n v="0"/>
    <n v="0"/>
    <n v="0"/>
    <n v="0"/>
    <n v="0"/>
    <n v="0"/>
    <n v="-3.7652514281683409E-3"/>
    <n v="9"/>
    <m/>
    <s v="Dumraon"/>
    <m/>
    <n v="0"/>
  </r>
  <r>
    <s v="Munger"/>
    <s v="10-16 Jul"/>
    <n v="1014"/>
    <s v="Dumraon"/>
    <x v="646"/>
    <s v="HENHA"/>
    <s v="MPG"/>
    <s v="Direct"/>
    <n v="2380.6"/>
    <n v="93302.45"/>
    <n v="2225.6999999999998"/>
    <n v="98140.34"/>
    <n v="20.599999999999994"/>
    <n v="1116.1399999999999"/>
    <n v="2246.2999999999997"/>
    <n v="99256.48"/>
    <n v="93302.45"/>
    <n v="0"/>
    <n v="1116.1399999999999"/>
    <n v="5954.0299999999988"/>
    <n v="0"/>
    <n v="0"/>
    <n v="0"/>
    <n v="92186"/>
    <n v="0"/>
    <n v="0"/>
    <n v="0"/>
    <n v="0"/>
    <n v="0"/>
    <n v="0"/>
    <n v="-6.3814294265584659E-2"/>
    <n v="6"/>
    <m/>
    <s v="Dumraon"/>
    <m/>
    <n v="0"/>
  </r>
  <r>
    <s v="Munger"/>
    <s v="10-16 Jul"/>
    <n v="1012"/>
    <s v="DalsinghSarai"/>
    <x v="647"/>
    <s v="Suddh Dairy"/>
    <s v="vlc"/>
    <s v="Indirect"/>
    <n v="22605.3"/>
    <n v="848243.45"/>
    <n v="0"/>
    <n v="0"/>
    <n v="0"/>
    <n v="0"/>
    <n v="0"/>
    <n v="0"/>
    <n v="848243.45"/>
    <n v="0"/>
    <n v="0"/>
    <n v="0"/>
    <n v="0"/>
    <n v="0"/>
    <n v="0"/>
    <n v="0"/>
    <n v="0"/>
    <n v="848243.45"/>
    <n v="0"/>
    <n v="0"/>
    <n v="0"/>
    <n v="0"/>
    <n v="0"/>
    <n v="0"/>
    <m/>
    <s v="DalsinghSarai"/>
    <m/>
    <n v="0"/>
  </r>
  <r>
    <s v="Munger"/>
    <s v="10-16 Jul"/>
    <n v="1053"/>
    <s v="Kalyanpur"/>
    <x v="648"/>
    <s v="Anik Kumar"/>
    <s v="vlc"/>
    <s v="Indirect"/>
    <n v="5413"/>
    <n v="221937.43"/>
    <n v="0"/>
    <n v="0"/>
    <n v="0"/>
    <n v="0"/>
    <n v="0"/>
    <n v="0"/>
    <n v="221937.43"/>
    <n v="0"/>
    <n v="0"/>
    <n v="0"/>
    <n v="0"/>
    <n v="0"/>
    <n v="0"/>
    <n v="0"/>
    <n v="0"/>
    <n v="221937.43"/>
    <n v="0"/>
    <n v="0"/>
    <n v="0"/>
    <n v="0"/>
    <n v="0"/>
    <n v="0"/>
    <m/>
    <s v="Kalyanpur"/>
    <m/>
    <n v="0"/>
  </r>
  <r>
    <s v="Munger"/>
    <s v="10-16 Jul"/>
    <n v="1010"/>
    <s v="Parbatta"/>
    <x v="649"/>
    <s v="Nand Kishor Kumar"/>
    <s v="MPG"/>
    <s v="Indirect"/>
    <n v="8130"/>
    <n v="258279"/>
    <n v="0"/>
    <n v="0"/>
    <n v="0"/>
    <n v="0"/>
    <n v="0"/>
    <n v="0"/>
    <n v="258279"/>
    <n v="0"/>
    <n v="0"/>
    <n v="0"/>
    <n v="0"/>
    <n v="0"/>
    <n v="0"/>
    <n v="0"/>
    <n v="0"/>
    <n v="258279"/>
    <n v="0"/>
    <n v="0"/>
    <n v="0"/>
    <n v="0"/>
    <n v="0"/>
    <n v="0"/>
    <m/>
    <s v="Parbatta"/>
    <m/>
    <n v="0"/>
  </r>
  <r>
    <s v="Munger"/>
    <s v="10-16 Jul"/>
    <n v="1053"/>
    <s v="Kalyanpur"/>
    <x v="650"/>
    <s v="Gomukh CHANDAULI"/>
    <s v="MPG"/>
    <s v="Direct"/>
    <n v="1492.4499999999998"/>
    <n v="63489.220000000016"/>
    <n v="1488.36"/>
    <n v="62561.700000000004"/>
    <n v="21.160000000000004"/>
    <n v="915.5"/>
    <n v="1509.52"/>
    <n v="63477.200000000004"/>
    <n v="63477.200000000004"/>
    <n v="0"/>
    <n v="915.5"/>
    <n v="0"/>
    <n v="0"/>
    <n v="0"/>
    <n v="0"/>
    <n v="62561"/>
    <n v="0"/>
    <n v="0"/>
    <n v="13"/>
    <n v="0"/>
    <n v="0"/>
    <n v="0"/>
    <n v="1.8932347885217913E-4"/>
    <n v="30"/>
    <m/>
    <s v="Kalyanpur"/>
    <m/>
    <n v="0"/>
  </r>
  <r>
    <s v="Munger"/>
    <s v="10-16 Jul"/>
    <n v="1053"/>
    <s v="Kalyanpur"/>
    <x v="651"/>
    <s v="GOMUKH HATHA"/>
    <s v="MPG"/>
    <s v="Direct"/>
    <n v="1768.75"/>
    <n v="71505.039999999994"/>
    <n v="1761.78"/>
    <n v="70520.280000000013"/>
    <n v="23.650000000000002"/>
    <n v="971.66"/>
    <n v="1785.43"/>
    <n v="71491.940000000017"/>
    <n v="71491.940000000017"/>
    <n v="0"/>
    <n v="971.66"/>
    <n v="0"/>
    <n v="13553"/>
    <n v="0"/>
    <n v="0"/>
    <n v="56969"/>
    <n v="0"/>
    <n v="0"/>
    <n v="11"/>
    <n v="0"/>
    <n v="0"/>
    <n v="0"/>
    <n v="1.8320386926539328E-4"/>
    <n v="36"/>
    <m/>
    <s v="Kalyanpur"/>
    <m/>
    <n v="0"/>
  </r>
  <r>
    <s v="Munger"/>
    <s v="10-16 Jul"/>
    <n v="1053"/>
    <s v="Kalyanpur"/>
    <x v="652"/>
    <s v="GOMUKH VADEYA"/>
    <s v="MPG"/>
    <s v="Direct"/>
    <n v="799.69999999999993"/>
    <n v="35017.81"/>
    <n v="771.96000000000026"/>
    <n v="34725.760000000002"/>
    <n v="6.4"/>
    <n v="287.61"/>
    <n v="778.36000000000024"/>
    <n v="35013.370000000003"/>
    <n v="35013.370000000003"/>
    <n v="0"/>
    <n v="287.61"/>
    <n v="0"/>
    <n v="0"/>
    <n v="0"/>
    <n v="0"/>
    <n v="34724"/>
    <n v="0"/>
    <n v="0"/>
    <n v="6"/>
    <n v="0"/>
    <n v="0"/>
    <n v="0"/>
    <n v="1.267926235248593E-4"/>
    <n v="26"/>
    <m/>
    <s v="Kalyanpur"/>
    <m/>
    <n v="0"/>
  </r>
  <r>
    <s v="Munger"/>
    <s v="10-16 Jul"/>
    <n v="1053"/>
    <s v="Kalyanpur"/>
    <x v="653"/>
    <s v="GOMUKH CHANDPURA"/>
    <s v="MPG"/>
    <s v="Direct"/>
    <n v="698.25000000000011"/>
    <n v="32757.260000000002"/>
    <n v="690.58"/>
    <n v="32217.829999999991"/>
    <n v="10.09"/>
    <n v="445.88"/>
    <n v="700.67000000000007"/>
    <n v="32663.709999999992"/>
    <n v="32663.709999999992"/>
    <n v="0"/>
    <n v="445.88"/>
    <n v="0"/>
    <n v="259"/>
    <n v="0"/>
    <n v="0"/>
    <n v="31961"/>
    <n v="0"/>
    <n v="0"/>
    <n v="91"/>
    <n v="0"/>
    <n v="1.6419679197994055"/>
    <n v="99.750000000000014"/>
    <n v="2.8558554653231125E-3"/>
    <n v="19"/>
    <m/>
    <s v="Kalyanpur"/>
    <m/>
    <n v="0"/>
  </r>
  <r>
    <s v="Munger"/>
    <s v="10-16 Jul"/>
    <n v="1053"/>
    <s v="Kalyanpur"/>
    <x v="654"/>
    <s v="GOMUKH BARGAMA"/>
    <s v="MPG"/>
    <s v="Direct"/>
    <n v="1214.1000000000001"/>
    <n v="55504.530000000006"/>
    <n v="1184.1799999999998"/>
    <n v="52604.69999999999"/>
    <n v="54.800000000000011"/>
    <n v="2888.3299999999995"/>
    <n v="1238.9799999999998"/>
    <n v="55493.029999999992"/>
    <n v="55493.029999999992"/>
    <n v="0"/>
    <n v="2888.3299999999995"/>
    <n v="0"/>
    <n v="0"/>
    <n v="0"/>
    <n v="0"/>
    <n v="52606"/>
    <n v="0"/>
    <n v="0"/>
    <n v="10"/>
    <n v="0"/>
    <n v="0"/>
    <n v="0"/>
    <n v="2.0719029599952564E-4"/>
    <n v="62"/>
    <m/>
    <s v="Kalyanpur"/>
    <m/>
    <n v="0"/>
  </r>
  <r>
    <s v="Munger"/>
    <s v="10-16 Jul"/>
    <n v="1053"/>
    <s v="Kalyanpur"/>
    <x v="655"/>
    <s v="Gomukh Gograha Tola"/>
    <s v="MPG"/>
    <s v="Direct"/>
    <n v="471.00000000000006"/>
    <n v="20727.230000000003"/>
    <n v="451.6"/>
    <n v="20724.59"/>
    <n v="0"/>
    <n v="0"/>
    <n v="451.6"/>
    <n v="20724.59"/>
    <n v="20724.59"/>
    <n v="0"/>
    <n v="0"/>
    <n v="0"/>
    <n v="4378"/>
    <n v="0"/>
    <n v="0"/>
    <n v="16347"/>
    <n v="0"/>
    <n v="0"/>
    <n v="2"/>
    <n v="0"/>
    <n v="201.55140849256898"/>
    <n v="67.285714285714292"/>
    <n v="1.273686836110303E-4"/>
    <n v="11"/>
    <m/>
    <s v="Kalyanpur"/>
    <m/>
    <n v="0"/>
  </r>
  <r>
    <s v="Munger"/>
    <s v="10-16 Jul"/>
    <n v="1053"/>
    <s v="Kalyanpur"/>
    <x v="656"/>
    <s v="Gomukh Patsara"/>
    <s v="MPG"/>
    <s v="Direct"/>
    <n v="374"/>
    <n v="16998.05"/>
    <n v="370.44000000000005"/>
    <n v="16899.420000000002"/>
    <n v="2.2200000000000002"/>
    <n v="94.82"/>
    <n v="372.66000000000008"/>
    <n v="16994.240000000002"/>
    <n v="16994.240000000002"/>
    <n v="0"/>
    <n v="94.82"/>
    <n v="0"/>
    <n v="1400"/>
    <n v="0"/>
    <n v="0"/>
    <n v="15499"/>
    <n v="0"/>
    <n v="0"/>
    <n v="4"/>
    <n v="0"/>
    <n v="296.32964171122995"/>
    <n v="53.428571428571431"/>
    <n v="2.2414335762029598E-4"/>
    <n v="7"/>
    <m/>
    <s v="Kalyanpur"/>
    <m/>
    <n v="0"/>
  </r>
  <r>
    <s v="Munger"/>
    <s v="10-16 Jul"/>
    <n v="1053"/>
    <s v="Kalyanpur"/>
    <x v="657"/>
    <s v="Gomukh Singhiya"/>
    <s v="vlc"/>
    <s v="Indirect"/>
    <n v="7932.0000000000009"/>
    <n v="326086.43"/>
    <n v="0"/>
    <n v="0"/>
    <n v="0"/>
    <n v="0"/>
    <n v="0"/>
    <n v="0"/>
    <n v="326086.43"/>
    <n v="0"/>
    <n v="0"/>
    <n v="0"/>
    <n v="0"/>
    <n v="0"/>
    <n v="0"/>
    <n v="0"/>
    <n v="0"/>
    <n v="326086.43"/>
    <n v="0"/>
    <n v="0"/>
    <n v="0"/>
    <n v="0"/>
    <n v="0"/>
    <n v="0"/>
    <m/>
    <s v="Kalyanpur"/>
    <m/>
    <n v="0"/>
  </r>
  <r>
    <s v="Munger"/>
    <s v="10-16 Jul"/>
    <n v="1053"/>
    <s v="Kalyanpur"/>
    <x v="658"/>
    <s v="Gomukh BALHA "/>
    <s v="vlc"/>
    <s v="Indirect"/>
    <n v="3129.2999999999997"/>
    <n v="133135.13000000003"/>
    <n v="0"/>
    <n v="0"/>
    <n v="0"/>
    <n v="0"/>
    <n v="0"/>
    <n v="0"/>
    <n v="133135.13000000003"/>
    <n v="0"/>
    <n v="0"/>
    <n v="0"/>
    <n v="0"/>
    <n v="0"/>
    <n v="0"/>
    <n v="0"/>
    <n v="0"/>
    <n v="133135.13000000003"/>
    <n v="0"/>
    <n v="0"/>
    <n v="0"/>
    <n v="0"/>
    <n v="0"/>
    <n v="0"/>
    <m/>
    <s v="Kalyanpur"/>
    <m/>
    <n v="0"/>
  </r>
  <r>
    <s v="Munger"/>
    <s v="10-16 Jul"/>
    <n v="1053"/>
    <s v="Kalyanpur"/>
    <x v="659"/>
    <s v="Gomukh Namapur 2"/>
    <s v="vlc"/>
    <s v="Indirect"/>
    <n v="1838.55"/>
    <n v="71703.13"/>
    <n v="0"/>
    <n v="0"/>
    <n v="0"/>
    <n v="0"/>
    <n v="0"/>
    <n v="0"/>
    <n v="71703.13"/>
    <n v="0"/>
    <n v="0"/>
    <n v="0"/>
    <n v="0"/>
    <n v="0"/>
    <n v="0"/>
    <n v="0"/>
    <n v="0"/>
    <n v="71703.13"/>
    <n v="0"/>
    <n v="0"/>
    <n v="0"/>
    <n v="0"/>
    <n v="0"/>
    <n v="0"/>
    <m/>
    <s v="Kalyanpur"/>
    <m/>
    <n v="0"/>
  </r>
  <r>
    <s v="Munger"/>
    <s v="10-16 Jul"/>
    <n v="1053"/>
    <s v="Kalyanpur"/>
    <x v="660"/>
    <s v="Gomukh Madhopur"/>
    <s v="vlc"/>
    <s v="Indirect"/>
    <n v="630.15"/>
    <n v="25160.32"/>
    <n v="0"/>
    <n v="0"/>
    <n v="0"/>
    <n v="0"/>
    <n v="0"/>
    <n v="0"/>
    <n v="25160.32"/>
    <n v="0"/>
    <n v="0"/>
    <n v="0"/>
    <n v="7400"/>
    <n v="0"/>
    <n v="0"/>
    <n v="0"/>
    <n v="0"/>
    <n v="17760.32"/>
    <n v="0"/>
    <n v="0"/>
    <n v="55.778730524478298"/>
    <n v="90.021428571428572"/>
    <n v="0"/>
    <n v="0"/>
    <m/>
    <s v="Kalyanpur"/>
    <m/>
    <n v="0"/>
  </r>
  <r>
    <s v="Munger"/>
    <s v="10-16 Jul"/>
    <n v="1053"/>
    <s v="Kalyanpur"/>
    <x v="661"/>
    <s v="Gomukh Kalyanpur East"/>
    <s v="vlc"/>
    <s v="Indirect"/>
    <n v="875.74999999999989"/>
    <n v="34865.829999999994"/>
    <n v="0"/>
    <n v="0"/>
    <n v="0"/>
    <n v="0"/>
    <n v="0"/>
    <n v="0"/>
    <n v="34865.829999999994"/>
    <n v="0"/>
    <n v="0"/>
    <n v="0"/>
    <n v="1300"/>
    <n v="0"/>
    <n v="0"/>
    <n v="0"/>
    <n v="0"/>
    <n v="33565.829999999994"/>
    <n v="0"/>
    <n v="0"/>
    <n v="0"/>
    <n v="0"/>
    <n v="0"/>
    <n v="0"/>
    <m/>
    <s v="Kalyanpur"/>
    <m/>
    <n v="0"/>
  </r>
  <r>
    <s v="Munger"/>
    <s v="10-16 Jul"/>
    <n v="1053"/>
    <s v="Kalyanpur"/>
    <x v="662"/>
    <s v="Gomukh Bazidpur"/>
    <s v="vlc"/>
    <s v="Indirect"/>
    <n v="3242.8499999999995"/>
    <n v="142786.66"/>
    <n v="0"/>
    <n v="0"/>
    <n v="0"/>
    <n v="0"/>
    <n v="0"/>
    <n v="0"/>
    <n v="142786.66"/>
    <n v="0"/>
    <n v="0"/>
    <n v="0"/>
    <n v="0"/>
    <n v="0"/>
    <n v="0"/>
    <n v="0"/>
    <n v="0"/>
    <n v="142786.66"/>
    <n v="0"/>
    <n v="0"/>
    <n v="0"/>
    <n v="0"/>
    <n v="0"/>
    <n v="0"/>
    <m/>
    <s v="Kalyanpur"/>
    <m/>
    <n v="0"/>
  </r>
  <r>
    <s v="Munger"/>
    <s v="10-16 Jul"/>
    <n v="1053"/>
    <s v="Kalyanpur"/>
    <x v="663"/>
    <s v="Gomukh Belsandi"/>
    <s v="vlc"/>
    <s v="Indirect"/>
    <n v="1157.8499999999999"/>
    <n v="47569.119999999995"/>
    <n v="0"/>
    <n v="0"/>
    <n v="0"/>
    <n v="0"/>
    <n v="0"/>
    <n v="0"/>
    <n v="47569.119999999995"/>
    <n v="0"/>
    <n v="0"/>
    <n v="0"/>
    <n v="0"/>
    <n v="0"/>
    <n v="0"/>
    <n v="0"/>
    <n v="0"/>
    <n v="47569.119999999995"/>
    <n v="0"/>
    <n v="0"/>
    <n v="0"/>
    <n v="0"/>
    <n v="0"/>
    <n v="0"/>
    <m/>
    <s v="Kalyanpur"/>
    <m/>
    <n v="0"/>
  </r>
  <r>
    <s v="Munger"/>
    <s v="10-16 Jul"/>
    <n v="1053"/>
    <s v="Kalyanpur"/>
    <x v="984"/>
    <s v="Gomukh Namapur Ward 8"/>
    <s v="vlc"/>
    <s v="Indirect"/>
    <n v="1422.3000000000002"/>
    <n v="58403.81"/>
    <n v="0"/>
    <n v="0"/>
    <n v="0"/>
    <n v="0"/>
    <n v="0"/>
    <n v="0"/>
    <n v="58403.81"/>
    <n v="0"/>
    <n v="0"/>
    <n v="0"/>
    <n v="0"/>
    <n v="0"/>
    <n v="0"/>
    <n v="0"/>
    <n v="0"/>
    <n v="58403.81"/>
    <n v="0"/>
    <n v="0"/>
    <n v="0"/>
    <n v="0"/>
    <n v="0"/>
    <n v="0"/>
    <m/>
    <s v="Kalyanpur"/>
    <m/>
    <n v="0"/>
  </r>
  <r>
    <s v="Munger"/>
    <s v="10-16 Jul"/>
    <n v="1053"/>
    <s v="Kalyanpur"/>
    <x v="664"/>
    <s v="Belsandi"/>
    <s v="vlc"/>
    <s v="Indirect"/>
    <n v="174.45"/>
    <n v="7775.3600000000006"/>
    <n v="0"/>
    <n v="0"/>
    <n v="0"/>
    <n v="0"/>
    <n v="0"/>
    <n v="0"/>
    <n v="7775.3600000000006"/>
    <n v="0"/>
    <n v="0"/>
    <n v="0"/>
    <n v="0"/>
    <n v="0"/>
    <n v="0"/>
    <n v="0"/>
    <n v="0"/>
    <n v="7775.3600000000006"/>
    <n v="0"/>
    <n v="0"/>
    <n v="468.48271114932641"/>
    <n v="24.921428571428571"/>
    <n v="0"/>
    <n v="0"/>
    <m/>
    <s v="Kalyanpur"/>
    <m/>
    <n v="0"/>
  </r>
  <r>
    <s v="Munger"/>
    <s v="10-16 Jul"/>
    <n v="1053"/>
    <s v="Kalyanpur"/>
    <x v="665"/>
    <s v="Gomukh Belsandi East"/>
    <s v="vlc"/>
    <s v="Indirect"/>
    <n v="1308.3999999999999"/>
    <n v="57035.37000000001"/>
    <n v="0"/>
    <n v="0"/>
    <n v="0"/>
    <n v="0"/>
    <n v="0"/>
    <n v="0"/>
    <n v="57035.37000000001"/>
    <n v="0"/>
    <n v="0"/>
    <n v="0"/>
    <n v="0"/>
    <n v="0"/>
    <n v="0"/>
    <n v="0"/>
    <n v="0"/>
    <n v="57035.37000000001"/>
    <n v="0"/>
    <n v="0"/>
    <n v="0"/>
    <n v="0"/>
    <n v="0"/>
    <n v="0"/>
    <m/>
    <s v="Kalyanpur"/>
    <m/>
    <n v="0"/>
  </r>
  <r>
    <s v="Munger"/>
    <s v="10-16 Jul"/>
    <n v="1053"/>
    <s v="Kalyanpur"/>
    <x v="666"/>
    <s v="Gomukh Belsandi West Tola"/>
    <s v="vlc"/>
    <s v="Indirect"/>
    <n v="306.79999999999995"/>
    <n v="12517.529999999999"/>
    <n v="0"/>
    <n v="0"/>
    <n v="0"/>
    <n v="0"/>
    <n v="0"/>
    <n v="0"/>
    <n v="12517.529999999999"/>
    <n v="0"/>
    <n v="0"/>
    <n v="0"/>
    <n v="0"/>
    <n v="0"/>
    <n v="0"/>
    <n v="0"/>
    <n v="0"/>
    <n v="12517.529999999999"/>
    <n v="0"/>
    <n v="0"/>
    <n v="320.85350691003919"/>
    <n v="43.828571428571422"/>
    <n v="0"/>
    <n v="0"/>
    <m/>
    <s v="Kalyanpur"/>
    <m/>
    <n v="0"/>
  </r>
  <r>
    <s v="Munger"/>
    <s v="10-16 Jul"/>
    <n v="1053"/>
    <s v="Kalyanpur"/>
    <x v="667"/>
    <s v="Gomukh Gopalpur"/>
    <s v="vlc"/>
    <s v="Indirect"/>
    <n v="3429.2"/>
    <n v="143759.04999999999"/>
    <n v="0"/>
    <n v="0"/>
    <n v="0"/>
    <n v="0"/>
    <n v="0"/>
    <n v="0"/>
    <n v="143759.04999999999"/>
    <n v="0"/>
    <n v="0"/>
    <n v="0"/>
    <n v="0"/>
    <n v="0"/>
    <n v="0"/>
    <n v="0"/>
    <n v="0"/>
    <n v="143759.04999999999"/>
    <n v="0"/>
    <n v="0"/>
    <n v="0"/>
    <n v="0"/>
    <n v="0"/>
    <n v="0"/>
    <m/>
    <s v="Kalyanpur"/>
    <m/>
    <n v="0"/>
  </r>
  <r>
    <s v="Munger"/>
    <s v="10-16 Jul"/>
    <n v="1053"/>
    <s v="Kalyanpur"/>
    <x v="668"/>
    <s v="Gomukh Bharav"/>
    <s v="MPG"/>
    <s v="Direct"/>
    <n v="504.95"/>
    <n v="23833.269999999997"/>
    <n v="505.12999999999994"/>
    <n v="23101.99"/>
    <n v="11.77"/>
    <n v="712.38999999999987"/>
    <n v="516.9"/>
    <n v="23814.38"/>
    <n v="23814.38"/>
    <n v="0"/>
    <n v="712.38999999999987"/>
    <n v="0"/>
    <n v="1364.3"/>
    <n v="0"/>
    <n v="0"/>
    <n v="21738"/>
    <n v="0"/>
    <n v="0"/>
    <n v="19"/>
    <n v="0"/>
    <n v="184.12434155857014"/>
    <n v="72.135714285714286"/>
    <n v="7.9258951876917357E-4"/>
    <n v="22"/>
    <m/>
    <s v="Kalyanpur"/>
    <m/>
    <n v="0"/>
  </r>
  <r>
    <s v="Munger"/>
    <s v="10-16 Jul"/>
    <n v="1053"/>
    <s v="Kalyanpur"/>
    <x v="669"/>
    <s v="Gomukh Harpur"/>
    <s v="MPG"/>
    <s v="Direct"/>
    <n v="847.50000000000023"/>
    <n v="38144.85"/>
    <n v="840.29999999999973"/>
    <n v="37473.43"/>
    <n v="14.050000000000002"/>
    <n v="602.30999999999995"/>
    <n v="854.34999999999968"/>
    <n v="38075.74"/>
    <n v="38075.74"/>
    <n v="0"/>
    <n v="602.30999999999995"/>
    <n v="0"/>
    <n v="5411"/>
    <n v="0"/>
    <n v="0"/>
    <n v="32063"/>
    <n v="0"/>
    <n v="0"/>
    <n v="69"/>
    <n v="0"/>
    <n v="0"/>
    <n v="0"/>
    <n v="1.8117779988648687E-3"/>
    <n v="23"/>
    <m/>
    <s v="Kalyanpur"/>
    <m/>
    <n v="0"/>
  </r>
  <r>
    <s v="Munger"/>
    <s v="10-16 Jul"/>
    <n v="1053"/>
    <s v="Kalyanpur"/>
    <x v="670"/>
    <s v="Gomukh Fulhatta"/>
    <s v="MPG"/>
    <s v="Direct"/>
    <n v="1662.2500000000002"/>
    <n v="84569.75"/>
    <n v="1643.57"/>
    <n v="84566.74000000002"/>
    <n v="0"/>
    <n v="0"/>
    <n v="1643.57"/>
    <n v="84566.74000000002"/>
    <n v="84566.74000000002"/>
    <n v="0"/>
    <n v="0"/>
    <n v="0"/>
    <n v="5361"/>
    <n v="0"/>
    <n v="0"/>
    <n v="79205"/>
    <n v="0"/>
    <n v="0"/>
    <n v="4"/>
    <n v="0"/>
    <n v="0"/>
    <n v="0"/>
    <n v="3.5591922643500892E-5"/>
    <n v="45"/>
    <m/>
    <s v="Kalyanpur"/>
    <m/>
    <n v="0"/>
  </r>
  <r>
    <s v="Munger"/>
    <s v="10-16 Jul"/>
    <n v="1053"/>
    <s v="Kalyanpur"/>
    <x v="671"/>
    <s v="Gomukh Birauli Khurd"/>
    <s v="MPG"/>
    <s v="Direct"/>
    <n v="819.6"/>
    <n v="39376.650000000009"/>
    <n v="823.87"/>
    <n v="38064.26"/>
    <n v="15.370000000000001"/>
    <n v="682.42000000000007"/>
    <n v="839.24"/>
    <n v="38746.68"/>
    <n v="38746.68"/>
    <n v="0"/>
    <n v="682.42000000000007"/>
    <n v="0"/>
    <n v="0"/>
    <n v="0"/>
    <n v="0"/>
    <n v="38063"/>
    <n v="0"/>
    <n v="0"/>
    <n v="631"/>
    <n v="0"/>
    <n v="0"/>
    <n v="0"/>
    <n v="1.5998567679068897E-2"/>
    <n v="18"/>
    <m/>
    <s v="Kalyanpur"/>
    <m/>
    <n v="0"/>
  </r>
  <r>
    <s v="Munger"/>
    <s v="10-16 Jul"/>
    <n v="1053"/>
    <s v="Kalyanpur"/>
    <x v="672"/>
    <s v="Gomukh Bedauliya"/>
    <s v="vlc"/>
    <s v="Indirect"/>
    <n v="932.05000000000007"/>
    <n v="37783.799999999996"/>
    <n v="0"/>
    <n v="0"/>
    <n v="0"/>
    <n v="0"/>
    <n v="0"/>
    <n v="0"/>
    <n v="37783.799999999996"/>
    <n v="0"/>
    <n v="0"/>
    <n v="0"/>
    <n v="0"/>
    <n v="0"/>
    <n v="0"/>
    <n v="0"/>
    <n v="0"/>
    <n v="37783.799999999996"/>
    <n v="0"/>
    <n v="0"/>
    <n v="0"/>
    <n v="0"/>
    <n v="0"/>
    <n v="0"/>
    <m/>
    <s v="Kalyanpur"/>
    <m/>
    <n v="0"/>
  </r>
  <r>
    <s v="Munger"/>
    <s v="10-16 Jul"/>
    <n v="1053"/>
    <s v="Kalyanpur"/>
    <x v="673"/>
    <s v="Gomukh Khanua"/>
    <s v="MPG"/>
    <s v="Direct"/>
    <n v="511.6"/>
    <n v="25191.599999999995"/>
    <n v="515.61"/>
    <n v="23709.14"/>
    <n v="32.339999999999996"/>
    <n v="1432.44"/>
    <n v="547.95000000000005"/>
    <n v="25141.579999999998"/>
    <n v="25141.579999999998"/>
    <n v="0"/>
    <n v="1432.44"/>
    <n v="0"/>
    <n v="0"/>
    <n v="0"/>
    <n v="0"/>
    <n v="23710"/>
    <n v="0"/>
    <n v="0"/>
    <n v="49"/>
    <n v="0"/>
    <n v="185.53938389366687"/>
    <n v="73.085714285714289"/>
    <n v="1.9855824957524257E-3"/>
    <n v="25"/>
    <m/>
    <s v="Kalyanpur"/>
    <m/>
    <n v="0"/>
  </r>
  <r>
    <s v="Munger"/>
    <s v="10-16 Jul"/>
    <n v="1053"/>
    <s v="Kalyanpur"/>
    <x v="674"/>
    <s v="Gomukh Punas"/>
    <s v="MPG"/>
    <s v="Direct"/>
    <n v="1364.65"/>
    <n v="64136.780000000013"/>
    <n v="1363.7300000000002"/>
    <n v="63368.330000000009"/>
    <n v="16.739999999999998"/>
    <n v="746.54000000000008"/>
    <n v="1380.4700000000003"/>
    <n v="64114.87000000001"/>
    <n v="64114.87000000001"/>
    <n v="0"/>
    <n v="746.54000000000008"/>
    <n v="0"/>
    <n v="0"/>
    <n v="0"/>
    <n v="0"/>
    <n v="63368"/>
    <n v="0"/>
    <n v="0"/>
    <n v="22"/>
    <n v="0"/>
    <n v="0"/>
    <n v="0"/>
    <n v="3.4161365756128526E-4"/>
    <n v="25"/>
    <m/>
    <s v="Kalyanpur"/>
    <m/>
    <n v="0"/>
  </r>
  <r>
    <s v="Munger"/>
    <s v="10-16 Jul"/>
    <n v="1053"/>
    <s v="Kalyanpur"/>
    <x v="675"/>
    <s v="Gomukh Loharkha"/>
    <s v="MPG"/>
    <s v="Direct"/>
    <n v="313.2"/>
    <n v="15483.189999999997"/>
    <n v="290.46000000000004"/>
    <n v="15479.68"/>
    <n v="0"/>
    <n v="0"/>
    <n v="290.46000000000004"/>
    <n v="15479.68"/>
    <n v="15479.68"/>
    <n v="0"/>
    <n v="0"/>
    <n v="0"/>
    <n v="0"/>
    <n v="0"/>
    <n v="0"/>
    <n v="15479"/>
    <n v="0"/>
    <n v="0"/>
    <n v="4"/>
    <n v="0"/>
    <n v="382.43281558109834"/>
    <n v="44.74285714285714"/>
    <n v="2.2669746996559372E-4"/>
    <n v="14"/>
    <m/>
    <s v="Kalyanpur"/>
    <m/>
    <n v="0"/>
  </r>
  <r>
    <s v="Munger"/>
    <s v="10-16 Jul"/>
    <n v="1053"/>
    <s v="Kalyanpur"/>
    <x v="676"/>
    <s v="Gomukh Dighra"/>
    <s v="MPG"/>
    <s v="Direct"/>
    <n v="357.69999999999993"/>
    <n v="12804.16"/>
    <n v="350.69000000000005"/>
    <n v="12720.39"/>
    <n v="2.1799999999999997"/>
    <n v="77.199999999999989"/>
    <n v="352.87000000000006"/>
    <n v="12797.59"/>
    <n v="12797.59"/>
    <n v="0"/>
    <n v="77.199999999999989"/>
    <n v="0"/>
    <n v="0"/>
    <n v="0"/>
    <n v="0"/>
    <n v="12721"/>
    <n v="0"/>
    <n v="0"/>
    <n v="6"/>
    <n v="0"/>
    <n v="245.05809158512727"/>
    <n v="51.099999999999987"/>
    <n v="5.131144877914451E-4"/>
    <n v="5"/>
    <m/>
    <s v="Kalyanpur"/>
    <m/>
    <n v="0"/>
  </r>
  <r>
    <s v="Munger"/>
    <s v="10-16 Jul"/>
    <n v="1053"/>
    <s v="Kalyanpur"/>
    <x v="677"/>
    <s v="Basuwari"/>
    <s v="MPG"/>
    <s v="Direct"/>
    <n v="295.14999999999998"/>
    <n v="11980.190000000002"/>
    <n v="290.91000000000003"/>
    <n v="11638.59"/>
    <n v="5.34"/>
    <n v="274.84999999999997"/>
    <n v="296.25"/>
    <n v="11913.44"/>
    <n v="11913.44"/>
    <n v="0"/>
    <n v="274.84999999999997"/>
    <n v="0"/>
    <n v="0"/>
    <n v="0"/>
    <n v="0"/>
    <n v="11639"/>
    <n v="0"/>
    <n v="0"/>
    <n v="66"/>
    <n v="0"/>
    <n v="328.65864282568197"/>
    <n v="42.164285714285711"/>
    <n v="5.5716979446905103E-3"/>
    <n v="10"/>
    <m/>
    <s v="Kalyanpur"/>
    <m/>
    <n v="0"/>
  </r>
  <r>
    <s v="Munger"/>
    <s v="10-16 Jul"/>
    <n v="1053"/>
    <s v="Kalyanpur"/>
    <x v="678"/>
    <s v="Belsandi 3"/>
    <s v="vlc"/>
    <s v="Indirect"/>
    <n v="2084.4499999999998"/>
    <n v="81890.01999999999"/>
    <n v="0"/>
    <n v="0"/>
    <n v="0"/>
    <n v="0"/>
    <n v="0"/>
    <n v="0"/>
    <n v="81890.01999999999"/>
    <n v="0"/>
    <n v="0"/>
    <n v="0"/>
    <n v="0"/>
    <n v="0"/>
    <n v="0"/>
    <n v="0"/>
    <n v="0"/>
    <n v="81890.01999999999"/>
    <n v="0"/>
    <n v="0"/>
    <n v="0"/>
    <n v="0"/>
    <n v="0"/>
    <n v="0"/>
    <m/>
    <s v="Kalyanpur"/>
    <m/>
    <n v="0"/>
  </r>
  <r>
    <s v="Munger"/>
    <s v="10-16 Jul"/>
    <n v="1053"/>
    <s v="Kalyanpur"/>
    <x v="679"/>
    <s v="Gomukh Bhagwanpur"/>
    <s v="vlc"/>
    <s v="Indirect"/>
    <n v="383.30000000000007"/>
    <n v="19372.89"/>
    <n v="0"/>
    <n v="0"/>
    <n v="0"/>
    <n v="0"/>
    <n v="0"/>
    <n v="0"/>
    <n v="19372.89"/>
    <n v="0"/>
    <n v="0"/>
    <n v="0"/>
    <n v="0"/>
    <n v="0"/>
    <n v="0"/>
    <n v="0"/>
    <n v="0"/>
    <n v="19372.89"/>
    <n v="0"/>
    <n v="0"/>
    <n v="320.13536462301056"/>
    <n v="54.757142857142867"/>
    <n v="0"/>
    <n v="0"/>
    <m/>
    <s v="Kalyanpur"/>
    <m/>
    <n v="0"/>
  </r>
  <r>
    <s v="Munger"/>
    <s v="10-16 Jul"/>
    <n v="1066"/>
    <s v="Gaighat"/>
    <x v="985"/>
    <s v="Gomukh PARAN"/>
    <s v="vlc"/>
    <s v="Indirect"/>
    <n v="1241.0999999999999"/>
    <n v="49569.66"/>
    <n v="0"/>
    <n v="0"/>
    <n v="0"/>
    <n v="0"/>
    <n v="0"/>
    <n v="0"/>
    <n v="49569.66"/>
    <n v="0"/>
    <n v="0"/>
    <n v="0"/>
    <n v="0"/>
    <n v="0"/>
    <n v="0"/>
    <n v="0"/>
    <n v="0"/>
    <n v="49569.66"/>
    <n v="0"/>
    <n v="0"/>
    <n v="0"/>
    <n v="0"/>
    <n v="0"/>
    <n v="0"/>
    <m/>
    <s v="Gaighat"/>
    <m/>
    <n v="0"/>
  </r>
  <r>
    <s v="Munger"/>
    <s v="10-16 Jul"/>
    <n v="1053"/>
    <s v="Kalyanpur"/>
    <x v="681"/>
    <s v="GOMUKH HARPUR W-13"/>
    <s v="MPG"/>
    <s v="Direct"/>
    <n v="1599"/>
    <n v="65873.280000000013"/>
    <n v="1551.9100000000005"/>
    <n v="64774.87999999999"/>
    <n v="26.67"/>
    <n v="1095.6799999999998"/>
    <n v="1578.5800000000006"/>
    <n v="65870.559999999983"/>
    <n v="65870.559999999983"/>
    <n v="0"/>
    <n v="1095.6799999999998"/>
    <n v="0"/>
    <n v="8016"/>
    <n v="0"/>
    <n v="0"/>
    <n v="56757"/>
    <n v="0"/>
    <n v="0"/>
    <n v="5"/>
    <n v="0"/>
    <n v="0"/>
    <n v="0"/>
    <n v="4.1291400701927512E-5"/>
    <n v="48"/>
    <m/>
    <s v="Kalyanpur"/>
    <m/>
    <n v="0"/>
  </r>
  <r>
    <s v="Munger"/>
    <s v="10-16 Jul"/>
    <n v="1053"/>
    <s v="Kalyanpur"/>
    <x v="682"/>
    <s v="GOMUKH MILKI"/>
    <s v="vlc"/>
    <s v="Indirect"/>
    <n v="44.7"/>
    <n v="1942.17"/>
    <n v="0"/>
    <n v="0"/>
    <n v="0"/>
    <n v="0"/>
    <n v="0"/>
    <n v="0"/>
    <n v="1942.17"/>
    <n v="0"/>
    <n v="0"/>
    <n v="0"/>
    <n v="0"/>
    <n v="0"/>
    <n v="0"/>
    <n v="0"/>
    <n v="0"/>
    <n v="1942.17"/>
    <n v="0"/>
    <n v="0"/>
    <n v="569.44250604026831"/>
    <n v="6.3857142857142861"/>
    <n v="0"/>
    <n v="0"/>
    <m/>
    <s v="Kalyanpur"/>
    <m/>
    <n v="0"/>
  </r>
  <r>
    <s v="Munger"/>
    <s v="10-16 Jul"/>
    <n v="1053"/>
    <s v="Kalyanpur"/>
    <x v="683"/>
    <s v="Gomukh Ratwara"/>
    <s v="MPG"/>
    <s v="Direct"/>
    <n v="154.35"/>
    <n v="5442.7400000000007"/>
    <n v="158.38"/>
    <n v="5440.2800000000007"/>
    <n v="0"/>
    <n v="0"/>
    <n v="158.38"/>
    <n v="5440.2800000000007"/>
    <n v="5440.2800000000007"/>
    <n v="0"/>
    <n v="0"/>
    <n v="0"/>
    <n v="0"/>
    <n v="500"/>
    <n v="0"/>
    <n v="4941"/>
    <n v="0"/>
    <n v="0"/>
    <n v="2"/>
    <s v="Release1"/>
    <n v="384.81776235827675"/>
    <n v="22.05"/>
    <n v="4.5197823155249676E-4"/>
    <n v="7"/>
    <m/>
    <s v="Kalyanpur"/>
    <m/>
    <n v="500"/>
  </r>
  <r>
    <s v="Munger"/>
    <s v="10-16 Jul"/>
    <n v="1053"/>
    <s v="Kalyanpur"/>
    <x v="684"/>
    <s v="Gomukh Fulhara"/>
    <s v="vlc"/>
    <s v="Indirect"/>
    <n v="2330.0499999999997"/>
    <n v="106226.40000000002"/>
    <n v="0"/>
    <n v="0"/>
    <n v="0"/>
    <n v="0"/>
    <n v="0"/>
    <n v="0"/>
    <n v="106226.40000000002"/>
    <n v="0"/>
    <n v="0"/>
    <n v="0"/>
    <n v="5600"/>
    <n v="0"/>
    <n v="0"/>
    <n v="0"/>
    <n v="0"/>
    <n v="100626.40000000002"/>
    <n v="0"/>
    <n v="0"/>
    <n v="0"/>
    <n v="0"/>
    <n v="0"/>
    <n v="0"/>
    <m/>
    <s v="Kalyanpur"/>
    <m/>
    <n v="0"/>
  </r>
  <r>
    <s v="Munger"/>
    <s v="10-16 Jul"/>
    <n v="1053"/>
    <s v="Kalyanpur"/>
    <x v="685"/>
    <s v="Gomukh Ranitola"/>
    <s v="vlc"/>
    <s v="Indirect"/>
    <n v="643.50000000000011"/>
    <n v="29106.330000000005"/>
    <n v="0"/>
    <n v="0"/>
    <n v="0"/>
    <n v="0"/>
    <n v="0"/>
    <n v="0"/>
    <n v="29106.330000000005"/>
    <n v="0"/>
    <n v="0"/>
    <n v="0"/>
    <n v="0"/>
    <n v="0"/>
    <n v="0"/>
    <n v="0"/>
    <n v="0"/>
    <n v="29106.330000000005"/>
    <n v="0"/>
    <n v="0"/>
    <n v="51.111348717948616"/>
    <n v="91.928571428571445"/>
    <n v="0"/>
    <n v="0"/>
    <m/>
    <s v="Kalyanpur"/>
    <m/>
    <n v="0"/>
  </r>
  <r>
    <s v="Munger"/>
    <s v="10-16 Jul"/>
    <n v="1053"/>
    <s v="Kalyanpur"/>
    <x v="686"/>
    <s v="Gomukh Malinagar East"/>
    <s v="MPG"/>
    <s v="Direct"/>
    <n v="1110.4500000000003"/>
    <n v="47942.090000000011"/>
    <n v="1107.4200000000003"/>
    <n v="47654.42"/>
    <n v="6.03"/>
    <n v="285.62999999999994"/>
    <n v="1113.4500000000003"/>
    <n v="47940.049999999996"/>
    <n v="47940.049999999996"/>
    <n v="0"/>
    <n v="285.62999999999994"/>
    <n v="0"/>
    <n v="0"/>
    <n v="0"/>
    <n v="0"/>
    <n v="47654"/>
    <n v="0"/>
    <n v="0"/>
    <n v="2"/>
    <n v="0"/>
    <n v="0"/>
    <n v="0"/>
    <n v="4.2551336414733371E-5"/>
    <n v="9"/>
    <m/>
    <s v="Kalyanpur"/>
    <m/>
    <n v="0"/>
  </r>
  <r>
    <s v="Munger"/>
    <s v="10-16 Jul"/>
    <n v="1053"/>
    <s v="Kalyanpur"/>
    <x v="687"/>
    <s v="GOMUKH Singhiya Ward 11"/>
    <s v="vlc"/>
    <s v="Indirect"/>
    <n v="263.25"/>
    <n v="12319.630000000001"/>
    <n v="0"/>
    <n v="0"/>
    <n v="0"/>
    <n v="0"/>
    <n v="0"/>
    <n v="0"/>
    <n v="12319.630000000001"/>
    <n v="0"/>
    <n v="0"/>
    <n v="0"/>
    <n v="0"/>
    <n v="0"/>
    <n v="0"/>
    <n v="0"/>
    <n v="0"/>
    <n v="12319.630000000001"/>
    <n v="0"/>
    <n v="0"/>
    <n v="408.78240474833819"/>
    <n v="37.607142857142854"/>
    <n v="0"/>
    <n v="0"/>
    <m/>
    <s v="Kalyanpur"/>
    <m/>
    <n v="0"/>
  </r>
  <r>
    <s v="Munger"/>
    <s v="10-16 Jul"/>
    <n v="1053"/>
    <s v="Kalyanpur"/>
    <x v="688"/>
    <s v="GOMUKH MANIYARPUR"/>
    <s v="MPG"/>
    <s v="Direct"/>
    <n v="1246"/>
    <n v="55947.749999999985"/>
    <n v="1240.5500000000002"/>
    <n v="53823.05"/>
    <n v="36.86"/>
    <n v="1635.67"/>
    <n v="1277.4100000000001"/>
    <n v="55458.720000000001"/>
    <n v="55458.720000000001"/>
    <n v="0"/>
    <n v="1635.67"/>
    <n v="0"/>
    <n v="56"/>
    <n v="0"/>
    <n v="0"/>
    <n v="53767"/>
    <n v="0"/>
    <n v="0"/>
    <n v="489"/>
    <n v="0"/>
    <n v="0"/>
    <n v="0"/>
    <n v="8.7408340817992577E-3"/>
    <n v="34"/>
    <m/>
    <s v="Kalyanpur"/>
    <m/>
    <n v="0"/>
  </r>
  <r>
    <s v="Munger"/>
    <s v="10-16 Jul"/>
    <n v="1053"/>
    <s v="Kalyanpur"/>
    <x v="689"/>
    <s v="GOMUKH DIGHRA W-6"/>
    <s v="MPG"/>
    <s v="Direct"/>
    <n v="1076.05"/>
    <n v="42556.420000000013"/>
    <n v="1069.0600000000002"/>
    <n v="41974.400000000009"/>
    <n v="11.08"/>
    <n v="462.84999999999997"/>
    <n v="1080.1400000000001"/>
    <n v="42437.250000000007"/>
    <n v="42437.250000000007"/>
    <n v="0"/>
    <n v="462.84999999999997"/>
    <n v="0"/>
    <n v="7620"/>
    <n v="0"/>
    <n v="0"/>
    <n v="34355"/>
    <n v="0"/>
    <n v="0"/>
    <n v="119"/>
    <n v="0"/>
    <n v="0"/>
    <n v="0"/>
    <n v="2.800282542563625E-3"/>
    <n v="17"/>
    <m/>
    <s v="Kalyanpur"/>
    <m/>
    <n v="0"/>
  </r>
  <r>
    <s v="Munger"/>
    <s v="10-16 Jul"/>
    <n v="1053"/>
    <s v="Kalyanpur"/>
    <x v="690"/>
    <s v="GOMUKH BANDRA W-6"/>
    <s v="MPG"/>
    <s v="Direct"/>
    <n v="455.05"/>
    <n v="21021.83"/>
    <n v="463.93000000000006"/>
    <n v="20286.759999999991"/>
    <n v="15.219999999999999"/>
    <n v="673.87"/>
    <n v="479.15000000000009"/>
    <n v="20960.62999999999"/>
    <n v="20960.62999999999"/>
    <n v="0"/>
    <n v="673.87"/>
    <n v="0"/>
    <n v="0"/>
    <n v="0"/>
    <n v="0"/>
    <n v="20287"/>
    <n v="0"/>
    <n v="0"/>
    <n v="61"/>
    <n v="0"/>
    <n v="226.31786654213829"/>
    <n v="65.007142857142853"/>
    <n v="2.911259390833797E-3"/>
    <n v="18"/>
    <m/>
    <s v="Kalyanpur"/>
    <m/>
    <n v="0"/>
  </r>
  <r>
    <s v="Munger"/>
    <s v="10-16 Jul"/>
    <n v="1066"/>
    <s v="Gaighat"/>
    <x v="691"/>
    <s v="BELSANDI W-9"/>
    <s v="vlc"/>
    <s v="Indirect"/>
    <n v="457.7"/>
    <n v="19900.71"/>
    <n v="0"/>
    <n v="0"/>
    <n v="0"/>
    <n v="0"/>
    <n v="0"/>
    <n v="0"/>
    <n v="19900.71"/>
    <n v="0"/>
    <n v="0"/>
    <n v="0"/>
    <n v="0"/>
    <n v="0"/>
    <n v="0"/>
    <n v="0"/>
    <n v="0"/>
    <n v="19900.71"/>
    <n v="0"/>
    <n v="0"/>
    <n v="210.70316945597551"/>
    <n v="65.385714285714286"/>
    <n v="0"/>
    <n v="0"/>
    <m/>
    <s v="Gaighat"/>
    <m/>
    <n v="0"/>
  </r>
  <r>
    <s v="Munger"/>
    <s v="10-16 Jul"/>
    <n v="1053"/>
    <s v="Kalyanpur"/>
    <x v="692"/>
    <s v="GOMUKH PARAN 2"/>
    <s v="MPG"/>
    <s v="Direct"/>
    <n v="279.70000000000005"/>
    <n v="14191.23"/>
    <n v="282.52"/>
    <n v="13789.65"/>
    <n v="6.74"/>
    <n v="365.95"/>
    <n v="289.26"/>
    <n v="14155.6"/>
    <n v="14155.6"/>
    <n v="0"/>
    <n v="365.95"/>
    <n v="0"/>
    <n v="0"/>
    <n v="500"/>
    <n v="0"/>
    <n v="13289"/>
    <n v="0"/>
    <n v="0"/>
    <n v="36"/>
    <n v="0"/>
    <n v="426.49795988559163"/>
    <n v="39.957142857142863"/>
    <n v="2.5107055554732887E-3"/>
    <n v="14"/>
    <m/>
    <s v="Kalyanpur"/>
    <m/>
    <n v="500"/>
  </r>
  <r>
    <s v="Munger"/>
    <s v="10-16 Jul"/>
    <n v="1053"/>
    <s v="Kalyanpur"/>
    <x v="693"/>
    <s v="GOMUKH KHARAGPUR"/>
    <s v="MPG"/>
    <s v="Direct"/>
    <n v="433.10000000000008"/>
    <n v="20460.39"/>
    <n v="429.62000000000006"/>
    <n v="20456.840000000004"/>
    <n v="0"/>
    <n v="0"/>
    <n v="429.62000000000006"/>
    <n v="20456.840000000004"/>
    <n v="20456.840000000004"/>
    <n v="0"/>
    <n v="0"/>
    <n v="0"/>
    <n v="0"/>
    <n v="0"/>
    <n v="0"/>
    <n v="20456"/>
    <n v="0"/>
    <n v="0"/>
    <n v="4"/>
    <n v="0"/>
    <n v="252.17631452320467"/>
    <n v="61.871428571428581"/>
    <n v="1.7350597911357674E-4"/>
    <n v="11"/>
    <m/>
    <s v="Kalyanpur"/>
    <m/>
    <n v="0"/>
  </r>
  <r>
    <s v="Munger"/>
    <s v="10-16 Jul"/>
    <n v="1053"/>
    <s v="Kalyanpur"/>
    <x v="694"/>
    <s v="KAMARGAMA"/>
    <s v="vlc"/>
    <s v="Indirect"/>
    <n v="622.9"/>
    <n v="38036.520000000004"/>
    <n v="0"/>
    <n v="0"/>
    <n v="0"/>
    <n v="0"/>
    <n v="0"/>
    <n v="0"/>
    <n v="38036.520000000004"/>
    <n v="0"/>
    <n v="0"/>
    <n v="0"/>
    <n v="0"/>
    <n v="0"/>
    <n v="0"/>
    <n v="0"/>
    <n v="0"/>
    <n v="38036.520000000004"/>
    <n v="0"/>
    <n v="0"/>
    <n v="94.16008001284321"/>
    <n v="88.98571428571428"/>
    <n v="0"/>
    <n v="0"/>
    <m/>
    <s v="Kalyanpur"/>
    <m/>
    <n v="0"/>
  </r>
  <r>
    <s v="Munger"/>
    <s v="10-16 Jul"/>
    <n v="1053"/>
    <s v="Kalyanpur"/>
    <x v="695"/>
    <s v="GOMUKH BALAHA W-9"/>
    <s v="MPG"/>
    <s v="Direct"/>
    <n v="755.90000000000032"/>
    <n v="32999.519999999997"/>
    <n v="743.95999999999981"/>
    <n v="32023.419999999995"/>
    <n v="14.260000000000002"/>
    <n v="578.92999999999995"/>
    <n v="758.2199999999998"/>
    <n v="32602.349999999995"/>
    <n v="32602.349999999995"/>
    <n v="0"/>
    <n v="578.92999999999995"/>
    <n v="0"/>
    <n v="2827"/>
    <n v="0"/>
    <n v="0"/>
    <n v="29196"/>
    <n v="0"/>
    <n v="0"/>
    <n v="398"/>
    <n v="0"/>
    <n v="0"/>
    <n v="0"/>
    <n v="1.203562960915801E-2"/>
    <n v="24"/>
    <m/>
    <s v="Kalyanpur"/>
    <m/>
    <n v="0"/>
  </r>
  <r>
    <s v="Munger"/>
    <s v="10-16 Jul"/>
    <n v="1053"/>
    <s v="Kalyanpur"/>
    <x v="697"/>
    <s v="GOMUKH Madanpur W-3"/>
    <s v="MPG"/>
    <s v="Direct"/>
    <n v="2283.6"/>
    <n v="108670.70999999998"/>
    <n v="2264.0399999999995"/>
    <n v="107190.68000000002"/>
    <n v="30.82"/>
    <n v="1399.8100000000002"/>
    <n v="2294.8599999999997"/>
    <n v="108590.49000000002"/>
    <n v="108590.49000000002"/>
    <n v="0"/>
    <n v="1399.8100000000002"/>
    <n v="0"/>
    <n v="0"/>
    <n v="0"/>
    <n v="0"/>
    <n v="107191"/>
    <n v="0"/>
    <n v="0"/>
    <n v="80"/>
    <n v="0"/>
    <n v="0"/>
    <n v="0"/>
    <n v="7.3819339176082978E-4"/>
    <n v="47"/>
    <m/>
    <s v="Kalyanpur"/>
    <m/>
    <n v="0"/>
  </r>
  <r>
    <s v="Munger"/>
    <s v="10-16 Jul"/>
    <n v="1053"/>
    <s v="Kalyanpur"/>
    <x v="698"/>
    <s v="Gomukh Namapur East (08)"/>
    <s v="vlc"/>
    <s v="Indirect"/>
    <n v="732.2"/>
    <n v="29728.299999999996"/>
    <n v="0"/>
    <n v="0"/>
    <n v="0"/>
    <n v="0"/>
    <n v="0"/>
    <n v="0"/>
    <n v="29728.299999999996"/>
    <n v="0"/>
    <n v="0"/>
    <n v="0"/>
    <n v="0"/>
    <n v="0"/>
    <n v="0"/>
    <n v="0"/>
    <n v="0"/>
    <n v="29728.299999999996"/>
    <n v="0"/>
    <n v="0"/>
    <n v="0"/>
    <n v="0"/>
    <n v="0"/>
    <n v="0"/>
    <m/>
    <s v="Kalyanpur"/>
    <m/>
    <n v="0"/>
  </r>
  <r>
    <s v="Munger"/>
    <s v="10-16 Jul"/>
    <n v="1053"/>
    <s v="Kalyanpur"/>
    <x v="699"/>
    <s v="GOMUKH Kalaunjar"/>
    <s v="MPG"/>
    <s v="Direct"/>
    <n v="737.34999999999991"/>
    <n v="31659.750000000004"/>
    <n v="729.65"/>
    <n v="30692.770000000004"/>
    <n v="21.45"/>
    <n v="938.7700000000001"/>
    <n v="751.1"/>
    <n v="31631.540000000005"/>
    <n v="31631.540000000005"/>
    <n v="0"/>
    <n v="938.7700000000001"/>
    <n v="0"/>
    <n v="0"/>
    <n v="0"/>
    <n v="0"/>
    <n v="30694"/>
    <n v="0"/>
    <n v="0"/>
    <n v="27"/>
    <n v="0"/>
    <n v="0"/>
    <n v="0"/>
    <n v="8.9103672644285324E-4"/>
    <n v="15"/>
    <m/>
    <s v="Kalyanpur"/>
    <m/>
    <n v="0"/>
  </r>
  <r>
    <s v="Munger"/>
    <s v="10-16 Jul"/>
    <n v="1053"/>
    <s v="Kalyanpur"/>
    <x v="700"/>
    <s v="Jitwariya W-11"/>
    <s v="vlc"/>
    <s v="Indirect"/>
    <n v="183.99999999999997"/>
    <n v="8791.869999999999"/>
    <n v="0"/>
    <n v="0"/>
    <n v="0"/>
    <n v="0"/>
    <n v="0"/>
    <n v="0"/>
    <n v="8791.869999999999"/>
    <n v="0"/>
    <n v="0"/>
    <n v="0"/>
    <n v="0"/>
    <n v="0"/>
    <n v="0"/>
    <n v="0"/>
    <n v="0"/>
    <n v="8791.869999999999"/>
    <n v="0"/>
    <n v="0"/>
    <n v="493.10923043478266"/>
    <n v="26.285714285714281"/>
    <n v="0"/>
    <n v="0"/>
    <m/>
    <s v="Kalyanpur"/>
    <m/>
    <n v="0"/>
  </r>
  <r>
    <s v="Munger"/>
    <s v="10-16 Jul"/>
    <n v="1053"/>
    <s v="Kalyanpur"/>
    <x v="701"/>
    <s v="Pastara Lakshman"/>
    <s v="vlc"/>
    <s v="Indirect"/>
    <n v="130.05000000000001"/>
    <n v="4117.4400000000005"/>
    <n v="0"/>
    <n v="0"/>
    <n v="0"/>
    <n v="0"/>
    <n v="0"/>
    <n v="0"/>
    <n v="4117.4400000000005"/>
    <n v="0"/>
    <n v="0"/>
    <n v="0"/>
    <n v="0"/>
    <n v="0"/>
    <n v="0"/>
    <n v="0"/>
    <n v="0"/>
    <n v="4117.4400000000005"/>
    <n v="0"/>
    <n v="0"/>
    <n v="360.89733610149949"/>
    <n v="18.578571428571429"/>
    <n v="0"/>
    <n v="0"/>
    <m/>
    <s v="Kalyanpur"/>
    <m/>
    <n v="0"/>
  </r>
  <r>
    <s v="Munger"/>
    <s v="10-16 Jul"/>
    <n v="1053"/>
    <s v="Kalyanpur"/>
    <x v="702"/>
    <s v="GOMUKH DADHIYA-2"/>
    <s v="MPG"/>
    <s v="Direct"/>
    <n v="1587.5000000000002"/>
    <n v="69618.37999999999"/>
    <n v="1576.98"/>
    <n v="67893.88"/>
    <n v="16.569999999999997"/>
    <n v="792.57"/>
    <n v="1593.55"/>
    <n v="68686.450000000012"/>
    <n v="68686.450000000012"/>
    <n v="0"/>
    <n v="792.57"/>
    <n v="0"/>
    <n v="0"/>
    <n v="0"/>
    <n v="0"/>
    <n v="67891"/>
    <n v="0"/>
    <n v="0"/>
    <n v="935"/>
    <n v="0"/>
    <n v="0"/>
    <n v="0"/>
    <n v="1.3386263799875529E-2"/>
    <n v="39"/>
    <m/>
    <s v="Kalyanpur"/>
    <m/>
    <n v="0"/>
  </r>
  <r>
    <s v="Munger"/>
    <s v="10-16 Jul"/>
    <n v="1053"/>
    <s v="Kalyanpur"/>
    <x v="703"/>
    <s v="GOMUKH PREMNAGAR"/>
    <s v="MPG"/>
    <s v="Direct"/>
    <n v="1197.6499999999999"/>
    <n v="49649.86"/>
    <n v="1179.8"/>
    <n v="49585.720000000008"/>
    <n v="1.1100000000000001"/>
    <n v="59.82"/>
    <n v="1180.9099999999999"/>
    <n v="49645.540000000008"/>
    <n v="49645.540000000008"/>
    <n v="0"/>
    <n v="59.82"/>
    <n v="0"/>
    <n v="1550"/>
    <n v="0"/>
    <n v="0"/>
    <n v="48035"/>
    <n v="0"/>
    <n v="0"/>
    <n v="5"/>
    <n v="0"/>
    <n v="0"/>
    <n v="0"/>
    <n v="8.7009308787425242E-5"/>
    <n v="28"/>
    <m/>
    <s v="Kalyanpur"/>
    <m/>
    <n v="0"/>
  </r>
  <r>
    <s v="Munger"/>
    <s v="10-16 Jul"/>
    <n v="1053"/>
    <s v="Kalyanpur"/>
    <x v="704"/>
    <s v="GOMUKH JITWARIYA W-6"/>
    <s v="MPG"/>
    <s v="Direct"/>
    <n v="2312.9499999999998"/>
    <n v="92691.87999999999"/>
    <n v="2283.5899999999997"/>
    <n v="92233.920000000013"/>
    <n v="11.05"/>
    <n v="455.50000000000006"/>
    <n v="2294.64"/>
    <n v="92689.420000000013"/>
    <n v="92689.420000000013"/>
    <n v="0"/>
    <n v="455.50000000000006"/>
    <n v="0"/>
    <n v="3672"/>
    <n v="0"/>
    <n v="0"/>
    <n v="88562"/>
    <n v="0"/>
    <n v="0"/>
    <n v="2"/>
    <n v="0"/>
    <n v="0"/>
    <n v="0"/>
    <n v="2.6539541543199892E-5"/>
    <n v="42"/>
    <m/>
    <s v="Kalyanpur"/>
    <m/>
    <n v="0"/>
  </r>
  <r>
    <s v="Munger"/>
    <s v="10-16 Jul"/>
    <n v="1053"/>
    <s v="Kalyanpur"/>
    <x v="705"/>
    <s v="GOMUKH SUSTA"/>
    <s v="MPG"/>
    <s v="Direct"/>
    <n v="766.34999999999991"/>
    <n v="33311.729999999996"/>
    <n v="777.93000000000006"/>
    <n v="32767.109999999997"/>
    <n v="9"/>
    <n v="537.48"/>
    <n v="786.93000000000006"/>
    <n v="33304.589999999997"/>
    <n v="33304.589999999997"/>
    <n v="0"/>
    <n v="537.48"/>
    <n v="0"/>
    <n v="2629"/>
    <n v="0"/>
    <n v="0"/>
    <n v="30140"/>
    <n v="0"/>
    <n v="0"/>
    <n v="5"/>
    <n v="0"/>
    <n v="0"/>
    <n v="0"/>
    <n v="2.1433891304952995E-4"/>
    <n v="18"/>
    <m/>
    <s v="Kalyanpur"/>
    <m/>
    <n v="0"/>
  </r>
  <r>
    <s v="Munger"/>
    <s v="10-16 Jul"/>
    <n v="1066"/>
    <s v="Gaighat"/>
    <x v="706"/>
    <s v="DIH LAHI"/>
    <s v="vlc"/>
    <s v="Indirect"/>
    <n v="159.9"/>
    <n v="9286.99"/>
    <n v="0"/>
    <n v="0"/>
    <n v="0"/>
    <n v="0"/>
    <n v="0"/>
    <n v="0"/>
    <n v="9286.99"/>
    <n v="0"/>
    <n v="0"/>
    <n v="0"/>
    <n v="0"/>
    <n v="0"/>
    <n v="0"/>
    <n v="0"/>
    <n v="0"/>
    <n v="9286.99"/>
    <n v="0"/>
    <n v="0"/>
    <n v="627.38002489055657"/>
    <n v="22.842857142857145"/>
    <n v="0"/>
    <n v="0"/>
    <m/>
    <s v="Gaighat"/>
    <m/>
    <n v="0"/>
  </r>
  <r>
    <s v="Munger"/>
    <s v="10-16 Jul"/>
    <n v="1012"/>
    <s v="DalsinghSarai"/>
    <x v="707"/>
    <s v="BHATGAMA W-5"/>
    <s v="vlc"/>
    <s v="Indirect"/>
    <n v="270.2"/>
    <n v="9400.99"/>
    <n v="0"/>
    <n v="0"/>
    <n v="0"/>
    <n v="0"/>
    <n v="0"/>
    <n v="0"/>
    <n v="9400.99"/>
    <n v="0"/>
    <n v="0"/>
    <n v="0"/>
    <n v="0"/>
    <n v="0"/>
    <n v="0"/>
    <n v="0"/>
    <n v="0"/>
    <n v="9400.99"/>
    <n v="0"/>
    <n v="0"/>
    <n v="299.0781274611399"/>
    <n v="38.6"/>
    <n v="0"/>
    <n v="0"/>
    <m/>
    <s v="DalsinghSarai"/>
    <m/>
    <n v="0"/>
  </r>
  <r>
    <s v="Munger"/>
    <s v="10-16 Jul"/>
    <n v="1053"/>
    <s v="Kalyanpur"/>
    <x v="708"/>
    <s v="GOMUKH TOKE"/>
    <s v="MPG"/>
    <s v="Direct"/>
    <n v="301.64999999999998"/>
    <n v="11845.17"/>
    <n v="299.7"/>
    <n v="11803.05"/>
    <n v="0"/>
    <n v="0"/>
    <n v="299.7"/>
    <n v="11803.05"/>
    <n v="11803.05"/>
    <n v="0"/>
    <n v="0"/>
    <n v="0"/>
    <n v="0"/>
    <n v="0"/>
    <n v="0"/>
    <n v="11804"/>
    <n v="0"/>
    <n v="0"/>
    <n v="41"/>
    <n v="0"/>
    <n v="312.84756966683244"/>
    <n v="43.092857142857142"/>
    <n v="3.5558797383237893E-3"/>
    <n v="8"/>
    <m/>
    <s v="Kalyanpur"/>
    <m/>
    <n v="0"/>
  </r>
  <r>
    <s v="Munger"/>
    <s v="10-16 Jul"/>
    <n v="1053"/>
    <s v="Kalyanpur"/>
    <x v="709"/>
    <s v="GOMUKH SHIVNAGAR"/>
    <s v="MPG"/>
    <s v="Direct"/>
    <n v="1055.9000000000003"/>
    <n v="44284.7"/>
    <n v="849.12"/>
    <n v="33619.499999999993"/>
    <n v="213.3"/>
    <n v="10662.24"/>
    <n v="1062.42"/>
    <n v="44281.739999999991"/>
    <n v="44281.739999999991"/>
    <n v="0"/>
    <n v="0"/>
    <n v="0"/>
    <n v="0"/>
    <n v="0"/>
    <n v="0"/>
    <n v="33619"/>
    <n v="10662"/>
    <n v="0"/>
    <n v="4"/>
    <n v="0"/>
    <n v="0"/>
    <n v="0"/>
    <n v="6.6840240534685869E-5"/>
    <n v="19"/>
    <m/>
    <s v="Kalyanpur"/>
    <m/>
    <n v="0"/>
  </r>
  <r>
    <s v="Munger"/>
    <s v="10-16 Jul"/>
    <n v="1053"/>
    <s v="Kalyanpur"/>
    <x v="710"/>
    <s v="GOMUKH BAKHITIYARPUR"/>
    <s v="MPG"/>
    <s v="Direct"/>
    <n v="1265.5500000000004"/>
    <n v="57394.180000000008"/>
    <n v="1246.5999999999999"/>
    <n v="56485.849999999991"/>
    <n v="19.899999999999999"/>
    <n v="889.97"/>
    <n v="1266.5"/>
    <n v="57375.819999999992"/>
    <n v="57375.819999999992"/>
    <n v="0"/>
    <n v="889.97"/>
    <n v="0"/>
    <n v="2837"/>
    <n v="0"/>
    <n v="0"/>
    <n v="53649"/>
    <n v="0"/>
    <n v="0"/>
    <n v="18"/>
    <n v="0"/>
    <n v="0"/>
    <n v="0"/>
    <n v="3.1989306232818609E-4"/>
    <n v="39"/>
    <m/>
    <s v="Kalyanpur"/>
    <m/>
    <n v="0"/>
  </r>
  <r>
    <s v="Munger"/>
    <s v="10-16 Jul"/>
    <n v="1066"/>
    <s v="Gaighat"/>
    <x v="711"/>
    <s v="Gomukh Bhagwanpur East "/>
    <s v="vlc"/>
    <s v="Indirect"/>
    <n v="519.79999999999995"/>
    <n v="19671.830000000002"/>
    <n v="0"/>
    <n v="0"/>
    <n v="0"/>
    <n v="0"/>
    <n v="0"/>
    <n v="0"/>
    <n v="19671.830000000002"/>
    <n v="0"/>
    <n v="0"/>
    <n v="0"/>
    <n v="0"/>
    <n v="0"/>
    <n v="0"/>
    <n v="0"/>
    <n v="0"/>
    <n v="19671.830000000002"/>
    <n v="0"/>
    <n v="0"/>
    <n v="136.39337306656412"/>
    <n v="74.257142857142853"/>
    <n v="0"/>
    <n v="0"/>
    <m/>
    <s v="Gaighat"/>
    <m/>
    <n v="0"/>
  </r>
  <r>
    <s v="Munger"/>
    <s v="10-16 Jul"/>
    <n v="1053"/>
    <s v="Kalyanpur"/>
    <x v="712"/>
    <s v="GOMUKH BHARJA"/>
    <s v="MPG"/>
    <s v="Direct"/>
    <n v="2107.6499999999996"/>
    <n v="105210.60999999999"/>
    <n v="2118.0500000000002"/>
    <n v="105207.94"/>
    <n v="0"/>
    <n v="0"/>
    <n v="2118.0500000000002"/>
    <n v="105207.94"/>
    <n v="105207.94"/>
    <n v="0"/>
    <n v="0"/>
    <n v="0"/>
    <n v="18650"/>
    <n v="0"/>
    <n v="0"/>
    <n v="86558"/>
    <n v="0"/>
    <n v="0"/>
    <n v="3"/>
    <n v="0"/>
    <n v="0"/>
    <n v="0"/>
    <n v="2.537766865892805E-5"/>
    <n v="2"/>
    <m/>
    <s v="Kalyanpur"/>
    <m/>
    <n v="0"/>
  </r>
  <r>
    <s v="Munger"/>
    <s v="10-16 Jul"/>
    <n v="1053"/>
    <s v="Kalyanpur"/>
    <x v="713"/>
    <s v="GOMUKH NAWABGANJ"/>
    <s v="MPG"/>
    <s v="Direct"/>
    <n v="777.2"/>
    <n v="32075.079999999998"/>
    <n v="767.1"/>
    <n v="31688.84"/>
    <n v="9.0699999999999985"/>
    <n v="383.11000000000007"/>
    <n v="776.17000000000007"/>
    <n v="32071.95"/>
    <n v="32071.95"/>
    <n v="0"/>
    <n v="383.11000000000007"/>
    <n v="0"/>
    <n v="8445"/>
    <n v="0"/>
    <n v="0"/>
    <n v="23244"/>
    <n v="0"/>
    <n v="0"/>
    <n v="3"/>
    <n v="0"/>
    <n v="0"/>
    <n v="0"/>
    <n v="9.7583544608380735E-5"/>
    <n v="20"/>
    <m/>
    <s v="Kalyanpur"/>
    <m/>
    <n v="0"/>
  </r>
  <r>
    <s v="Munger"/>
    <s v="10-16 Jul"/>
    <n v="1053"/>
    <s v="Kalyanpur"/>
    <x v="714"/>
    <s v="GOMUKH CHAKKI"/>
    <s v="MPG"/>
    <s v="Direct"/>
    <n v="197.69999999999996"/>
    <n v="8621.369999999999"/>
    <n v="204.29999999999998"/>
    <n v="8532.5399999999991"/>
    <n v="1.5000000000000002"/>
    <n v="60.739999999999995"/>
    <n v="205.79999999999998"/>
    <n v="8593.2799999999988"/>
    <n v="8593.2799999999988"/>
    <n v="0"/>
    <n v="60.739999999999995"/>
    <n v="0"/>
    <n v="1550"/>
    <n v="0"/>
    <n v="0"/>
    <n v="6983"/>
    <n v="0"/>
    <n v="0"/>
    <n v="28"/>
    <n v="0"/>
    <n v="438.08944370257973"/>
    <n v="28.242857142857137"/>
    <n v="3.2581828642083738E-3"/>
    <n v="6"/>
    <m/>
    <s v="Kalyanpur"/>
    <m/>
    <n v="0"/>
  </r>
  <r>
    <s v="Munger"/>
    <s v="10-16 Jul"/>
    <n v="1053"/>
    <s v="Kalyanpur"/>
    <x v="715"/>
    <s v="GOMUKH LAKSHMAN NAGAR"/>
    <s v="MPG"/>
    <s v="Direct"/>
    <n v="509.04999999999995"/>
    <n v="22063.59"/>
    <n v="530.70000000000005"/>
    <n v="21888.400000000001"/>
    <n v="3"/>
    <n v="159.51"/>
    <n v="533.70000000000005"/>
    <n v="22047.91"/>
    <n v="22047.91"/>
    <n v="0"/>
    <n v="159.51"/>
    <n v="0"/>
    <n v="2250"/>
    <n v="0"/>
    <n v="0"/>
    <n v="19636"/>
    <n v="0"/>
    <n v="0"/>
    <n v="18"/>
    <n v="0"/>
    <n v="165.52568551222873"/>
    <n v="72.721428571428561"/>
    <n v="7.1067310442227626E-4"/>
    <n v="18"/>
    <m/>
    <s v="Kalyanpur"/>
    <m/>
    <n v="0"/>
  </r>
  <r>
    <s v="Munger"/>
    <s v="10-16 Jul"/>
    <n v="1053"/>
    <s v="Kalyanpur"/>
    <x v="716"/>
    <s v="GOMUKH KOTHIYA"/>
    <s v="MPG"/>
    <s v="Direct"/>
    <n v="114.8"/>
    <n v="5162.5600000000004"/>
    <n v="114.7"/>
    <n v="4950.63"/>
    <n v="4.9999999999999964"/>
    <n v="205.89999999999995"/>
    <n v="119.7"/>
    <n v="5156.53"/>
    <n v="5156.53"/>
    <n v="0"/>
    <n v="205.89999999999995"/>
    <n v="0"/>
    <n v="0"/>
    <n v="500"/>
    <n v="0"/>
    <n v="4450"/>
    <n v="0"/>
    <n v="0"/>
    <n v="7"/>
    <n v="0"/>
    <n v="526.32928780487805"/>
    <n v="16.399999999999999"/>
    <n v="1.1680251658093377E-3"/>
    <n v="5"/>
    <m/>
    <s v="Kalyanpur"/>
    <m/>
    <n v="500"/>
  </r>
  <r>
    <s v="Munger"/>
    <s v="10-16 Jul"/>
    <n v="1053"/>
    <s v="Kalyanpur"/>
    <x v="717"/>
    <s v="GOMUKH JHAHURI"/>
    <s v="MPG"/>
    <s v="Direct"/>
    <n v="2867.7000000000007"/>
    <n v="123196.52999999998"/>
    <n v="2859.1999999999994"/>
    <n v="121500.74000000003"/>
    <n v="31.800000000000008"/>
    <n v="1347.18"/>
    <n v="2890.9999999999995"/>
    <n v="122847.92000000003"/>
    <n v="122847.92000000003"/>
    <n v="0"/>
    <n v="1347.18"/>
    <n v="0"/>
    <n v="15989"/>
    <n v="0"/>
    <n v="0"/>
    <n v="105516"/>
    <n v="0"/>
    <n v="0"/>
    <n v="344"/>
    <n v="0"/>
    <n v="0"/>
    <n v="0"/>
    <n v="2.8297063237086059E-3"/>
    <n v="39"/>
    <m/>
    <s v="Kalyanpur"/>
    <m/>
    <n v="0"/>
  </r>
  <r>
    <s v="Munger"/>
    <s v="10-16 Jul"/>
    <n v="1053"/>
    <s v="Kalyanpur"/>
    <x v="986"/>
    <s v="Belsandi Dihtola"/>
    <s v="vlc"/>
    <s v="Indirect"/>
    <n v="116.3"/>
    <n v="4627.0200000000004"/>
    <n v="0"/>
    <n v="0"/>
    <n v="0"/>
    <n v="0"/>
    <n v="0"/>
    <n v="0"/>
    <n v="4627.0200000000004"/>
    <n v="0"/>
    <n v="0"/>
    <n v="0"/>
    <n v="0"/>
    <n v="0"/>
    <n v="0"/>
    <n v="0"/>
    <n v="0"/>
    <n v="4627.0200000000004"/>
    <n v="0"/>
    <n v="0"/>
    <n v="464.45254926913162"/>
    <n v="16.614285714285714"/>
    <n v="0"/>
    <n v="0"/>
    <m/>
    <s v="Kalyanpur"/>
    <m/>
    <n v="0"/>
  </r>
  <r>
    <s v="Munger"/>
    <s v="10-16 Jul"/>
    <n v="1053"/>
    <s v="Kalyanpur"/>
    <x v="718"/>
    <s v="GOMUKH Keotsa"/>
    <s v="MPG"/>
    <s v="Direct"/>
    <n v="658.84999999999991"/>
    <n v="28322.399999999991"/>
    <n v="537.93000000000006"/>
    <n v="22942.519999999997"/>
    <n v="135.45000000000002"/>
    <n v="5350.7199999999993"/>
    <n v="673.38000000000011"/>
    <n v="28293.239999999998"/>
    <n v="28293.239999999998"/>
    <n v="0"/>
    <n v="1386.9000000000003"/>
    <n v="0"/>
    <n v="0"/>
    <n v="0"/>
    <n v="0"/>
    <n v="22943"/>
    <n v="3963"/>
    <n v="0"/>
    <n v="29"/>
    <n v="0"/>
    <n v="35.378819458146886"/>
    <n v="94.121428571428552"/>
    <n v="1.0295737649349134E-3"/>
    <n v="13"/>
    <m/>
    <s v="Kalyanpur"/>
    <m/>
    <n v="0"/>
  </r>
  <r>
    <s v="Munger"/>
    <s v="10-16 Jul"/>
    <n v="1053"/>
    <s v="Kalyanpur"/>
    <x v="719"/>
    <s v="Gomukh Namapur East"/>
    <s v="vlc"/>
    <s v="Indirect"/>
    <n v="309.34999999999997"/>
    <n v="18147.740000000002"/>
    <n v="0"/>
    <n v="0"/>
    <n v="0"/>
    <n v="0"/>
    <n v="0"/>
    <n v="0"/>
    <n v="18147.740000000002"/>
    <n v="0"/>
    <n v="0"/>
    <n v="0"/>
    <n v="0"/>
    <n v="0"/>
    <n v="0"/>
    <n v="0"/>
    <n v="0"/>
    <n v="18147.740000000002"/>
    <n v="0"/>
    <n v="0"/>
    <n v="458.34263009536141"/>
    <n v="44.192857142857136"/>
    <n v="0"/>
    <n v="0"/>
    <m/>
    <s v="Kalyanpur"/>
    <m/>
    <n v="0"/>
  </r>
  <r>
    <s v="Munger"/>
    <s v="10-16 Jul"/>
    <n v="1053"/>
    <s v="Kalyanpur"/>
    <x v="720"/>
    <s v="GOMUKH Waini"/>
    <s v="MPG"/>
    <s v="Direct"/>
    <n v="443.95000000000005"/>
    <n v="17993.550000000003"/>
    <n v="425.17"/>
    <n v="17626.25"/>
    <n v="8.68"/>
    <n v="364.40999999999997"/>
    <n v="433.85"/>
    <n v="17990.66"/>
    <n v="17990.66"/>
    <n v="0"/>
    <n v="364.40999999999997"/>
    <n v="0"/>
    <n v="0"/>
    <n v="0"/>
    <n v="0"/>
    <n v="17628"/>
    <n v="0"/>
    <n v="0"/>
    <n v="1"/>
    <n v="0"/>
    <n v="207.55708874873292"/>
    <n v="63.421428571428578"/>
    <n v="1.6061310858630205E-4"/>
    <n v="9"/>
    <m/>
    <s v="Kalyanpur"/>
    <m/>
    <n v="0"/>
  </r>
  <r>
    <s v="Munger"/>
    <s v="10-16 Jul"/>
    <n v="1053"/>
    <s v="Kalyanpur"/>
    <x v="721"/>
    <s v="GOMUKH SAKARI"/>
    <s v="MPG"/>
    <s v="Direct"/>
    <n v="1727.6999999999998"/>
    <n v="76569.010000000009"/>
    <n v="1711.1399999999999"/>
    <n v="75555.69"/>
    <n v="22.310000000000002"/>
    <n v="991.69"/>
    <n v="1733.4499999999998"/>
    <n v="76547.38"/>
    <n v="76547.38"/>
    <n v="0"/>
    <n v="991.69"/>
    <n v="0"/>
    <n v="4943"/>
    <n v="0"/>
    <n v="0"/>
    <n v="70614"/>
    <n v="0"/>
    <n v="0"/>
    <n v="20"/>
    <n v="0"/>
    <n v="0"/>
    <n v="0"/>
    <n v="2.8249026597058853E-4"/>
    <n v="29"/>
    <m/>
    <s v="Kalyanpur"/>
    <m/>
    <n v="0"/>
  </r>
  <r>
    <s v="Munger"/>
    <s v="10-16 Jul"/>
    <n v="1053"/>
    <s v="Kalyanpur"/>
    <x v="722"/>
    <s v="GOMUKH DHOBGAMA"/>
    <s v="MPG"/>
    <s v="Direct"/>
    <n v="703.90000000000009"/>
    <n v="28887.32"/>
    <n v="684.42"/>
    <n v="28293.78"/>
    <n v="13.929999999999998"/>
    <n v="586.76"/>
    <n v="698.34999999999991"/>
    <n v="28880.539999999997"/>
    <n v="28880.539999999997"/>
    <n v="0"/>
    <n v="586.76"/>
    <n v="0"/>
    <n v="0"/>
    <n v="0"/>
    <n v="0"/>
    <n v="28293"/>
    <n v="0"/>
    <n v="0"/>
    <n v="8"/>
    <n v="0"/>
    <n v="0"/>
    <n v="0"/>
    <n v="2.3470505398224804E-4"/>
    <n v="16"/>
    <m/>
    <s v="Kalyanpur"/>
    <m/>
    <n v="0"/>
  </r>
  <r>
    <s v="Munger"/>
    <s v="10-16 Jul"/>
    <n v="1053"/>
    <s v="Kalyanpur"/>
    <x v="723"/>
    <s v="GOMUKH BHUSKOUL"/>
    <s v="MPG"/>
    <s v="Direct"/>
    <n v="574"/>
    <n v="23098.149999999998"/>
    <n v="596.33999999999992"/>
    <n v="22616.880000000001"/>
    <n v="12.33"/>
    <n v="478.73"/>
    <n v="608.66999999999996"/>
    <n v="23095.61"/>
    <n v="23095.61"/>
    <n v="0"/>
    <n v="478.73"/>
    <n v="0"/>
    <n v="0"/>
    <n v="0"/>
    <n v="0"/>
    <n v="22618"/>
    <n v="0"/>
    <n v="0"/>
    <n v="1"/>
    <n v="0"/>
    <n v="101.40651219512195"/>
    <n v="82"/>
    <n v="1.0996551671875174E-4"/>
    <n v="16"/>
    <m/>
    <s v="Kalyanpur"/>
    <m/>
    <n v="0"/>
  </r>
  <r>
    <s v="Munger"/>
    <s v="10-16 Jul"/>
    <n v="1053"/>
    <s v="Kalyanpur"/>
    <x v="724"/>
    <s v="GOMUKH BIRSINGHPUR"/>
    <s v="MPG"/>
    <s v="Direct"/>
    <n v="684.6500000000002"/>
    <n v="27574.69"/>
    <n v="704"/>
    <n v="27088.809999999998"/>
    <n v="10"/>
    <n v="436.5"/>
    <n v="714"/>
    <n v="27525.309999999998"/>
    <n v="27525.309999999998"/>
    <n v="0"/>
    <n v="436.5"/>
    <n v="0"/>
    <n v="0"/>
    <n v="0"/>
    <n v="0"/>
    <n v="27090"/>
    <n v="0"/>
    <n v="0"/>
    <n v="48"/>
    <n v="0"/>
    <n v="12.364609406265773"/>
    <n v="97.807142857142892"/>
    <n v="1.7907726251863946E-3"/>
    <n v="7"/>
    <m/>
    <s v="Kalyanpur"/>
    <m/>
    <n v="0"/>
  </r>
  <r>
    <s v="Munger"/>
    <s v="10-16 Jul"/>
    <n v="1053"/>
    <s v="Kalyanpur"/>
    <x v="725"/>
    <s v="GOMUKH GHOSRAWAN"/>
    <s v="MPG"/>
    <s v="Direct"/>
    <n v="441.15000000000009"/>
    <n v="17704.61"/>
    <n v="430.17999999999995"/>
    <n v="17680.95"/>
    <n v="0.52"/>
    <n v="20.170000000000002"/>
    <n v="430.69999999999993"/>
    <n v="17701.12"/>
    <n v="17701.12"/>
    <n v="0"/>
    <n v="20.170000000000002"/>
    <n v="0"/>
    <n v="5150"/>
    <n v="0"/>
    <n v="0"/>
    <n v="12531"/>
    <n v="0"/>
    <n v="0"/>
    <n v="3"/>
    <n v="0"/>
    <n v="207.76780226680259"/>
    <n v="63.021428571428586"/>
    <n v="1.9712379995953601E-4"/>
    <n v="7"/>
    <m/>
    <s v="Kalyanpur"/>
    <m/>
    <n v="0"/>
  </r>
  <r>
    <s v="Munger"/>
    <s v="10-16 Jul"/>
    <n v="1053"/>
    <s v="Kalyanpur"/>
    <x v="726"/>
    <s v="GOMUKH BANDRA W-9"/>
    <s v="MPG"/>
    <s v="Direct"/>
    <n v="391.2000000000001"/>
    <n v="17056.930000000004"/>
    <n v="378.99999999999994"/>
    <n v="16925.969999999998"/>
    <n v="2.8000000000000003"/>
    <n v="127.38"/>
    <n v="381.79999999999995"/>
    <n v="17053.349999999999"/>
    <n v="17053.349999999999"/>
    <n v="0"/>
    <n v="127.38"/>
    <n v="0"/>
    <n v="572"/>
    <n v="0"/>
    <n v="0"/>
    <n v="16353"/>
    <n v="0"/>
    <n v="0"/>
    <n v="5"/>
    <n v="0"/>
    <n v="269.2832302658486"/>
    <n v="55.8857142857143"/>
    <n v="2.0988536624148561E-4"/>
    <n v="17"/>
    <m/>
    <s v="Kalyanpur"/>
    <m/>
    <n v="0"/>
  </r>
  <r>
    <s v="Munger"/>
    <s v="10-16 Jul"/>
    <n v="1053"/>
    <s v="Kalyanpur"/>
    <x v="727"/>
    <s v="AMI Dairy"/>
    <s v="vlc"/>
    <s v="Indirect"/>
    <n v="1113.8"/>
    <n v="45779.710000000006"/>
    <n v="0"/>
    <n v="0"/>
    <n v="0"/>
    <n v="0"/>
    <n v="0"/>
    <n v="0"/>
    <n v="45779.710000000006"/>
    <n v="0"/>
    <n v="0"/>
    <n v="0"/>
    <n v="0"/>
    <n v="0"/>
    <n v="0"/>
    <n v="0"/>
    <n v="0"/>
    <n v="45779.710000000006"/>
    <n v="0"/>
    <n v="0"/>
    <n v="0"/>
    <n v="0"/>
    <n v="0"/>
    <n v="0"/>
    <m/>
    <s v="Kalyanpur"/>
    <m/>
    <n v="0"/>
  </r>
  <r>
    <s v="Munger"/>
    <s v="10-16 Jul"/>
    <n v="1053"/>
    <s v="Kalyanpur"/>
    <x v="987"/>
    <s v="Gomukh Simra"/>
    <s v="vlc"/>
    <s v="Indirect"/>
    <n v="476.8"/>
    <n v="18976.21"/>
    <n v="0"/>
    <n v="0"/>
    <n v="0"/>
    <n v="0"/>
    <n v="0"/>
    <n v="0"/>
    <n v="18976.21"/>
    <n v="0"/>
    <n v="0"/>
    <n v="0"/>
    <n v="0"/>
    <n v="0"/>
    <n v="0"/>
    <n v="0"/>
    <n v="0"/>
    <n v="18976.21"/>
    <n v="0"/>
    <n v="0"/>
    <n v="177.66317416107381"/>
    <n v="68.114285714285714"/>
    <n v="0"/>
    <n v="0"/>
    <m/>
    <s v="Kalyanpur"/>
    <m/>
    <n v="0"/>
  </r>
  <r>
    <s v="Munger"/>
    <s v="10-16 Jul"/>
    <n v="1054"/>
    <s v="Alauli "/>
    <x v="728"/>
    <s v="GOMUKH ANANDPUR PARAS 2"/>
    <s v="MPG"/>
    <s v="Direct"/>
    <n v="2935.9"/>
    <n v="115981.21999999999"/>
    <n v="2935.8999999999996"/>
    <n v="115981.21999999999"/>
    <n v="0"/>
    <n v="0"/>
    <n v="2935.8999999999996"/>
    <n v="115981.21999999999"/>
    <n v="115981.21999999999"/>
    <n v="0"/>
    <n v="0"/>
    <n v="0"/>
    <n v="0"/>
    <n v="0"/>
    <n v="0"/>
    <n v="115981"/>
    <n v="0"/>
    <n v="0"/>
    <n v="0"/>
    <n v="0"/>
    <n v="0"/>
    <n v="0"/>
    <n v="0"/>
    <n v="1"/>
    <m/>
    <s v="Alauli "/>
    <m/>
    <n v="0"/>
  </r>
  <r>
    <s v="Munger"/>
    <s v="10-16 Jul"/>
    <n v="1054"/>
    <s v="Alauli "/>
    <x v="729"/>
    <s v="GOMUKH GADBANNI"/>
    <s v="MPG"/>
    <s v="Direct"/>
    <n v="348.00000000000006"/>
    <n v="14965.27"/>
    <n v="355.48"/>
    <n v="15014.05"/>
    <n v="0"/>
    <n v="0"/>
    <n v="355.48"/>
    <n v="15014.05"/>
    <n v="14965.27"/>
    <n v="0"/>
    <n v="0"/>
    <n v="48.779999999998836"/>
    <n v="1376"/>
    <n v="0"/>
    <n v="0"/>
    <n v="13589"/>
    <n v="0"/>
    <n v="0"/>
    <n v="0"/>
    <n v="0"/>
    <n v="302.7456919540229"/>
    <n v="49.714285714285722"/>
    <n v="-3.2595469376762889E-3"/>
    <n v="12"/>
    <m/>
    <s v="Alauli "/>
    <m/>
    <n v="0"/>
  </r>
  <r>
    <s v="Munger"/>
    <s v="10-16 Jul"/>
    <n v="1054"/>
    <s v="Alauli "/>
    <x v="988"/>
    <s v="GOMUKH GORIYAMI"/>
    <s v="MPG"/>
    <s v="Direct"/>
    <n v="28.6"/>
    <n v="1288.4000000000001"/>
    <n v="56"/>
    <n v="2636.2"/>
    <n v="0"/>
    <n v="0"/>
    <n v="56"/>
    <n v="2636.2"/>
    <n v="1288.4000000000001"/>
    <n v="0"/>
    <n v="0"/>
    <n v="1347.7999999999997"/>
    <n v="0"/>
    <n v="0"/>
    <n v="0"/>
    <n v="1288"/>
    <n v="0"/>
    <n v="0"/>
    <n v="0"/>
    <n v="0"/>
    <n v="604.91731468531464"/>
    <n v="4.0857142857142863"/>
    <n v="-1.0461036945048119"/>
    <n v="1"/>
    <m/>
    <s v="Alauli "/>
    <m/>
    <n v="0"/>
  </r>
  <r>
    <s v="Munger"/>
    <s v="10-16 Jul"/>
    <n v="1054"/>
    <s v="Alauli "/>
    <x v="730"/>
    <s v="GOMUKH PARRI"/>
    <s v="MPG"/>
    <s v="Direct"/>
    <n v="80"/>
    <n v="3730.4300000000003"/>
    <n v="86.750000000000014"/>
    <n v="4106.09"/>
    <n v="0"/>
    <n v="0"/>
    <n v="86.750000000000014"/>
    <n v="4106.09"/>
    <n v="3730.4300000000003"/>
    <n v="0"/>
    <n v="0"/>
    <n v="375.65999999999985"/>
    <n v="0"/>
    <n v="0"/>
    <n v="0"/>
    <n v="4107"/>
    <n v="0"/>
    <n v="0"/>
    <n v="-377"/>
    <s v="Release2"/>
    <n v="578.21665000000007"/>
    <n v="11.428571428571429"/>
    <n v="-0.10070152770592125"/>
    <n v="6"/>
    <m/>
    <s v="Alauli "/>
    <m/>
    <n v="500"/>
  </r>
  <r>
    <s v="Munger"/>
    <s v="10-16 Jul"/>
    <n v="1054"/>
    <s v="Alauli "/>
    <x v="731"/>
    <s v="GOMUKH BHIKHARI GHAT"/>
    <s v="MPG"/>
    <s v="Direct"/>
    <n v="1168"/>
    <n v="51719.41"/>
    <n v="1230.4599999999998"/>
    <n v="55285.669999999991"/>
    <n v="0"/>
    <n v="0"/>
    <n v="1230.4599999999998"/>
    <n v="55285.669999999991"/>
    <n v="51719.41"/>
    <n v="0"/>
    <n v="0"/>
    <n v="3566.2599999999875"/>
    <n v="1400"/>
    <n v="0"/>
    <n v="0"/>
    <n v="50319"/>
    <n v="0"/>
    <n v="0"/>
    <n v="0"/>
    <s v="Release3"/>
    <n v="0"/>
    <n v="0"/>
    <n v="-6.8953996188278008E-2"/>
    <n v="29"/>
    <m/>
    <s v="Alauli "/>
    <m/>
    <n v="0"/>
  </r>
  <r>
    <s v="Munger"/>
    <s v="10-16 Jul"/>
    <n v="1054"/>
    <s v="Alauli "/>
    <x v="732"/>
    <s v="Vikash Kumar"/>
    <s v="vlc"/>
    <s v="Indirect"/>
    <n v="2050.8000000000002"/>
    <n v="86132.56"/>
    <n v="0"/>
    <n v="0"/>
    <n v="0"/>
    <n v="0"/>
    <n v="0"/>
    <n v="0"/>
    <n v="86132.56"/>
    <n v="0"/>
    <n v="0"/>
    <n v="0"/>
    <n v="0"/>
    <n v="0"/>
    <n v="0"/>
    <n v="0"/>
    <n v="0"/>
    <n v="86132.56"/>
    <n v="0"/>
    <n v="0"/>
    <n v="0"/>
    <n v="0"/>
    <n v="0"/>
    <n v="0"/>
    <m/>
    <s v="Alauli "/>
    <m/>
    <n v="0"/>
  </r>
  <r>
    <s v="Munger"/>
    <s v="10-16 Jul"/>
    <n v="1054"/>
    <s v="Alauli "/>
    <x v="733"/>
    <s v="Rajkishore Yadav"/>
    <s v="vlc"/>
    <s v="Indirect"/>
    <n v="302"/>
    <n v="10962.640000000001"/>
    <n v="0"/>
    <n v="0"/>
    <n v="0"/>
    <n v="0"/>
    <n v="0"/>
    <n v="0"/>
    <n v="10962.640000000001"/>
    <n v="0"/>
    <n v="0"/>
    <n v="0"/>
    <n v="0"/>
    <n v="0"/>
    <n v="0"/>
    <n v="0"/>
    <n v="0"/>
    <n v="10962.640000000001"/>
    <n v="0"/>
    <n v="0"/>
    <n v="288.94905430463575"/>
    <n v="43.142857142857146"/>
    <n v="0"/>
    <n v="0"/>
    <m/>
    <s v="Alauli "/>
    <m/>
    <n v="0"/>
  </r>
  <r>
    <s v="Munger"/>
    <s v="10-16 Jul"/>
    <n v="1054"/>
    <s v="Alauli "/>
    <x v="734"/>
    <s v="BHADAS VLC"/>
    <s v="vlc"/>
    <s v="Indirect"/>
    <n v="65.5"/>
    <n v="3335.5199999999995"/>
    <n v="0"/>
    <n v="0"/>
    <n v="0"/>
    <n v="0"/>
    <n v="0"/>
    <n v="0"/>
    <n v="3335.5199999999995"/>
    <n v="0"/>
    <n v="0"/>
    <n v="0"/>
    <n v="0"/>
    <n v="0"/>
    <n v="0"/>
    <n v="0"/>
    <n v="0"/>
    <n v="3335.5199999999995"/>
    <n v="0"/>
    <n v="0"/>
    <n v="646.22517251908391"/>
    <n v="9.3571428571428577"/>
    <n v="0"/>
    <n v="0"/>
    <m/>
    <s v="Alauli "/>
    <m/>
    <n v="0"/>
  </r>
  <r>
    <s v="Munger"/>
    <s v="10-16 Jul"/>
    <n v="1054"/>
    <s v="Alauli "/>
    <x v="735"/>
    <s v="GOMUKH BENHER"/>
    <s v="MPG"/>
    <s v="Direct"/>
    <n v="473.1"/>
    <n v="25758.810000000005"/>
    <n v="373.84"/>
    <n v="20477.219999999994"/>
    <n v="108.9"/>
    <n v="5996.58"/>
    <n v="482.74"/>
    <n v="26473.799999999996"/>
    <n v="25758.810000000005"/>
    <n v="0"/>
    <n v="76.47"/>
    <n v="714.98999999999069"/>
    <n v="0"/>
    <n v="0"/>
    <n v="0"/>
    <n v="19762"/>
    <n v="5920"/>
    <n v="0"/>
    <n v="0"/>
    <n v="0"/>
    <n v="247.07985580215603"/>
    <n v="67.585714285714289"/>
    <n v="-2.7757105238945066E-2"/>
    <n v="13"/>
    <m/>
    <s v="Alauli "/>
    <m/>
    <n v="0"/>
  </r>
  <r>
    <s v="Munger"/>
    <s v="10-16 Jul"/>
    <n v="1054"/>
    <s v="Alauli "/>
    <x v="736"/>
    <s v="GOMUKH LADORA"/>
    <s v="MPG"/>
    <s v="Direct"/>
    <n v="754.9"/>
    <n v="29793.949999999997"/>
    <n v="774.26"/>
    <n v="33832.799999999996"/>
    <n v="0"/>
    <n v="0"/>
    <n v="774.26"/>
    <n v="33832.799999999996"/>
    <n v="29793.949999999997"/>
    <n v="0"/>
    <n v="0"/>
    <n v="4038.8499999999985"/>
    <n v="0"/>
    <n v="0"/>
    <n v="0"/>
    <n v="29794"/>
    <n v="0"/>
    <n v="0"/>
    <n v="0"/>
    <n v="0"/>
    <n v="0"/>
    <n v="0"/>
    <n v="-0.13555940048231266"/>
    <n v="2"/>
    <m/>
    <s v="Alauli "/>
    <m/>
    <n v="0"/>
  </r>
  <r>
    <s v="Munger"/>
    <s v="10-16 Jul"/>
    <n v="1054"/>
    <s v="Alauli "/>
    <x v="737"/>
    <s v="GOMUKH SAHSI"/>
    <s v="MPG"/>
    <s v="Direct"/>
    <n v="336.5"/>
    <n v="15168.2"/>
    <n v="387.76"/>
    <n v="17619.989999999998"/>
    <n v="0"/>
    <n v="0"/>
    <n v="387.76"/>
    <n v="17619.989999999998"/>
    <n v="15168.2"/>
    <n v="0"/>
    <n v="0"/>
    <n v="2451.7899999999972"/>
    <n v="0"/>
    <n v="500"/>
    <n v="0"/>
    <n v="14668"/>
    <n v="0"/>
    <n v="0"/>
    <n v="0"/>
    <n v="0"/>
    <n v="327.70524219910845"/>
    <n v="48.071428571428569"/>
    <n v="-0.16164014187576622"/>
    <n v="9"/>
    <m/>
    <s v="Alauli "/>
    <m/>
    <n v="500"/>
  </r>
  <r>
    <s v="Munger"/>
    <s v="10-16 Jul"/>
    <n v="1054"/>
    <s v="Alauli "/>
    <x v="738"/>
    <s v="Gomukh Chikni"/>
    <s v="MPG"/>
    <s v="Direct"/>
    <n v="132.30000000000001"/>
    <n v="4208.3900000000003"/>
    <n v="105.97"/>
    <n v="4209.2699999999995"/>
    <n v="0"/>
    <n v="0"/>
    <n v="105.97"/>
    <n v="4209.2699999999995"/>
    <n v="4208.3900000000003"/>
    <n v="0"/>
    <n v="0"/>
    <n v="0.87999999999919964"/>
    <n v="0"/>
    <n v="500"/>
    <n v="0"/>
    <n v="3708"/>
    <n v="0"/>
    <n v="0"/>
    <n v="0"/>
    <s v="Release3"/>
    <n v="361.16447513227513"/>
    <n v="18.900000000000002"/>
    <n v="-2.0910609520486447E-4"/>
    <n v="1"/>
    <m/>
    <s v="Alauli "/>
    <m/>
    <n v="500"/>
  </r>
  <r>
    <s v="Munger"/>
    <s v="10-16 Jul"/>
    <n v="1054"/>
    <s v="Alauli "/>
    <x v="739"/>
    <s v="GOMUKH BUDWA"/>
    <s v="MPG"/>
    <s v="Direct"/>
    <n v="67.599999999999994"/>
    <n v="2658.84"/>
    <n v="75.540000000000006"/>
    <n v="3010.5600000000004"/>
    <n v="0"/>
    <n v="0"/>
    <n v="75.540000000000006"/>
    <n v="3010.5600000000004"/>
    <n v="2658.84"/>
    <n v="0"/>
    <n v="0"/>
    <n v="351.72000000000025"/>
    <n v="0"/>
    <n v="0"/>
    <n v="0"/>
    <n v="3012"/>
    <n v="0"/>
    <n v="0"/>
    <n v="-353"/>
    <s v="Release2"/>
    <n v="497.47053727810652"/>
    <n v="9.6571428571428566"/>
    <n v="-0.13228325134269089"/>
    <n v="5"/>
    <m/>
    <s v="Alauli "/>
    <m/>
    <n v="500"/>
  </r>
  <r>
    <s v="Munger"/>
    <s v="10-16 Jul"/>
    <n v="1054"/>
    <s v="Alauli "/>
    <x v="740"/>
    <s v="GOMUKH GANGIYA"/>
    <s v="vlc"/>
    <s v="Indirect"/>
    <n v="719.69999999999993"/>
    <n v="23382.750000000004"/>
    <n v="0"/>
    <n v="0"/>
    <n v="0"/>
    <n v="0"/>
    <n v="0"/>
    <n v="0"/>
    <n v="23382.750000000004"/>
    <n v="0"/>
    <n v="0"/>
    <n v="0"/>
    <n v="0"/>
    <n v="0"/>
    <n v="0"/>
    <n v="0"/>
    <n v="0"/>
    <n v="23382.750000000004"/>
    <n v="0"/>
    <n v="0"/>
    <n v="0"/>
    <n v="0"/>
    <n v="0"/>
    <n v="0"/>
    <m/>
    <s v="Alauli "/>
    <m/>
    <n v="0"/>
  </r>
  <r>
    <s v="Munger"/>
    <s v="10-16 Jul"/>
    <n v="1054"/>
    <s v="Alauli "/>
    <x v="741"/>
    <s v="GOMUKH AMBA ICHARUA"/>
    <s v="MPG"/>
    <s v="Direct"/>
    <n v="538.6"/>
    <n v="21073.57"/>
    <n v="60.239999999999995"/>
    <n v="2695.7299999999996"/>
    <n v="641.80000000000007"/>
    <n v="27700.670000000006"/>
    <n v="702.04000000000008"/>
    <n v="30396.400000000005"/>
    <n v="21073.57"/>
    <n v="0"/>
    <n v="531.97"/>
    <n v="9322.8300000000054"/>
    <n v="0"/>
    <n v="0"/>
    <n v="0"/>
    <n v="0"/>
    <n v="20542"/>
    <n v="0"/>
    <n v="0"/>
    <s v="Release3"/>
    <n v="126.30056435202373"/>
    <n v="76.94285714285715"/>
    <n v="-0.44239443055922684"/>
    <n v="13"/>
    <m/>
    <s v="Alauli "/>
    <m/>
    <n v="0"/>
  </r>
  <r>
    <s v="Munger"/>
    <s v="10-16 Jul"/>
    <n v="1054"/>
    <s v="Alauli "/>
    <x v="742"/>
    <s v="RAJAURA VLC"/>
    <s v="vlc"/>
    <s v="Indirect"/>
    <n v="1042.5999999999999"/>
    <n v="40145.410000000003"/>
    <n v="0"/>
    <n v="0"/>
    <n v="0"/>
    <n v="0"/>
    <n v="0"/>
    <n v="0"/>
    <n v="40145.410000000003"/>
    <n v="0"/>
    <n v="0"/>
    <n v="0"/>
    <n v="0"/>
    <n v="0"/>
    <n v="0"/>
    <n v="0"/>
    <n v="0"/>
    <n v="40145.410000000003"/>
    <n v="0"/>
    <n v="0"/>
    <n v="0"/>
    <n v="0"/>
    <n v="0"/>
    <n v="0"/>
    <m/>
    <s v="Alauli "/>
    <m/>
    <n v="0"/>
  </r>
  <r>
    <s v="Munger"/>
    <s v="10-16 Jul"/>
    <n v="1054"/>
    <s v="Alauli "/>
    <x v="743"/>
    <s v="GOMUKH JWALAPUR"/>
    <s v="MPG"/>
    <s v="Direct"/>
    <n v="182.6"/>
    <n v="6490.9299999999994"/>
    <n v="195"/>
    <n v="7778.55"/>
    <n v="0"/>
    <n v="0"/>
    <n v="195"/>
    <n v="7778.55"/>
    <n v="6490.9299999999994"/>
    <n v="0"/>
    <n v="0"/>
    <n v="1287.6200000000008"/>
    <n v="0"/>
    <n v="500"/>
    <n v="0"/>
    <n v="5991"/>
    <n v="0"/>
    <n v="0"/>
    <n v="0"/>
    <n v="0"/>
    <n v="367.84306484118287"/>
    <n v="26.085714285714285"/>
    <n v="-0.19837219011759499"/>
    <n v="1"/>
    <m/>
    <s v="Alauli "/>
    <m/>
    <n v="500"/>
  </r>
  <r>
    <s v="Munger"/>
    <s v="10-16 Jul"/>
    <n v="1054"/>
    <s v="Alauli "/>
    <x v="744"/>
    <s v="VLC Dhushmuri Bishanpur"/>
    <s v="vlc"/>
    <s v="Indirect"/>
    <n v="458.1"/>
    <n v="14966.539999999999"/>
    <n v="0"/>
    <n v="0"/>
    <n v="0"/>
    <n v="0"/>
    <n v="0"/>
    <n v="0"/>
    <n v="14966.539999999999"/>
    <n v="0"/>
    <n v="0"/>
    <n v="0"/>
    <n v="0"/>
    <n v="0"/>
    <n v="0"/>
    <n v="0"/>
    <n v="0"/>
    <n v="14966.539999999999"/>
    <n v="0"/>
    <n v="0"/>
    <n v="158.06182169831911"/>
    <n v="65.44285714285715"/>
    <n v="0"/>
    <n v="0"/>
    <m/>
    <s v="Alauli "/>
    <m/>
    <n v="0"/>
  </r>
  <r>
    <s v="Munger"/>
    <s v="10-16 Jul"/>
    <n v="1054"/>
    <s v="Alauli "/>
    <x v="745"/>
    <s v="VLC Govindpur"/>
    <s v="vlc"/>
    <s v="Indirect"/>
    <n v="924.29999999999984"/>
    <n v="33860.949999999997"/>
    <n v="0"/>
    <n v="0"/>
    <n v="0"/>
    <n v="0"/>
    <n v="0"/>
    <n v="0"/>
    <n v="33860.949999999997"/>
    <n v="0"/>
    <n v="0"/>
    <n v="0"/>
    <n v="0"/>
    <n v="0"/>
    <n v="0"/>
    <n v="0"/>
    <n v="0"/>
    <n v="33860.949999999997"/>
    <n v="0"/>
    <n v="0"/>
    <n v="0"/>
    <n v="0"/>
    <n v="0"/>
    <n v="0"/>
    <m/>
    <s v="Alauli "/>
    <m/>
    <n v="0"/>
  </r>
  <r>
    <s v="Munger"/>
    <s v="10-16 Jul"/>
    <n v="1054"/>
    <s v="Alauli "/>
    <x v="746"/>
    <s v="Gomukh Darhi Mor"/>
    <s v="vlc"/>
    <s v="Indirect"/>
    <n v="102.1"/>
    <n v="3868.48"/>
    <n v="0"/>
    <n v="0"/>
    <n v="0"/>
    <n v="0"/>
    <n v="0"/>
    <n v="0"/>
    <n v="3868.48"/>
    <n v="0"/>
    <n v="0"/>
    <n v="0"/>
    <n v="0"/>
    <n v="0"/>
    <n v="0"/>
    <n v="0"/>
    <n v="0"/>
    <n v="3868.48"/>
    <n v="0"/>
    <n v="0"/>
    <n v="453.07819627815871"/>
    <n v="14.585714285714285"/>
    <n v="0"/>
    <n v="0"/>
    <m/>
    <s v="Alauli "/>
    <m/>
    <n v="0"/>
  </r>
  <r>
    <s v="Munger"/>
    <s v="10-16 Jul"/>
    <n v="1054"/>
    <s v="Alauli "/>
    <x v="747"/>
    <s v="Gomukh Balaur"/>
    <s v="MPG"/>
    <s v="Direct"/>
    <n v="1583.4"/>
    <n v="82271.159999999989"/>
    <n v="1386"/>
    <n v="82306.48000000001"/>
    <n v="0"/>
    <n v="0"/>
    <n v="1386"/>
    <n v="82306.48000000001"/>
    <n v="82271.159999999989"/>
    <n v="0"/>
    <n v="0"/>
    <n v="35.320000000021537"/>
    <n v="0"/>
    <n v="0"/>
    <n v="0"/>
    <n v="82271"/>
    <n v="0"/>
    <n v="0"/>
    <n v="0"/>
    <n v="0"/>
    <n v="0"/>
    <n v="0"/>
    <n v="-4.2931204567945246E-4"/>
    <n v="1"/>
    <m/>
    <s v="Alauli "/>
    <m/>
    <n v="0"/>
  </r>
  <r>
    <s v="Munger"/>
    <s v="10-16 Jul"/>
    <n v="1054"/>
    <s v="Alauli "/>
    <x v="748"/>
    <s v="Gomukh Usri"/>
    <s v="vlc"/>
    <s v="Direct"/>
    <n v="379.09999999999997"/>
    <n v="17720.61"/>
    <n v="658.44999999999982"/>
    <n v="30177.670000000006"/>
    <n v="0"/>
    <n v="0"/>
    <n v="658.44999999999982"/>
    <n v="30177.670000000006"/>
    <n v="17720.61"/>
    <n v="0"/>
    <n v="0"/>
    <n v="12457.060000000005"/>
    <n v="0"/>
    <n v="0"/>
    <n v="0"/>
    <n v="17721"/>
    <n v="0"/>
    <n v="0"/>
    <n v="0"/>
    <n v="0"/>
    <n v="300.00230804537068"/>
    <n v="54.157142857142851"/>
    <n v="-0.70297015734785684"/>
    <n v="5"/>
    <m/>
    <s v="Alauli "/>
    <m/>
    <n v="0"/>
  </r>
  <r>
    <s v="Munger"/>
    <s v="10-16 Jul"/>
    <n v="1054"/>
    <s v="Alauli "/>
    <x v="749"/>
    <s v="Gomukh Hathwan - 2"/>
    <s v="MPG"/>
    <s v="Direct"/>
    <n v="208.19999999999996"/>
    <n v="8657.2200000000012"/>
    <n v="210"/>
    <n v="9032.75"/>
    <n v="0"/>
    <n v="0"/>
    <n v="210"/>
    <n v="9032.75"/>
    <n v="8657.2200000000012"/>
    <n v="0"/>
    <n v="0"/>
    <n v="375.52999999999884"/>
    <n v="0"/>
    <n v="0"/>
    <n v="0"/>
    <n v="8657"/>
    <n v="0"/>
    <n v="0"/>
    <n v="0"/>
    <n v="0"/>
    <n v="408.99335216138354"/>
    <n v="29.742857142857137"/>
    <n v="-4.3377666271620541E-2"/>
    <n v="1"/>
    <m/>
    <s v="Alauli "/>
    <m/>
    <n v="0"/>
  </r>
  <r>
    <s v="Munger"/>
    <s v="10-16 Jul"/>
    <n v="1054"/>
    <s v="Alauli "/>
    <x v="750"/>
    <s v="VLC Sunil Khas"/>
    <s v="vlc"/>
    <s v="Indirect"/>
    <n v="624.10000000000014"/>
    <n v="26828.129999999997"/>
    <n v="0"/>
    <n v="0"/>
    <n v="0"/>
    <n v="0"/>
    <n v="0"/>
    <n v="0"/>
    <n v="26828.129999999997"/>
    <n v="0"/>
    <n v="0"/>
    <n v="0"/>
    <n v="0"/>
    <n v="0"/>
    <n v="0"/>
    <n v="0"/>
    <n v="0"/>
    <n v="26828.129999999997"/>
    <n v="0"/>
    <n v="0"/>
    <n v="65.254128088447246"/>
    <n v="89.157142857142873"/>
    <n v="0"/>
    <n v="0"/>
    <m/>
    <s v="Alauli "/>
    <m/>
    <n v="0"/>
  </r>
  <r>
    <s v="Munger"/>
    <s v="10-16 Jul"/>
    <n v="1054"/>
    <s v="Alauli "/>
    <x v="751"/>
    <s v="Gomukh Hathwan "/>
    <s v="MPG"/>
    <s v="Direct"/>
    <n v="346.9"/>
    <n v="14461.050000000001"/>
    <n v="371.49"/>
    <n v="16488.839999999997"/>
    <n v="0"/>
    <n v="0"/>
    <n v="371.49"/>
    <n v="16488.839999999997"/>
    <n v="14461.050000000001"/>
    <n v="0"/>
    <n v="0"/>
    <n v="2027.7899999999954"/>
    <n v="0"/>
    <n v="0"/>
    <n v="0"/>
    <n v="14461"/>
    <n v="0"/>
    <n v="0"/>
    <n v="0"/>
    <n v="0"/>
    <n v="294.39012712597292"/>
    <n v="49.557142857142857"/>
    <n v="-0.14022425757465712"/>
    <n v="2"/>
    <m/>
    <s v="Alauli "/>
    <m/>
    <n v="0"/>
  </r>
  <r>
    <s v="Munger"/>
    <s v="10-16 Jul"/>
    <n v="1054"/>
    <s v="Alauli "/>
    <x v="752"/>
    <s v="Gomukh Bekhari Ghat-2"/>
    <s v="MPG"/>
    <s v="Direct"/>
    <n v="130.60000000000002"/>
    <n v="4499.2700000000004"/>
    <n v="152.63999999999999"/>
    <n v="10113.93"/>
    <n v="0"/>
    <n v="0"/>
    <n v="152.63999999999999"/>
    <n v="10113.93"/>
    <n v="4499.2700000000004"/>
    <n v="0"/>
    <n v="0"/>
    <n v="5614.66"/>
    <n v="0"/>
    <n v="0"/>
    <n v="0"/>
    <n v="4499"/>
    <n v="0"/>
    <n v="0"/>
    <n v="0"/>
    <n v="0"/>
    <n v="392.32531975497699"/>
    <n v="18.657142857142862"/>
    <n v="-1.2479046600893031"/>
    <n v="1"/>
    <m/>
    <s v="Alauli "/>
    <m/>
    <n v="0"/>
  </r>
  <r>
    <s v="Munger"/>
    <s v="10-16 Jul"/>
    <n v="1054"/>
    <s v="Alauli "/>
    <x v="753"/>
    <s v="Gomukh Rahul VLC"/>
    <s v="vlc"/>
    <s v="Indirect"/>
    <n v="1888.3"/>
    <n v="82161.69"/>
    <n v="0"/>
    <n v="0"/>
    <n v="0"/>
    <n v="0"/>
    <n v="0"/>
    <n v="0"/>
    <n v="82161.69"/>
    <n v="0"/>
    <n v="0"/>
    <n v="0"/>
    <n v="0"/>
    <n v="0"/>
    <n v="0"/>
    <n v="0"/>
    <n v="0"/>
    <n v="82161.69"/>
    <n v="0"/>
    <n v="0"/>
    <n v="0"/>
    <n v="0"/>
    <n v="0"/>
    <n v="0"/>
    <m/>
    <s v="Alauli "/>
    <m/>
    <n v="0"/>
  </r>
  <r>
    <s v="Munger"/>
    <s v="10-16 Jul"/>
    <n v="1054"/>
    <s v="Alauli "/>
    <x v="754"/>
    <s v="Gomukh Sachin VLC"/>
    <s v="vlc"/>
    <s v="Indirect"/>
    <n v="502.00000000000006"/>
    <n v="19628.5"/>
    <n v="0"/>
    <n v="0"/>
    <n v="0"/>
    <n v="0"/>
    <n v="0"/>
    <n v="0"/>
    <n v="19628.5"/>
    <n v="0"/>
    <n v="0"/>
    <n v="0"/>
    <n v="0"/>
    <n v="0"/>
    <n v="0"/>
    <n v="0"/>
    <n v="0"/>
    <n v="19628.5"/>
    <n v="0"/>
    <n v="0"/>
    <n v="154.83836653386447"/>
    <n v="71.714285714285722"/>
    <n v="0"/>
    <n v="0"/>
    <m/>
    <s v="Alauli "/>
    <m/>
    <n v="0"/>
  </r>
  <r>
    <s v="Munger"/>
    <s v="10-16 Jul"/>
    <n v="1054"/>
    <s v="Alauli "/>
    <x v="755"/>
    <s v="Gomukh Khutauna"/>
    <s v="MPG"/>
    <s v="Direct"/>
    <n v="306.39999999999998"/>
    <n v="10229.15"/>
    <n v="306.39"/>
    <n v="10980.09"/>
    <n v="0"/>
    <n v="0"/>
    <n v="306.39"/>
    <n v="10980.09"/>
    <n v="10229.15"/>
    <n v="0"/>
    <n v="0"/>
    <n v="750.94000000000051"/>
    <n v="7000"/>
    <n v="0"/>
    <n v="0"/>
    <n v="3229"/>
    <n v="0"/>
    <n v="0"/>
    <n v="0"/>
    <n v="0"/>
    <n v="262.80636031331596"/>
    <n v="43.771428571428565"/>
    <n v="-7.3411769306345159E-2"/>
    <n v="1"/>
    <m/>
    <s v="Alauli "/>
    <m/>
    <n v="0"/>
  </r>
  <r>
    <s v="Munger"/>
    <s v="10-16 Jul"/>
    <n v="1054"/>
    <s v="Alauli "/>
    <x v="756"/>
    <s v="Gomukh Bathnaha VLC"/>
    <s v="vlc"/>
    <s v="Indirect"/>
    <n v="289.29999999999995"/>
    <n v="10396.660000000002"/>
    <n v="0"/>
    <n v="0"/>
    <n v="0"/>
    <n v="0"/>
    <n v="0"/>
    <n v="0"/>
    <n v="10396.660000000002"/>
    <n v="0"/>
    <n v="0"/>
    <n v="0"/>
    <n v="0"/>
    <n v="0"/>
    <n v="0"/>
    <n v="0"/>
    <n v="0"/>
    <n v="10396.660000000002"/>
    <n v="0"/>
    <n v="0"/>
    <n v="295.18895693052207"/>
    <n v="41.328571428571422"/>
    <n v="0"/>
    <n v="0"/>
    <m/>
    <s v="Alauli "/>
    <m/>
    <n v="0"/>
  </r>
  <r>
    <s v="Munger"/>
    <s v="10-16 Jul"/>
    <n v="1055"/>
    <s v="Matihani"/>
    <x v="757"/>
    <s v="Balahpur-Anil Yadav"/>
    <s v="vlc"/>
    <s v="Indirect"/>
    <n v="18380.600000000002"/>
    <n v="710938.29999999993"/>
    <n v="0"/>
    <n v="0"/>
    <n v="0"/>
    <n v="0"/>
    <n v="0"/>
    <n v="0"/>
    <n v="710938.29999999993"/>
    <n v="0"/>
    <n v="0"/>
    <n v="0"/>
    <n v="0"/>
    <n v="0"/>
    <n v="0"/>
    <n v="0"/>
    <n v="0"/>
    <n v="710938.29999999993"/>
    <n v="0"/>
    <n v="0"/>
    <n v="0"/>
    <n v="0"/>
    <n v="0"/>
    <n v="0"/>
    <m/>
    <s v="Matihani"/>
    <m/>
    <n v="0"/>
  </r>
  <r>
    <s v="Munger"/>
    <s v="10-16 Jul"/>
    <n v="1055"/>
    <s v="Matihani"/>
    <x v="758"/>
    <s v="Bagdobh"/>
    <s v="vlc"/>
    <s v="Indirect"/>
    <n v="172.19999999999996"/>
    <n v="6515.05"/>
    <n v="0"/>
    <n v="0"/>
    <n v="0"/>
    <n v="0"/>
    <n v="0"/>
    <n v="0"/>
    <n v="6515.05"/>
    <n v="0"/>
    <n v="0"/>
    <n v="0"/>
    <n v="0"/>
    <n v="0"/>
    <n v="0"/>
    <n v="0"/>
    <n v="0"/>
    <n v="6515.05"/>
    <n v="0"/>
    <n v="0"/>
    <n v="399.37786178861813"/>
    <n v="24.599999999999994"/>
    <n v="0"/>
    <n v="0"/>
    <m/>
    <s v="Matihani"/>
    <m/>
    <n v="0"/>
  </r>
  <r>
    <s v="Munger"/>
    <s v="10-16 Jul"/>
    <n v="1055"/>
    <s v="Matihani"/>
    <x v="759"/>
    <s v="Gomukh Matihani"/>
    <s v="MPG"/>
    <s v="Direct"/>
    <n v="268.90000000000003"/>
    <n v="11068.159999999998"/>
    <n v="227.29999999999995"/>
    <n v="9321.32"/>
    <n v="44.8"/>
    <n v="1783.7"/>
    <n v="272.09999999999997"/>
    <n v="11105.02"/>
    <n v="11068.159999999998"/>
    <n v="0"/>
    <n v="1783.7"/>
    <n v="36.860000000002401"/>
    <n v="0"/>
    <n v="0"/>
    <n v="0"/>
    <n v="9284"/>
    <n v="0"/>
    <n v="0"/>
    <n v="0"/>
    <n v="0"/>
    <n v="354.88908709557444"/>
    <n v="38.414285714285718"/>
    <n v="-3.330273505262158E-3"/>
    <n v="4"/>
    <m/>
    <s v="Matihani"/>
    <m/>
    <n v="0"/>
  </r>
  <r>
    <s v="Munger"/>
    <s v="10-16 Jul"/>
    <n v="1055"/>
    <s v="Matihani"/>
    <x v="760"/>
    <s v="Jalalpur"/>
    <s v="vlc"/>
    <s v="Indirect"/>
    <n v="1653.5"/>
    <n v="60000.240000000013"/>
    <n v="0"/>
    <n v="0"/>
    <n v="0"/>
    <n v="0"/>
    <n v="0"/>
    <n v="0"/>
    <n v="60000.240000000013"/>
    <n v="0"/>
    <n v="0"/>
    <n v="0"/>
    <n v="0"/>
    <n v="0"/>
    <n v="0"/>
    <n v="0"/>
    <n v="0"/>
    <n v="60000.240000000013"/>
    <n v="0"/>
    <n v="0"/>
    <n v="0"/>
    <n v="0"/>
    <n v="0"/>
    <n v="0"/>
    <m/>
    <s v="Matihani"/>
    <m/>
    <n v="0"/>
  </r>
  <r>
    <s v="Munger"/>
    <s v="10-16 Jul"/>
    <n v="1055"/>
    <s v="Matihani"/>
    <x v="761"/>
    <s v="Saidpur"/>
    <s v="vlc"/>
    <s v="Indirect"/>
    <n v="433.3"/>
    <n v="15354.759999999998"/>
    <n v="0"/>
    <n v="0"/>
    <n v="0"/>
    <n v="0"/>
    <n v="0"/>
    <n v="0"/>
    <n v="15354.759999999998"/>
    <n v="0"/>
    <n v="0"/>
    <n v="0"/>
    <n v="0"/>
    <n v="0"/>
    <n v="0"/>
    <n v="0"/>
    <n v="0"/>
    <n v="15354.759999999998"/>
    <n v="0"/>
    <n v="0"/>
    <n v="189.01982423263325"/>
    <n v="61.9"/>
    <n v="0"/>
    <n v="0"/>
    <m/>
    <s v="Matihani"/>
    <m/>
    <n v="0"/>
  </r>
  <r>
    <s v="Munger"/>
    <s v="10-16 Jul"/>
    <n v="1055"/>
    <s v="Matihani"/>
    <x v="762"/>
    <s v="Chak"/>
    <s v="vlc"/>
    <s v="Indirect"/>
    <n v="2186.7000000000003"/>
    <n v="85156.2"/>
    <n v="0"/>
    <n v="0"/>
    <n v="0"/>
    <n v="0"/>
    <n v="0"/>
    <n v="0"/>
    <n v="85156.2"/>
    <n v="0"/>
    <n v="0"/>
    <n v="0"/>
    <n v="0"/>
    <n v="0"/>
    <n v="0"/>
    <n v="0"/>
    <n v="0"/>
    <n v="85156.2"/>
    <n v="0"/>
    <n v="0"/>
    <n v="0"/>
    <n v="0"/>
    <n v="0"/>
    <n v="0"/>
    <m/>
    <s v="Matihani"/>
    <m/>
    <n v="0"/>
  </r>
  <r>
    <s v="Munger"/>
    <s v="10-16 Jul"/>
    <n v="1055"/>
    <s v="Matihani"/>
    <x v="763"/>
    <s v="Manmana Dhala"/>
    <s v="MPG"/>
    <s v="Direct"/>
    <n v="320.90000000000003"/>
    <n v="13510.429999999998"/>
    <n v="317.49"/>
    <n v="13333.53"/>
    <n v="3.32"/>
    <n v="142.88"/>
    <n v="320.81"/>
    <n v="13476.41"/>
    <n v="13476.41"/>
    <n v="0"/>
    <n v="142.88"/>
    <n v="0"/>
    <n v="0"/>
    <n v="0"/>
    <n v="0"/>
    <n v="13334"/>
    <n v="0"/>
    <n v="0"/>
    <n v="34"/>
    <n v="0"/>
    <n v="319.21495874104073"/>
    <n v="45.842857142857149"/>
    <n v="2.5180545696916103E-3"/>
    <n v="6"/>
    <m/>
    <s v="Matihani"/>
    <m/>
    <n v="0"/>
  </r>
  <r>
    <s v="Munger"/>
    <s v="10-16 Jul"/>
    <n v="1055"/>
    <s v="Matihani"/>
    <x v="764"/>
    <s v="Mahendarpur 2"/>
    <s v="MPG"/>
    <s v="Direct"/>
    <n v="306.3"/>
    <n v="12428.619999999999"/>
    <n v="308.67999999999995"/>
    <n v="12670.99"/>
    <n v="2.0299999999999998"/>
    <n v="82.68"/>
    <n v="310.70999999999992"/>
    <n v="12753.67"/>
    <n v="12428.619999999999"/>
    <n v="0"/>
    <n v="82.68"/>
    <n v="325.05000000000109"/>
    <n v="0"/>
    <n v="0"/>
    <n v="0"/>
    <n v="12346"/>
    <n v="0"/>
    <n v="0"/>
    <n v="0"/>
    <n v="0"/>
    <n v="319.50033914462938"/>
    <n v="43.75714285714286"/>
    <n v="-2.6153346067383273E-2"/>
    <n v="6"/>
    <m/>
    <s v="Matihani"/>
    <m/>
    <n v="0"/>
  </r>
  <r>
    <s v="Munger"/>
    <s v="10-16 Jul"/>
    <n v="1056"/>
    <s v="Chautham"/>
    <x v="765"/>
    <s v="Gomukh Chautham(Mithun Kumar VLC)"/>
    <s v="MPG"/>
    <s v="Indirect"/>
    <n v="1217.08"/>
    <n v="49663.59"/>
    <n v="0"/>
    <n v="0"/>
    <n v="0"/>
    <n v="0"/>
    <n v="0"/>
    <n v="0"/>
    <n v="49663.59"/>
    <n v="0"/>
    <n v="0"/>
    <n v="0"/>
    <n v="30527"/>
    <n v="0"/>
    <n v="0"/>
    <n v="0"/>
    <n v="0"/>
    <n v="19136.589999999997"/>
    <n v="0"/>
    <n v="0"/>
    <n v="0"/>
    <n v="0"/>
    <n v="0"/>
    <n v="0"/>
    <m/>
    <s v="Chautham"/>
    <m/>
    <n v="0"/>
  </r>
  <r>
    <s v="Munger"/>
    <s v="10-16 Jul"/>
    <n v="1056"/>
    <s v="Chautham"/>
    <x v="766"/>
    <s v="Gomukh Pansalwa"/>
    <s v="vlc"/>
    <s v="Indirect"/>
    <n v="645.78"/>
    <n v="24239.910000000003"/>
    <n v="0"/>
    <n v="0"/>
    <n v="0"/>
    <n v="0"/>
    <n v="0"/>
    <n v="0"/>
    <n v="24239.910000000003"/>
    <n v="0"/>
    <n v="0"/>
    <n v="0"/>
    <n v="0"/>
    <n v="0"/>
    <n v="0"/>
    <n v="0"/>
    <n v="0"/>
    <n v="24239.910000000003"/>
    <n v="0"/>
    <n v="0"/>
    <n v="40.703890495215099"/>
    <n v="92.254285714285714"/>
    <n v="0"/>
    <n v="0"/>
    <m/>
    <s v="Chautham"/>
    <m/>
    <n v="0"/>
  </r>
  <r>
    <s v="Munger"/>
    <s v="10-16 Jul"/>
    <n v="1056"/>
    <s v="Chautham"/>
    <x v="767"/>
    <s v="Gomukh Nawada"/>
    <s v="MPG"/>
    <s v="Direct"/>
    <n v="899.4799999999999"/>
    <n v="33688.68"/>
    <n v="901.4799999999999"/>
    <n v="33818.32"/>
    <n v="0"/>
    <n v="0"/>
    <n v="901.4799999999999"/>
    <n v="33818.32"/>
    <n v="33688.68"/>
    <n v="0"/>
    <n v="0"/>
    <n v="129.63999999999942"/>
    <n v="0"/>
    <n v="0"/>
    <n v="0"/>
    <n v="33689"/>
    <n v="0"/>
    <n v="0"/>
    <n v="0"/>
    <n v="0"/>
    <n v="0"/>
    <n v="0"/>
    <n v="-3.8481768950282234E-3"/>
    <n v="1"/>
    <m/>
    <s v="Chautham"/>
    <m/>
    <n v="0"/>
  </r>
  <r>
    <s v="Munger"/>
    <s v="10-16 Jul"/>
    <n v="1056"/>
    <s v="Chautham"/>
    <x v="768"/>
    <s v="Gomukh Yadav Tol Kanauli"/>
    <s v="MPG"/>
    <s v="Direct"/>
    <n v="1776.5800000000002"/>
    <n v="75041.429999999993"/>
    <n v="131.68"/>
    <n v="5618.409999999998"/>
    <n v="1651"/>
    <n v="70096.94"/>
    <n v="1782.68"/>
    <n v="75715.350000000006"/>
    <n v="75041.429999999993"/>
    <n v="0"/>
    <n v="0"/>
    <n v="673.92000000001281"/>
    <n v="0"/>
    <n v="0"/>
    <n v="0"/>
    <n v="4944"/>
    <n v="70097"/>
    <n v="0"/>
    <n v="0"/>
    <n v="0"/>
    <n v="0"/>
    <n v="0"/>
    <n v="-8.9806390949641133E-3"/>
    <n v="3"/>
    <m/>
    <s v="Chautham"/>
    <m/>
    <n v="0"/>
  </r>
  <r>
    <s v="Munger"/>
    <s v="10-16 Jul"/>
    <n v="1056"/>
    <s v="Chautham"/>
    <x v="769"/>
    <s v="Gomukh Hardia"/>
    <s v="MPG"/>
    <s v="Direct"/>
    <n v="168.80000000000004"/>
    <n v="7269.7400000000007"/>
    <n v="192.89"/>
    <n v="8540.5400000000009"/>
    <n v="0"/>
    <n v="0"/>
    <n v="192.89"/>
    <n v="8540.5400000000009"/>
    <n v="7269.7400000000007"/>
    <n v="0"/>
    <n v="0"/>
    <n v="1270.8000000000002"/>
    <n v="0"/>
    <n v="500"/>
    <n v="0"/>
    <n v="6770"/>
    <n v="0"/>
    <n v="0"/>
    <n v="0"/>
    <n v="0"/>
    <n v="457.54572132701406"/>
    <n v="24.114285714285721"/>
    <n v="-0.17480680189387793"/>
    <n v="1"/>
    <m/>
    <s v="Chautham"/>
    <m/>
    <n v="500"/>
  </r>
  <r>
    <s v="Munger"/>
    <s v="10-16 Jul"/>
    <n v="1056"/>
    <s v="Chautham"/>
    <x v="770"/>
    <s v="Gomukh Ashatol Paharpur"/>
    <s v="MPG"/>
    <s v="Direct"/>
    <n v="2028.2800000000004"/>
    <n v="82539.170000000013"/>
    <n v="2027.6299999999997"/>
    <n v="85757.729999999981"/>
    <n v="0"/>
    <n v="0"/>
    <n v="2027.6299999999997"/>
    <n v="85757.729999999981"/>
    <n v="82539.170000000013"/>
    <n v="0"/>
    <n v="0"/>
    <n v="3218.5599999999686"/>
    <n v="0"/>
    <n v="0"/>
    <n v="0"/>
    <n v="82539"/>
    <n v="0"/>
    <n v="0"/>
    <n v="0"/>
    <n v="0"/>
    <n v="0"/>
    <n v="0"/>
    <n v="-3.899433444751102E-2"/>
    <n v="13"/>
    <m/>
    <s v="Chautham"/>
    <m/>
    <n v="0"/>
  </r>
  <r>
    <s v="Munger"/>
    <s v="10-16 Jul"/>
    <n v="1056"/>
    <s v="Chautham"/>
    <x v="771"/>
    <s v="Gomukh Kharawa"/>
    <s v="MPG"/>
    <s v="Direct"/>
    <n v="1296.5"/>
    <n v="54622.26"/>
    <n v="1308.3799999999997"/>
    <n v="54381.51"/>
    <n v="0"/>
    <n v="0"/>
    <n v="1308.3799999999997"/>
    <n v="54381.51"/>
    <n v="54381.51"/>
    <n v="0"/>
    <n v="0"/>
    <n v="0"/>
    <n v="0"/>
    <n v="0"/>
    <n v="0"/>
    <n v="54381"/>
    <n v="0"/>
    <n v="0"/>
    <n v="241"/>
    <n v="0"/>
    <n v="0"/>
    <n v="0"/>
    <n v="4.4075437376629965E-3"/>
    <n v="6"/>
    <m/>
    <s v="Chautham"/>
    <m/>
    <n v="0"/>
  </r>
  <r>
    <s v="Munger"/>
    <s v="10-16 Jul"/>
    <n v="1056"/>
    <s v="Chautham"/>
    <x v="772"/>
    <s v="Gomukh Patel Nagar"/>
    <s v="vlc"/>
    <s v="Indirect"/>
    <n v="449.14"/>
    <n v="17773.84"/>
    <n v="0"/>
    <n v="0"/>
    <n v="0"/>
    <n v="0"/>
    <n v="0"/>
    <n v="0"/>
    <n v="17773.84"/>
    <n v="0"/>
    <n v="0"/>
    <n v="0"/>
    <n v="0"/>
    <n v="0"/>
    <n v="0"/>
    <n v="0"/>
    <n v="0"/>
    <n v="17773.84"/>
    <n v="0"/>
    <n v="0"/>
    <n v="198.54591006813027"/>
    <n v="64.162857142857135"/>
    <n v="0"/>
    <n v="0"/>
    <m/>
    <s v="Chautham"/>
    <m/>
    <n v="0"/>
  </r>
  <r>
    <s v="Munger"/>
    <s v="10-16 Jul"/>
    <n v="1056"/>
    <s v="Chautham"/>
    <x v="773"/>
    <s v="Gomukh Pachout"/>
    <s v="MPG"/>
    <s v="Direct"/>
    <n v="917.76"/>
    <n v="35155.660000000003"/>
    <n v="926.40000000000009"/>
    <n v="35590.5"/>
    <n v="0"/>
    <n v="0"/>
    <n v="926.40000000000009"/>
    <n v="35590.5"/>
    <n v="35155.660000000003"/>
    <n v="0"/>
    <n v="0"/>
    <n v="434.83999999999651"/>
    <n v="0"/>
    <n v="0"/>
    <n v="0"/>
    <n v="35156"/>
    <n v="0"/>
    <n v="0"/>
    <n v="0"/>
    <n v="0"/>
    <n v="0"/>
    <n v="0"/>
    <n v="-1.2368989801357632E-2"/>
    <n v="1"/>
    <m/>
    <s v="Chautham"/>
    <m/>
    <n v="0"/>
  </r>
  <r>
    <s v="Munger"/>
    <s v="10-16 Jul"/>
    <n v="1056"/>
    <s v="Chautham"/>
    <x v="774"/>
    <s v="Gomukh Telihar"/>
    <s v="MPG"/>
    <s v="Direct"/>
    <n v="819.33999999999992"/>
    <n v="33467.229999999996"/>
    <n v="820.74000000000012"/>
    <n v="32804.29"/>
    <n v="0"/>
    <n v="0"/>
    <n v="820.74000000000012"/>
    <n v="32804.29"/>
    <n v="32804.29"/>
    <n v="0"/>
    <n v="0"/>
    <n v="0"/>
    <n v="0"/>
    <n v="0"/>
    <n v="0"/>
    <n v="32804"/>
    <n v="0"/>
    <n v="0"/>
    <n v="663"/>
    <n v="0"/>
    <n v="0"/>
    <n v="0"/>
    <n v="1.9808630711295652E-2"/>
    <n v="15"/>
    <m/>
    <s v="Chautham"/>
    <m/>
    <n v="0"/>
  </r>
  <r>
    <s v="Munger"/>
    <s v="10-16 Jul"/>
    <n v="1056"/>
    <s v="Chautham"/>
    <x v="775"/>
    <s v="Gomukh Pansalba Ward No 05"/>
    <s v="vlc"/>
    <s v="Indirect"/>
    <n v="1476.7"/>
    <n v="55995.05"/>
    <n v="0"/>
    <n v="0"/>
    <n v="0"/>
    <n v="0"/>
    <n v="0"/>
    <n v="0"/>
    <n v="55995.05"/>
    <n v="0"/>
    <n v="0"/>
    <n v="0"/>
    <n v="13500"/>
    <n v="0"/>
    <n v="0"/>
    <n v="0"/>
    <n v="0"/>
    <n v="42495.05"/>
    <n v="0"/>
    <n v="0"/>
    <n v="0"/>
    <n v="0"/>
    <n v="0"/>
    <n v="0"/>
    <m/>
    <s v="Chautham"/>
    <m/>
    <n v="0"/>
  </r>
  <r>
    <s v="Munger"/>
    <s v="10-16 Jul"/>
    <n v="1056"/>
    <s v="Chautham"/>
    <x v="776"/>
    <s v="Gomukh Paharpur Jilebya "/>
    <s v="MPG"/>
    <s v="Direct"/>
    <n v="2427.7199999999998"/>
    <n v="104376.61000000002"/>
    <n v="2428.2199999999998"/>
    <n v="104398.5"/>
    <n v="0"/>
    <n v="0"/>
    <n v="2428.2199999999998"/>
    <n v="104398.5"/>
    <n v="104376.61000000002"/>
    <n v="0"/>
    <n v="0"/>
    <n v="21.889999999984866"/>
    <n v="0"/>
    <n v="0"/>
    <n v="0"/>
    <n v="104377"/>
    <n v="0"/>
    <n v="0"/>
    <n v="0"/>
    <n v="0"/>
    <n v="0"/>
    <n v="0"/>
    <n v="-2.0972131591536516E-4"/>
    <n v="1"/>
    <m/>
    <s v="Chautham"/>
    <m/>
    <n v="0"/>
  </r>
  <r>
    <s v="Munger"/>
    <s v="10-16 Jul"/>
    <n v="1056"/>
    <s v="Chautham"/>
    <x v="777"/>
    <s v="Gomukh Debka Vlc"/>
    <s v="vlc"/>
    <s v="Indirect"/>
    <n v="75.56"/>
    <n v="3178.75"/>
    <n v="0"/>
    <n v="0"/>
    <n v="0"/>
    <n v="0"/>
    <n v="0"/>
    <n v="0"/>
    <n v="3178.75"/>
    <n v="0"/>
    <n v="0"/>
    <n v="0"/>
    <n v="1350"/>
    <n v="0"/>
    <n v="0"/>
    <n v="0"/>
    <n v="0"/>
    <n v="1828.75"/>
    <n v="0"/>
    <n v="0"/>
    <n v="525.39403123345676"/>
    <n v="10.794285714285715"/>
    <n v="0"/>
    <n v="0"/>
    <m/>
    <s v="Chautham"/>
    <m/>
    <n v="0"/>
  </r>
  <r>
    <s v="Munger"/>
    <s v="10-16 Jul"/>
    <n v="1056"/>
    <s v="Chautham"/>
    <x v="778"/>
    <s v="Gomukh Azad Nagar"/>
    <s v="MPG"/>
    <s v="Direct"/>
    <n v="1058.1399999999999"/>
    <n v="42666.530000000006"/>
    <n v="1081.8800000000003"/>
    <n v="43856.689999999995"/>
    <n v="0"/>
    <n v="0"/>
    <n v="1081.8800000000003"/>
    <n v="43856.689999999995"/>
    <n v="42666.530000000006"/>
    <n v="0"/>
    <n v="0"/>
    <n v="1190.1599999999889"/>
    <n v="0"/>
    <n v="0"/>
    <n v="0"/>
    <n v="42667"/>
    <n v="0"/>
    <n v="0"/>
    <n v="0"/>
    <n v="0"/>
    <n v="0"/>
    <n v="0"/>
    <n v="-2.7894464349455857E-2"/>
    <n v="19"/>
    <m/>
    <s v="Chautham"/>
    <m/>
    <n v="0"/>
  </r>
  <r>
    <s v="Munger"/>
    <s v="10-16 Jul"/>
    <n v="1056"/>
    <s v="Chautham"/>
    <x v="779"/>
    <s v="Gomukh Uttari Hardia"/>
    <s v="vlc"/>
    <s v="Direct"/>
    <n v="296.24000000000007"/>
    <n v="14405.020000000002"/>
    <n v="306.24"/>
    <n v="14834.52"/>
    <n v="0"/>
    <n v="0"/>
    <n v="306.24"/>
    <n v="14834.52"/>
    <n v="14405.020000000002"/>
    <n v="0"/>
    <n v="0"/>
    <n v="429.49999999999818"/>
    <n v="0"/>
    <n v="0"/>
    <n v="0"/>
    <n v="14405"/>
    <n v="0"/>
    <n v="0"/>
    <n v="0"/>
    <n v="0"/>
    <n v="392.66614064272204"/>
    <n v="42.320000000000007"/>
    <n v="-2.9815994701846864E-2"/>
    <n v="1"/>
    <m/>
    <s v="Chautham"/>
    <m/>
    <n v="0"/>
  </r>
  <r>
    <s v="Munger"/>
    <s v="10-16 Jul"/>
    <n v="1056"/>
    <s v="Chautham"/>
    <x v="780"/>
    <s v="Gomukh Nirpur Keshv Nagar"/>
    <s v="vlc"/>
    <s v="Direct"/>
    <n v="577.76"/>
    <n v="23173.149999999998"/>
    <n v="580.84"/>
    <n v="23621.73"/>
    <n v="0"/>
    <n v="0"/>
    <n v="580.84"/>
    <n v="23621.73"/>
    <n v="23173.149999999998"/>
    <n v="0"/>
    <n v="0"/>
    <n v="448.58000000000175"/>
    <n v="0"/>
    <n v="0"/>
    <n v="0"/>
    <n v="23173"/>
    <n v="0"/>
    <n v="0"/>
    <n v="0"/>
    <n v="0"/>
    <n v="98.057527554694005"/>
    <n v="82.537142857142854"/>
    <n v="-1.9357748083450105E-2"/>
    <n v="1"/>
    <m/>
    <s v="Chautham"/>
    <m/>
    <n v="0"/>
  </r>
  <r>
    <s v="Munger"/>
    <s v="10-16 Jul"/>
    <n v="1056"/>
    <s v="Chautham"/>
    <x v="781"/>
    <s v="Gomukh Thuthi Vlc"/>
    <s v="MPG"/>
    <s v="Indirect"/>
    <n v="245.87999999999997"/>
    <n v="10537.349999999999"/>
    <n v="0"/>
    <n v="0"/>
    <n v="0"/>
    <n v="0"/>
    <n v="0"/>
    <n v="0"/>
    <n v="10537.349999999999"/>
    <n v="0"/>
    <n v="0"/>
    <n v="0"/>
    <n v="0"/>
    <n v="0"/>
    <n v="0"/>
    <n v="0"/>
    <n v="0"/>
    <n v="10537.349999999999"/>
    <n v="0"/>
    <n v="0"/>
    <n v="389.23225817471939"/>
    <n v="35.125714285714281"/>
    <n v="0"/>
    <n v="0"/>
    <m/>
    <s v="Chautham"/>
    <m/>
    <n v="0"/>
  </r>
  <r>
    <s v="Munger"/>
    <s v="10-16 Jul"/>
    <n v="1056"/>
    <s v="Chautham"/>
    <x v="782"/>
    <s v="Gomukh Nawadai Vlc"/>
    <s v="vlc"/>
    <s v="Indirect"/>
    <n v="126.4"/>
    <n v="4456.3099999999995"/>
    <n v="0"/>
    <n v="0"/>
    <n v="0"/>
    <n v="0"/>
    <n v="0"/>
    <n v="0"/>
    <n v="4456.3099999999995"/>
    <n v="0"/>
    <n v="0"/>
    <n v="0"/>
    <n v="4456"/>
    <n v="0"/>
    <n v="0"/>
    <n v="0"/>
    <n v="0"/>
    <n v="0.30999999999949068"/>
    <n v="0"/>
    <n v="0"/>
    <n v="404.45243924050624"/>
    <n v="18.057142857142857"/>
    <n v="0"/>
    <n v="0"/>
    <m/>
    <s v="Chautham"/>
    <m/>
    <n v="0"/>
  </r>
  <r>
    <s v="Munger"/>
    <s v="10-16 Jul"/>
    <n v="1056"/>
    <s v="Chautham"/>
    <x v="783"/>
    <s v="Gomukh Kharra Basa"/>
    <s v="MPG"/>
    <s v="Direct"/>
    <n v="479.48"/>
    <n v="17976.07"/>
    <n v="485.68000000000006"/>
    <n v="17108.990000000002"/>
    <n v="0"/>
    <n v="0"/>
    <n v="485.68000000000006"/>
    <n v="17108.990000000002"/>
    <n v="17108.990000000002"/>
    <n v="0"/>
    <n v="0"/>
    <n v="0"/>
    <n v="0"/>
    <n v="0"/>
    <n v="0"/>
    <n v="17109"/>
    <n v="0"/>
    <n v="0"/>
    <n v="867"/>
    <n v="0"/>
    <n v="165.34925153916743"/>
    <n v="68.497142857142862"/>
    <n v="4.8235237179205359E-2"/>
    <n v="2"/>
    <m/>
    <s v="Chautham"/>
    <m/>
    <n v="0"/>
  </r>
  <r>
    <s v="Munger"/>
    <s v="10-16 Jul"/>
    <n v="1056"/>
    <s v="Chautham"/>
    <x v="784"/>
    <s v="Gomukh Bangalia"/>
    <s v="MPG"/>
    <s v="Direct"/>
    <n v="516.34"/>
    <n v="25374.510000000002"/>
    <n v="545.4"/>
    <n v="26551.22"/>
    <n v="0"/>
    <n v="0"/>
    <n v="545.4"/>
    <n v="26551.22"/>
    <n v="25374.510000000002"/>
    <n v="0"/>
    <n v="0"/>
    <n v="1176.7099999999991"/>
    <n v="0"/>
    <n v="0"/>
    <n v="0"/>
    <n v="25375"/>
    <n v="0"/>
    <n v="0"/>
    <n v="0"/>
    <n v="0"/>
    <n v="180.51216278421194"/>
    <n v="73.762857142857143"/>
    <n v="-4.6373703373976442E-2"/>
    <n v="2"/>
    <m/>
    <s v="Chautham"/>
    <m/>
    <n v="0"/>
  </r>
  <r>
    <s v="Munger"/>
    <s v="10-16 Jul"/>
    <n v="1056"/>
    <s v="Chautham"/>
    <x v="785"/>
    <s v="Gomukh Soharba Purvi"/>
    <s v="MPG"/>
    <s v="Direct"/>
    <n v="377.12"/>
    <n v="14960.980000000003"/>
    <n v="794.6600000000002"/>
    <n v="31036.779999999988"/>
    <n v="0"/>
    <n v="0"/>
    <n v="794.6600000000002"/>
    <n v="31036.779999999988"/>
    <n v="14960.980000000003"/>
    <n v="0"/>
    <n v="0"/>
    <n v="16075.799999999985"/>
    <n v="0"/>
    <n v="0"/>
    <n v="0"/>
    <n v="14961"/>
    <n v="0"/>
    <n v="0"/>
    <n v="0"/>
    <n v="0"/>
    <n v="256.18377293169289"/>
    <n v="53.874285714285712"/>
    <n v="-1.0745151721344446"/>
    <n v="1"/>
    <m/>
    <s v="Chautham"/>
    <m/>
    <n v="0"/>
  </r>
  <r>
    <s v="Munger"/>
    <s v="10-16 Jul"/>
    <n v="1056"/>
    <s v="Chautham"/>
    <x v="786"/>
    <s v="Gommukh Khushbu Kumari Vlc"/>
    <s v="vlc"/>
    <s v="Indirect"/>
    <n v="396.52000000000004"/>
    <n v="14324.749999999996"/>
    <n v="0"/>
    <n v="0"/>
    <n v="0"/>
    <n v="0"/>
    <n v="0"/>
    <n v="0"/>
    <n v="14324.749999999996"/>
    <n v="0"/>
    <n v="0"/>
    <n v="0"/>
    <n v="0"/>
    <n v="0"/>
    <n v="0"/>
    <n v="0"/>
    <n v="0"/>
    <n v="14324.749999999996"/>
    <n v="0"/>
    <n v="0"/>
    <n v="219.27141783516581"/>
    <n v="56.645714285714291"/>
    <n v="0"/>
    <n v="0"/>
    <m/>
    <s v="Chautham"/>
    <m/>
    <n v="0"/>
  </r>
  <r>
    <s v="Munger"/>
    <s v="10-16 Jul"/>
    <n v="1056"/>
    <s v="Chautham"/>
    <x v="787"/>
    <s v="Gomukh Saraiya Wad -5 Vlc"/>
    <s v="vlc"/>
    <s v="Indirect"/>
    <n v="177.32"/>
    <n v="7243.52"/>
    <n v="0"/>
    <n v="0"/>
    <n v="0"/>
    <n v="0"/>
    <n v="0"/>
    <n v="0"/>
    <n v="7243.52"/>
    <n v="0"/>
    <n v="0"/>
    <n v="0"/>
    <n v="0"/>
    <n v="0"/>
    <n v="0"/>
    <n v="0"/>
    <n v="0"/>
    <n v="7243.52"/>
    <n v="0"/>
    <n v="0"/>
    <n v="427.02944209339046"/>
    <n v="25.331428571428571"/>
    <n v="0"/>
    <n v="0"/>
    <m/>
    <s v="Chautham"/>
    <m/>
    <n v="0"/>
  </r>
  <r>
    <s v="Munger"/>
    <s v="10-16 Jul"/>
    <n v="1063"/>
    <s v="Rosera"/>
    <x v="788"/>
    <s v="Karian"/>
    <s v="MPG"/>
    <s v="Direct"/>
    <n v="68.700000000000017"/>
    <n v="2468.79"/>
    <n v="67.3"/>
    <n v="2409.9499999999998"/>
    <n v="1.4000000000000001"/>
    <n v="37.620000000000005"/>
    <n v="68.7"/>
    <n v="2447.5699999999997"/>
    <n v="2447.5699999999997"/>
    <n v="0"/>
    <n v="5.38"/>
    <n v="0"/>
    <n v="0"/>
    <n v="500"/>
    <n v="0"/>
    <n v="1910"/>
    <n v="32"/>
    <n v="0"/>
    <n v="21"/>
    <n v="0"/>
    <n v="453.72551004366807"/>
    <n v="9.8142857142857167"/>
    <n v="8.5953037722934136E-3"/>
    <n v="6"/>
    <m/>
    <s v="Rosera"/>
    <m/>
    <n v="500"/>
  </r>
  <r>
    <s v="Munger"/>
    <s v="10-16 Jul"/>
    <n v="1057"/>
    <s v="Warisnagar"/>
    <x v="789"/>
    <s v="Teghara"/>
    <s v="MPG"/>
    <s v="Direct"/>
    <n v="330.90000000000003"/>
    <n v="13162.340000000002"/>
    <n v="26.8"/>
    <n v="1130.6399999999999"/>
    <n v="279.60000000000002"/>
    <n v="12017.29"/>
    <n v="306.40000000000003"/>
    <n v="13147.93"/>
    <n v="13147.93"/>
    <n v="0"/>
    <n v="0"/>
    <n v="0"/>
    <n v="0"/>
    <n v="500"/>
    <n v="0"/>
    <n v="631"/>
    <n v="12017"/>
    <n v="0"/>
    <n v="14"/>
    <n v="0"/>
    <n v="293.63672976730129"/>
    <n v="47.271428571428579"/>
    <n v="1.0947901361005468E-3"/>
    <n v="11"/>
    <m/>
    <s v="Warisnagar"/>
    <m/>
    <n v="500"/>
  </r>
  <r>
    <s v="Munger"/>
    <s v="10-16 Jul"/>
    <n v="1057"/>
    <s v="Warisnagar"/>
    <x v="790"/>
    <s v="Basantpur"/>
    <s v="MPG"/>
    <s v="Direct"/>
    <n v="575.9"/>
    <n v="24982.67"/>
    <n v="51.599999999999994"/>
    <n v="2242.3100000000004"/>
    <n v="524.29999999999995"/>
    <n v="22740.359999999997"/>
    <n v="575.9"/>
    <n v="24982.67"/>
    <n v="24982.67"/>
    <n v="0"/>
    <n v="0"/>
    <n v="0"/>
    <n v="14000"/>
    <n v="0"/>
    <n v="0"/>
    <n v="0"/>
    <n v="10983"/>
    <n v="0"/>
    <n v="0"/>
    <n v="0"/>
    <n v="107.66971165132837"/>
    <n v="82.271428571428572"/>
    <n v="0"/>
    <n v="8"/>
    <m/>
    <s v="Warisnagar"/>
    <m/>
    <n v="0"/>
  </r>
  <r>
    <s v="Munger"/>
    <s v="10-16 Jul"/>
    <n v="1057"/>
    <s v="Warisnagar"/>
    <x v="791"/>
    <s v="Chakoti"/>
    <s v="MPG"/>
    <s v="Direct"/>
    <n v="969.19999999999993"/>
    <n v="38410.26999999999"/>
    <n v="87"/>
    <n v="3720.43"/>
    <n v="1175.9199999999998"/>
    <n v="45998.55000000001"/>
    <n v="1262.9199999999998"/>
    <n v="49718.98000000001"/>
    <n v="38410.26999999999"/>
    <n v="0"/>
    <n v="600.53"/>
    <n v="11308.710000000021"/>
    <n v="0"/>
    <n v="0"/>
    <n v="0"/>
    <n v="0"/>
    <n v="37810"/>
    <n v="0"/>
    <n v="0"/>
    <s v="Release3"/>
    <n v="0"/>
    <n v="0"/>
    <n v="-0.29441891452468372"/>
    <n v="20"/>
    <m/>
    <s v="Warisnagar"/>
    <m/>
    <n v="0"/>
  </r>
  <r>
    <s v="Munger"/>
    <s v="10-16 Jul"/>
    <n v="1057"/>
    <s v="Warisnagar"/>
    <x v="792"/>
    <s v="Nathudawar"/>
    <s v="MPG"/>
    <s v="Direct"/>
    <n v="799.3"/>
    <n v="31037.74"/>
    <n v="72.7"/>
    <n v="2754.54"/>
    <n v="725.9"/>
    <n v="28266.989999999998"/>
    <n v="798.6"/>
    <n v="31021.53"/>
    <n v="31021.53"/>
    <n v="0"/>
    <n v="0"/>
    <n v="0"/>
    <n v="0"/>
    <n v="0"/>
    <n v="0"/>
    <n v="2755"/>
    <n v="28267"/>
    <n v="0"/>
    <n v="16"/>
    <n v="0"/>
    <n v="0"/>
    <n v="0"/>
    <n v="5.2226740735642364E-4"/>
    <n v="6"/>
    <m/>
    <s v="Warisnagar"/>
    <m/>
    <n v="0"/>
  </r>
  <r>
    <s v="Munger"/>
    <s v="10-16 Jul"/>
    <n v="1057"/>
    <s v="Warisnagar"/>
    <x v="793"/>
    <s v="Purnahi"/>
    <s v="vlc"/>
    <s v="Indirect"/>
    <n v="410.29999999999995"/>
    <n v="14310.439999999999"/>
    <n v="0"/>
    <n v="0"/>
    <n v="0"/>
    <n v="0"/>
    <n v="0"/>
    <n v="0"/>
    <n v="14310.439999999999"/>
    <n v="0"/>
    <n v="0"/>
    <n v="0"/>
    <n v="0"/>
    <n v="0"/>
    <n v="0"/>
    <n v="0"/>
    <n v="0"/>
    <n v="14310.439999999999"/>
    <n v="0"/>
    <n v="0"/>
    <n v="202.0830839873264"/>
    <n v="58.614285714285707"/>
    <n v="0"/>
    <n v="0"/>
    <m/>
    <s v="Warisnagar"/>
    <m/>
    <n v="0"/>
  </r>
  <r>
    <s v="Munger"/>
    <s v="10-16 Jul"/>
    <n v="1057"/>
    <s v="Warisnagar"/>
    <x v="794"/>
    <s v="Baghopur "/>
    <s v="vlc"/>
    <s v="Indirect"/>
    <n v="1114"/>
    <n v="43184.51"/>
    <n v="0"/>
    <n v="0"/>
    <n v="0"/>
    <n v="0"/>
    <n v="0"/>
    <n v="0"/>
    <n v="43184.51"/>
    <n v="0"/>
    <n v="0"/>
    <n v="0"/>
    <n v="0"/>
    <n v="0"/>
    <n v="0"/>
    <n v="0"/>
    <n v="0"/>
    <n v="43184.51"/>
    <n v="0"/>
    <n v="0"/>
    <n v="0"/>
    <n v="0"/>
    <n v="0"/>
    <n v="0"/>
    <m/>
    <s v="Warisnagar"/>
    <m/>
    <n v="0"/>
  </r>
  <r>
    <s v="Munger"/>
    <s v="10-16 Jul"/>
    <n v="1063"/>
    <s v="Rosera"/>
    <x v="795"/>
    <s v="Dewanpur"/>
    <s v="MPG"/>
    <s v="Direct"/>
    <n v="182.39999999999998"/>
    <n v="8713.17"/>
    <n v="73.5"/>
    <n v="4569.5"/>
    <n v="83.3"/>
    <n v="4133.8899999999994"/>
    <n v="156.80000000000001"/>
    <n v="8703.39"/>
    <n v="8703.39"/>
    <n v="0"/>
    <n v="0"/>
    <n v="0"/>
    <n v="0"/>
    <n v="500"/>
    <n v="0"/>
    <n v="4070"/>
    <n v="4134"/>
    <n v="0"/>
    <n v="9"/>
    <n v="0"/>
    <n v="494.51061315789485"/>
    <n v="26.057142857142853"/>
    <n v="1.1224387909337997E-3"/>
    <n v="10"/>
    <m/>
    <s v="Rosera"/>
    <m/>
    <n v="500"/>
  </r>
  <r>
    <s v="Munger"/>
    <s v="10-16 Jul"/>
    <n v="1057"/>
    <s v="Warisnagar"/>
    <x v="796"/>
    <s v="Gohi"/>
    <s v="MPG"/>
    <s v="Direct"/>
    <n v="368.49999999999994"/>
    <n v="14598.949999999999"/>
    <n v="42.800000000000004"/>
    <n v="1755.48"/>
    <n v="325.29999999999995"/>
    <n v="12771.689999999999"/>
    <n v="368.09999999999997"/>
    <n v="14527.169999999998"/>
    <n v="14527.169999999998"/>
    <n v="0"/>
    <n v="361.64000000000004"/>
    <n v="0"/>
    <n v="0"/>
    <n v="0"/>
    <n v="0"/>
    <n v="1755"/>
    <n v="12410"/>
    <n v="0"/>
    <n v="72"/>
    <n v="0"/>
    <n v="262.66224830393497"/>
    <n v="52.642857142857132"/>
    <n v="4.9167919610657385E-3"/>
    <n v="13"/>
    <m/>
    <s v="Warisnagar"/>
    <m/>
    <n v="0"/>
  </r>
  <r>
    <s v="Munger"/>
    <s v="10-16 Jul"/>
    <n v="1057"/>
    <s v="Warisnagar"/>
    <x v="797"/>
    <s v="Matua"/>
    <s v="MPG"/>
    <s v="Direct"/>
    <n v="522.20000000000005"/>
    <n v="23326.600000000002"/>
    <n v="110.8"/>
    <n v="4325.5"/>
    <n v="411.4"/>
    <n v="18864.14"/>
    <n v="522.19999999999993"/>
    <n v="23189.64"/>
    <n v="23189.64"/>
    <n v="0"/>
    <n v="136.94999999999999"/>
    <n v="0"/>
    <n v="2147"/>
    <n v="0"/>
    <n v="0"/>
    <n v="2178"/>
    <n v="18728"/>
    <n v="0"/>
    <n v="137"/>
    <n v="0"/>
    <n v="158.84601608579084"/>
    <n v="74.600000000000009"/>
    <n v="5.8714086064837034E-3"/>
    <n v="11"/>
    <m/>
    <s v="Warisnagar"/>
    <m/>
    <n v="0"/>
  </r>
  <r>
    <s v="Munger"/>
    <s v="10-16 Jul"/>
    <n v="1057"/>
    <s v="Warisnagar"/>
    <x v="798"/>
    <s v="Ratni Chouk"/>
    <s v="MPG"/>
    <s v="Direct"/>
    <n v="702.10000000000014"/>
    <n v="31689.119999999999"/>
    <n v="706.3"/>
    <n v="31406.68"/>
    <n v="0"/>
    <n v="0"/>
    <n v="706.3"/>
    <n v="31406.68"/>
    <n v="31406.68"/>
    <n v="0"/>
    <n v="0"/>
    <n v="0"/>
    <n v="0"/>
    <n v="0"/>
    <n v="0"/>
    <n v="31407"/>
    <n v="0"/>
    <n v="0"/>
    <n v="282"/>
    <n v="0"/>
    <n v="0"/>
    <n v="0"/>
    <n v="8.9128382233397054E-3"/>
    <n v="1"/>
    <m/>
    <s v="Warisnagar"/>
    <m/>
    <n v="0"/>
  </r>
  <r>
    <s v="Munger"/>
    <s v="10-16 Jul"/>
    <n v="1057"/>
    <s v="Warisnagar"/>
    <x v="799"/>
    <s v="Balahi 2"/>
    <s v="MPG"/>
    <s v="Direct"/>
    <n v="540.1"/>
    <n v="20803.150000000001"/>
    <n v="478"/>
    <n v="19255.829999999998"/>
    <n v="41.499999999999993"/>
    <n v="1715.1700000000003"/>
    <n v="519.5"/>
    <n v="20971"/>
    <n v="20803.150000000001"/>
    <n v="0"/>
    <n v="0"/>
    <n v="167.84999999999854"/>
    <n v="3687.75"/>
    <n v="0"/>
    <n v="0"/>
    <n v="15400"/>
    <n v="1715"/>
    <n v="0"/>
    <n v="0"/>
    <n v="0"/>
    <n v="123.17806646917235"/>
    <n v="77.157142857142858"/>
    <n v="-8.0684896277726462E-3"/>
    <n v="6"/>
    <m/>
    <s v="Warisnagar"/>
    <m/>
    <n v="0"/>
  </r>
  <r>
    <s v="Munger"/>
    <s v="10-16 Jul"/>
    <n v="1057"/>
    <s v="Warisnagar"/>
    <x v="800"/>
    <s v="Chandauli"/>
    <s v="vlc"/>
    <s v="Indirect"/>
    <n v="219.2"/>
    <n v="10386.61"/>
    <n v="0"/>
    <n v="0"/>
    <n v="0"/>
    <n v="0"/>
    <n v="0"/>
    <n v="0"/>
    <n v="10386.61"/>
    <n v="0"/>
    <n v="0"/>
    <n v="0"/>
    <n v="0"/>
    <n v="0"/>
    <n v="0"/>
    <n v="0"/>
    <n v="0"/>
    <n v="10386.61"/>
    <n v="0"/>
    <n v="0"/>
    <n v="455.64617591240881"/>
    <n v="31.314285714285713"/>
    <n v="0"/>
    <n v="0"/>
    <m/>
    <s v="Warisnagar"/>
    <m/>
    <n v="0"/>
  </r>
  <r>
    <s v="Munger"/>
    <s v="10-16 Jul"/>
    <n v="1057"/>
    <s v="Warisnagar"/>
    <x v="801"/>
    <s v="Gulabi Choak"/>
    <s v="vlc"/>
    <s v="Indirect"/>
    <n v="921.80000000000007"/>
    <n v="35811.199999999997"/>
    <n v="0"/>
    <n v="0"/>
    <n v="0"/>
    <n v="0"/>
    <n v="0"/>
    <n v="0"/>
    <n v="35811.199999999997"/>
    <n v="0"/>
    <n v="0"/>
    <n v="0"/>
    <n v="0"/>
    <n v="0"/>
    <n v="0"/>
    <n v="0"/>
    <n v="0"/>
    <n v="35811.199999999997"/>
    <n v="0"/>
    <n v="0"/>
    <n v="0"/>
    <n v="0"/>
    <n v="0"/>
    <n v="0"/>
    <m/>
    <s v="Warisnagar"/>
    <m/>
    <n v="0"/>
  </r>
  <r>
    <s v="Munger"/>
    <s v="10-16 Jul"/>
    <n v="1057"/>
    <s v="Warisnagar"/>
    <x v="802"/>
    <s v="Satmalpur"/>
    <s v="vlc"/>
    <s v="Indirect"/>
    <n v="1355.8999999999999"/>
    <n v="52349.59"/>
    <n v="0"/>
    <n v="0"/>
    <n v="0"/>
    <n v="0"/>
    <n v="0"/>
    <n v="0"/>
    <n v="52349.59"/>
    <n v="0"/>
    <n v="0"/>
    <n v="0"/>
    <n v="0"/>
    <n v="0"/>
    <n v="0"/>
    <n v="0"/>
    <n v="0"/>
    <n v="52349.59"/>
    <n v="0"/>
    <n v="0"/>
    <n v="0"/>
    <n v="0"/>
    <n v="0"/>
    <n v="0"/>
    <m/>
    <s v="Warisnagar"/>
    <m/>
    <n v="0"/>
  </r>
  <r>
    <s v="Munger"/>
    <s v="10-16 Jul"/>
    <n v="1057"/>
    <s v="Warisnagar"/>
    <x v="803"/>
    <s v="Chhatnesar 2"/>
    <s v="MPG"/>
    <s v="Direct"/>
    <n v="363"/>
    <n v="13847.26"/>
    <n v="67"/>
    <n v="2528.71"/>
    <n v="308.10000000000002"/>
    <n v="11535.189999999999"/>
    <n v="375.1"/>
    <n v="14063.899999999998"/>
    <n v="13847.26"/>
    <n v="0"/>
    <n v="0"/>
    <n v="216.6399999999976"/>
    <n v="0"/>
    <n v="0"/>
    <n v="0"/>
    <n v="2312"/>
    <n v="11535"/>
    <n v="0"/>
    <n v="0"/>
    <n v="0"/>
    <n v="257.10890468319565"/>
    <n v="51.857142857142854"/>
    <n v="-1.5644972362763292E-2"/>
    <n v="5"/>
    <m/>
    <s v="Warisnagar"/>
    <m/>
    <n v="0"/>
  </r>
  <r>
    <s v="Munger"/>
    <s v="10-16 Jul"/>
    <n v="1057"/>
    <s v="Warisnagar"/>
    <x v="804"/>
    <s v="Hajpurwa"/>
    <s v="MPG"/>
    <s v="Direct"/>
    <n v="118.60000000000001"/>
    <n v="4899.49"/>
    <n v="10"/>
    <n v="397.6"/>
    <n v="105"/>
    <n v="4489.91"/>
    <n v="115"/>
    <n v="4887.51"/>
    <n v="4887.51"/>
    <n v="0"/>
    <n v="0"/>
    <n v="0"/>
    <n v="0"/>
    <n v="0"/>
    <n v="0"/>
    <n v="398"/>
    <n v="4490"/>
    <n v="0"/>
    <n v="11"/>
    <n v="0"/>
    <n v="480.36483743676212"/>
    <n v="16.942857142857143"/>
    <n v="2.4451524546431494E-3"/>
    <n v="9"/>
    <m/>
    <s v="Warisnagar"/>
    <m/>
    <n v="0"/>
  </r>
  <r>
    <s v="Munger"/>
    <s v="10-16 Jul"/>
    <n v="1057"/>
    <s v="Warisnagar"/>
    <x v="805"/>
    <s v="Shekhopur"/>
    <s v="MPG"/>
    <s v="Direct"/>
    <n v="374.79999999999995"/>
    <n v="14316.720000000001"/>
    <n v="60.3"/>
    <n v="2270.75"/>
    <n v="314.5"/>
    <n v="12040.470000000001"/>
    <n v="374.8"/>
    <n v="14311.220000000001"/>
    <n v="14311.220000000001"/>
    <n v="0"/>
    <n v="0"/>
    <n v="0"/>
    <n v="0"/>
    <n v="0"/>
    <n v="0"/>
    <n v="2271"/>
    <n v="12041"/>
    <n v="0"/>
    <n v="5"/>
    <n v="0"/>
    <n v="248.4416939167557"/>
    <n v="53.542857142857137"/>
    <n v="3.8416620566721982E-4"/>
    <n v="6"/>
    <m/>
    <s v="Warisnagar"/>
    <m/>
    <n v="0"/>
  </r>
  <r>
    <s v="Munger"/>
    <s v="10-16 Jul"/>
    <n v="1057"/>
    <s v="Warisnagar"/>
    <x v="806"/>
    <s v="Dharampur"/>
    <s v="MPG"/>
    <s v="Direct"/>
    <n v="120.89999999999999"/>
    <n v="4986.5"/>
    <n v="120.9"/>
    <n v="4986.9599999999991"/>
    <n v="0"/>
    <n v="0"/>
    <n v="120.9"/>
    <n v="4986.9599999999991"/>
    <n v="4986.5"/>
    <n v="0"/>
    <n v="0"/>
    <n v="0.45999999999912689"/>
    <n v="0"/>
    <n v="500"/>
    <n v="0"/>
    <n v="4486"/>
    <n v="0"/>
    <n v="0"/>
    <n v="1"/>
    <n v="0"/>
    <n v="477.69762613730359"/>
    <n v="17.271428571428569"/>
    <n v="-9.2249072495563403E-5"/>
    <n v="1"/>
    <m/>
    <s v="Warisnagar"/>
    <m/>
    <n v="500"/>
  </r>
  <r>
    <s v="Munger"/>
    <s v="10-16 Jul"/>
    <n v="1057"/>
    <s v="Warisnagar"/>
    <x v="807"/>
    <s v="Pauriya 2"/>
    <s v="vlc"/>
    <s v="Indirect"/>
    <n v="766.80000000000007"/>
    <n v="32588.590000000004"/>
    <n v="0"/>
    <n v="0"/>
    <n v="0"/>
    <n v="0"/>
    <n v="0"/>
    <n v="0"/>
    <n v="32588.590000000004"/>
    <n v="0"/>
    <n v="0"/>
    <n v="0"/>
    <n v="0"/>
    <n v="0"/>
    <n v="0"/>
    <n v="0"/>
    <n v="0"/>
    <n v="32588.590000000004"/>
    <n v="0"/>
    <n v="0"/>
    <n v="0"/>
    <n v="0"/>
    <n v="0"/>
    <n v="0"/>
    <m/>
    <s v="Warisnagar"/>
    <m/>
    <n v="0"/>
  </r>
  <r>
    <s v="Munger"/>
    <s v="10-16 Jul"/>
    <n v="1057"/>
    <s v="Warisnagar"/>
    <x v="808"/>
    <s v="Hajpurwa Pachim"/>
    <s v="MPG"/>
    <s v="Direct"/>
    <n v="279.59999999999997"/>
    <n v="12813.84"/>
    <n v="279.49999999999994"/>
    <n v="12851.88"/>
    <n v="0"/>
    <n v="0"/>
    <n v="279.49999999999994"/>
    <n v="12851.88"/>
    <n v="12813.84"/>
    <n v="0"/>
    <n v="0"/>
    <n v="38.039999999999054"/>
    <n v="0"/>
    <n v="0"/>
    <n v="0"/>
    <n v="12814"/>
    <n v="0"/>
    <n v="0"/>
    <n v="0"/>
    <n v="0"/>
    <n v="385.33178369098721"/>
    <n v="39.942857142857136"/>
    <n v="-2.968665130827219E-3"/>
    <n v="3"/>
    <m/>
    <s v="Warisnagar"/>
    <m/>
    <n v="0"/>
  </r>
  <r>
    <s v="Munger"/>
    <s v="10-16 Jul"/>
    <n v="1057"/>
    <s v="Warisnagar"/>
    <x v="809"/>
    <s v="Almasnagar"/>
    <s v="vlc"/>
    <s v="Indirect"/>
    <n v="222.7"/>
    <n v="8679.4200000000019"/>
    <n v="0"/>
    <n v="0"/>
    <n v="0"/>
    <n v="0"/>
    <n v="0"/>
    <n v="0"/>
    <n v="8679.4200000000019"/>
    <n v="0"/>
    <n v="0"/>
    <n v="0"/>
    <n v="0"/>
    <n v="0"/>
    <n v="0"/>
    <n v="0"/>
    <n v="0"/>
    <n v="8679.4200000000019"/>
    <n v="0"/>
    <n v="0"/>
    <n v="372.04195473731488"/>
    <n v="31.814285714285713"/>
    <n v="0"/>
    <n v="0"/>
    <m/>
    <s v="Warisnagar"/>
    <m/>
    <n v="0"/>
  </r>
  <r>
    <s v="Munger"/>
    <s v="10-16 Jul"/>
    <n v="1057"/>
    <s v="Warisnagar"/>
    <x v="810"/>
    <s v="Kadarchak"/>
    <s v="vlc"/>
    <s v="Indirect"/>
    <n v="29.4"/>
    <n v="1194.4100000000001"/>
    <n v="0"/>
    <n v="0"/>
    <n v="0"/>
    <n v="0"/>
    <n v="0"/>
    <n v="0"/>
    <n v="1194.4100000000001"/>
    <n v="0"/>
    <n v="0"/>
    <n v="0"/>
    <n v="0"/>
    <n v="0"/>
    <n v="0"/>
    <n v="0"/>
    <n v="0"/>
    <n v="1194.4100000000001"/>
    <n v="0"/>
    <n v="0"/>
    <n v="544.87846666666678"/>
    <n v="4.2"/>
    <n v="0"/>
    <n v="0"/>
    <m/>
    <s v="Warisnagar"/>
    <m/>
    <n v="0"/>
  </r>
  <r>
    <s v="Munger"/>
    <s v="10-16 Jul"/>
    <n v="1057"/>
    <s v="Warisnagar"/>
    <x v="811"/>
    <s v="Rahua"/>
    <s v="MPG"/>
    <s v="Direct"/>
    <n v="136.80000000000001"/>
    <n v="5413.4500000000007"/>
    <n v="136"/>
    <n v="5407.36"/>
    <n v="0"/>
    <n v="0"/>
    <n v="136"/>
    <n v="5407.36"/>
    <n v="5407.36"/>
    <n v="0"/>
    <n v="0"/>
    <n v="0"/>
    <n v="0"/>
    <n v="0"/>
    <n v="0"/>
    <n v="5407"/>
    <n v="0"/>
    <n v="0"/>
    <n v="6"/>
    <n v="0"/>
    <n v="445.73904093567262"/>
    <n v="19.542857142857144"/>
    <n v="1.1249757548330648E-3"/>
    <n v="1"/>
    <m/>
    <s v="Warisnagar"/>
    <m/>
    <n v="0"/>
  </r>
  <r>
    <s v="Munger"/>
    <s v="10-16 Jul"/>
    <n v="1057"/>
    <s v="Warisnagar"/>
    <x v="812"/>
    <s v="Dagrua"/>
    <s v="MPG"/>
    <s v="Direct"/>
    <n v="152.30000000000001"/>
    <n v="7335.91"/>
    <n v="150"/>
    <n v="7297.5"/>
    <n v="0"/>
    <n v="0"/>
    <n v="150"/>
    <n v="7297.5"/>
    <n v="7297.5"/>
    <n v="0"/>
    <n v="0"/>
    <n v="0"/>
    <n v="3100"/>
    <n v="0"/>
    <n v="0"/>
    <n v="4198"/>
    <n v="0"/>
    <n v="0"/>
    <n v="38"/>
    <n v="0"/>
    <n v="527.62677701904124"/>
    <n v="21.75714285714286"/>
    <n v="5.235887572230283E-3"/>
    <n v="1"/>
    <m/>
    <s v="Warisnagar"/>
    <m/>
    <n v="0"/>
  </r>
  <r>
    <s v="Munger"/>
    <s v="10-16 Jul"/>
    <n v="1057"/>
    <s v="Warisnagar"/>
    <x v="813"/>
    <s v="Buzurgdoar"/>
    <s v="MPG"/>
    <s v="Direct"/>
    <n v="1094.5"/>
    <n v="44649.23000000001"/>
    <n v="1093.3"/>
    <n v="44736.309999999983"/>
    <n v="0"/>
    <n v="0"/>
    <n v="1093.3"/>
    <n v="44736.309999999983"/>
    <n v="44649.23000000001"/>
    <n v="0"/>
    <n v="0"/>
    <n v="87.079999999972642"/>
    <n v="7000"/>
    <n v="0"/>
    <n v="0"/>
    <n v="37649"/>
    <n v="0"/>
    <n v="0"/>
    <n v="0"/>
    <n v="0"/>
    <n v="0"/>
    <n v="0"/>
    <n v="-1.9503135888339536E-3"/>
    <n v="10"/>
    <m/>
    <s v="Warisnagar"/>
    <m/>
    <n v="0"/>
  </r>
  <r>
    <s v="Munger"/>
    <s v="10-16 Jul"/>
    <n v="1057"/>
    <s v="Warisnagar"/>
    <x v="814"/>
    <s v="Patpara"/>
    <s v="vlc"/>
    <s v="Indirect"/>
    <n v="550.4"/>
    <n v="19402.710000000003"/>
    <n v="0"/>
    <n v="0"/>
    <n v="0"/>
    <n v="0"/>
    <n v="0"/>
    <n v="0"/>
    <n v="19402.710000000003"/>
    <n v="0"/>
    <n v="0"/>
    <n v="0"/>
    <n v="0"/>
    <n v="0"/>
    <n v="0"/>
    <n v="0"/>
    <n v="0"/>
    <n v="19402.710000000003"/>
    <n v="0"/>
    <n v="0"/>
    <n v="105.47403401162798"/>
    <n v="78.628571428571419"/>
    <n v="0"/>
    <n v="0"/>
    <m/>
    <s v="Warisnagar"/>
    <m/>
    <n v="0"/>
  </r>
  <r>
    <s v="Munger"/>
    <s v="10-16 Jul"/>
    <n v="1057"/>
    <s v="Warisnagar"/>
    <x v="815"/>
    <s v="Kamopur"/>
    <s v="MPG"/>
    <s v="Direct"/>
    <n v="416.49999999999994"/>
    <n v="17936.569999999996"/>
    <n v="348.8"/>
    <n v="13855.48"/>
    <n v="67.199999999999989"/>
    <n v="3845.78"/>
    <n v="416"/>
    <n v="17701.259999999998"/>
    <n v="17701.259999999998"/>
    <n v="0"/>
    <n v="0"/>
    <n v="0"/>
    <n v="0"/>
    <n v="0"/>
    <n v="0"/>
    <n v="13856"/>
    <n v="3846"/>
    <n v="0"/>
    <n v="235"/>
    <n v="0"/>
    <n v="244.17851596638658"/>
    <n v="59.499999999999993"/>
    <n v="1.3119007703256405E-2"/>
    <n v="11"/>
    <m/>
    <s v="Warisnagar"/>
    <m/>
    <n v="0"/>
  </r>
  <r>
    <s v="Munger"/>
    <s v="10-16 Jul"/>
    <n v="1057"/>
    <s v="Warisnagar"/>
    <x v="816"/>
    <s v="Kussaiya"/>
    <s v="MPG"/>
    <s v="Direct"/>
    <n v="551.5"/>
    <n v="24937.46"/>
    <n v="92.250000000000028"/>
    <n v="3867.4199999999992"/>
    <n v="477.84000000000003"/>
    <n v="20987.100000000002"/>
    <n v="570.09"/>
    <n v="24854.52"/>
    <n v="24854.52"/>
    <n v="0"/>
    <n v="0"/>
    <n v="0"/>
    <n v="0"/>
    <n v="0"/>
    <n v="0"/>
    <n v="3867"/>
    <n v="20986"/>
    <n v="0"/>
    <n v="84"/>
    <n v="0"/>
    <n v="134.2960221214868"/>
    <n v="78.785714285714292"/>
    <n v="3.325920121776584E-3"/>
    <n v="10"/>
    <m/>
    <s v="Warisnagar"/>
    <m/>
    <n v="0"/>
  </r>
  <r>
    <s v="Munger"/>
    <s v="10-16 Jul"/>
    <n v="1057"/>
    <s v="Warisnagar"/>
    <x v="817"/>
    <s v="Jagdishpur"/>
    <s v="MPG"/>
    <s v="Direct"/>
    <n v="110.09999999999998"/>
    <n v="4083.6"/>
    <n v="110.10000000000001"/>
    <n v="3955.2799999999997"/>
    <n v="0"/>
    <n v="0"/>
    <n v="110.10000000000001"/>
    <n v="3955.2799999999997"/>
    <n v="3955.2799999999997"/>
    <n v="0"/>
    <n v="0"/>
    <n v="0"/>
    <n v="3613"/>
    <n v="0"/>
    <n v="0"/>
    <n v="343"/>
    <n v="0"/>
    <n v="0"/>
    <n v="128"/>
    <n v="0"/>
    <n v="437.58685558583107"/>
    <n v="15.728571428571426"/>
    <n v="3.1423253991576104E-2"/>
    <n v="2"/>
    <m/>
    <s v="Warisnagar"/>
    <m/>
    <n v="0"/>
  </r>
  <r>
    <s v="Munger"/>
    <s v="10-16 Jul"/>
    <n v="1057"/>
    <s v="Warisnagar"/>
    <x v="818"/>
    <s v="Kanu Bisanpur"/>
    <s v="vlc"/>
    <s v="Indirect"/>
    <n v="169.70000000000002"/>
    <n v="6882.619999999999"/>
    <n v="0"/>
    <n v="0"/>
    <n v="0"/>
    <n v="0"/>
    <n v="0"/>
    <n v="0"/>
    <n v="6882.619999999999"/>
    <n v="0"/>
    <n v="0"/>
    <n v="0"/>
    <n v="0"/>
    <n v="0"/>
    <n v="0"/>
    <n v="0"/>
    <n v="0"/>
    <n v="6882.619999999999"/>
    <n v="0"/>
    <n v="0"/>
    <n v="430.15361060695329"/>
    <n v="24.242857142857144"/>
    <n v="0"/>
    <n v="0"/>
    <m/>
    <s v="Warisnagar"/>
    <m/>
    <n v="0"/>
  </r>
  <r>
    <s v="Munger"/>
    <s v="10-16 Jul"/>
    <n v="1057"/>
    <s v="Warisnagar"/>
    <x v="819"/>
    <s v="Raini 2"/>
    <s v="MPG"/>
    <s v="Direct"/>
    <n v="384.00000000000006"/>
    <n v="15481.190000000002"/>
    <n v="48.800000000000004"/>
    <n v="1833.89"/>
    <n v="337.31000000000017"/>
    <n v="13708.809999999994"/>
    <n v="386.11000000000018"/>
    <n v="15542.699999999993"/>
    <n v="15481.190000000002"/>
    <n v="0"/>
    <n v="0"/>
    <n v="61.509999999991123"/>
    <n v="0"/>
    <n v="0"/>
    <n v="0"/>
    <n v="1772"/>
    <n v="13709"/>
    <n v="0"/>
    <n v="0"/>
    <n v="0"/>
    <n v="254.79458541666665"/>
    <n v="54.857142857142868"/>
    <n v="-3.9732087778776128E-3"/>
    <n v="9"/>
    <m/>
    <s v="Warisnagar"/>
    <m/>
    <n v="0"/>
  </r>
  <r>
    <s v="Munger"/>
    <s v="10-16 Jul"/>
    <n v="1057"/>
    <s v="Warisnagar"/>
    <x v="820"/>
    <s v="Babupur"/>
    <s v="vlc"/>
    <s v="Indirect"/>
    <n v="1020.0000000000001"/>
    <n v="37946.300000000003"/>
    <n v="0"/>
    <n v="0"/>
    <n v="0"/>
    <n v="0"/>
    <n v="0"/>
    <n v="0"/>
    <n v="37946.300000000003"/>
    <n v="0"/>
    <n v="0"/>
    <n v="0"/>
    <n v="0"/>
    <n v="0"/>
    <n v="0"/>
    <n v="0"/>
    <n v="0"/>
    <n v="37946.300000000003"/>
    <n v="0"/>
    <n v="0"/>
    <n v="0"/>
    <n v="0"/>
    <n v="0"/>
    <n v="0"/>
    <m/>
    <s v="Warisnagar"/>
    <m/>
    <n v="0"/>
  </r>
  <r>
    <s v="Munger"/>
    <s v="10-16 Jul"/>
    <n v="1057"/>
    <s v="Warisnagar"/>
    <x v="821"/>
    <s v="Rahua 2"/>
    <s v="vlc"/>
    <s v="Indirect"/>
    <n v="1816.7"/>
    <n v="78190.090000000011"/>
    <n v="0"/>
    <n v="0"/>
    <n v="0"/>
    <n v="0"/>
    <n v="0"/>
    <n v="0"/>
    <n v="78190.090000000011"/>
    <n v="0"/>
    <n v="0"/>
    <n v="0"/>
    <n v="0"/>
    <n v="0"/>
    <n v="0"/>
    <n v="0"/>
    <n v="0"/>
    <n v="78190.090000000011"/>
    <n v="0"/>
    <n v="0"/>
    <n v="0"/>
    <n v="0"/>
    <n v="0"/>
    <n v="0"/>
    <m/>
    <s v="Warisnagar"/>
    <m/>
    <n v="0"/>
  </r>
  <r>
    <s v="Munger"/>
    <s v="10-16 Jul"/>
    <n v="1057"/>
    <s v="Warisnagar"/>
    <x v="822"/>
    <s v="Madhopur"/>
    <s v="vlc"/>
    <s v="Indirect"/>
    <n v="730.2"/>
    <n v="31853.79"/>
    <n v="0"/>
    <n v="0"/>
    <n v="0"/>
    <n v="0"/>
    <n v="0"/>
    <n v="0"/>
    <n v="31853.79"/>
    <n v="0"/>
    <n v="0"/>
    <n v="0"/>
    <n v="3785.5"/>
    <n v="0"/>
    <n v="0"/>
    <n v="0"/>
    <n v="0"/>
    <n v="28068.29"/>
    <n v="0"/>
    <n v="0"/>
    <n v="0"/>
    <n v="0"/>
    <n v="0"/>
    <n v="0"/>
    <m/>
    <s v="Warisnagar"/>
    <m/>
    <n v="0"/>
  </r>
  <r>
    <s v="Munger"/>
    <s v="10-16 Jul"/>
    <n v="1057"/>
    <s v="Warisnagar"/>
    <x v="823"/>
    <s v="Ekdara"/>
    <s v="vlc"/>
    <s v="Indirect"/>
    <n v="3259.2999999999997"/>
    <n v="124360.57"/>
    <n v="0"/>
    <n v="0"/>
    <n v="0"/>
    <n v="0"/>
    <n v="0"/>
    <n v="0"/>
    <n v="124360.57"/>
    <n v="0"/>
    <n v="0"/>
    <n v="0"/>
    <n v="0"/>
    <n v="0"/>
    <n v="0"/>
    <n v="0"/>
    <n v="0"/>
    <n v="124360.57"/>
    <n v="0"/>
    <n v="0"/>
    <n v="0"/>
    <n v="0"/>
    <n v="0"/>
    <n v="0"/>
    <m/>
    <s v="Warisnagar"/>
    <m/>
    <n v="0"/>
  </r>
  <r>
    <s v="Munger"/>
    <s v="10-16 Jul"/>
    <n v="1057"/>
    <s v="Warisnagar"/>
    <x v="824"/>
    <s v="Khokasaha"/>
    <s v="vlc"/>
    <s v="Indirect"/>
    <n v="77.699999999999989"/>
    <n v="3251.68"/>
    <n v="0"/>
    <n v="0"/>
    <n v="0"/>
    <n v="0"/>
    <n v="0"/>
    <n v="0"/>
    <n v="3251.68"/>
    <n v="0"/>
    <n v="0"/>
    <n v="0"/>
    <n v="0"/>
    <n v="0"/>
    <n v="0"/>
    <n v="0"/>
    <n v="0"/>
    <n v="3251.68"/>
    <n v="0"/>
    <n v="0"/>
    <n v="520.85468828828846"/>
    <n v="11.099999999999998"/>
    <n v="0"/>
    <n v="0"/>
    <m/>
    <s v="Warisnagar"/>
    <m/>
    <n v="0"/>
  </r>
  <r>
    <s v="Munger"/>
    <s v="10-16 Jul"/>
    <n v="1057"/>
    <s v="Warisnagar"/>
    <x v="825"/>
    <s v="Madhopur 2"/>
    <s v="vlc"/>
    <s v="Indirect"/>
    <n v="1788.1"/>
    <n v="71226.48000000001"/>
    <n v="0"/>
    <n v="0"/>
    <n v="0"/>
    <n v="0"/>
    <n v="0"/>
    <n v="0"/>
    <n v="71226.48000000001"/>
    <n v="0"/>
    <n v="0"/>
    <n v="0"/>
    <n v="0"/>
    <n v="0"/>
    <n v="0"/>
    <n v="0"/>
    <n v="0"/>
    <n v="71226.48000000001"/>
    <n v="0"/>
    <n v="0"/>
    <n v="0"/>
    <n v="0"/>
    <n v="0"/>
    <n v="0"/>
    <m/>
    <s v="Warisnagar"/>
    <m/>
    <n v="0"/>
  </r>
  <r>
    <s v="Munger"/>
    <s v="10-16 Jul"/>
    <n v="1057"/>
    <s v="Warisnagar"/>
    <x v="826"/>
    <s v="Kadarchak 2"/>
    <s v="vlc"/>
    <s v="Indirect"/>
    <n v="133.9"/>
    <n v="5255.06"/>
    <n v="0"/>
    <n v="0"/>
    <n v="0"/>
    <n v="0"/>
    <n v="0"/>
    <n v="0"/>
    <n v="5255.06"/>
    <n v="0"/>
    <n v="0"/>
    <n v="0"/>
    <n v="0"/>
    <n v="0"/>
    <n v="0"/>
    <n v="0"/>
    <n v="0"/>
    <n v="5255.06"/>
    <n v="0"/>
    <n v="0"/>
    <n v="444.34495384615371"/>
    <n v="19.12857142857143"/>
    <n v="0"/>
    <n v="0"/>
    <m/>
    <s v="Warisnagar"/>
    <m/>
    <n v="0"/>
  </r>
  <r>
    <s v="Munger"/>
    <s v="10-16 Jul"/>
    <n v="1057"/>
    <s v="Warisnagar"/>
    <x v="827"/>
    <s v="Madhopur Dih"/>
    <s v="vlc"/>
    <s v="Indirect"/>
    <n v="383.40000000000003"/>
    <n v="16254.64"/>
    <n v="0"/>
    <n v="0"/>
    <n v="0"/>
    <n v="0"/>
    <n v="0"/>
    <n v="0"/>
    <n v="16254.64"/>
    <n v="0"/>
    <n v="0"/>
    <n v="0"/>
    <n v="0"/>
    <n v="0"/>
    <n v="0"/>
    <n v="0"/>
    <n v="0"/>
    <n v="16254.64"/>
    <n v="0"/>
    <n v="0"/>
    <n v="268.45169660928531"/>
    <n v="54.771428571428579"/>
    <n v="0"/>
    <n v="0"/>
    <m/>
    <s v="Warisnagar"/>
    <m/>
    <n v="0"/>
  </r>
  <r>
    <s v="Munger"/>
    <s v="10-16 Jul"/>
    <n v="1057"/>
    <s v="Warisnagar"/>
    <x v="828"/>
    <s v="Alampur"/>
    <s v="vlc"/>
    <s v="Indirect"/>
    <n v="814.40000000000009"/>
    <n v="32186.039999999997"/>
    <n v="0"/>
    <n v="0"/>
    <n v="0"/>
    <n v="0"/>
    <n v="0"/>
    <n v="0"/>
    <n v="32186.039999999997"/>
    <n v="0"/>
    <n v="0"/>
    <n v="0"/>
    <n v="0"/>
    <n v="0"/>
    <n v="0"/>
    <n v="0"/>
    <n v="0"/>
    <n v="32186.039999999997"/>
    <n v="0"/>
    <n v="0"/>
    <n v="0"/>
    <n v="0"/>
    <n v="0"/>
    <n v="0"/>
    <m/>
    <s v="Warisnagar"/>
    <m/>
    <n v="0"/>
  </r>
  <r>
    <s v="Munger"/>
    <s v="10-16 Jul"/>
    <n v="1057"/>
    <s v="Warisnagar"/>
    <x v="829"/>
    <s v="Satmalpur Pachim"/>
    <s v="vlc"/>
    <s v="Indirect"/>
    <n v="75.2"/>
    <n v="2943.94"/>
    <n v="0"/>
    <n v="0"/>
    <n v="0"/>
    <n v="0"/>
    <n v="0"/>
    <n v="0"/>
    <n v="2943.94"/>
    <n v="0"/>
    <n v="0"/>
    <n v="0"/>
    <n v="379.5"/>
    <n v="0"/>
    <n v="0"/>
    <n v="0"/>
    <n v="0"/>
    <n v="2564.44"/>
    <n v="0"/>
    <n v="0"/>
    <n v="489.19513617021278"/>
    <n v="10.742857142857144"/>
    <n v="0"/>
    <n v="0"/>
    <m/>
    <s v="Warisnagar"/>
    <m/>
    <n v="0"/>
  </r>
  <r>
    <s v="Munger"/>
    <s v="10-16 Jul"/>
    <n v="1057"/>
    <s v="Warisnagar"/>
    <x v="830"/>
    <s v="Ganopur"/>
    <s v="vlc"/>
    <s v="Indirect"/>
    <n v="293.20000000000005"/>
    <n v="11287.699999999999"/>
    <n v="0"/>
    <n v="0"/>
    <n v="0"/>
    <n v="0"/>
    <n v="0"/>
    <n v="0"/>
    <n v="11287.699999999999"/>
    <n v="0"/>
    <n v="0"/>
    <n v="0"/>
    <n v="0"/>
    <n v="0"/>
    <n v="0"/>
    <n v="0"/>
    <n v="0"/>
    <n v="11287.699999999999"/>
    <n v="0"/>
    <n v="0"/>
    <n v="313.22212551159612"/>
    <n v="41.885714285714293"/>
    <n v="0"/>
    <n v="0"/>
    <m/>
    <s v="Warisnagar"/>
    <m/>
    <n v="0"/>
  </r>
  <r>
    <s v="Munger"/>
    <s v="10-16 Jul"/>
    <n v="1058"/>
    <s v="Hasanpur"/>
    <x v="831"/>
    <s v="Mahuli"/>
    <s v="MPG"/>
    <s v="Direct"/>
    <n v="471.72000000000008"/>
    <n v="20485.48"/>
    <n v="469.29999999999995"/>
    <n v="20379.140000000003"/>
    <n v="8.2999999999999972"/>
    <n v="363.47"/>
    <n v="477.59999999999997"/>
    <n v="20742.610000000004"/>
    <n v="20485.48"/>
    <n v="0"/>
    <n v="363.47"/>
    <n v="257.13000000000466"/>
    <n v="0"/>
    <n v="0"/>
    <n v="0"/>
    <n v="20122"/>
    <n v="0"/>
    <n v="0"/>
    <n v="0"/>
    <n v="0"/>
    <n v="198.27123608920533"/>
    <n v="67.388571428571439"/>
    <n v="-1.2551817189541308E-2"/>
    <n v="17"/>
    <m/>
    <s v="Hasanpur"/>
    <m/>
    <n v="0"/>
  </r>
  <r>
    <s v="Munger"/>
    <s v="10-16 Jul"/>
    <n v="1058"/>
    <s v="Hasanpur"/>
    <x v="832"/>
    <s v="Sakhwa Ghat"/>
    <s v="MPG"/>
    <s v="Direct"/>
    <n v="357.61999999999995"/>
    <n v="15751.06"/>
    <n v="358.60000000000008"/>
    <n v="16360.620000000003"/>
    <n v="5"/>
    <n v="206.26"/>
    <n v="363.60000000000008"/>
    <n v="16566.88"/>
    <n v="15751.06"/>
    <n v="0"/>
    <n v="206.26"/>
    <n v="815.82000000000153"/>
    <n v="0"/>
    <n v="0"/>
    <n v="0"/>
    <n v="15545"/>
    <n v="0"/>
    <n v="0"/>
    <n v="0"/>
    <n v="0"/>
    <n v="301.59655068508482"/>
    <n v="51.08857142857142"/>
    <n v="-5.1794609378670489E-2"/>
    <n v="7"/>
    <m/>
    <s v="Hasanpur"/>
    <m/>
    <n v="0"/>
  </r>
  <r>
    <s v="Munger"/>
    <s v="10-16 Jul"/>
    <n v="1058"/>
    <s v="Hasanpur"/>
    <x v="833"/>
    <s v="Patiya"/>
    <s v="MPG"/>
    <s v="Direct"/>
    <n v="260.71000000000004"/>
    <n v="10715.659999999998"/>
    <n v="261.8"/>
    <n v="10822.340000000002"/>
    <n v="1.5"/>
    <n v="61.710000000000008"/>
    <n v="263.3"/>
    <n v="10884.050000000001"/>
    <n v="10715.659999999998"/>
    <n v="0"/>
    <n v="61.710000000000008"/>
    <n v="168.39000000000306"/>
    <n v="0"/>
    <n v="0"/>
    <n v="0"/>
    <n v="10654"/>
    <n v="0"/>
    <n v="0"/>
    <n v="0"/>
    <n v="0"/>
    <n v="361.11252206666398"/>
    <n v="37.244285714285716"/>
    <n v="-1.5714384368298646E-2"/>
    <n v="3"/>
    <m/>
    <s v="Hasanpur"/>
    <m/>
    <n v="0"/>
  </r>
  <r>
    <s v="Munger"/>
    <s v="10-16 Jul"/>
    <n v="1058"/>
    <s v="Hasanpur"/>
    <x v="834"/>
    <s v="Kasiya"/>
    <s v="MPG"/>
    <s v="Direct"/>
    <n v="632.79000000000008"/>
    <n v="26055.24"/>
    <n v="621.9"/>
    <n v="26942.77"/>
    <n v="7.6"/>
    <n v="312.16000000000003"/>
    <n v="629.5"/>
    <n v="27254.93"/>
    <n v="26055.24"/>
    <n v="0"/>
    <n v="312.16000000000003"/>
    <n v="1199.6899999999987"/>
    <n v="0"/>
    <n v="0"/>
    <n v="0"/>
    <n v="25743"/>
    <n v="0"/>
    <n v="0"/>
    <n v="0"/>
    <n v="0"/>
    <n v="55.3476723842032"/>
    <n v="90.398571428571444"/>
    <n v="-4.6044097079896353E-2"/>
    <n v="10"/>
    <m/>
    <s v="Hasanpur"/>
    <m/>
    <n v="0"/>
  </r>
  <r>
    <s v="Munger"/>
    <s v="10-16 Jul"/>
    <n v="1058"/>
    <s v="Hasanpur"/>
    <x v="835"/>
    <s v="Godah"/>
    <s v="MPG"/>
    <s v="Direct"/>
    <n v="486.31"/>
    <n v="22102.719999999998"/>
    <n v="514.29999999999995"/>
    <n v="25241.11"/>
    <n v="0"/>
    <n v="0"/>
    <n v="514.29999999999995"/>
    <n v="25241.11"/>
    <n v="22102.719999999998"/>
    <n v="0"/>
    <n v="0"/>
    <n v="3138.3900000000031"/>
    <n v="0"/>
    <n v="0"/>
    <n v="0"/>
    <n v="22103"/>
    <n v="0"/>
    <n v="0"/>
    <n v="0"/>
    <n v="0"/>
    <n v="194.24359921860545"/>
    <n v="69.472857142857137"/>
    <n v="-0.14199112145473514"/>
    <n v="6"/>
    <m/>
    <s v="Hasanpur"/>
    <m/>
    <n v="0"/>
  </r>
  <r>
    <s v="Munger"/>
    <s v="10-16 Jul"/>
    <n v="1058"/>
    <s v="Hasanpur"/>
    <x v="836"/>
    <s v="Ballahpur"/>
    <s v="MPG"/>
    <s v="Direct"/>
    <n v="477.34000000000003"/>
    <n v="17627.509999999998"/>
    <n v="496.74"/>
    <n v="19871.04"/>
    <n v="0"/>
    <n v="0"/>
    <n v="496.74"/>
    <n v="19871.04"/>
    <n v="17627.509999999998"/>
    <n v="0"/>
    <n v="0"/>
    <n v="2243.5300000000025"/>
    <n v="0"/>
    <n v="500"/>
    <n v="0"/>
    <n v="17128"/>
    <n v="0"/>
    <n v="0"/>
    <n v="0"/>
    <n v="0"/>
    <n v="164.45055417941086"/>
    <n v="68.191428571428574"/>
    <n v="-0.12727435695682501"/>
    <n v="3"/>
    <m/>
    <s v="Hasanpur"/>
    <m/>
    <n v="500"/>
  </r>
  <r>
    <s v="Munger"/>
    <s v="10-16 Jul"/>
    <n v="1058"/>
    <s v="Hasanpur"/>
    <x v="837"/>
    <s v="Laxmipur-VLC"/>
    <s v="vlc"/>
    <s v="Indirect"/>
    <n v="190.18999999999997"/>
    <n v="6742.0999999999995"/>
    <n v="0"/>
    <n v="0"/>
    <n v="0"/>
    <n v="0"/>
    <n v="0"/>
    <n v="0"/>
    <n v="6742.0999999999995"/>
    <n v="0"/>
    <n v="0"/>
    <n v="0"/>
    <n v="0"/>
    <n v="0"/>
    <n v="0"/>
    <n v="0"/>
    <n v="0"/>
    <n v="6742.0999999999995"/>
    <n v="0"/>
    <n v="0"/>
    <n v="361.44802576371006"/>
    <n v="27.169999999999995"/>
    <n v="0"/>
    <n v="0"/>
    <m/>
    <s v="Hasanpur"/>
    <m/>
    <n v="0"/>
  </r>
  <r>
    <s v="Munger"/>
    <s v="10-16 Jul"/>
    <n v="1058"/>
    <s v="Hasanpur"/>
    <x v="838"/>
    <s v="Birpur"/>
    <s v="MPG"/>
    <s v="Direct"/>
    <n v="528.97"/>
    <n v="19321.420000000002"/>
    <n v="536.65"/>
    <n v="20538.68"/>
    <n v="0"/>
    <n v="0"/>
    <n v="536.65"/>
    <n v="20538.68"/>
    <n v="19321.420000000002"/>
    <n v="0"/>
    <n v="0"/>
    <n v="1217.2599999999984"/>
    <n v="0"/>
    <n v="0"/>
    <n v="0"/>
    <n v="19321"/>
    <n v="0"/>
    <n v="0"/>
    <n v="0"/>
    <n v="0"/>
    <n v="124.94252840803829"/>
    <n v="75.567142857142855"/>
    <n v="-6.3000545508559838E-2"/>
    <n v="7"/>
    <m/>
    <s v="Hasanpur"/>
    <m/>
    <n v="0"/>
  </r>
  <r>
    <s v="Munger"/>
    <s v="10-16 Jul"/>
    <n v="1058"/>
    <s v="Hasanpur"/>
    <x v="839"/>
    <s v="Ahilwar"/>
    <s v="MPG"/>
    <s v="Direct"/>
    <n v="907.59000000000015"/>
    <n v="36631.31"/>
    <n v="692.1"/>
    <n v="28668.79"/>
    <n v="222.79999999999998"/>
    <n v="8405.69"/>
    <n v="914.9"/>
    <n v="37074.480000000003"/>
    <n v="36631.31"/>
    <n v="0"/>
    <n v="199.16"/>
    <n v="443.17000000000553"/>
    <n v="0"/>
    <n v="0"/>
    <n v="0"/>
    <n v="28226"/>
    <n v="8206"/>
    <n v="0"/>
    <n v="0"/>
    <n v="0"/>
    <n v="0"/>
    <n v="0"/>
    <n v="-1.2098120433039539E-2"/>
    <n v="6"/>
    <m/>
    <s v="Hasanpur"/>
    <m/>
    <n v="0"/>
  </r>
  <r>
    <s v="Munger"/>
    <s v="10-16 Jul"/>
    <n v="1058"/>
    <s v="Hasanpur"/>
    <x v="840"/>
    <s v="Paridah"/>
    <s v="MPG"/>
    <s v="Direct"/>
    <n v="349.25000000000006"/>
    <n v="13574.24"/>
    <n v="343.65000000000003"/>
    <n v="13741.680000000002"/>
    <n v="3.31"/>
    <n v="129.39999999999998"/>
    <n v="346.96000000000004"/>
    <n v="13871.080000000002"/>
    <n v="13574.24"/>
    <n v="0"/>
    <n v="129.39999999999998"/>
    <n v="296.84000000000196"/>
    <n v="0"/>
    <n v="500"/>
    <n v="0"/>
    <n v="12945"/>
    <n v="0"/>
    <n v="0"/>
    <n v="0"/>
    <s v="Release3"/>
    <n v="272.6508048675733"/>
    <n v="49.892857142857153"/>
    <n v="-2.1867890946380936E-2"/>
    <n v="13"/>
    <m/>
    <s v="Hasanpur"/>
    <m/>
    <n v="500"/>
  </r>
  <r>
    <s v="Munger"/>
    <s v="10-16 Jul"/>
    <n v="1058"/>
    <s v="Hasanpur"/>
    <x v="841"/>
    <s v="KOLAWARI"/>
    <s v="MPG"/>
    <s v="Direct"/>
    <n v="373.56"/>
    <n v="15446.36"/>
    <n v="340.09999999999997"/>
    <n v="14088.849999999999"/>
    <n v="0"/>
    <n v="0"/>
    <n v="340.09999999999997"/>
    <n v="14088.849999999999"/>
    <n v="14088.849999999999"/>
    <n v="0"/>
    <n v="0"/>
    <n v="0"/>
    <n v="0"/>
    <n v="0"/>
    <n v="0"/>
    <n v="14089"/>
    <n v="0"/>
    <n v="0"/>
    <n v="1357"/>
    <n v="0"/>
    <n v="269.95983287289857"/>
    <n v="53.365714285714283"/>
    <n v="8.78854306127788E-2"/>
    <n v="2"/>
    <m/>
    <s v="Hasanpur"/>
    <m/>
    <n v="0"/>
  </r>
  <r>
    <s v="Munger"/>
    <s v="10-16 Jul"/>
    <n v="1058"/>
    <s v="Hasanpur"/>
    <x v="842"/>
    <s v="MALDAH"/>
    <s v="vlc"/>
    <s v="Indirect"/>
    <n v="852.28"/>
    <n v="32910.619999999995"/>
    <n v="0"/>
    <n v="0"/>
    <n v="0"/>
    <n v="0"/>
    <n v="0"/>
    <n v="0"/>
    <n v="32910.619999999995"/>
    <n v="0"/>
    <n v="0"/>
    <n v="0"/>
    <n v="0"/>
    <n v="0"/>
    <n v="0"/>
    <n v="0"/>
    <n v="0"/>
    <n v="32910.619999999995"/>
    <n v="0"/>
    <n v="0"/>
    <n v="0"/>
    <n v="0"/>
    <n v="0"/>
    <n v="0"/>
    <m/>
    <s v="Hasanpur"/>
    <m/>
    <n v="0"/>
  </r>
  <r>
    <s v="Munger"/>
    <s v="10-16 Jul"/>
    <n v="1058"/>
    <s v="Hasanpur"/>
    <x v="843"/>
    <s v="KARANCHI"/>
    <s v="MPG"/>
    <s v="Direct"/>
    <n v="451"/>
    <n v="17987.189999999999"/>
    <n v="490.59999999999991"/>
    <n v="21932.309999999998"/>
    <n v="0"/>
    <n v="0"/>
    <n v="490.59999999999991"/>
    <n v="21932.309999999998"/>
    <n v="17987.189999999999"/>
    <n v="0"/>
    <n v="0"/>
    <n v="3945.119999999999"/>
    <n v="1350"/>
    <n v="0"/>
    <n v="0"/>
    <n v="16637"/>
    <n v="0"/>
    <n v="0"/>
    <n v="0"/>
    <n v="0"/>
    <n v="198.61686518847009"/>
    <n v="64.428571428571431"/>
    <n v="-0.21932942277253975"/>
    <n v="2"/>
    <m/>
    <s v="Hasanpur"/>
    <m/>
    <n v="0"/>
  </r>
  <r>
    <s v="Munger"/>
    <s v="10-16 Jul"/>
    <n v="1058"/>
    <s v="Hasanpur"/>
    <x v="844"/>
    <s v="MARTHUA"/>
    <s v="MPG"/>
    <s v="Direct"/>
    <n v="813.43000000000029"/>
    <n v="37514.23000000001"/>
    <n v="819.00000000000023"/>
    <n v="38185.279999999992"/>
    <n v="0"/>
    <n v="0"/>
    <n v="819.00000000000023"/>
    <n v="38185.279999999992"/>
    <n v="37514.23000000001"/>
    <n v="0"/>
    <n v="0"/>
    <n v="671.04999999998108"/>
    <n v="0"/>
    <n v="0"/>
    <n v="0"/>
    <n v="37514"/>
    <n v="0"/>
    <n v="0"/>
    <n v="0"/>
    <n v="0"/>
    <n v="0"/>
    <n v="0"/>
    <n v="-1.788787881291928E-2"/>
    <n v="13"/>
    <m/>
    <s v="Hasanpur"/>
    <m/>
    <n v="0"/>
  </r>
  <r>
    <s v="Munger"/>
    <s v="10-16 Jul"/>
    <n v="1058"/>
    <s v="Hasanpur"/>
    <x v="845"/>
    <s v="GARHPURA "/>
    <s v="MPG"/>
    <s v="Direct"/>
    <n v="85.49"/>
    <n v="3484.42"/>
    <n v="85.3"/>
    <n v="3501.4700000000003"/>
    <n v="0"/>
    <n v="0"/>
    <n v="85.3"/>
    <n v="3501.4700000000003"/>
    <n v="3484.42"/>
    <n v="0"/>
    <n v="0"/>
    <n v="17.050000000000182"/>
    <n v="0"/>
    <n v="0"/>
    <n v="0"/>
    <n v="3484"/>
    <n v="0"/>
    <n v="0"/>
    <n v="0"/>
    <n v="0"/>
    <n v="500.92664269505207"/>
    <n v="12.212857142857143"/>
    <n v="-4.893210347776727E-3"/>
    <n v="1"/>
    <m/>
    <s v="Hasanpur"/>
    <m/>
    <n v="0"/>
  </r>
  <r>
    <s v="Munger"/>
    <s v="10-16 Jul"/>
    <n v="1058"/>
    <s v="Hasanpur"/>
    <x v="846"/>
    <s v="KOKANI"/>
    <s v="MPG"/>
    <s v="Direct"/>
    <n v="113.82999999999998"/>
    <n v="4240.0600000000004"/>
    <n v="120.96"/>
    <n v="4598.2800000000007"/>
    <n v="0"/>
    <n v="0"/>
    <n v="120.96"/>
    <n v="4598.2800000000007"/>
    <n v="4240.0600000000004"/>
    <n v="0"/>
    <n v="0"/>
    <n v="358.22000000000025"/>
    <n v="0"/>
    <n v="0"/>
    <n v="0"/>
    <n v="4240"/>
    <n v="0"/>
    <n v="0"/>
    <n v="0"/>
    <n v="0"/>
    <n v="436.68557852938602"/>
    <n v="16.261428571428571"/>
    <n v="-8.4484653519054029E-2"/>
    <n v="1"/>
    <m/>
    <s v="Hasanpur"/>
    <m/>
    <n v="0"/>
  </r>
  <r>
    <s v="Munger"/>
    <s v="10-16 Jul"/>
    <n v="1058"/>
    <s v="Hasanpur"/>
    <x v="847"/>
    <s v="DURGAPUR "/>
    <s v="MPG"/>
    <s v="Direct"/>
    <n v="457.89"/>
    <n v="18071.599999999999"/>
    <n v="457.79999999999995"/>
    <n v="18026.349999999999"/>
    <n v="0"/>
    <n v="0"/>
    <n v="457.79999999999995"/>
    <n v="18026.349999999999"/>
    <n v="18026.349999999999"/>
    <n v="0"/>
    <n v="0"/>
    <n v="0"/>
    <n v="0"/>
    <n v="0"/>
    <n v="0"/>
    <n v="18026"/>
    <n v="0"/>
    <n v="0"/>
    <n v="46"/>
    <n v="0"/>
    <n v="191.10769293935232"/>
    <n v="65.412857142857135"/>
    <n v="2.5039288164855353E-3"/>
    <n v="2"/>
    <m/>
    <s v="Hasanpur"/>
    <m/>
    <n v="0"/>
  </r>
  <r>
    <s v="Munger"/>
    <s v="10-16 Jul"/>
    <n v="1058"/>
    <s v="Hasanpur"/>
    <x v="848"/>
    <s v="Chandauli"/>
    <s v="MPG"/>
    <s v="Direct"/>
    <n v="224.97"/>
    <n v="10049.789999999999"/>
    <n v="271.60000000000002"/>
    <n v="12568.899999999998"/>
    <n v="0"/>
    <n v="0"/>
    <n v="271.60000000000002"/>
    <n v="12568.899999999998"/>
    <n v="10049.789999999999"/>
    <n v="0"/>
    <n v="0"/>
    <n v="2519.1099999999988"/>
    <n v="0"/>
    <n v="0"/>
    <n v="0"/>
    <n v="10050"/>
    <n v="0"/>
    <n v="0"/>
    <n v="0"/>
    <n v="0"/>
    <n v="424.40785382050944"/>
    <n v="32.138571428571431"/>
    <n v="-0.25066294917605236"/>
    <n v="11"/>
    <m/>
    <s v="Hasanpur"/>
    <m/>
    <n v="0"/>
  </r>
  <r>
    <s v="Munger"/>
    <s v="10-16 Jul"/>
    <n v="1059"/>
    <s v="Gopalpur Bmc"/>
    <x v="850"/>
    <s v="MISHRBIGHA"/>
    <s v="MPG"/>
    <s v="Direct"/>
    <n v="854.70000000000016"/>
    <n v="41986.139999999992"/>
    <n v="915.04"/>
    <n v="45501.96"/>
    <n v="2.64"/>
    <n v="90.02"/>
    <n v="917.68"/>
    <n v="45591.979999999996"/>
    <n v="41986.139999999992"/>
    <n v="0"/>
    <n v="90.02"/>
    <n v="3605.8400000000038"/>
    <n v="0"/>
    <n v="0"/>
    <n v="0"/>
    <n v="41896"/>
    <n v="0"/>
    <n v="0"/>
    <n v="0"/>
    <n v="0"/>
    <n v="0"/>
    <n v="0"/>
    <n v="-8.5881674285847767E-2"/>
    <n v="3"/>
    <m/>
    <s v="Gopalpur Bmc"/>
    <m/>
    <n v="0"/>
  </r>
  <r>
    <s v="Munger"/>
    <s v="10-16 Jul"/>
    <n v="1059"/>
    <s v="Gopalpur Bmc"/>
    <x v="851"/>
    <s v="DIGHOI"/>
    <s v="MPG"/>
    <s v="Direct"/>
    <n v="86.1"/>
    <n v="5603.66"/>
    <n v="86.100000000000009"/>
    <n v="5610.63"/>
    <n v="0"/>
    <n v="0"/>
    <n v="86.100000000000009"/>
    <n v="5610.63"/>
    <n v="5603.66"/>
    <n v="0"/>
    <n v="0"/>
    <n v="6.9700000000002547"/>
    <n v="0"/>
    <n v="500"/>
    <n v="0"/>
    <n v="5104"/>
    <n v="0"/>
    <n v="0"/>
    <n v="0"/>
    <n v="0"/>
    <n v="799.09102764227634"/>
    <n v="12.299999999999999"/>
    <n v="-1.2438299254416319E-3"/>
    <n v="1"/>
    <m/>
    <s v="Gopalpur Bmc"/>
    <m/>
    <n v="500"/>
  </r>
  <r>
    <s v="Munger"/>
    <s v="10-16 Jul"/>
    <n v="1059"/>
    <s v="Gopalpur Bmc"/>
    <x v="852"/>
    <s v="PRATAPUR"/>
    <s v="MPG"/>
    <s v="Direct"/>
    <n v="960.30000000000007"/>
    <n v="37372.04"/>
    <n v="966.00000000000011"/>
    <n v="37721.910000000003"/>
    <n v="0"/>
    <n v="0"/>
    <n v="966.00000000000011"/>
    <n v="37721.910000000003"/>
    <n v="37372.04"/>
    <n v="0"/>
    <n v="0"/>
    <n v="349.87000000000262"/>
    <n v="0"/>
    <n v="0"/>
    <n v="0"/>
    <n v="37372"/>
    <n v="0"/>
    <n v="0"/>
    <n v="0"/>
    <n v="0"/>
    <n v="0"/>
    <n v="0"/>
    <n v="-9.3618116645492883E-3"/>
    <n v="1"/>
    <m/>
    <s v="Gopalpur Bmc"/>
    <m/>
    <n v="0"/>
  </r>
  <r>
    <s v="Munger"/>
    <s v="10-16 Jul"/>
    <n v="1059"/>
    <s v="Gopalpur Bmc"/>
    <x v="853"/>
    <s v="GOPALPUR"/>
    <s v="MPG"/>
    <s v="Direct"/>
    <n v="1551.2999999999997"/>
    <n v="70969.39"/>
    <n v="1617.9999999999998"/>
    <n v="71075.12999999999"/>
    <n v="0"/>
    <n v="0"/>
    <n v="1617.9999999999998"/>
    <n v="71075.12999999999"/>
    <n v="70969.39"/>
    <n v="0"/>
    <n v="0"/>
    <n v="105.73999999999069"/>
    <n v="0"/>
    <n v="0"/>
    <n v="0"/>
    <n v="70969"/>
    <n v="0"/>
    <n v="0"/>
    <n v="0"/>
    <n v="0"/>
    <n v="0"/>
    <n v="0"/>
    <n v="-1.489938126845823E-3"/>
    <n v="12"/>
    <m/>
    <s v="Gopalpur Bmc"/>
    <m/>
    <n v="0"/>
  </r>
  <r>
    <s v="Munger"/>
    <s v="10-16 Jul"/>
    <n v="1059"/>
    <s v="Gopalpur Bmc"/>
    <x v="854"/>
    <s v="NARMDA"/>
    <s v="MPG"/>
    <s v="Direct"/>
    <n v="285.2"/>
    <n v="14488.249999999998"/>
    <n v="292.2"/>
    <n v="14547.45"/>
    <n v="0"/>
    <n v="0"/>
    <n v="292.2"/>
    <n v="14547.45"/>
    <n v="14488.249999999998"/>
    <n v="0"/>
    <n v="0"/>
    <n v="59.200000000002547"/>
    <n v="0"/>
    <n v="0"/>
    <n v="0"/>
    <n v="14488"/>
    <n v="0"/>
    <n v="0"/>
    <n v="0"/>
    <n v="0"/>
    <n v="421.4394179523141"/>
    <n v="40.74285714285714"/>
    <n v="-4.0860697461738002E-3"/>
    <n v="1"/>
    <m/>
    <s v="Gopalpur Bmc"/>
    <m/>
    <n v="0"/>
  </r>
  <r>
    <s v="Munger"/>
    <s v="10-16 Jul"/>
    <n v="1059"/>
    <s v="Gopalpur Bmc"/>
    <x v="855"/>
    <s v="AMRATH"/>
    <s v="MPG"/>
    <s v="Direct"/>
    <n v="1695.8999999999996"/>
    <n v="87025.04"/>
    <n v="1695.9000000000003"/>
    <n v="86796.700000000012"/>
    <n v="0"/>
    <n v="0"/>
    <n v="1695.9000000000003"/>
    <n v="86796.700000000012"/>
    <n v="86796.700000000012"/>
    <n v="0"/>
    <n v="0"/>
    <n v="0"/>
    <n v="0"/>
    <n v="0"/>
    <n v="0"/>
    <n v="86796"/>
    <n v="0"/>
    <n v="0"/>
    <n v="229"/>
    <n v="0"/>
    <n v="0"/>
    <n v="0"/>
    <n v="2.6238425170500581E-3"/>
    <n v="4"/>
    <m/>
    <s v="Gopalpur Bmc"/>
    <m/>
    <n v="0"/>
  </r>
  <r>
    <s v="Munger"/>
    <s v="10-16 Jul"/>
    <n v="1059"/>
    <s v="Gopalpur Bmc"/>
    <x v="856"/>
    <s v="PUTERIA"/>
    <s v="MPG"/>
    <s v="Direct"/>
    <n v="533"/>
    <n v="22596.290000000005"/>
    <n v="520.86"/>
    <n v="22692.03"/>
    <n v="0"/>
    <n v="0"/>
    <n v="520.86"/>
    <n v="22692.03"/>
    <n v="22596.290000000005"/>
    <n v="0"/>
    <n v="0"/>
    <n v="95.739999999994325"/>
    <n v="0"/>
    <n v="0"/>
    <n v="0"/>
    <n v="22596"/>
    <n v="0"/>
    <n v="0"/>
    <n v="0"/>
    <n v="0"/>
    <n v="141.59776472795502"/>
    <n v="76.142857142857139"/>
    <n v="-4.2369787252683651E-3"/>
    <n v="6"/>
    <m/>
    <s v="Gopalpur Bmc"/>
    <m/>
    <n v="0"/>
  </r>
  <r>
    <s v="Munger"/>
    <s v="10-16 Jul"/>
    <n v="1059"/>
    <s v="Gopalpur Bmc"/>
    <x v="857"/>
    <s v="LAKHAPUR"/>
    <s v="MPG"/>
    <s v="Direct"/>
    <n v="1009.5999999999999"/>
    <n v="44858.069999999992"/>
    <n v="1009.8000000000001"/>
    <n v="44801.630000000005"/>
    <n v="0"/>
    <n v="0"/>
    <n v="1009.8000000000001"/>
    <n v="44801.630000000005"/>
    <n v="44801.630000000005"/>
    <n v="0"/>
    <n v="0"/>
    <n v="0"/>
    <n v="0"/>
    <n v="0"/>
    <n v="0"/>
    <n v="44802"/>
    <n v="0"/>
    <n v="0"/>
    <n v="56"/>
    <n v="0"/>
    <n v="0"/>
    <n v="0"/>
    <n v="1.2581905552331561E-3"/>
    <n v="1"/>
    <m/>
    <s v="Gopalpur Bmc"/>
    <m/>
    <n v="0"/>
  </r>
  <r>
    <s v="Munger"/>
    <s v="10-16 Jul"/>
    <n v="1059"/>
    <s v="Gopalpur Bmc"/>
    <x v="858"/>
    <s v="BARIYARPUR"/>
    <s v="MPG"/>
    <s v="Direct"/>
    <n v="701.6"/>
    <n v="32231.210000000003"/>
    <n v="701.60000000000014"/>
    <n v="31373.9"/>
    <n v="0"/>
    <n v="0"/>
    <n v="701.60000000000014"/>
    <n v="31373.9"/>
    <n v="31373.9"/>
    <n v="0"/>
    <n v="0"/>
    <n v="0"/>
    <n v="0"/>
    <n v="0"/>
    <n v="0"/>
    <n v="31374"/>
    <n v="0"/>
    <n v="0"/>
    <n v="857"/>
    <n v="0"/>
    <n v="0"/>
    <n v="0"/>
    <n v="2.6598753196048215E-2"/>
    <n v="1"/>
    <m/>
    <s v="Gopalpur Bmc"/>
    <m/>
    <n v="0"/>
  </r>
  <r>
    <s v="Munger"/>
    <s v="10-16 Jul"/>
    <n v="1059"/>
    <s v="Gopalpur Bmc"/>
    <x v="859"/>
    <s v="BAGWANA"/>
    <s v="MPG"/>
    <s v="Direct"/>
    <n v="798.5"/>
    <n v="37350.529999999992"/>
    <n v="795.90000000000009"/>
    <n v="37654.649999999994"/>
    <n v="0"/>
    <n v="0"/>
    <n v="795.90000000000009"/>
    <n v="37654.649999999994"/>
    <n v="37350.529999999992"/>
    <n v="0"/>
    <n v="0"/>
    <n v="304.12000000000262"/>
    <n v="0"/>
    <n v="0"/>
    <n v="0"/>
    <n v="37351"/>
    <n v="0"/>
    <n v="0"/>
    <n v="0"/>
    <n v="0"/>
    <n v="0"/>
    <n v="0"/>
    <n v="-8.1423208720198259E-3"/>
    <n v="1"/>
    <m/>
    <s v="Gopalpur Bmc"/>
    <m/>
    <n v="0"/>
  </r>
  <r>
    <s v="Munger"/>
    <s v="10-16 Jul"/>
    <n v="1059"/>
    <s v="Gopalpur Bmc"/>
    <x v="860"/>
    <s v="GOMUKH DAND"/>
    <s v="vlc"/>
    <s v="Indirect"/>
    <n v="395.2"/>
    <n v="19416.779999999995"/>
    <n v="0"/>
    <n v="0"/>
    <n v="0"/>
    <n v="0"/>
    <n v="0"/>
    <n v="0"/>
    <n v="19416.779999999995"/>
    <n v="0"/>
    <n v="0"/>
    <n v="0"/>
    <n v="0"/>
    <n v="0"/>
    <n v="0"/>
    <n v="0"/>
    <n v="0"/>
    <n v="19416.779999999995"/>
    <n v="0"/>
    <n v="0"/>
    <n v="299.50579676113358"/>
    <n v="56.457142857142856"/>
    <n v="0"/>
    <n v="0"/>
    <m/>
    <s v="Gopalpur Bmc"/>
    <m/>
    <n v="0"/>
  </r>
  <r>
    <s v="Munger"/>
    <s v="10-16 Jul"/>
    <n v="1014"/>
    <s v="Dumraon"/>
    <x v="861"/>
    <s v="Gomukh Ama"/>
    <s v="MPG"/>
    <s v="Direct"/>
    <n v="567"/>
    <n v="21359.279999999999"/>
    <n v="561.18000000000006"/>
    <n v="21352.670000000002"/>
    <n v="0"/>
    <n v="0"/>
    <n v="561.18000000000006"/>
    <n v="21352.670000000002"/>
    <n v="21352.670000000002"/>
    <n v="0"/>
    <n v="0"/>
    <n v="0"/>
    <n v="0"/>
    <n v="0"/>
    <n v="0"/>
    <n v="21353"/>
    <n v="0"/>
    <n v="0"/>
    <n v="6"/>
    <n v="0"/>
    <n v="100.20402962962963"/>
    <n v="81"/>
    <n v="3.0946736032286411E-4"/>
    <n v="1"/>
    <m/>
    <s v="Dumraon"/>
    <m/>
    <n v="0"/>
  </r>
  <r>
    <s v="Munger"/>
    <s v="10-16 Jul"/>
    <n v="1014"/>
    <s v="Dumraon"/>
    <x v="862"/>
    <s v="Gomukh Pawat"/>
    <s v="MPG"/>
    <s v="Direct"/>
    <n v="211.29999999999998"/>
    <n v="8632.73"/>
    <n v="211.85"/>
    <n v="9437.27"/>
    <n v="0"/>
    <n v="0"/>
    <n v="211.85"/>
    <n v="9437.27"/>
    <n v="8632.73"/>
    <n v="0"/>
    <n v="0"/>
    <n v="804.54000000000087"/>
    <n v="0"/>
    <n v="0"/>
    <n v="0"/>
    <n v="8633"/>
    <n v="0"/>
    <n v="0"/>
    <n v="0"/>
    <n v="0"/>
    <n v="399.31993857075258"/>
    <n v="30.185714285714283"/>
    <n v="-9.319647434820745E-2"/>
    <n v="2"/>
    <m/>
    <s v="Dumraon"/>
    <m/>
    <n v="0"/>
  </r>
  <r>
    <s v="Munger"/>
    <s v="10-16 Jul"/>
    <n v="1014"/>
    <s v="Dumraon"/>
    <x v="863"/>
    <s v="Gomukh Barja"/>
    <s v="MPG"/>
    <s v="Direct"/>
    <n v="159.1"/>
    <n v="6107.17"/>
    <n v="158.01999999999998"/>
    <n v="6071.4499999999989"/>
    <n v="0.76"/>
    <n v="26.68"/>
    <n v="158.77999999999997"/>
    <n v="6098.1299999999992"/>
    <n v="6098.1299999999992"/>
    <n v="0"/>
    <n v="26.68"/>
    <n v="0"/>
    <n v="0"/>
    <n v="0"/>
    <n v="0"/>
    <n v="6071"/>
    <n v="0"/>
    <n v="0"/>
    <n v="9"/>
    <n v="0"/>
    <n v="415.2568514142049"/>
    <n v="22.728571428571428"/>
    <n v="1.4802273393406231E-3"/>
    <n v="2"/>
    <m/>
    <s v="Dumraon"/>
    <m/>
    <n v="0"/>
  </r>
  <r>
    <s v="Munger"/>
    <s v="10-16 Jul"/>
    <n v="1014"/>
    <s v="Dumraon"/>
    <x v="864"/>
    <s v="Gomukh Charghat"/>
    <s v="MPG"/>
    <s v="Direct"/>
    <n v="31.3"/>
    <n v="1257.04"/>
    <n v="31.340000000000003"/>
    <n v="1170.55"/>
    <n v="0"/>
    <n v="0"/>
    <n v="31.340000000000003"/>
    <n v="1170.55"/>
    <n v="1170.55"/>
    <n v="0"/>
    <n v="0"/>
    <n v="0"/>
    <n v="0"/>
    <n v="0"/>
    <n v="0"/>
    <n v="1171"/>
    <n v="0"/>
    <n v="0"/>
    <n v="86"/>
    <n v="0"/>
    <n v="537.11351309904148"/>
    <n v="4.4714285714285715"/>
    <n v="6.8804493094889591E-2"/>
    <n v="1"/>
    <m/>
    <s v="Dumraon"/>
    <m/>
    <n v="0"/>
  </r>
  <r>
    <s v="Munger"/>
    <s v="10-16 Jul"/>
    <n v="1014"/>
    <s v="Dumraon"/>
    <x v="865"/>
    <s v="Gomukh Ramdihra"/>
    <s v="MPG"/>
    <s v="Direct"/>
    <n v="94.9"/>
    <n v="3439.7200000000003"/>
    <n v="95.8"/>
    <n v="3435.39"/>
    <n v="0"/>
    <n v="0"/>
    <n v="95.8"/>
    <n v="3435.39"/>
    <n v="3435.39"/>
    <n v="0"/>
    <n v="0"/>
    <n v="0"/>
    <n v="0"/>
    <n v="500"/>
    <n v="0"/>
    <n v="2935"/>
    <n v="0"/>
    <n v="0"/>
    <n v="5"/>
    <n v="0"/>
    <n v="438.64585289778705"/>
    <n v="13.557142857142859"/>
    <n v="1.2588233926018343E-3"/>
    <n v="1"/>
    <m/>
    <s v="Dumraon"/>
    <m/>
    <n v="500"/>
  </r>
  <r>
    <s v="Munger"/>
    <s v="10-16 Jul"/>
    <n v="1014"/>
    <s v="Dumraon"/>
    <x v="866"/>
    <s v="Gomukh Bara"/>
    <s v="MPG"/>
    <s v="Direct"/>
    <n v="50.999999999999993"/>
    <n v="1861.96"/>
    <n v="50.22"/>
    <n v="1860.6299999999999"/>
    <n v="0"/>
    <n v="0"/>
    <n v="50.22"/>
    <n v="1860.6299999999999"/>
    <n v="1860.6299999999999"/>
    <n v="0"/>
    <n v="0"/>
    <n v="0"/>
    <n v="0"/>
    <n v="0"/>
    <n v="0"/>
    <n v="1861"/>
    <n v="0"/>
    <n v="0"/>
    <n v="1"/>
    <n v="0"/>
    <n v="473.88707450980399"/>
    <n v="7.2857142857142847"/>
    <n v="7.1430105909909701E-4"/>
    <n v="1"/>
    <m/>
    <s v="Dumraon"/>
    <m/>
    <n v="0"/>
  </r>
  <r>
    <s v="Munger"/>
    <s v="10-16 Jul"/>
    <n v="1014"/>
    <s v="Dumraon"/>
    <x v="867"/>
    <s v="Gumukh Khajuriya"/>
    <s v="MPG"/>
    <s v="Direct"/>
    <n v="286"/>
    <n v="11463.089999999997"/>
    <n v="306.81999999999994"/>
    <n v="12285.490000000007"/>
    <n v="0"/>
    <n v="0"/>
    <n v="306.81999999999994"/>
    <n v="12285.490000000007"/>
    <n v="11463.089999999997"/>
    <n v="0"/>
    <n v="0"/>
    <n v="822.40000000001055"/>
    <n v="0"/>
    <n v="0"/>
    <n v="0"/>
    <n v="11463"/>
    <n v="0"/>
    <n v="0"/>
    <n v="0"/>
    <n v="0"/>
    <n v="331.86847972027959"/>
    <n v="40.857142857142854"/>
    <n v="-7.1743308305178694E-2"/>
    <n v="3"/>
    <m/>
    <s v="Dumraon"/>
    <m/>
    <n v="0"/>
  </r>
  <r>
    <s v="Munger"/>
    <s v="10-16 Jul"/>
    <n v="1061"/>
    <s v="Mahua BMC"/>
    <x v="868"/>
    <s v="GOMUKH BHATOLIYA"/>
    <s v="MPG"/>
    <s v="Direct"/>
    <n v="652.40000000000009"/>
    <n v="29921.079999999994"/>
    <n v="673.89999999999986"/>
    <n v="30874.07"/>
    <n v="3.3"/>
    <n v="172.57999999999998"/>
    <n v="677.19999999999982"/>
    <n v="31046.65"/>
    <n v="29921.079999999994"/>
    <n v="0"/>
    <n v="172.57999999999998"/>
    <n v="1125.570000000007"/>
    <n v="0"/>
    <n v="0"/>
    <n v="0"/>
    <n v="29748"/>
    <n v="0"/>
    <n v="0"/>
    <n v="0"/>
    <n v="0"/>
    <n v="43.66166180257499"/>
    <n v="93.200000000000017"/>
    <n v="-3.7617960314266972E-2"/>
    <n v="8"/>
    <m/>
    <s v="Mahua BMC"/>
    <m/>
    <n v="0"/>
  </r>
  <r>
    <s v="Munger"/>
    <s v="10-16 Jul"/>
    <n v="1061"/>
    <s v="Mahua BMC"/>
    <x v="869"/>
    <s v="GOMUKH CHEHRAKALA"/>
    <s v="MPG"/>
    <s v="Direct"/>
    <n v="355.8"/>
    <n v="16986.100000000002"/>
    <n v="359.5"/>
    <n v="17769.59"/>
    <n v="0"/>
    <n v="0"/>
    <n v="359.5"/>
    <n v="17769.59"/>
    <n v="16986.100000000002"/>
    <n v="0"/>
    <n v="0"/>
    <n v="783.48999999999796"/>
    <n v="0"/>
    <n v="0"/>
    <n v="0"/>
    <n v="16986"/>
    <n v="0"/>
    <n v="0"/>
    <n v="0"/>
    <n v="0"/>
    <n v="328.64618437324339"/>
    <n v="50.828571428571429"/>
    <n v="-4.612536132484784E-2"/>
    <n v="9"/>
    <m/>
    <s v="Mahua BMC"/>
    <m/>
    <n v="0"/>
  </r>
  <r>
    <s v="Munger"/>
    <s v="10-16 Jul"/>
    <n v="1061"/>
    <s v="Mahua BMC"/>
    <x v="870"/>
    <s v="GOMUKH KHAJECHAND"/>
    <s v="MPG"/>
    <s v="Direct"/>
    <n v="244.90000000000003"/>
    <n v="9665.7899999999991"/>
    <n v="231"/>
    <n v="9240.2100000000009"/>
    <n v="0"/>
    <n v="0"/>
    <n v="231"/>
    <n v="9240.2100000000009"/>
    <n v="9240.2100000000009"/>
    <n v="0"/>
    <n v="0"/>
    <n v="0"/>
    <n v="0"/>
    <n v="0"/>
    <n v="0"/>
    <n v="9240"/>
    <n v="0"/>
    <n v="0"/>
    <n v="426"/>
    <n v="0"/>
    <n v="359.2405903634135"/>
    <n v="34.985714285714288"/>
    <n v="4.4029510262482231E-2"/>
    <n v="3"/>
    <m/>
    <s v="Mahua BMC"/>
    <m/>
    <n v="0"/>
  </r>
  <r>
    <s v="Munger"/>
    <s v="10-16 Jul"/>
    <n v="1061"/>
    <s v="Mahua BMC"/>
    <x v="871"/>
    <s v="GOMUKH SALEMPUR"/>
    <s v="MPG"/>
    <s v="Direct"/>
    <n v="372.2"/>
    <n v="16566.579999999998"/>
    <n v="393.6"/>
    <n v="17874.589999999997"/>
    <n v="8.4"/>
    <n v="298.87"/>
    <n v="402"/>
    <n v="18173.459999999995"/>
    <n v="16566.579999999998"/>
    <n v="0"/>
    <n v="298.87"/>
    <n v="1606.8799999999974"/>
    <n v="7264"/>
    <n v="0"/>
    <n v="0"/>
    <n v="9004"/>
    <n v="0"/>
    <n v="0"/>
    <n v="0"/>
    <n v="0"/>
    <n v="291.8068202041913"/>
    <n v="53.171428571428571"/>
    <n v="-9.6995276031624972E-2"/>
    <n v="9"/>
    <m/>
    <s v="Mahua BMC"/>
    <m/>
    <n v="0"/>
  </r>
  <r>
    <s v="Munger"/>
    <s v="10-16 Jul"/>
    <n v="1061"/>
    <s v="Mahua BMC"/>
    <x v="872"/>
    <s v="Gomukh Paharpur"/>
    <s v="MPG"/>
    <s v="Direct"/>
    <n v="876.5"/>
    <n v="39337.26"/>
    <n v="913.8"/>
    <n v="39592.789999999994"/>
    <n v="0"/>
    <n v="0"/>
    <n v="913.8"/>
    <n v="39592.789999999994"/>
    <n v="39337.26"/>
    <n v="0"/>
    <n v="0"/>
    <n v="255.52999999999156"/>
    <n v="0"/>
    <n v="0"/>
    <n v="0"/>
    <n v="39337"/>
    <n v="0"/>
    <n v="0"/>
    <n v="0"/>
    <n v="0"/>
    <n v="0"/>
    <n v="0"/>
    <n v="-6.4958769370309869E-3"/>
    <n v="6"/>
    <m/>
    <s v="Mahua BMC"/>
    <m/>
    <n v="0"/>
  </r>
  <r>
    <s v="Munger"/>
    <s v="10-16 Jul"/>
    <n v="1061"/>
    <s v="Mahua BMC"/>
    <x v="873"/>
    <s v="GOMUKH PREMRAJ"/>
    <s v="MPG"/>
    <s v="Direct"/>
    <n v="376.30000000000013"/>
    <n v="19390.95"/>
    <n v="380.3"/>
    <n v="19787.390000000003"/>
    <n v="0"/>
    <n v="0"/>
    <n v="380.3"/>
    <n v="19787.390000000003"/>
    <n v="19390.95"/>
    <n v="0"/>
    <n v="0"/>
    <n v="396.44000000000233"/>
    <n v="0"/>
    <n v="0"/>
    <n v="0"/>
    <n v="19391"/>
    <n v="0"/>
    <n v="0"/>
    <n v="0"/>
    <n v="0"/>
    <n v="333.60885011958521"/>
    <n v="53.757142857142874"/>
    <n v="-2.0444588841702048E-2"/>
    <n v="10"/>
    <m/>
    <s v="Mahua BMC"/>
    <m/>
    <n v="0"/>
  </r>
  <r>
    <s v="Munger"/>
    <s v="10-16 Jul"/>
    <n v="1061"/>
    <s v="Mahua BMC"/>
    <x v="874"/>
    <s v="GOMUKH GANGATI"/>
    <s v="MPG"/>
    <s v="Direct"/>
    <n v="401.70000000000005"/>
    <n v="18429.719999999998"/>
    <n v="416.29999999999995"/>
    <n v="18537.760000000002"/>
    <n v="0"/>
    <n v="0"/>
    <n v="416.29999999999995"/>
    <n v="18537.760000000002"/>
    <n v="18429.719999999998"/>
    <n v="0"/>
    <n v="0"/>
    <n v="108.04000000000451"/>
    <n v="0"/>
    <n v="0"/>
    <n v="0"/>
    <n v="18430"/>
    <n v="0"/>
    <n v="0"/>
    <n v="0"/>
    <n v="0"/>
    <n v="273.71598088125461"/>
    <n v="57.385714285714293"/>
    <n v="-5.8622702895108842E-3"/>
    <n v="3"/>
    <m/>
    <s v="Mahua BMC"/>
    <m/>
    <n v="0"/>
  </r>
  <r>
    <s v="Munger"/>
    <s v="10-16 Jul"/>
    <n v="1061"/>
    <s v="Mahua BMC"/>
    <x v="875"/>
    <s v="GOMUKH Khanpatti"/>
    <s v="MPG"/>
    <s v="Direct"/>
    <n v="1284.5999999999997"/>
    <n v="59584.720000000008"/>
    <n v="1277.6000000000004"/>
    <n v="59074.82"/>
    <n v="12.6"/>
    <n v="570.17999999999995"/>
    <n v="1290.2000000000003"/>
    <n v="59645"/>
    <n v="59584.720000000008"/>
    <n v="0"/>
    <n v="570.17999999999995"/>
    <n v="60.27999999999156"/>
    <n v="2800"/>
    <n v="0"/>
    <n v="0"/>
    <n v="56215"/>
    <n v="0"/>
    <n v="0"/>
    <n v="0"/>
    <n v="0"/>
    <n v="0"/>
    <n v="0"/>
    <n v="-1.011668763400945E-3"/>
    <n v="31"/>
    <m/>
    <s v="Mahua BMC"/>
    <m/>
    <n v="0"/>
  </r>
  <r>
    <s v="Munger"/>
    <s v="10-16 Jul"/>
    <n v="1061"/>
    <s v="Mahua BMC"/>
    <x v="876"/>
    <s v="GOMUKH Bhagwatpur"/>
    <s v="MPG"/>
    <s v="Direct"/>
    <n v="446.99999999999994"/>
    <n v="21833.449999999993"/>
    <n v="462.90000000000003"/>
    <n v="21899.94"/>
    <n v="0"/>
    <n v="0"/>
    <n v="462.90000000000003"/>
    <n v="21899.94"/>
    <n v="21833.449999999993"/>
    <n v="0"/>
    <n v="0"/>
    <n v="66.490000000005239"/>
    <n v="0"/>
    <n v="0"/>
    <n v="0"/>
    <n v="21833"/>
    <n v="0"/>
    <n v="0"/>
    <n v="0"/>
    <n v="0"/>
    <n v="247.15270022371365"/>
    <n v="63.857142857142847"/>
    <n v="-3.0453272387096523E-3"/>
    <n v="16"/>
    <m/>
    <s v="Mahua BMC"/>
    <m/>
    <n v="0"/>
  </r>
  <r>
    <s v="Munger"/>
    <s v="10-16 Jul"/>
    <n v="1061"/>
    <s v="Mahua BMC"/>
    <x v="877"/>
    <s v="GOMUKH JIRWARA"/>
    <s v="vlc"/>
    <s v="Indirect"/>
    <n v="359.09999999999991"/>
    <n v="14323.449999999999"/>
    <n v="0"/>
    <n v="0"/>
    <n v="0"/>
    <n v="0"/>
    <n v="0"/>
    <n v="0"/>
    <n v="14323.449999999999"/>
    <n v="0"/>
    <n v="0"/>
    <n v="0"/>
    <n v="0"/>
    <n v="0"/>
    <n v="0"/>
    <n v="0"/>
    <n v="0"/>
    <n v="14323.449999999999"/>
    <n v="0"/>
    <n v="0"/>
    <n v="271.95010331384032"/>
    <n v="51.29999999999999"/>
    <n v="0"/>
    <n v="0"/>
    <m/>
    <s v="Mahua BMC"/>
    <m/>
    <n v="0"/>
  </r>
  <r>
    <s v="Munger"/>
    <s v="10-16 Jul"/>
    <n v="1061"/>
    <s v="Mahua BMC"/>
    <x v="878"/>
    <s v="GOMUKH Karhatiya"/>
    <s v="vlc"/>
    <s v="Indirect"/>
    <n v="128.29999999999998"/>
    <n v="4640.1799999999994"/>
    <n v="0"/>
    <n v="0"/>
    <n v="0"/>
    <n v="0"/>
    <n v="0"/>
    <n v="0"/>
    <n v="4640.1799999999994"/>
    <n v="0"/>
    <n v="0"/>
    <n v="0"/>
    <n v="0"/>
    <n v="0"/>
    <n v="0"/>
    <n v="0"/>
    <n v="0"/>
    <n v="4640.1799999999994"/>
    <n v="0"/>
    <n v="0"/>
    <n v="413.52936960249417"/>
    <n v="18.328571428571426"/>
    <n v="0"/>
    <n v="0"/>
    <m/>
    <s v="Mahua BMC"/>
    <m/>
    <n v="0"/>
  </r>
  <r>
    <s v="Munger"/>
    <s v="10-16 Jul"/>
    <n v="1061"/>
    <s v="Mahua BMC"/>
    <x v="879"/>
    <s v="GOMUKH Bheraukhara"/>
    <s v="MPG"/>
    <s v="Direct"/>
    <n v="172.39999999999998"/>
    <n v="7083.14"/>
    <n v="172.4"/>
    <n v="7090.41"/>
    <n v="0"/>
    <n v="0"/>
    <n v="172.4"/>
    <n v="7090.41"/>
    <n v="7083.14"/>
    <n v="0"/>
    <n v="0"/>
    <n v="7.2699999999995271"/>
    <n v="0"/>
    <n v="0"/>
    <n v="0"/>
    <n v="7083"/>
    <n v="0"/>
    <n v="0"/>
    <n v="0"/>
    <n v="0"/>
    <n v="433.53418375870075"/>
    <n v="24.628571428571426"/>
    <n v="-1.0263809553389496E-3"/>
    <n v="1"/>
    <m/>
    <s v="Mahua BMC"/>
    <m/>
    <n v="0"/>
  </r>
  <r>
    <s v="Munger"/>
    <s v="10-16 Jul"/>
    <n v="1061"/>
    <s v="Mahua BMC"/>
    <x v="880"/>
    <s v="GOMUKH SUPOLTARIYA"/>
    <s v="MPG"/>
    <s v="Direct"/>
    <n v="490.30000000000007"/>
    <n v="22436.33"/>
    <n v="394.2"/>
    <n v="17344.95"/>
    <n v="123.29999999999998"/>
    <n v="5532.47"/>
    <n v="517.5"/>
    <n v="22877.420000000002"/>
    <n v="22436.33"/>
    <n v="0"/>
    <n v="0"/>
    <n v="441.09000000000015"/>
    <n v="8424"/>
    <n v="0"/>
    <n v="0"/>
    <n v="8479"/>
    <n v="5533"/>
    <n v="0"/>
    <n v="0"/>
    <n v="0"/>
    <n v="191.91916789720565"/>
    <n v="70.042857142857159"/>
    <n v="-1.9659632390858939E-2"/>
    <n v="14"/>
    <m/>
    <s v="Mahua BMC"/>
    <m/>
    <n v="0"/>
  </r>
  <r>
    <s v="Munger"/>
    <s v="10-16 Jul"/>
    <n v="1061"/>
    <s v="Mahua BMC"/>
    <x v="881"/>
    <s v="GOMUKH Shravanapatti"/>
    <s v="MPG"/>
    <s v="Direct"/>
    <n v="55.500000000000007"/>
    <n v="2887.8299999999995"/>
    <n v="55.6"/>
    <n v="2996.8599999999997"/>
    <n v="0"/>
    <n v="0"/>
    <n v="55.6"/>
    <n v="2996.8599999999997"/>
    <n v="2887.8299999999995"/>
    <n v="0"/>
    <n v="0"/>
    <n v="109.0300000000002"/>
    <n v="0"/>
    <n v="0"/>
    <n v="0"/>
    <n v="2888"/>
    <n v="0"/>
    <n v="0"/>
    <n v="0"/>
    <n v="0"/>
    <n v="670.70502162162143"/>
    <n v="7.9285714285714297"/>
    <n v="-3.7754992503021376E-2"/>
    <n v="5"/>
    <m/>
    <s v="Mahua BMC"/>
    <m/>
    <n v="0"/>
  </r>
  <r>
    <s v="Munger"/>
    <s v="10-16 Jul"/>
    <n v="1061"/>
    <s v="Mahua BMC"/>
    <x v="882"/>
    <s v="GOMUKH Jilwara"/>
    <s v="MPG"/>
    <s v="Direct"/>
    <n v="368.19999999999993"/>
    <n v="15690.300000000001"/>
    <n v="367.70000000000005"/>
    <n v="15215.1"/>
    <n v="0"/>
    <n v="0"/>
    <n v="367.70000000000005"/>
    <n v="15215.1"/>
    <n v="15215.1"/>
    <n v="0"/>
    <n v="0"/>
    <n v="0"/>
    <n v="0"/>
    <n v="0"/>
    <n v="0"/>
    <n v="15214"/>
    <n v="0"/>
    <n v="0"/>
    <n v="476"/>
    <n v="0"/>
    <n v="282.78335361216745"/>
    <n v="52.599999999999987"/>
    <n v="3.0286227796791694E-2"/>
    <n v="13"/>
    <m/>
    <s v="Mahua BMC"/>
    <m/>
    <n v="0"/>
  </r>
  <r>
    <s v="Munger"/>
    <s v="10-16 Jul"/>
    <n v="1061"/>
    <s v="Mahua BMC"/>
    <x v="883"/>
    <s v="GOMUKH ABBUCHAK"/>
    <s v="MPG"/>
    <s v="Direct"/>
    <n v="208.29999999999998"/>
    <n v="10826.160000000002"/>
    <n v="192.5"/>
    <n v="10495.18"/>
    <n v="0"/>
    <n v="0"/>
    <n v="192.5"/>
    <n v="10495.18"/>
    <n v="10495.18"/>
    <n v="0"/>
    <n v="0"/>
    <n v="0"/>
    <n v="0"/>
    <n v="0"/>
    <n v="0"/>
    <n v="10495"/>
    <n v="0"/>
    <n v="0"/>
    <n v="331"/>
    <s v="Release1"/>
    <n v="511.11117349976018"/>
    <n v="29.757142857142856"/>
    <n v="3.0572243528638163E-2"/>
    <n v="4"/>
    <m/>
    <s v="Mahua BMC"/>
    <m/>
    <n v="0"/>
  </r>
  <r>
    <s v="Munger"/>
    <s v="10-16 Jul"/>
    <n v="1061"/>
    <s v="Mahua BMC"/>
    <x v="884"/>
    <s v="GOMUKH KAILA JALALPUR"/>
    <s v="MPG"/>
    <s v="Direct"/>
    <n v="320.59999999999997"/>
    <n v="12543.25"/>
    <n v="314.5"/>
    <n v="12161.140000000001"/>
    <n v="4.7"/>
    <n v="201.23999999999998"/>
    <n v="319.2"/>
    <n v="12362.380000000001"/>
    <n v="12362.380000000001"/>
    <n v="0"/>
    <n v="201.23999999999998"/>
    <n v="0"/>
    <n v="0"/>
    <n v="0"/>
    <n v="0"/>
    <n v="12162"/>
    <n v="0"/>
    <n v="0"/>
    <n v="180"/>
    <n v="0"/>
    <n v="296.87517467248915"/>
    <n v="45.8"/>
    <n v="1.4419707810973948E-2"/>
    <n v="8"/>
    <m/>
    <s v="Mahua BMC"/>
    <m/>
    <n v="0"/>
  </r>
  <r>
    <s v="Munger"/>
    <s v="10-16 Jul"/>
    <n v="1061"/>
    <s v="Mahua BMC"/>
    <x v="886"/>
    <s v="Gomukh Jhitkahi East"/>
    <s v="MPG"/>
    <s v="Direct"/>
    <n v="160.10000000000002"/>
    <n v="9003.0300000000007"/>
    <n v="156.4"/>
    <n v="9061.2700000000023"/>
    <n v="0"/>
    <n v="0"/>
    <n v="156.4"/>
    <n v="9061.2700000000023"/>
    <n v="9003.0300000000007"/>
    <n v="0"/>
    <n v="0"/>
    <n v="58.240000000001601"/>
    <n v="0"/>
    <n v="0"/>
    <n v="0"/>
    <n v="9003"/>
    <n v="0"/>
    <n v="0"/>
    <n v="0"/>
    <n v="0"/>
    <n v="607.21247932542167"/>
    <n v="22.871428571428574"/>
    <n v="-6.4689332369215246E-3"/>
    <n v="8"/>
    <m/>
    <s v="Mahua BMC"/>
    <m/>
    <n v="0"/>
  </r>
  <r>
    <s v="Munger"/>
    <s v="10-16 Jul"/>
    <n v="1061"/>
    <s v="Mahua BMC"/>
    <x v="887"/>
    <s v="GOMUKH UPHRAUL"/>
    <s v="vlc"/>
    <s v="Indirect"/>
    <n v="1658.6"/>
    <n v="64538.03"/>
    <n v="0"/>
    <n v="0"/>
    <n v="0"/>
    <n v="0"/>
    <n v="0"/>
    <n v="0"/>
    <n v="64538.03"/>
    <n v="0"/>
    <n v="0"/>
    <n v="0"/>
    <n v="0"/>
    <n v="0"/>
    <n v="0"/>
    <n v="0"/>
    <n v="0"/>
    <n v="64538.03"/>
    <n v="0"/>
    <n v="0"/>
    <n v="0"/>
    <n v="0"/>
    <n v="0"/>
    <n v="0"/>
    <m/>
    <s v="Mahua BMC"/>
    <m/>
    <n v="0"/>
  </r>
  <r>
    <s v="Munger"/>
    <s v="10-16 Jul"/>
    <n v="1061"/>
    <s v="Mahua BMC"/>
    <x v="888"/>
    <s v="GOMUKH SHERPUR"/>
    <s v="vlc"/>
    <s v="Indirect"/>
    <n v="231.60000000000002"/>
    <n v="8724.1800000000021"/>
    <n v="0"/>
    <n v="0"/>
    <n v="0"/>
    <n v="0"/>
    <n v="0"/>
    <n v="0"/>
    <n v="8724.1800000000021"/>
    <n v="0"/>
    <n v="0"/>
    <n v="0"/>
    <n v="0"/>
    <n v="0"/>
    <n v="0"/>
    <n v="0"/>
    <n v="0"/>
    <n v="8724.1800000000021"/>
    <n v="0"/>
    <n v="0"/>
    <n v="352.8847937823835"/>
    <n v="33.085714285714289"/>
    <n v="0"/>
    <n v="0"/>
    <m/>
    <s v="Mahua BMC"/>
    <m/>
    <n v="0"/>
  </r>
  <r>
    <s v="Munger"/>
    <s v="10-16 Jul"/>
    <n v="1061"/>
    <s v="Mahua BMC"/>
    <x v="989"/>
    <s v="GOMUKH PANSALA"/>
    <s v="vlc"/>
    <s v="Indirect"/>
    <n v="9.6"/>
    <n v="381.6"/>
    <n v="0"/>
    <n v="0"/>
    <n v="0"/>
    <n v="0"/>
    <n v="0"/>
    <n v="0"/>
    <n v="381.6"/>
    <n v="0"/>
    <n v="0"/>
    <n v="0"/>
    <n v="0"/>
    <n v="0"/>
    <n v="0"/>
    <n v="0"/>
    <n v="0"/>
    <n v="381.6"/>
    <n v="0"/>
    <n v="0"/>
    <n v="548.86800000000017"/>
    <n v="1.3714285714285714"/>
    <n v="0"/>
    <n v="0"/>
    <m/>
    <s v="Mahua BMC"/>
    <m/>
    <n v="0"/>
  </r>
  <r>
    <s v="Munger"/>
    <s v="10-16 Jul"/>
    <n v="1061"/>
    <s v="Mahua BMC"/>
    <x v="990"/>
    <s v="GOMUKH KUSIYARI"/>
    <s v="vlc"/>
    <s v="Indirect"/>
    <n v="303.3"/>
    <n v="11498.73"/>
    <n v="0"/>
    <n v="0"/>
    <n v="0"/>
    <n v="0"/>
    <n v="0"/>
    <n v="0"/>
    <n v="11498.73"/>
    <n v="0"/>
    <n v="0"/>
    <n v="0"/>
    <n v="0"/>
    <n v="0"/>
    <n v="0"/>
    <n v="0"/>
    <n v="0"/>
    <n v="11498.73"/>
    <n v="0"/>
    <n v="0"/>
    <n v="300.79434164193862"/>
    <n v="43.328571428571429"/>
    <n v="0"/>
    <n v="0"/>
    <m/>
    <s v="Mahua BMC"/>
    <m/>
    <n v="0"/>
  </r>
  <r>
    <s v="Munger"/>
    <s v="10-16 Jul"/>
    <n v="1061"/>
    <s v="Mahua BMC"/>
    <x v="991"/>
    <s v="GOMUKH PACHAI"/>
    <s v="vlc"/>
    <s v="Indirect"/>
    <n v="135.1"/>
    <n v="5222.1499999999996"/>
    <n v="0"/>
    <n v="0"/>
    <n v="0"/>
    <n v="0"/>
    <n v="0"/>
    <n v="0"/>
    <n v="5222.1499999999996"/>
    <n v="0"/>
    <n v="0"/>
    <n v="0"/>
    <n v="0"/>
    <n v="0"/>
    <n v="0"/>
    <n v="0"/>
    <n v="0"/>
    <n v="5222.1499999999996"/>
    <n v="0"/>
    <n v="0"/>
    <n v="436.71244041450774"/>
    <n v="19.3"/>
    <n v="0"/>
    <n v="0"/>
    <m/>
    <s v="Mahua BMC"/>
    <m/>
    <n v="0"/>
  </r>
  <r>
    <s v="Munger"/>
    <s v="10-16 Jul"/>
    <n v="1061"/>
    <s v="Mahua BMC"/>
    <x v="889"/>
    <s v="GOMUKH GARAHI"/>
    <s v="vlc"/>
    <s v="Indirect"/>
    <n v="521.00000000000011"/>
    <n v="17229.22"/>
    <n v="0"/>
    <n v="0"/>
    <n v="0"/>
    <n v="0"/>
    <n v="0"/>
    <n v="0"/>
    <n v="17229.22"/>
    <n v="0"/>
    <n v="0"/>
    <n v="0"/>
    <n v="0"/>
    <n v="0"/>
    <n v="0"/>
    <n v="0"/>
    <n v="0"/>
    <n v="17229.22"/>
    <n v="0"/>
    <n v="0"/>
    <n v="118.388882149712"/>
    <n v="74.428571428571445"/>
    <n v="0"/>
    <n v="0"/>
    <m/>
    <s v="Mahua BMC"/>
    <m/>
    <n v="0"/>
  </r>
  <r>
    <s v="Munger"/>
    <s v="10-16 Jul"/>
    <n v="1061"/>
    <s v="Mahua BMC"/>
    <x v="890"/>
    <s v="GOMUKH BAIKUNTHPUR"/>
    <s v="vlc"/>
    <s v="Indirect"/>
    <n v="457.20000000000005"/>
    <n v="17206.16"/>
    <n v="0"/>
    <n v="0"/>
    <n v="0"/>
    <n v="0"/>
    <n v="0"/>
    <n v="0"/>
    <n v="17206.16"/>
    <n v="0"/>
    <n v="0"/>
    <n v="0"/>
    <n v="0"/>
    <n v="0"/>
    <n v="0"/>
    <n v="0"/>
    <n v="0"/>
    <n v="17206.16"/>
    <n v="0"/>
    <n v="0"/>
    <n v="182.74959090113734"/>
    <n v="65.314285714285717"/>
    <n v="0"/>
    <n v="0"/>
    <m/>
    <s v="Mahua BMC"/>
    <m/>
    <n v="0"/>
  </r>
  <r>
    <s v="Munger"/>
    <s v="10-16 Jul"/>
    <n v="1061"/>
    <s v="Mahua BMC"/>
    <x v="891"/>
    <s v="GOMUKH BAHASHI"/>
    <s v="vlc"/>
    <s v="Indirect"/>
    <n v="1268.1000000000001"/>
    <n v="47150.31"/>
    <n v="0"/>
    <n v="0"/>
    <n v="0"/>
    <n v="0"/>
    <n v="0"/>
    <n v="0"/>
    <n v="47150.31"/>
    <n v="0"/>
    <n v="0"/>
    <n v="0"/>
    <n v="0"/>
    <n v="0"/>
    <n v="0"/>
    <n v="0"/>
    <n v="0"/>
    <n v="47150.31"/>
    <n v="0"/>
    <n v="0"/>
    <n v="0"/>
    <n v="0"/>
    <n v="0"/>
    <n v="0"/>
    <m/>
    <s v="Mahua BMC"/>
    <m/>
    <n v="0"/>
  </r>
  <r>
    <s v="Munger"/>
    <s v="10-16 Jul"/>
    <n v="1061"/>
    <s v="Mahua BMC"/>
    <x v="893"/>
    <s v="GOMUKH KHARIKA"/>
    <s v="vlc"/>
    <s v="Indirect"/>
    <n v="746.4"/>
    <n v="28681.739999999998"/>
    <n v="0"/>
    <n v="0"/>
    <n v="0"/>
    <n v="0"/>
    <n v="0"/>
    <n v="0"/>
    <n v="28681.739999999998"/>
    <n v="0"/>
    <n v="0"/>
    <n v="0"/>
    <n v="0"/>
    <n v="0"/>
    <n v="0"/>
    <n v="0"/>
    <n v="0"/>
    <n v="28681.739999999998"/>
    <n v="0"/>
    <n v="0"/>
    <n v="0"/>
    <n v="0"/>
    <n v="0"/>
    <n v="0"/>
    <m/>
    <s v="Mahua BMC"/>
    <m/>
    <n v="0"/>
  </r>
  <r>
    <s v="Munger"/>
    <s v="10-16 Jul"/>
    <n v="1061"/>
    <s v="Mahua BMC"/>
    <x v="894"/>
    <s v="GOMUKH KALYANPUR"/>
    <s v="vlc"/>
    <s v="Indirect"/>
    <n v="38.799999999999997"/>
    <n v="1461.6"/>
    <n v="0"/>
    <n v="0"/>
    <n v="0"/>
    <n v="0"/>
    <n v="0"/>
    <n v="0"/>
    <n v="1461.6"/>
    <n v="0"/>
    <n v="0"/>
    <n v="0"/>
    <n v="0"/>
    <n v="0"/>
    <n v="0"/>
    <n v="0"/>
    <n v="0"/>
    <n v="1461.6"/>
    <n v="0"/>
    <n v="0"/>
    <n v="498.14944329896912"/>
    <n v="5.5428571428571427"/>
    <n v="0"/>
    <n v="0"/>
    <m/>
    <s v="Mahua BMC"/>
    <m/>
    <n v="0"/>
  </r>
  <r>
    <s v="Munger"/>
    <s v="10-16 Jul"/>
    <n v="1061"/>
    <s v="Mahua BMC"/>
    <x v="992"/>
    <s v="GOMUKH GOVINDPUR"/>
    <s v="vlc"/>
    <s v="Indirect"/>
    <n v="30.8"/>
    <n v="1062.9100000000001"/>
    <n v="0"/>
    <n v="0"/>
    <n v="0"/>
    <n v="0"/>
    <n v="0"/>
    <n v="0"/>
    <n v="1062.9100000000001"/>
    <n v="0"/>
    <n v="0"/>
    <n v="0"/>
    <n v="0"/>
    <n v="0"/>
    <n v="0"/>
    <n v="0"/>
    <n v="0"/>
    <n v="1062.9100000000001"/>
    <n v="0"/>
    <n v="0"/>
    <n v="461.88270909090915"/>
    <n v="4.4000000000000004"/>
    <n v="0"/>
    <n v="0"/>
    <m/>
    <s v="Mahua BMC"/>
    <m/>
    <n v="0"/>
  </r>
  <r>
    <s v="Munger"/>
    <s v="10-16 Jul"/>
    <n v="1061"/>
    <s v="Mahua BMC"/>
    <x v="896"/>
    <s v="GOMUKH HARPUR RAJESH"/>
    <s v="vlc"/>
    <s v="Indirect"/>
    <n v="484.9"/>
    <n v="19812.759999999998"/>
    <n v="0"/>
    <n v="0"/>
    <n v="0"/>
    <n v="0"/>
    <n v="0"/>
    <n v="0"/>
    <n v="19812.759999999998"/>
    <n v="0"/>
    <n v="0"/>
    <n v="0"/>
    <n v="0"/>
    <n v="0"/>
    <n v="0"/>
    <n v="0"/>
    <n v="0"/>
    <n v="19812.759999999998"/>
    <n v="0"/>
    <n v="0"/>
    <n v="175.77746652918125"/>
    <n v="69.271428571428572"/>
    <n v="0"/>
    <n v="0"/>
    <m/>
    <s v="Mahua BMC"/>
    <m/>
    <n v="0"/>
  </r>
  <r>
    <s v="Munger"/>
    <s v="10-16 Jul"/>
    <n v="1061"/>
    <s v="Mahua BMC"/>
    <x v="897"/>
    <s v="GOMUKH SANICHAR HATT"/>
    <s v="vlc"/>
    <s v="Indirect"/>
    <n v="187.39999999999998"/>
    <n v="7202.7200000000012"/>
    <n v="0"/>
    <n v="0"/>
    <n v="0"/>
    <n v="0"/>
    <n v="0"/>
    <n v="0"/>
    <n v="7202.7200000000012"/>
    <n v="0"/>
    <n v="0"/>
    <n v="0"/>
    <n v="0"/>
    <n v="0"/>
    <n v="0"/>
    <n v="0"/>
    <n v="0"/>
    <n v="7202.7200000000012"/>
    <n v="0"/>
    <n v="0"/>
    <n v="394.03567470651035"/>
    <n v="26.771428571428569"/>
    <n v="0"/>
    <n v="0"/>
    <m/>
    <s v="Mahua BMC"/>
    <m/>
    <n v="0"/>
  </r>
  <r>
    <s v="Munger"/>
    <s v="10-16 Jul"/>
    <n v="1061"/>
    <s v="Mahua BMC"/>
    <x v="898"/>
    <s v="GOMUKH SAHARIYA"/>
    <s v="vlc"/>
    <s v="Indirect"/>
    <n v="814.5"/>
    <n v="32749.870000000003"/>
    <n v="0"/>
    <n v="0"/>
    <n v="0"/>
    <n v="0"/>
    <n v="0"/>
    <n v="0"/>
    <n v="32749.870000000003"/>
    <n v="0"/>
    <n v="0"/>
    <n v="0"/>
    <n v="0"/>
    <n v="0"/>
    <n v="0"/>
    <n v="0"/>
    <n v="0"/>
    <n v="32749.870000000003"/>
    <n v="0"/>
    <n v="0"/>
    <n v="0"/>
    <n v="0"/>
    <n v="0"/>
    <n v="0"/>
    <m/>
    <s v="Mahua BMC"/>
    <m/>
    <n v="0"/>
  </r>
  <r>
    <s v="Munger"/>
    <s v="10-16 Jul"/>
    <n v="1061"/>
    <s v="Mahua BMC"/>
    <x v="899"/>
    <s v="GOMUKH TAJPUR BUZURG"/>
    <s v="MPG"/>
    <s v="Direct"/>
    <n v="707.1"/>
    <n v="27803.780000000002"/>
    <n v="716.9"/>
    <n v="28216.21"/>
    <n v="0"/>
    <n v="0"/>
    <n v="716.9"/>
    <n v="28216.21"/>
    <n v="27803.780000000002"/>
    <n v="0"/>
    <n v="0"/>
    <n v="412.42999999999665"/>
    <n v="0"/>
    <n v="0"/>
    <n v="0"/>
    <n v="27804"/>
    <n v="0"/>
    <n v="0"/>
    <n v="0"/>
    <n v="0"/>
    <n v="0"/>
    <n v="0"/>
    <n v="-1.483359456879592E-2"/>
    <n v="4"/>
    <m/>
    <s v="Mahua BMC"/>
    <m/>
    <n v="0"/>
  </r>
  <r>
    <s v="Munger"/>
    <s v="10-16 Jul"/>
    <n v="1061"/>
    <s v="Mahua BMC"/>
    <x v="900"/>
    <s v="GOMUKH PAITRAPUR"/>
    <s v="MPG"/>
    <s v="Direct"/>
    <n v="192.80000000000004"/>
    <n v="9425.5600000000013"/>
    <n v="173.70000000000002"/>
    <n v="8425.7000000000007"/>
    <n v="22.7"/>
    <n v="1320.25"/>
    <n v="196.4"/>
    <n v="9745.9500000000007"/>
    <n v="9425.5600000000013"/>
    <n v="0"/>
    <n v="0"/>
    <n v="320.38999999999942"/>
    <n v="0"/>
    <n v="0"/>
    <n v="0"/>
    <n v="8106"/>
    <n v="1320"/>
    <n v="0"/>
    <n v="0"/>
    <n v="0"/>
    <n v="495.91743070539417"/>
    <n v="27.542857142857148"/>
    <n v="-3.3991614291352383E-2"/>
    <n v="11"/>
    <m/>
    <s v="Mahua BMC"/>
    <m/>
    <n v="0"/>
  </r>
  <r>
    <s v="Munger"/>
    <s v="10-16 Jul"/>
    <n v="1061"/>
    <s v="Mahua BMC"/>
    <x v="901"/>
    <s v="GOMUKH JAI MATA DI MILK CENTER"/>
    <s v="vlc"/>
    <s v="Indirect"/>
    <n v="1609.0999999999997"/>
    <n v="64081.01"/>
    <n v="0"/>
    <n v="0"/>
    <n v="0"/>
    <n v="0"/>
    <n v="0"/>
    <n v="0"/>
    <n v="64081.01"/>
    <n v="0"/>
    <n v="0"/>
    <n v="0"/>
    <n v="0"/>
    <n v="0"/>
    <n v="0"/>
    <n v="0"/>
    <n v="0"/>
    <n v="64081.01"/>
    <n v="0"/>
    <n v="0"/>
    <n v="0"/>
    <n v="0"/>
    <n v="0"/>
    <n v="0"/>
    <m/>
    <s v="Mahua BMC"/>
    <m/>
    <n v="0"/>
  </r>
  <r>
    <s v="Munger"/>
    <s v="10-16 Jul"/>
    <n v="1061"/>
    <s v="Mahua BMC"/>
    <x v="902"/>
    <s v="GOMUKH NEW GANGAJAL"/>
    <s v="vlc"/>
    <s v="Indirect"/>
    <n v="76.8"/>
    <n v="2457.71"/>
    <n v="0"/>
    <n v="0"/>
    <n v="0"/>
    <n v="0"/>
    <n v="0"/>
    <n v="0"/>
    <n v="2457.71"/>
    <n v="0"/>
    <n v="0"/>
    <n v="0"/>
    <n v="0"/>
    <n v="0"/>
    <n v="0"/>
    <n v="0"/>
    <n v="0"/>
    <n v="2457.71"/>
    <n v="0"/>
    <n v="0"/>
    <n v="398.86585208333332"/>
    <n v="10.971428571428572"/>
    <n v="0"/>
    <n v="0"/>
    <m/>
    <s v="Mahua BMC"/>
    <m/>
    <n v="0"/>
  </r>
  <r>
    <s v="Munger"/>
    <s v="10-16 Jul"/>
    <n v="1061"/>
    <s v="Mahua BMC"/>
    <x v="904"/>
    <s v="GOMUKH BAHJRANGI"/>
    <s v="vlc"/>
    <s v="Indirect"/>
    <n v="878.70000000000016"/>
    <n v="36370.460000000006"/>
    <n v="0"/>
    <n v="0"/>
    <n v="0"/>
    <n v="0"/>
    <n v="0"/>
    <n v="0"/>
    <n v="36370.460000000006"/>
    <n v="0"/>
    <n v="0"/>
    <n v="0"/>
    <n v="0"/>
    <n v="0"/>
    <n v="0"/>
    <n v="0"/>
    <n v="0"/>
    <n v="36370.460000000006"/>
    <n v="0"/>
    <n v="0"/>
    <n v="0"/>
    <n v="0"/>
    <n v="0"/>
    <n v="0"/>
    <m/>
    <s v="Mahua BMC"/>
    <m/>
    <n v="0"/>
  </r>
  <r>
    <s v="Munger"/>
    <s v="10-16 Jul"/>
    <n v="1061"/>
    <s v="Mahua BMC"/>
    <x v="993"/>
    <s v="GOMUKH CHAKABDUL"/>
    <s v="vlc"/>
    <s v="Indirect"/>
    <n v="239.30000000000004"/>
    <n v="8778.36"/>
    <n v="0"/>
    <n v="0"/>
    <n v="0"/>
    <n v="0"/>
    <n v="0"/>
    <n v="0"/>
    <n v="8778.36"/>
    <n v="0"/>
    <n v="0"/>
    <n v="0"/>
    <n v="0"/>
    <n v="0"/>
    <n v="0"/>
    <n v="0"/>
    <n v="0"/>
    <n v="8778.36"/>
    <n v="0"/>
    <n v="0"/>
    <n v="338.00170931884662"/>
    <n v="34.18571428571429"/>
    <n v="0"/>
    <n v="0"/>
    <m/>
    <s v="Mahua BMC"/>
    <m/>
    <n v="0"/>
  </r>
  <r>
    <s v="Munger"/>
    <s v="10-16 Jul"/>
    <n v="1061"/>
    <s v="Mahua BMC"/>
    <x v="994"/>
    <s v="GOMUKH BAJITPUR"/>
    <s v="vlc"/>
    <s v="Indirect"/>
    <n v="351.3"/>
    <n v="13509.560000000001"/>
    <n v="0"/>
    <n v="0"/>
    <n v="0"/>
    <n v="0"/>
    <n v="0"/>
    <n v="0"/>
    <n v="13509.560000000001"/>
    <n v="0"/>
    <n v="0"/>
    <n v="0"/>
    <n v="0"/>
    <n v="0"/>
    <n v="0"/>
    <n v="0"/>
    <n v="0"/>
    <n v="13509.560000000001"/>
    <n v="0"/>
    <n v="0"/>
    <n v="268.19149285510963"/>
    <n v="50.18571428571429"/>
    <n v="0"/>
    <n v="0"/>
    <m/>
    <s v="Mahua BMC"/>
    <m/>
    <n v="0"/>
  </r>
  <r>
    <s v="Munger"/>
    <s v="10-16 Jul"/>
    <n v="1061"/>
    <s v="Mahua BMC"/>
    <x v="995"/>
    <s v="GOMUKH SHAHPUR TOI"/>
    <s v="vlc"/>
    <s v="Indirect"/>
    <n v="307.7"/>
    <n v="12180.52"/>
    <n v="0"/>
    <n v="0"/>
    <n v="0"/>
    <n v="0"/>
    <n v="0"/>
    <n v="0"/>
    <n v="12180.52"/>
    <n v="0"/>
    <n v="0"/>
    <n v="0"/>
    <n v="0"/>
    <n v="0"/>
    <n v="0"/>
    <n v="0"/>
    <n v="0"/>
    <n v="12180.52"/>
    <n v="0"/>
    <n v="0"/>
    <n v="310.58940500487489"/>
    <n v="43.957142857142856"/>
    <n v="0"/>
    <n v="0"/>
    <m/>
    <s v="Mahua BMC"/>
    <m/>
    <n v="0"/>
  </r>
  <r>
    <s v="Munger"/>
    <s v="10-16 Jul"/>
    <n v="1061"/>
    <s v="Mahua BMC"/>
    <x v="996"/>
    <s v="GOMUKH SUPAYAN"/>
    <s v="vlc"/>
    <s v="Indirect"/>
    <n v="489.90000000000003"/>
    <n v="21682.22"/>
    <n v="0"/>
    <n v="0"/>
    <n v="0"/>
    <n v="0"/>
    <n v="0"/>
    <n v="0"/>
    <n v="21682.22"/>
    <n v="0"/>
    <n v="0"/>
    <n v="0"/>
    <n v="0"/>
    <n v="0"/>
    <n v="0"/>
    <n v="0"/>
    <n v="0"/>
    <n v="21682.22"/>
    <n v="0"/>
    <n v="0"/>
    <n v="185.97405274545818"/>
    <n v="69.985714285714295"/>
    <n v="0"/>
    <n v="0"/>
    <m/>
    <s v="Mahua BMC"/>
    <m/>
    <n v="0"/>
  </r>
  <r>
    <s v="Munger"/>
    <s v="10-16 Jul"/>
    <n v="1057"/>
    <s v="Warisnagar"/>
    <x v="905"/>
    <s v="Karua"/>
    <s v="MPG"/>
    <s v="Direct"/>
    <n v="199.5"/>
    <n v="8680.2000000000007"/>
    <n v="187.2"/>
    <n v="8227.44"/>
    <n v="12.3"/>
    <n v="440.42"/>
    <n v="199.5"/>
    <n v="8667.86"/>
    <n v="8667.86"/>
    <n v="0"/>
    <n v="0"/>
    <n v="0"/>
    <n v="0"/>
    <n v="0"/>
    <n v="0"/>
    <n v="8227"/>
    <n v="440"/>
    <n v="0"/>
    <n v="13"/>
    <n v="0"/>
    <n v="435.53284210526328"/>
    <n v="28.5"/>
    <n v="1.4216262298103897E-3"/>
    <n v="6"/>
    <m/>
    <s v="Warisnagar"/>
    <m/>
    <n v="0"/>
  </r>
  <r>
    <s v="Munger"/>
    <s v="10-16 Jul"/>
    <n v="1063"/>
    <s v="Rosera"/>
    <x v="906"/>
    <s v="Erout"/>
    <s v="MPG"/>
    <s v="Direct"/>
    <n v="35.4"/>
    <n v="2149.64"/>
    <n v="35.999999999999986"/>
    <n v="2160.2599999999998"/>
    <n v="0.3"/>
    <n v="8.06"/>
    <n v="36.299999999999983"/>
    <n v="2168.3199999999997"/>
    <n v="2149.64"/>
    <n v="0"/>
    <n v="8.06"/>
    <n v="18.679999999999836"/>
    <n v="0"/>
    <n v="0"/>
    <n v="0"/>
    <n v="2142"/>
    <n v="0"/>
    <n v="0"/>
    <n v="0"/>
    <n v="0"/>
    <n v="807.14731299435039"/>
    <n v="5.0571428571428569"/>
    <n v="-8.6898271338455915E-3"/>
    <n v="6"/>
    <m/>
    <s v="Rosera"/>
    <m/>
    <n v="0"/>
  </r>
  <r>
    <s v="Munger"/>
    <s v="10-16 Jul"/>
    <n v="1063"/>
    <s v="Rosera"/>
    <x v="907"/>
    <s v="Murli"/>
    <s v="MPG"/>
    <s v="Direct"/>
    <n v="257.7"/>
    <n v="10146.659999999998"/>
    <n v="258.8"/>
    <n v="10162.979999999998"/>
    <n v="0.3"/>
    <n v="13.34"/>
    <n v="259.10000000000002"/>
    <n v="10176.319999999998"/>
    <n v="10146.659999999998"/>
    <n v="0"/>
    <n v="13.34"/>
    <n v="29.659999999999854"/>
    <n v="0"/>
    <n v="0"/>
    <n v="0"/>
    <n v="10133"/>
    <n v="0"/>
    <n v="0"/>
    <n v="0"/>
    <n v="0"/>
    <n v="348.30172433061693"/>
    <n v="36.81428571428571"/>
    <n v="-2.9231293844476764E-3"/>
    <n v="7"/>
    <m/>
    <s v="Rosera"/>
    <m/>
    <n v="0"/>
  </r>
  <r>
    <s v="Munger"/>
    <s v="10-16 Jul"/>
    <n v="1063"/>
    <s v="Rosera"/>
    <x v="908"/>
    <s v="Raj Nagar"/>
    <s v="MPG"/>
    <s v="Direct"/>
    <n v="27.6"/>
    <n v="1001.6"/>
    <n v="26.5"/>
    <n v="1009.39"/>
    <n v="0"/>
    <n v="0"/>
    <n v="26.5"/>
    <n v="1009.39"/>
    <n v="1001.6"/>
    <n v="0"/>
    <n v="0"/>
    <n v="7.7899999999999636"/>
    <n v="0"/>
    <n v="0"/>
    <n v="0"/>
    <n v="1002"/>
    <n v="0"/>
    <n v="0"/>
    <n v="0"/>
    <n v="0"/>
    <n v="488.02597101449271"/>
    <n v="3.9428571428571431"/>
    <n v="-7.7775559105430943E-3"/>
    <n v="1"/>
    <m/>
    <s v="Rosera"/>
    <m/>
    <n v="0"/>
  </r>
  <r>
    <s v="Munger"/>
    <s v="10-16 Jul"/>
    <n v="1063"/>
    <s v="Rosera"/>
    <x v="909"/>
    <s v="Nauapokhar"/>
    <s v="MPG"/>
    <s v="Direct"/>
    <n v="1139.3000000000004"/>
    <n v="47754.49"/>
    <n v="804.55"/>
    <n v="47799.75"/>
    <n v="0.7"/>
    <n v="30.389999999999997"/>
    <n v="805.25"/>
    <n v="47830.14"/>
    <n v="47754.49"/>
    <n v="0"/>
    <n v="30.389999999999997"/>
    <n v="75.650000000001455"/>
    <n v="0"/>
    <n v="0"/>
    <n v="0"/>
    <n v="47724"/>
    <n v="0"/>
    <n v="0"/>
    <n v="0"/>
    <n v="0"/>
    <n v="0"/>
    <n v="0"/>
    <n v="-1.5841442343955817E-3"/>
    <n v="5"/>
    <m/>
    <s v="Rosera"/>
    <m/>
    <n v="0"/>
  </r>
  <r>
    <s v="Munger"/>
    <s v="10-16 Jul"/>
    <n v="1063"/>
    <s v="Rosera"/>
    <x v="910"/>
    <s v="Erout 2"/>
    <s v="vlc"/>
    <s v="Indirect"/>
    <n v="873.3"/>
    <n v="36763.83"/>
    <n v="0"/>
    <n v="0"/>
    <n v="0"/>
    <n v="0"/>
    <n v="0"/>
    <n v="0"/>
    <n v="36763.83"/>
    <n v="0"/>
    <n v="0"/>
    <n v="0"/>
    <n v="0"/>
    <n v="0"/>
    <n v="0"/>
    <n v="0"/>
    <n v="0"/>
    <n v="36763.83"/>
    <n v="0"/>
    <n v="0"/>
    <n v="0"/>
    <n v="0"/>
    <n v="0"/>
    <n v="0"/>
    <m/>
    <s v="Rosera"/>
    <m/>
    <n v="0"/>
  </r>
  <r>
    <s v="Munger"/>
    <s v="10-16 Jul"/>
    <n v="1063"/>
    <s v="Rosera"/>
    <x v="911"/>
    <s v="Parsuram"/>
    <s v="vlc"/>
    <s v="Indirect"/>
    <n v="136.30000000000001"/>
    <n v="4075.46"/>
    <n v="0"/>
    <n v="0"/>
    <n v="0"/>
    <n v="0"/>
    <n v="0"/>
    <n v="0"/>
    <n v="4075.46"/>
    <n v="0"/>
    <n v="0"/>
    <n v="0"/>
    <n v="0"/>
    <n v="0"/>
    <n v="0"/>
    <n v="0"/>
    <n v="0"/>
    <n v="4075.46"/>
    <n v="0"/>
    <n v="0"/>
    <n v="337.10004431401313"/>
    <n v="19.471428571428572"/>
    <n v="0"/>
    <n v="0"/>
    <m/>
    <s v="Rosera"/>
    <m/>
    <n v="0"/>
  </r>
  <r>
    <s v="Munger"/>
    <s v="10-16 Jul"/>
    <n v="1063"/>
    <s v="Rosera"/>
    <x v="912"/>
    <s v="Gudarghat"/>
    <s v="MPG"/>
    <s v="Indirect"/>
    <n v="80.8"/>
    <n v="3073.8300000000004"/>
    <n v="0"/>
    <n v="0"/>
    <n v="0"/>
    <n v="0"/>
    <n v="0"/>
    <n v="0"/>
    <n v="3073.8300000000004"/>
    <n v="0"/>
    <n v="0"/>
    <n v="0"/>
    <n v="0"/>
    <n v="0"/>
    <n v="0"/>
    <n v="0"/>
    <n v="0"/>
    <n v="3073.8300000000004"/>
    <n v="0"/>
    <n v="0"/>
    <n v="471.1177069306932"/>
    <n v="11.542857142857143"/>
    <n v="0"/>
    <n v="0"/>
    <m/>
    <s v="Rosera"/>
    <m/>
    <n v="0"/>
  </r>
  <r>
    <s v="Munger"/>
    <s v="10-16 Jul"/>
    <n v="1063"/>
    <s v="Rosera"/>
    <x v="913"/>
    <s v="Sedukha"/>
    <s v="MPG"/>
    <s v="Direct"/>
    <n v="360"/>
    <n v="13728.370000000003"/>
    <n v="351.4"/>
    <n v="13688.210000000001"/>
    <n v="0"/>
    <n v="0"/>
    <n v="351.4"/>
    <n v="13688.210000000001"/>
    <n v="13688.210000000001"/>
    <n v="0"/>
    <n v="0"/>
    <n v="0"/>
    <n v="0"/>
    <n v="0"/>
    <n v="0"/>
    <n v="13689"/>
    <n v="0"/>
    <n v="0"/>
    <n v="39"/>
    <n v="0"/>
    <n v="259.31365555555561"/>
    <n v="51.428571428571431"/>
    <n v="2.925329081311304E-3"/>
    <n v="9"/>
    <m/>
    <s v="Rosera"/>
    <m/>
    <n v="0"/>
  </r>
  <r>
    <s v="Munger"/>
    <s v="10-16 Jul"/>
    <n v="1057"/>
    <s v="Warisnagar"/>
    <x v="914"/>
    <s v="Madhuban 2"/>
    <s v="vlc"/>
    <s v="Indirect"/>
    <n v="528.70000000000005"/>
    <n v="19825.839999999997"/>
    <n v="0"/>
    <n v="0"/>
    <n v="0"/>
    <n v="0"/>
    <n v="0"/>
    <n v="0"/>
    <n v="19825.839999999997"/>
    <n v="0"/>
    <n v="0"/>
    <n v="0"/>
    <n v="0"/>
    <n v="0"/>
    <n v="0"/>
    <n v="0"/>
    <n v="0"/>
    <n v="19825.839999999997"/>
    <n v="0"/>
    <n v="0"/>
    <n v="128.47234318138823"/>
    <n v="75.528571428571439"/>
    <n v="0"/>
    <n v="0"/>
    <m/>
    <s v="Warisnagar"/>
    <m/>
    <n v="0"/>
  </r>
  <r>
    <s v="Munger"/>
    <s v="10-16 Jul"/>
    <n v="1063"/>
    <s v="Rosera"/>
    <x v="915"/>
    <s v="Yadav Jee"/>
    <s v="vlc"/>
    <s v="Indirect"/>
    <n v="160.5"/>
    <n v="5721.57"/>
    <n v="0"/>
    <n v="0"/>
    <n v="0"/>
    <n v="0"/>
    <n v="0"/>
    <n v="0"/>
    <n v="5721.57"/>
    <n v="0"/>
    <n v="0"/>
    <n v="0"/>
    <n v="0"/>
    <n v="0"/>
    <n v="0"/>
    <n v="0"/>
    <n v="0"/>
    <n v="5721.57"/>
    <n v="0"/>
    <n v="0"/>
    <n v="384.64635700934582"/>
    <n v="22.928571428571427"/>
    <n v="0"/>
    <n v="0"/>
    <m/>
    <s v="Rosera"/>
    <m/>
    <n v="0"/>
  </r>
  <r>
    <s v="Munger"/>
    <s v="10-16 Jul"/>
    <n v="1063"/>
    <s v="Rosera"/>
    <x v="916"/>
    <s v="Durgaashtan 2"/>
    <s v="vlc"/>
    <s v="Indirect"/>
    <n v="1264.5999999999999"/>
    <n v="46918.62"/>
    <n v="0"/>
    <n v="0"/>
    <n v="0"/>
    <n v="0"/>
    <n v="0"/>
    <n v="0"/>
    <n v="46918.62"/>
    <n v="0"/>
    <n v="0"/>
    <n v="0"/>
    <n v="0"/>
    <n v="0"/>
    <n v="0"/>
    <n v="0"/>
    <n v="0"/>
    <n v="46918.62"/>
    <n v="0"/>
    <n v="0"/>
    <n v="0"/>
    <n v="0"/>
    <n v="0"/>
    <n v="0"/>
    <m/>
    <s v="Rosera"/>
    <m/>
    <n v="0"/>
  </r>
  <r>
    <s v="Munger"/>
    <s v="10-16 Jul"/>
    <n v="1063"/>
    <s v="Rosera"/>
    <x v="917"/>
    <s v="Durgaashtan "/>
    <s v="vlc"/>
    <s v="Indirect"/>
    <n v="1138.9000000000001"/>
    <n v="41512.339999999997"/>
    <n v="0"/>
    <n v="0"/>
    <n v="0"/>
    <n v="0"/>
    <n v="0"/>
    <n v="0"/>
    <n v="41512.339999999997"/>
    <n v="0"/>
    <n v="0"/>
    <n v="0"/>
    <n v="0"/>
    <n v="0"/>
    <n v="0"/>
    <n v="0"/>
    <n v="0"/>
    <n v="41512.339999999997"/>
    <n v="0"/>
    <n v="0"/>
    <n v="0"/>
    <n v="0"/>
    <n v="0"/>
    <n v="0"/>
    <m/>
    <s v="Rosera"/>
    <m/>
    <n v="0"/>
  </r>
  <r>
    <s v="Munger"/>
    <s v="10-16 Jul"/>
    <n v="1063"/>
    <s v="Rosera"/>
    <x v="918"/>
    <s v="Motipur"/>
    <s v="vlc"/>
    <s v="Indirect"/>
    <n v="367.09999999999997"/>
    <n v="13729.989999999998"/>
    <n v="0"/>
    <n v="0"/>
    <n v="0"/>
    <n v="0"/>
    <n v="0"/>
    <n v="0"/>
    <n v="13729.989999999998"/>
    <n v="0"/>
    <n v="0"/>
    <n v="0"/>
    <n v="0"/>
    <n v="0"/>
    <n v="0"/>
    <n v="0"/>
    <n v="0"/>
    <n v="13729.989999999998"/>
    <n v="0"/>
    <n v="0"/>
    <n v="249.01736153636611"/>
    <n v="52.442857142857136"/>
    <n v="0"/>
    <n v="0"/>
    <m/>
    <s v="Rosera"/>
    <m/>
    <n v="0"/>
  </r>
  <r>
    <s v="Munger"/>
    <s v="10-16 Jul"/>
    <n v="1063"/>
    <s v="Rosera"/>
    <x v="997"/>
    <s v="Gudarghat Nitish"/>
    <s v="vlc"/>
    <s v="Indirect"/>
    <n v="143.69999999999999"/>
    <n v="5207.88"/>
    <n v="0"/>
    <n v="0"/>
    <n v="0"/>
    <n v="0"/>
    <n v="0"/>
    <n v="0"/>
    <n v="5207.88"/>
    <n v="0"/>
    <n v="0"/>
    <n v="0"/>
    <n v="0"/>
    <n v="0"/>
    <n v="0"/>
    <n v="0"/>
    <n v="0"/>
    <n v="5207.88"/>
    <n v="0"/>
    <n v="0"/>
    <n v="403.22110563674329"/>
    <n v="20.528571428571428"/>
    <n v="0"/>
    <n v="0"/>
    <m/>
    <s v="Rosera"/>
    <m/>
    <n v="0"/>
  </r>
  <r>
    <s v="Munger"/>
    <s v="10-16 Jul"/>
    <n v="1063"/>
    <s v="Rosera"/>
    <x v="998"/>
    <s v="Bhatandi"/>
    <s v="vlc"/>
    <s v="Direct"/>
    <n v="12.1"/>
    <n v="593.36"/>
    <n v="12.1"/>
    <n v="593.75"/>
    <n v="0"/>
    <n v="0"/>
    <n v="12.1"/>
    <n v="593.75"/>
    <n v="593.36"/>
    <n v="0"/>
    <n v="0"/>
    <n v="0.38999999999998636"/>
    <n v="0"/>
    <n v="0"/>
    <n v="0"/>
    <n v="593"/>
    <n v="0"/>
    <n v="0"/>
    <n v="0"/>
    <n v="0"/>
    <n v="674.66503140495877"/>
    <n v="1.7285714285714284"/>
    <n v="-6.572738303896224E-4"/>
    <n v="1"/>
    <m/>
    <s v="Rosera"/>
    <m/>
    <n v="0"/>
  </r>
  <r>
    <s v="Munger"/>
    <s v="10-16 Jul"/>
    <n v="1063"/>
    <s v="Rosera"/>
    <x v="919"/>
    <s v="Haripur"/>
    <s v="vlc"/>
    <s v="Direct"/>
    <n v="286"/>
    <n v="12097.029999999999"/>
    <n v="246.60000000000002"/>
    <n v="12093.849999999999"/>
    <n v="0"/>
    <n v="0"/>
    <n v="246.60000000000002"/>
    <n v="12093.849999999999"/>
    <n v="12093.849999999999"/>
    <n v="0"/>
    <n v="0"/>
    <n v="0"/>
    <n v="0"/>
    <n v="0"/>
    <n v="0"/>
    <n v="12094"/>
    <n v="0"/>
    <n v="0"/>
    <n v="3"/>
    <n v="0"/>
    <n v="350.22170769230769"/>
    <n v="40.857142857142854"/>
    <n v="2.6287444108184332E-4"/>
    <n v="1"/>
    <m/>
    <s v="Rosera"/>
    <m/>
    <n v="0"/>
  </r>
  <r>
    <s v="Munger"/>
    <s v="10-16 Jul"/>
    <n v="1063"/>
    <s v="Rosera"/>
    <x v="920"/>
    <s v="Jakhar"/>
    <s v="vlc"/>
    <s v="Indirect"/>
    <n v="170.2"/>
    <n v="5535.49"/>
    <n v="0"/>
    <n v="0"/>
    <n v="0"/>
    <n v="0"/>
    <n v="0"/>
    <n v="0"/>
    <n v="5535.49"/>
    <n v="0"/>
    <n v="0"/>
    <n v="0"/>
    <n v="0"/>
    <n v="0"/>
    <n v="0"/>
    <n v="0"/>
    <n v="0"/>
    <n v="5535.49"/>
    <n v="0"/>
    <n v="0"/>
    <n v="344.61840211515863"/>
    <n v="24.314285714285713"/>
    <n v="0"/>
    <n v="0"/>
    <m/>
    <s v="Rosera"/>
    <m/>
    <n v="0"/>
  </r>
  <r>
    <s v="Munger"/>
    <s v="10-16 Jul"/>
    <n v="1063"/>
    <s v="Rosera"/>
    <x v="921"/>
    <s v="Dhattha"/>
    <s v="vlc"/>
    <s v="Indirect"/>
    <n v="10"/>
    <n v="319.2"/>
    <n v="0"/>
    <n v="0"/>
    <n v="0"/>
    <n v="0"/>
    <n v="0"/>
    <n v="0"/>
    <n v="319.2"/>
    <n v="0"/>
    <n v="0"/>
    <n v="0"/>
    <n v="0"/>
    <n v="0"/>
    <n v="0"/>
    <n v="0"/>
    <n v="0"/>
    <n v="319.2"/>
    <n v="0"/>
    <n v="0"/>
    <n v="440.49599999999998"/>
    <n v="1.4285714285714286"/>
    <n v="0"/>
    <n v="0"/>
    <m/>
    <s v="Rosera"/>
    <m/>
    <n v="0"/>
  </r>
  <r>
    <s v="Munger"/>
    <s v="10-16 Jul"/>
    <n v="1063"/>
    <s v="Rosera"/>
    <x v="922"/>
    <s v="Jandaha"/>
    <s v="vlc"/>
    <s v="Indirect"/>
    <n v="95.799999999999983"/>
    <n v="3518.23"/>
    <n v="0"/>
    <n v="0"/>
    <n v="0"/>
    <n v="0"/>
    <n v="0"/>
    <n v="0"/>
    <n v="3518.23"/>
    <n v="0"/>
    <n v="0"/>
    <n v="0"/>
    <n v="0"/>
    <n v="0"/>
    <n v="0"/>
    <n v="0"/>
    <n v="0"/>
    <n v="3518.23"/>
    <n v="0"/>
    <n v="0"/>
    <n v="443.78174655532371"/>
    <n v="13.685714285714283"/>
    <n v="0"/>
    <n v="0"/>
    <m/>
    <s v="Rosera"/>
    <m/>
    <n v="0"/>
  </r>
  <r>
    <s v="Munger"/>
    <s v="10-16 Jul"/>
    <n v="1063"/>
    <s v="Rosera"/>
    <x v="923"/>
    <s v="Bhoraha"/>
    <s v="vlc"/>
    <s v="Indirect"/>
    <n v="192.49999999999997"/>
    <n v="8342.73"/>
    <n v="0"/>
    <n v="0"/>
    <n v="0"/>
    <n v="0"/>
    <n v="0"/>
    <n v="0"/>
    <n v="8342.73"/>
    <n v="0"/>
    <n v="0"/>
    <n v="0"/>
    <n v="0"/>
    <n v="0"/>
    <n v="0"/>
    <n v="0"/>
    <n v="0"/>
    <n v="8342.73"/>
    <n v="0"/>
    <n v="0"/>
    <n v="439.88940000000002"/>
    <n v="27.499999999999996"/>
    <n v="0"/>
    <n v="0"/>
    <m/>
    <s v="Rosera"/>
    <m/>
    <n v="0"/>
  </r>
  <r>
    <s v="Munger"/>
    <s v="10-16 Jul"/>
    <n v="1063"/>
    <s v="Rosera"/>
    <x v="999"/>
    <s v="Dharha"/>
    <s v="vlc"/>
    <s v="Indirect"/>
    <n v="21.4"/>
    <n v="850.86"/>
    <n v="0"/>
    <n v="0"/>
    <n v="0"/>
    <n v="0"/>
    <n v="0"/>
    <n v="0"/>
    <n v="850.86"/>
    <n v="0"/>
    <n v="0"/>
    <n v="0"/>
    <n v="0"/>
    <n v="0"/>
    <n v="0"/>
    <n v="0"/>
    <n v="0"/>
    <n v="850.86"/>
    <n v="0"/>
    <n v="0"/>
    <n v="539.6201831775702"/>
    <n v="3.0571428571428569"/>
    <n v="0"/>
    <n v="0"/>
    <m/>
    <s v="Rosera"/>
    <m/>
    <n v="0"/>
  </r>
  <r>
    <s v="Munger"/>
    <s v="10-16 Jul"/>
    <n v="1063"/>
    <s v="Rosera"/>
    <x v="924"/>
    <s v="Shivnagar"/>
    <s v="vlc"/>
    <s v="Indirect"/>
    <n v="177.39999999999998"/>
    <n v="5369.39"/>
    <n v="0"/>
    <n v="0"/>
    <n v="0"/>
    <n v="0"/>
    <n v="0"/>
    <n v="0"/>
    <n v="5369.39"/>
    <n v="0"/>
    <n v="0"/>
    <n v="0"/>
    <n v="0"/>
    <n v="0"/>
    <n v="0"/>
    <n v="0"/>
    <n v="0"/>
    <n v="5369.39"/>
    <n v="0"/>
    <n v="0"/>
    <n v="316.35210980834285"/>
    <n v="25.342857142857138"/>
    <n v="0"/>
    <n v="0"/>
    <m/>
    <s v="Rosera"/>
    <m/>
    <n v="0"/>
  </r>
  <r>
    <s v="Munger"/>
    <s v="10-16 Jul"/>
    <n v="1063"/>
    <s v="Rosera"/>
    <x v="925"/>
    <s v="Baritha"/>
    <s v="vlc"/>
    <s v="Indirect"/>
    <n v="252.29999999999998"/>
    <n v="8401.9699999999993"/>
    <n v="0"/>
    <n v="0"/>
    <n v="0"/>
    <n v="0"/>
    <n v="0"/>
    <n v="0"/>
    <n v="8401.9699999999993"/>
    <n v="0"/>
    <n v="0"/>
    <n v="0"/>
    <n v="0"/>
    <n v="0"/>
    <n v="0"/>
    <n v="0"/>
    <n v="0"/>
    <n v="8401.9699999999993"/>
    <n v="0"/>
    <n v="0"/>
    <n v="298.18168600871979"/>
    <n v="36.042857142857137"/>
    <n v="0"/>
    <n v="0"/>
    <m/>
    <s v="Rosera"/>
    <m/>
    <n v="0"/>
  </r>
  <r>
    <s v="Munger"/>
    <s v="10-16 Jul"/>
    <n v="1063"/>
    <s v="Rosera"/>
    <x v="926"/>
    <s v="Tolapur Erout"/>
    <s v="vlc"/>
    <s v="Indirect"/>
    <n v="513.79999999999995"/>
    <n v="17855.53"/>
    <n v="0"/>
    <n v="0"/>
    <n v="0"/>
    <n v="0"/>
    <n v="0"/>
    <n v="0"/>
    <n v="17855.53"/>
    <n v="0"/>
    <n v="0"/>
    <n v="0"/>
    <n v="0"/>
    <n v="0"/>
    <n v="0"/>
    <n v="0"/>
    <n v="0"/>
    <n v="17855.53"/>
    <n v="0"/>
    <n v="0"/>
    <n v="129.41610299727526"/>
    <n v="73.399999999999991"/>
    <n v="0"/>
    <n v="0"/>
    <m/>
    <s v="Rosera"/>
    <m/>
    <n v="0"/>
  </r>
  <r>
    <s v="Munger"/>
    <s v="10-16 Jul"/>
    <n v="1063"/>
    <s v="Rosera"/>
    <x v="1000"/>
    <s v="Fatepur 2"/>
    <s v="vlc"/>
    <s v="Indirect"/>
    <n v="282.3"/>
    <n v="9734.83"/>
    <n v="0"/>
    <n v="0"/>
    <n v="0"/>
    <n v="0"/>
    <n v="0"/>
    <n v="0"/>
    <n v="9734.83"/>
    <n v="0"/>
    <n v="0"/>
    <n v="0"/>
    <n v="0"/>
    <n v="0"/>
    <n v="0"/>
    <n v="0"/>
    <n v="0"/>
    <n v="9734.83"/>
    <n v="0"/>
    <n v="0"/>
    <n v="288.07924130357776"/>
    <n v="40.328571428571429"/>
    <n v="0"/>
    <n v="0"/>
    <m/>
    <s v="Rosera"/>
    <m/>
    <n v="0"/>
  </r>
  <r>
    <s v="Munger"/>
    <s v="10-16 Jul"/>
    <n v="1063"/>
    <s v="Rosera"/>
    <x v="1001"/>
    <s v="Shivram"/>
    <s v="vlc"/>
    <s v="Indirect"/>
    <n v="311.5"/>
    <n v="10976.21"/>
    <n v="0"/>
    <n v="0"/>
    <n v="0"/>
    <n v="0"/>
    <n v="0"/>
    <n v="0"/>
    <n v="10976.21"/>
    <n v="0"/>
    <n v="0"/>
    <n v="0"/>
    <n v="0"/>
    <n v="0"/>
    <n v="0"/>
    <n v="0"/>
    <n v="0"/>
    <n v="10976.21"/>
    <n v="0"/>
    <n v="0"/>
    <n v="273.788608988764"/>
    <n v="44.5"/>
    <n v="0"/>
    <n v="0"/>
    <m/>
    <s v="Rosera"/>
    <m/>
    <n v="0"/>
  </r>
  <r>
    <s v="Munger"/>
    <s v="10-16 Jul"/>
    <n v="1063"/>
    <s v="Rosera"/>
    <x v="1002"/>
    <s v="Sonupur"/>
    <s v="vlc"/>
    <s v="Indirect"/>
    <n v="159.69999999999999"/>
    <n v="4816.8100000000004"/>
    <n v="0"/>
    <n v="0"/>
    <n v="0"/>
    <n v="0"/>
    <n v="0"/>
    <n v="0"/>
    <n v="4816.8100000000004"/>
    <n v="0"/>
    <n v="0"/>
    <n v="0"/>
    <n v="0"/>
    <n v="0"/>
    <n v="0"/>
    <n v="0"/>
    <n v="0"/>
    <n v="4816.8100000000004"/>
    <n v="0"/>
    <n v="0"/>
    <n v="325.92641740763935"/>
    <n v="22.814285714285713"/>
    <n v="0"/>
    <n v="0"/>
    <m/>
    <s v="Rosera"/>
    <m/>
    <n v="0"/>
  </r>
  <r>
    <s v="Munger"/>
    <s v="10-16 Jul"/>
    <n v="1063"/>
    <s v="Rosera"/>
    <x v="1003"/>
    <s v="Lakashmipur"/>
    <s v="vlc"/>
    <s v="Indirect"/>
    <n v="174.2"/>
    <n v="6039.84"/>
    <n v="0"/>
    <n v="0"/>
    <n v="0"/>
    <n v="0"/>
    <n v="0"/>
    <n v="0"/>
    <n v="6039.84"/>
    <n v="0"/>
    <n v="0"/>
    <n v="0"/>
    <n v="0"/>
    <n v="0"/>
    <n v="0"/>
    <n v="0"/>
    <n v="0"/>
    <n v="6039.84"/>
    <n v="0"/>
    <n v="0"/>
    <n v="364.6093997703789"/>
    <n v="24.885714285714283"/>
    <n v="0"/>
    <n v="0"/>
    <m/>
    <s v="Rosera"/>
    <m/>
    <n v="0"/>
  </r>
  <r>
    <s v="Munger"/>
    <s v="10-16 Jul"/>
    <n v="1063"/>
    <s v="Rosera"/>
    <x v="1004"/>
    <s v="Jahangirpur"/>
    <s v="vlc"/>
    <s v="Indirect"/>
    <n v="147.80000000000001"/>
    <n v="5037.8500000000004"/>
    <n v="0"/>
    <n v="0"/>
    <n v="0"/>
    <n v="0"/>
    <n v="0"/>
    <n v="0"/>
    <n v="5037.8500000000004"/>
    <n v="0"/>
    <n v="0"/>
    <n v="0"/>
    <n v="0"/>
    <n v="0"/>
    <n v="0"/>
    <n v="0"/>
    <n v="0"/>
    <n v="5037.8500000000004"/>
    <n v="0"/>
    <n v="0"/>
    <n v="376.44124086603523"/>
    <n v="21.114285714285717"/>
    <n v="0"/>
    <n v="0"/>
    <m/>
    <s v="Rosera"/>
    <m/>
    <n v="0"/>
  </r>
  <r>
    <s v="Munger"/>
    <s v="10-16 Jul"/>
    <n v="1063"/>
    <s v="Rosera"/>
    <x v="1005"/>
    <s v="Tolapur Durgasthan"/>
    <s v="vlc"/>
    <s v="Indirect"/>
    <n v="57.4"/>
    <n v="1923.17"/>
    <n v="0"/>
    <n v="0"/>
    <n v="0"/>
    <n v="0"/>
    <n v="0"/>
    <n v="0"/>
    <n v="1923.17"/>
    <n v="0"/>
    <n v="0"/>
    <n v="0"/>
    <n v="0"/>
    <n v="0"/>
    <n v="0"/>
    <n v="0"/>
    <n v="0"/>
    <n v="1923.17"/>
    <n v="0"/>
    <n v="0"/>
    <n v="430.60245365853672"/>
    <n v="8.1999999999999993"/>
    <n v="0"/>
    <n v="0"/>
    <m/>
    <s v="Rosera"/>
    <m/>
    <n v="0"/>
  </r>
  <r>
    <s v="Munger"/>
    <s v="10-16 Jul"/>
    <n v="1062"/>
    <s v="Singhia BMC"/>
    <x v="928"/>
    <s v="DUMRA "/>
    <s v="MPG"/>
    <s v="Direct"/>
    <n v="1181.9099999999999"/>
    <n v="49132.75"/>
    <n v="1186.1000000000001"/>
    <n v="48047.95"/>
    <n v="0"/>
    <n v="0"/>
    <n v="1186.1000000000001"/>
    <n v="48047.95"/>
    <n v="48047.95"/>
    <n v="0"/>
    <n v="0"/>
    <n v="0"/>
    <n v="0"/>
    <n v="0"/>
    <n v="0"/>
    <n v="48048"/>
    <n v="0"/>
    <n v="0"/>
    <n v="1085"/>
    <n v="0"/>
    <n v="0"/>
    <n v="0"/>
    <n v="2.2078959553454732E-2"/>
    <n v="5"/>
    <m/>
    <s v="Singhia BMC"/>
    <m/>
    <n v="0"/>
  </r>
  <r>
    <s v="Munger"/>
    <s v="10-16 Jul"/>
    <n v="1062"/>
    <s v="Singhia BMC"/>
    <x v="929"/>
    <s v="BALHA"/>
    <s v="MPG"/>
    <s v="Direct"/>
    <n v="1666.5400000000002"/>
    <n v="74398.99000000002"/>
    <n v="1683.3"/>
    <n v="74496.069999999992"/>
    <n v="16.999999999999996"/>
    <n v="722.95"/>
    <n v="1700.3"/>
    <n v="75219.01999999999"/>
    <n v="74398.99000000002"/>
    <n v="0"/>
    <n v="722.95"/>
    <n v="820.02999999996973"/>
    <n v="0"/>
    <n v="0"/>
    <n v="0"/>
    <n v="73676"/>
    <n v="0"/>
    <n v="0"/>
    <n v="0"/>
    <n v="0"/>
    <n v="0"/>
    <n v="0"/>
    <n v="-1.1022058229553513E-2"/>
    <n v="30"/>
    <m/>
    <s v="Singhia BMC"/>
    <m/>
    <n v="0"/>
  </r>
  <r>
    <s v="Munger"/>
    <s v="10-16 Jul"/>
    <n v="1062"/>
    <s v="Singhia BMC"/>
    <x v="930"/>
    <s v="BARA"/>
    <s v="MPG"/>
    <s v="Direct"/>
    <n v="128.17999999999998"/>
    <n v="5412.5300000000007"/>
    <n v="126.20000000000002"/>
    <n v="5328.83"/>
    <n v="1.4000000000000001"/>
    <n v="59.220000000000013"/>
    <n v="127.60000000000002"/>
    <n v="5388.05"/>
    <n v="5388.05"/>
    <n v="0"/>
    <n v="59.220000000000013"/>
    <n v="0"/>
    <n v="0"/>
    <n v="0"/>
    <n v="0"/>
    <n v="5329"/>
    <n v="0"/>
    <n v="0"/>
    <n v="24"/>
    <n v="0"/>
    <n v="482.9135441722579"/>
    <n v="18.311428571428568"/>
    <n v="4.5228386724878141E-3"/>
    <n v="2"/>
    <m/>
    <s v="Singhia BMC"/>
    <m/>
    <n v="0"/>
  </r>
  <r>
    <s v="Munger"/>
    <s v="10-16 Jul"/>
    <n v="1062"/>
    <s v="Singhia BMC"/>
    <x v="931"/>
    <s v="KABILASHI"/>
    <s v="MPG"/>
    <s v="Direct"/>
    <n v="226.09000000000003"/>
    <n v="11947.189999999999"/>
    <n v="243.9"/>
    <n v="12908.810000000001"/>
    <n v="4.6999999999999993"/>
    <n v="235.79999999999998"/>
    <n v="248.6"/>
    <n v="13144.61"/>
    <n v="11947.189999999999"/>
    <n v="0"/>
    <n v="235.79999999999998"/>
    <n v="1197.4200000000019"/>
    <n v="0"/>
    <n v="0"/>
    <n v="0"/>
    <n v="11711"/>
    <n v="0"/>
    <n v="0"/>
    <n v="0"/>
    <n v="0"/>
    <n v="500.85300658144973"/>
    <n v="32.298571428571435"/>
    <n v="-0.10022607826610291"/>
    <n v="7"/>
    <m/>
    <s v="Singhia BMC"/>
    <m/>
    <n v="0"/>
  </r>
  <r>
    <s v="Munger"/>
    <s v="10-16 Jul"/>
    <n v="1062"/>
    <s v="Singhia BMC"/>
    <x v="932"/>
    <s v="SULTANPUR"/>
    <s v="vlc"/>
    <s v="Indirect"/>
    <n v="146.53"/>
    <n v="6711.92"/>
    <n v="0"/>
    <n v="0"/>
    <n v="0"/>
    <n v="0"/>
    <n v="0"/>
    <n v="0"/>
    <n v="6711.92"/>
    <n v="0"/>
    <n v="0"/>
    <n v="0"/>
    <n v="0"/>
    <n v="0"/>
    <n v="0"/>
    <n v="0"/>
    <n v="0"/>
    <n v="6711.92"/>
    <n v="0"/>
    <n v="0"/>
    <n v="507.04242986419166"/>
    <n v="20.932857142857141"/>
    <n v="0"/>
    <n v="0"/>
    <m/>
    <s v="Singhia BMC"/>
    <m/>
    <n v="0"/>
  </r>
  <r>
    <s v="Munger"/>
    <s v="10-16 Jul"/>
    <n v="1062"/>
    <s v="Singhia BMC"/>
    <x v="933"/>
    <s v="BHUSNA"/>
    <s v="vlc"/>
    <s v="Direct"/>
    <n v="122.94999999999999"/>
    <n v="5485.51"/>
    <n v="122.30000000000001"/>
    <n v="5456.35"/>
    <n v="0"/>
    <n v="0"/>
    <n v="122.30000000000001"/>
    <n v="5456.35"/>
    <n v="5456.35"/>
    <n v="0"/>
    <n v="0"/>
    <n v="0"/>
    <n v="0"/>
    <n v="0"/>
    <n v="0"/>
    <n v="5456"/>
    <n v="0"/>
    <n v="0"/>
    <n v="30"/>
    <n v="0"/>
    <n v="514.91070280601878"/>
    <n v="17.564285714285713"/>
    <n v="5.3158229590320417E-3"/>
    <n v="1"/>
    <m/>
    <s v="Singhia BMC"/>
    <m/>
    <n v="0"/>
  </r>
  <r>
    <s v="Munger"/>
    <s v="10-16 Jul"/>
    <n v="1062"/>
    <s v="Singhia BMC"/>
    <x v="934"/>
    <s v="SUKUMARPUR"/>
    <s v="MPG"/>
    <s v="Direct"/>
    <n v="187.36999999999998"/>
    <n v="9533.26"/>
    <n v="213.9"/>
    <n v="10730.78"/>
    <n v="0"/>
    <n v="0"/>
    <n v="213.9"/>
    <n v="10730.78"/>
    <n v="9533.26"/>
    <n v="0"/>
    <n v="0"/>
    <n v="1197.5200000000004"/>
    <n v="0"/>
    <n v="0"/>
    <n v="0"/>
    <n v="9533"/>
    <n v="0"/>
    <n v="0"/>
    <n v="0"/>
    <n v="0"/>
    <n v="521.64541535998296"/>
    <n v="26.767142857142854"/>
    <n v="-0.12561495228284977"/>
    <n v="1"/>
    <m/>
    <s v="Singhia BMC"/>
    <m/>
    <n v="0"/>
  </r>
  <r>
    <s v="Munger"/>
    <s v="10-16 Jul"/>
    <n v="1062"/>
    <s v="Singhia BMC"/>
    <x v="935"/>
    <s v="SISAUNA VLC"/>
    <s v="vlc"/>
    <s v="Indirect"/>
    <n v="178.24"/>
    <n v="7097.3899999999994"/>
    <n v="0"/>
    <n v="0"/>
    <n v="0"/>
    <n v="0"/>
    <n v="0"/>
    <n v="0"/>
    <n v="7097.3899999999994"/>
    <n v="0"/>
    <n v="0"/>
    <n v="0"/>
    <n v="0"/>
    <n v="0"/>
    <n v="0"/>
    <n v="0"/>
    <n v="0"/>
    <n v="7097.3899999999994"/>
    <n v="0"/>
    <n v="0"/>
    <n v="415.52224039497298"/>
    <n v="25.462857142857143"/>
    <n v="0"/>
    <n v="0"/>
    <m/>
    <s v="Singhia BMC"/>
    <m/>
    <n v="0"/>
  </r>
  <r>
    <s v="Munger"/>
    <s v="10-16 Jul"/>
    <n v="1062"/>
    <s v="Singhia BMC"/>
    <x v="936"/>
    <s v="Aditya Bishwas "/>
    <s v="vlc"/>
    <s v="Indirect"/>
    <n v="230.85"/>
    <n v="10974.25"/>
    <n v="0"/>
    <n v="0"/>
    <n v="0"/>
    <n v="0"/>
    <n v="0"/>
    <n v="0"/>
    <n v="10974.25"/>
    <n v="0"/>
    <n v="0"/>
    <n v="0"/>
    <n v="0"/>
    <n v="0"/>
    <n v="0"/>
    <n v="0"/>
    <n v="0"/>
    <n v="10974.25"/>
    <n v="0"/>
    <n v="0"/>
    <n v="446.05322828676623"/>
    <n v="32.978571428571428"/>
    <n v="0"/>
    <n v="0"/>
    <m/>
    <s v="Singhia BMC"/>
    <m/>
    <n v="0"/>
  </r>
  <r>
    <s v="Munger"/>
    <s v="10-16 Jul"/>
    <n v="1065"/>
    <s v="Bachhwara BMC"/>
    <x v="937"/>
    <s v="Gomukh Vijaiya"/>
    <s v="MPG"/>
    <s v="Direct"/>
    <n v="342.69999999999993"/>
    <n v="13978.22"/>
    <n v="344.50000000000006"/>
    <n v="14333.530000000002"/>
    <n v="0"/>
    <n v="0"/>
    <n v="344.50000000000006"/>
    <n v="14333.530000000002"/>
    <n v="13978.22"/>
    <n v="0"/>
    <n v="0"/>
    <n v="355.31000000000313"/>
    <n v="0"/>
    <n v="0"/>
    <n v="0"/>
    <n v="13978"/>
    <n v="0"/>
    <n v="0"/>
    <n v="0"/>
    <n v="0"/>
    <n v="291.47464289466012"/>
    <n v="48.957142857142848"/>
    <n v="-2.5418830151478739E-2"/>
    <n v="3"/>
    <m/>
    <s v="Bachhwara BMC"/>
    <m/>
    <n v="0"/>
  </r>
  <r>
    <s v="Munger"/>
    <s v="10-16 Jul"/>
    <n v="1065"/>
    <s v="Bachhwara BMC"/>
    <x v="938"/>
    <s v="Gomukh Gangauli"/>
    <s v="MPG"/>
    <s v="Direct"/>
    <n v="1148.0999999999999"/>
    <n v="48286.16"/>
    <n v="1159.5"/>
    <n v="48329.989999999983"/>
    <n v="0"/>
    <n v="0"/>
    <n v="1159.5"/>
    <n v="48329.989999999983"/>
    <n v="48286.16"/>
    <n v="0"/>
    <n v="0"/>
    <n v="43.829999999979918"/>
    <n v="0"/>
    <n v="0"/>
    <n v="0"/>
    <n v="48286"/>
    <n v="0"/>
    <n v="0"/>
    <n v="0"/>
    <n v="0"/>
    <n v="0"/>
    <n v="0"/>
    <n v="-9.0771351459672741E-4"/>
    <n v="22"/>
    <m/>
    <s v="Bachhwara BMC"/>
    <m/>
    <n v="0"/>
  </r>
  <r>
    <s v="Munger"/>
    <s v="10-16 Jul"/>
    <n v="1065"/>
    <s v="Bachhwara BMC"/>
    <x v="939"/>
    <s v="Gomukh KARRAKH"/>
    <s v="MPG"/>
    <s v="Direct"/>
    <n v="587.9"/>
    <n v="23108.5"/>
    <n v="360.7000000000001"/>
    <n v="14426.989999999998"/>
    <n v="241.10000000000002"/>
    <n v="9247.43"/>
    <n v="601.80000000000018"/>
    <n v="23674.42"/>
    <n v="23108.5"/>
    <n v="0"/>
    <n v="0"/>
    <n v="565.91999999999825"/>
    <n v="0"/>
    <n v="0"/>
    <n v="0"/>
    <n v="13860"/>
    <n v="9248"/>
    <n v="0"/>
    <n v="1"/>
    <n v="0"/>
    <n v="88.125968702160264"/>
    <n v="83.98571428571428"/>
    <n v="-2.4489689940930752E-2"/>
    <n v="7"/>
    <m/>
    <s v="Bachhwara BMC"/>
    <m/>
    <n v="0"/>
  </r>
  <r>
    <s v="Munger"/>
    <s v="10-16 Jul"/>
    <n v="1065"/>
    <s v="Bachhwara BMC"/>
    <x v="941"/>
    <s v="Gomukh Manda"/>
    <s v="MPG"/>
    <s v="Direct"/>
    <n v="609.70000000000005"/>
    <n v="24124.81"/>
    <n v="604.9"/>
    <n v="25093.21"/>
    <n v="0"/>
    <n v="0"/>
    <n v="604.9"/>
    <n v="25093.21"/>
    <n v="24124.81"/>
    <n v="0"/>
    <n v="0"/>
    <n v="968.39999999999782"/>
    <n v="0"/>
    <n v="0"/>
    <n v="0"/>
    <n v="24125"/>
    <n v="0"/>
    <n v="0"/>
    <n v="0"/>
    <n v="0"/>
    <n v="71.460401607347833"/>
    <n v="87.100000000000009"/>
    <n v="-4.0141248780819323E-2"/>
    <n v="9"/>
    <m/>
    <s v="Bachhwara BMC"/>
    <m/>
    <n v="0"/>
  </r>
  <r>
    <s v="Munger"/>
    <s v="10-16 Jul"/>
    <n v="1065"/>
    <s v="Bachhwara BMC"/>
    <x v="942"/>
    <s v="Gomukh NAVTOL"/>
    <s v="MPG"/>
    <s v="Direct"/>
    <n v="320.39999999999998"/>
    <n v="12186.970000000001"/>
    <n v="341.6"/>
    <n v="12188.9"/>
    <n v="0"/>
    <n v="0"/>
    <n v="341.6"/>
    <n v="12188.9"/>
    <n v="12186.970000000001"/>
    <n v="0"/>
    <n v="0"/>
    <n v="1.929999999998472"/>
    <n v="0"/>
    <n v="0"/>
    <n v="0"/>
    <n v="12187"/>
    <n v="0"/>
    <n v="0"/>
    <n v="0"/>
    <n v="0"/>
    <n v="288.77489463171048"/>
    <n v="45.771428571428565"/>
    <n v="-1.583658612434815E-4"/>
    <n v="3"/>
    <m/>
    <s v="Bachhwara BMC"/>
    <m/>
    <n v="0"/>
  </r>
  <r>
    <s v="Munger"/>
    <s v="10-16 Jul"/>
    <n v="1008"/>
    <s v="Teghra"/>
    <x v="1006"/>
    <s v="Gomukh KAIDRABAD"/>
    <s v="MPG"/>
    <s v="Direct"/>
    <n v="604.20000000000005"/>
    <n v="24496.67"/>
    <n v="603.19999999999982"/>
    <n v="23692.079999999998"/>
    <n v="0"/>
    <n v="0"/>
    <n v="603.19999999999982"/>
    <n v="23692.079999999998"/>
    <n v="23692.079999999998"/>
    <n v="0"/>
    <n v="0"/>
    <n v="0"/>
    <n v="0"/>
    <n v="0"/>
    <n v="0"/>
    <n v="23692"/>
    <n v="0"/>
    <n v="0"/>
    <n v="805"/>
    <n v="0"/>
    <n v="77.682257067196275"/>
    <n v="86.314285714285717"/>
    <n v="3.2844872384695564E-2"/>
    <n v="1"/>
    <m/>
    <s v="Teghra"/>
    <m/>
    <n v="0"/>
  </r>
  <r>
    <s v="Munger"/>
    <s v="10-16 Jul"/>
    <n v="1065"/>
    <s v="Bachhwara BMC"/>
    <x v="943"/>
    <s v="Gomukh BACHHWARA"/>
    <s v="MPG"/>
    <s v="Direct"/>
    <n v="99.8"/>
    <n v="3658.8100000000004"/>
    <n v="34"/>
    <n v="1099.22"/>
    <n v="0"/>
    <n v="0"/>
    <n v="34"/>
    <n v="1099.22"/>
    <n v="1099.22"/>
    <n v="0"/>
    <n v="0"/>
    <n v="0"/>
    <n v="0"/>
    <n v="0"/>
    <n v="0"/>
    <n v="1099"/>
    <n v="0"/>
    <n v="2560"/>
    <n v="0"/>
    <n v="0"/>
    <n v="440.08371983967947"/>
    <n v="14.257142857142856"/>
    <n v="0.69956898554448033"/>
    <n v="1"/>
    <m/>
    <s v="Bachhwara BMC"/>
    <m/>
    <n v="0"/>
  </r>
  <r>
    <s v="Munger"/>
    <s v="10-16 Jul"/>
    <n v="1065"/>
    <s v="Bachhwara BMC"/>
    <x v="944"/>
    <s v="Gomukh KASTOLI"/>
    <s v="MPG"/>
    <s v="Direct"/>
    <n v="235.10000000000002"/>
    <n v="8755.43"/>
    <n v="113.49999999999999"/>
    <n v="4267.25"/>
    <n v="126.6"/>
    <n v="4488.2900000000009"/>
    <n v="240.09999999999997"/>
    <n v="8755.5400000000009"/>
    <n v="8755.43"/>
    <n v="0"/>
    <n v="0"/>
    <n v="0.11000000000058208"/>
    <n v="0"/>
    <n v="0"/>
    <n v="0"/>
    <n v="4267"/>
    <n v="4488"/>
    <n v="0"/>
    <n v="0"/>
    <n v="0"/>
    <n v="346.26962203317737"/>
    <n v="33.585714285714289"/>
    <n v="-1.2563631940473749E-5"/>
    <n v="4"/>
    <m/>
    <s v="Bachhwara BMC"/>
    <m/>
    <n v="0"/>
  </r>
  <r>
    <s v="Munger"/>
    <s v="10-16 Jul"/>
    <n v="1065"/>
    <s v="Bachhwara BMC"/>
    <x v="945"/>
    <s v="GANPATI DAIRY"/>
    <s v="vlc"/>
    <s v="Indirect"/>
    <n v="944"/>
    <n v="37160.269999999997"/>
    <n v="0"/>
    <n v="0"/>
    <n v="0"/>
    <n v="0"/>
    <n v="0"/>
    <n v="0"/>
    <n v="37160.269999999997"/>
    <n v="0"/>
    <n v="0"/>
    <n v="0"/>
    <n v="0"/>
    <n v="0"/>
    <n v="0"/>
    <n v="0"/>
    <n v="0"/>
    <n v="37160.269999999997"/>
    <n v="0"/>
    <n v="0"/>
    <n v="0"/>
    <n v="0"/>
    <n v="0"/>
    <n v="0"/>
    <m/>
    <s v="Bachhwara BMC"/>
    <m/>
    <n v="0"/>
  </r>
  <r>
    <s v="Munger"/>
    <s v="10-16 Jul"/>
    <n v="1066"/>
    <s v="Gaighat"/>
    <x v="946"/>
    <s v="GOMUKH CHATAUNA W-2"/>
    <s v="MPG"/>
    <s v="Direct"/>
    <n v="750.59999999999991"/>
    <n v="40211.21"/>
    <n v="736.5"/>
    <n v="39723.26"/>
    <n v="9.4"/>
    <n v="516.07000000000005"/>
    <n v="745.9"/>
    <n v="40239.33"/>
    <n v="40211.21"/>
    <n v="0"/>
    <n v="516.07000000000005"/>
    <n v="28.120000000002619"/>
    <n v="0"/>
    <n v="0"/>
    <n v="0"/>
    <n v="39695"/>
    <n v="0"/>
    <n v="0"/>
    <n v="0"/>
    <n v="0"/>
    <n v="0"/>
    <n v="0"/>
    <n v="-6.9930748166997759E-4"/>
    <n v="5"/>
    <m/>
    <s v="Gaighat"/>
    <m/>
    <n v="0"/>
  </r>
  <r>
    <s v="Munger"/>
    <s v="10-16 Jul"/>
    <n v="1066"/>
    <s v="Gaighat"/>
    <x v="947"/>
    <s v="GOMUKH TEERA JATMALPUR"/>
    <s v="MPG"/>
    <s v="Direct"/>
    <n v="339.29999999999995"/>
    <n v="15394.060000000001"/>
    <n v="328"/>
    <n v="15106.94"/>
    <n v="9.3000000000000007"/>
    <n v="416.12"/>
    <n v="337.3"/>
    <n v="15523.060000000001"/>
    <n v="15394.060000000001"/>
    <n v="0"/>
    <n v="416.12"/>
    <n v="129"/>
    <n v="0"/>
    <n v="0"/>
    <n v="0"/>
    <n v="14978"/>
    <n v="0"/>
    <n v="0"/>
    <n v="0"/>
    <n v="0"/>
    <n v="327.29958396699095"/>
    <n v="48.471428571428568"/>
    <n v="-8.3798556066430815E-3"/>
    <n v="8"/>
    <m/>
    <s v="Gaighat"/>
    <m/>
    <n v="0"/>
  </r>
  <r>
    <s v="Munger"/>
    <s v="10-16 Jul"/>
    <n v="1066"/>
    <s v="Gaighat"/>
    <x v="948"/>
    <s v="GOMUKH GOBARSITTHA"/>
    <s v="MPG"/>
    <s v="Direct"/>
    <n v="666.7"/>
    <n v="28741.4"/>
    <n v="644"/>
    <n v="27975.330000000005"/>
    <n v="14.599999999999998"/>
    <n v="629.75"/>
    <n v="658.6"/>
    <n v="28605.080000000005"/>
    <n v="28605.080000000005"/>
    <n v="0"/>
    <n v="629.75"/>
    <n v="0"/>
    <n v="0"/>
    <n v="0"/>
    <n v="0"/>
    <n v="27976"/>
    <n v="0"/>
    <n v="0"/>
    <n v="136"/>
    <n v="0"/>
    <n v="28.711223038848029"/>
    <n v="95.242857142857147"/>
    <n v="4.7429839882537411E-3"/>
    <n v="19"/>
    <m/>
    <s v="Gaighat"/>
    <m/>
    <n v="0"/>
  </r>
  <r>
    <s v="Munger"/>
    <s v="10-16 Jul"/>
    <n v="1066"/>
    <s v="Gaighat"/>
    <x v="949"/>
    <s v="GOMUKH UGHRA"/>
    <s v="MPG"/>
    <s v="Direct"/>
    <n v="593.10000000000014"/>
    <n v="29681.730000000007"/>
    <n v="578.40000000000009"/>
    <n v="29594.52"/>
    <n v="3.5999999999999996"/>
    <n v="173.41"/>
    <n v="582.00000000000011"/>
    <n v="29767.93"/>
    <n v="29681.730000000007"/>
    <n v="0"/>
    <n v="173.41"/>
    <n v="86.199999999993452"/>
    <n v="0"/>
    <n v="0"/>
    <n v="0"/>
    <n v="29508"/>
    <n v="0"/>
    <n v="0"/>
    <n v="0"/>
    <n v="0"/>
    <n v="106.99635599393011"/>
    <n v="84.728571428571442"/>
    <n v="-2.9041433905636037E-3"/>
    <n v="17"/>
    <m/>
    <s v="Gaighat"/>
    <m/>
    <n v="0"/>
  </r>
  <r>
    <s v="Munger"/>
    <s v="10-16 Jul"/>
    <n v="1066"/>
    <s v="Gaighat"/>
    <x v="950"/>
    <s v="GOMUKH BALUAHA"/>
    <s v="MPG"/>
    <s v="Direct"/>
    <n v="283.3"/>
    <n v="12661.22"/>
    <n v="287.89999999999998"/>
    <n v="12006.42"/>
    <n v="11.8"/>
    <n v="495.16999999999996"/>
    <n v="299.7"/>
    <n v="12501.59"/>
    <n v="12501.59"/>
    <n v="0"/>
    <n v="495.16999999999996"/>
    <n v="0"/>
    <n v="0"/>
    <n v="0"/>
    <n v="0"/>
    <n v="12006"/>
    <n v="0"/>
    <n v="0"/>
    <n v="160"/>
    <n v="0"/>
    <n v="372.46243374514648"/>
    <n v="40.471428571428575"/>
    <n v="1.260778977065395E-2"/>
    <n v="12"/>
    <m/>
    <s v="Gaighat"/>
    <m/>
    <n v="0"/>
  </r>
  <r>
    <s v="Munger"/>
    <s v="10-16 Jul"/>
    <n v="1066"/>
    <s v="Gaighat"/>
    <x v="951"/>
    <s v="GOMUKH DHAB WEST"/>
    <s v="vlc"/>
    <s v="Indirect"/>
    <n v="153.69999999999999"/>
    <n v="6366.89"/>
    <n v="0"/>
    <n v="0"/>
    <n v="0"/>
    <n v="0"/>
    <n v="0"/>
    <n v="0"/>
    <n v="6366.89"/>
    <n v="0"/>
    <n v="0"/>
    <n v="0"/>
    <n v="0"/>
    <n v="0"/>
    <n v="0"/>
    <n v="0"/>
    <n v="0"/>
    <n v="6366.89"/>
    <n v="0"/>
    <n v="0"/>
    <n v="452.60013103448279"/>
    <n v="21.957142857142856"/>
    <n v="0"/>
    <n v="0"/>
    <m/>
    <s v="Gaighat"/>
    <m/>
    <n v="0"/>
  </r>
  <r>
    <s v="Munger"/>
    <s v="10-16 Jul"/>
    <n v="1066"/>
    <s v="Gaighat"/>
    <x v="952"/>
    <s v="GOMUKH HAYAGHAT WEST"/>
    <s v="vlc"/>
    <s v="Indirect"/>
    <n v="2133.9"/>
    <n v="83843.42"/>
    <n v="0"/>
    <n v="0"/>
    <n v="0"/>
    <n v="0"/>
    <n v="0"/>
    <n v="0"/>
    <n v="83843.42"/>
    <n v="0"/>
    <n v="0"/>
    <n v="0"/>
    <n v="0"/>
    <n v="0"/>
    <n v="0"/>
    <n v="0"/>
    <n v="0"/>
    <n v="83843.42"/>
    <n v="0"/>
    <n v="0"/>
    <n v="0"/>
    <n v="0"/>
    <n v="0"/>
    <n v="0"/>
    <m/>
    <s v="Gaighat"/>
    <m/>
    <n v="0"/>
  </r>
  <r>
    <s v="Munger"/>
    <s v="10-16 Jul"/>
    <n v="1066"/>
    <s v="Gaighat"/>
    <x v="953"/>
    <s v="GOMUKH GHOGHARAHA"/>
    <s v="vlc"/>
    <s v="Indirect"/>
    <n v="1114.8000000000002"/>
    <n v="46124.31"/>
    <n v="0"/>
    <n v="0"/>
    <n v="0"/>
    <n v="0"/>
    <n v="0"/>
    <n v="0"/>
    <n v="46124.31"/>
    <n v="0"/>
    <n v="0"/>
    <n v="0"/>
    <n v="0"/>
    <n v="0"/>
    <n v="0"/>
    <n v="0"/>
    <n v="0"/>
    <n v="46124.31"/>
    <n v="0"/>
    <n v="0"/>
    <n v="0"/>
    <n v="0"/>
    <n v="0"/>
    <n v="0"/>
    <m/>
    <s v="Gaighat"/>
    <m/>
    <n v="0"/>
  </r>
  <r>
    <s v="Munger"/>
    <s v="10-16 Jul"/>
    <n v="1066"/>
    <s v="Gaighat"/>
    <x v="954"/>
    <s v="Gomukh Jatmalpur Dhab"/>
    <s v="vlc"/>
    <s v="Indirect"/>
    <n v="14.4"/>
    <n v="530.5"/>
    <n v="0"/>
    <n v="0"/>
    <n v="0"/>
    <n v="0"/>
    <n v="0"/>
    <n v="0"/>
    <n v="530.5"/>
    <n v="0"/>
    <n v="0"/>
    <n v="0"/>
    <n v="0"/>
    <n v="0"/>
    <n v="0"/>
    <n v="0"/>
    <n v="0"/>
    <n v="530.5"/>
    <n v="0"/>
    <n v="0"/>
    <n v="505.15388888888884"/>
    <n v="2.0571428571428574"/>
    <n v="0"/>
    <n v="0"/>
    <m/>
    <s v="Gaighat"/>
    <m/>
    <n v="0"/>
  </r>
  <r>
    <s v="Munger"/>
    <s v="10-16 Jul"/>
    <n v="1066"/>
    <s v="Gaighat"/>
    <x v="955"/>
    <s v="GOMUKH MORWARA"/>
    <s v="MPG"/>
    <s v="Direct"/>
    <n v="469.80000000000013"/>
    <n v="20018.07"/>
    <n v="468.09999999999997"/>
    <n v="19876.960000000003"/>
    <n v="0"/>
    <n v="0"/>
    <n v="468.09999999999997"/>
    <n v="19876.960000000003"/>
    <n v="19876.960000000003"/>
    <n v="0"/>
    <n v="0"/>
    <n v="0"/>
    <n v="0"/>
    <n v="0"/>
    <n v="0"/>
    <n v="19877"/>
    <n v="0"/>
    <n v="0"/>
    <n v="141"/>
    <n v="0"/>
    <n v="196.17538160919526"/>
    <n v="67.114285714285728"/>
    <n v="7.0491311100419245E-3"/>
    <n v="3"/>
    <m/>
    <s v="Gaighat"/>
    <m/>
    <n v="0"/>
  </r>
  <r>
    <s v="Munger"/>
    <s v="10-16 Jul"/>
    <n v="1066"/>
    <s v="Gaighat"/>
    <x v="956"/>
    <s v="GOMUKH NIYAMCHAKHAIDAR"/>
    <s v="vlc"/>
    <s v="Indirect"/>
    <n v="1166.0999999999999"/>
    <n v="48588.55"/>
    <n v="0"/>
    <n v="0"/>
    <n v="0"/>
    <n v="0"/>
    <n v="0"/>
    <n v="0"/>
    <n v="48588.55"/>
    <n v="0"/>
    <n v="0"/>
    <n v="0"/>
    <n v="0"/>
    <n v="0"/>
    <n v="0"/>
    <n v="0"/>
    <n v="0"/>
    <n v="48588.55"/>
    <n v="0"/>
    <n v="0"/>
    <n v="0"/>
    <n v="0"/>
    <n v="0"/>
    <n v="0"/>
    <m/>
    <s v="Gaighat"/>
    <m/>
    <n v="0"/>
  </r>
  <r>
    <s v="Munger"/>
    <s v="10-16 Jul"/>
    <n v="1066"/>
    <s v="Gaighat"/>
    <x v="957"/>
    <s v="GOMUKH JATMAPUR WARD 1"/>
    <s v="vlc"/>
    <s v="Indirect"/>
    <n v="767"/>
    <n v="30216.16"/>
    <n v="0"/>
    <n v="0"/>
    <n v="0"/>
    <n v="0"/>
    <n v="0"/>
    <n v="0"/>
    <n v="30216.16"/>
    <n v="0"/>
    <n v="0"/>
    <n v="0"/>
    <n v="0"/>
    <n v="0"/>
    <n v="0"/>
    <n v="0"/>
    <n v="0"/>
    <n v="30216.16"/>
    <n v="0"/>
    <n v="0"/>
    <n v="0"/>
    <n v="0"/>
    <n v="0"/>
    <n v="0"/>
    <m/>
    <s v="Gaighat"/>
    <m/>
    <n v="0"/>
  </r>
  <r>
    <s v="Munger"/>
    <s v="10-16 Jul"/>
    <n v="1066"/>
    <s v="Gaighat"/>
    <x v="958"/>
    <s v="GOMUKH JATMALPUR"/>
    <s v="MPG"/>
    <s v="Direct"/>
    <n v="179.5"/>
    <n v="8112.2599999999993"/>
    <n v="178.29999999999998"/>
    <n v="7826.23"/>
    <n v="1"/>
    <n v="44.88000000000001"/>
    <n v="179.29999999999998"/>
    <n v="7871.11"/>
    <n v="7871.11"/>
    <n v="0"/>
    <n v="44.88000000000001"/>
    <n v="0"/>
    <n v="0"/>
    <n v="0"/>
    <n v="0"/>
    <n v="7826"/>
    <n v="0"/>
    <n v="0"/>
    <n v="241"/>
    <n v="0"/>
    <n v="470.46588635097493"/>
    <n v="25.642857142857142"/>
    <n v="2.9726611326560005E-2"/>
    <n v="8"/>
    <m/>
    <s v="Gaighat"/>
    <m/>
    <n v="0"/>
  </r>
  <r>
    <s v="Munger"/>
    <s v="10-16 Jul"/>
    <n v="1066"/>
    <s v="Gaighat"/>
    <x v="960"/>
    <s v="Gomukh Barhetta"/>
    <s v="vlc"/>
    <s v="Indirect"/>
    <n v="324.20000000000005"/>
    <n v="12503.45"/>
    <n v="0"/>
    <n v="0"/>
    <n v="0"/>
    <n v="0"/>
    <n v="0"/>
    <n v="0"/>
    <n v="12503.45"/>
    <n v="0"/>
    <n v="0"/>
    <n v="0"/>
    <n v="0"/>
    <n v="0"/>
    <n v="0"/>
    <n v="0"/>
    <n v="0"/>
    <n v="12503.45"/>
    <n v="0"/>
    <n v="0"/>
    <n v="289.87023504009863"/>
    <n v="46.314285714285724"/>
    <n v="0"/>
    <n v="0"/>
    <m/>
    <s v="Gaighat"/>
    <m/>
    <n v="0"/>
  </r>
  <r>
    <s v="Munger"/>
    <s v="10-16 Jul"/>
    <n v="1066"/>
    <s v="Gaighat"/>
    <x v="1007"/>
    <s v="GOMUKH  MANORATHPUR"/>
    <s v="vlc"/>
    <s v="Indirect"/>
    <n v="282.3"/>
    <n v="13150.68"/>
    <n v="0"/>
    <n v="0"/>
    <n v="0"/>
    <n v="0"/>
    <n v="0"/>
    <n v="0"/>
    <n v="13150.68"/>
    <n v="0"/>
    <n v="0"/>
    <n v="0"/>
    <n v="0"/>
    <n v="0"/>
    <n v="0"/>
    <n v="0"/>
    <n v="0"/>
    <n v="13150.68"/>
    <n v="0"/>
    <n v="0"/>
    <n v="389.16323315621685"/>
    <n v="40.328571428571429"/>
    <n v="0"/>
    <n v="0"/>
    <m/>
    <s v="Gaighat"/>
    <m/>
    <n v="0"/>
  </r>
  <r>
    <s v="Munger"/>
    <s v="10-16 Jul"/>
    <n v="1066"/>
    <s v="Gaighat"/>
    <x v="961"/>
    <s v="GOMUKH BHADOGHAT"/>
    <s v="vlc"/>
    <s v="Indirect"/>
    <n v="8574.5000000000018"/>
    <n v="357362.23"/>
    <n v="0"/>
    <n v="0"/>
    <n v="0"/>
    <n v="0"/>
    <n v="0"/>
    <n v="0"/>
    <n v="357362.23"/>
    <n v="0"/>
    <n v="0"/>
    <n v="0"/>
    <n v="0"/>
    <n v="0"/>
    <n v="0"/>
    <n v="0"/>
    <n v="0"/>
    <n v="357362.23"/>
    <n v="0"/>
    <n v="0"/>
    <n v="0"/>
    <n v="0"/>
    <n v="0"/>
    <n v="0"/>
    <m/>
    <s v="Gaighat"/>
    <m/>
    <n v="0"/>
  </r>
  <r>
    <s v="Munger"/>
    <s v="10-16 Jul"/>
    <n v="1066"/>
    <s v="Gaighat"/>
    <x v="962"/>
    <s v="GOMUKH BALUAHA"/>
    <s v="vlc"/>
    <s v="Indirect"/>
    <n v="174.60000000000002"/>
    <n v="6538.51"/>
    <n v="0"/>
    <n v="0"/>
    <n v="0"/>
    <n v="0"/>
    <n v="0"/>
    <n v="0"/>
    <n v="6538.51"/>
    <n v="0"/>
    <n v="0"/>
    <n v="0"/>
    <n v="0"/>
    <n v="0"/>
    <n v="0"/>
    <n v="0"/>
    <n v="0"/>
    <n v="6538.51"/>
    <n v="0"/>
    <n v="0"/>
    <n v="393.5089523482244"/>
    <n v="24.942857142857147"/>
    <n v="0"/>
    <n v="0"/>
    <m/>
    <s v="Gaighat"/>
    <m/>
    <n v="0"/>
  </r>
  <r>
    <s v="Munger"/>
    <s v="10-16 Jul"/>
    <n v="1066"/>
    <s v="Gaighat"/>
    <x v="1008"/>
    <s v="GOMUKH  DAGHRAUL"/>
    <s v="vlc"/>
    <s v="Direct"/>
    <n v="52"/>
    <n v="2148.0100000000002"/>
    <n v="51.199999999999996"/>
    <n v="2168.08"/>
    <n v="0"/>
    <n v="0"/>
    <n v="51.199999999999996"/>
    <n v="2168.08"/>
    <n v="2148.0100000000002"/>
    <n v="0"/>
    <n v="0"/>
    <n v="20.069999999999709"/>
    <n v="0"/>
    <n v="0"/>
    <n v="0"/>
    <n v="2148"/>
    <n v="0"/>
    <n v="0"/>
    <n v="0"/>
    <n v="0"/>
    <n v="535.35018461538471"/>
    <n v="7.4285714285714288"/>
    <n v="-9.3435319202423203E-3"/>
    <n v="5"/>
    <m/>
    <s v="Gaighat"/>
    <m/>
    <n v="0"/>
  </r>
  <r>
    <s v="Munger"/>
    <s v="10-16 Jul"/>
    <n v="1066"/>
    <s v="Gaighat"/>
    <x v="1009"/>
    <s v="GOMUKH RUPAULI"/>
    <s v="vlc"/>
    <s v="Direct"/>
    <n v="130.30000000000001"/>
    <n v="5942.5399999999991"/>
    <n v="129.1"/>
    <n v="5781.1399999999994"/>
    <n v="0"/>
    <n v="0"/>
    <n v="129.1"/>
    <n v="5781.1399999999994"/>
    <n v="5781.1399999999994"/>
    <n v="0"/>
    <n v="0"/>
    <n v="0"/>
    <n v="0"/>
    <n v="0"/>
    <n v="0"/>
    <n v="5782"/>
    <n v="0"/>
    <n v="0"/>
    <n v="161"/>
    <n v="0"/>
    <n v="519.64160214888716"/>
    <n v="18.614285714285717"/>
    <n v="2.7160103255510212E-2"/>
    <n v="7"/>
    <m/>
    <s v="Gaighat"/>
    <m/>
    <n v="0"/>
  </r>
  <r>
    <s v="Munger"/>
    <s v="10-16 Jul"/>
    <n v="1066"/>
    <s v="Gaighat"/>
    <x v="963"/>
    <s v="GOMUKH CHHATAUNA W-1"/>
    <s v="vlc"/>
    <s v="Direct"/>
    <n v="729.50000000000011"/>
    <n v="38125.490000000005"/>
    <n v="726.0999999999998"/>
    <n v="38271.480000000003"/>
    <n v="0"/>
    <n v="0"/>
    <n v="726.0999999999998"/>
    <n v="38271.480000000003"/>
    <n v="38125.490000000005"/>
    <n v="0"/>
    <n v="0"/>
    <n v="145.98999999999796"/>
    <n v="0"/>
    <n v="0"/>
    <n v="0"/>
    <n v="38125"/>
    <n v="0"/>
    <n v="0"/>
    <n v="0"/>
    <n v="0"/>
    <n v="0"/>
    <n v="0"/>
    <n v="-3.8291966870458044E-3"/>
    <n v="20"/>
    <m/>
    <s v="Gaighat"/>
    <m/>
    <n v="0"/>
  </r>
  <r>
    <s v="Munger"/>
    <s v="10-16 Jul"/>
    <n v="1066"/>
    <s v="Gaighat"/>
    <x v="1010"/>
    <s v="GOMUKH VISHANPUR MORO"/>
    <s v="vlc"/>
    <s v="Direct"/>
    <n v="31.2"/>
    <n v="1338.78"/>
    <n v="34.70000000000001"/>
    <n v="1466.4999999999998"/>
    <n v="0"/>
    <n v="0"/>
    <n v="34.70000000000001"/>
    <n v="1466.4999999999998"/>
    <n v="1338.78"/>
    <n v="0"/>
    <n v="0"/>
    <n v="127.7199999999998"/>
    <n v="0"/>
    <n v="0"/>
    <n v="0"/>
    <n v="1339"/>
    <n v="0"/>
    <n v="0"/>
    <n v="0"/>
    <n v="0"/>
    <n v="573.95901538461533"/>
    <n v="4.4571428571428573"/>
    <n v="-9.5400289816101075E-2"/>
    <n v="2"/>
    <m/>
    <s v="Gaighat"/>
    <m/>
    <n v="0"/>
  </r>
  <r>
    <s v="Munger"/>
    <s v="10-16 Jul"/>
    <n v="1066"/>
    <s v="Gaighat"/>
    <x v="964"/>
    <s v="GOMUKH MORWARA"/>
    <s v="vlc"/>
    <s v="Indirect"/>
    <n v="120.39999999999999"/>
    <n v="5213.6400000000003"/>
    <n v="0"/>
    <n v="0"/>
    <n v="0"/>
    <n v="0"/>
    <n v="0"/>
    <n v="0"/>
    <n v="5213.6400000000003"/>
    <n v="0"/>
    <n v="0"/>
    <n v="0"/>
    <n v="0"/>
    <n v="0"/>
    <n v="0"/>
    <n v="0"/>
    <n v="0"/>
    <n v="5213.6400000000003"/>
    <n v="0"/>
    <n v="0"/>
    <n v="501.96440930232569"/>
    <n v="17.2"/>
    <n v="0"/>
    <n v="0"/>
    <m/>
    <s v="Gaighat"/>
    <m/>
    <n v="0"/>
  </r>
  <r>
    <s v="Munger"/>
    <s v="17-23 Jul"/>
    <n v="1001"/>
    <s v="Majhaul"/>
    <x v="0"/>
    <s v="Gomukh Kumbhi"/>
    <s v="MPG"/>
    <s v="Direct"/>
    <n v="539.80000000000007"/>
    <n v="20378.330000000002"/>
    <n v="533.44000000000017"/>
    <n v="20541.239999999998"/>
    <n v="2.16"/>
    <n v="81.669999999999987"/>
    <n v="535.60000000000014"/>
    <n v="20622.909999999996"/>
    <n v="20378.330000000002"/>
    <n v="0"/>
    <n v="81.669999999999987"/>
    <n v="244.57999999999447"/>
    <n v="0"/>
    <n v="0"/>
    <n v="0"/>
    <n v="20297"/>
    <n v="0"/>
    <n v="0"/>
    <n v="0"/>
    <s v="Release2"/>
    <n v="120.95622326787691"/>
    <n v="77.114285714285728"/>
    <n v="-1.2001964832250456E-2"/>
    <n v="14"/>
    <m/>
    <s v="Majhaul"/>
    <m/>
    <n v="0"/>
  </r>
  <r>
    <s v="Munger"/>
    <s v="17-23 Jul"/>
    <n v="1001"/>
    <s v="Majhaul"/>
    <x v="1"/>
    <s v="Gomukh Jagdar                                                                                       "/>
    <s v="MPG"/>
    <s v="Direct"/>
    <n v="870.69999999999993"/>
    <n v="34052.019999999997"/>
    <n v="858.77"/>
    <n v="33696.32"/>
    <n v="12.54"/>
    <n v="465.60999999999996"/>
    <n v="871.31"/>
    <n v="34161.93"/>
    <n v="34052.019999999997"/>
    <n v="0"/>
    <n v="465.60999999999996"/>
    <n v="109.91000000000349"/>
    <n v="0"/>
    <n v="0"/>
    <n v="0"/>
    <n v="33586"/>
    <n v="0"/>
    <n v="0"/>
    <n v="0"/>
    <s v="Release2"/>
    <n v="0"/>
    <n v="0"/>
    <n v="-3.2277086645668453E-3"/>
    <n v="11"/>
    <m/>
    <s v="Majhaul"/>
    <m/>
    <n v="0"/>
  </r>
  <r>
    <s v="Munger"/>
    <s v="17-23 Jul"/>
    <n v="1058"/>
    <s v="Hasanpur"/>
    <x v="2"/>
    <s v="Gomukh Goriyari"/>
    <s v="MPG"/>
    <s v="Direct"/>
    <n v="898.31999999999994"/>
    <n v="36880.49"/>
    <n v="560"/>
    <n v="23010.199999999997"/>
    <n v="341.1"/>
    <n v="13950.7"/>
    <n v="901.1"/>
    <n v="36960.899999999994"/>
    <n v="36880.49"/>
    <n v="0"/>
    <n v="200.85"/>
    <n v="80.409999999996217"/>
    <n v="0"/>
    <n v="0"/>
    <n v="0"/>
    <n v="22930"/>
    <n v="13749"/>
    <n v="0"/>
    <n v="1"/>
    <n v="0"/>
    <n v="0"/>
    <n v="0"/>
    <n v="-2.1802855656200939E-3"/>
    <n v="7"/>
    <m/>
    <s v="Hasanpur"/>
    <m/>
    <n v="0"/>
  </r>
  <r>
    <s v="Munger"/>
    <s v="17-23 Jul"/>
    <n v="1058"/>
    <s v="Hasanpur"/>
    <x v="3"/>
    <s v="Gomukh Kanausi"/>
    <s v="MPG"/>
    <s v="Direct"/>
    <n v="266.92"/>
    <n v="10951.000000000002"/>
    <n v="214.6"/>
    <n v="8800.82"/>
    <n v="51.300000000000011"/>
    <n v="2124.69"/>
    <n v="265.89999999999998"/>
    <n v="10925.51"/>
    <n v="10925.51"/>
    <n v="0"/>
    <n v="203.65"/>
    <n v="0"/>
    <n v="0"/>
    <n v="0"/>
    <n v="0"/>
    <n v="8801"/>
    <n v="1920"/>
    <n v="0"/>
    <n v="26"/>
    <n v="0"/>
    <n v="355.36183725460819"/>
    <n v="38.131428571428572"/>
    <n v="2.3276413112959179E-3"/>
    <n v="9"/>
    <m/>
    <s v="Hasanpur"/>
    <m/>
    <n v="0"/>
  </r>
  <r>
    <s v="Munger"/>
    <s v="17-23 Jul"/>
    <n v="1001"/>
    <s v="Majhaul"/>
    <x v="4"/>
    <s v="Mohanpur - Chandan"/>
    <s v="vlc"/>
    <s v="Indirect"/>
    <n v="304.39999999999998"/>
    <n v="11934.76"/>
    <n v="0"/>
    <n v="0"/>
    <n v="0"/>
    <n v="0"/>
    <n v="0"/>
    <n v="0"/>
    <n v="11934.76"/>
    <n v="0"/>
    <n v="0"/>
    <n v="0"/>
    <n v="0"/>
    <n v="0"/>
    <n v="0"/>
    <n v="0"/>
    <n v="0"/>
    <n v="11934.76"/>
    <n v="0"/>
    <n v="0"/>
    <n v="310.20966202365315"/>
    <n v="43.48571428571428"/>
    <n v="0"/>
    <n v="0"/>
    <m/>
    <s v="Majhaul"/>
    <m/>
    <n v="0"/>
  </r>
  <r>
    <s v="Munger"/>
    <s v="17-23 Jul"/>
    <n v="1001"/>
    <s v="Majhaul"/>
    <x v="965"/>
    <s v="Birpur-2 - Pankaj"/>
    <s v="vlc"/>
    <s v="Indirect"/>
    <n v="377.29999999999995"/>
    <n v="14733.16"/>
    <n v="0"/>
    <n v="0"/>
    <n v="0"/>
    <n v="0"/>
    <n v="0"/>
    <n v="0"/>
    <n v="14733.16"/>
    <n v="0"/>
    <n v="0"/>
    <n v="0"/>
    <n v="0"/>
    <n v="0"/>
    <n v="0"/>
    <n v="0"/>
    <n v="0"/>
    <n v="14733.16"/>
    <n v="0"/>
    <n v="0"/>
    <n v="252.02177217068655"/>
    <n v="53.899999999999991"/>
    <n v="0"/>
    <n v="0"/>
    <m/>
    <s v="Majhaul"/>
    <m/>
    <n v="0"/>
  </r>
  <r>
    <s v="Munger"/>
    <s v="17-23 Jul"/>
    <n v="1058"/>
    <s v="Hasanpur"/>
    <x v="5"/>
    <s v="Ekamba - Ashutosh"/>
    <s v="MPG"/>
    <s v="Indirect"/>
    <n v="1326.46"/>
    <n v="56669.54"/>
    <n v="0"/>
    <n v="0"/>
    <n v="0"/>
    <n v="0"/>
    <n v="0"/>
    <n v="0"/>
    <n v="56669.54"/>
    <n v="0"/>
    <n v="0"/>
    <n v="0"/>
    <n v="0"/>
    <n v="0"/>
    <n v="0"/>
    <n v="0"/>
    <n v="0"/>
    <n v="56669.54"/>
    <n v="0"/>
    <n v="0"/>
    <n v="0"/>
    <n v="0"/>
    <n v="0"/>
    <n v="0"/>
    <m/>
    <s v="Hasanpur"/>
    <m/>
    <n v="0"/>
  </r>
  <r>
    <s v="Munger"/>
    <s v="17-23 Jul"/>
    <n v="1001"/>
    <s v="Majhaul"/>
    <x v="6"/>
    <s v="GOMUKH BIRPUR PASCHIM                                                                               "/>
    <s v="MPG"/>
    <s v="Direct"/>
    <n v="96.5"/>
    <n v="4031.67"/>
    <n v="97.7"/>
    <n v="4114.78"/>
    <n v="0.5"/>
    <n v="17.399999999999999"/>
    <n v="98.2"/>
    <n v="4132.1799999999994"/>
    <n v="4031.67"/>
    <n v="0"/>
    <n v="0"/>
    <n v="100.50999999999931"/>
    <n v="0"/>
    <n v="500"/>
    <n v="0"/>
    <n v="3517"/>
    <n v="15"/>
    <n v="0"/>
    <n v="0"/>
    <n v="0"/>
    <n v="504.27209222797933"/>
    <n v="13.785714285714286"/>
    <n v="-2.4930115808089279E-2"/>
    <n v="7"/>
    <m/>
    <s v="Majhaul"/>
    <m/>
    <n v="500"/>
  </r>
  <r>
    <s v="Munger"/>
    <s v="17-23 Jul"/>
    <n v="1001"/>
    <s v="Majhaul"/>
    <x v="7"/>
    <s v="Manish Dairy                                                                                        "/>
    <s v="vlc"/>
    <s v="Indirect"/>
    <n v="10349.799999999999"/>
    <n v="391721.52000000008"/>
    <n v="0"/>
    <n v="0"/>
    <n v="0"/>
    <n v="0"/>
    <n v="0"/>
    <n v="0"/>
    <n v="391721.52000000008"/>
    <n v="0"/>
    <n v="0"/>
    <n v="0"/>
    <n v="0"/>
    <n v="0"/>
    <n v="0"/>
    <n v="0"/>
    <n v="0"/>
    <n v="391721.52000000008"/>
    <n v="0"/>
    <n v="0"/>
    <n v="0"/>
    <n v="0"/>
    <n v="0"/>
    <n v="0"/>
    <m/>
    <s v="Majhaul"/>
    <m/>
    <n v="0"/>
  </r>
  <r>
    <s v="Munger"/>
    <s v="17-23 Jul"/>
    <n v="1001"/>
    <s v="Majhaul"/>
    <x v="8"/>
    <s v="Gomukh Bhith-02"/>
    <s v="MPG"/>
    <s v="Direct"/>
    <n v="950.4"/>
    <n v="42632.9"/>
    <n v="423.30000000000007"/>
    <n v="18101.669999999998"/>
    <n v="453.90000000000015"/>
    <n v="19515.239999999998"/>
    <n v="877.20000000000027"/>
    <n v="37616.909999999996"/>
    <n v="37616.909999999996"/>
    <n v="0"/>
    <n v="0"/>
    <n v="0"/>
    <n v="0"/>
    <n v="0"/>
    <n v="0"/>
    <n v="18100"/>
    <n v="19513"/>
    <n v="0"/>
    <n v="5020"/>
    <n v="0"/>
    <n v="0"/>
    <n v="0"/>
    <n v="0.11765537882715005"/>
    <n v="14"/>
    <m/>
    <s v="Majhaul"/>
    <m/>
    <n v="0"/>
  </r>
  <r>
    <s v="Munger"/>
    <s v="17-23 Jul"/>
    <n v="1058"/>
    <s v="Hasanpur"/>
    <x v="966"/>
    <s v="Chandan Dairy"/>
    <s v="vlc"/>
    <s v="Indirect"/>
    <n v="214.5"/>
    <n v="9160.99"/>
    <n v="0"/>
    <n v="0"/>
    <n v="0"/>
    <n v="0"/>
    <n v="0"/>
    <n v="0"/>
    <n v="9160.99"/>
    <n v="0"/>
    <n v="0"/>
    <n v="0"/>
    <n v="0"/>
    <n v="0"/>
    <n v="0"/>
    <n v="0"/>
    <n v="0"/>
    <n v="9160.99"/>
    <n v="0"/>
    <n v="0"/>
    <n v="414.70029324009323"/>
    <n v="30.642857142857142"/>
    <n v="0"/>
    <n v="0"/>
    <m/>
    <s v="Hasanpur"/>
    <m/>
    <n v="0"/>
  </r>
  <r>
    <s v="Munger"/>
    <s v="17-23 Jul"/>
    <n v="1001"/>
    <s v="Majhaul"/>
    <x v="9"/>
    <s v="Gomukh Sharmatola Sahuri"/>
    <s v="MPG"/>
    <s v="Direct"/>
    <n v="1291.7000000000003"/>
    <n v="50584.000000000007"/>
    <n v="1182.6599999999999"/>
    <n v="46299.049999999996"/>
    <n v="110.13999999999999"/>
    <n v="4309.5499999999993"/>
    <n v="1292.7999999999997"/>
    <n v="50608.599999999991"/>
    <n v="50584.000000000007"/>
    <n v="0"/>
    <n v="0"/>
    <n v="24.599999999983993"/>
    <n v="0"/>
    <n v="0"/>
    <n v="0"/>
    <n v="46274"/>
    <n v="4310"/>
    <n v="0"/>
    <n v="0"/>
    <s v="Release2"/>
    <n v="0"/>
    <n v="0"/>
    <n v="-4.8631978491190872E-4"/>
    <n v="7"/>
    <m/>
    <s v="Majhaul"/>
    <m/>
    <n v="0"/>
  </r>
  <r>
    <s v="Munger"/>
    <s v="17-23 Jul"/>
    <n v="1001"/>
    <s v="Majhaul"/>
    <x v="10"/>
    <s v="Sangat- Sanjeev Kumar"/>
    <s v="vlc"/>
    <s v="Indirect"/>
    <n v="252.70000000000002"/>
    <n v="8797.52"/>
    <n v="0"/>
    <n v="0"/>
    <n v="0"/>
    <n v="0"/>
    <n v="0"/>
    <n v="0"/>
    <n v="8797.52"/>
    <n v="0"/>
    <n v="0"/>
    <n v="0"/>
    <n v="0"/>
    <n v="0"/>
    <n v="0"/>
    <n v="0"/>
    <n v="0"/>
    <n v="8797.52"/>
    <n v="0"/>
    <n v="0"/>
    <n v="311.44682991689751"/>
    <n v="36.1"/>
    <n v="0"/>
    <n v="0"/>
    <m/>
    <s v="Majhaul"/>
    <m/>
    <n v="0"/>
  </r>
  <r>
    <s v="Munger"/>
    <s v="17-23 Jul"/>
    <n v="1058"/>
    <s v="Hasanpur"/>
    <x v="11"/>
    <s v="Gomukh Garhi Bisanpur"/>
    <s v="MPG"/>
    <s v="Direct"/>
    <n v="144.84"/>
    <n v="6738.02"/>
    <n v="125.67000000000002"/>
    <n v="6825.0600000000013"/>
    <n v="1.6099999999999999"/>
    <n v="84.320000000000007"/>
    <n v="127.28000000000002"/>
    <n v="6909.380000000001"/>
    <n v="6738.02"/>
    <n v="0"/>
    <n v="84.320000000000007"/>
    <n v="171.36000000000058"/>
    <n v="0"/>
    <n v="500"/>
    <n v="0"/>
    <n v="6154"/>
    <n v="0"/>
    <n v="0"/>
    <n v="0"/>
    <s v="Release2"/>
    <n v="516.5257088097211"/>
    <n v="20.69142857142857"/>
    <n v="-2.5431803408122945E-2"/>
    <n v="6"/>
    <m/>
    <s v="Hasanpur"/>
    <m/>
    <n v="500"/>
  </r>
  <r>
    <s v="Munger"/>
    <s v="17-23 Jul"/>
    <n v="1058"/>
    <s v="Hasanpur"/>
    <x v="13"/>
    <s v="Gomukh Barkurwa"/>
    <s v="MPG"/>
    <s v="Direct"/>
    <n v="478.14000000000004"/>
    <n v="20368.75"/>
    <n v="280"/>
    <n v="11979.2"/>
    <n v="197.9"/>
    <n v="8457.380000000001"/>
    <n v="477.9"/>
    <n v="20436.580000000002"/>
    <n v="20368.75"/>
    <n v="0"/>
    <n v="0"/>
    <n v="67.830000000001746"/>
    <n v="0"/>
    <n v="0"/>
    <n v="0"/>
    <n v="11912"/>
    <n v="8457"/>
    <n v="0"/>
    <n v="0"/>
    <n v="0"/>
    <n v="189.02459007821975"/>
    <n v="68.305714285714288"/>
    <n v="-3.3301012580547037E-3"/>
    <n v="6"/>
    <m/>
    <s v="Hasanpur"/>
    <m/>
    <n v="0"/>
  </r>
  <r>
    <s v="Munger"/>
    <s v="17-23 Jul"/>
    <n v="1001"/>
    <s v="Majhaul"/>
    <x v="14"/>
    <s v="Kamla- Amarjeet"/>
    <s v="vlc"/>
    <s v="Indirect"/>
    <n v="768.8"/>
    <n v="25940.47"/>
    <n v="0"/>
    <n v="0"/>
    <n v="0"/>
    <n v="0"/>
    <n v="0"/>
    <n v="0"/>
    <n v="25940.47"/>
    <n v="0"/>
    <n v="0"/>
    <n v="0"/>
    <n v="0"/>
    <n v="0"/>
    <n v="0"/>
    <n v="0"/>
    <n v="0"/>
    <n v="25940.47"/>
    <n v="0"/>
    <n v="0"/>
    <n v="0"/>
    <n v="0"/>
    <n v="0"/>
    <n v="0"/>
    <m/>
    <s v="Majhaul"/>
    <m/>
    <n v="0"/>
  </r>
  <r>
    <s v="Munger"/>
    <s v="17-23 Jul"/>
    <n v="1058"/>
    <s v="Hasanpur"/>
    <x v="15"/>
    <s v="Gomukh Goha-02"/>
    <s v="MPG"/>
    <s v="Direct"/>
    <n v="248.10000000000002"/>
    <n v="10205.619999999999"/>
    <n v="242.1"/>
    <n v="9954.33"/>
    <n v="5"/>
    <n v="194.6"/>
    <n v="247.1"/>
    <n v="10148.93"/>
    <n v="10148.93"/>
    <n v="0"/>
    <n v="194.6"/>
    <n v="0"/>
    <n v="0"/>
    <n v="0"/>
    <n v="0"/>
    <n v="9954"/>
    <n v="0"/>
    <n v="0"/>
    <n v="57"/>
    <n v="0"/>
    <n v="371.77909536477216"/>
    <n v="35.442857142857143"/>
    <n v="5.554782560980979E-3"/>
    <n v="3"/>
    <m/>
    <s v="Hasanpur"/>
    <m/>
    <n v="0"/>
  </r>
  <r>
    <s v="Munger"/>
    <s v="17-23 Jul"/>
    <n v="1001"/>
    <s v="Majhaul"/>
    <x v="16"/>
    <s v="Gomukh Cheria Bariarpur"/>
    <s v="MPG"/>
    <s v="Direct"/>
    <n v="1086.6000000000001"/>
    <n v="42017.4"/>
    <n v="1209.4700000000003"/>
    <n v="48110.990000000013"/>
    <n v="1.79"/>
    <n v="70.400000000000006"/>
    <n v="1211.2600000000002"/>
    <n v="48181.390000000014"/>
    <n v="42017.4"/>
    <n v="0"/>
    <n v="70.400000000000006"/>
    <n v="6163.9900000000125"/>
    <n v="0"/>
    <n v="0"/>
    <n v="0"/>
    <n v="41947"/>
    <n v="0"/>
    <n v="0"/>
    <n v="0"/>
    <n v="0"/>
    <n v="0"/>
    <n v="0"/>
    <n v="-0.14670089058342525"/>
    <n v="11"/>
    <m/>
    <s v="Majhaul"/>
    <m/>
    <n v="0"/>
  </r>
  <r>
    <s v="Munger"/>
    <s v="17-23 Jul"/>
    <n v="1058"/>
    <s v="Hasanpur"/>
    <x v="17"/>
    <s v="Gomukh Bagraha-01"/>
    <s v="MPG"/>
    <s v="Direct"/>
    <n v="223.26"/>
    <n v="9659.0800000000017"/>
    <n v="229.70000000000002"/>
    <n v="9654.5500000000011"/>
    <n v="0"/>
    <n v="0"/>
    <n v="229.70000000000002"/>
    <n v="9654.5500000000011"/>
    <n v="9654.5500000000011"/>
    <n v="0"/>
    <n v="0"/>
    <n v="0"/>
    <n v="0"/>
    <n v="500"/>
    <n v="0"/>
    <n v="9155"/>
    <n v="0"/>
    <n v="0"/>
    <n v="4"/>
    <s v="Release2"/>
    <n v="412.51185158111628"/>
    <n v="31.894285714285711"/>
    <n v="4.6898876497561404E-4"/>
    <n v="1"/>
    <m/>
    <s v="Hasanpur"/>
    <m/>
    <n v="500"/>
  </r>
  <r>
    <s v="Munger"/>
    <s v="17-23 Jul"/>
    <n v="1001"/>
    <s v="Majhaul"/>
    <x v="18"/>
    <s v="Gomukh Pirauna"/>
    <s v="MPG"/>
    <s v="Direct"/>
    <n v="221.9"/>
    <n v="8113.9400000000014"/>
    <n v="225.09999999999997"/>
    <n v="8413.7099999999991"/>
    <n v="0.17"/>
    <n v="6.55"/>
    <n v="225.26999999999995"/>
    <n v="8420.2599999999984"/>
    <n v="8113.9400000000014"/>
    <n v="0"/>
    <n v="6.55"/>
    <n v="306.31999999999698"/>
    <n v="0"/>
    <n v="500"/>
    <n v="0"/>
    <n v="7607"/>
    <n v="0"/>
    <n v="0"/>
    <n v="0"/>
    <s v="Release2"/>
    <n v="349.64170473186118"/>
    <n v="31.7"/>
    <n v="-3.7752312686561269E-2"/>
    <n v="7"/>
    <m/>
    <s v="Majhaul"/>
    <m/>
    <n v="500"/>
  </r>
  <r>
    <s v="Munger"/>
    <s v="17-23 Jul"/>
    <n v="1001"/>
    <s v="Majhaul"/>
    <x v="19"/>
    <s v="Parra- Nagendra Kumar"/>
    <s v="vlc"/>
    <s v="Indirect"/>
    <n v="284.79999999999995"/>
    <n v="9895.65"/>
    <n v="0"/>
    <n v="0"/>
    <n v="0"/>
    <n v="0"/>
    <n v="0"/>
    <n v="0"/>
    <n v="9895.65"/>
    <n v="0"/>
    <n v="0"/>
    <n v="0"/>
    <n v="0"/>
    <n v="0"/>
    <n v="0"/>
    <n v="0"/>
    <n v="0"/>
    <n v="9895.65"/>
    <n v="0"/>
    <n v="0"/>
    <n v="288.53046910112363"/>
    <n v="40.685714285714276"/>
    <n v="0"/>
    <n v="0"/>
    <m/>
    <s v="Majhaul"/>
    <m/>
    <n v="0"/>
  </r>
  <r>
    <s v="Munger"/>
    <s v="17-23 Jul"/>
    <n v="1001"/>
    <s v="Majhaul"/>
    <x v="20"/>
    <s v="Gomukh Basahi"/>
    <s v="MPG"/>
    <s v="Direct"/>
    <n v="792.60000000000014"/>
    <n v="31801.710000000006"/>
    <n v="793.47"/>
    <n v="32218.53"/>
    <n v="1.3"/>
    <n v="62.53"/>
    <n v="794.77"/>
    <n v="32281.059999999998"/>
    <n v="31801.710000000006"/>
    <n v="0"/>
    <n v="62.53"/>
    <n v="479.34999999999127"/>
    <n v="0"/>
    <n v="0"/>
    <n v="0"/>
    <n v="31739"/>
    <n v="0"/>
    <n v="0"/>
    <n v="0"/>
    <n v="0"/>
    <n v="0"/>
    <n v="0"/>
    <n v="-1.5073088837046535E-2"/>
    <n v="28"/>
    <m/>
    <s v="Majhaul"/>
    <m/>
    <n v="0"/>
  </r>
  <r>
    <s v="Munger"/>
    <s v="17-23 Jul"/>
    <n v="1001"/>
    <s v="Majhaul"/>
    <x v="21"/>
    <s v="Gomukh Sawantpur"/>
    <s v="MPG"/>
    <s v="Direct"/>
    <n v="1341.9999999999998"/>
    <n v="52229.67"/>
    <n v="1195.3999999999999"/>
    <n v="45178.539999999994"/>
    <n v="243.41000000000003"/>
    <n v="9492.82"/>
    <n v="1438.81"/>
    <n v="54671.359999999993"/>
    <n v="52229.67"/>
    <n v="0"/>
    <n v="31.240000000000002"/>
    <n v="2441.6899999999951"/>
    <n v="0"/>
    <n v="0"/>
    <n v="0"/>
    <n v="42737"/>
    <n v="9461"/>
    <n v="0"/>
    <n v="0"/>
    <n v="0"/>
    <n v="0"/>
    <n v="0"/>
    <n v="-4.674909874023702E-2"/>
    <n v="17"/>
    <m/>
    <s v="Majhaul"/>
    <m/>
    <n v="0"/>
  </r>
  <r>
    <s v="Munger"/>
    <s v="17-23 Jul"/>
    <n v="1001"/>
    <s v="Majhaul"/>
    <x v="22"/>
    <s v="Maida- Ram Kumar"/>
    <s v="vlc"/>
    <s v="Indirect"/>
    <n v="427.99999999999994"/>
    <n v="19077.98"/>
    <n v="0"/>
    <n v="0"/>
    <n v="0"/>
    <n v="0"/>
    <n v="0"/>
    <n v="0"/>
    <n v="19077.98"/>
    <n v="0"/>
    <n v="0"/>
    <n v="0"/>
    <n v="0"/>
    <n v="0"/>
    <n v="0"/>
    <n v="0"/>
    <n v="0"/>
    <n v="19077.98"/>
    <n v="0"/>
    <n v="0"/>
    <n v="242.48647476635526"/>
    <n v="61.142857142857132"/>
    <n v="0"/>
    <n v="0"/>
    <m/>
    <s v="Majhaul"/>
    <m/>
    <n v="0"/>
  </r>
  <r>
    <s v="Munger"/>
    <s v="17-23 Jul"/>
    <n v="1001"/>
    <s v="Majhaul"/>
    <x v="23"/>
    <s v="Gomukh Aure Bikrampur"/>
    <s v="MPG"/>
    <s v="Direct"/>
    <n v="924.59999999999991"/>
    <n v="39360.720000000001"/>
    <n v="887.62000000000035"/>
    <n v="37979.349999999991"/>
    <n v="0"/>
    <n v="0"/>
    <n v="887.62000000000035"/>
    <n v="37979.349999999991"/>
    <n v="37979.349999999991"/>
    <n v="0"/>
    <n v="0"/>
    <n v="0"/>
    <n v="0"/>
    <n v="0"/>
    <n v="0"/>
    <n v="37973"/>
    <n v="0"/>
    <n v="0"/>
    <n v="1388"/>
    <n v="0"/>
    <n v="0"/>
    <n v="0"/>
    <n v="3.5095140536047356E-2"/>
    <n v="18"/>
    <m/>
    <s v="Majhaul"/>
    <m/>
    <n v="0"/>
  </r>
  <r>
    <s v="Munger"/>
    <s v="17-23 Jul"/>
    <n v="1001"/>
    <s v="Majhaul"/>
    <x v="24"/>
    <s v="Manjhaul- Gulshan Kumar"/>
    <s v="vlc"/>
    <s v="Indirect"/>
    <n v="1007.6000000000001"/>
    <n v="43097.689999999995"/>
    <n v="0"/>
    <n v="0"/>
    <n v="0"/>
    <n v="0"/>
    <n v="0"/>
    <n v="0"/>
    <n v="43097.689999999995"/>
    <n v="0"/>
    <n v="0"/>
    <n v="0"/>
    <n v="0"/>
    <n v="0"/>
    <n v="0"/>
    <n v="0"/>
    <n v="0"/>
    <n v="43097.689999999995"/>
    <n v="0"/>
    <n v="0"/>
    <n v="0"/>
    <n v="0"/>
    <n v="0"/>
    <n v="0"/>
    <m/>
    <s v="Majhaul"/>
    <m/>
    <n v="0"/>
  </r>
  <r>
    <s v="Munger"/>
    <s v="17-23 Jul"/>
    <n v="1001"/>
    <s v="Majhaul"/>
    <x v="25"/>
    <s v="Khaira Manjhaul"/>
    <s v="vlc"/>
    <s v="Indirect"/>
    <n v="505.4"/>
    <n v="18620.93"/>
    <n v="0"/>
    <n v="0"/>
    <n v="0"/>
    <n v="0"/>
    <n v="0"/>
    <n v="0"/>
    <n v="18620.93"/>
    <n v="0"/>
    <n v="0"/>
    <n v="0"/>
    <n v="0"/>
    <n v="0"/>
    <n v="0"/>
    <n v="0"/>
    <n v="0"/>
    <n v="18620.93"/>
    <n v="0"/>
    <n v="0"/>
    <n v="143.39663545706372"/>
    <n v="72.2"/>
    <n v="0"/>
    <n v="0"/>
    <m/>
    <s v="Majhaul"/>
    <m/>
    <n v="0"/>
  </r>
  <r>
    <s v="Munger"/>
    <s v="17-23 Jul"/>
    <n v="1001"/>
    <s v="Majhaul"/>
    <x v="26"/>
    <s v="Mehda Shahpur"/>
    <s v="vlc"/>
    <s v="Indirect"/>
    <n v="838.59999999999991"/>
    <n v="32002.35"/>
    <n v="0"/>
    <n v="0"/>
    <n v="0"/>
    <n v="0"/>
    <n v="0"/>
    <n v="0"/>
    <n v="32002.35"/>
    <n v="0"/>
    <n v="0"/>
    <n v="0"/>
    <n v="0"/>
    <n v="0"/>
    <n v="0"/>
    <n v="0"/>
    <n v="0"/>
    <n v="32002.35"/>
    <n v="0"/>
    <n v="0"/>
    <n v="0"/>
    <n v="0"/>
    <n v="0"/>
    <n v="0"/>
    <m/>
    <s v="Majhaul"/>
    <m/>
    <n v="0"/>
  </r>
  <r>
    <s v="Munger"/>
    <s v="17-23 Jul"/>
    <n v="1001"/>
    <s v="Majhaul"/>
    <x v="27"/>
    <s v="Shri Bhairav Laxmipur"/>
    <s v="MPG"/>
    <s v="Direct"/>
    <n v="208.5"/>
    <n v="9052.2000000000007"/>
    <n v="233.91"/>
    <n v="10423.44"/>
    <n v="0"/>
    <n v="0"/>
    <n v="233.91"/>
    <n v="10423.44"/>
    <n v="9052.2000000000007"/>
    <n v="0"/>
    <n v="0"/>
    <n v="1371.2399999999998"/>
    <n v="0"/>
    <n v="0"/>
    <n v="0"/>
    <n v="9052"/>
    <n v="0"/>
    <n v="0"/>
    <n v="0"/>
    <s v="Release2"/>
    <n v="426.77758273381306"/>
    <n v="29.785714285714285"/>
    <n v="-0.15148140783455952"/>
    <n v="4"/>
    <m/>
    <s v="Majhaul"/>
    <m/>
    <n v="0"/>
  </r>
  <r>
    <s v="Munger"/>
    <s v="17-23 Jul"/>
    <n v="1001"/>
    <s v="Majhaul"/>
    <x v="29"/>
    <s v="Gomukh Akaha"/>
    <s v="MPG"/>
    <s v="Direct"/>
    <n v="212.29999999999995"/>
    <n v="7332.0800000000008"/>
    <n v="206.39999999999998"/>
    <n v="7719.5499999999984"/>
    <n v="0"/>
    <n v="0"/>
    <n v="206.39999999999998"/>
    <n v="7719.5499999999984"/>
    <n v="7332.0800000000008"/>
    <n v="0"/>
    <n v="0"/>
    <n v="387.46999999999753"/>
    <n v="0"/>
    <n v="0"/>
    <n v="0"/>
    <n v="7332"/>
    <n v="0"/>
    <n v="0"/>
    <n v="0"/>
    <n v="0"/>
    <n v="336.86815035327385"/>
    <n v="30.328571428571422"/>
    <n v="-5.2845850018002731E-2"/>
    <n v="7"/>
    <m/>
    <s v="Majhaul"/>
    <m/>
    <n v="0"/>
  </r>
  <r>
    <s v="Munger"/>
    <s v="17-23 Jul"/>
    <n v="1001"/>
    <s v="Majhaul"/>
    <x v="30"/>
    <s v="Gomukh Rajakpur"/>
    <s v="MPG"/>
    <s v="Direct"/>
    <n v="127.6"/>
    <n v="4488.5599999999995"/>
    <n v="128.13"/>
    <n v="4312.74"/>
    <n v="0"/>
    <n v="0"/>
    <n v="128.13"/>
    <n v="4312.74"/>
    <n v="4312.74"/>
    <n v="0"/>
    <n v="0"/>
    <n v="0"/>
    <n v="0"/>
    <n v="0"/>
    <n v="0"/>
    <n v="4313"/>
    <n v="0"/>
    <n v="0"/>
    <n v="176"/>
    <n v="0"/>
    <n v="402.70403510971784"/>
    <n v="18.228571428571428"/>
    <n v="3.9170691714046316E-2"/>
    <n v="3"/>
    <m/>
    <s v="Majhaul"/>
    <m/>
    <n v="0"/>
  </r>
  <r>
    <s v="Munger"/>
    <s v="17-23 Jul"/>
    <n v="1001"/>
    <s v="Majhaul"/>
    <x v="31"/>
    <s v="Gomukh Mohanpur"/>
    <s v="MPG"/>
    <s v="Direct"/>
    <n v="182.50000000000003"/>
    <n v="7271.33"/>
    <n v="186.25999999999996"/>
    <n v="8040.72"/>
    <n v="1.9"/>
    <n v="88.149999999999991"/>
    <n v="188.15999999999997"/>
    <n v="8128.87"/>
    <n v="7271.33"/>
    <n v="0"/>
    <n v="88.149999999999991"/>
    <n v="857.54"/>
    <n v="0"/>
    <n v="0"/>
    <n v="0"/>
    <n v="7183"/>
    <n v="0"/>
    <n v="0"/>
    <n v="0"/>
    <n v="0"/>
    <n v="412.37405753424645"/>
    <n v="26.071428571428577"/>
    <n v="-0.11793440814816546"/>
    <n v="6"/>
    <m/>
    <s v="Majhaul"/>
    <m/>
    <n v="0"/>
  </r>
  <r>
    <s v="Munger"/>
    <s v="17-23 Jul"/>
    <n v="1001"/>
    <s v="Majhaul"/>
    <x v="32"/>
    <s v="Gomukh Chakka"/>
    <s v="MPG"/>
    <s v="Direct"/>
    <n v="141.60000000000002"/>
    <n v="5780.19"/>
    <n v="140.97"/>
    <n v="5878.74"/>
    <n v="0"/>
    <n v="0"/>
    <n v="140.97"/>
    <n v="5878.74"/>
    <n v="5780.19"/>
    <n v="0"/>
    <n v="0"/>
    <n v="98.550000000000182"/>
    <n v="0"/>
    <n v="0"/>
    <n v="0"/>
    <n v="5780"/>
    <n v="0"/>
    <n v="0"/>
    <n v="0"/>
    <n v="0"/>
    <n v="455.88391186440668"/>
    <n v="20.228571428571431"/>
    <n v="-1.7049612555988677E-2"/>
    <n v="3"/>
    <m/>
    <s v="Majhaul"/>
    <m/>
    <n v="0"/>
  </r>
  <r>
    <s v="Munger"/>
    <s v="17-23 Jul"/>
    <n v="1001"/>
    <s v="Majhaul"/>
    <x v="33"/>
    <s v="Gamharia"/>
    <s v="vlc"/>
    <s v="Indirect"/>
    <n v="125.39999999999999"/>
    <n v="4963.3599999999997"/>
    <n v="0"/>
    <n v="0"/>
    <n v="0"/>
    <n v="0"/>
    <n v="0"/>
    <n v="0"/>
    <n v="4963.3599999999997"/>
    <n v="0"/>
    <n v="0"/>
    <n v="0"/>
    <n v="0"/>
    <n v="0"/>
    <n v="0"/>
    <n v="0"/>
    <n v="0"/>
    <n v="4963.3599999999997"/>
    <n v="0"/>
    <n v="0"/>
    <n v="454.85592599681019"/>
    <n v="17.914285714285715"/>
    <n v="0"/>
    <n v="0"/>
    <m/>
    <s v="Majhaul"/>
    <m/>
    <n v="0"/>
  </r>
  <r>
    <s v="Munger"/>
    <s v="17-23 Jul"/>
    <n v="1001"/>
    <s v="Majhaul"/>
    <x v="34"/>
    <s v="Gomukh Meghaul-02"/>
    <s v="MPG"/>
    <s v="Direct"/>
    <n v="258.59999999999997"/>
    <n v="10905.74"/>
    <n v="258.10999999999996"/>
    <n v="11456.050000000001"/>
    <n v="5.3599999999999994"/>
    <n v="234.2"/>
    <n v="263.46999999999997"/>
    <n v="11690.250000000002"/>
    <n v="10905.74"/>
    <n v="0"/>
    <n v="234.2"/>
    <n v="784.51000000000204"/>
    <n v="0"/>
    <n v="0"/>
    <n v="0"/>
    <n v="10672"/>
    <n v="0"/>
    <n v="0"/>
    <n v="0"/>
    <n v="0"/>
    <n v="372.29649156999238"/>
    <n v="36.942857142857136"/>
    <n v="-7.193551285836651E-2"/>
    <n v="6"/>
    <m/>
    <s v="Majhaul"/>
    <m/>
    <n v="0"/>
  </r>
  <r>
    <s v="Munger"/>
    <s v="17-23 Jul"/>
    <n v="1001"/>
    <s v="Majhaul"/>
    <x v="35"/>
    <s v="Gomukh Meida"/>
    <s v="MPG"/>
    <s v="Direct"/>
    <n v="239.60000000000002"/>
    <n v="9215.5599999999977"/>
    <n v="237.49999999999997"/>
    <n v="9641.3599999999969"/>
    <n v="0"/>
    <n v="0"/>
    <n v="237.49999999999997"/>
    <n v="9641.3599999999969"/>
    <n v="9215.5599999999977"/>
    <n v="0"/>
    <n v="0"/>
    <n v="425.79999999999927"/>
    <n v="0"/>
    <n v="0"/>
    <n v="0"/>
    <n v="9216"/>
    <n v="0"/>
    <n v="0"/>
    <n v="0"/>
    <n v="0"/>
    <n v="354.16058631051737"/>
    <n v="34.228571428571435"/>
    <n v="-4.6204462886682889E-2"/>
    <n v="6"/>
    <m/>
    <s v="Majhaul"/>
    <m/>
    <n v="0"/>
  </r>
  <r>
    <s v="Munger"/>
    <s v="17-23 Jul"/>
    <n v="1002"/>
    <s v="Laldiyara"/>
    <x v="36"/>
    <s v="PIPARIYA DIH -2"/>
    <s v="MPG"/>
    <s v="Direct"/>
    <n v="2289.9999999999995"/>
    <n v="104825.51000000001"/>
    <n v="1429.3"/>
    <n v="69901.180000000022"/>
    <n v="855.59999999999991"/>
    <n v="38780.26"/>
    <n v="2284.8999999999996"/>
    <n v="108681.44000000003"/>
    <n v="104825.51000000001"/>
    <n v="0"/>
    <n v="973.04000000000008"/>
    <n v="3855.9300000000221"/>
    <n v="0"/>
    <n v="0"/>
    <n v="0"/>
    <n v="66045"/>
    <n v="37807"/>
    <n v="0"/>
    <n v="0"/>
    <n v="0"/>
    <n v="0"/>
    <n v="0"/>
    <n v="-3.6784271309531637E-2"/>
    <n v="14"/>
    <m/>
    <s v="Laldiyara"/>
    <m/>
    <n v="0"/>
  </r>
  <r>
    <s v="Munger"/>
    <s v="17-23 Jul"/>
    <n v="1002"/>
    <s v="Laldiyara"/>
    <x v="37"/>
    <s v="LAL DIYARA -1"/>
    <s v="MPG"/>
    <s v="Direct"/>
    <n v="547"/>
    <n v="21791.75"/>
    <n v="547"/>
    <n v="21791.750000000004"/>
    <n v="0"/>
    <n v="0"/>
    <n v="547"/>
    <n v="21791.750000000004"/>
    <n v="21791.75"/>
    <n v="0"/>
    <n v="0"/>
    <n v="0"/>
    <n v="0"/>
    <n v="0"/>
    <n v="0"/>
    <n v="21792"/>
    <n v="0"/>
    <n v="0"/>
    <n v="0"/>
    <n v="0"/>
    <n v="121.90631627056675"/>
    <n v="78.142857142857139"/>
    <n v="-1.6694293974057673E-16"/>
    <n v="1"/>
    <m/>
    <s v="Laldiyara"/>
    <m/>
    <n v="0"/>
  </r>
  <r>
    <s v="Munger"/>
    <s v="17-23 Jul"/>
    <n v="1002"/>
    <s v="Laldiyara"/>
    <x v="38"/>
    <s v="GANGA KINARE KHUTHA"/>
    <s v="vlc"/>
    <s v="Indirect"/>
    <n v="174.20000000000002"/>
    <n v="6760.23"/>
    <n v="0"/>
    <n v="0"/>
    <n v="0"/>
    <n v="0"/>
    <n v="0"/>
    <n v="0"/>
    <n v="6760.23"/>
    <n v="0"/>
    <n v="0"/>
    <n v="0"/>
    <n v="0"/>
    <n v="0"/>
    <n v="0"/>
    <n v="0"/>
    <n v="0"/>
    <n v="6760.23"/>
    <n v="0"/>
    <n v="0"/>
    <n v="408.0974665901262"/>
    <n v="24.88571428571429"/>
    <n v="0"/>
    <n v="0"/>
    <m/>
    <s v="Laldiyara"/>
    <m/>
    <n v="0"/>
  </r>
  <r>
    <s v="Munger"/>
    <s v="17-23 Jul"/>
    <n v="1002"/>
    <s v="Laldiyara"/>
    <x v="39"/>
    <s v="Gomukh ID Khutaha Ganga"/>
    <s v="vlc"/>
    <s v="Indirect"/>
    <n v="511.20000000000005"/>
    <n v="21402.719999999998"/>
    <n v="0"/>
    <n v="0"/>
    <n v="0"/>
    <n v="0"/>
    <n v="0"/>
    <n v="0"/>
    <n v="21402.719999999998"/>
    <n v="0"/>
    <n v="0"/>
    <n v="0"/>
    <n v="0"/>
    <n v="0"/>
    <n v="0"/>
    <n v="0"/>
    <n v="0"/>
    <n v="21402.719999999998"/>
    <n v="0"/>
    <n v="0"/>
    <n v="158.09207887323936"/>
    <n v="73.028571428571439"/>
    <n v="0"/>
    <n v="0"/>
    <m/>
    <s v="Laldiyara"/>
    <m/>
    <n v="0"/>
  </r>
  <r>
    <s v="Munger"/>
    <s v="17-23 Jul"/>
    <n v="1002"/>
    <s v="Laldiyara"/>
    <x v="40"/>
    <s v="Gomukh ID Khutaha Dhih"/>
    <s v="vlc"/>
    <s v="Indirect"/>
    <n v="1534.8999999999999"/>
    <n v="61782.28"/>
    <n v="0"/>
    <n v="0"/>
    <n v="0"/>
    <n v="0"/>
    <n v="0"/>
    <n v="0"/>
    <n v="61782.28"/>
    <n v="0"/>
    <n v="0"/>
    <n v="0"/>
    <n v="0"/>
    <n v="0"/>
    <n v="0"/>
    <n v="0"/>
    <n v="0"/>
    <n v="61782.28"/>
    <n v="0"/>
    <n v="0"/>
    <n v="0"/>
    <n v="0"/>
    <n v="0"/>
    <n v="0"/>
    <m/>
    <s v="Laldiyara"/>
    <m/>
    <n v="0"/>
  </r>
  <r>
    <s v="Munger"/>
    <s v="17-23 Jul"/>
    <n v="1002"/>
    <s v="Laldiyara"/>
    <x v="41"/>
    <s v="GOMUKH RAHATPUR"/>
    <s v="MPG"/>
    <s v="Direct"/>
    <n v="121"/>
    <n v="5075.68"/>
    <n v="121.20000000000002"/>
    <n v="5094.7700000000004"/>
    <n v="0.30000000000000004"/>
    <n v="12.41"/>
    <n v="121.50000000000001"/>
    <n v="5107.18"/>
    <n v="5075.68"/>
    <n v="0"/>
    <n v="12.41"/>
    <n v="31.5"/>
    <n v="0"/>
    <n v="0"/>
    <n v="0"/>
    <n v="5063"/>
    <n v="0"/>
    <n v="0"/>
    <n v="0"/>
    <s v="Release2"/>
    <n v="485.75516033057852"/>
    <n v="17.285714285714285"/>
    <n v="-6.2060650001576137E-3"/>
    <n v="3"/>
    <m/>
    <s v="Laldiyara"/>
    <m/>
    <n v="0"/>
  </r>
  <r>
    <s v="Munger"/>
    <s v="17-23 Jul"/>
    <n v="1002"/>
    <s v="Laldiyara"/>
    <x v="42"/>
    <s v="Vikash Kumar"/>
    <s v="vlc"/>
    <s v="Indirect"/>
    <n v="1284.6000000000001"/>
    <n v="51337.03"/>
    <n v="0"/>
    <n v="0"/>
    <n v="0"/>
    <n v="0"/>
    <n v="0"/>
    <n v="0"/>
    <n v="51337.03"/>
    <n v="0"/>
    <n v="0"/>
    <n v="0"/>
    <n v="0"/>
    <n v="0"/>
    <n v="0"/>
    <n v="0"/>
    <n v="0"/>
    <n v="51337.03"/>
    <n v="0"/>
    <n v="0"/>
    <n v="0"/>
    <n v="0"/>
    <n v="0"/>
    <n v="0"/>
    <m/>
    <s v="Laldiyara"/>
    <m/>
    <n v="0"/>
  </r>
  <r>
    <s v="Munger"/>
    <s v="17-23 Jul"/>
    <n v="1002"/>
    <s v="Laldiyara"/>
    <x v="43"/>
    <s v="GOMUKH  LALDIYARA TIRASHI                                                                           "/>
    <s v="vlc"/>
    <s v="Indirect"/>
    <n v="23077.7"/>
    <n v="911324.91999999993"/>
    <n v="0"/>
    <n v="0"/>
    <n v="0"/>
    <n v="0"/>
    <n v="0"/>
    <n v="0"/>
    <n v="911324.91999999993"/>
    <n v="0"/>
    <n v="0"/>
    <n v="0"/>
    <n v="0"/>
    <n v="0"/>
    <n v="0"/>
    <n v="0"/>
    <n v="0"/>
    <n v="911324.91999999993"/>
    <n v="0"/>
    <n v="0"/>
    <n v="0"/>
    <n v="0"/>
    <n v="0"/>
    <n v="0"/>
    <m/>
    <s v="Laldiyara"/>
    <m/>
    <n v="0"/>
  </r>
  <r>
    <s v="Munger"/>
    <s v="17-23 Jul"/>
    <n v="1002"/>
    <s v="Laldiyara"/>
    <x v="44"/>
    <s v="GOMUKH  LALDIYARA PURBI"/>
    <s v="vlc"/>
    <s v="Indirect"/>
    <n v="23457.100000000006"/>
    <n v="926195.17999999993"/>
    <n v="0"/>
    <n v="0"/>
    <n v="0"/>
    <n v="0"/>
    <n v="0"/>
    <n v="0"/>
    <n v="926195.17999999993"/>
    <n v="0"/>
    <n v="0"/>
    <n v="0"/>
    <n v="0"/>
    <n v="0"/>
    <n v="0"/>
    <n v="0"/>
    <n v="0"/>
    <n v="926195.17999999993"/>
    <n v="0"/>
    <n v="0"/>
    <n v="0"/>
    <n v="0"/>
    <n v="0"/>
    <n v="0"/>
    <m/>
    <s v="Laldiyara"/>
    <m/>
    <n v="0"/>
  </r>
  <r>
    <s v="Munger"/>
    <s v="17-23 Jul"/>
    <n v="1002"/>
    <s v="Laldiyara"/>
    <x v="45"/>
    <s v="GOMUKH RAMCHANDARPUR II"/>
    <s v="MPG"/>
    <s v="Direct"/>
    <n v="4159.3999999999996"/>
    <n v="172211.45"/>
    <n v="4889.3000000000029"/>
    <n v="174938.52999999997"/>
    <n v="24.6"/>
    <n v="1129.0899999999999"/>
    <n v="4913.9000000000033"/>
    <n v="176067.61999999997"/>
    <n v="172211.45"/>
    <n v="0"/>
    <n v="1129.0899999999999"/>
    <n v="3856.1699999999546"/>
    <n v="0"/>
    <n v="0"/>
    <n v="0"/>
    <n v="171082"/>
    <n v="0"/>
    <n v="0"/>
    <n v="0"/>
    <n v="0"/>
    <n v="0"/>
    <n v="0"/>
    <n v="-2.2392065103684768E-2"/>
    <n v="61"/>
    <m/>
    <s v="Laldiyara"/>
    <m/>
    <n v="0"/>
  </r>
  <r>
    <s v="Munger"/>
    <s v="17-23 Jul"/>
    <n v="1002"/>
    <s v="Laldiyara"/>
    <x v="1011"/>
    <s v="WAKIL YADAV VLC"/>
    <s v="vlc"/>
    <s v="Indirect"/>
    <n v="121.2"/>
    <n v="5795.78"/>
    <n v="0"/>
    <n v="0"/>
    <n v="0"/>
    <n v="0"/>
    <n v="0"/>
    <n v="0"/>
    <n v="5795.78"/>
    <n v="0"/>
    <n v="0"/>
    <n v="0"/>
    <n v="0"/>
    <n v="0"/>
    <n v="0"/>
    <n v="0"/>
    <n v="0"/>
    <n v="5795.78"/>
    <n v="0"/>
    <n v="0"/>
    <n v="553.56393795379529"/>
    <n v="17.314285714285713"/>
    <n v="0"/>
    <n v="0"/>
    <m/>
    <s v="Laldiyara"/>
    <m/>
    <n v="0"/>
  </r>
  <r>
    <s v="Munger"/>
    <s v="17-23 Jul"/>
    <n v="1002"/>
    <s v="Laldiyara"/>
    <x v="46"/>
    <s v="MOHANPUR"/>
    <s v="MPG"/>
    <s v="Direct"/>
    <n v="3818.9"/>
    <n v="165955.81"/>
    <n v="3619.1000000000008"/>
    <n v="158320.24999999997"/>
    <n v="261.40000000000003"/>
    <n v="11051.51"/>
    <n v="3880.5000000000009"/>
    <n v="169371.75999999998"/>
    <n v="165955.81"/>
    <n v="0"/>
    <n v="1577.89"/>
    <n v="3415.9499999999825"/>
    <n v="0"/>
    <n v="0"/>
    <n v="0"/>
    <n v="154904"/>
    <n v="9474"/>
    <n v="0"/>
    <n v="0"/>
    <n v="0"/>
    <n v="0"/>
    <n v="0"/>
    <n v="-2.0583491472820282E-2"/>
    <n v="29"/>
    <m/>
    <s v="Laldiyara"/>
    <m/>
    <n v="0"/>
  </r>
  <r>
    <s v="Munger"/>
    <s v="17-23 Jul"/>
    <n v="1002"/>
    <s v="Laldiyara"/>
    <x v="47"/>
    <s v="Juwas"/>
    <s v="MPG"/>
    <s v="Direct"/>
    <n v="863.7"/>
    <n v="33914.730000000003"/>
    <n v="840"/>
    <n v="32795.910000000003"/>
    <n v="8.4"/>
    <n v="321.87"/>
    <n v="848.4"/>
    <n v="33117.780000000006"/>
    <n v="33117.780000000006"/>
    <n v="0"/>
    <n v="321.87"/>
    <n v="0"/>
    <n v="0"/>
    <n v="0"/>
    <n v="0"/>
    <n v="32796"/>
    <n v="0"/>
    <n v="0"/>
    <n v="797"/>
    <n v="0"/>
    <n v="0"/>
    <n v="0"/>
    <n v="2.3498639086909936E-2"/>
    <n v="24"/>
    <m/>
    <s v="Laldiyara"/>
    <m/>
    <n v="0"/>
  </r>
  <r>
    <s v="Munger"/>
    <s v="17-23 Jul"/>
    <n v="1002"/>
    <s v="Laldiyara"/>
    <x v="48"/>
    <s v="Morwariya"/>
    <s v="MPG"/>
    <s v="Direct"/>
    <n v="2716.7000000000003"/>
    <n v="110978.13"/>
    <n v="2704.1199999999985"/>
    <n v="113219.00999999995"/>
    <n v="0"/>
    <n v="0"/>
    <n v="2704.1199999999985"/>
    <n v="113219.00999999995"/>
    <n v="110978.13"/>
    <n v="0"/>
    <n v="0"/>
    <n v="2240.8799999999464"/>
    <n v="0"/>
    <n v="0"/>
    <n v="0"/>
    <n v="110978"/>
    <n v="0"/>
    <n v="0"/>
    <n v="0"/>
    <n v="0"/>
    <n v="0"/>
    <n v="0"/>
    <n v="-2.0192086494879184E-2"/>
    <n v="65"/>
    <m/>
    <s v="Laldiyara"/>
    <m/>
    <n v="0"/>
  </r>
  <r>
    <s v="Munger"/>
    <s v="17-23 Jul"/>
    <n v="1002"/>
    <s v="Laldiyara"/>
    <x v="49"/>
    <s v="Dumri 2"/>
    <s v="MPG"/>
    <s v="Direct"/>
    <n v="853.40000000000009"/>
    <n v="35364.029999999992"/>
    <n v="838.96"/>
    <n v="34588.270000000004"/>
    <n v="11.229999999999999"/>
    <n v="461.55"/>
    <n v="850.19"/>
    <n v="35049.820000000007"/>
    <n v="35049.820000000007"/>
    <n v="0"/>
    <n v="461.55"/>
    <n v="0"/>
    <n v="0"/>
    <n v="0"/>
    <n v="0"/>
    <n v="34588"/>
    <n v="0"/>
    <n v="0"/>
    <n v="314"/>
    <n v="0"/>
    <n v="0"/>
    <n v="0"/>
    <n v="8.8850167811752416E-3"/>
    <n v="18"/>
    <m/>
    <s v="Laldiyara"/>
    <m/>
    <n v="0"/>
  </r>
  <r>
    <s v="Munger"/>
    <s v="17-23 Jul"/>
    <n v="1002"/>
    <s v="Laldiyara"/>
    <x v="50"/>
    <s v="Gomukh Jhakhaur"/>
    <s v="MPG"/>
    <s v="Direct"/>
    <n v="434.5"/>
    <n v="17768.519999999997"/>
    <n v="470.99999999999994"/>
    <n v="19375.710000000003"/>
    <n v="0.60000000000000009"/>
    <n v="24.16"/>
    <n v="471.59999999999997"/>
    <n v="19399.870000000003"/>
    <n v="17768.519999999997"/>
    <n v="0"/>
    <n v="24.16"/>
    <n v="1631.3500000000058"/>
    <n v="0"/>
    <n v="0"/>
    <n v="0"/>
    <n v="17744"/>
    <n v="0"/>
    <n v="0"/>
    <n v="0"/>
    <n v="0"/>
    <n v="217.1480810126582"/>
    <n v="62.071428571428569"/>
    <n v="-9.1811248207504401E-2"/>
    <n v="4"/>
    <m/>
    <s v="Laldiyara"/>
    <m/>
    <n v="0"/>
  </r>
  <r>
    <s v="Munger"/>
    <s v="17-23 Jul"/>
    <n v="1002"/>
    <s v="Laldiyara"/>
    <x v="51"/>
    <s v="Gomukh Repura"/>
    <s v="MPG"/>
    <s v="Direct"/>
    <n v="692.4"/>
    <n v="29909.32"/>
    <n v="702.39999999999986"/>
    <n v="30357.319999999996"/>
    <n v="0"/>
    <n v="0"/>
    <n v="702.39999999999986"/>
    <n v="30357.319999999996"/>
    <n v="29909.32"/>
    <n v="0"/>
    <n v="0"/>
    <n v="447.99999999999636"/>
    <n v="0"/>
    <n v="0"/>
    <n v="0"/>
    <n v="29909"/>
    <n v="0"/>
    <n v="0"/>
    <n v="0"/>
    <n v="0"/>
    <n v="6.5658819179665135"/>
    <n v="98.914285714285711"/>
    <n v="-1.4978608674486627E-2"/>
    <n v="1"/>
    <m/>
    <s v="Laldiyara"/>
    <m/>
    <n v="0"/>
  </r>
  <r>
    <s v="Munger"/>
    <s v="17-23 Jul"/>
    <n v="1002"/>
    <s v="Laldiyara"/>
    <x v="52"/>
    <s v="Gomukh Virupur"/>
    <s v="MPG"/>
    <s v="Direct"/>
    <n v="402.50000000000006"/>
    <n v="16155.63"/>
    <n v="364.89000000000004"/>
    <n v="16090.23"/>
    <n v="1.5699999999999998"/>
    <n v="64.98"/>
    <n v="366.46000000000004"/>
    <n v="16155.21"/>
    <n v="16155.21"/>
    <n v="0"/>
    <n v="64.98"/>
    <n v="0"/>
    <n v="0"/>
    <n v="0"/>
    <n v="0"/>
    <n v="16090"/>
    <n v="0"/>
    <n v="0"/>
    <n v="1"/>
    <n v="0"/>
    <n v="238.82235652173907"/>
    <n v="57.500000000000007"/>
    <n v="2.5997129174168559E-5"/>
    <n v="6"/>
    <m/>
    <s v="Laldiyara"/>
    <m/>
    <n v="0"/>
  </r>
  <r>
    <s v="Munger"/>
    <s v="17-23 Jul"/>
    <n v="1002"/>
    <s v="Laldiyara"/>
    <x v="53"/>
    <s v="Gomukh Diyarapipariya                                                                               "/>
    <s v="MPG"/>
    <s v="Direct"/>
    <n v="1326.5000000000002"/>
    <n v="59183.209999999985"/>
    <n v="1312.39"/>
    <n v="58930.369999999995"/>
    <n v="14.879999999999999"/>
    <n v="705.99000000000012"/>
    <n v="1327.2700000000002"/>
    <n v="59636.359999999993"/>
    <n v="59183.209999999985"/>
    <n v="0"/>
    <n v="705.99000000000012"/>
    <n v="453.15000000000873"/>
    <n v="0"/>
    <n v="0"/>
    <n v="0"/>
    <n v="58477"/>
    <n v="0"/>
    <n v="0"/>
    <n v="0"/>
    <n v="0"/>
    <n v="0"/>
    <n v="0"/>
    <n v="-7.6567323739284987E-3"/>
    <n v="23"/>
    <m/>
    <s v="Laldiyara"/>
    <m/>
    <n v="0"/>
  </r>
  <r>
    <s v="Munger"/>
    <s v="17-23 Jul"/>
    <n v="1002"/>
    <s v="Laldiyara"/>
    <x v="54"/>
    <s v="TAJPUR"/>
    <s v="MPG"/>
    <s v="Direct"/>
    <n v="922.99999999999989"/>
    <n v="41976.799999999996"/>
    <n v="905.57000000000016"/>
    <n v="39978.069999999992"/>
    <n v="10.329999999999998"/>
    <n v="419.98"/>
    <n v="915.9000000000002"/>
    <n v="40398.049999999996"/>
    <n v="40398.049999999996"/>
    <n v="0"/>
    <n v="419.98"/>
    <n v="0"/>
    <n v="0"/>
    <n v="0"/>
    <n v="0"/>
    <n v="39976"/>
    <n v="0"/>
    <n v="0"/>
    <n v="1581"/>
    <n v="0"/>
    <n v="0"/>
    <n v="0"/>
    <n v="3.7610060795487038E-2"/>
    <n v="24"/>
    <m/>
    <s v="Laldiyara"/>
    <m/>
    <n v="0"/>
  </r>
  <r>
    <s v="Munger"/>
    <s v="17-23 Jul"/>
    <n v="1002"/>
    <s v="Laldiyara"/>
    <x v="55"/>
    <s v="PATHUA"/>
    <s v="MPG"/>
    <s v="Direct"/>
    <n v="1725"/>
    <n v="75978.74000000002"/>
    <n v="1743.6000000000001"/>
    <n v="77607.03"/>
    <n v="48.599999999999994"/>
    <n v="2195.2800000000002"/>
    <n v="1792.2"/>
    <n v="79802.31"/>
    <n v="75978.74000000002"/>
    <n v="0"/>
    <n v="2101.8000000000002"/>
    <n v="3823.5699999999779"/>
    <n v="0"/>
    <n v="0"/>
    <n v="0"/>
    <n v="73784"/>
    <n v="93"/>
    <n v="0"/>
    <n v="0"/>
    <n v="0"/>
    <n v="0"/>
    <n v="0"/>
    <n v="-5.0324209114286138E-2"/>
    <n v="6"/>
    <m/>
    <s v="Laldiyara"/>
    <m/>
    <n v="0"/>
  </r>
  <r>
    <s v="Munger"/>
    <s v="17-23 Jul"/>
    <n v="1002"/>
    <s v="Laldiyara"/>
    <x v="56"/>
    <s v="LODIYA"/>
    <s v="MPG"/>
    <s v="Direct"/>
    <n v="654.4"/>
    <n v="27184.079999999994"/>
    <n v="645.72"/>
    <n v="26661.340000000004"/>
    <n v="6.0299999999999994"/>
    <n v="250.62"/>
    <n v="651.75"/>
    <n v="26911.960000000003"/>
    <n v="26911.960000000003"/>
    <n v="0"/>
    <n v="250.62"/>
    <n v="0"/>
    <n v="0"/>
    <n v="0"/>
    <n v="0"/>
    <n v="26660"/>
    <n v="0"/>
    <n v="0"/>
    <n v="273"/>
    <n v="0"/>
    <n v="37.884903667481687"/>
    <n v="93.48571428571428"/>
    <n v="1.0010270717272453E-2"/>
    <n v="12"/>
    <m/>
    <s v="Laldiyara"/>
    <m/>
    <n v="0"/>
  </r>
  <r>
    <s v="Munger"/>
    <s v="17-23 Jul"/>
    <n v="1002"/>
    <s v="Laldiyara"/>
    <x v="57"/>
    <s v="ADARSH LAXMIPUR-3"/>
    <s v="MPG"/>
    <s v="Direct"/>
    <n v="197.8"/>
    <n v="10153.499999999998"/>
    <n v="198.35"/>
    <n v="10086.570000000002"/>
    <n v="0"/>
    <n v="0"/>
    <n v="198.35"/>
    <n v="10086.570000000002"/>
    <n v="10086.570000000002"/>
    <n v="0"/>
    <n v="0"/>
    <n v="0"/>
    <n v="0"/>
    <n v="500"/>
    <n v="0"/>
    <n v="9587"/>
    <n v="0"/>
    <n v="0"/>
    <n v="66"/>
    <n v="0"/>
    <n v="515.58015166835173"/>
    <n v="28.25714285714286"/>
    <n v="6.5918156300779698E-3"/>
    <n v="6"/>
    <m/>
    <s v="Laldiyara"/>
    <m/>
    <n v="500"/>
  </r>
  <r>
    <s v="Munger"/>
    <s v="17-23 Jul"/>
    <n v="1002"/>
    <s v="Laldiyara"/>
    <x v="58"/>
    <s v="BHANPUR"/>
    <s v="MPG"/>
    <s v="Direct"/>
    <n v="793.30000000000007"/>
    <n v="30748.829999999998"/>
    <n v="794.00000000000011"/>
    <n v="31188.700000000004"/>
    <n v="0"/>
    <n v="0"/>
    <n v="794.00000000000011"/>
    <n v="31188.700000000004"/>
    <n v="30748.829999999998"/>
    <n v="0"/>
    <n v="0"/>
    <n v="439.87000000000626"/>
    <n v="0"/>
    <n v="0"/>
    <n v="0"/>
    <n v="30749"/>
    <n v="0"/>
    <n v="0"/>
    <n v="0"/>
    <n v="0"/>
    <n v="0"/>
    <n v="0"/>
    <n v="-1.4305259744842529E-2"/>
    <n v="1"/>
    <m/>
    <s v="Laldiyara"/>
    <m/>
    <n v="0"/>
  </r>
  <r>
    <s v="Munger"/>
    <s v="17-23 Jul"/>
    <n v="1002"/>
    <s v="Laldiyara"/>
    <x v="59"/>
    <s v="Karari Pipariya 2"/>
    <s v="MPG"/>
    <s v="Direct"/>
    <n v="844.19999999999993"/>
    <n v="37306.31"/>
    <n v="839.94000000000017"/>
    <n v="37331.370000000003"/>
    <n v="9.6400000000000023"/>
    <n v="416.47999999999996"/>
    <n v="849.58000000000015"/>
    <n v="37747.850000000006"/>
    <n v="37306.31"/>
    <n v="0"/>
    <n v="416.47999999999996"/>
    <n v="441.54000000000815"/>
    <n v="0"/>
    <n v="0"/>
    <n v="0"/>
    <n v="36890"/>
    <n v="0"/>
    <n v="0"/>
    <n v="0"/>
    <n v="0"/>
    <n v="0"/>
    <n v="0"/>
    <n v="-1.1835531308242712E-2"/>
    <n v="8"/>
    <m/>
    <s v="Laldiyara"/>
    <m/>
    <n v="0"/>
  </r>
  <r>
    <s v="Munger"/>
    <s v="17-23 Jul"/>
    <n v="1002"/>
    <s v="Laldiyara"/>
    <x v="60"/>
    <s v="DIYARA PIPARIYA-THANA                                                                               "/>
    <s v="MPG"/>
    <s v="Direct"/>
    <n v="1249.4999999999998"/>
    <n v="56005.189999999995"/>
    <n v="1245.4499999999998"/>
    <n v="55343.790000000008"/>
    <n v="8.42"/>
    <n v="383.03"/>
    <n v="1253.8699999999999"/>
    <n v="55726.820000000007"/>
    <n v="55726.820000000007"/>
    <n v="0"/>
    <n v="383.03"/>
    <n v="0"/>
    <n v="0"/>
    <n v="0"/>
    <n v="0"/>
    <n v="55345"/>
    <n v="0"/>
    <n v="0"/>
    <n v="277"/>
    <n v="0"/>
    <n v="0"/>
    <n v="0"/>
    <n v="4.9704322045865407E-3"/>
    <n v="21"/>
    <m/>
    <s v="Laldiyara"/>
    <m/>
    <n v="0"/>
  </r>
  <r>
    <s v="Munger"/>
    <s v="17-23 Jul"/>
    <n v="1002"/>
    <s v="Laldiyara"/>
    <x v="61"/>
    <s v="SRI RAM SINGH(VLC)"/>
    <s v="vlc"/>
    <s v="Indirect"/>
    <n v="3185.8"/>
    <n v="136446.35999999999"/>
    <n v="0"/>
    <n v="0"/>
    <n v="0"/>
    <n v="0"/>
    <n v="0"/>
    <n v="0"/>
    <n v="136446.35999999999"/>
    <n v="0"/>
    <n v="0"/>
    <n v="0"/>
    <n v="0"/>
    <n v="0"/>
    <n v="0"/>
    <n v="0"/>
    <n v="0"/>
    <n v="136446.35999999999"/>
    <n v="0"/>
    <n v="0"/>
    <n v="0"/>
    <n v="0"/>
    <n v="0"/>
    <n v="0"/>
    <m/>
    <s v="Laldiyara"/>
    <m/>
    <n v="0"/>
  </r>
  <r>
    <s v="Munger"/>
    <s v="17-23 Jul"/>
    <n v="1002"/>
    <s v="Laldiyara"/>
    <x v="62"/>
    <s v="GADHTOLA"/>
    <s v="MPG"/>
    <s v="Direct"/>
    <n v="1290.5"/>
    <n v="61972.800000000017"/>
    <n v="1288.3"/>
    <n v="61671.859999999993"/>
    <n v="5.1999999999999993"/>
    <n v="232.33999999999997"/>
    <n v="1293.5"/>
    <n v="61904.19999999999"/>
    <n v="61904.19999999999"/>
    <n v="0"/>
    <n v="232.33999999999997"/>
    <n v="0"/>
    <n v="0"/>
    <n v="0"/>
    <n v="0"/>
    <n v="61672"/>
    <n v="0"/>
    <n v="0"/>
    <n v="68"/>
    <n v="0"/>
    <n v="0"/>
    <n v="0"/>
    <n v="1.1069372369818312E-3"/>
    <n v="11"/>
    <m/>
    <s v="Laldiyara"/>
    <m/>
    <n v="0"/>
  </r>
  <r>
    <s v="Munger"/>
    <s v="17-23 Jul"/>
    <n v="1002"/>
    <s v="Laldiyara"/>
    <x v="63"/>
    <s v="Chetan Tola - Ravi"/>
    <s v="vlc"/>
    <s v="Indirect"/>
    <n v="544.70000000000005"/>
    <n v="29613.39"/>
    <n v="0"/>
    <n v="0"/>
    <n v="0"/>
    <n v="0"/>
    <n v="0"/>
    <n v="0"/>
    <n v="29613.39"/>
    <n v="0"/>
    <n v="0"/>
    <n v="0"/>
    <n v="0"/>
    <n v="0"/>
    <n v="0"/>
    <n v="0"/>
    <n v="0"/>
    <n v="29613.39"/>
    <n v="0"/>
    <n v="0"/>
    <n v="168.86210637047913"/>
    <n v="77.814285714285717"/>
    <n v="0"/>
    <n v="0"/>
    <m/>
    <s v="Laldiyara"/>
    <m/>
    <n v="0"/>
  </r>
  <r>
    <s v="Munger"/>
    <s v="17-23 Jul"/>
    <n v="1002"/>
    <s v="Laldiyara"/>
    <x v="64"/>
    <s v="Diyara-Pipariya-Utri - Chandan"/>
    <s v="vlc"/>
    <s v="Indirect"/>
    <n v="1897.6000000000001"/>
    <n v="82227.440000000017"/>
    <n v="0"/>
    <n v="0"/>
    <n v="0"/>
    <n v="0"/>
    <n v="0"/>
    <n v="0"/>
    <n v="82227.440000000017"/>
    <n v="0"/>
    <n v="0"/>
    <n v="0"/>
    <n v="0"/>
    <n v="0"/>
    <n v="0"/>
    <n v="0"/>
    <n v="0"/>
    <n v="82227.440000000017"/>
    <n v="0"/>
    <n v="0"/>
    <n v="0"/>
    <n v="0"/>
    <n v="0"/>
    <n v="0"/>
    <m/>
    <s v="Laldiyara"/>
    <m/>
    <n v="0"/>
  </r>
  <r>
    <s v="Munger"/>
    <s v="17-23 Jul"/>
    <n v="1002"/>
    <s v="Laldiyara"/>
    <x v="967"/>
    <s v="Chetan Tola-Dakshin - Hari Om"/>
    <s v="vlc"/>
    <s v="Indirect"/>
    <n v="261.89999999999998"/>
    <n v="14013.33"/>
    <n v="0"/>
    <n v="0"/>
    <n v="0"/>
    <n v="0"/>
    <n v="0"/>
    <n v="0"/>
    <n v="14013.33"/>
    <n v="0"/>
    <n v="0"/>
    <n v="0"/>
    <n v="0"/>
    <n v="0"/>
    <n v="0"/>
    <n v="0"/>
    <n v="0"/>
    <n v="14013.33"/>
    <n v="0"/>
    <n v="0"/>
    <n v="468.82320526918681"/>
    <n v="37.414285714285711"/>
    <n v="0"/>
    <n v="0"/>
    <m/>
    <s v="Laldiyara"/>
    <m/>
    <n v="0"/>
  </r>
  <r>
    <s v="Munger"/>
    <s v="17-23 Jul"/>
    <n v="1002"/>
    <s v="Laldiyara"/>
    <x v="65"/>
    <s v="KANHARPUR-2"/>
    <s v="MPG"/>
    <s v="Direct"/>
    <n v="2490.8000000000002"/>
    <n v="116822.73999999999"/>
    <n v="1935.64"/>
    <n v="94341.759999999995"/>
    <n v="553.96999999999991"/>
    <n v="24387.279999999999"/>
    <n v="2489.61"/>
    <n v="118729.04"/>
    <n v="116822.73999999999"/>
    <n v="0"/>
    <n v="1722.23"/>
    <n v="1906.3000000000029"/>
    <n v="0"/>
    <n v="0"/>
    <n v="0"/>
    <n v="92436"/>
    <n v="22665"/>
    <n v="0"/>
    <n v="0"/>
    <n v="0"/>
    <n v="0"/>
    <n v="0"/>
    <n v="-1.6317884685806916E-2"/>
    <n v="11"/>
    <m/>
    <s v="Laldiyara"/>
    <m/>
    <n v="0"/>
  </r>
  <r>
    <s v="Munger"/>
    <s v="17-23 Jul"/>
    <n v="1002"/>
    <s v="Laldiyara"/>
    <x v="66"/>
    <s v="BASAUNA"/>
    <s v="MPG"/>
    <s v="Direct"/>
    <n v="636.10000000000014"/>
    <n v="27788.609999999993"/>
    <n v="463.78999999999996"/>
    <n v="21262.27"/>
    <n v="168.28"/>
    <n v="6681.7000000000007"/>
    <n v="632.06999999999994"/>
    <n v="27943.97"/>
    <n v="27788.609999999993"/>
    <n v="0"/>
    <n v="230.28000000000003"/>
    <n v="155.36000000000786"/>
    <n v="0"/>
    <n v="0"/>
    <n v="0"/>
    <n v="21107"/>
    <n v="6451"/>
    <n v="0"/>
    <n v="0"/>
    <n v="0"/>
    <n v="55.830598302153575"/>
    <n v="90.871428571428595"/>
    <n v="-5.5907798195018715E-3"/>
    <n v="8"/>
    <m/>
    <s v="Laldiyara"/>
    <m/>
    <n v="0"/>
  </r>
  <r>
    <s v="Munger"/>
    <s v="17-23 Jul"/>
    <n v="1002"/>
    <s v="Laldiyara"/>
    <x v="67"/>
    <s v="GANGA-SARAI"/>
    <s v="MPG"/>
    <s v="Direct"/>
    <n v="1165.2"/>
    <n v="48855.72"/>
    <n v="815.2"/>
    <n v="33339.839999999997"/>
    <n v="366.18"/>
    <n v="15588.36"/>
    <n v="1181.3800000000001"/>
    <n v="48928.2"/>
    <n v="48855.72"/>
    <n v="0"/>
    <n v="417.91999999999996"/>
    <n v="72.479999999995925"/>
    <n v="0"/>
    <n v="0"/>
    <n v="0"/>
    <n v="33268"/>
    <n v="15170"/>
    <n v="0"/>
    <n v="0"/>
    <n v="0"/>
    <n v="0"/>
    <n v="0"/>
    <n v="-1.4835519771276716E-3"/>
    <n v="10"/>
    <m/>
    <s v="Laldiyara"/>
    <m/>
    <n v="0"/>
  </r>
  <r>
    <s v="Munger"/>
    <s v="17-23 Jul"/>
    <n v="1002"/>
    <s v="Laldiyara"/>
    <x v="68"/>
    <s v="GOVIND-BIGHA                                                                                        "/>
    <s v="MPG"/>
    <s v="Direct"/>
    <n v="318.5"/>
    <n v="13213.39"/>
    <n v="320.84000000000003"/>
    <n v="13876.17"/>
    <n v="4.0599999999999996"/>
    <n v="168.02"/>
    <n v="324.90000000000003"/>
    <n v="14044.19"/>
    <n v="13213.39"/>
    <n v="0"/>
    <n v="168.02"/>
    <n v="830.80000000000109"/>
    <n v="0"/>
    <n v="0"/>
    <n v="0"/>
    <n v="13045"/>
    <n v="0"/>
    <n v="0"/>
    <n v="0"/>
    <n v="0"/>
    <n v="316.54055164835165"/>
    <n v="45.5"/>
    <n v="-6.2875613298328525E-2"/>
    <n v="12"/>
    <m/>
    <s v="Laldiyara"/>
    <m/>
    <n v="0"/>
  </r>
  <r>
    <s v="Munger"/>
    <s v="17-23 Jul"/>
    <n v="1002"/>
    <s v="Laldiyara"/>
    <x v="69"/>
    <s v="MALPUR                                                                                              "/>
    <s v="MPG"/>
    <s v="Direct"/>
    <n v="913.2"/>
    <n v="42362.640000000007"/>
    <n v="528.21"/>
    <n v="27021.43"/>
    <n v="393.4"/>
    <n v="16957.47"/>
    <n v="921.61"/>
    <n v="43978.9"/>
    <n v="42362.640000000007"/>
    <n v="0"/>
    <n v="264.84000000000003"/>
    <n v="1616.2599999999948"/>
    <n v="0"/>
    <n v="0"/>
    <n v="0"/>
    <n v="25405"/>
    <n v="16693"/>
    <n v="0"/>
    <n v="0"/>
    <n v="0"/>
    <n v="0"/>
    <n v="0"/>
    <n v="-3.8152957417195779E-2"/>
    <n v="11"/>
    <m/>
    <s v="Laldiyara"/>
    <m/>
    <n v="0"/>
  </r>
  <r>
    <s v="Munger"/>
    <s v="17-23 Jul"/>
    <n v="1002"/>
    <s v="Laldiyara"/>
    <x v="70"/>
    <s v="Gomukh Hasanpur"/>
    <s v="vlc"/>
    <s v="Indirect"/>
    <n v="264.60000000000002"/>
    <n v="11065.510000000002"/>
    <n v="0"/>
    <n v="0"/>
    <n v="0"/>
    <n v="0"/>
    <n v="0"/>
    <n v="0"/>
    <n v="11065.510000000002"/>
    <n v="0"/>
    <n v="0"/>
    <n v="0"/>
    <n v="0"/>
    <n v="0"/>
    <n v="0"/>
    <n v="0"/>
    <n v="0"/>
    <n v="11065.510000000002"/>
    <n v="0"/>
    <n v="0"/>
    <n v="364.16651957671957"/>
    <n v="37.800000000000004"/>
    <n v="0"/>
    <n v="0"/>
    <m/>
    <s v="Laldiyara"/>
    <m/>
    <n v="0"/>
  </r>
  <r>
    <s v="Munger"/>
    <s v="17-23 Jul"/>
    <n v="1002"/>
    <s v="Laldiyara"/>
    <x v="72"/>
    <s v="SABIKPUR"/>
    <s v="MPG"/>
    <s v="Direct"/>
    <n v="1467.8000000000002"/>
    <n v="63504.840000000004"/>
    <n v="1501.5"/>
    <n v="65561.239999999991"/>
    <n v="0"/>
    <n v="0"/>
    <n v="1501.5"/>
    <n v="65561.239999999991"/>
    <n v="63504.840000000004"/>
    <n v="0"/>
    <n v="0"/>
    <n v="2056.3999999999869"/>
    <n v="0"/>
    <n v="0"/>
    <n v="0"/>
    <n v="63505"/>
    <n v="0"/>
    <n v="0"/>
    <n v="0"/>
    <n v="0"/>
    <n v="0"/>
    <n v="0"/>
    <n v="-3.238178381364297E-2"/>
    <n v="33"/>
    <m/>
    <s v="Laldiyara"/>
    <m/>
    <n v="0"/>
  </r>
  <r>
    <s v="Munger"/>
    <s v="17-23 Jul"/>
    <n v="1002"/>
    <s v="Laldiyara"/>
    <x v="73"/>
    <s v="CHETAN-TOLA-KHUTHA"/>
    <s v="MPG"/>
    <s v="Direct"/>
    <n v="173.9"/>
    <n v="7333.9900000000007"/>
    <n v="179"/>
    <n v="7315.73"/>
    <n v="0"/>
    <n v="0"/>
    <n v="179"/>
    <n v="7315.73"/>
    <n v="7315.73"/>
    <n v="0"/>
    <n v="0"/>
    <n v="0"/>
    <n v="0"/>
    <n v="500"/>
    <n v="0"/>
    <n v="6816"/>
    <n v="0"/>
    <n v="0"/>
    <n v="18"/>
    <n v="0"/>
    <n v="443.75067728579648"/>
    <n v="24.842857142857145"/>
    <n v="2.4897770517823348E-3"/>
    <n v="1"/>
    <m/>
    <s v="Laldiyara"/>
    <m/>
    <n v="500"/>
  </r>
  <r>
    <s v="Munger"/>
    <s v="17-23 Jul"/>
    <n v="1002"/>
    <s v="Laldiyara"/>
    <x v="74"/>
    <s v="LAXMIPUR"/>
    <s v="MPG"/>
    <s v="Direct"/>
    <n v="784.00000000000011"/>
    <n v="31227.010000000006"/>
    <n v="787.4"/>
    <n v="35104.409999999996"/>
    <n v="0"/>
    <n v="0"/>
    <n v="787.4"/>
    <n v="35104.409999999996"/>
    <n v="31227.010000000006"/>
    <n v="0"/>
    <n v="0"/>
    <n v="3877.3999999999905"/>
    <n v="0"/>
    <n v="0"/>
    <n v="0"/>
    <n v="31227"/>
    <n v="0"/>
    <n v="0"/>
    <n v="0"/>
    <n v="0"/>
    <n v="0"/>
    <n v="0"/>
    <n v="-0.12416814802313733"/>
    <n v="10"/>
    <m/>
    <s v="Laldiyara"/>
    <m/>
    <n v="0"/>
  </r>
  <r>
    <s v="Munger"/>
    <s v="17-23 Jul"/>
    <n v="1002"/>
    <s v="Laldiyara"/>
    <x v="75"/>
    <s v="REHUA RK"/>
    <s v="vlc"/>
    <s v="Indirect"/>
    <n v="993.8"/>
    <n v="38038.81"/>
    <n v="0"/>
    <n v="0"/>
    <n v="0"/>
    <n v="0"/>
    <n v="0"/>
    <n v="0"/>
    <n v="38038.81"/>
    <n v="0"/>
    <n v="0"/>
    <n v="0"/>
    <n v="0"/>
    <n v="0"/>
    <n v="0"/>
    <n v="0"/>
    <n v="0"/>
    <n v="38038.81"/>
    <n v="0"/>
    <n v="0"/>
    <n v="0"/>
    <n v="0"/>
    <n v="0"/>
    <n v="0"/>
    <m/>
    <s v="Laldiyara"/>
    <m/>
    <n v="0"/>
  </r>
  <r>
    <s v="Munger"/>
    <s v="17-23 Jul"/>
    <n v="1002"/>
    <s v="Laldiyara"/>
    <x v="76"/>
    <s v="RAMNAGAR"/>
    <s v="MPG"/>
    <s v="Direct"/>
    <n v="235.90000000000003"/>
    <n v="10620.95"/>
    <n v="235.12"/>
    <n v="10621.41"/>
    <n v="0"/>
    <n v="0"/>
    <n v="235.12"/>
    <n v="10621.41"/>
    <n v="10620.95"/>
    <n v="0"/>
    <n v="0"/>
    <n v="0.45999999999912689"/>
    <n v="0"/>
    <n v="0"/>
    <n v="0"/>
    <n v="10621"/>
    <n v="0"/>
    <n v="0"/>
    <n v="0"/>
    <n v="0"/>
    <n v="417.9044421364984"/>
    <n v="33.700000000000003"/>
    <n v="-4.3310626638777777E-5"/>
    <n v="6"/>
    <m/>
    <s v="Laldiyara"/>
    <m/>
    <n v="0"/>
  </r>
  <r>
    <s v="Munger"/>
    <s v="17-23 Jul"/>
    <n v="1002"/>
    <s v="Laldiyara"/>
    <x v="77"/>
    <s v="BANSIPUR"/>
    <s v="MPG"/>
    <s v="Direct"/>
    <n v="275.20000000000005"/>
    <n v="13481.390000000001"/>
    <n v="275.79999999999995"/>
    <n v="13497.869999999997"/>
    <n v="0"/>
    <n v="0"/>
    <n v="275.79999999999995"/>
    <n v="13497.869999999997"/>
    <n v="13481.390000000001"/>
    <n v="0"/>
    <n v="0"/>
    <n v="16.479999999995925"/>
    <n v="0"/>
    <n v="500"/>
    <n v="0"/>
    <n v="12981"/>
    <n v="0"/>
    <n v="0"/>
    <n v="0"/>
    <n v="0"/>
    <n v="416.19872616279065"/>
    <n v="39.314285714285724"/>
    <n v="-1.2224258774500198E-3"/>
    <n v="1"/>
    <m/>
    <s v="Laldiyara"/>
    <m/>
    <n v="500"/>
  </r>
  <r>
    <s v="Munger"/>
    <s v="17-23 Jul"/>
    <n v="1002"/>
    <s v="Laldiyara"/>
    <x v="78"/>
    <s v="GODIH"/>
    <s v="MPG"/>
    <s v="Direct"/>
    <n v="581.5"/>
    <n v="25087.100000000002"/>
    <n v="581.16000000000008"/>
    <n v="37249.379999999997"/>
    <n v="0"/>
    <n v="0"/>
    <n v="581.16000000000008"/>
    <n v="37249.379999999997"/>
    <n v="25087.100000000002"/>
    <n v="0"/>
    <n v="0"/>
    <n v="12162.279999999995"/>
    <n v="0"/>
    <n v="0"/>
    <n v="0"/>
    <n v="25087"/>
    <n v="0"/>
    <n v="0"/>
    <n v="0"/>
    <n v="0"/>
    <n v="102.24665004299229"/>
    <n v="83.071428571428569"/>
    <n v="-0.48480214931179744"/>
    <n v="2"/>
    <m/>
    <s v="Laldiyara"/>
    <m/>
    <n v="0"/>
  </r>
  <r>
    <s v="Munger"/>
    <s v="17-23 Jul"/>
    <n v="1002"/>
    <s v="Laldiyara"/>
    <x v="79"/>
    <s v="SINGARPUR"/>
    <s v="MPG"/>
    <s v="Direct"/>
    <n v="55.699999999999996"/>
    <n v="2471.4199999999996"/>
    <n v="52.4"/>
    <n v="2478.73"/>
    <n v="0"/>
    <n v="0"/>
    <n v="52.4"/>
    <n v="2478.73"/>
    <n v="2471.4199999999996"/>
    <n v="0"/>
    <n v="0"/>
    <n v="7.3100000000004002"/>
    <n v="0"/>
    <n v="500"/>
    <n v="0"/>
    <n v="1971"/>
    <n v="0"/>
    <n v="0"/>
    <n v="0"/>
    <n v="0"/>
    <n v="571.75436481149006"/>
    <n v="7.9571428571428564"/>
    <n v="-2.9578137265217574E-3"/>
    <n v="3"/>
    <m/>
    <s v="Laldiyara"/>
    <m/>
    <n v="500"/>
  </r>
  <r>
    <s v="Munger"/>
    <s v="17-23 Jul"/>
    <n v="1002"/>
    <s v="Laldiyara"/>
    <x v="80"/>
    <s v="G WOLIPUR"/>
    <s v="MPG"/>
    <s v="Indirect"/>
    <n v="2110.6"/>
    <n v="90024.25"/>
    <n v="0"/>
    <n v="0"/>
    <n v="0"/>
    <n v="0"/>
    <n v="0"/>
    <n v="0"/>
    <n v="90024.25"/>
    <n v="0"/>
    <n v="0"/>
    <n v="0"/>
    <n v="0"/>
    <n v="0"/>
    <n v="0"/>
    <n v="0"/>
    <n v="0"/>
    <n v="90024.25"/>
    <n v="0"/>
    <n v="0"/>
    <n v="0"/>
    <n v="0"/>
    <n v="0"/>
    <n v="0"/>
    <m/>
    <s v="Laldiyara"/>
    <m/>
    <n v="0"/>
  </r>
  <r>
    <s v="Munger"/>
    <s v="17-23 Jul"/>
    <n v="1002"/>
    <s v="Laldiyara"/>
    <x v="81"/>
    <s v="REHUA 3"/>
    <s v="MPG"/>
    <s v="Indirect"/>
    <n v="1692.1999999999998"/>
    <n v="75719.070000000007"/>
    <n v="0"/>
    <n v="0"/>
    <n v="0"/>
    <n v="0"/>
    <n v="0"/>
    <n v="0"/>
    <n v="75719.070000000007"/>
    <n v="0"/>
    <n v="0"/>
    <n v="0"/>
    <n v="0"/>
    <n v="0"/>
    <n v="0"/>
    <n v="0"/>
    <n v="0"/>
    <n v="75719.070000000007"/>
    <n v="0"/>
    <n v="0"/>
    <n v="0"/>
    <n v="0"/>
    <n v="0"/>
    <n v="0"/>
    <m/>
    <s v="Laldiyara"/>
    <m/>
    <n v="0"/>
  </r>
  <r>
    <s v="Munger"/>
    <s v="17-23 Jul"/>
    <n v="1002"/>
    <s v="Laldiyara"/>
    <x v="82"/>
    <s v="BICHWAY"/>
    <s v="MPG"/>
    <s v="Direct"/>
    <n v="544.1"/>
    <n v="21802.089999999997"/>
    <n v="543.19999999999993"/>
    <n v="23007.79"/>
    <n v="0"/>
    <n v="0"/>
    <n v="543.19999999999993"/>
    <n v="23007.79"/>
    <n v="21802.089999999997"/>
    <n v="0"/>
    <n v="0"/>
    <n v="1205.7000000000044"/>
    <n v="0"/>
    <n v="0"/>
    <n v="0"/>
    <n v="21802"/>
    <n v="0"/>
    <n v="0"/>
    <n v="0"/>
    <n v="0"/>
    <n v="124.93827719169269"/>
    <n v="77.728571428571428"/>
    <n v="-5.5302037556950026E-2"/>
    <n v="2"/>
    <m/>
    <s v="Laldiyara"/>
    <m/>
    <n v="0"/>
  </r>
  <r>
    <s v="Munger"/>
    <s v="17-23 Jul"/>
    <n v="1002"/>
    <s v="Laldiyara"/>
    <x v="83"/>
    <s v="MANOHARPUR"/>
    <s v="MPG"/>
    <s v="Direct"/>
    <n v="619.9"/>
    <n v="25785.239999999994"/>
    <n v="142.91"/>
    <n v="5690.7300000000005"/>
    <n v="480.51000000000005"/>
    <n v="19541.920000000006"/>
    <n v="623.42000000000007"/>
    <n v="25232.650000000005"/>
    <n v="25232.650000000005"/>
    <n v="0"/>
    <n v="0"/>
    <n v="0"/>
    <n v="0"/>
    <n v="0"/>
    <n v="0"/>
    <n v="5691"/>
    <n v="19540"/>
    <n v="0"/>
    <n v="554"/>
    <n v="0"/>
    <n v="66.636480851750321"/>
    <n v="88.55714285714285"/>
    <n v="2.1430477280800542E-2"/>
    <n v="25"/>
    <m/>
    <s v="Laldiyara"/>
    <m/>
    <n v="0"/>
  </r>
  <r>
    <s v="Munger"/>
    <s v="17-23 Jul"/>
    <n v="1002"/>
    <s v="Laldiyara"/>
    <x v="84"/>
    <s v="HIRDANBIGHA"/>
    <s v="MPG"/>
    <s v="Direct"/>
    <n v="785.30000000000007"/>
    <n v="31461.650000000005"/>
    <n v="796.28"/>
    <n v="32263.86"/>
    <n v="0"/>
    <n v="0"/>
    <n v="796.28"/>
    <n v="32263.86"/>
    <n v="31461.650000000005"/>
    <n v="0"/>
    <n v="0"/>
    <n v="802.20999999999549"/>
    <n v="0"/>
    <n v="0"/>
    <n v="0"/>
    <n v="31462"/>
    <n v="0"/>
    <n v="0"/>
    <n v="0"/>
    <n v="0"/>
    <n v="0"/>
    <n v="0"/>
    <n v="-2.5498026962984949E-2"/>
    <n v="2"/>
    <m/>
    <s v="Laldiyara"/>
    <m/>
    <n v="0"/>
  </r>
  <r>
    <s v="Munger"/>
    <s v="17-23 Jul"/>
    <n v="1002"/>
    <s v="Laldiyara"/>
    <x v="85"/>
    <s v="KHUTAHA DIH C"/>
    <s v="MPG"/>
    <s v="Direct"/>
    <n v="326.10000000000008"/>
    <n v="13091.91"/>
    <n v="328.2"/>
    <n v="13171.439999999999"/>
    <n v="0"/>
    <n v="0"/>
    <n v="328.2"/>
    <n v="13171.439999999999"/>
    <n v="13091.91"/>
    <n v="0"/>
    <n v="0"/>
    <n v="79.529999999998836"/>
    <n v="0"/>
    <n v="0"/>
    <n v="0"/>
    <n v="13092"/>
    <n v="0"/>
    <n v="0"/>
    <n v="0"/>
    <n v="0"/>
    <n v="300.2186537258508"/>
    <n v="46.585714285714296"/>
    <n v="-6.0747438685416289E-3"/>
    <n v="1"/>
    <m/>
    <s v="Laldiyara"/>
    <m/>
    <n v="0"/>
  </r>
  <r>
    <s v="Munger"/>
    <s v="17-23 Jul"/>
    <n v="1003"/>
    <s v="Asarganj"/>
    <x v="86"/>
    <s v="MOHANPUR"/>
    <s v="vlc"/>
    <s v="Indirect"/>
    <n v="550.5"/>
    <n v="23621.440000000002"/>
    <n v="0"/>
    <n v="0"/>
    <n v="0"/>
    <n v="0"/>
    <n v="0"/>
    <n v="0"/>
    <n v="23621.440000000002"/>
    <n v="0"/>
    <n v="0"/>
    <n v="0"/>
    <n v="0"/>
    <n v="0"/>
    <n v="0"/>
    <n v="0"/>
    <n v="0"/>
    <n v="23621.440000000002"/>
    <n v="0"/>
    <n v="0"/>
    <n v="128.2981028156222"/>
    <n v="78.642857142857139"/>
    <n v="0"/>
    <n v="0"/>
    <m/>
    <s v="Asarganj"/>
    <m/>
    <n v="0"/>
  </r>
  <r>
    <s v="Munger"/>
    <s v="17-23 Jul"/>
    <n v="1003"/>
    <s v="Asarganj"/>
    <x v="87"/>
    <s v="CHATMADIH"/>
    <s v="MPG"/>
    <s v="Direct"/>
    <n v="1763.1499999999994"/>
    <n v="86346.29"/>
    <n v="1745.5000000000002"/>
    <n v="83800.819999999992"/>
    <n v="25.3"/>
    <n v="1814"/>
    <n v="1770.8000000000002"/>
    <n v="85614.819999999992"/>
    <n v="85614.819999999992"/>
    <n v="0"/>
    <n v="1814"/>
    <n v="0"/>
    <n v="0"/>
    <n v="0"/>
    <n v="0"/>
    <n v="83801"/>
    <n v="0"/>
    <n v="0"/>
    <n v="731"/>
    <n v="0"/>
    <n v="0"/>
    <n v="0"/>
    <n v="8.4713541253480743E-3"/>
    <n v="66"/>
    <m/>
    <s v="Asarganj"/>
    <m/>
    <n v="0"/>
  </r>
  <r>
    <s v="Munger"/>
    <s v="17-23 Jul"/>
    <n v="1003"/>
    <s v="Asarganj"/>
    <x v="88"/>
    <s v="SIYADIH"/>
    <s v="vlc"/>
    <s v="Indirect"/>
    <n v="658.05"/>
    <n v="19974.05"/>
    <n v="0"/>
    <n v="0"/>
    <n v="0"/>
    <n v="0"/>
    <n v="0"/>
    <n v="0"/>
    <n v="19974.05"/>
    <n v="0"/>
    <n v="0"/>
    <n v="0"/>
    <n v="0"/>
    <n v="0"/>
    <n v="0"/>
    <n v="0"/>
    <n v="0"/>
    <n v="19974.05"/>
    <n v="0"/>
    <n v="0"/>
    <n v="25.466496390851781"/>
    <n v="94.007142857142853"/>
    <n v="0"/>
    <n v="0"/>
    <m/>
    <s v="Asarganj"/>
    <m/>
    <n v="0"/>
  </r>
  <r>
    <s v="Munger"/>
    <s v="17-23 Jul"/>
    <n v="1003"/>
    <s v="Asarganj"/>
    <x v="89"/>
    <s v="Gomukh ID Laldiyara"/>
    <s v="vlc"/>
    <s v="Indirect"/>
    <n v="9867.25"/>
    <n v="416748.67"/>
    <n v="0"/>
    <n v="0"/>
    <n v="0"/>
    <n v="0"/>
    <n v="0"/>
    <n v="0"/>
    <n v="416748.67"/>
    <n v="0"/>
    <n v="0"/>
    <n v="0"/>
    <n v="0"/>
    <n v="0"/>
    <n v="0"/>
    <n v="0"/>
    <n v="0"/>
    <n v="416748.67"/>
    <n v="0"/>
    <n v="0"/>
    <n v="0"/>
    <n v="0"/>
    <n v="0"/>
    <n v="0"/>
    <m/>
    <s v="Asarganj"/>
    <m/>
    <n v="0"/>
  </r>
  <r>
    <s v="Munger"/>
    <s v="17-23 Jul"/>
    <n v="1003"/>
    <s v="Asarganj"/>
    <x v="90"/>
    <s v="KATHNI"/>
    <s v="MPG"/>
    <s v="Direct"/>
    <n v="261.3"/>
    <n v="9665.36"/>
    <n v="266.8"/>
    <n v="10728.419999999998"/>
    <n v="8"/>
    <n v="276.08"/>
    <n v="274.8"/>
    <n v="11004.499999999998"/>
    <n v="9665.36"/>
    <n v="0"/>
    <n v="0"/>
    <n v="1339.1399999999976"/>
    <n v="0"/>
    <n v="0"/>
    <n v="0"/>
    <n v="9389"/>
    <n v="276"/>
    <n v="0"/>
    <n v="0"/>
    <n v="0"/>
    <n v="324.54599556065824"/>
    <n v="37.328571428571429"/>
    <n v="-0.1385504523370053"/>
    <n v="3"/>
    <m/>
    <s v="Asarganj"/>
    <m/>
    <n v="0"/>
  </r>
  <r>
    <s v="Munger"/>
    <s v="17-23 Jul"/>
    <n v="1003"/>
    <s v="Asarganj"/>
    <x v="91"/>
    <s v="DEVDHA GOMUKH MPG"/>
    <s v="MPG"/>
    <s v="Direct"/>
    <n v="1483.8000000000002"/>
    <n v="64082.889999999992"/>
    <n v="1462.6999999999998"/>
    <n v="63119.900000000009"/>
    <n v="6.6000000000000005"/>
    <n v="288.27"/>
    <n v="1469.2999999999997"/>
    <n v="63408.170000000006"/>
    <n v="63408.170000000006"/>
    <n v="0"/>
    <n v="288.27"/>
    <n v="0"/>
    <n v="0"/>
    <n v="0"/>
    <n v="0"/>
    <n v="63122"/>
    <n v="0"/>
    <n v="0"/>
    <n v="673"/>
    <n v="0"/>
    <n v="0"/>
    <n v="0"/>
    <n v="1.0528863476662596E-2"/>
    <n v="18"/>
    <m/>
    <s v="Asarganj"/>
    <m/>
    <n v="0"/>
  </r>
  <r>
    <s v="Munger"/>
    <s v="17-23 Jul"/>
    <n v="1003"/>
    <s v="Asarganj"/>
    <x v="92"/>
    <s v="KASBA(MANGOAN)"/>
    <s v="vlc"/>
    <s v="Indirect"/>
    <n v="477.6"/>
    <n v="18026.550000000003"/>
    <n v="0"/>
    <n v="0"/>
    <n v="0"/>
    <n v="0"/>
    <n v="0"/>
    <n v="0"/>
    <n v="18026.550000000003"/>
    <n v="0"/>
    <n v="0"/>
    <n v="0"/>
    <n v="0"/>
    <n v="0"/>
    <n v="0"/>
    <n v="0"/>
    <n v="0"/>
    <n v="18026.550000000003"/>
    <n v="0"/>
    <n v="0"/>
    <n v="167.88545728643217"/>
    <n v="68.228571428571428"/>
    <n v="0"/>
    <n v="0"/>
    <m/>
    <s v="Asarganj"/>
    <m/>
    <n v="0"/>
  </r>
  <r>
    <s v="Munger"/>
    <s v="17-23 Jul"/>
    <n v="1003"/>
    <s v="Asarganj"/>
    <x v="93"/>
    <s v="LOHRA"/>
    <s v="MPG"/>
    <s v="Direct"/>
    <n v="656.5"/>
    <n v="35036.949999999997"/>
    <n v="612.38000000000011"/>
    <n v="36268.499999999993"/>
    <n v="18.82"/>
    <n v="1034.7199999999998"/>
    <n v="631.20000000000016"/>
    <n v="37303.219999999994"/>
    <n v="35036.949999999997"/>
    <n v="0"/>
    <n v="1034.7199999999998"/>
    <n v="2266.2699999999968"/>
    <n v="0"/>
    <n v="0"/>
    <n v="0"/>
    <n v="34002"/>
    <n v="0"/>
    <n v="0"/>
    <n v="0"/>
    <s v="Release2"/>
    <n v="46.431297029702918"/>
    <n v="93.785714285714292"/>
    <n v="-6.4682285415825214E-2"/>
    <n v="12"/>
    <m/>
    <s v="Asarganj"/>
    <m/>
    <n v="0"/>
  </r>
  <r>
    <s v="Munger"/>
    <s v="17-23 Jul"/>
    <n v="1003"/>
    <s v="Asarganj"/>
    <x v="95"/>
    <s v="GIRDHARA"/>
    <s v="MPG"/>
    <s v="Direct"/>
    <n v="1258.8500000000001"/>
    <n v="55572.649999999994"/>
    <n v="219.82"/>
    <n v="11649.44"/>
    <n v="1053.4199999999998"/>
    <n v="45472.770000000004"/>
    <n v="1273.2399999999998"/>
    <n v="57122.210000000006"/>
    <n v="55572.649999999994"/>
    <n v="0"/>
    <n v="348.73"/>
    <n v="1549.5600000000122"/>
    <n v="0"/>
    <n v="0"/>
    <n v="0"/>
    <n v="10100"/>
    <n v="45124"/>
    <n v="0"/>
    <n v="0"/>
    <n v="0"/>
    <n v="0"/>
    <n v="0"/>
    <n v="-2.7883500246974228E-2"/>
    <n v="14"/>
    <m/>
    <s v="Asarganj"/>
    <m/>
    <n v="0"/>
  </r>
  <r>
    <s v="Munger"/>
    <s v="17-23 Jul"/>
    <n v="1003"/>
    <s v="Asarganj"/>
    <x v="96"/>
    <s v="RATNI"/>
    <s v="MPG"/>
    <s v="Direct"/>
    <n v="1356.6999999999998"/>
    <n v="70442.429999999993"/>
    <n v="1340.0500000000002"/>
    <n v="69014.580000000016"/>
    <n v="30.439999999999998"/>
    <n v="1672.8"/>
    <n v="1370.4900000000002"/>
    <n v="70687.380000000019"/>
    <n v="70442.429999999993"/>
    <n v="0"/>
    <n v="1672.8"/>
    <n v="244.95000000002619"/>
    <n v="0"/>
    <n v="0"/>
    <n v="0"/>
    <n v="68769"/>
    <n v="0"/>
    <n v="0"/>
    <n v="1"/>
    <n v="0"/>
    <n v="0"/>
    <n v="0"/>
    <n v="-3.4773076397283031E-3"/>
    <n v="35"/>
    <m/>
    <s v="Asarganj"/>
    <m/>
    <n v="0"/>
  </r>
  <r>
    <s v="Munger"/>
    <s v="17-23 Jul"/>
    <n v="1003"/>
    <s v="Asarganj"/>
    <x v="97"/>
    <s v="DHAPARI"/>
    <s v="MPG"/>
    <s v="Direct"/>
    <n v="831.8"/>
    <n v="35539.03"/>
    <n v="818.49"/>
    <n v="35891.94"/>
    <n v="28.169999999999995"/>
    <n v="1149.0999999999999"/>
    <n v="846.66"/>
    <n v="37041.040000000001"/>
    <n v="35539.03"/>
    <n v="0"/>
    <n v="1149.0999999999999"/>
    <n v="1502.010000000002"/>
    <n v="0"/>
    <n v="0"/>
    <n v="0"/>
    <n v="34390"/>
    <n v="0"/>
    <n v="0"/>
    <n v="0"/>
    <n v="0"/>
    <n v="0"/>
    <n v="0"/>
    <n v="-4.2263674613516523E-2"/>
    <n v="23"/>
    <m/>
    <s v="Asarganj"/>
    <m/>
    <n v="0"/>
  </r>
  <r>
    <s v="Munger"/>
    <s v="17-23 Jul"/>
    <n v="1003"/>
    <s v="Asarganj"/>
    <x v="98"/>
    <s v="KHARUI"/>
    <s v="MPG"/>
    <s v="Direct"/>
    <n v="366.59999999999997"/>
    <n v="16227.67"/>
    <n v="355.25999999999988"/>
    <n v="17038.8"/>
    <n v="16.419999999999998"/>
    <n v="1088.72"/>
    <n v="371.67999999999989"/>
    <n v="18127.52"/>
    <n v="16227.67"/>
    <n v="0"/>
    <n v="1088.72"/>
    <n v="1899.8500000000004"/>
    <n v="0"/>
    <n v="0"/>
    <n v="0"/>
    <n v="15139"/>
    <n v="0"/>
    <n v="0"/>
    <n v="0"/>
    <n v="0"/>
    <n v="295.16122084015285"/>
    <n v="52.371428571428567"/>
    <n v="-0.11707472483726872"/>
    <n v="7"/>
    <m/>
    <s v="Asarganj"/>
    <m/>
    <n v="0"/>
  </r>
  <r>
    <s v="Munger"/>
    <s v="17-23 Jul"/>
    <n v="1003"/>
    <s v="Asarganj"/>
    <x v="99"/>
    <s v="KHAIRA"/>
    <s v="MPG"/>
    <s v="Direct"/>
    <n v="489.35"/>
    <n v="20491.550000000003"/>
    <n v="545.23"/>
    <n v="23756.930000000004"/>
    <n v="21.92"/>
    <n v="919.30000000000007"/>
    <n v="567.15"/>
    <n v="24676.230000000003"/>
    <n v="20491.550000000003"/>
    <n v="0"/>
    <n v="919.30000000000007"/>
    <n v="4184.68"/>
    <n v="0"/>
    <n v="0"/>
    <n v="0"/>
    <n v="19572"/>
    <n v="0"/>
    <n v="0"/>
    <n v="0"/>
    <n v="0"/>
    <n v="176.41953642587106"/>
    <n v="69.907142857142858"/>
    <n v="-0.20421490809626405"/>
    <n v="10"/>
    <m/>
    <s v="Asarganj"/>
    <m/>
    <n v="0"/>
  </r>
  <r>
    <s v="Munger"/>
    <s v="17-23 Jul"/>
    <n v="1003"/>
    <s v="Asarganj"/>
    <x v="100"/>
    <s v="SISUA"/>
    <s v="MPG"/>
    <s v="Direct"/>
    <n v="1357.5"/>
    <n v="55637.19"/>
    <n v="1313.5399999999997"/>
    <n v="55503.30000000001"/>
    <n v="111.48"/>
    <n v="4533.3100000000004"/>
    <n v="1425.0199999999998"/>
    <n v="60036.610000000008"/>
    <n v="55637.19"/>
    <n v="0"/>
    <n v="646.72"/>
    <n v="4399.4200000000055"/>
    <n v="0"/>
    <n v="0"/>
    <n v="0"/>
    <n v="51103"/>
    <n v="3887"/>
    <n v="0"/>
    <n v="0"/>
    <n v="0"/>
    <n v="0"/>
    <n v="0"/>
    <n v="-7.9073368011576523E-2"/>
    <n v="24"/>
    <m/>
    <s v="Asarganj"/>
    <m/>
    <n v="0"/>
  </r>
  <r>
    <s v="Munger"/>
    <s v="17-23 Jul"/>
    <n v="1003"/>
    <s v="Asarganj"/>
    <x v="101"/>
    <s v="BISAI"/>
    <s v="MPG"/>
    <s v="Direct"/>
    <n v="414.29999999999995"/>
    <n v="17161.95"/>
    <n v="406.98999999999995"/>
    <n v="17059.980000000003"/>
    <n v="10.290000000000001"/>
    <n v="443.41"/>
    <n v="417.28"/>
    <n v="17503.390000000003"/>
    <n v="17161.95"/>
    <n v="0"/>
    <n v="443.41"/>
    <n v="341.44000000000233"/>
    <n v="0"/>
    <n v="0"/>
    <n v="0"/>
    <n v="16719"/>
    <n v="0"/>
    <n v="0"/>
    <n v="0"/>
    <n v="0"/>
    <n v="236.69655394641575"/>
    <n v="59.185714285714276"/>
    <n v="-1.9895175082085794E-2"/>
    <n v="17"/>
    <m/>
    <s v="Asarganj"/>
    <m/>
    <n v="0"/>
  </r>
  <r>
    <s v="Munger"/>
    <s v="17-23 Jul"/>
    <n v="1003"/>
    <s v="Asarganj"/>
    <x v="102"/>
    <s v="SAJUA-1"/>
    <s v="MPG"/>
    <s v="Direct"/>
    <n v="781.14999999999986"/>
    <n v="31326.61"/>
    <n v="788.25"/>
    <n v="31576.28"/>
    <n v="8.76"/>
    <n v="350.83000000000004"/>
    <n v="797.01"/>
    <n v="31927.11"/>
    <n v="31326.61"/>
    <n v="0"/>
    <n v="350.83000000000004"/>
    <n v="600.5"/>
    <n v="0"/>
    <n v="0"/>
    <n v="0"/>
    <n v="30976"/>
    <n v="0"/>
    <n v="0"/>
    <n v="0"/>
    <n v="0"/>
    <n v="0"/>
    <n v="0"/>
    <n v="-1.9169006796458346E-2"/>
    <n v="7"/>
    <m/>
    <s v="Asarganj"/>
    <m/>
    <n v="0"/>
  </r>
  <r>
    <s v="Munger"/>
    <s v="17-23 Jul"/>
    <n v="1003"/>
    <s v="Asarganj"/>
    <x v="103"/>
    <s v="SAJUA-2"/>
    <s v="MPG"/>
    <s v="Direct"/>
    <n v="1269.95"/>
    <n v="52119.66"/>
    <n v="1281.4199999999996"/>
    <n v="52096.279999999992"/>
    <n v="2.8200000000000003"/>
    <n v="230.26"/>
    <n v="1284.2399999999996"/>
    <n v="52326.539999999994"/>
    <n v="52119.66"/>
    <n v="0"/>
    <n v="230.26"/>
    <n v="206.8799999999901"/>
    <n v="0"/>
    <n v="0"/>
    <n v="0"/>
    <n v="51889"/>
    <n v="0"/>
    <n v="0"/>
    <n v="0"/>
    <n v="0"/>
    <n v="0"/>
    <n v="0"/>
    <n v="-3.9693275052060982E-3"/>
    <n v="46"/>
    <m/>
    <s v="Asarganj"/>
    <m/>
    <n v="0"/>
  </r>
  <r>
    <s v="Munger"/>
    <s v="17-23 Jul"/>
    <n v="1003"/>
    <s v="Asarganj"/>
    <x v="104"/>
    <s v="CHORGAUN"/>
    <s v="MPG"/>
    <s v="Direct"/>
    <n v="1040.8499999999999"/>
    <n v="40753.650000000009"/>
    <n v="1000.3000000000001"/>
    <n v="39874.719999999994"/>
    <n v="28.400000000000002"/>
    <n v="1161.8499999999999"/>
    <n v="1028.7"/>
    <n v="41036.569999999992"/>
    <n v="40753.650000000009"/>
    <n v="0"/>
    <n v="1161.8499999999999"/>
    <n v="282.9199999999837"/>
    <n v="0"/>
    <n v="0"/>
    <n v="0"/>
    <n v="39592"/>
    <n v="0"/>
    <n v="0"/>
    <n v="0"/>
    <s v="Release2"/>
    <n v="0"/>
    <n v="0"/>
    <n v="-6.942200269177942E-3"/>
    <n v="47"/>
    <m/>
    <s v="Asarganj"/>
    <m/>
    <n v="0"/>
  </r>
  <r>
    <s v="Munger"/>
    <s v="17-23 Jul"/>
    <n v="1003"/>
    <s v="Asarganj"/>
    <x v="105"/>
    <s v="PADARATHPUR"/>
    <s v="MPG"/>
    <s v="Direct"/>
    <n v="1153.7499999999998"/>
    <n v="49445.799999999996"/>
    <n v="1148.2999999999997"/>
    <n v="49603.189999999995"/>
    <n v="22"/>
    <n v="884.84999999999968"/>
    <n v="1170.2999999999997"/>
    <n v="50488.039999999994"/>
    <n v="49445.799999999996"/>
    <n v="0"/>
    <n v="884.84999999999968"/>
    <n v="1042.239999999998"/>
    <n v="0"/>
    <n v="0"/>
    <n v="0"/>
    <n v="48561"/>
    <n v="0"/>
    <n v="0"/>
    <n v="0"/>
    <n v="0"/>
    <n v="0"/>
    <n v="0"/>
    <n v="-2.1078433355310219E-2"/>
    <n v="46"/>
    <m/>
    <s v="Asarganj"/>
    <m/>
    <n v="0"/>
  </r>
  <r>
    <s v="Munger"/>
    <s v="17-23 Jul"/>
    <n v="1003"/>
    <s v="Asarganj"/>
    <x v="968"/>
    <s v="MACHIDIH"/>
    <s v="MPG"/>
    <s v="Direct"/>
    <n v="120.75"/>
    <n v="5869.8899999999994"/>
    <n v="103.5"/>
    <n v="4976.3200000000006"/>
    <n v="0"/>
    <n v="0"/>
    <n v="103.5"/>
    <n v="4976.3200000000006"/>
    <n v="4976.3200000000006"/>
    <n v="0"/>
    <n v="0"/>
    <n v="0"/>
    <n v="0"/>
    <n v="0"/>
    <n v="0"/>
    <n v="4976"/>
    <n v="0"/>
    <n v="0"/>
    <n v="894"/>
    <n v="0"/>
    <n v="563.16915652173907"/>
    <n v="17.25"/>
    <n v="0.15222942849014187"/>
    <n v="1"/>
    <m/>
    <s v="Asarganj"/>
    <m/>
    <n v="0"/>
  </r>
  <r>
    <s v="Munger"/>
    <s v="17-23 Jul"/>
    <n v="1003"/>
    <s v="Asarganj"/>
    <x v="106"/>
    <s v="BADARKHA"/>
    <s v="MPG"/>
    <s v="Direct"/>
    <n v="832.74999999999989"/>
    <n v="31607.940000000006"/>
    <n v="814.01"/>
    <n v="31610.38"/>
    <n v="0"/>
    <n v="0"/>
    <n v="814.01"/>
    <n v="31610.38"/>
    <n v="31607.940000000006"/>
    <n v="0"/>
    <n v="0"/>
    <n v="2.4399999999950523"/>
    <n v="0"/>
    <n v="0"/>
    <n v="0"/>
    <n v="31608"/>
    <n v="0"/>
    <n v="0"/>
    <n v="0"/>
    <n v="0"/>
    <n v="0"/>
    <n v="0"/>
    <n v="-7.719579320876501E-5"/>
    <n v="23"/>
    <m/>
    <s v="Asarganj"/>
    <m/>
    <n v="0"/>
  </r>
  <r>
    <s v="Munger"/>
    <s v="17-23 Jul"/>
    <n v="1003"/>
    <s v="Asarganj"/>
    <x v="107"/>
    <s v="MAHDMADPUR                                                                                          "/>
    <s v="MPG"/>
    <s v="Direct"/>
    <n v="1228.6000000000001"/>
    <n v="45649.77"/>
    <n v="1269.8"/>
    <n v="46368.42"/>
    <n v="3.4"/>
    <n v="92.92"/>
    <n v="1273.2"/>
    <n v="46461.34"/>
    <n v="45649.77"/>
    <n v="0"/>
    <n v="92.92"/>
    <n v="811.56999999999971"/>
    <n v="0"/>
    <n v="0"/>
    <n v="0"/>
    <n v="45557"/>
    <n v="0"/>
    <n v="0"/>
    <n v="0"/>
    <n v="0"/>
    <n v="0"/>
    <n v="0"/>
    <n v="-1.7778183767409996E-2"/>
    <n v="17"/>
    <m/>
    <s v="Asarganj"/>
    <m/>
    <n v="0"/>
  </r>
  <r>
    <s v="Munger"/>
    <s v="17-23 Jul"/>
    <n v="1003"/>
    <s v="Asarganj"/>
    <x v="108"/>
    <s v="MUSKIPUR                                                                                            "/>
    <s v="MPG"/>
    <s v="Direct"/>
    <n v="1252.8500000000001"/>
    <n v="54611.91"/>
    <n v="1262.9500000000003"/>
    <n v="53600.160000000003"/>
    <n v="0"/>
    <n v="0"/>
    <n v="1262.9500000000003"/>
    <n v="53600.160000000003"/>
    <n v="53600.160000000003"/>
    <n v="0"/>
    <n v="0"/>
    <n v="0"/>
    <n v="0"/>
    <n v="0"/>
    <n v="0"/>
    <n v="53600"/>
    <n v="0"/>
    <n v="0"/>
    <n v="1012"/>
    <n v="0"/>
    <n v="0"/>
    <n v="0"/>
    <n v="1.8526178630265816E-2"/>
    <n v="36"/>
    <m/>
    <s v="Asarganj"/>
    <m/>
    <n v="0"/>
  </r>
  <r>
    <s v="Munger"/>
    <s v="17-23 Jul"/>
    <n v="1003"/>
    <s v="Asarganj"/>
    <x v="109"/>
    <s v="NAYAGAUN                                                                                            "/>
    <s v="MPG"/>
    <s v="Direct"/>
    <n v="733.25"/>
    <n v="30872.15"/>
    <n v="729.36999999999989"/>
    <n v="30835.039999999997"/>
    <n v="3.42"/>
    <n v="147.18"/>
    <n v="732.78999999999985"/>
    <n v="30982.219999999998"/>
    <n v="30872.15"/>
    <n v="0"/>
    <n v="147.18"/>
    <n v="110.06999999999607"/>
    <n v="0"/>
    <n v="0"/>
    <n v="0"/>
    <n v="30725"/>
    <n v="0"/>
    <n v="0"/>
    <n v="0"/>
    <n v="0"/>
    <n v="0"/>
    <n v="0"/>
    <n v="-3.5653493520858143E-3"/>
    <n v="8"/>
    <m/>
    <s v="Asarganj"/>
    <m/>
    <n v="0"/>
  </r>
  <r>
    <s v="Munger"/>
    <s v="17-23 Jul"/>
    <n v="1003"/>
    <s v="Asarganj"/>
    <x v="110"/>
    <s v="LAUNA                                                                                               "/>
    <s v="MPG"/>
    <s v="Direct"/>
    <n v="1552.05"/>
    <n v="59144.13"/>
    <n v="1559.55"/>
    <n v="60422.469999999987"/>
    <n v="20.689999999999998"/>
    <n v="812.35000000000014"/>
    <n v="1580.24"/>
    <n v="61234.819999999985"/>
    <n v="59144.13"/>
    <n v="0"/>
    <n v="812.35000000000014"/>
    <n v="2090.6899999999878"/>
    <n v="0"/>
    <n v="0"/>
    <n v="0"/>
    <n v="58332"/>
    <n v="0"/>
    <n v="0"/>
    <n v="0"/>
    <n v="0"/>
    <n v="0"/>
    <n v="0"/>
    <n v="-3.5349070144408037E-2"/>
    <n v="16"/>
    <m/>
    <s v="Asarganj"/>
    <m/>
    <n v="0"/>
  </r>
  <r>
    <s v="Munger"/>
    <s v="17-23 Jul"/>
    <n v="1003"/>
    <s v="Asarganj"/>
    <x v="111"/>
    <s v="DULHAR"/>
    <s v="MPG"/>
    <s v="Direct"/>
    <n v="748.4"/>
    <n v="32072.59"/>
    <n v="661.12999999999977"/>
    <n v="32237.08"/>
    <n v="0"/>
    <n v="0"/>
    <n v="661.12999999999977"/>
    <n v="32237.08"/>
    <n v="32072.59"/>
    <n v="0"/>
    <n v="0"/>
    <n v="164.4900000000016"/>
    <n v="0"/>
    <n v="0"/>
    <n v="0"/>
    <n v="32073"/>
    <n v="0"/>
    <n v="0"/>
    <n v="0"/>
    <n v="0"/>
    <n v="0"/>
    <n v="0"/>
    <n v="-5.128678413561287E-3"/>
    <n v="22"/>
    <m/>
    <s v="Asarganj"/>
    <m/>
    <n v="0"/>
  </r>
  <r>
    <s v="Munger"/>
    <s v="17-23 Jul"/>
    <n v="1003"/>
    <s v="Asarganj"/>
    <x v="112"/>
    <s v="Ghorpithiya - Vikas"/>
    <s v="vlc"/>
    <s v="Indirect"/>
    <n v="348.6"/>
    <n v="15540.58"/>
    <n v="0"/>
    <n v="0"/>
    <n v="0"/>
    <n v="0"/>
    <n v="0"/>
    <n v="0"/>
    <n v="15540.58"/>
    <n v="0"/>
    <n v="0"/>
    <n v="0"/>
    <n v="0"/>
    <n v="0"/>
    <n v="0"/>
    <n v="0"/>
    <n v="0"/>
    <n v="15540.58"/>
    <n v="0"/>
    <n v="0"/>
    <n v="313.30807871485939"/>
    <n v="49.800000000000004"/>
    <n v="0"/>
    <n v="0"/>
    <m/>
    <s v="Asarganj"/>
    <m/>
    <n v="0"/>
  </r>
  <r>
    <s v="Munger"/>
    <s v="17-23 Jul"/>
    <n v="1003"/>
    <s v="Asarganj"/>
    <x v="113"/>
    <s v="Akbarnagar - Rakhi"/>
    <s v="vlc"/>
    <s v="Indirect"/>
    <n v="1178.4000000000001"/>
    <n v="47613.349999999991"/>
    <n v="0"/>
    <n v="0"/>
    <n v="0"/>
    <n v="0"/>
    <n v="0"/>
    <n v="0"/>
    <n v="47613.349999999991"/>
    <n v="0"/>
    <n v="0"/>
    <n v="0"/>
    <n v="0"/>
    <n v="0"/>
    <n v="0"/>
    <n v="0"/>
    <n v="0"/>
    <n v="47613.349999999991"/>
    <n v="0"/>
    <n v="0"/>
    <n v="0"/>
    <n v="0"/>
    <n v="0"/>
    <n v="0"/>
    <m/>
    <s v="Asarganj"/>
    <m/>
    <n v="0"/>
  </r>
  <r>
    <s v="Munger"/>
    <s v="17-23 Jul"/>
    <n v="1003"/>
    <s v="Asarganj"/>
    <x v="969"/>
    <s v="Maheshi - Chamcham"/>
    <s v="vlc"/>
    <s v="Indirect"/>
    <n v="741.90000000000009"/>
    <n v="31225.510000000002"/>
    <n v="0"/>
    <n v="0"/>
    <n v="0"/>
    <n v="0"/>
    <n v="0"/>
    <n v="0"/>
    <n v="31225.510000000002"/>
    <n v="0"/>
    <n v="0"/>
    <n v="0"/>
    <n v="0"/>
    <n v="0"/>
    <n v="0"/>
    <n v="0"/>
    <n v="0"/>
    <n v="31225.510000000002"/>
    <n v="0"/>
    <n v="0"/>
    <n v="0"/>
    <n v="0"/>
    <n v="0"/>
    <n v="0"/>
    <m/>
    <s v="Asarganj"/>
    <m/>
    <n v="0"/>
  </r>
  <r>
    <s v="Munger"/>
    <s v="17-23 Jul"/>
    <n v="1003"/>
    <s v="Asarganj"/>
    <x v="114"/>
    <s v="Ghorpithiya - Dheeraj"/>
    <s v="vlc"/>
    <s v="Indirect"/>
    <n v="9558.7999999999993"/>
    <n v="404444.38999999996"/>
    <n v="0"/>
    <n v="0"/>
    <n v="0"/>
    <n v="0"/>
    <n v="0"/>
    <n v="0"/>
    <n v="404444.38999999996"/>
    <n v="0"/>
    <n v="0"/>
    <n v="0"/>
    <n v="0"/>
    <n v="0"/>
    <n v="0"/>
    <n v="0"/>
    <n v="0"/>
    <n v="404444.38999999996"/>
    <n v="0"/>
    <n v="0"/>
    <n v="0"/>
    <n v="0"/>
    <n v="0"/>
    <n v="0"/>
    <m/>
    <s v="Asarganj"/>
    <m/>
    <n v="0"/>
  </r>
  <r>
    <s v="Munger"/>
    <s v="17-23 Jul"/>
    <n v="1003"/>
    <s v="Asarganj"/>
    <x v="115"/>
    <s v="Asarganj Chhotki Tola - Akash"/>
    <s v="vlc"/>
    <s v="Indirect"/>
    <n v="9558.7999999999993"/>
    <n v="404444.38999999996"/>
    <n v="0"/>
    <n v="0"/>
    <n v="0"/>
    <n v="0"/>
    <n v="0"/>
    <n v="0"/>
    <n v="404444.38999999996"/>
    <n v="0"/>
    <n v="0"/>
    <n v="0"/>
    <n v="0"/>
    <n v="0"/>
    <n v="0"/>
    <n v="0"/>
    <n v="0"/>
    <n v="404444.38999999996"/>
    <n v="0"/>
    <n v="0"/>
    <n v="0"/>
    <n v="0"/>
    <n v="0"/>
    <n v="0"/>
    <m/>
    <s v="Asarganj"/>
    <m/>
    <n v="0"/>
  </r>
  <r>
    <s v="Munger"/>
    <s v="17-23 Jul"/>
    <n v="1003"/>
    <s v="Asarganj"/>
    <x v="116"/>
    <s v="Manikpur - Golu"/>
    <s v="vlc"/>
    <s v="Indirect"/>
    <n v="1078.05"/>
    <n v="44321.919999999998"/>
    <n v="0"/>
    <n v="0"/>
    <n v="0"/>
    <n v="0"/>
    <n v="0"/>
    <n v="0"/>
    <n v="44321.919999999998"/>
    <n v="0"/>
    <n v="0"/>
    <n v="0"/>
    <n v="0"/>
    <n v="0"/>
    <n v="0"/>
    <n v="0"/>
    <n v="0"/>
    <n v="44321.919999999998"/>
    <n v="0"/>
    <n v="0"/>
    <n v="0"/>
    <n v="0"/>
    <n v="0"/>
    <n v="0"/>
    <m/>
    <s v="Asarganj"/>
    <m/>
    <n v="0"/>
  </r>
  <r>
    <s v="Munger"/>
    <s v="17-23 Jul"/>
    <n v="1003"/>
    <s v="Asarganj"/>
    <x v="117"/>
    <s v="Rangaon - Jayram"/>
    <s v="vlc"/>
    <s v="Indirect"/>
    <n v="844.15000000000009"/>
    <n v="35219.4"/>
    <n v="0"/>
    <n v="0"/>
    <n v="0"/>
    <n v="0"/>
    <n v="0"/>
    <n v="0"/>
    <n v="35219.4"/>
    <n v="0"/>
    <n v="0"/>
    <n v="0"/>
    <n v="0"/>
    <n v="0"/>
    <n v="0"/>
    <n v="0"/>
    <n v="0"/>
    <n v="35219.4"/>
    <n v="0"/>
    <n v="0"/>
    <n v="0"/>
    <n v="0"/>
    <n v="0"/>
    <n v="0"/>
    <m/>
    <s v="Asarganj"/>
    <m/>
    <n v="0"/>
  </r>
  <r>
    <s v="Munger"/>
    <s v="17-23 Jul"/>
    <n v="1003"/>
    <s v="Asarganj"/>
    <x v="970"/>
    <s v="Karso - Aparajita"/>
    <s v="vlc"/>
    <s v="Indirect"/>
    <n v="741.90000000000009"/>
    <n v="31225.510000000002"/>
    <n v="0"/>
    <n v="0"/>
    <n v="0"/>
    <n v="0"/>
    <n v="0"/>
    <n v="0"/>
    <n v="31225.510000000002"/>
    <n v="0"/>
    <n v="0"/>
    <n v="0"/>
    <n v="0"/>
    <n v="0"/>
    <n v="0"/>
    <n v="0"/>
    <n v="0"/>
    <n v="31225.510000000002"/>
    <n v="0"/>
    <n v="0"/>
    <n v="0"/>
    <n v="0"/>
    <n v="0"/>
    <n v="0"/>
    <m/>
    <s v="Asarganj"/>
    <m/>
    <n v="0"/>
  </r>
  <r>
    <s v="Munger"/>
    <s v="17-23 Jul"/>
    <n v="1003"/>
    <s v="Asarganj"/>
    <x v="971"/>
    <s v="Unchagaon - Niraj"/>
    <s v="vlc"/>
    <s v="Indirect"/>
    <n v="741.90000000000009"/>
    <n v="31225.510000000002"/>
    <n v="0"/>
    <n v="0"/>
    <n v="0"/>
    <n v="0"/>
    <n v="0"/>
    <n v="0"/>
    <n v="31225.510000000002"/>
    <n v="0"/>
    <n v="0"/>
    <n v="0"/>
    <n v="0"/>
    <n v="0"/>
    <n v="0"/>
    <n v="0"/>
    <n v="0"/>
    <n v="31225.510000000002"/>
    <n v="0"/>
    <n v="0"/>
    <n v="0"/>
    <n v="0"/>
    <n v="0"/>
    <n v="0"/>
    <m/>
    <s v="Asarganj"/>
    <m/>
    <n v="0"/>
  </r>
  <r>
    <s v="Munger"/>
    <s v="17-23 Jul"/>
    <n v="1003"/>
    <s v="Asarganj"/>
    <x v="118"/>
    <s v="PAIN"/>
    <s v="MPG"/>
    <s v="Direct"/>
    <n v="558.45000000000005"/>
    <n v="19913.68"/>
    <n v="566.83000000000015"/>
    <n v="22844.880000000001"/>
    <n v="2.69"/>
    <n v="105.95"/>
    <n v="569.52000000000021"/>
    <n v="22950.83"/>
    <n v="19913.68"/>
    <n v="0"/>
    <n v="105.95"/>
    <n v="3037.1500000000015"/>
    <n v="0"/>
    <n v="0"/>
    <n v="0"/>
    <n v="19808"/>
    <n v="0"/>
    <n v="0"/>
    <n v="0"/>
    <n v="0"/>
    <n v="100.95018010564951"/>
    <n v="79.778571428571439"/>
    <n v="-0.15251575801157805"/>
    <n v="10"/>
    <m/>
    <s v="Asarganj"/>
    <m/>
    <n v="0"/>
  </r>
  <r>
    <s v="Munger"/>
    <s v="17-23 Jul"/>
    <n v="1003"/>
    <s v="Asarganj"/>
    <x v="119"/>
    <s v="MOTICHAK"/>
    <s v="MPG"/>
    <s v="Direct"/>
    <n v="3783.4"/>
    <n v="142314.67000000001"/>
    <n v="3728.7199999999993"/>
    <n v="141030.64000000001"/>
    <n v="72.92"/>
    <n v="2751.3200000000006"/>
    <n v="3801.6399999999994"/>
    <n v="143781.96000000002"/>
    <n v="142314.67000000001"/>
    <n v="0"/>
    <n v="2751.3200000000006"/>
    <n v="1467.2900000000081"/>
    <n v="0"/>
    <n v="0"/>
    <n v="0"/>
    <n v="139563"/>
    <n v="0"/>
    <n v="0"/>
    <n v="0"/>
    <n v="0"/>
    <n v="0"/>
    <n v="0"/>
    <n v="-1.0310180953235586E-2"/>
    <n v="7"/>
    <m/>
    <s v="Asarganj"/>
    <m/>
    <n v="0"/>
  </r>
  <r>
    <s v="Munger"/>
    <s v="17-23 Jul"/>
    <n v="1003"/>
    <s v="Asarganj"/>
    <x v="120"/>
    <s v="MIRATTHI"/>
    <s v="MPG"/>
    <s v="Direct"/>
    <n v="276.10000000000002"/>
    <n v="11385.11"/>
    <n v="290.7"/>
    <n v="11653.09"/>
    <n v="3.35"/>
    <n v="131.97999999999999"/>
    <n v="294.05"/>
    <n v="11785.07"/>
    <n v="11385.11"/>
    <n v="0"/>
    <n v="131.97999999999999"/>
    <n v="399.95999999999913"/>
    <n v="0"/>
    <n v="0"/>
    <n v="0"/>
    <n v="11253"/>
    <n v="0"/>
    <n v="0"/>
    <n v="0"/>
    <n v="0"/>
    <n v="349.59421434262953"/>
    <n v="39.442857142857143"/>
    <n v="-3.5130095361397398E-2"/>
    <n v="8"/>
    <m/>
    <s v="Asarganj"/>
    <m/>
    <n v="0"/>
  </r>
  <r>
    <s v="Munger"/>
    <s v="17-23 Jul"/>
    <n v="1003"/>
    <s v="Asarganj"/>
    <x v="121"/>
    <s v="DAULATPUR"/>
    <s v="MPG"/>
    <s v="Direct"/>
    <n v="211.55"/>
    <n v="9037.58"/>
    <n v="217.16"/>
    <n v="9972.1999999999989"/>
    <n v="2.4900000000000007"/>
    <n v="111.92999999999999"/>
    <n v="219.65"/>
    <n v="10084.129999999999"/>
    <n v="9037.58"/>
    <n v="0"/>
    <n v="111.92999999999999"/>
    <n v="1046.5499999999993"/>
    <n v="0"/>
    <n v="0"/>
    <n v="0"/>
    <n v="8926"/>
    <n v="0"/>
    <n v="0"/>
    <n v="0"/>
    <n v="0"/>
    <n v="417.33925322618768"/>
    <n v="30.221428571428572"/>
    <n v="-0.11579980481500571"/>
    <n v="5"/>
    <m/>
    <s v="Asarganj"/>
    <m/>
    <n v="0"/>
  </r>
  <r>
    <s v="Munger"/>
    <s v="17-23 Jul"/>
    <n v="1003"/>
    <s v="Asarganj"/>
    <x v="122"/>
    <s v="MOHADDIPUR"/>
    <s v="MPG"/>
    <s v="Direct"/>
    <n v="175.95"/>
    <n v="5795.920000000001"/>
    <n v="188.03"/>
    <n v="9017.2000000000007"/>
    <n v="0"/>
    <n v="0"/>
    <n v="188.03"/>
    <n v="9017.2000000000007"/>
    <n v="5795.920000000001"/>
    <n v="0"/>
    <n v="0"/>
    <n v="3221.2799999999997"/>
    <n v="0"/>
    <n v="500"/>
    <n v="0"/>
    <n v="5296"/>
    <n v="0"/>
    <n v="0"/>
    <n v="0"/>
    <s v="Release2"/>
    <n v="345.25170514350668"/>
    <n v="25.135714285714283"/>
    <n v="-0.55578406879321995"/>
    <n v="2"/>
    <m/>
    <s v="Asarganj"/>
    <m/>
    <n v="500"/>
  </r>
  <r>
    <s v="Munger"/>
    <s v="17-23 Jul"/>
    <n v="1003"/>
    <s v="Asarganj"/>
    <x v="123"/>
    <s v="JHAJHA"/>
    <s v="MPG"/>
    <s v="Direct"/>
    <n v="748.65"/>
    <n v="32215.430000000004"/>
    <n v="763.63"/>
    <n v="35515.159999999996"/>
    <n v="0"/>
    <n v="0"/>
    <n v="763.63"/>
    <n v="35515.159999999996"/>
    <n v="32215.430000000004"/>
    <n v="0"/>
    <n v="0"/>
    <n v="3299.7299999999923"/>
    <n v="0"/>
    <n v="0"/>
    <n v="0"/>
    <n v="32215"/>
    <n v="0"/>
    <n v="0"/>
    <n v="0"/>
    <n v="0"/>
    <n v="0"/>
    <n v="0"/>
    <n v="-0.10242700469930067"/>
    <n v="12"/>
    <m/>
    <s v="Asarganj"/>
    <m/>
    <n v="0"/>
  </r>
  <r>
    <s v="Munger"/>
    <s v="17-23 Jul"/>
    <n v="1003"/>
    <s v="Asarganj"/>
    <x v="125"/>
    <s v="BARSABAD"/>
    <s v="MPG"/>
    <s v="Direct"/>
    <n v="511.55"/>
    <n v="19841.429999999997"/>
    <n v="511.72000000000008"/>
    <n v="18395.300000000003"/>
    <n v="10.45"/>
    <n v="354.85"/>
    <n v="522.17000000000007"/>
    <n v="18750.150000000001"/>
    <n v="18750.150000000001"/>
    <n v="0"/>
    <n v="354.85"/>
    <n v="0"/>
    <n v="0"/>
    <n v="0"/>
    <n v="0"/>
    <n v="18396"/>
    <n v="0"/>
    <n v="0"/>
    <n v="1091"/>
    <n v="0"/>
    <n v="146.18776203694645"/>
    <n v="73.078571428571436"/>
    <n v="5.5000068039450553E-2"/>
    <n v="9"/>
    <m/>
    <s v="Asarganj"/>
    <m/>
    <n v="0"/>
  </r>
  <r>
    <s v="Munger"/>
    <s v="17-23 Jul"/>
    <n v="1003"/>
    <s v="Asarganj"/>
    <x v="126"/>
    <s v="GONAI"/>
    <s v="MPG"/>
    <s v="Direct"/>
    <n v="1730.5500000000002"/>
    <n v="72841.159999999989"/>
    <n v="1763.98"/>
    <n v="75460.87999999999"/>
    <n v="8.9"/>
    <n v="421.89999999999992"/>
    <n v="1772.88"/>
    <n v="75882.779999999984"/>
    <n v="72841.159999999989"/>
    <n v="0"/>
    <n v="421.89999999999992"/>
    <n v="3041.6199999999953"/>
    <n v="0"/>
    <n v="0"/>
    <n v="0"/>
    <n v="72419"/>
    <n v="0"/>
    <n v="0"/>
    <n v="0"/>
    <n v="0"/>
    <n v="0"/>
    <n v="0"/>
    <n v="-4.1756885804674113E-2"/>
    <n v="8"/>
    <m/>
    <s v="Asarganj"/>
    <m/>
    <n v="0"/>
  </r>
  <r>
    <s v="Munger"/>
    <s v="17-23 Jul"/>
    <n v="1003"/>
    <s v="Asarganj"/>
    <x v="127"/>
    <s v="SHIKARITOLA"/>
    <s v="MPG"/>
    <s v="Direct"/>
    <n v="1222.5999999999999"/>
    <n v="51792.54"/>
    <n v="1227.2899999999997"/>
    <n v="54094.290000000008"/>
    <n v="0"/>
    <n v="0"/>
    <n v="1227.2899999999997"/>
    <n v="54094.290000000008"/>
    <n v="51792.54"/>
    <n v="0"/>
    <n v="0"/>
    <n v="2301.7500000000073"/>
    <n v="0"/>
    <n v="0"/>
    <n v="0"/>
    <n v="51793"/>
    <n v="0"/>
    <n v="0"/>
    <n v="0"/>
    <n v="0"/>
    <n v="0"/>
    <n v="0"/>
    <n v="-4.444172848058827E-2"/>
    <n v="5"/>
    <m/>
    <s v="Asarganj"/>
    <m/>
    <n v="0"/>
  </r>
  <r>
    <s v="Munger"/>
    <s v="17-23 Jul"/>
    <n v="1003"/>
    <s v="Asarganj"/>
    <x v="128"/>
    <s v="BAIKUNTHPUR"/>
    <s v="MPG"/>
    <s v="Direct"/>
    <n v="260.05"/>
    <n v="10369.039999999999"/>
    <n v="299.15999999999997"/>
    <n v="10921.16"/>
    <n v="3.3099999999999996"/>
    <n v="121.12"/>
    <n v="302.46999999999997"/>
    <n v="11042.28"/>
    <n v="10369.039999999999"/>
    <n v="0"/>
    <n v="121.12"/>
    <n v="673.2400000000016"/>
    <n v="0"/>
    <n v="500"/>
    <n v="0"/>
    <n v="9748"/>
    <n v="0"/>
    <n v="0"/>
    <n v="0"/>
    <n v="0"/>
    <n v="350.8447720053835"/>
    <n v="37.15"/>
    <n v="-6.492790075069646E-2"/>
    <n v="4"/>
    <m/>
    <s v="Asarganj"/>
    <m/>
    <n v="500"/>
  </r>
  <r>
    <s v="Munger"/>
    <s v="17-23 Jul"/>
    <n v="1003"/>
    <s v="Asarganj"/>
    <x v="129"/>
    <s v="KAITHA"/>
    <s v="MPG"/>
    <s v="Direct"/>
    <n v="3836.1000000000004"/>
    <n v="169049.77999999997"/>
    <n v="2433.7600000000002"/>
    <n v="116201.54999999999"/>
    <n v="1427.12"/>
    <n v="60479.33"/>
    <n v="3860.88"/>
    <n v="176680.88"/>
    <n v="169049.77999999997"/>
    <n v="0"/>
    <n v="1326.1299999999999"/>
    <n v="7631.1000000000349"/>
    <n v="0"/>
    <n v="0"/>
    <n v="0"/>
    <n v="108570"/>
    <n v="59154"/>
    <n v="0"/>
    <n v="0"/>
    <n v="0"/>
    <n v="0"/>
    <n v="0"/>
    <n v="-4.514114126620003E-2"/>
    <n v="18"/>
    <m/>
    <s v="Asarganj"/>
    <m/>
    <n v="0"/>
  </r>
  <r>
    <s v="Munger"/>
    <s v="17-23 Jul"/>
    <n v="1003"/>
    <s v="Asarganj"/>
    <x v="130"/>
    <s v="DORAI"/>
    <s v="MPG"/>
    <s v="Direct"/>
    <n v="924.15000000000009"/>
    <n v="32781.410000000003"/>
    <n v="1106.7700000000002"/>
    <n v="45579.51999999999"/>
    <n v="39.129999999999995"/>
    <n v="1984.25"/>
    <n v="1145.9000000000001"/>
    <n v="47563.76999999999"/>
    <n v="32781.410000000003"/>
    <n v="0"/>
    <n v="1984.25"/>
    <n v="14782.359999999986"/>
    <n v="0"/>
    <n v="0"/>
    <n v="0"/>
    <n v="30797"/>
    <n v="0"/>
    <n v="0"/>
    <n v="0"/>
    <n v="0"/>
    <n v="0"/>
    <n v="0"/>
    <n v="-0.45093728427178648"/>
    <n v="9"/>
    <m/>
    <s v="Asarganj"/>
    <m/>
    <n v="0"/>
  </r>
  <r>
    <s v="Munger"/>
    <s v="17-23 Jul"/>
    <n v="1003"/>
    <s v="Asarganj"/>
    <x v="131"/>
    <s v="RAGHUNATHPUR"/>
    <s v="MPG"/>
    <s v="Indirect"/>
    <n v="1034"/>
    <n v="36889.08"/>
    <n v="0"/>
    <n v="0"/>
    <n v="0"/>
    <n v="0"/>
    <n v="0"/>
    <n v="0"/>
    <n v="36889.08"/>
    <n v="0"/>
    <n v="0"/>
    <n v="0"/>
    <n v="3997"/>
    <n v="0"/>
    <n v="0"/>
    <n v="0"/>
    <n v="0"/>
    <n v="32892.080000000002"/>
    <n v="0"/>
    <n v="0"/>
    <n v="0"/>
    <n v="0"/>
    <n v="0"/>
    <n v="0"/>
    <m/>
    <s v="Asarganj"/>
    <m/>
    <n v="0"/>
  </r>
  <r>
    <s v="Munger"/>
    <s v="17-23 Jul"/>
    <n v="1003"/>
    <s v="Asarganj"/>
    <x v="132"/>
    <s v="BANGAMA"/>
    <s v="MPG"/>
    <s v="Direct"/>
    <n v="658.99999999999989"/>
    <n v="28804.89"/>
    <n v="671.2"/>
    <n v="30660.71"/>
    <n v="13.9"/>
    <n v="659.34999999999991"/>
    <n v="685.1"/>
    <n v="31320.059999999998"/>
    <n v="28804.89"/>
    <n v="0"/>
    <n v="659.34999999999991"/>
    <n v="2515.1699999999983"/>
    <n v="0"/>
    <n v="0"/>
    <n v="0"/>
    <n v="28146"/>
    <n v="0"/>
    <n v="0"/>
    <n v="0"/>
    <n v="0"/>
    <n v="35.842200000000119"/>
    <n v="94.142857142857125"/>
    <n v="-8.731746588860427E-2"/>
    <n v="5"/>
    <m/>
    <s v="Asarganj"/>
    <m/>
    <n v="0"/>
  </r>
  <r>
    <s v="Munger"/>
    <s v="17-23 Jul"/>
    <n v="1003"/>
    <s v="Asarganj"/>
    <x v="133"/>
    <s v="KORIYA"/>
    <s v="MPG"/>
    <s v="Direct"/>
    <n v="242"/>
    <n v="10451.550000000001"/>
    <n v="230.72"/>
    <n v="10241.070000000002"/>
    <n v="0"/>
    <n v="0"/>
    <n v="230.72"/>
    <n v="10241.070000000002"/>
    <n v="10241.070000000002"/>
    <n v="0"/>
    <n v="0"/>
    <n v="0"/>
    <n v="0"/>
    <n v="500"/>
    <n v="0"/>
    <n v="9740"/>
    <n v="0"/>
    <n v="0"/>
    <n v="212"/>
    <n v="0"/>
    <n v="395.60412396694221"/>
    <n v="34.571428571428569"/>
    <n v="2.0138639723294587E-2"/>
    <n v="5"/>
    <m/>
    <s v="Asarganj"/>
    <m/>
    <n v="500"/>
  </r>
  <r>
    <s v="Munger"/>
    <s v="17-23 Jul"/>
    <n v="1003"/>
    <s v="Asarganj"/>
    <x v="134"/>
    <s v="HARLACHAK"/>
    <s v="MPG"/>
    <s v="Direct"/>
    <n v="1278.1499999999999"/>
    <n v="52195.229999999996"/>
    <n v="1262.0000000000002"/>
    <n v="52576.070000000007"/>
    <n v="14.280000000000001"/>
    <n v="602.24"/>
    <n v="1276.2800000000002"/>
    <n v="53178.310000000005"/>
    <n v="52195.229999999996"/>
    <n v="0"/>
    <n v="602.24"/>
    <n v="983.08000000000902"/>
    <n v="0"/>
    <n v="0"/>
    <n v="0"/>
    <n v="51593"/>
    <n v="0"/>
    <n v="0"/>
    <n v="0"/>
    <n v="0"/>
    <n v="0"/>
    <n v="0"/>
    <n v="-1.8834671290844183E-2"/>
    <n v="26"/>
    <m/>
    <s v="Asarganj"/>
    <m/>
    <n v="0"/>
  </r>
  <r>
    <s v="Munger"/>
    <s v="17-23 Jul"/>
    <n v="1003"/>
    <s v="Asarganj"/>
    <x v="135"/>
    <s v="Jangle Jhakra"/>
    <s v="MPG"/>
    <s v="Direct"/>
    <n v="1789.2500000000005"/>
    <n v="77246.06"/>
    <n v="2003.4199999999998"/>
    <n v="89642.96"/>
    <n v="0"/>
    <n v="0"/>
    <n v="2003.4199999999998"/>
    <n v="89642.96"/>
    <n v="77246.06"/>
    <n v="0"/>
    <n v="0"/>
    <n v="12396.900000000009"/>
    <n v="0"/>
    <n v="0"/>
    <n v="0"/>
    <n v="77246"/>
    <n v="0"/>
    <n v="0"/>
    <n v="0"/>
    <n v="0"/>
    <n v="0"/>
    <n v="0"/>
    <n v="-0.1604858552008997"/>
    <n v="3"/>
    <m/>
    <s v="Asarganj"/>
    <m/>
    <n v="0"/>
  </r>
  <r>
    <s v="Munger"/>
    <s v="17-23 Jul"/>
    <n v="1003"/>
    <s v="Asarganj"/>
    <x v="136"/>
    <s v="KATAHRA"/>
    <s v="MPG"/>
    <s v="Direct"/>
    <n v="548.15"/>
    <n v="24882.249999999996"/>
    <n v="553.17999999999995"/>
    <n v="25404.300000000003"/>
    <n v="0"/>
    <n v="0"/>
    <n v="553.17999999999995"/>
    <n v="25404.300000000003"/>
    <n v="24882.249999999996"/>
    <n v="0"/>
    <n v="0"/>
    <n v="522.05000000000655"/>
    <n v="0"/>
    <n v="0"/>
    <n v="0"/>
    <n v="24882"/>
    <n v="0"/>
    <n v="0"/>
    <n v="0"/>
    <n v="0"/>
    <n v="137.85896789200038"/>
    <n v="78.30714285714285"/>
    <n v="-2.09808196606017E-2"/>
    <n v="7"/>
    <m/>
    <s v="Asarganj"/>
    <m/>
    <n v="0"/>
  </r>
  <r>
    <s v="Munger"/>
    <s v="17-23 Jul"/>
    <n v="1003"/>
    <s v="Asarganj"/>
    <x v="137"/>
    <s v="KARHARIA V"/>
    <s v="vlc"/>
    <s v="Indirect"/>
    <n v="150.55000000000001"/>
    <n v="5548.1799999999994"/>
    <n v="0"/>
    <n v="0"/>
    <n v="0"/>
    <n v="0"/>
    <n v="0"/>
    <n v="0"/>
    <n v="5548.1799999999994"/>
    <n v="0"/>
    <n v="0"/>
    <n v="0"/>
    <n v="0"/>
    <n v="0"/>
    <n v="0"/>
    <n v="0"/>
    <n v="0"/>
    <n v="5548.1799999999994"/>
    <n v="0"/>
    <n v="0"/>
    <n v="404.97475934905333"/>
    <n v="21.50714285714286"/>
    <n v="0"/>
    <n v="0"/>
    <m/>
    <s v="Asarganj"/>
    <m/>
    <n v="0"/>
  </r>
  <r>
    <s v="Munger"/>
    <s v="17-23 Jul"/>
    <n v="1003"/>
    <s v="Asarganj"/>
    <x v="138"/>
    <s v="BALADEV ITAHARI"/>
    <s v="MPG"/>
    <s v="Direct"/>
    <n v="856.50000000000023"/>
    <n v="40255.300000000003"/>
    <n v="838.57999999999993"/>
    <n v="43133.599999999999"/>
    <n v="0"/>
    <n v="0"/>
    <n v="838.57999999999993"/>
    <n v="43133.599999999999"/>
    <n v="40255.300000000003"/>
    <n v="0"/>
    <n v="0"/>
    <n v="2878.2999999999956"/>
    <n v="0"/>
    <n v="0"/>
    <n v="0"/>
    <n v="40255"/>
    <n v="0"/>
    <n v="0"/>
    <n v="0"/>
    <n v="0"/>
    <n v="0"/>
    <n v="0"/>
    <n v="-7.1501143948747015E-2"/>
    <n v="5"/>
    <m/>
    <s v="Asarganj"/>
    <m/>
    <n v="0"/>
  </r>
  <r>
    <s v="Munger"/>
    <s v="17-23 Jul"/>
    <n v="1003"/>
    <s v="Asarganj"/>
    <x v="139"/>
    <s v="PAHALANPUR"/>
    <s v="MPG"/>
    <s v="Direct"/>
    <n v="936.3499999999998"/>
    <n v="38242.29"/>
    <n v="950.16999999999973"/>
    <n v="36561.570000000007"/>
    <n v="0"/>
    <n v="0"/>
    <n v="950.16999999999973"/>
    <n v="36561.570000000007"/>
    <n v="36561.570000000007"/>
    <n v="0"/>
    <n v="0"/>
    <n v="0"/>
    <n v="0"/>
    <n v="0"/>
    <n v="0"/>
    <n v="36563"/>
    <n v="0"/>
    <n v="0"/>
    <n v="1679"/>
    <n v="0"/>
    <n v="0"/>
    <n v="0"/>
    <n v="4.394925094705348E-2"/>
    <n v="27"/>
    <m/>
    <s v="Asarganj"/>
    <m/>
    <n v="0"/>
  </r>
  <r>
    <s v="Munger"/>
    <s v="17-23 Jul"/>
    <n v="1003"/>
    <s v="Asarganj"/>
    <x v="140"/>
    <s v="RAMBRAN YADAV"/>
    <s v="MPG"/>
    <s v="Direct"/>
    <n v="680.50000000000011"/>
    <n v="28373.25"/>
    <n v="670.37000000000012"/>
    <n v="27668.150000000005"/>
    <n v="0"/>
    <n v="0"/>
    <n v="670.37000000000012"/>
    <n v="27668.150000000005"/>
    <n v="27668.150000000005"/>
    <n v="0"/>
    <n v="0"/>
    <n v="0"/>
    <n v="0"/>
    <n v="0"/>
    <n v="0"/>
    <n v="27668"/>
    <n v="0"/>
    <n v="0"/>
    <n v="705"/>
    <n v="0"/>
    <n v="16.260936811168126"/>
    <n v="97.214285714285737"/>
    <n v="2.4850871859938319E-2"/>
    <n v="1"/>
    <m/>
    <s v="Asarganj"/>
    <m/>
    <n v="0"/>
  </r>
  <r>
    <s v="Munger"/>
    <s v="17-23 Jul"/>
    <n v="1003"/>
    <s v="Asarganj"/>
    <x v="141"/>
    <s v="Gomukh Beldra"/>
    <s v="MPG"/>
    <s v="Direct"/>
    <n v="362.85"/>
    <n v="16638.939999999999"/>
    <n v="423.16999999999996"/>
    <n v="21234.730000000003"/>
    <n v="0"/>
    <n v="0"/>
    <n v="423.16999999999996"/>
    <n v="21234.730000000003"/>
    <n v="16638.939999999999"/>
    <n v="0"/>
    <n v="0"/>
    <n v="4595.7900000000045"/>
    <n v="0"/>
    <n v="0"/>
    <n v="0"/>
    <n v="16639"/>
    <n v="0"/>
    <n v="0"/>
    <n v="0"/>
    <n v="0"/>
    <n v="309.20868794267597"/>
    <n v="51.835714285714289"/>
    <n v="-0.27620689779517232"/>
    <n v="1"/>
    <m/>
    <s v="Asarganj"/>
    <m/>
    <n v="0"/>
  </r>
  <r>
    <s v="Munger"/>
    <s v="17-23 Jul"/>
    <n v="1003"/>
    <s v="Asarganj"/>
    <x v="142"/>
    <s v="Gomukh Chandanpura"/>
    <s v="MPG"/>
    <s v="Direct"/>
    <n v="939.65000000000009"/>
    <n v="46155.87999999999"/>
    <n v="1025.57"/>
    <n v="51864.099999999991"/>
    <n v="0"/>
    <n v="0"/>
    <n v="1025.57"/>
    <n v="51864.099999999991"/>
    <n v="46155.87999999999"/>
    <n v="0"/>
    <n v="0"/>
    <n v="5708.2200000000012"/>
    <n v="0"/>
    <n v="0"/>
    <n v="0"/>
    <n v="46156"/>
    <n v="0"/>
    <n v="0"/>
    <n v="0"/>
    <n v="0"/>
    <n v="0"/>
    <n v="0"/>
    <n v="-0.12367265015854974"/>
    <n v="1"/>
    <m/>
    <s v="Asarganj"/>
    <m/>
    <n v="0"/>
  </r>
  <r>
    <s v="Munger"/>
    <s v="17-23 Jul"/>
    <n v="1003"/>
    <s v="Asarganj"/>
    <x v="143"/>
    <s v="DARIYAPUR R"/>
    <s v="MPG"/>
    <s v="Direct"/>
    <n v="384.29999999999995"/>
    <n v="22122.190000000002"/>
    <n v="390.77000000000004"/>
    <n v="21789.469999999994"/>
    <n v="0"/>
    <n v="0"/>
    <n v="390.77000000000004"/>
    <n v="21789.469999999994"/>
    <n v="21789.469999999994"/>
    <n v="0"/>
    <n v="0"/>
    <n v="0"/>
    <n v="0"/>
    <n v="0"/>
    <n v="0"/>
    <n v="21789"/>
    <n v="0"/>
    <n v="0"/>
    <n v="333"/>
    <n v="0"/>
    <n v="363.46476102003663"/>
    <n v="54.899999999999991"/>
    <n v="1.5040102268356271E-2"/>
    <n v="1"/>
    <m/>
    <s v="Asarganj"/>
    <m/>
    <n v="0"/>
  </r>
  <r>
    <s v="Munger"/>
    <s v="17-23 Jul"/>
    <n v="1003"/>
    <s v="Asarganj"/>
    <x v="144"/>
    <s v="MUZAFFARGANJ"/>
    <s v="MPG"/>
    <s v="Direct"/>
    <n v="509.34999999999997"/>
    <n v="19206.509999999998"/>
    <n v="496.1"/>
    <n v="18910.490000000002"/>
    <n v="0"/>
    <n v="0"/>
    <n v="496.1"/>
    <n v="18910.490000000002"/>
    <n v="18910.490000000002"/>
    <n v="0"/>
    <n v="0"/>
    <n v="0"/>
    <n v="0"/>
    <n v="0"/>
    <n v="0"/>
    <n v="18910"/>
    <n v="0"/>
    <n v="0"/>
    <n v="297"/>
    <n v="0"/>
    <n v="143.78015633650736"/>
    <n v="72.764285714285705"/>
    <n v="1.5412482538472468E-2"/>
    <n v="1"/>
    <m/>
    <s v="Asarganj"/>
    <m/>
    <n v="0"/>
  </r>
  <r>
    <s v="Munger"/>
    <s v="17-23 Jul"/>
    <n v="1003"/>
    <s v="Asarganj"/>
    <x v="145"/>
    <s v="SARHA"/>
    <s v="MPG"/>
    <s v="Direct"/>
    <n v="995.10000000000014"/>
    <n v="50918.04"/>
    <n v="1190.29"/>
    <n v="62253.899999999994"/>
    <n v="0"/>
    <n v="0"/>
    <n v="1190.29"/>
    <n v="62253.899999999994"/>
    <n v="50918.04"/>
    <n v="0"/>
    <n v="0"/>
    <n v="11335.859999999993"/>
    <n v="0"/>
    <n v="0"/>
    <n v="0"/>
    <n v="50918"/>
    <n v="0"/>
    <n v="0"/>
    <n v="0"/>
    <n v="0"/>
    <n v="0"/>
    <n v="0"/>
    <n v="-0.22262954347810704"/>
    <n v="2"/>
    <m/>
    <s v="Asarganj"/>
    <m/>
    <n v="0"/>
  </r>
  <r>
    <s v="Munger"/>
    <s v="17-23 Jul"/>
    <n v="1003"/>
    <s v="Asarganj"/>
    <x v="146"/>
    <s v="KUSUMBHA"/>
    <s v="MPG"/>
    <s v="Direct"/>
    <n v="523.55000000000007"/>
    <n v="22252.25"/>
    <n v="575.95999999999992"/>
    <n v="26048.040000000005"/>
    <n v="0"/>
    <n v="0"/>
    <n v="575.95999999999992"/>
    <n v="26048.040000000005"/>
    <n v="22252.25"/>
    <n v="0"/>
    <n v="0"/>
    <n v="3795.7900000000045"/>
    <n v="0"/>
    <n v="0"/>
    <n v="0"/>
    <n v="22252"/>
    <n v="0"/>
    <n v="0"/>
    <n v="0"/>
    <n v="0"/>
    <n v="149.99176821698012"/>
    <n v="74.792857142857159"/>
    <n v="-0.17058005370243479"/>
    <n v="1"/>
    <m/>
    <s v="Asarganj"/>
    <m/>
    <n v="0"/>
  </r>
  <r>
    <s v="Munger"/>
    <s v="17-23 Jul"/>
    <n v="1006"/>
    <s v="Sonvarsha"/>
    <x v="147"/>
    <s v="MANO"/>
    <s v="vlc"/>
    <s v="Indirect"/>
    <n v="1069.1999999999998"/>
    <n v="45605.69999999999"/>
    <n v="0"/>
    <n v="0"/>
    <n v="0"/>
    <n v="0"/>
    <n v="0"/>
    <n v="0"/>
    <n v="45605.69999999999"/>
    <n v="0"/>
    <n v="0"/>
    <n v="0"/>
    <n v="0"/>
    <n v="0"/>
    <n v="0"/>
    <n v="0"/>
    <n v="0"/>
    <n v="45605.69999999999"/>
    <n v="0"/>
    <n v="0"/>
    <n v="0"/>
    <n v="0"/>
    <n v="0"/>
    <n v="0"/>
    <m/>
    <s v="Sonvarsha"/>
    <m/>
    <n v="0"/>
  </r>
  <r>
    <s v="Munger"/>
    <s v="17-23 Jul"/>
    <n v="1006"/>
    <s v="Sonvarsha"/>
    <x v="148"/>
    <s v="PURANI SALEMPUR"/>
    <s v="vlc"/>
    <s v="Indirect"/>
    <n v="1684.1999999999998"/>
    <n v="68672.449999999983"/>
    <n v="0"/>
    <n v="0"/>
    <n v="0"/>
    <n v="0"/>
    <n v="0"/>
    <n v="0"/>
    <n v="68672.449999999983"/>
    <n v="0"/>
    <n v="0"/>
    <n v="0"/>
    <n v="0"/>
    <n v="0"/>
    <n v="0"/>
    <n v="0"/>
    <n v="0"/>
    <n v="68672.449999999983"/>
    <n v="0"/>
    <n v="0"/>
    <n v="0"/>
    <n v="0"/>
    <n v="0"/>
    <n v="0"/>
    <m/>
    <s v="Sonvarsha"/>
    <m/>
    <n v="0"/>
  </r>
  <r>
    <s v="Munger"/>
    <s v="17-23 Jul"/>
    <n v="1006"/>
    <s v="Sonvarsha"/>
    <x v="149"/>
    <s v="DHANDHHA"/>
    <s v="MPG"/>
    <s v="Indirect"/>
    <n v="2797.4999999999995"/>
    <n v="113997.08"/>
    <n v="0"/>
    <n v="0"/>
    <n v="0"/>
    <n v="0"/>
    <n v="0"/>
    <n v="0"/>
    <n v="113997.08"/>
    <n v="0"/>
    <n v="0"/>
    <n v="0"/>
    <n v="0"/>
    <n v="0"/>
    <n v="0"/>
    <n v="0"/>
    <n v="0"/>
    <n v="113997.08"/>
    <n v="0"/>
    <n v="0"/>
    <n v="0"/>
    <n v="0"/>
    <n v="0"/>
    <n v="0"/>
    <m/>
    <s v="Sonvarsha"/>
    <m/>
    <n v="0"/>
  </r>
  <r>
    <s v="Munger"/>
    <s v="17-23 Jul"/>
    <n v="1006"/>
    <s v="Sonvarsha"/>
    <x v="150"/>
    <s v="CHALISH"/>
    <s v="vlc"/>
    <s v="Indirect"/>
    <n v="806.6"/>
    <n v="34066.209999999992"/>
    <n v="0"/>
    <n v="0"/>
    <n v="0"/>
    <n v="0"/>
    <n v="0"/>
    <n v="0"/>
    <n v="34066.209999999992"/>
    <n v="0"/>
    <n v="0"/>
    <n v="0"/>
    <n v="0"/>
    <n v="0"/>
    <n v="0"/>
    <n v="0"/>
    <n v="0"/>
    <n v="34066.209999999992"/>
    <n v="0"/>
    <n v="0"/>
    <n v="0"/>
    <n v="0"/>
    <n v="0"/>
    <n v="0"/>
    <m/>
    <s v="Sonvarsha"/>
    <m/>
    <n v="0"/>
  </r>
  <r>
    <s v="Munger"/>
    <s v="17-23 Jul"/>
    <n v="1006"/>
    <s v="Sonvarsha"/>
    <x v="151"/>
    <s v="MAA BHAGWATI"/>
    <s v="vlc"/>
    <s v="Indirect"/>
    <n v="804.90000000000009"/>
    <n v="30342.960000000003"/>
    <n v="0"/>
    <n v="0"/>
    <n v="0"/>
    <n v="0"/>
    <n v="0"/>
    <n v="0"/>
    <n v="30342.960000000003"/>
    <n v="0"/>
    <n v="0"/>
    <n v="0"/>
    <n v="0"/>
    <n v="0"/>
    <n v="0"/>
    <n v="0"/>
    <n v="0"/>
    <n v="30342.960000000003"/>
    <n v="0"/>
    <n v="0"/>
    <n v="0"/>
    <n v="0"/>
    <n v="0"/>
    <n v="0"/>
    <m/>
    <s v="Sonvarsha"/>
    <m/>
    <n v="0"/>
  </r>
  <r>
    <s v="Munger"/>
    <s v="17-23 Jul"/>
    <n v="1006"/>
    <s v="Sonvarsha"/>
    <x v="152"/>
    <s v="MAIDINICHOKI"/>
    <s v="vlc"/>
    <s v="Indirect"/>
    <n v="496.00000000000006"/>
    <n v="20292.740000000002"/>
    <n v="0"/>
    <n v="0"/>
    <n v="0"/>
    <n v="0"/>
    <n v="0"/>
    <n v="0"/>
    <n v="20292.740000000002"/>
    <n v="0"/>
    <n v="0"/>
    <n v="0"/>
    <n v="0"/>
    <n v="0"/>
    <n v="0"/>
    <n v="0"/>
    <n v="0"/>
    <n v="20292.740000000002"/>
    <n v="0"/>
    <n v="0"/>
    <n v="166.92415161290322"/>
    <n v="70.857142857142861"/>
    <n v="0"/>
    <n v="0"/>
    <m/>
    <s v="Sonvarsha"/>
    <m/>
    <n v="0"/>
  </r>
  <r>
    <s v="Munger"/>
    <s v="17-23 Jul"/>
    <n v="1006"/>
    <s v="Sonvarsha"/>
    <x v="153"/>
    <s v="GOMUKH JAJWARA"/>
    <s v="vlc"/>
    <s v="Indirect"/>
    <n v="1240.6999999999998"/>
    <n v="53884.69999999999"/>
    <n v="0"/>
    <n v="0"/>
    <n v="0"/>
    <n v="0"/>
    <n v="0"/>
    <n v="0"/>
    <n v="53884.69999999999"/>
    <n v="0"/>
    <n v="0"/>
    <n v="0"/>
    <n v="0"/>
    <n v="0"/>
    <n v="0"/>
    <n v="0"/>
    <n v="0"/>
    <n v="53884.69999999999"/>
    <n v="0"/>
    <n v="0"/>
    <n v="0"/>
    <n v="0"/>
    <n v="0"/>
    <n v="0"/>
    <m/>
    <s v="Sonvarsha"/>
    <m/>
    <n v="0"/>
  </r>
  <r>
    <s v="Munger"/>
    <s v="17-23 Jul"/>
    <n v="1006"/>
    <s v="Sonvarsha"/>
    <x v="154"/>
    <s v="Gomukh ID Sonvarsha"/>
    <s v="vlc"/>
    <s v="Indirect"/>
    <n v="1949.8999999999999"/>
    <n v="83303.539999999994"/>
    <n v="0"/>
    <n v="0"/>
    <n v="0"/>
    <n v="0"/>
    <n v="0"/>
    <n v="0"/>
    <n v="83303.539999999994"/>
    <n v="0"/>
    <n v="0"/>
    <n v="0"/>
    <n v="0"/>
    <n v="0"/>
    <n v="0"/>
    <n v="0"/>
    <n v="0"/>
    <n v="83303.539999999994"/>
    <n v="0"/>
    <n v="0"/>
    <n v="0"/>
    <n v="0"/>
    <n v="0"/>
    <n v="0"/>
    <m/>
    <s v="Sonvarsha"/>
    <m/>
    <n v="0"/>
  </r>
  <r>
    <s v="Munger"/>
    <s v="17-23 Jul"/>
    <n v="1059"/>
    <s v="Gopalpur Bmc"/>
    <x v="155"/>
    <s v="BALHAPUR"/>
    <s v="MPG"/>
    <s v="Direct"/>
    <n v="566.70000000000016"/>
    <n v="27696.18"/>
    <n v="564.6"/>
    <n v="27295.930000000004"/>
    <n v="11.450000000000001"/>
    <n v="551.74"/>
    <n v="576.05000000000007"/>
    <n v="27847.670000000006"/>
    <n v="27696.18"/>
    <n v="0"/>
    <n v="551.74"/>
    <n v="151.49000000000524"/>
    <n v="0"/>
    <n v="0"/>
    <n v="0"/>
    <n v="27144"/>
    <n v="0"/>
    <n v="0"/>
    <n v="0"/>
    <n v="0"/>
    <n v="130.29471656961334"/>
    <n v="80.957142857142884"/>
    <n v="-5.4697073748078339E-3"/>
    <n v="26"/>
    <m/>
    <s v="Gopalpur Bmc"/>
    <m/>
    <n v="0"/>
  </r>
  <r>
    <s v="Munger"/>
    <s v="17-23 Jul"/>
    <n v="1006"/>
    <s v="Sonvarsha"/>
    <x v="156"/>
    <s v="Gomukh ID Husaina"/>
    <s v="vlc"/>
    <s v="Indirect"/>
    <n v="563.29999999999995"/>
    <n v="21745.88"/>
    <n v="0"/>
    <n v="0"/>
    <n v="0"/>
    <n v="0"/>
    <n v="0"/>
    <n v="0"/>
    <n v="21745.88"/>
    <n v="0"/>
    <n v="0"/>
    <n v="0"/>
    <n v="0"/>
    <n v="0"/>
    <n v="0"/>
    <n v="0"/>
    <n v="0"/>
    <n v="21745.88"/>
    <n v="0"/>
    <n v="0"/>
    <n v="105.54453385407427"/>
    <n v="80.471428571428561"/>
    <n v="0"/>
    <n v="0"/>
    <m/>
    <s v="Sonvarsha"/>
    <m/>
    <n v="0"/>
  </r>
  <r>
    <s v="Munger"/>
    <s v="17-23 Jul"/>
    <n v="1006"/>
    <s v="Sonvarsha"/>
    <x v="157"/>
    <s v="Gomukh ID Prarotol"/>
    <s v="vlc"/>
    <s v="Indirect"/>
    <n v="181.39999999999998"/>
    <n v="8186.69"/>
    <n v="0"/>
    <n v="0"/>
    <n v="0"/>
    <n v="0"/>
    <n v="0"/>
    <n v="0"/>
    <n v="8186.69"/>
    <n v="0"/>
    <n v="0"/>
    <n v="0"/>
    <n v="0"/>
    <n v="0"/>
    <n v="0"/>
    <n v="0"/>
    <n v="0"/>
    <n v="8186.69"/>
    <n v="0"/>
    <n v="0"/>
    <n v="468.09453517089315"/>
    <n v="25.914285714285711"/>
    <n v="0"/>
    <n v="0"/>
    <m/>
    <s v="Sonvarsha"/>
    <m/>
    <n v="0"/>
  </r>
  <r>
    <s v="Munger"/>
    <s v="17-23 Jul"/>
    <n v="1006"/>
    <s v="Sonvarsha"/>
    <x v="158"/>
    <s v="MAA SARDE"/>
    <s v="vlc"/>
    <s v="Indirect"/>
    <n v="1395.4"/>
    <n v="53463.72"/>
    <n v="0"/>
    <n v="0"/>
    <n v="0"/>
    <n v="0"/>
    <n v="0"/>
    <n v="0"/>
    <n v="53463.72"/>
    <n v="0"/>
    <n v="0"/>
    <n v="0"/>
    <n v="0"/>
    <n v="0"/>
    <n v="0"/>
    <n v="0"/>
    <n v="0"/>
    <n v="53463.72"/>
    <n v="0"/>
    <n v="0"/>
    <n v="0"/>
    <n v="0"/>
    <n v="0"/>
    <n v="0"/>
    <m/>
    <s v="Sonvarsha"/>
    <m/>
    <n v="0"/>
  </r>
  <r>
    <s v="Munger"/>
    <s v="17-23 Jul"/>
    <n v="1006"/>
    <s v="Sonvarsha"/>
    <x v="159"/>
    <s v="PURANI DIH"/>
    <s v="vlc"/>
    <s v="Indirect"/>
    <n v="2470.1"/>
    <n v="107591.61000000002"/>
    <n v="0"/>
    <n v="0"/>
    <n v="0"/>
    <n v="0"/>
    <n v="0"/>
    <n v="0"/>
    <n v="107591.61000000002"/>
    <n v="0"/>
    <n v="0"/>
    <n v="0"/>
    <n v="0"/>
    <n v="0"/>
    <n v="0"/>
    <n v="0"/>
    <n v="0"/>
    <n v="107591.61000000002"/>
    <n v="0"/>
    <n v="0"/>
    <n v="0"/>
    <n v="0"/>
    <n v="0"/>
    <n v="0"/>
    <m/>
    <s v="Sonvarsha"/>
    <m/>
    <n v="0"/>
  </r>
  <r>
    <s v="Munger"/>
    <s v="17-23 Jul"/>
    <n v="1006"/>
    <s v="Sonvarsha"/>
    <x v="160"/>
    <s v="Farda Ravi Tola"/>
    <s v="MPG"/>
    <s v="Direct"/>
    <n v="949.5"/>
    <n v="36409.130000000005"/>
    <n v="642.29999999999984"/>
    <n v="25369.989999999998"/>
    <n v="424.00000000000006"/>
    <n v="16597"/>
    <n v="1066.3"/>
    <n v="41966.99"/>
    <n v="36409.130000000005"/>
    <n v="0"/>
    <n v="579.38"/>
    <n v="5557.8599999999933"/>
    <n v="0"/>
    <n v="0"/>
    <n v="0"/>
    <n v="19813"/>
    <n v="16017"/>
    <n v="0"/>
    <n v="0"/>
    <n v="0"/>
    <n v="0"/>
    <n v="0"/>
    <n v="-0.1526501731845829"/>
    <n v="26"/>
    <m/>
    <s v="Sonvarsha"/>
    <m/>
    <n v="0"/>
  </r>
  <r>
    <s v="Munger"/>
    <s v="17-23 Jul"/>
    <n v="1006"/>
    <s v="Sonvarsha"/>
    <x v="161"/>
    <s v="Gomukh Puranidih 2"/>
    <s v="MPG"/>
    <s v="Indirect"/>
    <n v="135.10000000000002"/>
    <n v="6242.89"/>
    <n v="0"/>
    <n v="0"/>
    <n v="0"/>
    <n v="0"/>
    <n v="0"/>
    <n v="0"/>
    <n v="6242.89"/>
    <n v="0"/>
    <n v="0"/>
    <n v="0"/>
    <n v="0"/>
    <n v="0"/>
    <n v="0"/>
    <n v="0"/>
    <n v="0"/>
    <n v="6242.89"/>
    <n v="0"/>
    <n v="0"/>
    <n v="522.07380621761649"/>
    <n v="19.300000000000004"/>
    <n v="0"/>
    <n v="0"/>
    <m/>
    <s v="Sonvarsha"/>
    <m/>
    <n v="0"/>
  </r>
  <r>
    <s v="Munger"/>
    <s v="17-23 Jul"/>
    <n v="1006"/>
    <s v="Sonvarsha"/>
    <x v="162"/>
    <s v="Gomukh Arma"/>
    <s v="MPG"/>
    <s v="Direct"/>
    <n v="1023.9999999999999"/>
    <n v="52835.95"/>
    <n v="663.1"/>
    <n v="38320.03"/>
    <n v="367.04999999999995"/>
    <n v="17500.600000000002"/>
    <n v="1030.1500000000001"/>
    <n v="55820.630000000005"/>
    <n v="52835.95"/>
    <n v="0"/>
    <n v="0"/>
    <n v="2984.6800000000076"/>
    <n v="0"/>
    <n v="0"/>
    <n v="0"/>
    <n v="35336"/>
    <n v="17500"/>
    <n v="0"/>
    <n v="0"/>
    <n v="0"/>
    <n v="0"/>
    <n v="0"/>
    <n v="-5.6489568182269981E-2"/>
    <n v="13"/>
    <m/>
    <s v="Sonvarsha"/>
    <m/>
    <n v="0"/>
  </r>
  <r>
    <s v="Munger"/>
    <s v="17-23 Jul"/>
    <n v="1059"/>
    <s v="Gopalpur Bmc"/>
    <x v="163"/>
    <s v="Singhchak"/>
    <s v="MPG"/>
    <s v="Direct"/>
    <n v="1655.5000000000002"/>
    <n v="74161.37"/>
    <n v="1700.5399999999997"/>
    <n v="76661.439999999988"/>
    <n v="22.86"/>
    <n v="1023.9300000000001"/>
    <n v="1723.3999999999996"/>
    <n v="77685.369999999981"/>
    <n v="74161.37"/>
    <n v="0"/>
    <n v="1023.9300000000001"/>
    <n v="3523.9999999999854"/>
    <n v="0"/>
    <n v="0"/>
    <n v="0"/>
    <n v="75259"/>
    <n v="0"/>
    <n v="0"/>
    <n v="-2122"/>
    <s v="Release2"/>
    <n v="0"/>
    <n v="0"/>
    <n v="-4.7518000274266586E-2"/>
    <n v="82"/>
    <m/>
    <s v="Gopalpur Bmc"/>
    <m/>
    <n v="0"/>
  </r>
  <r>
    <s v="Munger"/>
    <s v="17-23 Jul"/>
    <n v="1006"/>
    <s v="Sonvarsha"/>
    <x v="164"/>
    <s v="MAHA-LAXMI"/>
    <s v="vlc"/>
    <s v="Indirect"/>
    <n v="335.59999999999997"/>
    <n v="12536.580000000002"/>
    <n v="0"/>
    <n v="0"/>
    <n v="0"/>
    <n v="0"/>
    <n v="0"/>
    <n v="0"/>
    <n v="12536.580000000002"/>
    <n v="0"/>
    <n v="0"/>
    <n v="0"/>
    <n v="0"/>
    <n v="0"/>
    <n v="0"/>
    <n v="0"/>
    <n v="0"/>
    <n v="12536.580000000002"/>
    <n v="0"/>
    <n v="0"/>
    <n v="272.24849535160911"/>
    <n v="47.942857142857136"/>
    <n v="0"/>
    <n v="0"/>
    <m/>
    <s v="Sonvarsha"/>
    <m/>
    <n v="0"/>
  </r>
  <r>
    <s v="Munger"/>
    <s v="17-23 Jul"/>
    <n v="1006"/>
    <s v="Sonvarsha"/>
    <x v="165"/>
    <s v="PAWAI"/>
    <s v="MPG"/>
    <s v="Direct"/>
    <n v="2746.2"/>
    <n v="136623.52000000002"/>
    <n v="2341.5000000000005"/>
    <n v="116407.32999999999"/>
    <n v="417.73999999999995"/>
    <n v="21075.67"/>
    <n v="2759.2400000000002"/>
    <n v="137483"/>
    <n v="136623.52000000002"/>
    <n v="0"/>
    <n v="1326.36"/>
    <n v="859.47999999998137"/>
    <n v="0"/>
    <n v="0"/>
    <n v="0"/>
    <n v="115548"/>
    <n v="19749"/>
    <n v="0"/>
    <n v="0"/>
    <n v="0"/>
    <n v="0"/>
    <n v="0"/>
    <n v="-6.2908641206139418E-3"/>
    <n v="42"/>
    <m/>
    <s v="Sonvarsha"/>
    <m/>
    <n v="0"/>
  </r>
  <r>
    <s v="Munger"/>
    <s v="17-23 Jul"/>
    <n v="1006"/>
    <s v="Sonvarsha"/>
    <x v="166"/>
    <s v="LAKHOCHAK                                                                                           "/>
    <s v="MPG"/>
    <s v="Direct"/>
    <n v="414.8"/>
    <n v="18538.780000000002"/>
    <n v="416.67999999999995"/>
    <n v="17963.829999999998"/>
    <n v="0"/>
    <n v="0"/>
    <n v="416.67999999999995"/>
    <n v="17963.829999999998"/>
    <n v="17963.829999999998"/>
    <n v="0"/>
    <n v="0"/>
    <n v="0"/>
    <n v="2522"/>
    <n v="0"/>
    <n v="0"/>
    <n v="15443"/>
    <n v="0"/>
    <n v="0"/>
    <n v="574"/>
    <s v="Release1"/>
    <n v="254.9305716489875"/>
    <n v="59.25714285714286"/>
    <n v="3.1013367654182437E-2"/>
    <n v="11"/>
    <m/>
    <s v="Sonvarsha"/>
    <m/>
    <n v="0"/>
  </r>
  <r>
    <s v="Munger"/>
    <s v="17-23 Jul"/>
    <n v="1059"/>
    <s v="Gopalpur Bmc"/>
    <x v="167"/>
    <s v="BATTA RAMPUR                                                                                        "/>
    <s v="MPG"/>
    <s v="Direct"/>
    <n v="3362.2000000000003"/>
    <n v="181198.71000000002"/>
    <n v="3394.9800000000005"/>
    <n v="182217.58999999997"/>
    <n v="32.340000000000003"/>
    <n v="2102.1"/>
    <n v="3427.3200000000006"/>
    <n v="184319.68999999997"/>
    <n v="181198.71000000002"/>
    <n v="0"/>
    <n v="2102.1"/>
    <n v="3120.9799999999523"/>
    <n v="0"/>
    <n v="0"/>
    <n v="0"/>
    <n v="179097"/>
    <n v="0"/>
    <n v="0"/>
    <n v="0"/>
    <n v="0"/>
    <n v="0"/>
    <n v="0"/>
    <n v="-1.7224074056597601E-2"/>
    <n v="58"/>
    <m/>
    <s v="Gopalpur Bmc"/>
    <m/>
    <n v="0"/>
  </r>
  <r>
    <s v="Munger"/>
    <s v="17-23 Jul"/>
    <n v="1006"/>
    <s v="Sonvarsha"/>
    <x v="168"/>
    <s v="URAIN"/>
    <s v="MPG"/>
    <s v="Direct"/>
    <n v="3357.0999999999995"/>
    <n v="173093.46"/>
    <n v="621.1400000000001"/>
    <n v="34810.910000000003"/>
    <n v="3743.9999999999995"/>
    <n v="212112.33999999997"/>
    <n v="4365.1399999999994"/>
    <n v="246923.24999999997"/>
    <n v="173093.46"/>
    <n v="0"/>
    <n v="0"/>
    <n v="73829.789999999979"/>
    <n v="0"/>
    <n v="0"/>
    <n v="0"/>
    <n v="0"/>
    <n v="173093"/>
    <n v="0"/>
    <n v="0"/>
    <s v="Release2"/>
    <n v="0"/>
    <n v="0"/>
    <n v="-0.42653136634971639"/>
    <n v="12"/>
    <m/>
    <s v="Sonvarsha"/>
    <m/>
    <n v="0"/>
  </r>
  <r>
    <s v="Munger"/>
    <s v="17-23 Jul"/>
    <n v="1006"/>
    <s v="Sonvarsha"/>
    <x v="169"/>
    <s v="RANDHIR KUMAR(VLC)"/>
    <s v="vlc"/>
    <s v="Indirect"/>
    <n v="267.60000000000002"/>
    <n v="10441.34"/>
    <n v="0"/>
    <n v="0"/>
    <n v="0"/>
    <n v="0"/>
    <n v="0"/>
    <n v="0"/>
    <n v="10441.34"/>
    <n v="0"/>
    <n v="0"/>
    <n v="0"/>
    <n v="0"/>
    <n v="0"/>
    <n v="0"/>
    <n v="0"/>
    <n v="0"/>
    <n v="10441.34"/>
    <n v="0"/>
    <n v="0"/>
    <n v="337.43164544095663"/>
    <n v="38.228571428571435"/>
    <n v="0"/>
    <n v="0"/>
    <m/>
    <s v="Sonvarsha"/>
    <m/>
    <n v="0"/>
  </r>
  <r>
    <s v="Munger"/>
    <s v="17-23 Jul"/>
    <n v="1006"/>
    <s v="Sonvarsha"/>
    <x v="972"/>
    <s v="Abgil-2 - Sheshnath"/>
    <s v="vlc"/>
    <s v="Indirect"/>
    <n v="524.1"/>
    <n v="23724.18"/>
    <n v="0"/>
    <n v="0"/>
    <n v="0"/>
    <n v="0"/>
    <n v="0"/>
    <n v="0"/>
    <n v="23724.18"/>
    <n v="0"/>
    <n v="0"/>
    <n v="0"/>
    <n v="0"/>
    <n v="0"/>
    <n v="0"/>
    <n v="0"/>
    <n v="0"/>
    <n v="23724.18"/>
    <n v="0"/>
    <n v="0"/>
    <n v="159.24759633657692"/>
    <n v="74.871428571428581"/>
    <n v="0"/>
    <n v="0"/>
    <m/>
    <s v="Sonvarsha"/>
    <m/>
    <n v="0"/>
  </r>
  <r>
    <s v="Munger"/>
    <s v="17-23 Jul"/>
    <n v="1059"/>
    <s v="Gopalpur Bmc"/>
    <x v="170"/>
    <s v="MALIYA"/>
    <s v="MPG"/>
    <s v="Direct"/>
    <n v="935.60000000000014"/>
    <n v="43898.340000000004"/>
    <n v="928.96"/>
    <n v="44119.840000000011"/>
    <n v="7.05"/>
    <n v="371.96999999999997"/>
    <n v="936.01"/>
    <n v="44491.810000000012"/>
    <n v="43898.340000000004"/>
    <n v="0"/>
    <n v="371.96999999999997"/>
    <n v="593.47000000000844"/>
    <n v="0"/>
    <n v="0"/>
    <n v="0"/>
    <n v="43526"/>
    <n v="0"/>
    <n v="0"/>
    <n v="0"/>
    <n v="0"/>
    <n v="0"/>
    <n v="0"/>
    <n v="-1.3519190019486121E-2"/>
    <n v="31"/>
    <m/>
    <s v="Gopalpur Bmc"/>
    <m/>
    <n v="0"/>
  </r>
  <r>
    <s v="Munger"/>
    <s v="17-23 Jul"/>
    <n v="1059"/>
    <s v="Gopalpur Bmc"/>
    <x v="171"/>
    <s v="MAHULIYA"/>
    <s v="MPG"/>
    <s v="Direct"/>
    <n v="699.40000000000009"/>
    <n v="33307.43"/>
    <n v="709.36000000000013"/>
    <n v="32858.1"/>
    <n v="9.3999999999999986"/>
    <n v="440.15000000000003"/>
    <n v="718.7600000000001"/>
    <n v="33298.25"/>
    <n v="33298.25"/>
    <n v="0"/>
    <n v="440.15000000000003"/>
    <n v="0"/>
    <n v="0"/>
    <n v="0"/>
    <n v="0"/>
    <n v="32858"/>
    <n v="0"/>
    <n v="0"/>
    <n v="9"/>
    <n v="0"/>
    <n v="0.57147434944230602"/>
    <n v="99.914285714285725"/>
    <n v="2.7561417977911508E-4"/>
    <n v="22"/>
    <m/>
    <s v="Gopalpur Bmc"/>
    <m/>
    <n v="0"/>
  </r>
  <r>
    <s v="Munger"/>
    <s v="17-23 Jul"/>
    <n v="1006"/>
    <s v="Sonvarsha"/>
    <x v="172"/>
    <s v="ABGIL RAMPUR"/>
    <s v="vlc"/>
    <s v="Indirect"/>
    <n v="148.4"/>
    <n v="5812.23"/>
    <n v="0"/>
    <n v="0"/>
    <n v="0"/>
    <n v="0"/>
    <n v="0"/>
    <n v="0"/>
    <n v="5812.23"/>
    <n v="0"/>
    <n v="0"/>
    <n v="0"/>
    <n v="0"/>
    <n v="0"/>
    <n v="0"/>
    <n v="0"/>
    <n v="0"/>
    <n v="5812.23"/>
    <n v="0"/>
    <n v="0"/>
    <n v="432.07898490566032"/>
    <n v="21.2"/>
    <n v="0"/>
    <n v="0"/>
    <m/>
    <s v="Sonvarsha"/>
    <m/>
    <n v="0"/>
  </r>
  <r>
    <s v="Munger"/>
    <s v="17-23 Jul"/>
    <n v="1006"/>
    <s v="Sonvarsha"/>
    <x v="1012"/>
    <s v="ABGIL"/>
    <s v="vlc"/>
    <s v="Indirect"/>
    <n v="279.40000000000003"/>
    <n v="10602.6"/>
    <n v="0"/>
    <n v="0"/>
    <n v="0"/>
    <n v="0"/>
    <n v="0"/>
    <n v="0"/>
    <n v="10602.6"/>
    <n v="0"/>
    <n v="0"/>
    <n v="0"/>
    <n v="0"/>
    <n v="0"/>
    <n v="0"/>
    <n v="0"/>
    <n v="0"/>
    <n v="10602.6"/>
    <n v="0"/>
    <n v="0"/>
    <n v="319.21643235504649"/>
    <n v="39.914285714285718"/>
    <n v="0"/>
    <n v="0"/>
    <m/>
    <s v="Sonvarsha"/>
    <m/>
    <n v="0"/>
  </r>
  <r>
    <s v="Munger"/>
    <s v="17-23 Jul"/>
    <n v="1006"/>
    <s v="Sonvarsha"/>
    <x v="173"/>
    <s v="RUPESH KUMAR"/>
    <s v="vlc"/>
    <s v="Indirect"/>
    <n v="244.20000000000002"/>
    <n v="9221.9699999999993"/>
    <n v="0"/>
    <n v="0"/>
    <n v="0"/>
    <n v="0"/>
    <n v="0"/>
    <n v="0"/>
    <n v="9221.9699999999993"/>
    <n v="0"/>
    <n v="0"/>
    <n v="0"/>
    <n v="0"/>
    <n v="0"/>
    <n v="0"/>
    <n v="0"/>
    <n v="0"/>
    <n v="9221.9699999999993"/>
    <n v="0"/>
    <n v="0"/>
    <n v="344.25666879606877"/>
    <n v="34.885714285714286"/>
    <n v="0"/>
    <n v="0"/>
    <m/>
    <s v="Sonvarsha"/>
    <m/>
    <n v="0"/>
  </r>
  <r>
    <s v="Munger"/>
    <s v="17-23 Jul"/>
    <n v="1006"/>
    <s v="Sonvarsha"/>
    <x v="174"/>
    <s v="ABGIL HUSSAINA-2                                                                                    "/>
    <s v="MPG"/>
    <s v="Direct"/>
    <n v="376.3"/>
    <n v="15046.57"/>
    <n v="201.11999999999998"/>
    <n v="8194.0199999999986"/>
    <n v="167.82999999999998"/>
    <n v="6860.34"/>
    <n v="368.94999999999993"/>
    <n v="15054.359999999999"/>
    <n v="15046.57"/>
    <n v="0"/>
    <n v="94.67"/>
    <n v="7.7899999999990541"/>
    <n v="0"/>
    <n v="0"/>
    <n v="0"/>
    <n v="8186"/>
    <n v="6766"/>
    <n v="0"/>
    <n v="0"/>
    <n v="0"/>
    <n v="258.86658033483923"/>
    <n v="53.75714285714286"/>
    <n v="-5.1772596678173531E-4"/>
    <n v="5"/>
    <m/>
    <s v="Sonvarsha"/>
    <m/>
    <n v="0"/>
  </r>
  <r>
    <s v="Munger"/>
    <s v="17-23 Jul"/>
    <n v="1006"/>
    <s v="Sonvarsha"/>
    <x v="175"/>
    <s v="Manish Kumar                                                                                        "/>
    <s v="vlc"/>
    <s v="Indirect"/>
    <n v="132.1"/>
    <n v="5079.92"/>
    <n v="0"/>
    <n v="0"/>
    <n v="0"/>
    <n v="0"/>
    <n v="0"/>
    <n v="0"/>
    <n v="5079.92"/>
    <n v="0"/>
    <n v="0"/>
    <n v="0"/>
    <n v="4200"/>
    <n v="0"/>
    <n v="0"/>
    <n v="0"/>
    <n v="0"/>
    <n v="879.92000000000007"/>
    <n v="0"/>
    <n v="0"/>
    <n v="436.77313671461025"/>
    <n v="18.87142857142857"/>
    <n v="0"/>
    <n v="0"/>
    <m/>
    <s v="Sonvarsha"/>
    <m/>
    <n v="0"/>
  </r>
  <r>
    <s v="Munger"/>
    <s v="17-23 Jul"/>
    <n v="1006"/>
    <s v="Sonvarsha"/>
    <x v="176"/>
    <s v="AKHA-KURHA"/>
    <s v="vlc"/>
    <s v="Indirect"/>
    <n v="303.09999999999997"/>
    <n v="12861.05"/>
    <n v="0"/>
    <n v="0"/>
    <n v="0"/>
    <n v="0"/>
    <n v="0"/>
    <n v="0"/>
    <n v="12861.05"/>
    <n v="0"/>
    <n v="0"/>
    <n v="0"/>
    <n v="0"/>
    <n v="0"/>
    <n v="0"/>
    <n v="0"/>
    <n v="0"/>
    <n v="12861.05"/>
    <n v="0"/>
    <n v="0"/>
    <n v="336.82287990762131"/>
    <n v="43.3"/>
    <n v="0"/>
    <n v="0"/>
    <m/>
    <s v="Sonvarsha"/>
    <m/>
    <n v="0"/>
  </r>
  <r>
    <s v="Munger"/>
    <s v="17-23 Jul"/>
    <n v="1059"/>
    <s v="Gopalpur Bmc"/>
    <x v="177"/>
    <s v="BHANDAR"/>
    <s v="MPG"/>
    <s v="Direct"/>
    <n v="306.60000000000002"/>
    <n v="14488.59"/>
    <n v="306.60000000000008"/>
    <n v="14488.59"/>
    <n v="0"/>
    <n v="0"/>
    <n v="306.60000000000008"/>
    <n v="14488.59"/>
    <n v="14488.59"/>
    <n v="0"/>
    <n v="0"/>
    <n v="0"/>
    <n v="0"/>
    <n v="0"/>
    <n v="0"/>
    <n v="14489"/>
    <n v="0"/>
    <n v="0"/>
    <n v="0"/>
    <n v="0"/>
    <n v="371.80765205479446"/>
    <n v="43.800000000000004"/>
    <n v="0"/>
    <n v="1"/>
    <m/>
    <s v="Gopalpur Bmc"/>
    <m/>
    <n v="0"/>
  </r>
  <r>
    <s v="Munger"/>
    <s v="17-23 Jul"/>
    <n v="1059"/>
    <s v="Gopalpur Bmc"/>
    <x v="178"/>
    <s v="BASMATIYA"/>
    <s v="MPG"/>
    <s v="Direct"/>
    <n v="359.20000000000005"/>
    <n v="16262.78"/>
    <n v="350.75"/>
    <n v="16347.11"/>
    <n v="6.1300000000000008"/>
    <n v="283.39999999999998"/>
    <n v="356.88"/>
    <n v="16630.510000000002"/>
    <n v="16262.78"/>
    <n v="0"/>
    <n v="283.39999999999998"/>
    <n v="367.73000000000138"/>
    <n v="0"/>
    <n v="0"/>
    <n v="0"/>
    <n v="15979"/>
    <n v="0"/>
    <n v="0"/>
    <n v="0"/>
    <s v="Release3"/>
    <n v="308.59439999999995"/>
    <n v="51.314285714285724"/>
    <n v="-2.2611755185767832E-2"/>
    <n v="11"/>
    <m/>
    <s v="Gopalpur Bmc"/>
    <m/>
    <n v="0"/>
  </r>
  <r>
    <s v="Munger"/>
    <s v="17-23 Jul"/>
    <n v="1006"/>
    <s v="Sonvarsha"/>
    <x v="179"/>
    <s v="AKHA KURHA"/>
    <s v="MPG"/>
    <s v="Direct"/>
    <n v="364.09999999999997"/>
    <n v="15531.999999999998"/>
    <n v="364.09999999999997"/>
    <n v="15539.349999999999"/>
    <n v="0"/>
    <n v="0"/>
    <n v="364.09999999999997"/>
    <n v="15539.349999999999"/>
    <n v="15531.999999999998"/>
    <n v="0"/>
    <n v="0"/>
    <n v="7.3500000000003638"/>
    <n v="0"/>
    <n v="0"/>
    <n v="0"/>
    <n v="15532"/>
    <n v="0"/>
    <n v="0"/>
    <n v="0"/>
    <n v="0"/>
    <n v="286.58054380664652"/>
    <n v="52.014285714285712"/>
    <n v="-4.7321658511462558E-4"/>
    <n v="1"/>
    <m/>
    <s v="Sonvarsha"/>
    <m/>
    <n v="0"/>
  </r>
  <r>
    <s v="Munger"/>
    <s v="17-23 Jul"/>
    <n v="1006"/>
    <s v="Sonvarsha"/>
    <x v="180"/>
    <s v="TILATHI"/>
    <s v="MPG"/>
    <s v="Direct"/>
    <n v="1416.7"/>
    <n v="61236.909999999996"/>
    <n v="1271.67"/>
    <n v="53546.63"/>
    <n v="179.78"/>
    <n v="7901.0600000000013"/>
    <n v="1451.45"/>
    <n v="61447.69"/>
    <n v="61236.909999999996"/>
    <n v="0"/>
    <n v="876.6400000000001"/>
    <n v="210.78000000000611"/>
    <n v="0"/>
    <n v="0"/>
    <n v="0"/>
    <n v="53336"/>
    <n v="7024"/>
    <n v="0"/>
    <n v="0"/>
    <n v="0"/>
    <n v="0"/>
    <n v="0"/>
    <n v="-3.4420417359400748E-3"/>
    <n v="37"/>
    <m/>
    <s v="Sonvarsha"/>
    <m/>
    <n v="0"/>
  </r>
  <r>
    <s v="Munger"/>
    <s v="17-23 Jul"/>
    <n v="1006"/>
    <s v="Sonvarsha"/>
    <x v="181"/>
    <s v="GOMUKH WESTOL"/>
    <s v="vlc"/>
    <s v="Indirect"/>
    <n v="2915.4000000000005"/>
    <n v="117628.83000000002"/>
    <n v="0"/>
    <n v="0"/>
    <n v="0"/>
    <n v="0"/>
    <n v="0"/>
    <n v="0"/>
    <n v="117628.83000000002"/>
    <n v="0"/>
    <n v="0"/>
    <n v="0"/>
    <n v="0"/>
    <n v="0"/>
    <n v="0"/>
    <n v="0"/>
    <n v="0"/>
    <n v="117628.83000000002"/>
    <n v="0"/>
    <n v="0"/>
    <n v="0"/>
    <n v="0"/>
    <n v="0"/>
    <n v="0"/>
    <m/>
    <s v="Sonvarsha"/>
    <m/>
    <n v="0"/>
  </r>
  <r>
    <s v="Munger"/>
    <s v="17-23 Jul"/>
    <n v="1006"/>
    <s v="Sonvarsha"/>
    <x v="182"/>
    <s v="GOMUKH NAWTOLIYA(OM PRAKASH)"/>
    <s v="vlc"/>
    <s v="Indirect"/>
    <n v="516"/>
    <n v="17596.240000000002"/>
    <n v="0"/>
    <n v="0"/>
    <n v="0"/>
    <n v="0"/>
    <n v="0"/>
    <n v="0"/>
    <n v="17596.240000000002"/>
    <n v="0"/>
    <n v="0"/>
    <n v="0"/>
    <n v="0"/>
    <n v="0"/>
    <n v="0"/>
    <n v="0"/>
    <n v="0"/>
    <n v="17596.240000000002"/>
    <n v="0"/>
    <n v="0"/>
    <n v="125.49256434108533"/>
    <n v="73.714285714285708"/>
    <n v="0"/>
    <n v="0"/>
    <m/>
    <s v="Sonvarsha"/>
    <m/>
    <n v="0"/>
  </r>
  <r>
    <s v="Munger"/>
    <s v="17-23 Jul"/>
    <n v="1059"/>
    <s v="Gopalpur Bmc"/>
    <x v="183"/>
    <s v="SANGRAMPUR"/>
    <s v="MPG"/>
    <s v="Direct"/>
    <n v="611"/>
    <n v="28061.579999999998"/>
    <n v="839.7600000000001"/>
    <n v="36696.149999999994"/>
    <n v="0"/>
    <n v="0"/>
    <n v="839.7600000000001"/>
    <n v="36696.149999999994"/>
    <n v="28061.579999999998"/>
    <n v="0"/>
    <n v="0"/>
    <n v="8634.5699999999961"/>
    <n v="0"/>
    <n v="0"/>
    <n v="0"/>
    <n v="28062"/>
    <n v="0"/>
    <n v="0"/>
    <n v="0"/>
    <n v="0"/>
    <n v="81.750593126022864"/>
    <n v="87.285714285714292"/>
    <n v="-0.30770077807450602"/>
    <n v="3"/>
    <m/>
    <s v="Gopalpur Bmc"/>
    <m/>
    <n v="0"/>
  </r>
  <r>
    <s v="Munger"/>
    <s v="17-23 Jul"/>
    <n v="1006"/>
    <s v="Sonvarsha"/>
    <x v="184"/>
    <s v="GOMUKH CHASMASKAN"/>
    <s v="vlc"/>
    <s v="Indirect"/>
    <n v="1044.7"/>
    <n v="39857.62999999999"/>
    <n v="0"/>
    <n v="0"/>
    <n v="0"/>
    <n v="0"/>
    <n v="0"/>
    <n v="0"/>
    <n v="39857.62999999999"/>
    <n v="0"/>
    <n v="0"/>
    <n v="0"/>
    <n v="0"/>
    <n v="0"/>
    <n v="0"/>
    <n v="0"/>
    <n v="0"/>
    <n v="39857.62999999999"/>
    <n v="0"/>
    <n v="0"/>
    <n v="0"/>
    <n v="0"/>
    <n v="0"/>
    <n v="0"/>
    <m/>
    <s v="Sonvarsha"/>
    <m/>
    <n v="0"/>
  </r>
  <r>
    <s v="Munger"/>
    <s v="17-23 Jul"/>
    <n v="1006"/>
    <s v="Sonvarsha"/>
    <x v="973"/>
    <s v="GOMUKH KAJITOLA"/>
    <s v="vlc"/>
    <s v="Indirect"/>
    <n v="1146.2"/>
    <n v="47356.810000000012"/>
    <n v="0"/>
    <n v="0"/>
    <n v="0"/>
    <n v="0"/>
    <n v="0"/>
    <n v="0"/>
    <n v="47356.810000000012"/>
    <n v="0"/>
    <n v="0"/>
    <n v="0"/>
    <n v="0"/>
    <n v="0"/>
    <n v="0"/>
    <n v="0"/>
    <n v="0"/>
    <n v="47356.810000000012"/>
    <n v="0"/>
    <n v="0"/>
    <n v="0"/>
    <n v="0"/>
    <n v="0"/>
    <n v="0"/>
    <m/>
    <s v="Sonvarsha"/>
    <m/>
    <n v="0"/>
  </r>
  <r>
    <s v="Munger"/>
    <s v="17-23 Jul"/>
    <n v="1006"/>
    <s v="Sonvarsha"/>
    <x v="185"/>
    <s v="RAMDEV TOLA"/>
    <s v="MPG"/>
    <s v="Direct"/>
    <n v="1938.6"/>
    <n v="87973.1"/>
    <n v="1357.9700000000005"/>
    <n v="65500.400000000009"/>
    <n v="574.05000000000007"/>
    <n v="23877.249999999996"/>
    <n v="1932.0200000000004"/>
    <n v="89377.650000000009"/>
    <n v="87973.1"/>
    <n v="0"/>
    <n v="585.89"/>
    <n v="1404.5500000000029"/>
    <n v="0"/>
    <n v="0"/>
    <n v="0"/>
    <n v="64096"/>
    <n v="23291"/>
    <n v="0"/>
    <n v="0"/>
    <n v="0"/>
    <n v="0"/>
    <n v="0"/>
    <n v="-1.596567587137435E-2"/>
    <n v="20"/>
    <m/>
    <s v="Sonvarsha"/>
    <m/>
    <n v="0"/>
  </r>
  <r>
    <s v="Munger"/>
    <s v="17-23 Jul"/>
    <n v="1006"/>
    <s v="Sonvarsha"/>
    <x v="186"/>
    <s v="GOMUKH KATEHAR"/>
    <s v="vlc"/>
    <s v="Indirect"/>
    <n v="1895.6"/>
    <n v="71212.319999999992"/>
    <n v="0"/>
    <n v="0"/>
    <n v="0"/>
    <n v="0"/>
    <n v="0"/>
    <n v="0"/>
    <n v="71212.319999999992"/>
    <n v="0"/>
    <n v="0"/>
    <n v="0"/>
    <n v="0"/>
    <n v="0"/>
    <n v="0"/>
    <n v="0"/>
    <n v="0"/>
    <n v="71212.319999999992"/>
    <n v="0"/>
    <n v="0"/>
    <n v="0"/>
    <n v="0"/>
    <n v="0"/>
    <n v="0"/>
    <m/>
    <s v="Sonvarsha"/>
    <m/>
    <n v="0"/>
  </r>
  <r>
    <s v="Munger"/>
    <s v="17-23 Jul"/>
    <n v="1006"/>
    <s v="Sonvarsha"/>
    <x v="187"/>
    <s v="PIPARPATI"/>
    <s v="MPG"/>
    <s v="Direct"/>
    <n v="842.90000000000009"/>
    <n v="42034.84"/>
    <n v="840.0200000000001"/>
    <n v="46696.02"/>
    <n v="8.43"/>
    <n v="368.73"/>
    <n v="848.45"/>
    <n v="47064.75"/>
    <n v="42034.84"/>
    <n v="0"/>
    <n v="368.73"/>
    <n v="5029.9100000000035"/>
    <n v="0"/>
    <n v="0"/>
    <n v="0"/>
    <n v="41666"/>
    <n v="0"/>
    <n v="0"/>
    <n v="0"/>
    <n v="0"/>
    <n v="0"/>
    <n v="0"/>
    <n v="-0.11966050067039637"/>
    <n v="12"/>
    <m/>
    <s v="Sonvarsha"/>
    <m/>
    <n v="0"/>
  </r>
  <r>
    <s v="Munger"/>
    <s v="17-23 Jul"/>
    <n v="1006"/>
    <s v="Sonvarsha"/>
    <x v="188"/>
    <s v="GOMUKH JAGMAGLA"/>
    <s v="vlc"/>
    <s v="Indirect"/>
    <n v="1014.5"/>
    <n v="41000.629999999997"/>
    <n v="0"/>
    <n v="0"/>
    <n v="0"/>
    <n v="0"/>
    <n v="0"/>
    <n v="0"/>
    <n v="41000.629999999997"/>
    <n v="0"/>
    <n v="0"/>
    <n v="0"/>
    <n v="0"/>
    <n v="0"/>
    <n v="0"/>
    <n v="0"/>
    <n v="0"/>
    <n v="41000.629999999997"/>
    <n v="0"/>
    <n v="0"/>
    <n v="0"/>
    <n v="0"/>
    <n v="0"/>
    <n v="0"/>
    <m/>
    <s v="Sonvarsha"/>
    <m/>
    <n v="0"/>
  </r>
  <r>
    <s v="Munger"/>
    <s v="17-23 Jul"/>
    <n v="1006"/>
    <s v="Sonvarsha"/>
    <x v="189"/>
    <s v="ORABAGICHA"/>
    <s v="MPG"/>
    <s v="Direct"/>
    <n v="514.09999999999991"/>
    <n v="21750.089999999997"/>
    <n v="259.19999999999993"/>
    <n v="11032.62"/>
    <n v="313.8"/>
    <n v="13245.6"/>
    <n v="573"/>
    <n v="24278.22"/>
    <n v="21750.089999999997"/>
    <n v="0"/>
    <n v="125.57"/>
    <n v="2528.1300000000047"/>
    <n v="0"/>
    <n v="500"/>
    <n v="0"/>
    <n v="8004"/>
    <n v="13120"/>
    <n v="0"/>
    <n v="1"/>
    <n v="0"/>
    <n v="157.29786932503407"/>
    <n v="73.442857142857136"/>
    <n v="-0.11623538109497501"/>
    <n v="9"/>
    <m/>
    <s v="Sonvarsha"/>
    <m/>
    <n v="500"/>
  </r>
  <r>
    <s v="Munger"/>
    <s v="17-23 Jul"/>
    <n v="1006"/>
    <s v="Sonvarsha"/>
    <x v="190"/>
    <s v="KHAJURIYA"/>
    <s v="MPG"/>
    <s v="Direct"/>
    <n v="385.4"/>
    <n v="16364.379999999997"/>
    <n v="381.71000000000004"/>
    <n v="18391.519999999997"/>
    <n v="0"/>
    <n v="0"/>
    <n v="381.71000000000004"/>
    <n v="18391.519999999997"/>
    <n v="16364.379999999997"/>
    <n v="0"/>
    <n v="0"/>
    <n v="2027.1399999999994"/>
    <n v="0"/>
    <n v="0"/>
    <n v="0"/>
    <n v="16364"/>
    <n v="0"/>
    <n v="0"/>
    <n v="0"/>
    <s v="Release2"/>
    <n v="267.1631524649714"/>
    <n v="55.057142857142857"/>
    <n v="-0.12387514834048095"/>
    <n v="2"/>
    <m/>
    <s v="Sonvarsha"/>
    <m/>
    <n v="0"/>
  </r>
  <r>
    <s v="Munger"/>
    <s v="17-23 Jul"/>
    <n v="1006"/>
    <s v="Sonvarsha"/>
    <x v="191"/>
    <s v="NAYA SALEMPUR"/>
    <s v="vlc"/>
    <s v="Indirect"/>
    <n v="883.9"/>
    <n v="35852.170000000006"/>
    <n v="0"/>
    <n v="0"/>
    <n v="0"/>
    <n v="0"/>
    <n v="0"/>
    <n v="0"/>
    <n v="35852.170000000006"/>
    <n v="0"/>
    <n v="0"/>
    <n v="0"/>
    <n v="0"/>
    <n v="0"/>
    <n v="0"/>
    <n v="0"/>
    <n v="0"/>
    <n v="35852.170000000006"/>
    <n v="0"/>
    <n v="0"/>
    <n v="0"/>
    <n v="0"/>
    <n v="0"/>
    <n v="0"/>
    <m/>
    <s v="Sonvarsha"/>
    <m/>
    <n v="0"/>
  </r>
  <r>
    <s v="Munger"/>
    <s v="17-23 Jul"/>
    <n v="1006"/>
    <s v="Sonvarsha"/>
    <x v="192"/>
    <s v="MANO 2"/>
    <s v="MPG"/>
    <s v="Direct"/>
    <n v="209.50000000000003"/>
    <n v="9840.24"/>
    <n v="209.5"/>
    <n v="9840.25"/>
    <n v="0"/>
    <n v="0"/>
    <n v="209.5"/>
    <n v="9840.25"/>
    <n v="9840.24"/>
    <n v="0"/>
    <n v="0"/>
    <n v="1.0000000000218279E-2"/>
    <n v="0"/>
    <n v="0"/>
    <n v="0"/>
    <n v="9840"/>
    <n v="0"/>
    <n v="0"/>
    <n v="0"/>
    <n v="0"/>
    <n v="460.77687064439141"/>
    <n v="29.928571428571434"/>
    <n v="-1.0162353763951162E-6"/>
    <n v="1"/>
    <m/>
    <s v="Sonvarsha"/>
    <m/>
    <n v="0"/>
  </r>
  <r>
    <s v="Munger"/>
    <s v="17-23 Jul"/>
    <n v="1006"/>
    <s v="Sonvarsha"/>
    <x v="193"/>
    <s v="Champanagar"/>
    <s v="MPG"/>
    <s v="Direct"/>
    <n v="427.50000000000006"/>
    <n v="23091.51"/>
    <n v="435.5"/>
    <n v="23440.269999999997"/>
    <n v="0"/>
    <n v="0"/>
    <n v="435.5"/>
    <n v="23440.269999999997"/>
    <n v="23091.51"/>
    <n v="0"/>
    <n v="0"/>
    <n v="348.7599999999984"/>
    <n v="0"/>
    <n v="500"/>
    <n v="0"/>
    <n v="22592"/>
    <n v="0"/>
    <n v="0"/>
    <n v="0"/>
    <n v="0"/>
    <n v="294.38299298245602"/>
    <n v="61.071428571428577"/>
    <n v="-1.5103386482737527E-2"/>
    <n v="3"/>
    <m/>
    <s v="Sonvarsha"/>
    <m/>
    <n v="500"/>
  </r>
  <r>
    <s v="Munger"/>
    <s v="17-23 Jul"/>
    <n v="1006"/>
    <s v="Sonvarsha"/>
    <x v="194"/>
    <s v="LOSDHANI"/>
    <s v="MPG"/>
    <s v="Direct"/>
    <n v="107.9"/>
    <n v="3902.65"/>
    <n v="108.50000000000001"/>
    <n v="4057.4"/>
    <n v="0.2"/>
    <n v="7.62"/>
    <n v="108.70000000000002"/>
    <n v="4065.02"/>
    <n v="3902.65"/>
    <n v="0"/>
    <n v="7.62"/>
    <n v="162.36999999999989"/>
    <n v="0"/>
    <n v="0"/>
    <n v="0"/>
    <n v="3895"/>
    <n v="0"/>
    <n v="0"/>
    <n v="0"/>
    <n v="0"/>
    <n v="428.31493327154777"/>
    <n v="15.414285714285715"/>
    <n v="-4.16050632262693E-2"/>
    <n v="2"/>
    <m/>
    <s v="Sonvarsha"/>
    <m/>
    <n v="0"/>
  </r>
  <r>
    <s v="Munger"/>
    <s v="17-23 Jul"/>
    <n v="1006"/>
    <s v="Sonvarsha"/>
    <x v="195"/>
    <s v="GOMUKH BAGALWA"/>
    <s v="MPG"/>
    <s v="Direct"/>
    <n v="434.5"/>
    <n v="22951.5"/>
    <n v="30.88"/>
    <n v="1406.9199999999998"/>
    <n v="393.37000000000006"/>
    <n v="23454.409999999996"/>
    <n v="424.25000000000006"/>
    <n v="24861.329999999994"/>
    <n v="22951.5"/>
    <n v="0"/>
    <n v="0"/>
    <n v="1909.8299999999945"/>
    <n v="0"/>
    <n v="0"/>
    <n v="0"/>
    <n v="0"/>
    <n v="22951"/>
    <n v="0"/>
    <n v="1"/>
    <s v="Release2"/>
    <n v="280.48898734177214"/>
    <n v="62.071428571428569"/>
    <n v="-8.3211554800339607E-2"/>
    <n v="6"/>
    <m/>
    <s v="Sonvarsha"/>
    <m/>
    <n v="0"/>
  </r>
  <r>
    <s v="Munger"/>
    <s v="17-23 Jul"/>
    <n v="1006"/>
    <s v="Sonvarsha"/>
    <x v="196"/>
    <s v="GOMUKH BHITAKITA"/>
    <s v="vlc"/>
    <s v="Indirect"/>
    <n v="50.300000000000004"/>
    <n v="1900.46"/>
    <n v="0"/>
    <n v="0"/>
    <n v="0"/>
    <n v="0"/>
    <n v="0"/>
    <n v="0"/>
    <n v="1900.46"/>
    <n v="0"/>
    <n v="0"/>
    <n v="0"/>
    <n v="0"/>
    <n v="0"/>
    <n v="0"/>
    <n v="0"/>
    <n v="0"/>
    <n v="1900.46"/>
    <n v="0"/>
    <n v="0"/>
    <n v="490.94586958250505"/>
    <n v="7.1857142857142859"/>
    <n v="0"/>
    <n v="0"/>
    <m/>
    <s v="Sonvarsha"/>
    <m/>
    <n v="0"/>
  </r>
  <r>
    <s v="Munger"/>
    <s v="17-23 Jul"/>
    <n v="1006"/>
    <s v="Sonvarsha"/>
    <x v="197"/>
    <s v="GOMUKH OJONTOLA"/>
    <s v="vlc"/>
    <s v="Indirect"/>
    <n v="130.69999999999999"/>
    <n v="5306.9699999999993"/>
    <n v="0"/>
    <n v="0"/>
    <n v="0"/>
    <n v="0"/>
    <n v="0"/>
    <n v="0"/>
    <n v="5306.9699999999993"/>
    <n v="0"/>
    <n v="0"/>
    <n v="0"/>
    <n v="0"/>
    <n v="0"/>
    <n v="0"/>
    <n v="0"/>
    <n v="0"/>
    <n v="5306.9699999999993"/>
    <n v="0"/>
    <n v="0"/>
    <n v="462.3195135424636"/>
    <n v="18.671428571428571"/>
    <n v="0"/>
    <n v="0"/>
    <m/>
    <s v="Sonvarsha"/>
    <m/>
    <n v="0"/>
  </r>
  <r>
    <s v="Munger"/>
    <s v="17-23 Jul"/>
    <n v="1006"/>
    <s v="Sonvarsha"/>
    <x v="198"/>
    <s v="KHUDDIBAN SHIVNAGAR"/>
    <s v="MPG"/>
    <s v="Direct"/>
    <n v="1001.2000000000002"/>
    <n v="35215.64"/>
    <n v="617.5"/>
    <n v="21640.78"/>
    <n v="463.9"/>
    <n v="16775.080000000002"/>
    <n v="1081.4000000000001"/>
    <n v="38415.86"/>
    <n v="35215.64"/>
    <n v="0"/>
    <n v="0"/>
    <n v="3200.2200000000012"/>
    <n v="0"/>
    <n v="0"/>
    <n v="0"/>
    <n v="18439"/>
    <n v="16777"/>
    <n v="0"/>
    <n v="0"/>
    <n v="0"/>
    <n v="0"/>
    <n v="0"/>
    <n v="-9.0874963510531148E-2"/>
    <n v="6"/>
    <m/>
    <s v="Sonvarsha"/>
    <m/>
    <n v="0"/>
  </r>
  <r>
    <s v="Munger"/>
    <s v="17-23 Jul"/>
    <n v="1006"/>
    <s v="Sonvarsha"/>
    <x v="199"/>
    <s v="BARIYARPUR"/>
    <s v="MPG"/>
    <s v="Direct"/>
    <n v="426.00000000000006"/>
    <n v="18660.999999999996"/>
    <n v="299.8"/>
    <n v="13753.43"/>
    <n v="169"/>
    <n v="6971.4"/>
    <n v="468.8"/>
    <n v="20724.830000000002"/>
    <n v="18660.999999999996"/>
    <n v="0"/>
    <n v="198.42000000000004"/>
    <n v="2063.8300000000054"/>
    <n v="0"/>
    <n v="0"/>
    <n v="0"/>
    <n v="11690"/>
    <n v="6773"/>
    <n v="0"/>
    <n v="0"/>
    <n v="0"/>
    <n v="240.05230046948341"/>
    <n v="60.857142857142868"/>
    <n v="-0.11059589518246642"/>
    <n v="8"/>
    <m/>
    <s v="Sonvarsha"/>
    <m/>
    <n v="0"/>
  </r>
  <r>
    <s v="Munger"/>
    <s v="17-23 Jul"/>
    <n v="1006"/>
    <s v="Sonvarsha"/>
    <x v="200"/>
    <s v="MASUDAN"/>
    <s v="MPG"/>
    <s v="Direct"/>
    <n v="1963.1000000000001"/>
    <n v="87450.680000000022"/>
    <n v="1655.7900000000004"/>
    <n v="78577.179999999993"/>
    <n v="177.67999999999998"/>
    <n v="8864.4599999999991"/>
    <n v="1833.4700000000005"/>
    <n v="87441.639999999985"/>
    <n v="87441.639999999985"/>
    <n v="0"/>
    <n v="584.81999999999994"/>
    <n v="0"/>
    <n v="7000"/>
    <n v="0"/>
    <n v="0"/>
    <n v="71576"/>
    <n v="8279"/>
    <n v="0"/>
    <n v="11"/>
    <s v="Release1"/>
    <n v="0"/>
    <n v="0"/>
    <n v="1.0337255239224269E-4"/>
    <n v="21"/>
    <m/>
    <s v="Sonvarsha"/>
    <m/>
    <n v="0"/>
  </r>
  <r>
    <s v="Munger"/>
    <s v="17-23 Jul"/>
    <n v="1006"/>
    <s v="Sonvarsha"/>
    <x v="201"/>
    <s v="GOMUKH BOHLA"/>
    <s v="vlc"/>
    <s v="Indirect"/>
    <n v="688.7"/>
    <n v="26021.519999999997"/>
    <n v="0"/>
    <n v="0"/>
    <n v="0"/>
    <n v="0"/>
    <n v="0"/>
    <n v="0"/>
    <n v="26021.519999999997"/>
    <n v="0"/>
    <n v="0"/>
    <n v="0"/>
    <n v="0"/>
    <n v="0"/>
    <n v="0"/>
    <n v="0"/>
    <n v="0"/>
    <n v="26021.519999999997"/>
    <n v="0"/>
    <n v="0"/>
    <n v="8.53907872803833"/>
    <n v="98.385714285714286"/>
    <n v="0"/>
    <n v="0"/>
    <m/>
    <s v="Sonvarsha"/>
    <m/>
    <n v="0"/>
  </r>
  <r>
    <s v="Munger"/>
    <s v="17-23 Jul"/>
    <n v="1006"/>
    <s v="Sonvarsha"/>
    <x v="974"/>
    <s v="TOTAHA"/>
    <s v="vlc"/>
    <s v="Direct"/>
    <n v="365.7"/>
    <n v="15559.37"/>
    <n v="326.95999999999998"/>
    <n v="13520.01"/>
    <n v="40.200000000000003"/>
    <n v="1639.5500000000002"/>
    <n v="367.15999999999997"/>
    <n v="15159.560000000001"/>
    <n v="15159.560000000001"/>
    <n v="0"/>
    <n v="0"/>
    <n v="0"/>
    <n v="0"/>
    <n v="0"/>
    <n v="0"/>
    <n v="13520"/>
    <n v="1639"/>
    <n v="0"/>
    <n v="400"/>
    <n v="0"/>
    <n v="284.46800060158603"/>
    <n v="52.24285714285714"/>
    <n v="2.5695770458572516E-2"/>
    <n v="7"/>
    <m/>
    <s v="Sonvarsha"/>
    <m/>
    <n v="0"/>
  </r>
  <r>
    <s v="Munger"/>
    <s v="17-23 Jul"/>
    <n v="1006"/>
    <s v="Sonvarsha"/>
    <x v="202"/>
    <s v="GOMUKH RAMPUR"/>
    <s v="vlc"/>
    <s v="Indirect"/>
    <n v="706.80000000000007"/>
    <n v="24063.060000000005"/>
    <n v="0"/>
    <n v="0"/>
    <n v="0"/>
    <n v="0"/>
    <n v="0"/>
    <n v="0"/>
    <n v="24063.060000000005"/>
    <n v="0"/>
    <n v="0"/>
    <n v="0"/>
    <n v="0"/>
    <n v="0"/>
    <n v="0"/>
    <n v="0"/>
    <n v="0"/>
    <n v="24063.060000000005"/>
    <n v="0"/>
    <n v="0"/>
    <n v="0"/>
    <n v="0"/>
    <n v="0"/>
    <n v="0"/>
    <m/>
    <s v="Sonvarsha"/>
    <m/>
    <n v="0"/>
  </r>
  <r>
    <s v="Munger"/>
    <s v="17-23 Jul"/>
    <n v="1007"/>
    <s v="Araria"/>
    <x v="203"/>
    <s v="Gomukh ID Araria"/>
    <s v="vlc"/>
    <s v="Indirect"/>
    <n v="4698.4999999999991"/>
    <n v="190521.7"/>
    <n v="0"/>
    <n v="0"/>
    <n v="0"/>
    <n v="0"/>
    <n v="0"/>
    <n v="0"/>
    <n v="190521.7"/>
    <n v="0"/>
    <n v="0"/>
    <n v="0"/>
    <n v="0"/>
    <n v="0"/>
    <n v="0"/>
    <n v="0"/>
    <n v="0"/>
    <n v="190521.7"/>
    <n v="0"/>
    <n v="0"/>
    <n v="0"/>
    <n v="0"/>
    <n v="0"/>
    <n v="0"/>
    <m/>
    <s v="Araria"/>
    <m/>
    <n v="0"/>
  </r>
  <r>
    <s v="Munger"/>
    <s v="17-23 Jul"/>
    <n v="1007"/>
    <s v="Araria"/>
    <x v="204"/>
    <s v="Gomukh ID Chaidha"/>
    <s v="vlc"/>
    <s v="Indirect"/>
    <n v="778.80000000000007"/>
    <n v="27834.05"/>
    <n v="0"/>
    <n v="0"/>
    <n v="0"/>
    <n v="0"/>
    <n v="0"/>
    <n v="0"/>
    <n v="27834.05"/>
    <n v="0"/>
    <n v="0"/>
    <n v="0"/>
    <n v="0"/>
    <n v="0"/>
    <n v="0"/>
    <n v="0"/>
    <n v="0"/>
    <n v="27834.05"/>
    <n v="0"/>
    <n v="0"/>
    <n v="0"/>
    <n v="0"/>
    <n v="0"/>
    <n v="0"/>
    <m/>
    <s v="Araria"/>
    <m/>
    <n v="0"/>
  </r>
  <r>
    <s v="Munger"/>
    <s v="17-23 Jul"/>
    <n v="1056"/>
    <s v="Chautham"/>
    <x v="205"/>
    <s v="Gomukh ID Pakrail"/>
    <s v="MPG"/>
    <s v="Indirect"/>
    <n v="67.599999999999994"/>
    <n v="2151.35"/>
    <n v="0"/>
    <n v="0"/>
    <n v="0"/>
    <n v="0"/>
    <n v="0"/>
    <n v="0"/>
    <n v="2151.35"/>
    <n v="0"/>
    <n v="0"/>
    <n v="0"/>
    <n v="0"/>
    <n v="0"/>
    <n v="0"/>
    <n v="0"/>
    <n v="0"/>
    <n v="2151.35"/>
    <n v="0"/>
    <n v="0"/>
    <n v="402.51885798816568"/>
    <n v="9.6571428571428566"/>
    <n v="0"/>
    <n v="0"/>
    <m/>
    <s v="Chautham"/>
    <m/>
    <n v="0"/>
  </r>
  <r>
    <s v="Munger"/>
    <s v="17-23 Jul"/>
    <n v="1056"/>
    <s v="Chautham"/>
    <x v="206"/>
    <s v="Gomukh ID Pipra"/>
    <s v="MPG"/>
    <s v="Indirect"/>
    <n v="331.40000000000003"/>
    <n v="11383.310000000001"/>
    <n v="0"/>
    <n v="0"/>
    <n v="0"/>
    <n v="0"/>
    <n v="0"/>
    <n v="0"/>
    <n v="11383.310000000001"/>
    <n v="0"/>
    <n v="0"/>
    <n v="0"/>
    <n v="0"/>
    <n v="0"/>
    <n v="0"/>
    <n v="0"/>
    <n v="0"/>
    <n v="11383.310000000001"/>
    <n v="0"/>
    <n v="0"/>
    <n v="253.22197139408567"/>
    <n v="47.342857142857149"/>
    <n v="0"/>
    <n v="0"/>
    <m/>
    <s v="Chautham"/>
    <m/>
    <n v="0"/>
  </r>
  <r>
    <s v="Munger"/>
    <s v="17-23 Jul"/>
    <n v="1007"/>
    <s v="Araria"/>
    <x v="207"/>
    <s v="Gomukh Fatepur                                                                                      "/>
    <s v="MPG"/>
    <s v="Direct"/>
    <n v="189.3"/>
    <n v="7821.64"/>
    <n v="157.86999999999998"/>
    <n v="6181.5"/>
    <n v="33.769999999999996"/>
    <n v="1285.77"/>
    <n v="191.64"/>
    <n v="7467.27"/>
    <n v="7467.27"/>
    <n v="0"/>
    <n v="130.09"/>
    <n v="0"/>
    <n v="0"/>
    <n v="0"/>
    <n v="0"/>
    <n v="6182"/>
    <n v="1155"/>
    <n v="0"/>
    <n v="355"/>
    <n v="0"/>
    <n v="422.02974622292658"/>
    <n v="27.042857142857144"/>
    <n v="4.5306355188937344E-2"/>
    <n v="10"/>
    <m/>
    <s v="Araria"/>
    <m/>
    <n v="0"/>
  </r>
  <r>
    <s v="Munger"/>
    <s v="17-23 Jul"/>
    <n v="1007"/>
    <s v="Araria"/>
    <x v="208"/>
    <s v="Gomukh Gauchhari"/>
    <s v="MPG"/>
    <s v="Direct"/>
    <n v="181.49999999999997"/>
    <n v="7600.2100000000009"/>
    <n v="180.42000000000002"/>
    <n v="7423.6"/>
    <n v="1.4100000000000004"/>
    <n v="58.230000000000004"/>
    <n v="181.83"/>
    <n v="7481.83"/>
    <n v="7481.83"/>
    <n v="0"/>
    <n v="58.230000000000004"/>
    <n v="0"/>
    <n v="0"/>
    <n v="0"/>
    <n v="0"/>
    <n v="7423"/>
    <n v="0"/>
    <n v="0"/>
    <n v="119"/>
    <n v="0"/>
    <n v="434.23789366391202"/>
    <n v="25.928571428571423"/>
    <n v="1.5575885403166623E-2"/>
    <n v="5"/>
    <m/>
    <s v="Araria"/>
    <m/>
    <n v="0"/>
  </r>
  <r>
    <s v="Munger"/>
    <s v="17-23 Jul"/>
    <n v="1007"/>
    <s v="Araria"/>
    <x v="209"/>
    <s v="Gomukh Arariya Karjaniya"/>
    <s v="vlc"/>
    <s v="Indirect"/>
    <n v="10871.300000000001"/>
    <n v="428921.62"/>
    <n v="0"/>
    <n v="0"/>
    <n v="0"/>
    <n v="0"/>
    <n v="0"/>
    <n v="0"/>
    <n v="428921.62"/>
    <n v="0"/>
    <n v="0"/>
    <n v="0"/>
    <n v="0"/>
    <n v="0"/>
    <n v="0"/>
    <n v="0"/>
    <n v="0"/>
    <n v="428921.62"/>
    <n v="0"/>
    <n v="0"/>
    <n v="0"/>
    <n v="0"/>
    <n v="0"/>
    <n v="0"/>
    <m/>
    <s v="Araria"/>
    <m/>
    <n v="0"/>
  </r>
  <r>
    <s v="Munger"/>
    <s v="17-23 Jul"/>
    <n v="1007"/>
    <s v="Araria"/>
    <x v="210"/>
    <s v="Gomukh Aariya Dummer Kothi"/>
    <s v="vlc"/>
    <s v="Indirect"/>
    <n v="6881.3"/>
    <n v="270157.03999999998"/>
    <n v="0"/>
    <n v="0"/>
    <n v="0"/>
    <n v="0"/>
    <n v="0"/>
    <n v="0"/>
    <n v="270157.03999999998"/>
    <n v="0"/>
    <n v="0"/>
    <n v="0"/>
    <n v="0"/>
    <n v="0"/>
    <n v="0"/>
    <n v="0"/>
    <n v="0"/>
    <n v="270157.03999999998"/>
    <n v="0"/>
    <n v="0"/>
    <n v="0"/>
    <n v="0"/>
    <n v="0"/>
    <n v="0"/>
    <m/>
    <s v="Araria"/>
    <m/>
    <n v="0"/>
  </r>
  <r>
    <s v="Munger"/>
    <s v="17-23 Jul"/>
    <n v="1007"/>
    <s v="Araria"/>
    <x v="211"/>
    <s v="Gomukh Balha"/>
    <s v="vlc"/>
    <s v="Indirect"/>
    <n v="5332.2"/>
    <n v="206951.72999999998"/>
    <n v="0"/>
    <n v="0"/>
    <n v="0"/>
    <n v="0"/>
    <n v="0"/>
    <n v="0"/>
    <n v="206951.72999999998"/>
    <n v="0"/>
    <n v="0"/>
    <n v="0"/>
    <n v="0"/>
    <n v="0"/>
    <n v="0"/>
    <n v="0"/>
    <n v="0"/>
    <n v="206951.72999999998"/>
    <n v="0"/>
    <n v="0"/>
    <n v="0"/>
    <n v="0"/>
    <n v="0"/>
    <n v="0"/>
    <m/>
    <s v="Araria"/>
    <m/>
    <n v="0"/>
  </r>
  <r>
    <s v="Munger"/>
    <s v="17-23 Jul"/>
    <n v="1007"/>
    <s v="Araria"/>
    <x v="212"/>
    <s v="Haripur - Sanjay"/>
    <s v="vlc"/>
    <s v="Indirect"/>
    <n v="659.59999999999991"/>
    <n v="26012.36"/>
    <n v="0"/>
    <n v="0"/>
    <n v="0"/>
    <n v="0"/>
    <n v="0"/>
    <n v="0"/>
    <n v="26012.36"/>
    <n v="0"/>
    <n v="0"/>
    <n v="0"/>
    <n v="0"/>
    <n v="0"/>
    <n v="0"/>
    <n v="0"/>
    <n v="0"/>
    <n v="26012.36"/>
    <n v="0"/>
    <n v="0"/>
    <n v="31.864746634323922"/>
    <n v="94.228571428571414"/>
    <n v="0"/>
    <n v="0"/>
    <m/>
    <s v="Araria"/>
    <m/>
    <n v="0"/>
  </r>
  <r>
    <s v="Munger"/>
    <s v="17-23 Jul"/>
    <n v="1007"/>
    <s v="Araria"/>
    <x v="213"/>
    <s v="Araria - Ankesh"/>
    <s v="vlc"/>
    <s v="Indirect"/>
    <n v="4065.9000000000005"/>
    <n v="155262.79"/>
    <n v="0"/>
    <n v="0"/>
    <n v="0"/>
    <n v="0"/>
    <n v="0"/>
    <n v="0"/>
    <n v="155262.79"/>
    <n v="0"/>
    <n v="0"/>
    <n v="0"/>
    <n v="0"/>
    <n v="0"/>
    <n v="0"/>
    <n v="0"/>
    <n v="0"/>
    <n v="155262.79"/>
    <n v="0"/>
    <n v="0"/>
    <n v="0"/>
    <n v="0"/>
    <n v="0"/>
    <n v="0"/>
    <m/>
    <s v="Araria"/>
    <m/>
    <n v="0"/>
  </r>
  <r>
    <s v="Munger"/>
    <s v="17-23 Jul"/>
    <n v="1010"/>
    <s v="Parbatta"/>
    <x v="214"/>
    <s v="Gomukh Kabela                                                                                       "/>
    <s v="MPG"/>
    <s v="Direct"/>
    <n v="427.69999999999993"/>
    <n v="22524.59"/>
    <n v="953.2"/>
    <n v="53683.68"/>
    <n v="0"/>
    <n v="0"/>
    <n v="953.2"/>
    <n v="53683.68"/>
    <n v="22524.59"/>
    <n v="0"/>
    <n v="0"/>
    <n v="31159.09"/>
    <n v="0"/>
    <n v="0"/>
    <n v="0"/>
    <n v="22525"/>
    <n v="0"/>
    <n v="0"/>
    <n v="0"/>
    <s v="Release2"/>
    <n v="286.81065499181682"/>
    <n v="61.099999999999987"/>
    <n v="-1.3833366112324352"/>
    <n v="2"/>
    <m/>
    <s v="Parbatta"/>
    <m/>
    <n v="0"/>
  </r>
  <r>
    <s v="Munger"/>
    <s v="17-23 Jul"/>
    <n v="1056"/>
    <s v="Chautham"/>
    <x v="215"/>
    <s v="Gomukh Malpa Uttari                                                                                 "/>
    <s v="vlc"/>
    <s v="Indirect"/>
    <n v="122.64"/>
    <n v="3996.0899999999997"/>
    <n v="0"/>
    <n v="0"/>
    <n v="0"/>
    <n v="0"/>
    <n v="0"/>
    <n v="0"/>
    <n v="3996.0899999999997"/>
    <n v="0"/>
    <n v="0"/>
    <n v="0"/>
    <n v="0"/>
    <n v="0"/>
    <n v="0"/>
    <n v="0"/>
    <n v="0"/>
    <n v="3996.0899999999997"/>
    <n v="0"/>
    <n v="0"/>
    <n v="376.25285753424652"/>
    <n v="17.52"/>
    <n v="0"/>
    <n v="0"/>
    <m/>
    <s v="Chautham"/>
    <m/>
    <n v="0"/>
  </r>
  <r>
    <s v="Munger"/>
    <s v="17-23 Jul"/>
    <n v="1007"/>
    <s v="Araria"/>
    <x v="216"/>
    <s v="Gomukh Sapha"/>
    <s v="MPG"/>
    <s v="Direct"/>
    <n v="204.20000000000002"/>
    <n v="8384.66"/>
    <n v="200.70000000000002"/>
    <n v="8515.4600000000009"/>
    <n v="3.5"/>
    <n v="142.55000000000001"/>
    <n v="204.20000000000002"/>
    <n v="8658.01"/>
    <n v="8384.66"/>
    <n v="0"/>
    <n v="142.55000000000001"/>
    <n v="273.35000000000036"/>
    <n v="0"/>
    <n v="0"/>
    <n v="0"/>
    <n v="8242"/>
    <n v="0"/>
    <n v="0"/>
    <n v="0"/>
    <n v="0"/>
    <n v="407.16106052889313"/>
    <n v="29.171428571428574"/>
    <n v="-3.2601202672499587E-2"/>
    <n v="4"/>
    <m/>
    <s v="Araria"/>
    <m/>
    <n v="0"/>
  </r>
  <r>
    <s v="Munger"/>
    <s v="17-23 Jul"/>
    <n v="1007"/>
    <s v="Araria"/>
    <x v="217"/>
    <s v="Araria"/>
    <s v="vlc"/>
    <s v="Indirect"/>
    <n v="9992.9999999999982"/>
    <n v="397263.98000000004"/>
    <n v="0"/>
    <n v="0"/>
    <n v="0"/>
    <n v="0"/>
    <n v="0"/>
    <n v="0"/>
    <n v="397263.98000000004"/>
    <n v="0"/>
    <n v="0"/>
    <n v="0"/>
    <n v="0"/>
    <n v="0"/>
    <n v="0"/>
    <n v="0"/>
    <n v="0"/>
    <n v="397263.98000000004"/>
    <n v="0"/>
    <n v="0"/>
    <n v="0"/>
    <n v="0"/>
    <n v="0"/>
    <n v="0"/>
    <m/>
    <s v="Araria"/>
    <m/>
    <n v="0"/>
  </r>
  <r>
    <s v="Munger"/>
    <s v="17-23 Jul"/>
    <n v="1007"/>
    <s v="Araria"/>
    <x v="218"/>
    <s v="Gomukh Gauchhari"/>
    <s v="MPG"/>
    <s v="Direct"/>
    <n v="118.60000000000001"/>
    <n v="4685.07"/>
    <n v="118.6"/>
    <n v="4730.95"/>
    <n v="0"/>
    <n v="0"/>
    <n v="118.6"/>
    <n v="4730.95"/>
    <n v="4685.07"/>
    <n v="0"/>
    <n v="0"/>
    <n v="45.880000000000109"/>
    <n v="0"/>
    <n v="0"/>
    <n v="0"/>
    <n v="4685"/>
    <n v="0"/>
    <n v="0"/>
    <n v="0"/>
    <n v="0"/>
    <n v="459.34227622259687"/>
    <n v="16.942857142857143"/>
    <n v="-9.7928099259989958E-3"/>
    <n v="1"/>
    <m/>
    <s v="Araria"/>
    <m/>
    <n v="0"/>
  </r>
  <r>
    <s v="Munger"/>
    <s v="17-23 Jul"/>
    <n v="1056"/>
    <s v="Chautham"/>
    <x v="219"/>
    <s v="Telouch"/>
    <s v="MPG"/>
    <s v="Direct"/>
    <n v="1340.9199999999998"/>
    <n v="53112.959999999999"/>
    <n v="1337.31"/>
    <n v="54593.32"/>
    <n v="5.6000000000000005"/>
    <n v="202.98000000000002"/>
    <n v="1342.9099999999999"/>
    <n v="54796.3"/>
    <n v="53112.959999999999"/>
    <n v="0"/>
    <n v="202.98000000000002"/>
    <n v="1683.3400000000038"/>
    <n v="0"/>
    <n v="0"/>
    <n v="0"/>
    <n v="52910"/>
    <n v="0"/>
    <n v="0"/>
    <n v="0"/>
    <n v="0"/>
    <n v="0"/>
    <n v="0"/>
    <n v="-3.1693582884478738E-2"/>
    <n v="7"/>
    <m/>
    <s v="Chautham"/>
    <m/>
    <n v="0"/>
  </r>
  <r>
    <s v="Munger"/>
    <s v="17-23 Jul"/>
    <n v="1010"/>
    <s v="Parbatta"/>
    <x v="220"/>
    <s v="Gomukh Jhangara B"/>
    <s v="MPG"/>
    <s v="Direct"/>
    <n v="1633"/>
    <n v="64740.470000000008"/>
    <n v="1645.3100000000002"/>
    <n v="69130.62999999999"/>
    <n v="0"/>
    <n v="0"/>
    <n v="1645.3100000000002"/>
    <n v="69130.62999999999"/>
    <n v="64740.470000000008"/>
    <n v="0"/>
    <n v="0"/>
    <n v="4390.1599999999817"/>
    <n v="0"/>
    <n v="0"/>
    <n v="0"/>
    <n v="64740"/>
    <n v="0"/>
    <n v="0"/>
    <n v="0"/>
    <n v="0"/>
    <n v="0"/>
    <n v="0"/>
    <n v="-6.7811679464174129E-2"/>
    <n v="9"/>
    <m/>
    <s v="Parbatta"/>
    <m/>
    <n v="0"/>
  </r>
  <r>
    <s v="Munger"/>
    <s v="17-23 Jul"/>
    <n v="1056"/>
    <s v="Chautham"/>
    <x v="221"/>
    <s v="Gomukh Saraiya"/>
    <s v="MPG"/>
    <s v="Direct"/>
    <n v="328.27999999999992"/>
    <n v="11899.739999999998"/>
    <n v="443.40999999999997"/>
    <n v="18074.63"/>
    <n v="0"/>
    <n v="0"/>
    <n v="443.40999999999997"/>
    <n v="18074.63"/>
    <n v="11899.739999999998"/>
    <n v="0"/>
    <n v="0"/>
    <n v="6174.8900000000031"/>
    <n v="0"/>
    <n v="0"/>
    <n v="0"/>
    <n v="11900"/>
    <n v="0"/>
    <n v="0"/>
    <n v="0"/>
    <s v="Release2"/>
    <n v="269.48771492628259"/>
    <n v="46.897142857142846"/>
    <n v="-0.51890965684964585"/>
    <n v="2"/>
    <m/>
    <s v="Chautham"/>
    <m/>
    <n v="0"/>
  </r>
  <r>
    <s v="Munger"/>
    <s v="17-23 Jul"/>
    <n v="1056"/>
    <s v="Chautham"/>
    <x v="222"/>
    <s v=" Gomukh Nauranga"/>
    <s v="vlc"/>
    <s v="Indirect"/>
    <n v="182.26"/>
    <n v="7481.3600000000006"/>
    <n v="0"/>
    <n v="0"/>
    <n v="0"/>
    <n v="0"/>
    <n v="0"/>
    <n v="0"/>
    <n v="7481.3600000000006"/>
    <n v="0"/>
    <n v="0"/>
    <n v="0"/>
    <n v="0"/>
    <n v="0"/>
    <n v="0"/>
    <n v="0"/>
    <n v="0"/>
    <n v="7481.3600000000006"/>
    <n v="0"/>
    <n v="0"/>
    <n v="425.04107608910363"/>
    <n v="26.037142857142857"/>
    <n v="0"/>
    <n v="0"/>
    <m/>
    <s v="Chautham"/>
    <m/>
    <n v="0"/>
  </r>
  <r>
    <s v="Munger"/>
    <s v="17-23 Jul"/>
    <n v="1056"/>
    <s v="Chautham"/>
    <x v="223"/>
    <s v="Gomukh Malpa Dhutauli VLC"/>
    <s v="vlc"/>
    <s v="Indirect"/>
    <n v="39.559999999999995"/>
    <n v="1365.7300000000002"/>
    <n v="0"/>
    <n v="0"/>
    <n v="0"/>
    <n v="0"/>
    <n v="0"/>
    <n v="0"/>
    <n v="1365.7300000000002"/>
    <n v="0"/>
    <n v="0"/>
    <n v="0"/>
    <n v="0"/>
    <n v="0"/>
    <n v="0"/>
    <n v="0"/>
    <n v="0"/>
    <n v="1365.7300000000002"/>
    <n v="0"/>
    <n v="0"/>
    <n v="456.00744246713867"/>
    <n v="5.6514285714285704"/>
    <n v="0"/>
    <n v="0"/>
    <m/>
    <s v="Chautham"/>
    <m/>
    <n v="0"/>
  </r>
  <r>
    <s v="Munger"/>
    <s v="17-23 Jul"/>
    <n v="1056"/>
    <s v="Chautham"/>
    <x v="224"/>
    <s v="Gomukh Pakrail Vijay Nagar VLC"/>
    <s v="vlc"/>
    <s v="Direct"/>
    <n v="784.3599999999999"/>
    <n v="30470.569999999996"/>
    <n v="0"/>
    <n v="0"/>
    <n v="0"/>
    <n v="0"/>
    <n v="0"/>
    <n v="0"/>
    <n v="0"/>
    <n v="0"/>
    <n v="0"/>
    <n v="0"/>
    <n v="0"/>
    <n v="0"/>
    <n v="0"/>
    <n v="0"/>
    <n v="0"/>
    <n v="0"/>
    <n v="30471"/>
    <n v="0"/>
    <n v="0"/>
    <n v="0"/>
    <n v="1"/>
    <n v="0"/>
    <m/>
    <s v="Chautham"/>
    <m/>
    <n v="0"/>
  </r>
  <r>
    <s v="Munger"/>
    <s v="17-23 Jul"/>
    <n v="1056"/>
    <s v="Chautham"/>
    <x v="225"/>
    <s v="Gomukh Pakrail Shirnia VLC"/>
    <s v="vlc"/>
    <s v="Indirect"/>
    <n v="51.3"/>
    <n v="2269.89"/>
    <n v="0"/>
    <n v="0"/>
    <n v="0"/>
    <n v="0"/>
    <n v="0"/>
    <n v="0"/>
    <n v="2269.89"/>
    <n v="0"/>
    <n v="0"/>
    <n v="0"/>
    <n v="0"/>
    <n v="0"/>
    <n v="0"/>
    <n v="0"/>
    <n v="0"/>
    <n v="2269.89"/>
    <n v="0"/>
    <n v="0"/>
    <n v="574.06535789473696"/>
    <n v="7.3285714285714283"/>
    <n v="0"/>
    <n v="0"/>
    <m/>
    <s v="Chautham"/>
    <m/>
    <n v="0"/>
  </r>
  <r>
    <s v="Munger"/>
    <s v="17-23 Jul"/>
    <n v="1007"/>
    <s v="Araria"/>
    <x v="226"/>
    <s v="Gomukh Godhiyasi Nayagow VLC"/>
    <s v="vlc"/>
    <s v="Indirect"/>
    <n v="248.4"/>
    <n v="9676.4399999999987"/>
    <n v="0"/>
    <n v="0"/>
    <n v="0"/>
    <n v="0"/>
    <n v="0"/>
    <n v="0"/>
    <n v="9676.4399999999987"/>
    <n v="0"/>
    <n v="0"/>
    <n v="0"/>
    <n v="0"/>
    <n v="0"/>
    <n v="0"/>
    <n v="0"/>
    <n v="0"/>
    <n v="9676.4399999999987"/>
    <n v="0"/>
    <n v="0"/>
    <n v="351.8422144927535"/>
    <n v="35.485714285714288"/>
    <n v="0"/>
    <n v="0"/>
    <m/>
    <s v="Araria"/>
    <m/>
    <n v="0"/>
  </r>
  <r>
    <s v="Munger"/>
    <s v="17-23 Jul"/>
    <n v="1010"/>
    <s v="Parbatta"/>
    <x v="227"/>
    <s v="Gomukh Bandehra Purbi"/>
    <s v="MPG"/>
    <s v="Direct"/>
    <n v="319.39999999999998"/>
    <n v="12313.89"/>
    <n v="288.40000000000003"/>
    <n v="11586.899999999998"/>
    <n v="0"/>
    <n v="0"/>
    <n v="288.40000000000003"/>
    <n v="11586.899999999998"/>
    <n v="11586.899999999998"/>
    <n v="0"/>
    <n v="0"/>
    <n v="0"/>
    <n v="0"/>
    <n v="0"/>
    <n v="0"/>
    <n v="11587"/>
    <n v="0"/>
    <n v="0"/>
    <n v="727"/>
    <s v="Release3"/>
    <n v="293.46690882905455"/>
    <n v="45.628571428571426"/>
    <n v="5.9038208072347699E-2"/>
    <n v="1"/>
    <m/>
    <s v="Parbatta"/>
    <m/>
    <n v="0"/>
  </r>
  <r>
    <s v="Munger"/>
    <s v="17-23 Jul"/>
    <n v="1056"/>
    <s v="Chautham"/>
    <x v="228"/>
    <s v="Gomukh Tila Tol"/>
    <s v="MPG"/>
    <s v="Direct"/>
    <n v="783.5200000000001"/>
    <n v="31439.880000000008"/>
    <n v="691.74"/>
    <n v="28156.449999999997"/>
    <n v="97"/>
    <n v="4193.5"/>
    <n v="788.74"/>
    <n v="32349.949999999997"/>
    <n v="31439.880000000008"/>
    <n v="0"/>
    <n v="157.17000000000002"/>
    <n v="910.0699999999888"/>
    <n v="0"/>
    <n v="0"/>
    <n v="0"/>
    <n v="27248"/>
    <n v="4035"/>
    <n v="0"/>
    <n v="0"/>
    <n v="0"/>
    <n v="0"/>
    <n v="0"/>
    <n v="-2.8946357301617834E-2"/>
    <n v="8"/>
    <m/>
    <s v="Chautham"/>
    <m/>
    <n v="0"/>
  </r>
  <r>
    <s v="Munger"/>
    <s v="17-23 Jul"/>
    <n v="1007"/>
    <s v="Araria"/>
    <x v="229"/>
    <s v="Gomukh Gulshan Kumar VLC"/>
    <s v="vlc"/>
    <s v="Indirect"/>
    <n v="1357.2"/>
    <n v="54092.17"/>
    <n v="0"/>
    <n v="0"/>
    <n v="0"/>
    <n v="0"/>
    <n v="0"/>
    <n v="0"/>
    <n v="54092.17"/>
    <n v="0"/>
    <n v="0"/>
    <n v="0"/>
    <n v="0"/>
    <n v="0"/>
    <n v="0"/>
    <n v="0"/>
    <n v="0"/>
    <n v="54092.17"/>
    <n v="0"/>
    <n v="0"/>
    <n v="0"/>
    <n v="0"/>
    <n v="0"/>
    <n v="0"/>
    <m/>
    <s v="Araria"/>
    <m/>
    <n v="0"/>
  </r>
  <r>
    <s v="Munger"/>
    <s v="17-23 Jul"/>
    <n v="1007"/>
    <s v="Araria"/>
    <x v="230"/>
    <s v="Gomukh Gogri VLC"/>
    <s v="vlc"/>
    <s v="Indirect"/>
    <n v="237.89999999999998"/>
    <n v="9327.2900000000009"/>
    <n v="0"/>
    <n v="0"/>
    <n v="0"/>
    <n v="0"/>
    <n v="0"/>
    <n v="0"/>
    <n v="9327.2900000000009"/>
    <n v="0"/>
    <n v="0"/>
    <n v="0"/>
    <n v="0"/>
    <n v="0"/>
    <n v="0"/>
    <n v="0"/>
    <n v="0"/>
    <n v="9327.2900000000009"/>
    <n v="0"/>
    <n v="0"/>
    <n v="362.34894569146712"/>
    <n v="33.98571428571428"/>
    <n v="0"/>
    <n v="0"/>
    <m/>
    <s v="Araria"/>
    <m/>
    <n v="0"/>
  </r>
  <r>
    <s v="Munger"/>
    <s v="17-23 Jul"/>
    <n v="1007"/>
    <s v="Araria"/>
    <x v="231"/>
    <s v="Gomukh Bari Chak Gogri"/>
    <s v="MPG"/>
    <s v="Direct"/>
    <n v="394.09999999999997"/>
    <n v="13576.29"/>
    <n v="384.66"/>
    <n v="14067.06"/>
    <n v="9.44"/>
    <n v="427.28999999999996"/>
    <n v="394.1"/>
    <n v="14494.349999999999"/>
    <n v="13576.29"/>
    <n v="0"/>
    <n v="0"/>
    <n v="918.05999999999767"/>
    <n v="0"/>
    <n v="500"/>
    <n v="0"/>
    <n v="12649"/>
    <n v="427"/>
    <n v="0"/>
    <n v="0"/>
    <n v="0"/>
    <n v="210.75803658969809"/>
    <n v="56.3"/>
    <n v="-6.7622303294935335E-2"/>
    <n v="3"/>
    <m/>
    <s v="Araria"/>
    <m/>
    <n v="500"/>
  </r>
  <r>
    <s v="Munger"/>
    <s v="17-23 Jul"/>
    <n v="1007"/>
    <s v="Araria"/>
    <x v="232"/>
    <s v="Gomukh Khatha"/>
    <s v="MPG"/>
    <s v="Direct"/>
    <n v="839.99999999999989"/>
    <n v="31389.32"/>
    <n v="840"/>
    <n v="31995.599999999999"/>
    <n v="0"/>
    <n v="0"/>
    <n v="840"/>
    <n v="31995.599999999999"/>
    <n v="31389.32"/>
    <n v="0"/>
    <n v="0"/>
    <n v="606.27999999999884"/>
    <n v="0"/>
    <n v="0"/>
    <n v="0"/>
    <n v="31389"/>
    <n v="0"/>
    <n v="0"/>
    <n v="0"/>
    <n v="0"/>
    <n v="0"/>
    <n v="0"/>
    <n v="-1.9314849764187271E-2"/>
    <n v="1"/>
    <m/>
    <s v="Araria"/>
    <m/>
    <n v="0"/>
  </r>
  <r>
    <s v="Munger"/>
    <s v="17-23 Jul"/>
    <n v="1007"/>
    <s v="Araria"/>
    <x v="233"/>
    <s v="Gomukh Shailesh Yadav Vlc"/>
    <s v="vlc"/>
    <s v="Indirect"/>
    <n v="69.600000000000009"/>
    <n v="3405.6600000000003"/>
    <n v="0"/>
    <n v="0"/>
    <n v="0"/>
    <n v="0"/>
    <n v="0"/>
    <n v="0"/>
    <n v="3405.6600000000003"/>
    <n v="0"/>
    <n v="0"/>
    <n v="0"/>
    <n v="0"/>
    <n v="0"/>
    <n v="0"/>
    <n v="0"/>
    <n v="0"/>
    <n v="3405.6600000000003"/>
    <n v="0"/>
    <n v="0"/>
    <n v="616.93335172413788"/>
    <n v="9.9428571428571448"/>
    <n v="0"/>
    <n v="0"/>
    <m/>
    <s v="Araria"/>
    <m/>
    <n v="0"/>
  </r>
  <r>
    <s v="Munger"/>
    <s v="17-23 Jul"/>
    <n v="1055"/>
    <s v="Matihani"/>
    <x v="234"/>
    <s v="Chak Punervas"/>
    <s v="vlc"/>
    <s v="Indirect"/>
    <n v="563.30000000000018"/>
    <n v="22252.629999999997"/>
    <n v="0"/>
    <n v="0"/>
    <n v="0"/>
    <n v="0"/>
    <n v="0"/>
    <n v="0"/>
    <n v="22252.629999999997"/>
    <n v="0"/>
    <n v="0"/>
    <n v="0"/>
    <n v="0"/>
    <n v="0"/>
    <n v="0"/>
    <n v="0"/>
    <n v="0"/>
    <n v="22252.629999999997"/>
    <n v="0"/>
    <n v="0"/>
    <n v="108.00406607491544"/>
    <n v="80.471428571428604"/>
    <n v="0"/>
    <n v="0"/>
    <m/>
    <s v="Matihani"/>
    <m/>
    <n v="0"/>
  </r>
  <r>
    <s v="Munger"/>
    <s v="17-23 Jul"/>
    <n v="1008"/>
    <s v="Teghra"/>
    <x v="235"/>
    <s v="Labherchak"/>
    <s v="MPG"/>
    <s v="Indirect"/>
    <n v="332.70000000000005"/>
    <n v="12316.500000000002"/>
    <n v="0"/>
    <n v="0"/>
    <n v="0"/>
    <n v="0"/>
    <n v="0"/>
    <n v="0"/>
    <n v="12316.500000000002"/>
    <n v="0"/>
    <n v="0"/>
    <n v="0"/>
    <n v="0"/>
    <n v="0"/>
    <n v="0"/>
    <n v="0"/>
    <n v="0"/>
    <n v="12316.500000000002"/>
    <n v="0"/>
    <n v="0"/>
    <n v="271.94772768259691"/>
    <n v="47.528571428571432"/>
    <n v="0"/>
    <n v="0"/>
    <m/>
    <s v="Teghra"/>
    <m/>
    <n v="0"/>
  </r>
  <r>
    <s v="Munger"/>
    <s v="17-23 Jul"/>
    <n v="1008"/>
    <s v="Teghra"/>
    <x v="236"/>
    <s v="Paspura"/>
    <s v="vlc"/>
    <s v="Indirect"/>
    <n v="28.2"/>
    <n v="1018.72"/>
    <n v="0"/>
    <n v="0"/>
    <n v="0"/>
    <n v="0"/>
    <n v="0"/>
    <n v="0"/>
    <n v="1018.72"/>
    <n v="0"/>
    <n v="0"/>
    <n v="0"/>
    <n v="0"/>
    <n v="0"/>
    <n v="0"/>
    <n v="0"/>
    <n v="0"/>
    <n v="1018.72"/>
    <n v="0"/>
    <n v="0"/>
    <n v="485.37311773049652"/>
    <n v="4.0285714285714285"/>
    <n v="0"/>
    <n v="0"/>
    <m/>
    <s v="Teghra"/>
    <m/>
    <n v="0"/>
  </r>
  <r>
    <s v="Munger"/>
    <s v="17-23 Jul"/>
    <n v="1008"/>
    <s v="Teghra"/>
    <x v="237"/>
    <s v="Gomukh Godhna"/>
    <s v="vlc"/>
    <s v="Indirect"/>
    <n v="7.05"/>
    <n v="287.32"/>
    <n v="0"/>
    <n v="0"/>
    <n v="0"/>
    <n v="0"/>
    <n v="0"/>
    <n v="0"/>
    <n v="287.32"/>
    <n v="0"/>
    <n v="0"/>
    <n v="0"/>
    <n v="0"/>
    <n v="0"/>
    <n v="0"/>
    <n v="0"/>
    <n v="0"/>
    <n v="287.32"/>
    <n v="0"/>
    <n v="0"/>
    <n v="564.81813900709221"/>
    <n v="1.0071428571428571"/>
    <n v="0"/>
    <n v="0"/>
    <m/>
    <s v="Teghra"/>
    <m/>
    <n v="0"/>
  </r>
  <r>
    <s v="Munger"/>
    <s v="17-23 Jul"/>
    <n v="1008"/>
    <s v="Teghra"/>
    <x v="238"/>
    <s v="Gomukh Sihma 2"/>
    <s v="vlc"/>
    <s v="Indirect"/>
    <n v="269.8"/>
    <n v="10171.82"/>
    <n v="0"/>
    <n v="0"/>
    <n v="0"/>
    <n v="0"/>
    <n v="0"/>
    <n v="0"/>
    <n v="10171.82"/>
    <n v="0"/>
    <n v="0"/>
    <n v="0"/>
    <n v="0"/>
    <n v="0"/>
    <n v="0"/>
    <n v="0"/>
    <n v="0"/>
    <n v="10171.82"/>
    <n v="0"/>
    <n v="0"/>
    <n v="324.38228050407707"/>
    <n v="38.542857142857144"/>
    <n v="0"/>
    <n v="0"/>
    <m/>
    <s v="Teghra"/>
    <m/>
    <n v="0"/>
  </r>
  <r>
    <s v="Munger"/>
    <s v="17-23 Jul"/>
    <n v="1008"/>
    <s v="Teghra"/>
    <x v="239"/>
    <s v="Gomukh ID Marsaito"/>
    <s v="vlc"/>
    <s v="Indirect"/>
    <n v="708.35"/>
    <n v="26521.7"/>
    <n v="0"/>
    <n v="0"/>
    <n v="0"/>
    <n v="0"/>
    <n v="0"/>
    <n v="0"/>
    <n v="26521.7"/>
    <n v="0"/>
    <n v="0"/>
    <n v="0"/>
    <n v="0"/>
    <n v="0"/>
    <n v="0"/>
    <n v="0"/>
    <n v="0"/>
    <n v="26521.7"/>
    <n v="0"/>
    <n v="0"/>
    <n v="0"/>
    <n v="0"/>
    <n v="0"/>
    <n v="0"/>
    <m/>
    <s v="Teghra"/>
    <m/>
    <n v="0"/>
  </r>
  <r>
    <s v="Munger"/>
    <s v="17-23 Jul"/>
    <n v="1008"/>
    <s v="Teghra"/>
    <x v="240"/>
    <s v="Gomukh ID Akashpur-2"/>
    <s v="vlc"/>
    <s v="Indirect"/>
    <n v="389.7"/>
    <n v="14575.04"/>
    <n v="0"/>
    <n v="0"/>
    <n v="0"/>
    <n v="0"/>
    <n v="0"/>
    <n v="0"/>
    <n v="14575.04"/>
    <n v="0"/>
    <n v="0"/>
    <n v="0"/>
    <n v="0"/>
    <n v="0"/>
    <n v="0"/>
    <n v="0"/>
    <n v="0"/>
    <n v="14575.04"/>
    <n v="0"/>
    <n v="0"/>
    <n v="232.10854051834747"/>
    <n v="55.671428571428571"/>
    <n v="0"/>
    <n v="0"/>
    <m/>
    <s v="Teghra"/>
    <m/>
    <n v="0"/>
  </r>
  <r>
    <s v="Munger"/>
    <s v="17-23 Jul"/>
    <n v="1008"/>
    <s v="Teghra"/>
    <x v="241"/>
    <s v="Gomukh ID Akashpur"/>
    <s v="vlc"/>
    <s v="Indirect"/>
    <n v="408.49999999999994"/>
    <n v="17309.050000000003"/>
    <n v="0"/>
    <n v="0"/>
    <n v="0"/>
    <n v="0"/>
    <n v="0"/>
    <n v="0"/>
    <n v="17309.050000000003"/>
    <n v="0"/>
    <n v="0"/>
    <n v="0"/>
    <n v="0"/>
    <n v="0"/>
    <n v="0"/>
    <n v="0"/>
    <n v="0"/>
    <n v="17309.050000000003"/>
    <n v="0"/>
    <n v="0"/>
    <n v="247.03001591187279"/>
    <n v="58.357142857142847"/>
    <n v="0"/>
    <n v="0"/>
    <m/>
    <s v="Teghra"/>
    <m/>
    <n v="0"/>
  </r>
  <r>
    <s v="Munger"/>
    <s v="17-23 Jul"/>
    <n v="1008"/>
    <s v="Teghra"/>
    <x v="242"/>
    <s v="Gomukh ID Rachiyahi"/>
    <s v="vlc"/>
    <s v="Indirect"/>
    <n v="500.29999999999995"/>
    <n v="20581.310000000001"/>
    <n v="0"/>
    <n v="0"/>
    <n v="0"/>
    <n v="0"/>
    <n v="0"/>
    <n v="0"/>
    <n v="20581.310000000001"/>
    <n v="0"/>
    <n v="0"/>
    <n v="0"/>
    <n v="0"/>
    <n v="0"/>
    <n v="0"/>
    <n v="0"/>
    <n v="0"/>
    <n v="20581.310000000001"/>
    <n v="0"/>
    <n v="0"/>
    <n v="164.30492132720377"/>
    <n v="71.471428571428561"/>
    <n v="0"/>
    <n v="0"/>
    <m/>
    <s v="Teghra"/>
    <m/>
    <n v="0"/>
  </r>
  <r>
    <s v="Munger"/>
    <s v="17-23 Jul"/>
    <n v="1008"/>
    <s v="Teghra"/>
    <x v="243"/>
    <s v="GomukhBariyahi Chanan"/>
    <s v="MPG"/>
    <s v="Direct"/>
    <n v="1282.2500000000002"/>
    <n v="48339.549999999988"/>
    <n v="1277.4000000000001"/>
    <n v="48657.62"/>
    <n v="2.6000000000000005"/>
    <n v="94.430000000000021"/>
    <n v="1280"/>
    <n v="48752.05"/>
    <n v="48339.549999999988"/>
    <n v="0"/>
    <n v="94.430000000000021"/>
    <n v="412.50000000001455"/>
    <n v="0"/>
    <n v="0"/>
    <n v="0"/>
    <n v="48245"/>
    <n v="0"/>
    <n v="0"/>
    <n v="0"/>
    <n v="0"/>
    <n v="0"/>
    <n v="0"/>
    <n v="-8.5333851887329244E-3"/>
    <n v="9"/>
    <m/>
    <s v="Teghra"/>
    <m/>
    <n v="0"/>
  </r>
  <r>
    <s v="Munger"/>
    <s v="17-23 Jul"/>
    <n v="1008"/>
    <s v="Teghra"/>
    <x v="244"/>
    <s v="GomukhGehuni"/>
    <s v="MPG"/>
    <s v="Direct"/>
    <n v="140.95000000000002"/>
    <n v="5390.8799999999992"/>
    <n v="140.1"/>
    <n v="5358.1900000000005"/>
    <n v="1.0999999999999999"/>
    <n v="39.989999999999995"/>
    <n v="141.19999999999999"/>
    <n v="5398.18"/>
    <n v="5390.8799999999992"/>
    <n v="0"/>
    <n v="39.989999999999995"/>
    <n v="7.3000000000010914"/>
    <n v="0"/>
    <n v="500"/>
    <n v="0"/>
    <n v="4851"/>
    <n v="0"/>
    <n v="0"/>
    <n v="0"/>
    <n v="0"/>
    <n v="427.63695835402609"/>
    <n v="20.13571428571429"/>
    <n v="-1.3541388418961454E-3"/>
    <n v="3"/>
    <m/>
    <s v="Teghra"/>
    <m/>
    <n v="500"/>
  </r>
  <r>
    <s v="Munger"/>
    <s v="17-23 Jul"/>
    <n v="1008"/>
    <s v="Teghra"/>
    <x v="245"/>
    <s v="Gomukh Bakhatpur"/>
    <s v="MPG"/>
    <s v="Direct"/>
    <n v="169.1"/>
    <n v="7599.18"/>
    <n v="179.86"/>
    <n v="8078.17"/>
    <n v="2.86"/>
    <n v="119.48000000000002"/>
    <n v="182.72000000000003"/>
    <n v="8197.65"/>
    <n v="7599.18"/>
    <n v="0"/>
    <n v="119.48000000000002"/>
    <n v="598.46999999999935"/>
    <n v="0"/>
    <n v="0"/>
    <n v="0"/>
    <n v="8078"/>
    <n v="0"/>
    <n v="0"/>
    <n v="-598"/>
    <s v="Release1"/>
    <n v="477.1619943228859"/>
    <n v="24.157142857142855"/>
    <n v="-7.8754549833008211E-2"/>
    <n v="6"/>
    <m/>
    <s v="Teghra"/>
    <m/>
    <n v="0"/>
  </r>
  <r>
    <s v="Munger"/>
    <s v="17-23 Jul"/>
    <n v="1008"/>
    <s v="Teghra"/>
    <x v="246"/>
    <s v="Ananaya Dairy"/>
    <s v="vlc"/>
    <s v="Indirect"/>
    <n v="4877.2000000000007"/>
    <n v="197551.37999999998"/>
    <n v="0"/>
    <n v="0"/>
    <n v="0"/>
    <n v="0"/>
    <n v="0"/>
    <n v="0"/>
    <n v="197551.37999999998"/>
    <n v="0"/>
    <n v="0"/>
    <n v="0"/>
    <n v="0"/>
    <n v="0"/>
    <n v="0"/>
    <n v="0"/>
    <n v="0"/>
    <n v="197551.37999999998"/>
    <n v="0"/>
    <n v="0"/>
    <n v="0"/>
    <n v="0"/>
    <n v="0"/>
    <n v="0"/>
    <m/>
    <s v="Teghra"/>
    <m/>
    <n v="0"/>
  </r>
  <r>
    <s v="Munger"/>
    <s v="17-23 Jul"/>
    <n v="1008"/>
    <s v="Teghra"/>
    <x v="247"/>
    <s v="Gomukh Bishanpur"/>
    <s v="MPG"/>
    <s v="Direct"/>
    <n v="830.99999999999989"/>
    <n v="29860.539999999994"/>
    <n v="770.09999999999991"/>
    <n v="29362.57"/>
    <n v="12.79"/>
    <n v="483.05"/>
    <n v="782.88999999999987"/>
    <n v="29845.62"/>
    <n v="29845.62"/>
    <n v="0"/>
    <n v="483.05"/>
    <n v="0"/>
    <n v="0"/>
    <n v="0"/>
    <n v="0"/>
    <n v="29363"/>
    <n v="0"/>
    <n v="0"/>
    <n v="14"/>
    <n v="0"/>
    <n v="0"/>
    <n v="0"/>
    <n v="4.9965606784052195E-4"/>
    <n v="23"/>
    <m/>
    <s v="Teghra"/>
    <m/>
    <n v="0"/>
  </r>
  <r>
    <s v="Munger"/>
    <s v="17-23 Jul"/>
    <n v="1008"/>
    <s v="Teghra"/>
    <x v="248"/>
    <s v="GOMUKH BEGAMSARAI"/>
    <s v="MPG"/>
    <s v="Direct"/>
    <n v="187.55"/>
    <n v="8600.01"/>
    <n v="36.910000000000004"/>
    <n v="1693.0499999999997"/>
    <n v="144.73000000000002"/>
    <n v="6651.2199999999993"/>
    <n v="181.64000000000001"/>
    <n v="8344.2699999999986"/>
    <n v="8344.2699999999986"/>
    <n v="0"/>
    <n v="191.84"/>
    <n v="0"/>
    <n v="0"/>
    <n v="0"/>
    <n v="0"/>
    <n v="1693"/>
    <n v="6459"/>
    <n v="0"/>
    <n v="256"/>
    <n v="0"/>
    <n v="469.96268989602777"/>
    <n v="26.792857142857144"/>
    <n v="2.9737174724215623E-2"/>
    <n v="11"/>
    <m/>
    <s v="Teghra"/>
    <m/>
    <n v="0"/>
  </r>
  <r>
    <s v="Munger"/>
    <s v="17-23 Jul"/>
    <n v="1008"/>
    <s v="Teghra"/>
    <x v="249"/>
    <s v="Bariyahi - Ramvaran"/>
    <s v="vlc"/>
    <s v="Indirect"/>
    <n v="206.25"/>
    <n v="8337.92"/>
    <n v="0"/>
    <n v="0"/>
    <n v="0"/>
    <n v="0"/>
    <n v="0"/>
    <n v="0"/>
    <n v="8337.92"/>
    <n v="0"/>
    <n v="0"/>
    <n v="0"/>
    <n v="0"/>
    <n v="0"/>
    <n v="0"/>
    <n v="0"/>
    <n v="0"/>
    <n v="8337.92"/>
    <n v="0"/>
    <n v="0"/>
    <n v="399.20950303030298"/>
    <n v="29.464285714285715"/>
    <n v="0"/>
    <n v="0"/>
    <m/>
    <s v="Teghra"/>
    <m/>
    <n v="0"/>
  </r>
  <r>
    <s v="Munger"/>
    <s v="17-23 Jul"/>
    <n v="1008"/>
    <s v="Teghra"/>
    <x v="250"/>
    <s v="Hasanpur - Abhijeet"/>
    <s v="vlc"/>
    <s v="Indirect"/>
    <n v="6077.45"/>
    <n v="243864.52"/>
    <n v="0"/>
    <n v="0"/>
    <n v="0"/>
    <n v="0"/>
    <n v="0"/>
    <n v="0"/>
    <n v="243864.52"/>
    <n v="0"/>
    <n v="0"/>
    <n v="0"/>
    <n v="0"/>
    <n v="0"/>
    <n v="0"/>
    <n v="0"/>
    <n v="0"/>
    <n v="243864.52"/>
    <n v="0"/>
    <n v="0"/>
    <n v="0"/>
    <n v="0"/>
    <n v="0"/>
    <n v="0"/>
    <m/>
    <s v="Teghra"/>
    <m/>
    <n v="0"/>
  </r>
  <r>
    <s v="Munger"/>
    <s v="17-23 Jul"/>
    <n v="1008"/>
    <s v="Teghra"/>
    <x v="251"/>
    <s v="Adharpur - Manish"/>
    <s v="vlc"/>
    <s v="Indirect"/>
    <n v="783.80000000000007"/>
    <n v="32152.699999999997"/>
    <n v="0"/>
    <n v="0"/>
    <n v="0"/>
    <n v="0"/>
    <n v="0"/>
    <n v="0"/>
    <n v="32152.699999999997"/>
    <n v="0"/>
    <n v="0"/>
    <n v="0"/>
    <n v="0"/>
    <n v="0"/>
    <n v="0"/>
    <n v="0"/>
    <n v="0"/>
    <n v="32152.699999999997"/>
    <n v="0"/>
    <n v="0"/>
    <n v="0"/>
    <n v="0"/>
    <n v="0"/>
    <n v="0"/>
    <m/>
    <s v="Teghra"/>
    <m/>
    <n v="0"/>
  </r>
  <r>
    <s v="Munger"/>
    <s v="17-23 Jul"/>
    <n v="1008"/>
    <s v="Teghra"/>
    <x v="252"/>
    <s v="Rani - Surender"/>
    <s v="vlc"/>
    <s v="Indirect"/>
    <n v="166.75"/>
    <n v="6909.5199999999995"/>
    <n v="0"/>
    <n v="0"/>
    <n v="0"/>
    <n v="0"/>
    <n v="0"/>
    <n v="0"/>
    <n v="6909.5199999999995"/>
    <n v="0"/>
    <n v="0"/>
    <n v="0"/>
    <n v="0"/>
    <n v="0"/>
    <n v="0"/>
    <n v="0"/>
    <n v="0"/>
    <n v="6909.5199999999995"/>
    <n v="0"/>
    <n v="0"/>
    <n v="441.91922518740625"/>
    <n v="23.821428571428573"/>
    <n v="0"/>
    <n v="0"/>
    <m/>
    <s v="Teghra"/>
    <m/>
    <n v="0"/>
  </r>
  <r>
    <s v="Munger"/>
    <s v="17-23 Jul"/>
    <n v="1008"/>
    <s v="Teghra"/>
    <x v="253"/>
    <s v="GOMUKH RANI 3"/>
    <s v="MPG"/>
    <s v="Direct"/>
    <n v="86.699999999999989"/>
    <n v="3912.49"/>
    <n v="85.14"/>
    <n v="3702.2400000000002"/>
    <n v="0.61"/>
    <n v="26.54"/>
    <n v="85.75"/>
    <n v="3728.78"/>
    <n v="3728.78"/>
    <n v="0"/>
    <n v="26.54"/>
    <n v="0"/>
    <n v="0"/>
    <n v="500"/>
    <n v="0"/>
    <n v="3203"/>
    <n v="0"/>
    <n v="0"/>
    <n v="183"/>
    <n v="0"/>
    <n v="553.52482514417534"/>
    <n v="12.385714285714284"/>
    <n v="4.695475260000654E-2"/>
    <n v="4"/>
    <m/>
    <s v="Teghra"/>
    <m/>
    <n v="500"/>
  </r>
  <r>
    <s v="Munger"/>
    <s v="17-23 Jul"/>
    <n v="1008"/>
    <s v="Teghra"/>
    <x v="254"/>
    <s v="GOMUKH NONPUR"/>
    <s v="MPG"/>
    <s v="Direct"/>
    <n v="498.64999999999992"/>
    <n v="19804.659999999996"/>
    <n v="506.40000000000009"/>
    <n v="20340.52"/>
    <n v="1.55"/>
    <n v="62.22"/>
    <n v="507.9500000000001"/>
    <n v="20402.740000000002"/>
    <n v="19804.659999999996"/>
    <n v="0"/>
    <n v="62.22"/>
    <n v="598.08000000000538"/>
    <n v="0"/>
    <n v="0"/>
    <n v="0"/>
    <n v="19742"/>
    <n v="0"/>
    <n v="0"/>
    <n v="0"/>
    <n v="0"/>
    <n v="159.93856576757247"/>
    <n v="71.23571428571428"/>
    <n v="-3.0198953175667016E-2"/>
    <n v="4"/>
    <m/>
    <s v="Teghra"/>
    <m/>
    <n v="0"/>
  </r>
  <r>
    <s v="Munger"/>
    <s v="17-23 Jul"/>
    <n v="1008"/>
    <s v="Teghra"/>
    <x v="255"/>
    <s v="GOMUKH FATEHA"/>
    <s v="MPG"/>
    <s v="Direct"/>
    <n v="13.45"/>
    <n v="547.82000000000005"/>
    <n v="13"/>
    <n v="524.03"/>
    <n v="0"/>
    <n v="0"/>
    <n v="13"/>
    <n v="524.03"/>
    <n v="524.03"/>
    <n v="0"/>
    <n v="0"/>
    <n v="0"/>
    <n v="0"/>
    <n v="0"/>
    <n v="0"/>
    <n v="524"/>
    <n v="0"/>
    <n v="0"/>
    <n v="24"/>
    <n v="0"/>
    <n v="559.26516133829011"/>
    <n v="1.9214285714285713"/>
    <n v="4.3426672994779446E-2"/>
    <n v="1"/>
    <m/>
    <s v="Teghra"/>
    <m/>
    <n v="0"/>
  </r>
  <r>
    <s v="Munger"/>
    <s v="17-23 Jul"/>
    <n v="1008"/>
    <s v="Teghra"/>
    <x v="256"/>
    <s v="Bablu Singh"/>
    <s v="vlc"/>
    <s v="Indirect"/>
    <n v="1177.8"/>
    <n v="45147.109999999993"/>
    <n v="0"/>
    <n v="0"/>
    <n v="0"/>
    <n v="0"/>
    <n v="0"/>
    <n v="0"/>
    <n v="45147.109999999993"/>
    <n v="0"/>
    <n v="0"/>
    <n v="0"/>
    <n v="0"/>
    <n v="0"/>
    <n v="0"/>
    <n v="0"/>
    <n v="0"/>
    <n v="45147.109999999993"/>
    <n v="0"/>
    <n v="0"/>
    <n v="0"/>
    <n v="0"/>
    <n v="0"/>
    <n v="0"/>
    <m/>
    <s v="Teghra"/>
    <m/>
    <n v="0"/>
  </r>
  <r>
    <s v="Munger"/>
    <s v="17-23 Jul"/>
    <n v="1008"/>
    <s v="Teghra"/>
    <x v="257"/>
    <s v="Gomukh Rani                                                                                         "/>
    <s v="MPG"/>
    <s v="Direct"/>
    <n v="358.20000000000005"/>
    <n v="13693.159999999998"/>
    <n v="145.68"/>
    <n v="6020.4"/>
    <n v="184.31999999999996"/>
    <n v="7662.85"/>
    <n v="330"/>
    <n v="13683.25"/>
    <n v="13683.25"/>
    <n v="0"/>
    <n v="0"/>
    <n v="0"/>
    <n v="0"/>
    <n v="0"/>
    <n v="0"/>
    <n v="6020"/>
    <n v="7663"/>
    <n v="0"/>
    <n v="10"/>
    <n v="0"/>
    <n v="261.32451635957557"/>
    <n v="51.171428571428578"/>
    <n v="7.2371899546912742E-4"/>
    <n v="12"/>
    <m/>
    <s v="Teghra"/>
    <m/>
    <n v="0"/>
  </r>
  <r>
    <s v="Munger"/>
    <s v="17-23 Jul"/>
    <n v="1008"/>
    <s v="Teghra"/>
    <x v="258"/>
    <s v="GOMUKH ROOPNAGAR"/>
    <s v="vlc"/>
    <s v="Direct"/>
    <n v="209.45000000000002"/>
    <n v="7774.0199999999986"/>
    <n v="209.29999999999998"/>
    <n v="7768.5300000000016"/>
    <n v="0"/>
    <n v="0"/>
    <n v="209.29999999999998"/>
    <n v="7768.5300000000016"/>
    <n v="7768.5300000000016"/>
    <n v="0"/>
    <n v="0"/>
    <n v="0"/>
    <n v="0"/>
    <n v="0"/>
    <n v="0"/>
    <n v="7769"/>
    <n v="0"/>
    <n v="0"/>
    <n v="5"/>
    <n v="0"/>
    <n v="364.14853291955109"/>
    <n v="29.921428571428574"/>
    <n v="7.0619833753927236E-4"/>
    <n v="1"/>
    <m/>
    <s v="Teghra"/>
    <m/>
    <n v="0"/>
  </r>
  <r>
    <s v="Munger"/>
    <s v="17-23 Jul"/>
    <n v="1008"/>
    <s v="Teghra"/>
    <x v="259"/>
    <s v="GOMUKH HADIPUR"/>
    <s v="MPG"/>
    <s v="Direct"/>
    <n v="410.6"/>
    <n v="15899.070000000002"/>
    <n v="391.55000000000007"/>
    <n v="15790.230000000001"/>
    <n v="0.64999999999999991"/>
    <n v="26.36"/>
    <n v="392.20000000000005"/>
    <n v="15816.590000000002"/>
    <n v="15816.590000000002"/>
    <n v="0"/>
    <n v="26.36"/>
    <n v="0"/>
    <n v="0"/>
    <n v="500"/>
    <n v="0"/>
    <n v="15290"/>
    <n v="0"/>
    <n v="0"/>
    <n v="83"/>
    <n v="0"/>
    <n v="224.12035353141746"/>
    <n v="58.657142857142858"/>
    <n v="5.1877248166087419E-3"/>
    <n v="2"/>
    <m/>
    <s v="Teghra"/>
    <m/>
    <n v="500"/>
  </r>
  <r>
    <s v="Munger"/>
    <s v="17-23 Jul"/>
    <n v="1008"/>
    <s v="Teghra"/>
    <x v="260"/>
    <s v="Gomukh Harichak"/>
    <s v="MPG"/>
    <s v="Direct"/>
    <n v="124.65000000000002"/>
    <n v="5039.29"/>
    <n v="115.87"/>
    <n v="4541.6400000000003"/>
    <n v="0"/>
    <n v="0"/>
    <n v="115.87"/>
    <n v="4541.6400000000003"/>
    <n v="4541.6400000000003"/>
    <n v="0"/>
    <n v="0"/>
    <n v="0"/>
    <n v="0"/>
    <n v="500"/>
    <n v="0"/>
    <n v="4042"/>
    <n v="0"/>
    <n v="0"/>
    <n v="497"/>
    <n v="0"/>
    <n v="465.19943866827094"/>
    <n v="17.80714285714286"/>
    <n v="9.8753991137640357E-2"/>
    <n v="4"/>
    <m/>
    <s v="Teghra"/>
    <m/>
    <n v="500"/>
  </r>
  <r>
    <s v="Munger"/>
    <s v="17-23 Jul"/>
    <n v="1008"/>
    <s v="Teghra"/>
    <x v="261"/>
    <s v="PAWAN RAY"/>
    <s v="vlc"/>
    <s v="Indirect"/>
    <n v="5637.7000000000007"/>
    <n v="224895.87000000005"/>
    <n v="0"/>
    <n v="0"/>
    <n v="0"/>
    <n v="0"/>
    <n v="0"/>
    <n v="0"/>
    <n v="224895.87000000005"/>
    <n v="0"/>
    <n v="0"/>
    <n v="0"/>
    <n v="0"/>
    <n v="0"/>
    <n v="0"/>
    <n v="0"/>
    <n v="0"/>
    <n v="224895.87000000005"/>
    <n v="0"/>
    <n v="0"/>
    <n v="0"/>
    <n v="0"/>
    <n v="0"/>
    <n v="0"/>
    <m/>
    <s v="Teghra"/>
    <m/>
    <n v="0"/>
  </r>
  <r>
    <s v="Munger"/>
    <s v="17-23 Jul"/>
    <n v="1008"/>
    <s v="Teghra"/>
    <x v="262"/>
    <s v="RAJ BHARDWAJ"/>
    <s v="vlc"/>
    <s v="Indirect"/>
    <n v="258.90000000000003"/>
    <n v="9934.2799999999988"/>
    <n v="0"/>
    <n v="0"/>
    <n v="0"/>
    <n v="0"/>
    <n v="0"/>
    <n v="0"/>
    <n v="9934.2799999999988"/>
    <n v="0"/>
    <n v="0"/>
    <n v="0"/>
    <n v="0"/>
    <n v="0"/>
    <n v="0"/>
    <n v="0"/>
    <n v="0"/>
    <n v="9934.2799999999988"/>
    <n v="0"/>
    <n v="0"/>
    <n v="338.50991950560046"/>
    <n v="36.985714285714288"/>
    <n v="0"/>
    <n v="0"/>
    <m/>
    <s v="Teghra"/>
    <m/>
    <n v="0"/>
  </r>
  <r>
    <s v="Munger"/>
    <s v="17-23 Jul"/>
    <n v="1008"/>
    <s v="Teghra"/>
    <x v="263"/>
    <s v="Gomukh Amarpur"/>
    <s v="MPG"/>
    <s v="Direct"/>
    <n v="26.65"/>
    <n v="1196.5900000000001"/>
    <n v="27.28"/>
    <n v="1193.8699999999999"/>
    <n v="0"/>
    <n v="0"/>
    <n v="27.28"/>
    <n v="1193.8699999999999"/>
    <n v="1193.8699999999999"/>
    <n v="0"/>
    <n v="0"/>
    <n v="0"/>
    <n v="0"/>
    <n v="0"/>
    <n v="0"/>
    <n v="1194"/>
    <n v="0"/>
    <n v="0"/>
    <n v="3"/>
    <n v="0"/>
    <n v="604.67082664165127"/>
    <n v="3.8071428571428569"/>
    <n v="2.2731261334293738E-3"/>
    <n v="3"/>
    <m/>
    <s v="Teghra"/>
    <m/>
    <n v="0"/>
  </r>
  <r>
    <s v="Munger"/>
    <s v="17-23 Jul"/>
    <n v="1008"/>
    <s v="Teghra"/>
    <x v="264"/>
    <s v="Prashant Kumar"/>
    <s v="vlc"/>
    <s v="Indirect"/>
    <n v="72.05"/>
    <n v="2662.75"/>
    <n v="0"/>
    <n v="0"/>
    <n v="0"/>
    <n v="0"/>
    <n v="0"/>
    <n v="0"/>
    <n v="2662.75"/>
    <n v="0"/>
    <n v="0"/>
    <n v="0"/>
    <n v="0"/>
    <n v="0"/>
    <n v="0"/>
    <n v="0"/>
    <n v="0"/>
    <n v="2662.75"/>
    <n v="0"/>
    <n v="0"/>
    <n v="464.14264052741157"/>
    <n v="10.292857142857143"/>
    <n v="0"/>
    <n v="0"/>
    <m/>
    <s v="Teghra"/>
    <m/>
    <n v="0"/>
  </r>
  <r>
    <s v="Munger"/>
    <s v="17-23 Jul"/>
    <n v="1008"/>
    <s v="Teghra"/>
    <x v="266"/>
    <s v="CHANDAN YADAV"/>
    <s v="vlc"/>
    <s v="Indirect"/>
    <n v="281.34999999999997"/>
    <n v="10661.09"/>
    <n v="0"/>
    <n v="0"/>
    <n v="0"/>
    <n v="0"/>
    <n v="0"/>
    <n v="0"/>
    <n v="10661.09"/>
    <n v="0"/>
    <n v="0"/>
    <n v="0"/>
    <n v="0"/>
    <n v="0"/>
    <n v="0"/>
    <n v="0"/>
    <n v="0"/>
    <n v="10661.09"/>
    <n v="0"/>
    <n v="0"/>
    <n v="317.27494782299635"/>
    <n v="40.192857142857136"/>
    <n v="0"/>
    <n v="0"/>
    <m/>
    <s v="Teghra"/>
    <m/>
    <n v="0"/>
  </r>
  <r>
    <s v="Munger"/>
    <s v="17-23 Jul"/>
    <n v="1008"/>
    <s v="Teghra"/>
    <x v="267"/>
    <s v="ANITA DEVI"/>
    <s v="vlc"/>
    <s v="Indirect"/>
    <n v="338.55"/>
    <n v="12436.000000000002"/>
    <n v="0"/>
    <n v="0"/>
    <n v="0"/>
    <n v="0"/>
    <n v="0"/>
    <n v="0"/>
    <n v="12436.000000000002"/>
    <n v="0"/>
    <n v="0"/>
    <n v="0"/>
    <n v="0"/>
    <n v="0"/>
    <n v="0"/>
    <n v="0"/>
    <n v="0"/>
    <n v="12436.000000000002"/>
    <n v="0"/>
    <n v="0"/>
    <n v="265.54377196869001"/>
    <n v="48.364285714285714"/>
    <n v="0"/>
    <n v="0"/>
    <m/>
    <s v="Teghra"/>
    <m/>
    <n v="0"/>
  </r>
  <r>
    <s v="Munger"/>
    <s v="17-23 Jul"/>
    <n v="1008"/>
    <s v="Teghra"/>
    <x v="268"/>
    <s v="GOMUKH FATEHA SALEMPUR"/>
    <s v="MPG"/>
    <s v="Direct"/>
    <n v="207.25"/>
    <n v="8107.2199999999993"/>
    <n v="207.5"/>
    <n v="8116.66"/>
    <n v="7"/>
    <n v="276.24"/>
    <n v="214.5"/>
    <n v="8392.9"/>
    <n v="8107.2199999999993"/>
    <n v="0"/>
    <n v="276.24"/>
    <n v="285.68000000000029"/>
    <n v="0"/>
    <n v="500"/>
    <n v="0"/>
    <n v="7331"/>
    <n v="0"/>
    <n v="0"/>
    <n v="0"/>
    <n v="0"/>
    <n v="385.50857949336546"/>
    <n v="29.607142857142858"/>
    <n v="-3.5237726372295351E-2"/>
    <n v="2"/>
    <m/>
    <s v="Teghra"/>
    <m/>
    <n v="500"/>
  </r>
  <r>
    <s v="Munger"/>
    <s v="17-23 Jul"/>
    <n v="1008"/>
    <s v="Teghra"/>
    <x v="269"/>
    <s v="GOMUKH GEHUNI 2"/>
    <s v="MPG"/>
    <s v="Direct"/>
    <n v="522.05000000000007"/>
    <n v="21303.149999999998"/>
    <n v="546.64"/>
    <n v="21092.02"/>
    <n v="0.48999999999999994"/>
    <n v="18.78"/>
    <n v="547.13"/>
    <n v="21110.799999999999"/>
    <n v="21110.799999999999"/>
    <n v="0"/>
    <n v="18.78"/>
    <n v="0"/>
    <n v="0"/>
    <n v="0"/>
    <n v="0"/>
    <n v="21092"/>
    <n v="0"/>
    <n v="0"/>
    <n v="192"/>
    <n v="0"/>
    <n v="145.23112891485482"/>
    <n v="74.578571428571436"/>
    <n v="9.029181130490024E-3"/>
    <n v="4"/>
    <m/>
    <s v="Teghra"/>
    <m/>
    <n v="0"/>
  </r>
  <r>
    <s v="Munger"/>
    <s v="17-23 Jul"/>
    <n v="1008"/>
    <s v="Teghra"/>
    <x v="270"/>
    <s v="GOMUKH MALHIPUR"/>
    <s v="MPG"/>
    <s v="Direct"/>
    <n v="668"/>
    <n v="25006.65"/>
    <n v="715.1"/>
    <n v="24623.55"/>
    <n v="1.7"/>
    <n v="62.109999999999992"/>
    <n v="716.80000000000007"/>
    <n v="24685.66"/>
    <n v="24685.66"/>
    <n v="0"/>
    <n v="62.109999999999992"/>
    <n v="0"/>
    <n v="0"/>
    <n v="0"/>
    <n v="0"/>
    <n v="24623"/>
    <n v="0"/>
    <n v="0"/>
    <n v="322"/>
    <n v="0"/>
    <n v="23.958467065868259"/>
    <n v="95.428571428571431"/>
    <n v="1.2836185574637209E-2"/>
    <n v="8"/>
    <m/>
    <s v="Teghra"/>
    <m/>
    <n v="0"/>
  </r>
  <r>
    <s v="Munger"/>
    <s v="17-23 Jul"/>
    <n v="1008"/>
    <s v="Teghra"/>
    <x v="271"/>
    <s v="Rasalpur - Durgesh Kumar"/>
    <s v="vlc"/>
    <s v="Indirect"/>
    <n v="272.55"/>
    <n v="10867.189999999999"/>
    <n v="0"/>
    <n v="0"/>
    <n v="0"/>
    <n v="0"/>
    <n v="0"/>
    <n v="0"/>
    <n v="10867.189999999999"/>
    <n v="0"/>
    <n v="0"/>
    <n v="0"/>
    <n v="0"/>
    <n v="0"/>
    <n v="0"/>
    <n v="0"/>
    <n v="0"/>
    <n v="10867.189999999999"/>
    <n v="0"/>
    <n v="0"/>
    <n v="340.86812441753801"/>
    <n v="38.93571428571429"/>
    <n v="0"/>
    <n v="0"/>
    <m/>
    <s v="Teghra"/>
    <m/>
    <n v="0"/>
  </r>
  <r>
    <s v="Munger"/>
    <s v="17-23 Jul"/>
    <n v="1008"/>
    <s v="Teghra"/>
    <x v="272"/>
    <s v="Barauni Bariyarpur"/>
    <s v="MPG"/>
    <s v="Direct"/>
    <n v="415.3"/>
    <n v="15850.14"/>
    <n v="414.8"/>
    <n v="15625.52"/>
    <n v="0"/>
    <n v="0"/>
    <n v="414.8"/>
    <n v="15625.52"/>
    <n v="15625.52"/>
    <n v="0"/>
    <n v="0"/>
    <n v="0"/>
    <n v="0"/>
    <n v="0"/>
    <n v="0"/>
    <n v="15626"/>
    <n v="0"/>
    <n v="0"/>
    <n v="224"/>
    <n v="0"/>
    <n v="217.31446462797976"/>
    <n v="59.328571428571429"/>
    <n v="1.4171483658819354E-2"/>
    <n v="1"/>
    <m/>
    <s v="Teghra"/>
    <m/>
    <n v="0"/>
  </r>
  <r>
    <s v="Munger"/>
    <s v="17-23 Jul"/>
    <n v="1008"/>
    <s v="Teghra"/>
    <x v="274"/>
    <s v="Fateha - Anil Yadav"/>
    <s v="vlc"/>
    <s v="Indirect"/>
    <n v="180.79999999999998"/>
    <n v="7173.7800000000007"/>
    <n v="0"/>
    <n v="0"/>
    <n v="0"/>
    <n v="0"/>
    <n v="0"/>
    <n v="0"/>
    <n v="7173.7800000000007"/>
    <n v="0"/>
    <n v="0"/>
    <n v="0"/>
    <n v="0"/>
    <n v="0"/>
    <n v="0"/>
    <n v="0"/>
    <n v="0"/>
    <n v="7173.7800000000007"/>
    <n v="0"/>
    <n v="0"/>
    <n v="412.01621415929213"/>
    <n v="25.828571428571426"/>
    <n v="0"/>
    <n v="0"/>
    <m/>
    <s v="Teghra"/>
    <m/>
    <n v="0"/>
  </r>
  <r>
    <s v="Munger"/>
    <s v="17-23 Jul"/>
    <n v="1008"/>
    <s v="Teghra"/>
    <x v="275"/>
    <s v="Bihat - Chakballi"/>
    <s v="MPG"/>
    <s v="Direct"/>
    <n v="119.45"/>
    <n v="4396.75"/>
    <n v="119"/>
    <n v="4432.75"/>
    <n v="0"/>
    <n v="0"/>
    <n v="119"/>
    <n v="4432.75"/>
    <n v="4396.75"/>
    <n v="0"/>
    <n v="0"/>
    <n v="36"/>
    <n v="0"/>
    <n v="0"/>
    <n v="0"/>
    <n v="4433"/>
    <n v="0"/>
    <n v="0"/>
    <n v="-36"/>
    <s v="Release1"/>
    <n v="427.38103181247379"/>
    <n v="17.064285714285713"/>
    <n v="-8.1878660374139992E-3"/>
    <n v="1"/>
    <m/>
    <s v="Teghra"/>
    <m/>
    <n v="0"/>
  </r>
  <r>
    <s v="Munger"/>
    <s v="17-23 Jul"/>
    <n v="1008"/>
    <s v="Teghra"/>
    <x v="276"/>
    <s v="Sibutol- Naya Tola"/>
    <s v="MPG"/>
    <s v="Direct"/>
    <n v="22.65"/>
    <n v="797.41000000000008"/>
    <n v="44.69"/>
    <n v="1490.86"/>
    <n v="0"/>
    <n v="0"/>
    <n v="44.69"/>
    <n v="1490.86"/>
    <n v="797.41000000000008"/>
    <n v="0"/>
    <n v="0"/>
    <n v="693.44999999999982"/>
    <n v="0"/>
    <n v="500"/>
    <n v="0"/>
    <n v="297"/>
    <n v="0"/>
    <n v="0"/>
    <n v="0"/>
    <n v="0"/>
    <n v="476.93215320088314"/>
    <n v="3.2357142857142853"/>
    <n v="-0.86962792039226966"/>
    <n v="1"/>
    <m/>
    <s v="Teghra"/>
    <m/>
    <n v="500"/>
  </r>
  <r>
    <s v="Munger"/>
    <s v="17-23 Jul"/>
    <n v="1008"/>
    <s v="Teghra"/>
    <x v="277"/>
    <s v="Rasalpur"/>
    <s v="vlc"/>
    <s v="Indirect"/>
    <n v="1409.3"/>
    <n v="52385.599999999999"/>
    <n v="0"/>
    <n v="0"/>
    <n v="0"/>
    <n v="0"/>
    <n v="0"/>
    <n v="0"/>
    <n v="52385.599999999999"/>
    <n v="0"/>
    <n v="0"/>
    <n v="0"/>
    <n v="0"/>
    <n v="0"/>
    <n v="0"/>
    <n v="0"/>
    <n v="0"/>
    <n v="52385.599999999999"/>
    <n v="0"/>
    <n v="0"/>
    <n v="0"/>
    <n v="0"/>
    <n v="0"/>
    <n v="0"/>
    <m/>
    <s v="Teghra"/>
    <m/>
    <n v="0"/>
  </r>
  <r>
    <s v="Munger"/>
    <s v="17-23 Jul"/>
    <n v="1008"/>
    <s v="Teghra"/>
    <x v="278"/>
    <s v="Samsa"/>
    <s v="vlc"/>
    <s v="Indirect"/>
    <n v="1211.4000000000001"/>
    <n v="50621.299999999996"/>
    <n v="0"/>
    <n v="0"/>
    <n v="0"/>
    <n v="0"/>
    <n v="0"/>
    <n v="0"/>
    <n v="50621.299999999996"/>
    <n v="0"/>
    <n v="0"/>
    <n v="0"/>
    <n v="0"/>
    <n v="0"/>
    <n v="0"/>
    <n v="0"/>
    <n v="0"/>
    <n v="50621.299999999996"/>
    <n v="0"/>
    <n v="0"/>
    <n v="0"/>
    <n v="0"/>
    <n v="0"/>
    <n v="0"/>
    <m/>
    <s v="Teghra"/>
    <m/>
    <n v="0"/>
  </r>
  <r>
    <s v="Munger"/>
    <s v="17-23 Jul"/>
    <n v="1008"/>
    <s v="Teghra"/>
    <x v="279"/>
    <s v="Dahiya"/>
    <s v="vlc"/>
    <s v="Indirect"/>
    <n v="469.90000000000003"/>
    <n v="17752.54"/>
    <n v="0"/>
    <n v="0"/>
    <n v="0"/>
    <n v="0"/>
    <n v="0"/>
    <n v="0"/>
    <n v="17752.54"/>
    <n v="0"/>
    <n v="0"/>
    <n v="0"/>
    <n v="0"/>
    <n v="0"/>
    <n v="0"/>
    <n v="0"/>
    <n v="0"/>
    <n v="17752.54"/>
    <n v="0"/>
    <n v="0"/>
    <n v="173.86079821238556"/>
    <n v="67.128571428571433"/>
    <n v="0"/>
    <n v="0"/>
    <m/>
    <s v="Teghra"/>
    <m/>
    <n v="0"/>
  </r>
  <r>
    <s v="Munger"/>
    <s v="17-23 Jul"/>
    <n v="1008"/>
    <s v="Teghra"/>
    <x v="280"/>
    <s v="Gaura"/>
    <s v="MPG"/>
    <s v="Direct"/>
    <n v="268.39999999999998"/>
    <n v="10267.66"/>
    <n v="268.10000000000002"/>
    <n v="10211.93"/>
    <n v="0"/>
    <n v="0"/>
    <n v="268.10000000000002"/>
    <n v="10211.93"/>
    <n v="10211.93"/>
    <n v="0"/>
    <n v="0"/>
    <n v="0"/>
    <n v="0"/>
    <n v="0"/>
    <n v="0"/>
    <n v="10212"/>
    <n v="0"/>
    <n v="0"/>
    <n v="56"/>
    <n v="0"/>
    <n v="330.21773889716849"/>
    <n v="38.342857142857142"/>
    <n v="5.4277216035590941E-3"/>
    <n v="1"/>
    <m/>
    <s v="Teghra"/>
    <m/>
    <n v="0"/>
  </r>
  <r>
    <s v="Munger"/>
    <s v="17-23 Jul"/>
    <n v="1008"/>
    <s v="Teghra"/>
    <x v="281"/>
    <s v="Mukhtiyarpur"/>
    <s v="MPG"/>
    <s v="Direct"/>
    <n v="119.19999999999999"/>
    <n v="4685.38"/>
    <n v="118.81"/>
    <n v="4837.9400000000005"/>
    <n v="0"/>
    <n v="0"/>
    <n v="118.81"/>
    <n v="4837.9400000000005"/>
    <n v="4685.38"/>
    <n v="0"/>
    <n v="0"/>
    <n v="152.5600000000004"/>
    <n v="0"/>
    <n v="0"/>
    <n v="0"/>
    <n v="4685"/>
    <n v="0"/>
    <n v="0"/>
    <n v="0"/>
    <n v="0"/>
    <n v="456.58870872483243"/>
    <n v="17.028571428571428"/>
    <n v="-3.2560859524734469E-2"/>
    <n v="1"/>
    <m/>
    <s v="Teghra"/>
    <m/>
    <n v="0"/>
  </r>
  <r>
    <s v="Munger"/>
    <s v="17-23 Jul"/>
    <n v="1008"/>
    <s v="Teghra"/>
    <x v="282"/>
    <s v="Gomukh Rudauli-02"/>
    <s v="MPG"/>
    <s v="Direct"/>
    <n v="615.00000000000011"/>
    <n v="24298.669999999995"/>
    <n v="547.20000000000005"/>
    <n v="21198.180000000004"/>
    <n v="67.22999999999999"/>
    <n v="2421.91"/>
    <n v="614.43000000000006"/>
    <n v="23620.090000000004"/>
    <n v="23620.090000000004"/>
    <n v="0"/>
    <n v="0"/>
    <n v="0"/>
    <n v="0"/>
    <n v="0"/>
    <n v="0"/>
    <n v="21197"/>
    <n v="2422"/>
    <n v="0"/>
    <n v="680"/>
    <n v="0"/>
    <n v="67.167055284552731"/>
    <n v="87.857142857142875"/>
    <n v="2.7926631375297124E-2"/>
    <n v="11"/>
    <m/>
    <s v="Teghra"/>
    <m/>
    <n v="0"/>
  </r>
  <r>
    <s v="Munger"/>
    <s v="17-23 Jul"/>
    <n v="1008"/>
    <s v="Teghra"/>
    <x v="283"/>
    <s v="Gomukh Puranatol Raichiahi"/>
    <s v="MPG"/>
    <s v="Direct"/>
    <n v="603.04999999999995"/>
    <n v="23753.03"/>
    <n v="603"/>
    <n v="23722.02"/>
    <n v="0"/>
    <n v="0"/>
    <n v="603"/>
    <n v="23722.02"/>
    <n v="23722.02"/>
    <n v="0"/>
    <n v="0"/>
    <n v="0"/>
    <n v="0"/>
    <n v="0"/>
    <n v="0"/>
    <n v="23722"/>
    <n v="0"/>
    <n v="0"/>
    <n v="31"/>
    <n v="0"/>
    <n v="76.373642600116113"/>
    <n v="86.149999999999991"/>
    <n v="1.3055176539581855E-3"/>
    <n v="1"/>
    <m/>
    <s v="Teghra"/>
    <m/>
    <n v="0"/>
  </r>
  <r>
    <s v="Munger"/>
    <s v="17-23 Jul"/>
    <n v="1008"/>
    <s v="Teghra"/>
    <x v="284"/>
    <s v="Bihat-Gududaspur"/>
    <s v="MPG"/>
    <s v="Direct"/>
    <n v="215.75"/>
    <n v="8763.35"/>
    <n v="215"/>
    <n v="8726.85"/>
    <n v="0"/>
    <n v="0"/>
    <n v="215"/>
    <n v="8726.85"/>
    <n v="8726.85"/>
    <n v="0"/>
    <n v="0"/>
    <n v="0"/>
    <n v="0"/>
    <n v="0"/>
    <n v="0"/>
    <n v="8727"/>
    <n v="0"/>
    <n v="0"/>
    <n v="36"/>
    <n v="0"/>
    <n v="393.38607068366167"/>
    <n v="30.821428571428573"/>
    <n v="4.1650738587412344E-3"/>
    <n v="1"/>
    <m/>
    <s v="Teghra"/>
    <m/>
    <n v="0"/>
  </r>
  <r>
    <s v="Munger"/>
    <s v="17-23 Jul"/>
    <n v="1008"/>
    <s v="Teghra"/>
    <x v="285"/>
    <s v="Labharchak-2"/>
    <s v="MPG"/>
    <s v="Direct"/>
    <n v="211.65"/>
    <n v="7678.3199999999988"/>
    <n v="211"/>
    <n v="7570.6799999999994"/>
    <n v="0"/>
    <n v="0"/>
    <n v="211"/>
    <n v="7570.6799999999994"/>
    <n v="7570.6799999999994"/>
    <n v="0"/>
    <n v="0"/>
    <n v="0"/>
    <n v="0"/>
    <n v="0"/>
    <n v="0"/>
    <n v="7571"/>
    <n v="0"/>
    <n v="0"/>
    <n v="107"/>
    <n v="0"/>
    <n v="354.33097774627907"/>
    <n v="30.235714285714288"/>
    <n v="1.4018691588784974E-2"/>
    <n v="1"/>
    <m/>
    <s v="Teghra"/>
    <m/>
    <n v="0"/>
  </r>
  <r>
    <s v="Munger"/>
    <s v="17-23 Jul"/>
    <n v="1008"/>
    <s v="Teghra"/>
    <x v="286"/>
    <s v="Shamar Kasha"/>
    <s v="MPG"/>
    <s v="Indirect"/>
    <n v="268.3"/>
    <n v="10818.85"/>
    <n v="0"/>
    <n v="0"/>
    <n v="0"/>
    <n v="0"/>
    <n v="0"/>
    <n v="0"/>
    <n v="10818.85"/>
    <n v="0"/>
    <n v="0"/>
    <n v="0"/>
    <n v="0"/>
    <n v="0"/>
    <n v="0"/>
    <n v="0"/>
    <n v="0"/>
    <n v="10818.85"/>
    <n v="0"/>
    <n v="0"/>
    <n v="348.15486731270971"/>
    <n v="38.328571428571429"/>
    <n v="0"/>
    <n v="0"/>
    <m/>
    <s v="Teghra"/>
    <m/>
    <n v="0"/>
  </r>
  <r>
    <s v="Munger"/>
    <s v="17-23 Jul"/>
    <n v="1009"/>
    <s v="Halsi"/>
    <x v="287"/>
    <s v="POHE"/>
    <s v="MPG"/>
    <s v="Indirect"/>
    <n v="562.09999999999991"/>
    <n v="24544.149999999998"/>
    <n v="0"/>
    <n v="0"/>
    <n v="0"/>
    <n v="0"/>
    <n v="0"/>
    <n v="0"/>
    <n v="24544.149999999998"/>
    <n v="0"/>
    <n v="0"/>
    <n v="0"/>
    <n v="0"/>
    <n v="0"/>
    <n v="0"/>
    <n v="0"/>
    <n v="0"/>
    <n v="24544.149999999998"/>
    <n v="0"/>
    <n v="0"/>
    <n v="120.42833250311344"/>
    <n v="80.299999999999983"/>
    <n v="0"/>
    <n v="0"/>
    <m/>
    <s v="Halsi"/>
    <m/>
    <n v="0"/>
  </r>
  <r>
    <s v="Munger"/>
    <s v="17-23 Jul"/>
    <n v="1009"/>
    <s v="Halsi"/>
    <x v="288"/>
    <s v="AURO"/>
    <s v="MPG"/>
    <s v="Direct"/>
    <n v="1372.3000000000002"/>
    <n v="58079.34"/>
    <n v="1434.9600000000003"/>
    <n v="60704.5"/>
    <n v="55.959999999999994"/>
    <n v="2389.1000000000004"/>
    <n v="1490.9200000000003"/>
    <n v="63093.599999999999"/>
    <n v="58079.34"/>
    <n v="0"/>
    <n v="99.460000000000008"/>
    <n v="5014.260000000002"/>
    <n v="0"/>
    <n v="0"/>
    <n v="0"/>
    <n v="55690"/>
    <n v="2290"/>
    <n v="0"/>
    <n v="0"/>
    <n v="0"/>
    <n v="0"/>
    <n v="0"/>
    <n v="-8.6334658761618194E-2"/>
    <n v="14"/>
    <m/>
    <s v="Halsi"/>
    <m/>
    <n v="0"/>
  </r>
  <r>
    <s v="Munger"/>
    <s v="17-23 Jul"/>
    <n v="1009"/>
    <s v="Halsi"/>
    <x v="289"/>
    <s v="PARSHAMA"/>
    <s v="MPG"/>
    <s v="Direct"/>
    <n v="42.6"/>
    <n v="1457.1599999999999"/>
    <n v="43.3"/>
    <n v="1521.3400000000001"/>
    <n v="0.6"/>
    <n v="21.06"/>
    <n v="43.9"/>
    <n v="1542.4"/>
    <n v="1457.1599999999999"/>
    <n v="0"/>
    <n v="21.06"/>
    <n v="85.240000000000236"/>
    <n v="0"/>
    <n v="0"/>
    <n v="0"/>
    <n v="1436"/>
    <n v="0"/>
    <n v="0"/>
    <n v="0"/>
    <n v="0"/>
    <n v="449.73567323943661"/>
    <n v="6.0857142857142863"/>
    <n v="-5.8497351011556897E-2"/>
    <n v="3"/>
    <m/>
    <s v="Halsi"/>
    <m/>
    <n v="0"/>
  </r>
  <r>
    <s v="Munger"/>
    <s v="17-23 Jul"/>
    <n v="1009"/>
    <s v="Halsi"/>
    <x v="290"/>
    <s v="PRATAPUR 2"/>
    <s v="MPG"/>
    <s v="Indirect"/>
    <n v="104.1"/>
    <n v="4314.33"/>
    <n v="0"/>
    <n v="0"/>
    <n v="0"/>
    <n v="0"/>
    <n v="0"/>
    <n v="0"/>
    <n v="4314.33"/>
    <n v="0"/>
    <n v="0"/>
    <n v="0"/>
    <n v="0"/>
    <n v="0"/>
    <n v="0"/>
    <n v="0"/>
    <n v="0"/>
    <n v="4314.33"/>
    <n v="0"/>
    <n v="0"/>
    <n v="493.93069106628252"/>
    <n v="14.87142857142857"/>
    <n v="0"/>
    <n v="0"/>
    <m/>
    <s v="Halsi"/>
    <m/>
    <n v="0"/>
  </r>
  <r>
    <s v="Munger"/>
    <s v="17-23 Jul"/>
    <n v="1009"/>
    <s v="Halsi"/>
    <x v="291"/>
    <s v="BALLOPUR"/>
    <s v="MPG"/>
    <s v="Direct"/>
    <n v="1504.8"/>
    <n v="64291.140000000007"/>
    <n v="1455.6000000000001"/>
    <n v="65879.360000000001"/>
    <n v="19.100000000000001"/>
    <n v="709.18"/>
    <n v="1474.7"/>
    <n v="66588.539999999994"/>
    <n v="64291.140000000007"/>
    <n v="0"/>
    <n v="709.18"/>
    <n v="2297.3999999999869"/>
    <n v="0"/>
    <n v="0"/>
    <n v="0"/>
    <n v="63582"/>
    <n v="0"/>
    <n v="0"/>
    <n v="0"/>
    <n v="0"/>
    <n v="0"/>
    <n v="0"/>
    <n v="-3.5734317356948202E-2"/>
    <n v="10"/>
    <m/>
    <s v="Halsi"/>
    <m/>
    <n v="0"/>
  </r>
  <r>
    <s v="Munger"/>
    <s v="17-23 Jul"/>
    <n v="1009"/>
    <s v="Halsi"/>
    <x v="292"/>
    <s v="KHAIRMA"/>
    <s v="MPG"/>
    <s v="Direct"/>
    <n v="516.5"/>
    <n v="19063.680000000004"/>
    <n v="597.5"/>
    <n v="24692.09"/>
    <n v="7.6"/>
    <n v="292.07000000000005"/>
    <n v="605.1"/>
    <n v="24984.16"/>
    <n v="19063.680000000004"/>
    <n v="0"/>
    <n v="292.07000000000005"/>
    <n v="5920.4799999999959"/>
    <n v="0"/>
    <n v="0"/>
    <n v="0"/>
    <n v="18772"/>
    <n v="0"/>
    <n v="0"/>
    <n v="0"/>
    <n v="0"/>
    <n v="135.45731965150048"/>
    <n v="73.785714285714292"/>
    <n v="-0.31056333299761613"/>
    <n v="5"/>
    <m/>
    <s v="Halsi"/>
    <m/>
    <n v="0"/>
  </r>
  <r>
    <s v="Munger"/>
    <s v="17-23 Jul"/>
    <n v="1009"/>
    <s v="Halsi"/>
    <x v="293"/>
    <s v="MAHASONI"/>
    <s v="MPG"/>
    <s v="Direct"/>
    <n v="785.4"/>
    <n v="32033.660000000003"/>
    <n v="789.9000000000002"/>
    <n v="31015.890000000003"/>
    <n v="11.200000000000001"/>
    <n v="432.38"/>
    <n v="801.10000000000025"/>
    <n v="31448.270000000004"/>
    <n v="31448.270000000004"/>
    <n v="0"/>
    <n v="432.38"/>
    <n v="0"/>
    <n v="0"/>
    <n v="0"/>
    <n v="0"/>
    <n v="31016"/>
    <n v="0"/>
    <n v="0"/>
    <n v="585"/>
    <n v="0"/>
    <n v="0"/>
    <n v="0"/>
    <n v="1.8274215309771014E-2"/>
    <n v="28"/>
    <m/>
    <s v="Halsi"/>
    <m/>
    <n v="0"/>
  </r>
  <r>
    <s v="Munger"/>
    <s v="17-23 Jul"/>
    <n v="1009"/>
    <s v="Halsi"/>
    <x v="294"/>
    <s v="SONDHI"/>
    <s v="MPG"/>
    <s v="Direct"/>
    <n v="553.70000000000005"/>
    <n v="22206.440000000002"/>
    <n v="561.4"/>
    <n v="22408.19"/>
    <n v="4.5"/>
    <n v="189.45000000000002"/>
    <n v="565.9"/>
    <n v="22597.64"/>
    <n v="22206.440000000002"/>
    <n v="0"/>
    <n v="189.45000000000002"/>
    <n v="391.19999999999709"/>
    <n v="0"/>
    <n v="0"/>
    <n v="0"/>
    <n v="22017"/>
    <n v="0"/>
    <n v="0"/>
    <n v="0"/>
    <n v="0"/>
    <n v="117.34882326169402"/>
    <n v="79.100000000000009"/>
    <n v="-1.7616511246286982E-2"/>
    <n v="11"/>
    <m/>
    <s v="Halsi"/>
    <m/>
    <n v="0"/>
  </r>
  <r>
    <s v="Munger"/>
    <s v="17-23 Jul"/>
    <n v="1009"/>
    <s v="Halsi"/>
    <x v="295"/>
    <s v="BELDARAYA"/>
    <s v="vlc"/>
    <s v="Indirect"/>
    <n v="750.1"/>
    <n v="29021.43"/>
    <n v="0"/>
    <n v="0"/>
    <n v="0"/>
    <n v="0"/>
    <n v="0"/>
    <n v="0"/>
    <n v="29021.43"/>
    <n v="0"/>
    <n v="0"/>
    <n v="0"/>
    <n v="0"/>
    <n v="0"/>
    <n v="0"/>
    <n v="0"/>
    <n v="0"/>
    <n v="29021.43"/>
    <n v="0"/>
    <n v="0"/>
    <n v="0"/>
    <n v="0"/>
    <n v="0"/>
    <n v="0"/>
    <m/>
    <s v="Halsi"/>
    <m/>
    <n v="0"/>
  </r>
  <r>
    <s v="Munger"/>
    <s v="17-23 Jul"/>
    <n v="1009"/>
    <s v="Halsi"/>
    <x v="296"/>
    <s v="Gomukh ID Aure-2"/>
    <s v="vlc"/>
    <s v="Indirect"/>
    <n v="1050.0999999999999"/>
    <n v="40711.43"/>
    <n v="0"/>
    <n v="0"/>
    <n v="0"/>
    <n v="0"/>
    <n v="0"/>
    <n v="0"/>
    <n v="40711.43"/>
    <n v="0"/>
    <n v="0"/>
    <n v="0"/>
    <n v="0"/>
    <n v="0"/>
    <n v="0"/>
    <n v="0"/>
    <n v="0"/>
    <n v="40711.43"/>
    <n v="0"/>
    <n v="0"/>
    <n v="0"/>
    <n v="0"/>
    <n v="0"/>
    <n v="0"/>
    <m/>
    <s v="Halsi"/>
    <m/>
    <n v="0"/>
  </r>
  <r>
    <s v="Munger"/>
    <s v="17-23 Jul"/>
    <n v="1009"/>
    <s v="Halsi"/>
    <x v="297"/>
    <s v="Gomukh Karma"/>
    <s v="vlc"/>
    <s v="Indirect"/>
    <n v="796.79999999999984"/>
    <n v="33667.530000000006"/>
    <n v="0"/>
    <n v="0"/>
    <n v="0"/>
    <n v="0"/>
    <n v="0"/>
    <n v="0"/>
    <n v="33667.530000000006"/>
    <n v="0"/>
    <n v="0"/>
    <n v="0"/>
    <n v="0"/>
    <n v="0"/>
    <n v="0"/>
    <n v="0"/>
    <n v="0"/>
    <n v="33667.530000000006"/>
    <n v="0"/>
    <n v="0"/>
    <n v="0"/>
    <n v="0"/>
    <n v="0"/>
    <n v="0"/>
    <m/>
    <s v="Halsi"/>
    <m/>
    <n v="0"/>
  </r>
  <r>
    <s v="Munger"/>
    <s v="17-23 Jul"/>
    <n v="1009"/>
    <s v="Halsi"/>
    <x v="298"/>
    <s v="GOMUKH UKSI"/>
    <s v="MPG"/>
    <s v="Indirect"/>
    <n v="656"/>
    <n v="29434.04"/>
    <n v="0"/>
    <n v="0"/>
    <n v="0"/>
    <n v="0"/>
    <n v="0"/>
    <n v="0"/>
    <n v="29434.04"/>
    <n v="0"/>
    <n v="0"/>
    <n v="0"/>
    <n v="0"/>
    <n v="0"/>
    <n v="0"/>
    <n v="0"/>
    <n v="0"/>
    <n v="29434.04"/>
    <n v="0"/>
    <n v="0"/>
    <n v="39.484687804878085"/>
    <n v="93.714285714285708"/>
    <n v="0"/>
    <n v="0"/>
    <m/>
    <s v="Halsi"/>
    <m/>
    <n v="0"/>
  </r>
  <r>
    <s v="Munger"/>
    <s v="17-23 Jul"/>
    <n v="1009"/>
    <s v="Halsi"/>
    <x v="299"/>
    <s v="Gomukh ID Halsi"/>
    <s v="vlc"/>
    <s v="Indirect"/>
    <n v="5374.1999999999989"/>
    <n v="203948.16000000006"/>
    <n v="0"/>
    <n v="0"/>
    <n v="0"/>
    <n v="0"/>
    <n v="0"/>
    <n v="0"/>
    <n v="203948.16000000006"/>
    <n v="0"/>
    <n v="0"/>
    <n v="0"/>
    <n v="0"/>
    <n v="0"/>
    <n v="0"/>
    <n v="0"/>
    <n v="0"/>
    <n v="203948.16000000006"/>
    <n v="0"/>
    <n v="0"/>
    <n v="0"/>
    <n v="0"/>
    <n v="0"/>
    <n v="0"/>
    <m/>
    <s v="Halsi"/>
    <m/>
    <n v="0"/>
  </r>
  <r>
    <s v="Munger"/>
    <s v="17-23 Jul"/>
    <n v="1009"/>
    <s v="Halsi"/>
    <x v="300"/>
    <s v="Gomukh ID Lalpur"/>
    <s v="vlc"/>
    <s v="Indirect"/>
    <n v="706.59999999999991"/>
    <n v="27642.55"/>
    <n v="0"/>
    <n v="0"/>
    <n v="0"/>
    <n v="0"/>
    <n v="0"/>
    <n v="0"/>
    <n v="27642.55"/>
    <n v="0"/>
    <n v="0"/>
    <n v="0"/>
    <n v="0"/>
    <n v="0"/>
    <n v="0"/>
    <n v="0"/>
    <n v="0"/>
    <n v="27642.55"/>
    <n v="0"/>
    <n v="0"/>
    <n v="0"/>
    <n v="0"/>
    <n v="0"/>
    <n v="0"/>
    <m/>
    <s v="Halsi"/>
    <m/>
    <n v="0"/>
  </r>
  <r>
    <s v="Munger"/>
    <s v="17-23 Jul"/>
    <n v="1009"/>
    <s v="Halsi"/>
    <x v="301"/>
    <s v="KHURIYARI"/>
    <s v="MPG"/>
    <s v="Direct"/>
    <n v="1131.6999999999998"/>
    <n v="53849.24"/>
    <n v="1654.1999999999998"/>
    <n v="78886.079999999987"/>
    <n v="2.1"/>
    <n v="95.98"/>
    <n v="1656.2999999999997"/>
    <n v="78982.059999999983"/>
    <n v="53849.24"/>
    <n v="0"/>
    <n v="95.98"/>
    <n v="25132.819999999985"/>
    <n v="0"/>
    <n v="0"/>
    <n v="0"/>
    <n v="53753"/>
    <n v="0"/>
    <n v="0"/>
    <n v="0"/>
    <n v="0"/>
    <n v="0"/>
    <n v="0"/>
    <n v="-0.46672562138295703"/>
    <n v="9"/>
    <m/>
    <s v="Halsi"/>
    <m/>
    <n v="0"/>
  </r>
  <r>
    <s v="Munger"/>
    <s v="17-23 Jul"/>
    <n v="1009"/>
    <s v="Halsi"/>
    <x v="302"/>
    <s v="BISANPUR"/>
    <s v="MPG"/>
    <s v="Indirect"/>
    <n v="488.09999999999991"/>
    <n v="19472.640000000003"/>
    <n v="0"/>
    <n v="0"/>
    <n v="0"/>
    <n v="0"/>
    <n v="0"/>
    <n v="0"/>
    <n v="19472.640000000003"/>
    <n v="0"/>
    <n v="0"/>
    <n v="0"/>
    <n v="0"/>
    <n v="0"/>
    <n v="0"/>
    <n v="0"/>
    <n v="0"/>
    <n v="19472.640000000003"/>
    <n v="0"/>
    <n v="0"/>
    <n v="169.07405925015377"/>
    <n v="69.728571428571414"/>
    <n v="0"/>
    <n v="0"/>
    <m/>
    <s v="Halsi"/>
    <m/>
    <n v="0"/>
  </r>
  <r>
    <s v="Munger"/>
    <s v="17-23 Jul"/>
    <n v="1009"/>
    <s v="Halsi"/>
    <x v="303"/>
    <s v="BEHRAMA"/>
    <s v="MPG"/>
    <s v="Indirect"/>
    <n v="177.4"/>
    <n v="7271.38"/>
    <n v="0"/>
    <n v="0"/>
    <n v="0"/>
    <n v="0"/>
    <n v="0"/>
    <n v="0"/>
    <n v="7271.38"/>
    <n v="0"/>
    <n v="0"/>
    <n v="0"/>
    <n v="0"/>
    <n v="0"/>
    <n v="0"/>
    <n v="0"/>
    <n v="0"/>
    <n v="7271.38"/>
    <n v="0"/>
    <n v="0"/>
    <n v="428.41298624577229"/>
    <n v="25.342857142857145"/>
    <n v="0"/>
    <n v="0"/>
    <m/>
    <s v="Halsi"/>
    <m/>
    <n v="0"/>
  </r>
  <r>
    <s v="Munger"/>
    <s v="17-23 Jul"/>
    <n v="1009"/>
    <s v="Halsi"/>
    <x v="304"/>
    <s v="Gomukh ID Mathurapur"/>
    <s v="vlc"/>
    <s v="Indirect"/>
    <n v="546.4"/>
    <n v="21296.14"/>
    <n v="0"/>
    <n v="0"/>
    <n v="0"/>
    <n v="0"/>
    <n v="0"/>
    <n v="0"/>
    <n v="21296.14"/>
    <n v="0"/>
    <n v="0"/>
    <n v="0"/>
    <n v="0"/>
    <n v="0"/>
    <n v="0"/>
    <n v="0"/>
    <n v="0"/>
    <n v="21296.14"/>
    <n v="0"/>
    <n v="0"/>
    <n v="119.73232445095174"/>
    <n v="78.05714285714285"/>
    <n v="0"/>
    <n v="0"/>
    <m/>
    <s v="Halsi"/>
    <m/>
    <n v="0"/>
  </r>
  <r>
    <s v="Munger"/>
    <s v="17-23 Jul"/>
    <n v="1009"/>
    <s v="Halsi"/>
    <x v="305"/>
    <s v="Gomukh ID Kurha Dih"/>
    <s v="vlc"/>
    <s v="Indirect"/>
    <n v="1858.6999999999998"/>
    <n v="81216.98000000001"/>
    <n v="0"/>
    <n v="0"/>
    <n v="0"/>
    <n v="0"/>
    <n v="0"/>
    <n v="0"/>
    <n v="81216.98000000001"/>
    <n v="0"/>
    <n v="0"/>
    <n v="0"/>
    <n v="0"/>
    <n v="0"/>
    <n v="0"/>
    <n v="0"/>
    <n v="0"/>
    <n v="81216.98000000001"/>
    <n v="0"/>
    <n v="0"/>
    <n v="0"/>
    <n v="0"/>
    <n v="0"/>
    <n v="0"/>
    <m/>
    <s v="Halsi"/>
    <m/>
    <n v="0"/>
  </r>
  <r>
    <s v="Munger"/>
    <s v="17-23 Jul"/>
    <n v="1009"/>
    <s v="Halsi"/>
    <x v="306"/>
    <s v="RAMNAGAR"/>
    <s v="MPG"/>
    <s v="Direct"/>
    <n v="752.19999999999993"/>
    <n v="33394.310000000005"/>
    <n v="773.69999999999982"/>
    <n v="33089.43"/>
    <n v="5.0599999999999996"/>
    <n v="246.88"/>
    <n v="778.75999999999976"/>
    <n v="33336.31"/>
    <n v="33336.31"/>
    <n v="0"/>
    <n v="246.88"/>
    <n v="0"/>
    <n v="0"/>
    <n v="0"/>
    <n v="0"/>
    <n v="33089"/>
    <n v="0"/>
    <n v="0"/>
    <n v="58"/>
    <n v="0"/>
    <n v="0"/>
    <n v="0"/>
    <n v="1.736822829997304E-3"/>
    <n v="17"/>
    <m/>
    <s v="Halsi"/>
    <m/>
    <n v="0"/>
  </r>
  <r>
    <s v="Munger"/>
    <s v="17-23 Jul"/>
    <n v="1009"/>
    <s v="Halsi"/>
    <x v="307"/>
    <s v="SANDH MAAF 2"/>
    <s v="MPG"/>
    <s v="Direct"/>
    <n v="1206.7000000000003"/>
    <n v="57910.560000000005"/>
    <n v="1211.8599999999999"/>
    <n v="59580.939999999988"/>
    <n v="5.32"/>
    <n v="252.88"/>
    <n v="1217.1799999999998"/>
    <n v="59833.819999999985"/>
    <n v="57910.560000000005"/>
    <n v="0"/>
    <n v="252.88"/>
    <n v="1923.2599999999802"/>
    <n v="0"/>
    <n v="0"/>
    <n v="0"/>
    <n v="57658"/>
    <n v="0"/>
    <n v="0"/>
    <n v="0"/>
    <n v="0"/>
    <n v="0"/>
    <n v="0"/>
    <n v="-3.3210868622233665E-2"/>
    <n v="8"/>
    <m/>
    <s v="Halsi"/>
    <m/>
    <n v="0"/>
  </r>
  <r>
    <s v="Munger"/>
    <s v="17-23 Jul"/>
    <n v="1009"/>
    <s v="Halsi"/>
    <x v="308"/>
    <s v="TAAL-SHAHARSHA                                                                                      "/>
    <s v="MPG"/>
    <s v="Direct"/>
    <n v="1701.4"/>
    <n v="76551.160000000018"/>
    <n v="1685.5600000000006"/>
    <n v="75937.599999999977"/>
    <n v="14.479999999999997"/>
    <n v="649.48"/>
    <n v="1700.0400000000006"/>
    <n v="76587.079999999973"/>
    <n v="76551.160000000018"/>
    <n v="0"/>
    <n v="649.48"/>
    <n v="35.919999999954598"/>
    <n v="0"/>
    <n v="0"/>
    <n v="0"/>
    <n v="75902"/>
    <n v="0"/>
    <n v="0"/>
    <n v="0"/>
    <n v="0"/>
    <n v="0"/>
    <n v="0"/>
    <n v="-4.6922868314411682E-4"/>
    <n v="35"/>
    <m/>
    <s v="Halsi"/>
    <m/>
    <n v="0"/>
  </r>
  <r>
    <s v="Munger"/>
    <s v="17-23 Jul"/>
    <n v="1009"/>
    <s v="Halsi"/>
    <x v="309"/>
    <s v="Dhira"/>
    <s v="MPG"/>
    <s v="Direct"/>
    <n v="765.59999999999991"/>
    <n v="39766.31"/>
    <n v="526.35"/>
    <n v="26896.68"/>
    <n v="211.98000000000002"/>
    <n v="13509.93"/>
    <n v="738.33"/>
    <n v="40406.61"/>
    <n v="39766.31"/>
    <n v="0"/>
    <n v="307.01"/>
    <n v="640.30000000000291"/>
    <n v="0"/>
    <n v="0"/>
    <n v="0"/>
    <n v="26255"/>
    <n v="13204"/>
    <n v="0"/>
    <n v="0"/>
    <n v="0"/>
    <n v="0"/>
    <n v="0"/>
    <n v="-1.6101569393790947E-2"/>
    <n v="10"/>
    <m/>
    <s v="Halsi"/>
    <m/>
    <n v="0"/>
  </r>
  <r>
    <s v="Munger"/>
    <s v="17-23 Jul"/>
    <n v="1009"/>
    <s v="Halsi"/>
    <x v="310"/>
    <s v="SHARMA"/>
    <s v="vlc"/>
    <s v="Direct"/>
    <n v="281.89999999999998"/>
    <n v="11537.08"/>
    <n v="267.42"/>
    <n v="10836.850000000002"/>
    <n v="0"/>
    <n v="0"/>
    <n v="267.42"/>
    <n v="10836.850000000002"/>
    <n v="10836.850000000002"/>
    <n v="0"/>
    <n v="0"/>
    <n v="0"/>
    <n v="0"/>
    <n v="0"/>
    <n v="0"/>
    <n v="10837"/>
    <n v="0"/>
    <n v="0"/>
    <n v="700"/>
    <n v="0"/>
    <n v="342.22441631784329"/>
    <n v="40.271428571428565"/>
    <n v="6.0693867079018068E-2"/>
    <n v="6"/>
    <m/>
    <s v="Halsi"/>
    <m/>
    <n v="0"/>
  </r>
  <r>
    <s v="Munger"/>
    <s v="17-23 Jul"/>
    <n v="1009"/>
    <s v="Halsi"/>
    <x v="311"/>
    <s v="AZADNAGAR(VLC)"/>
    <s v="vlc"/>
    <s v="Indirect"/>
    <n v="323.2"/>
    <n v="10022.24"/>
    <n v="0"/>
    <n v="0"/>
    <n v="0"/>
    <n v="0"/>
    <n v="0"/>
    <n v="0"/>
    <n v="10022.24"/>
    <n v="0"/>
    <n v="0"/>
    <n v="0"/>
    <n v="0"/>
    <n v="0"/>
    <n v="0"/>
    <n v="0"/>
    <n v="0"/>
    <n v="10022.24"/>
    <n v="0"/>
    <n v="0"/>
    <n v="233.68688316831685"/>
    <n v="46.171428571428571"/>
    <n v="0"/>
    <n v="0"/>
    <m/>
    <s v="Halsi"/>
    <m/>
    <n v="0"/>
  </r>
  <r>
    <s v="Munger"/>
    <s v="17-23 Jul"/>
    <n v="1009"/>
    <s v="Halsi"/>
    <x v="312"/>
    <s v="REWAI"/>
    <s v="MPG"/>
    <s v="Direct"/>
    <n v="1004.4999999999999"/>
    <n v="44664.499999999993"/>
    <n v="1011.8600000000001"/>
    <n v="46904.45"/>
    <n v="2.66"/>
    <n v="118.83999999999997"/>
    <n v="1014.5200000000001"/>
    <n v="47023.289999999994"/>
    <n v="44664.499999999993"/>
    <n v="0"/>
    <n v="118.83999999999997"/>
    <n v="2358.7900000000009"/>
    <n v="0"/>
    <n v="0"/>
    <n v="0"/>
    <n v="44545"/>
    <n v="0"/>
    <n v="0"/>
    <n v="1"/>
    <n v="0"/>
    <n v="0"/>
    <n v="0"/>
    <n v="-5.2811293085112364E-2"/>
    <n v="5"/>
    <m/>
    <s v="Halsi"/>
    <m/>
    <n v="0"/>
  </r>
  <r>
    <s v="Munger"/>
    <s v="17-23 Jul"/>
    <n v="1009"/>
    <s v="Halsi"/>
    <x v="313"/>
    <s v="MANJOS"/>
    <s v="MPG"/>
    <s v="Direct"/>
    <n v="66.7"/>
    <n v="2959.5899999999997"/>
    <n v="66.900000000000006"/>
    <n v="2963.74"/>
    <n v="0"/>
    <n v="0"/>
    <n v="66.900000000000006"/>
    <n v="2963.74"/>
    <n v="2959.5899999999997"/>
    <n v="0"/>
    <n v="0"/>
    <n v="4.1500000000000909"/>
    <n v="0"/>
    <n v="0"/>
    <n v="0"/>
    <n v="2960"/>
    <n v="0"/>
    <n v="0"/>
    <n v="0"/>
    <n v="0"/>
    <n v="562.01149835082458"/>
    <n v="9.5285714285714285"/>
    <n v="-1.40222125361962E-3"/>
    <n v="1"/>
    <m/>
    <s v="Halsi"/>
    <m/>
    <n v="0"/>
  </r>
  <r>
    <s v="Munger"/>
    <s v="17-23 Jul"/>
    <n v="1009"/>
    <s v="Halsi"/>
    <x v="314"/>
    <s v="RATA"/>
    <s v="MPG"/>
    <s v="Direct"/>
    <n v="539.29999999999995"/>
    <n v="25079.309999999998"/>
    <n v="579.35"/>
    <n v="28373.41"/>
    <n v="4.53"/>
    <n v="169.61"/>
    <n v="583.88"/>
    <n v="28543.02"/>
    <n v="25079.309999999998"/>
    <n v="0"/>
    <n v="169.61"/>
    <n v="3463.7100000000028"/>
    <n v="0"/>
    <n v="0"/>
    <n v="0"/>
    <n v="24909"/>
    <n v="0"/>
    <n v="0"/>
    <n v="1"/>
    <n v="0"/>
    <n v="149.46208481364741"/>
    <n v="77.04285714285713"/>
    <n v="-0.13811025901430315"/>
    <n v="5"/>
    <m/>
    <s v="Halsi"/>
    <m/>
    <n v="0"/>
  </r>
  <r>
    <s v="Munger"/>
    <s v="17-23 Jul"/>
    <n v="1009"/>
    <s v="Halsi"/>
    <x v="315"/>
    <s v="BARUI"/>
    <s v="MPG"/>
    <s v="Direct"/>
    <n v="325.8"/>
    <n v="14112.58"/>
    <n v="333.95000000000005"/>
    <n v="13694.49"/>
    <n v="8.1"/>
    <n v="349.94000000000005"/>
    <n v="342.05000000000007"/>
    <n v="14044.43"/>
    <n v="14044.43"/>
    <n v="0"/>
    <n v="349.94000000000005"/>
    <n v="0"/>
    <n v="0"/>
    <n v="0"/>
    <n v="0"/>
    <n v="13693"/>
    <n v="0"/>
    <n v="0"/>
    <n v="70"/>
    <n v="0"/>
    <n v="324.18216304481274"/>
    <n v="46.542857142857144"/>
    <n v="4.8290248841813214E-3"/>
    <n v="16"/>
    <m/>
    <s v="Halsi"/>
    <m/>
    <n v="0"/>
  </r>
  <r>
    <s v="Munger"/>
    <s v="17-23 Jul"/>
    <n v="1009"/>
    <s v="Halsi"/>
    <x v="316"/>
    <s v="LAHUARA                                                                                             "/>
    <s v="MPG"/>
    <s v="Direct"/>
    <n v="843.50000000000011"/>
    <n v="44941.38"/>
    <n v="912.10000000000014"/>
    <n v="51087.759999999995"/>
    <n v="6.7000000000000011"/>
    <n v="397.23"/>
    <n v="918.80000000000018"/>
    <n v="51484.99"/>
    <n v="44941.38"/>
    <n v="0"/>
    <n v="397.23"/>
    <n v="6543.6100000000006"/>
    <n v="0"/>
    <n v="0"/>
    <n v="0"/>
    <n v="44544"/>
    <n v="0"/>
    <n v="0"/>
    <n v="0"/>
    <n v="0"/>
    <n v="0"/>
    <n v="0"/>
    <n v="-0.14560322802726577"/>
    <n v="12"/>
    <m/>
    <s v="Halsi"/>
    <m/>
    <n v="0"/>
  </r>
  <r>
    <s v="Munger"/>
    <s v="17-23 Jul"/>
    <n v="1009"/>
    <s v="Halsi"/>
    <x v="317"/>
    <s v="RAMDIH Ajit Kumar"/>
    <s v="vlc"/>
    <s v="Indirect"/>
    <n v="325.39999999999998"/>
    <n v="13092.630000000001"/>
    <n v="0"/>
    <n v="0"/>
    <n v="0"/>
    <n v="0"/>
    <n v="0"/>
    <n v="0"/>
    <n v="13092.630000000001"/>
    <n v="0"/>
    <n v="0"/>
    <n v="0"/>
    <n v="0"/>
    <n v="0"/>
    <n v="0"/>
    <n v="0"/>
    <n v="0"/>
    <n v="13092.630000000001"/>
    <n v="0"/>
    <n v="0"/>
    <n v="301.44432685925022"/>
    <n v="46.48571428571428"/>
    <n v="0"/>
    <n v="0"/>
    <m/>
    <s v="Halsi"/>
    <m/>
    <n v="0"/>
  </r>
  <r>
    <s v="Munger"/>
    <s v="17-23 Jul"/>
    <n v="1009"/>
    <s v="Halsi"/>
    <x v="318"/>
    <s v="NARAYANPUR"/>
    <s v="MPG"/>
    <s v="Direct"/>
    <n v="290.89999999999998"/>
    <n v="13028.769999999997"/>
    <n v="330.25"/>
    <n v="14964.480000000001"/>
    <n v="1.2500000000000002"/>
    <n v="57.360000000000007"/>
    <n v="331.5"/>
    <n v="15021.840000000002"/>
    <n v="13028.769999999997"/>
    <n v="5000"/>
    <n v="57.360000000000007"/>
    <n v="1993.0700000000052"/>
    <n v="0"/>
    <n v="0"/>
    <n v="0"/>
    <n v="7971"/>
    <n v="0"/>
    <n v="0"/>
    <n v="0"/>
    <n v="0"/>
    <n v="366.45375091096599"/>
    <n v="41.557142857142857"/>
    <n v="-0.15297453251534915"/>
    <n v="4"/>
    <m/>
    <s v="Halsi"/>
    <m/>
    <n v="0"/>
  </r>
  <r>
    <s v="Munger"/>
    <s v="17-23 Jul"/>
    <n v="1009"/>
    <s v="Halsi"/>
    <x v="319"/>
    <s v="NAWKADIH"/>
    <s v="MPG"/>
    <s v="Direct"/>
    <n v="817.59999999999991"/>
    <n v="36444.009999999995"/>
    <n v="822.38"/>
    <n v="40514.99"/>
    <n v="0"/>
    <n v="0"/>
    <n v="822.38"/>
    <n v="40514.99"/>
    <n v="36444.009999999995"/>
    <n v="0"/>
    <n v="0"/>
    <n v="4070.9800000000032"/>
    <n v="0"/>
    <n v="0"/>
    <n v="0"/>
    <n v="36444"/>
    <n v="0"/>
    <n v="0"/>
    <n v="0"/>
    <n v="0"/>
    <n v="0"/>
    <n v="0"/>
    <n v="-0.11170505111813996"/>
    <n v="4"/>
    <m/>
    <s v="Halsi"/>
    <m/>
    <n v="0"/>
  </r>
  <r>
    <s v="Munger"/>
    <s v="17-23 Jul"/>
    <n v="1009"/>
    <s v="Halsi"/>
    <x v="320"/>
    <s v="CHOTAHA"/>
    <s v="MPG"/>
    <s v="Direct"/>
    <n v="259.49999999999994"/>
    <n v="11738.969999999998"/>
    <n v="629.44000000000005"/>
    <n v="38834.299999999996"/>
    <n v="0"/>
    <n v="0"/>
    <n v="629.44000000000005"/>
    <n v="38834.299999999996"/>
    <n v="11738.969999999998"/>
    <n v="0"/>
    <n v="0"/>
    <n v="27095.329999999998"/>
    <n v="0"/>
    <n v="0"/>
    <n v="0"/>
    <n v="11739"/>
    <n v="0"/>
    <n v="0"/>
    <n v="0"/>
    <n v="0"/>
    <n v="398.53690057803476"/>
    <n v="37.071428571428562"/>
    <n v="-2.3081522484510995"/>
    <n v="5"/>
    <m/>
    <s v="Halsi"/>
    <m/>
    <n v="0"/>
  </r>
  <r>
    <s v="Munger"/>
    <s v="17-23 Jul"/>
    <n v="1009"/>
    <s v="Halsi"/>
    <x v="321"/>
    <s v="KHARAGWADA "/>
    <s v="MPG"/>
    <s v="Direct"/>
    <n v="187.29999999999998"/>
    <n v="8992.7499999999982"/>
    <n v="188.69999999999996"/>
    <n v="9072.07"/>
    <n v="0"/>
    <n v="0"/>
    <n v="188.69999999999996"/>
    <n v="9072.07"/>
    <n v="8992.7499999999982"/>
    <n v="0"/>
    <n v="0"/>
    <n v="79.320000000001528"/>
    <n v="0"/>
    <n v="500"/>
    <n v="0"/>
    <n v="8493"/>
    <n v="0"/>
    <n v="0"/>
    <n v="0"/>
    <n v="0"/>
    <n v="492.32065403096635"/>
    <n v="26.757142857142856"/>
    <n v="-8.8204386867200297E-3"/>
    <n v="1"/>
    <m/>
    <s v="Halsi"/>
    <m/>
    <n v="500"/>
  </r>
  <r>
    <s v="Munger"/>
    <s v="17-23 Jul"/>
    <n v="1009"/>
    <s v="Halsi"/>
    <x v="322"/>
    <s v="UFFAPUR"/>
    <s v="MPG"/>
    <s v="Direct"/>
    <n v="190.5"/>
    <n v="8673.8700000000008"/>
    <n v="223.9"/>
    <n v="10297.23"/>
    <n v="0"/>
    <n v="0"/>
    <n v="223.9"/>
    <n v="10297.23"/>
    <n v="8673.8700000000008"/>
    <n v="0"/>
    <n v="0"/>
    <n v="1623.3599999999988"/>
    <n v="0"/>
    <n v="500"/>
    <n v="0"/>
    <n v="8174"/>
    <n v="0"/>
    <n v="0"/>
    <n v="0"/>
    <n v="0"/>
    <n v="463.97236377952754"/>
    <n v="27.214285714285715"/>
    <n v="-0.18715521445444752"/>
    <n v="1"/>
    <m/>
    <s v="Halsi"/>
    <m/>
    <n v="500"/>
  </r>
  <r>
    <s v="Munger"/>
    <s v="17-23 Jul"/>
    <n v="1009"/>
    <s v="Halsi"/>
    <x v="323"/>
    <s v="BIHRAURA"/>
    <s v="MPG"/>
    <s v="Direct"/>
    <n v="182.7"/>
    <n v="10155.89"/>
    <n v="190.09999999999997"/>
    <n v="10419.77"/>
    <n v="0"/>
    <n v="0"/>
    <n v="190.09999999999997"/>
    <n v="10419.77"/>
    <n v="10155.89"/>
    <n v="0"/>
    <n v="0"/>
    <n v="263.88000000000102"/>
    <n v="0"/>
    <n v="500"/>
    <n v="0"/>
    <n v="9656"/>
    <n v="0"/>
    <n v="0"/>
    <n v="0"/>
    <n v="0"/>
    <n v="575.11131877394644"/>
    <n v="26.099999999999998"/>
    <n v="-2.5982951764936507E-2"/>
    <n v="1"/>
    <m/>
    <s v="Halsi"/>
    <m/>
    <n v="500"/>
  </r>
  <r>
    <s v="Munger"/>
    <s v="17-23 Jul"/>
    <n v="1009"/>
    <s v="Halsi"/>
    <x v="324"/>
    <s v="SHIJHORI"/>
    <s v="MPG"/>
    <s v="Direct"/>
    <n v="482.90000000000003"/>
    <n v="24305.199999999997"/>
    <n v="451.27999999999992"/>
    <n v="22801.879999999997"/>
    <n v="39.479999999999997"/>
    <n v="1993.6799999999998"/>
    <n v="490.75999999999993"/>
    <n v="24795.559999999998"/>
    <n v="24305.199999999997"/>
    <n v="0"/>
    <n v="0"/>
    <n v="490.36000000000058"/>
    <n v="0"/>
    <n v="0"/>
    <n v="0"/>
    <n v="22311"/>
    <n v="1994"/>
    <n v="0"/>
    <n v="0"/>
    <n v="0"/>
    <n v="218.54043984261742"/>
    <n v="68.985714285714295"/>
    <n v="-2.0175106561558871E-2"/>
    <n v="6"/>
    <m/>
    <s v="Halsi"/>
    <m/>
    <n v="0"/>
  </r>
  <r>
    <s v="Munger"/>
    <s v="17-23 Jul"/>
    <n v="1009"/>
    <s v="Halsi"/>
    <x v="325"/>
    <s v="RAM PRAVESH YADAV"/>
    <s v="MPG"/>
    <s v="Direct"/>
    <n v="750.19999999999993"/>
    <n v="31735.480000000003"/>
    <n v="760.31999999999971"/>
    <n v="34277.83"/>
    <n v="0"/>
    <n v="0"/>
    <n v="760.31999999999971"/>
    <n v="34277.83"/>
    <n v="31735.480000000003"/>
    <n v="0"/>
    <n v="0"/>
    <n v="2542.3499999999985"/>
    <n v="0"/>
    <n v="0"/>
    <n v="0"/>
    <n v="31735"/>
    <n v="0"/>
    <n v="0"/>
    <n v="0"/>
    <n v="0"/>
    <n v="0"/>
    <n v="0"/>
    <n v="-8.0110652178571065E-2"/>
    <n v="4"/>
    <m/>
    <s v="Halsi"/>
    <m/>
    <n v="0"/>
  </r>
  <r>
    <s v="Munger"/>
    <s v="17-23 Jul"/>
    <n v="1009"/>
    <s v="Halsi"/>
    <x v="326"/>
    <s v="MAHMADPUR VL"/>
    <s v="vlc"/>
    <s v="Indirect"/>
    <n v="728.9"/>
    <n v="32477.950000000004"/>
    <n v="0"/>
    <n v="0"/>
    <n v="0"/>
    <n v="0"/>
    <n v="0"/>
    <n v="0"/>
    <n v="32477.950000000004"/>
    <n v="0"/>
    <n v="0"/>
    <n v="0"/>
    <n v="0"/>
    <n v="0"/>
    <n v="0"/>
    <n v="0"/>
    <n v="0"/>
    <n v="32477.950000000004"/>
    <n v="0"/>
    <n v="0"/>
    <n v="0"/>
    <n v="0"/>
    <n v="0"/>
    <n v="0"/>
    <m/>
    <s v="Halsi"/>
    <m/>
    <n v="0"/>
  </r>
  <r>
    <s v="Munger"/>
    <s v="17-23 Jul"/>
    <n v="1009"/>
    <s v="Halsi"/>
    <x v="327"/>
    <s v="BOUDHNAGAR"/>
    <s v="MPG"/>
    <s v="Direct"/>
    <n v="376.1"/>
    <n v="15105.64"/>
    <n v="415.1"/>
    <n v="16913.980000000003"/>
    <n v="0"/>
    <n v="0"/>
    <n v="415.1"/>
    <n v="16913.980000000003"/>
    <n v="15105.64"/>
    <n v="0"/>
    <n v="0"/>
    <n v="1808.3400000000038"/>
    <n v="0"/>
    <n v="0"/>
    <n v="0"/>
    <n v="15106"/>
    <n v="0"/>
    <n v="0"/>
    <n v="0"/>
    <n v="0"/>
    <n v="260.18169614464233"/>
    <n v="53.728571428571435"/>
    <n v="-0.1197129019359659"/>
    <n v="2"/>
    <m/>
    <s v="Halsi"/>
    <m/>
    <n v="0"/>
  </r>
  <r>
    <s v="Munger"/>
    <s v="17-23 Jul"/>
    <n v="1009"/>
    <s v="Halsi"/>
    <x v="328"/>
    <s v="MOHADDINGAR"/>
    <s v="MPG"/>
    <s v="Direct"/>
    <n v="377.7"/>
    <n v="16377.410000000002"/>
    <n v="424.44999999999993"/>
    <n v="18693.059999999998"/>
    <n v="0"/>
    <n v="0"/>
    <n v="424.44999999999993"/>
    <n v="18693.059999999998"/>
    <n v="16377.410000000002"/>
    <n v="0"/>
    <n v="0"/>
    <n v="2315.649999999996"/>
    <n v="0"/>
    <n v="0"/>
    <n v="0"/>
    <n v="16377"/>
    <n v="0"/>
    <n v="0"/>
    <n v="0"/>
    <n v="0"/>
    <n v="279.50432846174215"/>
    <n v="53.957142857142856"/>
    <n v="-0.14139293087246371"/>
    <n v="3"/>
    <m/>
    <s v="Halsi"/>
    <m/>
    <n v="0"/>
  </r>
  <r>
    <s v="Munger"/>
    <s v="17-23 Jul"/>
    <n v="1009"/>
    <s v="Halsi"/>
    <x v="329"/>
    <s v="PACHAUTA"/>
    <s v="MPG"/>
    <s v="Direct"/>
    <n v="514.1"/>
    <n v="20349.04"/>
    <n v="648.09999999999991"/>
    <n v="28392.62"/>
    <n v="0"/>
    <n v="0"/>
    <n v="648.09999999999991"/>
    <n v="28392.62"/>
    <n v="20349.04"/>
    <n v="0"/>
    <n v="0"/>
    <n v="8043.5799999999981"/>
    <n v="0"/>
    <n v="0"/>
    <n v="0"/>
    <n v="20349"/>
    <n v="0"/>
    <n v="0"/>
    <n v="0"/>
    <n v="0"/>
    <n v="147.16539723789143"/>
    <n v="73.44285714285715"/>
    <n v="-0.39528056360398317"/>
    <n v="1"/>
    <m/>
    <s v="Halsi"/>
    <m/>
    <n v="0"/>
  </r>
  <r>
    <s v="Munger"/>
    <s v="17-23 Jul"/>
    <n v="1009"/>
    <s v="Halsi"/>
    <x v="330"/>
    <s v="Gomukh Champa"/>
    <s v="vlc"/>
    <s v="Indirect"/>
    <n v="12000"/>
    <n v="490755"/>
    <n v="0"/>
    <n v="0"/>
    <n v="0"/>
    <n v="0"/>
    <n v="0"/>
    <n v="0"/>
    <n v="490755"/>
    <n v="0"/>
    <n v="0"/>
    <n v="0"/>
    <n v="0"/>
    <n v="0"/>
    <n v="0"/>
    <n v="0"/>
    <n v="0"/>
    <n v="490755"/>
    <n v="0"/>
    <n v="0"/>
    <n v="0"/>
    <n v="0"/>
    <n v="0"/>
    <n v="0"/>
    <m/>
    <s v="Halsi"/>
    <m/>
    <n v="0"/>
  </r>
  <r>
    <s v="Munger"/>
    <s v="17-23 Jul"/>
    <n v="1009"/>
    <s v="Halsi"/>
    <x v="331"/>
    <s v="GOMUKH DAKRA"/>
    <s v="vlc"/>
    <s v="Indirect"/>
    <n v="13000"/>
    <n v="536625"/>
    <n v="0"/>
    <n v="0"/>
    <n v="0"/>
    <n v="0"/>
    <n v="0"/>
    <n v="0"/>
    <n v="536625"/>
    <n v="0"/>
    <n v="0"/>
    <n v="0"/>
    <n v="0"/>
    <n v="0"/>
    <n v="0"/>
    <n v="0"/>
    <n v="0"/>
    <n v="536625"/>
    <n v="0"/>
    <n v="0"/>
    <n v="0"/>
    <n v="0"/>
    <n v="0"/>
    <n v="0"/>
    <m/>
    <s v="Halsi"/>
    <m/>
    <n v="0"/>
  </r>
  <r>
    <s v="Munger"/>
    <s v="17-23 Jul"/>
    <n v="1009"/>
    <s v="Halsi"/>
    <x v="332"/>
    <s v="TIYAY"/>
    <s v="MPG"/>
    <s v="Direct"/>
    <n v="364.09999999999997"/>
    <n v="13083.59"/>
    <n v="378.6"/>
    <n v="14271.529999999999"/>
    <n v="0"/>
    <n v="0"/>
    <n v="378.6"/>
    <n v="14271.529999999999"/>
    <n v="13083.59"/>
    <n v="0"/>
    <n v="0"/>
    <n v="1187.9399999999987"/>
    <n v="0"/>
    <n v="0"/>
    <n v="0"/>
    <n v="13084"/>
    <n v="0"/>
    <n v="0"/>
    <n v="0"/>
    <n v="0"/>
    <n v="241.40499209008522"/>
    <n v="52.014285714285712"/>
    <n v="-9.0796180559005499E-2"/>
    <n v="1"/>
    <m/>
    <s v="Halsi"/>
    <m/>
    <n v="0"/>
  </r>
  <r>
    <s v="Munger"/>
    <s v="17-23 Jul"/>
    <n v="1009"/>
    <s v="Halsi"/>
    <x v="333"/>
    <s v="BILLO 2"/>
    <s v="MPG"/>
    <s v="Direct"/>
    <n v="252.10000000000002"/>
    <n v="10246.270000000002"/>
    <n v="274.60000000000002"/>
    <n v="10865.679999999997"/>
    <n v="0"/>
    <n v="0"/>
    <n v="274.60000000000002"/>
    <n v="10865.679999999997"/>
    <n v="10246.270000000002"/>
    <n v="0"/>
    <n v="0"/>
    <n v="619.4099999999944"/>
    <n v="0"/>
    <n v="0"/>
    <n v="0"/>
    <n v="10246"/>
    <n v="0"/>
    <n v="0"/>
    <n v="0"/>
    <n v="0"/>
    <n v="364.08602403808021"/>
    <n v="36.01428571428572"/>
    <n v="-6.0452242620972728E-2"/>
    <n v="1"/>
    <m/>
    <s v="Halsi"/>
    <m/>
    <n v="0"/>
  </r>
  <r>
    <s v="Munger"/>
    <s v="17-23 Jul"/>
    <n v="1009"/>
    <s v="Halsi"/>
    <x v="334"/>
    <s v="NAWADIH 2"/>
    <s v="MPG"/>
    <s v="Direct"/>
    <n v="635.1"/>
    <n v="32659.250000000004"/>
    <n v="463.9"/>
    <n v="23609.98"/>
    <n v="172.8"/>
    <n v="9114.4500000000007"/>
    <n v="636.70000000000005"/>
    <n v="32724.43"/>
    <n v="32659.250000000004"/>
    <n v="0"/>
    <n v="0"/>
    <n v="65.179999999996653"/>
    <n v="0"/>
    <n v="0"/>
    <n v="0"/>
    <n v="23545"/>
    <n v="9114"/>
    <n v="0"/>
    <n v="0"/>
    <n v="0"/>
    <n v="66.748081404503239"/>
    <n v="90.728571428571428"/>
    <n v="-1.9957592412562031E-3"/>
    <n v="7"/>
    <m/>
    <s v="Halsi"/>
    <m/>
    <n v="0"/>
  </r>
  <r>
    <s v="Munger"/>
    <s v="17-23 Jul"/>
    <n v="1010"/>
    <s v="Parbatta"/>
    <x v="335"/>
    <s v="Vishan Pur"/>
    <s v="MPG"/>
    <s v="Direct"/>
    <n v="828.19999999999993"/>
    <n v="32859.699999999997"/>
    <n v="760.78"/>
    <n v="31135.68"/>
    <n v="1.2999999999999998"/>
    <n v="53.25"/>
    <n v="762.07999999999993"/>
    <n v="31188.93"/>
    <n v="31188.93"/>
    <n v="0"/>
    <n v="53.25"/>
    <n v="0"/>
    <n v="0"/>
    <n v="0"/>
    <n v="0"/>
    <n v="31134"/>
    <n v="0"/>
    <n v="0"/>
    <n v="1672"/>
    <n v="0"/>
    <n v="0"/>
    <n v="0"/>
    <n v="5.0845564627796262E-2"/>
    <n v="10"/>
    <m/>
    <s v="Parbatta"/>
    <m/>
    <n v="0"/>
  </r>
  <r>
    <s v="Munger"/>
    <s v="17-23 Jul"/>
    <n v="1010"/>
    <s v="Parbatta"/>
    <x v="336"/>
    <s v="Gomukh Madhawpur"/>
    <s v="MPG"/>
    <s v="Direct"/>
    <n v="1850.3999999999999"/>
    <n v="77119.930000000008"/>
    <n v="1848.3999999999999"/>
    <n v="81375.510000000009"/>
    <n v="7"/>
    <n v="337.69999999999993"/>
    <n v="1855.3999999999999"/>
    <n v="81713.210000000006"/>
    <n v="77119.930000000008"/>
    <n v="0"/>
    <n v="337.69999999999993"/>
    <n v="4593.2799999999988"/>
    <n v="0"/>
    <n v="0"/>
    <n v="0"/>
    <n v="76782"/>
    <n v="0"/>
    <n v="0"/>
    <n v="0"/>
    <n v="0"/>
    <n v="0"/>
    <n v="0"/>
    <n v="-5.9560220036506753E-2"/>
    <n v="5"/>
    <m/>
    <s v="Parbatta"/>
    <m/>
    <n v="0"/>
  </r>
  <r>
    <s v="Munger"/>
    <s v="17-23 Jul"/>
    <n v="1010"/>
    <s v="Parbatta"/>
    <x v="337"/>
    <s v="Gomukh Muradpur"/>
    <s v="vlc"/>
    <s v="Indirect"/>
    <n v="148.79999999999998"/>
    <n v="5475.8099999999995"/>
    <n v="0"/>
    <n v="0"/>
    <n v="0"/>
    <n v="0"/>
    <n v="0"/>
    <n v="0"/>
    <n v="5475.8099999999995"/>
    <n v="0"/>
    <n v="0"/>
    <n v="0"/>
    <n v="0"/>
    <n v="0"/>
    <n v="0"/>
    <n v="0"/>
    <n v="0"/>
    <n v="5475.8099999999995"/>
    <n v="0"/>
    <n v="0"/>
    <n v="405.6809774193548"/>
    <n v="21.257142857142856"/>
    <n v="0"/>
    <n v="0"/>
    <m/>
    <s v="Parbatta"/>
    <m/>
    <n v="0"/>
  </r>
  <r>
    <s v="Munger"/>
    <s v="17-23 Jul"/>
    <n v="1010"/>
    <s v="Parbatta"/>
    <x v="338"/>
    <s v="Gomukh Kanhaiyachak Pachhim"/>
    <s v="MPG"/>
    <s v="Direct"/>
    <n v="1312.6000000000004"/>
    <n v="52587.34"/>
    <n v="1315.9099999999999"/>
    <n v="60722.679999999993"/>
    <n v="0"/>
    <n v="0"/>
    <n v="1315.9099999999999"/>
    <n v="60722.679999999993"/>
    <n v="52587.34"/>
    <n v="0"/>
    <n v="0"/>
    <n v="8135.3399999999965"/>
    <n v="0"/>
    <n v="0"/>
    <n v="0"/>
    <n v="52587"/>
    <n v="0"/>
    <n v="0"/>
    <n v="0"/>
    <n v="0"/>
    <n v="0"/>
    <n v="0"/>
    <n v="-0.15470149279275197"/>
    <n v="2"/>
    <m/>
    <s v="Parbatta"/>
    <m/>
    <n v="0"/>
  </r>
  <r>
    <s v="Munger"/>
    <s v="17-23 Jul"/>
    <n v="1010"/>
    <s v="Parbatta"/>
    <x v="339"/>
    <s v="Gomukh Srirampur Thuthi"/>
    <s v="MPG"/>
    <s v="Direct"/>
    <n v="400.5"/>
    <n v="16741.649999999998"/>
    <n v="403.59999999999991"/>
    <n v="16616.509999999998"/>
    <n v="0"/>
    <n v="0"/>
    <n v="403.59999999999991"/>
    <n v="16616.509999999998"/>
    <n v="16616.509999999998"/>
    <n v="0"/>
    <n v="0"/>
    <n v="0"/>
    <n v="0"/>
    <n v="0"/>
    <n v="0"/>
    <n v="16616"/>
    <n v="0"/>
    <n v="0"/>
    <n v="126"/>
    <n v="0"/>
    <n v="250.39321722846444"/>
    <n v="57.214285714285715"/>
    <n v="7.4747710052473579E-3"/>
    <n v="3"/>
    <m/>
    <s v="Parbatta"/>
    <m/>
    <n v="0"/>
  </r>
  <r>
    <s v="Munger"/>
    <s v="17-23 Jul"/>
    <n v="1010"/>
    <s v="Parbatta"/>
    <x v="340"/>
    <s v="Gomukh Dumariya Bujurg Madhay"/>
    <s v="MPG"/>
    <s v="Direct"/>
    <n v="231.3"/>
    <n v="9614.41"/>
    <n v="365"/>
    <n v="16210.91"/>
    <n v="0"/>
    <n v="0"/>
    <n v="365"/>
    <n v="16210.91"/>
    <n v="9614.41"/>
    <n v="0"/>
    <n v="0"/>
    <n v="6596.5"/>
    <n v="0"/>
    <n v="0"/>
    <n v="0"/>
    <n v="9614"/>
    <n v="0"/>
    <n v="0"/>
    <n v="0"/>
    <s v="Release2"/>
    <n v="389.64755443147419"/>
    <n v="33.042857142857144"/>
    <n v="-0.68610554365790521"/>
    <n v="1"/>
    <m/>
    <s v="Parbatta"/>
    <m/>
    <n v="0"/>
  </r>
  <r>
    <s v="Munger"/>
    <s v="17-23 Jul"/>
    <n v="1010"/>
    <s v="Parbatta"/>
    <x v="341"/>
    <s v="Gomukh Bandahera                                                                                    "/>
    <s v="MPG"/>
    <s v="Direct"/>
    <n v="540.9"/>
    <n v="22674.999999999996"/>
    <n v="539.5"/>
    <n v="22615.989999999998"/>
    <n v="1.4000000000000001"/>
    <n v="59.010000000000005"/>
    <n v="540.9"/>
    <n v="22674.999999999996"/>
    <n v="22674.999999999996"/>
    <n v="0"/>
    <n v="59.010000000000005"/>
    <n v="0"/>
    <n v="0"/>
    <n v="0"/>
    <n v="0"/>
    <n v="22616"/>
    <n v="0"/>
    <n v="0"/>
    <n v="0"/>
    <n v="0"/>
    <n v="133.3922166759105"/>
    <n v="77.271428571428572"/>
    <n v="0"/>
    <n v="4"/>
    <m/>
    <s v="Parbatta"/>
    <m/>
    <n v="0"/>
  </r>
  <r>
    <s v="Munger"/>
    <s v="17-23 Jul"/>
    <n v="1010"/>
    <s v="Parbatta"/>
    <x v="342"/>
    <s v="Gomukh Badi Lagar-1 Kiran"/>
    <s v="vlc"/>
    <s v="Indirect"/>
    <n v="844.7"/>
    <n v="37409.33"/>
    <n v="0"/>
    <n v="0"/>
    <n v="0"/>
    <n v="0"/>
    <n v="0"/>
    <n v="0"/>
    <n v="37409.33"/>
    <n v="0"/>
    <n v="0"/>
    <n v="0"/>
    <n v="0"/>
    <n v="0"/>
    <n v="0"/>
    <n v="0"/>
    <n v="0"/>
    <n v="37409.33"/>
    <n v="0"/>
    <n v="0"/>
    <n v="0"/>
    <n v="0"/>
    <n v="0"/>
    <n v="0"/>
    <m/>
    <s v="Parbatta"/>
    <m/>
    <n v="0"/>
  </r>
  <r>
    <s v="Munger"/>
    <s v="17-23 Jul"/>
    <n v="1010"/>
    <s v="Parbatta"/>
    <x v="343"/>
    <s v="Gomukh Muradpur Deepak"/>
    <s v="vlc"/>
    <s v="Indirect"/>
    <n v="454.39999999999992"/>
    <n v="15551.829999999998"/>
    <n v="0"/>
    <n v="0"/>
    <n v="0"/>
    <n v="0"/>
    <n v="0"/>
    <n v="0"/>
    <n v="15551.829999999998"/>
    <n v="0"/>
    <n v="0"/>
    <n v="0"/>
    <n v="0"/>
    <n v="0"/>
    <n v="0"/>
    <n v="0"/>
    <n v="0"/>
    <n v="15551.829999999998"/>
    <n v="0"/>
    <n v="0"/>
    <n v="168.11309190140855"/>
    <n v="64.914285714285697"/>
    <n v="0"/>
    <n v="0"/>
    <m/>
    <s v="Parbatta"/>
    <m/>
    <n v="0"/>
  </r>
  <r>
    <s v="Munger"/>
    <s v="17-23 Jul"/>
    <n v="1007"/>
    <s v="Araria"/>
    <x v="344"/>
    <s v="Gomukh Basudevpur"/>
    <s v="vlc"/>
    <s v="Indirect"/>
    <n v="85.3"/>
    <n v="3196.38"/>
    <n v="0"/>
    <n v="0"/>
    <n v="0"/>
    <n v="0"/>
    <n v="0"/>
    <n v="0"/>
    <n v="3196.38"/>
    <n v="0"/>
    <n v="0"/>
    <n v="0"/>
    <n v="0"/>
    <n v="0"/>
    <n v="0"/>
    <n v="0"/>
    <n v="0"/>
    <n v="3196.38"/>
    <n v="0"/>
    <n v="0"/>
    <n v="460.68341992966009"/>
    <n v="12.185714285714285"/>
    <n v="0"/>
    <n v="0"/>
    <m/>
    <s v="Araria"/>
    <m/>
    <n v="0"/>
  </r>
  <r>
    <s v="Munger"/>
    <s v="17-23 Jul"/>
    <n v="1007"/>
    <s v="Araria"/>
    <x v="345"/>
    <s v="Gomukh Fudkichak"/>
    <s v="MPG"/>
    <s v="Direct"/>
    <n v="512.6"/>
    <n v="25021.24"/>
    <n v="563.6"/>
    <n v="31200.36"/>
    <n v="0"/>
    <n v="0"/>
    <n v="563.6"/>
    <n v="31200.36"/>
    <n v="25021.24"/>
    <n v="0"/>
    <n v="0"/>
    <n v="6179.119999999999"/>
    <n v="0"/>
    <n v="500"/>
    <n v="0"/>
    <n v="24521"/>
    <n v="0"/>
    <n v="0"/>
    <n v="0"/>
    <n v="0"/>
    <n v="182.94890269215765"/>
    <n v="73.228571428571428"/>
    <n v="-0.2469549870430082"/>
    <n v="1"/>
    <m/>
    <s v="Araria"/>
    <m/>
    <n v="500"/>
  </r>
  <r>
    <s v="Munger"/>
    <s v="17-23 Jul"/>
    <n v="1010"/>
    <s v="Parbatta"/>
    <x v="346"/>
    <s v="Gomukh Tehay"/>
    <s v="MPG"/>
    <s v="Direct"/>
    <n v="248"/>
    <n v="11607.12"/>
    <n v="486.79999999999995"/>
    <n v="23559.94"/>
    <n v="50"/>
    <n v="2370"/>
    <n v="536.79999999999995"/>
    <n v="25929.94"/>
    <n v="11607.12"/>
    <n v="0"/>
    <n v="2370"/>
    <n v="14322.819999999998"/>
    <n v="0"/>
    <n v="500"/>
    <n v="0"/>
    <n v="8737"/>
    <n v="0"/>
    <n v="0"/>
    <n v="0"/>
    <n v="0"/>
    <n v="423.09824516129032"/>
    <n v="35.428571428571431"/>
    <n v="-1.2339684607378916"/>
    <n v="3"/>
    <m/>
    <s v="Parbatta"/>
    <m/>
    <n v="500"/>
  </r>
  <r>
    <s v="Munger"/>
    <s v="17-23 Jul"/>
    <n v="1007"/>
    <s v="Araria"/>
    <x v="347"/>
    <s v="Gomukh Buddhnagar"/>
    <s v="vlc"/>
    <s v="Indirect"/>
    <n v="1140.4999999999998"/>
    <n v="45358.48000000001"/>
    <n v="0"/>
    <n v="0"/>
    <n v="0"/>
    <n v="0"/>
    <n v="0"/>
    <n v="0"/>
    <n v="45358.48000000001"/>
    <n v="0"/>
    <n v="0"/>
    <n v="0"/>
    <n v="0"/>
    <n v="0"/>
    <n v="0"/>
    <n v="0"/>
    <n v="0"/>
    <n v="45358.48000000001"/>
    <n v="0"/>
    <n v="0"/>
    <n v="0"/>
    <n v="0"/>
    <n v="0"/>
    <n v="0"/>
    <m/>
    <s v="Araria"/>
    <m/>
    <n v="0"/>
  </r>
  <r>
    <s v="Munger"/>
    <s v="17-23 Jul"/>
    <n v="1010"/>
    <s v="Parbatta"/>
    <x v="348"/>
    <s v="Gomukh Krochaka Dudhela"/>
    <s v="MPG"/>
    <s v="Direct"/>
    <n v="2016.7"/>
    <n v="73545.429999999993"/>
    <n v="2081.8199999999997"/>
    <n v="81757.76999999999"/>
    <n v="6.1199999999999983"/>
    <n v="238.07"/>
    <n v="2087.9399999999996"/>
    <n v="81995.839999999997"/>
    <n v="73545.429999999993"/>
    <n v="0"/>
    <n v="238.07"/>
    <n v="8450.4100000000035"/>
    <n v="0"/>
    <n v="0"/>
    <n v="0"/>
    <n v="73307"/>
    <n v="0"/>
    <n v="0"/>
    <n v="0"/>
    <n v="0"/>
    <n v="0"/>
    <n v="0"/>
    <n v="-0.11490054514604109"/>
    <n v="4"/>
    <m/>
    <s v="Parbatta"/>
    <m/>
    <n v="0"/>
  </r>
  <r>
    <s v="Munger"/>
    <s v="17-23 Jul"/>
    <n v="1010"/>
    <s v="Parbatta"/>
    <x v="1013"/>
    <s v="Gomukh Mahdipur"/>
    <s v="vlc"/>
    <s v="Direct"/>
    <n v="20.6"/>
    <n v="890.54"/>
    <n v="0"/>
    <n v="0"/>
    <n v="0"/>
    <n v="0"/>
    <n v="0"/>
    <n v="0"/>
    <n v="0"/>
    <n v="0"/>
    <n v="0"/>
    <n v="0"/>
    <n v="0"/>
    <n v="0"/>
    <n v="0"/>
    <n v="0"/>
    <n v="0"/>
    <n v="0"/>
    <n v="891"/>
    <n v="0"/>
    <n v="587.41055922330099"/>
    <n v="2.9428571428571431"/>
    <n v="1"/>
    <n v="0"/>
    <m/>
    <s v="Parbatta"/>
    <m/>
    <n v="0"/>
  </r>
  <r>
    <s v="Munger"/>
    <s v="17-23 Jul"/>
    <n v="1007"/>
    <s v="Araria"/>
    <x v="349"/>
    <s v="Gomukh Govind Pur"/>
    <s v="MPG"/>
    <s v="Direct"/>
    <n v="1212.5"/>
    <n v="47558.239999999991"/>
    <n v="1212.5"/>
    <n v="47699.75"/>
    <n v="0"/>
    <n v="0"/>
    <n v="1212.5"/>
    <n v="47699.75"/>
    <n v="47558.239999999991"/>
    <n v="0"/>
    <n v="0"/>
    <n v="141.51000000000931"/>
    <n v="0"/>
    <n v="0"/>
    <n v="0"/>
    <n v="47558"/>
    <n v="0"/>
    <n v="0"/>
    <n v="0"/>
    <n v="0"/>
    <n v="0"/>
    <n v="0"/>
    <n v="-2.9755096067476286E-3"/>
    <n v="1"/>
    <m/>
    <s v="Araria"/>
    <m/>
    <n v="0"/>
  </r>
  <r>
    <s v="Munger"/>
    <s v="17-23 Jul"/>
    <n v="1007"/>
    <s v="Araria"/>
    <x v="350"/>
    <s v="Gomukh Sondiha"/>
    <s v="MPG"/>
    <s v="Direct"/>
    <n v="1659.8999999999999"/>
    <n v="65720.850000000006"/>
    <n v="1673"/>
    <n v="66430.069999999992"/>
    <n v="0"/>
    <n v="0"/>
    <n v="1673"/>
    <n v="66430.069999999992"/>
    <n v="65720.850000000006"/>
    <n v="0"/>
    <n v="0"/>
    <n v="709.21999999998661"/>
    <n v="0"/>
    <n v="0"/>
    <n v="0"/>
    <n v="65721"/>
    <n v="0"/>
    <n v="0"/>
    <n v="0"/>
    <n v="0"/>
    <n v="0"/>
    <n v="0"/>
    <n v="-1.0791400293818271E-2"/>
    <n v="4"/>
    <m/>
    <s v="Araria"/>
    <m/>
    <n v="0"/>
  </r>
  <r>
    <s v="Munger"/>
    <s v="17-23 Jul"/>
    <n v="1010"/>
    <s v="Parbatta"/>
    <x v="351"/>
    <s v="Gomukh Thebhay B"/>
    <s v="MPG"/>
    <s v="Direct"/>
    <n v="261.60000000000002"/>
    <n v="11625.919999999998"/>
    <n v="430.87"/>
    <n v="18150.010000000002"/>
    <n v="2.7700000000000005"/>
    <n v="119.42999999999999"/>
    <n v="433.64"/>
    <n v="18269.440000000002"/>
    <n v="11625.919999999998"/>
    <n v="0"/>
    <n v="119.42999999999999"/>
    <n v="6643.5200000000041"/>
    <n v="0"/>
    <n v="0"/>
    <n v="0"/>
    <n v="11506"/>
    <n v="0"/>
    <n v="0"/>
    <n v="0"/>
    <n v="0"/>
    <n v="389.66386299694182"/>
    <n v="37.371428571428574"/>
    <n v="-0.57144036773003815"/>
    <n v="5"/>
    <m/>
    <s v="Parbatta"/>
    <m/>
    <n v="0"/>
  </r>
  <r>
    <s v="Munger"/>
    <s v="17-23 Jul"/>
    <n v="1010"/>
    <s v="Parbatta"/>
    <x v="1014"/>
    <s v="Gomukh Bandehra"/>
    <s v="vlc"/>
    <s v="Indirect"/>
    <n v="674.5"/>
    <n v="31166.89"/>
    <n v="0"/>
    <n v="0"/>
    <n v="0"/>
    <n v="0"/>
    <n v="0"/>
    <n v="0"/>
    <n v="31166.89"/>
    <n v="0"/>
    <n v="0"/>
    <n v="0"/>
    <n v="0"/>
    <n v="0"/>
    <n v="0"/>
    <n v="0"/>
    <n v="0"/>
    <n v="31166.89"/>
    <n v="0"/>
    <n v="0"/>
    <n v="23.565773017049644"/>
    <n v="96.357142857142861"/>
    <n v="0"/>
    <n v="0"/>
    <m/>
    <s v="Parbatta"/>
    <m/>
    <n v="0"/>
  </r>
  <r>
    <s v="Munger"/>
    <s v="17-23 Jul"/>
    <n v="1010"/>
    <s v="Parbatta"/>
    <x v="977"/>
    <s v="Gomukh Rahempur"/>
    <s v="vlc"/>
    <s v="Indirect"/>
    <n v="1523.6000000000001"/>
    <n v="71783.88"/>
    <n v="0"/>
    <n v="0"/>
    <n v="0"/>
    <n v="0"/>
    <n v="0"/>
    <n v="0"/>
    <n v="71783.88"/>
    <n v="0"/>
    <n v="0"/>
    <n v="0"/>
    <n v="0"/>
    <n v="0"/>
    <n v="0"/>
    <n v="0"/>
    <n v="0"/>
    <n v="71783.88"/>
    <n v="0"/>
    <n v="0"/>
    <n v="0"/>
    <n v="0"/>
    <n v="0"/>
    <n v="0"/>
    <m/>
    <s v="Parbatta"/>
    <m/>
    <n v="0"/>
  </r>
  <r>
    <s v="Munger"/>
    <s v="17-23 Jul"/>
    <n v="1007"/>
    <s v="Araria"/>
    <x v="352"/>
    <s v="Gomukh Baisa"/>
    <s v="MPG"/>
    <s v="Direct"/>
    <n v="282.89999999999998"/>
    <n v="11031.260000000002"/>
    <n v="282.5"/>
    <n v="11053.71"/>
    <n v="0.5"/>
    <n v="19.509999999999998"/>
    <n v="283"/>
    <n v="11073.22"/>
    <n v="11031.260000000002"/>
    <n v="0"/>
    <n v="19.509999999999998"/>
    <n v="41.959999999997308"/>
    <n v="676"/>
    <n v="0"/>
    <n v="0"/>
    <n v="10335"/>
    <n v="0"/>
    <n v="0"/>
    <n v="1"/>
    <s v="Release1"/>
    <n v="325.28374308943103"/>
    <n v="40.414285714285711"/>
    <n v="-3.8037359286244091E-3"/>
    <n v="5"/>
    <m/>
    <s v="Araria"/>
    <m/>
    <n v="0"/>
  </r>
  <r>
    <s v="Munger"/>
    <s v="17-23 Jul"/>
    <n v="1010"/>
    <s v="Parbatta"/>
    <x v="353"/>
    <s v="Gomukh Khutha VLC"/>
    <s v="vlc"/>
    <s v="Indirect"/>
    <n v="8451.1"/>
    <n v="346929.83999999997"/>
    <n v="0"/>
    <n v="0"/>
    <n v="0"/>
    <n v="0"/>
    <n v="0"/>
    <n v="0"/>
    <n v="346929.83999999997"/>
    <n v="0"/>
    <n v="0"/>
    <n v="0"/>
    <n v="0"/>
    <n v="0"/>
    <n v="0"/>
    <n v="0"/>
    <n v="0"/>
    <n v="346929.83999999997"/>
    <n v="0"/>
    <n v="0"/>
    <n v="0"/>
    <n v="0"/>
    <n v="0"/>
    <n v="0"/>
    <m/>
    <s v="Parbatta"/>
    <m/>
    <n v="0"/>
  </r>
  <r>
    <s v="Munger"/>
    <s v="17-23 Jul"/>
    <n v="1010"/>
    <s v="Parbatta"/>
    <x v="354"/>
    <s v="Gomukh Kabela Vlc"/>
    <s v="vlc"/>
    <s v="Indirect"/>
    <n v="1018.6999999999998"/>
    <n v="37313.730000000003"/>
    <n v="0"/>
    <n v="0"/>
    <n v="0"/>
    <n v="0"/>
    <n v="0"/>
    <n v="0"/>
    <n v="37313.730000000003"/>
    <n v="0"/>
    <n v="0"/>
    <n v="0"/>
    <n v="0"/>
    <n v="0"/>
    <n v="0"/>
    <n v="0"/>
    <n v="0"/>
    <n v="37313.730000000003"/>
    <n v="0"/>
    <n v="0"/>
    <n v="0"/>
    <n v="0"/>
    <n v="0"/>
    <n v="0"/>
    <m/>
    <s v="Parbatta"/>
    <m/>
    <n v="0"/>
  </r>
  <r>
    <s v="Munger"/>
    <s v="17-23 Jul"/>
    <n v="1010"/>
    <s v="Parbatta"/>
    <x v="1015"/>
    <s v="RaJu Kumar(MOR)"/>
    <s v="vlc"/>
    <s v="Indirect"/>
    <n v="1038"/>
    <n v="48967.29"/>
    <n v="0"/>
    <n v="0"/>
    <n v="0"/>
    <n v="0"/>
    <n v="0"/>
    <n v="0"/>
    <n v="48967.29"/>
    <n v="0"/>
    <n v="0"/>
    <n v="0"/>
    <n v="0"/>
    <n v="0"/>
    <n v="0"/>
    <n v="0"/>
    <n v="0"/>
    <n v="48967.29"/>
    <n v="0"/>
    <n v="0"/>
    <n v="0"/>
    <n v="0"/>
    <n v="0"/>
    <n v="0"/>
    <m/>
    <s v="Parbatta"/>
    <m/>
    <n v="0"/>
  </r>
  <r>
    <s v="Munger"/>
    <s v="17-23 Jul"/>
    <n v="1010"/>
    <s v="Parbatta"/>
    <x v="355"/>
    <s v="Gomukh Lagar Wad-13 Vlc"/>
    <s v="vlc"/>
    <s v="Indirect"/>
    <n v="494.4"/>
    <n v="25195.5"/>
    <n v="0"/>
    <n v="0"/>
    <n v="0"/>
    <n v="0"/>
    <n v="0"/>
    <n v="0"/>
    <n v="25195.5"/>
    <n v="0"/>
    <n v="0"/>
    <n v="0"/>
    <n v="0"/>
    <n v="0"/>
    <n v="0"/>
    <n v="0"/>
    <n v="0"/>
    <n v="25195.5"/>
    <n v="0"/>
    <n v="0"/>
    <n v="209.55480582524279"/>
    <n v="70.628571428571419"/>
    <n v="0"/>
    <n v="0"/>
    <m/>
    <s v="Parbatta"/>
    <m/>
    <n v="0"/>
  </r>
  <r>
    <s v="Munger"/>
    <s v="17-23 Jul"/>
    <n v="1010"/>
    <s v="Parbatta"/>
    <x v="356"/>
    <s v="Gomukh Manish Vlc"/>
    <s v="vlc"/>
    <s v="Indirect"/>
    <n v="2437.6000000000004"/>
    <n v="126231.34"/>
    <n v="0"/>
    <n v="0"/>
    <n v="0"/>
    <n v="0"/>
    <n v="0"/>
    <n v="0"/>
    <n v="126231.34"/>
    <n v="0"/>
    <n v="0"/>
    <n v="0"/>
    <n v="0"/>
    <n v="0"/>
    <n v="0"/>
    <n v="0"/>
    <n v="0"/>
    <n v="126231.34"/>
    <n v="0"/>
    <n v="0"/>
    <n v="0"/>
    <n v="0"/>
    <n v="0"/>
    <n v="0"/>
    <m/>
    <s v="Parbatta"/>
    <m/>
    <n v="0"/>
  </r>
  <r>
    <s v="Munger"/>
    <s v="17-23 Jul"/>
    <n v="1010"/>
    <s v="Parbatta"/>
    <x v="357"/>
    <s v="Gomukh Parbatta Vlc"/>
    <s v="vlc"/>
    <s v="Indirect"/>
    <n v="2477.1"/>
    <n v="126432.50999999998"/>
    <n v="0"/>
    <n v="0"/>
    <n v="0"/>
    <n v="0"/>
    <n v="0"/>
    <n v="0"/>
    <n v="126432.50999999998"/>
    <n v="0"/>
    <n v="0"/>
    <n v="0"/>
    <n v="0"/>
    <n v="0"/>
    <n v="0"/>
    <n v="0"/>
    <n v="0"/>
    <n v="126432.50999999998"/>
    <n v="0"/>
    <n v="0"/>
    <n v="0"/>
    <n v="0"/>
    <n v="0"/>
    <n v="0"/>
    <m/>
    <s v="Parbatta"/>
    <m/>
    <n v="0"/>
  </r>
  <r>
    <s v="Munger"/>
    <s v="17-23 Jul"/>
    <n v="1055"/>
    <s v="Matihani"/>
    <x v="358"/>
    <s v="Gomukh Mahendrapur"/>
    <s v="MPG"/>
    <s v="Direct"/>
    <n v="2108"/>
    <n v="87899.29"/>
    <n v="2114.2999999999997"/>
    <n v="91033.949999999983"/>
    <n v="51"/>
    <n v="2195.94"/>
    <n v="2165.2999999999997"/>
    <n v="93229.889999999985"/>
    <n v="87899.29"/>
    <n v="0"/>
    <n v="2195.94"/>
    <n v="5330.5999999999913"/>
    <n v="2800"/>
    <n v="0"/>
    <n v="0"/>
    <n v="82903"/>
    <n v="0"/>
    <n v="0"/>
    <n v="0"/>
    <n v="0"/>
    <n v="0"/>
    <n v="0"/>
    <n v="-6.0644403384828155E-2"/>
    <n v="16"/>
    <m/>
    <s v="Matihani"/>
    <m/>
    <n v="0"/>
  </r>
  <r>
    <s v="Munger"/>
    <s v="17-23 Jul"/>
    <n v="1055"/>
    <s v="Matihani"/>
    <x v="359"/>
    <s v="Gomukh Balahpur"/>
    <s v="vlc"/>
    <s v="Direct"/>
    <n v="540.29999999999995"/>
    <n v="20663.86"/>
    <n v="540.4"/>
    <n v="20799.82"/>
    <n v="0"/>
    <n v="0"/>
    <n v="540.4"/>
    <n v="20799.82"/>
    <n v="20663.86"/>
    <n v="0"/>
    <n v="0"/>
    <n v="135.95999999999913"/>
    <n v="0"/>
    <n v="0"/>
    <n v="0"/>
    <n v="20664"/>
    <n v="0"/>
    <n v="0"/>
    <n v="0"/>
    <n v="0"/>
    <n v="122.15504134739962"/>
    <n v="77.185714285714283"/>
    <n v="-6.579603229986998E-3"/>
    <n v="2"/>
    <m/>
    <s v="Matihani"/>
    <m/>
    <n v="0"/>
  </r>
  <r>
    <s v="Munger"/>
    <s v="17-23 Jul"/>
    <n v="1011"/>
    <s v="Sahibpur Kamal"/>
    <x v="360"/>
    <s v="Gomukh Danauli"/>
    <s v="MPG"/>
    <s v="Direct"/>
    <n v="538"/>
    <n v="20894.98"/>
    <n v="533"/>
    <n v="20706.059999999998"/>
    <n v="17.900000000000009"/>
    <n v="714.87"/>
    <n v="550.9"/>
    <n v="21420.929999999997"/>
    <n v="20894.98"/>
    <n v="0"/>
    <n v="714.87"/>
    <n v="525.94999999999709"/>
    <n v="0"/>
    <n v="0"/>
    <n v="0"/>
    <n v="20180"/>
    <n v="0"/>
    <n v="0"/>
    <n v="0"/>
    <n v="0"/>
    <n v="125.83593903345722"/>
    <n v="76.857142857142861"/>
    <n v="-2.517111765601102E-2"/>
    <n v="3"/>
    <m/>
    <s v="Sahibpur Kamal"/>
    <m/>
    <n v="0"/>
  </r>
  <r>
    <s v="Munger"/>
    <s v="17-23 Jul"/>
    <n v="1055"/>
    <s v="Matihani"/>
    <x v="361"/>
    <s v="NAYAGAW"/>
    <s v="MPG"/>
    <s v="Direct"/>
    <n v="3753"/>
    <n v="161371.70000000001"/>
    <n v="3718.29"/>
    <n v="160071.12999999998"/>
    <n v="36.74"/>
    <n v="2515.48"/>
    <n v="3755.0299999999997"/>
    <n v="162586.60999999999"/>
    <n v="161371.70000000001"/>
    <n v="0"/>
    <n v="2515.48"/>
    <n v="1214.9099999999744"/>
    <n v="0"/>
    <n v="0"/>
    <n v="0"/>
    <n v="158856"/>
    <n v="0"/>
    <n v="0"/>
    <n v="0"/>
    <n v="0"/>
    <n v="0"/>
    <n v="0"/>
    <n v="-7.528643498209254E-3"/>
    <n v="35"/>
    <m/>
    <s v="Matihani"/>
    <m/>
    <n v="0"/>
  </r>
  <r>
    <s v="Munger"/>
    <s v="17-23 Jul"/>
    <n v="1011"/>
    <s v="Sahibpur Kamal"/>
    <x v="362"/>
    <s v="Dandari"/>
    <s v="MPG"/>
    <s v="Direct"/>
    <n v="375.50000000000006"/>
    <n v="13815.900000000001"/>
    <n v="372.7"/>
    <n v="14266.83"/>
    <n v="2.8000000000000003"/>
    <n v="106.89000000000001"/>
    <n v="375.5"/>
    <n v="14373.72"/>
    <n v="13815.900000000001"/>
    <n v="0"/>
    <n v="106.89000000000001"/>
    <n v="557.81999999999789"/>
    <n v="0"/>
    <n v="0"/>
    <n v="0"/>
    <n v="13709"/>
    <n v="0"/>
    <n v="0"/>
    <n v="0"/>
    <n v="0"/>
    <n v="238.78879094540608"/>
    <n v="53.642857142857153"/>
    <n v="-4.0375219855383858E-2"/>
    <n v="5"/>
    <m/>
    <s v="Sahibpur Kamal"/>
    <m/>
    <n v="0"/>
  </r>
  <r>
    <s v="Munger"/>
    <s v="17-23 Jul"/>
    <n v="1011"/>
    <s v="Sahibpur Kamal"/>
    <x v="363"/>
    <s v="Rahimpur Pachkhutti"/>
    <s v="MPG"/>
    <s v="Indirect"/>
    <n v="8273.1"/>
    <n v="328107.64999999997"/>
    <n v="0"/>
    <n v="0"/>
    <n v="0"/>
    <n v="0"/>
    <n v="0"/>
    <n v="0"/>
    <n v="328107.64999999997"/>
    <n v="0"/>
    <n v="0"/>
    <n v="0"/>
    <n v="0"/>
    <n v="0"/>
    <n v="0"/>
    <n v="0"/>
    <n v="0"/>
    <n v="328107.64999999997"/>
    <n v="0"/>
    <n v="0"/>
    <n v="0"/>
    <n v="0"/>
    <n v="0"/>
    <n v="0"/>
    <m/>
    <s v="Sahibpur Kamal"/>
    <m/>
    <n v="0"/>
  </r>
  <r>
    <s v="Munger"/>
    <s v="17-23 Jul"/>
    <n v="1011"/>
    <s v="Sahibpur Kamal"/>
    <x v="364"/>
    <s v="Gomukh Mohanpur                                                                                     "/>
    <s v="MPG"/>
    <s v="Direct"/>
    <n v="806.19999999999993"/>
    <n v="30718.620000000003"/>
    <n v="802"/>
    <n v="31161.039999999997"/>
    <n v="1.1000000000000001"/>
    <n v="42.81"/>
    <n v="803.1"/>
    <n v="31203.85"/>
    <n v="30718.620000000003"/>
    <n v="0"/>
    <n v="42.81"/>
    <n v="485.22999999999593"/>
    <n v="1350"/>
    <n v="0"/>
    <n v="0"/>
    <n v="29326"/>
    <n v="0"/>
    <n v="0"/>
    <n v="0"/>
    <n v="0"/>
    <n v="0"/>
    <n v="0"/>
    <n v="-1.5795956979838151E-2"/>
    <n v="7"/>
    <m/>
    <s v="Sahibpur Kamal"/>
    <m/>
    <n v="0"/>
  </r>
  <r>
    <s v="Munger"/>
    <s v="17-23 Jul"/>
    <n v="1011"/>
    <s v="Sahibpur Kamal"/>
    <x v="365"/>
    <s v="Gomukh Raghunathpur"/>
    <s v="MPG"/>
    <s v="Direct"/>
    <n v="1020.1000000000003"/>
    <n v="45695.619999999995"/>
    <n v="1021.6999999999997"/>
    <n v="45226.66"/>
    <n v="19.5"/>
    <n v="845.37"/>
    <n v="1041.1999999999998"/>
    <n v="46072.030000000006"/>
    <n v="45695.619999999995"/>
    <n v="0"/>
    <n v="845.37"/>
    <n v="376.41000000001077"/>
    <n v="0"/>
    <n v="0"/>
    <n v="0"/>
    <n v="44850"/>
    <n v="0"/>
    <n v="0"/>
    <n v="0"/>
    <n v="0"/>
    <n v="0"/>
    <n v="0"/>
    <n v="-8.2373321556860543E-3"/>
    <n v="36"/>
    <m/>
    <s v="Sahibpur Kamal"/>
    <m/>
    <n v="0"/>
  </r>
  <r>
    <s v="Munger"/>
    <s v="17-23 Jul"/>
    <n v="1055"/>
    <s v="Matihani"/>
    <x v="366"/>
    <s v="Gomukh Chhitraur"/>
    <s v="MPG"/>
    <s v="Direct"/>
    <n v="639.19999999999982"/>
    <n v="27290.57"/>
    <n v="674.2600000000001"/>
    <n v="29203.289999999997"/>
    <n v="0"/>
    <n v="0"/>
    <n v="674.2600000000001"/>
    <n v="29203.289999999997"/>
    <n v="27290.57"/>
    <n v="0"/>
    <n v="0"/>
    <n v="1912.7199999999975"/>
    <n v="0"/>
    <n v="0"/>
    <n v="0"/>
    <n v="27291"/>
    <n v="0"/>
    <n v="0"/>
    <n v="0"/>
    <n v="0"/>
    <n v="51.9169792240302"/>
    <n v="91.314285714285688"/>
    <n v="-7.0087213275501298E-2"/>
    <n v="7"/>
    <m/>
    <s v="Matihani"/>
    <m/>
    <n v="0"/>
  </r>
  <r>
    <s v="Munger"/>
    <s v="17-23 Jul"/>
    <n v="1055"/>
    <s v="Matihani"/>
    <x v="367"/>
    <s v="Gomukh Khorampur Chakaur"/>
    <s v="MPG"/>
    <s v="Direct"/>
    <n v="530.1"/>
    <n v="21744.280000000002"/>
    <n v="526.4"/>
    <n v="22139.680000000004"/>
    <n v="3.35"/>
    <n v="141.72"/>
    <n v="529.75"/>
    <n v="22281.400000000005"/>
    <n v="21744.280000000002"/>
    <n v="0"/>
    <n v="141.72"/>
    <n v="537.12000000000262"/>
    <n v="0"/>
    <n v="0"/>
    <n v="0"/>
    <n v="21602"/>
    <n v="0"/>
    <n v="0"/>
    <n v="1"/>
    <n v="0"/>
    <n v="139.38325493303154"/>
    <n v="75.728571428571428"/>
    <n v="-2.4701668668725869E-2"/>
    <n v="6"/>
    <m/>
    <s v="Matihani"/>
    <m/>
    <n v="0"/>
  </r>
  <r>
    <s v="Munger"/>
    <s v="17-23 Jul"/>
    <n v="1011"/>
    <s v="Sahibpur Kamal"/>
    <x v="368"/>
    <s v="GOMUKH Mathar"/>
    <s v="MPG"/>
    <s v="Direct"/>
    <n v="221"/>
    <n v="9929.98"/>
    <n v="210"/>
    <n v="9802.1999999999971"/>
    <n v="2.2300000000000004"/>
    <n v="103.93"/>
    <n v="212.23"/>
    <n v="9906.1299999999974"/>
    <n v="9906.1299999999974"/>
    <n v="0"/>
    <n v="103.93"/>
    <n v="0"/>
    <n v="0"/>
    <n v="0"/>
    <n v="0"/>
    <n v="9803"/>
    <n v="0"/>
    <n v="0"/>
    <n v="23"/>
    <n v="0"/>
    <n v="430.44890678733037"/>
    <n v="31.571428571428573"/>
    <n v="2.4018175263195076E-3"/>
    <n v="5"/>
    <m/>
    <s v="Sahibpur Kamal"/>
    <m/>
    <n v="0"/>
  </r>
  <r>
    <s v="Munger"/>
    <s v="17-23 Jul"/>
    <n v="1011"/>
    <s v="Sahibpur Kamal"/>
    <x v="369"/>
    <s v="Gomukh Kumar Chakki"/>
    <s v="MPG"/>
    <s v="Direct"/>
    <n v="20.700000000000003"/>
    <n v="882.16000000000008"/>
    <n v="20.6"/>
    <n v="890.54"/>
    <n v="0.1"/>
    <n v="4.32"/>
    <n v="20.700000000000003"/>
    <n v="894.86"/>
    <n v="882.16000000000008"/>
    <n v="0"/>
    <n v="4.32"/>
    <n v="12.699999999999932"/>
    <n v="0"/>
    <n v="500"/>
    <n v="0"/>
    <n v="378"/>
    <n v="0"/>
    <n v="0"/>
    <n v="0"/>
    <n v="0"/>
    <n v="578.98675169082117"/>
    <n v="2.9571428571428577"/>
    <n v="-1.4396481363924832E-2"/>
    <n v="2"/>
    <m/>
    <s v="Sahibpur Kamal"/>
    <m/>
    <n v="500"/>
  </r>
  <r>
    <s v="Munger"/>
    <s v="17-23 Jul"/>
    <n v="1055"/>
    <s v="Matihani"/>
    <x v="370"/>
    <s v="Gomukh Sonapur"/>
    <s v="vlc"/>
    <s v="Indirect"/>
    <n v="424.9"/>
    <n v="16554.899999999998"/>
    <n v="0"/>
    <n v="0"/>
    <n v="0"/>
    <n v="0"/>
    <n v="0"/>
    <n v="0"/>
    <n v="16554.899999999998"/>
    <n v="0"/>
    <n v="0"/>
    <n v="0"/>
    <n v="0"/>
    <n v="0"/>
    <n v="0"/>
    <n v="0"/>
    <n v="0"/>
    <n v="16554.899999999998"/>
    <n v="0"/>
    <n v="0"/>
    <n v="214.36822734761122"/>
    <n v="60.699999999999996"/>
    <n v="0"/>
    <n v="0"/>
    <m/>
    <s v="Matihani"/>
    <m/>
    <n v="0"/>
  </r>
  <r>
    <s v="Munger"/>
    <s v="17-23 Jul"/>
    <n v="1011"/>
    <s v="Sahibpur Kamal"/>
    <x v="371"/>
    <s v="Gomukh Barkhandi 2"/>
    <s v="MPG"/>
    <s v="Indirect"/>
    <n v="1139.2"/>
    <n v="49311.38"/>
    <n v="0"/>
    <n v="0"/>
    <n v="0"/>
    <n v="0"/>
    <n v="0"/>
    <n v="0"/>
    <n v="49311.38"/>
    <n v="0"/>
    <n v="0"/>
    <n v="0"/>
    <n v="0"/>
    <n v="0"/>
    <n v="0"/>
    <n v="0"/>
    <n v="0"/>
    <n v="49311.38"/>
    <n v="0"/>
    <n v="0"/>
    <n v="0"/>
    <n v="0"/>
    <n v="0"/>
    <n v="0"/>
    <m/>
    <s v="Sahibpur Kamal"/>
    <m/>
    <n v="0"/>
  </r>
  <r>
    <s v="Munger"/>
    <s v="17-23 Jul"/>
    <n v="1011"/>
    <s v="Sahibpur Kamal"/>
    <x v="372"/>
    <s v="Gomukh Kalyanpur                                                                                    "/>
    <s v="MPG"/>
    <s v="Direct"/>
    <n v="723.5"/>
    <n v="27949.960000000003"/>
    <n v="694.7"/>
    <n v="27831.280000000002"/>
    <n v="2.9999999999999996"/>
    <n v="119.07000000000001"/>
    <n v="697.7"/>
    <n v="27950.350000000002"/>
    <n v="27949.960000000003"/>
    <n v="0"/>
    <n v="119.07000000000001"/>
    <n v="0.38999999999941792"/>
    <n v="0"/>
    <n v="0"/>
    <n v="0"/>
    <n v="27831"/>
    <n v="0"/>
    <n v="0"/>
    <n v="0"/>
    <n v="0"/>
    <n v="0"/>
    <n v="0"/>
    <n v="-1.3953508341314902E-5"/>
    <n v="5"/>
    <m/>
    <s v="Sahibpur Kamal"/>
    <m/>
    <n v="0"/>
  </r>
  <r>
    <s v="Munger"/>
    <s v="17-23 Jul"/>
    <n v="1011"/>
    <s v="Sahibpur Kamal"/>
    <x v="373"/>
    <s v="Gomukh Fatehpur                                                                                     "/>
    <s v="MPG"/>
    <s v="Direct"/>
    <n v="1253.7999999999997"/>
    <n v="56607.82"/>
    <n v="1253"/>
    <n v="56259.7"/>
    <n v="0"/>
    <n v="0"/>
    <n v="1253"/>
    <n v="56259.7"/>
    <n v="56259.7"/>
    <n v="0"/>
    <n v="0"/>
    <n v="0"/>
    <n v="0"/>
    <n v="0"/>
    <n v="0"/>
    <n v="56260"/>
    <n v="0"/>
    <n v="0"/>
    <n v="348"/>
    <n v="0"/>
    <n v="0"/>
    <n v="0"/>
    <n v="6.1496803798486259E-3"/>
    <n v="1"/>
    <m/>
    <s v="Sahibpur Kamal"/>
    <m/>
    <n v="0"/>
  </r>
  <r>
    <s v="Munger"/>
    <s v="17-23 Jul"/>
    <n v="1011"/>
    <s v="Sahibpur Kamal"/>
    <x v="374"/>
    <s v="GOMUKH KATAHRI"/>
    <s v="MPG"/>
    <s v="Direct"/>
    <n v="330.09999999999997"/>
    <n v="14148.43"/>
    <n v="327.60000000000002"/>
    <n v="14033.519999999999"/>
    <n v="2.6"/>
    <n v="114.52"/>
    <n v="330.20000000000005"/>
    <n v="14148.039999999999"/>
    <n v="14148.039999999999"/>
    <n v="0"/>
    <n v="114.52"/>
    <n v="0"/>
    <n v="0"/>
    <n v="500"/>
    <n v="0"/>
    <n v="13533"/>
    <n v="0"/>
    <n v="0"/>
    <n v="1"/>
    <n v="0"/>
    <n v="317.08598951832784"/>
    <n v="47.157142857142851"/>
    <n v="2.7564895893129972E-5"/>
    <n v="2"/>
    <m/>
    <s v="Sahibpur Kamal"/>
    <m/>
    <n v="500"/>
  </r>
  <r>
    <s v="Munger"/>
    <s v="17-23 Jul"/>
    <n v="1011"/>
    <s v="Sahibpur Kamal"/>
    <x v="375"/>
    <s v="GOMUKH Mathar Ward 10"/>
    <s v="MPG"/>
    <s v="Direct"/>
    <n v="1085.2000000000003"/>
    <n v="52279"/>
    <n v="884.94"/>
    <n v="41762.480000000003"/>
    <n v="214.32"/>
    <n v="10500.980000000001"/>
    <n v="1099.26"/>
    <n v="52263.460000000006"/>
    <n v="52263.460000000006"/>
    <n v="0"/>
    <n v="0"/>
    <n v="0"/>
    <n v="0"/>
    <n v="0"/>
    <n v="0"/>
    <n v="41762"/>
    <n v="10501"/>
    <n v="0"/>
    <n v="16"/>
    <n v="0"/>
    <n v="0"/>
    <n v="0"/>
    <n v="2.9725128636725256E-4"/>
    <n v="6"/>
    <m/>
    <s v="Sahibpur Kamal"/>
    <m/>
    <n v="0"/>
  </r>
  <r>
    <s v="Munger"/>
    <s v="17-23 Jul"/>
    <n v="1011"/>
    <s v="Sahibpur Kamal"/>
    <x v="376"/>
    <s v="GOMUKH Tartor 2"/>
    <s v="vlc"/>
    <s v="Direct"/>
    <n v="261.8"/>
    <n v="11540.5"/>
    <n v="246.2"/>
    <n v="11400.46"/>
    <n v="0"/>
    <n v="0"/>
    <n v="246.2"/>
    <n v="11400.46"/>
    <n v="11400.46"/>
    <n v="0"/>
    <n v="0"/>
    <n v="0"/>
    <n v="0"/>
    <n v="0"/>
    <n v="0"/>
    <n v="11400"/>
    <n v="0"/>
    <n v="0"/>
    <n v="141"/>
    <n v="0"/>
    <n v="386.32903743315501"/>
    <n v="37.4"/>
    <n v="1.2134656210736179E-2"/>
    <n v="1"/>
    <m/>
    <s v="Sahibpur Kamal"/>
    <m/>
    <n v="0"/>
  </r>
  <r>
    <s v="Munger"/>
    <s v="17-23 Jul"/>
    <n v="1011"/>
    <s v="Sahibpur Kamal"/>
    <x v="377"/>
    <s v="Gomukh Chaidha"/>
    <s v="MPG"/>
    <s v="Direct"/>
    <n v="635"/>
    <n v="25146.03"/>
    <n v="639.86"/>
    <n v="25026.180000000004"/>
    <n v="1.48"/>
    <n v="56.099999999999994"/>
    <n v="641.34"/>
    <n v="25082.280000000002"/>
    <n v="25082.280000000002"/>
    <n v="0"/>
    <n v="56.099999999999994"/>
    <n v="0"/>
    <n v="0.1"/>
    <n v="0"/>
    <n v="0"/>
    <n v="25026"/>
    <n v="0"/>
    <n v="0"/>
    <n v="64"/>
    <s v="Release1"/>
    <n v="51.480061417322858"/>
    <n v="90.714285714285708"/>
    <n v="2.5351914397619174E-3"/>
    <n v="18"/>
    <m/>
    <s v="Sahibpur Kamal"/>
    <m/>
    <n v="0"/>
  </r>
  <r>
    <s v="Munger"/>
    <s v="17-23 Jul"/>
    <n v="1011"/>
    <s v="Sahibpur Kamal"/>
    <x v="378"/>
    <s v="Gomukh Bakiya"/>
    <s v="MPG"/>
    <s v="Direct"/>
    <n v="838.69999999999993"/>
    <n v="35711.47"/>
    <n v="829.16000000000008"/>
    <n v="35504.49"/>
    <n v="4.8000000000000007"/>
    <n v="194.76999999999998"/>
    <n v="833.96"/>
    <n v="35699.259999999995"/>
    <n v="35699.259999999995"/>
    <n v="0"/>
    <n v="194.76999999999998"/>
    <n v="0"/>
    <n v="0"/>
    <n v="0"/>
    <n v="0"/>
    <n v="35505"/>
    <n v="0"/>
    <n v="0"/>
    <n v="12"/>
    <n v="0"/>
    <n v="0"/>
    <n v="0"/>
    <n v="3.4190695594458592E-4"/>
    <n v="15"/>
    <m/>
    <s v="Sahibpur Kamal"/>
    <m/>
    <n v="0"/>
  </r>
  <r>
    <s v="Munger"/>
    <s v="17-23 Jul"/>
    <n v="1011"/>
    <s v="Sahibpur Kamal"/>
    <x v="379"/>
    <s v="Gomukh Sadpur"/>
    <s v="MPG"/>
    <s v="Direct"/>
    <n v="170.6"/>
    <n v="6103.81"/>
    <n v="170.9"/>
    <n v="6557.67"/>
    <n v="0"/>
    <n v="0"/>
    <n v="170.9"/>
    <n v="6557.67"/>
    <n v="6103.81"/>
    <n v="0"/>
    <n v="0"/>
    <n v="453.85999999999967"/>
    <n v="0"/>
    <n v="500"/>
    <n v="0"/>
    <n v="5604"/>
    <n v="0"/>
    <n v="0"/>
    <n v="0"/>
    <n v="0"/>
    <n v="378.82262766705753"/>
    <n v="24.37142857142857"/>
    <n v="-7.4356836140050175E-2"/>
    <n v="1"/>
    <m/>
    <s v="Sahibpur Kamal"/>
    <m/>
    <n v="500"/>
  </r>
  <r>
    <s v="Munger"/>
    <s v="17-23 Jul"/>
    <n v="1011"/>
    <s v="Sahibpur Kamal"/>
    <x v="380"/>
    <s v="GOMUKH Nista Tol"/>
    <s v="MPG"/>
    <s v="Direct"/>
    <n v="227.7"/>
    <n v="8270.57"/>
    <n v="222.22000000000003"/>
    <n v="8285.8599999999988"/>
    <n v="0"/>
    <n v="0"/>
    <n v="222.22000000000003"/>
    <n v="8285.8599999999988"/>
    <n v="8270.57"/>
    <n v="0"/>
    <n v="0"/>
    <n v="15.289999999999054"/>
    <n v="0"/>
    <n v="0"/>
    <n v="0"/>
    <n v="8286"/>
    <n v="0"/>
    <n v="0"/>
    <n v="-15"/>
    <s v="Release1"/>
    <n v="343.09971111111111"/>
    <n v="32.528571428571425"/>
    <n v="-1.8487238485375319E-3"/>
    <n v="3"/>
    <m/>
    <s v="Sahibpur Kamal"/>
    <m/>
    <n v="500"/>
  </r>
  <r>
    <s v="Munger"/>
    <s v="17-23 Jul"/>
    <n v="1011"/>
    <s v="Sahibpur Kamal"/>
    <x v="381"/>
    <s v="GOMUKH SRINAGAR"/>
    <s v="MPG"/>
    <s v="Direct"/>
    <n v="2242.6"/>
    <n v="96627.93"/>
    <n v="1288.0000000000002"/>
    <n v="58067.770000000004"/>
    <n v="853.9799999999999"/>
    <n v="38549.99"/>
    <n v="2141.98"/>
    <n v="96617.760000000009"/>
    <n v="96617.760000000009"/>
    <n v="0"/>
    <n v="355.90999999999997"/>
    <n v="0"/>
    <n v="19500"/>
    <n v="0"/>
    <n v="0"/>
    <n v="38568"/>
    <n v="38195"/>
    <n v="0"/>
    <n v="9"/>
    <n v="0"/>
    <n v="0"/>
    <n v="0"/>
    <n v="1.0524907239535922E-4"/>
    <n v="13"/>
    <m/>
    <s v="Sahibpur Kamal"/>
    <m/>
    <n v="0"/>
  </r>
  <r>
    <s v="Munger"/>
    <s v="17-23 Jul"/>
    <n v="1011"/>
    <s v="Sahibpur Kamal"/>
    <x v="382"/>
    <s v="GOMUKH THATHA"/>
    <s v="vlc"/>
    <s v="Direct"/>
    <n v="214.90000000000003"/>
    <n v="7734.7000000000007"/>
    <n v="215.5"/>
    <n v="7939.02"/>
    <n v="0"/>
    <n v="0"/>
    <n v="215.5"/>
    <n v="7939.02"/>
    <n v="7734.7000000000007"/>
    <n v="0"/>
    <n v="0"/>
    <n v="204.31999999999971"/>
    <n v="0"/>
    <n v="0"/>
    <n v="0"/>
    <n v="7735"/>
    <n v="0"/>
    <n v="0"/>
    <n v="0"/>
    <n v="0"/>
    <n v="349.19525081433216"/>
    <n v="30.700000000000006"/>
    <n v="-2.6416021306579402E-2"/>
    <n v="1"/>
    <m/>
    <s v="Sahibpur Kamal"/>
    <m/>
    <n v="0"/>
  </r>
  <r>
    <s v="Munger"/>
    <s v="17-23 Jul"/>
    <n v="1011"/>
    <s v="Sahibpur Kamal"/>
    <x v="384"/>
    <s v="GOMUKH SANHA NAYATOLA"/>
    <s v="MPG"/>
    <s v="Direct"/>
    <n v="229.60000000000002"/>
    <n v="9160.4"/>
    <n v="229"/>
    <n v="9072.98"/>
    <n v="0"/>
    <n v="0"/>
    <n v="229"/>
    <n v="9072.98"/>
    <n v="9072.98"/>
    <n v="0"/>
    <n v="0"/>
    <n v="0"/>
    <n v="0"/>
    <n v="0"/>
    <n v="0"/>
    <n v="9073"/>
    <n v="0"/>
    <n v="0"/>
    <n v="87"/>
    <n v="0"/>
    <n v="375.35297560975596"/>
    <n v="32.800000000000004"/>
    <n v="9.5432513864023485E-3"/>
    <n v="1"/>
    <m/>
    <s v="Sahibpur Kamal"/>
    <m/>
    <n v="0"/>
  </r>
  <r>
    <s v="Munger"/>
    <s v="17-23 Jul"/>
    <n v="1011"/>
    <s v="Sahibpur Kamal"/>
    <x v="385"/>
    <s v="Gomukh Durgapur"/>
    <s v="MPG"/>
    <s v="Direct"/>
    <n v="349.49999999999994"/>
    <n v="14522.849999999999"/>
    <n v="336.9"/>
    <n v="14232.93"/>
    <n v="2.6999999999999997"/>
    <n v="113.85000000000001"/>
    <n v="339.59999999999997"/>
    <n v="14346.78"/>
    <n v="14346.78"/>
    <n v="0"/>
    <n v="113.85000000000001"/>
    <n v="0"/>
    <n v="1012"/>
    <n v="0"/>
    <n v="0"/>
    <n v="13222"/>
    <n v="0"/>
    <n v="0"/>
    <n v="175"/>
    <n v="0"/>
    <n v="291.28806437768247"/>
    <n v="49.928571428571423"/>
    <n v="1.2123653415135315E-2"/>
    <n v="4"/>
    <m/>
    <s v="Sahibpur Kamal"/>
    <m/>
    <n v="0"/>
  </r>
  <r>
    <s v="Munger"/>
    <s v="17-23 Jul"/>
    <n v="1054"/>
    <s v="Alauli "/>
    <x v="386"/>
    <s v="Gomukh Koniya"/>
    <s v="MPG"/>
    <s v="Direct"/>
    <n v="472.4"/>
    <n v="18595.27"/>
    <n v="490.3"/>
    <n v="19733.54"/>
    <n v="12"/>
    <n v="478.9"/>
    <n v="502.3"/>
    <n v="20212.440000000002"/>
    <n v="18595.27"/>
    <n v="0"/>
    <n v="478.9"/>
    <n v="1617.1700000000019"/>
    <n v="0"/>
    <n v="0"/>
    <n v="0"/>
    <n v="18116"/>
    <n v="0"/>
    <n v="0"/>
    <n v="0"/>
    <n v="0"/>
    <n v="179.18219525825575"/>
    <n v="67.48571428571428"/>
    <n v="-8.6966739391253892E-2"/>
    <n v="3"/>
    <m/>
    <s v="Alauli "/>
    <m/>
    <n v="0"/>
  </r>
  <r>
    <s v="Munger"/>
    <s v="17-23 Jul"/>
    <n v="1011"/>
    <s v="Sahibpur Kamal"/>
    <x v="387"/>
    <s v="GOMUKH ROHUA"/>
    <s v="MPG"/>
    <s v="Direct"/>
    <n v="390.4"/>
    <n v="15463.449999999999"/>
    <n v="383.97999999999996"/>
    <n v="15294.77"/>
    <n v="5.9099999999999984"/>
    <n v="232.35000000000002"/>
    <n v="389.89"/>
    <n v="15527.12"/>
    <n v="15463.449999999999"/>
    <n v="0"/>
    <n v="232.35000000000002"/>
    <n v="63.670000000001892"/>
    <n v="0"/>
    <n v="0"/>
    <n v="0"/>
    <n v="15231"/>
    <n v="0"/>
    <n v="0"/>
    <n v="0"/>
    <n v="0"/>
    <n v="245.26045696721314"/>
    <n v="55.771428571428565"/>
    <n v="-4.1174511509399197E-3"/>
    <n v="11"/>
    <m/>
    <s v="Sahibpur Kamal"/>
    <m/>
    <n v="0"/>
  </r>
  <r>
    <s v="Munger"/>
    <s v="17-23 Jul"/>
    <n v="1011"/>
    <s v="Sahibpur Kamal"/>
    <x v="388"/>
    <s v="GOMUKH LAXMIPUR"/>
    <s v="MPG"/>
    <s v="Direct"/>
    <n v="318.10000000000002"/>
    <n v="14753.380000000003"/>
    <n v="308.25999999999993"/>
    <n v="14576.460000000001"/>
    <n v="5.6099999999999994"/>
    <n v="256.60999999999996"/>
    <n v="313.86999999999995"/>
    <n v="14833.070000000002"/>
    <n v="14753.380000000003"/>
    <n v="0"/>
    <n v="256.60999999999996"/>
    <n v="79.68999999999869"/>
    <n v="0"/>
    <n v="0"/>
    <n v="0"/>
    <n v="14496"/>
    <n v="0"/>
    <n v="0"/>
    <n v="1"/>
    <n v="0"/>
    <n v="354.24808689091486"/>
    <n v="45.442857142857143"/>
    <n v="-5.4014741028834525E-3"/>
    <n v="11"/>
    <m/>
    <s v="Sahibpur Kamal"/>
    <m/>
    <n v="0"/>
  </r>
  <r>
    <s v="Munger"/>
    <s v="17-23 Jul"/>
    <n v="1054"/>
    <s v="Alauli "/>
    <x v="389"/>
    <s v="GOMUKH CHATAR"/>
    <s v="MPG"/>
    <s v="Direct"/>
    <n v="160.9"/>
    <n v="5954.54"/>
    <n v="0"/>
    <n v="0"/>
    <n v="160.9"/>
    <n v="5977.42"/>
    <n v="160.9"/>
    <n v="5977.42"/>
    <n v="5954.54"/>
    <n v="0"/>
    <n v="0"/>
    <n v="22.880000000000109"/>
    <n v="0"/>
    <n v="0"/>
    <n v="0"/>
    <n v="0"/>
    <n v="5970"/>
    <n v="0"/>
    <n v="-15"/>
    <s v="Release3"/>
    <n v="399.01709310130508"/>
    <n v="22.985714285714288"/>
    <n v="-3.8424462678897293E-3"/>
    <n v="1"/>
    <m/>
    <s v="Alauli "/>
    <m/>
    <n v="0"/>
  </r>
  <r>
    <s v="Munger"/>
    <s v="17-23 Jul"/>
    <n v="1054"/>
    <s v="Alauli "/>
    <x v="390"/>
    <s v="GOMUKH BATHNAMA"/>
    <s v="MPG"/>
    <s v="Direct"/>
    <n v="3402.3999999999996"/>
    <n v="139702.12"/>
    <n v="3413.04"/>
    <n v="139898"/>
    <n v="0"/>
    <n v="0"/>
    <n v="3413.04"/>
    <n v="139898"/>
    <n v="139702.12"/>
    <n v="0"/>
    <n v="0"/>
    <n v="195.88000000000466"/>
    <n v="0"/>
    <n v="0"/>
    <n v="0"/>
    <n v="139702"/>
    <n v="0"/>
    <n v="0"/>
    <n v="0"/>
    <n v="0"/>
    <n v="0"/>
    <n v="0"/>
    <n v="-1.4021261810486818E-3"/>
    <n v="18"/>
    <m/>
    <s v="Alauli "/>
    <m/>
    <n v="0"/>
  </r>
  <r>
    <s v="Munger"/>
    <s v="17-23 Jul"/>
    <n v="1054"/>
    <s v="Alauli "/>
    <x v="391"/>
    <s v="GOMUKH TILAK NAGAR"/>
    <s v="MPG"/>
    <s v="Direct"/>
    <n v="275.8"/>
    <n v="12371.66"/>
    <n v="217.49"/>
    <n v="12373.28"/>
    <n v="0"/>
    <n v="0"/>
    <n v="217.49"/>
    <n v="12373.28"/>
    <n v="12371.66"/>
    <n v="0"/>
    <n v="0"/>
    <n v="1.6200000000008004"/>
    <n v="0"/>
    <n v="0"/>
    <n v="0"/>
    <n v="12372"/>
    <n v="0"/>
    <n v="0"/>
    <n v="0"/>
    <n v="0"/>
    <n v="380.56984568527918"/>
    <n v="39.4"/>
    <n v="-1.3094443267926861E-4"/>
    <n v="9"/>
    <m/>
    <s v="Alauli "/>
    <m/>
    <n v="0"/>
  </r>
  <r>
    <s v="Munger"/>
    <s v="17-23 Jul"/>
    <n v="1011"/>
    <s v="Sahibpur Kamal"/>
    <x v="392"/>
    <s v="Gomukh Rahimpur Dakshin"/>
    <s v="MPG"/>
    <s v="Direct"/>
    <n v="6881.4"/>
    <n v="281628.58999999997"/>
    <n v="1129.3800000000001"/>
    <n v="45897.950000000004"/>
    <n v="5746.26"/>
    <n v="235798.94000000003"/>
    <n v="6875.64"/>
    <n v="281696.89"/>
    <n v="281628.58999999997"/>
    <n v="0"/>
    <n v="542.43999999999994"/>
    <n v="68.300000000046566"/>
    <n v="0"/>
    <n v="0"/>
    <n v="0"/>
    <n v="45831"/>
    <n v="235255"/>
    <n v="0"/>
    <n v="0"/>
    <n v="0"/>
    <n v="0"/>
    <n v="0"/>
    <n v="-2.4251799151516035E-4"/>
    <n v="22"/>
    <m/>
    <s v="Sahibpur Kamal"/>
    <m/>
    <n v="0"/>
  </r>
  <r>
    <s v="Munger"/>
    <s v="17-23 Jul"/>
    <n v="1054"/>
    <s v="Alauli "/>
    <x v="393"/>
    <s v="GOMUKH MORKAHI"/>
    <s v="MPG"/>
    <s v="Direct"/>
    <n v="799.2"/>
    <n v="30950.240000000002"/>
    <n v="784.75999999999988"/>
    <n v="30891.46"/>
    <n v="1.4100000000000001"/>
    <n v="55.110000000000007"/>
    <n v="786.16999999999985"/>
    <n v="30946.57"/>
    <n v="30946.57"/>
    <n v="0"/>
    <n v="55.110000000000007"/>
    <n v="0"/>
    <n v="0"/>
    <n v="0"/>
    <n v="0"/>
    <n v="30892"/>
    <n v="0"/>
    <n v="0"/>
    <n v="3"/>
    <n v="0"/>
    <n v="0"/>
    <n v="0"/>
    <n v="1.1857743267909688E-4"/>
    <n v="5"/>
    <m/>
    <s v="Alauli "/>
    <m/>
    <n v="0"/>
  </r>
  <r>
    <s v="Munger"/>
    <s v="17-23 Jul"/>
    <n v="1055"/>
    <s v="Matihani"/>
    <x v="394"/>
    <s v="GOMUKH HANSPUR"/>
    <s v="MPG"/>
    <s v="Direct"/>
    <n v="49.5"/>
    <n v="2080.8199999999997"/>
    <n v="53.300000000000004"/>
    <n v="2205.6600000000008"/>
    <n v="0"/>
    <n v="0"/>
    <n v="53.300000000000004"/>
    <n v="2205.6600000000008"/>
    <n v="2080.8199999999997"/>
    <n v="0"/>
    <n v="0"/>
    <n v="124.84000000000106"/>
    <n v="0"/>
    <n v="500"/>
    <n v="0"/>
    <n v="1581"/>
    <n v="0"/>
    <n v="0"/>
    <n v="0"/>
    <n v="0"/>
    <n v="546.89834747474742"/>
    <n v="7.0714285714285712"/>
    <n v="-5.9995578666103305E-2"/>
    <n v="2"/>
    <m/>
    <s v="Matihani"/>
    <m/>
    <n v="500"/>
  </r>
  <r>
    <s v="Munger"/>
    <s v="17-23 Jul"/>
    <n v="1055"/>
    <s v="Matihani"/>
    <x v="395"/>
    <s v="GOMUKH NAYAGAON 2"/>
    <s v="MPG"/>
    <s v="Direct"/>
    <n v="118.19999999999999"/>
    <n v="6408.0400000000009"/>
    <n v="118.21999999999997"/>
    <n v="6511.97"/>
    <n v="2.2600000000000002"/>
    <n v="138.22"/>
    <n v="120.47999999999998"/>
    <n v="6650.1900000000005"/>
    <n v="6408.0400000000009"/>
    <n v="0"/>
    <n v="138.22"/>
    <n v="242.14999999999964"/>
    <n v="0"/>
    <n v="0"/>
    <n v="0"/>
    <n v="6270"/>
    <n v="0"/>
    <n v="0"/>
    <n v="0"/>
    <n v="0"/>
    <n v="630.82870930626075"/>
    <n v="16.885714285714283"/>
    <n v="-3.7788465739914172E-2"/>
    <n v="4"/>
    <m/>
    <s v="Matihani"/>
    <m/>
    <n v="0"/>
  </r>
  <r>
    <s v="Munger"/>
    <s v="17-23 Jul"/>
    <n v="1054"/>
    <s v="Alauli "/>
    <x v="978"/>
    <s v="GOMUKH ALOLI"/>
    <s v="MPG"/>
    <s v="Direct"/>
    <n v="191.8"/>
    <n v="7206.77"/>
    <n v="192.8"/>
    <n v="8201.7099999999991"/>
    <n v="0"/>
    <n v="0"/>
    <n v="192.8"/>
    <n v="8201.7099999999991"/>
    <n v="7206.77"/>
    <n v="0"/>
    <n v="0"/>
    <n v="994.93999999999869"/>
    <n v="0"/>
    <n v="500"/>
    <n v="0"/>
    <n v="6707"/>
    <n v="0"/>
    <n v="0"/>
    <n v="0"/>
    <n v="0"/>
    <n v="381.90620583941603"/>
    <n v="27.400000000000002"/>
    <n v="-0.13805629984028886"/>
    <n v="1"/>
    <m/>
    <s v="Alauli "/>
    <m/>
    <n v="500"/>
  </r>
  <r>
    <s v="Munger"/>
    <s v="17-23 Jul"/>
    <n v="1054"/>
    <s v="Alauli "/>
    <x v="396"/>
    <s v="GOMUKH LABHGAON"/>
    <s v="MPG"/>
    <s v="Direct"/>
    <n v="316.10000000000002"/>
    <n v="12944.720000000001"/>
    <n v="317.95"/>
    <n v="12943.03"/>
    <n v="0"/>
    <n v="0"/>
    <n v="317.95"/>
    <n v="12943.03"/>
    <n v="12943.03"/>
    <n v="0"/>
    <n v="0"/>
    <n v="0"/>
    <n v="0"/>
    <n v="0"/>
    <n v="0"/>
    <n v="12943"/>
    <n v="0"/>
    <n v="0"/>
    <n v="2"/>
    <n v="0"/>
    <n v="314.42442315722872"/>
    <n v="45.157142857142858"/>
    <n v="1.305551607142147E-4"/>
    <n v="2"/>
    <m/>
    <s v="Alauli "/>
    <m/>
    <n v="0"/>
  </r>
  <r>
    <s v="Munger"/>
    <s v="17-23 Jul"/>
    <n v="1054"/>
    <s v="Alauli "/>
    <x v="397"/>
    <s v="GOMUKH CHANDPURA"/>
    <s v="MPG"/>
    <s v="Direct"/>
    <n v="823.8"/>
    <n v="31374.780000000006"/>
    <n v="408.6"/>
    <n v="15606.920000000002"/>
    <n v="414"/>
    <n v="15765.6"/>
    <n v="822.6"/>
    <n v="31372.520000000004"/>
    <n v="31372.520000000004"/>
    <n v="0"/>
    <n v="0"/>
    <n v="0"/>
    <n v="0"/>
    <n v="0"/>
    <n v="0"/>
    <n v="15606"/>
    <n v="15768"/>
    <n v="0"/>
    <n v="1"/>
    <n v="0"/>
    <n v="0"/>
    <n v="0"/>
    <n v="7.2032377597613012E-5"/>
    <n v="10"/>
    <m/>
    <s v="Alauli "/>
    <m/>
    <n v="0"/>
  </r>
  <r>
    <s v="Munger"/>
    <s v="17-23 Jul"/>
    <n v="1054"/>
    <s v="Alauli "/>
    <x v="398"/>
    <s v="GOMUKH BADIL TOL"/>
    <s v="MPG"/>
    <s v="Direct"/>
    <n v="483.7"/>
    <n v="20032.38"/>
    <n v="229.40000000000003"/>
    <n v="9792.9400000000023"/>
    <n v="266.15000000000003"/>
    <n v="10240.730000000001"/>
    <n v="495.55000000000007"/>
    <n v="20033.670000000006"/>
    <n v="20032.38"/>
    <n v="0"/>
    <n v="405.7"/>
    <n v="1.2900000000045111"/>
    <n v="0"/>
    <n v="0"/>
    <n v="0"/>
    <n v="9790"/>
    <n v="9836"/>
    <n v="0"/>
    <n v="1"/>
    <n v="0"/>
    <n v="179.16079363241684"/>
    <n v="69.099999999999994"/>
    <n v="-6.4395743291836063E-5"/>
    <n v="11"/>
    <m/>
    <s v="Alauli "/>
    <m/>
    <n v="0"/>
  </r>
  <r>
    <s v="Munger"/>
    <s v="17-23 Jul"/>
    <n v="1054"/>
    <s v="Alauli "/>
    <x v="399"/>
    <s v="GOMUKH TRIBHUVAN TOLA"/>
    <s v="MPG"/>
    <s v="Direct"/>
    <n v="410.4"/>
    <n v="15497.25"/>
    <n v="424.83000000000004"/>
    <n v="15496.069999999998"/>
    <n v="0"/>
    <n v="0"/>
    <n v="424.83000000000004"/>
    <n v="15496.069999999998"/>
    <n v="15496.069999999998"/>
    <n v="0"/>
    <n v="0"/>
    <n v="0"/>
    <n v="0"/>
    <n v="0"/>
    <n v="0"/>
    <n v="15497"/>
    <n v="0"/>
    <n v="0"/>
    <n v="0"/>
    <n v="0"/>
    <n v="218.71362573099418"/>
    <n v="58.628571428571426"/>
    <n v="7.6142541418774943E-5"/>
    <n v="14"/>
    <m/>
    <s v="Alauli "/>
    <m/>
    <n v="0"/>
  </r>
  <r>
    <s v="Munger"/>
    <s v="17-23 Jul"/>
    <n v="1054"/>
    <s v="Alauli "/>
    <x v="400"/>
    <s v="GOMUKH SANTOSHPUL"/>
    <s v="MPG"/>
    <s v="Direct"/>
    <n v="946.29999999999984"/>
    <n v="44190.47"/>
    <n v="30.300000000000008"/>
    <n v="1409.92"/>
    <n v="917"/>
    <n v="42824.739999999991"/>
    <n v="947.3"/>
    <n v="44234.659999999989"/>
    <n v="44190.47"/>
    <n v="0"/>
    <n v="0"/>
    <n v="44.189999999987776"/>
    <n v="0"/>
    <n v="0"/>
    <n v="0"/>
    <n v="1364"/>
    <n v="42826"/>
    <n v="0"/>
    <n v="0"/>
    <n v="0"/>
    <n v="0"/>
    <n v="0"/>
    <n v="-9.999893642223714E-4"/>
    <n v="10"/>
    <m/>
    <s v="Alauli "/>
    <m/>
    <n v="0"/>
  </r>
  <r>
    <s v="Munger"/>
    <s v="17-23 Jul"/>
    <n v="1054"/>
    <s v="Alauli "/>
    <x v="401"/>
    <s v="GOMUKH AHUNA"/>
    <s v="MPG"/>
    <s v="Direct"/>
    <n v="346.3"/>
    <n v="13565.81"/>
    <n v="348.69"/>
    <n v="13914.359999999999"/>
    <n v="25.66"/>
    <n v="1005.87"/>
    <n v="374.35"/>
    <n v="14920.23"/>
    <n v="13565.81"/>
    <n v="0"/>
    <n v="1005.87"/>
    <n v="1354.42"/>
    <n v="0"/>
    <n v="0"/>
    <n v="0"/>
    <n v="12560"/>
    <n v="0"/>
    <n v="0"/>
    <n v="0"/>
    <n v="0"/>
    <n v="277.11388951775916"/>
    <n v="49.471428571428575"/>
    <n v="-9.9840702471876E-2"/>
    <n v="2"/>
    <m/>
    <s v="Alauli "/>
    <m/>
    <n v="0"/>
  </r>
  <r>
    <s v="Munger"/>
    <s v="17-23 Jul"/>
    <n v="1055"/>
    <s v="Matihani"/>
    <x v="402"/>
    <s v="GOMUKH SHADIPUR"/>
    <s v="MPG"/>
    <s v="Direct"/>
    <n v="888.30000000000007"/>
    <n v="37116.829999999994"/>
    <n v="902.32000000000016"/>
    <n v="36861.929999999993"/>
    <n v="11.7"/>
    <n v="467.30999999999995"/>
    <n v="914.02000000000021"/>
    <n v="37329.239999999991"/>
    <n v="37116.829999999994"/>
    <n v="0"/>
    <n v="467.30999999999995"/>
    <n v="212.40999999999622"/>
    <n v="0"/>
    <n v="0"/>
    <n v="0"/>
    <n v="36650"/>
    <n v="0"/>
    <n v="0"/>
    <n v="0"/>
    <n v="0"/>
    <n v="0"/>
    <n v="0"/>
    <n v="-5.7227408698425014E-3"/>
    <n v="16"/>
    <m/>
    <s v="Matihani"/>
    <m/>
    <n v="0"/>
  </r>
  <r>
    <s v="Munger"/>
    <s v="17-23 Jul"/>
    <n v="1055"/>
    <s v="Matihani"/>
    <x v="403"/>
    <s v="GOMUKH ASHRAPHA DIYARA"/>
    <s v="MPG"/>
    <s v="Direct"/>
    <n v="1392"/>
    <n v="58754.82"/>
    <n v="1382.37"/>
    <n v="58359.700000000012"/>
    <n v="9.0699999999999985"/>
    <n v="364.58000000000004"/>
    <n v="1391.4399999999998"/>
    <n v="58724.280000000013"/>
    <n v="58724.280000000013"/>
    <n v="0"/>
    <n v="364.58000000000004"/>
    <n v="0"/>
    <n v="2800"/>
    <n v="0"/>
    <n v="0"/>
    <n v="55560"/>
    <n v="0"/>
    <n v="0"/>
    <n v="30"/>
    <n v="0"/>
    <n v="0"/>
    <n v="0"/>
    <n v="5.1978714256951724E-4"/>
    <n v="15"/>
    <m/>
    <s v="Matihani"/>
    <m/>
    <n v="0"/>
  </r>
  <r>
    <s v="Munger"/>
    <s v="17-23 Jul"/>
    <n v="1055"/>
    <s v="Matihani"/>
    <x v="404"/>
    <s v="GOMUKH MANIAPPA"/>
    <s v="MPG"/>
    <s v="Direct"/>
    <n v="678.09999999999991"/>
    <n v="27279.63"/>
    <n v="672.36"/>
    <n v="26678.319999999992"/>
    <n v="3.41"/>
    <n v="128.46"/>
    <n v="675.77"/>
    <n v="26806.779999999992"/>
    <n v="26806.779999999992"/>
    <n v="0"/>
    <n v="128.46"/>
    <n v="0"/>
    <n v="0"/>
    <n v="0"/>
    <n v="0"/>
    <n v="26678"/>
    <n v="0"/>
    <n v="0"/>
    <n v="473"/>
    <n v="0"/>
    <n v="17.620524907830813"/>
    <n v="96.871428571428552"/>
    <n v="1.733344623809082E-2"/>
    <n v="10"/>
    <m/>
    <s v="Matihani"/>
    <m/>
    <n v="0"/>
  </r>
  <r>
    <s v="Munger"/>
    <s v="17-23 Jul"/>
    <n v="1054"/>
    <s v="Alauli "/>
    <x v="405"/>
    <s v="GOMUKH D SANJHAUTI"/>
    <s v="MPG"/>
    <s v="Direct"/>
    <n v="719.3"/>
    <n v="27422.050000000003"/>
    <n v="765.2"/>
    <n v="32012.71"/>
    <n v="0"/>
    <n v="0"/>
    <n v="765.2"/>
    <n v="32012.71"/>
    <n v="27422.050000000003"/>
    <n v="0"/>
    <n v="0"/>
    <n v="4590.6599999999962"/>
    <n v="0"/>
    <n v="0"/>
    <n v="0"/>
    <n v="27422"/>
    <n v="0"/>
    <n v="0"/>
    <n v="0"/>
    <n v="0"/>
    <n v="0"/>
    <n v="0"/>
    <n v="-0.16740761540439156"/>
    <n v="3"/>
    <m/>
    <s v="Alauli "/>
    <m/>
    <n v="0"/>
  </r>
  <r>
    <s v="Munger"/>
    <s v="17-23 Jul"/>
    <n v="1054"/>
    <s v="Alauli "/>
    <x v="406"/>
    <s v="GOMUKH DHUSMURI BISHANPUR"/>
    <s v="MPG"/>
    <s v="Direct"/>
    <n v="315.5"/>
    <n v="12806.259999999998"/>
    <n v="195.73999999999998"/>
    <n v="8100.08"/>
    <n v="167.6"/>
    <n v="7363.69"/>
    <n v="363.34"/>
    <n v="15463.77"/>
    <n v="12806.259999999998"/>
    <n v="0"/>
    <n v="0"/>
    <n v="2657.510000000002"/>
    <n v="0"/>
    <n v="500"/>
    <n v="0"/>
    <n v="4942"/>
    <n v="7364"/>
    <n v="0"/>
    <n v="0"/>
    <n v="0"/>
    <n v="312.13990301109351"/>
    <n v="45.071428571428569"/>
    <n v="-0.20751648022139191"/>
    <n v="12"/>
    <m/>
    <s v="Alauli "/>
    <m/>
    <n v="500"/>
  </r>
  <r>
    <s v="Munger"/>
    <s v="17-23 Jul"/>
    <n v="1054"/>
    <s v="Alauli "/>
    <x v="407"/>
    <s v="GOMUKH ANANDPUR PARAS"/>
    <s v="MPG"/>
    <s v="Direct"/>
    <n v="2488.5"/>
    <n v="99092.919999999984"/>
    <n v="2488.5"/>
    <n v="99092.92"/>
    <n v="0"/>
    <n v="0"/>
    <n v="2488.5"/>
    <n v="99092.92"/>
    <n v="99092.919999999984"/>
    <n v="0"/>
    <n v="0"/>
    <n v="0"/>
    <n v="0"/>
    <n v="0"/>
    <n v="0"/>
    <n v="99093"/>
    <n v="0"/>
    <n v="0"/>
    <n v="0"/>
    <n v="0"/>
    <n v="0"/>
    <n v="0"/>
    <n v="-1.4685121024152738E-16"/>
    <n v="2"/>
    <m/>
    <s v="Alauli "/>
    <m/>
    <n v="0"/>
  </r>
  <r>
    <s v="Munger"/>
    <s v="17-23 Jul"/>
    <n v="1054"/>
    <s v="Alauli "/>
    <x v="408"/>
    <s v="Gomukh Bishanpur"/>
    <s v="MPG"/>
    <s v="Direct"/>
    <n v="255.09999999999997"/>
    <n v="10883.8"/>
    <n v="252.08"/>
    <n v="10805.43"/>
    <n v="4.42"/>
    <n v="185.88"/>
    <n v="256.5"/>
    <n v="10991.31"/>
    <n v="10883.8"/>
    <n v="0"/>
    <n v="185.88"/>
    <n v="107.51000000000022"/>
    <n v="0"/>
    <n v="0"/>
    <n v="0"/>
    <n v="10698"/>
    <n v="0"/>
    <n v="0"/>
    <n v="0"/>
    <n v="0"/>
    <n v="379.6317224617797"/>
    <n v="36.442857142857136"/>
    <n v="-9.8779837924254602E-3"/>
    <n v="6"/>
    <m/>
    <s v="Alauli "/>
    <m/>
    <n v="0"/>
  </r>
  <r>
    <s v="Munger"/>
    <s v="17-23 Jul"/>
    <n v="1054"/>
    <s v="Alauli "/>
    <x v="409"/>
    <s v="GOMUKH BISHANPUR 2"/>
    <s v="MPG"/>
    <s v="Direct"/>
    <n v="652"/>
    <n v="25708.720000000001"/>
    <n v="565.44000000000005"/>
    <n v="21574.43"/>
    <n v="90.41"/>
    <n v="4066.58"/>
    <n v="655.85"/>
    <n v="25641.010000000002"/>
    <n v="25641.010000000002"/>
    <n v="0"/>
    <n v="0"/>
    <n v="0"/>
    <n v="0"/>
    <n v="0"/>
    <n v="0"/>
    <n v="21574"/>
    <n v="4067"/>
    <n v="0"/>
    <n v="68"/>
    <n v="0"/>
    <n v="37.853330061349723"/>
    <n v="93.142857142857139"/>
    <n v="2.633736724348747E-3"/>
    <n v="15"/>
    <m/>
    <s v="Alauli "/>
    <m/>
    <n v="0"/>
  </r>
  <r>
    <s v="Munger"/>
    <s v="17-23 Jul"/>
    <n v="1054"/>
    <s v="Alauli "/>
    <x v="410"/>
    <s v="GOMUKH GHAMARIYA"/>
    <s v="MPG"/>
    <s v="Direct"/>
    <n v="122.9"/>
    <n v="6231.92"/>
    <n v="121.33000000000001"/>
    <n v="6160.81"/>
    <n v="1.5"/>
    <n v="75.19"/>
    <n v="122.83000000000001"/>
    <n v="6236"/>
    <n v="6231.92"/>
    <n v="0"/>
    <n v="75.19"/>
    <n v="4.0799999999999272"/>
    <n v="0"/>
    <n v="0"/>
    <n v="0"/>
    <n v="6161"/>
    <n v="0"/>
    <n v="0"/>
    <n v="-4"/>
    <s v="Release3"/>
    <n v="585.26298323840524"/>
    <n v="17.557142857142857"/>
    <n v="-6.5469389850959694E-4"/>
    <n v="3"/>
    <m/>
    <s v="Alauli "/>
    <m/>
    <n v="0"/>
  </r>
  <r>
    <s v="Munger"/>
    <s v="17-23 Jul"/>
    <n v="1054"/>
    <s v="Alauli "/>
    <x v="411"/>
    <s v="GOMUKH MEGHAUMA"/>
    <s v="MPG"/>
    <s v="Direct"/>
    <n v="836.4"/>
    <n v="34873.57"/>
    <n v="824.37000000000012"/>
    <n v="35009.629999999997"/>
    <n v="10.410000000000002"/>
    <n v="448.57"/>
    <n v="834.78000000000009"/>
    <n v="35458.199999999997"/>
    <n v="34873.57"/>
    <n v="0"/>
    <n v="448.57"/>
    <n v="584.62999999999738"/>
    <n v="0"/>
    <n v="0"/>
    <n v="0"/>
    <n v="34425"/>
    <n v="0"/>
    <n v="0"/>
    <n v="0"/>
    <n v="0"/>
    <n v="0"/>
    <n v="0"/>
    <n v="-1.6764271624614212E-2"/>
    <n v="17"/>
    <m/>
    <s v="Alauli "/>
    <m/>
    <n v="0"/>
  </r>
  <r>
    <s v="Munger"/>
    <s v="17-23 Jul"/>
    <n v="1054"/>
    <s v="Alauli "/>
    <x v="412"/>
    <s v="GOMUKH AURA"/>
    <s v="MPG"/>
    <s v="Direct"/>
    <n v="662.19999999999993"/>
    <n v="25073.81"/>
    <n v="697.33000000000015"/>
    <n v="29036.41"/>
    <n v="0"/>
    <n v="0"/>
    <n v="697.33000000000015"/>
    <n v="29036.41"/>
    <n v="25073.81"/>
    <n v="0"/>
    <n v="0"/>
    <n v="3962.5999999999985"/>
    <n v="0"/>
    <n v="0"/>
    <n v="0"/>
    <n v="25074"/>
    <n v="0"/>
    <n v="0"/>
    <n v="0"/>
    <n v="0"/>
    <n v="28.625491331923929"/>
    <n v="94.6"/>
    <n v="-0.15803741034968352"/>
    <n v="4"/>
    <m/>
    <s v="Alauli "/>
    <m/>
    <n v="0"/>
  </r>
  <r>
    <s v="Munger"/>
    <s v="17-23 Jul"/>
    <n v="1054"/>
    <s v="Alauli "/>
    <x v="413"/>
    <s v="GOMUKH BEHORBA"/>
    <s v="MPG"/>
    <s v="Direct"/>
    <n v="674.89999999999986"/>
    <n v="25442.720000000001"/>
    <n v="711.91"/>
    <n v="25906.43"/>
    <n v="0"/>
    <n v="0"/>
    <n v="711.91"/>
    <n v="25906.43"/>
    <n v="25442.720000000001"/>
    <n v="0"/>
    <n v="0"/>
    <n v="463.70999999999913"/>
    <n v="851"/>
    <n v="0"/>
    <n v="0"/>
    <n v="24592"/>
    <n v="0"/>
    <n v="0"/>
    <n v="0"/>
    <s v="Release1"/>
    <n v="18.92464874796276"/>
    <n v="96.414285714285697"/>
    <n v="-1.8225645685681371E-2"/>
    <n v="6"/>
    <m/>
    <s v="Alauli "/>
    <m/>
    <n v="0"/>
  </r>
  <r>
    <s v="Munger"/>
    <s v="17-23 Jul"/>
    <n v="1011"/>
    <s v="Sahibpur Kamal"/>
    <x v="414"/>
    <s v="GOMUKH SAIDPUR SAMASTIPUR"/>
    <s v="MPG"/>
    <s v="Direct"/>
    <n v="2590.2000000000003"/>
    <n v="108149.44000000002"/>
    <n v="2583.1"/>
    <n v="108118.68"/>
    <n v="0"/>
    <n v="0"/>
    <n v="2583.1"/>
    <n v="108118.68"/>
    <n v="108118.68"/>
    <n v="0"/>
    <n v="0"/>
    <n v="0"/>
    <n v="0"/>
    <n v="0"/>
    <n v="0"/>
    <n v="108119"/>
    <n v="0"/>
    <n v="0"/>
    <n v="30"/>
    <n v="0"/>
    <n v="0"/>
    <n v="0"/>
    <n v="2.8442126006407301E-4"/>
    <n v="3"/>
    <m/>
    <s v="Sahibpur Kamal"/>
    <m/>
    <n v="0"/>
  </r>
  <r>
    <s v="Munger"/>
    <s v="17-23 Jul"/>
    <n v="1054"/>
    <s v="Alauli "/>
    <x v="1016"/>
    <s v="GOMUKH SAHARBANNI"/>
    <s v="MPG"/>
    <s v="Direct"/>
    <n v="65.599999999999994"/>
    <n v="2697.34"/>
    <n v="67"/>
    <n v="2857.5099999999998"/>
    <n v="0"/>
    <n v="0"/>
    <n v="67"/>
    <n v="2857.5099999999998"/>
    <n v="2697.34"/>
    <n v="0"/>
    <n v="0"/>
    <n v="160.16999999999962"/>
    <n v="2197"/>
    <n v="500"/>
    <n v="0"/>
    <n v="0"/>
    <n v="0"/>
    <n v="0"/>
    <n v="0"/>
    <s v="Release1"/>
    <n v="521.70502926829283"/>
    <n v="9.3714285714285701"/>
    <n v="-5.9380723231034875E-2"/>
    <n v="1"/>
    <m/>
    <s v="Alauli "/>
    <m/>
    <n v="500"/>
  </r>
  <r>
    <s v="Munger"/>
    <s v="17-23 Jul"/>
    <n v="1054"/>
    <s v="Alauli "/>
    <x v="415"/>
    <s v="GOMUKH PHULTAURA"/>
    <s v="MPG"/>
    <s v="Direct"/>
    <n v="531"/>
    <n v="21626.42"/>
    <n v="54.85"/>
    <n v="2809.77"/>
    <n v="470.95"/>
    <n v="21378.860000000004"/>
    <n v="525.79999999999995"/>
    <n v="24188.630000000005"/>
    <n v="21626.42"/>
    <n v="0"/>
    <n v="0"/>
    <n v="2562.2100000000064"/>
    <n v="0"/>
    <n v="0"/>
    <n v="0"/>
    <n v="246"/>
    <n v="21380"/>
    <n v="0"/>
    <n v="0"/>
    <n v="0"/>
    <n v="137.65969792843688"/>
    <n v="75.857142857142861"/>
    <n v="-0.11847591973151389"/>
    <n v="10"/>
    <m/>
    <s v="Alauli "/>
    <m/>
    <n v="0"/>
  </r>
  <r>
    <s v="Munger"/>
    <s v="17-23 Jul"/>
    <n v="1011"/>
    <s v="Sahibpur Kamal"/>
    <x v="416"/>
    <s v="Jangli Tol Vlc "/>
    <s v="vlc"/>
    <s v="Indirect"/>
    <n v="2290.7000000000003"/>
    <n v="94153.15"/>
    <n v="0"/>
    <n v="0"/>
    <n v="0"/>
    <n v="0"/>
    <n v="0"/>
    <n v="0"/>
    <n v="94153.15"/>
    <n v="0"/>
    <n v="0"/>
    <n v="0"/>
    <n v="0"/>
    <n v="0"/>
    <n v="0"/>
    <n v="0"/>
    <n v="0"/>
    <n v="94153.15"/>
    <n v="0"/>
    <n v="0"/>
    <n v="0"/>
    <n v="0"/>
    <n v="0"/>
    <n v="0"/>
    <m/>
    <s v="Sahibpur Kamal"/>
    <m/>
    <n v="0"/>
  </r>
  <r>
    <s v="Munger"/>
    <s v="17-23 Jul"/>
    <n v="1055"/>
    <s v="Matihani"/>
    <x v="417"/>
    <s v="DILKHUSH KUMAR "/>
    <s v="vlc"/>
    <s v="Indirect"/>
    <n v="594.79999999999995"/>
    <n v="22490.82"/>
    <n v="0"/>
    <n v="0"/>
    <n v="0"/>
    <n v="0"/>
    <n v="0"/>
    <n v="0"/>
    <n v="22490.82"/>
    <n v="0"/>
    <n v="0"/>
    <n v="0"/>
    <n v="0"/>
    <n v="0"/>
    <n v="0"/>
    <n v="0"/>
    <n v="0"/>
    <n v="22490.82"/>
    <n v="0"/>
    <n v="0"/>
    <n v="79.557305447209217"/>
    <n v="84.971428571428561"/>
    <n v="0"/>
    <n v="0"/>
    <m/>
    <s v="Matihani"/>
    <m/>
    <n v="0"/>
  </r>
  <r>
    <s v="Munger"/>
    <s v="17-23 Jul"/>
    <n v="1011"/>
    <s v="Sahibpur Kamal"/>
    <x v="418"/>
    <s v="GOMUKH CHOWKI 2"/>
    <s v="MPG"/>
    <s v="Direct"/>
    <n v="6931.7999999999993"/>
    <n v="268824.81000000006"/>
    <n v="5541.14"/>
    <n v="217865.61000000002"/>
    <n v="1298.4199999999998"/>
    <n v="50941.45"/>
    <n v="6839.56"/>
    <n v="268807.06"/>
    <n v="268807.06"/>
    <n v="0"/>
    <n v="0"/>
    <n v="0"/>
    <n v="0"/>
    <n v="0"/>
    <n v="0"/>
    <n v="217868"/>
    <n v="50940"/>
    <n v="0"/>
    <n v="17"/>
    <n v="0"/>
    <n v="0"/>
    <n v="0"/>
    <n v="6.6028131853076375E-5"/>
    <n v="41"/>
    <m/>
    <s v="Sahibpur Kamal"/>
    <m/>
    <n v="0"/>
  </r>
  <r>
    <s v="Munger"/>
    <s v="17-23 Jul"/>
    <n v="1011"/>
    <s v="Sahibpur Kamal"/>
    <x v="419"/>
    <s v="GOMUKH MOHABA"/>
    <s v="MPG"/>
    <s v="Direct"/>
    <n v="1722.3999999999999"/>
    <n v="67099.95"/>
    <n v="708.2"/>
    <n v="27452.18"/>
    <n v="1014.4000000000001"/>
    <n v="39659.589999999997"/>
    <n v="1722.6000000000001"/>
    <n v="67111.76999999999"/>
    <n v="67099.95"/>
    <n v="0"/>
    <n v="163.35"/>
    <n v="11.819999999992433"/>
    <n v="0"/>
    <n v="0"/>
    <n v="0"/>
    <n v="27441"/>
    <n v="39496"/>
    <n v="0"/>
    <n v="0"/>
    <n v="0"/>
    <n v="0"/>
    <n v="0"/>
    <n v="-1.761551238114549E-4"/>
    <n v="10"/>
    <m/>
    <s v="Sahibpur Kamal"/>
    <m/>
    <n v="0"/>
  </r>
  <r>
    <s v="Munger"/>
    <s v="17-23 Jul"/>
    <n v="1011"/>
    <s v="Sahibpur Kamal"/>
    <x v="420"/>
    <s v="SANHA VLC"/>
    <s v="vlc"/>
    <s v="Indirect"/>
    <n v="530"/>
    <n v="19738.89"/>
    <n v="0"/>
    <n v="0"/>
    <n v="0"/>
    <n v="0"/>
    <n v="0"/>
    <n v="0"/>
    <n v="19738.89"/>
    <n v="0"/>
    <n v="0"/>
    <n v="0"/>
    <n v="0"/>
    <n v="0"/>
    <n v="0"/>
    <n v="0"/>
    <n v="0"/>
    <n v="19738.89"/>
    <n v="0"/>
    <n v="0"/>
    <n v="126.626841509434"/>
    <n v="75.714285714285708"/>
    <n v="0"/>
    <n v="0"/>
    <m/>
    <s v="Sahibpur Kamal"/>
    <m/>
    <n v="0"/>
  </r>
  <r>
    <s v="Munger"/>
    <s v="17-23 Jul"/>
    <n v="1011"/>
    <s v="Sahibpur Kamal"/>
    <x v="421"/>
    <s v="MOHANPUR VLC"/>
    <s v="vlc"/>
    <s v="Indirect"/>
    <n v="709.09999999999991"/>
    <n v="26326.180000000004"/>
    <n v="0"/>
    <n v="0"/>
    <n v="0"/>
    <n v="0"/>
    <n v="0"/>
    <n v="0"/>
    <n v="26326.180000000004"/>
    <n v="0"/>
    <n v="0"/>
    <n v="0"/>
    <n v="0"/>
    <n v="0"/>
    <n v="0"/>
    <n v="0"/>
    <n v="0"/>
    <n v="26326.180000000004"/>
    <n v="0"/>
    <n v="0"/>
    <n v="0"/>
    <n v="0"/>
    <n v="0"/>
    <n v="0"/>
    <m/>
    <s v="Sahibpur Kamal"/>
    <m/>
    <n v="0"/>
  </r>
  <r>
    <s v="Munger"/>
    <s v="17-23 Jul"/>
    <n v="1011"/>
    <s v="Sahibpur Kamal"/>
    <x v="422"/>
    <s v="GOMUKH JANGLITOL"/>
    <s v="MPG"/>
    <s v="Direct"/>
    <n v="248.5"/>
    <n v="10136.580000000002"/>
    <n v="249"/>
    <n v="10066.51"/>
    <n v="0"/>
    <n v="0"/>
    <n v="249"/>
    <n v="10066.51"/>
    <n v="10066.51"/>
    <n v="0"/>
    <n v="0"/>
    <n v="0"/>
    <n v="0"/>
    <n v="0"/>
    <n v="0"/>
    <n v="10067"/>
    <n v="0"/>
    <n v="0"/>
    <n v="70"/>
    <n v="0"/>
    <n v="368.34332957746483"/>
    <n v="35.5"/>
    <n v="6.9125878748060509E-3"/>
    <n v="5"/>
    <m/>
    <s v="Sahibpur Kamal"/>
    <m/>
    <n v="0"/>
  </r>
  <r>
    <s v="Munger"/>
    <s v="17-23 Jul"/>
    <n v="1011"/>
    <s v="Sahibpur Kamal"/>
    <x v="423"/>
    <s v="Hiratol VLC"/>
    <s v="vlc"/>
    <s v="Indirect"/>
    <n v="41.9"/>
    <n v="1537.27"/>
    <n v="0"/>
    <n v="0"/>
    <n v="0"/>
    <n v="0"/>
    <n v="0"/>
    <n v="0"/>
    <n v="1537.27"/>
    <n v="0"/>
    <n v="0"/>
    <n v="0"/>
    <n v="0"/>
    <n v="0"/>
    <n v="0"/>
    <n v="0"/>
    <n v="0"/>
    <n v="1537.27"/>
    <n v="0"/>
    <n v="0"/>
    <n v="482.90090071599042"/>
    <n v="5.9857142857142858"/>
    <n v="0"/>
    <n v="0"/>
    <m/>
    <s v="Sahibpur Kamal"/>
    <m/>
    <n v="0"/>
  </r>
  <r>
    <s v="Munger"/>
    <s v="17-23 Jul"/>
    <n v="1011"/>
    <s v="Sahibpur Kamal"/>
    <x v="424"/>
    <s v="GOMUKH BARBIGHI"/>
    <s v="MPG"/>
    <s v="Direct"/>
    <n v="1605.8999999999999"/>
    <n v="61543.839999999989"/>
    <n v="1562.3000000000002"/>
    <n v="61275.299999999996"/>
    <n v="5.7"/>
    <n v="224.25000000000003"/>
    <n v="1568.0000000000002"/>
    <n v="61499.549999999996"/>
    <n v="61499.549999999996"/>
    <n v="0"/>
    <n v="224.25000000000003"/>
    <n v="0"/>
    <n v="9450"/>
    <n v="0"/>
    <n v="0"/>
    <n v="51826"/>
    <n v="0"/>
    <n v="0"/>
    <n v="44"/>
    <n v="0"/>
    <n v="0"/>
    <n v="0"/>
    <n v="7.1964960262462668E-4"/>
    <n v="3"/>
    <m/>
    <s v="Sahibpur Kamal"/>
    <m/>
    <n v="0"/>
  </r>
  <r>
    <s v="Munger"/>
    <s v="17-23 Jul"/>
    <n v="1011"/>
    <s v="Sahibpur Kamal"/>
    <x v="425"/>
    <s v="Dandari-2"/>
    <s v="MPG"/>
    <s v="Direct"/>
    <n v="237.80000000000004"/>
    <n v="9071.24"/>
    <n v="239"/>
    <n v="9103.51"/>
    <n v="0"/>
    <n v="0"/>
    <n v="239"/>
    <n v="9103.51"/>
    <n v="9071.24"/>
    <n v="0"/>
    <n v="0"/>
    <n v="32.270000000000437"/>
    <n v="0"/>
    <n v="0"/>
    <n v="0"/>
    <n v="9071"/>
    <n v="0"/>
    <n v="0"/>
    <n v="0"/>
    <n v="0"/>
    <n v="352.62633540790574"/>
    <n v="33.971428571428575"/>
    <n v="-3.5573967836812206E-3"/>
    <n v="1"/>
    <m/>
    <s v="Sahibpur Kamal"/>
    <m/>
    <n v="0"/>
  </r>
  <r>
    <s v="Munger"/>
    <s v="17-23 Jul"/>
    <n v="1011"/>
    <s v="Sahibpur Kamal"/>
    <x v="426"/>
    <s v="Barkhanditol"/>
    <s v="vlc"/>
    <s v="Indirect"/>
    <n v="1110.1999999999998"/>
    <n v="48155.01"/>
    <n v="0"/>
    <n v="0"/>
    <n v="0"/>
    <n v="0"/>
    <n v="0"/>
    <n v="0"/>
    <n v="48155.01"/>
    <n v="0"/>
    <n v="0"/>
    <n v="0"/>
    <n v="0"/>
    <n v="0"/>
    <n v="0"/>
    <n v="0"/>
    <n v="0"/>
    <n v="48155.01"/>
    <n v="0"/>
    <n v="0"/>
    <n v="0"/>
    <n v="0"/>
    <n v="0"/>
    <n v="0"/>
    <m/>
    <s v="Sahibpur Kamal"/>
    <m/>
    <n v="0"/>
  </r>
  <r>
    <s v="Munger"/>
    <s v="17-23 Jul"/>
    <n v="1011"/>
    <s v="Sahibpur Kamal"/>
    <x v="427"/>
    <s v="Chauki-VLC"/>
    <s v="vlc"/>
    <s v="Indirect"/>
    <n v="570.4"/>
    <n v="22611.780000000002"/>
    <n v="0"/>
    <n v="0"/>
    <n v="0"/>
    <n v="0"/>
    <n v="0"/>
    <n v="0"/>
    <n v="22611.780000000002"/>
    <n v="0"/>
    <n v="0"/>
    <n v="0"/>
    <n v="0"/>
    <n v="0"/>
    <n v="0"/>
    <n v="0"/>
    <n v="0"/>
    <n v="22611.780000000002"/>
    <n v="0"/>
    <n v="0"/>
    <n v="102.75198765778406"/>
    <n v="81.48571428571428"/>
    <n v="0"/>
    <n v="0"/>
    <m/>
    <s v="Sahibpur Kamal"/>
    <m/>
    <n v="0"/>
  </r>
  <r>
    <s v="Munger"/>
    <s v="17-23 Jul"/>
    <n v="1011"/>
    <s v="Sahibpur Kamal"/>
    <x v="428"/>
    <s v="Hardia"/>
    <s v="MPG"/>
    <s v="Direct"/>
    <n v="815.5"/>
    <n v="35238.409999999996"/>
    <n v="813.00000000000011"/>
    <n v="35701.35"/>
    <n v="2.8000000000000003"/>
    <n v="136.4"/>
    <n v="815.80000000000007"/>
    <n v="35837.75"/>
    <n v="35238.409999999996"/>
    <n v="0"/>
    <n v="136.4"/>
    <n v="599.34000000000378"/>
    <n v="0"/>
    <n v="0"/>
    <n v="0"/>
    <n v="35102"/>
    <n v="0"/>
    <n v="0"/>
    <n v="0"/>
    <n v="0"/>
    <n v="0"/>
    <n v="0"/>
    <n v="-1.7008145373188059E-2"/>
    <n v="3"/>
    <m/>
    <s v="Sahibpur Kamal"/>
    <m/>
    <n v="0"/>
  </r>
  <r>
    <s v="Munger"/>
    <s v="17-23 Jul"/>
    <n v="1011"/>
    <s v="Sahibpur Kamal"/>
    <x v="429"/>
    <s v="Pachveer"/>
    <s v="vlc"/>
    <s v="Indirect"/>
    <n v="14314.599999999999"/>
    <n v="561377.49000000011"/>
    <n v="0"/>
    <n v="0"/>
    <n v="0"/>
    <n v="0"/>
    <n v="0"/>
    <n v="0"/>
    <n v="561377.49000000011"/>
    <n v="0"/>
    <n v="0"/>
    <n v="0"/>
    <n v="0"/>
    <n v="0"/>
    <n v="0"/>
    <n v="0"/>
    <n v="0"/>
    <n v="561377.49000000011"/>
    <n v="0"/>
    <n v="0"/>
    <n v="0"/>
    <n v="0"/>
    <n v="0"/>
    <n v="0"/>
    <m/>
    <s v="Sahibpur Kamal"/>
    <m/>
    <n v="0"/>
  </r>
  <r>
    <s v="Munger"/>
    <s v="17-23 Jul"/>
    <n v="1011"/>
    <s v="Sahibpur Kamal"/>
    <x v="979"/>
    <s v="Barkhaditol-3"/>
    <s v="vlc"/>
    <s v="Indirect"/>
    <n v="634.70000000000005"/>
    <n v="26299.490000000005"/>
    <n v="0"/>
    <n v="0"/>
    <n v="0"/>
    <n v="0"/>
    <n v="0"/>
    <n v="0"/>
    <n v="26299.490000000005"/>
    <n v="0"/>
    <n v="0"/>
    <n v="0"/>
    <n v="0"/>
    <n v="0"/>
    <n v="0"/>
    <n v="0"/>
    <n v="0"/>
    <n v="26299.490000000005"/>
    <n v="0"/>
    <n v="0"/>
    <n v="54.115541106034314"/>
    <n v="90.671428571428578"/>
    <n v="0"/>
    <n v="0"/>
    <m/>
    <s v="Sahibpur Kamal"/>
    <m/>
    <n v="0"/>
  </r>
  <r>
    <s v="Munger"/>
    <s v="17-23 Jul"/>
    <n v="1011"/>
    <s v="Sahibpur Kamal"/>
    <x v="430"/>
    <s v="Mathar-3"/>
    <s v="vlc"/>
    <s v="Indirect"/>
    <n v="3430.2"/>
    <n v="143568.07"/>
    <n v="0"/>
    <n v="0"/>
    <n v="0"/>
    <n v="0"/>
    <n v="0"/>
    <n v="0"/>
    <n v="143568.07"/>
    <n v="0"/>
    <n v="0"/>
    <n v="0"/>
    <n v="0"/>
    <n v="0"/>
    <n v="0"/>
    <n v="0"/>
    <n v="0"/>
    <n v="143568.07"/>
    <n v="0"/>
    <n v="0"/>
    <n v="0"/>
    <n v="0"/>
    <n v="0"/>
    <n v="0"/>
    <m/>
    <s v="Sahibpur Kamal"/>
    <m/>
    <n v="0"/>
  </r>
  <r>
    <s v="Munger"/>
    <s v="17-23 Jul"/>
    <n v="1011"/>
    <s v="Sahibpur Kamal"/>
    <x v="431"/>
    <s v="Ahoghat"/>
    <s v="vlc"/>
    <s v="Direct"/>
    <n v="482.70000000000005"/>
    <n v="21280"/>
    <n v="0"/>
    <n v="0"/>
    <n v="0"/>
    <n v="0"/>
    <n v="0"/>
    <n v="0"/>
    <n v="0"/>
    <n v="0"/>
    <n v="0"/>
    <n v="0"/>
    <n v="0"/>
    <n v="0"/>
    <n v="0"/>
    <n v="0"/>
    <n v="0"/>
    <n v="21280"/>
    <n v="0"/>
    <n v="0"/>
    <n v="191.59494510047639"/>
    <n v="68.95714285714287"/>
    <n v="1"/>
    <n v="0"/>
    <m/>
    <s v="Sahibpur Kamal"/>
    <m/>
    <n v="0"/>
  </r>
  <r>
    <s v="Munger"/>
    <s v="17-23 Jul"/>
    <n v="1011"/>
    <s v="Sahibpur Kamal"/>
    <x v="432"/>
    <s v="Mathar-4"/>
    <s v="vlc"/>
    <s v="Indirect"/>
    <n v="357.40000000000003"/>
    <n v="14717.52"/>
    <n v="0"/>
    <n v="0"/>
    <n v="0"/>
    <n v="0"/>
    <n v="0"/>
    <n v="0"/>
    <n v="14717.52"/>
    <n v="0"/>
    <n v="0"/>
    <n v="0"/>
    <n v="0"/>
    <n v="0"/>
    <n v="0"/>
    <n v="0"/>
    <n v="0"/>
    <n v="14717.52"/>
    <n v="0"/>
    <n v="0"/>
    <n v="282.16129557918293"/>
    <n v="51.057142857142864"/>
    <n v="0"/>
    <n v="0"/>
    <m/>
    <s v="Sahibpur Kamal"/>
    <m/>
    <n v="0"/>
  </r>
  <r>
    <s v="Munger"/>
    <s v="17-23 Jul"/>
    <n v="1011"/>
    <s v="Sahibpur Kamal"/>
    <x v="433"/>
    <s v="Sadpur-2"/>
    <s v="vlc"/>
    <s v="Direct"/>
    <n v="889.70000000000016"/>
    <n v="33418.51"/>
    <n v="890"/>
    <n v="33401.699999999997"/>
    <n v="0"/>
    <n v="0"/>
    <n v="890"/>
    <n v="33401.699999999997"/>
    <n v="33401.699999999997"/>
    <n v="0"/>
    <n v="0"/>
    <n v="0"/>
    <n v="0"/>
    <n v="0"/>
    <n v="0"/>
    <n v="33402"/>
    <n v="0"/>
    <n v="0"/>
    <n v="17"/>
    <n v="0"/>
    <n v="0"/>
    <n v="0"/>
    <n v="5.0301464667350357E-4"/>
    <n v="1"/>
    <m/>
    <s v="Sahibpur Kamal"/>
    <m/>
    <n v="0"/>
  </r>
  <r>
    <s v="Munger"/>
    <s v="17-23 Jul"/>
    <n v="1011"/>
    <s v="Sahibpur Kamal"/>
    <x v="434"/>
    <s v="Phulmalik"/>
    <s v="vlc"/>
    <s v="Indirect"/>
    <n v="38.200000000000003"/>
    <n v="1444.34"/>
    <n v="0"/>
    <n v="0"/>
    <n v="0"/>
    <n v="0"/>
    <n v="0"/>
    <n v="0"/>
    <n v="1444.34"/>
    <n v="0"/>
    <n v="0"/>
    <n v="0"/>
    <n v="0"/>
    <n v="0"/>
    <n v="0"/>
    <n v="0"/>
    <n v="0"/>
    <n v="1444.34"/>
    <n v="0"/>
    <n v="0"/>
    <n v="500.4524670157067"/>
    <n v="5.4571428571428573"/>
    <n v="0"/>
    <n v="0"/>
    <m/>
    <s v="Sahibpur Kamal"/>
    <m/>
    <n v="0"/>
  </r>
  <r>
    <s v="Munger"/>
    <s v="17-23 Jul"/>
    <n v="1011"/>
    <s v="Sahibpur Kamal"/>
    <x v="435"/>
    <s v="Baliya"/>
    <s v="vlc"/>
    <s v="Indirect"/>
    <n v="7881"/>
    <n v="320057.51"/>
    <n v="0"/>
    <n v="0"/>
    <n v="0"/>
    <n v="0"/>
    <n v="0"/>
    <n v="0"/>
    <n v="320057.51"/>
    <n v="0"/>
    <n v="0"/>
    <n v="0"/>
    <n v="0"/>
    <n v="0"/>
    <n v="0"/>
    <n v="0"/>
    <n v="0"/>
    <n v="320057.51"/>
    <n v="0"/>
    <n v="0"/>
    <n v="0"/>
    <n v="0"/>
    <n v="0"/>
    <n v="0"/>
    <m/>
    <s v="Sahibpur Kamal"/>
    <m/>
    <n v="0"/>
  </r>
  <r>
    <s v="Munger"/>
    <s v="17-23 Jul"/>
    <n v="1012"/>
    <s v="DalsinghSarai"/>
    <x v="436"/>
    <s v="GOMUKH SUBHANPUR"/>
    <s v="MPG"/>
    <s v="Indirect"/>
    <n v="246.95000000000002"/>
    <n v="9973.3500000000022"/>
    <n v="0"/>
    <n v="0"/>
    <n v="0"/>
    <n v="0"/>
    <n v="0"/>
    <n v="0"/>
    <n v="9973.3500000000022"/>
    <n v="0"/>
    <n v="0"/>
    <n v="0"/>
    <n v="0"/>
    <n v="0"/>
    <n v="0"/>
    <n v="0"/>
    <n v="0"/>
    <n v="9973.3500000000022"/>
    <n v="0"/>
    <n v="0"/>
    <n v="365.93854768171695"/>
    <n v="35.278571428571432"/>
    <n v="0"/>
    <n v="0"/>
    <m/>
    <s v="DalsinghSarai"/>
    <m/>
    <n v="0"/>
  </r>
  <r>
    <s v="Munger"/>
    <s v="17-23 Jul"/>
    <n v="1012"/>
    <s v="DalsinghSarai"/>
    <x v="437"/>
    <s v="GOMUKH  BHAJANGAMA"/>
    <s v="MPG"/>
    <s v="Indirect"/>
    <n v="489.74999999999994"/>
    <n v="19179.14"/>
    <n v="0"/>
    <n v="0"/>
    <n v="0"/>
    <n v="0"/>
    <n v="0"/>
    <n v="0"/>
    <n v="19179.14"/>
    <n v="0"/>
    <n v="0"/>
    <n v="0"/>
    <n v="0"/>
    <n v="0"/>
    <n v="0"/>
    <n v="0"/>
    <n v="0"/>
    <n v="19179.14"/>
    <n v="0"/>
    <n v="0"/>
    <n v="164.67235058703429"/>
    <n v="69.964285714285708"/>
    <n v="0"/>
    <n v="0"/>
    <m/>
    <s v="DalsinghSarai"/>
    <m/>
    <n v="0"/>
  </r>
  <r>
    <s v="Munger"/>
    <s v="17-23 Jul"/>
    <n v="1012"/>
    <s v="DalsinghSarai"/>
    <x v="438"/>
    <s v="Gomukh Basadhiya Kurni"/>
    <s v="MPG"/>
    <s v="Direct"/>
    <n v="538.9"/>
    <n v="20968.73"/>
    <n v="529.1"/>
    <n v="20968.560000000001"/>
    <n v="0"/>
    <n v="0"/>
    <n v="529.1"/>
    <n v="20968.560000000001"/>
    <n v="20968.560000000001"/>
    <n v="0"/>
    <n v="0"/>
    <n v="0"/>
    <n v="0"/>
    <n v="0"/>
    <n v="0"/>
    <n v="20967"/>
    <n v="0"/>
    <n v="0"/>
    <n v="2"/>
    <n v="0"/>
    <n v="125.36880322879942"/>
    <n v="76.98571428571428"/>
    <n v="8.1073102662037123E-6"/>
    <n v="5"/>
    <m/>
    <s v="DalsinghSarai"/>
    <m/>
    <n v="0"/>
  </r>
  <r>
    <s v="Munger"/>
    <s v="17-23 Jul"/>
    <n v="1012"/>
    <s v="DalsinghSarai"/>
    <x v="439"/>
    <s v="KHAJURI"/>
    <s v="MPG"/>
    <s v="Direct"/>
    <n v="357.05"/>
    <n v="13610.859999999999"/>
    <n v="291.74"/>
    <n v="11728.059999999998"/>
    <n v="47.4"/>
    <n v="1875.9299999999998"/>
    <n v="339.14"/>
    <n v="13603.989999999998"/>
    <n v="13603.989999999998"/>
    <n v="0"/>
    <n v="68.84"/>
    <n v="0"/>
    <n v="1400"/>
    <n v="0"/>
    <n v="0"/>
    <n v="10328"/>
    <n v="1807"/>
    <n v="0"/>
    <n v="7"/>
    <n v="0"/>
    <n v="261.46726996219013"/>
    <n v="51.00714285714286"/>
    <n v="5.0474400588947359E-4"/>
    <n v="11"/>
    <m/>
    <s v="DalsinghSarai"/>
    <m/>
    <n v="0"/>
  </r>
  <r>
    <s v="Munger"/>
    <s v="17-23 Jul"/>
    <n v="1012"/>
    <s v="DalsinghSarai"/>
    <x v="440"/>
    <s v="ARMAULI-2"/>
    <s v="MPG"/>
    <s v="Direct"/>
    <n v="1062.3999999999999"/>
    <n v="44244.710000000006"/>
    <n v="1070.1900000000003"/>
    <n v="43673.86"/>
    <n v="14.2"/>
    <n v="580.37999999999988"/>
    <n v="1084.3900000000003"/>
    <n v="44254.239999999998"/>
    <n v="44244.710000000006"/>
    <n v="0"/>
    <n v="580.37999999999988"/>
    <n v="9.5299999999915599"/>
    <n v="9442"/>
    <n v="0"/>
    <n v="0"/>
    <n v="34222"/>
    <n v="0"/>
    <n v="0"/>
    <n v="0"/>
    <n v="0"/>
    <n v="0"/>
    <n v="0"/>
    <n v="-2.1539298144324052E-4"/>
    <n v="30"/>
    <m/>
    <s v="DalsinghSarai"/>
    <m/>
    <n v="0"/>
  </r>
  <r>
    <s v="Munger"/>
    <s v="17-23 Jul"/>
    <n v="1012"/>
    <s v="DalsinghSarai"/>
    <x v="441"/>
    <s v="MUSAPUR - 2"/>
    <s v="MPG"/>
    <s v="Indirect"/>
    <n v="65.150000000000006"/>
    <n v="2266.7199999999998"/>
    <n v="0"/>
    <n v="0"/>
    <n v="0"/>
    <n v="0"/>
    <n v="0"/>
    <n v="0"/>
    <n v="2266.7199999999998"/>
    <n v="0"/>
    <n v="0"/>
    <n v="0"/>
    <n v="0"/>
    <n v="0"/>
    <n v="0"/>
    <n v="0"/>
    <n v="0"/>
    <n v="2266.7199999999998"/>
    <n v="0"/>
    <n v="0"/>
    <n v="441.7581556408287"/>
    <n v="9.3071428571428587"/>
    <n v="0"/>
    <n v="0"/>
    <m/>
    <s v="DalsinghSarai"/>
    <m/>
    <n v="0"/>
  </r>
  <r>
    <s v="Munger"/>
    <s v="17-23 Jul"/>
    <n v="1012"/>
    <s v="DalsinghSarai"/>
    <x v="442"/>
    <s v="Janganath Pur"/>
    <s v="MPG"/>
    <s v="Indirect"/>
    <n v="1996.6499999999999"/>
    <n v="86289.060000000027"/>
    <n v="0"/>
    <n v="0"/>
    <n v="0"/>
    <n v="0"/>
    <n v="0"/>
    <n v="0"/>
    <n v="86289.060000000027"/>
    <n v="0"/>
    <n v="0"/>
    <n v="0"/>
    <n v="1400"/>
    <n v="0"/>
    <n v="0"/>
    <n v="0"/>
    <n v="0"/>
    <n v="84889.060000000027"/>
    <n v="0"/>
    <n v="0"/>
    <n v="0"/>
    <n v="0"/>
    <n v="0"/>
    <n v="0"/>
    <m/>
    <s v="DalsinghSarai"/>
    <m/>
    <n v="0"/>
  </r>
  <r>
    <s v="Munger"/>
    <s v="17-23 Jul"/>
    <n v="1012"/>
    <s v="DalsinghSarai"/>
    <x v="443"/>
    <s v="Nagargama"/>
    <s v="MPG"/>
    <s v="Indirect"/>
    <n v="470.54999999999995"/>
    <n v="19769.54"/>
    <n v="0"/>
    <n v="0"/>
    <n v="0"/>
    <n v="0"/>
    <n v="0"/>
    <n v="0"/>
    <n v="19769.54"/>
    <n v="0"/>
    <n v="0"/>
    <n v="0"/>
    <n v="4650"/>
    <n v="0"/>
    <n v="0"/>
    <n v="0"/>
    <n v="0"/>
    <n v="15119.54"/>
    <n v="0"/>
    <n v="0"/>
    <n v="192.80080556795249"/>
    <n v="67.221428571428561"/>
    <n v="0"/>
    <n v="0"/>
    <m/>
    <s v="DalsinghSarai"/>
    <m/>
    <n v="0"/>
  </r>
  <r>
    <s v="Munger"/>
    <s v="17-23 Jul"/>
    <n v="1012"/>
    <s v="DalsinghSarai"/>
    <x v="444"/>
    <s v="Sato Ghachchhi"/>
    <s v="MPG"/>
    <s v="Direct"/>
    <n v="602.75000000000011"/>
    <n v="28408.86"/>
    <n v="597.10000000000014"/>
    <n v="27932.629999999997"/>
    <n v="10.400000000000002"/>
    <n v="475.88000000000005"/>
    <n v="607.50000000000011"/>
    <n v="28408.51"/>
    <n v="28408.51"/>
    <n v="1874"/>
    <n v="475.88000000000005"/>
    <n v="0"/>
    <n v="470"/>
    <n v="0"/>
    <n v="0"/>
    <n v="25589"/>
    <n v="0"/>
    <n v="0"/>
    <n v="0"/>
    <n v="0"/>
    <n v="91.671891663210133"/>
    <n v="86.107142857142875"/>
    <n v="1.2320100137850754E-5"/>
    <n v="17"/>
    <m/>
    <s v="DalsinghSarai"/>
    <m/>
    <n v="0"/>
  </r>
  <r>
    <s v="Munger"/>
    <s v="17-23 Jul"/>
    <n v="1012"/>
    <s v="DalsinghSarai"/>
    <x v="445"/>
    <s v="Bhatgama"/>
    <s v="MPG"/>
    <s v="Indirect"/>
    <n v="426.95"/>
    <n v="14873.94"/>
    <n v="0"/>
    <n v="0"/>
    <n v="0"/>
    <n v="0"/>
    <n v="0"/>
    <n v="0"/>
    <n v="14873.94"/>
    <n v="0"/>
    <n v="0"/>
    <n v="0"/>
    <n v="1400"/>
    <n v="0"/>
    <n v="0"/>
    <n v="0"/>
    <n v="0"/>
    <n v="13473.94"/>
    <n v="0"/>
    <n v="0"/>
    <n v="190.24847485654061"/>
    <n v="60.99285714285714"/>
    <n v="0"/>
    <n v="0"/>
    <m/>
    <s v="DalsinghSarai"/>
    <m/>
    <n v="0"/>
  </r>
  <r>
    <s v="Munger"/>
    <s v="17-23 Jul"/>
    <n v="1012"/>
    <s v="DalsinghSarai"/>
    <x v="446"/>
    <s v="Borna Rasalpur"/>
    <s v="MPG"/>
    <s v="Direct"/>
    <n v="985.80000000000007"/>
    <n v="42248.590000000004"/>
    <n v="257.39999999999998"/>
    <n v="13482.26"/>
    <n v="672.1"/>
    <n v="28759.68"/>
    <n v="929.5"/>
    <n v="42241.94"/>
    <n v="42241.94"/>
    <n v="0"/>
    <n v="87.3"/>
    <n v="0"/>
    <n v="2800"/>
    <n v="0"/>
    <n v="0"/>
    <n v="10682"/>
    <n v="28672"/>
    <n v="0"/>
    <n v="7"/>
    <n v="0"/>
    <n v="0"/>
    <n v="0"/>
    <n v="1.5740170263673782E-4"/>
    <n v="19"/>
    <m/>
    <s v="DalsinghSarai"/>
    <m/>
    <n v="0"/>
  </r>
  <r>
    <s v="Munger"/>
    <s v="17-23 Jul"/>
    <n v="1012"/>
    <s v="DalsinghSarai"/>
    <x v="447"/>
    <s v="Rasalpur"/>
    <s v="MPG"/>
    <s v="Direct"/>
    <n v="1227.3999999999999"/>
    <n v="47880.409999999996"/>
    <n v="1088.52"/>
    <n v="40208.5"/>
    <n v="198.68"/>
    <n v="7671.2100000000009"/>
    <n v="1287.2"/>
    <n v="47879.71"/>
    <n v="47879.71"/>
    <n v="0"/>
    <n v="0"/>
    <n v="0"/>
    <n v="1400"/>
    <n v="0"/>
    <n v="0"/>
    <n v="38807"/>
    <n v="7671"/>
    <n v="0"/>
    <n v="2"/>
    <n v="0"/>
    <n v="0"/>
    <n v="0"/>
    <n v="1.4619757850801396E-5"/>
    <n v="16"/>
    <m/>
    <s v="DalsinghSarai"/>
    <m/>
    <n v="0"/>
  </r>
  <r>
    <s v="Munger"/>
    <s v="17-23 Jul"/>
    <n v="1012"/>
    <s v="DalsinghSarai"/>
    <x v="448"/>
    <s v="Narahan"/>
    <s v="MPG"/>
    <s v="Direct"/>
    <n v="205.84999999999997"/>
    <n v="7198.4999999999991"/>
    <n v="188.41"/>
    <n v="6994.6500000000005"/>
    <n v="5.3599999999999994"/>
    <n v="202.13"/>
    <n v="193.76999999999998"/>
    <n v="7196.7800000000007"/>
    <n v="7196.7800000000007"/>
    <n v="0"/>
    <n v="202.13"/>
    <n v="0"/>
    <n v="0"/>
    <n v="0"/>
    <n v="0"/>
    <n v="6995"/>
    <n v="0"/>
    <n v="0"/>
    <n v="1"/>
    <n v="0"/>
    <n v="345.60493320378924"/>
    <n v="29.407142857142851"/>
    <n v="2.3893866777779203E-4"/>
    <n v="5"/>
    <m/>
    <s v="DalsinghSarai"/>
    <m/>
    <n v="0"/>
  </r>
  <r>
    <s v="Munger"/>
    <s v="17-23 Jul"/>
    <n v="1012"/>
    <s v="DalsinghSarai"/>
    <x v="449"/>
    <s v="Gomukh Dumduma"/>
    <s v="MPG"/>
    <s v="Direct"/>
    <n v="442.79999999999995"/>
    <n v="17187.75"/>
    <n v="419.3"/>
    <n v="16265.209999999997"/>
    <n v="22.5"/>
    <n v="913.80000000000018"/>
    <n v="441.8"/>
    <n v="17179.009999999998"/>
    <n v="17179.009999999998"/>
    <n v="0"/>
    <n v="0"/>
    <n v="0"/>
    <n v="0"/>
    <n v="0"/>
    <n v="0"/>
    <n v="16265"/>
    <n v="914"/>
    <n v="0"/>
    <n v="9"/>
    <n v="0"/>
    <n v="199.66979674796752"/>
    <n v="63.257142857142853"/>
    <n v="5.0850169452090006E-4"/>
    <n v="11"/>
    <m/>
    <s v="DalsinghSarai"/>
    <m/>
    <n v="0"/>
  </r>
  <r>
    <s v="Munger"/>
    <s v="17-23 Jul"/>
    <n v="1012"/>
    <s v="DalsinghSarai"/>
    <x v="450"/>
    <s v="SUPOL"/>
    <s v="MPG"/>
    <s v="Direct"/>
    <n v="383.65000000000003"/>
    <n v="16932.14"/>
    <n v="346.20000000000005"/>
    <n v="15083.34"/>
    <n v="42.6"/>
    <n v="1845.9499999999998"/>
    <n v="388.80000000000007"/>
    <n v="16929.29"/>
    <n v="16929.29"/>
    <n v="0"/>
    <n v="819.17999999999984"/>
    <n v="0"/>
    <n v="0"/>
    <n v="0"/>
    <n v="0"/>
    <n v="15083"/>
    <n v="1027"/>
    <n v="0"/>
    <n v="3"/>
    <n v="0"/>
    <n v="279.23797674964152"/>
    <n v="54.807142857142864"/>
    <n v="1.6831894846124263E-4"/>
    <n v="7"/>
    <m/>
    <s v="DalsinghSarai"/>
    <m/>
    <n v="0"/>
  </r>
  <r>
    <s v="Munger"/>
    <s v="17-23 Jul"/>
    <n v="1012"/>
    <s v="DalsinghSarai"/>
    <x v="451"/>
    <s v="BHUSARAI"/>
    <s v="MPG"/>
    <s v="Direct"/>
    <n v="221.90000000000003"/>
    <n v="9629.6700000000019"/>
    <n v="124.35000000000001"/>
    <n v="5393.04"/>
    <n v="97.080000000000013"/>
    <n v="4235.53"/>
    <n v="221.43"/>
    <n v="9628.57"/>
    <n v="9628.57"/>
    <n v="0"/>
    <n v="142.14000000000004"/>
    <n v="0"/>
    <n v="0"/>
    <n v="0"/>
    <n v="0"/>
    <n v="5393"/>
    <n v="4093"/>
    <n v="0"/>
    <n v="2"/>
    <n v="0"/>
    <n v="414.95675772870658"/>
    <n v="31.700000000000006"/>
    <n v="1.1423029034247098E-4"/>
    <n v="6"/>
    <m/>
    <s v="DalsinghSarai"/>
    <m/>
    <n v="0"/>
  </r>
  <r>
    <s v="Munger"/>
    <s v="17-23 Jul"/>
    <n v="1012"/>
    <s v="DalsinghSarai"/>
    <x v="452"/>
    <s v="Gomukha Jounapur"/>
    <s v="MPG"/>
    <s v="Indirect"/>
    <n v="177.8"/>
    <n v="8625.2800000000007"/>
    <n v="0"/>
    <n v="0"/>
    <n v="0"/>
    <n v="0"/>
    <n v="0"/>
    <n v="0"/>
    <n v="8625.2800000000007"/>
    <n v="0"/>
    <n v="0"/>
    <n v="0"/>
    <n v="0"/>
    <n v="0"/>
    <n v="0"/>
    <n v="0"/>
    <n v="0"/>
    <n v="8625.2800000000007"/>
    <n v="0"/>
    <n v="0"/>
    <n v="506.65030551181098"/>
    <n v="25.400000000000002"/>
    <n v="0"/>
    <n v="0"/>
    <m/>
    <s v="DalsinghSarai"/>
    <m/>
    <n v="0"/>
  </r>
  <r>
    <s v="Munger"/>
    <s v="17-23 Jul"/>
    <n v="1012"/>
    <s v="DalsinghSarai"/>
    <x v="453"/>
    <s v="Patailliya"/>
    <s v="MPG"/>
    <s v="Indirect"/>
    <n v="212.75"/>
    <n v="8160.31"/>
    <n v="0"/>
    <n v="0"/>
    <n v="0"/>
    <n v="0"/>
    <n v="0"/>
    <n v="0"/>
    <n v="8160.31"/>
    <n v="0"/>
    <n v="0"/>
    <n v="0"/>
    <n v="0"/>
    <n v="0"/>
    <n v="0"/>
    <n v="0"/>
    <n v="0"/>
    <n v="8160.31"/>
    <n v="0"/>
    <n v="0"/>
    <n v="373.78247215041137"/>
    <n v="30.392857142857142"/>
    <n v="0"/>
    <n v="0"/>
    <m/>
    <s v="DalsinghSarai"/>
    <m/>
    <n v="0"/>
  </r>
  <r>
    <s v="Munger"/>
    <s v="17-23 Jul"/>
    <n v="1012"/>
    <s v="DalsinghSarai"/>
    <x v="454"/>
    <s v="Badiya"/>
    <s v="MPG"/>
    <s v="Indirect"/>
    <n v="167.7"/>
    <n v="5854.54"/>
    <n v="0"/>
    <n v="0"/>
    <n v="0"/>
    <n v="0"/>
    <n v="0"/>
    <n v="0"/>
    <n v="5854.54"/>
    <n v="0"/>
    <n v="0"/>
    <n v="0"/>
    <n v="0"/>
    <n v="0"/>
    <n v="0"/>
    <n v="0"/>
    <n v="0"/>
    <n v="5854.54"/>
    <n v="0"/>
    <n v="0"/>
    <n v="371.66030316040548"/>
    <n v="23.957142857142856"/>
    <n v="0"/>
    <n v="0"/>
    <m/>
    <s v="DalsinghSarai"/>
    <m/>
    <n v="0"/>
  </r>
  <r>
    <s v="Munger"/>
    <s v="17-23 Jul"/>
    <n v="1012"/>
    <s v="DalsinghSarai"/>
    <x v="455"/>
    <s v="Gomukh Tabhka"/>
    <s v="MPG"/>
    <s v="Direct"/>
    <n v="2561.6499999999996"/>
    <n v="108196.6"/>
    <n v="1373.9600000000003"/>
    <n v="63381.819999999992"/>
    <n v="1056.29"/>
    <n v="44813.16"/>
    <n v="2430.25"/>
    <n v="108194.98"/>
    <n v="108194.98"/>
    <n v="0"/>
    <n v="653.41999999999996"/>
    <n v="0"/>
    <n v="0"/>
    <n v="0"/>
    <n v="0"/>
    <n v="63382"/>
    <n v="44160"/>
    <n v="0"/>
    <n v="1"/>
    <n v="0"/>
    <n v="0"/>
    <n v="0"/>
    <n v="1.4972744060440856E-5"/>
    <n v="28"/>
    <m/>
    <s v="DalsinghSarai"/>
    <m/>
    <n v="0"/>
  </r>
  <r>
    <s v="Munger"/>
    <s v="17-23 Jul"/>
    <n v="1012"/>
    <s v="DalsinghSarai"/>
    <x v="456"/>
    <s v="Ghato"/>
    <s v="MPG"/>
    <s v="Indirect"/>
    <n v="29.7"/>
    <n v="1096.44"/>
    <n v="0"/>
    <n v="0"/>
    <n v="0"/>
    <n v="0"/>
    <n v="0"/>
    <n v="0"/>
    <n v="1096.44"/>
    <n v="0"/>
    <n v="0"/>
    <n v="0"/>
    <n v="0"/>
    <n v="0"/>
    <n v="0"/>
    <n v="0"/>
    <n v="0"/>
    <n v="1096.44"/>
    <n v="0"/>
    <n v="0"/>
    <n v="494.91160404040409"/>
    <n v="4.2428571428571429"/>
    <n v="0"/>
    <n v="0"/>
    <m/>
    <s v="DalsinghSarai"/>
    <m/>
    <n v="0"/>
  </r>
  <r>
    <s v="Munger"/>
    <s v="17-23 Jul"/>
    <n v="1012"/>
    <s v="DalsinghSarai"/>
    <x v="457"/>
    <s v="RAMNATHPUR                                                                                          "/>
    <s v="MPG"/>
    <s v="Direct"/>
    <n v="679.95"/>
    <n v="26672.57"/>
    <n v="440.68000000000006"/>
    <n v="17397.739999999998"/>
    <n v="238.39999999999998"/>
    <n v="9273.17"/>
    <n v="679.08"/>
    <n v="26670.909999999996"/>
    <n v="26670.909999999996"/>
    <n v="0"/>
    <n v="252.23"/>
    <n v="0"/>
    <n v="1400"/>
    <n v="0"/>
    <n v="0"/>
    <n v="15998"/>
    <n v="9022"/>
    <n v="0"/>
    <n v="0"/>
    <n v="0"/>
    <n v="15.730128053533345"/>
    <n v="97.135714285714286"/>
    <n v="6.2236222456384685E-5"/>
    <n v="15"/>
    <m/>
    <s v="DalsinghSarai"/>
    <m/>
    <n v="0"/>
  </r>
  <r>
    <s v="Munger"/>
    <s v="17-23 Jul"/>
    <n v="1012"/>
    <s v="DalsinghSarai"/>
    <x v="458"/>
    <s v="DESUA"/>
    <s v="MPG"/>
    <s v="Direct"/>
    <n v="454.1"/>
    <n v="19620.25"/>
    <n v="243.01"/>
    <n v="10954.45"/>
    <n v="187.91999999999996"/>
    <n v="8663.7800000000025"/>
    <n v="430.92999999999995"/>
    <n v="19618.230000000003"/>
    <n v="19618.230000000003"/>
    <n v="0"/>
    <n v="83.830000000000013"/>
    <n v="0"/>
    <n v="0"/>
    <n v="0"/>
    <n v="0"/>
    <n v="10954"/>
    <n v="8579"/>
    <n v="0"/>
    <n v="3"/>
    <n v="0"/>
    <n v="212.49149856859714"/>
    <n v="64.871428571428581"/>
    <n v="1.0295485531513608E-4"/>
    <n v="11"/>
    <m/>
    <s v="DalsinghSarai"/>
    <m/>
    <n v="0"/>
  </r>
  <r>
    <s v="Munger"/>
    <s v="17-23 Jul"/>
    <n v="1012"/>
    <s v="DalsinghSarai"/>
    <x v="459"/>
    <s v="Matior"/>
    <s v="MPG"/>
    <s v="Direct"/>
    <n v="217.74999999999994"/>
    <n v="8380.2099999999991"/>
    <n v="150.69"/>
    <n v="5680.0700000000006"/>
    <n v="72.600000000000009"/>
    <n v="2696.72"/>
    <n v="223.29000000000002"/>
    <n v="8376.7900000000009"/>
    <n v="8376.7900000000009"/>
    <n v="0"/>
    <n v="0"/>
    <n v="0"/>
    <n v="2800"/>
    <n v="0"/>
    <n v="0"/>
    <n v="2880"/>
    <n v="2697"/>
    <n v="0"/>
    <n v="3"/>
    <n v="0"/>
    <n v="371.19230975889798"/>
    <n v="31.107142857142851"/>
    <n v="4.0810433151415706E-4"/>
    <n v="5"/>
    <m/>
    <s v="DalsinghSarai"/>
    <m/>
    <n v="0"/>
  </r>
  <r>
    <s v="Munger"/>
    <s v="17-23 Jul"/>
    <n v="1012"/>
    <s v="DalsinghSarai"/>
    <x v="460"/>
    <s v="TELGAMA"/>
    <s v="MPG"/>
    <s v="Indirect"/>
    <n v="326.60000000000002"/>
    <n v="13997.88"/>
    <n v="0"/>
    <n v="0"/>
    <n v="0"/>
    <n v="0"/>
    <n v="0"/>
    <n v="0"/>
    <n v="13997.88"/>
    <n v="0"/>
    <n v="0"/>
    <n v="0"/>
    <n v="0"/>
    <n v="0"/>
    <n v="0"/>
    <n v="0"/>
    <n v="0"/>
    <n v="13997.88"/>
    <n v="0"/>
    <n v="0"/>
    <n v="320.07399828536433"/>
    <n v="46.657142857142858"/>
    <n v="0"/>
    <n v="0"/>
    <m/>
    <s v="DalsinghSarai"/>
    <m/>
    <n v="0"/>
  </r>
  <r>
    <s v="Munger"/>
    <s v="17-23 Jul"/>
    <n v="1012"/>
    <s v="DalsinghSarai"/>
    <x v="461"/>
    <s v="GOMUKH TATARPUR"/>
    <s v="MPG"/>
    <s v="Direct"/>
    <n v="192.49999999999997"/>
    <n v="10382.150000000001"/>
    <n v="183.05"/>
    <n v="9945.1799999999985"/>
    <n v="6.8"/>
    <n v="436.68"/>
    <n v="189.85000000000002"/>
    <n v="10381.859999999999"/>
    <n v="10381.859999999999"/>
    <n v="0"/>
    <n v="0"/>
    <n v="0"/>
    <n v="1400"/>
    <n v="500"/>
    <n v="0"/>
    <n v="8045"/>
    <n v="437"/>
    <n v="0"/>
    <n v="0"/>
    <n v="0"/>
    <n v="547.4224545454548"/>
    <n v="27.499999999999996"/>
    <n v="2.7932557322201284E-5"/>
    <n v="7"/>
    <m/>
    <s v="DalsinghSarai"/>
    <m/>
    <n v="500"/>
  </r>
  <r>
    <s v="Munger"/>
    <s v="17-23 Jul"/>
    <n v="1012"/>
    <s v="DalsinghSarai"/>
    <x v="462"/>
    <s v="Gomukh Ghataho"/>
    <s v="MPG"/>
    <s v="Direct"/>
    <n v="2127.1999999999998"/>
    <n v="83995.62"/>
    <n v="1549.75"/>
    <n v="61336.130000000005"/>
    <n v="550.69999999999993"/>
    <n v="22656.030000000002"/>
    <n v="2100.4499999999998"/>
    <n v="83992.16"/>
    <n v="83992.16"/>
    <n v="0"/>
    <n v="2417.52"/>
    <n v="0"/>
    <n v="0"/>
    <n v="0"/>
    <n v="0"/>
    <n v="61336"/>
    <n v="20238"/>
    <n v="0"/>
    <n v="4"/>
    <n v="0"/>
    <n v="0"/>
    <n v="0"/>
    <n v="4.1192624091492523E-5"/>
    <n v="34"/>
    <m/>
    <s v="DalsinghSarai"/>
    <m/>
    <n v="0"/>
  </r>
  <r>
    <s v="Munger"/>
    <s v="17-23 Jul"/>
    <n v="1012"/>
    <s v="DalsinghSarai"/>
    <x v="463"/>
    <s v="Kacha - Amarjeet"/>
    <s v="vlc"/>
    <s v="Indirect"/>
    <n v="357.65"/>
    <n v="15948.289999999999"/>
    <n v="0"/>
    <n v="0"/>
    <n v="0"/>
    <n v="0"/>
    <n v="0"/>
    <n v="0"/>
    <n v="15948.289999999999"/>
    <n v="0"/>
    <n v="0"/>
    <n v="0"/>
    <n v="0"/>
    <n v="0"/>
    <n v="0"/>
    <n v="0"/>
    <n v="0"/>
    <n v="15948.289999999999"/>
    <n v="0"/>
    <n v="0"/>
    <n v="305.32068119670066"/>
    <n v="51.092857142857142"/>
    <n v="0"/>
    <n v="0"/>
    <m/>
    <s v="DalsinghSarai"/>
    <m/>
    <n v="0"/>
  </r>
  <r>
    <s v="Munger"/>
    <s v="17-23 Jul"/>
    <n v="1012"/>
    <s v="DalsinghSarai"/>
    <x v="464"/>
    <s v="Simri - Suman"/>
    <s v="vlc"/>
    <s v="Indirect"/>
    <n v="1900"/>
    <n v="74186"/>
    <n v="0"/>
    <n v="0"/>
    <n v="0"/>
    <n v="0"/>
    <n v="0"/>
    <n v="0"/>
    <n v="74186"/>
    <n v="0"/>
    <n v="0"/>
    <n v="0"/>
    <n v="0"/>
    <n v="0"/>
    <n v="0"/>
    <n v="0"/>
    <n v="0"/>
    <n v="74186"/>
    <n v="0"/>
    <n v="0"/>
    <n v="0"/>
    <n v="0"/>
    <n v="0"/>
    <n v="0"/>
    <m/>
    <s v="DalsinghSarai"/>
    <m/>
    <n v="0"/>
  </r>
  <r>
    <s v="Munger"/>
    <s v="17-23 Jul"/>
    <n v="1012"/>
    <s v="DalsinghSarai"/>
    <x v="465"/>
    <s v="Narenpur"/>
    <s v="MPG"/>
    <s v="Direct"/>
    <n v="294.49999999999994"/>
    <n v="12288.409999999998"/>
    <n v="73.89"/>
    <n v="3003.97"/>
    <n v="215.76"/>
    <n v="9271.0300000000007"/>
    <n v="289.64999999999998"/>
    <n v="12275"/>
    <n v="12275"/>
    <n v="0"/>
    <n v="0"/>
    <n v="0"/>
    <n v="0"/>
    <n v="0"/>
    <n v="0"/>
    <n v="3004"/>
    <n v="9272"/>
    <n v="0"/>
    <n v="12"/>
    <n v="0"/>
    <n v="338.40069643463505"/>
    <n v="42.071428571428562"/>
    <n v="1.0912721824872409E-3"/>
    <n v="12"/>
    <m/>
    <s v="DalsinghSarai"/>
    <m/>
    <n v="0"/>
  </r>
  <r>
    <s v="Munger"/>
    <s v="17-23 Jul"/>
    <n v="1012"/>
    <s v="DalsinghSarai"/>
    <x v="466"/>
    <s v="Mordiba"/>
    <s v="MPG"/>
    <s v="Direct"/>
    <n v="1735.8500000000001"/>
    <n v="69565.899999999994"/>
    <n v="1050.6300000000001"/>
    <n v="42511.08"/>
    <n v="675.30000000000052"/>
    <n v="27051.48"/>
    <n v="1725.9300000000007"/>
    <n v="69562.559999999998"/>
    <n v="69562.559999999998"/>
    <n v="0"/>
    <n v="149.6"/>
    <n v="0"/>
    <n v="2800"/>
    <n v="0"/>
    <n v="0"/>
    <n v="39711"/>
    <n v="26904"/>
    <n v="0"/>
    <n v="1"/>
    <n v="0"/>
    <n v="0"/>
    <n v="0"/>
    <n v="4.8012028881916397E-5"/>
    <n v="36"/>
    <m/>
    <s v="DalsinghSarai"/>
    <m/>
    <n v="0"/>
  </r>
  <r>
    <s v="Munger"/>
    <s v="17-23 Jul"/>
    <n v="1012"/>
    <s v="DalsinghSarai"/>
    <x v="467"/>
    <s v="Jagdispur"/>
    <s v="MPG"/>
    <s v="Direct"/>
    <n v="177.79999999999998"/>
    <n v="7223.56"/>
    <n v="193.56999999999996"/>
    <n v="7212.64"/>
    <n v="0"/>
    <n v="0"/>
    <n v="193.56999999999996"/>
    <n v="7212.64"/>
    <n v="7212.64"/>
    <n v="0"/>
    <n v="0"/>
    <n v="0"/>
    <n v="0"/>
    <n v="0"/>
    <n v="0"/>
    <n v="7211"/>
    <n v="0"/>
    <n v="0"/>
    <n v="13"/>
    <n v="0"/>
    <n v="424.31305196850394"/>
    <n v="25.4"/>
    <n v="1.5117199829447075E-3"/>
    <n v="8"/>
    <m/>
    <s v="DalsinghSarai"/>
    <m/>
    <n v="0"/>
  </r>
  <r>
    <s v="Munger"/>
    <s v="17-23 Jul"/>
    <n v="1012"/>
    <s v="DalsinghSarai"/>
    <x v="468"/>
    <s v="Chaklal Sahi_Vikrant"/>
    <s v="vlc"/>
    <s v="Indirect"/>
    <n v="4040"/>
    <n v="152641"/>
    <n v="0"/>
    <n v="0"/>
    <n v="0"/>
    <n v="0"/>
    <n v="0"/>
    <n v="0"/>
    <n v="152641"/>
    <n v="0"/>
    <n v="0"/>
    <n v="0"/>
    <n v="0"/>
    <n v="0"/>
    <n v="0"/>
    <n v="0"/>
    <n v="0"/>
    <n v="152641"/>
    <n v="0"/>
    <n v="0"/>
    <n v="0"/>
    <n v="0"/>
    <n v="0"/>
    <n v="0"/>
    <m/>
    <s v="DalsinghSarai"/>
    <m/>
    <n v="0"/>
  </r>
  <r>
    <s v="Munger"/>
    <s v="17-23 Jul"/>
    <n v="1012"/>
    <s v="DalsinghSarai"/>
    <x v="470"/>
    <s v="Sarhad-Subodh"/>
    <s v="vlc"/>
    <s v="Indirect"/>
    <n v="359.95000000000005"/>
    <n v="12385.17"/>
    <n v="0"/>
    <n v="0"/>
    <n v="0"/>
    <n v="0"/>
    <n v="0"/>
    <n v="0"/>
    <n v="12385.17"/>
    <n v="0"/>
    <n v="0"/>
    <n v="0"/>
    <n v="0"/>
    <n v="0"/>
    <n v="0"/>
    <n v="0"/>
    <n v="0"/>
    <n v="12385.17"/>
    <n v="0"/>
    <n v="0"/>
    <n v="234.00900450062505"/>
    <n v="51.421428571428578"/>
    <n v="0"/>
    <n v="0"/>
    <m/>
    <s v="DalsinghSarai"/>
    <m/>
    <n v="0"/>
  </r>
  <r>
    <s v="Munger"/>
    <s v="17-23 Jul"/>
    <n v="1012"/>
    <s v="DalsinghSarai"/>
    <x v="471"/>
    <s v="Suratpur"/>
    <s v="MPG"/>
    <s v="Direct"/>
    <n v="1180.05"/>
    <n v="47752.640000000014"/>
    <n v="182.17000000000002"/>
    <n v="7352.4499999999989"/>
    <n v="983.95999999999992"/>
    <n v="40399.560000000012"/>
    <n v="1166.1299999999999"/>
    <n v="47752.010000000009"/>
    <n v="47752.010000000009"/>
    <n v="0"/>
    <n v="0"/>
    <n v="0"/>
    <n v="0"/>
    <n v="0"/>
    <n v="0"/>
    <n v="7352"/>
    <n v="40399"/>
    <n v="0"/>
    <n v="2"/>
    <n v="0"/>
    <n v="0"/>
    <n v="0"/>
    <n v="1.3192987864223977E-5"/>
    <n v="13"/>
    <m/>
    <s v="DalsinghSarai"/>
    <m/>
    <n v="0"/>
  </r>
  <r>
    <s v="Munger"/>
    <s v="17-23 Jul"/>
    <n v="1012"/>
    <s v="DalsinghSarai"/>
    <x v="472"/>
    <s v="Beri"/>
    <s v="MPG"/>
    <s v="Direct"/>
    <n v="76.25"/>
    <n v="4745.59"/>
    <n v="76.25"/>
    <n v="4745.59"/>
    <n v="0"/>
    <n v="0"/>
    <n v="76.25"/>
    <n v="4745.59"/>
    <n v="4745.59"/>
    <n v="0"/>
    <n v="0"/>
    <n v="0"/>
    <n v="0"/>
    <n v="0"/>
    <n v="0"/>
    <n v="4746"/>
    <n v="0"/>
    <n v="0"/>
    <n v="0"/>
    <n v="0"/>
    <n v="776.40964262295097"/>
    <n v="10.892857142857142"/>
    <n v="0"/>
    <n v="1"/>
    <m/>
    <s v="DalsinghSarai"/>
    <m/>
    <n v="0"/>
  </r>
  <r>
    <s v="Munger"/>
    <s v="17-23 Jul"/>
    <n v="1012"/>
    <s v="DalsinghSarai"/>
    <x v="473"/>
    <s v="Mahmmadipur"/>
    <s v="MPG"/>
    <s v="Direct"/>
    <n v="2591.0000000000009"/>
    <n v="133408.01"/>
    <n v="746.56"/>
    <n v="40850.980000000003"/>
    <n v="1710.8100000000006"/>
    <n v="92517.169999999984"/>
    <n v="2457.3700000000008"/>
    <n v="133368.15"/>
    <n v="133368.15"/>
    <n v="0"/>
    <n v="0"/>
    <n v="0"/>
    <n v="0"/>
    <n v="0"/>
    <n v="0"/>
    <n v="40852"/>
    <n v="92516"/>
    <n v="0"/>
    <n v="40"/>
    <n v="0"/>
    <n v="0"/>
    <n v="0"/>
    <n v="2.9878265930220478E-4"/>
    <n v="29"/>
    <m/>
    <s v="DalsinghSarai"/>
    <m/>
    <n v="0"/>
  </r>
  <r>
    <s v="Munger"/>
    <s v="17-23 Jul"/>
    <n v="1062"/>
    <s v="Singhia BMC"/>
    <x v="475"/>
    <s v="Mithilanchal Dairy Products"/>
    <s v="vlc"/>
    <s v="Indirect"/>
    <n v="7220.4599999999991"/>
    <n v="316415.74999999994"/>
    <n v="0"/>
    <n v="0"/>
    <n v="0"/>
    <n v="0"/>
    <n v="0"/>
    <n v="0"/>
    <n v="316415.74999999994"/>
    <n v="0"/>
    <n v="0"/>
    <n v="0"/>
    <n v="0"/>
    <n v="0"/>
    <n v="0"/>
    <n v="0"/>
    <n v="0"/>
    <n v="316415.74999999994"/>
    <n v="0"/>
    <n v="0"/>
    <n v="0"/>
    <n v="0"/>
    <n v="0"/>
    <n v="0"/>
    <m/>
    <s v="Singhia BMC"/>
    <m/>
    <n v="0"/>
  </r>
  <r>
    <s v="Munger"/>
    <s v="17-23 Jul"/>
    <n v="1012"/>
    <s v="DalsinghSarai"/>
    <x v="476"/>
    <s v="Gomukh Jhaura Tabhka"/>
    <s v="MPG"/>
    <s v="Direct"/>
    <n v="567.54999999999995"/>
    <n v="22096.44"/>
    <n v="547"/>
    <n v="22009.55"/>
    <n v="2.5000000000000004"/>
    <n v="86.059999999999988"/>
    <n v="549.5"/>
    <n v="22095.61"/>
    <n v="22095.61"/>
    <n v="0"/>
    <n v="48.45"/>
    <n v="0"/>
    <n v="0"/>
    <n v="0"/>
    <n v="0"/>
    <n v="22010"/>
    <n v="38"/>
    <n v="0"/>
    <n v="0"/>
    <n v="0"/>
    <n v="103.13359097876842"/>
    <n v="81.078571428571422"/>
    <n v="3.7562611895767295E-5"/>
    <n v="12"/>
    <m/>
    <s v="DalsinghSarai"/>
    <m/>
    <n v="0"/>
  </r>
  <r>
    <s v="Munger"/>
    <s v="17-23 Jul"/>
    <n v="1012"/>
    <s v="DalsinghSarai"/>
    <x v="477"/>
    <s v="Gomukh Mohanpur"/>
    <s v="MPG"/>
    <s v="Direct"/>
    <n v="371.54999999999995"/>
    <n v="13733.460000000001"/>
    <n v="154.01999999999998"/>
    <n v="5446.74"/>
    <n v="215.26000000000002"/>
    <n v="8285.01"/>
    <n v="369.28"/>
    <n v="13731.75"/>
    <n v="13731.75"/>
    <n v="0"/>
    <n v="215.68"/>
    <n v="0"/>
    <n v="0"/>
    <n v="0"/>
    <n v="0"/>
    <n v="5447"/>
    <n v="8070"/>
    <n v="0"/>
    <n v="1"/>
    <n v="0"/>
    <n v="242.80742494953583"/>
    <n v="53.078571428571422"/>
    <n v="1.2451341468216646E-4"/>
    <n v="11"/>
    <m/>
    <s v="DalsinghSarai"/>
    <m/>
    <n v="0"/>
  </r>
  <r>
    <s v="Munger"/>
    <s v="17-23 Jul"/>
    <n v="1012"/>
    <s v="DalsinghSarai"/>
    <x v="478"/>
    <s v="Gomukh Bochaha"/>
    <s v="MPG"/>
    <s v="Direct"/>
    <n v="1236.6499999999996"/>
    <n v="56663.159999999996"/>
    <n v="242.86"/>
    <n v="10699.01"/>
    <n v="1033.94"/>
    <n v="45959.3"/>
    <n v="1276.8000000000002"/>
    <n v="56658.310000000005"/>
    <n v="56658.310000000005"/>
    <n v="0"/>
    <n v="0"/>
    <n v="0"/>
    <n v="2800"/>
    <n v="0"/>
    <n v="0"/>
    <n v="7899"/>
    <n v="45960"/>
    <n v="0"/>
    <n v="4"/>
    <n v="0"/>
    <n v="0"/>
    <n v="0"/>
    <n v="8.5593532023121716E-5"/>
    <n v="24"/>
    <m/>
    <s v="DalsinghSarai"/>
    <m/>
    <n v="0"/>
  </r>
  <r>
    <s v="Munger"/>
    <s v="17-23 Jul"/>
    <n v="1012"/>
    <s v="DalsinghSarai"/>
    <x v="479"/>
    <s v="Gomukh Terganj"/>
    <s v="MPG"/>
    <s v="Direct"/>
    <n v="228.3"/>
    <n v="9705.66"/>
    <n v="205.39"/>
    <n v="8627.73"/>
    <n v="25.6"/>
    <n v="1072.4100000000001"/>
    <n v="230.98999999999998"/>
    <n v="9700.14"/>
    <n v="9700.14"/>
    <n v="0"/>
    <n v="0"/>
    <n v="0"/>
    <n v="1400"/>
    <n v="500"/>
    <n v="0"/>
    <n v="6728"/>
    <n v="1073"/>
    <n v="0"/>
    <n v="5"/>
    <n v="0"/>
    <n v="401.06524940867274"/>
    <n v="32.614285714285714"/>
    <n v="5.6874030205060109E-4"/>
    <n v="7"/>
    <m/>
    <s v="DalsinghSarai"/>
    <m/>
    <n v="500"/>
  </r>
  <r>
    <s v="Munger"/>
    <s v="17-23 Jul"/>
    <n v="1012"/>
    <s v="DalsinghSarai"/>
    <x v="480"/>
    <s v="Gomukh Chapra"/>
    <s v="vlc"/>
    <s v="Indirect"/>
    <n v="1958.55"/>
    <n v="92269.52"/>
    <n v="0"/>
    <n v="0"/>
    <n v="0"/>
    <n v="0"/>
    <n v="0"/>
    <n v="0"/>
    <n v="92269.52"/>
    <n v="0"/>
    <n v="0"/>
    <n v="0"/>
    <n v="0"/>
    <n v="0"/>
    <n v="0"/>
    <n v="0"/>
    <n v="0"/>
    <n v="92269.52"/>
    <n v="0"/>
    <n v="0"/>
    <n v="0"/>
    <n v="0"/>
    <n v="0"/>
    <n v="0"/>
    <m/>
    <s v="DalsinghSarai"/>
    <m/>
    <n v="0"/>
  </r>
  <r>
    <s v="Munger"/>
    <s v="17-23 Jul"/>
    <n v="1012"/>
    <s v="DalsinghSarai"/>
    <x v="481"/>
    <s v="GOMUKH Chiranjipur"/>
    <s v="vlc"/>
    <s v="Indirect"/>
    <n v="10288"/>
    <n v="416165.98000000004"/>
    <n v="0"/>
    <n v="0"/>
    <n v="0"/>
    <n v="0"/>
    <n v="0"/>
    <n v="0"/>
    <n v="416165.98000000004"/>
    <n v="0"/>
    <n v="0"/>
    <n v="0"/>
    <n v="0"/>
    <n v="0"/>
    <n v="0"/>
    <n v="0"/>
    <n v="0"/>
    <n v="416165.98000000004"/>
    <n v="0"/>
    <n v="0"/>
    <n v="0"/>
    <n v="0"/>
    <n v="0"/>
    <n v="0"/>
    <m/>
    <s v="DalsinghSarai"/>
    <m/>
    <n v="0"/>
  </r>
  <r>
    <s v="Munger"/>
    <s v="17-23 Jul"/>
    <n v="1012"/>
    <s v="DalsinghSarai"/>
    <x v="482"/>
    <s v="Gomukh Sahu Tol"/>
    <s v="vlc"/>
    <s v="Indirect"/>
    <n v="1710"/>
    <n v="67950.7"/>
    <n v="0"/>
    <n v="0"/>
    <n v="0"/>
    <n v="0"/>
    <n v="0"/>
    <n v="0"/>
    <n v="67950.7"/>
    <n v="0"/>
    <n v="0"/>
    <n v="0"/>
    <n v="0"/>
    <n v="0"/>
    <n v="0"/>
    <n v="0"/>
    <n v="0"/>
    <n v="67950.7"/>
    <n v="0"/>
    <n v="0"/>
    <n v="0"/>
    <n v="0"/>
    <n v="0"/>
    <n v="0"/>
    <m/>
    <s v="DalsinghSarai"/>
    <m/>
    <n v="0"/>
  </r>
  <r>
    <s v="Munger"/>
    <s v="17-23 Jul"/>
    <n v="1012"/>
    <s v="DalsinghSarai"/>
    <x v="483"/>
    <s v="Gomukh Mordiwa East"/>
    <s v="MPG"/>
    <s v="Direct"/>
    <n v="1400.3499999999997"/>
    <n v="56741.86"/>
    <n v="252.2"/>
    <n v="9831.36"/>
    <n v="1207.8500000000001"/>
    <n v="46908.350000000006"/>
    <n v="1460.0500000000002"/>
    <n v="56739.710000000006"/>
    <n v="56739.710000000006"/>
    <n v="0"/>
    <n v="400.3"/>
    <n v="0"/>
    <n v="1400"/>
    <n v="0"/>
    <n v="0"/>
    <n v="8432"/>
    <n v="46509"/>
    <n v="0"/>
    <n v="1"/>
    <n v="0"/>
    <n v="0"/>
    <n v="0"/>
    <n v="3.7890897478407988E-5"/>
    <n v="19"/>
    <m/>
    <s v="DalsinghSarai"/>
    <m/>
    <n v="0"/>
  </r>
  <r>
    <s v="Munger"/>
    <s v="17-23 Jul"/>
    <n v="1012"/>
    <s v="DalsinghSarai"/>
    <x v="484"/>
    <s v="Gomukh Belamegh"/>
    <s v="vlc"/>
    <s v="Indirect"/>
    <n v="2050"/>
    <n v="77288"/>
    <n v="0"/>
    <n v="0"/>
    <n v="0"/>
    <n v="0"/>
    <n v="0"/>
    <n v="0"/>
    <n v="77288"/>
    <n v="0"/>
    <n v="0"/>
    <n v="0"/>
    <n v="0"/>
    <n v="0"/>
    <n v="0"/>
    <n v="0"/>
    <n v="0"/>
    <n v="77288"/>
    <n v="0"/>
    <n v="0"/>
    <n v="0"/>
    <n v="0"/>
    <n v="0"/>
    <n v="0"/>
    <m/>
    <s v="DalsinghSarai"/>
    <m/>
    <n v="0"/>
  </r>
  <r>
    <s v="Munger"/>
    <s v="17-23 Jul"/>
    <n v="1012"/>
    <s v="DalsinghSarai"/>
    <x v="485"/>
    <s v="Gomukh Ramaiya"/>
    <s v="MPG"/>
    <s v="Direct"/>
    <n v="697"/>
    <n v="28075.000000000004"/>
    <n v="667"/>
    <n v="26728.01"/>
    <n v="31"/>
    <n v="1337.37"/>
    <n v="698"/>
    <n v="28065.379999999997"/>
    <n v="28065.379999999997"/>
    <n v="0"/>
    <n v="0"/>
    <n v="0"/>
    <n v="0"/>
    <n v="0"/>
    <n v="0"/>
    <n v="26728"/>
    <n v="1336"/>
    <n v="0"/>
    <n v="11"/>
    <n v="0"/>
    <n v="2.4167862266858084"/>
    <n v="99.571428571428569"/>
    <n v="3.426536064116209E-4"/>
    <n v="12"/>
    <m/>
    <s v="DalsinghSarai"/>
    <m/>
    <n v="0"/>
  </r>
  <r>
    <s v="Munger"/>
    <s v="17-23 Jul"/>
    <n v="1012"/>
    <s v="DalsinghSarai"/>
    <x v="486"/>
    <s v="GOMUKH MANIKA EAST"/>
    <s v="MPG"/>
    <s v="Direct"/>
    <n v="604.70000000000005"/>
    <n v="23663.41"/>
    <n v="388"/>
    <n v="15840.43"/>
    <n v="184.9"/>
    <n v="7820.9600000000009"/>
    <n v="572.9"/>
    <n v="23661.39"/>
    <n v="23661.39"/>
    <n v="0"/>
    <n v="0"/>
    <n v="0"/>
    <n v="0"/>
    <n v="0"/>
    <n v="0"/>
    <n v="15842"/>
    <n v="7820"/>
    <n v="0"/>
    <n v="1"/>
    <n v="0"/>
    <n v="74.586504812303616"/>
    <n v="86.385714285714286"/>
    <n v="8.5363859224027162E-5"/>
    <n v="14"/>
    <m/>
    <s v="DalsinghSarai"/>
    <m/>
    <n v="0"/>
  </r>
  <r>
    <s v="Munger"/>
    <s v="17-23 Jul"/>
    <n v="1012"/>
    <s v="DalsinghSarai"/>
    <x v="487"/>
    <s v="IMADPUR"/>
    <s v="vlc"/>
    <s v="Indirect"/>
    <n v="1639.9999999999998"/>
    <n v="61029.48"/>
    <n v="0"/>
    <n v="0"/>
    <n v="0"/>
    <n v="0"/>
    <n v="0"/>
    <n v="0"/>
    <n v="61029.48"/>
    <n v="0"/>
    <n v="0"/>
    <n v="0"/>
    <n v="0"/>
    <n v="0"/>
    <n v="0"/>
    <n v="0"/>
    <n v="0"/>
    <n v="61029.48"/>
    <n v="0"/>
    <n v="0"/>
    <n v="0"/>
    <n v="0"/>
    <n v="0"/>
    <n v="0"/>
    <m/>
    <s v="DalsinghSarai"/>
    <m/>
    <n v="0"/>
  </r>
  <r>
    <s v="Munger"/>
    <s v="17-23 Jul"/>
    <n v="1012"/>
    <s v="DalsinghSarai"/>
    <x v="488"/>
    <s v="GOMUKH Kisanpur Tabhka"/>
    <s v="MPG"/>
    <s v="Direct"/>
    <n v="1048.75"/>
    <n v="42936.030000000006"/>
    <n v="164.1"/>
    <n v="6601.0100000000011"/>
    <n v="891.55"/>
    <n v="36333.1"/>
    <n v="1055.6499999999999"/>
    <n v="42934.11"/>
    <n v="42934.11"/>
    <n v="0"/>
    <n v="21.27"/>
    <n v="0"/>
    <n v="0"/>
    <n v="0"/>
    <n v="0"/>
    <n v="6601"/>
    <n v="36312"/>
    <n v="0"/>
    <n v="2"/>
    <n v="0"/>
    <n v="0"/>
    <n v="0"/>
    <n v="4.4717688151548466E-5"/>
    <n v="11"/>
    <m/>
    <s v="DalsinghSarai"/>
    <m/>
    <n v="0"/>
  </r>
  <r>
    <s v="Munger"/>
    <s v="17-23 Jul"/>
    <n v="1012"/>
    <s v="DalsinghSarai"/>
    <x v="489"/>
    <s v="GOMUKH BIBHUTIPUR"/>
    <s v="MPG"/>
    <s v="Direct"/>
    <n v="91.65"/>
    <n v="3584.27"/>
    <n v="91.22"/>
    <n v="3581.24"/>
    <n v="0"/>
    <n v="0"/>
    <n v="91.22"/>
    <n v="3581.24"/>
    <n v="3581.24"/>
    <n v="0"/>
    <n v="0"/>
    <n v="0"/>
    <n v="1400"/>
    <n v="448"/>
    <n v="0"/>
    <n v="1681"/>
    <n v="0"/>
    <n v="0"/>
    <n v="55"/>
    <s v="Release2"/>
    <n v="475.82993006001089"/>
    <n v="13.092857142857143"/>
    <n v="8.4536042206647386E-4"/>
    <n v="2"/>
    <m/>
    <s v="DalsinghSarai"/>
    <m/>
    <n v="448"/>
  </r>
  <r>
    <s v="Munger"/>
    <s v="17-23 Jul"/>
    <n v="1012"/>
    <s v="DalsinghSarai"/>
    <x v="490"/>
    <s v="GOMUKH PATHAKTOL"/>
    <s v="MPG"/>
    <s v="Direct"/>
    <n v="210.54999999999998"/>
    <n v="8621.5"/>
    <n v="116.6"/>
    <n v="4791.869999999999"/>
    <n v="103.19999999999999"/>
    <n v="3828.2200000000003"/>
    <n v="219.79999999999998"/>
    <n v="8620.09"/>
    <n v="8620.09"/>
    <n v="0"/>
    <n v="0"/>
    <n v="0"/>
    <n v="0"/>
    <n v="500"/>
    <n v="0"/>
    <n v="4292"/>
    <n v="3828"/>
    <n v="0"/>
    <n v="2"/>
    <n v="0"/>
    <n v="400.83525765851351"/>
    <n v="30.078571428571426"/>
    <n v="1.6354462680506345E-4"/>
    <n v="5"/>
    <m/>
    <s v="DalsinghSarai"/>
    <m/>
    <n v="500"/>
  </r>
  <r>
    <s v="Munger"/>
    <s v="17-23 Jul"/>
    <n v="1012"/>
    <s v="DalsinghSarai"/>
    <x v="491"/>
    <s v="Gomukh Musapur West"/>
    <s v="vlc"/>
    <s v="Indirect"/>
    <n v="2261.9500000000003"/>
    <n v="90219.570000000022"/>
    <n v="0"/>
    <n v="0"/>
    <n v="0"/>
    <n v="0"/>
    <n v="0"/>
    <n v="0"/>
    <n v="90219.570000000022"/>
    <n v="0"/>
    <n v="0"/>
    <n v="0"/>
    <n v="0"/>
    <n v="0"/>
    <n v="0"/>
    <n v="0"/>
    <n v="0"/>
    <n v="90219.570000000022"/>
    <n v="0"/>
    <n v="0"/>
    <n v="0"/>
    <n v="0"/>
    <n v="0"/>
    <n v="0"/>
    <m/>
    <s v="DalsinghSarai"/>
    <m/>
    <n v="0"/>
  </r>
  <r>
    <s v="Munger"/>
    <s v="17-23 Jul"/>
    <n v="1012"/>
    <s v="DalsinghSarai"/>
    <x v="492"/>
    <s v="GOMUKH DADHIYA RAMKRISHANPUR"/>
    <s v="MPG"/>
    <s v="Direct"/>
    <n v="1415.2"/>
    <n v="61601.319999999992"/>
    <n v="434"/>
    <n v="17451.660000000003"/>
    <n v="1020.9999999999998"/>
    <n v="44140.47"/>
    <n v="1454.9999999999998"/>
    <n v="61592.130000000005"/>
    <n v="61592.130000000005"/>
    <n v="0"/>
    <n v="2325.29"/>
    <n v="0"/>
    <n v="157"/>
    <n v="0"/>
    <n v="0"/>
    <n v="17451"/>
    <n v="41660"/>
    <n v="0"/>
    <n v="8"/>
    <n v="0"/>
    <n v="0"/>
    <n v="0"/>
    <n v="1.4918511486422333E-4"/>
    <n v="27"/>
    <m/>
    <s v="DalsinghSarai"/>
    <m/>
    <n v="0"/>
  </r>
  <r>
    <s v="Munger"/>
    <s v="17-23 Jul"/>
    <n v="1012"/>
    <s v="DalsinghSarai"/>
    <x v="493"/>
    <s v="Gomukh Simri Ward 4"/>
    <s v="vlc"/>
    <s v="Indirect"/>
    <n v="500"/>
    <n v="19390"/>
    <n v="0"/>
    <n v="0"/>
    <n v="0"/>
    <n v="0"/>
    <n v="0"/>
    <n v="0"/>
    <n v="19390"/>
    <n v="0"/>
    <n v="0"/>
    <n v="0"/>
    <n v="0"/>
    <n v="0"/>
    <n v="0"/>
    <n v="0"/>
    <n v="0"/>
    <n v="19390"/>
    <n v="0"/>
    <n v="0"/>
    <n v="155.12"/>
    <n v="71.428571428571431"/>
    <n v="0"/>
    <n v="0"/>
    <m/>
    <s v="DalsinghSarai"/>
    <m/>
    <n v="0"/>
  </r>
  <r>
    <s v="Munger"/>
    <s v="17-23 Jul"/>
    <n v="1012"/>
    <s v="DalsinghSarai"/>
    <x v="494"/>
    <s v="GOMUKH BALTHARA"/>
    <s v="MPG"/>
    <s v="Direct"/>
    <n v="415.15"/>
    <n v="17364.7"/>
    <n v="105.80999999999999"/>
    <n v="4477.13"/>
    <n v="308.85000000000002"/>
    <n v="12876.82"/>
    <n v="414.66"/>
    <n v="17353.95"/>
    <n v="17353.95"/>
    <n v="0"/>
    <n v="0"/>
    <n v="0"/>
    <n v="0"/>
    <n v="0"/>
    <n v="0"/>
    <n v="4477"/>
    <n v="12877"/>
    <n v="0"/>
    <n v="11"/>
    <n v="0"/>
    <n v="238.29145104179219"/>
    <n v="59.307142857142857"/>
    <n v="6.1907202543090285E-4"/>
    <n v="11"/>
    <m/>
    <s v="DalsinghSarai"/>
    <m/>
    <n v="0"/>
  </r>
  <r>
    <s v="Munger"/>
    <s v="17-23 Jul"/>
    <n v="1012"/>
    <s v="DalsinghSarai"/>
    <x v="495"/>
    <s v="GOMUKH BHASINGPUR"/>
    <s v="MPG"/>
    <s v="Direct"/>
    <n v="1110.45"/>
    <n v="48113.640000000007"/>
    <n v="615.03"/>
    <n v="25759.620000000003"/>
    <n v="516.52"/>
    <n v="22348.100000000002"/>
    <n v="1131.55"/>
    <n v="48107.72"/>
    <n v="48107.72"/>
    <n v="0"/>
    <n v="0"/>
    <n v="0"/>
    <n v="7000"/>
    <n v="0"/>
    <n v="0"/>
    <n v="18760"/>
    <n v="22350"/>
    <n v="0"/>
    <n v="4"/>
    <n v="0"/>
    <n v="0"/>
    <n v="0"/>
    <n v="1.2304203132428826E-4"/>
    <n v="20"/>
    <m/>
    <s v="DalsinghSarai"/>
    <m/>
    <n v="0"/>
  </r>
  <r>
    <s v="Munger"/>
    <s v="17-23 Jul"/>
    <n v="1012"/>
    <s v="DalsinghSarai"/>
    <x v="496"/>
    <s v="GOMUKH Chakhale Dad"/>
    <s v="MPG"/>
    <s v="Direct"/>
    <n v="966"/>
    <n v="37814.57"/>
    <n v="607.27"/>
    <n v="24145.040000000001"/>
    <n v="357.94000000000005"/>
    <n v="13659.81"/>
    <n v="965.21"/>
    <n v="37804.85"/>
    <n v="37804.85"/>
    <n v="0"/>
    <n v="136.19999999999999"/>
    <n v="0"/>
    <n v="0"/>
    <n v="0"/>
    <n v="0"/>
    <n v="24145"/>
    <n v="13522"/>
    <n v="0"/>
    <n v="11"/>
    <n v="0"/>
    <n v="0"/>
    <n v="0"/>
    <n v="2.5704377968600899E-4"/>
    <n v="21"/>
    <m/>
    <s v="DalsinghSarai"/>
    <m/>
    <n v="0"/>
  </r>
  <r>
    <s v="Munger"/>
    <s v="17-23 Jul"/>
    <n v="1012"/>
    <s v="DalsinghSarai"/>
    <x v="497"/>
    <s v="Gomukh Simri"/>
    <s v="vlc"/>
    <s v="Indirect"/>
    <n v="1029.8500000000001"/>
    <n v="43010.73"/>
    <n v="0"/>
    <n v="0"/>
    <n v="0"/>
    <n v="0"/>
    <n v="0"/>
    <n v="0"/>
    <n v="43010.73"/>
    <n v="0"/>
    <n v="0"/>
    <n v="0"/>
    <n v="0"/>
    <n v="0"/>
    <n v="0"/>
    <n v="0"/>
    <n v="0"/>
    <n v="43010.73"/>
    <n v="0"/>
    <n v="0"/>
    <n v="0"/>
    <n v="0"/>
    <n v="0"/>
    <n v="0"/>
    <m/>
    <s v="DalsinghSarai"/>
    <m/>
    <n v="0"/>
  </r>
  <r>
    <s v="Munger"/>
    <s v="17-23 Jul"/>
    <n v="1013"/>
    <s v="Musrigharari"/>
    <x v="498"/>
    <s v="GOMUKH BANGHARH KISHANPUR"/>
    <s v="MPG"/>
    <s v="Direct"/>
    <n v="518.70000000000005"/>
    <n v="19311.850000000006"/>
    <n v="104.22"/>
    <n v="3796.7999999999993"/>
    <n v="421.51999999999992"/>
    <n v="15453.159999999998"/>
    <n v="525.7399999999999"/>
    <n v="19249.96"/>
    <n v="19249.96"/>
    <n v="0"/>
    <n v="155.13"/>
    <n v="0"/>
    <n v="0"/>
    <n v="0"/>
    <n v="0"/>
    <n v="3797"/>
    <n v="15299"/>
    <n v="0"/>
    <n v="61"/>
    <n v="0"/>
    <n v="135.00051686909583"/>
    <n v="74.100000000000009"/>
    <n v="3.2047680569187663E-3"/>
    <n v="14"/>
    <m/>
    <s v="Musrigharari"/>
    <m/>
    <n v="0"/>
  </r>
  <r>
    <s v="Munger"/>
    <s v="17-23 Jul"/>
    <n v="1013"/>
    <s v="Musrigharari"/>
    <x v="499"/>
    <s v="Gomukh Serpur Narsari"/>
    <s v="vlc"/>
    <s v="Indirect"/>
    <n v="202.9"/>
    <n v="7367.55"/>
    <n v="0"/>
    <n v="0"/>
    <n v="0"/>
    <n v="0"/>
    <n v="0"/>
    <n v="0"/>
    <n v="7367.55"/>
    <n v="0"/>
    <n v="0"/>
    <n v="0"/>
    <n v="0"/>
    <n v="0"/>
    <n v="0"/>
    <n v="0"/>
    <n v="0"/>
    <n v="7367.55"/>
    <n v="0"/>
    <n v="0"/>
    <n v="361.00631887629368"/>
    <n v="28.985714285714288"/>
    <n v="0"/>
    <n v="0"/>
    <m/>
    <s v="Musrigharari"/>
    <m/>
    <n v="0"/>
  </r>
  <r>
    <s v="Munger"/>
    <s v="17-23 Jul"/>
    <n v="1013"/>
    <s v="Musrigharari"/>
    <x v="500"/>
    <s v="PARORIYA"/>
    <s v="MPG"/>
    <s v="Direct"/>
    <n v="74.300000000000011"/>
    <n v="2446.69"/>
    <n v="72.72"/>
    <n v="2434.73"/>
    <n v="0.30000000000000004"/>
    <n v="8.76"/>
    <n v="73.02"/>
    <n v="2443.4900000000002"/>
    <n v="2443.4900000000002"/>
    <n v="0"/>
    <n v="8.76"/>
    <n v="0"/>
    <n v="0"/>
    <n v="0"/>
    <n v="0"/>
    <n v="2436"/>
    <n v="0"/>
    <n v="0"/>
    <n v="2"/>
    <n v="0"/>
    <n v="412.08450417227453"/>
    <n v="10.614285714285716"/>
    <n v="1.3078894342968737E-3"/>
    <n v="5"/>
    <m/>
    <s v="Musrigharari"/>
    <m/>
    <n v="0"/>
  </r>
  <r>
    <s v="Munger"/>
    <s v="17-23 Jul"/>
    <n v="1013"/>
    <s v="Musrigharari"/>
    <x v="501"/>
    <s v="JHAKHRA"/>
    <s v="MPG"/>
    <s v="Indirect"/>
    <n v="44.2"/>
    <n v="1562.53"/>
    <n v="0"/>
    <n v="0"/>
    <n v="0"/>
    <n v="0"/>
    <n v="0"/>
    <n v="0"/>
    <n v="1562.53"/>
    <n v="0"/>
    <n v="0"/>
    <n v="0"/>
    <n v="1081"/>
    <n v="0"/>
    <n v="0"/>
    <n v="0"/>
    <n v="0"/>
    <n v="481.53"/>
    <n v="0"/>
    <n v="0"/>
    <n v="463.66840452488685"/>
    <n v="6.3142857142857149"/>
    <n v="0"/>
    <n v="0"/>
    <m/>
    <s v="Musrigharari"/>
    <m/>
    <n v="0"/>
  </r>
  <r>
    <s v="Munger"/>
    <s v="17-23 Jul"/>
    <n v="1013"/>
    <s v="Musrigharari"/>
    <x v="502"/>
    <s v="GOMUKH ANDAHA"/>
    <s v="MPG"/>
    <s v="Direct"/>
    <n v="496"/>
    <n v="18918.03"/>
    <n v="496.51"/>
    <n v="18903.96"/>
    <n v="0"/>
    <n v="0"/>
    <n v="496.51"/>
    <n v="18903.96"/>
    <n v="18903.96"/>
    <n v="0"/>
    <n v="0"/>
    <n v="0"/>
    <n v="666"/>
    <n v="0"/>
    <n v="0"/>
    <n v="18236"/>
    <n v="0"/>
    <n v="0"/>
    <n v="16"/>
    <n v="0"/>
    <n v="155.61605322580644"/>
    <n v="70.857142857142861"/>
    <n v="7.4373494491761086E-4"/>
    <n v="10"/>
    <m/>
    <s v="Musrigharari"/>
    <m/>
    <n v="0"/>
  </r>
  <r>
    <s v="Munger"/>
    <s v="17-23 Jul"/>
    <n v="1013"/>
    <s v="Musrigharari"/>
    <x v="503"/>
    <s v="Gomukha Rohua"/>
    <s v="MPG"/>
    <s v="Direct"/>
    <n v="505.6"/>
    <n v="20964.140000000003"/>
    <n v="462.62"/>
    <n v="19910.28"/>
    <n v="22.32"/>
    <n v="930.46"/>
    <n v="484.94"/>
    <n v="20840.739999999998"/>
    <n v="20840.739999999998"/>
    <n v="0"/>
    <n v="313.07000000000005"/>
    <n v="0"/>
    <n v="0"/>
    <n v="0"/>
    <n v="0"/>
    <n v="19910"/>
    <n v="617"/>
    <n v="0"/>
    <n v="124"/>
    <n v="0"/>
    <n v="161.21158291139241"/>
    <n v="72.228571428571428"/>
    <n v="5.8862419350378826E-3"/>
    <n v="10"/>
    <m/>
    <s v="Musrigharari"/>
    <m/>
    <n v="0"/>
  </r>
  <r>
    <s v="Munger"/>
    <s v="17-23 Jul"/>
    <n v="1013"/>
    <s v="Musrigharari"/>
    <x v="504"/>
    <s v="Gomukha Arniya Ganj"/>
    <s v="MPG"/>
    <s v="Direct"/>
    <n v="2910.5000000000005"/>
    <n v="112484.99999999999"/>
    <n v="1502.8"/>
    <n v="58416.36"/>
    <n v="1408.4999999999998"/>
    <n v="54064.62999999999"/>
    <n v="2911.2999999999997"/>
    <n v="112480.98999999999"/>
    <n v="112480.98999999999"/>
    <n v="0"/>
    <n v="1389.82"/>
    <n v="0"/>
    <n v="0"/>
    <n v="0"/>
    <n v="0"/>
    <n v="58418"/>
    <n v="52674"/>
    <n v="0"/>
    <n v="3"/>
    <s v="Release1"/>
    <n v="0"/>
    <n v="0"/>
    <n v="3.5649197670753982E-5"/>
    <n v="56"/>
    <m/>
    <s v="Musrigharari"/>
    <m/>
    <n v="0"/>
  </r>
  <r>
    <s v="Munger"/>
    <s v="17-23 Jul"/>
    <n v="1013"/>
    <s v="Musrigharari"/>
    <x v="505"/>
    <s v="Gomukha Vishanupatti II"/>
    <s v="MPG"/>
    <s v="Indirect"/>
    <n v="702.40000000000009"/>
    <n v="27306.579999999994"/>
    <n v="0"/>
    <n v="0"/>
    <n v="0"/>
    <n v="0"/>
    <n v="0"/>
    <n v="0"/>
    <n v="27306.579999999994"/>
    <n v="0"/>
    <n v="0"/>
    <n v="0"/>
    <n v="0"/>
    <n v="0"/>
    <n v="0"/>
    <n v="0"/>
    <n v="0"/>
    <n v="27306.579999999994"/>
    <n v="0"/>
    <n v="0"/>
    <n v="0"/>
    <n v="0"/>
    <n v="0"/>
    <n v="0"/>
    <m/>
    <s v="Musrigharari"/>
    <m/>
    <n v="0"/>
  </r>
  <r>
    <s v="Munger"/>
    <s v="17-23 Jul"/>
    <n v="1013"/>
    <s v="Musrigharari"/>
    <x v="506"/>
    <s v="Gomukh Khesarhiya"/>
    <s v="MPG"/>
    <s v="Indirect"/>
    <n v="217.89999999999998"/>
    <n v="9023.6200000000026"/>
    <n v="0"/>
    <n v="0"/>
    <n v="0"/>
    <n v="0"/>
    <n v="0"/>
    <n v="0"/>
    <n v="9023.6200000000026"/>
    <n v="0"/>
    <n v="0"/>
    <n v="0"/>
    <n v="0"/>
    <n v="0"/>
    <n v="0"/>
    <n v="0"/>
    <n v="0"/>
    <n v="9023.6200000000026"/>
    <n v="0"/>
    <n v="0"/>
    <n v="399.29207911886203"/>
    <n v="31.128571428571426"/>
    <n v="0"/>
    <n v="0"/>
    <m/>
    <s v="Musrigharari"/>
    <m/>
    <n v="0"/>
  </r>
  <r>
    <s v="Munger"/>
    <s v="17-23 Jul"/>
    <n v="1013"/>
    <s v="Musrigharari"/>
    <x v="507"/>
    <s v="Harsingpur"/>
    <s v="MPG"/>
    <s v="Indirect"/>
    <n v="427.9"/>
    <n v="14536.32"/>
    <n v="0"/>
    <n v="0"/>
    <n v="0"/>
    <n v="0"/>
    <n v="0"/>
    <n v="0"/>
    <n v="14536.32"/>
    <n v="0"/>
    <n v="0"/>
    <n v="0"/>
    <n v="0"/>
    <n v="0"/>
    <n v="0"/>
    <n v="0"/>
    <n v="0"/>
    <n v="14536.32"/>
    <n v="0"/>
    <n v="0"/>
    <n v="184.8718238840851"/>
    <n v="61.128571428571426"/>
    <n v="0"/>
    <n v="0"/>
    <m/>
    <s v="Musrigharari"/>
    <m/>
    <n v="0"/>
  </r>
  <r>
    <s v="Munger"/>
    <s v="17-23 Jul"/>
    <n v="1013"/>
    <s v="Musrigharari"/>
    <x v="508"/>
    <s v="Gomukh ID Mahathi"/>
    <s v="vlc"/>
    <s v="Indirect"/>
    <n v="551.39999999999986"/>
    <n v="21257.559999999998"/>
    <n v="0"/>
    <n v="0"/>
    <n v="0"/>
    <n v="0"/>
    <n v="0"/>
    <n v="0"/>
    <n v="21257.559999999998"/>
    <n v="0"/>
    <n v="0"/>
    <n v="0"/>
    <n v="0"/>
    <n v="0"/>
    <n v="0"/>
    <n v="0"/>
    <n v="0"/>
    <n v="21257.559999999998"/>
    <n v="0"/>
    <n v="0"/>
    <n v="114.57647500906789"/>
    <n v="78.771428571428558"/>
    <n v="0"/>
    <n v="0"/>
    <m/>
    <s v="Musrigharari"/>
    <m/>
    <n v="0"/>
  </r>
  <r>
    <s v="Munger"/>
    <s v="17-23 Jul"/>
    <n v="1013"/>
    <s v="Musrigharari"/>
    <x v="509"/>
    <s v="MURTUJAPUR"/>
    <s v="MPG"/>
    <s v="Indirect"/>
    <n v="412.80000000000007"/>
    <n v="17566.370000000003"/>
    <n v="0"/>
    <n v="0"/>
    <n v="0"/>
    <n v="0"/>
    <n v="0"/>
    <n v="0"/>
    <n v="17566.370000000003"/>
    <n v="0"/>
    <n v="0"/>
    <n v="0"/>
    <n v="3100"/>
    <n v="0"/>
    <n v="0"/>
    <n v="0"/>
    <n v="0"/>
    <n v="14466.370000000003"/>
    <n v="0"/>
    <n v="0"/>
    <n v="244.43127248062009"/>
    <n v="58.971428571428582"/>
    <n v="0"/>
    <n v="0"/>
    <m/>
    <s v="Musrigharari"/>
    <m/>
    <n v="0"/>
  </r>
  <r>
    <s v="Munger"/>
    <s v="17-23 Jul"/>
    <n v="1013"/>
    <s v="Musrigharari"/>
    <x v="510"/>
    <s v="Rasalpur"/>
    <s v="MPG"/>
    <s v="Direct"/>
    <n v="263.90000000000003"/>
    <n v="11764.179999999998"/>
    <n v="57.190000000000012"/>
    <n v="2925.8199999999997"/>
    <n v="188.22000000000003"/>
    <n v="8809.1700000000019"/>
    <n v="245.41000000000003"/>
    <n v="11734.990000000002"/>
    <n v="11734.990000000002"/>
    <n v="0"/>
    <n v="130.56"/>
    <n v="0"/>
    <n v="0"/>
    <n v="500"/>
    <n v="0"/>
    <n v="2426"/>
    <n v="8679"/>
    <n v="0"/>
    <n v="29"/>
    <n v="0"/>
    <n v="388.81082970822268"/>
    <n v="37.700000000000003"/>
    <n v="2.481260912362517E-3"/>
    <n v="8"/>
    <m/>
    <s v="Musrigharari"/>
    <m/>
    <n v="500"/>
  </r>
  <r>
    <s v="Munger"/>
    <s v="17-23 Jul"/>
    <n v="1013"/>
    <s v="Musrigharari"/>
    <x v="511"/>
    <s v="Gomukh VISHNUPATTI"/>
    <s v="MPG"/>
    <s v="Indirect"/>
    <n v="50.7"/>
    <n v="1974.75"/>
    <n v="0"/>
    <n v="0"/>
    <n v="0"/>
    <n v="0"/>
    <n v="0"/>
    <n v="0"/>
    <n v="1974.75"/>
    <n v="0"/>
    <n v="0"/>
    <n v="0"/>
    <n v="0"/>
    <n v="0"/>
    <n v="0"/>
    <n v="0"/>
    <n v="0"/>
    <n v="1974.75"/>
    <n v="0"/>
    <n v="0"/>
    <n v="505.8008579881656"/>
    <n v="7.2428571428571429"/>
    <n v="0"/>
    <n v="0"/>
    <m/>
    <s v="Musrigharari"/>
    <m/>
    <n v="0"/>
  </r>
  <r>
    <s v="Munger"/>
    <s v="17-23 Jul"/>
    <n v="1013"/>
    <s v="Musrigharari"/>
    <x v="512"/>
    <s v="Chhuchhipur                                                                                         "/>
    <s v="MPG"/>
    <s v="Direct"/>
    <n v="316.10000000000002"/>
    <n v="11429.86"/>
    <n v="294"/>
    <n v="10598.8"/>
    <n v="22.2"/>
    <n v="830.95"/>
    <n v="316.2"/>
    <n v="11429.75"/>
    <n v="11429.75"/>
    <n v="0"/>
    <n v="26.2"/>
    <n v="0"/>
    <n v="0"/>
    <n v="0"/>
    <n v="0"/>
    <n v="10598"/>
    <n v="806"/>
    <n v="0"/>
    <n v="0"/>
    <n v="0"/>
    <n v="277.62880442897813"/>
    <n v="45.157142857142858"/>
    <n v="9.6239149036455457E-6"/>
    <n v="14"/>
    <m/>
    <s v="Musrigharari"/>
    <m/>
    <n v="0"/>
  </r>
  <r>
    <s v="Munger"/>
    <s v="17-23 Jul"/>
    <n v="1013"/>
    <s v="Musrigharari"/>
    <x v="513"/>
    <s v="Gomukh ID Sararanjan"/>
    <s v="vlc"/>
    <s v="Indirect"/>
    <n v="141.1"/>
    <n v="4662.9599999999991"/>
    <n v="0"/>
    <n v="0"/>
    <n v="0"/>
    <n v="0"/>
    <n v="0"/>
    <n v="0"/>
    <n v="4662.9599999999991"/>
    <n v="0"/>
    <n v="0"/>
    <n v="0"/>
    <n v="3300"/>
    <n v="0"/>
    <n v="0"/>
    <n v="0"/>
    <n v="0"/>
    <n v="1362.9599999999991"/>
    <n v="0"/>
    <n v="0"/>
    <n v="369.40160793763283"/>
    <n v="20.157142857142855"/>
    <n v="0"/>
    <n v="0"/>
    <m/>
    <s v="Musrigharari"/>
    <m/>
    <n v="0"/>
  </r>
  <r>
    <s v="Munger"/>
    <s v="17-23 Jul"/>
    <n v="1013"/>
    <s v="Musrigharari"/>
    <x v="514"/>
    <s v="Gomukh Soharthi Purvi Tola                                                                          "/>
    <s v="MPG"/>
    <s v="Direct"/>
    <n v="52.20000000000001"/>
    <n v="2244.6999999999998"/>
    <n v="46.8"/>
    <n v="2001.4500000000003"/>
    <n v="4.5"/>
    <n v="167.76"/>
    <n v="51.3"/>
    <n v="2169.21"/>
    <n v="2169.21"/>
    <n v="0"/>
    <n v="0"/>
    <n v="0"/>
    <n v="0"/>
    <n v="500"/>
    <n v="0"/>
    <n v="1501"/>
    <n v="168"/>
    <n v="0"/>
    <n v="76"/>
    <n v="0"/>
    <n v="557.13281992337147"/>
    <n v="7.4571428571428582"/>
    <n v="3.3630329219940212E-2"/>
    <n v="2"/>
    <m/>
    <s v="Musrigharari"/>
    <m/>
    <n v="500"/>
  </r>
  <r>
    <s v="Munger"/>
    <s v="17-23 Jul"/>
    <n v="1013"/>
    <s v="Musrigharari"/>
    <x v="515"/>
    <s v="Birnama"/>
    <s v="vlc"/>
    <s v="Indirect"/>
    <n v="847.1"/>
    <n v="23632.29"/>
    <n v="0"/>
    <n v="0"/>
    <n v="0"/>
    <n v="0"/>
    <n v="0"/>
    <n v="0"/>
    <n v="23632.29"/>
    <n v="0"/>
    <n v="0"/>
    <n v="0"/>
    <n v="0"/>
    <n v="0"/>
    <n v="0"/>
    <n v="0"/>
    <n v="0"/>
    <n v="23632.29"/>
    <n v="0"/>
    <n v="0"/>
    <n v="0"/>
    <n v="0"/>
    <n v="0"/>
    <n v="0"/>
    <m/>
    <s v="Musrigharari"/>
    <m/>
    <n v="0"/>
  </r>
  <r>
    <s v="Munger"/>
    <s v="17-23 Jul"/>
    <n v="1013"/>
    <s v="Musrigharari"/>
    <x v="516"/>
    <s v="Maraie - Rubi"/>
    <s v="vlc"/>
    <s v="Indirect"/>
    <n v="24"/>
    <n v="934.94"/>
    <n v="0"/>
    <n v="0"/>
    <n v="0"/>
    <n v="0"/>
    <n v="0"/>
    <n v="0"/>
    <n v="934.94"/>
    <n v="0"/>
    <n v="0"/>
    <n v="0"/>
    <n v="0"/>
    <n v="0"/>
    <n v="0"/>
    <n v="0"/>
    <n v="0"/>
    <n v="934.94"/>
    <n v="0"/>
    <n v="0"/>
    <n v="526.68286666666677"/>
    <n v="3.4285714285714284"/>
    <n v="0"/>
    <n v="0"/>
    <m/>
    <s v="Musrigharari"/>
    <m/>
    <n v="0"/>
  </r>
  <r>
    <s v="Munger"/>
    <s v="17-23 Jul"/>
    <n v="1013"/>
    <s v="Musrigharari"/>
    <x v="517"/>
    <s v="Arniya East Tola - Seema"/>
    <s v="vlc"/>
    <s v="Indirect"/>
    <n v="67.499999999999986"/>
    <n v="2450.85"/>
    <n v="0"/>
    <n v="0"/>
    <n v="0"/>
    <n v="0"/>
    <n v="0"/>
    <n v="0"/>
    <n v="2450.85"/>
    <n v="0"/>
    <n v="0"/>
    <n v="0"/>
    <n v="0"/>
    <n v="0"/>
    <n v="0"/>
    <n v="0"/>
    <n v="0"/>
    <n v="2450.85"/>
    <n v="0"/>
    <n v="0"/>
    <n v="459.30744444444451"/>
    <n v="9.6428571428571406"/>
    <n v="0"/>
    <n v="0"/>
    <m/>
    <s v="Musrigharari"/>
    <m/>
    <n v="0"/>
  </r>
  <r>
    <s v="Munger"/>
    <s v="17-23 Jul"/>
    <n v="1013"/>
    <s v="Musrigharari"/>
    <x v="518"/>
    <s v="Lakshmipur Western Tol - Rajeev"/>
    <s v="MPG"/>
    <s v="Indirect"/>
    <n v="2205.9"/>
    <n v="99338.810000000012"/>
    <n v="0"/>
    <n v="0"/>
    <n v="0"/>
    <n v="0"/>
    <n v="0"/>
    <n v="0"/>
    <n v="99338.810000000012"/>
    <n v="0"/>
    <n v="0"/>
    <n v="0"/>
    <n v="0"/>
    <n v="0"/>
    <n v="0"/>
    <n v="0"/>
    <n v="0"/>
    <n v="99338.810000000012"/>
    <n v="0"/>
    <n v="0"/>
    <n v="0"/>
    <n v="0"/>
    <n v="0"/>
    <n v="0"/>
    <m/>
    <s v="Musrigharari"/>
    <m/>
    <n v="0"/>
  </r>
  <r>
    <s v="Munger"/>
    <s v="17-23 Jul"/>
    <n v="1013"/>
    <s v="Musrigharari"/>
    <x v="519"/>
    <s v="Jahangipur Salkhanni"/>
    <s v="MPG"/>
    <s v="Direct"/>
    <n v="319.79999999999995"/>
    <n v="14207.089999999998"/>
    <n v="233.01"/>
    <n v="10958.08"/>
    <n v="50.16"/>
    <n v="3282.8700000000003"/>
    <n v="283.16999999999996"/>
    <n v="14240.95"/>
    <n v="14207.089999999998"/>
    <n v="0"/>
    <n v="0"/>
    <n v="33.860000000002401"/>
    <n v="2800"/>
    <n v="0"/>
    <n v="0"/>
    <n v="8124"/>
    <n v="3283"/>
    <n v="0"/>
    <n v="0"/>
    <n v="0"/>
    <n v="337.80710556597882"/>
    <n v="45.685714285714276"/>
    <n v="-2.3833170621149302E-3"/>
    <n v="9"/>
    <m/>
    <s v="Musrigharari"/>
    <m/>
    <n v="0"/>
  </r>
  <r>
    <s v="Munger"/>
    <s v="17-23 Jul"/>
    <n v="1013"/>
    <s v="Musrigharari"/>
    <x v="520"/>
    <s v="Sekhpura"/>
    <s v="MPG"/>
    <s v="Direct"/>
    <n v="249.3"/>
    <n v="9804.0099999999984"/>
    <n v="250.80999999999997"/>
    <n v="9777.98"/>
    <n v="2.21"/>
    <n v="83.759999999999991"/>
    <n v="253.01999999999998"/>
    <n v="9861.74"/>
    <n v="9804.0099999999984"/>
    <n v="0"/>
    <n v="83.759999999999991"/>
    <n v="57.730000000001382"/>
    <n v="0"/>
    <n v="0"/>
    <n v="0"/>
    <n v="9720"/>
    <n v="0"/>
    <n v="0"/>
    <n v="0"/>
    <n v="0"/>
    <n v="354.48594520657832"/>
    <n v="35.614285714285714"/>
    <n v="-5.8884068865700254E-3"/>
    <n v="7"/>
    <m/>
    <s v="Musrigharari"/>
    <m/>
    <n v="0"/>
  </r>
  <r>
    <s v="Munger"/>
    <s v="17-23 Jul"/>
    <n v="1013"/>
    <s v="Musrigharari"/>
    <x v="521"/>
    <s v="Songar"/>
    <s v="MPG"/>
    <s v="Direct"/>
    <n v="980.8"/>
    <n v="35705.18"/>
    <n v="822.7700000000001"/>
    <n v="30592.87"/>
    <n v="147.13"/>
    <n v="5109.6000000000004"/>
    <n v="969.90000000000009"/>
    <n v="35702.47"/>
    <n v="35702.47"/>
    <n v="0"/>
    <n v="245.39000000000001"/>
    <n v="0"/>
    <n v="6200"/>
    <n v="0"/>
    <n v="0"/>
    <n v="24393"/>
    <n v="4865"/>
    <n v="0"/>
    <n v="2"/>
    <n v="0"/>
    <n v="0"/>
    <n v="0"/>
    <n v="7.5899351298582644E-5"/>
    <n v="25"/>
    <m/>
    <s v="Musrigharari"/>
    <m/>
    <n v="0"/>
  </r>
  <r>
    <s v="Munger"/>
    <s v="17-23 Jul"/>
    <n v="1013"/>
    <s v="Musrigharari"/>
    <x v="522"/>
    <s v="Rampur Maheshpur"/>
    <s v="MPG"/>
    <s v="Direct"/>
    <n v="736.5"/>
    <n v="30212.109999999993"/>
    <n v="217.23000000000002"/>
    <n v="10038.759999999998"/>
    <n v="520.79999999999995"/>
    <n v="20168.760000000002"/>
    <n v="738.03"/>
    <n v="30207.52"/>
    <n v="30207.52"/>
    <n v="0"/>
    <n v="0"/>
    <n v="0"/>
    <n v="0"/>
    <n v="0"/>
    <n v="0"/>
    <n v="10039"/>
    <n v="20168"/>
    <n v="0"/>
    <n v="5"/>
    <n v="0"/>
    <n v="0"/>
    <n v="0"/>
    <n v="1.519258337134636E-4"/>
    <n v="15"/>
    <m/>
    <s v="Musrigharari"/>
    <m/>
    <n v="0"/>
  </r>
  <r>
    <s v="Munger"/>
    <s v="17-23 Jul"/>
    <n v="1013"/>
    <s v="Musrigharari"/>
    <x v="523"/>
    <s v="Godhiyari"/>
    <s v="vlc"/>
    <s v="Indirect"/>
    <n v="1475.1"/>
    <n v="49931.999999999993"/>
    <n v="0"/>
    <n v="0"/>
    <n v="0"/>
    <n v="0"/>
    <n v="0"/>
    <n v="0"/>
    <n v="49931.999999999993"/>
    <n v="0"/>
    <n v="0"/>
    <n v="0"/>
    <n v="0"/>
    <n v="0"/>
    <n v="0"/>
    <n v="0"/>
    <n v="0"/>
    <n v="49931.999999999993"/>
    <n v="0"/>
    <n v="0"/>
    <n v="0"/>
    <n v="0"/>
    <n v="0"/>
    <n v="0"/>
    <m/>
    <s v="Musrigharari"/>
    <m/>
    <n v="0"/>
  </r>
  <r>
    <s v="Munger"/>
    <s v="17-23 Jul"/>
    <n v="1013"/>
    <s v="Musrigharari"/>
    <x v="524"/>
    <s v="Hussainipur Gobindpur"/>
    <s v="vlc"/>
    <s v="Indirect"/>
    <n v="696.3"/>
    <n v="28213.14"/>
    <n v="0"/>
    <n v="0"/>
    <n v="0"/>
    <n v="0"/>
    <n v="0"/>
    <n v="0"/>
    <n v="28213.14"/>
    <n v="0"/>
    <n v="0"/>
    <n v="0"/>
    <n v="0"/>
    <n v="0"/>
    <n v="0"/>
    <n v="0"/>
    <n v="0"/>
    <n v="28213.14"/>
    <n v="0"/>
    <n v="0"/>
    <n v="2.9983805256355622"/>
    <n v="99.471428571428561"/>
    <n v="0"/>
    <n v="0"/>
    <m/>
    <s v="Musrigharari"/>
    <m/>
    <n v="0"/>
  </r>
  <r>
    <s v="Munger"/>
    <s v="17-23 Jul"/>
    <n v="1013"/>
    <s v="Musrigharari"/>
    <x v="525"/>
    <s v="Jhakhra-Rambilash"/>
    <s v="vlc"/>
    <s v="Indirect"/>
    <n v="551.6"/>
    <n v="22046.9"/>
    <n v="0"/>
    <n v="0"/>
    <n v="0"/>
    <n v="0"/>
    <n v="0"/>
    <n v="0"/>
    <n v="22046.9"/>
    <n v="0"/>
    <n v="0"/>
    <n v="0"/>
    <n v="0"/>
    <n v="0"/>
    <n v="0"/>
    <n v="0"/>
    <n v="0"/>
    <n v="22046.9"/>
    <n v="0"/>
    <n v="0"/>
    <n v="118.62798984771577"/>
    <n v="78.8"/>
    <n v="0"/>
    <n v="0"/>
    <m/>
    <s v="Musrigharari"/>
    <m/>
    <n v="0"/>
  </r>
  <r>
    <s v="Munger"/>
    <s v="17-23 Jul"/>
    <n v="1013"/>
    <s v="Musrigharari"/>
    <x v="526"/>
    <s v="Dagarua"/>
    <s v="MPG"/>
    <s v="Direct"/>
    <n v="742.7"/>
    <n v="27619.759999999998"/>
    <n v="412.46999999999997"/>
    <n v="14941.439999999999"/>
    <n v="325.62"/>
    <n v="12667.9"/>
    <n v="738.08999999999992"/>
    <n v="27609.339999999997"/>
    <n v="27609.339999999997"/>
    <n v="0"/>
    <n v="30.1"/>
    <n v="0"/>
    <n v="1550"/>
    <n v="0"/>
    <n v="0"/>
    <n v="13392"/>
    <n v="12638"/>
    <n v="0"/>
    <n v="10"/>
    <n v="0"/>
    <n v="0"/>
    <n v="0"/>
    <n v="3.7726613120468434E-4"/>
    <n v="18"/>
    <m/>
    <s v="Musrigharari"/>
    <m/>
    <n v="0"/>
  </r>
  <r>
    <s v="Munger"/>
    <s v="17-23 Jul"/>
    <n v="1013"/>
    <s v="Musrigharari"/>
    <x v="527"/>
    <s v="Chakmilki"/>
    <s v="MPG"/>
    <s v="Direct"/>
    <n v="224.29999999999998"/>
    <n v="8703.9600000000009"/>
    <n v="104.17"/>
    <n v="4167.74"/>
    <n v="125.17"/>
    <n v="4451.68"/>
    <n v="229.34"/>
    <n v="8619.42"/>
    <n v="8619.42"/>
    <n v="0"/>
    <n v="160.76999999999998"/>
    <n v="0"/>
    <n v="0"/>
    <n v="0"/>
    <n v="0"/>
    <n v="4168"/>
    <n v="4291"/>
    <n v="0"/>
    <n v="84"/>
    <n v="0"/>
    <n v="369.19070637539016"/>
    <n v="32.042857142857137"/>
    <n v="9.7128203714172481E-3"/>
    <n v="10"/>
    <m/>
    <s v="Musrigharari"/>
    <m/>
    <n v="0"/>
  </r>
  <r>
    <s v="Munger"/>
    <s v="17-23 Jul"/>
    <n v="1013"/>
    <s v="Musrigharari"/>
    <x v="528"/>
    <s v="Gomukh Akaha"/>
    <s v="MPG"/>
    <s v="Direct"/>
    <n v="356.20000000000005"/>
    <n v="13068.320000000002"/>
    <n v="302.36"/>
    <n v="10514.49"/>
    <n v="63.050000000000004"/>
    <n v="2544.2799999999997"/>
    <n v="365.41"/>
    <n v="13058.77"/>
    <n v="13058.77"/>
    <n v="0"/>
    <n v="50.850000000000009"/>
    <n v="0"/>
    <n v="0"/>
    <n v="500"/>
    <n v="0"/>
    <n v="10015"/>
    <n v="2494"/>
    <n v="0"/>
    <n v="8"/>
    <n v="0"/>
    <n v="252.26773812464904"/>
    <n v="50.885714285714293"/>
    <n v="7.3077488154568379E-4"/>
    <n v="8"/>
    <m/>
    <s v="Musrigharari"/>
    <m/>
    <n v="500"/>
  </r>
  <r>
    <s v="Munger"/>
    <s v="17-23 Jul"/>
    <n v="1013"/>
    <s v="Musrigharari"/>
    <x v="529"/>
    <s v="Nauachak-Pankaj"/>
    <s v="vlc"/>
    <s v="Indirect"/>
    <n v="35"/>
    <n v="1629.8999999999999"/>
    <n v="0"/>
    <n v="0"/>
    <n v="0"/>
    <n v="0"/>
    <n v="0"/>
    <n v="0"/>
    <n v="1629.8999999999999"/>
    <n v="0"/>
    <n v="0"/>
    <n v="0"/>
    <n v="0"/>
    <n v="0"/>
    <n v="0"/>
    <n v="0"/>
    <n v="0"/>
    <n v="1629.8999999999999"/>
    <n v="0"/>
    <n v="0"/>
    <n v="619.36199999999997"/>
    <n v="5"/>
    <n v="0"/>
    <n v="0"/>
    <m/>
    <s v="Musrigharari"/>
    <m/>
    <n v="0"/>
  </r>
  <r>
    <s v="Munger"/>
    <s v="17-23 Jul"/>
    <n v="1013"/>
    <s v="Musrigharari"/>
    <x v="530"/>
    <s v="Jitwarpur-Manisha"/>
    <s v="vlc"/>
    <s v="Indirect"/>
    <n v="92.5"/>
    <n v="3474.6899999999996"/>
    <n v="0"/>
    <n v="0"/>
    <n v="0"/>
    <n v="0"/>
    <n v="0"/>
    <n v="0"/>
    <n v="3474.6899999999996"/>
    <n v="0"/>
    <n v="0"/>
    <n v="0"/>
    <n v="0"/>
    <n v="0"/>
    <n v="0"/>
    <n v="0"/>
    <n v="0"/>
    <n v="3474.6899999999996"/>
    <n v="0"/>
    <n v="0"/>
    <n v="456.40522702702691"/>
    <n v="13.214285714285714"/>
    <n v="0"/>
    <n v="0"/>
    <m/>
    <s v="Musrigharari"/>
    <m/>
    <n v="0"/>
  </r>
  <r>
    <s v="Munger"/>
    <s v="17-23 Jul"/>
    <n v="1013"/>
    <s v="Musrigharari"/>
    <x v="531"/>
    <s v="Gomukh Sirdulpur 2"/>
    <s v="vlc"/>
    <s v="Indirect"/>
    <n v="1171.5000000000002"/>
    <n v="37534.14"/>
    <n v="0"/>
    <n v="0"/>
    <n v="0"/>
    <n v="0"/>
    <n v="0"/>
    <n v="0"/>
    <n v="37534.14"/>
    <n v="0"/>
    <n v="0"/>
    <n v="0"/>
    <n v="0"/>
    <n v="0"/>
    <n v="0"/>
    <n v="0"/>
    <n v="0"/>
    <n v="37534.14"/>
    <n v="0"/>
    <n v="0"/>
    <n v="0"/>
    <n v="0"/>
    <n v="0"/>
    <n v="0"/>
    <m/>
    <s v="Musrigharari"/>
    <m/>
    <n v="0"/>
  </r>
  <r>
    <s v="Munger"/>
    <s v="17-23 Jul"/>
    <n v="1013"/>
    <s v="Musrigharari"/>
    <x v="532"/>
    <s v="Gomukh Patepur"/>
    <s v="vlc"/>
    <s v="Indirect"/>
    <n v="272.60000000000002"/>
    <n v="9366.93"/>
    <n v="0"/>
    <n v="0"/>
    <n v="0"/>
    <n v="0"/>
    <n v="0"/>
    <n v="0"/>
    <n v="9366.93"/>
    <n v="0"/>
    <n v="0"/>
    <n v="0"/>
    <n v="1400"/>
    <n v="0"/>
    <n v="0"/>
    <n v="0"/>
    <n v="0"/>
    <n v="7966.93"/>
    <n v="0"/>
    <n v="0"/>
    <n v="293.72163477622888"/>
    <n v="38.942857142857143"/>
    <n v="0"/>
    <n v="0"/>
    <m/>
    <s v="Musrigharari"/>
    <m/>
    <n v="0"/>
  </r>
  <r>
    <s v="Munger"/>
    <s v="17-23 Jul"/>
    <n v="1013"/>
    <s v="Musrigharari"/>
    <x v="980"/>
    <s v="Gomukh Akowahi Purvi Tol"/>
    <s v="MPG"/>
    <s v="Direct"/>
    <n v="22.4"/>
    <n v="853.46"/>
    <n v="22.299999999999997"/>
    <n v="851.71"/>
    <n v="0"/>
    <n v="0"/>
    <n v="22.299999999999997"/>
    <n v="851.71"/>
    <n v="851.71"/>
    <n v="0"/>
    <n v="0"/>
    <n v="0"/>
    <n v="0"/>
    <n v="0"/>
    <n v="0"/>
    <n v="852"/>
    <n v="0"/>
    <n v="0"/>
    <n v="1"/>
    <n v="0"/>
    <n v="516.3433"/>
    <n v="3.1999999999999997"/>
    <n v="2.0504768823377778E-3"/>
    <n v="1"/>
    <m/>
    <s v="Musrigharari"/>
    <m/>
    <n v="0"/>
  </r>
  <r>
    <s v="Munger"/>
    <s v="17-23 Jul"/>
    <n v="1013"/>
    <s v="Musrigharari"/>
    <x v="533"/>
    <s v="Gomukh Sherpur Narsari East"/>
    <s v="MPG"/>
    <s v="Direct"/>
    <n v="238.9"/>
    <n v="10431.32"/>
    <n v="181.81"/>
    <n v="7402.07"/>
    <n v="56.730000000000004"/>
    <n v="3018.25"/>
    <n v="238.54000000000002"/>
    <n v="10420.32"/>
    <n v="10420.32"/>
    <n v="0"/>
    <n v="0"/>
    <n v="0"/>
    <n v="1238"/>
    <n v="0"/>
    <n v="0"/>
    <n v="6164"/>
    <n v="3019"/>
    <n v="0"/>
    <n v="10"/>
    <n v="0"/>
    <n v="402.66903742151527"/>
    <n v="34.128571428571426"/>
    <n v="1.0545165904219218E-3"/>
    <n v="7"/>
    <m/>
    <s v="Musrigharari"/>
    <m/>
    <n v="0"/>
  </r>
  <r>
    <s v="Munger"/>
    <s v="17-23 Jul"/>
    <n v="1013"/>
    <s v="Musrigharari"/>
    <x v="534"/>
    <s v="Gomukh Karhatti"/>
    <s v="MPG"/>
    <s v="Direct"/>
    <n v="76.999999999999986"/>
    <n v="2387.75"/>
    <n v="54.1"/>
    <n v="1729.4199999999998"/>
    <n v="0"/>
    <n v="0"/>
    <n v="54.1"/>
    <n v="1729.4199999999998"/>
    <n v="1729.4199999999998"/>
    <n v="0"/>
    <n v="0"/>
    <n v="0"/>
    <n v="0"/>
    <n v="500"/>
    <n v="0"/>
    <n v="1230"/>
    <n v="0"/>
    <n v="0"/>
    <n v="658"/>
    <n v="0"/>
    <n v="386.38136363636369"/>
    <n v="10.999999999999998"/>
    <n v="0.27571144382787149"/>
    <n v="2"/>
    <m/>
    <s v="Musrigharari"/>
    <m/>
    <n v="500"/>
  </r>
  <r>
    <s v="Munger"/>
    <s v="17-23 Jul"/>
    <n v="1013"/>
    <s v="Musrigharari"/>
    <x v="535"/>
    <s v="Gomukh Gaopur Bhagwatpur"/>
    <s v="MPG"/>
    <s v="Direct"/>
    <n v="199.2"/>
    <n v="10424.58"/>
    <n v="204.35"/>
    <n v="10552.24"/>
    <n v="0.02"/>
    <n v="0.98"/>
    <n v="204.37"/>
    <n v="10553.22"/>
    <n v="10424.58"/>
    <n v="0"/>
    <n v="0.98"/>
    <n v="128.63999999999942"/>
    <n v="0"/>
    <n v="0"/>
    <n v="0"/>
    <n v="10424"/>
    <n v="0"/>
    <n v="0"/>
    <n v="0"/>
    <n v="0"/>
    <n v="524.15960481927721"/>
    <n v="28.457142857142856"/>
    <n v="-1.2340065499041632E-2"/>
    <n v="5"/>
    <m/>
    <s v="Musrigharari"/>
    <m/>
    <n v="0"/>
  </r>
  <r>
    <s v="Munger"/>
    <s v="17-23 Jul"/>
    <n v="1013"/>
    <s v="Musrigharari"/>
    <x v="536"/>
    <s v="Gomukh Rajwara"/>
    <s v="MPG"/>
    <s v="Direct"/>
    <n v="88.299999999999983"/>
    <n v="3498.5299999999997"/>
    <n v="88.99"/>
    <n v="3420.71"/>
    <n v="0.1"/>
    <n v="3.89"/>
    <n v="89.089999999999989"/>
    <n v="3424.6"/>
    <n v="3424.6"/>
    <n v="0"/>
    <n v="3.89"/>
    <n v="0"/>
    <n v="0"/>
    <n v="500"/>
    <n v="0"/>
    <n v="2921"/>
    <n v="0"/>
    <n v="0"/>
    <n v="74"/>
    <n v="0"/>
    <n v="484.72271823329567"/>
    <n v="12.614285714285712"/>
    <n v="2.1131732470494706E-2"/>
    <n v="4"/>
    <m/>
    <s v="Musrigharari"/>
    <m/>
    <n v="500"/>
  </r>
  <r>
    <s v="Munger"/>
    <s v="17-23 Jul"/>
    <n v="1061"/>
    <s v="Mahua BMC"/>
    <x v="537"/>
    <s v="Gomukh Karhatiya Bujurg"/>
    <s v="vlc"/>
    <s v="Indirect"/>
    <n v="606.6"/>
    <n v="25669.919999999991"/>
    <n v="0"/>
    <n v="0"/>
    <n v="0"/>
    <n v="0"/>
    <n v="0"/>
    <n v="0"/>
    <n v="25669.919999999991"/>
    <n v="0"/>
    <n v="0"/>
    <n v="0"/>
    <n v="0"/>
    <n v="0"/>
    <n v="0"/>
    <n v="0"/>
    <n v="0"/>
    <n v="25669.919999999991"/>
    <n v="0"/>
    <n v="0"/>
    <n v="79.049473392680483"/>
    <n v="86.657142857142858"/>
    <n v="0"/>
    <n v="0"/>
    <m/>
    <s v="Mahua BMC"/>
    <m/>
    <n v="0"/>
  </r>
  <r>
    <s v="Munger"/>
    <s v="17-23 Jul"/>
    <n v="1013"/>
    <s v="Musrigharari"/>
    <x v="538"/>
    <s v="GOMUKH NIKASPUR"/>
    <s v="vlc"/>
    <s v="Indirect"/>
    <n v="157.69999999999999"/>
    <n v="5838.8600000000006"/>
    <n v="0"/>
    <n v="0"/>
    <n v="0"/>
    <n v="0"/>
    <n v="0"/>
    <n v="0"/>
    <n v="5838.8600000000006"/>
    <n v="0"/>
    <n v="0"/>
    <n v="0"/>
    <n v="0"/>
    <n v="0"/>
    <n v="0"/>
    <n v="0"/>
    <n v="0"/>
    <n v="5838.8600000000006"/>
    <n v="0"/>
    <n v="0"/>
    <n v="401.57435358275217"/>
    <n v="22.528571428571428"/>
    <n v="0"/>
    <n v="0"/>
    <m/>
    <s v="Musrigharari"/>
    <m/>
    <n v="0"/>
  </r>
  <r>
    <s v="Munger"/>
    <s v="17-23 Jul"/>
    <n v="1013"/>
    <s v="Musrigharari"/>
    <x v="1017"/>
    <s v="NAUACHAUK W-04"/>
    <s v="vlc"/>
    <s v="Indirect"/>
    <n v="20.6"/>
    <n v="849.61000000000013"/>
    <n v="0"/>
    <n v="0"/>
    <n v="0"/>
    <n v="0"/>
    <n v="0"/>
    <n v="0"/>
    <n v="849.61000000000013"/>
    <n v="0"/>
    <n v="0"/>
    <n v="0"/>
    <n v="0"/>
    <n v="0"/>
    <n v="0"/>
    <n v="0"/>
    <n v="0"/>
    <n v="849.61000000000013"/>
    <n v="0"/>
    <n v="0"/>
    <n v="560.41265436893207"/>
    <n v="2.9428571428571431"/>
    <n v="0"/>
    <n v="0"/>
    <m/>
    <s v="Musrigharari"/>
    <m/>
    <n v="0"/>
  </r>
  <r>
    <s v="Munger"/>
    <s v="17-23 Jul"/>
    <n v="1013"/>
    <s v="Musrigharari"/>
    <x v="539"/>
    <s v="Gomukh Morwa Mohanpur"/>
    <s v="vlc"/>
    <s v="Indirect"/>
    <n v="283.40000000000003"/>
    <n v="12432.219999999998"/>
    <n v="0"/>
    <n v="0"/>
    <n v="0"/>
    <n v="0"/>
    <n v="0"/>
    <n v="0"/>
    <n v="12432.219999999998"/>
    <n v="0"/>
    <n v="0"/>
    <n v="0"/>
    <n v="0"/>
    <n v="0"/>
    <n v="0"/>
    <n v="0"/>
    <n v="0"/>
    <n v="12432.219999999998"/>
    <n v="0"/>
    <n v="0"/>
    <n v="365.50902272406478"/>
    <n v="40.485714285714288"/>
    <n v="0"/>
    <n v="0"/>
    <m/>
    <s v="Musrigharari"/>
    <m/>
    <n v="0"/>
  </r>
  <r>
    <s v="Munger"/>
    <s v="17-23 Jul"/>
    <n v="1013"/>
    <s v="Musrigharari"/>
    <x v="540"/>
    <s v="GOMUKH Laguniya"/>
    <s v="vlc"/>
    <s v="Indirect"/>
    <n v="134"/>
    <n v="5311.74"/>
    <n v="0"/>
    <n v="0"/>
    <n v="0"/>
    <n v="0"/>
    <n v="0"/>
    <n v="0"/>
    <n v="5311.74"/>
    <n v="0"/>
    <n v="0"/>
    <n v="0"/>
    <n v="0"/>
    <n v="0"/>
    <n v="0"/>
    <n v="0"/>
    <n v="0"/>
    <n v="5311.74"/>
    <n v="0"/>
    <n v="0"/>
    <n v="448.7231104477612"/>
    <n v="19.142857142857142"/>
    <n v="0"/>
    <n v="0"/>
    <m/>
    <s v="Musrigharari"/>
    <m/>
    <n v="0"/>
  </r>
  <r>
    <s v="Munger"/>
    <s v="17-23 Jul"/>
    <n v="1013"/>
    <s v="Musrigharari"/>
    <x v="541"/>
    <s v="GOMUKH MAHINDWARA"/>
    <s v="vlc"/>
    <s v="Indirect"/>
    <n v="290.99999999999994"/>
    <n v="11454.140000000001"/>
    <n v="0"/>
    <n v="0"/>
    <n v="0"/>
    <n v="0"/>
    <n v="0"/>
    <n v="0"/>
    <n v="11454.140000000001"/>
    <n v="0"/>
    <n v="0"/>
    <n v="0"/>
    <n v="0"/>
    <n v="0"/>
    <n v="0"/>
    <n v="0"/>
    <n v="0"/>
    <n v="11454.140000000001"/>
    <n v="0"/>
    <n v="0"/>
    <n v="321.97548178694177"/>
    <n v="41.571428571428562"/>
    <n v="0"/>
    <n v="0"/>
    <m/>
    <s v="Musrigharari"/>
    <m/>
    <n v="0"/>
  </r>
  <r>
    <s v="Munger"/>
    <s v="17-23 Jul"/>
    <n v="1013"/>
    <s v="Musrigharari"/>
    <x v="542"/>
    <s v="GOMUKH MISHRAULIA"/>
    <s v="MPG"/>
    <s v="Direct"/>
    <n v="514.5"/>
    <n v="23777.07"/>
    <n v="483.20000000000005"/>
    <n v="23721.39"/>
    <n v="0"/>
    <n v="0"/>
    <n v="483.20000000000005"/>
    <n v="23721.39"/>
    <n v="23721.39"/>
    <n v="0"/>
    <n v="0"/>
    <n v="0"/>
    <n v="0"/>
    <n v="0"/>
    <n v="0"/>
    <n v="23721"/>
    <n v="0"/>
    <n v="0"/>
    <n v="56"/>
    <n v="0"/>
    <n v="171.45370204081632"/>
    <n v="73.5"/>
    <n v="2.341751948410813E-3"/>
    <n v="2"/>
    <m/>
    <s v="Musrigharari"/>
    <m/>
    <n v="0"/>
  </r>
  <r>
    <s v="Munger"/>
    <s v="17-23 Jul"/>
    <n v="1013"/>
    <s v="Musrigharari"/>
    <x v="543"/>
    <s v="GOMUKH Bhagwatpur East"/>
    <s v="vlc"/>
    <s v="Direct"/>
    <n v="248.5"/>
    <n v="7833.42"/>
    <n v="248.9"/>
    <n v="7784.1900000000005"/>
    <n v="0"/>
    <n v="0"/>
    <n v="248.9"/>
    <n v="7784.1900000000005"/>
    <n v="7784.1900000000005"/>
    <n v="0"/>
    <n v="0"/>
    <n v="0"/>
    <n v="1400"/>
    <n v="0"/>
    <n v="0"/>
    <n v="6384"/>
    <n v="0"/>
    <n v="0"/>
    <n v="49"/>
    <n v="0"/>
    <n v="284.65103661971835"/>
    <n v="35.5"/>
    <n v="6.2846113191938596E-3"/>
    <n v="1"/>
    <m/>
    <s v="Musrigharari"/>
    <m/>
    <n v="0"/>
  </r>
  <r>
    <s v="Munger"/>
    <s v="17-23 Jul"/>
    <n v="1013"/>
    <s v="Musrigharari"/>
    <x v="544"/>
    <s v="Gomukh Rupauli Buzurg"/>
    <s v="vlc"/>
    <s v="Indirect"/>
    <n v="7354"/>
    <n v="279769.83"/>
    <n v="0"/>
    <n v="0"/>
    <n v="0"/>
    <n v="0"/>
    <n v="0"/>
    <n v="0"/>
    <n v="279769.83"/>
    <n v="0"/>
    <n v="0"/>
    <n v="0"/>
    <n v="0"/>
    <n v="0"/>
    <n v="0"/>
    <n v="0"/>
    <n v="0"/>
    <n v="279769.83"/>
    <n v="0"/>
    <n v="0"/>
    <n v="0"/>
    <n v="0"/>
    <n v="0"/>
    <n v="0"/>
    <m/>
    <s v="Musrigharari"/>
    <m/>
    <n v="0"/>
  </r>
  <r>
    <s v="Munger"/>
    <s v="17-23 Jul"/>
    <n v="1013"/>
    <s v="Musrigharari"/>
    <x v="545"/>
    <s v="GOMUKH BAKHRI"/>
    <s v="vlc"/>
    <s v="Indirect"/>
    <n v="58"/>
    <n v="2429.06"/>
    <n v="0"/>
    <n v="0"/>
    <n v="0"/>
    <n v="0"/>
    <n v="0"/>
    <n v="0"/>
    <n v="2429.06"/>
    <n v="0"/>
    <n v="0"/>
    <n v="0"/>
    <n v="0"/>
    <n v="0"/>
    <n v="0"/>
    <n v="0"/>
    <n v="0"/>
    <n v="2429.06"/>
    <n v="0"/>
    <n v="0"/>
    <n v="537.74362758620691"/>
    <n v="8.2857142857142865"/>
    <n v="0"/>
    <n v="0"/>
    <m/>
    <s v="Musrigharari"/>
    <m/>
    <n v="0"/>
  </r>
  <r>
    <s v="Munger"/>
    <s v="17-23 Jul"/>
    <n v="1013"/>
    <s v="Musrigharari"/>
    <x v="546"/>
    <s v="GOMUKH KAMTAUL"/>
    <s v="MPG"/>
    <s v="Direct"/>
    <n v="490.9"/>
    <n v="20075.21"/>
    <n v="492.08000000000004"/>
    <n v="19815.2"/>
    <n v="5.9"/>
    <n v="252.92"/>
    <n v="497.98"/>
    <n v="20068.12"/>
    <n v="20068.12"/>
    <n v="0"/>
    <n v="252.92"/>
    <n v="0"/>
    <n v="0"/>
    <n v="0"/>
    <n v="0"/>
    <n v="19815"/>
    <n v="0"/>
    <n v="0"/>
    <n v="7"/>
    <n v="0"/>
    <n v="171.02165047871262"/>
    <n v="70.128571428571419"/>
    <n v="3.5317189708103407E-4"/>
    <n v="7"/>
    <m/>
    <s v="Musrigharari"/>
    <m/>
    <n v="0"/>
  </r>
  <r>
    <s v="Munger"/>
    <s v="17-23 Jul"/>
    <n v="1013"/>
    <s v="Musrigharari"/>
    <x v="547"/>
    <s v="GOMUKH MIRJAPUR NISFI"/>
    <s v="vlc"/>
    <s v="Indirect"/>
    <n v="271.2"/>
    <n v="9307.83"/>
    <n v="0"/>
    <n v="0"/>
    <n v="0"/>
    <n v="0"/>
    <n v="0"/>
    <n v="0"/>
    <n v="9307.83"/>
    <n v="0"/>
    <n v="0"/>
    <n v="0"/>
    <n v="0"/>
    <n v="0"/>
    <n v="0"/>
    <n v="0"/>
    <n v="0"/>
    <n v="9307.83"/>
    <n v="0"/>
    <n v="0"/>
    <n v="294.33609911504431"/>
    <n v="38.74285714285714"/>
    <n v="0"/>
    <n v="0"/>
    <m/>
    <s v="Musrigharari"/>
    <m/>
    <n v="0"/>
  </r>
  <r>
    <s v="Munger"/>
    <s v="17-23 Jul"/>
    <n v="1014"/>
    <s v="Dumraon"/>
    <x v="548"/>
    <s v="Dumri Purvi Tola"/>
    <s v="MPG"/>
    <s v="Direct"/>
    <n v="625.50000000000011"/>
    <n v="21295.190000000002"/>
    <n v="420.40000000000003"/>
    <n v="21190.6"/>
    <n v="0"/>
    <n v="0"/>
    <n v="420.40000000000003"/>
    <n v="21190.6"/>
    <n v="21190.6"/>
    <n v="0"/>
    <n v="0"/>
    <n v="0"/>
    <n v="0"/>
    <n v="0"/>
    <n v="0"/>
    <n v="21191"/>
    <n v="0"/>
    <n v="0"/>
    <n v="104"/>
    <n v="0"/>
    <n v="50.727151239008698"/>
    <n v="89.357142857142875"/>
    <n v="4.9114377472097579E-3"/>
    <n v="4"/>
    <m/>
    <s v="Dumraon"/>
    <m/>
    <n v="0"/>
  </r>
  <r>
    <s v="Munger"/>
    <s v="17-23 Jul"/>
    <n v="1014"/>
    <s v="Dumraon"/>
    <x v="549"/>
    <s v="Simri"/>
    <s v="MPG"/>
    <s v="Direct"/>
    <n v="671.69999999999993"/>
    <n v="25644.929999999997"/>
    <n v="743.41"/>
    <n v="28813.1"/>
    <n v="0"/>
    <n v="0"/>
    <n v="743.41"/>
    <n v="28813.1"/>
    <n v="25644.929999999997"/>
    <n v="0"/>
    <n v="0"/>
    <n v="3168.1700000000019"/>
    <n v="0"/>
    <n v="0"/>
    <n v="0"/>
    <n v="25645"/>
    <n v="0"/>
    <n v="0"/>
    <n v="0"/>
    <n v="0"/>
    <n v="21.609394640464579"/>
    <n v="95.957142857142841"/>
    <n v="-0.12353981859182311"/>
    <n v="13"/>
    <m/>
    <s v="Dumraon"/>
    <m/>
    <n v="0"/>
  </r>
  <r>
    <s v="Munger"/>
    <s v="17-23 Jul"/>
    <n v="1014"/>
    <s v="Dumraon"/>
    <x v="550"/>
    <s v="Sahiyar"/>
    <s v="MPG"/>
    <s v="Direct"/>
    <n v="984.0999999999998"/>
    <n v="40933.4"/>
    <n v="960.3"/>
    <n v="42369.779999999992"/>
    <n v="9.6"/>
    <n v="400.86"/>
    <n v="969.9"/>
    <n v="42770.639999999992"/>
    <n v="40933.4"/>
    <n v="0"/>
    <n v="400.86"/>
    <n v="1837.2399999999907"/>
    <n v="0"/>
    <n v="0"/>
    <n v="0"/>
    <n v="40532"/>
    <n v="0"/>
    <n v="0"/>
    <n v="1"/>
    <n v="0"/>
    <n v="0"/>
    <n v="0"/>
    <n v="-4.4883640254657339E-2"/>
    <n v="24"/>
    <m/>
    <s v="Dumraon"/>
    <m/>
    <n v="0"/>
  </r>
  <r>
    <s v="Munger"/>
    <s v="17-23 Jul"/>
    <n v="1014"/>
    <s v="Dumraon"/>
    <x v="551"/>
    <s v="ENGLISH DUBAULI"/>
    <s v="MPG"/>
    <s v="Direct"/>
    <n v="784.50000000000011"/>
    <n v="29590.07"/>
    <n v="764.93999999999994"/>
    <n v="30165.23"/>
    <n v="27.169999999999995"/>
    <n v="1435.3799999999999"/>
    <n v="792.1099999999999"/>
    <n v="31600.61"/>
    <n v="29590.07"/>
    <n v="0"/>
    <n v="1435.3799999999999"/>
    <n v="2010.5400000000009"/>
    <n v="6500"/>
    <n v="0"/>
    <n v="0"/>
    <n v="21655"/>
    <n v="0"/>
    <n v="0"/>
    <n v="0"/>
    <s v="Release2"/>
    <n v="0"/>
    <n v="0"/>
    <n v="-6.7946442843832444E-2"/>
    <n v="13"/>
    <m/>
    <s v="Dumraon"/>
    <m/>
    <n v="0"/>
  </r>
  <r>
    <s v="Munger"/>
    <s v="17-23 Jul"/>
    <n v="1014"/>
    <s v="Dumraon"/>
    <x v="552"/>
    <s v="Ramo Bariya"/>
    <s v="MPG"/>
    <s v="Direct"/>
    <n v="518"/>
    <n v="20129.549999999996"/>
    <n v="517.9799999999999"/>
    <n v="20117.78"/>
    <n v="0"/>
    <n v="0"/>
    <n v="517.9799999999999"/>
    <n v="20117.78"/>
    <n v="20117.78"/>
    <n v="0"/>
    <n v="0"/>
    <n v="0"/>
    <n v="0"/>
    <n v="0"/>
    <n v="0"/>
    <n v="20116"/>
    <n v="0"/>
    <n v="0"/>
    <n v="14"/>
    <n v="0"/>
    <n v="141.45089189189184"/>
    <n v="74"/>
    <n v="5.8471252462160357E-4"/>
    <n v="12"/>
    <m/>
    <s v="Dumraon"/>
    <m/>
    <n v="0"/>
  </r>
  <r>
    <s v="Munger"/>
    <s v="17-23 Jul"/>
    <n v="1014"/>
    <s v="Dumraon"/>
    <x v="553"/>
    <s v="HITAN PARARI"/>
    <s v="MPG"/>
    <s v="Direct"/>
    <n v="1105.3"/>
    <n v="46869.200000000004"/>
    <n v="1133.0899999999999"/>
    <n v="49785.9"/>
    <n v="0"/>
    <n v="0"/>
    <n v="1133.0899999999999"/>
    <n v="49785.9"/>
    <n v="46869.200000000004"/>
    <n v="0"/>
    <n v="0"/>
    <n v="2916.6999999999971"/>
    <n v="0"/>
    <n v="0"/>
    <n v="0"/>
    <n v="46869"/>
    <n v="0"/>
    <n v="0"/>
    <n v="0"/>
    <n v="0"/>
    <n v="0"/>
    <n v="0"/>
    <n v="-6.22306333370315E-2"/>
    <n v="7"/>
    <m/>
    <s v="Dumraon"/>
    <m/>
    <n v="0"/>
  </r>
  <r>
    <s v="Munger"/>
    <s v="17-23 Jul"/>
    <n v="1014"/>
    <s v="Dumraon"/>
    <x v="554"/>
    <s v="DULLAHPUR2"/>
    <s v="MPG"/>
    <s v="Direct"/>
    <n v="201.2"/>
    <n v="6259.3499999999995"/>
    <n v="200"/>
    <n v="6236"/>
    <n v="0"/>
    <n v="0"/>
    <n v="200"/>
    <n v="6236"/>
    <n v="6236"/>
    <n v="0"/>
    <n v="0"/>
    <n v="0"/>
    <n v="0"/>
    <n v="0"/>
    <n v="0"/>
    <n v="6236"/>
    <n v="0"/>
    <n v="0"/>
    <n v="23"/>
    <s v="Release1"/>
    <n v="310.35425248508949"/>
    <n v="28.74285714285714"/>
    <n v="3.7304192927379771E-3"/>
    <n v="1"/>
    <m/>
    <s v="Dumraon"/>
    <m/>
    <n v="0"/>
  </r>
  <r>
    <s v="Munger"/>
    <s v="17-23 Jul"/>
    <n v="1014"/>
    <s v="Dumraon"/>
    <x v="555"/>
    <s v="Gangauli"/>
    <s v="MPG"/>
    <s v="Direct"/>
    <n v="1495.7"/>
    <n v="68848.210000000006"/>
    <n v="1480.6099999999997"/>
    <n v="69476.73000000001"/>
    <n v="6.910000000000001"/>
    <n v="259.52999999999997"/>
    <n v="1487.5199999999998"/>
    <n v="69736.260000000009"/>
    <n v="68848.210000000006"/>
    <n v="0"/>
    <n v="259.52999999999997"/>
    <n v="888.05000000000291"/>
    <n v="0"/>
    <n v="0"/>
    <n v="0"/>
    <n v="68588"/>
    <n v="0"/>
    <n v="0"/>
    <n v="1"/>
    <n v="0"/>
    <n v="0"/>
    <n v="0"/>
    <n v="-1.2898665048808136E-2"/>
    <n v="25"/>
    <m/>
    <s v="Dumraon"/>
    <m/>
    <n v="0"/>
  </r>
  <r>
    <s v="Munger"/>
    <s v="17-23 Jul"/>
    <n v="1014"/>
    <s v="Dumraon"/>
    <x v="556"/>
    <s v="MATHURA DERA"/>
    <s v="MPG"/>
    <s v="Direct"/>
    <n v="2663.4000000000005"/>
    <n v="108861.41"/>
    <n v="2997.8"/>
    <n v="108653.20000000001"/>
    <n v="5.2"/>
    <n v="177.11"/>
    <n v="3003"/>
    <n v="108830.31000000001"/>
    <n v="108830.31000000001"/>
    <n v="0"/>
    <n v="177.11"/>
    <n v="0"/>
    <n v="0"/>
    <n v="0"/>
    <n v="0"/>
    <n v="108653"/>
    <n v="0"/>
    <n v="0"/>
    <n v="31"/>
    <n v="0"/>
    <n v="0"/>
    <n v="0"/>
    <n v="2.8568433938152432E-4"/>
    <n v="7"/>
    <m/>
    <s v="Dumraon"/>
    <m/>
    <n v="0"/>
  </r>
  <r>
    <s v="Munger"/>
    <s v="17-23 Jul"/>
    <n v="1014"/>
    <s v="Dumraon"/>
    <x v="557"/>
    <s v="NANDAN"/>
    <s v="MPG"/>
    <s v="Direct"/>
    <n v="235.7"/>
    <n v="13084.659999999998"/>
    <n v="233"/>
    <n v="13068.97"/>
    <n v="0"/>
    <n v="0"/>
    <n v="233"/>
    <n v="13068.97"/>
    <n v="13068.97"/>
    <n v="0"/>
    <n v="0"/>
    <n v="0"/>
    <n v="6650"/>
    <n v="0"/>
    <n v="0"/>
    <n v="6419"/>
    <n v="0"/>
    <n v="0"/>
    <n v="16"/>
    <n v="0"/>
    <n v="515.50340585490017"/>
    <n v="33.671428571428571"/>
    <n v="1.1991140770947577E-3"/>
    <n v="2"/>
    <m/>
    <s v="Dumraon"/>
    <m/>
    <n v="0"/>
  </r>
  <r>
    <s v="Munger"/>
    <s v="17-23 Jul"/>
    <n v="1014"/>
    <s v="Dumraon"/>
    <x v="558"/>
    <s v="RAJAPUR"/>
    <s v="MPG"/>
    <s v="Direct"/>
    <n v="20"/>
    <n v="717.84"/>
    <n v="20"/>
    <n v="715.4"/>
    <n v="0"/>
    <n v="0"/>
    <n v="20"/>
    <n v="715.4"/>
    <n v="715.4"/>
    <n v="0"/>
    <n v="0"/>
    <n v="0"/>
    <n v="0"/>
    <n v="500"/>
    <n v="0"/>
    <n v="216"/>
    <n v="0"/>
    <n v="0"/>
    <n v="2"/>
    <s v="Release2"/>
    <n v="488.13120000000004"/>
    <n v="2.8571428571428572"/>
    <n v="3.3990861473309573E-3"/>
    <n v="2"/>
    <m/>
    <s v="Dumraon"/>
    <m/>
    <n v="500"/>
  </r>
  <r>
    <s v="Munger"/>
    <s v="17-23 Jul"/>
    <n v="1014"/>
    <s v="Dumraon"/>
    <x v="559"/>
    <s v="HEMDAPUR"/>
    <s v="MPG"/>
    <s v="Direct"/>
    <n v="528.50000000000011"/>
    <n v="19801.14"/>
    <n v="523.43999999999994"/>
    <n v="20487.61"/>
    <n v="0"/>
    <n v="0"/>
    <n v="523.43999999999994"/>
    <n v="20487.61"/>
    <n v="19801.14"/>
    <n v="0"/>
    <n v="0"/>
    <n v="686.47000000000116"/>
    <n v="0"/>
    <n v="0"/>
    <n v="0"/>
    <n v="19801"/>
    <n v="0"/>
    <n v="0"/>
    <n v="0"/>
    <n v="0"/>
    <n v="128.51070993377473"/>
    <n v="75.500000000000014"/>
    <n v="-3.4668205971979449E-2"/>
    <n v="3"/>
    <m/>
    <s v="Dumraon"/>
    <m/>
    <n v="0"/>
  </r>
  <r>
    <s v="Munger"/>
    <s v="17-23 Jul"/>
    <n v="1014"/>
    <s v="Dumraon"/>
    <x v="560"/>
    <s v="Chaugain"/>
    <s v="MPG"/>
    <s v="Direct"/>
    <n v="355.50000000000006"/>
    <n v="12105.189999999999"/>
    <n v="354.7"/>
    <n v="12095.27"/>
    <n v="0"/>
    <n v="0"/>
    <n v="354.7"/>
    <n v="12095.27"/>
    <n v="12095.27"/>
    <n v="0"/>
    <n v="0"/>
    <n v="0"/>
    <n v="0"/>
    <n v="500"/>
    <n v="0"/>
    <n v="11595"/>
    <n v="0"/>
    <n v="0"/>
    <n v="10"/>
    <n v="0"/>
    <n v="234.61254317862154"/>
    <n v="50.785714285714292"/>
    <n v="8.1948321339840634E-4"/>
    <n v="2"/>
    <m/>
    <s v="Dumraon"/>
    <m/>
    <n v="500"/>
  </r>
  <r>
    <s v="Munger"/>
    <s v="17-23 Jul"/>
    <n v="1014"/>
    <s v="Dumraon"/>
    <x v="561"/>
    <s v="Akalupur"/>
    <s v="MPG"/>
    <s v="Direct"/>
    <n v="18.7"/>
    <n v="652.38"/>
    <n v="18.100000000000001"/>
    <n v="651.6"/>
    <n v="0"/>
    <n v="0"/>
    <n v="18.100000000000001"/>
    <n v="651.6"/>
    <n v="651.6"/>
    <n v="0"/>
    <n v="0"/>
    <n v="0"/>
    <n v="0"/>
    <n v="0"/>
    <n v="0"/>
    <n v="652"/>
    <n v="0"/>
    <n v="0"/>
    <n v="0"/>
    <n v="0"/>
    <n v="475.36523422459896"/>
    <n v="2.6714285714285713"/>
    <n v="1.1956221833900069E-3"/>
    <n v="1"/>
    <m/>
    <s v="Dumraon"/>
    <m/>
    <n v="0"/>
  </r>
  <r>
    <s v="Munger"/>
    <s v="17-23 Jul"/>
    <n v="1014"/>
    <s v="Dumraon"/>
    <x v="562"/>
    <s v="Chhotka Sihanpura"/>
    <s v="MPG"/>
    <s v="Direct"/>
    <n v="358.1"/>
    <n v="13266.26"/>
    <n v="383.70000000000005"/>
    <n v="15638.42"/>
    <n v="5.2000000000000011"/>
    <n v="194.17"/>
    <n v="388.90000000000003"/>
    <n v="15832.59"/>
    <n v="13266.26"/>
    <n v="0"/>
    <n v="194.17"/>
    <n v="2566.33"/>
    <n v="0"/>
    <n v="0"/>
    <n v="0"/>
    <n v="13072"/>
    <n v="0"/>
    <n v="0"/>
    <n v="0"/>
    <n v="0"/>
    <n v="253.32221692264733"/>
    <n v="51.157142857142858"/>
    <n v="-0.19344788960867643"/>
    <n v="4"/>
    <m/>
    <s v="Dumraon"/>
    <m/>
    <n v="0"/>
  </r>
  <r>
    <s v="Munger"/>
    <s v="17-23 Jul"/>
    <n v="1014"/>
    <s v="Dumraon"/>
    <x v="563"/>
    <s v="Dharauli"/>
    <s v="MPG"/>
    <s v="Direct"/>
    <n v="255.1"/>
    <n v="9998.7300000000014"/>
    <n v="254.80000000000007"/>
    <n v="9877.260000000002"/>
    <n v="3.9"/>
    <n v="143.54000000000002"/>
    <n v="258.70000000000005"/>
    <n v="10020.800000000003"/>
    <n v="9998.7300000000014"/>
    <n v="0"/>
    <n v="143.54000000000002"/>
    <n v="22.070000000001528"/>
    <n v="0"/>
    <n v="0"/>
    <n v="0"/>
    <n v="9855"/>
    <n v="0"/>
    <n v="0"/>
    <n v="0"/>
    <n v="0"/>
    <n v="348.76009227753826"/>
    <n v="36.442857142857143"/>
    <n v="-2.2072803246013769E-3"/>
    <n v="9"/>
    <m/>
    <s v="Dumraon"/>
    <m/>
    <n v="0"/>
  </r>
  <r>
    <s v="Munger"/>
    <s v="17-23 Jul"/>
    <n v="1014"/>
    <s v="Dumraon"/>
    <x v="564"/>
    <s v="Ramopatti"/>
    <s v="MPG"/>
    <s v="Direct"/>
    <n v="443.09999999999997"/>
    <n v="16436.12"/>
    <n v="442.5"/>
    <n v="16403.75"/>
    <n v="0"/>
    <n v="0"/>
    <n v="442.5"/>
    <n v="16403.75"/>
    <n v="16403.75"/>
    <n v="0"/>
    <n v="0"/>
    <n v="0"/>
    <n v="0"/>
    <n v="500"/>
    <n v="0"/>
    <n v="15904"/>
    <n v="0"/>
    <n v="0"/>
    <n v="32"/>
    <n v="0"/>
    <n v="190.58628878357032"/>
    <n v="63.3"/>
    <n v="1.9694429098837795E-3"/>
    <n v="2"/>
    <m/>
    <s v="Dumraon"/>
    <m/>
    <n v="500"/>
  </r>
  <r>
    <s v="Munger"/>
    <s v="17-23 Jul"/>
    <n v="1014"/>
    <s v="Dumraon"/>
    <x v="565"/>
    <s v="Kaithi"/>
    <s v="MPG"/>
    <s v="Direct"/>
    <n v="249.8"/>
    <n v="10879.14"/>
    <n v="279.8"/>
    <n v="12174.1"/>
    <n v="0"/>
    <n v="0"/>
    <n v="279.8"/>
    <n v="12174.1"/>
    <n v="10879.14"/>
    <n v="0"/>
    <n v="0"/>
    <n v="1294.9600000000009"/>
    <n v="0"/>
    <n v="500"/>
    <n v="0"/>
    <n v="10379"/>
    <n v="0"/>
    <n v="0"/>
    <n v="0"/>
    <s v="Release2"/>
    <n v="392.13681569255408"/>
    <n v="35.68571428571429"/>
    <n v="-0.11903146756085509"/>
    <n v="2"/>
    <m/>
    <s v="Dumraon"/>
    <m/>
    <n v="500"/>
  </r>
  <r>
    <s v="Munger"/>
    <s v="17-23 Jul"/>
    <n v="1014"/>
    <s v="Dumraon"/>
    <x v="566"/>
    <s v="Rangi Dera"/>
    <s v="MPG"/>
    <s v="Direct"/>
    <n v="152"/>
    <n v="6138.8500000000013"/>
    <n v="253"/>
    <n v="10127.59"/>
    <n v="0"/>
    <n v="0"/>
    <n v="253"/>
    <n v="10127.59"/>
    <n v="6138.8500000000013"/>
    <n v="0"/>
    <n v="0"/>
    <n v="3988.7399999999989"/>
    <n v="0"/>
    <n v="0"/>
    <n v="0"/>
    <n v="6139"/>
    <n v="0"/>
    <n v="0"/>
    <n v="0"/>
    <n v="0"/>
    <n v="442.6433947368422"/>
    <n v="21.714285714285715"/>
    <n v="-0.64975361834871326"/>
    <n v="2"/>
    <m/>
    <s v="Dumraon"/>
    <m/>
    <n v="0"/>
  </r>
  <r>
    <s v="Munger"/>
    <s v="17-23 Jul"/>
    <n v="1014"/>
    <s v="Dumraon"/>
    <x v="567"/>
    <s v="Dubki"/>
    <s v="MPG"/>
    <s v="Direct"/>
    <n v="528.80000000000018"/>
    <n v="26078.180000000004"/>
    <n v="580.21"/>
    <n v="29681.539999999997"/>
    <n v="2.67"/>
    <n v="122.60000000000001"/>
    <n v="582.88"/>
    <n v="29804.139999999996"/>
    <n v="26078.180000000004"/>
    <n v="0"/>
    <n v="122.60000000000001"/>
    <n v="3725.9599999999919"/>
    <n v="0"/>
    <n v="0"/>
    <n v="0"/>
    <n v="25955"/>
    <n v="0"/>
    <n v="0"/>
    <n v="1"/>
    <n v="0"/>
    <n v="168.85720181543093"/>
    <n v="75.542857142857173"/>
    <n v="-0.14287653509562367"/>
    <n v="4"/>
    <m/>
    <s v="Dumraon"/>
    <m/>
    <n v="0"/>
  </r>
  <r>
    <s v="Munger"/>
    <s v="17-23 Jul"/>
    <n v="1014"/>
    <s v="Dumraon"/>
    <x v="568"/>
    <s v="Sonvarsa"/>
    <s v="MPG"/>
    <s v="Direct"/>
    <n v="287"/>
    <n v="11661.550000000001"/>
    <n v="285.69"/>
    <n v="11705.49"/>
    <n v="0"/>
    <n v="0"/>
    <n v="285.69"/>
    <n v="11705.49"/>
    <n v="11661.550000000001"/>
    <n v="0"/>
    <n v="0"/>
    <n v="43.93999999999869"/>
    <n v="0"/>
    <n v="0"/>
    <n v="0"/>
    <n v="11662"/>
    <n v="0"/>
    <n v="0"/>
    <n v="0"/>
    <n v="0"/>
    <n v="335.62509756097563"/>
    <n v="41"/>
    <n v="-3.7679382243354172E-3"/>
    <n v="2"/>
    <m/>
    <s v="Dumraon"/>
    <m/>
    <n v="0"/>
  </r>
  <r>
    <s v="Munger"/>
    <s v="17-23 Jul"/>
    <n v="1014"/>
    <s v="Dumraon"/>
    <x v="569"/>
    <s v="Soan"/>
    <s v="MPG"/>
    <s v="Direct"/>
    <n v="178.5"/>
    <n v="8321.01"/>
    <n v="176.61999999999998"/>
    <n v="8208.7999999999993"/>
    <n v="2.33"/>
    <n v="105.58999999999999"/>
    <n v="178.95"/>
    <n v="8314.39"/>
    <n v="8314.39"/>
    <n v="0"/>
    <n v="105.58999999999999"/>
    <n v="0"/>
    <n v="0"/>
    <n v="0"/>
    <n v="0"/>
    <n v="8208"/>
    <n v="0"/>
    <n v="0"/>
    <n v="7"/>
    <n v="0"/>
    <n v="486.20803529411768"/>
    <n v="25.5"/>
    <n v="7.9557649852611643E-4"/>
    <n v="8"/>
    <m/>
    <s v="Dumraon"/>
    <m/>
    <n v="0"/>
  </r>
  <r>
    <s v="Munger"/>
    <s v="17-23 Jul"/>
    <n v="1014"/>
    <s v="Dumraon"/>
    <x v="570"/>
    <s v="PURANA BHOJPUR                                                                                      "/>
    <s v="MPG"/>
    <s v="Direct"/>
    <n v="236.39999999999998"/>
    <n v="9023.57"/>
    <n v="236.8"/>
    <n v="9019.7100000000009"/>
    <n v="0"/>
    <n v="0"/>
    <n v="236.8"/>
    <n v="9019.7100000000009"/>
    <n v="9019.7100000000009"/>
    <n v="0"/>
    <n v="0"/>
    <n v="0"/>
    <n v="2660"/>
    <n v="0"/>
    <n v="0"/>
    <n v="6359"/>
    <n v="0"/>
    <n v="0"/>
    <n v="5"/>
    <n v="0"/>
    <n v="353.91937834179362"/>
    <n v="33.771428571428565"/>
    <n v="4.2776861042788644E-4"/>
    <n v="2"/>
    <m/>
    <s v="Dumraon"/>
    <m/>
    <n v="0"/>
  </r>
  <r>
    <s v="Munger"/>
    <s v="17-23 Jul"/>
    <n v="1014"/>
    <s v="Dumraon"/>
    <x v="1018"/>
    <s v="Gomukh Lewar"/>
    <s v="MPG"/>
    <s v="Direct"/>
    <n v="120.89999999999999"/>
    <n v="4621.84"/>
    <n v="120"/>
    <n v="4620"/>
    <n v="0"/>
    <n v="0"/>
    <n v="120"/>
    <n v="4620"/>
    <n v="4620"/>
    <n v="0"/>
    <n v="0"/>
    <n v="0"/>
    <n v="0"/>
    <n v="0"/>
    <n v="0"/>
    <n v="4620"/>
    <n v="0"/>
    <n v="0"/>
    <n v="2"/>
    <n v="0"/>
    <n v="442.76386170388759"/>
    <n v="17.271428571428569"/>
    <n v="3.9810984369864503E-4"/>
    <n v="1"/>
    <m/>
    <s v="Dumraon"/>
    <m/>
    <n v="0"/>
  </r>
  <r>
    <s v="Munger"/>
    <s v="17-23 Jul"/>
    <n v="1014"/>
    <s v="Dumraon"/>
    <x v="571"/>
    <s v="Gomukh Kant"/>
    <s v="MPG"/>
    <s v="Direct"/>
    <n v="294.40000000000003"/>
    <n v="15845.91"/>
    <n v="329.89999999999992"/>
    <n v="19335.11"/>
    <n v="1.2"/>
    <n v="72.319999999999993"/>
    <n v="331.09999999999991"/>
    <n v="19407.43"/>
    <n v="15845.91"/>
    <n v="0"/>
    <n v="72.319999999999993"/>
    <n v="3561.5200000000004"/>
    <n v="0"/>
    <n v="500"/>
    <n v="0"/>
    <n v="15274"/>
    <n v="0"/>
    <n v="0"/>
    <n v="0"/>
    <n v="0"/>
    <n v="436.62371576086946"/>
    <n v="42.057142857142864"/>
    <n v="-0.22475957518375408"/>
    <n v="5"/>
    <m/>
    <s v="Dumraon"/>
    <m/>
    <n v="500"/>
  </r>
  <r>
    <s v="Munger"/>
    <s v="17-23 Jul"/>
    <n v="1014"/>
    <s v="Dumraon"/>
    <x v="572"/>
    <s v="Gomukh Naat"/>
    <s v="MPG"/>
    <s v="Direct"/>
    <n v="668.6"/>
    <n v="25245.969999999998"/>
    <n v="682.36999999999989"/>
    <n v="26037.89"/>
    <n v="0"/>
    <n v="0"/>
    <n v="682.36999999999989"/>
    <n v="26037.89"/>
    <n v="25245.969999999998"/>
    <n v="0"/>
    <n v="0"/>
    <n v="791.92000000000189"/>
    <n v="0"/>
    <n v="0"/>
    <n v="0"/>
    <n v="25246"/>
    <n v="0"/>
    <n v="0"/>
    <n v="0"/>
    <n v="0"/>
    <n v="23.712936224947622"/>
    <n v="95.51428571428572"/>
    <n v="-3.1368174801760518E-2"/>
    <n v="2"/>
    <m/>
    <s v="Dumraon"/>
    <m/>
    <n v="0"/>
  </r>
  <r>
    <s v="Munger"/>
    <s v="17-23 Jul"/>
    <n v="1014"/>
    <s v="Dumraon"/>
    <x v="573"/>
    <s v="Gomukh Raghunathpur"/>
    <s v="MPG"/>
    <s v="Direct"/>
    <n v="387.30000000000007"/>
    <n v="15548.68"/>
    <n v="385.6"/>
    <n v="15529.87"/>
    <n v="0"/>
    <n v="0"/>
    <n v="385.6"/>
    <n v="15529.87"/>
    <n v="15529.87"/>
    <n v="0"/>
    <n v="0"/>
    <n v="0"/>
    <n v="0"/>
    <n v="0"/>
    <n v="0"/>
    <n v="15530"/>
    <n v="0"/>
    <n v="0"/>
    <n v="19"/>
    <n v="0"/>
    <n v="251.07525101988114"/>
    <n v="55.328571428571436"/>
    <n v="1.2097489947699412E-3"/>
    <n v="4"/>
    <m/>
    <s v="Dumraon"/>
    <m/>
    <n v="0"/>
  </r>
  <r>
    <s v="Munger"/>
    <s v="17-23 Jul"/>
    <n v="1014"/>
    <s v="Dumraon"/>
    <x v="574"/>
    <s v="Gomukh Tilakraika Hata 1 - Manoj"/>
    <s v="vlc"/>
    <s v="Indirect"/>
    <n v="1152.3999999999999"/>
    <n v="41536.170000000006"/>
    <n v="0"/>
    <n v="0"/>
    <n v="0"/>
    <n v="0"/>
    <n v="0"/>
    <n v="0"/>
    <n v="41536.170000000006"/>
    <n v="0"/>
    <n v="0"/>
    <n v="0"/>
    <n v="0"/>
    <n v="0"/>
    <n v="0"/>
    <n v="0"/>
    <n v="0"/>
    <n v="41536.170000000006"/>
    <n v="0"/>
    <n v="0"/>
    <n v="0"/>
    <n v="0"/>
    <n v="0"/>
    <n v="0"/>
    <m/>
    <s v="Dumraon"/>
    <m/>
    <n v="0"/>
  </r>
  <r>
    <s v="Munger"/>
    <s v="17-23 Jul"/>
    <n v="1014"/>
    <s v="Dumraon"/>
    <x v="575"/>
    <s v="Gomukh Murar"/>
    <s v="MPG"/>
    <s v="Direct"/>
    <n v="993.1"/>
    <n v="40550.839999999997"/>
    <n v="561.30000000000007"/>
    <n v="22986.23"/>
    <n v="642"/>
    <n v="30619.800000000003"/>
    <n v="1203.3000000000002"/>
    <n v="53606.03"/>
    <n v="40550.839999999997"/>
    <n v="0"/>
    <n v="478.16"/>
    <n v="13055.190000000002"/>
    <n v="0"/>
    <n v="0"/>
    <n v="0"/>
    <n v="9932"/>
    <n v="30141"/>
    <n v="0"/>
    <n v="0"/>
    <n v="0"/>
    <n v="0"/>
    <n v="0"/>
    <n v="-0.32194622848749876"/>
    <n v="15"/>
    <m/>
    <s v="Dumraon"/>
    <m/>
    <n v="0"/>
  </r>
  <r>
    <s v="Munger"/>
    <s v="17-23 Jul"/>
    <n v="1014"/>
    <s v="Dumraon"/>
    <x v="576"/>
    <s v="Gomukh Churamanpur                                                                                  "/>
    <s v="MPG"/>
    <s v="Direct"/>
    <n v="177.29999999999998"/>
    <n v="7733.69"/>
    <n v="184.76999999999998"/>
    <n v="8583.39"/>
    <n v="0"/>
    <n v="0"/>
    <n v="184.76999999999998"/>
    <n v="8583.39"/>
    <n v="7733.69"/>
    <n v="0"/>
    <n v="0"/>
    <n v="849.69999999999982"/>
    <n v="0"/>
    <n v="0"/>
    <n v="0"/>
    <n v="7734"/>
    <n v="0"/>
    <n v="0"/>
    <n v="0"/>
    <s v="Release2"/>
    <n v="455.99546113931194"/>
    <n v="25.328571428571426"/>
    <n v="-0.10986993272293043"/>
    <n v="2"/>
    <m/>
    <s v="Dumraon"/>
    <m/>
    <n v="0"/>
  </r>
  <r>
    <s v="Munger"/>
    <s v="17-23 Jul"/>
    <n v="1014"/>
    <s v="Dumraon"/>
    <x v="577"/>
    <s v="Gomukh Ekauni Karuwaj"/>
    <s v="MPG"/>
    <s v="Direct"/>
    <n v="6.7"/>
    <n v="226.14"/>
    <n v="0"/>
    <n v="0"/>
    <n v="22.099999999999998"/>
    <n v="911.19999999999993"/>
    <n v="22.099999999999998"/>
    <n v="911.19999999999993"/>
    <n v="226.14"/>
    <n v="0"/>
    <n v="0"/>
    <n v="685.06"/>
    <n v="0"/>
    <n v="226"/>
    <n v="0"/>
    <n v="0"/>
    <n v="0"/>
    <n v="0"/>
    <n v="0"/>
    <s v="Release2"/>
    <n v="468.00854328358196"/>
    <n v="0.95714285714285718"/>
    <n v="-3.0293623419120896"/>
    <n v="1"/>
    <m/>
    <s v="Dumraon"/>
    <m/>
    <n v="226"/>
  </r>
  <r>
    <s v="Munger"/>
    <s v="17-23 Jul"/>
    <n v="1014"/>
    <s v="Dumraon"/>
    <x v="578"/>
    <s v="Kulharia Agriculture Producer Company Limited"/>
    <s v="MPG"/>
    <s v="Direct"/>
    <n v="1014.4"/>
    <n v="41960.250000000015"/>
    <n v="1005.6099999999999"/>
    <n v="41623.819999999992"/>
    <n v="8.3899999999999988"/>
    <n v="329.89"/>
    <n v="1013.9999999999999"/>
    <n v="41953.709999999992"/>
    <n v="41953.709999999992"/>
    <n v="0"/>
    <n v="329.89"/>
    <n v="0"/>
    <n v="0"/>
    <n v="0"/>
    <n v="0"/>
    <n v="41624"/>
    <n v="0"/>
    <n v="0"/>
    <n v="6"/>
    <n v="0"/>
    <n v="0"/>
    <n v="0"/>
    <n v="1.5586179777343315E-4"/>
    <n v="4"/>
    <m/>
    <s v="Dumraon"/>
    <m/>
    <n v="0"/>
  </r>
  <r>
    <s v="Munger"/>
    <s v="17-23 Jul"/>
    <n v="1014"/>
    <s v="Dumraon"/>
    <x v="579"/>
    <s v="Gomukh Dhakaich"/>
    <s v="MPG"/>
    <s v="Direct"/>
    <n v="108.30000000000001"/>
    <n v="4265.33"/>
    <n v="112.57000000000001"/>
    <n v="4083.1699999999996"/>
    <n v="0"/>
    <n v="0"/>
    <n v="112.57000000000001"/>
    <n v="4083.1699999999996"/>
    <n v="4083.1699999999996"/>
    <n v="0"/>
    <n v="0"/>
    <n v="0"/>
    <n v="0"/>
    <n v="0"/>
    <n v="0"/>
    <n v="4083"/>
    <n v="0"/>
    <n v="0"/>
    <n v="182"/>
    <n v="0"/>
    <n v="466.07493277931661"/>
    <n v="15.471428571428573"/>
    <n v="4.2707129342864518E-2"/>
    <n v="5"/>
    <m/>
    <s v="Dumraon"/>
    <m/>
    <n v="0"/>
  </r>
  <r>
    <s v="Munger"/>
    <s v="17-23 Jul"/>
    <n v="1014"/>
    <s v="Dumraon"/>
    <x v="580"/>
    <s v="Gomukh Kajipura Chandan"/>
    <s v="vlc"/>
    <s v="Indirect"/>
    <n v="804.3"/>
    <n v="29997.02"/>
    <n v="0"/>
    <n v="0"/>
    <n v="0"/>
    <n v="0"/>
    <n v="0"/>
    <n v="0"/>
    <n v="29997.02"/>
    <n v="0"/>
    <n v="0"/>
    <n v="0"/>
    <n v="0"/>
    <n v="0"/>
    <n v="0"/>
    <n v="0"/>
    <n v="0"/>
    <n v="29997.02"/>
    <n v="0"/>
    <n v="0"/>
    <n v="0"/>
    <n v="0"/>
    <n v="0"/>
    <n v="0"/>
    <m/>
    <s v="Dumraon"/>
    <m/>
    <n v="0"/>
  </r>
  <r>
    <s v="Munger"/>
    <s v="17-23 Jul"/>
    <n v="1014"/>
    <s v="Dumraon"/>
    <x v="581"/>
    <s v="Gomukh Sikraul Lakh"/>
    <s v="MPG"/>
    <s v="Direct"/>
    <n v="473.50000000000011"/>
    <n v="19913.259999999995"/>
    <n v="472.81"/>
    <n v="20449.829999999998"/>
    <n v="8.7100000000000009"/>
    <n v="357.06"/>
    <n v="481.52"/>
    <n v="20806.89"/>
    <n v="19913.259999999995"/>
    <n v="0"/>
    <n v="357.06"/>
    <n v="893.63000000000466"/>
    <n v="6650"/>
    <n v="0"/>
    <n v="0"/>
    <n v="12906"/>
    <n v="0"/>
    <n v="0"/>
    <n v="0"/>
    <n v="0"/>
    <n v="190.51123083421317"/>
    <n v="67.642857142857153"/>
    <n v="-4.4876127766121918E-2"/>
    <n v="2"/>
    <m/>
    <s v="Dumraon"/>
    <m/>
    <n v="0"/>
  </r>
  <r>
    <s v="Munger"/>
    <s v="17-23 Jul"/>
    <n v="1014"/>
    <s v="Dumraon"/>
    <x v="582"/>
    <s v="Gomukh Dafadihari"/>
    <s v="MPG"/>
    <s v="Direct"/>
    <n v="184.80000000000004"/>
    <n v="6933.9499999999989"/>
    <n v="178"/>
    <n v="6856.39"/>
    <n v="1.9999999999999998"/>
    <n v="82.600000000000009"/>
    <n v="180"/>
    <n v="6938.9900000000007"/>
    <n v="6933.9499999999989"/>
    <n v="0"/>
    <n v="82.600000000000009"/>
    <n v="5.0400000000017826"/>
    <n v="0"/>
    <n v="0"/>
    <n v="0"/>
    <n v="6851"/>
    <n v="0"/>
    <n v="0"/>
    <n v="0"/>
    <s v="Release2"/>
    <n v="386.62024242424224"/>
    <n v="26.400000000000006"/>
    <n v="-7.2685842845734159E-4"/>
    <n v="5"/>
    <m/>
    <s v="Dumraon"/>
    <m/>
    <n v="0"/>
  </r>
  <r>
    <s v="Munger"/>
    <s v="17-23 Jul"/>
    <n v="1014"/>
    <s v="Dumraon"/>
    <x v="583"/>
    <s v="Gomukh Paharpur"/>
    <s v="MPG"/>
    <s v="Direct"/>
    <n v="123.39999999999999"/>
    <n v="4693.4299999999994"/>
    <n v="123"/>
    <n v="4667.8500000000004"/>
    <n v="0"/>
    <n v="0"/>
    <n v="123"/>
    <n v="4667.8500000000004"/>
    <n v="4667.8500000000004"/>
    <n v="0"/>
    <n v="0"/>
    <n v="0"/>
    <n v="0"/>
    <n v="500"/>
    <n v="0"/>
    <n v="4168"/>
    <n v="0"/>
    <n v="0"/>
    <n v="25"/>
    <n v="0"/>
    <n v="438.61130275526733"/>
    <n v="17.628571428571426"/>
    <n v="5.4501718359491929E-3"/>
    <n v="2"/>
    <m/>
    <s v="Dumraon"/>
    <m/>
    <n v="500"/>
  </r>
  <r>
    <s v="Munger"/>
    <s v="17-23 Jul"/>
    <n v="1014"/>
    <s v="Dumraon"/>
    <x v="584"/>
    <s v="Gomukh Basaon Kalan"/>
    <s v="MPG"/>
    <s v="Direct"/>
    <n v="24.7"/>
    <n v="979.81000000000006"/>
    <n v="24"/>
    <n v="967.44"/>
    <n v="0"/>
    <n v="0"/>
    <n v="24"/>
    <n v="967.44"/>
    <n v="967.44"/>
    <n v="0"/>
    <n v="0"/>
    <n v="0"/>
    <n v="0"/>
    <n v="0"/>
    <n v="0"/>
    <n v="967"/>
    <n v="0"/>
    <n v="0"/>
    <n v="13"/>
    <n v="0"/>
    <n v="535.76169473684217"/>
    <n v="3.5285714285714285"/>
    <n v="1.2624896663638873E-2"/>
    <n v="1"/>
    <m/>
    <s v="Dumraon"/>
    <m/>
    <n v="0"/>
  </r>
  <r>
    <s v="Munger"/>
    <s v="17-23 Jul"/>
    <n v="1014"/>
    <s v="Dumraon"/>
    <x v="585"/>
    <s v="Gomukh Mangolpur"/>
    <s v="MPG"/>
    <s v="Direct"/>
    <n v="332"/>
    <n v="11588.02"/>
    <n v="328.2"/>
    <n v="11560.01"/>
    <n v="4.8999999999999995"/>
    <n v="170.25999999999996"/>
    <n v="333.09999999999997"/>
    <n v="11730.27"/>
    <n v="11588.02"/>
    <n v="0"/>
    <n v="170.25999999999996"/>
    <n v="142.25"/>
    <n v="0"/>
    <n v="0"/>
    <n v="0"/>
    <n v="11418"/>
    <n v="0"/>
    <n v="0"/>
    <n v="0"/>
    <n v="0"/>
    <n v="256.89104578313248"/>
    <n v="47.428571428571431"/>
    <n v="-1.2275608775269632E-2"/>
    <n v="8"/>
    <m/>
    <s v="Dumraon"/>
    <m/>
    <n v="0"/>
  </r>
  <r>
    <s v="Munger"/>
    <s v="17-23 Jul"/>
    <n v="1014"/>
    <s v="Dumraon"/>
    <x v="586"/>
    <s v="Gomukh Dhanipur"/>
    <s v="MPG"/>
    <s v="Direct"/>
    <n v="466.7"/>
    <n v="18852.62"/>
    <n v="465.15999999999997"/>
    <n v="19107.469999999998"/>
    <n v="0"/>
    <n v="0"/>
    <n v="465.15999999999997"/>
    <n v="19107.469999999998"/>
    <n v="18852.62"/>
    <n v="0"/>
    <n v="0"/>
    <n v="254.84999999999854"/>
    <n v="0"/>
    <n v="0"/>
    <n v="0"/>
    <n v="18853"/>
    <n v="0"/>
    <n v="0"/>
    <n v="0"/>
    <n v="0"/>
    <n v="188.48580441397047"/>
    <n v="66.671428571428564"/>
    <n v="-1.3518015002689204E-2"/>
    <n v="3"/>
    <m/>
    <s v="Dumraon"/>
    <m/>
    <n v="0"/>
  </r>
  <r>
    <s v="Munger"/>
    <s v="17-23 Jul"/>
    <n v="1014"/>
    <s v="Dumraon"/>
    <x v="587"/>
    <s v="Gomukh Rakshanagar_tola"/>
    <s v="MPG"/>
    <s v="Direct"/>
    <n v="580.6"/>
    <n v="25881.02"/>
    <n v="615.79999999999995"/>
    <n v="29186.85"/>
    <n v="0"/>
    <n v="0"/>
    <n v="615.79999999999995"/>
    <n v="29186.85"/>
    <n v="25881.02"/>
    <n v="0"/>
    <n v="0"/>
    <n v="3305.8299999999981"/>
    <n v="0"/>
    <n v="0"/>
    <n v="0"/>
    <n v="25881"/>
    <n v="0"/>
    <n v="0"/>
    <n v="0"/>
    <n v="0"/>
    <n v="106.4482875645883"/>
    <n v="82.94285714285715"/>
    <n v="-0.12773182818915166"/>
    <n v="3"/>
    <m/>
    <s v="Dumraon"/>
    <m/>
    <n v="0"/>
  </r>
  <r>
    <s v="Munger"/>
    <s v="17-23 Jul"/>
    <n v="1014"/>
    <s v="Dumraon"/>
    <x v="588"/>
    <s v="Gomukh Nadaon"/>
    <s v="MPG"/>
    <s v="Direct"/>
    <n v="196.89999999999998"/>
    <n v="6012.079999999999"/>
    <n v="197.14"/>
    <n v="5989.4000000000005"/>
    <n v="0"/>
    <n v="0"/>
    <n v="197.14"/>
    <n v="5989.4000000000005"/>
    <n v="5989.4000000000005"/>
    <n v="0"/>
    <n v="0"/>
    <n v="0"/>
    <n v="0"/>
    <n v="500"/>
    <n v="0"/>
    <n v="5489"/>
    <n v="0"/>
    <n v="0"/>
    <n v="23"/>
    <n v="0"/>
    <n v="307.22980680548494"/>
    <n v="28.128571428571426"/>
    <n v="3.7724048914848899E-3"/>
    <n v="3"/>
    <m/>
    <s v="Dumraon"/>
    <m/>
    <n v="500"/>
  </r>
  <r>
    <s v="Munger"/>
    <s v="17-23 Jul"/>
    <n v="1014"/>
    <s v="Dumraon"/>
    <x v="589"/>
    <s v="Gomukh Mathuradera Upendra "/>
    <s v="vlc"/>
    <s v="Indirect"/>
    <n v="718.5"/>
    <n v="30319.64"/>
    <n v="0"/>
    <n v="0"/>
    <n v="0"/>
    <n v="0"/>
    <n v="0"/>
    <n v="0"/>
    <n v="30319.64"/>
    <n v="0"/>
    <n v="0"/>
    <n v="0"/>
    <n v="0"/>
    <n v="0"/>
    <n v="0"/>
    <n v="0"/>
    <n v="0"/>
    <n v="30319.64"/>
    <n v="0"/>
    <n v="0"/>
    <n v="0"/>
    <n v="0"/>
    <n v="0"/>
    <n v="0"/>
    <m/>
    <s v="Dumraon"/>
    <m/>
    <n v="0"/>
  </r>
  <r>
    <s v="Munger"/>
    <s v="17-23 Jul"/>
    <n v="1014"/>
    <s v="Dumraon"/>
    <x v="590"/>
    <s v="Gomukh Bramhpur"/>
    <s v="MPG"/>
    <s v="Direct"/>
    <n v="87.699999999999989"/>
    <n v="3242.21"/>
    <n v="115.22999999999999"/>
    <n v="4417.07"/>
    <n v="0"/>
    <n v="0"/>
    <n v="115.22999999999999"/>
    <n v="4417.07"/>
    <n v="3242.21"/>
    <n v="0"/>
    <n v="0"/>
    <n v="1174.8599999999997"/>
    <n v="0"/>
    <n v="500"/>
    <n v="0"/>
    <n v="2742"/>
    <n v="0"/>
    <n v="0"/>
    <n v="0"/>
    <n v="0"/>
    <n v="452.72638152793627"/>
    <n v="12.528571428571427"/>
    <n v="-0.36236394311287662"/>
    <n v="2"/>
    <m/>
    <s v="Dumraon"/>
    <m/>
    <n v="500"/>
  </r>
  <r>
    <s v="Munger"/>
    <s v="17-23 Jul"/>
    <n v="1014"/>
    <s v="Dumraon"/>
    <x v="591"/>
    <s v="Gomukh Mashariya"/>
    <s v="MPG"/>
    <s v="Direct"/>
    <n v="524.90000000000009"/>
    <n v="19526.14"/>
    <n v="524"/>
    <n v="19519"/>
    <n v="0"/>
    <n v="0"/>
    <n v="524"/>
    <n v="19519"/>
    <n v="19519"/>
    <n v="0"/>
    <n v="0"/>
    <n v="0"/>
    <n v="0"/>
    <n v="0"/>
    <n v="0"/>
    <n v="19519"/>
    <n v="0"/>
    <n v="0"/>
    <n v="7"/>
    <n v="0"/>
    <n v="130.27346595541999"/>
    <n v="74.985714285714295"/>
    <n v="3.65663669317101E-4"/>
    <n v="1"/>
    <m/>
    <s v="Dumraon"/>
    <m/>
    <n v="0"/>
  </r>
  <r>
    <s v="Munger"/>
    <s v="17-23 Jul"/>
    <n v="1014"/>
    <s v="Dumraon"/>
    <x v="592"/>
    <s v="Gomukh Basawkala Sudhir Kumar"/>
    <s v="vlc"/>
    <s v="Indirect"/>
    <n v="113.3"/>
    <n v="4130.7299999999996"/>
    <n v="0"/>
    <n v="0"/>
    <n v="0"/>
    <n v="0"/>
    <n v="0"/>
    <n v="0"/>
    <n v="4130.7299999999996"/>
    <n v="0"/>
    <n v="0"/>
    <n v="0"/>
    <n v="0"/>
    <n v="0"/>
    <n v="0"/>
    <n v="0"/>
    <n v="0"/>
    <n v="4130.7299999999996"/>
    <n v="0"/>
    <n v="0"/>
    <n v="427.80216963812882"/>
    <n v="16.185714285714287"/>
    <n v="0"/>
    <n v="0"/>
    <m/>
    <s v="Dumraon"/>
    <m/>
    <n v="0"/>
  </r>
  <r>
    <s v="Munger"/>
    <s v="17-23 Jul"/>
    <n v="1014"/>
    <s v="Dumraon"/>
    <x v="593"/>
    <s v="Gomukh KritSagar"/>
    <s v="MPG"/>
    <s v="Direct"/>
    <n v="331.3"/>
    <n v="16779.649999999998"/>
    <n v="334"/>
    <n v="16746.759999999998"/>
    <n v="0"/>
    <n v="0"/>
    <n v="334"/>
    <n v="16746.759999999998"/>
    <n v="16746.759999999998"/>
    <n v="0"/>
    <n v="0"/>
    <n v="0"/>
    <n v="0"/>
    <n v="0"/>
    <n v="0"/>
    <n v="16747"/>
    <n v="0"/>
    <n v="0"/>
    <n v="33"/>
    <n v="0"/>
    <n v="373.47763084817382"/>
    <n v="47.328571428571429"/>
    <n v="1.9601123980535601E-3"/>
    <n v="1"/>
    <m/>
    <s v="Dumraon"/>
    <m/>
    <n v="0"/>
  </r>
  <r>
    <s v="Munger"/>
    <s v="17-23 Jul"/>
    <n v="1014"/>
    <s v="Dumraon"/>
    <x v="594"/>
    <s v="Gomukh Navdera Jaipraksh"/>
    <s v="vlc"/>
    <s v="Indirect"/>
    <n v="1990.6"/>
    <n v="77426.25"/>
    <n v="0"/>
    <n v="0"/>
    <n v="0"/>
    <n v="0"/>
    <n v="0"/>
    <n v="0"/>
    <n v="77426.25"/>
    <n v="0"/>
    <n v="0"/>
    <n v="0"/>
    <n v="0"/>
    <n v="0"/>
    <n v="0"/>
    <n v="0"/>
    <n v="0"/>
    <n v="77426.25"/>
    <n v="0"/>
    <n v="0"/>
    <n v="0"/>
    <n v="0"/>
    <n v="0"/>
    <n v="0"/>
    <m/>
    <s v="Dumraon"/>
    <m/>
    <n v="0"/>
  </r>
  <r>
    <s v="Munger"/>
    <s v="17-23 Jul"/>
    <n v="1014"/>
    <s v="Dumraon"/>
    <x v="595"/>
    <s v="Gomukh Ataon"/>
    <s v="MPG"/>
    <s v="Direct"/>
    <n v="318.70000000000005"/>
    <n v="14036.46"/>
    <n v="322.09999999999997"/>
    <n v="14767.370000000004"/>
    <n v="0"/>
    <n v="0"/>
    <n v="322.09999999999997"/>
    <n v="14767.370000000004"/>
    <n v="14036.46"/>
    <n v="0"/>
    <n v="0"/>
    <n v="730.91000000000531"/>
    <n v="0"/>
    <n v="0"/>
    <n v="0"/>
    <n v="14036"/>
    <n v="0"/>
    <n v="0"/>
    <n v="0"/>
    <s v="Release2"/>
    <n v="335.87086275494187"/>
    <n v="45.528571428571432"/>
    <n v="-5.2072246136134419E-2"/>
    <n v="2"/>
    <m/>
    <s v="Dumraon"/>
    <m/>
    <n v="0"/>
  </r>
  <r>
    <s v="Munger"/>
    <s v="17-23 Jul"/>
    <n v="1014"/>
    <s v="Dumraon"/>
    <x v="596"/>
    <s v="Gumukh Gayghat"/>
    <s v="MPG"/>
    <s v="Direct"/>
    <n v="1008.6"/>
    <n v="36685.74"/>
    <n v="1072.83"/>
    <n v="44789.83"/>
    <n v="0"/>
    <n v="0"/>
    <n v="1072.83"/>
    <n v="44789.83"/>
    <n v="36685.74"/>
    <n v="0"/>
    <n v="0"/>
    <n v="8104.0900000000038"/>
    <n v="6650"/>
    <n v="0"/>
    <n v="0"/>
    <n v="30036"/>
    <n v="0"/>
    <n v="0"/>
    <n v="0"/>
    <n v="0"/>
    <n v="0"/>
    <n v="0"/>
    <n v="-0.22090572522184382"/>
    <n v="2"/>
    <m/>
    <s v="Dumraon"/>
    <m/>
    <n v="0"/>
  </r>
  <r>
    <s v="Munger"/>
    <s v="17-23 Jul"/>
    <n v="1014"/>
    <s v="Dumraon"/>
    <x v="597"/>
    <s v="Gomukh Chakki Janardan Yadav"/>
    <s v="vlc"/>
    <s v="Indirect"/>
    <n v="143.20000000000002"/>
    <n v="5372.8799999999992"/>
    <n v="0"/>
    <n v="0"/>
    <n v="0"/>
    <n v="0"/>
    <n v="0"/>
    <n v="0"/>
    <n v="5372.8799999999992"/>
    <n v="0"/>
    <n v="0"/>
    <n v="0"/>
    <n v="0"/>
    <n v="0"/>
    <n v="0"/>
    <n v="0"/>
    <n v="0"/>
    <n v="5372.8799999999992"/>
    <n v="0"/>
    <n v="0"/>
    <n v="417.82396424580992"/>
    <n v="20.457142857142859"/>
    <n v="0"/>
    <n v="0"/>
    <m/>
    <s v="Dumraon"/>
    <m/>
    <n v="0"/>
  </r>
  <r>
    <s v="Munger"/>
    <s v="17-23 Jul"/>
    <n v="1014"/>
    <s v="Dumraon"/>
    <x v="598"/>
    <s v="Gomukh Rajpur"/>
    <s v="MPG"/>
    <s v="Direct"/>
    <n v="1149.0999999999999"/>
    <n v="48457.490000000013"/>
    <n v="1133.9100000000001"/>
    <n v="47916.349999999991"/>
    <n v="14.420000000000002"/>
    <n v="616.56000000000006"/>
    <n v="1148.3300000000002"/>
    <n v="48532.909999999989"/>
    <n v="48457.490000000013"/>
    <n v="0"/>
    <n v="616.56000000000006"/>
    <n v="75.419999999976426"/>
    <n v="0"/>
    <n v="0"/>
    <n v="0"/>
    <n v="47840"/>
    <n v="0"/>
    <n v="0"/>
    <n v="1"/>
    <n v="0"/>
    <n v="0"/>
    <n v="0"/>
    <n v="-1.5564157367617764E-3"/>
    <n v="45"/>
    <m/>
    <s v="Dumraon"/>
    <m/>
    <n v="0"/>
  </r>
  <r>
    <s v="Munger"/>
    <s v="17-23 Jul"/>
    <n v="1014"/>
    <s v="Dumraon"/>
    <x v="599"/>
    <s v="Gomukh Gangauli Dubha"/>
    <s v="MPG"/>
    <s v="Direct"/>
    <n v="200.72999999999996"/>
    <n v="8079.49"/>
    <n v="203.90000000000003"/>
    <n v="7928.64"/>
    <n v="3.2"/>
    <n v="128.94"/>
    <n v="207.10000000000002"/>
    <n v="8057.58"/>
    <n v="8057.58"/>
    <n v="0"/>
    <n v="128.94"/>
    <n v="0"/>
    <n v="0"/>
    <n v="0"/>
    <n v="0"/>
    <n v="7929"/>
    <n v="0"/>
    <n v="0"/>
    <n v="22"/>
    <n v="0"/>
    <n v="401.91769763363732"/>
    <n v="28.675714285714282"/>
    <n v="2.7118048292651955E-3"/>
    <n v="7"/>
    <m/>
    <s v="Dumraon"/>
    <m/>
    <n v="0"/>
  </r>
  <r>
    <s v="Munger"/>
    <s v="17-23 Jul"/>
    <n v="1014"/>
    <s v="Dumraon"/>
    <x v="600"/>
    <s v="Gomukh Jagdishpur"/>
    <s v="MPG"/>
    <s v="Direct"/>
    <n v="316.5"/>
    <n v="10740.830000000002"/>
    <n v="316"/>
    <n v="10725.04"/>
    <n v="0"/>
    <n v="0"/>
    <n v="316"/>
    <n v="10725.04"/>
    <n v="10725.04"/>
    <n v="0"/>
    <n v="0"/>
    <n v="0"/>
    <n v="0"/>
    <n v="0"/>
    <n v="0"/>
    <n v="10725"/>
    <n v="0"/>
    <n v="0"/>
    <n v="16"/>
    <n v="0"/>
    <n v="260.29120410742502"/>
    <n v="45.214285714285715"/>
    <n v="1.470091231310883E-3"/>
    <n v="1"/>
    <m/>
    <s v="Dumraon"/>
    <m/>
    <n v="0"/>
  </r>
  <r>
    <s v="Munger"/>
    <s v="17-23 Jul"/>
    <n v="1014"/>
    <s v="Dumraon"/>
    <x v="601"/>
    <s v="Gumukk JP Dera"/>
    <s v="vlc"/>
    <s v="Indirect"/>
    <n v="315.7"/>
    <n v="12616.82"/>
    <n v="0"/>
    <n v="0"/>
    <n v="0"/>
    <n v="0"/>
    <n v="0"/>
    <n v="0"/>
    <n v="12616.82"/>
    <n v="0"/>
    <n v="0"/>
    <n v="0"/>
    <n v="0"/>
    <n v="0"/>
    <n v="0"/>
    <n v="0"/>
    <n v="0"/>
    <n v="12616.82"/>
    <n v="0"/>
    <n v="0"/>
    <n v="307.16781286031045"/>
    <n v="45.1"/>
    <n v="0"/>
    <n v="0"/>
    <m/>
    <s v="Dumraon"/>
    <m/>
    <n v="0"/>
  </r>
  <r>
    <s v="Munger"/>
    <s v="17-23 Jul"/>
    <n v="1014"/>
    <s v="Dumraon"/>
    <x v="602"/>
    <s v="Gumukh Orap Khurd"/>
    <s v="MPG"/>
    <s v="Direct"/>
    <n v="406.60000000000008"/>
    <n v="16419.78"/>
    <n v="405.78000000000003"/>
    <n v="16378.660000000003"/>
    <n v="0"/>
    <n v="0"/>
    <n v="405.78000000000003"/>
    <n v="16378.660000000003"/>
    <n v="16378.660000000003"/>
    <n v="0"/>
    <n v="0"/>
    <n v="0"/>
    <n v="0"/>
    <n v="0"/>
    <n v="0"/>
    <n v="16379"/>
    <n v="0"/>
    <n v="0"/>
    <n v="41"/>
    <n v="0"/>
    <n v="236.96819734382672"/>
    <n v="58.085714285714296"/>
    <n v="2.5042966470924305E-3"/>
    <n v="1"/>
    <m/>
    <s v="Dumraon"/>
    <m/>
    <n v="0"/>
  </r>
  <r>
    <s v="Munger"/>
    <s v="17-23 Jul"/>
    <n v="1014"/>
    <s v="Dumraon"/>
    <x v="603"/>
    <s v="Gomukh Daunpura Manendra"/>
    <s v="vlc"/>
    <s v="Indirect"/>
    <n v="441.60000000000008"/>
    <n v="17348.479999999996"/>
    <n v="0"/>
    <n v="0"/>
    <n v="0"/>
    <n v="0"/>
    <n v="0"/>
    <n v="0"/>
    <n v="17348.479999999996"/>
    <n v="0"/>
    <n v="0"/>
    <n v="0"/>
    <n v="0"/>
    <n v="0"/>
    <n v="0"/>
    <n v="0"/>
    <n v="0"/>
    <n v="17348.479999999996"/>
    <n v="0"/>
    <n v="0"/>
    <n v="203.02750144927523"/>
    <n v="63.085714285714296"/>
    <n v="0"/>
    <n v="0"/>
    <m/>
    <s v="Dumraon"/>
    <m/>
    <n v="0"/>
  </r>
  <r>
    <s v="Munger"/>
    <s v="17-23 Jul"/>
    <n v="1014"/>
    <s v="Dumraon"/>
    <x v="604"/>
    <s v="Gumukh Mathiyapur"/>
    <s v="MPG"/>
    <s v="Direct"/>
    <n v="185.70000000000002"/>
    <n v="7932.3200000000006"/>
    <n v="185.8"/>
    <n v="7928.09"/>
    <n v="0"/>
    <n v="0"/>
    <n v="185.8"/>
    <n v="7928.09"/>
    <n v="7928.09"/>
    <n v="0"/>
    <n v="0"/>
    <n v="0"/>
    <n v="0"/>
    <n v="0"/>
    <n v="0"/>
    <n v="7928"/>
    <n v="0"/>
    <n v="0"/>
    <n v="4"/>
    <n v="0"/>
    <n v="439.37449391491651"/>
    <n v="26.528571428571432"/>
    <n v="5.3326139137105822E-4"/>
    <n v="1"/>
    <m/>
    <s v="Dumraon"/>
    <m/>
    <n v="0"/>
  </r>
  <r>
    <s v="Munger"/>
    <s v="17-23 Jul"/>
    <n v="1014"/>
    <s v="Dumraon"/>
    <x v="605"/>
    <s v="Gomukh Raghunathpur Dasrath"/>
    <s v="vlc"/>
    <s v="Indirect"/>
    <n v="794.89999999999986"/>
    <n v="33544.370000000003"/>
    <n v="0"/>
    <n v="0"/>
    <n v="0"/>
    <n v="0"/>
    <n v="0"/>
    <n v="0"/>
    <n v="33544.370000000003"/>
    <n v="0"/>
    <n v="0"/>
    <n v="0"/>
    <n v="0"/>
    <n v="0"/>
    <n v="0"/>
    <n v="0"/>
    <n v="0"/>
    <n v="33544.370000000003"/>
    <n v="0"/>
    <n v="0"/>
    <n v="0"/>
    <n v="0"/>
    <n v="0"/>
    <n v="0"/>
    <m/>
    <s v="Dumraon"/>
    <m/>
    <n v="0"/>
  </r>
  <r>
    <s v="Munger"/>
    <s v="17-23 Jul"/>
    <n v="1014"/>
    <s v="Dumraon"/>
    <x v="606"/>
    <s v="Gomukh Lakshman Dera Raja"/>
    <s v="vlc"/>
    <s v="Indirect"/>
    <n v="125.39999999999999"/>
    <n v="4714.51"/>
    <n v="0"/>
    <n v="0"/>
    <n v="0"/>
    <n v="0"/>
    <n v="0"/>
    <n v="0"/>
    <n v="4714.51"/>
    <n v="0"/>
    <n v="0"/>
    <n v="0"/>
    <n v="0"/>
    <n v="0"/>
    <n v="0"/>
    <n v="0"/>
    <n v="0"/>
    <n v="4714.51"/>
    <n v="0"/>
    <n v="0"/>
    <n v="432.05062934609253"/>
    <n v="17.914285714285715"/>
    <n v="0"/>
    <n v="0"/>
    <m/>
    <s v="Dumraon"/>
    <m/>
    <n v="0"/>
  </r>
  <r>
    <s v="Munger"/>
    <s v="17-23 Jul"/>
    <n v="1014"/>
    <s v="Dumraon"/>
    <x v="607"/>
    <s v="Sohan Narayan Farmer Dairy Producer Company Ltd"/>
    <s v="vlc"/>
    <s v="Indirect"/>
    <n v="2013.1"/>
    <n v="75504.149999999994"/>
    <n v="0"/>
    <n v="0"/>
    <n v="0"/>
    <n v="0"/>
    <n v="0"/>
    <n v="0"/>
    <n v="75504.149999999994"/>
    <n v="0"/>
    <n v="0"/>
    <n v="0"/>
    <n v="0"/>
    <n v="0"/>
    <n v="0"/>
    <n v="0"/>
    <n v="0"/>
    <n v="75504.149999999994"/>
    <n v="0"/>
    <n v="0"/>
    <n v="0"/>
    <n v="0"/>
    <n v="0"/>
    <n v="0"/>
    <m/>
    <s v="Dumraon"/>
    <m/>
    <n v="0"/>
  </r>
  <r>
    <s v="Munger"/>
    <s v="17-23 Jul"/>
    <n v="1014"/>
    <s v="Dumraon"/>
    <x v="608"/>
    <s v="Gomukh Arion Govind "/>
    <s v="vlc"/>
    <s v="Indirect"/>
    <n v="69.100000000000009"/>
    <n v="2948.7999999999997"/>
    <n v="0"/>
    <n v="0"/>
    <n v="0"/>
    <n v="0"/>
    <n v="0"/>
    <n v="0"/>
    <n v="2948.7999999999997"/>
    <n v="0"/>
    <n v="0"/>
    <n v="0"/>
    <n v="0"/>
    <n v="0"/>
    <n v="0"/>
    <n v="0"/>
    <n v="0"/>
    <n v="2948.7999999999997"/>
    <n v="0"/>
    <n v="0"/>
    <n v="538.46538929088274"/>
    <n v="9.8714285714285719"/>
    <n v="0"/>
    <n v="0"/>
    <m/>
    <s v="Dumraon"/>
    <m/>
    <n v="0"/>
  </r>
  <r>
    <s v="Munger"/>
    <s v="17-23 Jul"/>
    <n v="1014"/>
    <s v="Dumraon"/>
    <x v="609"/>
    <s v="Gumukh Basawkala Dahpura Tola"/>
    <s v="MPG"/>
    <s v="Direct"/>
    <n v="442.00000000000006"/>
    <n v="18790.16"/>
    <n v="444"/>
    <n v="18763.439999999999"/>
    <n v="0"/>
    <n v="0"/>
    <n v="444"/>
    <n v="18763.439999999999"/>
    <n v="18763.439999999999"/>
    <n v="0"/>
    <n v="0"/>
    <n v="0"/>
    <n v="0"/>
    <n v="0"/>
    <n v="0"/>
    <n v="18763"/>
    <n v="0"/>
    <n v="0"/>
    <n v="27"/>
    <n v="0"/>
    <n v="219.36023891402706"/>
    <n v="63.142857142857153"/>
    <n v="1.4220208875284279E-3"/>
    <n v="1"/>
    <m/>
    <s v="Dumraon"/>
    <m/>
    <n v="0"/>
  </r>
  <r>
    <s v="Munger"/>
    <s v="17-23 Jul"/>
    <n v="1014"/>
    <s v="Dumraon"/>
    <x v="610"/>
    <s v="GomukhSimari Bakulha Patti"/>
    <s v="vlc"/>
    <s v="Indirect"/>
    <n v="383.5"/>
    <n v="13846.960000000001"/>
    <n v="0"/>
    <n v="0"/>
    <n v="0"/>
    <n v="0"/>
    <n v="0"/>
    <n v="0"/>
    <n v="13846.960000000001"/>
    <n v="0"/>
    <n v="0"/>
    <n v="0"/>
    <n v="0"/>
    <n v="0"/>
    <n v="0"/>
    <n v="0"/>
    <n v="0"/>
    <n v="13846.960000000001"/>
    <n v="0"/>
    <n v="0"/>
    <n v="228.55608031290743"/>
    <n v="54.785714285714285"/>
    <n v="0"/>
    <n v="0"/>
    <m/>
    <s v="Dumraon"/>
    <m/>
    <n v="0"/>
  </r>
  <r>
    <s v="Munger"/>
    <s v="17-23 Jul"/>
    <n v="1014"/>
    <s v="Dumraon"/>
    <x v="611"/>
    <s v="Gomukh Baijnathpur"/>
    <s v="MPG"/>
    <s v="Direct"/>
    <n v="911.50000000000011"/>
    <n v="37332.699999999997"/>
    <n v="938.41000000000008"/>
    <n v="38680.509999999995"/>
    <n v="0"/>
    <n v="0"/>
    <n v="938.41000000000008"/>
    <n v="38680.509999999995"/>
    <n v="37332.699999999997"/>
    <n v="0"/>
    <n v="0"/>
    <n v="1347.8099999999977"/>
    <n v="0"/>
    <n v="0"/>
    <n v="0"/>
    <n v="37333"/>
    <n v="0"/>
    <n v="0"/>
    <n v="0"/>
    <n v="0"/>
    <n v="0"/>
    <n v="0"/>
    <n v="-3.6102666027370049E-2"/>
    <n v="2"/>
    <m/>
    <s v="Dumraon"/>
    <m/>
    <n v="0"/>
  </r>
  <r>
    <s v="Munger"/>
    <s v="17-23 Jul"/>
    <n v="1002"/>
    <s v="Laldiyara"/>
    <x v="613"/>
    <s v="Gaachhi Tola"/>
    <s v="MPG"/>
    <s v="Indirect"/>
    <n v="681.4"/>
    <n v="28300.550000000003"/>
    <n v="0"/>
    <n v="0"/>
    <n v="0"/>
    <n v="0"/>
    <n v="0"/>
    <n v="0"/>
    <n v="28300.550000000003"/>
    <n v="0"/>
    <n v="0"/>
    <n v="0"/>
    <n v="0"/>
    <n v="0"/>
    <n v="0"/>
    <n v="0"/>
    <n v="0"/>
    <n v="28300.550000000003"/>
    <n v="0"/>
    <n v="0"/>
    <n v="15.450256237158799"/>
    <n v="97.342857142857142"/>
    <n v="0"/>
    <n v="0"/>
    <m/>
    <s v="Laldiyara"/>
    <m/>
    <n v="0"/>
  </r>
  <r>
    <s v="Munger"/>
    <s v="17-23 Jul"/>
    <n v="1003"/>
    <s v="Asarganj"/>
    <x v="614"/>
    <s v="KUMARPUIR KATHARA"/>
    <s v="MPG"/>
    <s v="Direct"/>
    <n v="2216.25"/>
    <n v="84714.660000000018"/>
    <n v="2300.3000000000006"/>
    <n v="83179.160000000018"/>
    <n v="28.200000000000003"/>
    <n v="1454.77"/>
    <n v="2328.5000000000005"/>
    <n v="84633.930000000022"/>
    <n v="84633.930000000022"/>
    <n v="0"/>
    <n v="1454.77"/>
    <n v="0"/>
    <n v="0"/>
    <n v="0"/>
    <n v="0"/>
    <n v="83181"/>
    <n v="0"/>
    <n v="0"/>
    <n v="79"/>
    <n v="0"/>
    <n v="0"/>
    <n v="0"/>
    <n v="9.5296374913144799E-4"/>
    <n v="73"/>
    <m/>
    <s v="Asarganj"/>
    <m/>
    <n v="0"/>
  </r>
  <r>
    <s v="Munger"/>
    <s v="17-23 Jul"/>
    <n v="1003"/>
    <s v="Asarganj"/>
    <x v="615"/>
    <s v="KUDHIYA MPG"/>
    <s v="MPG"/>
    <s v="Direct"/>
    <n v="1964.9499999999998"/>
    <n v="88192.450000000012"/>
    <n v="1957.7999999999995"/>
    <n v="87923.650000000009"/>
    <n v="15.1"/>
    <n v="675.77"/>
    <n v="1972.8999999999994"/>
    <n v="88599.420000000013"/>
    <n v="88192.450000000012"/>
    <n v="0"/>
    <n v="675.77"/>
    <n v="406.97000000000116"/>
    <n v="11752"/>
    <n v="0"/>
    <n v="0"/>
    <n v="75764"/>
    <n v="0"/>
    <n v="0"/>
    <n v="1"/>
    <s v="Release2"/>
    <n v="0"/>
    <n v="0"/>
    <n v="-4.6145673467513498E-3"/>
    <n v="17"/>
    <m/>
    <s v="Asarganj"/>
    <m/>
    <n v="0"/>
  </r>
  <r>
    <s v="Munger"/>
    <s v="17-23 Jul"/>
    <n v="1003"/>
    <s v="Asarganj"/>
    <x v="616"/>
    <s v="SHAHJADPUR MPG"/>
    <s v="MPG"/>
    <s v="Direct"/>
    <n v="1417.6"/>
    <n v="54434.73"/>
    <n v="1435.6000000000001"/>
    <n v="62320.92"/>
    <n v="6.6"/>
    <n v="304.81"/>
    <n v="1442.2"/>
    <n v="62625.729999999996"/>
    <n v="54434.73"/>
    <n v="0"/>
    <n v="304.81"/>
    <n v="8190.9999999999927"/>
    <n v="0"/>
    <n v="0"/>
    <n v="0"/>
    <n v="54130"/>
    <n v="0"/>
    <n v="0"/>
    <n v="0"/>
    <s v="Release2"/>
    <n v="0"/>
    <n v="0"/>
    <n v="-0.15047378759846869"/>
    <n v="15"/>
    <m/>
    <s v="Asarganj"/>
    <m/>
    <n v="0"/>
  </r>
  <r>
    <s v="Munger"/>
    <s v="17-23 Jul"/>
    <n v="1006"/>
    <s v="Sonvarsha"/>
    <x v="617"/>
    <s v="FARDA - 3"/>
    <s v="MPG"/>
    <s v="Direct"/>
    <n v="1842.0000000000005"/>
    <n v="69740.72"/>
    <n v="262.09999999999997"/>
    <n v="10044.23"/>
    <n v="1628.0000000000005"/>
    <n v="62818.87000000001"/>
    <n v="1890.1000000000004"/>
    <n v="72863.100000000006"/>
    <n v="69740.72"/>
    <n v="0"/>
    <n v="232.97000000000003"/>
    <n v="3122.3800000000047"/>
    <n v="0"/>
    <n v="0"/>
    <n v="0"/>
    <n v="6922"/>
    <n v="62586"/>
    <n v="0"/>
    <n v="0"/>
    <n v="0"/>
    <n v="0"/>
    <n v="0"/>
    <n v="-4.47712613233704E-2"/>
    <n v="14"/>
    <m/>
    <s v="Sonvarsha"/>
    <m/>
    <n v="0"/>
  </r>
  <r>
    <s v="Munger"/>
    <s v="17-23 Jul"/>
    <n v="1006"/>
    <s v="Sonvarsha"/>
    <x v="618"/>
    <s v="CHANDANPURA"/>
    <s v="MPG"/>
    <s v="Indirect"/>
    <n v="1826.3000000000002"/>
    <n v="76950.680000000008"/>
    <n v="0"/>
    <n v="0"/>
    <n v="0"/>
    <n v="0"/>
    <n v="0"/>
    <n v="0"/>
    <n v="76950.680000000008"/>
    <n v="0"/>
    <n v="0"/>
    <n v="0"/>
    <n v="0"/>
    <n v="0"/>
    <n v="0"/>
    <n v="0"/>
    <n v="0"/>
    <n v="76950.680000000008"/>
    <n v="0"/>
    <n v="0"/>
    <n v="0"/>
    <n v="0"/>
    <n v="0"/>
    <n v="0"/>
    <m/>
    <s v="Sonvarsha"/>
    <m/>
    <n v="0"/>
  </r>
  <r>
    <s v="Munger"/>
    <s v="17-23 Jul"/>
    <n v="1006"/>
    <s v="Sonvarsha"/>
    <x v="619"/>
    <s v="MANIKPUR"/>
    <s v="MPG"/>
    <s v="Direct"/>
    <n v="1011.1999999999998"/>
    <n v="42474.82"/>
    <n v="9"/>
    <n v="376.56"/>
    <n v="1088.5"/>
    <n v="45752.210000000006"/>
    <n v="1097.5"/>
    <n v="46128.770000000004"/>
    <n v="42474.82"/>
    <n v="0"/>
    <n v="273.40000000000003"/>
    <n v="3653.9500000000044"/>
    <n v="0"/>
    <n v="0"/>
    <n v="0"/>
    <n v="377"/>
    <n v="41824"/>
    <n v="0"/>
    <n v="0"/>
    <s v="Release2"/>
    <n v="0"/>
    <n v="0"/>
    <n v="-8.602626214778554E-2"/>
    <n v="18"/>
    <m/>
    <s v="Sonvarsha"/>
    <m/>
    <n v="0"/>
  </r>
  <r>
    <s v="Munger"/>
    <s v="17-23 Jul"/>
    <n v="1006"/>
    <s v="Sonvarsha"/>
    <x v="620"/>
    <s v="JAKARPURA"/>
    <s v="MPG"/>
    <s v="Indirect"/>
    <n v="1408.6999999999998"/>
    <n v="56235.44"/>
    <n v="0"/>
    <n v="0"/>
    <n v="0"/>
    <n v="0"/>
    <n v="0"/>
    <n v="0"/>
    <n v="56235.44"/>
    <n v="0"/>
    <n v="0"/>
    <n v="0"/>
    <n v="0"/>
    <n v="0"/>
    <n v="0"/>
    <n v="0"/>
    <n v="0"/>
    <n v="56235.44"/>
    <n v="0"/>
    <n v="0"/>
    <n v="0"/>
    <n v="0"/>
    <n v="0"/>
    <n v="0"/>
    <m/>
    <s v="Sonvarsha"/>
    <m/>
    <n v="0"/>
  </r>
  <r>
    <s v="Munger"/>
    <s v="17-23 Jul"/>
    <n v="1006"/>
    <s v="Sonvarsha"/>
    <x v="621"/>
    <s v="KISHANPUR"/>
    <s v="MPG"/>
    <s v="Indirect"/>
    <n v="3098.1"/>
    <n v="121521.48999999999"/>
    <n v="0"/>
    <n v="0"/>
    <n v="0"/>
    <n v="0"/>
    <n v="0"/>
    <n v="0"/>
    <n v="121521.48999999999"/>
    <n v="0"/>
    <n v="0"/>
    <n v="0"/>
    <n v="0"/>
    <n v="0"/>
    <n v="0"/>
    <n v="0"/>
    <n v="0"/>
    <n v="121521.48999999999"/>
    <n v="0"/>
    <n v="0"/>
    <n v="0"/>
    <n v="0"/>
    <n v="0"/>
    <n v="0"/>
    <m/>
    <s v="Sonvarsha"/>
    <m/>
    <n v="0"/>
  </r>
  <r>
    <s v="Munger"/>
    <s v="17-23 Jul"/>
    <n v="1006"/>
    <s v="Sonvarsha"/>
    <x v="622"/>
    <s v="NANDPUR"/>
    <s v="MPG"/>
    <s v="Indirect"/>
    <n v="1428.4"/>
    <n v="54559.419999999984"/>
    <n v="0"/>
    <n v="0"/>
    <n v="0"/>
    <n v="0"/>
    <n v="0"/>
    <n v="0"/>
    <n v="54559.419999999984"/>
    <n v="0"/>
    <n v="0"/>
    <n v="0"/>
    <n v="15400"/>
    <n v="0"/>
    <n v="0"/>
    <n v="0"/>
    <n v="0"/>
    <n v="39159.419999999984"/>
    <n v="0"/>
    <n v="0"/>
    <n v="0"/>
    <n v="0"/>
    <n v="0"/>
    <n v="0"/>
    <m/>
    <s v="Sonvarsha"/>
    <m/>
    <n v="0"/>
  </r>
  <r>
    <s v="Munger"/>
    <s v="17-23 Jul"/>
    <n v="1006"/>
    <s v="Sonvarsha"/>
    <x v="623"/>
    <s v="NOWAGADHI"/>
    <s v="MPG"/>
    <s v="Direct"/>
    <n v="1901.5"/>
    <n v="79469.490000000005"/>
    <n v="2030.5999999999997"/>
    <n v="78725.249999999971"/>
    <n v="17.600000000000001"/>
    <n v="754.16"/>
    <n v="2048.1999999999998"/>
    <n v="79479.409999999974"/>
    <n v="79469.490000000005"/>
    <n v="0"/>
    <n v="754.16"/>
    <n v="9.9199999999691499"/>
    <n v="0"/>
    <n v="0"/>
    <n v="0"/>
    <n v="78715"/>
    <n v="0"/>
    <n v="0"/>
    <n v="0"/>
    <n v="0"/>
    <n v="0"/>
    <n v="0"/>
    <n v="-1.24827779818005E-4"/>
    <n v="17"/>
    <m/>
    <s v="Sonvarsha"/>
    <m/>
    <n v="0"/>
  </r>
  <r>
    <s v="Munger"/>
    <s v="17-23 Jul"/>
    <n v="1036"/>
    <s v="MAHADAT PUR 2"/>
    <x v="624"/>
    <s v="MAHADAT PUR 2"/>
    <s v="MPG"/>
    <s v="Direct"/>
    <n v="2400.7999999999997"/>
    <n v="94728.629999999976"/>
    <n v="2352.8000000000002"/>
    <n v="92823.27"/>
    <n v="48.000000000000007"/>
    <n v="1905.3600000000001"/>
    <n v="2400.8000000000002"/>
    <n v="94728.63"/>
    <n v="94728.629999999976"/>
    <n v="38539"/>
    <n v="1905.3600000000001"/>
    <n v="0"/>
    <n v="0"/>
    <n v="0"/>
    <n v="0"/>
    <n v="54284"/>
    <n v="0"/>
    <n v="0"/>
    <n v="0"/>
    <s v="Release3"/>
    <n v="0"/>
    <n v="0"/>
    <n v="-3.0723373130946486E-16"/>
    <n v="13"/>
    <m/>
    <s v="MAHADAT PUR 2"/>
    <m/>
    <n v="0"/>
  </r>
  <r>
    <s v="Munger"/>
    <s v="17-23 Jul"/>
    <n v="1007"/>
    <s v="Araria"/>
    <x v="625"/>
    <s v="SONBARSHA 1"/>
    <s v="MPG"/>
    <s v="Direct"/>
    <n v="270"/>
    <n v="9609.2999999999993"/>
    <n v="629"/>
    <n v="22386.110000000004"/>
    <n v="333"/>
    <n v="11851.470000000001"/>
    <n v="962"/>
    <n v="34237.58"/>
    <n v="9609.2999999999993"/>
    <n v="0"/>
    <n v="142.36000000000001"/>
    <n v="24628.280000000002"/>
    <n v="0"/>
    <n v="0"/>
    <n v="0"/>
    <n v="9147"/>
    <n v="320"/>
    <n v="0"/>
    <n v="0"/>
    <s v="Release2"/>
    <n v="306.07400000000001"/>
    <n v="38.571428571428569"/>
    <n v="-2.5629629629629633"/>
    <n v="13"/>
    <m/>
    <s v="Araria"/>
    <m/>
    <n v="0"/>
  </r>
  <r>
    <s v="Munger"/>
    <s v="17-23 Jul"/>
    <n v="1007"/>
    <s v="Araria"/>
    <x v="626"/>
    <s v="GANOUL"/>
    <s v="vlc"/>
    <s v="Indirect"/>
    <n v="609"/>
    <n v="21757.54"/>
    <n v="605"/>
    <n v="21722.1"/>
    <n v="0"/>
    <n v="0"/>
    <n v="605"/>
    <n v="21722.1"/>
    <n v="21757.54"/>
    <n v="0"/>
    <n v="144.14000000000001"/>
    <n v="0"/>
    <n v="0"/>
    <n v="0"/>
    <n v="0"/>
    <n v="0"/>
    <n v="0"/>
    <n v="21613.4"/>
    <n v="0"/>
    <n v="0"/>
    <n v="65.022533333333328"/>
    <n v="87"/>
    <n v="0"/>
    <n v="15"/>
    <m/>
    <s v="Araria"/>
    <m/>
    <n v="0"/>
  </r>
  <r>
    <s v="Munger"/>
    <s v="17-23 Jul"/>
    <n v="1007"/>
    <s v="Araria"/>
    <x v="627"/>
    <s v="Gauripur"/>
    <s v="MPG"/>
    <s v="Direct"/>
    <n v="1785"/>
    <n v="62674.71"/>
    <n v="1900"/>
    <n v="68217.5"/>
    <n v="353"/>
    <n v="12866.130000000001"/>
    <n v="2253"/>
    <n v="81083.63"/>
    <n v="62674.71"/>
    <n v="0"/>
    <n v="289.7"/>
    <n v="18408.920000000006"/>
    <n v="0"/>
    <n v="0"/>
    <n v="0"/>
    <n v="55513"/>
    <n v="6872"/>
    <n v="0"/>
    <n v="0"/>
    <s v="Release2"/>
    <n v="0"/>
    <n v="0"/>
    <n v="-0.29372166221431267"/>
    <n v="16"/>
    <m/>
    <s v="Araria"/>
    <m/>
    <n v="0"/>
  </r>
  <r>
    <s v="Munger"/>
    <s v="17-23 Jul"/>
    <n v="1007"/>
    <s v="Araria"/>
    <x v="628"/>
    <s v="Bhramarpur"/>
    <s v="MPG"/>
    <s v="Direct"/>
    <n v="2622"/>
    <n v="90440.82"/>
    <n v="800"/>
    <n v="27632"/>
    <n v="2534"/>
    <n v="87549.98"/>
    <n v="3334"/>
    <n v="115181.98"/>
    <n v="90440.82"/>
    <n v="0"/>
    <n v="207.66"/>
    <n v="24741.159999999989"/>
    <n v="0"/>
    <n v="0"/>
    <n v="0"/>
    <n v="13816"/>
    <n v="76417"/>
    <n v="0"/>
    <n v="0"/>
    <s v="Release2"/>
    <n v="0"/>
    <n v="0"/>
    <n v="-0.27356187173004387"/>
    <n v="16"/>
    <m/>
    <s v="Araria"/>
    <m/>
    <n v="0"/>
  </r>
  <r>
    <s v="Munger"/>
    <s v="17-23 Jul"/>
    <n v="1011"/>
    <s v="Sahibpur Kamal"/>
    <x v="629"/>
    <s v="Gomukh Bariyarpur"/>
    <s v="MPG"/>
    <s v="Direct"/>
    <n v="571.1"/>
    <n v="22252.57"/>
    <n v="571.1"/>
    <n v="22387.119999999999"/>
    <n v="0"/>
    <n v="0"/>
    <n v="571.1"/>
    <n v="22387.119999999999"/>
    <n v="22252.57"/>
    <n v="0"/>
    <n v="0"/>
    <n v="134.54999999999927"/>
    <n v="1350"/>
    <n v="0"/>
    <n v="0"/>
    <n v="20903"/>
    <n v="0"/>
    <n v="0"/>
    <n v="0"/>
    <n v="0"/>
    <n v="100.45022843635088"/>
    <n v="81.585714285714289"/>
    <n v="-6.0464926073707116E-3"/>
    <n v="1"/>
    <m/>
    <s v="Sahibpur Kamal"/>
    <m/>
    <n v="0"/>
  </r>
  <r>
    <s v="Munger"/>
    <s v="17-23 Jul"/>
    <n v="1011"/>
    <s v="Sahibpur Kamal"/>
    <x v="630"/>
    <s v="Gomukh Sadananpur"/>
    <s v="MPG"/>
    <s v="Direct"/>
    <n v="68.400000000000006"/>
    <n v="2382.06"/>
    <n v="60.9"/>
    <n v="2382.6"/>
    <n v="0"/>
    <n v="0"/>
    <n v="60.9"/>
    <n v="2382.6"/>
    <n v="2382.06"/>
    <n v="0"/>
    <n v="0"/>
    <n v="0.53999999999996362"/>
    <n v="0"/>
    <n v="0"/>
    <n v="0"/>
    <n v="2382"/>
    <n v="0"/>
    <n v="0"/>
    <n v="0"/>
    <n v="0"/>
    <n v="439.91494035087715"/>
    <n v="9.7714285714285722"/>
    <n v="-2.2669454169918626E-4"/>
    <n v="1"/>
    <m/>
    <s v="Sahibpur Kamal"/>
    <m/>
    <n v="0"/>
  </r>
  <r>
    <s v="Munger"/>
    <s v="17-23 Jul"/>
    <n v="1003"/>
    <s v="Asarganj"/>
    <x v="631"/>
    <s v="TILAKPUR  2"/>
    <s v="MPG"/>
    <s v="Direct"/>
    <n v="559.45000000000005"/>
    <n v="19648.2"/>
    <n v="571.19999999999993"/>
    <n v="21459.84"/>
    <n v="3.2"/>
    <n v="120.68"/>
    <n v="574.4"/>
    <n v="21580.52"/>
    <n v="19648.2"/>
    <n v="0"/>
    <n v="120.68"/>
    <n v="1932.3199999999997"/>
    <n v="0"/>
    <n v="0"/>
    <n v="0"/>
    <n v="19527"/>
    <n v="0"/>
    <n v="0"/>
    <n v="1"/>
    <n v="0"/>
    <n v="98.723907766556408"/>
    <n v="79.921428571428578"/>
    <n v="-9.8345904459441552E-2"/>
    <n v="9"/>
    <m/>
    <s v="Asarganj"/>
    <m/>
    <n v="0"/>
  </r>
  <r>
    <s v="Munger"/>
    <s v="17-23 Jul"/>
    <n v="1003"/>
    <s v="Asarganj"/>
    <x v="632"/>
    <s v="TILAKPUR"/>
    <s v="MPG"/>
    <s v="Direct"/>
    <n v="767.94999999999982"/>
    <n v="24101.03"/>
    <n v="716.50000000000011"/>
    <n v="23391.77"/>
    <n v="19.2"/>
    <n v="669.81999999999994"/>
    <n v="735.70000000000016"/>
    <n v="24061.59"/>
    <n v="24061.59"/>
    <n v="0"/>
    <n v="669.81999999999994"/>
    <n v="0"/>
    <n v="0"/>
    <n v="0"/>
    <n v="0"/>
    <n v="23392"/>
    <n v="0"/>
    <n v="0"/>
    <n v="39"/>
    <n v="0"/>
    <n v="0"/>
    <n v="0"/>
    <n v="1.6364445834887013E-3"/>
    <n v="4"/>
    <m/>
    <s v="Asarganj"/>
    <m/>
    <n v="0"/>
  </r>
  <r>
    <s v="Munger"/>
    <s v="17-23 Jul"/>
    <n v="1036"/>
    <s v="MAHADAT PUR 2"/>
    <x v="633"/>
    <s v="Prasharpur Kadwa Gomukh"/>
    <s v="MPG"/>
    <s v="Direct"/>
    <n v="314.8"/>
    <n v="12441.72"/>
    <n v="311.84999999999997"/>
    <n v="12448.87"/>
    <n v="3.7"/>
    <n v="151.06"/>
    <n v="315.54999999999995"/>
    <n v="12599.93"/>
    <n v="12441.72"/>
    <n v="0"/>
    <n v="151.06"/>
    <n v="158.21000000000095"/>
    <n v="0"/>
    <n v="0"/>
    <n v="0"/>
    <n v="12291"/>
    <n v="0"/>
    <n v="0"/>
    <n v="0"/>
    <n v="0"/>
    <n v="304.48224548919944"/>
    <n v="44.971428571428575"/>
    <n v="-1.2716087486296183E-2"/>
    <n v="3"/>
    <m/>
    <s v="MAHADAT PUR 2"/>
    <m/>
    <n v="0"/>
  </r>
  <r>
    <s v="Munger"/>
    <s v="17-23 Jul"/>
    <n v="1036"/>
    <s v="MAHADAT PUR 2"/>
    <x v="634"/>
    <s v="Borwa Tola Gomukh"/>
    <s v="MPG"/>
    <s v="Indirect"/>
    <n v="349.90000000000003"/>
    <n v="12319.27"/>
    <n v="352.29999999999995"/>
    <n v="12496.380000000003"/>
    <n v="0"/>
    <n v="0"/>
    <n v="352.29999999999995"/>
    <n v="12496.380000000003"/>
    <n v="12319.27"/>
    <n v="0"/>
    <n v="0"/>
    <n v="177.1100000000024"/>
    <n v="0"/>
    <n v="0"/>
    <n v="0"/>
    <n v="0"/>
    <n v="0"/>
    <n v="12319.27"/>
    <n v="0"/>
    <n v="0"/>
    <n v="246.52623189482705"/>
    <n v="49.985714285714288"/>
    <n v="0"/>
    <n v="1"/>
    <m/>
    <s v="MAHADAT PUR 2"/>
    <m/>
    <n v="0"/>
  </r>
  <r>
    <s v="Munger"/>
    <s v="17-23 Jul"/>
    <n v="1007"/>
    <s v="Araria"/>
    <x v="635"/>
    <s v="Sheela Devi"/>
    <s v="MPG"/>
    <s v="Indirect"/>
    <n v="688"/>
    <n v="22689.199999999997"/>
    <n v="0"/>
    <n v="0"/>
    <n v="0"/>
    <n v="0"/>
    <n v="0"/>
    <n v="0"/>
    <n v="22689.199999999997"/>
    <n v="0"/>
    <n v="0"/>
    <n v="0"/>
    <n v="0"/>
    <n v="0"/>
    <n v="0"/>
    <n v="0"/>
    <n v="0"/>
    <n v="22689.199999999997"/>
    <n v="0"/>
    <n v="0"/>
    <n v="7.9148372093022967"/>
    <n v="98.285714285714292"/>
    <n v="0"/>
    <n v="0"/>
    <m/>
    <s v="Araria"/>
    <m/>
    <n v="0"/>
  </r>
  <r>
    <s v="Munger"/>
    <s v="17-23 Jul"/>
    <n v="1036"/>
    <s v="MAHADAT PUR 2"/>
    <x v="636"/>
    <s v="Gomukh Vijay Lalganj"/>
    <s v="MPG"/>
    <s v="Direct"/>
    <n v="378.50000000000006"/>
    <n v="15718.809999999998"/>
    <n v="379.09999999999997"/>
    <n v="15879.420000000002"/>
    <n v="1.4000000000000001"/>
    <n v="58.529999999999994"/>
    <n v="380.49999999999994"/>
    <n v="15937.950000000003"/>
    <n v="15718.809999999998"/>
    <n v="0"/>
    <n v="58.529999999999994"/>
    <n v="219.14000000000487"/>
    <n v="0"/>
    <n v="0"/>
    <n v="0"/>
    <n v="15660"/>
    <n v="0"/>
    <n v="0"/>
    <n v="0"/>
    <n v="0"/>
    <n v="267.0328885072654"/>
    <n v="54.071428571428577"/>
    <n v="-1.3941258912093531E-2"/>
    <n v="4"/>
    <m/>
    <s v="MAHADAT PUR 2"/>
    <m/>
    <n v="0"/>
  </r>
  <r>
    <s v="Munger"/>
    <s v="17-23 Jul"/>
    <n v="1036"/>
    <s v="MAHADAT PUR 2"/>
    <x v="637"/>
    <s v="Gomukh Sarswati Nagar Nakdahri"/>
    <s v="MPG"/>
    <s v="Direct"/>
    <n v="494.5"/>
    <n v="19916.099999999999"/>
    <n v="201.47"/>
    <n v="8382.2999999999993"/>
    <n v="324.70000000000005"/>
    <n v="13447.73"/>
    <n v="526.17000000000007"/>
    <n v="21830.03"/>
    <n v="19916.099999999999"/>
    <n v="0"/>
    <n v="122.21000000000001"/>
    <n v="1913.9300000000003"/>
    <n v="0"/>
    <n v="0"/>
    <n v="0"/>
    <n v="6469"/>
    <n v="13325"/>
    <n v="0"/>
    <n v="0"/>
    <n v="0"/>
    <n v="165.53118503538931"/>
    <n v="70.642857142857139"/>
    <n v="-9.6099637981331712E-2"/>
    <n v="17"/>
    <m/>
    <s v="MAHADAT PUR 2"/>
    <m/>
    <n v="0"/>
  </r>
  <r>
    <s v="Munger"/>
    <s v="17-23 Jul"/>
    <n v="1036"/>
    <s v="MAHADAT PUR 2"/>
    <x v="638"/>
    <s v="Dhobina Basa"/>
    <s v="MPG"/>
    <s v="Direct"/>
    <n v="411.99999999999994"/>
    <n v="16024.44"/>
    <n v="278.60000000000002"/>
    <n v="11854.34"/>
    <n v="257"/>
    <n v="11218.11"/>
    <n v="535.6"/>
    <n v="23072.45"/>
    <n v="16024.44"/>
    <n v="0"/>
    <n v="43.699999999999996"/>
    <n v="7048.01"/>
    <n v="0"/>
    <n v="0"/>
    <n v="0"/>
    <n v="4806"/>
    <n v="11174"/>
    <n v="0"/>
    <n v="1"/>
    <n v="0"/>
    <n v="224.03100582524283"/>
    <n v="58.857142857142847"/>
    <n v="-0.4398287865285776"/>
    <n v="4"/>
    <m/>
    <s v="MAHADAT PUR 2"/>
    <m/>
    <n v="0"/>
  </r>
  <r>
    <s v="Munger"/>
    <s v="17-23 Jul"/>
    <n v="1036"/>
    <s v="MAHADAT PUR 2"/>
    <x v="639"/>
    <s v="Gomukh Shreepur Madhay"/>
    <s v="MPG"/>
    <s v="Direct"/>
    <n v="1955.4000000000003"/>
    <n v="80097.88"/>
    <n v="1494.5"/>
    <n v="61897.32"/>
    <n v="462.7"/>
    <n v="19217.2"/>
    <n v="1957.2"/>
    <n v="81114.52"/>
    <n v="80097.88"/>
    <n v="0"/>
    <n v="3247.4900000000002"/>
    <n v="1016.6399999999994"/>
    <n v="0"/>
    <n v="0"/>
    <n v="0"/>
    <n v="60880"/>
    <n v="15970"/>
    <n v="0"/>
    <n v="0"/>
    <n v="0"/>
    <n v="0"/>
    <n v="0"/>
    <n v="-1.2692470762022658E-2"/>
    <n v="14"/>
    <m/>
    <s v="MAHADAT PUR 2"/>
    <m/>
    <n v="0"/>
  </r>
  <r>
    <s v="Munger"/>
    <s v="17-23 Jul"/>
    <n v="1036"/>
    <s v="MAHADAT PUR 2"/>
    <x v="640"/>
    <s v="Gomukh Dhoriya Dadpur -VLC"/>
    <s v="vlc"/>
    <s v="Indirect"/>
    <n v="588.9"/>
    <n v="22333.71"/>
    <n v="0"/>
    <n v="0"/>
    <n v="0"/>
    <n v="0"/>
    <n v="0"/>
    <n v="0"/>
    <n v="22333.71"/>
    <n v="0"/>
    <n v="0"/>
    <n v="0"/>
    <n v="0"/>
    <n v="0"/>
    <n v="0"/>
    <n v="0"/>
    <n v="0"/>
    <n v="22333.71"/>
    <n v="0"/>
    <n v="0"/>
    <n v="84.268133163525277"/>
    <n v="84.128571428571419"/>
    <n v="0"/>
    <n v="0"/>
    <m/>
    <s v="MAHADAT PUR 2"/>
    <m/>
    <n v="0"/>
  </r>
  <r>
    <s v="Munger"/>
    <s v="17-23 Jul"/>
    <n v="1036"/>
    <s v="MAHADAT PUR 2"/>
    <x v="641"/>
    <s v="Gomukh Mohanpur  VLC"/>
    <s v="vlc"/>
    <s v="Indirect"/>
    <n v="151.4"/>
    <n v="5523.11"/>
    <n v="0"/>
    <n v="0"/>
    <n v="0"/>
    <n v="0"/>
    <n v="0"/>
    <n v="0"/>
    <n v="5523.11"/>
    <n v="0"/>
    <n v="0"/>
    <n v="0"/>
    <n v="0"/>
    <n v="0"/>
    <n v="0"/>
    <n v="0"/>
    <n v="0"/>
    <n v="5523.11"/>
    <n v="0"/>
    <n v="0"/>
    <n v="400.26131387054158"/>
    <n v="21.62857142857143"/>
    <n v="0"/>
    <n v="0"/>
    <m/>
    <s v="MAHADAT PUR 2"/>
    <m/>
    <n v="0"/>
  </r>
  <r>
    <s v="Munger"/>
    <s v="17-23 Jul"/>
    <n v="1036"/>
    <s v="MAHADAT PUR 2"/>
    <x v="642"/>
    <s v="Gomukh Abhirampur VLC"/>
    <s v="vlc"/>
    <s v="Indirect"/>
    <n v="269.5"/>
    <n v="11201.640000000001"/>
    <n v="0"/>
    <n v="0"/>
    <n v="0"/>
    <n v="0"/>
    <n v="0"/>
    <n v="0"/>
    <n v="11201.640000000001"/>
    <n v="0"/>
    <n v="0"/>
    <n v="0"/>
    <n v="0"/>
    <n v="0"/>
    <n v="0"/>
    <n v="0"/>
    <n v="0"/>
    <n v="11201.640000000001"/>
    <n v="0"/>
    <n v="0"/>
    <n v="357.87057662337668"/>
    <n v="38.5"/>
    <n v="0"/>
    <n v="0"/>
    <m/>
    <s v="MAHADAT PUR 2"/>
    <m/>
    <n v="0"/>
  </r>
  <r>
    <s v="Munger"/>
    <s v="17-23 Jul"/>
    <n v="1003"/>
    <s v="Asarganj"/>
    <x v="643"/>
    <s v="KUNTHA M"/>
    <s v="MPG"/>
    <s v="Direct"/>
    <n v="945.2"/>
    <n v="37051.839999999997"/>
    <n v="1026.1100000000001"/>
    <n v="40233.320000000007"/>
    <n v="17"/>
    <n v="622.87999999999988"/>
    <n v="1043.1100000000001"/>
    <n v="40856.200000000004"/>
    <n v="37051.839999999997"/>
    <n v="0"/>
    <n v="622.87999999999988"/>
    <n v="3804.3600000000079"/>
    <n v="0"/>
    <n v="0"/>
    <n v="0"/>
    <n v="36429"/>
    <n v="0"/>
    <n v="0"/>
    <n v="0"/>
    <n v="0"/>
    <n v="0"/>
    <n v="0"/>
    <n v="-0.10267668218366506"/>
    <n v="10"/>
    <m/>
    <s v="Asarganj"/>
    <m/>
    <n v="0"/>
  </r>
  <r>
    <s v="Munger"/>
    <s v="17-23 Jul"/>
    <n v="1014"/>
    <s v="Dumraon"/>
    <x v="644"/>
    <s v="ARAK"/>
    <s v="MPG"/>
    <s v="Direct"/>
    <n v="2213.8999999999996"/>
    <n v="84385.14999999998"/>
    <n v="2233.8000000000002"/>
    <n v="86931.030000000013"/>
    <n v="14"/>
    <n v="738.93999999999983"/>
    <n v="2247.8000000000002"/>
    <n v="87669.970000000016"/>
    <n v="84385.14999999998"/>
    <n v="0"/>
    <n v="738.93999999999983"/>
    <n v="3284.8200000000361"/>
    <n v="0"/>
    <n v="0"/>
    <n v="0"/>
    <n v="83646"/>
    <n v="0"/>
    <n v="0"/>
    <n v="0"/>
    <n v="0"/>
    <n v="0"/>
    <n v="0"/>
    <n v="-3.8926517284143439E-2"/>
    <n v="35"/>
    <m/>
    <s v="Dumraon"/>
    <m/>
    <n v="0"/>
  </r>
  <r>
    <s v="Munger"/>
    <s v="17-23 Jul"/>
    <n v="1014"/>
    <s v="Dumraon"/>
    <x v="645"/>
    <s v="Diyaman"/>
    <s v="MPG"/>
    <s v="Direct"/>
    <n v="1111"/>
    <n v="46876.15"/>
    <n v="1102.96"/>
    <n v="47028.539999999994"/>
    <n v="5.4000000000000012"/>
    <n v="228.44999999999993"/>
    <n v="1108.3600000000001"/>
    <n v="47256.989999999991"/>
    <n v="46876.15"/>
    <n v="0"/>
    <n v="228.44999999999993"/>
    <n v="380.83999999998923"/>
    <n v="0"/>
    <n v="0"/>
    <n v="0"/>
    <n v="46648"/>
    <n v="0"/>
    <n v="0"/>
    <n v="0"/>
    <n v="0"/>
    <n v="0"/>
    <n v="0"/>
    <n v="-8.1243873483634894E-3"/>
    <n v="9"/>
    <m/>
    <s v="Dumraon"/>
    <m/>
    <n v="0"/>
  </r>
  <r>
    <s v="Munger"/>
    <s v="17-23 Jul"/>
    <n v="1014"/>
    <s v="Dumraon"/>
    <x v="646"/>
    <s v="HENHA"/>
    <s v="MPG"/>
    <s v="Direct"/>
    <n v="2193.6999999999998"/>
    <n v="85504.49"/>
    <n v="2525.6"/>
    <n v="111631.55999999998"/>
    <n v="23.699999999999996"/>
    <n v="1286.0899999999999"/>
    <n v="2549.2999999999997"/>
    <n v="112917.64999999998"/>
    <n v="85504.49"/>
    <n v="0"/>
    <n v="1286.0899999999999"/>
    <n v="27413.159999999974"/>
    <n v="0"/>
    <n v="0"/>
    <n v="0"/>
    <n v="84218"/>
    <n v="0"/>
    <n v="0"/>
    <n v="0"/>
    <n v="0"/>
    <n v="0"/>
    <n v="0"/>
    <n v="-0.32060491794056634"/>
    <n v="5"/>
    <m/>
    <s v="Dumraon"/>
    <m/>
    <n v="0"/>
  </r>
  <r>
    <s v="Munger"/>
    <s v="17-23 Jul"/>
    <n v="1012"/>
    <s v="DalsinghSarai"/>
    <x v="647"/>
    <s v="Suddh Dairy"/>
    <s v="vlc"/>
    <s v="Indirect"/>
    <n v="27850"/>
    <n v="1015675"/>
    <n v="0"/>
    <n v="0"/>
    <n v="0"/>
    <n v="0"/>
    <n v="0"/>
    <n v="0"/>
    <n v="1015675"/>
    <n v="0"/>
    <n v="0"/>
    <n v="0"/>
    <n v="0"/>
    <n v="0"/>
    <n v="0"/>
    <n v="0"/>
    <n v="0"/>
    <n v="1015675"/>
    <n v="0"/>
    <n v="0"/>
    <n v="0"/>
    <n v="0"/>
    <n v="0"/>
    <n v="0"/>
    <m/>
    <s v="DalsinghSarai"/>
    <m/>
    <n v="0"/>
  </r>
  <r>
    <s v="Munger"/>
    <s v="17-23 Jul"/>
    <n v="1053"/>
    <s v="Kalyanpur"/>
    <x v="648"/>
    <s v="Anik Kumar"/>
    <s v="vlc"/>
    <s v="Indirect"/>
    <n v="5239"/>
    <n v="213512.57"/>
    <n v="0"/>
    <n v="0"/>
    <n v="0"/>
    <n v="0"/>
    <n v="0"/>
    <n v="0"/>
    <n v="213512.57"/>
    <n v="0"/>
    <n v="0"/>
    <n v="0"/>
    <n v="0"/>
    <n v="0"/>
    <n v="0"/>
    <n v="0"/>
    <n v="0"/>
    <n v="213512.57"/>
    <n v="0"/>
    <n v="0"/>
    <n v="0"/>
    <n v="0"/>
    <n v="0"/>
    <n v="0"/>
    <m/>
    <s v="Kalyanpur"/>
    <m/>
    <n v="0"/>
  </r>
  <r>
    <s v="Munger"/>
    <s v="17-23 Jul"/>
    <n v="1052"/>
    <s v="3P Network"/>
    <x v="649"/>
    <s v="Nand Kishor Kumar"/>
    <s v="MPG"/>
    <s v="Indirect"/>
    <n v="20310"/>
    <n v="779286.27"/>
    <n v="0"/>
    <n v="0"/>
    <n v="0"/>
    <n v="0"/>
    <n v="0"/>
    <n v="0"/>
    <n v="779286.27"/>
    <n v="0"/>
    <n v="0"/>
    <n v="0"/>
    <n v="0"/>
    <n v="0"/>
    <n v="0"/>
    <n v="0"/>
    <n v="0"/>
    <n v="779286.27"/>
    <n v="0"/>
    <n v="0"/>
    <n v="0"/>
    <n v="0"/>
    <n v="0"/>
    <n v="0"/>
    <m/>
    <s v="3P Network"/>
    <m/>
    <n v="0"/>
  </r>
  <r>
    <s v="Munger"/>
    <s v="17-23 Jul"/>
    <n v="1053"/>
    <s v="Kalyanpur"/>
    <x v="650"/>
    <s v="Gomukh CHANDAULI"/>
    <s v="MPG"/>
    <s v="Direct"/>
    <n v="1386.7999999999995"/>
    <n v="58280.280000000013"/>
    <n v="1374.74"/>
    <n v="57976.73000000001"/>
    <n v="6.91"/>
    <n v="300.55"/>
    <n v="1381.65"/>
    <n v="58277.280000000013"/>
    <n v="58277.280000000013"/>
    <n v="0"/>
    <n v="300.55"/>
    <n v="0"/>
    <n v="0"/>
    <n v="0"/>
    <n v="0"/>
    <n v="57977"/>
    <n v="0"/>
    <n v="0"/>
    <n v="3"/>
    <n v="0"/>
    <n v="0"/>
    <n v="0"/>
    <n v="5.1475387558192913E-5"/>
    <n v="26"/>
    <m/>
    <s v="Kalyanpur"/>
    <m/>
    <n v="0"/>
  </r>
  <r>
    <s v="Munger"/>
    <s v="17-23 Jul"/>
    <n v="1053"/>
    <s v="Kalyanpur"/>
    <x v="651"/>
    <s v="GOMUKH HATHA"/>
    <s v="MPG"/>
    <s v="Direct"/>
    <n v="1874.6000000000004"/>
    <n v="74126.960000000006"/>
    <n v="1878.01"/>
    <n v="73786.569999999978"/>
    <n v="8.31"/>
    <n v="337.47"/>
    <n v="1886.32"/>
    <n v="74124.039999999979"/>
    <n v="74124.039999999979"/>
    <n v="0"/>
    <n v="337.47"/>
    <n v="0"/>
    <n v="15862"/>
    <n v="0"/>
    <n v="0"/>
    <n v="57925"/>
    <n v="0"/>
    <n v="0"/>
    <n v="2"/>
    <n v="0"/>
    <n v="0"/>
    <n v="0"/>
    <n v="3.9391875776739766E-5"/>
    <n v="36"/>
    <m/>
    <s v="Kalyanpur"/>
    <m/>
    <n v="0"/>
  </r>
  <r>
    <s v="Munger"/>
    <s v="17-23 Jul"/>
    <n v="1053"/>
    <s v="Kalyanpur"/>
    <x v="652"/>
    <s v="GOMUKH VADEYA"/>
    <s v="MPG"/>
    <s v="Direct"/>
    <n v="1053.1500000000001"/>
    <n v="45816.200000000004"/>
    <n v="1027.52"/>
    <n v="45385.919999999991"/>
    <n v="9.16"/>
    <n v="427.42"/>
    <n v="1036.68"/>
    <n v="45813.339999999989"/>
    <n v="45813.339999999989"/>
    <n v="0"/>
    <n v="427.42"/>
    <n v="0"/>
    <n v="0"/>
    <n v="0"/>
    <n v="0"/>
    <n v="45385"/>
    <n v="0"/>
    <n v="0"/>
    <n v="4"/>
    <n v="0"/>
    <n v="0"/>
    <n v="0"/>
    <n v="6.2423334977914664E-5"/>
    <n v="28"/>
    <m/>
    <s v="Kalyanpur"/>
    <m/>
    <n v="0"/>
  </r>
  <r>
    <s v="Munger"/>
    <s v="17-23 Jul"/>
    <n v="1053"/>
    <s v="Kalyanpur"/>
    <x v="653"/>
    <s v="GOMUKH CHANDPURA"/>
    <s v="MPG"/>
    <s v="Direct"/>
    <n v="684.6"/>
    <n v="32072.739999999998"/>
    <n v="671.83"/>
    <n v="31923.710000000003"/>
    <n v="3.3200000000000003"/>
    <n v="146.34"/>
    <n v="675.15000000000009"/>
    <n v="32070.050000000003"/>
    <n v="32070.050000000003"/>
    <n v="0"/>
    <n v="146.34"/>
    <n v="0"/>
    <n v="0"/>
    <n v="0"/>
    <n v="0"/>
    <n v="31926"/>
    <n v="0"/>
    <n v="0"/>
    <n v="0"/>
    <n v="0"/>
    <n v="14.429453578732122"/>
    <n v="97.8"/>
    <n v="8.3871848803533858E-5"/>
    <n v="22"/>
    <m/>
    <s v="Kalyanpur"/>
    <m/>
    <n v="0"/>
  </r>
  <r>
    <s v="Munger"/>
    <s v="17-23 Jul"/>
    <n v="1053"/>
    <s v="Kalyanpur"/>
    <x v="654"/>
    <s v="GOMUKH BARGAMA"/>
    <s v="MPG"/>
    <s v="Direct"/>
    <n v="1302.8000000000004"/>
    <n v="61306.419999999991"/>
    <n v="1278.82"/>
    <n v="58049.369999999981"/>
    <n v="45.29"/>
    <n v="3018.83"/>
    <n v="1324.11"/>
    <n v="61068.199999999983"/>
    <n v="61068.199999999983"/>
    <n v="0"/>
    <n v="3018.83"/>
    <n v="0"/>
    <n v="1400"/>
    <n v="0"/>
    <n v="0"/>
    <n v="56645"/>
    <n v="0"/>
    <n v="0"/>
    <n v="243"/>
    <n v="0"/>
    <n v="0"/>
    <n v="0"/>
    <n v="3.8857268129505601E-3"/>
    <n v="68"/>
    <m/>
    <s v="Kalyanpur"/>
    <m/>
    <n v="0"/>
  </r>
  <r>
    <s v="Munger"/>
    <s v="17-23 Jul"/>
    <n v="1053"/>
    <s v="Kalyanpur"/>
    <x v="655"/>
    <s v="Gomukh Gograha Tola"/>
    <s v="MPG"/>
    <s v="Direct"/>
    <n v="476.7999999999999"/>
    <n v="21532.089999999997"/>
    <n v="473.53"/>
    <n v="21529.339999999997"/>
    <n v="0"/>
    <n v="0"/>
    <n v="473.53"/>
    <n v="21529.339999999997"/>
    <n v="21529.339999999997"/>
    <n v="0"/>
    <n v="0"/>
    <n v="0"/>
    <n v="1167"/>
    <n v="0"/>
    <n v="0"/>
    <n v="20362"/>
    <n v="0"/>
    <n v="0"/>
    <n v="3"/>
    <n v="0"/>
    <n v="201.59238624161085"/>
    <n v="68.1142857142857"/>
    <n v="1.2771635266246799E-4"/>
    <n v="12"/>
    <m/>
    <s v="Kalyanpur"/>
    <m/>
    <n v="0"/>
  </r>
  <r>
    <s v="Munger"/>
    <s v="17-23 Jul"/>
    <n v="1053"/>
    <s v="Kalyanpur"/>
    <x v="656"/>
    <s v="Gomukh Patsara"/>
    <s v="MPG"/>
    <s v="Direct"/>
    <n v="388.44999999999987"/>
    <n v="17580.75"/>
    <n v="378.33000000000004"/>
    <n v="17276.890000000003"/>
    <n v="3.9499999999999993"/>
    <n v="165.59"/>
    <n v="382.28000000000003"/>
    <n v="17442.480000000003"/>
    <n v="17442.480000000003"/>
    <n v="0"/>
    <n v="165.59"/>
    <n v="0"/>
    <n v="0"/>
    <n v="0"/>
    <n v="0"/>
    <n v="17276"/>
    <n v="0"/>
    <n v="0"/>
    <n v="139"/>
    <n v="0"/>
    <n v="282.00708778478588"/>
    <n v="55.492857142857126"/>
    <n v="7.8648521820739621E-3"/>
    <n v="7"/>
    <m/>
    <s v="Kalyanpur"/>
    <m/>
    <n v="0"/>
  </r>
  <r>
    <s v="Munger"/>
    <s v="17-23 Jul"/>
    <n v="1053"/>
    <s v="Kalyanpur"/>
    <x v="657"/>
    <s v="Gomukh Singhiya"/>
    <s v="vlc"/>
    <s v="Indirect"/>
    <n v="5880.75"/>
    <n v="242053.59000000003"/>
    <n v="0"/>
    <n v="0"/>
    <n v="0"/>
    <n v="0"/>
    <n v="0"/>
    <n v="0"/>
    <n v="242053.59000000003"/>
    <n v="0"/>
    <n v="0"/>
    <n v="0"/>
    <n v="0"/>
    <n v="0"/>
    <n v="0"/>
    <n v="0"/>
    <n v="0"/>
    <n v="242053.59000000003"/>
    <n v="0"/>
    <n v="0"/>
    <n v="0"/>
    <n v="0"/>
    <n v="0"/>
    <n v="0"/>
    <m/>
    <s v="Kalyanpur"/>
    <m/>
    <n v="0"/>
  </r>
  <r>
    <s v="Munger"/>
    <s v="17-23 Jul"/>
    <n v="1053"/>
    <s v="Kalyanpur"/>
    <x v="658"/>
    <s v="Gomukh BALHA "/>
    <s v="vlc"/>
    <s v="Indirect"/>
    <n v="3138.1500000000005"/>
    <n v="134179.96"/>
    <n v="0"/>
    <n v="0"/>
    <n v="0"/>
    <n v="0"/>
    <n v="0"/>
    <n v="0"/>
    <n v="134179.96"/>
    <n v="0"/>
    <n v="0"/>
    <n v="0"/>
    <n v="0"/>
    <n v="0"/>
    <n v="0"/>
    <n v="0"/>
    <n v="0"/>
    <n v="134179.96"/>
    <n v="0"/>
    <n v="0"/>
    <n v="0"/>
    <n v="0"/>
    <n v="0"/>
    <n v="0"/>
    <m/>
    <s v="Kalyanpur"/>
    <m/>
    <n v="0"/>
  </r>
  <r>
    <s v="Munger"/>
    <s v="17-23 Jul"/>
    <n v="1053"/>
    <s v="Kalyanpur"/>
    <x v="659"/>
    <s v="Gomukh Namapur 2"/>
    <s v="vlc"/>
    <s v="Indirect"/>
    <n v="1627.15"/>
    <n v="61724.270000000004"/>
    <n v="0"/>
    <n v="0"/>
    <n v="0"/>
    <n v="0"/>
    <n v="0"/>
    <n v="0"/>
    <n v="61724.270000000004"/>
    <n v="0"/>
    <n v="0"/>
    <n v="0"/>
    <n v="0"/>
    <n v="0"/>
    <n v="0"/>
    <n v="0"/>
    <n v="0"/>
    <n v="61724.270000000004"/>
    <n v="0"/>
    <n v="0"/>
    <n v="0"/>
    <n v="0"/>
    <n v="0"/>
    <n v="0"/>
    <m/>
    <s v="Kalyanpur"/>
    <m/>
    <n v="0"/>
  </r>
  <r>
    <s v="Munger"/>
    <s v="17-23 Jul"/>
    <n v="1053"/>
    <s v="Kalyanpur"/>
    <x v="660"/>
    <s v="Gomukh Madhopur"/>
    <s v="vlc"/>
    <s v="Indirect"/>
    <n v="749.65"/>
    <n v="31180.81"/>
    <n v="0"/>
    <n v="0"/>
    <n v="0"/>
    <n v="0"/>
    <n v="0"/>
    <n v="0"/>
    <n v="31180.81"/>
    <n v="0"/>
    <n v="0"/>
    <n v="0"/>
    <n v="0"/>
    <n v="0"/>
    <n v="0"/>
    <n v="0"/>
    <n v="0"/>
    <n v="31180.81"/>
    <n v="0"/>
    <n v="0"/>
    <n v="0"/>
    <n v="0"/>
    <n v="0"/>
    <n v="0"/>
    <m/>
    <s v="Kalyanpur"/>
    <m/>
    <n v="0"/>
  </r>
  <r>
    <s v="Munger"/>
    <s v="17-23 Jul"/>
    <n v="1053"/>
    <s v="Kalyanpur"/>
    <x v="661"/>
    <s v="Gomukh Kalyanpur East"/>
    <s v="vlc"/>
    <s v="Indirect"/>
    <n v="866.95"/>
    <n v="34486.799999999996"/>
    <n v="0"/>
    <n v="0"/>
    <n v="0"/>
    <n v="0"/>
    <n v="0"/>
    <n v="0"/>
    <n v="34486.799999999996"/>
    <n v="0"/>
    <n v="0"/>
    <n v="0"/>
    <n v="0"/>
    <n v="0"/>
    <n v="0"/>
    <n v="0"/>
    <n v="0"/>
    <n v="34486.799999999996"/>
    <n v="0"/>
    <n v="0"/>
    <n v="0"/>
    <n v="0"/>
    <n v="0"/>
    <n v="0"/>
    <m/>
    <s v="Kalyanpur"/>
    <m/>
    <n v="0"/>
  </r>
  <r>
    <s v="Munger"/>
    <s v="17-23 Jul"/>
    <n v="1053"/>
    <s v="Kalyanpur"/>
    <x v="662"/>
    <s v="Gomukh Bazidpur"/>
    <s v="vlc"/>
    <s v="Indirect"/>
    <n v="2421.0500000000002"/>
    <n v="108381.53"/>
    <n v="0"/>
    <n v="0"/>
    <n v="0"/>
    <n v="0"/>
    <n v="0"/>
    <n v="0"/>
    <n v="108381.53"/>
    <n v="0"/>
    <n v="0"/>
    <n v="0"/>
    <n v="1550"/>
    <n v="0"/>
    <n v="0"/>
    <n v="0"/>
    <n v="0"/>
    <n v="106831.53"/>
    <n v="0"/>
    <n v="0"/>
    <n v="0"/>
    <n v="0"/>
    <n v="0"/>
    <n v="0"/>
    <m/>
    <s v="Kalyanpur"/>
    <m/>
    <n v="0"/>
  </r>
  <r>
    <s v="Munger"/>
    <s v="17-23 Jul"/>
    <n v="1053"/>
    <s v="Kalyanpur"/>
    <x v="663"/>
    <s v="Gomukh Belsandi"/>
    <s v="vlc"/>
    <s v="Indirect"/>
    <n v="909.85"/>
    <n v="36529.94"/>
    <n v="0"/>
    <n v="0"/>
    <n v="0"/>
    <n v="0"/>
    <n v="0"/>
    <n v="0"/>
    <n v="36529.94"/>
    <n v="0"/>
    <n v="0"/>
    <n v="0"/>
    <n v="0"/>
    <n v="0"/>
    <n v="0"/>
    <n v="0"/>
    <n v="0"/>
    <n v="36529.94"/>
    <n v="0"/>
    <n v="0"/>
    <n v="0"/>
    <n v="0"/>
    <n v="0"/>
    <n v="0"/>
    <m/>
    <s v="Kalyanpur"/>
    <m/>
    <n v="0"/>
  </r>
  <r>
    <s v="Munger"/>
    <s v="17-23 Jul"/>
    <n v="1053"/>
    <s v="Kalyanpur"/>
    <x v="984"/>
    <s v="Gomukh Namapur Ward 8"/>
    <s v="vlc"/>
    <s v="Indirect"/>
    <n v="1619.4"/>
    <n v="67435.7"/>
    <n v="0"/>
    <n v="0"/>
    <n v="0"/>
    <n v="0"/>
    <n v="0"/>
    <n v="0"/>
    <n v="67435.7"/>
    <n v="0"/>
    <n v="0"/>
    <n v="0"/>
    <n v="0"/>
    <n v="0"/>
    <n v="0"/>
    <n v="0"/>
    <n v="0"/>
    <n v="67435.7"/>
    <n v="0"/>
    <n v="0"/>
    <n v="0"/>
    <n v="0"/>
    <n v="0"/>
    <n v="0"/>
    <m/>
    <s v="Kalyanpur"/>
    <m/>
    <n v="0"/>
  </r>
  <r>
    <s v="Munger"/>
    <s v="17-23 Jul"/>
    <n v="1053"/>
    <s v="Kalyanpur"/>
    <x v="664"/>
    <s v="Belsandi"/>
    <s v="vlc"/>
    <s v="Indirect"/>
    <n v="357.65"/>
    <n v="15454.11"/>
    <n v="0"/>
    <n v="0"/>
    <n v="0"/>
    <n v="0"/>
    <n v="0"/>
    <n v="0"/>
    <n v="15454.11"/>
    <n v="0"/>
    <n v="0"/>
    <n v="0"/>
    <n v="0"/>
    <n v="0"/>
    <n v="0"/>
    <n v="0"/>
    <n v="0"/>
    <n v="15454.11"/>
    <n v="0"/>
    <n v="0"/>
    <n v="295.85989422619883"/>
    <n v="51.092857142857142"/>
    <n v="0"/>
    <n v="0"/>
    <m/>
    <s v="Kalyanpur"/>
    <m/>
    <n v="0"/>
  </r>
  <r>
    <s v="Munger"/>
    <s v="17-23 Jul"/>
    <n v="1053"/>
    <s v="Kalyanpur"/>
    <x v="665"/>
    <s v="Gomukh Belsandi East"/>
    <s v="vlc"/>
    <s v="Indirect"/>
    <n v="1143.2999999999997"/>
    <n v="47832.280000000006"/>
    <n v="0"/>
    <n v="0"/>
    <n v="0"/>
    <n v="0"/>
    <n v="0"/>
    <n v="0"/>
    <n v="47832.280000000006"/>
    <n v="0"/>
    <n v="0"/>
    <n v="0"/>
    <n v="0"/>
    <n v="0"/>
    <n v="0"/>
    <n v="0"/>
    <n v="0"/>
    <n v="47832.280000000006"/>
    <n v="0"/>
    <n v="0"/>
    <n v="0"/>
    <n v="0"/>
    <n v="0"/>
    <n v="0"/>
    <m/>
    <s v="Kalyanpur"/>
    <m/>
    <n v="0"/>
  </r>
  <r>
    <s v="Munger"/>
    <s v="17-23 Jul"/>
    <n v="1053"/>
    <s v="Kalyanpur"/>
    <x v="666"/>
    <s v="Gomukh Belsandi West Tola"/>
    <s v="vlc"/>
    <s v="Indirect"/>
    <n v="298.35000000000002"/>
    <n v="11951.81"/>
    <n v="0"/>
    <n v="0"/>
    <n v="0"/>
    <n v="0"/>
    <n v="0"/>
    <n v="0"/>
    <n v="11951.81"/>
    <n v="0"/>
    <n v="0"/>
    <n v="0"/>
    <n v="0"/>
    <n v="0"/>
    <n v="0"/>
    <n v="0"/>
    <n v="0"/>
    <n v="11951.81"/>
    <n v="0"/>
    <n v="0"/>
    <n v="321.79952984749451"/>
    <n v="42.621428571428574"/>
    <n v="0"/>
    <n v="0"/>
    <m/>
    <s v="Kalyanpur"/>
    <m/>
    <n v="0"/>
  </r>
  <r>
    <s v="Munger"/>
    <s v="17-23 Jul"/>
    <n v="1053"/>
    <s v="Kalyanpur"/>
    <x v="667"/>
    <s v="Gomukh Gopalpur"/>
    <s v="vlc"/>
    <s v="Indirect"/>
    <n v="3378.8499999999995"/>
    <n v="140845.4"/>
    <n v="0"/>
    <n v="0"/>
    <n v="0"/>
    <n v="0"/>
    <n v="0"/>
    <n v="0"/>
    <n v="140845.4"/>
    <n v="0"/>
    <n v="0"/>
    <n v="0"/>
    <n v="1550"/>
    <n v="0"/>
    <n v="0"/>
    <n v="0"/>
    <n v="0"/>
    <n v="139295.4"/>
    <n v="0"/>
    <n v="0"/>
    <n v="0"/>
    <n v="0"/>
    <n v="0"/>
    <n v="0"/>
    <m/>
    <s v="Kalyanpur"/>
    <m/>
    <n v="0"/>
  </r>
  <r>
    <s v="Munger"/>
    <s v="17-23 Jul"/>
    <n v="1053"/>
    <s v="Kalyanpur"/>
    <x v="668"/>
    <s v="Gomukh Bharav"/>
    <s v="MPG"/>
    <s v="Direct"/>
    <n v="571.40000000000009"/>
    <n v="28311.360000000001"/>
    <n v="574.56999999999994"/>
    <n v="27812.560000000005"/>
    <n v="5.24"/>
    <n v="239.60999999999999"/>
    <n v="579.80999999999995"/>
    <n v="28052.170000000006"/>
    <n v="28052.170000000006"/>
    <n v="0"/>
    <n v="239.60999999999999"/>
    <n v="0"/>
    <n v="4952.5"/>
    <n v="0"/>
    <n v="0"/>
    <n v="22860"/>
    <n v="0"/>
    <n v="0"/>
    <n v="259"/>
    <n v="0"/>
    <n v="127.43580315015734"/>
    <n v="81.628571428571448"/>
    <n v="9.1549823109873581E-3"/>
    <n v="23"/>
    <m/>
    <s v="Kalyanpur"/>
    <m/>
    <n v="0"/>
  </r>
  <r>
    <s v="Munger"/>
    <s v="17-23 Jul"/>
    <n v="1053"/>
    <s v="Kalyanpur"/>
    <x v="669"/>
    <s v="Gomukh Harpur"/>
    <s v="MPG"/>
    <s v="Direct"/>
    <n v="776.45"/>
    <n v="35461.939999999995"/>
    <n v="766.63"/>
    <n v="34726.479999999996"/>
    <n v="14.11"/>
    <n v="616.54999999999995"/>
    <n v="780.74"/>
    <n v="35343.03"/>
    <n v="35343.03"/>
    <n v="0"/>
    <n v="616.54999999999995"/>
    <n v="0"/>
    <n v="3135"/>
    <n v="0"/>
    <n v="0"/>
    <n v="31590"/>
    <n v="0"/>
    <n v="0"/>
    <n v="120"/>
    <n v="0"/>
    <n v="0"/>
    <n v="0"/>
    <n v="3.3531724434702737E-3"/>
    <n v="23"/>
    <m/>
    <s v="Kalyanpur"/>
    <m/>
    <n v="0"/>
  </r>
  <r>
    <s v="Munger"/>
    <s v="17-23 Jul"/>
    <n v="1053"/>
    <s v="Kalyanpur"/>
    <x v="670"/>
    <s v="Gomukh Fulhatta"/>
    <s v="MPG"/>
    <s v="Direct"/>
    <n v="1875.8999999999999"/>
    <n v="95860.010000000009"/>
    <n v="1866.6299999999999"/>
    <n v="95856.959999999992"/>
    <n v="0"/>
    <n v="0"/>
    <n v="1866.6299999999999"/>
    <n v="95856.959999999992"/>
    <n v="95856.959999999992"/>
    <n v="0"/>
    <n v="0"/>
    <n v="0"/>
    <n v="5729"/>
    <n v="0"/>
    <n v="0"/>
    <n v="90131"/>
    <n v="0"/>
    <n v="0"/>
    <n v="0"/>
    <n v="0"/>
    <n v="0"/>
    <n v="0"/>
    <n v="3.1817230146517428E-5"/>
    <n v="48"/>
    <m/>
    <s v="Kalyanpur"/>
    <m/>
    <n v="0"/>
  </r>
  <r>
    <s v="Munger"/>
    <s v="17-23 Jul"/>
    <n v="1053"/>
    <s v="Kalyanpur"/>
    <x v="671"/>
    <s v="Gomukh Birauli Khurd"/>
    <s v="MPG"/>
    <s v="Direct"/>
    <n v="783.65000000000009"/>
    <n v="38075.399999999994"/>
    <n v="786.96999999999991"/>
    <n v="36803.760000000002"/>
    <n v="27.69"/>
    <n v="1264.2599999999998"/>
    <n v="814.66"/>
    <n v="38068.020000000004"/>
    <n v="38068.020000000004"/>
    <n v="0"/>
    <n v="1264.2599999999998"/>
    <n v="0"/>
    <n v="0"/>
    <n v="0"/>
    <n v="0"/>
    <n v="36802"/>
    <n v="0"/>
    <n v="0"/>
    <n v="9"/>
    <n v="0"/>
    <n v="0"/>
    <n v="0"/>
    <n v="1.9382593485531619E-4"/>
    <n v="21"/>
    <m/>
    <s v="Kalyanpur"/>
    <m/>
    <n v="0"/>
  </r>
  <r>
    <s v="Munger"/>
    <s v="17-23 Jul"/>
    <n v="1053"/>
    <s v="Kalyanpur"/>
    <x v="672"/>
    <s v="Gomukh Bedauliya"/>
    <s v="vlc"/>
    <s v="Indirect"/>
    <n v="667.05"/>
    <n v="27078.370000000003"/>
    <n v="0"/>
    <n v="0"/>
    <n v="0"/>
    <n v="0"/>
    <n v="0"/>
    <n v="0"/>
    <n v="27078.370000000003"/>
    <n v="0"/>
    <n v="0"/>
    <n v="0"/>
    <n v="1550"/>
    <n v="0"/>
    <n v="0"/>
    <n v="0"/>
    <n v="0"/>
    <n v="25528.370000000003"/>
    <n v="0"/>
    <n v="0"/>
    <n v="26.751586582715017"/>
    <n v="95.29285714285713"/>
    <n v="0"/>
    <n v="0"/>
    <m/>
    <s v="Kalyanpur"/>
    <m/>
    <n v="0"/>
  </r>
  <r>
    <s v="Munger"/>
    <s v="17-23 Jul"/>
    <n v="1053"/>
    <s v="Kalyanpur"/>
    <x v="673"/>
    <s v="Gomukh Khanua"/>
    <s v="MPG"/>
    <s v="Direct"/>
    <n v="561.1"/>
    <n v="27101.76999999999"/>
    <n v="564.32999999999993"/>
    <n v="25888.54"/>
    <n v="26.54"/>
    <n v="1174.6399999999999"/>
    <n v="590.86999999999989"/>
    <n v="27063.18"/>
    <n v="27063.18"/>
    <n v="0"/>
    <n v="1174.6399999999999"/>
    <n v="0"/>
    <n v="1400"/>
    <n v="0"/>
    <n v="0"/>
    <n v="24489"/>
    <n v="0"/>
    <n v="0"/>
    <n v="38"/>
    <n v="0"/>
    <n v="134.18056863304216"/>
    <n v="80.157142857142858"/>
    <n v="1.4238922402481184E-3"/>
    <n v="22"/>
    <m/>
    <s v="Kalyanpur"/>
    <m/>
    <n v="0"/>
  </r>
  <r>
    <s v="Munger"/>
    <s v="17-23 Jul"/>
    <n v="1053"/>
    <s v="Kalyanpur"/>
    <x v="674"/>
    <s v="Gomukh Punas"/>
    <s v="MPG"/>
    <s v="Direct"/>
    <n v="1377.0000000000002"/>
    <n v="65196.88"/>
    <n v="1391.58"/>
    <n v="64362.069999999992"/>
    <n v="17.350000000000001"/>
    <n v="801.9799999999999"/>
    <n v="1408.9299999999998"/>
    <n v="65164.049999999996"/>
    <n v="65164.049999999996"/>
    <n v="0"/>
    <n v="801.9799999999999"/>
    <n v="0"/>
    <n v="0"/>
    <n v="0"/>
    <n v="0"/>
    <n v="64364"/>
    <n v="0"/>
    <n v="0"/>
    <n v="31"/>
    <n v="0"/>
    <n v="0"/>
    <n v="0"/>
    <n v="5.0355170370118552E-4"/>
    <n v="26"/>
    <m/>
    <s v="Kalyanpur"/>
    <m/>
    <n v="0"/>
  </r>
  <r>
    <s v="Munger"/>
    <s v="17-23 Jul"/>
    <n v="1053"/>
    <s v="Kalyanpur"/>
    <x v="675"/>
    <s v="Gomukh Loharkha"/>
    <s v="MPG"/>
    <s v="Direct"/>
    <n v="324.5"/>
    <n v="16213.05"/>
    <n v="305.5"/>
    <n v="16210.329999999998"/>
    <n v="0"/>
    <n v="0"/>
    <n v="305.5"/>
    <n v="16210.329999999998"/>
    <n v="16210.329999999998"/>
    <n v="0"/>
    <n v="0"/>
    <n v="0"/>
    <n v="0"/>
    <n v="0"/>
    <n v="0"/>
    <n v="16209"/>
    <n v="0"/>
    <n v="0"/>
    <n v="4"/>
    <n v="0"/>
    <n v="375.22343759630195"/>
    <n v="46.357142857142854"/>
    <n v="1.6776608966241171E-4"/>
    <n v="13"/>
    <m/>
    <s v="Kalyanpur"/>
    <m/>
    <n v="0"/>
  </r>
  <r>
    <s v="Munger"/>
    <s v="17-23 Jul"/>
    <n v="1053"/>
    <s v="Kalyanpur"/>
    <x v="676"/>
    <s v="Gomukh Dighra"/>
    <s v="MPG"/>
    <s v="Direct"/>
    <n v="326.90000000000003"/>
    <n v="11241.51"/>
    <n v="306.5"/>
    <n v="11023.12"/>
    <n v="5.8699999999999992"/>
    <n v="211.80999999999997"/>
    <n v="312.37"/>
    <n v="11234.93"/>
    <n v="11234.93"/>
    <n v="0"/>
    <n v="211.80999999999997"/>
    <n v="0"/>
    <n v="3200"/>
    <n v="0"/>
    <n v="0"/>
    <n v="7824"/>
    <n v="0"/>
    <n v="0"/>
    <n v="6"/>
    <n v="0"/>
    <n v="256.60491777301922"/>
    <n v="46.7"/>
    <n v="5.8533061839556491E-4"/>
    <n v="5"/>
    <m/>
    <s v="Kalyanpur"/>
    <m/>
    <n v="0"/>
  </r>
  <r>
    <s v="Munger"/>
    <s v="17-23 Jul"/>
    <n v="1053"/>
    <s v="Kalyanpur"/>
    <x v="677"/>
    <s v="Basuwari"/>
    <s v="MPG"/>
    <s v="Direct"/>
    <n v="266.45000000000005"/>
    <n v="10733.439999999997"/>
    <n v="263.14"/>
    <n v="10534.460000000001"/>
    <n v="3.98"/>
    <n v="195.14999999999998"/>
    <n v="267.12"/>
    <n v="10729.61"/>
    <n v="10729.61"/>
    <n v="0"/>
    <n v="195.14999999999998"/>
    <n v="0"/>
    <n v="0"/>
    <n v="0"/>
    <n v="0"/>
    <n v="10534"/>
    <n v="0"/>
    <n v="0"/>
    <n v="4"/>
    <n v="0"/>
    <n v="349.29502060424079"/>
    <n v="38.064285714285724"/>
    <n v="3.5682875201205674E-4"/>
    <n v="10"/>
    <m/>
    <s v="Kalyanpur"/>
    <m/>
    <n v="0"/>
  </r>
  <r>
    <s v="Munger"/>
    <s v="17-23 Jul"/>
    <n v="1053"/>
    <s v="Kalyanpur"/>
    <x v="678"/>
    <s v="Belsandi 3"/>
    <s v="vlc"/>
    <s v="Indirect"/>
    <n v="2153.3999999999996"/>
    <n v="86011.290000000008"/>
    <n v="0"/>
    <n v="0"/>
    <n v="0"/>
    <n v="0"/>
    <n v="0"/>
    <n v="0"/>
    <n v="86011.290000000008"/>
    <n v="0"/>
    <n v="0"/>
    <n v="0"/>
    <n v="0"/>
    <n v="0"/>
    <n v="0"/>
    <n v="0"/>
    <n v="0"/>
    <n v="86011.290000000008"/>
    <n v="0"/>
    <n v="0"/>
    <n v="0"/>
    <n v="0"/>
    <n v="0"/>
    <n v="0"/>
    <m/>
    <s v="Kalyanpur"/>
    <m/>
    <n v="0"/>
  </r>
  <r>
    <s v="Munger"/>
    <s v="17-23 Jul"/>
    <n v="1053"/>
    <s v="Kalyanpur"/>
    <x v="679"/>
    <s v="Gomukh Bhagwanpur"/>
    <s v="vlc"/>
    <s v="Indirect"/>
    <n v="231.7"/>
    <n v="11630.18"/>
    <n v="0"/>
    <n v="0"/>
    <n v="0"/>
    <n v="0"/>
    <n v="0"/>
    <n v="0"/>
    <n v="11630.18"/>
    <n v="0"/>
    <n v="0"/>
    <n v="0"/>
    <n v="0"/>
    <n v="0"/>
    <n v="0"/>
    <n v="0"/>
    <n v="0"/>
    <n v="11630.18"/>
    <n v="0"/>
    <n v="0"/>
    <n v="470.126309365559"/>
    <n v="33.1"/>
    <n v="0"/>
    <n v="0"/>
    <m/>
    <s v="Kalyanpur"/>
    <m/>
    <n v="0"/>
  </r>
  <r>
    <s v="Munger"/>
    <s v="17-23 Jul"/>
    <n v="1066"/>
    <s v="Gaighat"/>
    <x v="985"/>
    <s v="Gomukh PARAN"/>
    <s v="vlc"/>
    <s v="Indirect"/>
    <n v="3420.5"/>
    <n v="145668.75999999998"/>
    <n v="0"/>
    <n v="0"/>
    <n v="0"/>
    <n v="0"/>
    <n v="0"/>
    <n v="0"/>
    <n v="145668.75999999998"/>
    <n v="0"/>
    <n v="0"/>
    <n v="0"/>
    <n v="0"/>
    <n v="0"/>
    <n v="0"/>
    <n v="0"/>
    <n v="0"/>
    <n v="145668.75999999998"/>
    <n v="0"/>
    <n v="0"/>
    <n v="0"/>
    <n v="0"/>
    <n v="0"/>
    <n v="0"/>
    <m/>
    <s v="Gaighat"/>
    <m/>
    <n v="0"/>
  </r>
  <r>
    <s v="Munger"/>
    <s v="17-23 Jul"/>
    <n v="1053"/>
    <s v="Kalyanpur"/>
    <x v="681"/>
    <s v="GOMUKH HARPUR W-13"/>
    <s v="MPG"/>
    <s v="Direct"/>
    <n v="1765.2"/>
    <n v="73243.339999999982"/>
    <n v="1725.1000000000004"/>
    <n v="72044.28"/>
    <n v="28.240000000000002"/>
    <n v="1181.8399999999999"/>
    <n v="1753.3400000000004"/>
    <n v="73226.12"/>
    <n v="73226.12"/>
    <n v="0"/>
    <n v="1181.8399999999999"/>
    <n v="0"/>
    <n v="1885"/>
    <n v="0"/>
    <n v="0"/>
    <n v="70160"/>
    <n v="0"/>
    <n v="0"/>
    <n v="16"/>
    <n v="0"/>
    <n v="0"/>
    <n v="0"/>
    <n v="2.3510670048616867E-4"/>
    <n v="50"/>
    <m/>
    <s v="Kalyanpur"/>
    <m/>
    <n v="0"/>
  </r>
  <r>
    <s v="Munger"/>
    <s v="17-23 Jul"/>
    <n v="1053"/>
    <s v="Kalyanpur"/>
    <x v="682"/>
    <s v="GOMUKH MILKI"/>
    <s v="vlc"/>
    <s v="Indirect"/>
    <n v="52.9"/>
    <n v="2398.4"/>
    <n v="0"/>
    <n v="0"/>
    <n v="0"/>
    <n v="0"/>
    <n v="0"/>
    <n v="0"/>
    <n v="2398.4"/>
    <n v="0"/>
    <n v="0"/>
    <n v="0"/>
    <n v="0"/>
    <n v="0"/>
    <n v="0"/>
    <n v="0"/>
    <n v="0"/>
    <n v="2398.4"/>
    <n v="0"/>
    <n v="0"/>
    <n v="586.76924007561445"/>
    <n v="7.5571428571428569"/>
    <n v="0"/>
    <n v="0"/>
    <m/>
    <s v="Kalyanpur"/>
    <m/>
    <n v="0"/>
  </r>
  <r>
    <s v="Munger"/>
    <s v="17-23 Jul"/>
    <n v="1053"/>
    <s v="Kalyanpur"/>
    <x v="683"/>
    <s v="Gomukh Ratwara"/>
    <s v="MPG"/>
    <s v="Direct"/>
    <n v="143.4"/>
    <n v="5369.63"/>
    <n v="144.86999999999998"/>
    <n v="5296.5400000000009"/>
    <n v="0"/>
    <n v="0"/>
    <n v="144.86999999999998"/>
    <n v="5296.5400000000009"/>
    <n v="5296.5400000000009"/>
    <n v="0"/>
    <n v="0"/>
    <n v="0"/>
    <n v="0"/>
    <n v="500"/>
    <n v="0"/>
    <n v="4797"/>
    <n v="0"/>
    <n v="0"/>
    <n v="73"/>
    <n v="0"/>
    <n v="416.83905969316589"/>
    <n v="20.485714285714288"/>
    <n v="1.3611738611412561E-2"/>
    <n v="6"/>
    <m/>
    <s v="Kalyanpur"/>
    <m/>
    <n v="500"/>
  </r>
  <r>
    <s v="Munger"/>
    <s v="17-23 Jul"/>
    <n v="1053"/>
    <s v="Kalyanpur"/>
    <x v="684"/>
    <s v="Gomukh Fulhara"/>
    <s v="vlc"/>
    <s v="Indirect"/>
    <n v="1865.55"/>
    <n v="84113.09"/>
    <n v="0"/>
    <n v="0"/>
    <n v="0"/>
    <n v="0"/>
    <n v="0"/>
    <n v="0"/>
    <n v="84113.09"/>
    <n v="0"/>
    <n v="0"/>
    <n v="0"/>
    <n v="0"/>
    <n v="0"/>
    <n v="0"/>
    <n v="0"/>
    <n v="0"/>
    <n v="84113.09"/>
    <n v="0"/>
    <n v="0"/>
    <n v="0"/>
    <n v="0"/>
    <n v="0"/>
    <n v="0"/>
    <m/>
    <s v="Kalyanpur"/>
    <m/>
    <n v="0"/>
  </r>
  <r>
    <s v="Munger"/>
    <s v="17-23 Jul"/>
    <n v="1053"/>
    <s v="Kalyanpur"/>
    <x v="685"/>
    <s v="Gomukh Ranitola"/>
    <s v="vlc"/>
    <s v="Indirect"/>
    <n v="695.19999999999993"/>
    <n v="31874.370000000003"/>
    <n v="0"/>
    <n v="0"/>
    <n v="0"/>
    <n v="0"/>
    <n v="0"/>
    <n v="0"/>
    <n v="31874.370000000003"/>
    <n v="0"/>
    <n v="0"/>
    <n v="0"/>
    <n v="0"/>
    <n v="0"/>
    <n v="0"/>
    <n v="0"/>
    <n v="0"/>
    <n v="31874.370000000003"/>
    <n v="0"/>
    <n v="0"/>
    <n v="4.4015240506329878"/>
    <n v="99.314285714285703"/>
    <n v="0"/>
    <n v="0"/>
    <m/>
    <s v="Kalyanpur"/>
    <m/>
    <n v="0"/>
  </r>
  <r>
    <s v="Munger"/>
    <s v="17-23 Jul"/>
    <n v="1053"/>
    <s v="Kalyanpur"/>
    <x v="686"/>
    <s v="Gomukh Malinagar East"/>
    <s v="MPG"/>
    <s v="Direct"/>
    <n v="1182.8499999999999"/>
    <n v="51321.79"/>
    <n v="1183.8699999999999"/>
    <n v="51011.65"/>
    <n v="6.0000000000000009"/>
    <n v="281.65000000000003"/>
    <n v="1189.8699999999999"/>
    <n v="51293.3"/>
    <n v="51293.3"/>
    <n v="0"/>
    <n v="281.65000000000003"/>
    <n v="0"/>
    <n v="0"/>
    <n v="0"/>
    <n v="0"/>
    <n v="51011"/>
    <n v="0"/>
    <n v="0"/>
    <n v="29"/>
    <n v="0"/>
    <n v="0"/>
    <n v="0"/>
    <n v="5.5512483099279979E-4"/>
    <n v="9"/>
    <m/>
    <s v="Kalyanpur"/>
    <m/>
    <n v="0"/>
  </r>
  <r>
    <s v="Munger"/>
    <s v="17-23 Jul"/>
    <n v="1053"/>
    <s v="Kalyanpur"/>
    <x v="687"/>
    <s v="GOMUKH Singhiya Ward 11"/>
    <s v="vlc"/>
    <s v="Indirect"/>
    <n v="129.94999999999999"/>
    <n v="6010.64"/>
    <n v="0"/>
    <n v="0"/>
    <n v="0"/>
    <n v="0"/>
    <n v="0"/>
    <n v="0"/>
    <n v="6010.64"/>
    <n v="0"/>
    <n v="0"/>
    <n v="0"/>
    <n v="3100"/>
    <n v="0"/>
    <n v="0"/>
    <n v="0"/>
    <n v="0"/>
    <n v="2910.6400000000003"/>
    <n v="0"/>
    <n v="0"/>
    <n v="527.33594951904581"/>
    <n v="18.564285714285713"/>
    <n v="0"/>
    <n v="0"/>
    <m/>
    <s v="Kalyanpur"/>
    <m/>
    <n v="0"/>
  </r>
  <r>
    <s v="Munger"/>
    <s v="17-23 Jul"/>
    <n v="1053"/>
    <s v="Kalyanpur"/>
    <x v="688"/>
    <s v="GOMUKH MANIYARPUR"/>
    <s v="MPG"/>
    <s v="Direct"/>
    <n v="1181.4500000000003"/>
    <n v="51450.100000000013"/>
    <n v="1179.7299999999998"/>
    <n v="49468.869999999981"/>
    <n v="35.250000000000007"/>
    <n v="1544.2599999999995"/>
    <n v="1214.9799999999998"/>
    <n v="51013.129999999983"/>
    <n v="51013.129999999983"/>
    <n v="0"/>
    <n v="1544.2599999999995"/>
    <n v="0"/>
    <n v="0"/>
    <n v="0"/>
    <n v="0"/>
    <n v="49471"/>
    <n v="0"/>
    <n v="0"/>
    <n v="435"/>
    <n v="0"/>
    <n v="0"/>
    <n v="0"/>
    <n v="8.4930835897312189E-3"/>
    <n v="33"/>
    <m/>
    <s v="Kalyanpur"/>
    <m/>
    <n v="0"/>
  </r>
  <r>
    <s v="Munger"/>
    <s v="17-23 Jul"/>
    <n v="1053"/>
    <s v="Kalyanpur"/>
    <x v="689"/>
    <s v="GOMUKH DIGHRA W-6"/>
    <s v="MPG"/>
    <s v="Direct"/>
    <n v="1108.55"/>
    <n v="43960.09"/>
    <n v="1099.7399999999998"/>
    <n v="43307.97"/>
    <n v="11.92"/>
    <n v="524.21"/>
    <n v="1111.6599999999999"/>
    <n v="43832.18"/>
    <n v="43832.18"/>
    <n v="0"/>
    <n v="524.21"/>
    <n v="0"/>
    <n v="9300"/>
    <n v="0"/>
    <n v="0"/>
    <n v="34007"/>
    <n v="0"/>
    <n v="0"/>
    <n v="129"/>
    <n v="0"/>
    <n v="0"/>
    <n v="0"/>
    <n v="2.9096846708001785E-3"/>
    <n v="10"/>
    <m/>
    <s v="Kalyanpur"/>
    <m/>
    <n v="0"/>
  </r>
  <r>
    <s v="Munger"/>
    <s v="17-23 Jul"/>
    <n v="1053"/>
    <s v="Kalyanpur"/>
    <x v="690"/>
    <s v="GOMUKH BANDRA W-6"/>
    <s v="MPG"/>
    <s v="Direct"/>
    <n v="457.84999999999997"/>
    <n v="20469.309999999998"/>
    <n v="468.78000000000003"/>
    <n v="20217.770000000004"/>
    <n v="5.59"/>
    <n v="242.37"/>
    <n v="474.37"/>
    <n v="20460.140000000003"/>
    <n v="20460.140000000003"/>
    <n v="0"/>
    <n v="242.37"/>
    <n v="0"/>
    <n v="0"/>
    <n v="0"/>
    <n v="0"/>
    <n v="20217"/>
    <n v="0"/>
    <n v="0"/>
    <n v="10"/>
    <n v="0"/>
    <n v="216.5182228459102"/>
    <n v="65.407142857142858"/>
    <n v="4.4798774360223264E-4"/>
    <n v="21"/>
    <m/>
    <s v="Kalyanpur"/>
    <m/>
    <n v="0"/>
  </r>
  <r>
    <s v="Munger"/>
    <s v="17-23 Jul"/>
    <n v="1066"/>
    <s v="Gaighat"/>
    <x v="691"/>
    <s v="BELSANDI W-9"/>
    <s v="vlc"/>
    <s v="Indirect"/>
    <n v="135.80000000000001"/>
    <n v="6096.61"/>
    <n v="0"/>
    <n v="0"/>
    <n v="0"/>
    <n v="0"/>
    <n v="0"/>
    <n v="0"/>
    <n v="6096.61"/>
    <n v="0"/>
    <n v="0"/>
    <n v="0"/>
    <n v="0"/>
    <n v="0"/>
    <n v="0"/>
    <n v="0"/>
    <n v="0"/>
    <n v="6096.61"/>
    <n v="0"/>
    <n v="0"/>
    <n v="506.58429484536072"/>
    <n v="19.400000000000002"/>
    <n v="0"/>
    <n v="0"/>
    <m/>
    <s v="Gaighat"/>
    <m/>
    <n v="0"/>
  </r>
  <r>
    <s v="Munger"/>
    <s v="17-23 Jul"/>
    <n v="1053"/>
    <s v="Kalyanpur"/>
    <x v="692"/>
    <s v="GOMUKH PARAN 2"/>
    <s v="MPG"/>
    <s v="Direct"/>
    <n v="285.5"/>
    <n v="14360.730000000003"/>
    <n v="293.55"/>
    <n v="14057.859999999999"/>
    <n v="5.84"/>
    <n v="298.56"/>
    <n v="299.39"/>
    <n v="14356.419999999998"/>
    <n v="14356.419999999998"/>
    <n v="0"/>
    <n v="298.56"/>
    <n v="0"/>
    <n v="1366"/>
    <n v="500"/>
    <n v="0"/>
    <n v="12191"/>
    <n v="0"/>
    <n v="0"/>
    <n v="5"/>
    <n v="0"/>
    <n v="416.9893229422068"/>
    <n v="40.785714285714285"/>
    <n v="3.0012401876540723E-4"/>
    <n v="17"/>
    <m/>
    <s v="Kalyanpur"/>
    <m/>
    <n v="500"/>
  </r>
  <r>
    <s v="Munger"/>
    <s v="17-23 Jul"/>
    <n v="1053"/>
    <s v="Kalyanpur"/>
    <x v="693"/>
    <s v="GOMUKH KHARAGPUR"/>
    <s v="MPG"/>
    <s v="Direct"/>
    <n v="495.34999999999997"/>
    <n v="23372.699999999997"/>
    <n v="485.52000000000004"/>
    <n v="23370.87"/>
    <n v="0"/>
    <n v="0"/>
    <n v="485.52000000000004"/>
    <n v="23370.87"/>
    <n v="23370.87"/>
    <n v="0"/>
    <n v="0"/>
    <n v="0"/>
    <n v="0"/>
    <n v="0"/>
    <n v="0"/>
    <n v="23371"/>
    <n v="0"/>
    <n v="0"/>
    <n v="2"/>
    <n v="0"/>
    <n v="193.12498455637433"/>
    <n v="70.764285714285705"/>
    <n v="7.8296474091487446E-5"/>
    <n v="12"/>
    <m/>
    <s v="Kalyanpur"/>
    <m/>
    <n v="0"/>
  </r>
  <r>
    <s v="Munger"/>
    <s v="17-23 Jul"/>
    <n v="1053"/>
    <s v="Kalyanpur"/>
    <x v="694"/>
    <s v="KAMARGAMA"/>
    <s v="vlc"/>
    <s v="Indirect"/>
    <n v="622.70000000000005"/>
    <n v="38174.53"/>
    <n v="0"/>
    <n v="0"/>
    <n v="0"/>
    <n v="0"/>
    <n v="0"/>
    <n v="0"/>
    <n v="38174.53"/>
    <n v="0"/>
    <n v="0"/>
    <n v="0"/>
    <n v="0"/>
    <n v="0"/>
    <n v="0"/>
    <n v="0"/>
    <n v="0"/>
    <n v="38174.53"/>
    <n v="0"/>
    <n v="0"/>
    <n v="94.777297864139911"/>
    <n v="88.95714285714287"/>
    <n v="0"/>
    <n v="0"/>
    <m/>
    <s v="Kalyanpur"/>
    <m/>
    <n v="0"/>
  </r>
  <r>
    <s v="Munger"/>
    <s v="17-23 Jul"/>
    <n v="1053"/>
    <s v="Kalyanpur"/>
    <x v="695"/>
    <s v="GOMUKH BALAHA W-9"/>
    <s v="MPG"/>
    <s v="Direct"/>
    <n v="778.05000000000007"/>
    <n v="33114.049999999996"/>
    <n v="763.75000000000011"/>
    <n v="32205.240000000005"/>
    <n v="15.17"/>
    <n v="615.0300000000002"/>
    <n v="778.92000000000007"/>
    <n v="32820.270000000004"/>
    <n v="32820.270000000004"/>
    <n v="0"/>
    <n v="615.0300000000002"/>
    <n v="0"/>
    <n v="0"/>
    <n v="0"/>
    <n v="0"/>
    <n v="32204"/>
    <n v="0"/>
    <n v="0"/>
    <n v="295"/>
    <n v="0"/>
    <n v="0"/>
    <n v="0"/>
    <n v="8.8717628921859935E-3"/>
    <n v="23"/>
    <m/>
    <s v="Kalyanpur"/>
    <m/>
    <n v="0"/>
  </r>
  <r>
    <s v="Munger"/>
    <s v="17-23 Jul"/>
    <n v="1053"/>
    <s v="Kalyanpur"/>
    <x v="697"/>
    <s v="GOMUKH Madanpur W-3"/>
    <s v="MPG"/>
    <s v="Direct"/>
    <n v="2413.4500000000007"/>
    <n v="116052.84"/>
    <n v="2387.4899999999998"/>
    <n v="113193.5"/>
    <n v="30.45"/>
    <n v="1371.93"/>
    <n v="2417.9399999999996"/>
    <n v="114565.43"/>
    <n v="114565.43"/>
    <n v="0"/>
    <n v="1371.93"/>
    <n v="0"/>
    <n v="0"/>
    <n v="0"/>
    <n v="0"/>
    <n v="113193"/>
    <n v="0"/>
    <n v="0"/>
    <n v="1488"/>
    <n v="0"/>
    <n v="0"/>
    <n v="0"/>
    <n v="1.281666178957795E-2"/>
    <n v="50"/>
    <m/>
    <s v="Kalyanpur"/>
    <m/>
    <n v="0"/>
  </r>
  <r>
    <s v="Munger"/>
    <s v="17-23 Jul"/>
    <n v="1053"/>
    <s v="Kalyanpur"/>
    <x v="698"/>
    <s v="Gomukh Namapur East (08)"/>
    <s v="vlc"/>
    <s v="Indirect"/>
    <n v="737.9"/>
    <n v="29753.85"/>
    <n v="0"/>
    <n v="0"/>
    <n v="0"/>
    <n v="0"/>
    <n v="0"/>
    <n v="0"/>
    <n v="29753.85"/>
    <n v="0"/>
    <n v="0"/>
    <n v="0"/>
    <n v="910"/>
    <n v="0"/>
    <n v="0"/>
    <n v="0"/>
    <n v="0"/>
    <n v="28843.85"/>
    <n v="0"/>
    <n v="0"/>
    <n v="0"/>
    <n v="0"/>
    <n v="0"/>
    <n v="0"/>
    <m/>
    <s v="Kalyanpur"/>
    <m/>
    <n v="0"/>
  </r>
  <r>
    <s v="Munger"/>
    <s v="17-23 Jul"/>
    <n v="1053"/>
    <s v="Kalyanpur"/>
    <x v="699"/>
    <s v="GOMUKH Kalaunjar"/>
    <s v="MPG"/>
    <s v="Direct"/>
    <n v="772.69999999999993"/>
    <n v="33989.479999999996"/>
    <n v="761.00000000000011"/>
    <n v="32348.510000000006"/>
    <n v="36.52000000000001"/>
    <n v="1593.3999999999996"/>
    <n v="797.5200000000001"/>
    <n v="33941.910000000003"/>
    <n v="33941.910000000003"/>
    <n v="0"/>
    <n v="1593.3999999999996"/>
    <n v="0"/>
    <n v="0"/>
    <n v="0"/>
    <n v="0"/>
    <n v="32349"/>
    <n v="0"/>
    <n v="0"/>
    <n v="47"/>
    <n v="0"/>
    <n v="0"/>
    <n v="0"/>
    <n v="1.3995506845056894E-3"/>
    <n v="11"/>
    <m/>
    <s v="Kalyanpur"/>
    <m/>
    <n v="0"/>
  </r>
  <r>
    <s v="Munger"/>
    <s v="17-23 Jul"/>
    <n v="1053"/>
    <s v="Kalyanpur"/>
    <x v="700"/>
    <s v="Jitwariya W-11"/>
    <s v="vlc"/>
    <s v="Indirect"/>
    <n v="138.9"/>
    <n v="7150.0300000000007"/>
    <n v="0"/>
    <n v="0"/>
    <n v="0"/>
    <n v="0"/>
    <n v="0"/>
    <n v="0"/>
    <n v="7150.0300000000007"/>
    <n v="0"/>
    <n v="0"/>
    <n v="0"/>
    <n v="0"/>
    <n v="0"/>
    <n v="0"/>
    <n v="0"/>
    <n v="0"/>
    <n v="7150.0300000000007"/>
    <n v="0"/>
    <n v="0"/>
    <n v="577.66477077033846"/>
    <n v="19.842857142857145"/>
    <n v="0"/>
    <n v="0"/>
    <m/>
    <s v="Kalyanpur"/>
    <m/>
    <n v="0"/>
  </r>
  <r>
    <s v="Munger"/>
    <s v="17-23 Jul"/>
    <n v="1053"/>
    <s v="Kalyanpur"/>
    <x v="701"/>
    <s v="Pastara Lakshman"/>
    <s v="vlc"/>
    <s v="Indirect"/>
    <n v="134.79999999999998"/>
    <n v="4732.26"/>
    <n v="0"/>
    <n v="0"/>
    <n v="0"/>
    <n v="0"/>
    <n v="0"/>
    <n v="0"/>
    <n v="4732.26"/>
    <n v="0"/>
    <n v="0"/>
    <n v="0"/>
    <n v="0"/>
    <n v="0"/>
    <n v="0"/>
    <n v="0"/>
    <n v="0"/>
    <n v="4732.26"/>
    <n v="0"/>
    <n v="0"/>
    <n v="396.83580890207719"/>
    <n v="19.257142857142856"/>
    <n v="0"/>
    <n v="0"/>
    <m/>
    <s v="Kalyanpur"/>
    <m/>
    <n v="0"/>
  </r>
  <r>
    <s v="Munger"/>
    <s v="17-23 Jul"/>
    <n v="1053"/>
    <s v="Kalyanpur"/>
    <x v="702"/>
    <s v="GOMUKH DADHIYA-2"/>
    <s v="MPG"/>
    <s v="Direct"/>
    <n v="1591.8999999999999"/>
    <n v="70886.989999999991"/>
    <n v="1583.21"/>
    <n v="68504.849999999991"/>
    <n v="48.949999999999996"/>
    <n v="2230.58"/>
    <n v="1632.16"/>
    <n v="70735.429999999993"/>
    <n v="70735.429999999993"/>
    <n v="0"/>
    <n v="2230.58"/>
    <n v="0"/>
    <n v="0"/>
    <n v="0"/>
    <n v="0"/>
    <n v="68505"/>
    <n v="0"/>
    <n v="0"/>
    <n v="151"/>
    <n v="0"/>
    <n v="0"/>
    <n v="0"/>
    <n v="2.1380510020244576E-3"/>
    <n v="40"/>
    <m/>
    <s v="Kalyanpur"/>
    <m/>
    <n v="0"/>
  </r>
  <r>
    <s v="Munger"/>
    <s v="17-23 Jul"/>
    <n v="1053"/>
    <s v="Kalyanpur"/>
    <x v="703"/>
    <s v="GOMUKH PREMNAGAR"/>
    <s v="MPG"/>
    <s v="Direct"/>
    <n v="1221.25"/>
    <n v="51105.24"/>
    <n v="1187.4299999999998"/>
    <n v="51024.090000000011"/>
    <n v="1.9100000000000001"/>
    <n v="78.14"/>
    <n v="1189.3399999999999"/>
    <n v="51102.23000000001"/>
    <n v="51102.23000000001"/>
    <n v="0"/>
    <n v="78.14"/>
    <n v="0"/>
    <n v="0"/>
    <n v="0"/>
    <n v="0"/>
    <n v="51024"/>
    <n v="0"/>
    <n v="0"/>
    <n v="3"/>
    <n v="0"/>
    <n v="0"/>
    <n v="0"/>
    <n v="5.8898069943267762E-5"/>
    <n v="26"/>
    <m/>
    <s v="Kalyanpur"/>
    <m/>
    <n v="0"/>
  </r>
  <r>
    <s v="Munger"/>
    <s v="17-23 Jul"/>
    <n v="1053"/>
    <s v="Kalyanpur"/>
    <x v="704"/>
    <s v="GOMUKH JITWARIYA W-6"/>
    <s v="MPG"/>
    <s v="Direct"/>
    <n v="2395.65"/>
    <n v="96715.299999999974"/>
    <n v="2384.0300000000007"/>
    <n v="95736.639999999999"/>
    <n v="22.300000000000004"/>
    <n v="906.86999999999989"/>
    <n v="2406.3300000000008"/>
    <n v="96643.51"/>
    <n v="96643.51"/>
    <n v="0"/>
    <n v="906.86999999999989"/>
    <n v="0"/>
    <n v="2990.3999999999996"/>
    <n v="0"/>
    <n v="0"/>
    <n v="92743"/>
    <n v="0"/>
    <n v="0"/>
    <n v="75"/>
    <n v="0"/>
    <n v="0"/>
    <n v="0"/>
    <n v="7.4228172791666945E-4"/>
    <n v="43"/>
    <m/>
    <s v="Kalyanpur"/>
    <m/>
    <n v="0"/>
  </r>
  <r>
    <s v="Munger"/>
    <s v="17-23 Jul"/>
    <n v="1053"/>
    <s v="Kalyanpur"/>
    <x v="705"/>
    <s v="GOMUKH SUSTA"/>
    <s v="MPG"/>
    <s v="Direct"/>
    <n v="610.25"/>
    <n v="27796.559999999998"/>
    <n v="624.79000000000008"/>
    <n v="27793.089999999997"/>
    <n v="0"/>
    <n v="0"/>
    <n v="624.79000000000008"/>
    <n v="27793.089999999997"/>
    <n v="27793.089999999997"/>
    <n v="0"/>
    <n v="0"/>
    <n v="0"/>
    <n v="846"/>
    <n v="0"/>
    <n v="0"/>
    <n v="26946"/>
    <n v="0"/>
    <n v="0"/>
    <n v="5"/>
    <n v="0"/>
    <n v="81.761286685784498"/>
    <n v="87.178571428571431"/>
    <n v="1.2483559116671864E-4"/>
    <n v="16"/>
    <m/>
    <s v="Kalyanpur"/>
    <m/>
    <n v="0"/>
  </r>
  <r>
    <s v="Munger"/>
    <s v="17-23 Jul"/>
    <n v="1066"/>
    <s v="Gaighat"/>
    <x v="706"/>
    <s v="DIH LAHI"/>
    <s v="vlc"/>
    <s v="Indirect"/>
    <n v="1347.3"/>
    <n v="63544.82"/>
    <n v="0"/>
    <n v="0"/>
    <n v="0"/>
    <n v="0"/>
    <n v="0"/>
    <n v="0"/>
    <n v="63544.82"/>
    <n v="0"/>
    <n v="0"/>
    <n v="0"/>
    <n v="0"/>
    <n v="0"/>
    <n v="0"/>
    <n v="0"/>
    <n v="0"/>
    <n v="63544.82"/>
    <n v="0"/>
    <n v="0"/>
    <n v="0"/>
    <n v="0"/>
    <n v="0"/>
    <n v="0"/>
    <m/>
    <s v="Gaighat"/>
    <m/>
    <n v="0"/>
  </r>
  <r>
    <s v="Munger"/>
    <s v="17-23 Jul"/>
    <n v="1012"/>
    <s v="DalsinghSarai"/>
    <x v="707"/>
    <s v="BHATGAMA W-5"/>
    <s v="vlc"/>
    <s v="Indirect"/>
    <n v="428.90000000000003"/>
    <n v="15032.58"/>
    <n v="0"/>
    <n v="0"/>
    <n v="0"/>
    <n v="0"/>
    <n v="0"/>
    <n v="0"/>
    <n v="15032.58"/>
    <n v="0"/>
    <n v="0"/>
    <n v="0"/>
    <n v="0"/>
    <n v="0"/>
    <n v="0"/>
    <n v="0"/>
    <n v="0"/>
    <n v="15032.58"/>
    <n v="0"/>
    <n v="0"/>
    <n v="190.03648580088597"/>
    <n v="61.271428571428579"/>
    <n v="0"/>
    <n v="0"/>
    <m/>
    <s v="DalsinghSarai"/>
    <m/>
    <n v="0"/>
  </r>
  <r>
    <s v="Munger"/>
    <s v="17-23 Jul"/>
    <n v="1053"/>
    <s v="Kalyanpur"/>
    <x v="708"/>
    <s v="GOMUKH TOKE"/>
    <s v="MPG"/>
    <s v="Direct"/>
    <n v="80.55"/>
    <n v="3335.6899999999996"/>
    <n v="82.100000000000009"/>
    <n v="3325.8900000000003"/>
    <n v="0"/>
    <n v="0"/>
    <n v="82.100000000000009"/>
    <n v="3325.8900000000003"/>
    <n v="3325.8900000000003"/>
    <n v="0"/>
    <n v="0"/>
    <n v="0"/>
    <n v="0"/>
    <n v="0"/>
    <n v="0"/>
    <n v="3327"/>
    <n v="0"/>
    <n v="0"/>
    <n v="9"/>
    <n v="0"/>
    <n v="513.04610068280567"/>
    <n v="11.507142857142856"/>
    <n v="2.9379228885176001E-3"/>
    <n v="6"/>
    <m/>
    <s v="Kalyanpur"/>
    <m/>
    <n v="0"/>
  </r>
  <r>
    <s v="Munger"/>
    <s v="17-23 Jul"/>
    <n v="1053"/>
    <s v="Kalyanpur"/>
    <x v="709"/>
    <s v="GOMUKH SHIVNAGAR"/>
    <s v="MPG"/>
    <s v="Direct"/>
    <n v="1063.7000000000003"/>
    <n v="44321.13"/>
    <n v="808.3"/>
    <n v="33459.21"/>
    <n v="215.60000000000002"/>
    <n v="10859.07"/>
    <n v="1023.9"/>
    <n v="44318.28"/>
    <n v="44318.28"/>
    <n v="0"/>
    <n v="0"/>
    <n v="0"/>
    <n v="0"/>
    <n v="0"/>
    <n v="0"/>
    <n v="33460"/>
    <n v="10860"/>
    <n v="0"/>
    <n v="1"/>
    <n v="0"/>
    <n v="0"/>
    <n v="0"/>
    <n v="6.4303414646660524E-5"/>
    <n v="18"/>
    <m/>
    <s v="Kalyanpur"/>
    <m/>
    <n v="0"/>
  </r>
  <r>
    <s v="Munger"/>
    <s v="17-23 Jul"/>
    <n v="1053"/>
    <s v="Kalyanpur"/>
    <x v="710"/>
    <s v="GOMUKH BAKHITIYARPUR"/>
    <s v="MPG"/>
    <s v="Direct"/>
    <n v="1284.4000000000001"/>
    <n v="58538.27"/>
    <n v="1264.9999999999998"/>
    <n v="57108.160000000011"/>
    <n v="32.300000000000004"/>
    <n v="1413.5"/>
    <n v="1297.2999999999997"/>
    <n v="58521.660000000011"/>
    <n v="58521.660000000011"/>
    <n v="0"/>
    <n v="1413.5"/>
    <n v="0"/>
    <n v="6254"/>
    <n v="0"/>
    <n v="0"/>
    <n v="50854"/>
    <n v="0"/>
    <n v="0"/>
    <n v="17"/>
    <n v="0"/>
    <n v="0"/>
    <n v="0"/>
    <n v="2.8374600069298308E-4"/>
    <n v="36"/>
    <m/>
    <s v="Kalyanpur"/>
    <m/>
    <n v="0"/>
  </r>
  <r>
    <s v="Munger"/>
    <s v="17-23 Jul"/>
    <n v="1066"/>
    <s v="Gaighat"/>
    <x v="711"/>
    <s v="Gomukh Bhagwanpur East "/>
    <s v="vlc"/>
    <s v="Indirect"/>
    <n v="484.6"/>
    <n v="19017.100000000002"/>
    <n v="0"/>
    <n v="0"/>
    <n v="0"/>
    <n v="0"/>
    <n v="0"/>
    <n v="0"/>
    <n v="19017.100000000002"/>
    <n v="0"/>
    <n v="0"/>
    <n v="0"/>
    <n v="0"/>
    <n v="0"/>
    <n v="0"/>
    <n v="0"/>
    <n v="0"/>
    <n v="19017.100000000002"/>
    <n v="0"/>
    <n v="0"/>
    <n v="169.05833016921173"/>
    <n v="69.228571428571428"/>
    <n v="0"/>
    <n v="0"/>
    <m/>
    <s v="Gaighat"/>
    <m/>
    <n v="0"/>
  </r>
  <r>
    <s v="Munger"/>
    <s v="17-23 Jul"/>
    <n v="1053"/>
    <s v="Kalyanpur"/>
    <x v="712"/>
    <s v="GOMUKH BHARJA"/>
    <s v="MPG"/>
    <s v="Direct"/>
    <n v="1755.4"/>
    <n v="89978.890000000014"/>
    <n v="1766.3500000000001"/>
    <n v="89267.21"/>
    <n v="10.44"/>
    <n v="700.32"/>
    <n v="1776.7900000000002"/>
    <n v="89967.530000000013"/>
    <n v="89967.530000000013"/>
    <n v="0"/>
    <n v="700.32"/>
    <n v="0"/>
    <n v="0"/>
    <n v="0"/>
    <n v="0"/>
    <n v="89269"/>
    <n v="0"/>
    <n v="0"/>
    <n v="10"/>
    <n v="0"/>
    <n v="0"/>
    <n v="0"/>
    <n v="1.2625183529159541E-4"/>
    <n v="13"/>
    <m/>
    <s v="Kalyanpur"/>
    <m/>
    <n v="0"/>
  </r>
  <r>
    <s v="Munger"/>
    <s v="17-23 Jul"/>
    <n v="1053"/>
    <s v="Kalyanpur"/>
    <x v="713"/>
    <s v="GOMUKH NAWABGANJ"/>
    <s v="MPG"/>
    <s v="Direct"/>
    <n v="738.1"/>
    <n v="30430.100000000002"/>
    <n v="730.28000000000009"/>
    <n v="30287.640000000003"/>
    <n v="3.4000000000000004"/>
    <n v="139.38"/>
    <n v="733.68000000000006"/>
    <n v="30427.020000000004"/>
    <n v="30427.020000000004"/>
    <n v="0"/>
    <n v="139.38"/>
    <n v="0"/>
    <n v="6648.3"/>
    <n v="0"/>
    <n v="0"/>
    <n v="23639"/>
    <n v="0"/>
    <n v="0"/>
    <n v="3"/>
    <n v="0"/>
    <n v="0"/>
    <n v="0"/>
    <n v="1.0121557273877207E-4"/>
    <n v="20"/>
    <m/>
    <s v="Kalyanpur"/>
    <m/>
    <n v="0"/>
  </r>
  <r>
    <s v="Munger"/>
    <s v="17-23 Jul"/>
    <n v="1053"/>
    <s v="Kalyanpur"/>
    <x v="714"/>
    <s v="GOMUKH CHAKKI"/>
    <s v="MPG"/>
    <s v="Direct"/>
    <n v="173.85"/>
    <n v="7599.3899999999994"/>
    <n v="180.79999999999998"/>
    <n v="7557.6100000000006"/>
    <n v="0.89999999999999991"/>
    <n v="37.259999999999991"/>
    <n v="181.7"/>
    <n v="7594.8700000000008"/>
    <n v="7594.8700000000008"/>
    <n v="0"/>
    <n v="37.259999999999991"/>
    <n v="0"/>
    <n v="0"/>
    <n v="0"/>
    <n v="0"/>
    <n v="7557"/>
    <n v="0"/>
    <n v="0"/>
    <n v="5"/>
    <n v="0"/>
    <n v="459.98493511647968"/>
    <n v="24.835714285714285"/>
    <n v="5.9478458139385103E-4"/>
    <n v="6"/>
    <m/>
    <s v="Kalyanpur"/>
    <m/>
    <n v="0"/>
  </r>
  <r>
    <s v="Munger"/>
    <s v="17-23 Jul"/>
    <n v="1053"/>
    <s v="Kalyanpur"/>
    <x v="715"/>
    <s v="GOMUKH LAKSHMAN NAGAR"/>
    <s v="MPG"/>
    <s v="Direct"/>
    <n v="503.05000000000007"/>
    <n v="22119.01"/>
    <n v="523.87"/>
    <n v="22115.910000000003"/>
    <n v="0"/>
    <n v="0"/>
    <n v="523.87"/>
    <n v="22115.910000000003"/>
    <n v="22115.910000000003"/>
    <n v="0"/>
    <n v="0"/>
    <n v="0"/>
    <n v="1270"/>
    <n v="0"/>
    <n v="0"/>
    <n v="20846"/>
    <n v="0"/>
    <n v="0"/>
    <n v="3"/>
    <n v="0"/>
    <n v="173.19705872179694"/>
    <n v="71.864285714285728"/>
    <n v="1.4015093803904004E-4"/>
    <n v="18"/>
    <m/>
    <s v="Kalyanpur"/>
    <m/>
    <n v="0"/>
  </r>
  <r>
    <s v="Munger"/>
    <s v="17-23 Jul"/>
    <n v="1053"/>
    <s v="Kalyanpur"/>
    <x v="716"/>
    <s v="GOMUKH KOTHIYA"/>
    <s v="MPG"/>
    <s v="Direct"/>
    <n v="107.30000000000001"/>
    <n v="4999.3899999999994"/>
    <n v="102.79999999999998"/>
    <n v="4589.28"/>
    <n v="1.3"/>
    <n v="58.410000000000004"/>
    <n v="104.09999999999998"/>
    <n v="4647.6899999999996"/>
    <n v="4647.6899999999996"/>
    <n v="0"/>
    <n v="58.410000000000004"/>
    <n v="0"/>
    <n v="0"/>
    <n v="500"/>
    <n v="0"/>
    <n v="4089"/>
    <n v="0"/>
    <n v="0"/>
    <n v="352"/>
    <n v="0"/>
    <n v="552.30912451071742"/>
    <n v="15.328571428571431"/>
    <n v="7.0348582527068271E-2"/>
    <n v="5"/>
    <m/>
    <s v="Kalyanpur"/>
    <m/>
    <n v="500"/>
  </r>
  <r>
    <s v="Munger"/>
    <s v="17-23 Jul"/>
    <n v="1053"/>
    <s v="Kalyanpur"/>
    <x v="717"/>
    <s v="GOMUKH JHAHURI"/>
    <s v="MPG"/>
    <s v="Direct"/>
    <n v="2716.2499999999995"/>
    <n v="116475.31"/>
    <n v="2722.3499999999981"/>
    <n v="115019.20999999999"/>
    <n v="33.1"/>
    <n v="1426.8300000000002"/>
    <n v="2755.449999999998"/>
    <n v="116446.04"/>
    <n v="116446.04"/>
    <n v="0"/>
    <n v="1426.8300000000002"/>
    <n v="0"/>
    <n v="1972"/>
    <n v="0"/>
    <n v="0"/>
    <n v="113046"/>
    <n v="0"/>
    <n v="0"/>
    <n v="30"/>
    <n v="0"/>
    <n v="0"/>
    <n v="0"/>
    <n v="2.5129789308999545E-4"/>
    <n v="37"/>
    <m/>
    <s v="Kalyanpur"/>
    <m/>
    <n v="0"/>
  </r>
  <r>
    <s v="Munger"/>
    <s v="17-23 Jul"/>
    <n v="1053"/>
    <s v="Kalyanpur"/>
    <x v="718"/>
    <s v="GOMUKH Keotsa"/>
    <s v="MPG"/>
    <s v="Direct"/>
    <n v="637.40000000000009"/>
    <n v="27883.389999999996"/>
    <n v="523.30999999999995"/>
    <n v="23214.359999999997"/>
    <n v="118.33"/>
    <n v="4666.3900000000003"/>
    <n v="641.64"/>
    <n v="27880.749999999996"/>
    <n v="27880.749999999996"/>
    <n v="0"/>
    <n v="855.58"/>
    <n v="0"/>
    <n v="0"/>
    <n v="0"/>
    <n v="0"/>
    <n v="23215"/>
    <n v="3811"/>
    <n v="0"/>
    <n v="2"/>
    <n v="0"/>
    <n v="54.769382303106305"/>
    <n v="91.057142857142864"/>
    <n v="9.4680022766220978E-5"/>
    <n v="10"/>
    <m/>
    <s v="Kalyanpur"/>
    <m/>
    <n v="0"/>
  </r>
  <r>
    <s v="Munger"/>
    <s v="17-23 Jul"/>
    <n v="1053"/>
    <s v="Kalyanpur"/>
    <x v="719"/>
    <s v="Gomukh Namapur East"/>
    <s v="vlc"/>
    <s v="Indirect"/>
    <n v="660"/>
    <n v="32473.22"/>
    <n v="0"/>
    <n v="0"/>
    <n v="0"/>
    <n v="0"/>
    <n v="0"/>
    <n v="0"/>
    <n v="32473.22"/>
    <n v="0"/>
    <n v="0"/>
    <n v="0"/>
    <n v="0"/>
    <n v="0"/>
    <n v="0"/>
    <n v="0"/>
    <n v="0"/>
    <n v="32473.22"/>
    <n v="0"/>
    <n v="0"/>
    <n v="39.361478787878745"/>
    <n v="94.285714285714292"/>
    <n v="0"/>
    <n v="0"/>
    <m/>
    <s v="Kalyanpur"/>
    <m/>
    <n v="0"/>
  </r>
  <r>
    <s v="Munger"/>
    <s v="17-23 Jul"/>
    <n v="1053"/>
    <s v="Kalyanpur"/>
    <x v="720"/>
    <s v="GOMUKH Waini"/>
    <s v="MPG"/>
    <s v="Direct"/>
    <n v="476.05"/>
    <n v="19400.189999999999"/>
    <n v="462.31999999999988"/>
    <n v="19096.499999999996"/>
    <n v="8.1499999999999986"/>
    <n v="329.87"/>
    <n v="470.46999999999986"/>
    <n v="19426.369999999995"/>
    <n v="19400.189999999999"/>
    <n v="0"/>
    <n v="329.87"/>
    <n v="26.179999999996653"/>
    <n v="0"/>
    <n v="0"/>
    <n v="0"/>
    <n v="19070"/>
    <n v="0"/>
    <n v="0"/>
    <n v="0"/>
    <n v="0"/>
    <n v="182.53009349858209"/>
    <n v="68.007142857142853"/>
    <n v="-1.349471319610615E-3"/>
    <n v="10"/>
    <m/>
    <s v="Kalyanpur"/>
    <m/>
    <n v="0"/>
  </r>
  <r>
    <s v="Munger"/>
    <s v="17-23 Jul"/>
    <n v="1053"/>
    <s v="Kalyanpur"/>
    <x v="721"/>
    <s v="GOMUKH SAKARI"/>
    <s v="MPG"/>
    <s v="Direct"/>
    <n v="1750.95"/>
    <n v="77199.47"/>
    <n v="1733.22"/>
    <n v="76547.499999999985"/>
    <n v="14.530000000000001"/>
    <n v="649.13000000000011"/>
    <n v="1747.75"/>
    <n v="77196.62999999999"/>
    <n v="77196.62999999999"/>
    <n v="0"/>
    <n v="649.13000000000011"/>
    <n v="0"/>
    <n v="20914"/>
    <n v="0"/>
    <n v="0"/>
    <n v="55636"/>
    <n v="0"/>
    <n v="0"/>
    <n v="0"/>
    <n v="0"/>
    <n v="0"/>
    <n v="0"/>
    <n v="3.6787817325832148E-5"/>
    <n v="25"/>
    <m/>
    <s v="Kalyanpur"/>
    <m/>
    <n v="0"/>
  </r>
  <r>
    <s v="Munger"/>
    <s v="17-23 Jul"/>
    <n v="1053"/>
    <s v="Kalyanpur"/>
    <x v="722"/>
    <s v="GOMUKH DHOBGAMA"/>
    <s v="MPG"/>
    <s v="Direct"/>
    <n v="737.65"/>
    <n v="30506.279999999995"/>
    <n v="727.27"/>
    <n v="29700.429999999997"/>
    <n v="16.489999999999998"/>
    <n v="708.59"/>
    <n v="743.76"/>
    <n v="30409.019999999997"/>
    <n v="30409.019999999997"/>
    <n v="0"/>
    <n v="708.59"/>
    <n v="0"/>
    <n v="0"/>
    <n v="0"/>
    <n v="0"/>
    <n v="29699"/>
    <n v="0"/>
    <n v="0"/>
    <n v="99"/>
    <n v="0"/>
    <n v="0"/>
    <n v="0"/>
    <n v="3.1881960042325192E-3"/>
    <n v="15"/>
    <m/>
    <s v="Kalyanpur"/>
    <m/>
    <n v="0"/>
  </r>
  <r>
    <s v="Munger"/>
    <s v="17-23 Jul"/>
    <n v="1053"/>
    <s v="Kalyanpur"/>
    <x v="723"/>
    <s v="GOMUKH BHUSKOUL"/>
    <s v="MPG"/>
    <s v="Direct"/>
    <n v="527.29999999999995"/>
    <n v="21328.390000000003"/>
    <n v="539.7299999999999"/>
    <n v="20877.239999999994"/>
    <n v="11.2"/>
    <n v="448.96999999999991"/>
    <n v="550.92999999999995"/>
    <n v="21326.209999999995"/>
    <n v="21326.209999999995"/>
    <n v="0"/>
    <n v="448.96999999999991"/>
    <n v="0"/>
    <n v="0"/>
    <n v="0"/>
    <n v="0"/>
    <n v="20878"/>
    <n v="0"/>
    <n v="0"/>
    <n v="1"/>
    <n v="0"/>
    <n v="139.70843743599474"/>
    <n v="75.328571428571422"/>
    <n v="1.0221118424820471E-4"/>
    <n v="18"/>
    <m/>
    <s v="Kalyanpur"/>
    <m/>
    <n v="0"/>
  </r>
  <r>
    <s v="Munger"/>
    <s v="17-23 Jul"/>
    <n v="1053"/>
    <s v="Kalyanpur"/>
    <x v="724"/>
    <s v="GOMUKH BIRSINGHPUR"/>
    <s v="MPG"/>
    <s v="Direct"/>
    <n v="682.44999999999993"/>
    <n v="27249.41"/>
    <n v="692.83999999999992"/>
    <n v="26849.93"/>
    <n v="9"/>
    <n v="387.23"/>
    <n v="701.83999999999992"/>
    <n v="27237.16"/>
    <n v="27237.16"/>
    <n v="0"/>
    <n v="352.48"/>
    <n v="0"/>
    <n v="0"/>
    <n v="0"/>
    <n v="0"/>
    <n v="26850"/>
    <n v="35"/>
    <n v="0"/>
    <n v="12"/>
    <n v="0"/>
    <n v="14.015009026302348"/>
    <n v="97.492857142857133"/>
    <n v="4.4955101780185333E-4"/>
    <n v="8"/>
    <m/>
    <s v="Kalyanpur"/>
    <m/>
    <n v="0"/>
  </r>
  <r>
    <s v="Munger"/>
    <s v="17-23 Jul"/>
    <n v="1053"/>
    <s v="Kalyanpur"/>
    <x v="725"/>
    <s v="GOMUKH GHOSRAWAN"/>
    <s v="MPG"/>
    <s v="Direct"/>
    <n v="439.19999999999993"/>
    <n v="17949.370000000003"/>
    <n v="378.85"/>
    <n v="15176.400000000001"/>
    <n v="65.400000000000006"/>
    <n v="2745.1800000000003"/>
    <n v="444.25"/>
    <n v="17921.580000000002"/>
    <n v="17921.580000000002"/>
    <n v="0"/>
    <n v="160.33000000000001"/>
    <n v="0"/>
    <n v="3200"/>
    <n v="0"/>
    <n v="0"/>
    <n v="11977"/>
    <n v="2585"/>
    <n v="0"/>
    <n v="27"/>
    <n v="0"/>
    <n v="213.1692029143899"/>
    <n v="62.742857142857133"/>
    <n v="1.5482437545162237E-3"/>
    <n v="9"/>
    <m/>
    <s v="Kalyanpur"/>
    <m/>
    <n v="0"/>
  </r>
  <r>
    <s v="Munger"/>
    <s v="17-23 Jul"/>
    <n v="1053"/>
    <s v="Kalyanpur"/>
    <x v="726"/>
    <s v="GOMUKH BANDRA W-9"/>
    <s v="MPG"/>
    <s v="Direct"/>
    <n v="452.6"/>
    <n v="19650.259999999998"/>
    <n v="450.88000000000005"/>
    <n v="19565.86"/>
    <n v="1.77"/>
    <n v="82.33"/>
    <n v="452.65000000000003"/>
    <n v="19648.190000000002"/>
    <n v="19648.190000000002"/>
    <n v="0"/>
    <n v="82.33"/>
    <n v="0"/>
    <n v="0"/>
    <n v="0"/>
    <n v="0"/>
    <n v="19566"/>
    <n v="0"/>
    <n v="0"/>
    <n v="2"/>
    <n v="0"/>
    <n v="214.82431833848867"/>
    <n v="64.657142857142858"/>
    <n v="1.0534211761045764E-4"/>
    <n v="18"/>
    <m/>
    <s v="Kalyanpur"/>
    <m/>
    <n v="0"/>
  </r>
  <r>
    <s v="Munger"/>
    <s v="17-23 Jul"/>
    <n v="1053"/>
    <s v="Kalyanpur"/>
    <x v="727"/>
    <s v="AMI Dairy"/>
    <s v="vlc"/>
    <s v="Indirect"/>
    <n v="938.2"/>
    <n v="38429.24"/>
    <n v="0"/>
    <n v="0"/>
    <n v="0"/>
    <n v="0"/>
    <n v="0"/>
    <n v="0"/>
    <n v="38429.24"/>
    <n v="0"/>
    <n v="0"/>
    <n v="0"/>
    <n v="0"/>
    <n v="0"/>
    <n v="0"/>
    <n v="0"/>
    <n v="0"/>
    <n v="38429.24"/>
    <n v="0"/>
    <n v="0"/>
    <n v="0"/>
    <n v="0"/>
    <n v="0"/>
    <n v="0"/>
    <m/>
    <s v="Kalyanpur"/>
    <m/>
    <n v="0"/>
  </r>
  <r>
    <s v="Munger"/>
    <s v="17-23 Jul"/>
    <n v="1053"/>
    <s v="Kalyanpur"/>
    <x v="987"/>
    <s v="Gomukh Simra"/>
    <s v="vlc"/>
    <s v="Indirect"/>
    <n v="1293.8999999999996"/>
    <n v="51922.069999999992"/>
    <n v="0"/>
    <n v="0"/>
    <n v="0"/>
    <n v="0"/>
    <n v="0"/>
    <n v="0"/>
    <n v="51922.069999999992"/>
    <n v="0"/>
    <n v="0"/>
    <n v="0"/>
    <n v="0"/>
    <n v="0"/>
    <n v="0"/>
    <n v="0"/>
    <n v="0"/>
    <n v="51922.069999999992"/>
    <n v="0"/>
    <n v="0"/>
    <n v="0"/>
    <n v="0"/>
    <n v="0"/>
    <n v="0"/>
    <m/>
    <s v="Kalyanpur"/>
    <m/>
    <n v="0"/>
  </r>
  <r>
    <s v="Munger"/>
    <s v="17-23 Jul"/>
    <n v="1054"/>
    <s v="Alauli "/>
    <x v="728"/>
    <s v="GOMUKH ANANDPUR PARAS 2"/>
    <s v="MPG"/>
    <s v="Direct"/>
    <n v="3269.6"/>
    <n v="137485.60999999999"/>
    <n v="3269.4999999999995"/>
    <n v="137481.28999999998"/>
    <n v="0"/>
    <n v="0"/>
    <n v="3269.4999999999995"/>
    <n v="137481.28999999998"/>
    <n v="137481.28999999998"/>
    <n v="0"/>
    <n v="0"/>
    <n v="0"/>
    <n v="0"/>
    <n v="0"/>
    <n v="0"/>
    <n v="137481"/>
    <n v="0"/>
    <n v="0"/>
    <n v="5"/>
    <n v="0"/>
    <n v="0"/>
    <n v="0"/>
    <n v="3.1421470217915789E-5"/>
    <n v="1"/>
    <m/>
    <s v="Alauli "/>
    <m/>
    <n v="0"/>
  </r>
  <r>
    <s v="Munger"/>
    <s v="17-23 Jul"/>
    <n v="1054"/>
    <s v="Alauli "/>
    <x v="729"/>
    <s v="GOMUKH GADBANNI"/>
    <s v="MPG"/>
    <s v="Direct"/>
    <n v="386.5"/>
    <n v="16874.850000000002"/>
    <n v="389.06"/>
    <n v="16841.719999999998"/>
    <n v="0"/>
    <n v="0"/>
    <n v="389.06"/>
    <n v="16841.719999999998"/>
    <n v="16841.719999999998"/>
    <n v="0"/>
    <n v="0"/>
    <n v="0"/>
    <n v="0"/>
    <n v="0"/>
    <n v="0"/>
    <n v="16842"/>
    <n v="0"/>
    <n v="0"/>
    <n v="33"/>
    <n v="0"/>
    <n v="273.75241785252268"/>
    <n v="55.214285714285715"/>
    <n v="1.9632767106080736E-3"/>
    <n v="13"/>
    <m/>
    <s v="Alauli "/>
    <m/>
    <n v="0"/>
  </r>
  <r>
    <s v="Munger"/>
    <s v="17-23 Jul"/>
    <n v="1054"/>
    <s v="Alauli "/>
    <x v="988"/>
    <s v="GOMUKH GORIYAMI"/>
    <s v="MPG"/>
    <s v="Direct"/>
    <n v="427.1"/>
    <n v="18695.579999999998"/>
    <n v="482.39"/>
    <n v="20960.260000000002"/>
    <n v="0"/>
    <n v="0"/>
    <n v="482.39"/>
    <n v="20960.260000000002"/>
    <n v="18695.579999999998"/>
    <n v="0"/>
    <n v="0"/>
    <n v="2264.6800000000039"/>
    <n v="0"/>
    <n v="0"/>
    <n v="0"/>
    <n v="18696"/>
    <n v="0"/>
    <n v="0"/>
    <n v="0"/>
    <n v="0"/>
    <n v="238.91471702177472"/>
    <n v="61.01428571428572"/>
    <n v="-0.12113451414719437"/>
    <n v="1"/>
    <m/>
    <s v="Alauli "/>
    <m/>
    <n v="0"/>
  </r>
  <r>
    <s v="Munger"/>
    <s v="17-23 Jul"/>
    <n v="1054"/>
    <s v="Alauli "/>
    <x v="730"/>
    <s v="GOMUKH PARRI"/>
    <s v="MPG"/>
    <s v="Direct"/>
    <n v="85.1"/>
    <n v="3909.4"/>
    <n v="92.39"/>
    <n v="4264.26"/>
    <n v="0"/>
    <n v="0"/>
    <n v="92.39"/>
    <n v="4264.26"/>
    <n v="3909.4"/>
    <n v="0"/>
    <n v="0"/>
    <n v="354.86000000000013"/>
    <n v="0"/>
    <n v="500"/>
    <n v="0"/>
    <n v="3409"/>
    <n v="0"/>
    <n v="0"/>
    <n v="0"/>
    <s v="Release3"/>
    <n v="564.95653584018805"/>
    <n v="12.157142857142857"/>
    <n v="-9.0770962296004537E-2"/>
    <n v="8"/>
    <m/>
    <s v="Alauli "/>
    <m/>
    <n v="500"/>
  </r>
  <r>
    <s v="Munger"/>
    <s v="17-23 Jul"/>
    <n v="1054"/>
    <s v="Alauli "/>
    <x v="731"/>
    <s v="GOMUKH BHIKHARI GHAT"/>
    <s v="MPG"/>
    <s v="Direct"/>
    <n v="1198.7"/>
    <n v="52866.34"/>
    <n v="1150.7199999999998"/>
    <n v="52900.390000000007"/>
    <n v="0"/>
    <n v="0"/>
    <n v="1150.7199999999998"/>
    <n v="52900.390000000007"/>
    <n v="52866.34"/>
    <n v="0"/>
    <n v="0"/>
    <n v="34.050000000010186"/>
    <n v="0"/>
    <n v="0"/>
    <n v="0"/>
    <n v="52902"/>
    <n v="0"/>
    <n v="0"/>
    <n v="-36"/>
    <s v="Release3"/>
    <n v="0"/>
    <n v="0"/>
    <n v="-6.4407711977054185E-4"/>
    <n v="29"/>
    <m/>
    <s v="Alauli "/>
    <m/>
    <n v="0"/>
  </r>
  <r>
    <s v="Munger"/>
    <s v="17-23 Jul"/>
    <n v="1054"/>
    <s v="Alauli "/>
    <x v="732"/>
    <s v="Vikash Kumar"/>
    <s v="vlc"/>
    <s v="Indirect"/>
    <n v="2206.5"/>
    <n v="94268.95"/>
    <n v="0"/>
    <n v="0"/>
    <n v="0"/>
    <n v="0"/>
    <n v="0"/>
    <n v="0"/>
    <n v="94268.95"/>
    <n v="0"/>
    <n v="0"/>
    <n v="0"/>
    <n v="0"/>
    <n v="0"/>
    <n v="0"/>
    <n v="0"/>
    <n v="0"/>
    <n v="94268.95"/>
    <n v="0"/>
    <n v="0"/>
    <n v="0"/>
    <n v="0"/>
    <n v="0"/>
    <n v="0"/>
    <m/>
    <s v="Alauli "/>
    <m/>
    <n v="0"/>
  </r>
  <r>
    <s v="Munger"/>
    <s v="17-23 Jul"/>
    <n v="1054"/>
    <s v="Alauli "/>
    <x v="733"/>
    <s v="Rajkishore Yadav"/>
    <s v="vlc"/>
    <s v="Indirect"/>
    <n v="320.2"/>
    <n v="11328.060000000001"/>
    <n v="0"/>
    <n v="0"/>
    <n v="0"/>
    <n v="0"/>
    <n v="0"/>
    <n v="0"/>
    <n v="11328.060000000001"/>
    <n v="0"/>
    <n v="0"/>
    <n v="0"/>
    <n v="0"/>
    <n v="0"/>
    <n v="0"/>
    <n v="0"/>
    <n v="0"/>
    <n v="11328.060000000001"/>
    <n v="0"/>
    <n v="0"/>
    <n v="268.73186683322928"/>
    <n v="45.74285714285714"/>
    <n v="0"/>
    <n v="0"/>
    <m/>
    <s v="Alauli "/>
    <m/>
    <n v="0"/>
  </r>
  <r>
    <s v="Munger"/>
    <s v="17-23 Jul"/>
    <n v="1054"/>
    <s v="Alauli "/>
    <x v="734"/>
    <s v="BHADAS VLC"/>
    <s v="vlc"/>
    <s v="Indirect"/>
    <n v="53.5"/>
    <n v="2680.75"/>
    <n v="0"/>
    <n v="0"/>
    <n v="0"/>
    <n v="0"/>
    <n v="0"/>
    <n v="0"/>
    <n v="2680.75"/>
    <n v="0"/>
    <n v="0"/>
    <n v="0"/>
    <n v="0"/>
    <n v="0"/>
    <n v="0"/>
    <n v="0"/>
    <n v="0"/>
    <n v="2680.75"/>
    <n v="0"/>
    <n v="0"/>
    <n v="647.88967289719631"/>
    <n v="7.6428571428571432"/>
    <n v="0"/>
    <n v="0"/>
    <m/>
    <s v="Alauli "/>
    <m/>
    <n v="0"/>
  </r>
  <r>
    <s v="Munger"/>
    <s v="17-23 Jul"/>
    <n v="1054"/>
    <s v="Alauli "/>
    <x v="735"/>
    <s v="GOMUKH BENHER"/>
    <s v="MPG"/>
    <s v="Direct"/>
    <n v="406.3"/>
    <n v="21509.52"/>
    <n v="294.73999999999995"/>
    <n v="15583.26"/>
    <n v="113.96"/>
    <n v="6410.77"/>
    <n v="408.69999999999993"/>
    <n v="21994.03"/>
    <n v="21509.52"/>
    <n v="0"/>
    <n v="54.100000000000009"/>
    <n v="484.5099999999984"/>
    <n v="0"/>
    <n v="0"/>
    <n v="0"/>
    <n v="15098"/>
    <n v="6357"/>
    <n v="0"/>
    <n v="0"/>
    <n v="0"/>
    <n v="310.96953108540487"/>
    <n v="58.042857142857144"/>
    <n v="-2.2525374810781384E-2"/>
    <n v="13"/>
    <m/>
    <s v="Alauli "/>
    <m/>
    <n v="0"/>
  </r>
  <r>
    <s v="Munger"/>
    <s v="17-23 Jul"/>
    <n v="1054"/>
    <s v="Alauli "/>
    <x v="736"/>
    <s v="GOMUKH LADORA"/>
    <s v="MPG"/>
    <s v="Direct"/>
    <n v="767.49999999999989"/>
    <n v="29863.770000000004"/>
    <n v="771.38"/>
    <n v="34179.370000000003"/>
    <n v="0"/>
    <n v="0"/>
    <n v="771.38"/>
    <n v="34179.370000000003"/>
    <n v="29863.770000000004"/>
    <n v="0"/>
    <n v="0"/>
    <n v="4315.5999999999985"/>
    <n v="0"/>
    <n v="0"/>
    <n v="0"/>
    <n v="29864"/>
    <n v="0"/>
    <n v="0"/>
    <n v="0"/>
    <n v="0"/>
    <n v="0"/>
    <n v="0"/>
    <n v="-0.1445095512053568"/>
    <n v="2"/>
    <m/>
    <s v="Alauli "/>
    <m/>
    <n v="0"/>
  </r>
  <r>
    <s v="Munger"/>
    <s v="17-23 Jul"/>
    <n v="1054"/>
    <s v="Alauli "/>
    <x v="737"/>
    <s v="GOMUKH SAHSI"/>
    <s v="MPG"/>
    <s v="Direct"/>
    <n v="370.29999999999995"/>
    <n v="16913.189999999999"/>
    <n v="424.23"/>
    <n v="19842.719999999998"/>
    <n v="0"/>
    <n v="0"/>
    <n v="424.23"/>
    <n v="19842.719999999998"/>
    <n v="16913.189999999999"/>
    <n v="0"/>
    <n v="0"/>
    <n v="2929.5299999999988"/>
    <n v="0"/>
    <n v="500"/>
    <n v="0"/>
    <n v="16413"/>
    <n v="0"/>
    <n v="0"/>
    <n v="0"/>
    <n v="0"/>
    <n v="301.17627561436677"/>
    <n v="52.899999999999991"/>
    <n v="-0.17320978478926796"/>
    <n v="8"/>
    <m/>
    <s v="Alauli "/>
    <m/>
    <n v="500"/>
  </r>
  <r>
    <s v="Munger"/>
    <s v="17-23 Jul"/>
    <n v="1054"/>
    <s v="Alauli "/>
    <x v="738"/>
    <s v="Gomukh Chikni"/>
    <s v="MPG"/>
    <s v="Direct"/>
    <n v="164.4"/>
    <n v="5805.44"/>
    <n v="148.69"/>
    <n v="5812.83"/>
    <n v="0"/>
    <n v="0"/>
    <n v="148.69"/>
    <n v="5812.83"/>
    <n v="5805.44"/>
    <n v="0"/>
    <n v="0"/>
    <n v="7.3900000000003274"/>
    <n v="0"/>
    <n v="500"/>
    <n v="0"/>
    <n v="5305"/>
    <n v="0"/>
    <n v="0"/>
    <n v="0"/>
    <s v="Release3"/>
    <n v="378.27173527980528"/>
    <n v="23.485714285714288"/>
    <n v="-1.2729439973542622E-3"/>
    <n v="2"/>
    <m/>
    <s v="Alauli "/>
    <m/>
    <n v="500"/>
  </r>
  <r>
    <s v="Munger"/>
    <s v="17-23 Jul"/>
    <n v="1054"/>
    <s v="Alauli "/>
    <x v="739"/>
    <s v="GOMUKH BUDWA"/>
    <s v="MPG"/>
    <s v="Direct"/>
    <n v="100.9"/>
    <n v="3978.3999999999996"/>
    <n v="98.259999999999991"/>
    <n v="4029.7700000000004"/>
    <n v="0"/>
    <n v="0"/>
    <n v="98.259999999999991"/>
    <n v="4029.7700000000004"/>
    <n v="3978.3999999999996"/>
    <n v="0"/>
    <n v="0"/>
    <n v="51.3700000000008"/>
    <n v="0"/>
    <n v="150"/>
    <n v="0"/>
    <n v="3828"/>
    <n v="0"/>
    <n v="0"/>
    <n v="0"/>
    <s v="Release3"/>
    <n v="472.43992864221997"/>
    <n v="14.414285714285715"/>
    <n v="-1.291222602051096E-2"/>
    <n v="6"/>
    <m/>
    <s v="Alauli "/>
    <m/>
    <n v="150"/>
  </r>
  <r>
    <s v="Munger"/>
    <s v="17-23 Jul"/>
    <n v="1054"/>
    <s v="Alauli "/>
    <x v="740"/>
    <s v="GOMUKH GANGIYA"/>
    <s v="vlc"/>
    <s v="Indirect"/>
    <n v="778.80000000000007"/>
    <n v="26919.690000000002"/>
    <n v="0"/>
    <n v="0"/>
    <n v="0"/>
    <n v="0"/>
    <n v="0"/>
    <n v="0"/>
    <n v="26919.690000000002"/>
    <n v="0"/>
    <n v="0"/>
    <n v="0"/>
    <n v="0"/>
    <n v="0"/>
    <n v="0"/>
    <n v="0"/>
    <n v="0"/>
    <n v="26919.690000000002"/>
    <n v="0"/>
    <n v="0"/>
    <n v="0"/>
    <n v="0"/>
    <n v="0"/>
    <n v="0"/>
    <m/>
    <s v="Alauli "/>
    <m/>
    <n v="0"/>
  </r>
  <r>
    <s v="Munger"/>
    <s v="17-23 Jul"/>
    <n v="1054"/>
    <s v="Alauli "/>
    <x v="741"/>
    <s v="GOMUKH AMBA ICHARUA"/>
    <s v="MPG"/>
    <s v="Direct"/>
    <n v="506.40000000000003"/>
    <n v="19631.53"/>
    <n v="36"/>
    <n v="1401.12"/>
    <n v="463.14"/>
    <n v="19243.14"/>
    <n v="499.14"/>
    <n v="20644.259999999998"/>
    <n v="19631.53"/>
    <n v="0"/>
    <n v="0"/>
    <n v="1012.7299999999996"/>
    <n v="0"/>
    <n v="0"/>
    <n v="0"/>
    <n v="389"/>
    <n v="19243"/>
    <n v="0"/>
    <n v="0"/>
    <n v="0"/>
    <n v="150.10522148499209"/>
    <n v="72.342857142857142"/>
    <n v="-5.1586911463344917E-2"/>
    <n v="10"/>
    <m/>
    <s v="Alauli "/>
    <m/>
    <n v="0"/>
  </r>
  <r>
    <s v="Munger"/>
    <s v="17-23 Jul"/>
    <n v="1054"/>
    <s v="Alauli "/>
    <x v="742"/>
    <s v="RAJAURA VLC"/>
    <s v="vlc"/>
    <s v="Indirect"/>
    <n v="738.1"/>
    <n v="28175.800000000003"/>
    <n v="0"/>
    <n v="0"/>
    <n v="0"/>
    <n v="0"/>
    <n v="0"/>
    <n v="0"/>
    <n v="28175.800000000003"/>
    <n v="0"/>
    <n v="0"/>
    <n v="0"/>
    <n v="0"/>
    <n v="0"/>
    <n v="0"/>
    <n v="0"/>
    <n v="0"/>
    <n v="28175.800000000003"/>
    <n v="0"/>
    <n v="0"/>
    <n v="0"/>
    <n v="0"/>
    <n v="0"/>
    <n v="0"/>
    <m/>
    <s v="Alauli "/>
    <m/>
    <n v="0"/>
  </r>
  <r>
    <s v="Munger"/>
    <s v="17-23 Jul"/>
    <n v="1054"/>
    <s v="Alauli "/>
    <x v="743"/>
    <s v="GOMUKH JWALAPUR"/>
    <s v="MPG"/>
    <s v="Direct"/>
    <n v="176.9"/>
    <n v="6744.0099999999993"/>
    <n v="176"/>
    <n v="7314.56"/>
    <n v="0"/>
    <n v="0"/>
    <n v="176"/>
    <n v="7314.56"/>
    <n v="6744.0099999999993"/>
    <n v="0"/>
    <n v="0"/>
    <n v="570.55000000000109"/>
    <n v="0"/>
    <n v="500"/>
    <n v="0"/>
    <n v="6244"/>
    <n v="0"/>
    <n v="0"/>
    <n v="0"/>
    <n v="0"/>
    <n v="398.84585992085925"/>
    <n v="25.271428571428572"/>
    <n v="-8.4601001481314705E-2"/>
    <n v="1"/>
    <m/>
    <s v="Alauli "/>
    <m/>
    <n v="500"/>
  </r>
  <r>
    <s v="Munger"/>
    <s v="17-23 Jul"/>
    <n v="1054"/>
    <s v="Alauli "/>
    <x v="1019"/>
    <s v="GOMUKH ID ALAULI"/>
    <s v="vlc"/>
    <s v="Indirect"/>
    <n v="76.099999999999994"/>
    <n v="3141.41"/>
    <n v="0"/>
    <n v="0"/>
    <n v="0"/>
    <n v="0"/>
    <n v="0"/>
    <n v="0"/>
    <n v="3141.41"/>
    <n v="0"/>
    <n v="0"/>
    <n v="0"/>
    <n v="0"/>
    <n v="0"/>
    <n v="0"/>
    <n v="0"/>
    <n v="0"/>
    <n v="3141.41"/>
    <n v="0"/>
    <n v="0"/>
    <n v="515.09216793692531"/>
    <n v="10.87142857142857"/>
    <n v="0"/>
    <n v="0"/>
    <m/>
    <s v="Alauli "/>
    <m/>
    <n v="0"/>
  </r>
  <r>
    <s v="Munger"/>
    <s v="17-23 Jul"/>
    <n v="1054"/>
    <s v="Alauli "/>
    <x v="744"/>
    <s v="VLC Dhushmuri Bishanpur"/>
    <s v="vlc"/>
    <s v="Indirect"/>
    <n v="517.70000000000005"/>
    <n v="17948.2"/>
    <n v="0"/>
    <n v="0"/>
    <n v="0"/>
    <n v="0"/>
    <n v="0"/>
    <n v="0"/>
    <n v="17948.2"/>
    <n v="0"/>
    <n v="0"/>
    <n v="0"/>
    <n v="0"/>
    <n v="0"/>
    <n v="0"/>
    <n v="0"/>
    <n v="0"/>
    <n v="17948.2"/>
    <n v="0"/>
    <n v="0"/>
    <n v="126.40358740583341"/>
    <n v="73.95714285714287"/>
    <n v="0"/>
    <n v="0"/>
    <m/>
    <s v="Alauli "/>
    <m/>
    <n v="0"/>
  </r>
  <r>
    <s v="Munger"/>
    <s v="17-23 Jul"/>
    <n v="1054"/>
    <s v="Alauli "/>
    <x v="745"/>
    <s v="VLC Govindpur"/>
    <s v="vlc"/>
    <s v="Indirect"/>
    <n v="404.9"/>
    <n v="15198.490000000002"/>
    <n v="0"/>
    <n v="0"/>
    <n v="0"/>
    <n v="0"/>
    <n v="0"/>
    <n v="0"/>
    <n v="15198.490000000002"/>
    <n v="0"/>
    <n v="0"/>
    <n v="0"/>
    <n v="0"/>
    <n v="0"/>
    <n v="0"/>
    <n v="0"/>
    <n v="0"/>
    <n v="15198.490000000002"/>
    <n v="0"/>
    <n v="0"/>
    <n v="221.5398567053594"/>
    <n v="57.842857142857142"/>
    <n v="0"/>
    <n v="0"/>
    <m/>
    <s v="Alauli "/>
    <m/>
    <n v="0"/>
  </r>
  <r>
    <s v="Munger"/>
    <s v="17-23 Jul"/>
    <n v="1054"/>
    <s v="Alauli "/>
    <x v="746"/>
    <s v="Gomukh Darhi Mor"/>
    <s v="vlc"/>
    <s v="Indirect"/>
    <n v="70.8"/>
    <n v="2730.3999999999996"/>
    <n v="0"/>
    <n v="0"/>
    <n v="0"/>
    <n v="0"/>
    <n v="0"/>
    <n v="0"/>
    <n v="2730.3999999999996"/>
    <n v="0"/>
    <n v="0"/>
    <n v="0"/>
    <n v="0"/>
    <n v="0"/>
    <n v="0"/>
    <n v="0"/>
    <n v="0"/>
    <n v="2730.3999999999996"/>
    <n v="0"/>
    <n v="0"/>
    <n v="485.30160451977406"/>
    <n v="10.114285714285714"/>
    <n v="0"/>
    <n v="0"/>
    <m/>
    <s v="Alauli "/>
    <m/>
    <n v="0"/>
  </r>
  <r>
    <s v="Munger"/>
    <s v="17-23 Jul"/>
    <n v="1054"/>
    <s v="Alauli "/>
    <x v="747"/>
    <s v="Gomukh Balaur"/>
    <s v="MPG"/>
    <s v="Direct"/>
    <n v="1618.9"/>
    <n v="84378.670000000013"/>
    <n v="1618"/>
    <n v="84653.760000000009"/>
    <n v="0"/>
    <n v="0"/>
    <n v="1618"/>
    <n v="84653.760000000009"/>
    <n v="84378.670000000013"/>
    <n v="0"/>
    <n v="0"/>
    <n v="275.08999999999651"/>
    <n v="0"/>
    <n v="0"/>
    <n v="0"/>
    <n v="84379"/>
    <n v="0"/>
    <n v="0"/>
    <n v="0"/>
    <n v="0"/>
    <n v="0"/>
    <n v="0"/>
    <n v="-3.2601841199914206E-3"/>
    <n v="1"/>
    <m/>
    <s v="Alauli "/>
    <m/>
    <n v="0"/>
  </r>
  <r>
    <s v="Munger"/>
    <s v="17-23 Jul"/>
    <n v="1054"/>
    <s v="Alauli "/>
    <x v="748"/>
    <s v="Gomukh Usri"/>
    <s v="vlc"/>
    <s v="Direct"/>
    <n v="430.2"/>
    <n v="19346.919999999998"/>
    <n v="413.83000000000015"/>
    <n v="19554.82"/>
    <n v="0"/>
    <n v="0"/>
    <n v="413.83000000000015"/>
    <n v="19554.82"/>
    <n v="19346.919999999998"/>
    <n v="0"/>
    <n v="0"/>
    <n v="207.90000000000146"/>
    <n v="0"/>
    <n v="0"/>
    <n v="0"/>
    <n v="19347"/>
    <n v="0"/>
    <n v="0"/>
    <n v="0"/>
    <n v="0"/>
    <n v="242.66848052068804"/>
    <n v="61.457142857142856"/>
    <n v="-1.0745896504456599E-2"/>
    <n v="6"/>
    <m/>
    <s v="Alauli "/>
    <m/>
    <n v="0"/>
  </r>
  <r>
    <s v="Munger"/>
    <s v="17-23 Jul"/>
    <n v="1054"/>
    <s v="Alauli "/>
    <x v="749"/>
    <s v="Gomukh Hathwan - 2"/>
    <s v="MPG"/>
    <s v="Direct"/>
    <n v="186.70000000000002"/>
    <n v="7813.2599999999993"/>
    <n v="194"/>
    <n v="7820.14"/>
    <n v="0"/>
    <n v="0"/>
    <n v="194"/>
    <n v="7820.14"/>
    <n v="7813.2599999999993"/>
    <n v="0"/>
    <n v="0"/>
    <n v="6.8800000000010186"/>
    <n v="0"/>
    <n v="0"/>
    <n v="0"/>
    <n v="7813"/>
    <n v="0"/>
    <n v="0"/>
    <n v="0"/>
    <n v="0"/>
    <n v="429.62467680771283"/>
    <n v="26.671428571428574"/>
    <n v="-8.8055433967396699E-4"/>
    <n v="1"/>
    <m/>
    <s v="Alauli "/>
    <m/>
    <n v="0"/>
  </r>
  <r>
    <s v="Munger"/>
    <s v="17-23 Jul"/>
    <n v="1054"/>
    <s v="Alauli "/>
    <x v="750"/>
    <s v="VLC Sunil Khas"/>
    <s v="vlc"/>
    <s v="Indirect"/>
    <n v="812.40000000000009"/>
    <n v="34653.67"/>
    <n v="0"/>
    <n v="0"/>
    <n v="0"/>
    <n v="0"/>
    <n v="0"/>
    <n v="0"/>
    <n v="34653.67"/>
    <n v="0"/>
    <n v="0"/>
    <n v="0"/>
    <n v="0"/>
    <n v="0"/>
    <n v="0"/>
    <n v="0"/>
    <n v="0"/>
    <n v="34653.67"/>
    <n v="0"/>
    <n v="0"/>
    <n v="0"/>
    <n v="0"/>
    <n v="0"/>
    <n v="0"/>
    <m/>
    <s v="Alauli "/>
    <m/>
    <n v="0"/>
  </r>
  <r>
    <s v="Munger"/>
    <s v="17-23 Jul"/>
    <n v="1054"/>
    <s v="Alauli "/>
    <x v="751"/>
    <s v="Gomukh Hathwan "/>
    <s v="MPG"/>
    <s v="Direct"/>
    <n v="464.49999999999994"/>
    <n v="18938.460000000003"/>
    <n v="395.5"/>
    <n v="19131.28"/>
    <n v="0"/>
    <n v="0"/>
    <n v="395.5"/>
    <n v="19131.28"/>
    <n v="18938.460000000003"/>
    <n v="0"/>
    <n v="0"/>
    <n v="192.81999999999607"/>
    <n v="0"/>
    <n v="0"/>
    <n v="0"/>
    <n v="18938"/>
    <n v="0"/>
    <n v="0"/>
    <n v="0"/>
    <n v="0"/>
    <n v="192.03476124865455"/>
    <n v="66.357142857142847"/>
    <n v="-1.0181398065101177E-2"/>
    <n v="1"/>
    <m/>
    <s v="Alauli "/>
    <m/>
    <n v="0"/>
  </r>
  <r>
    <s v="Munger"/>
    <s v="17-23 Jul"/>
    <n v="1054"/>
    <s v="Alauli "/>
    <x v="752"/>
    <s v="Gomukh Bekhari Ghat-2"/>
    <s v="MPG"/>
    <s v="Direct"/>
    <n v="114.90000000000002"/>
    <n v="4135.34"/>
    <n v="114"/>
    <n v="4675.1400000000003"/>
    <n v="0"/>
    <n v="0"/>
    <n v="114"/>
    <n v="4675.1400000000003"/>
    <n v="4135.34"/>
    <n v="0"/>
    <n v="0"/>
    <n v="539.80000000000018"/>
    <n v="0"/>
    <n v="0"/>
    <n v="0"/>
    <n v="4135"/>
    <n v="0"/>
    <n v="0"/>
    <n v="0"/>
    <n v="0"/>
    <n v="421.16404421235848"/>
    <n v="16.414285714285718"/>
    <n v="-0.13053340233209365"/>
    <n v="1"/>
    <m/>
    <s v="Alauli "/>
    <m/>
    <n v="0"/>
  </r>
  <r>
    <s v="Munger"/>
    <s v="17-23 Jul"/>
    <n v="1054"/>
    <s v="Alauli "/>
    <x v="753"/>
    <s v="Gomukh Rahul VLC"/>
    <s v="vlc"/>
    <s v="Indirect"/>
    <n v="1905.1999999999998"/>
    <n v="84270.829999999987"/>
    <n v="0"/>
    <n v="0"/>
    <n v="0"/>
    <n v="0"/>
    <n v="0"/>
    <n v="0"/>
    <n v="84270.829999999987"/>
    <n v="0"/>
    <n v="0"/>
    <n v="0"/>
    <n v="0"/>
    <n v="0"/>
    <n v="0"/>
    <n v="0"/>
    <n v="0"/>
    <n v="84270.829999999987"/>
    <n v="0"/>
    <n v="0"/>
    <n v="0"/>
    <n v="0"/>
    <n v="0"/>
    <n v="0"/>
    <m/>
    <s v="Alauli "/>
    <m/>
    <n v="0"/>
  </r>
  <r>
    <s v="Munger"/>
    <s v="17-23 Jul"/>
    <n v="1054"/>
    <s v="Alauli "/>
    <x v="754"/>
    <s v="Gomukh Sachin VLC"/>
    <s v="vlc"/>
    <s v="Indirect"/>
    <n v="453.4"/>
    <n v="16738.91"/>
    <n v="0"/>
    <n v="0"/>
    <n v="0"/>
    <n v="0"/>
    <n v="0"/>
    <n v="0"/>
    <n v="16738.91"/>
    <n v="0"/>
    <n v="0"/>
    <n v="0"/>
    <n v="0"/>
    <n v="0"/>
    <n v="0"/>
    <n v="0"/>
    <n v="0"/>
    <n v="16738.91"/>
    <n v="0"/>
    <n v="0"/>
    <n v="182.08271751213056"/>
    <n v="64.771428571428572"/>
    <n v="0"/>
    <n v="0"/>
    <m/>
    <s v="Alauli "/>
    <m/>
    <n v="0"/>
  </r>
  <r>
    <s v="Munger"/>
    <s v="17-23 Jul"/>
    <n v="1054"/>
    <s v="Alauli "/>
    <x v="755"/>
    <s v="Gomukh Khutauna"/>
    <s v="MPG"/>
    <s v="Direct"/>
    <n v="331.2"/>
    <n v="11574.62"/>
    <n v="375.82000000000005"/>
    <n v="12994.689999999999"/>
    <n v="0"/>
    <n v="0"/>
    <n v="375.82000000000005"/>
    <n v="12994.689999999999"/>
    <n v="11574.62"/>
    <n v="0"/>
    <n v="0"/>
    <n v="1420.0699999999979"/>
    <n v="0"/>
    <n v="0"/>
    <n v="0"/>
    <n v="11575"/>
    <n v="0"/>
    <n v="0"/>
    <n v="0"/>
    <n v="0"/>
    <n v="257.77293816425123"/>
    <n v="47.31428571428571"/>
    <n v="-0.12268826104010307"/>
    <n v="1"/>
    <m/>
    <s v="Alauli "/>
    <m/>
    <n v="0"/>
  </r>
  <r>
    <s v="Munger"/>
    <s v="17-23 Jul"/>
    <n v="1054"/>
    <s v="Alauli "/>
    <x v="756"/>
    <s v="Gomukh Bathnaha VLC"/>
    <s v="vlc"/>
    <s v="Indirect"/>
    <n v="387.40000000000003"/>
    <n v="15097.54"/>
    <n v="0"/>
    <n v="0"/>
    <n v="0"/>
    <n v="0"/>
    <n v="0"/>
    <n v="0"/>
    <n v="15097.54"/>
    <n v="0"/>
    <n v="0"/>
    <n v="0"/>
    <n v="0"/>
    <n v="0"/>
    <n v="0"/>
    <n v="0"/>
    <n v="0"/>
    <n v="15097.54"/>
    <n v="0"/>
    <n v="0"/>
    <n v="243.6495097573567"/>
    <n v="55.342857142857149"/>
    <n v="0"/>
    <n v="0"/>
    <m/>
    <s v="Alauli "/>
    <m/>
    <n v="0"/>
  </r>
  <r>
    <s v="Munger"/>
    <s v="17-23 Jul"/>
    <n v="1055"/>
    <s v="Matihani"/>
    <x v="757"/>
    <s v="Balahpur-Anil Yadav"/>
    <s v="vlc"/>
    <s v="Indirect"/>
    <n v="33485.199999999997"/>
    <n v="1290856.3499999999"/>
    <n v="0"/>
    <n v="0"/>
    <n v="0"/>
    <n v="0"/>
    <n v="0"/>
    <n v="0"/>
    <n v="1290856.3499999999"/>
    <n v="0"/>
    <n v="0"/>
    <n v="0"/>
    <n v="0"/>
    <n v="0"/>
    <n v="0"/>
    <n v="0"/>
    <n v="0"/>
    <n v="1290856.3499999999"/>
    <n v="0"/>
    <n v="0"/>
    <n v="0"/>
    <n v="0"/>
    <n v="0"/>
    <n v="0"/>
    <m/>
    <s v="Matihani"/>
    <m/>
    <n v="0"/>
  </r>
  <r>
    <s v="Munger"/>
    <s v="17-23 Jul"/>
    <n v="1055"/>
    <s v="Matihani"/>
    <x v="758"/>
    <s v="Bagdobh"/>
    <s v="vlc"/>
    <s v="Indirect"/>
    <n v="134.9"/>
    <n v="5107.84"/>
    <n v="0"/>
    <n v="0"/>
    <n v="0"/>
    <n v="0"/>
    <n v="0"/>
    <n v="0"/>
    <n v="5107.84"/>
    <n v="0"/>
    <n v="0"/>
    <n v="0"/>
    <n v="0"/>
    <n v="0"/>
    <n v="0"/>
    <n v="0"/>
    <n v="0"/>
    <n v="5107.84"/>
    <n v="0"/>
    <n v="0"/>
    <n v="427.93778858413646"/>
    <n v="19.271428571428572"/>
    <n v="0"/>
    <n v="0"/>
    <m/>
    <s v="Matihani"/>
    <m/>
    <n v="0"/>
  </r>
  <r>
    <s v="Munger"/>
    <s v="17-23 Jul"/>
    <n v="1055"/>
    <s v="Matihani"/>
    <x v="759"/>
    <s v="Gomukh Matihani"/>
    <s v="MPG"/>
    <s v="Direct"/>
    <n v="188.2"/>
    <n v="7564.7800000000007"/>
    <n v="187.2"/>
    <n v="7534.1599999999989"/>
    <n v="4"/>
    <n v="162.91999999999999"/>
    <n v="191.2"/>
    <n v="7697.079999999999"/>
    <n v="7564.7800000000007"/>
    <n v="0"/>
    <n v="162.91999999999999"/>
    <n v="132.29999999999836"/>
    <n v="0"/>
    <n v="0"/>
    <n v="0"/>
    <n v="7402"/>
    <n v="0"/>
    <n v="0"/>
    <n v="0"/>
    <n v="0"/>
    <n v="411.44042550478224"/>
    <n v="26.885714285714283"/>
    <n v="-1.7488942176771612E-2"/>
    <n v="4"/>
    <m/>
    <s v="Matihani"/>
    <m/>
    <n v="0"/>
  </r>
  <r>
    <s v="Munger"/>
    <s v="17-23 Jul"/>
    <n v="1055"/>
    <s v="Matihani"/>
    <x v="760"/>
    <s v="Jalalpur"/>
    <s v="vlc"/>
    <s v="Indirect"/>
    <n v="2764.4999999999995"/>
    <n v="97235.989999999976"/>
    <n v="0"/>
    <n v="0"/>
    <n v="0"/>
    <n v="0"/>
    <n v="0"/>
    <n v="0"/>
    <n v="97235.989999999976"/>
    <n v="0"/>
    <n v="0"/>
    <n v="0"/>
    <n v="0"/>
    <n v="0"/>
    <n v="0"/>
    <n v="0"/>
    <n v="0"/>
    <n v="97235.989999999976"/>
    <n v="0"/>
    <n v="0"/>
    <n v="0"/>
    <n v="0"/>
    <n v="0"/>
    <n v="0"/>
    <m/>
    <s v="Matihani"/>
    <m/>
    <n v="0"/>
  </r>
  <r>
    <s v="Munger"/>
    <s v="17-23 Jul"/>
    <n v="1055"/>
    <s v="Matihani"/>
    <x v="761"/>
    <s v="Saidpur"/>
    <s v="vlc"/>
    <s v="Indirect"/>
    <n v="412.70000000000005"/>
    <n v="14598.03"/>
    <n v="0"/>
    <n v="0"/>
    <n v="0"/>
    <n v="0"/>
    <n v="0"/>
    <n v="0"/>
    <n v="14598.03"/>
    <n v="0"/>
    <n v="0"/>
    <n v="0"/>
    <n v="0"/>
    <n v="0"/>
    <n v="0"/>
    <n v="0"/>
    <n v="0"/>
    <n v="14598.03"/>
    <n v="0"/>
    <n v="0"/>
    <n v="203.24758996850008"/>
    <n v="58.957142857142863"/>
    <n v="0"/>
    <n v="0"/>
    <m/>
    <s v="Matihani"/>
    <m/>
    <n v="0"/>
  </r>
  <r>
    <s v="Munger"/>
    <s v="17-23 Jul"/>
    <n v="1055"/>
    <s v="Matihani"/>
    <x v="762"/>
    <s v="Chak"/>
    <s v="vlc"/>
    <s v="Indirect"/>
    <n v="525.4"/>
    <n v="20252.59"/>
    <n v="0"/>
    <n v="0"/>
    <n v="0"/>
    <n v="0"/>
    <n v="0"/>
    <n v="0"/>
    <n v="20252.59"/>
    <n v="0"/>
    <n v="0"/>
    <n v="0"/>
    <n v="0"/>
    <n v="0"/>
    <n v="0"/>
    <n v="0"/>
    <n v="0"/>
    <n v="20252.59"/>
    <n v="0"/>
    <n v="0"/>
    <n v="134.60609874381427"/>
    <n v="75.05714285714285"/>
    <n v="0"/>
    <n v="0"/>
    <m/>
    <s v="Matihani"/>
    <m/>
    <n v="0"/>
  </r>
  <r>
    <s v="Munger"/>
    <s v="17-23 Jul"/>
    <n v="1055"/>
    <s v="Matihani"/>
    <x v="763"/>
    <s v="Manmana Dhala"/>
    <s v="MPG"/>
    <s v="Direct"/>
    <n v="311.39999999999998"/>
    <n v="12990.14"/>
    <n v="302.64999999999998"/>
    <n v="12791.869999999999"/>
    <n v="3.5299999999999994"/>
    <n v="153.22000000000003"/>
    <n v="306.17999999999995"/>
    <n v="12945.089999999998"/>
    <n v="12945.089999999998"/>
    <n v="0"/>
    <n v="153.22000000000003"/>
    <n v="0"/>
    <n v="0"/>
    <n v="0"/>
    <n v="0"/>
    <n v="12793"/>
    <n v="0"/>
    <n v="0"/>
    <n v="44"/>
    <n v="0"/>
    <n v="324.21120128452151"/>
    <n v="44.48571428571428"/>
    <n v="3.4680149713552811E-3"/>
    <n v="6"/>
    <m/>
    <s v="Matihani"/>
    <m/>
    <n v="0"/>
  </r>
  <r>
    <s v="Munger"/>
    <s v="17-23 Jul"/>
    <n v="1055"/>
    <s v="Matihani"/>
    <x v="764"/>
    <s v="Mahendarpur 2"/>
    <s v="MPG"/>
    <s v="Direct"/>
    <n v="283.59999999999997"/>
    <n v="11412.79"/>
    <n v="276.49"/>
    <n v="11215.8"/>
    <n v="2.2300000000000004"/>
    <n v="89.72"/>
    <n v="278.72000000000003"/>
    <n v="11305.519999999999"/>
    <n v="11305.519999999999"/>
    <n v="0"/>
    <n v="89.72"/>
    <n v="0"/>
    <n v="0"/>
    <n v="0"/>
    <n v="0"/>
    <n v="11216"/>
    <n v="0"/>
    <n v="0"/>
    <n v="107"/>
    <n v="0"/>
    <n v="335.14003921015524"/>
    <n v="40.514285714285712"/>
    <n v="9.3991039877192387E-3"/>
    <n v="5"/>
    <m/>
    <s v="Matihani"/>
    <m/>
    <n v="0"/>
  </r>
  <r>
    <s v="Munger"/>
    <s v="17-23 Jul"/>
    <n v="1056"/>
    <s v="Chautham"/>
    <x v="765"/>
    <s v="Gomukh Chautham(Mithun Kumar VLC)"/>
    <s v="MPG"/>
    <s v="Indirect"/>
    <n v="1496.32"/>
    <n v="57784.039999999994"/>
    <n v="0"/>
    <n v="0"/>
    <n v="0"/>
    <n v="0"/>
    <n v="0"/>
    <n v="0"/>
    <n v="57784.039999999994"/>
    <n v="0"/>
    <n v="0"/>
    <n v="0"/>
    <n v="0"/>
    <n v="0"/>
    <n v="0"/>
    <n v="0"/>
    <n v="0"/>
    <n v="57784.039999999994"/>
    <n v="0"/>
    <n v="0"/>
    <n v="0"/>
    <n v="0"/>
    <n v="0"/>
    <n v="0"/>
    <m/>
    <s v="Chautham"/>
    <m/>
    <n v="0"/>
  </r>
  <r>
    <s v="Munger"/>
    <s v="17-23 Jul"/>
    <n v="1056"/>
    <s v="Chautham"/>
    <x v="766"/>
    <s v="Gomukh Pansalwa"/>
    <s v="vlc"/>
    <s v="Indirect"/>
    <n v="396.9"/>
    <n v="14194.179999999998"/>
    <n v="0"/>
    <n v="0"/>
    <n v="0"/>
    <n v="0"/>
    <n v="0"/>
    <n v="0"/>
    <n v="14194.179999999998"/>
    <n v="0"/>
    <n v="0"/>
    <n v="0"/>
    <n v="0"/>
    <n v="0"/>
    <n v="0"/>
    <n v="0"/>
    <n v="0"/>
    <n v="14194.179999999998"/>
    <n v="0"/>
    <n v="0"/>
    <n v="216.79294320987654"/>
    <n v="56.699999999999996"/>
    <n v="0"/>
    <n v="0"/>
    <m/>
    <s v="Chautham"/>
    <m/>
    <n v="0"/>
  </r>
  <r>
    <s v="Munger"/>
    <s v="17-23 Jul"/>
    <n v="1056"/>
    <s v="Chautham"/>
    <x v="767"/>
    <s v="Gomukh Nawada"/>
    <s v="MPG"/>
    <s v="Direct"/>
    <n v="975.52"/>
    <n v="35254.780000000006"/>
    <n v="1072.8200000000002"/>
    <n v="39795.379999999997"/>
    <n v="0"/>
    <n v="0"/>
    <n v="1072.8200000000002"/>
    <n v="39795.379999999997"/>
    <n v="35254.780000000006"/>
    <n v="0"/>
    <n v="0"/>
    <n v="4540.5999999999913"/>
    <n v="0"/>
    <n v="0"/>
    <n v="0"/>
    <n v="35255"/>
    <n v="0"/>
    <n v="0"/>
    <n v="0"/>
    <n v="0"/>
    <n v="0"/>
    <n v="0"/>
    <n v="-0.12879388270186315"/>
    <n v="1"/>
    <m/>
    <s v="Chautham"/>
    <m/>
    <n v="0"/>
  </r>
  <r>
    <s v="Munger"/>
    <s v="17-23 Jul"/>
    <n v="1056"/>
    <s v="Chautham"/>
    <x v="768"/>
    <s v="Gomukh Yadav Tol Kanauli"/>
    <s v="MPG"/>
    <s v="Direct"/>
    <n v="1632.7800000000002"/>
    <n v="68996.95"/>
    <n v="62.56"/>
    <n v="2634.0600000000004"/>
    <n v="1688"/>
    <n v="71331.740000000005"/>
    <n v="1750.56"/>
    <n v="73965.8"/>
    <n v="68996.95"/>
    <n v="0"/>
    <n v="0"/>
    <n v="4968.8500000000058"/>
    <n v="0"/>
    <n v="0"/>
    <n v="0"/>
    <n v="0"/>
    <n v="68997"/>
    <n v="0"/>
    <n v="0"/>
    <s v="Release2"/>
    <n v="0"/>
    <n v="0"/>
    <n v="-7.2015502134514728E-2"/>
    <n v="3"/>
    <m/>
    <s v="Chautham"/>
    <m/>
    <n v="0"/>
  </r>
  <r>
    <s v="Munger"/>
    <s v="17-23 Jul"/>
    <n v="1056"/>
    <s v="Chautham"/>
    <x v="769"/>
    <s v="Gomukh Hardia"/>
    <s v="MPG"/>
    <s v="Direct"/>
    <n v="261.06"/>
    <n v="10371.41"/>
    <n v="263.40000000000003"/>
    <n v="11002.869999999999"/>
    <n v="0"/>
    <n v="0"/>
    <n v="263.40000000000003"/>
    <n v="11002.869999999999"/>
    <n v="10371.41"/>
    <n v="0"/>
    <n v="0"/>
    <n v="631.45999999999913"/>
    <n v="0"/>
    <n v="500"/>
    <n v="0"/>
    <n v="9871"/>
    <n v="0"/>
    <n v="0"/>
    <n v="0"/>
    <n v="0"/>
    <n v="348.76478245614032"/>
    <n v="37.294285714285714"/>
    <n v="-6.0884682024912637E-2"/>
    <n v="1"/>
    <m/>
    <s v="Chautham"/>
    <m/>
    <n v="500"/>
  </r>
  <r>
    <s v="Munger"/>
    <s v="17-23 Jul"/>
    <n v="1056"/>
    <s v="Chautham"/>
    <x v="770"/>
    <s v="Gomukh Ashatol Paharpur"/>
    <s v="MPG"/>
    <s v="Direct"/>
    <n v="1944.5"/>
    <n v="79389.460000000006"/>
    <n v="1944.42"/>
    <n v="84141.659999999989"/>
    <n v="0"/>
    <n v="0"/>
    <n v="1944.42"/>
    <n v="84141.659999999989"/>
    <n v="79389.460000000006"/>
    <n v="0"/>
    <n v="0"/>
    <n v="4752.1999999999825"/>
    <n v="0"/>
    <n v="0"/>
    <n v="0"/>
    <n v="79389"/>
    <n v="0"/>
    <n v="0"/>
    <n v="0"/>
    <n v="0"/>
    <n v="0"/>
    <n v="0"/>
    <n v="-5.9859331452814794E-2"/>
    <n v="13"/>
    <m/>
    <s v="Chautham"/>
    <m/>
    <n v="0"/>
  </r>
  <r>
    <s v="Munger"/>
    <s v="17-23 Jul"/>
    <n v="1056"/>
    <s v="Chautham"/>
    <x v="771"/>
    <s v="Gomukh Kharawa"/>
    <s v="MPG"/>
    <s v="Direct"/>
    <n v="1346.46"/>
    <n v="55271.92"/>
    <n v="1351.4299999999998"/>
    <n v="56509.180000000008"/>
    <n v="0"/>
    <n v="0"/>
    <n v="1351.4299999999998"/>
    <n v="56509.180000000008"/>
    <n v="55271.92"/>
    <n v="0"/>
    <n v="0"/>
    <n v="1237.2600000000093"/>
    <n v="16200"/>
    <n v="0"/>
    <n v="0"/>
    <n v="39072"/>
    <n v="0"/>
    <n v="0"/>
    <n v="0"/>
    <s v="Release1"/>
    <n v="0"/>
    <n v="0"/>
    <n v="-2.2384965096200915E-2"/>
    <n v="5"/>
    <m/>
    <s v="Chautham"/>
    <m/>
    <n v="0"/>
  </r>
  <r>
    <s v="Munger"/>
    <s v="17-23 Jul"/>
    <n v="1056"/>
    <s v="Chautham"/>
    <x v="772"/>
    <s v="Gomukh Patel Nagar"/>
    <s v="vlc"/>
    <s v="Indirect"/>
    <n v="427.26000000000005"/>
    <n v="16511.72"/>
    <n v="0"/>
    <n v="0"/>
    <n v="0"/>
    <n v="0"/>
    <n v="0"/>
    <n v="0"/>
    <n v="16511.72"/>
    <n v="0"/>
    <n v="0"/>
    <n v="0"/>
    <n v="0"/>
    <n v="0"/>
    <n v="0"/>
    <n v="0"/>
    <n v="0"/>
    <n v="16511.72"/>
    <n v="0"/>
    <n v="0"/>
    <n v="210.80403093198518"/>
    <n v="61.037142857142861"/>
    <n v="0"/>
    <n v="0"/>
    <m/>
    <s v="Chautham"/>
    <m/>
    <n v="0"/>
  </r>
  <r>
    <s v="Munger"/>
    <s v="17-23 Jul"/>
    <n v="1056"/>
    <s v="Chautham"/>
    <x v="773"/>
    <s v="Gomukh Pachout"/>
    <s v="MPG"/>
    <s v="Direct"/>
    <n v="964.61999999999989"/>
    <n v="35588.649999999994"/>
    <n v="1016.48"/>
    <n v="38336.85"/>
    <n v="0"/>
    <n v="0"/>
    <n v="1016.48"/>
    <n v="38336.85"/>
    <n v="35588.649999999994"/>
    <n v="0"/>
    <n v="0"/>
    <n v="2748.2000000000044"/>
    <n v="0"/>
    <n v="0"/>
    <n v="0"/>
    <n v="35589"/>
    <n v="0"/>
    <n v="0"/>
    <n v="0"/>
    <n v="0"/>
    <n v="0"/>
    <n v="0"/>
    <n v="-7.7221248909413676E-2"/>
    <n v="1"/>
    <m/>
    <s v="Chautham"/>
    <m/>
    <n v="0"/>
  </r>
  <r>
    <s v="Munger"/>
    <s v="17-23 Jul"/>
    <n v="1056"/>
    <s v="Chautham"/>
    <x v="774"/>
    <s v="Gomukh Telihar"/>
    <s v="MPG"/>
    <s v="Direct"/>
    <n v="733.61999999999989"/>
    <n v="29440.500000000004"/>
    <n v="732.81999999999994"/>
    <n v="28935.480000000003"/>
    <n v="0"/>
    <n v="0"/>
    <n v="732.81999999999994"/>
    <n v="28935.480000000003"/>
    <n v="28935.480000000003"/>
    <n v="0"/>
    <n v="0"/>
    <n v="0"/>
    <n v="6647"/>
    <n v="0"/>
    <n v="0"/>
    <n v="22289"/>
    <n v="0"/>
    <n v="0"/>
    <n v="505"/>
    <s v="Release3"/>
    <n v="0"/>
    <n v="0"/>
    <n v="1.7153920619554709E-2"/>
    <n v="14"/>
    <m/>
    <s v="Chautham"/>
    <m/>
    <n v="0"/>
  </r>
  <r>
    <s v="Munger"/>
    <s v="17-23 Jul"/>
    <n v="1056"/>
    <s v="Chautham"/>
    <x v="775"/>
    <s v="Gomukh Pansalba Ward No 05"/>
    <s v="vlc"/>
    <s v="Indirect"/>
    <n v="1509.26"/>
    <n v="55760.579999999987"/>
    <n v="0"/>
    <n v="0"/>
    <n v="0"/>
    <n v="0"/>
    <n v="0"/>
    <n v="0"/>
    <n v="55760.579999999987"/>
    <n v="0"/>
    <n v="0"/>
    <n v="0"/>
    <n v="0"/>
    <n v="0"/>
    <n v="0"/>
    <n v="0"/>
    <n v="0"/>
    <n v="55760.579999999987"/>
    <n v="0"/>
    <n v="0"/>
    <n v="0"/>
    <n v="0"/>
    <n v="0"/>
    <n v="0"/>
    <m/>
    <s v="Chautham"/>
    <m/>
    <n v="0"/>
  </r>
  <r>
    <s v="Munger"/>
    <s v="17-23 Jul"/>
    <n v="1056"/>
    <s v="Chautham"/>
    <x v="776"/>
    <s v="Gomukh Paharpur Jilebya "/>
    <s v="MPG"/>
    <s v="Direct"/>
    <n v="2351.1000000000004"/>
    <n v="99351.099999999991"/>
    <n v="2481.0100000000007"/>
    <n v="105342.14"/>
    <n v="295"/>
    <n v="12260.2"/>
    <n v="2776.0100000000007"/>
    <n v="117602.34"/>
    <n v="99351.099999999991"/>
    <n v="0"/>
    <n v="0"/>
    <n v="18251.240000000005"/>
    <n v="0"/>
    <n v="0"/>
    <n v="0"/>
    <n v="87091"/>
    <n v="12260"/>
    <n v="0"/>
    <n v="0"/>
    <n v="0"/>
    <n v="0"/>
    <n v="0"/>
    <n v="-0.18370445822945097"/>
    <n v="7"/>
    <m/>
    <s v="Chautham"/>
    <m/>
    <n v="0"/>
  </r>
  <r>
    <s v="Munger"/>
    <s v="17-23 Jul"/>
    <n v="1056"/>
    <s v="Chautham"/>
    <x v="777"/>
    <s v="Gomukh Debka Vlc"/>
    <s v="vlc"/>
    <s v="Indirect"/>
    <n v="76.8"/>
    <n v="3314.7799999999997"/>
    <n v="0"/>
    <n v="0"/>
    <n v="0"/>
    <n v="0"/>
    <n v="0"/>
    <n v="0"/>
    <n v="3314.7799999999997"/>
    <n v="0"/>
    <n v="0"/>
    <n v="0"/>
    <n v="0"/>
    <n v="0"/>
    <n v="0"/>
    <n v="0"/>
    <n v="0"/>
    <n v="3314.7799999999997"/>
    <n v="0"/>
    <n v="0"/>
    <n v="537.9611708333332"/>
    <n v="10.971428571428572"/>
    <n v="0"/>
    <n v="0"/>
    <m/>
    <s v="Chautham"/>
    <m/>
    <n v="0"/>
  </r>
  <r>
    <s v="Munger"/>
    <s v="17-23 Jul"/>
    <n v="1056"/>
    <s v="Chautham"/>
    <x v="778"/>
    <s v="Gomukh Azad Nagar"/>
    <s v="MPG"/>
    <s v="Direct"/>
    <n v="1012.08"/>
    <n v="40194.47"/>
    <n v="1020.3600000000001"/>
    <n v="41247.799999999996"/>
    <n v="0"/>
    <n v="0"/>
    <n v="1020.3600000000001"/>
    <n v="41247.799999999996"/>
    <n v="40194.47"/>
    <n v="0"/>
    <n v="0"/>
    <n v="1053.3299999999945"/>
    <n v="0"/>
    <n v="0"/>
    <n v="0"/>
    <n v="40194"/>
    <n v="0"/>
    <n v="0"/>
    <n v="0"/>
    <n v="0"/>
    <n v="0"/>
    <n v="0"/>
    <n v="-2.6205843739200801E-2"/>
    <n v="18"/>
    <m/>
    <s v="Chautham"/>
    <m/>
    <n v="0"/>
  </r>
  <r>
    <s v="Munger"/>
    <s v="17-23 Jul"/>
    <n v="1056"/>
    <s v="Chautham"/>
    <x v="779"/>
    <s v="Gomukh Uttari Hardia"/>
    <s v="vlc"/>
    <s v="Direct"/>
    <n v="338.32"/>
    <n v="16057.51"/>
    <n v="365.08000000000004"/>
    <n v="17158.940000000002"/>
    <n v="0"/>
    <n v="0"/>
    <n v="365.08000000000004"/>
    <n v="17158.940000000002"/>
    <n v="16057.51"/>
    <n v="0"/>
    <n v="0"/>
    <n v="1101.4300000000021"/>
    <n v="0"/>
    <n v="0"/>
    <n v="0"/>
    <n v="16058"/>
    <n v="0"/>
    <n v="0"/>
    <n v="0"/>
    <n v="0"/>
    <n v="343.32467585717666"/>
    <n v="48.331428571428567"/>
    <n v="-6.8592826658678843E-2"/>
    <n v="1"/>
    <m/>
    <s v="Chautham"/>
    <m/>
    <n v="0"/>
  </r>
  <r>
    <s v="Munger"/>
    <s v="17-23 Jul"/>
    <n v="1056"/>
    <s v="Chautham"/>
    <x v="780"/>
    <s v="Gomukh Nirpur Keshv Nagar"/>
    <s v="vlc"/>
    <s v="Direct"/>
    <n v="574.04000000000008"/>
    <n v="22872.93"/>
    <n v="576.09"/>
    <n v="22950.78"/>
    <n v="0"/>
    <n v="0"/>
    <n v="576.09"/>
    <n v="22950.78"/>
    <n v="22872.93"/>
    <n v="0"/>
    <n v="0"/>
    <n v="77.849999999998545"/>
    <n v="0"/>
    <n v="0"/>
    <n v="0"/>
    <n v="22873"/>
    <n v="0"/>
    <n v="0"/>
    <n v="0"/>
    <n v="0"/>
    <n v="100.37886777228063"/>
    <n v="82.005714285714291"/>
    <n v="-3.4035866852212874E-3"/>
    <n v="1"/>
    <m/>
    <s v="Chautham"/>
    <m/>
    <n v="0"/>
  </r>
  <r>
    <s v="Munger"/>
    <s v="17-23 Jul"/>
    <n v="1056"/>
    <s v="Chautham"/>
    <x v="781"/>
    <s v="Gomukh Thuthi Vlc"/>
    <s v="MPG"/>
    <s v="Indirect"/>
    <n v="309.62"/>
    <n v="13016.439999999999"/>
    <n v="309"/>
    <n v="12842.04"/>
    <n v="0"/>
    <n v="0"/>
    <n v="309"/>
    <n v="12842.04"/>
    <n v="13016.439999999999"/>
    <n v="0"/>
    <n v="0"/>
    <n v="0"/>
    <n v="0"/>
    <n v="0"/>
    <n v="0"/>
    <n v="0"/>
    <n v="0"/>
    <n v="13016.439999999999"/>
    <n v="0"/>
    <n v="0"/>
    <n v="328.23188729410242"/>
    <n v="44.231428571428573"/>
    <n v="0"/>
    <n v="3"/>
    <m/>
    <s v="Chautham"/>
    <m/>
    <n v="0"/>
  </r>
  <r>
    <s v="Munger"/>
    <s v="17-23 Jul"/>
    <n v="1056"/>
    <s v="Chautham"/>
    <x v="782"/>
    <s v="Gomukh Nawadai Vlc"/>
    <s v="vlc"/>
    <s v="Indirect"/>
    <n v="58.86"/>
    <n v="2189.16"/>
    <n v="0"/>
    <n v="0"/>
    <n v="0"/>
    <n v="0"/>
    <n v="0"/>
    <n v="0"/>
    <n v="2189.16"/>
    <n v="0"/>
    <n v="0"/>
    <n v="0"/>
    <n v="2189"/>
    <n v="0"/>
    <n v="0"/>
    <n v="0"/>
    <n v="0"/>
    <n v="0.15999999999985448"/>
    <n v="0"/>
    <n v="0"/>
    <n v="476.91404770642202"/>
    <n v="8.4085714285714293"/>
    <n v="0"/>
    <n v="0"/>
    <m/>
    <s v="Chautham"/>
    <m/>
    <n v="0"/>
  </r>
  <r>
    <s v="Munger"/>
    <s v="17-23 Jul"/>
    <n v="1056"/>
    <s v="Chautham"/>
    <x v="783"/>
    <s v="Gomukh Kharra Basa"/>
    <s v="MPG"/>
    <s v="Direct"/>
    <n v="483.94000000000005"/>
    <n v="18121.3"/>
    <n v="487.06999999999994"/>
    <n v="17397.82"/>
    <n v="0"/>
    <n v="0"/>
    <n v="487.06999999999994"/>
    <n v="17397.82"/>
    <n v="17397.82"/>
    <n v="0"/>
    <n v="0"/>
    <n v="0"/>
    <n v="0"/>
    <n v="0"/>
    <n v="0"/>
    <n v="17398"/>
    <n v="0"/>
    <n v="0"/>
    <n v="723"/>
    <n v="0"/>
    <n v="161.80882249865681"/>
    <n v="69.134285714285724"/>
    <n v="3.9924287992583289E-2"/>
    <n v="2"/>
    <m/>
    <s v="Chautham"/>
    <m/>
    <n v="0"/>
  </r>
  <r>
    <s v="Munger"/>
    <s v="17-23 Jul"/>
    <n v="1056"/>
    <s v="Chautham"/>
    <x v="784"/>
    <s v="Gomukh Bangalia"/>
    <s v="MPG"/>
    <s v="Direct"/>
    <n v="616.58000000000004"/>
    <n v="29163.279999999999"/>
    <n v="615.67999999999984"/>
    <n v="29258.829999999998"/>
    <n v="0"/>
    <n v="0"/>
    <n v="615.67999999999984"/>
    <n v="29258.829999999998"/>
    <n v="29163.279999999999"/>
    <n v="0"/>
    <n v="0"/>
    <n v="95.549999999999272"/>
    <n v="0"/>
    <n v="0"/>
    <n v="0"/>
    <n v="29163"/>
    <n v="0"/>
    <n v="0"/>
    <n v="0"/>
    <n v="0"/>
    <n v="78.912738577313505"/>
    <n v="88.082857142857151"/>
    <n v="-3.2763804345738641E-3"/>
    <n v="4"/>
    <m/>
    <s v="Chautham"/>
    <m/>
    <n v="0"/>
  </r>
  <r>
    <s v="Munger"/>
    <s v="17-23 Jul"/>
    <n v="1056"/>
    <s v="Chautham"/>
    <x v="785"/>
    <s v="Gomukh Soharba Purvi"/>
    <s v="MPG"/>
    <s v="Direct"/>
    <n v="243.72"/>
    <n v="9955.66"/>
    <n v="216.3"/>
    <n v="8615.58"/>
    <n v="71.259999999999991"/>
    <n v="2823.68"/>
    <n v="287.56"/>
    <n v="11439.26"/>
    <n v="9955.66"/>
    <n v="0"/>
    <n v="0"/>
    <n v="1483.6000000000004"/>
    <n v="0"/>
    <n v="0"/>
    <n v="0"/>
    <n v="7132"/>
    <n v="2824"/>
    <n v="0"/>
    <n v="0"/>
    <n v="0"/>
    <n v="372.76945222386348"/>
    <n v="34.817142857142855"/>
    <n v="-0.14902075804115453"/>
    <n v="5"/>
    <m/>
    <s v="Chautham"/>
    <m/>
    <n v="0"/>
  </r>
  <r>
    <s v="Munger"/>
    <s v="17-23 Jul"/>
    <n v="1056"/>
    <s v="Chautham"/>
    <x v="786"/>
    <s v="Gommukh Khushbu Kumari Vlc"/>
    <s v="vlc"/>
    <s v="Indirect"/>
    <n v="319.72000000000008"/>
    <n v="11528.089999999998"/>
    <n v="0"/>
    <n v="0"/>
    <n v="0"/>
    <n v="0"/>
    <n v="0"/>
    <n v="0"/>
    <n v="11528.089999999998"/>
    <n v="0"/>
    <n v="0"/>
    <n v="0"/>
    <n v="0"/>
    <n v="0"/>
    <n v="0"/>
    <n v="0"/>
    <n v="0"/>
    <n v="11528.089999999998"/>
    <n v="0"/>
    <n v="0"/>
    <n v="274.23383367946934"/>
    <n v="45.674285714285723"/>
    <n v="0"/>
    <n v="0"/>
    <m/>
    <s v="Chautham"/>
    <m/>
    <n v="0"/>
  </r>
  <r>
    <s v="Munger"/>
    <s v="17-23 Jul"/>
    <n v="1056"/>
    <s v="Chautham"/>
    <x v="787"/>
    <s v="Gomukh Saraiya Wad -5 Vlc"/>
    <s v="vlc"/>
    <s v="Indirect"/>
    <n v="138.16"/>
    <n v="5222.380000000001"/>
    <n v="0"/>
    <n v="0"/>
    <n v="0"/>
    <n v="0"/>
    <n v="0"/>
    <n v="0"/>
    <n v="5222.380000000001"/>
    <n v="0"/>
    <n v="0"/>
    <n v="0"/>
    <n v="0"/>
    <n v="0"/>
    <n v="0"/>
    <n v="0"/>
    <n v="0"/>
    <n v="5222.380000000001"/>
    <n v="0"/>
    <n v="0"/>
    <n v="424.74550943833253"/>
    <n v="19.737142857142857"/>
    <n v="0"/>
    <n v="0"/>
    <m/>
    <s v="Chautham"/>
    <m/>
    <n v="0"/>
  </r>
  <r>
    <s v="Munger"/>
    <s v="17-23 Jul"/>
    <n v="1063"/>
    <s v="Rosera"/>
    <x v="788"/>
    <s v="Karian"/>
    <s v="MPG"/>
    <s v="Direct"/>
    <n v="66.400000000000006"/>
    <n v="2455.1500000000005"/>
    <n v="10.199999999999999"/>
    <n v="411.16"/>
    <n v="47.4"/>
    <n v="2008.6899999999998"/>
    <n v="57.599999999999994"/>
    <n v="2419.85"/>
    <n v="2419.85"/>
    <n v="0"/>
    <n v="26.85"/>
    <n v="0"/>
    <n v="0"/>
    <n v="500"/>
    <n v="0"/>
    <n v="0"/>
    <n v="1893"/>
    <n v="0"/>
    <n v="35"/>
    <s v="Release3"/>
    <n v="468.549108433735"/>
    <n v="9.4857142857142858"/>
    <n v="1.4377940248050274E-2"/>
    <n v="7"/>
    <m/>
    <s v="Rosera"/>
    <m/>
    <n v="500"/>
  </r>
  <r>
    <s v="Munger"/>
    <s v="17-23 Jul"/>
    <n v="1057"/>
    <s v="Warisnagar"/>
    <x v="789"/>
    <s v="Teghara"/>
    <s v="MPG"/>
    <s v="Direct"/>
    <n v="308.39999999999998"/>
    <n v="12281.6"/>
    <n v="16.2"/>
    <n v="628.98"/>
    <n v="294.89999999999998"/>
    <n v="11898.85"/>
    <n v="311.09999999999997"/>
    <n v="12527.83"/>
    <n v="12281.6"/>
    <n v="0"/>
    <n v="31.36"/>
    <n v="246.22999999999956"/>
    <n v="7000"/>
    <n v="500"/>
    <n v="0"/>
    <n v="0"/>
    <n v="4750"/>
    <n v="0"/>
    <n v="0"/>
    <s v="Release3"/>
    <n v="311.89847989623871"/>
    <n v="44.057142857142857"/>
    <n v="-2.0048690724335554E-2"/>
    <n v="14"/>
    <m/>
    <s v="Warisnagar"/>
    <m/>
    <n v="500"/>
  </r>
  <r>
    <s v="Munger"/>
    <s v="17-23 Jul"/>
    <n v="1057"/>
    <s v="Warisnagar"/>
    <x v="790"/>
    <s v="Basantpur"/>
    <s v="MPG"/>
    <s v="Direct"/>
    <n v="814.00000000000011"/>
    <n v="36077.26"/>
    <n v="0"/>
    <n v="0"/>
    <n v="0"/>
    <n v="0"/>
    <n v="0"/>
    <n v="0"/>
    <n v="0"/>
    <n v="0"/>
    <n v="0"/>
    <n v="0"/>
    <n v="0"/>
    <n v="0"/>
    <n v="0"/>
    <n v="0"/>
    <n v="0"/>
    <n v="0"/>
    <n v="36077"/>
    <n v="0"/>
    <n v="0"/>
    <n v="0"/>
    <n v="1"/>
    <n v="0"/>
    <m/>
    <s v="Warisnagar"/>
    <m/>
    <n v="0"/>
  </r>
  <r>
    <s v="Munger"/>
    <s v="17-23 Jul"/>
    <n v="1057"/>
    <s v="Warisnagar"/>
    <x v="791"/>
    <s v="Chakoti"/>
    <s v="MPG"/>
    <s v="Direct"/>
    <n v="1047.8999999999999"/>
    <n v="42386.43"/>
    <n v="73.61"/>
    <n v="3026.1899999999996"/>
    <n v="990.63000000000011"/>
    <n v="39324.830000000009"/>
    <n v="1064.24"/>
    <n v="42351.020000000011"/>
    <n v="42351.020000000011"/>
    <n v="0"/>
    <n v="809.43000000000006"/>
    <n v="0"/>
    <n v="3685"/>
    <n v="0"/>
    <n v="0"/>
    <n v="0"/>
    <n v="37856"/>
    <n v="0"/>
    <n v="36"/>
    <n v="0"/>
    <n v="0"/>
    <n v="0"/>
    <n v="8.3540887968127872E-4"/>
    <n v="17"/>
    <m/>
    <s v="Warisnagar"/>
    <m/>
    <n v="0"/>
  </r>
  <r>
    <s v="Munger"/>
    <s v="17-23 Jul"/>
    <n v="1057"/>
    <s v="Warisnagar"/>
    <x v="792"/>
    <s v="Nathudawar"/>
    <s v="MPG"/>
    <s v="Direct"/>
    <n v="1639.3000000000002"/>
    <n v="64649.3"/>
    <n v="312.40000000000003"/>
    <n v="12308.89"/>
    <n v="1328.1"/>
    <n v="52302.559999999998"/>
    <n v="1640.5"/>
    <n v="64611.45"/>
    <n v="64611.45"/>
    <n v="0"/>
    <n v="35.799999999999997"/>
    <n v="0"/>
    <n v="748.5"/>
    <n v="0"/>
    <n v="0"/>
    <n v="11560"/>
    <n v="52266"/>
    <n v="0"/>
    <n v="39"/>
    <n v="0"/>
    <n v="0"/>
    <n v="0"/>
    <n v="5.8546650930490845E-4"/>
    <n v="7"/>
    <m/>
    <s v="Warisnagar"/>
    <m/>
    <n v="0"/>
  </r>
  <r>
    <s v="Munger"/>
    <s v="17-23 Jul"/>
    <n v="1057"/>
    <s v="Warisnagar"/>
    <x v="793"/>
    <s v="Purnahi"/>
    <s v="vlc"/>
    <s v="Indirect"/>
    <n v="681.9"/>
    <n v="23789.289999999997"/>
    <n v="0"/>
    <n v="0"/>
    <n v="0"/>
    <n v="0"/>
    <n v="0"/>
    <n v="0"/>
    <n v="23789.289999999997"/>
    <n v="0"/>
    <n v="0"/>
    <n v="0"/>
    <n v="0"/>
    <n v="0"/>
    <n v="0"/>
    <n v="0"/>
    <n v="0"/>
    <n v="23789.289999999997"/>
    <n v="0"/>
    <n v="0"/>
    <n v="12.629011555946636"/>
    <n v="97.414285714285711"/>
    <n v="0"/>
    <n v="0"/>
    <m/>
    <s v="Warisnagar"/>
    <m/>
    <n v="0"/>
  </r>
  <r>
    <s v="Munger"/>
    <s v="17-23 Jul"/>
    <n v="1057"/>
    <s v="Warisnagar"/>
    <x v="794"/>
    <s v="Baghopur "/>
    <s v="vlc"/>
    <s v="Indirect"/>
    <n v="1299.3"/>
    <n v="49973.919999999998"/>
    <n v="0"/>
    <n v="0"/>
    <n v="0"/>
    <n v="0"/>
    <n v="0"/>
    <n v="0"/>
    <n v="49973.919999999998"/>
    <n v="0"/>
    <n v="0"/>
    <n v="0"/>
    <n v="0"/>
    <n v="0"/>
    <n v="0"/>
    <n v="0"/>
    <n v="0"/>
    <n v="49973.919999999998"/>
    <n v="0"/>
    <n v="0"/>
    <n v="0"/>
    <n v="0"/>
    <n v="0"/>
    <n v="0"/>
    <m/>
    <s v="Warisnagar"/>
    <m/>
    <n v="0"/>
  </r>
  <r>
    <s v="Munger"/>
    <s v="17-23 Jul"/>
    <n v="1063"/>
    <s v="Rosera"/>
    <x v="795"/>
    <s v="Dewanpur"/>
    <s v="MPG"/>
    <s v="Direct"/>
    <n v="214.2"/>
    <n v="10267.060000000001"/>
    <n v="43.75"/>
    <n v="4612.8499999999995"/>
    <n v="124.1"/>
    <n v="5654.08"/>
    <n v="167.85"/>
    <n v="10266.93"/>
    <n v="10266.93"/>
    <n v="0"/>
    <n v="0"/>
    <n v="0"/>
    <n v="0"/>
    <n v="500"/>
    <n v="0"/>
    <n v="4113"/>
    <n v="5654"/>
    <n v="0"/>
    <n v="0"/>
    <n v="0"/>
    <n v="465.70847320261447"/>
    <n v="30.599999999999998"/>
    <n v="1.2661852565487941E-5"/>
    <n v="12"/>
    <m/>
    <s v="Rosera"/>
    <m/>
    <n v="500"/>
  </r>
  <r>
    <s v="Munger"/>
    <s v="17-23 Jul"/>
    <n v="1057"/>
    <s v="Warisnagar"/>
    <x v="797"/>
    <s v="Matua"/>
    <s v="MPG"/>
    <s v="Direct"/>
    <n v="590"/>
    <n v="27604.519999999997"/>
    <n v="156.80000000000001"/>
    <n v="6654.23"/>
    <n v="434.1"/>
    <n v="21014.44"/>
    <n v="590.90000000000009"/>
    <n v="27668.67"/>
    <n v="27604.519999999997"/>
    <n v="0"/>
    <n v="186.24"/>
    <n v="64.150000000001455"/>
    <n v="3687.75"/>
    <n v="0"/>
    <n v="0"/>
    <n v="2902"/>
    <n v="20828"/>
    <n v="0"/>
    <n v="1"/>
    <n v="0"/>
    <n v="102.93210847457622"/>
    <n v="84.285714285714292"/>
    <n v="-2.3238947824487243E-3"/>
    <n v="12"/>
    <m/>
    <s v="Warisnagar"/>
    <m/>
    <n v="0"/>
  </r>
  <r>
    <s v="Munger"/>
    <s v="17-23 Jul"/>
    <n v="1057"/>
    <s v="Warisnagar"/>
    <x v="798"/>
    <s v="Ratni Chouk"/>
    <s v="MPG"/>
    <s v="Direct"/>
    <n v="726"/>
    <n v="33142.460000000006"/>
    <n v="725.7"/>
    <n v="33084.199999999997"/>
    <n v="0.5"/>
    <n v="18.350000000000001"/>
    <n v="726.2"/>
    <n v="33102.549999999996"/>
    <n v="33102.549999999996"/>
    <n v="0"/>
    <n v="18.350000000000001"/>
    <n v="0"/>
    <n v="0"/>
    <n v="0"/>
    <n v="0"/>
    <n v="33084"/>
    <n v="0"/>
    <n v="0"/>
    <n v="40"/>
    <n v="0"/>
    <n v="0"/>
    <n v="0"/>
    <n v="1.2041954640666613E-3"/>
    <n v="2"/>
    <m/>
    <s v="Warisnagar"/>
    <m/>
    <n v="0"/>
  </r>
  <r>
    <s v="Munger"/>
    <s v="17-23 Jul"/>
    <n v="1057"/>
    <s v="Warisnagar"/>
    <x v="799"/>
    <s v="Balahi 2"/>
    <s v="MPG"/>
    <s v="Direct"/>
    <n v="556"/>
    <n v="21479.64"/>
    <n v="484.7"/>
    <n v="18807.8"/>
    <n v="70.2"/>
    <n v="2688.3900000000003"/>
    <n v="554.9"/>
    <n v="21496.19"/>
    <n v="21479.64"/>
    <n v="0"/>
    <n v="91.13"/>
    <n v="16.549999999999272"/>
    <n v="0"/>
    <n v="0"/>
    <n v="0"/>
    <n v="18792"/>
    <n v="2597"/>
    <n v="0"/>
    <n v="0"/>
    <n v="0"/>
    <n v="111.26144460431655"/>
    <n v="79.428571428571431"/>
    <n v="-7.7049708468108742E-4"/>
    <n v="11"/>
    <m/>
    <s v="Warisnagar"/>
    <m/>
    <n v="0"/>
  </r>
  <r>
    <s v="Munger"/>
    <s v="17-23 Jul"/>
    <n v="1057"/>
    <s v="Warisnagar"/>
    <x v="800"/>
    <s v="Chandauli"/>
    <s v="vlc"/>
    <s v="Indirect"/>
    <n v="185.5"/>
    <n v="8484.3499999999985"/>
    <n v="0"/>
    <n v="0"/>
    <n v="0"/>
    <n v="0"/>
    <n v="0"/>
    <n v="0"/>
    <n v="8484.3499999999985"/>
    <n v="0"/>
    <n v="0"/>
    <n v="0"/>
    <n v="0"/>
    <n v="0"/>
    <n v="0"/>
    <n v="0"/>
    <n v="0"/>
    <n v="8484.3499999999985"/>
    <n v="0"/>
    <n v="0"/>
    <n v="470.64130188679246"/>
    <n v="26.5"/>
    <n v="0"/>
    <n v="0"/>
    <m/>
    <s v="Warisnagar"/>
    <m/>
    <n v="0"/>
  </r>
  <r>
    <s v="Munger"/>
    <s v="17-23 Jul"/>
    <n v="1057"/>
    <s v="Warisnagar"/>
    <x v="801"/>
    <s v="Gulabi Choak"/>
    <s v="vlc"/>
    <s v="Indirect"/>
    <n v="1024.8999999999999"/>
    <n v="40176.57"/>
    <n v="0"/>
    <n v="0"/>
    <n v="0"/>
    <n v="0"/>
    <n v="0"/>
    <n v="0"/>
    <n v="40176.57"/>
    <n v="0"/>
    <n v="0"/>
    <n v="0"/>
    <n v="0"/>
    <n v="0"/>
    <n v="0"/>
    <n v="0"/>
    <n v="0"/>
    <n v="40176.57"/>
    <n v="0"/>
    <n v="0"/>
    <n v="0"/>
    <n v="0"/>
    <n v="0"/>
    <n v="0"/>
    <m/>
    <s v="Warisnagar"/>
    <m/>
    <n v="0"/>
  </r>
  <r>
    <s v="Munger"/>
    <s v="17-23 Jul"/>
    <n v="1057"/>
    <s v="Warisnagar"/>
    <x v="802"/>
    <s v="Satmalpur"/>
    <s v="vlc"/>
    <s v="Indirect"/>
    <n v="853.00000000000011"/>
    <n v="33054.910000000003"/>
    <n v="0"/>
    <n v="0"/>
    <n v="0"/>
    <n v="0"/>
    <n v="0"/>
    <n v="0"/>
    <n v="33054.910000000003"/>
    <n v="0"/>
    <n v="0"/>
    <n v="0"/>
    <n v="0"/>
    <n v="0"/>
    <n v="0"/>
    <n v="0"/>
    <n v="0"/>
    <n v="33054.910000000003"/>
    <n v="0"/>
    <n v="0"/>
    <n v="0"/>
    <n v="0"/>
    <n v="0"/>
    <n v="0"/>
    <m/>
    <s v="Warisnagar"/>
    <m/>
    <n v="0"/>
  </r>
  <r>
    <s v="Munger"/>
    <s v="17-23 Jul"/>
    <n v="1057"/>
    <s v="Warisnagar"/>
    <x v="803"/>
    <s v="Chhatnesar 2"/>
    <s v="MPG"/>
    <s v="Direct"/>
    <n v="356.70000000000005"/>
    <n v="13464.66"/>
    <n v="13.799999999999999"/>
    <n v="506.31000000000006"/>
    <n v="343.99999999999994"/>
    <n v="12944.329999999998"/>
    <n v="357.79999999999995"/>
    <n v="13450.639999999998"/>
    <n v="13450.639999999998"/>
    <n v="0"/>
    <n v="32.11"/>
    <n v="0"/>
    <n v="0"/>
    <n v="0"/>
    <n v="0"/>
    <n v="506"/>
    <n v="12912"/>
    <n v="0"/>
    <n v="15"/>
    <n v="0"/>
    <n v="259.17677476871313"/>
    <n v="50.957142857142863"/>
    <n v="1.0412442646158355E-3"/>
    <n v="14"/>
    <m/>
    <s v="Warisnagar"/>
    <m/>
    <n v="0"/>
  </r>
  <r>
    <s v="Munger"/>
    <s v="17-23 Jul"/>
    <n v="1057"/>
    <s v="Warisnagar"/>
    <x v="804"/>
    <s v="Hajpurwa"/>
    <s v="MPG"/>
    <s v="Direct"/>
    <n v="137.5"/>
    <n v="5884.2"/>
    <n v="20.5"/>
    <n v="860.59"/>
    <n v="120.77000000000001"/>
    <n v="5021.3899999999994"/>
    <n v="141.27000000000001"/>
    <n v="5881.98"/>
    <n v="5881.98"/>
    <n v="0"/>
    <n v="25.89"/>
    <n v="0"/>
    <n v="0"/>
    <n v="0"/>
    <n v="0"/>
    <n v="861"/>
    <n v="4994"/>
    <n v="0"/>
    <n v="3"/>
    <n v="0"/>
    <n v="481.43454545454546"/>
    <n v="19.642857142857142"/>
    <n v="3.7728153359849339E-4"/>
    <n v="11"/>
    <m/>
    <s v="Warisnagar"/>
    <m/>
    <n v="0"/>
  </r>
  <r>
    <s v="Munger"/>
    <s v="17-23 Jul"/>
    <n v="1057"/>
    <s v="Warisnagar"/>
    <x v="805"/>
    <s v="Shekhopur"/>
    <s v="MPG"/>
    <s v="Direct"/>
    <n v="408.19999999999993"/>
    <n v="15651.199999999999"/>
    <n v="52.199999999999996"/>
    <n v="2009.09"/>
    <n v="353.89"/>
    <n v="13529.36"/>
    <n v="406.09"/>
    <n v="15538.45"/>
    <n v="15538.45"/>
    <n v="0"/>
    <n v="33.78"/>
    <n v="0"/>
    <n v="2009"/>
    <n v="0"/>
    <n v="0"/>
    <n v="0"/>
    <n v="13495"/>
    <n v="0"/>
    <n v="113"/>
    <n v="0"/>
    <n v="223.76384909358163"/>
    <n v="58.314285714285703"/>
    <n v="7.2039204661622233E-3"/>
    <n v="7"/>
    <m/>
    <s v="Warisnagar"/>
    <m/>
    <n v="0"/>
  </r>
  <r>
    <s v="Munger"/>
    <s v="17-23 Jul"/>
    <n v="1057"/>
    <s v="Warisnagar"/>
    <x v="806"/>
    <s v="Dharampur"/>
    <s v="MPG"/>
    <s v="Direct"/>
    <n v="133.20000000000002"/>
    <n v="5577.62"/>
    <n v="133.19999999999999"/>
    <n v="5473.380000000001"/>
    <n v="1.4000000000000001"/>
    <n v="52.59"/>
    <n v="134.6"/>
    <n v="5525.9700000000012"/>
    <n v="5525.9700000000012"/>
    <n v="0"/>
    <n v="52.59"/>
    <n v="0"/>
    <n v="0"/>
    <n v="500"/>
    <n v="0"/>
    <n v="4973"/>
    <n v="0"/>
    <n v="0"/>
    <n v="52"/>
    <n v="0"/>
    <n v="474.68393633633622"/>
    <n v="19.028571428571432"/>
    <n v="9.2602221018998655E-3"/>
    <n v="2"/>
    <m/>
    <s v="Warisnagar"/>
    <m/>
    <n v="500"/>
  </r>
  <r>
    <s v="Munger"/>
    <s v="17-23 Jul"/>
    <n v="1057"/>
    <s v="Warisnagar"/>
    <x v="807"/>
    <s v="Pauriya 2"/>
    <s v="vlc"/>
    <s v="Indirect"/>
    <n v="732"/>
    <n v="32410.44"/>
    <n v="0"/>
    <n v="0"/>
    <n v="0"/>
    <n v="0"/>
    <n v="0"/>
    <n v="0"/>
    <n v="32410.44"/>
    <n v="0"/>
    <n v="0"/>
    <n v="0"/>
    <n v="0"/>
    <n v="0"/>
    <n v="0"/>
    <n v="0"/>
    <n v="0"/>
    <n v="32410.44"/>
    <n v="0"/>
    <n v="0"/>
    <n v="0"/>
    <n v="0"/>
    <n v="0"/>
    <n v="0"/>
    <m/>
    <s v="Warisnagar"/>
    <m/>
    <n v="0"/>
  </r>
  <r>
    <s v="Munger"/>
    <s v="17-23 Jul"/>
    <n v="1057"/>
    <s v="Warisnagar"/>
    <x v="808"/>
    <s v="Hajpurwa Pachim"/>
    <s v="MPG"/>
    <s v="Direct"/>
    <n v="302.7"/>
    <n v="14363.96"/>
    <n v="292.5"/>
    <n v="14280.77"/>
    <n v="0.79"/>
    <n v="26.51"/>
    <n v="293.29000000000002"/>
    <n v="14307.28"/>
    <n v="14307.28"/>
    <n v="0"/>
    <n v="0"/>
    <n v="0"/>
    <n v="0"/>
    <n v="0"/>
    <n v="0"/>
    <n v="14281"/>
    <n v="27"/>
    <n v="0"/>
    <n v="56"/>
    <n v="0"/>
    <n v="377.05988159894287"/>
    <n v="43.24285714285714"/>
    <n v="3.94598703978558E-3"/>
    <n v="4"/>
    <m/>
    <s v="Warisnagar"/>
    <m/>
    <n v="0"/>
  </r>
  <r>
    <s v="Munger"/>
    <s v="17-23 Jul"/>
    <n v="1057"/>
    <s v="Warisnagar"/>
    <x v="809"/>
    <s v="Almasnagar"/>
    <s v="vlc"/>
    <s v="Indirect"/>
    <n v="177.1"/>
    <n v="6985.27"/>
    <n v="0"/>
    <n v="0"/>
    <n v="0"/>
    <n v="0"/>
    <n v="0"/>
    <n v="0"/>
    <n v="6985.27"/>
    <n v="0"/>
    <n v="0"/>
    <n v="0"/>
    <n v="0"/>
    <n v="0"/>
    <n v="0"/>
    <n v="0"/>
    <n v="0"/>
    <n v="6985.27"/>
    <n v="0"/>
    <n v="0"/>
    <n v="412.48985691699608"/>
    <n v="25.3"/>
    <n v="0"/>
    <n v="0"/>
    <m/>
    <s v="Warisnagar"/>
    <m/>
    <n v="0"/>
  </r>
  <r>
    <s v="Munger"/>
    <s v="17-23 Jul"/>
    <n v="1057"/>
    <s v="Warisnagar"/>
    <x v="810"/>
    <s v="Kadarchak"/>
    <s v="vlc"/>
    <s v="Indirect"/>
    <n v="36.800000000000004"/>
    <n v="1486.62"/>
    <n v="0"/>
    <n v="0"/>
    <n v="0"/>
    <n v="0"/>
    <n v="0"/>
    <n v="0"/>
    <n v="1486.62"/>
    <n v="0"/>
    <n v="0"/>
    <n v="0"/>
    <n v="0"/>
    <n v="0"/>
    <n v="0"/>
    <n v="0"/>
    <n v="0"/>
    <n v="1486.62"/>
    <n v="0"/>
    <n v="0"/>
    <n v="535.82955652173905"/>
    <n v="5.257142857142858"/>
    <n v="0"/>
    <n v="0"/>
    <m/>
    <s v="Warisnagar"/>
    <m/>
    <n v="0"/>
  </r>
  <r>
    <s v="Munger"/>
    <s v="17-23 Jul"/>
    <n v="1057"/>
    <s v="Warisnagar"/>
    <x v="811"/>
    <s v="Rahua"/>
    <s v="MPG"/>
    <s v="Direct"/>
    <n v="152.4"/>
    <n v="6186.7300000000005"/>
    <n v="152.39999999999998"/>
    <n v="6191.5599999999995"/>
    <n v="0"/>
    <n v="0"/>
    <n v="152.39999999999998"/>
    <n v="6191.5599999999995"/>
    <n v="6186.7300000000005"/>
    <n v="0"/>
    <n v="0"/>
    <n v="4.8299999999990177"/>
    <n v="0"/>
    <n v="0"/>
    <n v="0"/>
    <n v="6187"/>
    <n v="0"/>
    <n v="0"/>
    <n v="0"/>
    <n v="0"/>
    <n v="444.60017690288714"/>
    <n v="21.771428571428572"/>
    <n v="-7.8070321478374157E-4"/>
    <n v="1"/>
    <m/>
    <s v="Warisnagar"/>
    <m/>
    <n v="0"/>
  </r>
  <r>
    <s v="Munger"/>
    <s v="17-23 Jul"/>
    <n v="1057"/>
    <s v="Warisnagar"/>
    <x v="812"/>
    <s v="Dagrua"/>
    <s v="MPG"/>
    <s v="Direct"/>
    <n v="145.29999999999998"/>
    <n v="7038.36"/>
    <n v="145.30000000000001"/>
    <n v="7043.31"/>
    <n v="0"/>
    <n v="0"/>
    <n v="145.30000000000001"/>
    <n v="7043.31"/>
    <n v="7038.36"/>
    <n v="0"/>
    <n v="0"/>
    <n v="4.9500000000007276"/>
    <n v="748.5"/>
    <n v="0"/>
    <n v="0"/>
    <n v="6290"/>
    <n v="0"/>
    <n v="0"/>
    <n v="0"/>
    <n v="0"/>
    <n v="537.3954978664832"/>
    <n v="20.757142857142856"/>
    <n v="-7.0328883433082821E-4"/>
    <n v="1"/>
    <m/>
    <s v="Warisnagar"/>
    <m/>
    <n v="0"/>
  </r>
  <r>
    <s v="Munger"/>
    <s v="17-23 Jul"/>
    <n v="1057"/>
    <s v="Warisnagar"/>
    <x v="813"/>
    <s v="Buzurgdoar"/>
    <s v="MPG"/>
    <s v="Direct"/>
    <n v="1043.4000000000001"/>
    <n v="42073.42"/>
    <n v="1043.2"/>
    <n v="42498.119999999995"/>
    <n v="0"/>
    <n v="0"/>
    <n v="1043.2"/>
    <n v="42498.119999999995"/>
    <n v="42073.42"/>
    <n v="0"/>
    <n v="0"/>
    <n v="424.69999999999709"/>
    <n v="0"/>
    <n v="0"/>
    <n v="0"/>
    <n v="42073"/>
    <n v="0"/>
    <n v="0"/>
    <n v="0"/>
    <n v="0"/>
    <n v="0"/>
    <n v="0"/>
    <n v="-1.0094259035752194E-2"/>
    <n v="12"/>
    <m/>
    <s v="Warisnagar"/>
    <m/>
    <n v="0"/>
  </r>
  <r>
    <s v="Munger"/>
    <s v="17-23 Jul"/>
    <n v="1057"/>
    <s v="Warisnagar"/>
    <x v="814"/>
    <s v="Patpara"/>
    <s v="vlc"/>
    <s v="Indirect"/>
    <n v="491.9"/>
    <n v="17016.53"/>
    <n v="0"/>
    <n v="0"/>
    <n v="0"/>
    <n v="0"/>
    <n v="0"/>
    <n v="0"/>
    <n v="17016.53"/>
    <n v="0"/>
    <n v="0"/>
    <n v="0"/>
    <n v="0"/>
    <n v="0"/>
    <n v="0"/>
    <n v="0"/>
    <n v="0"/>
    <n v="17016.53"/>
    <n v="0"/>
    <n v="0"/>
    <n v="143.97803996747305"/>
    <n v="70.271428571428572"/>
    <n v="0"/>
    <n v="0"/>
    <m/>
    <s v="Warisnagar"/>
    <m/>
    <n v="0"/>
  </r>
  <r>
    <s v="Munger"/>
    <s v="17-23 Jul"/>
    <n v="1057"/>
    <s v="Warisnagar"/>
    <x v="815"/>
    <s v="Kamopur"/>
    <s v="MPG"/>
    <s v="Direct"/>
    <n v="395.7"/>
    <n v="17267.25"/>
    <n v="374.09999999999997"/>
    <n v="15101.750000000002"/>
    <n v="77.000000000000014"/>
    <n v="4546.93"/>
    <n v="451.09999999999997"/>
    <n v="19648.68"/>
    <n v="17267.25"/>
    <n v="0"/>
    <n v="100.14"/>
    <n v="2381.4300000000003"/>
    <n v="0"/>
    <n v="0"/>
    <n v="0"/>
    <n v="12721"/>
    <n v="4446"/>
    <n v="0"/>
    <n v="0"/>
    <s v="Release3"/>
    <n v="265.57615238817283"/>
    <n v="56.528571428571425"/>
    <n v="-0.13791599704643184"/>
    <n v="12"/>
    <m/>
    <s v="Warisnagar"/>
    <m/>
    <n v="0"/>
  </r>
  <r>
    <s v="Munger"/>
    <s v="17-23 Jul"/>
    <n v="1057"/>
    <s v="Warisnagar"/>
    <x v="816"/>
    <s v="Kussaiya"/>
    <s v="MPG"/>
    <s v="Direct"/>
    <n v="448.5"/>
    <n v="19512.439999999995"/>
    <n v="101.00000000000001"/>
    <n v="4230.2600000000011"/>
    <n v="355.7"/>
    <n v="15308.189999999999"/>
    <n v="456.7"/>
    <n v="19538.45"/>
    <n v="19512.439999999995"/>
    <n v="0"/>
    <n v="0"/>
    <n v="26.010000000005675"/>
    <n v="2800"/>
    <n v="0"/>
    <n v="0"/>
    <n v="1405"/>
    <n v="15307"/>
    <n v="0"/>
    <n v="0"/>
    <n v="0"/>
    <n v="218.83516878483832"/>
    <n v="64.071428571428569"/>
    <n v="-1.3329957709033663E-3"/>
    <n v="10"/>
    <m/>
    <s v="Warisnagar"/>
    <m/>
    <n v="0"/>
  </r>
  <r>
    <s v="Munger"/>
    <s v="17-23 Jul"/>
    <n v="1057"/>
    <s v="Warisnagar"/>
    <x v="817"/>
    <s v="Jagdishpur"/>
    <s v="MPG"/>
    <s v="Direct"/>
    <n v="128.29999999999998"/>
    <n v="4800.6299999999992"/>
    <n v="110.3"/>
    <n v="3935.8799999999997"/>
    <n v="21.5"/>
    <n v="817.36"/>
    <n v="131.80000000000001"/>
    <n v="4753.24"/>
    <n v="4753.24"/>
    <n v="0"/>
    <n v="0"/>
    <n v="0"/>
    <n v="4754"/>
    <n v="0"/>
    <n v="0"/>
    <n v="0"/>
    <n v="0"/>
    <n v="0"/>
    <n v="47"/>
    <n v="0"/>
    <n v="427.8285535463757"/>
    <n v="18.328571428571426"/>
    <n v="9.8716210164081428E-3"/>
    <n v="5"/>
    <m/>
    <s v="Warisnagar"/>
    <m/>
    <n v="0"/>
  </r>
  <r>
    <s v="Munger"/>
    <s v="17-23 Jul"/>
    <n v="1057"/>
    <s v="Warisnagar"/>
    <x v="818"/>
    <s v="Kanu Bisanpur"/>
    <s v="vlc"/>
    <s v="Indirect"/>
    <n v="300.2"/>
    <n v="11983.18"/>
    <n v="0"/>
    <n v="0"/>
    <n v="0"/>
    <n v="0"/>
    <n v="0"/>
    <n v="0"/>
    <n v="11983.18"/>
    <n v="0"/>
    <n v="0"/>
    <n v="0"/>
    <n v="0"/>
    <n v="0"/>
    <n v="0"/>
    <n v="0"/>
    <n v="0"/>
    <n v="11983.18"/>
    <n v="0"/>
    <n v="0"/>
    <n v="319.17890499666896"/>
    <n v="42.885714285714286"/>
    <n v="0"/>
    <n v="0"/>
    <m/>
    <s v="Warisnagar"/>
    <m/>
    <n v="0"/>
  </r>
  <r>
    <s v="Munger"/>
    <s v="17-23 Jul"/>
    <n v="1057"/>
    <s v="Warisnagar"/>
    <x v="819"/>
    <s v="Raini 2"/>
    <s v="MPG"/>
    <s v="Direct"/>
    <n v="479.9"/>
    <n v="19213.259999999998"/>
    <n v="39.4"/>
    <n v="1572.8500000000001"/>
    <n v="440.49999999999994"/>
    <n v="17628.169999999995"/>
    <n v="479.89999999999992"/>
    <n v="19201.019999999993"/>
    <n v="19201.019999999993"/>
    <n v="0"/>
    <n v="0"/>
    <n v="0"/>
    <n v="0"/>
    <n v="0"/>
    <n v="0"/>
    <n v="1573"/>
    <n v="17628"/>
    <n v="0"/>
    <n v="12"/>
    <n v="0"/>
    <n v="176.23832156699314"/>
    <n v="68.55714285714285"/>
    <n v="6.3706003041676628E-4"/>
    <n v="8"/>
    <m/>
    <s v="Warisnagar"/>
    <m/>
    <n v="0"/>
  </r>
  <r>
    <s v="Munger"/>
    <s v="17-23 Jul"/>
    <n v="1057"/>
    <s v="Warisnagar"/>
    <x v="820"/>
    <s v="Babupur"/>
    <s v="vlc"/>
    <s v="Indirect"/>
    <n v="1255.4000000000001"/>
    <n v="48115.010000000009"/>
    <n v="0"/>
    <n v="0"/>
    <n v="0"/>
    <n v="0"/>
    <n v="0"/>
    <n v="0"/>
    <n v="48115.010000000009"/>
    <n v="0"/>
    <n v="0"/>
    <n v="0"/>
    <n v="0"/>
    <n v="0"/>
    <n v="0"/>
    <n v="0"/>
    <n v="0"/>
    <n v="48115.010000000009"/>
    <n v="0"/>
    <n v="0"/>
    <n v="0"/>
    <n v="0"/>
    <n v="0"/>
    <n v="0"/>
    <m/>
    <s v="Warisnagar"/>
    <m/>
    <n v="0"/>
  </r>
  <r>
    <s v="Munger"/>
    <s v="17-23 Jul"/>
    <n v="1057"/>
    <s v="Warisnagar"/>
    <x v="821"/>
    <s v="Rahua 2"/>
    <s v="vlc"/>
    <s v="Indirect"/>
    <n v="1682.7"/>
    <n v="73543.959999999992"/>
    <n v="0"/>
    <n v="0"/>
    <n v="0"/>
    <n v="0"/>
    <n v="0"/>
    <n v="0"/>
    <n v="73543.959999999992"/>
    <n v="0"/>
    <n v="0"/>
    <n v="0"/>
    <n v="0"/>
    <n v="0"/>
    <n v="0"/>
    <n v="0"/>
    <n v="0"/>
    <n v="73543.959999999992"/>
    <n v="0"/>
    <n v="0"/>
    <n v="0"/>
    <n v="0"/>
    <n v="0"/>
    <n v="0"/>
    <m/>
    <s v="Warisnagar"/>
    <m/>
    <n v="0"/>
  </r>
  <r>
    <s v="Munger"/>
    <s v="17-23 Jul"/>
    <n v="1057"/>
    <s v="Warisnagar"/>
    <x v="822"/>
    <s v="Madhopur"/>
    <s v="vlc"/>
    <s v="Indirect"/>
    <n v="591.59999999999991"/>
    <n v="26296.899999999998"/>
    <n v="0"/>
    <n v="0"/>
    <n v="0"/>
    <n v="0"/>
    <n v="0"/>
    <n v="0"/>
    <n v="26296.899999999998"/>
    <n v="0"/>
    <n v="0"/>
    <n v="0"/>
    <n v="0"/>
    <n v="0"/>
    <n v="0"/>
    <n v="0"/>
    <n v="0"/>
    <n v="26296.899999999998"/>
    <n v="0"/>
    <n v="0"/>
    <n v="96.36862609871541"/>
    <n v="84.514285714285705"/>
    <n v="0"/>
    <n v="0"/>
    <m/>
    <s v="Warisnagar"/>
    <m/>
    <n v="0"/>
  </r>
  <r>
    <s v="Munger"/>
    <s v="17-23 Jul"/>
    <n v="1057"/>
    <s v="Warisnagar"/>
    <x v="823"/>
    <s v="Ekdara"/>
    <s v="vlc"/>
    <s v="Indirect"/>
    <n v="2803.1000000000004"/>
    <n v="108250.01000000001"/>
    <n v="0"/>
    <n v="0"/>
    <n v="0"/>
    <n v="0"/>
    <n v="0"/>
    <n v="0"/>
    <n v="108250.01000000001"/>
    <n v="0"/>
    <n v="0"/>
    <n v="0"/>
    <n v="0"/>
    <n v="0"/>
    <n v="0"/>
    <n v="0"/>
    <n v="0"/>
    <n v="108250.01000000001"/>
    <n v="0"/>
    <n v="0"/>
    <n v="0"/>
    <n v="0"/>
    <n v="0"/>
    <n v="0"/>
    <m/>
    <s v="Warisnagar"/>
    <m/>
    <n v="0"/>
  </r>
  <r>
    <s v="Munger"/>
    <s v="17-23 Jul"/>
    <n v="1057"/>
    <s v="Warisnagar"/>
    <x v="824"/>
    <s v="Khokasaha"/>
    <s v="vlc"/>
    <s v="Indirect"/>
    <n v="971.39999999999986"/>
    <n v="37949.80999999999"/>
    <n v="0"/>
    <n v="0"/>
    <n v="0"/>
    <n v="0"/>
    <n v="0"/>
    <n v="0"/>
    <n v="37949.80999999999"/>
    <n v="0"/>
    <n v="0"/>
    <n v="0"/>
    <n v="0"/>
    <n v="0"/>
    <n v="0"/>
    <n v="0"/>
    <n v="0"/>
    <n v="37949.80999999999"/>
    <n v="0"/>
    <n v="0"/>
    <n v="0"/>
    <n v="0"/>
    <n v="0"/>
    <n v="0"/>
    <m/>
    <s v="Warisnagar"/>
    <m/>
    <n v="0"/>
  </r>
  <r>
    <s v="Munger"/>
    <s v="17-23 Jul"/>
    <n v="1057"/>
    <s v="Warisnagar"/>
    <x v="825"/>
    <s v="Madhopur 2"/>
    <s v="vlc"/>
    <s v="Indirect"/>
    <n v="1018.8000000000001"/>
    <n v="39355.4"/>
    <n v="0"/>
    <n v="0"/>
    <n v="0"/>
    <n v="0"/>
    <n v="0"/>
    <n v="0"/>
    <n v="39355.4"/>
    <n v="0"/>
    <n v="0"/>
    <n v="0"/>
    <n v="0"/>
    <n v="0"/>
    <n v="0"/>
    <n v="0"/>
    <n v="0"/>
    <n v="39355.4"/>
    <n v="0"/>
    <n v="0"/>
    <n v="0"/>
    <n v="0"/>
    <n v="0"/>
    <n v="0"/>
    <m/>
    <s v="Warisnagar"/>
    <m/>
    <n v="0"/>
  </r>
  <r>
    <s v="Munger"/>
    <s v="17-23 Jul"/>
    <n v="1057"/>
    <s v="Warisnagar"/>
    <x v="826"/>
    <s v="Kadarchak 2"/>
    <s v="vlc"/>
    <s v="Indirect"/>
    <n v="243.9"/>
    <n v="9141.9900000000016"/>
    <n v="0"/>
    <n v="0"/>
    <n v="0"/>
    <n v="0"/>
    <n v="0"/>
    <n v="0"/>
    <n v="9141.9900000000016"/>
    <n v="0"/>
    <n v="0"/>
    <n v="0"/>
    <n v="377.25"/>
    <n v="0"/>
    <n v="0"/>
    <n v="0"/>
    <n v="0"/>
    <n v="8764.7400000000016"/>
    <n v="0"/>
    <n v="0"/>
    <n v="341.91567355473563"/>
    <n v="34.842857142857142"/>
    <n v="0"/>
    <n v="0"/>
    <m/>
    <s v="Warisnagar"/>
    <m/>
    <n v="0"/>
  </r>
  <r>
    <s v="Munger"/>
    <s v="17-23 Jul"/>
    <n v="1057"/>
    <s v="Warisnagar"/>
    <x v="827"/>
    <s v="Madhopur Dih"/>
    <s v="vlc"/>
    <s v="Indirect"/>
    <n v="363.80000000000007"/>
    <n v="14682.190000000002"/>
    <n v="0"/>
    <n v="0"/>
    <n v="0"/>
    <n v="0"/>
    <n v="0"/>
    <n v="0"/>
    <n v="14682.190000000002"/>
    <n v="0"/>
    <n v="0"/>
    <n v="0"/>
    <n v="0"/>
    <n v="0"/>
    <n v="0"/>
    <n v="0"/>
    <n v="0"/>
    <n v="14682.190000000002"/>
    <n v="0"/>
    <n v="0"/>
    <n v="271.36626047278719"/>
    <n v="51.971428571428582"/>
    <n v="0"/>
    <n v="0"/>
    <m/>
    <s v="Warisnagar"/>
    <m/>
    <n v="0"/>
  </r>
  <r>
    <s v="Munger"/>
    <s v="17-23 Jul"/>
    <n v="1057"/>
    <s v="Warisnagar"/>
    <x v="828"/>
    <s v="Alampur"/>
    <s v="vlc"/>
    <s v="Indirect"/>
    <n v="987.8"/>
    <n v="38117.39"/>
    <n v="0"/>
    <n v="0"/>
    <n v="0"/>
    <n v="0"/>
    <n v="0"/>
    <n v="0"/>
    <n v="38117.39"/>
    <n v="0"/>
    <n v="0"/>
    <n v="0"/>
    <n v="748.5"/>
    <n v="0"/>
    <n v="0"/>
    <n v="0"/>
    <n v="0"/>
    <n v="37368.89"/>
    <n v="0"/>
    <n v="0"/>
    <n v="0"/>
    <n v="0"/>
    <n v="0"/>
    <n v="0"/>
    <m/>
    <s v="Warisnagar"/>
    <m/>
    <n v="0"/>
  </r>
  <r>
    <s v="Munger"/>
    <s v="17-23 Jul"/>
    <n v="1057"/>
    <s v="Warisnagar"/>
    <x v="829"/>
    <s v="Satmalpur Pachim"/>
    <s v="vlc"/>
    <s v="Indirect"/>
    <n v="76.799999999999983"/>
    <n v="2727.42"/>
    <n v="0"/>
    <n v="0"/>
    <n v="0"/>
    <n v="0"/>
    <n v="0"/>
    <n v="0"/>
    <n v="2727.42"/>
    <n v="0"/>
    <n v="0"/>
    <n v="0"/>
    <n v="0"/>
    <n v="0"/>
    <n v="0"/>
    <n v="0"/>
    <n v="0"/>
    <n v="2727.42"/>
    <n v="0"/>
    <n v="0"/>
    <n v="442.63753750000006"/>
    <n v="10.97142857142857"/>
    <n v="0"/>
    <n v="0"/>
    <m/>
    <s v="Warisnagar"/>
    <m/>
    <n v="0"/>
  </r>
  <r>
    <s v="Munger"/>
    <s v="17-23 Jul"/>
    <n v="1057"/>
    <s v="Warisnagar"/>
    <x v="830"/>
    <s v="Ganopur"/>
    <s v="vlc"/>
    <s v="Indirect"/>
    <n v="168.9"/>
    <n v="6137.1500000000015"/>
    <n v="0"/>
    <n v="0"/>
    <n v="0"/>
    <n v="0"/>
    <n v="0"/>
    <n v="0"/>
    <n v="6137.1500000000015"/>
    <n v="0"/>
    <n v="0"/>
    <n v="0"/>
    <n v="0"/>
    <n v="0"/>
    <n v="0"/>
    <n v="0"/>
    <n v="0"/>
    <n v="6137.1500000000015"/>
    <n v="0"/>
    <n v="0"/>
    <n v="385.96096684428659"/>
    <n v="24.12857142857143"/>
    <n v="0"/>
    <n v="0"/>
    <m/>
    <s v="Warisnagar"/>
    <m/>
    <n v="0"/>
  </r>
  <r>
    <s v="Munger"/>
    <s v="17-23 Jul"/>
    <n v="1058"/>
    <s v="Hasanpur"/>
    <x v="831"/>
    <s v="Mahuli"/>
    <s v="MPG"/>
    <s v="Direct"/>
    <n v="504.17"/>
    <n v="21930.51"/>
    <n v="489.99999999999994"/>
    <n v="20966.439999999995"/>
    <n v="8.5999999999999979"/>
    <n v="368.15000000000003"/>
    <n v="498.59999999999997"/>
    <n v="21334.589999999997"/>
    <n v="21334.589999999997"/>
    <n v="0"/>
    <n v="368.15000000000003"/>
    <n v="0"/>
    <n v="0"/>
    <n v="0"/>
    <n v="0"/>
    <n v="20967"/>
    <n v="0"/>
    <n v="0"/>
    <n v="595"/>
    <n v="0"/>
    <n v="170.36522495586809"/>
    <n v="72.02428571428571"/>
    <n v="2.7173102677502801E-2"/>
    <n v="17"/>
    <m/>
    <s v="Hasanpur"/>
    <m/>
    <n v="0"/>
  </r>
  <r>
    <s v="Munger"/>
    <s v="17-23 Jul"/>
    <n v="1058"/>
    <s v="Hasanpur"/>
    <x v="832"/>
    <s v="Sakhwa Ghat"/>
    <s v="MPG"/>
    <s v="Direct"/>
    <n v="429.55999999999995"/>
    <n v="19202.519999999997"/>
    <n v="421.30000000000007"/>
    <n v="18914.889999999996"/>
    <n v="7.6000000000000005"/>
    <n v="313.14999999999998"/>
    <n v="428.90000000000009"/>
    <n v="19228.039999999997"/>
    <n v="19202.519999999997"/>
    <n v="0"/>
    <n v="313.14999999999998"/>
    <n v="25.520000000000437"/>
    <n v="0"/>
    <n v="0"/>
    <n v="0"/>
    <n v="18889"/>
    <n v="0"/>
    <n v="0"/>
    <n v="0"/>
    <n v="0"/>
    <n v="241.78831868889102"/>
    <n v="61.365714285714276"/>
    <n v="-1.3289922364356575E-3"/>
    <n v="8"/>
    <m/>
    <s v="Hasanpur"/>
    <m/>
    <n v="0"/>
  </r>
  <r>
    <s v="Munger"/>
    <s v="17-23 Jul"/>
    <n v="1058"/>
    <s v="Hasanpur"/>
    <x v="833"/>
    <s v="Patiya"/>
    <s v="MPG"/>
    <s v="Direct"/>
    <n v="246.42000000000002"/>
    <n v="10297.61"/>
    <n v="253.99999999999997"/>
    <n v="10421.049999999999"/>
    <n v="1.1000000000000001"/>
    <n v="46.17"/>
    <n v="255.09999999999997"/>
    <n v="10467.219999999999"/>
    <n v="10297.61"/>
    <n v="0"/>
    <n v="46.17"/>
    <n v="169.60999999999876"/>
    <n v="0"/>
    <n v="0"/>
    <n v="0"/>
    <n v="10251"/>
    <n v="0"/>
    <n v="0"/>
    <n v="0"/>
    <n v="0"/>
    <n v="379.09178993588188"/>
    <n v="35.202857142857148"/>
    <n v="-1.6470812159326168E-2"/>
    <n v="3"/>
    <m/>
    <s v="Hasanpur"/>
    <m/>
    <n v="0"/>
  </r>
  <r>
    <s v="Munger"/>
    <s v="17-23 Jul"/>
    <n v="1058"/>
    <s v="Hasanpur"/>
    <x v="834"/>
    <s v="Kasiya"/>
    <s v="MPG"/>
    <s v="Direct"/>
    <n v="623.55999999999995"/>
    <n v="25997.960000000003"/>
    <n v="590.29999999999995"/>
    <n v="25383.800000000003"/>
    <n v="7.6999999999999993"/>
    <n v="313.33000000000004"/>
    <n v="598"/>
    <n v="25697.130000000005"/>
    <n v="25697.130000000005"/>
    <n v="0"/>
    <n v="313.33000000000004"/>
    <n v="0"/>
    <n v="0"/>
    <n v="0"/>
    <n v="0"/>
    <n v="25384"/>
    <n v="0"/>
    <n v="0"/>
    <n v="301"/>
    <n v="0"/>
    <n v="63.739946834306267"/>
    <n v="89.08"/>
    <n v="1.1571292516797399E-2"/>
    <n v="10"/>
    <m/>
    <s v="Hasanpur"/>
    <m/>
    <n v="0"/>
  </r>
  <r>
    <s v="Munger"/>
    <s v="17-23 Jul"/>
    <n v="1058"/>
    <s v="Hasanpur"/>
    <x v="835"/>
    <s v="Godah"/>
    <s v="MPG"/>
    <s v="Direct"/>
    <n v="474.29"/>
    <n v="21387.62"/>
    <n v="519.4"/>
    <n v="25242.359999999997"/>
    <n v="0"/>
    <n v="0"/>
    <n v="519.4"/>
    <n v="25242.359999999997"/>
    <n v="21387.62"/>
    <n v="0"/>
    <n v="0"/>
    <n v="3854.739999999998"/>
    <n v="0"/>
    <n v="0"/>
    <n v="0"/>
    <n v="21388"/>
    <n v="0"/>
    <n v="0"/>
    <n v="0"/>
    <n v="0"/>
    <n v="203.5632085938982"/>
    <n v="67.755714285714291"/>
    <n v="-0.1802323026124458"/>
    <n v="4"/>
    <m/>
    <s v="Hasanpur"/>
    <m/>
    <n v="0"/>
  </r>
  <r>
    <s v="Munger"/>
    <s v="17-23 Jul"/>
    <n v="1058"/>
    <s v="Hasanpur"/>
    <x v="836"/>
    <s v="Ballahpur"/>
    <s v="MPG"/>
    <s v="Direct"/>
    <n v="478.56999999999994"/>
    <n v="18191.66"/>
    <n v="522.16000000000008"/>
    <n v="21009.93"/>
    <n v="0"/>
    <n v="0"/>
    <n v="522.16000000000008"/>
    <n v="21009.93"/>
    <n v="18191.66"/>
    <n v="0"/>
    <n v="0"/>
    <n v="2818.2700000000004"/>
    <n v="0"/>
    <n v="500"/>
    <n v="0"/>
    <n v="17692"/>
    <n v="0"/>
    <n v="0"/>
    <n v="0"/>
    <n v="0"/>
    <n v="168.34232291200874"/>
    <n v="68.367142857142852"/>
    <n v="-0.15492099126742698"/>
    <n v="3"/>
    <m/>
    <s v="Hasanpur"/>
    <m/>
    <n v="500"/>
  </r>
  <r>
    <s v="Munger"/>
    <s v="17-23 Jul"/>
    <n v="1058"/>
    <s v="Hasanpur"/>
    <x v="837"/>
    <s v="Laxmipur-VLC"/>
    <s v="vlc"/>
    <s v="Indirect"/>
    <n v="175.18"/>
    <n v="6204.19"/>
    <n v="0"/>
    <n v="0"/>
    <n v="0"/>
    <n v="0"/>
    <n v="0"/>
    <n v="0"/>
    <n v="6204.19"/>
    <n v="0"/>
    <n v="0"/>
    <n v="0"/>
    <n v="0"/>
    <n v="0"/>
    <n v="0"/>
    <n v="0"/>
    <n v="0"/>
    <n v="6204.19"/>
    <n v="0"/>
    <n v="0"/>
    <n v="371.74140835711836"/>
    <n v="25.025714285714287"/>
    <n v="0"/>
    <n v="0"/>
    <m/>
    <s v="Hasanpur"/>
    <m/>
    <n v="0"/>
  </r>
  <r>
    <s v="Munger"/>
    <s v="17-23 Jul"/>
    <n v="1058"/>
    <s v="Hasanpur"/>
    <x v="838"/>
    <s v="Birpur"/>
    <s v="MPG"/>
    <s v="Direct"/>
    <n v="480.5800000000001"/>
    <n v="18196.310000000001"/>
    <n v="472.47"/>
    <n v="18049.080000000002"/>
    <n v="0"/>
    <n v="0"/>
    <n v="472.47"/>
    <n v="18049.080000000002"/>
    <n v="18049.080000000002"/>
    <n v="0"/>
    <n v="0"/>
    <n v="0"/>
    <n v="0"/>
    <n v="0"/>
    <n v="0"/>
    <n v="18050"/>
    <n v="0"/>
    <n v="0"/>
    <n v="146"/>
    <n v="0"/>
    <n v="166.15898873028411"/>
    <n v="68.654285714285734"/>
    <n v="8.0912009083160021E-3"/>
    <n v="6"/>
    <m/>
    <s v="Hasanpur"/>
    <m/>
    <n v="0"/>
  </r>
  <r>
    <s v="Munger"/>
    <s v="17-23 Jul"/>
    <n v="1058"/>
    <s v="Hasanpur"/>
    <x v="839"/>
    <s v="Ahilwar"/>
    <s v="MPG"/>
    <s v="Direct"/>
    <n v="974.13999999999987"/>
    <n v="40889.329999999994"/>
    <n v="723.09999999999991"/>
    <n v="30935.859999999993"/>
    <n v="238.99999999999997"/>
    <n v="8906.86"/>
    <n v="962.09999999999991"/>
    <n v="39842.719999999994"/>
    <n v="39842.719999999994"/>
    <n v="0"/>
    <n v="194.6"/>
    <n v="0"/>
    <n v="0"/>
    <n v="0"/>
    <n v="0"/>
    <n v="30936"/>
    <n v="8713"/>
    <n v="0"/>
    <n v="1046"/>
    <n v="0"/>
    <n v="0"/>
    <n v="0"/>
    <n v="2.5596164084860297E-2"/>
    <n v="6"/>
    <m/>
    <s v="Hasanpur"/>
    <m/>
    <n v="0"/>
  </r>
  <r>
    <s v="Munger"/>
    <s v="17-23 Jul"/>
    <n v="1058"/>
    <s v="Hasanpur"/>
    <x v="840"/>
    <s v="Paridah"/>
    <s v="MPG"/>
    <s v="Direct"/>
    <n v="359.98999999999995"/>
    <n v="14435.210000000001"/>
    <n v="345.05999999999995"/>
    <n v="14106.279999999999"/>
    <n v="2.84"/>
    <n v="114.64999999999999"/>
    <n v="347.89999999999992"/>
    <n v="14220.929999999998"/>
    <n v="14220.929999999998"/>
    <n v="0"/>
    <n v="114.64999999999999"/>
    <n v="0"/>
    <n v="0"/>
    <n v="500"/>
    <n v="0"/>
    <n v="13606"/>
    <n v="0"/>
    <n v="0"/>
    <n v="215"/>
    <s v="Release2"/>
    <n v="272.68067180199461"/>
    <n v="51.427142857142847"/>
    <n v="1.484425927991366E-2"/>
    <n v="14"/>
    <m/>
    <s v="Hasanpur"/>
    <m/>
    <n v="500"/>
  </r>
  <r>
    <s v="Munger"/>
    <s v="17-23 Jul"/>
    <n v="1058"/>
    <s v="Hasanpur"/>
    <x v="841"/>
    <s v="KOLAWARI"/>
    <s v="MPG"/>
    <s v="Direct"/>
    <n v="575.38"/>
    <n v="23657.350000000002"/>
    <n v="566.4"/>
    <n v="23171.089999999997"/>
    <n v="6"/>
    <n v="270.24"/>
    <n v="572.4"/>
    <n v="23441.329999999998"/>
    <n v="23441.329999999998"/>
    <n v="0"/>
    <n v="270.24"/>
    <n v="0"/>
    <n v="0"/>
    <n v="0"/>
    <n v="0"/>
    <n v="23171"/>
    <n v="0"/>
    <n v="0"/>
    <n v="216"/>
    <n v="0"/>
    <n v="102.47763067885575"/>
    <n v="82.19714285714285"/>
    <n v="9.131200240094688E-3"/>
    <n v="3"/>
    <m/>
    <s v="Hasanpur"/>
    <m/>
    <n v="0"/>
  </r>
  <r>
    <s v="Munger"/>
    <s v="17-23 Jul"/>
    <n v="1058"/>
    <s v="Hasanpur"/>
    <x v="842"/>
    <s v="MALDAH"/>
    <s v="vlc"/>
    <s v="Indirect"/>
    <n v="789.20000000000016"/>
    <n v="31540.070000000003"/>
    <n v="0"/>
    <n v="0"/>
    <n v="0"/>
    <n v="0"/>
    <n v="0"/>
    <n v="0"/>
    <n v="31540.070000000003"/>
    <n v="0"/>
    <n v="0"/>
    <n v="0"/>
    <n v="0"/>
    <n v="0"/>
    <n v="0"/>
    <n v="0"/>
    <n v="0"/>
    <n v="31540.070000000003"/>
    <n v="0"/>
    <n v="0"/>
    <n v="0"/>
    <n v="0"/>
    <n v="0"/>
    <n v="0"/>
    <m/>
    <s v="Hasanpur"/>
    <m/>
    <n v="0"/>
  </r>
  <r>
    <s v="Munger"/>
    <s v="17-23 Jul"/>
    <n v="1058"/>
    <s v="Hasanpur"/>
    <x v="843"/>
    <s v="KARANCHI"/>
    <s v="MPG"/>
    <s v="Direct"/>
    <n v="678.31999999999994"/>
    <n v="26899.49"/>
    <n v="653.8000000000003"/>
    <n v="28614.329999999987"/>
    <n v="0"/>
    <n v="0"/>
    <n v="653.8000000000003"/>
    <n v="28614.329999999987"/>
    <n v="26899.49"/>
    <n v="0"/>
    <n v="0"/>
    <n v="1714.8399999999856"/>
    <n v="0"/>
    <n v="0"/>
    <n v="0"/>
    <n v="26899"/>
    <n v="0"/>
    <n v="0"/>
    <n v="0"/>
    <s v="Release2"/>
    <n v="17.194862106380544"/>
    <n v="96.90285714285713"/>
    <n v="-6.3749907526127275E-2"/>
    <n v="2"/>
    <m/>
    <s v="Hasanpur"/>
    <m/>
    <n v="0"/>
  </r>
  <r>
    <s v="Munger"/>
    <s v="17-23 Jul"/>
    <n v="1058"/>
    <s v="Hasanpur"/>
    <x v="844"/>
    <s v="MARTHUA"/>
    <s v="MPG"/>
    <s v="Direct"/>
    <n v="860.17"/>
    <n v="38369.179999999993"/>
    <n v="865.15999999999985"/>
    <n v="39647.75"/>
    <n v="0"/>
    <n v="0"/>
    <n v="865.15999999999985"/>
    <n v="39647.75"/>
    <n v="38369.179999999993"/>
    <n v="0"/>
    <n v="0"/>
    <n v="1278.570000000007"/>
    <n v="0"/>
    <n v="0"/>
    <n v="0"/>
    <n v="38369"/>
    <n v="0"/>
    <n v="0"/>
    <n v="0"/>
    <n v="0"/>
    <n v="0"/>
    <n v="0"/>
    <n v="-3.332283879926564E-2"/>
    <n v="13"/>
    <m/>
    <s v="Hasanpur"/>
    <m/>
    <n v="0"/>
  </r>
  <r>
    <s v="Munger"/>
    <s v="17-23 Jul"/>
    <n v="1058"/>
    <s v="Hasanpur"/>
    <x v="845"/>
    <s v="GARHPURA "/>
    <s v="MPG"/>
    <s v="Direct"/>
    <n v="130.29"/>
    <n v="5763.2"/>
    <n v="108.00000000000001"/>
    <n v="4867.8500000000004"/>
    <n v="0"/>
    <n v="0"/>
    <n v="108.00000000000001"/>
    <n v="4867.8500000000004"/>
    <n v="4867.8500000000004"/>
    <n v="0"/>
    <n v="0"/>
    <n v="0"/>
    <n v="0"/>
    <n v="0"/>
    <n v="0"/>
    <n v="4868"/>
    <n v="0"/>
    <n v="0"/>
    <n v="895"/>
    <n v="0"/>
    <n v="504.00685731828997"/>
    <n v="18.612857142857141"/>
    <n v="0.15535639922265398"/>
    <n v="1"/>
    <m/>
    <s v="Hasanpur"/>
    <m/>
    <n v="0"/>
  </r>
  <r>
    <s v="Munger"/>
    <s v="17-23 Jul"/>
    <n v="1058"/>
    <s v="Hasanpur"/>
    <x v="846"/>
    <s v="KOKANI"/>
    <s v="MPG"/>
    <s v="Direct"/>
    <n v="119.04999999999998"/>
    <n v="4847.9800000000005"/>
    <n v="103.36999999999999"/>
    <n v="4295.74"/>
    <n v="0"/>
    <n v="0"/>
    <n v="103.36999999999999"/>
    <n v="4295.74"/>
    <n v="4295.74"/>
    <n v="0"/>
    <n v="0"/>
    <n v="0"/>
    <n v="0"/>
    <n v="0"/>
    <n v="0"/>
    <n v="4296"/>
    <n v="0"/>
    <n v="0"/>
    <n v="552"/>
    <n v="0"/>
    <n v="473.15144577908455"/>
    <n v="17.007142857142856"/>
    <n v="0.11391136102046638"/>
    <n v="1"/>
    <m/>
    <s v="Hasanpur"/>
    <m/>
    <n v="0"/>
  </r>
  <r>
    <s v="Munger"/>
    <s v="17-23 Jul"/>
    <n v="1058"/>
    <s v="Hasanpur"/>
    <x v="847"/>
    <s v="DURGAPUR "/>
    <s v="MPG"/>
    <s v="Direct"/>
    <n v="438.15"/>
    <n v="17526.879999999997"/>
    <n v="438.40000000000003"/>
    <n v="17586.09"/>
    <n v="0"/>
    <n v="0"/>
    <n v="438.40000000000003"/>
    <n v="17586.09"/>
    <n v="17526.879999999997"/>
    <n v="0"/>
    <n v="0"/>
    <n v="59.210000000002765"/>
    <n v="0"/>
    <n v="0"/>
    <n v="0"/>
    <n v="17527"/>
    <n v="0"/>
    <n v="0"/>
    <n v="0"/>
    <n v="0"/>
    <n v="209.49051822435243"/>
    <n v="62.592857142857142"/>
    <n v="-3.3782395954101798E-3"/>
    <n v="2"/>
    <m/>
    <s v="Hasanpur"/>
    <m/>
    <n v="0"/>
  </r>
  <r>
    <s v="Munger"/>
    <s v="17-23 Jul"/>
    <n v="1058"/>
    <s v="Hasanpur"/>
    <x v="848"/>
    <s v="Chandauli"/>
    <s v="MPG"/>
    <s v="Direct"/>
    <n v="284.54000000000002"/>
    <n v="12689.990000000002"/>
    <n v="264.99999999999994"/>
    <n v="12303.630000000001"/>
    <n v="0"/>
    <n v="0"/>
    <n v="264.99999999999994"/>
    <n v="12303.630000000001"/>
    <n v="12303.630000000001"/>
    <n v="0"/>
    <n v="0"/>
    <n v="0"/>
    <n v="0"/>
    <n v="0"/>
    <n v="0"/>
    <n v="12305"/>
    <n v="0"/>
    <n v="0"/>
    <n v="385"/>
    <n v="0"/>
    <n v="370.57589410276239"/>
    <n v="40.648571428571429"/>
    <n v="3.0446044480728553E-2"/>
    <n v="11"/>
    <m/>
    <s v="Hasanpur"/>
    <m/>
    <n v="0"/>
  </r>
  <r>
    <s v="Munger"/>
    <s v="17-23 Jul"/>
    <n v="1059"/>
    <s v="Gopalpur Bmc"/>
    <x v="850"/>
    <s v="MISHRBIGHA"/>
    <s v="MPG"/>
    <s v="Direct"/>
    <n v="895.6"/>
    <n v="42513.04"/>
    <n v="992.8"/>
    <n v="49127.659999999989"/>
    <n v="0"/>
    <n v="0"/>
    <n v="992.8"/>
    <n v="49127.659999999989"/>
    <n v="42513.04"/>
    <n v="0"/>
    <n v="0"/>
    <n v="6614.6199999999881"/>
    <n v="0"/>
    <n v="0"/>
    <n v="0"/>
    <n v="42513"/>
    <n v="0"/>
    <n v="0"/>
    <n v="0"/>
    <n v="0"/>
    <n v="0"/>
    <n v="0"/>
    <n v="-0.15559037885787486"/>
    <n v="2"/>
    <m/>
    <s v="Gopalpur Bmc"/>
    <m/>
    <n v="0"/>
  </r>
  <r>
    <s v="Munger"/>
    <s v="17-23 Jul"/>
    <n v="1059"/>
    <s v="Gopalpur Bmc"/>
    <x v="851"/>
    <s v="DIGHOI"/>
    <s v="MPG"/>
    <s v="Direct"/>
    <n v="58.1"/>
    <n v="3894.19"/>
    <n v="58.099999999999994"/>
    <n v="3890.25"/>
    <n v="0"/>
    <n v="0"/>
    <n v="58.099999999999994"/>
    <n v="3890.25"/>
    <n v="3890.25"/>
    <n v="0"/>
    <n v="0"/>
    <n v="0"/>
    <n v="0"/>
    <n v="500"/>
    <n v="0"/>
    <n v="3390"/>
    <n v="0"/>
    <n v="0"/>
    <n v="4"/>
    <n v="0"/>
    <n v="860.47523614457828"/>
    <n v="8.3000000000000007"/>
    <n v="1.0117636787111196E-3"/>
    <n v="1"/>
    <m/>
    <s v="Gopalpur Bmc"/>
    <m/>
    <n v="500"/>
  </r>
  <r>
    <s v="Munger"/>
    <s v="17-23 Jul"/>
    <n v="1059"/>
    <s v="Gopalpur Bmc"/>
    <x v="852"/>
    <s v="PRATAPUR"/>
    <s v="MPG"/>
    <s v="Direct"/>
    <n v="913.69999999999993"/>
    <n v="35455.25"/>
    <n v="913.7"/>
    <n v="35489.350000000006"/>
    <n v="0"/>
    <n v="0"/>
    <n v="913.7"/>
    <n v="35489.350000000006"/>
    <n v="35455.25"/>
    <n v="0"/>
    <n v="0"/>
    <n v="34.100000000005821"/>
    <n v="0"/>
    <n v="0"/>
    <n v="0"/>
    <n v="35455"/>
    <n v="0"/>
    <n v="0"/>
    <n v="0"/>
    <n v="0"/>
    <n v="0"/>
    <n v="0"/>
    <n v="-9.6177575958442888E-4"/>
    <n v="2"/>
    <m/>
    <s v="Gopalpur Bmc"/>
    <m/>
    <n v="0"/>
  </r>
  <r>
    <s v="Munger"/>
    <s v="17-23 Jul"/>
    <n v="1059"/>
    <s v="Gopalpur Bmc"/>
    <x v="853"/>
    <s v="GOPALPUR"/>
    <s v="MPG"/>
    <s v="Direct"/>
    <n v="2152.6"/>
    <n v="98843.35"/>
    <n v="2178.8999999999996"/>
    <n v="98970.74"/>
    <n v="0"/>
    <n v="0"/>
    <n v="2178.8999999999996"/>
    <n v="98970.74"/>
    <n v="98843.35"/>
    <n v="0"/>
    <n v="0"/>
    <n v="127.38999999999942"/>
    <n v="0"/>
    <n v="0"/>
    <n v="0"/>
    <n v="98843"/>
    <n v="0"/>
    <n v="0"/>
    <n v="0"/>
    <n v="0"/>
    <n v="0"/>
    <n v="0"/>
    <n v="-1.2888069860036047E-3"/>
    <n v="12"/>
    <m/>
    <s v="Gopalpur Bmc"/>
    <m/>
    <n v="0"/>
  </r>
  <r>
    <s v="Munger"/>
    <s v="17-23 Jul"/>
    <n v="1059"/>
    <s v="Gopalpur Bmc"/>
    <x v="854"/>
    <s v="NARMDA"/>
    <s v="MPG"/>
    <s v="Direct"/>
    <n v="324.60000000000002"/>
    <n v="15698.539999999999"/>
    <n v="351.8"/>
    <n v="17117.440000000002"/>
    <n v="0"/>
    <n v="0"/>
    <n v="351.8"/>
    <n v="17117.440000000002"/>
    <n v="15698.539999999999"/>
    <n v="0"/>
    <n v="0"/>
    <n v="1418.9000000000033"/>
    <n v="0"/>
    <n v="0"/>
    <n v="0"/>
    <n v="15699"/>
    <n v="0"/>
    <n v="0"/>
    <n v="0"/>
    <n v="0"/>
    <n v="363.10732692544661"/>
    <n v="46.371428571428574"/>
    <n v="-9.0384201333372619E-2"/>
    <n v="1"/>
    <m/>
    <s v="Gopalpur Bmc"/>
    <m/>
    <n v="0"/>
  </r>
  <r>
    <s v="Munger"/>
    <s v="17-23 Jul"/>
    <n v="1059"/>
    <s v="Gopalpur Bmc"/>
    <x v="855"/>
    <s v="AMRATH"/>
    <s v="MPG"/>
    <s v="Direct"/>
    <n v="1651.1000000000001"/>
    <n v="84388.19"/>
    <n v="1657.3000000000002"/>
    <n v="84259.75"/>
    <n v="0"/>
    <n v="0"/>
    <n v="1657.3000000000002"/>
    <n v="84259.75"/>
    <n v="84259.75"/>
    <n v="0"/>
    <n v="0"/>
    <n v="0"/>
    <n v="0"/>
    <n v="0"/>
    <n v="0"/>
    <n v="84259"/>
    <n v="0"/>
    <n v="0"/>
    <n v="129"/>
    <n v="0"/>
    <n v="0"/>
    <n v="0"/>
    <n v="1.5220139216163106E-3"/>
    <n v="4"/>
    <m/>
    <s v="Gopalpur Bmc"/>
    <m/>
    <n v="0"/>
  </r>
  <r>
    <s v="Munger"/>
    <s v="17-23 Jul"/>
    <n v="1059"/>
    <s v="Gopalpur Bmc"/>
    <x v="856"/>
    <s v="PUTERIA"/>
    <s v="MPG"/>
    <s v="Direct"/>
    <n v="508.70000000000005"/>
    <n v="21680.100000000002"/>
    <n v="500.12"/>
    <n v="23236.729999999996"/>
    <n v="0"/>
    <n v="0"/>
    <n v="500.12"/>
    <n v="23236.729999999996"/>
    <n v="21680.100000000002"/>
    <n v="0"/>
    <n v="0"/>
    <n v="1556.6299999999937"/>
    <n v="0"/>
    <n v="0"/>
    <n v="0"/>
    <n v="21680"/>
    <n v="0"/>
    <n v="0"/>
    <n v="0"/>
    <n v="0"/>
    <n v="163.05890033418515"/>
    <n v="72.671428571428578"/>
    <n v="-7.1799945572206481E-2"/>
    <n v="6"/>
    <m/>
    <s v="Gopalpur Bmc"/>
    <m/>
    <n v="0"/>
  </r>
  <r>
    <s v="Munger"/>
    <s v="17-23 Jul"/>
    <n v="1059"/>
    <s v="Gopalpur Bmc"/>
    <x v="857"/>
    <s v="LAKHAPUR"/>
    <s v="MPG"/>
    <s v="Direct"/>
    <n v="1108.8999999999999"/>
    <n v="47555.78"/>
    <n v="1108.8999999999996"/>
    <n v="47496.419999999991"/>
    <n v="0"/>
    <n v="0"/>
    <n v="1108.8999999999996"/>
    <n v="47496.419999999991"/>
    <n v="47496.419999999991"/>
    <n v="0"/>
    <n v="0"/>
    <n v="0"/>
    <n v="0"/>
    <n v="0"/>
    <n v="0"/>
    <n v="47496"/>
    <n v="0"/>
    <n v="0"/>
    <n v="60"/>
    <n v="0"/>
    <n v="0"/>
    <n v="0"/>
    <n v="1.2482184079413241E-3"/>
    <n v="1"/>
    <m/>
    <s v="Gopalpur Bmc"/>
    <m/>
    <n v="0"/>
  </r>
  <r>
    <s v="Munger"/>
    <s v="17-23 Jul"/>
    <n v="1059"/>
    <s v="Gopalpur Bmc"/>
    <x v="858"/>
    <s v="BARIYARPUR"/>
    <s v="MPG"/>
    <s v="Direct"/>
    <n v="580.19999999999993"/>
    <n v="28017.71"/>
    <n v="580.5"/>
    <n v="27067.579999999998"/>
    <n v="0"/>
    <n v="0"/>
    <n v="580.5"/>
    <n v="27067.579999999998"/>
    <n v="27067.579999999998"/>
    <n v="0"/>
    <n v="0"/>
    <n v="0"/>
    <n v="0"/>
    <n v="0"/>
    <n v="0"/>
    <n v="27068"/>
    <n v="0"/>
    <n v="0"/>
    <n v="950"/>
    <n v="0"/>
    <n v="115.70222881764917"/>
    <n v="82.885714285714272"/>
    <n v="3.3911765094292182E-2"/>
    <n v="1"/>
    <m/>
    <s v="Gopalpur Bmc"/>
    <m/>
    <n v="0"/>
  </r>
  <r>
    <s v="Munger"/>
    <s v="17-23 Jul"/>
    <n v="1059"/>
    <s v="Gopalpur Bmc"/>
    <x v="859"/>
    <s v="BAGWANA"/>
    <s v="MPG"/>
    <s v="Direct"/>
    <n v="769.5"/>
    <n v="36819.300000000003"/>
    <n v="844.90000000000009"/>
    <n v="40510.590000000004"/>
    <n v="0"/>
    <n v="0"/>
    <n v="844.90000000000009"/>
    <n v="40510.590000000004"/>
    <n v="36819.300000000003"/>
    <n v="0"/>
    <n v="0"/>
    <n v="3691.2900000000009"/>
    <n v="0"/>
    <n v="0"/>
    <n v="0"/>
    <n v="36819"/>
    <n v="0"/>
    <n v="0"/>
    <n v="0"/>
    <n v="0"/>
    <n v="0"/>
    <n v="0"/>
    <n v="-0.10025421450163367"/>
    <n v="1"/>
    <m/>
    <s v="Gopalpur Bmc"/>
    <m/>
    <n v="0"/>
  </r>
  <r>
    <s v="Munger"/>
    <s v="17-23 Jul"/>
    <n v="1059"/>
    <s v="Gopalpur Bmc"/>
    <x v="860"/>
    <s v="GOMUKH DAND"/>
    <s v="vlc"/>
    <s v="Indirect"/>
    <n v="375.90000000000003"/>
    <n v="20047.990000000002"/>
    <n v="0"/>
    <n v="0"/>
    <n v="0"/>
    <n v="0"/>
    <n v="0"/>
    <n v="0"/>
    <n v="20047.990000000002"/>
    <n v="0"/>
    <n v="0"/>
    <n v="0"/>
    <n v="0"/>
    <n v="0"/>
    <n v="0"/>
    <n v="0"/>
    <n v="0"/>
    <n v="20047.990000000002"/>
    <n v="0"/>
    <n v="0"/>
    <n v="345.70649422718805"/>
    <n v="53.7"/>
    <n v="0"/>
    <n v="0"/>
    <m/>
    <s v="Gopalpur Bmc"/>
    <m/>
    <n v="0"/>
  </r>
  <r>
    <s v="Munger"/>
    <s v="17-23 Jul"/>
    <n v="1014"/>
    <s v="Dumraon"/>
    <x v="1020"/>
    <s v="Gomukh Karisath"/>
    <s v="MPG"/>
    <s v="Direct"/>
    <n v="112.7"/>
    <n v="4397.24"/>
    <n v="112.5"/>
    <n v="4378.5"/>
    <n v="0"/>
    <n v="0"/>
    <n v="112.5"/>
    <n v="4378.5"/>
    <n v="4378.5"/>
    <n v="0"/>
    <n v="0"/>
    <n v="0"/>
    <n v="0"/>
    <n v="0"/>
    <n v="0"/>
    <n v="4379"/>
    <n v="0"/>
    <n v="0"/>
    <n v="18"/>
    <n v="0"/>
    <n v="458.29619378881989"/>
    <n v="16.100000000000001"/>
    <n v="4.2617641975420456E-3"/>
    <n v="1"/>
    <m/>
    <s v="Dumraon"/>
    <m/>
    <n v="0"/>
  </r>
  <r>
    <s v="Munger"/>
    <s v="17-23 Jul"/>
    <n v="1014"/>
    <s v="Dumraon"/>
    <x v="861"/>
    <s v="Gomukh Ama"/>
    <s v="MPG"/>
    <s v="Direct"/>
    <n v="632.80000000000007"/>
    <n v="24847.55"/>
    <n v="606.29"/>
    <n v="24841.369999999995"/>
    <n v="0"/>
    <n v="0"/>
    <n v="606.29"/>
    <n v="24841.369999999995"/>
    <n v="24841.369999999995"/>
    <n v="0"/>
    <n v="0"/>
    <n v="0"/>
    <n v="0"/>
    <n v="0"/>
    <n v="0"/>
    <n v="24841"/>
    <n v="0"/>
    <n v="0"/>
    <n v="7"/>
    <n v="0"/>
    <n v="52.773557522123859"/>
    <n v="90.4"/>
    <n v="2.4871667427991609E-4"/>
    <n v="1"/>
    <m/>
    <s v="Dumraon"/>
    <m/>
    <n v="0"/>
  </r>
  <r>
    <s v="Munger"/>
    <s v="17-23 Jul"/>
    <n v="1014"/>
    <s v="Dumraon"/>
    <x v="862"/>
    <s v="Gomukh Pawat"/>
    <s v="MPG"/>
    <s v="Direct"/>
    <n v="179.9"/>
    <n v="7365.119999999999"/>
    <n v="178.82"/>
    <n v="7353.63"/>
    <n v="0"/>
    <n v="0"/>
    <n v="178.82"/>
    <n v="7353.63"/>
    <n v="7353.63"/>
    <n v="0"/>
    <n v="0"/>
    <n v="0"/>
    <n v="2660"/>
    <n v="0"/>
    <n v="0"/>
    <n v="4694"/>
    <n v="0"/>
    <n v="0"/>
    <n v="11"/>
    <n v="0"/>
    <n v="425.85868949416334"/>
    <n v="25.7"/>
    <n v="1.5600560479664791E-3"/>
    <n v="2"/>
    <m/>
    <s v="Dumraon"/>
    <m/>
    <n v="0"/>
  </r>
  <r>
    <s v="Munger"/>
    <s v="17-23 Jul"/>
    <n v="1014"/>
    <s v="Dumraon"/>
    <x v="863"/>
    <s v="Gomukh Barja"/>
    <s v="MPG"/>
    <s v="Direct"/>
    <n v="135.4"/>
    <n v="5189.37"/>
    <n v="134.6"/>
    <n v="5182.1000000000004"/>
    <n v="0"/>
    <n v="0"/>
    <n v="134.6"/>
    <n v="5182.1000000000004"/>
    <n v="5182.1000000000004"/>
    <n v="0"/>
    <n v="0"/>
    <n v="0"/>
    <n v="0"/>
    <n v="0"/>
    <n v="0"/>
    <n v="5182"/>
    <n v="0"/>
    <n v="0"/>
    <n v="7"/>
    <n v="0"/>
    <n v="432.77966056129981"/>
    <n v="19.342857142857145"/>
    <n v="1.4009407693033119E-3"/>
    <n v="1"/>
    <m/>
    <s v="Dumraon"/>
    <m/>
    <n v="0"/>
  </r>
  <r>
    <s v="Munger"/>
    <s v="17-23 Jul"/>
    <n v="1014"/>
    <s v="Dumraon"/>
    <x v="864"/>
    <s v="Gomukh Charghat"/>
    <s v="MPG"/>
    <s v="Direct"/>
    <n v="40.400000000000006"/>
    <n v="1740.8400000000001"/>
    <n v="58.17"/>
    <n v="2360.0500000000002"/>
    <n v="0"/>
    <n v="0"/>
    <n v="58.17"/>
    <n v="2360.0500000000002"/>
    <n v="1740.8400000000001"/>
    <n v="0"/>
    <n v="0"/>
    <n v="619.21"/>
    <n v="0"/>
    <n v="0"/>
    <n v="0"/>
    <n v="1741"/>
    <n v="0"/>
    <n v="0"/>
    <n v="0"/>
    <n v="0"/>
    <n v="568.44458613861389"/>
    <n v="5.7714285714285722"/>
    <n v="-0.35569610073297947"/>
    <n v="1"/>
    <m/>
    <s v="Dumraon"/>
    <m/>
    <n v="0"/>
  </r>
  <r>
    <s v="Munger"/>
    <s v="17-23 Jul"/>
    <n v="1014"/>
    <s v="Dumraon"/>
    <x v="865"/>
    <s v="Gomukh Ramdihra"/>
    <s v="MPG"/>
    <s v="Direct"/>
    <n v="97.3"/>
    <n v="3503.79"/>
    <n v="97.2"/>
    <n v="3499.2"/>
    <n v="0"/>
    <n v="0"/>
    <n v="97.2"/>
    <n v="3499.2"/>
    <n v="3499.2"/>
    <n v="0"/>
    <n v="0"/>
    <n v="0"/>
    <n v="0"/>
    <n v="500"/>
    <n v="0"/>
    <n v="2999"/>
    <n v="0"/>
    <n v="0"/>
    <n v="5"/>
    <n v="0"/>
    <n v="434.06664604316541"/>
    <n v="13.9"/>
    <n v="1.3100100177237065E-3"/>
    <n v="1"/>
    <m/>
    <s v="Dumraon"/>
    <m/>
    <n v="500"/>
  </r>
  <r>
    <s v="Munger"/>
    <s v="17-23 Jul"/>
    <n v="1014"/>
    <s v="Dumraon"/>
    <x v="866"/>
    <s v="Gomukh Bara"/>
    <s v="MPG"/>
    <s v="Direct"/>
    <n v="64.900000000000006"/>
    <n v="2416.79"/>
    <n v="62.580000000000005"/>
    <n v="2404.48"/>
    <n v="0"/>
    <n v="0"/>
    <n v="62.580000000000005"/>
    <n v="2404.48"/>
    <n v="2404.48"/>
    <n v="0"/>
    <n v="0"/>
    <n v="0"/>
    <n v="0"/>
    <n v="0"/>
    <n v="0"/>
    <n v="2404"/>
    <n v="0"/>
    <n v="0"/>
    <n v="13"/>
    <n v="0"/>
    <n v="473.00564838212631"/>
    <n v="9.2714285714285722"/>
    <n v="5.0935331576181407E-3"/>
    <n v="1"/>
    <m/>
    <s v="Dumraon"/>
    <m/>
    <n v="0"/>
  </r>
  <r>
    <s v="Munger"/>
    <s v="17-23 Jul"/>
    <n v="1014"/>
    <s v="Dumraon"/>
    <x v="867"/>
    <s v="Gumukh Khajuriya"/>
    <s v="MPG"/>
    <s v="Direct"/>
    <n v="219.10000000000002"/>
    <n v="8979.44"/>
    <n v="267.02000000000004"/>
    <n v="10536.269999999997"/>
    <n v="0"/>
    <n v="0"/>
    <n v="267.02000000000004"/>
    <n v="10536.269999999997"/>
    <n v="8979.44"/>
    <n v="0"/>
    <n v="0"/>
    <n v="1556.8299999999963"/>
    <n v="2660"/>
    <n v="0"/>
    <n v="0"/>
    <n v="6319"/>
    <n v="0"/>
    <n v="0"/>
    <n v="0"/>
    <n v="0"/>
    <n v="394.17733418530344"/>
    <n v="31.300000000000004"/>
    <n v="-0.17337718165052568"/>
    <n v="3"/>
    <m/>
    <s v="Dumraon"/>
    <m/>
    <n v="0"/>
  </r>
  <r>
    <s v="Munger"/>
    <s v="17-23 Jul"/>
    <n v="1061"/>
    <s v="Mahua BMC"/>
    <x v="868"/>
    <s v="GOMUKH BHATOLIYA"/>
    <s v="MPG"/>
    <s v="Direct"/>
    <n v="636.70000000000005"/>
    <n v="30332.879999999997"/>
    <n v="654.79999999999995"/>
    <n v="30399.71"/>
    <n v="0.5"/>
    <n v="20.78"/>
    <n v="655.29999999999995"/>
    <n v="30420.489999999998"/>
    <n v="30332.879999999997"/>
    <n v="0"/>
    <n v="20.78"/>
    <n v="87.610000000000582"/>
    <n v="0"/>
    <n v="0"/>
    <n v="0"/>
    <n v="30312"/>
    <n v="0"/>
    <n v="0"/>
    <n v="0"/>
    <n v="0"/>
    <n v="60.313218281765259"/>
    <n v="90.95714285714287"/>
    <n v="-2.888284923818661E-3"/>
    <n v="8"/>
    <m/>
    <s v="Mahua BMC"/>
    <m/>
    <n v="0"/>
  </r>
  <r>
    <s v="Munger"/>
    <s v="17-23 Jul"/>
    <n v="1061"/>
    <s v="Mahua BMC"/>
    <x v="869"/>
    <s v="GOMUKH CHEHRAKALA"/>
    <s v="MPG"/>
    <s v="Direct"/>
    <n v="403.09999999999997"/>
    <n v="18498.18"/>
    <n v="406.40000000000003"/>
    <n v="19422.710000000003"/>
    <n v="0"/>
    <n v="0"/>
    <n v="406.40000000000003"/>
    <n v="19422.710000000003"/>
    <n v="18498.18"/>
    <n v="0"/>
    <n v="0"/>
    <n v="924.53000000000247"/>
    <n v="0"/>
    <n v="0"/>
    <n v="0"/>
    <n v="18498"/>
    <n v="0"/>
    <n v="0"/>
    <n v="0"/>
    <n v="0"/>
    <n v="272.49365626395439"/>
    <n v="57.585714285714282"/>
    <n v="-4.9979511497888034E-2"/>
    <n v="10"/>
    <m/>
    <s v="Mahua BMC"/>
    <m/>
    <n v="0"/>
  </r>
  <r>
    <s v="Munger"/>
    <s v="17-23 Jul"/>
    <n v="1061"/>
    <s v="Mahua BMC"/>
    <x v="870"/>
    <s v="GOMUKH KHAJECHAND"/>
    <s v="MPG"/>
    <s v="Direct"/>
    <n v="254.60000000000005"/>
    <n v="10135.120000000001"/>
    <n v="257.8"/>
    <n v="10512.97"/>
    <n v="0"/>
    <n v="0"/>
    <n v="257.8"/>
    <n v="10512.97"/>
    <n v="10135.120000000001"/>
    <n v="0"/>
    <n v="0"/>
    <n v="377.84999999999854"/>
    <n v="0"/>
    <n v="0"/>
    <n v="0"/>
    <n v="10135"/>
    <n v="0"/>
    <n v="0"/>
    <n v="0"/>
    <n v="0"/>
    <n v="354.60977596229367"/>
    <n v="36.371428571428581"/>
    <n v="-3.7281255673341659E-2"/>
    <n v="3"/>
    <m/>
    <s v="Mahua BMC"/>
    <m/>
    <n v="0"/>
  </r>
  <r>
    <s v="Munger"/>
    <s v="17-23 Jul"/>
    <n v="1061"/>
    <s v="Mahua BMC"/>
    <x v="871"/>
    <s v="GOMUKH SALEMPUR"/>
    <s v="MPG"/>
    <s v="Direct"/>
    <n v="354.4"/>
    <n v="15684.02"/>
    <n v="344.59999999999991"/>
    <n v="15862.27"/>
    <n v="7.8"/>
    <n v="344.98"/>
    <n v="352.39999999999992"/>
    <n v="16207.25"/>
    <n v="15684.02"/>
    <n v="0"/>
    <n v="344.98"/>
    <n v="523.22999999999956"/>
    <n v="7336"/>
    <n v="0"/>
    <n v="0"/>
    <n v="8003"/>
    <n v="0"/>
    <n v="0"/>
    <n v="0"/>
    <s v="Release3"/>
    <n v="305.89149616252826"/>
    <n v="50.628571428571426"/>
    <n v="-3.3360707267652015E-2"/>
    <n v="9"/>
    <m/>
    <s v="Mahua BMC"/>
    <m/>
    <n v="0"/>
  </r>
  <r>
    <s v="Munger"/>
    <s v="17-23 Jul"/>
    <n v="1061"/>
    <s v="Mahua BMC"/>
    <x v="872"/>
    <s v="Gomukh Paharpur"/>
    <s v="MPG"/>
    <s v="Direct"/>
    <n v="1024.5"/>
    <n v="45806.19"/>
    <n v="1056.7"/>
    <n v="45789.19000000001"/>
    <n v="0"/>
    <n v="0"/>
    <n v="1056.7"/>
    <n v="45789.19000000001"/>
    <n v="45789.19000000001"/>
    <n v="0"/>
    <n v="0"/>
    <n v="0"/>
    <n v="0"/>
    <n v="0"/>
    <n v="0"/>
    <n v="45790"/>
    <n v="0"/>
    <n v="0"/>
    <n v="16"/>
    <n v="0"/>
    <n v="0"/>
    <n v="0"/>
    <n v="3.7112888017957232E-4"/>
    <n v="7"/>
    <m/>
    <s v="Mahua BMC"/>
    <m/>
    <n v="0"/>
  </r>
  <r>
    <s v="Munger"/>
    <s v="17-23 Jul"/>
    <n v="1061"/>
    <s v="Mahua BMC"/>
    <x v="873"/>
    <s v="GOMUKH PREMRAJ"/>
    <s v="MPG"/>
    <s v="Direct"/>
    <n v="359.5"/>
    <n v="18040.739999999998"/>
    <n v="359.6"/>
    <n v="17576.53"/>
    <n v="0"/>
    <n v="0"/>
    <n v="359.6"/>
    <n v="17576.53"/>
    <n v="17576.53"/>
    <n v="0"/>
    <n v="0"/>
    <n v="0"/>
    <n v="0"/>
    <n v="0"/>
    <n v="0"/>
    <n v="17576"/>
    <n v="0"/>
    <n v="0"/>
    <n v="465"/>
    <n v="0"/>
    <n v="341.74531126564665"/>
    <n v="51.357142857142854"/>
    <n v="2.5731206147863069E-2"/>
    <n v="11"/>
    <m/>
    <s v="Mahua BMC"/>
    <m/>
    <n v="0"/>
  </r>
  <r>
    <s v="Munger"/>
    <s v="17-23 Jul"/>
    <n v="1061"/>
    <s v="Mahua BMC"/>
    <x v="874"/>
    <s v="GOMUKH GANGATI"/>
    <s v="MPG"/>
    <s v="Direct"/>
    <n v="402.09999999999991"/>
    <n v="18694.46"/>
    <n v="404.1"/>
    <n v="18326.64"/>
    <n v="0"/>
    <n v="0"/>
    <n v="404.1"/>
    <n v="18326.64"/>
    <n v="18326.64"/>
    <n v="0"/>
    <n v="0"/>
    <n v="0"/>
    <n v="0"/>
    <n v="0"/>
    <n v="0"/>
    <n v="18326"/>
    <n v="0"/>
    <n v="0"/>
    <n v="368"/>
    <n v="0"/>
    <n v="276.99973310121874"/>
    <n v="57.442857142857129"/>
    <n v="1.9675347669844422E-2"/>
    <n v="3"/>
    <m/>
    <s v="Mahua BMC"/>
    <m/>
    <n v="0"/>
  </r>
  <r>
    <s v="Munger"/>
    <s v="17-23 Jul"/>
    <n v="1061"/>
    <s v="Mahua BMC"/>
    <x v="875"/>
    <s v="GOMUKH Khanpatti"/>
    <s v="MPG"/>
    <s v="Direct"/>
    <n v="1311.3999999999999"/>
    <n v="62263.560000000005"/>
    <n v="1330.0999999999997"/>
    <n v="63008.990000000005"/>
    <n v="16.400000000000002"/>
    <n v="747.66"/>
    <n v="1346.4999999999998"/>
    <n v="63756.650000000009"/>
    <n v="62263.560000000005"/>
    <n v="0"/>
    <n v="747.66"/>
    <n v="1493.0900000000038"/>
    <n v="6050"/>
    <n v="0"/>
    <n v="0"/>
    <n v="55466"/>
    <n v="0"/>
    <n v="0"/>
    <n v="0"/>
    <s v="Release1"/>
    <n v="0"/>
    <n v="0"/>
    <n v="-2.3980157896528943E-2"/>
    <n v="29"/>
    <m/>
    <s v="Mahua BMC"/>
    <m/>
    <n v="0"/>
  </r>
  <r>
    <s v="Munger"/>
    <s v="17-23 Jul"/>
    <n v="1061"/>
    <s v="Mahua BMC"/>
    <x v="876"/>
    <s v="GOMUKH Bhagwatpur"/>
    <s v="MPG"/>
    <s v="Direct"/>
    <n v="447.50000000000006"/>
    <n v="21820.819999999996"/>
    <n v="494.79999999999995"/>
    <n v="23095.01"/>
    <n v="0"/>
    <n v="0"/>
    <n v="494.79999999999995"/>
    <n v="23095.01"/>
    <n v="21820.819999999996"/>
    <n v="0"/>
    <n v="0"/>
    <n v="1274.1900000000023"/>
    <n v="0"/>
    <n v="0"/>
    <n v="0"/>
    <n v="21821"/>
    <n v="0"/>
    <n v="0"/>
    <n v="0"/>
    <n v="0"/>
    <n v="246.24612513966466"/>
    <n v="63.928571428571438"/>
    <n v="-5.8393314275082354E-2"/>
    <n v="19"/>
    <m/>
    <s v="Mahua BMC"/>
    <m/>
    <n v="0"/>
  </r>
  <r>
    <s v="Munger"/>
    <s v="17-23 Jul"/>
    <n v="1061"/>
    <s v="Mahua BMC"/>
    <x v="877"/>
    <s v="GOMUKH JIRWARA"/>
    <s v="vlc"/>
    <s v="Indirect"/>
    <n v="361.2"/>
    <n v="14362.16"/>
    <n v="0"/>
    <n v="0"/>
    <n v="0"/>
    <n v="0"/>
    <n v="0"/>
    <n v="0"/>
    <n v="14362.16"/>
    <n v="0"/>
    <n v="0"/>
    <n v="0"/>
    <n v="0"/>
    <n v="0"/>
    <n v="0"/>
    <n v="0"/>
    <n v="0"/>
    <n v="14362.16"/>
    <n v="0"/>
    <n v="0"/>
    <n v="269.42966821705426"/>
    <n v="51.6"/>
    <n v="0"/>
    <n v="0"/>
    <m/>
    <s v="Mahua BMC"/>
    <m/>
    <n v="0"/>
  </r>
  <r>
    <s v="Munger"/>
    <s v="17-23 Jul"/>
    <n v="1061"/>
    <s v="Mahua BMC"/>
    <x v="878"/>
    <s v="GOMUKH Karhatiya"/>
    <s v="vlc"/>
    <s v="Indirect"/>
    <n v="162.69999999999999"/>
    <n v="5681.71"/>
    <n v="0"/>
    <n v="0"/>
    <n v="0"/>
    <n v="0"/>
    <n v="0"/>
    <n v="0"/>
    <n v="5681.71"/>
    <n v="0"/>
    <n v="0"/>
    <n v="0"/>
    <n v="0"/>
    <n v="0"/>
    <n v="0"/>
    <n v="0"/>
    <n v="0"/>
    <n v="5681.71"/>
    <n v="0"/>
    <n v="0"/>
    <n v="375.26524683466511"/>
    <n v="23.24285714285714"/>
    <n v="0"/>
    <n v="0"/>
    <m/>
    <s v="Mahua BMC"/>
    <m/>
    <n v="0"/>
  </r>
  <r>
    <s v="Munger"/>
    <s v="17-23 Jul"/>
    <n v="1061"/>
    <s v="Mahua BMC"/>
    <x v="879"/>
    <s v="GOMUKH Bheraukhara"/>
    <s v="MPG"/>
    <s v="Direct"/>
    <n v="189.20000000000002"/>
    <n v="7998.9000000000005"/>
    <n v="187.59999999999997"/>
    <n v="7962.9999999999991"/>
    <n v="0"/>
    <n v="0"/>
    <n v="187.59999999999997"/>
    <n v="7962.9999999999991"/>
    <n v="7962.9999999999991"/>
    <n v="0"/>
    <n v="0"/>
    <n v="0"/>
    <n v="0"/>
    <n v="0"/>
    <n v="0"/>
    <n v="7963"/>
    <n v="0"/>
    <n v="0"/>
    <n v="36"/>
    <n v="0"/>
    <n v="431.90677801268498"/>
    <n v="27.028571428571432"/>
    <n v="4.4881171161036456E-3"/>
    <n v="10"/>
    <m/>
    <s v="Mahua BMC"/>
    <m/>
    <n v="0"/>
  </r>
  <r>
    <s v="Munger"/>
    <s v="17-23 Jul"/>
    <n v="1061"/>
    <s v="Mahua BMC"/>
    <x v="880"/>
    <s v="GOMUKH SUPOLTARIYA"/>
    <s v="MPG"/>
    <s v="Direct"/>
    <n v="487.3"/>
    <n v="21942.970000000005"/>
    <n v="266.39999999999998"/>
    <n v="12931.76"/>
    <n v="247.6"/>
    <n v="9557.42"/>
    <n v="514"/>
    <n v="22489.18"/>
    <n v="21942.970000000005"/>
    <n v="0"/>
    <n v="0"/>
    <n v="546.20999999999549"/>
    <n v="0"/>
    <n v="0"/>
    <n v="0"/>
    <n v="12387"/>
    <n v="9556"/>
    <n v="0"/>
    <n v="0"/>
    <n v="0"/>
    <n v="191.55631926944389"/>
    <n v="69.614285714285714"/>
    <n v="-2.4892254785928949E-2"/>
    <n v="15"/>
    <m/>
    <s v="Mahua BMC"/>
    <m/>
    <n v="0"/>
  </r>
  <r>
    <s v="Munger"/>
    <s v="17-23 Jul"/>
    <n v="1061"/>
    <s v="Mahua BMC"/>
    <x v="881"/>
    <s v="GOMUKH Shravanapatti"/>
    <s v="MPG"/>
    <s v="Direct"/>
    <n v="48.3"/>
    <n v="2434.08"/>
    <n v="47.400000000000006"/>
    <n v="2278.0800000000004"/>
    <n v="0"/>
    <n v="0"/>
    <n v="47.400000000000006"/>
    <n v="2278.0800000000004"/>
    <n v="2278.0800000000004"/>
    <n v="0"/>
    <n v="0"/>
    <n v="0"/>
    <n v="0"/>
    <n v="0"/>
    <n v="0"/>
    <n v="2278"/>
    <n v="0"/>
    <n v="0"/>
    <n v="156"/>
    <n v="0"/>
    <n v="656.84883478260861"/>
    <n v="6.8999999999999995"/>
    <n v="6.4089923092092105E-2"/>
    <n v="4"/>
    <m/>
    <s v="Mahua BMC"/>
    <m/>
    <n v="0"/>
  </r>
  <r>
    <s v="Munger"/>
    <s v="17-23 Jul"/>
    <n v="1061"/>
    <s v="Mahua BMC"/>
    <x v="882"/>
    <s v="GOMUKH Jilwara"/>
    <s v="MPG"/>
    <s v="Direct"/>
    <n v="320.20000000000005"/>
    <n v="14010.720000000003"/>
    <n v="317.40000000000003"/>
    <n v="13729.810000000001"/>
    <n v="3"/>
    <n v="132.31"/>
    <n v="320.40000000000003"/>
    <n v="13862.12"/>
    <n v="13862.12"/>
    <n v="0"/>
    <n v="132.31"/>
    <n v="0"/>
    <n v="0"/>
    <n v="0"/>
    <n v="0"/>
    <n v="13731"/>
    <n v="0"/>
    <n v="0"/>
    <n v="147"/>
    <n v="0"/>
    <n v="332.37173366645845"/>
    <n v="45.742857142857147"/>
    <n v="1.0606164422670794E-2"/>
    <n v="12"/>
    <m/>
    <s v="Mahua BMC"/>
    <m/>
    <n v="0"/>
  </r>
  <r>
    <s v="Munger"/>
    <s v="17-23 Jul"/>
    <n v="1061"/>
    <s v="Mahua BMC"/>
    <x v="883"/>
    <s v="GOMUKH ABBUCHAK"/>
    <s v="MPG"/>
    <s v="Direct"/>
    <n v="173.80000000000004"/>
    <n v="9748.5600000000013"/>
    <n v="177"/>
    <n v="9828.3100000000013"/>
    <n v="0"/>
    <n v="0"/>
    <n v="177"/>
    <n v="9828.3100000000013"/>
    <n v="9748.5600000000013"/>
    <n v="0"/>
    <n v="0"/>
    <n v="79.75"/>
    <n v="0"/>
    <n v="0"/>
    <n v="0"/>
    <n v="9749"/>
    <n v="0"/>
    <n v="0"/>
    <n v="0"/>
    <n v="0"/>
    <n v="590.29830517836581"/>
    <n v="24.828571428571433"/>
    <n v="-8.1806954052701109E-3"/>
    <n v="4"/>
    <m/>
    <s v="Mahua BMC"/>
    <m/>
    <n v="0"/>
  </r>
  <r>
    <s v="Munger"/>
    <s v="17-23 Jul"/>
    <n v="1061"/>
    <s v="Mahua BMC"/>
    <x v="884"/>
    <s v="GOMUKH KAILA JALALPUR"/>
    <s v="MPG"/>
    <s v="Direct"/>
    <n v="277.09999999999997"/>
    <n v="11071.089999999998"/>
    <n v="279.59999999999991"/>
    <n v="10874.19"/>
    <n v="2.6"/>
    <n v="126.06"/>
    <n v="282.19999999999993"/>
    <n v="11000.25"/>
    <n v="11000.25"/>
    <n v="0"/>
    <n v="126.06"/>
    <n v="0"/>
    <n v="7000"/>
    <n v="0"/>
    <n v="0"/>
    <n v="3874"/>
    <n v="0"/>
    <n v="0"/>
    <n v="71"/>
    <s v="Release1"/>
    <n v="337.92594449657167"/>
    <n v="39.585714285714282"/>
    <n v="6.3986472876652921E-3"/>
    <n v="9"/>
    <m/>
    <s v="Mahua BMC"/>
    <m/>
    <n v="0"/>
  </r>
  <r>
    <s v="Munger"/>
    <s v="17-23 Jul"/>
    <n v="1061"/>
    <s v="Mahua BMC"/>
    <x v="886"/>
    <s v="Gomukh Jhitkahi East"/>
    <s v="MPG"/>
    <s v="Direct"/>
    <n v="155.5"/>
    <n v="8298.2200000000012"/>
    <n v="151.5"/>
    <n v="8262.4499999999989"/>
    <n v="0"/>
    <n v="0"/>
    <n v="151.5"/>
    <n v="8262.4499999999989"/>
    <n v="8262.4499999999989"/>
    <n v="0"/>
    <n v="0"/>
    <n v="0"/>
    <n v="0"/>
    <n v="0"/>
    <n v="0"/>
    <n v="8263"/>
    <n v="0"/>
    <n v="0"/>
    <n v="35"/>
    <n v="0"/>
    <n v="581.14222379421233"/>
    <n v="22.214285714285715"/>
    <n v="4.3105629882073809E-3"/>
    <n v="7"/>
    <m/>
    <s v="Mahua BMC"/>
    <m/>
    <n v="0"/>
  </r>
  <r>
    <s v="Munger"/>
    <s v="17-23 Jul"/>
    <n v="1061"/>
    <s v="Mahua BMC"/>
    <x v="887"/>
    <s v="GOMUKH UPHRAUL"/>
    <s v="vlc"/>
    <s v="Indirect"/>
    <n v="1703.4999999999998"/>
    <n v="65933.69"/>
    <n v="0"/>
    <n v="0"/>
    <n v="0"/>
    <n v="0"/>
    <n v="0"/>
    <n v="0"/>
    <n v="65933.69"/>
    <n v="0"/>
    <n v="0"/>
    <n v="0"/>
    <n v="0"/>
    <n v="0"/>
    <n v="0"/>
    <n v="0"/>
    <n v="0"/>
    <n v="65933.69"/>
    <n v="0"/>
    <n v="0"/>
    <n v="0"/>
    <n v="0"/>
    <n v="0"/>
    <n v="0"/>
    <m/>
    <s v="Mahua BMC"/>
    <m/>
    <n v="0"/>
  </r>
  <r>
    <s v="Munger"/>
    <s v="17-23 Jul"/>
    <n v="1061"/>
    <s v="Mahua BMC"/>
    <x v="888"/>
    <s v="GOMUKH SHERPUR"/>
    <s v="vlc"/>
    <s v="Indirect"/>
    <n v="181.39999999999998"/>
    <n v="7016.7"/>
    <n v="0"/>
    <n v="0"/>
    <n v="0"/>
    <n v="0"/>
    <n v="0"/>
    <n v="0"/>
    <n v="7016.7"/>
    <n v="0"/>
    <n v="0"/>
    <n v="0"/>
    <n v="0"/>
    <n v="0"/>
    <n v="0"/>
    <n v="0"/>
    <n v="0"/>
    <n v="7016.7"/>
    <n v="0"/>
    <n v="0"/>
    <n v="401.1974222712239"/>
    <n v="25.914285714285711"/>
    <n v="0"/>
    <n v="0"/>
    <m/>
    <s v="Mahua BMC"/>
    <m/>
    <n v="0"/>
  </r>
  <r>
    <s v="Munger"/>
    <s v="17-23 Jul"/>
    <n v="1061"/>
    <s v="Mahua BMC"/>
    <x v="989"/>
    <s v="GOMUKH PANSALA"/>
    <s v="vlc"/>
    <s v="Indirect"/>
    <n v="622.9"/>
    <n v="25428.399999999998"/>
    <n v="0"/>
    <n v="0"/>
    <n v="0"/>
    <n v="0"/>
    <n v="0"/>
    <n v="0"/>
    <n v="25428.399999999998"/>
    <n v="0"/>
    <n v="0"/>
    <n v="0"/>
    <n v="0"/>
    <n v="0"/>
    <n v="0"/>
    <n v="0"/>
    <n v="0"/>
    <n v="25428.399999999998"/>
    <n v="0"/>
    <n v="0"/>
    <n v="62.948455289773669"/>
    <n v="88.98571428571428"/>
    <n v="0"/>
    <n v="0"/>
    <m/>
    <s v="Mahua BMC"/>
    <m/>
    <n v="0"/>
  </r>
  <r>
    <s v="Munger"/>
    <s v="17-23 Jul"/>
    <n v="1061"/>
    <s v="Mahua BMC"/>
    <x v="990"/>
    <s v="GOMUKH KUSIYARI"/>
    <s v="vlc"/>
    <s v="Indirect"/>
    <n v="387.40000000000003"/>
    <n v="14745.93"/>
    <n v="0"/>
    <n v="0"/>
    <n v="0"/>
    <n v="0"/>
    <n v="0"/>
    <n v="0"/>
    <n v="14745.93"/>
    <n v="0"/>
    <n v="0"/>
    <n v="0"/>
    <n v="0"/>
    <n v="0"/>
    <n v="0"/>
    <n v="0"/>
    <n v="0"/>
    <n v="14745.93"/>
    <n v="0"/>
    <n v="0"/>
    <n v="237.97510160041301"/>
    <n v="55.342857142857149"/>
    <n v="0"/>
    <n v="0"/>
    <m/>
    <s v="Mahua BMC"/>
    <m/>
    <n v="0"/>
  </r>
  <r>
    <s v="Munger"/>
    <s v="17-23 Jul"/>
    <n v="1061"/>
    <s v="Mahua BMC"/>
    <x v="991"/>
    <s v="GOMUKH PACHAI"/>
    <s v="vlc"/>
    <s v="Indirect"/>
    <n v="557.69999999999993"/>
    <n v="21807.730000000003"/>
    <n v="0"/>
    <n v="0"/>
    <n v="0"/>
    <n v="0"/>
    <n v="0"/>
    <n v="0"/>
    <n v="21807.730000000003"/>
    <n v="0"/>
    <n v="0"/>
    <n v="0"/>
    <n v="0"/>
    <n v="0"/>
    <n v="0"/>
    <n v="0"/>
    <n v="0"/>
    <n v="21807.730000000003"/>
    <n v="0"/>
    <n v="0"/>
    <n v="111.28707114936356"/>
    <n v="79.671428571428564"/>
    <n v="0"/>
    <n v="0"/>
    <m/>
    <s v="Mahua BMC"/>
    <m/>
    <n v="0"/>
  </r>
  <r>
    <s v="Munger"/>
    <s v="17-23 Jul"/>
    <n v="1061"/>
    <s v="Mahua BMC"/>
    <x v="889"/>
    <s v="GOMUKH GARAHI"/>
    <s v="vlc"/>
    <s v="Indirect"/>
    <n v="338.7"/>
    <n v="11371.109999999999"/>
    <n v="0"/>
    <n v="0"/>
    <n v="0"/>
    <n v="0"/>
    <n v="0"/>
    <n v="0"/>
    <n v="11371.109999999999"/>
    <n v="0"/>
    <n v="0"/>
    <n v="0"/>
    <n v="0"/>
    <n v="0"/>
    <n v="0"/>
    <n v="0"/>
    <n v="0"/>
    <n v="11371.109999999999"/>
    <n v="0"/>
    <n v="0"/>
    <n v="242.5971091231178"/>
    <n v="48.385714285714286"/>
    <n v="0"/>
    <n v="0"/>
    <m/>
    <s v="Mahua BMC"/>
    <m/>
    <n v="0"/>
  </r>
  <r>
    <s v="Munger"/>
    <s v="17-23 Jul"/>
    <n v="1061"/>
    <s v="Mahua BMC"/>
    <x v="890"/>
    <s v="GOMUKH BAIKUNTHPUR"/>
    <s v="vlc"/>
    <s v="Indirect"/>
    <n v="439.3"/>
    <n v="16211.98"/>
    <n v="0"/>
    <n v="0"/>
    <n v="0"/>
    <n v="0"/>
    <n v="0"/>
    <n v="0"/>
    <n v="16211.98"/>
    <n v="0"/>
    <n v="0"/>
    <n v="0"/>
    <n v="0"/>
    <n v="0"/>
    <n v="0"/>
    <n v="0"/>
    <n v="0"/>
    <n v="16211.98"/>
    <n v="0"/>
    <n v="0"/>
    <n v="192.41808267698613"/>
    <n v="62.75714285714286"/>
    <n v="0"/>
    <n v="0"/>
    <m/>
    <s v="Mahua BMC"/>
    <m/>
    <n v="0"/>
  </r>
  <r>
    <s v="Munger"/>
    <s v="17-23 Jul"/>
    <n v="1061"/>
    <s v="Mahua BMC"/>
    <x v="891"/>
    <s v="GOMUKH BAHASHI"/>
    <s v="vlc"/>
    <s v="Indirect"/>
    <n v="1965.6999999999998"/>
    <n v="71310.450000000012"/>
    <n v="0"/>
    <n v="0"/>
    <n v="0"/>
    <n v="0"/>
    <n v="0"/>
    <n v="0"/>
    <n v="71310.450000000012"/>
    <n v="0"/>
    <n v="0"/>
    <n v="0"/>
    <n v="0"/>
    <n v="0"/>
    <n v="0"/>
    <n v="0"/>
    <n v="0"/>
    <n v="71310.450000000012"/>
    <n v="0"/>
    <n v="0"/>
    <n v="0"/>
    <n v="0"/>
    <n v="0"/>
    <n v="0"/>
    <m/>
    <s v="Mahua BMC"/>
    <m/>
    <n v="0"/>
  </r>
  <r>
    <s v="Munger"/>
    <s v="17-23 Jul"/>
    <n v="1061"/>
    <s v="Mahua BMC"/>
    <x v="1021"/>
    <s v="GOMUKH BAKHRI"/>
    <s v="vlc"/>
    <s v="Indirect"/>
    <n v="1648.6000000000001"/>
    <n v="67442.570000000007"/>
    <n v="0"/>
    <n v="0"/>
    <n v="0"/>
    <n v="0"/>
    <n v="0"/>
    <n v="0"/>
    <n v="67442.570000000007"/>
    <n v="0"/>
    <n v="0"/>
    <n v="0"/>
    <n v="0"/>
    <n v="0"/>
    <n v="0"/>
    <n v="0"/>
    <n v="0"/>
    <n v="67442.570000000007"/>
    <n v="0"/>
    <n v="0"/>
    <n v="0"/>
    <n v="0"/>
    <n v="0"/>
    <n v="0"/>
    <m/>
    <s v="Mahua BMC"/>
    <m/>
    <n v="0"/>
  </r>
  <r>
    <s v="Munger"/>
    <s v="17-23 Jul"/>
    <n v="1061"/>
    <s v="Mahua BMC"/>
    <x v="893"/>
    <s v="GOMUKH KHARIKA"/>
    <s v="vlc"/>
    <s v="Indirect"/>
    <n v="543.5"/>
    <n v="21205.230000000003"/>
    <n v="0"/>
    <n v="0"/>
    <n v="0"/>
    <n v="0"/>
    <n v="0"/>
    <n v="0"/>
    <n v="21205.230000000003"/>
    <n v="0"/>
    <n v="0"/>
    <n v="0"/>
    <n v="0"/>
    <n v="0"/>
    <n v="0"/>
    <n v="0"/>
    <n v="0"/>
    <n v="21205.230000000003"/>
    <n v="0"/>
    <n v="0"/>
    <n v="122.12027580496785"/>
    <n v="77.642857142857139"/>
    <n v="0"/>
    <n v="0"/>
    <m/>
    <s v="Mahua BMC"/>
    <m/>
    <n v="0"/>
  </r>
  <r>
    <s v="Munger"/>
    <s v="17-23 Jul"/>
    <n v="1061"/>
    <s v="Mahua BMC"/>
    <x v="992"/>
    <s v="GOMUKH GOVINDPUR"/>
    <s v="vlc"/>
    <s v="Indirect"/>
    <n v="407.8"/>
    <n v="14635.050000000001"/>
    <n v="0"/>
    <n v="0"/>
    <n v="0"/>
    <n v="0"/>
    <n v="0"/>
    <n v="0"/>
    <n v="14635.050000000001"/>
    <n v="0"/>
    <n v="0"/>
    <n v="0"/>
    <n v="0"/>
    <n v="0"/>
    <n v="0"/>
    <n v="0"/>
    <n v="0"/>
    <n v="14635.050000000001"/>
    <n v="0"/>
    <n v="0"/>
    <n v="209.72837714565966"/>
    <n v="58.25714285714286"/>
    <n v="0"/>
    <n v="0"/>
    <m/>
    <s v="Mahua BMC"/>
    <m/>
    <n v="0"/>
  </r>
  <r>
    <s v="Munger"/>
    <s v="17-23 Jul"/>
    <n v="1061"/>
    <s v="Mahua BMC"/>
    <x v="896"/>
    <s v="GOMUKH HARPUR RAJESH"/>
    <s v="vlc"/>
    <s v="Indirect"/>
    <n v="441.2"/>
    <n v="18355.080000000002"/>
    <n v="0"/>
    <n v="0"/>
    <n v="0"/>
    <n v="0"/>
    <n v="0"/>
    <n v="0"/>
    <n v="18355.080000000002"/>
    <n v="0"/>
    <n v="0"/>
    <n v="0"/>
    <n v="0"/>
    <n v="0"/>
    <n v="0"/>
    <n v="0"/>
    <n v="0"/>
    <n v="18355.080000000002"/>
    <n v="0"/>
    <n v="0"/>
    <n v="215.33520870353587"/>
    <n v="63.028571428571425"/>
    <n v="0"/>
    <n v="0"/>
    <m/>
    <s v="Mahua BMC"/>
    <m/>
    <n v="0"/>
  </r>
  <r>
    <s v="Munger"/>
    <s v="17-23 Jul"/>
    <n v="1061"/>
    <s v="Mahua BMC"/>
    <x v="897"/>
    <s v="GOMUKH SANICHAR HATT"/>
    <s v="vlc"/>
    <s v="Indirect"/>
    <n v="264.39999999999998"/>
    <n v="9999.6500000000015"/>
    <n v="0"/>
    <n v="0"/>
    <n v="0"/>
    <n v="0"/>
    <n v="0"/>
    <n v="0"/>
    <n v="9999.6500000000015"/>
    <n v="0"/>
    <n v="0"/>
    <n v="0"/>
    <n v="0"/>
    <n v="0"/>
    <n v="0"/>
    <n v="0"/>
    <n v="0"/>
    <n v="9999.6500000000015"/>
    <n v="0"/>
    <n v="0"/>
    <n v="329.48922390317711"/>
    <n v="37.771428571428565"/>
    <n v="0"/>
    <n v="0"/>
    <m/>
    <s v="Mahua BMC"/>
    <m/>
    <n v="0"/>
  </r>
  <r>
    <s v="Munger"/>
    <s v="17-23 Jul"/>
    <n v="1061"/>
    <s v="Mahua BMC"/>
    <x v="898"/>
    <s v="GOMUKH SAHARIYA"/>
    <s v="vlc"/>
    <s v="Indirect"/>
    <n v="704.20000000000016"/>
    <n v="27249.179999999997"/>
    <n v="0"/>
    <n v="0"/>
    <n v="0"/>
    <n v="0"/>
    <n v="0"/>
    <n v="0"/>
    <n v="27249.179999999997"/>
    <n v="0"/>
    <n v="0"/>
    <n v="0"/>
    <n v="0"/>
    <n v="0"/>
    <n v="0"/>
    <n v="0"/>
    <n v="0"/>
    <n v="27249.179999999997"/>
    <n v="0"/>
    <n v="0"/>
    <n v="0"/>
    <n v="0"/>
    <n v="0"/>
    <n v="0"/>
    <m/>
    <s v="Mahua BMC"/>
    <m/>
    <n v="0"/>
  </r>
  <r>
    <s v="Munger"/>
    <s v="17-23 Jul"/>
    <n v="1061"/>
    <s v="Mahua BMC"/>
    <x v="899"/>
    <s v="GOMUKH TAJPUR BUZURG"/>
    <s v="MPG"/>
    <s v="Direct"/>
    <n v="679"/>
    <n v="26789.479999999996"/>
    <n v="680"/>
    <n v="25859.530000000002"/>
    <n v="0"/>
    <n v="0"/>
    <n v="680"/>
    <n v="25859.530000000002"/>
    <n v="25859.530000000002"/>
    <n v="0"/>
    <n v="0"/>
    <n v="0"/>
    <n v="0"/>
    <n v="0"/>
    <n v="0"/>
    <n v="25859"/>
    <n v="0"/>
    <n v="0"/>
    <n v="930"/>
    <n v="0"/>
    <n v="16.570812371134018"/>
    <n v="97"/>
    <n v="3.4713253112788812E-2"/>
    <n v="4"/>
    <m/>
    <s v="Mahua BMC"/>
    <m/>
    <n v="0"/>
  </r>
  <r>
    <s v="Munger"/>
    <s v="17-23 Jul"/>
    <n v="1061"/>
    <s v="Mahua BMC"/>
    <x v="900"/>
    <s v="GOMUKH PAITRAPUR"/>
    <s v="MPG"/>
    <s v="Direct"/>
    <n v="253.9"/>
    <n v="12643.569999999998"/>
    <n v="234.79999999999998"/>
    <n v="11461.140000000001"/>
    <n v="20"/>
    <n v="1183.1300000000001"/>
    <n v="254.79999999999998"/>
    <n v="12644.27"/>
    <n v="12643.569999999998"/>
    <n v="0"/>
    <n v="0"/>
    <n v="0.70000000000254659"/>
    <n v="0"/>
    <n v="0"/>
    <n v="0"/>
    <n v="11460"/>
    <n v="1183"/>
    <n v="0"/>
    <n v="1"/>
    <n v="0"/>
    <n v="444.29275911776284"/>
    <n v="36.271428571428572"/>
    <n v="-5.5364109978633148E-5"/>
    <n v="13"/>
    <m/>
    <s v="Mahua BMC"/>
    <m/>
    <n v="0"/>
  </r>
  <r>
    <s v="Munger"/>
    <s v="17-23 Jul"/>
    <n v="1061"/>
    <s v="Mahua BMC"/>
    <x v="901"/>
    <s v="GOMUKH JAI MATA DI MILK CENTER"/>
    <s v="vlc"/>
    <s v="Indirect"/>
    <n v="2141.3000000000002"/>
    <n v="83271.02"/>
    <n v="0"/>
    <n v="0"/>
    <n v="0"/>
    <n v="0"/>
    <n v="0"/>
    <n v="0"/>
    <n v="83271.02"/>
    <n v="0"/>
    <n v="0"/>
    <n v="0"/>
    <n v="0"/>
    <n v="0"/>
    <n v="0"/>
    <n v="0"/>
    <n v="0"/>
    <n v="83271.02"/>
    <n v="0"/>
    <n v="0"/>
    <n v="0"/>
    <n v="0"/>
    <n v="0"/>
    <n v="0"/>
    <m/>
    <s v="Mahua BMC"/>
    <m/>
    <n v="0"/>
  </r>
  <r>
    <s v="Munger"/>
    <s v="17-23 Jul"/>
    <n v="1061"/>
    <s v="Mahua BMC"/>
    <x v="902"/>
    <s v="GOMUKH NEW GANGAJAL"/>
    <s v="vlc"/>
    <s v="Indirect"/>
    <n v="72.7"/>
    <n v="2287.87"/>
    <n v="0"/>
    <n v="0"/>
    <n v="0"/>
    <n v="0"/>
    <n v="0"/>
    <n v="0"/>
    <n v="2287.87"/>
    <n v="0"/>
    <n v="0"/>
    <n v="0"/>
    <n v="0"/>
    <n v="0"/>
    <n v="0"/>
    <n v="0"/>
    <n v="0"/>
    <n v="2287.87"/>
    <n v="0"/>
    <n v="0"/>
    <n v="394.82279257221455"/>
    <n v="10.385714285714286"/>
    <n v="0"/>
    <n v="0"/>
    <m/>
    <s v="Mahua BMC"/>
    <m/>
    <n v="0"/>
  </r>
  <r>
    <s v="Munger"/>
    <s v="17-23 Jul"/>
    <n v="1061"/>
    <s v="Mahua BMC"/>
    <x v="904"/>
    <s v="GOMUKH BAHJRANGI"/>
    <s v="vlc"/>
    <s v="Indirect"/>
    <n v="1038.5999999999999"/>
    <n v="44150.37000000001"/>
    <n v="0"/>
    <n v="0"/>
    <n v="0"/>
    <n v="0"/>
    <n v="0"/>
    <n v="0"/>
    <n v="44150.37000000001"/>
    <n v="0"/>
    <n v="0"/>
    <n v="0"/>
    <n v="0"/>
    <n v="0"/>
    <n v="0"/>
    <n v="0"/>
    <n v="0"/>
    <n v="44150.37000000001"/>
    <n v="0"/>
    <n v="0"/>
    <n v="0"/>
    <n v="0"/>
    <n v="0"/>
    <n v="0"/>
    <m/>
    <s v="Mahua BMC"/>
    <m/>
    <n v="0"/>
  </r>
  <r>
    <s v="Munger"/>
    <s v="17-23 Jul"/>
    <n v="1061"/>
    <s v="Mahua BMC"/>
    <x v="993"/>
    <s v="GOMUKH CHAKABDUL"/>
    <s v="vlc"/>
    <s v="Indirect"/>
    <n v="242.10000000000002"/>
    <n v="8808.24"/>
    <n v="0"/>
    <n v="0"/>
    <n v="0"/>
    <n v="0"/>
    <n v="0"/>
    <n v="0"/>
    <n v="8808.24"/>
    <n v="0"/>
    <n v="0"/>
    <n v="0"/>
    <n v="0"/>
    <n v="0"/>
    <n v="0"/>
    <n v="0"/>
    <n v="0"/>
    <n v="8808.24"/>
    <n v="0"/>
    <n v="0"/>
    <n v="333.1923251548946"/>
    <n v="34.585714285714289"/>
    <n v="0"/>
    <n v="0"/>
    <m/>
    <s v="Mahua BMC"/>
    <m/>
    <n v="0"/>
  </r>
  <r>
    <s v="Munger"/>
    <s v="17-23 Jul"/>
    <n v="1061"/>
    <s v="Mahua BMC"/>
    <x v="994"/>
    <s v="GOMUKH BAJITPUR"/>
    <s v="vlc"/>
    <s v="Indirect"/>
    <n v="281.40000000000003"/>
    <n v="11067.849999999999"/>
    <n v="0"/>
    <n v="0"/>
    <n v="0"/>
    <n v="0"/>
    <n v="0"/>
    <n v="0"/>
    <n v="11067.849999999999"/>
    <n v="0"/>
    <n v="0"/>
    <n v="0"/>
    <n v="0"/>
    <n v="0"/>
    <n v="0"/>
    <n v="0"/>
    <n v="0"/>
    <n v="11067.849999999999"/>
    <n v="0"/>
    <n v="0"/>
    <n v="329.28230348258694"/>
    <n v="40.200000000000003"/>
    <n v="0"/>
    <n v="0"/>
    <m/>
    <s v="Mahua BMC"/>
    <m/>
    <n v="0"/>
  </r>
  <r>
    <s v="Munger"/>
    <s v="17-23 Jul"/>
    <n v="1061"/>
    <s v="Mahua BMC"/>
    <x v="995"/>
    <s v="GOMUKH SHAHPUR TOI"/>
    <s v="vlc"/>
    <s v="Indirect"/>
    <n v="328.59999999999997"/>
    <n v="13843.560000000001"/>
    <n v="0"/>
    <n v="0"/>
    <n v="0"/>
    <n v="0"/>
    <n v="0"/>
    <n v="0"/>
    <n v="13843.560000000001"/>
    <n v="0"/>
    <n v="0"/>
    <n v="0"/>
    <n v="0"/>
    <n v="0"/>
    <n v="0"/>
    <n v="0"/>
    <n v="0"/>
    <n v="13843.560000000001"/>
    <n v="0"/>
    <n v="0"/>
    <n v="312.93354741326851"/>
    <n v="46.942857142857136"/>
    <n v="0"/>
    <n v="0"/>
    <m/>
    <s v="Mahua BMC"/>
    <m/>
    <n v="0"/>
  </r>
  <r>
    <s v="Munger"/>
    <s v="17-23 Jul"/>
    <n v="1061"/>
    <s v="Mahua BMC"/>
    <x v="996"/>
    <s v="GOMUKH SUPAYAN"/>
    <s v="vlc"/>
    <s v="Indirect"/>
    <n v="787.6"/>
    <n v="33292.67"/>
    <n v="0"/>
    <n v="0"/>
    <n v="0"/>
    <n v="0"/>
    <n v="0"/>
    <n v="0"/>
    <n v="33292.67"/>
    <n v="0"/>
    <n v="0"/>
    <n v="0"/>
    <n v="0"/>
    <n v="0"/>
    <n v="0"/>
    <n v="0"/>
    <n v="0"/>
    <n v="33292.67"/>
    <n v="0"/>
    <n v="0"/>
    <n v="0"/>
    <n v="0"/>
    <n v="0"/>
    <n v="0"/>
    <m/>
    <s v="Mahua BMC"/>
    <m/>
    <n v="0"/>
  </r>
  <r>
    <s v="Munger"/>
    <s v="17-23 Jul"/>
    <n v="1061"/>
    <s v="Mahua BMC"/>
    <x v="1022"/>
    <s v="GOMUKH RAJAPAKAR PURBI"/>
    <s v="vlc"/>
    <s v="Indirect"/>
    <n v="31.7"/>
    <n v="1258.1600000000001"/>
    <n v="0"/>
    <n v="0"/>
    <n v="0"/>
    <n v="0"/>
    <n v="0"/>
    <n v="0"/>
    <n v="1258.1600000000001"/>
    <n v="0"/>
    <n v="0"/>
    <n v="0"/>
    <n v="0"/>
    <n v="0"/>
    <n v="0"/>
    <n v="0"/>
    <n v="0"/>
    <n v="1258.1600000000001"/>
    <n v="0"/>
    <n v="0"/>
    <n v="530.49105867507899"/>
    <n v="4.5285714285714285"/>
    <n v="0"/>
    <n v="0"/>
    <m/>
    <s v="Mahua BMC"/>
    <m/>
    <n v="0"/>
  </r>
  <r>
    <s v="Munger"/>
    <s v="17-23 Jul"/>
    <n v="1061"/>
    <s v="Mahua BMC"/>
    <x v="1023"/>
    <s v="GOMUKH SAIDPUR"/>
    <s v="vlc"/>
    <s v="Indirect"/>
    <n v="57.8"/>
    <n v="2504.6499999999996"/>
    <n v="0"/>
    <n v="0"/>
    <n v="0"/>
    <n v="0"/>
    <n v="0"/>
    <n v="0"/>
    <n v="2504.6499999999996"/>
    <n v="0"/>
    <n v="0"/>
    <n v="0"/>
    <n v="0"/>
    <n v="0"/>
    <n v="0"/>
    <n v="0"/>
    <n v="0"/>
    <n v="2504.6499999999996"/>
    <n v="0"/>
    <n v="0"/>
    <n v="556.56962975778549"/>
    <n v="8.2571428571428562"/>
    <n v="0"/>
    <n v="0"/>
    <m/>
    <s v="Mahua BMC"/>
    <m/>
    <n v="0"/>
  </r>
  <r>
    <s v="Munger"/>
    <s v="17-23 Jul"/>
    <n v="1057"/>
    <s v="Warisnagar"/>
    <x v="905"/>
    <s v="Karua"/>
    <s v="MPG"/>
    <s v="Direct"/>
    <n v="198.79999999999998"/>
    <n v="8565.17"/>
    <n v="0"/>
    <n v="0"/>
    <n v="198.29999999999998"/>
    <n v="8253.57"/>
    <n v="198.29999999999998"/>
    <n v="8253.57"/>
    <n v="8253.57"/>
    <n v="0"/>
    <n v="1792.8200000000002"/>
    <n v="0"/>
    <n v="0"/>
    <n v="0"/>
    <n v="0"/>
    <n v="0"/>
    <n v="6460"/>
    <n v="0"/>
    <n v="312"/>
    <n v="0"/>
    <n v="431.877585915493"/>
    <n v="28.4"/>
    <n v="3.6379896721256015E-2"/>
    <n v="8"/>
    <m/>
    <s v="Warisnagar"/>
    <m/>
    <n v="0"/>
  </r>
  <r>
    <s v="Munger"/>
    <s v="17-23 Jul"/>
    <n v="1063"/>
    <s v="Rosera"/>
    <x v="907"/>
    <s v="Murli"/>
    <s v="MPG"/>
    <s v="Direct"/>
    <n v="310.40000000000003"/>
    <n v="12963.65"/>
    <n v="311.49999999999994"/>
    <n v="13858.67"/>
    <n v="0.48"/>
    <n v="21.62"/>
    <n v="311.97999999999996"/>
    <n v="13880.29"/>
    <n v="12963.65"/>
    <n v="0"/>
    <n v="21.62"/>
    <n v="916.64000000000124"/>
    <n v="0"/>
    <n v="0"/>
    <n v="0"/>
    <n v="12942"/>
    <n v="0"/>
    <n v="0"/>
    <n v="0"/>
    <n v="0"/>
    <n v="325.42770876288654"/>
    <n v="44.342857142857149"/>
    <n v="-7.0708481021934499E-2"/>
    <n v="7"/>
    <m/>
    <s v="Rosera"/>
    <m/>
    <n v="0"/>
  </r>
  <r>
    <s v="Munger"/>
    <s v="17-23 Jul"/>
    <n v="1063"/>
    <s v="Rosera"/>
    <x v="909"/>
    <s v="Nauapokhar"/>
    <s v="MPG"/>
    <s v="Direct"/>
    <n v="1369.8999999999999"/>
    <n v="55040.409999999996"/>
    <n v="754.05"/>
    <n v="54980.089999999989"/>
    <n v="0.99999999999999989"/>
    <n v="47.850000000000009"/>
    <n v="755.05"/>
    <n v="55027.939999999988"/>
    <n v="55027.939999999988"/>
    <n v="0"/>
    <n v="47.850000000000009"/>
    <n v="0"/>
    <n v="0"/>
    <n v="0"/>
    <n v="0"/>
    <n v="54980"/>
    <n v="0"/>
    <n v="0"/>
    <n v="13"/>
    <n v="0"/>
    <n v="0"/>
    <n v="0"/>
    <n v="2.2656081231968369E-4"/>
    <n v="5"/>
    <m/>
    <s v="Rosera"/>
    <m/>
    <n v="0"/>
  </r>
  <r>
    <s v="Munger"/>
    <s v="17-23 Jul"/>
    <n v="1063"/>
    <s v="Rosera"/>
    <x v="910"/>
    <s v="Erout 2"/>
    <s v="vlc"/>
    <s v="Indirect"/>
    <n v="783.00000000000011"/>
    <n v="34240.269999999997"/>
    <n v="0"/>
    <n v="0"/>
    <n v="0"/>
    <n v="0"/>
    <n v="0"/>
    <n v="0"/>
    <n v="34240.269999999997"/>
    <n v="0"/>
    <n v="0"/>
    <n v="0"/>
    <n v="0"/>
    <n v="0"/>
    <n v="0"/>
    <n v="0"/>
    <n v="0"/>
    <n v="34240.269999999997"/>
    <n v="0"/>
    <n v="0"/>
    <n v="0"/>
    <n v="0"/>
    <n v="0"/>
    <n v="0"/>
    <m/>
    <s v="Rosera"/>
    <m/>
    <n v="0"/>
  </r>
  <r>
    <s v="Munger"/>
    <s v="17-23 Jul"/>
    <n v="1063"/>
    <s v="Rosera"/>
    <x v="911"/>
    <s v="Parsuram"/>
    <s v="vlc"/>
    <s v="Indirect"/>
    <n v="123.89999999999999"/>
    <n v="3932.0299999999997"/>
    <n v="0"/>
    <n v="0"/>
    <n v="0"/>
    <n v="0"/>
    <n v="0"/>
    <n v="0"/>
    <n v="3932.0299999999997"/>
    <n v="0"/>
    <n v="0"/>
    <n v="0"/>
    <n v="0"/>
    <n v="0"/>
    <n v="0"/>
    <n v="0"/>
    <n v="0"/>
    <n v="3932.0299999999997"/>
    <n v="0"/>
    <n v="0"/>
    <n v="365.65657514124297"/>
    <n v="17.7"/>
    <n v="0"/>
    <n v="0"/>
    <m/>
    <s v="Rosera"/>
    <m/>
    <n v="0"/>
  </r>
  <r>
    <s v="Munger"/>
    <s v="17-23 Jul"/>
    <n v="1063"/>
    <s v="Rosera"/>
    <x v="913"/>
    <s v="Sedukha"/>
    <s v="MPG"/>
    <s v="Direct"/>
    <n v="395.7"/>
    <n v="15039.28"/>
    <n v="390"/>
    <n v="15401.649999999998"/>
    <n v="0"/>
    <n v="0"/>
    <n v="390"/>
    <n v="15401.649999999998"/>
    <n v="15039.28"/>
    <n v="0"/>
    <n v="0"/>
    <n v="362.36999999999716"/>
    <n v="0"/>
    <n v="0"/>
    <n v="0"/>
    <n v="15039"/>
    <n v="0"/>
    <n v="0"/>
    <n v="0"/>
    <s v="Release3"/>
    <n v="231.30921930755625"/>
    <n v="56.528571428571425"/>
    <n v="-2.4094903479421698E-2"/>
    <n v="9"/>
    <m/>
    <s v="Rosera"/>
    <m/>
    <n v="0"/>
  </r>
  <r>
    <s v="Munger"/>
    <s v="17-23 Jul"/>
    <n v="1057"/>
    <s v="Warisnagar"/>
    <x v="914"/>
    <s v="Madhuban 2"/>
    <s v="vlc"/>
    <s v="Indirect"/>
    <n v="488.49999999999994"/>
    <n v="18897.53"/>
    <n v="0"/>
    <n v="0"/>
    <n v="0"/>
    <n v="0"/>
    <n v="0"/>
    <n v="0"/>
    <n v="18897.53"/>
    <n v="0"/>
    <n v="0"/>
    <n v="0"/>
    <n v="0"/>
    <n v="0"/>
    <n v="0"/>
    <n v="0"/>
    <n v="0"/>
    <n v="18897.53"/>
    <n v="0"/>
    <n v="0"/>
    <n v="163.63674902763566"/>
    <n v="69.785714285714278"/>
    <n v="0"/>
    <n v="0"/>
    <m/>
    <s v="Warisnagar"/>
    <m/>
    <n v="0"/>
  </r>
  <r>
    <s v="Munger"/>
    <s v="17-23 Jul"/>
    <n v="1063"/>
    <s v="Rosera"/>
    <x v="915"/>
    <s v="Yadav Jee"/>
    <s v="vlc"/>
    <s v="Indirect"/>
    <n v="282.7"/>
    <n v="11412.94"/>
    <n v="0"/>
    <n v="0"/>
    <n v="0"/>
    <n v="0"/>
    <n v="0"/>
    <n v="0"/>
    <n v="11412.94"/>
    <n v="0"/>
    <n v="0"/>
    <n v="0"/>
    <n v="0"/>
    <n v="0"/>
    <n v="0"/>
    <n v="0"/>
    <n v="0"/>
    <n v="11412.94"/>
    <n v="0"/>
    <n v="0"/>
    <n v="336.9380871595331"/>
    <n v="40.385714285714286"/>
    <n v="0"/>
    <n v="0"/>
    <m/>
    <s v="Rosera"/>
    <m/>
    <n v="0"/>
  </r>
  <r>
    <s v="Munger"/>
    <s v="17-23 Jul"/>
    <n v="1063"/>
    <s v="Rosera"/>
    <x v="916"/>
    <s v="Durgaashtan 2"/>
    <s v="vlc"/>
    <s v="Indirect"/>
    <n v="1472.6000000000001"/>
    <n v="56450.16"/>
    <n v="0"/>
    <n v="0"/>
    <n v="0"/>
    <n v="0"/>
    <n v="0"/>
    <n v="0"/>
    <n v="56450.16"/>
    <n v="0"/>
    <n v="0"/>
    <n v="0"/>
    <n v="0"/>
    <n v="0"/>
    <n v="0"/>
    <n v="0"/>
    <n v="0"/>
    <n v="56450.16"/>
    <n v="0"/>
    <n v="0"/>
    <n v="0"/>
    <n v="0"/>
    <n v="0"/>
    <n v="0"/>
    <m/>
    <s v="Rosera"/>
    <m/>
    <n v="0"/>
  </r>
  <r>
    <s v="Munger"/>
    <s v="17-23 Jul"/>
    <n v="1063"/>
    <s v="Rosera"/>
    <x v="917"/>
    <s v="Durgaashtan "/>
    <s v="vlc"/>
    <s v="Indirect"/>
    <n v="821.6"/>
    <n v="31396.809999999998"/>
    <n v="0"/>
    <n v="0"/>
    <n v="0"/>
    <n v="0"/>
    <n v="0"/>
    <n v="0"/>
    <n v="31396.809999999998"/>
    <n v="0"/>
    <n v="0"/>
    <n v="0"/>
    <n v="0"/>
    <n v="0"/>
    <n v="0"/>
    <n v="0"/>
    <n v="0"/>
    <n v="31396.809999999998"/>
    <n v="0"/>
    <n v="0"/>
    <n v="0"/>
    <n v="0"/>
    <n v="0"/>
    <n v="0"/>
    <m/>
    <s v="Rosera"/>
    <m/>
    <n v="0"/>
  </r>
  <r>
    <s v="Munger"/>
    <s v="17-23 Jul"/>
    <n v="1063"/>
    <s v="Rosera"/>
    <x v="918"/>
    <s v="Motipur"/>
    <s v="vlc"/>
    <s v="Indirect"/>
    <n v="340.20000000000005"/>
    <n v="12181.119999999999"/>
    <n v="0"/>
    <n v="0"/>
    <n v="0"/>
    <n v="0"/>
    <n v="0"/>
    <n v="0"/>
    <n v="12181.119999999999"/>
    <n v="0"/>
    <n v="0"/>
    <n v="0"/>
    <n v="0"/>
    <n v="0"/>
    <n v="0"/>
    <n v="0"/>
    <n v="0"/>
    <n v="12181.119999999999"/>
    <n v="0"/>
    <n v="0"/>
    <n v="257.65825843621394"/>
    <n v="48.600000000000009"/>
    <n v="0"/>
    <n v="0"/>
    <m/>
    <s v="Rosera"/>
    <m/>
    <n v="0"/>
  </r>
  <r>
    <s v="Munger"/>
    <s v="17-23 Jul"/>
    <n v="1063"/>
    <s v="Rosera"/>
    <x v="998"/>
    <s v="Bhatandi"/>
    <s v="vlc"/>
    <s v="Direct"/>
    <n v="94.100000000000009"/>
    <n v="4774.37"/>
    <n v="91.75"/>
    <n v="4776.87"/>
    <n v="0"/>
    <n v="0"/>
    <n v="91.75"/>
    <n v="4776.87"/>
    <n v="4774.37"/>
    <n v="0"/>
    <n v="0"/>
    <n v="2.5"/>
    <n v="0"/>
    <n v="0"/>
    <n v="0"/>
    <n v="4774"/>
    <n v="0"/>
    <n v="0"/>
    <n v="0"/>
    <n v="0"/>
    <n v="614.83332263549403"/>
    <n v="13.442857142857145"/>
    <n v="-5.2362929559292639E-4"/>
    <n v="1"/>
    <m/>
    <s v="Rosera"/>
    <m/>
    <n v="0"/>
  </r>
  <r>
    <s v="Munger"/>
    <s v="17-23 Jul"/>
    <n v="1063"/>
    <s v="Rosera"/>
    <x v="919"/>
    <s v="Haripur"/>
    <s v="vlc"/>
    <s v="Direct"/>
    <n v="331.12"/>
    <n v="13486.48"/>
    <n v="225.70999999999998"/>
    <n v="13486.299999999996"/>
    <n v="0"/>
    <n v="0"/>
    <n v="225.70999999999998"/>
    <n v="13486.299999999996"/>
    <n v="13486.299999999996"/>
    <n v="0"/>
    <n v="0"/>
    <n v="0"/>
    <n v="0"/>
    <n v="0"/>
    <n v="0"/>
    <n v="13486"/>
    <n v="0"/>
    <n v="0"/>
    <n v="0"/>
    <n v="0"/>
    <n v="300.48881024402027"/>
    <n v="47.302857142857142"/>
    <n v="1.3346699806319293E-5"/>
    <n v="1"/>
    <m/>
    <s v="Rosera"/>
    <m/>
    <n v="0"/>
  </r>
  <r>
    <s v="Munger"/>
    <s v="17-23 Jul"/>
    <n v="1063"/>
    <s v="Rosera"/>
    <x v="920"/>
    <s v="Jakhar"/>
    <s v="vlc"/>
    <s v="Indirect"/>
    <n v="57"/>
    <n v="1646.1599999999999"/>
    <n v="0"/>
    <n v="0"/>
    <n v="0"/>
    <n v="0"/>
    <n v="0"/>
    <n v="0"/>
    <n v="1646.1599999999999"/>
    <n v="0"/>
    <n v="0"/>
    <n v="0"/>
    <n v="0"/>
    <n v="0"/>
    <n v="0"/>
    <n v="0"/>
    <n v="0"/>
    <n v="1646.1599999999999"/>
    <n v="0"/>
    <n v="0"/>
    <n v="371.39679999999998"/>
    <n v="8.1428571428571423"/>
    <n v="0"/>
    <n v="0"/>
    <m/>
    <s v="Rosera"/>
    <m/>
    <n v="0"/>
  </r>
  <r>
    <s v="Munger"/>
    <s v="17-23 Jul"/>
    <n v="1063"/>
    <s v="Rosera"/>
    <x v="922"/>
    <s v="Jandaha"/>
    <s v="vlc"/>
    <s v="Indirect"/>
    <n v="59"/>
    <n v="2140.3000000000002"/>
    <n v="0"/>
    <n v="0"/>
    <n v="0"/>
    <n v="0"/>
    <n v="0"/>
    <n v="0"/>
    <n v="2140.3000000000002"/>
    <n v="0"/>
    <n v="0"/>
    <n v="0"/>
    <n v="0"/>
    <n v="0"/>
    <n v="0"/>
    <n v="0"/>
    <n v="0"/>
    <n v="2140.3000000000002"/>
    <n v="0"/>
    <n v="0"/>
    <n v="465.06179661016955"/>
    <n v="8.4285714285714288"/>
    <n v="0"/>
    <n v="0"/>
    <m/>
    <s v="Rosera"/>
    <m/>
    <n v="0"/>
  </r>
  <r>
    <s v="Munger"/>
    <s v="17-23 Jul"/>
    <n v="1063"/>
    <s v="Rosera"/>
    <x v="923"/>
    <s v="Bhoraha"/>
    <s v="vlc"/>
    <s v="Indirect"/>
    <n v="135.4"/>
    <n v="6055.1200000000008"/>
    <n v="0"/>
    <n v="0"/>
    <n v="0"/>
    <n v="0"/>
    <n v="0"/>
    <n v="0"/>
    <n v="6055.1200000000008"/>
    <n v="0"/>
    <n v="0"/>
    <n v="0"/>
    <n v="0"/>
    <n v="0"/>
    <n v="0"/>
    <n v="0"/>
    <n v="0"/>
    <n v="6055.1200000000008"/>
    <n v="0"/>
    <n v="0"/>
    <n v="504.98090871491877"/>
    <n v="19.342857142857145"/>
    <n v="0"/>
    <n v="0"/>
    <m/>
    <s v="Rosera"/>
    <m/>
    <n v="0"/>
  </r>
  <r>
    <s v="Munger"/>
    <s v="17-23 Jul"/>
    <n v="1063"/>
    <s v="Rosera"/>
    <x v="999"/>
    <s v="Dharha"/>
    <s v="vlc"/>
    <s v="Indirect"/>
    <n v="226.8"/>
    <n v="8481.68"/>
    <n v="0"/>
    <n v="0"/>
    <n v="0"/>
    <n v="0"/>
    <n v="0"/>
    <n v="0"/>
    <n v="8481.68"/>
    <n v="0"/>
    <n v="0"/>
    <n v="0"/>
    <n v="0"/>
    <n v="0"/>
    <n v="0"/>
    <n v="0"/>
    <n v="0"/>
    <n v="8481.68"/>
    <n v="0"/>
    <n v="0"/>
    <n v="353.92689382716048"/>
    <n v="32.4"/>
    <n v="0"/>
    <n v="0"/>
    <m/>
    <s v="Rosera"/>
    <m/>
    <n v="0"/>
  </r>
  <r>
    <s v="Munger"/>
    <s v="17-23 Jul"/>
    <n v="1063"/>
    <s v="Rosera"/>
    <x v="924"/>
    <s v="Shivnagar"/>
    <s v="vlc"/>
    <s v="Indirect"/>
    <n v="41.900000000000006"/>
    <n v="1364.49"/>
    <n v="0"/>
    <n v="0"/>
    <n v="0"/>
    <n v="0"/>
    <n v="0"/>
    <n v="0"/>
    <n v="1364.49"/>
    <n v="0"/>
    <n v="0"/>
    <n v="0"/>
    <n v="0"/>
    <n v="0"/>
    <n v="0"/>
    <n v="0"/>
    <n v="0"/>
    <n v="1364.49"/>
    <n v="0"/>
    <n v="0"/>
    <n v="428.62571312649163"/>
    <n v="5.9857142857142867"/>
    <n v="0"/>
    <n v="0"/>
    <m/>
    <s v="Rosera"/>
    <m/>
    <n v="0"/>
  </r>
  <r>
    <s v="Munger"/>
    <s v="17-23 Jul"/>
    <n v="1063"/>
    <s v="Rosera"/>
    <x v="925"/>
    <s v="Baritha"/>
    <s v="vlc"/>
    <s v="Indirect"/>
    <n v="1032.4000000000001"/>
    <n v="43692.07"/>
    <n v="0"/>
    <n v="0"/>
    <n v="0"/>
    <n v="0"/>
    <n v="0"/>
    <n v="0"/>
    <n v="43692.07"/>
    <n v="0"/>
    <n v="0"/>
    <n v="0"/>
    <n v="0"/>
    <n v="0"/>
    <n v="0"/>
    <n v="0"/>
    <n v="0"/>
    <n v="43692.07"/>
    <n v="0"/>
    <n v="0"/>
    <n v="0"/>
    <n v="0"/>
    <n v="0"/>
    <n v="0"/>
    <m/>
    <s v="Rosera"/>
    <m/>
    <n v="0"/>
  </r>
  <r>
    <s v="Munger"/>
    <s v="17-23 Jul"/>
    <n v="1063"/>
    <s v="Rosera"/>
    <x v="926"/>
    <s v="Tolapur Erout"/>
    <s v="vlc"/>
    <s v="Indirect"/>
    <n v="437.1"/>
    <n v="14553.53"/>
    <n v="0"/>
    <n v="0"/>
    <n v="0"/>
    <n v="0"/>
    <n v="0"/>
    <n v="0"/>
    <n v="14553.53"/>
    <n v="0"/>
    <n v="0"/>
    <n v="0"/>
    <n v="0"/>
    <n v="0"/>
    <n v="0"/>
    <n v="0"/>
    <n v="0"/>
    <n v="14553.53"/>
    <n v="0"/>
    <n v="0"/>
    <n v="175.06854436055823"/>
    <n v="62.442857142857143"/>
    <n v="0"/>
    <n v="0"/>
    <m/>
    <s v="Rosera"/>
    <m/>
    <n v="0"/>
  </r>
  <r>
    <s v="Munger"/>
    <s v="17-23 Jul"/>
    <n v="1063"/>
    <s v="Rosera"/>
    <x v="927"/>
    <s v="Sunil Erout"/>
    <s v="vlc"/>
    <s v="Indirect"/>
    <n v="110.8"/>
    <n v="3905.9700000000003"/>
    <n v="0"/>
    <n v="0"/>
    <n v="0"/>
    <n v="0"/>
    <n v="0"/>
    <n v="0"/>
    <n v="3905.9700000000003"/>
    <n v="0"/>
    <n v="0"/>
    <n v="0"/>
    <n v="0"/>
    <n v="0"/>
    <n v="0"/>
    <n v="0"/>
    <n v="0"/>
    <n v="3905.9700000000003"/>
    <n v="0"/>
    <n v="0"/>
    <n v="415.41471552346582"/>
    <n v="15.828571428571427"/>
    <n v="0"/>
    <n v="0"/>
    <m/>
    <s v="Rosera"/>
    <m/>
    <n v="0"/>
  </r>
  <r>
    <s v="Munger"/>
    <s v="17-23 Jul"/>
    <n v="1063"/>
    <s v="Rosera"/>
    <x v="1000"/>
    <s v="Fatepur 2"/>
    <s v="vlc"/>
    <s v="Indirect"/>
    <n v="384.1"/>
    <n v="12430.64"/>
    <n v="0"/>
    <n v="0"/>
    <n v="0"/>
    <n v="0"/>
    <n v="0"/>
    <n v="0"/>
    <n v="12430.64"/>
    <n v="0"/>
    <n v="0"/>
    <n v="0"/>
    <n v="0"/>
    <n v="0"/>
    <n v="0"/>
    <n v="0"/>
    <n v="0"/>
    <n v="12430.64"/>
    <n v="0"/>
    <n v="0"/>
    <n v="204.4696264514449"/>
    <n v="54.871428571428574"/>
    <n v="0"/>
    <n v="0"/>
    <m/>
    <s v="Rosera"/>
    <m/>
    <n v="0"/>
  </r>
  <r>
    <s v="Munger"/>
    <s v="17-23 Jul"/>
    <n v="1063"/>
    <s v="Rosera"/>
    <x v="1001"/>
    <s v="Shivram"/>
    <s v="vlc"/>
    <s v="Indirect"/>
    <n v="421.2"/>
    <n v="14548.310000000001"/>
    <n v="0"/>
    <n v="0"/>
    <n v="0"/>
    <n v="0"/>
    <n v="0"/>
    <n v="0"/>
    <n v="14548.310000000001"/>
    <n v="0"/>
    <n v="0"/>
    <n v="0"/>
    <n v="0"/>
    <n v="0"/>
    <n v="0"/>
    <n v="0"/>
    <n v="0"/>
    <n v="14548.310000000001"/>
    <n v="0"/>
    <n v="0"/>
    <n v="192.59586077872748"/>
    <n v="60.171428571428571"/>
    <n v="0"/>
    <n v="0"/>
    <m/>
    <s v="Rosera"/>
    <m/>
    <n v="0"/>
  </r>
  <r>
    <s v="Munger"/>
    <s v="17-23 Jul"/>
    <n v="1063"/>
    <s v="Rosera"/>
    <x v="1002"/>
    <s v="Sonupur"/>
    <s v="vlc"/>
    <s v="Indirect"/>
    <n v="204.39999999999998"/>
    <n v="6218.6799999999994"/>
    <n v="0"/>
    <n v="0"/>
    <n v="0"/>
    <n v="0"/>
    <n v="0"/>
    <n v="0"/>
    <n v="6218.6799999999994"/>
    <n v="0"/>
    <n v="0"/>
    <n v="0"/>
    <n v="0"/>
    <n v="0"/>
    <n v="0"/>
    <n v="0"/>
    <n v="0"/>
    <n v="6218.6799999999994"/>
    <n v="0"/>
    <n v="0"/>
    <n v="301.56338630136992"/>
    <n v="29.199999999999996"/>
    <n v="0"/>
    <n v="0"/>
    <m/>
    <s v="Rosera"/>
    <m/>
    <n v="0"/>
  </r>
  <r>
    <s v="Munger"/>
    <s v="17-23 Jul"/>
    <n v="1063"/>
    <s v="Rosera"/>
    <x v="1004"/>
    <s v="Jahangirpur"/>
    <s v="vlc"/>
    <s v="Indirect"/>
    <n v="218.6"/>
    <n v="7160.71"/>
    <n v="0"/>
    <n v="0"/>
    <n v="0"/>
    <n v="0"/>
    <n v="0"/>
    <n v="0"/>
    <n v="7160.71"/>
    <n v="0"/>
    <n v="0"/>
    <n v="0"/>
    <n v="0"/>
    <n v="0"/>
    <n v="0"/>
    <n v="0"/>
    <n v="0"/>
    <n v="7160.71"/>
    <n v="0"/>
    <n v="0"/>
    <n v="315.38570850869166"/>
    <n v="31.228571428571428"/>
    <n v="0"/>
    <n v="0"/>
    <m/>
    <s v="Rosera"/>
    <m/>
    <n v="0"/>
  </r>
  <r>
    <s v="Munger"/>
    <s v="17-23 Jul"/>
    <n v="1063"/>
    <s v="Rosera"/>
    <x v="1005"/>
    <s v="Tolapur Durgasthan"/>
    <s v="vlc"/>
    <s v="Indirect"/>
    <n v="46.4"/>
    <n v="1551.71"/>
    <n v="0"/>
    <n v="0"/>
    <n v="0"/>
    <n v="0"/>
    <n v="0"/>
    <n v="0"/>
    <n v="1551.71"/>
    <n v="0"/>
    <n v="0"/>
    <n v="0"/>
    <n v="0"/>
    <n v="0"/>
    <n v="0"/>
    <n v="0"/>
    <n v="0"/>
    <n v="1551.71"/>
    <n v="0"/>
    <n v="0"/>
    <n v="437.15416206896543"/>
    <n v="6.6285714285714281"/>
    <n v="0"/>
    <n v="0"/>
    <m/>
    <s v="Rosera"/>
    <m/>
    <n v="0"/>
  </r>
  <r>
    <s v="Munger"/>
    <s v="17-23 Jul"/>
    <n v="1062"/>
    <s v="Singhia BMC"/>
    <x v="928"/>
    <s v="DUMRA "/>
    <s v="MPG"/>
    <s v="Direct"/>
    <n v="1118.8599999999999"/>
    <n v="46286.62"/>
    <n v="1139.6000000000004"/>
    <n v="46533.049999999996"/>
    <n v="0"/>
    <n v="0"/>
    <n v="1139.6000000000004"/>
    <n v="46533.049999999996"/>
    <n v="46286.62"/>
    <n v="0"/>
    <n v="0"/>
    <n v="246.42999999999302"/>
    <n v="0"/>
    <n v="0"/>
    <n v="0"/>
    <n v="46287"/>
    <n v="0"/>
    <n v="0"/>
    <n v="0"/>
    <n v="0"/>
    <n v="0"/>
    <n v="0"/>
    <n v="-5.3240007587504337E-3"/>
    <n v="5"/>
    <m/>
    <s v="Singhia BMC"/>
    <m/>
    <n v="0"/>
  </r>
  <r>
    <s v="Munger"/>
    <s v="17-23 Jul"/>
    <n v="1062"/>
    <s v="Singhia BMC"/>
    <x v="929"/>
    <s v="BALHA"/>
    <s v="MPG"/>
    <s v="Direct"/>
    <n v="1750.7"/>
    <n v="78631.739999999991"/>
    <n v="1741.1"/>
    <n v="78020.800000000017"/>
    <n v="16.8"/>
    <n v="740.09999999999991"/>
    <n v="1757.8999999999999"/>
    <n v="78760.900000000023"/>
    <n v="78631.739999999991"/>
    <n v="0"/>
    <n v="740.09999999999991"/>
    <n v="129.1600000000326"/>
    <n v="0"/>
    <n v="0"/>
    <n v="0"/>
    <n v="77892"/>
    <n v="0"/>
    <n v="0"/>
    <n v="0"/>
    <n v="0"/>
    <n v="0"/>
    <n v="0"/>
    <n v="-1.6425936905381034E-3"/>
    <n v="29"/>
    <m/>
    <s v="Singhia BMC"/>
    <m/>
    <n v="0"/>
  </r>
  <r>
    <s v="Munger"/>
    <s v="17-23 Jul"/>
    <n v="1062"/>
    <s v="Singhia BMC"/>
    <x v="930"/>
    <s v="BARA"/>
    <s v="MPG"/>
    <s v="Direct"/>
    <n v="149.83000000000001"/>
    <n v="6164.9099999999989"/>
    <n v="147.89999999999998"/>
    <n v="6085.12"/>
    <n v="1.3"/>
    <n v="54.000000000000007"/>
    <n v="149.19999999999999"/>
    <n v="6139.12"/>
    <n v="6139.12"/>
    <n v="0"/>
    <n v="54.000000000000007"/>
    <n v="0"/>
    <n v="0"/>
    <n v="0"/>
    <n v="0"/>
    <n v="6085"/>
    <n v="0"/>
    <n v="0"/>
    <n v="26"/>
    <n v="0"/>
    <n v="452.74625037709393"/>
    <n v="21.404285714285717"/>
    <n v="4.1833538526919387E-3"/>
    <n v="2"/>
    <m/>
    <s v="Singhia BMC"/>
    <m/>
    <n v="0"/>
  </r>
  <r>
    <s v="Munger"/>
    <s v="17-23 Jul"/>
    <n v="1062"/>
    <s v="Singhia BMC"/>
    <x v="931"/>
    <s v="KABILASHI"/>
    <s v="MPG"/>
    <s v="Direct"/>
    <n v="366.71"/>
    <n v="18163.690000000002"/>
    <n v="359.9"/>
    <n v="18651.54"/>
    <n v="8.4999999999999982"/>
    <n v="400.1699999999999"/>
    <n v="368.4"/>
    <n v="19051.71"/>
    <n v="18163.690000000002"/>
    <n v="0"/>
    <n v="400.1699999999999"/>
    <n v="888.0199999999968"/>
    <n v="0"/>
    <n v="0"/>
    <n v="0"/>
    <n v="17764"/>
    <n v="0"/>
    <n v="0"/>
    <n v="0"/>
    <n v="0"/>
    <n v="330.16695700144533"/>
    <n v="52.387142857142855"/>
    <n v="-4.8889845620575814E-2"/>
    <n v="8"/>
    <m/>
    <s v="Singhia BMC"/>
    <m/>
    <n v="0"/>
  </r>
  <r>
    <s v="Munger"/>
    <s v="17-23 Jul"/>
    <n v="1062"/>
    <s v="Singhia BMC"/>
    <x v="932"/>
    <s v="SULTANPUR"/>
    <s v="vlc"/>
    <s v="Indirect"/>
    <n v="136.07"/>
    <n v="6444.1399999999994"/>
    <n v="0"/>
    <n v="0"/>
    <n v="0"/>
    <n v="0"/>
    <n v="0"/>
    <n v="0"/>
    <n v="6444.1399999999994"/>
    <n v="0"/>
    <n v="0"/>
    <n v="0"/>
    <n v="0"/>
    <n v="0"/>
    <n v="0"/>
    <n v="0"/>
    <n v="0"/>
    <n v="6444.1399999999994"/>
    <n v="0"/>
    <n v="0"/>
    <n v="534.1432895127507"/>
    <n v="19.438571428571429"/>
    <n v="0"/>
    <n v="0"/>
    <m/>
    <s v="Singhia BMC"/>
    <m/>
    <n v="0"/>
  </r>
  <r>
    <s v="Munger"/>
    <s v="17-23 Jul"/>
    <n v="1062"/>
    <s v="Singhia BMC"/>
    <x v="933"/>
    <s v="BHUSNA"/>
    <s v="vlc"/>
    <s v="Direct"/>
    <n v="170.94999999999996"/>
    <n v="7937.31"/>
    <n v="171.10000000000002"/>
    <n v="7832.45"/>
    <n v="0"/>
    <n v="0"/>
    <n v="171.10000000000002"/>
    <n v="7832.45"/>
    <n v="7832.45"/>
    <n v="0"/>
    <n v="0"/>
    <n v="0"/>
    <n v="0"/>
    <n v="0"/>
    <n v="0"/>
    <n v="7832"/>
    <n v="0"/>
    <n v="0"/>
    <n v="105"/>
    <n v="0"/>
    <n v="491.28211237203885"/>
    <n v="24.421428571428567"/>
    <n v="1.3211024893824303E-2"/>
    <n v="1"/>
    <m/>
    <s v="Singhia BMC"/>
    <m/>
    <n v="0"/>
  </r>
  <r>
    <s v="Munger"/>
    <s v="17-23 Jul"/>
    <n v="1062"/>
    <s v="Singhia BMC"/>
    <x v="934"/>
    <s v="SUKUMARPUR"/>
    <s v="MPG"/>
    <s v="Direct"/>
    <n v="384.35999999999996"/>
    <n v="18377.330000000002"/>
    <n v="381.59999999999997"/>
    <n v="18240.93"/>
    <n v="0"/>
    <n v="0"/>
    <n v="381.59999999999997"/>
    <n v="18240.93"/>
    <n v="18240.93"/>
    <n v="0"/>
    <n v="0"/>
    <n v="0"/>
    <n v="0"/>
    <n v="0"/>
    <n v="0"/>
    <n v="18241"/>
    <n v="0"/>
    <n v="0"/>
    <n v="136"/>
    <n v="0"/>
    <n v="301.83267984181509"/>
    <n v="54.90857142857142"/>
    <n v="7.4221880980534956E-3"/>
    <n v="1"/>
    <m/>
    <s v="Singhia BMC"/>
    <m/>
    <n v="0"/>
  </r>
  <r>
    <s v="Munger"/>
    <s v="17-23 Jul"/>
    <n v="1062"/>
    <s v="Singhia BMC"/>
    <x v="935"/>
    <s v="SISAUNA VLC"/>
    <s v="vlc"/>
    <s v="Indirect"/>
    <n v="234.75000000000003"/>
    <n v="8930.2000000000007"/>
    <n v="0"/>
    <n v="0"/>
    <n v="0"/>
    <n v="0"/>
    <n v="0"/>
    <n v="0"/>
    <n v="8930.2000000000007"/>
    <n v="0"/>
    <n v="0"/>
    <n v="0"/>
    <n v="0"/>
    <n v="0"/>
    <n v="0"/>
    <n v="0"/>
    <n v="0"/>
    <n v="8930.2000000000007"/>
    <n v="0"/>
    <n v="0"/>
    <n v="353.97448775292855"/>
    <n v="33.535714285714292"/>
    <n v="0"/>
    <n v="0"/>
    <m/>
    <s v="Singhia BMC"/>
    <m/>
    <n v="0"/>
  </r>
  <r>
    <s v="Munger"/>
    <s v="17-23 Jul"/>
    <n v="1062"/>
    <s v="Singhia BMC"/>
    <x v="936"/>
    <s v="Aditya Bishwas "/>
    <s v="vlc"/>
    <s v="Indirect"/>
    <n v="229.44999999999996"/>
    <n v="11052.759999999998"/>
    <n v="0"/>
    <n v="0"/>
    <n v="0"/>
    <n v="0"/>
    <n v="0"/>
    <n v="0"/>
    <n v="11052.759999999998"/>
    <n v="0"/>
    <n v="0"/>
    <n v="0"/>
    <n v="0"/>
    <n v="0"/>
    <n v="0"/>
    <n v="0"/>
    <n v="0"/>
    <n v="11052.759999999998"/>
    <n v="0"/>
    <n v="0"/>
    <n v="453.33416587491826"/>
    <n v="32.778571428571425"/>
    <n v="0"/>
    <n v="0"/>
    <m/>
    <s v="Singhia BMC"/>
    <m/>
    <n v="0"/>
  </r>
  <r>
    <s v="Munger"/>
    <s v="17-23 Jul"/>
    <n v="1008"/>
    <s v="Teghra"/>
    <x v="937"/>
    <s v="Gomukh Vijaiya"/>
    <s v="MPG"/>
    <s v="Direct"/>
    <n v="310.05"/>
    <n v="12671.279999999999"/>
    <n v="310.5"/>
    <n v="13346.839999999998"/>
    <n v="0"/>
    <n v="0"/>
    <n v="310.5"/>
    <n v="13346.839999999998"/>
    <n v="12671.279999999999"/>
    <n v="0"/>
    <n v="0"/>
    <n v="675.55999999999949"/>
    <n v="0"/>
    <n v="0"/>
    <n v="0"/>
    <n v="12671"/>
    <n v="0"/>
    <n v="0"/>
    <n v="0"/>
    <n v="0"/>
    <n v="318.73347111756163"/>
    <n v="44.292857142857144"/>
    <n v="-5.3314266593430144E-2"/>
    <n v="2"/>
    <m/>
    <s v="Teghra"/>
    <m/>
    <n v="0"/>
  </r>
  <r>
    <s v="Munger"/>
    <s v="17-23 Jul"/>
    <n v="1008"/>
    <s v="Teghra"/>
    <x v="938"/>
    <s v="Gomukh Gangauli"/>
    <s v="MPG"/>
    <s v="Direct"/>
    <n v="1129.2"/>
    <n v="47788.44000000001"/>
    <n v="1140.2"/>
    <n v="47839.3"/>
    <n v="0"/>
    <n v="0"/>
    <n v="1140.2"/>
    <n v="47839.3"/>
    <n v="47788.44000000001"/>
    <n v="0"/>
    <n v="0"/>
    <n v="50.859999999993306"/>
    <n v="0"/>
    <n v="0"/>
    <n v="0"/>
    <n v="47788"/>
    <n v="0"/>
    <n v="0"/>
    <n v="0"/>
    <n v="0"/>
    <n v="0"/>
    <n v="0"/>
    <n v="-1.0642741215238099E-3"/>
    <n v="22"/>
    <m/>
    <s v="Teghra"/>
    <m/>
    <n v="0"/>
  </r>
  <r>
    <s v="Munger"/>
    <s v="17-23 Jul"/>
    <n v="1008"/>
    <s v="Teghra"/>
    <x v="939"/>
    <s v="Gomukh KARRAKH"/>
    <s v="MPG"/>
    <s v="Direct"/>
    <n v="540.44999999999993"/>
    <n v="21347.099999999995"/>
    <n v="402.00000000000017"/>
    <n v="16727.679999999997"/>
    <n v="168.79999999999998"/>
    <n v="7038.9499999999989"/>
    <n v="570.80000000000018"/>
    <n v="23766.629999999997"/>
    <n v="21347.099999999995"/>
    <n v="0"/>
    <n v="0"/>
    <n v="2419.5300000000025"/>
    <n v="0"/>
    <n v="0"/>
    <n v="0"/>
    <n v="14308"/>
    <n v="7039"/>
    <n v="0"/>
    <n v="0"/>
    <n v="0"/>
    <n v="126.04051457119074"/>
    <n v="77.207142857142841"/>
    <n v="-0.11334232752926642"/>
    <n v="5"/>
    <m/>
    <s v="Teghra"/>
    <m/>
    <n v="0"/>
  </r>
  <r>
    <s v="Munger"/>
    <s v="17-23 Jul"/>
    <n v="1008"/>
    <s v="Teghra"/>
    <x v="941"/>
    <s v="Gomukh Manda"/>
    <s v="MPG"/>
    <s v="Direct"/>
    <n v="562.25"/>
    <n v="22616.69"/>
    <n v="559.20000000000005"/>
    <n v="23024.990000000005"/>
    <n v="0"/>
    <n v="0"/>
    <n v="559.20000000000005"/>
    <n v="23024.990000000005"/>
    <n v="22616.69"/>
    <n v="0"/>
    <n v="0"/>
    <n v="408.30000000000655"/>
    <n v="0"/>
    <n v="0"/>
    <n v="0"/>
    <n v="22617"/>
    <n v="0"/>
    <n v="0"/>
    <n v="0"/>
    <n v="0"/>
    <n v="110.82077536682969"/>
    <n v="80.321428571428569"/>
    <n v="-1.8053039591558559E-2"/>
    <n v="9"/>
    <m/>
    <s v="Teghra"/>
    <m/>
    <n v="0"/>
  </r>
  <r>
    <s v="Munger"/>
    <s v="17-23 Jul"/>
    <n v="1008"/>
    <s v="Teghra"/>
    <x v="942"/>
    <s v="Gomukh NAVTOL"/>
    <s v="MPG"/>
    <s v="Direct"/>
    <n v="280.95"/>
    <n v="10639.390000000001"/>
    <n v="285.80000000000007"/>
    <n v="10145.950000000001"/>
    <n v="0"/>
    <n v="0"/>
    <n v="285.80000000000007"/>
    <n v="10145.950000000001"/>
    <n v="10145.950000000001"/>
    <n v="0"/>
    <n v="0"/>
    <n v="0"/>
    <n v="0"/>
    <n v="0"/>
    <n v="0"/>
    <n v="10146"/>
    <n v="0"/>
    <n v="0"/>
    <n v="493"/>
    <n v="0"/>
    <n v="317.38290653141132"/>
    <n v="40.135714285714286"/>
    <n v="4.6378598773049999E-2"/>
    <n v="4"/>
    <m/>
    <s v="Teghra"/>
    <m/>
    <n v="0"/>
  </r>
  <r>
    <s v="Munger"/>
    <s v="17-23 Jul"/>
    <n v="1008"/>
    <s v="Teghra"/>
    <x v="1006"/>
    <s v="Gomukh KAIDRABAD"/>
    <s v="MPG"/>
    <s v="Direct"/>
    <n v="605.94999999999993"/>
    <n v="23844.550000000003"/>
    <n v="604.50000000000011"/>
    <n v="23839.399999999991"/>
    <n v="0"/>
    <n v="0"/>
    <n v="604.50000000000011"/>
    <n v="23839.399999999991"/>
    <n v="23839.399999999991"/>
    <n v="0"/>
    <n v="0"/>
    <n v="0"/>
    <n v="0"/>
    <n v="0"/>
    <n v="0"/>
    <n v="23839"/>
    <n v="0"/>
    <n v="0"/>
    <n v="6"/>
    <n v="0"/>
    <n v="74.018646010396992"/>
    <n v="86.564285714285703"/>
    <n v="2.1598226848535068E-4"/>
    <n v="1"/>
    <m/>
    <s v="Teghra"/>
    <m/>
    <n v="0"/>
  </r>
  <r>
    <s v="Munger"/>
    <s v="17-23 Jul"/>
    <n v="1008"/>
    <s v="Teghra"/>
    <x v="944"/>
    <s v="Gomukh KASTOLI"/>
    <s v="MPG"/>
    <s v="Direct"/>
    <n v="328.5"/>
    <n v="12289.579999999998"/>
    <n v="207"/>
    <n v="7824.4"/>
    <n v="124.5"/>
    <n v="4371.8600000000006"/>
    <n v="331.5"/>
    <n v="12196.26"/>
    <n v="12196.26"/>
    <n v="0"/>
    <n v="0"/>
    <n v="0"/>
    <n v="0"/>
    <n v="0"/>
    <n v="0"/>
    <n v="7824"/>
    <n v="4372"/>
    <n v="0"/>
    <n v="94"/>
    <n v="0"/>
    <n v="277.96523409436833"/>
    <n v="46.928571428571431"/>
    <n v="7.5934246735850945E-3"/>
    <n v="4"/>
    <m/>
    <s v="Teghra"/>
    <m/>
    <n v="0"/>
  </r>
  <r>
    <s v="Munger"/>
    <s v="17-23 Jul"/>
    <n v="1008"/>
    <s v="Teghra"/>
    <x v="945"/>
    <s v="GANPATI DAIRY"/>
    <s v="vlc"/>
    <s v="Indirect"/>
    <n v="980.3"/>
    <n v="38033.32"/>
    <n v="0"/>
    <n v="0"/>
    <n v="0"/>
    <n v="0"/>
    <n v="0"/>
    <n v="0"/>
    <n v="38033.32"/>
    <n v="0"/>
    <n v="0"/>
    <n v="0"/>
    <n v="0"/>
    <n v="0"/>
    <n v="0"/>
    <n v="0"/>
    <n v="0"/>
    <n v="38033.32"/>
    <n v="0"/>
    <n v="0"/>
    <n v="0"/>
    <n v="0"/>
    <n v="0"/>
    <n v="0"/>
    <m/>
    <s v="Teghra"/>
    <m/>
    <n v="0"/>
  </r>
  <r>
    <s v="Munger"/>
    <s v="17-23 Jul"/>
    <n v="1066"/>
    <s v="Gaighat"/>
    <x v="946"/>
    <s v="GOMUKH CHATAUNA W-2"/>
    <s v="MPG"/>
    <s v="Direct"/>
    <n v="923.9"/>
    <n v="53160.08"/>
    <n v="915.80000000000007"/>
    <n v="52690.92"/>
    <n v="8.9000000000000021"/>
    <n v="477.99"/>
    <n v="924.7"/>
    <n v="53168.909999999996"/>
    <n v="53160.08"/>
    <n v="0"/>
    <n v="477.99"/>
    <n v="8.8299999999944703"/>
    <n v="0"/>
    <n v="0"/>
    <n v="0"/>
    <n v="52682"/>
    <n v="0"/>
    <n v="0"/>
    <n v="0"/>
    <n v="0"/>
    <n v="0"/>
    <n v="0"/>
    <n v="-1.6610208261527202E-4"/>
    <n v="6"/>
    <m/>
    <s v="Gaighat"/>
    <m/>
    <n v="0"/>
  </r>
  <r>
    <s v="Munger"/>
    <s v="17-23 Jul"/>
    <n v="1066"/>
    <s v="Gaighat"/>
    <x v="947"/>
    <s v="GOMUKH TEERA JATMALPUR"/>
    <s v="MPG"/>
    <s v="Direct"/>
    <n v="436.89999999999992"/>
    <n v="20418.190000000002"/>
    <n v="423.2"/>
    <n v="20338.919999999998"/>
    <n v="36.800000000000004"/>
    <n v="1619.68"/>
    <n v="460"/>
    <n v="21958.6"/>
    <n v="20418.190000000002"/>
    <n v="0"/>
    <n v="1619.68"/>
    <n v="1540.4099999999962"/>
    <n v="0"/>
    <n v="0"/>
    <n v="0"/>
    <n v="18798"/>
    <n v="0"/>
    <n v="0"/>
    <n v="1"/>
    <n v="0"/>
    <n v="245.9155774319068"/>
    <n v="62.414285714285704"/>
    <n v="-7.5443024087835209E-2"/>
    <n v="9"/>
    <m/>
    <s v="Gaighat"/>
    <m/>
    <n v="0"/>
  </r>
  <r>
    <s v="Munger"/>
    <s v="17-23 Jul"/>
    <n v="1066"/>
    <s v="Gaighat"/>
    <x v="948"/>
    <s v="GOMUKH GOBARSITTHA"/>
    <s v="MPG"/>
    <s v="Direct"/>
    <n v="735.50000000000011"/>
    <n v="32255.440000000006"/>
    <n v="718.2"/>
    <n v="31552.39000000001"/>
    <n v="15.899999999999999"/>
    <n v="696.87"/>
    <n v="734.1"/>
    <n v="32249.260000000009"/>
    <n v="32249.260000000009"/>
    <n v="0"/>
    <n v="696.87"/>
    <n v="0"/>
    <n v="2599"/>
    <n v="0"/>
    <n v="0"/>
    <n v="28955"/>
    <n v="0"/>
    <n v="0"/>
    <n v="5"/>
    <n v="0"/>
    <n v="0"/>
    <n v="0"/>
    <n v="1.9159558821695355E-4"/>
    <n v="25"/>
    <m/>
    <s v="Gaighat"/>
    <m/>
    <n v="0"/>
  </r>
  <r>
    <s v="Munger"/>
    <s v="17-23 Jul"/>
    <n v="1066"/>
    <s v="Gaighat"/>
    <x v="949"/>
    <s v="GOMUKH UGHRA"/>
    <s v="MPG"/>
    <s v="Direct"/>
    <n v="668.90000000000009"/>
    <n v="32655.750000000004"/>
    <n v="648.40000000000009"/>
    <n v="32633.570000000003"/>
    <n v="0.6"/>
    <n v="31.41"/>
    <n v="649.00000000000011"/>
    <n v="32664.980000000003"/>
    <n v="32655.750000000004"/>
    <n v="0"/>
    <n v="31.41"/>
    <n v="9.2299999999995634"/>
    <n v="1550"/>
    <n v="0"/>
    <n v="0"/>
    <n v="31074"/>
    <n v="0"/>
    <n v="0"/>
    <n v="0"/>
    <n v="0"/>
    <n v="30.366088354014007"/>
    <n v="95.557142857142864"/>
    <n v="-2.826454759115795E-4"/>
    <n v="21"/>
    <m/>
    <s v="Gaighat"/>
    <m/>
    <n v="0"/>
  </r>
  <r>
    <s v="Munger"/>
    <s v="17-23 Jul"/>
    <n v="1066"/>
    <s v="Gaighat"/>
    <x v="950"/>
    <s v="GOMUKH BALUAHA"/>
    <s v="MPG"/>
    <s v="Direct"/>
    <n v="352.8"/>
    <n v="16056.520000000002"/>
    <n v="343.3"/>
    <n v="15785.979999999998"/>
    <n v="6.0000000000000009"/>
    <n v="268.37"/>
    <n v="349.3"/>
    <n v="16054.349999999999"/>
    <n v="16054.349999999999"/>
    <n v="0"/>
    <n v="268.37"/>
    <n v="0"/>
    <n v="0"/>
    <n v="0"/>
    <n v="0"/>
    <n v="15786"/>
    <n v="0"/>
    <n v="0"/>
    <n v="2"/>
    <n v="0"/>
    <n v="316.03309206349206"/>
    <n v="50.4"/>
    <n v="1.3514759113454912E-4"/>
    <n v="13"/>
    <m/>
    <s v="Gaighat"/>
    <m/>
    <n v="0"/>
  </r>
  <r>
    <s v="Munger"/>
    <s v="17-23 Jul"/>
    <n v="1066"/>
    <s v="Gaighat"/>
    <x v="952"/>
    <s v="GOMUKH HAYAGHAT WEST"/>
    <s v="vlc"/>
    <s v="Indirect"/>
    <n v="2100.1"/>
    <n v="84777.65"/>
    <n v="0"/>
    <n v="0"/>
    <n v="0"/>
    <n v="0"/>
    <n v="0"/>
    <n v="0"/>
    <n v="84777.65"/>
    <n v="0"/>
    <n v="0"/>
    <n v="0"/>
    <n v="0"/>
    <n v="0"/>
    <n v="0"/>
    <n v="0"/>
    <n v="0"/>
    <n v="84777.65"/>
    <n v="0"/>
    <n v="0"/>
    <n v="0"/>
    <n v="0"/>
    <n v="0"/>
    <n v="0"/>
    <m/>
    <s v="Gaighat"/>
    <m/>
    <n v="0"/>
  </r>
  <r>
    <s v="Munger"/>
    <s v="17-23 Jul"/>
    <n v="1066"/>
    <s v="Gaighat"/>
    <x v="953"/>
    <s v="GOMUKH GHOGHARAHA"/>
    <s v="vlc"/>
    <s v="Indirect"/>
    <n v="1439.6"/>
    <n v="60936.98"/>
    <n v="0"/>
    <n v="0"/>
    <n v="0"/>
    <n v="0"/>
    <n v="0"/>
    <n v="0"/>
    <n v="60936.98"/>
    <n v="0"/>
    <n v="0"/>
    <n v="0"/>
    <n v="0"/>
    <n v="0"/>
    <n v="0"/>
    <n v="0"/>
    <n v="0"/>
    <n v="60936.98"/>
    <n v="0"/>
    <n v="0"/>
    <n v="0"/>
    <n v="0"/>
    <n v="0"/>
    <n v="0"/>
    <m/>
    <s v="Gaighat"/>
    <m/>
    <n v="0"/>
  </r>
  <r>
    <s v="Munger"/>
    <s v="17-23 Jul"/>
    <n v="1066"/>
    <s v="Gaighat"/>
    <x v="954"/>
    <s v="Gomukh Jatmalpur Dhab"/>
    <s v="vlc"/>
    <s v="Indirect"/>
    <n v="117.49999999999999"/>
    <n v="6190.5300000000007"/>
    <n v="0"/>
    <n v="0"/>
    <n v="0"/>
    <n v="0"/>
    <n v="0"/>
    <n v="0"/>
    <n v="6190.5300000000007"/>
    <n v="0"/>
    <n v="0"/>
    <n v="0"/>
    <n v="0"/>
    <n v="0"/>
    <n v="0"/>
    <n v="0"/>
    <n v="0"/>
    <n v="6190.5300000000007"/>
    <n v="0"/>
    <n v="0"/>
    <n v="613.78446382978734"/>
    <n v="16.785714285714285"/>
    <n v="0"/>
    <n v="0"/>
    <m/>
    <s v="Gaighat"/>
    <m/>
    <n v="0"/>
  </r>
  <r>
    <s v="Munger"/>
    <s v="17-23 Jul"/>
    <n v="1066"/>
    <s v="Gaighat"/>
    <x v="955"/>
    <s v="GOMUKH MORWARA"/>
    <s v="MPG"/>
    <s v="Direct"/>
    <n v="606.39999999999986"/>
    <n v="24837.16"/>
    <n v="641.9"/>
    <n v="24819.93"/>
    <n v="0"/>
    <n v="0"/>
    <n v="641.9"/>
    <n v="24819.93"/>
    <n v="24819.93"/>
    <n v="0"/>
    <n v="0"/>
    <n v="0"/>
    <n v="8838"/>
    <n v="0"/>
    <n v="0"/>
    <n v="15982"/>
    <n v="0"/>
    <n v="0"/>
    <n v="17"/>
    <n v="0"/>
    <n v="76.674082321899903"/>
    <n v="86.628571428571405"/>
    <n v="6.9371860550882479E-4"/>
    <n v="4"/>
    <m/>
    <s v="Gaighat"/>
    <m/>
    <n v="0"/>
  </r>
  <r>
    <s v="Munger"/>
    <s v="17-23 Jul"/>
    <n v="1066"/>
    <s v="Gaighat"/>
    <x v="1024"/>
    <s v="GOMUKH SABAUL"/>
    <s v="vlc"/>
    <s v="Direct"/>
    <n v="40.299999999999997"/>
    <n v="1804.71"/>
    <n v="40"/>
    <n v="1768.6999999999998"/>
    <n v="0"/>
    <n v="0"/>
    <n v="40"/>
    <n v="1768.6999999999998"/>
    <n v="1768.6999999999998"/>
    <n v="0"/>
    <n v="0"/>
    <n v="0"/>
    <n v="0"/>
    <n v="0"/>
    <n v="0"/>
    <n v="1769"/>
    <n v="0"/>
    <n v="0"/>
    <n v="36"/>
    <n v="0"/>
    <n v="590.85220198511172"/>
    <n v="5.7571428571428571"/>
    <n v="1.995334430462524E-2"/>
    <n v="3"/>
    <m/>
    <s v="Gaighat"/>
    <m/>
    <n v="0"/>
  </r>
  <r>
    <s v="Munger"/>
    <s v="17-23 Jul"/>
    <n v="1066"/>
    <s v="Gaighat"/>
    <x v="956"/>
    <s v="GOMUKH NIYAMCHAKHAIDAR"/>
    <s v="vlc"/>
    <s v="Indirect"/>
    <n v="1866.6999999999998"/>
    <n v="78193.98000000001"/>
    <n v="0"/>
    <n v="0"/>
    <n v="0"/>
    <n v="0"/>
    <n v="0"/>
    <n v="0"/>
    <n v="78193.98000000001"/>
    <n v="0"/>
    <n v="0"/>
    <n v="0"/>
    <n v="0"/>
    <n v="0"/>
    <n v="0"/>
    <n v="0"/>
    <n v="0"/>
    <n v="78193.98000000001"/>
    <n v="0"/>
    <n v="0"/>
    <n v="0"/>
    <n v="0"/>
    <n v="0"/>
    <n v="0"/>
    <m/>
    <s v="Gaighat"/>
    <m/>
    <n v="0"/>
  </r>
  <r>
    <s v="Munger"/>
    <s v="17-23 Jul"/>
    <n v="1066"/>
    <s v="Gaighat"/>
    <x v="957"/>
    <s v="GOMUKH JATMAPUR WARD 1"/>
    <s v="vlc"/>
    <s v="Indirect"/>
    <n v="732.30000000000007"/>
    <n v="29682.52"/>
    <n v="0"/>
    <n v="0"/>
    <n v="0"/>
    <n v="0"/>
    <n v="0"/>
    <n v="0"/>
    <n v="29682.52"/>
    <n v="0"/>
    <n v="0"/>
    <n v="0"/>
    <n v="0"/>
    <n v="0"/>
    <n v="0"/>
    <n v="0"/>
    <n v="0"/>
    <n v="29682.52"/>
    <n v="0"/>
    <n v="0"/>
    <n v="0"/>
    <n v="0"/>
    <n v="0"/>
    <n v="0"/>
    <m/>
    <s v="Gaighat"/>
    <m/>
    <n v="0"/>
  </r>
  <r>
    <s v="Munger"/>
    <s v="17-23 Jul"/>
    <n v="1066"/>
    <s v="Gaighat"/>
    <x v="958"/>
    <s v="GOMUKH JATMALPUR"/>
    <s v="MPG"/>
    <s v="Direct"/>
    <n v="208.6"/>
    <n v="9430.7000000000007"/>
    <n v="199.70000000000002"/>
    <n v="9256.41"/>
    <n v="3.8999999999999995"/>
    <n v="172.5"/>
    <n v="203.60000000000002"/>
    <n v="9428.91"/>
    <n v="9428.91"/>
    <n v="0"/>
    <n v="172.5"/>
    <n v="0"/>
    <n v="3100"/>
    <n v="0"/>
    <n v="0"/>
    <n v="6156"/>
    <n v="0"/>
    <n v="0"/>
    <n v="2"/>
    <n v="0"/>
    <n v="444.31888590604041"/>
    <n v="29.8"/>
    <n v="1.8980563478860244E-4"/>
    <n v="9"/>
    <m/>
    <s v="Gaighat"/>
    <m/>
    <n v="0"/>
  </r>
  <r>
    <s v="Munger"/>
    <s v="17-23 Jul"/>
    <n v="1066"/>
    <s v="Gaighat"/>
    <x v="960"/>
    <s v="Gomukh Barhetta"/>
    <s v="vlc"/>
    <s v="Indirect"/>
    <n v="131.69999999999999"/>
    <n v="5061.55"/>
    <n v="0"/>
    <n v="0"/>
    <n v="0"/>
    <n v="0"/>
    <n v="0"/>
    <n v="0"/>
    <n v="5061.55"/>
    <n v="0"/>
    <n v="0"/>
    <n v="0"/>
    <n v="1400"/>
    <n v="0"/>
    <n v="0"/>
    <n v="0"/>
    <n v="0"/>
    <n v="3661.55"/>
    <n v="0"/>
    <n v="0"/>
    <n v="436.82291040242984"/>
    <n v="18.814285714285713"/>
    <n v="0"/>
    <n v="0"/>
    <m/>
    <s v="Gaighat"/>
    <m/>
    <n v="0"/>
  </r>
  <r>
    <s v="Munger"/>
    <s v="17-23 Jul"/>
    <n v="1066"/>
    <s v="Gaighat"/>
    <x v="1007"/>
    <s v="GOMUKH  MANORATHPUR"/>
    <s v="vlc"/>
    <s v="Indirect"/>
    <n v="102.9"/>
    <n v="4505.99"/>
    <n v="0"/>
    <n v="0"/>
    <n v="0"/>
    <n v="0"/>
    <n v="0"/>
    <n v="0"/>
    <n v="4505.99"/>
    <n v="0"/>
    <n v="0"/>
    <n v="0"/>
    <n v="0"/>
    <n v="0"/>
    <n v="0"/>
    <n v="0"/>
    <n v="0"/>
    <n v="4505.99"/>
    <n v="0"/>
    <n v="0"/>
    <n v="522.94006394557812"/>
    <n v="14.700000000000001"/>
    <n v="0"/>
    <n v="0"/>
    <m/>
    <s v="Gaighat"/>
    <m/>
    <n v="0"/>
  </r>
  <r>
    <s v="Munger"/>
    <s v="17-23 Jul"/>
    <n v="1066"/>
    <s v="Gaighat"/>
    <x v="961"/>
    <s v="GOMUKH BHADOGHAT"/>
    <s v="vlc"/>
    <s v="Indirect"/>
    <n v="8605.2999999999993"/>
    <n v="355056.72999999992"/>
    <n v="0"/>
    <n v="0"/>
    <n v="0"/>
    <n v="0"/>
    <n v="0"/>
    <n v="0"/>
    <n v="355056.72999999992"/>
    <n v="0"/>
    <n v="0"/>
    <n v="0"/>
    <n v="0"/>
    <n v="0"/>
    <n v="0"/>
    <n v="0"/>
    <n v="0"/>
    <n v="355056.72999999992"/>
    <n v="0"/>
    <n v="0"/>
    <n v="0"/>
    <n v="0"/>
    <n v="0"/>
    <n v="0"/>
    <m/>
    <s v="Gaighat"/>
    <m/>
    <n v="0"/>
  </r>
  <r>
    <s v="Munger"/>
    <s v="17-23 Jul"/>
    <n v="1066"/>
    <s v="Gaighat"/>
    <x v="962"/>
    <s v="GOMUKH BALUAHA"/>
    <s v="vlc"/>
    <s v="Indirect"/>
    <n v="177.29999999999998"/>
    <n v="7020.4699999999993"/>
    <n v="0"/>
    <n v="0"/>
    <n v="0"/>
    <n v="0"/>
    <n v="0"/>
    <n v="0"/>
    <n v="7020.4699999999993"/>
    <n v="0"/>
    <n v="0"/>
    <n v="0"/>
    <n v="0"/>
    <n v="0"/>
    <n v="0"/>
    <n v="0"/>
    <n v="0"/>
    <n v="7020.4699999999993"/>
    <n v="0"/>
    <n v="0"/>
    <n v="413.94243305132545"/>
    <n v="25.328571428571426"/>
    <n v="0"/>
    <n v="0"/>
    <m/>
    <s v="Gaighat"/>
    <m/>
    <n v="0"/>
  </r>
  <r>
    <s v="Munger"/>
    <s v="17-23 Jul"/>
    <n v="1066"/>
    <s v="Gaighat"/>
    <x v="1025"/>
    <s v="GOMUKH  JATMALPUR DHAB"/>
    <s v="vlc"/>
    <s v="Indirect"/>
    <n v="104.39999999999999"/>
    <n v="4608.7300000000005"/>
    <n v="0"/>
    <n v="0"/>
    <n v="0"/>
    <n v="0"/>
    <n v="0"/>
    <n v="0"/>
    <n v="4608.7300000000005"/>
    <n v="0"/>
    <n v="0"/>
    <n v="0"/>
    <n v="0"/>
    <n v="0"/>
    <n v="0"/>
    <n v="0"/>
    <n v="0"/>
    <n v="4608.7300000000005"/>
    <n v="0"/>
    <n v="0"/>
    <n v="525.85432720306517"/>
    <n v="14.914285714285713"/>
    <n v="0"/>
    <n v="0"/>
    <m/>
    <s v="Gaighat"/>
    <m/>
    <n v="0"/>
  </r>
  <r>
    <s v="Munger"/>
    <s v="17-23 Jul"/>
    <n v="1066"/>
    <s v="Gaighat"/>
    <x v="1008"/>
    <s v="GOMUKH  DAGHRAUL"/>
    <s v="vlc"/>
    <s v="Direct"/>
    <n v="232.3"/>
    <n v="10395.459999999999"/>
    <n v="226.49999999999997"/>
    <n v="10235.470000000001"/>
    <n v="0"/>
    <n v="0"/>
    <n v="226.49999999999997"/>
    <n v="10235.470000000001"/>
    <n v="10235.470000000001"/>
    <n v="0"/>
    <n v="0"/>
    <n v="0"/>
    <n v="0"/>
    <n v="0"/>
    <n v="0"/>
    <n v="10234"/>
    <n v="0"/>
    <n v="0"/>
    <n v="161"/>
    <n v="0"/>
    <n v="418.59290934136897"/>
    <n v="33.18571428571429"/>
    <n v="1.5390372335615545E-2"/>
    <n v="5"/>
    <m/>
    <s v="Gaighat"/>
    <m/>
    <n v="0"/>
  </r>
  <r>
    <s v="Munger"/>
    <s v="17-23 Jul"/>
    <n v="1066"/>
    <s v="Gaighat"/>
    <x v="1009"/>
    <s v="GOMUKH RUPAULI"/>
    <s v="vlc"/>
    <s v="Direct"/>
    <n v="312.40000000000003"/>
    <n v="15214.94"/>
    <n v="316.7"/>
    <n v="15128.329999999998"/>
    <n v="0"/>
    <n v="0"/>
    <n v="316.7"/>
    <n v="15128.329999999998"/>
    <n v="15128.329999999998"/>
    <n v="0"/>
    <n v="0"/>
    <n v="0"/>
    <n v="0"/>
    <n v="0"/>
    <n v="0"/>
    <n v="15129"/>
    <n v="0"/>
    <n v="0"/>
    <n v="86"/>
    <n v="0"/>
    <n v="377.54870320102424"/>
    <n v="44.628571428571433"/>
    <n v="5.6924312550691884E-3"/>
    <n v="7"/>
    <m/>
    <s v="Gaighat"/>
    <m/>
    <n v="0"/>
  </r>
  <r>
    <s v="Munger"/>
    <s v="17-23 Jul"/>
    <n v="1066"/>
    <s v="Gaighat"/>
    <x v="963"/>
    <s v="GOMUKH CHHATAUNA W-1"/>
    <s v="vlc"/>
    <s v="Direct"/>
    <n v="906.3"/>
    <n v="47980.470000000008"/>
    <n v="888.79999999999984"/>
    <n v="48104.340000000011"/>
    <n v="0"/>
    <n v="0"/>
    <n v="888.79999999999984"/>
    <n v="48104.340000000011"/>
    <n v="47980.470000000008"/>
    <n v="0"/>
    <n v="0"/>
    <n v="123.87000000000262"/>
    <n v="3100"/>
    <n v="0"/>
    <n v="0"/>
    <n v="44880"/>
    <n v="0"/>
    <n v="0"/>
    <n v="0"/>
    <n v="0"/>
    <n v="0"/>
    <n v="0"/>
    <n v="-2.5816754191862355E-3"/>
    <n v="21"/>
    <m/>
    <s v="Gaighat"/>
    <m/>
    <n v="0"/>
  </r>
  <r>
    <s v="Munger"/>
    <s v="17-23 Jul"/>
    <n v="1066"/>
    <s v="Gaighat"/>
    <x v="1010"/>
    <s v="GOMUKH VISHANPUR MORO"/>
    <s v="vlc"/>
    <s v="Direct"/>
    <n v="169.4"/>
    <n v="7639.8000000000011"/>
    <n v="163.1"/>
    <n v="7299.3800000000019"/>
    <n v="0"/>
    <n v="0"/>
    <n v="163.1"/>
    <n v="7299.3800000000019"/>
    <n v="7299.3800000000019"/>
    <n v="0"/>
    <n v="0"/>
    <n v="0"/>
    <n v="0"/>
    <n v="0"/>
    <n v="0"/>
    <n v="7300"/>
    <n v="0"/>
    <n v="0"/>
    <n v="340"/>
    <n v="0"/>
    <n v="478.59242975206615"/>
    <n v="24.2"/>
    <n v="4.4558758082672206E-2"/>
    <n v="4"/>
    <m/>
    <s v="Gaighat"/>
    <m/>
    <n v="0"/>
  </r>
  <r>
    <s v="Munger"/>
    <s v="17-23 Jul"/>
    <n v="1066"/>
    <s v="Gaighat"/>
    <x v="1026"/>
    <s v="Gomukh Bhagwanpur"/>
    <s v="vlc"/>
    <s v="Indirect"/>
    <n v="64.599999999999994"/>
    <n v="2789.08"/>
    <n v="0"/>
    <n v="0"/>
    <n v="0"/>
    <n v="0"/>
    <n v="0"/>
    <n v="0"/>
    <n v="2789.08"/>
    <n v="0"/>
    <n v="0"/>
    <n v="0"/>
    <n v="0"/>
    <n v="0"/>
    <n v="0"/>
    <n v="0"/>
    <n v="0"/>
    <n v="2789.08"/>
    <n v="0"/>
    <n v="0"/>
    <n v="548.66298204334362"/>
    <n v="9.2285714285714278"/>
    <n v="0"/>
    <n v="0"/>
    <m/>
    <s v="Gaighat"/>
    <m/>
    <n v="0"/>
  </r>
  <r>
    <s v="Munger"/>
    <s v="17-23 Jul"/>
    <n v="1066"/>
    <s v="Gaighat"/>
    <x v="964"/>
    <s v="GOMUKH MORWARA"/>
    <s v="vlc"/>
    <s v="Indirect"/>
    <n v="53.6"/>
    <n v="2224.6099999999997"/>
    <n v="0"/>
    <n v="0"/>
    <n v="0"/>
    <n v="0"/>
    <n v="0"/>
    <n v="0"/>
    <n v="2224.6099999999997"/>
    <n v="0"/>
    <n v="0"/>
    <n v="0"/>
    <n v="0"/>
    <n v="0"/>
    <n v="0"/>
    <n v="0"/>
    <n v="0"/>
    <n v="2224.6099999999997"/>
    <n v="0"/>
    <n v="0"/>
    <n v="536.56265074626856"/>
    <n v="7.6571428571428575"/>
    <n v="0"/>
    <n v="0"/>
    <m/>
    <s v="Gaighat"/>
    <m/>
    <n v="0"/>
  </r>
  <r>
    <s v="Munger"/>
    <s v="17-23 Jul"/>
    <n v="1066"/>
    <s v="Gaighat"/>
    <x v="1027"/>
    <s v="GOMUKH  RUPAULI GHAT"/>
    <s v="vlc"/>
    <s v="Direct"/>
    <n v="69.5"/>
    <n v="3800.6100000000006"/>
    <n v="68.999999999999986"/>
    <n v="3787.2000000000007"/>
    <n v="0"/>
    <n v="0"/>
    <n v="68.999999999999986"/>
    <n v="3787.2000000000007"/>
    <n v="3787.2000000000007"/>
    <n v="0"/>
    <n v="0"/>
    <n v="0"/>
    <n v="0"/>
    <n v="0"/>
    <n v="0"/>
    <n v="3788"/>
    <n v="0"/>
    <n v="0"/>
    <n v="13"/>
    <n v="0"/>
    <n v="689.5783035971225"/>
    <n v="9.9285714285714288"/>
    <n v="3.5283809704231301E-3"/>
    <n v="6"/>
    <m/>
    <s v="Gaighat"/>
    <m/>
    <n v="0"/>
  </r>
  <r>
    <s v="Munger"/>
    <s v="17-23 Jul"/>
    <n v="1066"/>
    <s v="Gaighat"/>
    <x v="1028"/>
    <s v="GOMUKH Dharampur"/>
    <s v="vlc"/>
    <s v="Indirect"/>
    <n v="2494.5999999999995"/>
    <n v="107516.56"/>
    <n v="0"/>
    <n v="0"/>
    <n v="0"/>
    <n v="0"/>
    <n v="0"/>
    <n v="0"/>
    <n v="107516.56"/>
    <n v="0"/>
    <n v="0"/>
    <n v="0"/>
    <n v="0"/>
    <n v="0"/>
    <n v="0"/>
    <n v="0"/>
    <n v="0"/>
    <n v="107516.56"/>
    <n v="0"/>
    <n v="0"/>
    <n v="0"/>
    <n v="0"/>
    <n v="0"/>
    <n v="0"/>
    <m/>
    <s v="Gaighat"/>
    <m/>
    <n v="0"/>
  </r>
  <r>
    <s v="Munger"/>
    <s v="24-30 Jul"/>
    <n v="1001"/>
    <s v="Majhaul"/>
    <x v="0"/>
    <s v="Gomukh Kumbhi"/>
    <s v="MPG"/>
    <s v="Direct"/>
    <n v="492.29999999999995"/>
    <n v="18923.719999999998"/>
    <n v="486.43"/>
    <n v="18871.47"/>
    <n v="1.1000000000000001"/>
    <n v="43.05"/>
    <n v="487.53000000000003"/>
    <n v="18914.52"/>
    <n v="18914.52"/>
    <n v="0"/>
    <n v="43.05"/>
    <n v="0"/>
    <n v="0"/>
    <n v="0"/>
    <n v="0"/>
    <n v="18872"/>
    <n v="0"/>
    <n v="0"/>
    <n v="9"/>
    <n v="0"/>
    <n v="159.6772961202519"/>
    <n v="70.328571428571422"/>
    <n v="4.8616234017397693E-4"/>
    <n v="14"/>
    <m/>
    <s v="Majhaul"/>
    <m/>
    <n v="0"/>
  </r>
  <r>
    <s v="Munger"/>
    <s v="24-30 Jul"/>
    <n v="1001"/>
    <s v="Majhaul"/>
    <x v="1"/>
    <s v="Gomukh Jagdar                                                                                       "/>
    <s v="MPG"/>
    <s v="Direct"/>
    <n v="907.29999999999984"/>
    <n v="36395.08"/>
    <n v="899.01999999999987"/>
    <n v="35837.31"/>
    <n v="13.599999999999998"/>
    <n v="505.41"/>
    <n v="912.61999999999989"/>
    <n v="36342.720000000001"/>
    <n v="36342.720000000001"/>
    <n v="0"/>
    <n v="505.41"/>
    <n v="0"/>
    <n v="0"/>
    <n v="0"/>
    <n v="0"/>
    <n v="35836"/>
    <n v="0"/>
    <n v="0"/>
    <n v="54"/>
    <n v="0"/>
    <n v="0"/>
    <n v="0"/>
    <n v="1.4386559941618642E-3"/>
    <n v="12"/>
    <m/>
    <s v="Majhaul"/>
    <m/>
    <n v="0"/>
  </r>
  <r>
    <s v="Munger"/>
    <s v="24-30 Jul"/>
    <n v="1058"/>
    <s v="Hasanpur"/>
    <x v="2"/>
    <s v="Gomukh Goriyari"/>
    <s v="MPG"/>
    <s v="Direct"/>
    <n v="887.9"/>
    <n v="36521.909999999996"/>
    <n v="791.2"/>
    <n v="32535.529999999992"/>
    <n v="97.5"/>
    <n v="3999.2000000000007"/>
    <n v="888.7"/>
    <n v="36534.729999999996"/>
    <n v="36521.909999999996"/>
    <n v="0"/>
    <n v="167.78"/>
    <n v="12.819999999999709"/>
    <n v="0"/>
    <n v="0"/>
    <n v="0"/>
    <n v="32523"/>
    <n v="3831"/>
    <n v="0"/>
    <n v="0"/>
    <n v="0"/>
    <n v="0"/>
    <n v="0"/>
    <n v="-3.5102216724151912E-4"/>
    <n v="12"/>
    <m/>
    <s v="Hasanpur"/>
    <m/>
    <n v="0"/>
  </r>
  <r>
    <s v="Munger"/>
    <s v="24-30 Jul"/>
    <n v="1058"/>
    <s v="Hasanpur"/>
    <x v="3"/>
    <s v="Gomukh Kanausi"/>
    <s v="MPG"/>
    <s v="Direct"/>
    <n v="254.28"/>
    <n v="10343.89"/>
    <n v="120"/>
    <n v="4865.2"/>
    <n v="135.5"/>
    <n v="5531.3600000000006"/>
    <n v="255.5"/>
    <n v="10396.560000000001"/>
    <n v="10343.89"/>
    <n v="0"/>
    <n v="201.55"/>
    <n v="52.670000000001892"/>
    <n v="0"/>
    <n v="0"/>
    <n v="0"/>
    <n v="4812"/>
    <n v="5330"/>
    <n v="0"/>
    <n v="0"/>
    <n v="0"/>
    <n v="362.63006534528859"/>
    <n v="36.325714285714284"/>
    <n v="-5.0918948287348277E-3"/>
    <n v="5"/>
    <m/>
    <s v="Hasanpur"/>
    <m/>
    <n v="0"/>
  </r>
  <r>
    <s v="Munger"/>
    <s v="24-30 Jul"/>
    <n v="1001"/>
    <s v="Majhaul"/>
    <x v="4"/>
    <s v="Mohanpur - Chandan"/>
    <s v="vlc"/>
    <s v="Indirect"/>
    <n v="101.99999999999999"/>
    <n v="3863.81"/>
    <n v="0"/>
    <n v="0"/>
    <n v="0"/>
    <n v="0"/>
    <n v="0"/>
    <n v="0"/>
    <n v="3863.81"/>
    <n v="0"/>
    <n v="0"/>
    <n v="0"/>
    <n v="0"/>
    <n v="0"/>
    <n v="0"/>
    <n v="0"/>
    <n v="0"/>
    <n v="3863.81"/>
    <n v="0"/>
    <n v="0"/>
    <n v="453.05066274509812"/>
    <n v="14.571428571428569"/>
    <n v="0"/>
    <n v="0"/>
    <m/>
    <s v="Majhaul"/>
    <m/>
    <n v="0"/>
  </r>
  <r>
    <s v="Munger"/>
    <s v="24-30 Jul"/>
    <n v="1058"/>
    <s v="Hasanpur"/>
    <x v="5"/>
    <s v="Ekamba - Ashutosh"/>
    <s v="MPG"/>
    <s v="Indirect"/>
    <n v="1332.5599999999997"/>
    <n v="58960.030000000006"/>
    <n v="0"/>
    <n v="0"/>
    <n v="0"/>
    <n v="0"/>
    <n v="0"/>
    <n v="0"/>
    <n v="58960.030000000006"/>
    <n v="0"/>
    <n v="0"/>
    <n v="0"/>
    <n v="0"/>
    <n v="0"/>
    <n v="0"/>
    <n v="0"/>
    <n v="0"/>
    <n v="58960.030000000006"/>
    <n v="0"/>
    <n v="0"/>
    <n v="0"/>
    <n v="0"/>
    <n v="0"/>
    <n v="0"/>
    <m/>
    <s v="Hasanpur"/>
    <m/>
    <n v="0"/>
  </r>
  <r>
    <s v="Munger"/>
    <s v="24-30 Jul"/>
    <n v="1058"/>
    <s v="Hasanpur"/>
    <x v="1029"/>
    <s v="Gomukh Dunahi"/>
    <s v="MPG"/>
    <s v="Direct"/>
    <n v="81.59"/>
    <n v="3336.3"/>
    <n v="79.599999999999994"/>
    <n v="3234.5200000000004"/>
    <n v="2.2999999999999998"/>
    <n v="79.17"/>
    <n v="81.899999999999991"/>
    <n v="3313.6900000000005"/>
    <n v="3313.6900000000005"/>
    <n v="0"/>
    <n v="79.17"/>
    <n v="0"/>
    <n v="0"/>
    <n v="0"/>
    <n v="0"/>
    <n v="3235"/>
    <n v="0"/>
    <n v="0"/>
    <n v="22"/>
    <n v="0"/>
    <n v="505.74856796176005"/>
    <n v="11.655714285714286"/>
    <n v="6.7769684980366488E-3"/>
    <n v="2"/>
    <m/>
    <s v="Hasanpur"/>
    <m/>
    <n v="0"/>
  </r>
  <r>
    <s v="Munger"/>
    <s v="24-30 Jul"/>
    <n v="1001"/>
    <s v="Majhaul"/>
    <x v="6"/>
    <s v="GOMUKH BIRPUR PASCHIM                                                                               "/>
    <s v="MPG"/>
    <s v="Direct"/>
    <n v="95.800000000000011"/>
    <n v="3979.5299999999997"/>
    <n v="93.8"/>
    <n v="3951.1500000000005"/>
    <n v="0"/>
    <n v="0"/>
    <n v="93.8"/>
    <n v="3951.1500000000005"/>
    <n v="3951.1500000000005"/>
    <n v="0"/>
    <n v="0"/>
    <n v="0"/>
    <n v="0"/>
    <n v="500"/>
    <n v="0"/>
    <n v="3451"/>
    <n v="0"/>
    <n v="0"/>
    <n v="29"/>
    <n v="0"/>
    <n v="501.96910772442578"/>
    <n v="13.685714285714287"/>
    <n v="7.1314954278518319E-3"/>
    <n v="1"/>
    <m/>
    <s v="Majhaul"/>
    <m/>
    <n v="500"/>
  </r>
  <r>
    <s v="Munger"/>
    <s v="24-30 Jul"/>
    <n v="1001"/>
    <s v="Majhaul"/>
    <x v="7"/>
    <s v="Manish Dairy                                                                                        "/>
    <s v="vlc"/>
    <s v="Indirect"/>
    <n v="9342"/>
    <n v="362158.1100000001"/>
    <n v="0"/>
    <n v="0"/>
    <n v="0"/>
    <n v="0"/>
    <n v="0"/>
    <n v="0"/>
    <n v="362158.1100000001"/>
    <n v="0"/>
    <n v="0"/>
    <n v="0"/>
    <n v="0"/>
    <n v="0"/>
    <n v="0"/>
    <n v="0"/>
    <n v="0"/>
    <n v="362158.1100000001"/>
    <n v="0"/>
    <n v="0"/>
    <n v="0"/>
    <n v="0"/>
    <n v="0"/>
    <n v="0"/>
    <m/>
    <s v="Majhaul"/>
    <m/>
    <n v="0"/>
  </r>
  <r>
    <s v="Munger"/>
    <s v="24-30 Jul"/>
    <n v="1001"/>
    <s v="Majhaul"/>
    <x v="8"/>
    <s v="Gomukh Bhith-02"/>
    <s v="MPG"/>
    <s v="Direct"/>
    <n v="844.19999999999993"/>
    <n v="36965.219999999994"/>
    <n v="378.30000000000007"/>
    <n v="16408.519999999997"/>
    <n v="468.32000000000005"/>
    <n v="20431.579999999994"/>
    <n v="846.62000000000012"/>
    <n v="36840.099999999991"/>
    <n v="36840.099999999991"/>
    <n v="0"/>
    <n v="0"/>
    <n v="0"/>
    <n v="0"/>
    <n v="0"/>
    <n v="0"/>
    <n v="16407"/>
    <n v="20430"/>
    <n v="0"/>
    <n v="128"/>
    <n v="0"/>
    <n v="0"/>
    <n v="0"/>
    <n v="3.3848033367582459E-3"/>
    <n v="14"/>
    <m/>
    <s v="Majhaul"/>
    <m/>
    <n v="0"/>
  </r>
  <r>
    <s v="Munger"/>
    <s v="24-30 Jul"/>
    <n v="1058"/>
    <s v="Hasanpur"/>
    <x v="966"/>
    <s v="Chandan Dairy"/>
    <s v="vlc"/>
    <s v="Indirect"/>
    <n v="455.86999999999995"/>
    <n v="19081.730000000003"/>
    <n v="0"/>
    <n v="0"/>
    <n v="0"/>
    <n v="0"/>
    <n v="0"/>
    <n v="0"/>
    <n v="19081.730000000003"/>
    <n v="0"/>
    <n v="0"/>
    <n v="0"/>
    <n v="0"/>
    <n v="0"/>
    <n v="0"/>
    <n v="0"/>
    <n v="0"/>
    <n v="19081.730000000003"/>
    <n v="0"/>
    <n v="0"/>
    <n v="204.37505187443799"/>
    <n v="65.124285714285705"/>
    <n v="0"/>
    <n v="0"/>
    <m/>
    <s v="Hasanpur"/>
    <m/>
    <n v="0"/>
  </r>
  <r>
    <s v="Munger"/>
    <s v="24-30 Jul"/>
    <n v="1001"/>
    <s v="Majhaul"/>
    <x v="9"/>
    <s v="Gomukh Sharmatola Sahuri"/>
    <s v="MPG"/>
    <s v="Direct"/>
    <n v="1265.7000000000003"/>
    <n v="49417.929999999993"/>
    <n v="1231.72"/>
    <n v="48269.249999999993"/>
    <n v="31.34"/>
    <n v="1224.27"/>
    <n v="1263.06"/>
    <n v="49493.51999999999"/>
    <n v="49417.929999999993"/>
    <n v="0"/>
    <n v="0"/>
    <n v="75.589999999996508"/>
    <n v="0"/>
    <n v="0"/>
    <n v="0"/>
    <n v="48194"/>
    <n v="1224"/>
    <n v="0"/>
    <n v="0"/>
    <n v="0"/>
    <n v="0"/>
    <n v="0"/>
    <n v="-1.529606764184508E-3"/>
    <n v="8"/>
    <m/>
    <s v="Majhaul"/>
    <m/>
    <n v="0"/>
  </r>
  <r>
    <s v="Munger"/>
    <s v="24-30 Jul"/>
    <n v="1001"/>
    <s v="Majhaul"/>
    <x v="10"/>
    <s v="Sangat- Sanjeev Kumar"/>
    <s v="vlc"/>
    <s v="Indirect"/>
    <n v="165.8"/>
    <n v="6001.35"/>
    <n v="0"/>
    <n v="0"/>
    <n v="0"/>
    <n v="0"/>
    <n v="0"/>
    <n v="0"/>
    <n v="6001.35"/>
    <n v="0"/>
    <n v="0"/>
    <n v="0"/>
    <n v="0"/>
    <n v="0"/>
    <n v="0"/>
    <n v="0"/>
    <n v="0"/>
    <n v="6001.35"/>
    <n v="0"/>
    <n v="0"/>
    <n v="386.72149215922803"/>
    <n v="23.685714285714287"/>
    <n v="0"/>
    <n v="0"/>
    <m/>
    <s v="Majhaul"/>
    <m/>
    <n v="0"/>
  </r>
  <r>
    <s v="Munger"/>
    <s v="24-30 Jul"/>
    <n v="1058"/>
    <s v="Hasanpur"/>
    <x v="11"/>
    <s v="Gomukh Garhi Bisanpur"/>
    <s v="MPG"/>
    <s v="Direct"/>
    <n v="63.58"/>
    <n v="3047.44"/>
    <n v="68.69"/>
    <n v="3625.6600000000003"/>
    <n v="1.3"/>
    <n v="70.08"/>
    <n v="69.989999999999995"/>
    <n v="3695.7400000000002"/>
    <n v="3047.44"/>
    <n v="0"/>
    <n v="70.08"/>
    <n v="648.30000000000018"/>
    <n v="0"/>
    <n v="0"/>
    <n v="0"/>
    <n v="0"/>
    <n v="0"/>
    <n v="0"/>
    <n v="2977"/>
    <s v="Yes"/>
    <n v="610.08234186851212"/>
    <n v="9.0828571428571419"/>
    <n v="-0.21273593573622457"/>
    <n v="5"/>
    <m/>
    <s v="Hasanpur"/>
    <m/>
    <n v="0"/>
  </r>
  <r>
    <s v="Munger"/>
    <s v="24-30 Jul"/>
    <n v="1058"/>
    <s v="Hasanpur"/>
    <x v="13"/>
    <s v="Gomukh Barkurwa"/>
    <s v="MPG"/>
    <s v="Direct"/>
    <n v="581.48"/>
    <n v="24643.690000000002"/>
    <n v="280"/>
    <n v="11845.800000000001"/>
    <n v="300.59999999999997"/>
    <n v="12740.380000000001"/>
    <n v="580.59999999999991"/>
    <n v="24586.18"/>
    <n v="24586.18"/>
    <n v="0"/>
    <n v="189.89"/>
    <n v="0"/>
    <n v="0"/>
    <n v="0"/>
    <n v="0"/>
    <n v="11846"/>
    <n v="12550"/>
    <n v="0"/>
    <n v="58"/>
    <n v="0"/>
    <n v="100.45986581825686"/>
    <n v="83.068571428571431"/>
    <n v="2.3336602594823271E-3"/>
    <n v="6"/>
    <m/>
    <s v="Hasanpur"/>
    <m/>
    <n v="0"/>
  </r>
  <r>
    <s v="Munger"/>
    <s v="24-30 Jul"/>
    <n v="1001"/>
    <s v="Majhaul"/>
    <x v="14"/>
    <s v="Kamla- Amarjeet"/>
    <s v="vlc"/>
    <s v="Indirect"/>
    <n v="714.20000000000016"/>
    <n v="22746.78"/>
    <n v="0"/>
    <n v="0"/>
    <n v="0"/>
    <n v="0"/>
    <n v="0"/>
    <n v="0"/>
    <n v="22746.78"/>
    <n v="0"/>
    <n v="0"/>
    <n v="0"/>
    <n v="0"/>
    <n v="0"/>
    <n v="0"/>
    <n v="0"/>
    <n v="0"/>
    <n v="22746.78"/>
    <n v="0"/>
    <n v="0"/>
    <n v="0"/>
    <n v="0"/>
    <n v="0"/>
    <n v="0"/>
    <m/>
    <s v="Majhaul"/>
    <m/>
    <n v="0"/>
  </r>
  <r>
    <s v="Munger"/>
    <s v="24-30 Jul"/>
    <n v="1058"/>
    <s v="Hasanpur"/>
    <x v="15"/>
    <s v="Gomukh Goha-02"/>
    <s v="MPG"/>
    <s v="Direct"/>
    <n v="220.08"/>
    <n v="9183.3599999999988"/>
    <n v="214.70000000000002"/>
    <n v="8947.9199999999983"/>
    <n v="5"/>
    <n v="209.9"/>
    <n v="219.70000000000002"/>
    <n v="9157.8199999999979"/>
    <n v="9157.8199999999979"/>
    <n v="0"/>
    <n v="209.9"/>
    <n v="0"/>
    <n v="0"/>
    <n v="0"/>
    <n v="0"/>
    <n v="8948"/>
    <n v="0"/>
    <n v="0"/>
    <n v="25"/>
    <n v="0"/>
    <n v="400.51600610687018"/>
    <n v="31.44"/>
    <n v="2.7811171510210724E-3"/>
    <n v="3"/>
    <m/>
    <s v="Hasanpur"/>
    <m/>
    <n v="0"/>
  </r>
  <r>
    <s v="Munger"/>
    <s v="24-30 Jul"/>
    <n v="1001"/>
    <s v="Majhaul"/>
    <x v="16"/>
    <s v="Gomukh Cheria Bariarpur"/>
    <s v="MPG"/>
    <s v="Direct"/>
    <n v="1200.1000000000001"/>
    <n v="47021.899999999994"/>
    <n v="1193.49"/>
    <n v="48433.569999999992"/>
    <n v="1.2900000000000005"/>
    <n v="51.72"/>
    <n v="1194.78"/>
    <n v="48485.289999999994"/>
    <n v="47021.899999999994"/>
    <n v="0"/>
    <n v="51.72"/>
    <n v="1463.3899999999994"/>
    <n v="0"/>
    <n v="0"/>
    <n v="0"/>
    <n v="46970"/>
    <n v="0"/>
    <n v="0"/>
    <n v="0"/>
    <n v="0"/>
    <n v="0"/>
    <n v="0"/>
    <n v="-3.112145617254938E-2"/>
    <n v="12"/>
    <m/>
    <s v="Majhaul"/>
    <m/>
    <n v="0"/>
  </r>
  <r>
    <s v="Munger"/>
    <s v="24-30 Jul"/>
    <n v="1058"/>
    <s v="Hasanpur"/>
    <x v="17"/>
    <s v="Gomukh Bagraha-01"/>
    <s v="MPG"/>
    <s v="Direct"/>
    <n v="152.05000000000001"/>
    <n v="6484.7900000000009"/>
    <n v="142.19999999999999"/>
    <n v="6061.37"/>
    <n v="5"/>
    <n v="207.1"/>
    <n v="147.19999999999999"/>
    <n v="6268.47"/>
    <n v="6268.47"/>
    <n v="0"/>
    <n v="207.1"/>
    <n v="0"/>
    <n v="0"/>
    <n v="0"/>
    <n v="0"/>
    <n v="0"/>
    <n v="0"/>
    <n v="0"/>
    <n v="6278"/>
    <s v="Yes"/>
    <n v="467.39107931601444"/>
    <n v="21.721428571428572"/>
    <n v="3.3358057855381686E-2"/>
    <n v="2"/>
    <m/>
    <s v="Hasanpur"/>
    <m/>
    <n v="0"/>
  </r>
  <r>
    <s v="Munger"/>
    <s v="24-30 Jul"/>
    <n v="1001"/>
    <s v="Majhaul"/>
    <x v="18"/>
    <s v="Gomukh Pirauna"/>
    <s v="MPG"/>
    <s v="Direct"/>
    <n v="203.39999999999998"/>
    <n v="7408.06"/>
    <n v="236.36999999999998"/>
    <n v="8659.4399999999987"/>
    <n v="0"/>
    <n v="0"/>
    <n v="236.36999999999998"/>
    <n v="8659.4399999999987"/>
    <n v="7408.06"/>
    <n v="0"/>
    <n v="0"/>
    <n v="1251.3799999999983"/>
    <n v="0"/>
    <n v="500"/>
    <n v="0"/>
    <n v="6908"/>
    <n v="0"/>
    <n v="0"/>
    <n v="0"/>
    <n v="0"/>
    <n v="361.73476853490672"/>
    <n v="29.057142857142853"/>
    <n v="-0.16892141802307192"/>
    <n v="6"/>
    <m/>
    <s v="Majhaul"/>
    <m/>
    <n v="500"/>
  </r>
  <r>
    <s v="Munger"/>
    <s v="24-30 Jul"/>
    <n v="1001"/>
    <s v="Majhaul"/>
    <x v="19"/>
    <s v="Parra- Nagendra Kumar"/>
    <s v="vlc"/>
    <s v="Indirect"/>
    <n v="285.7"/>
    <n v="10417.179999999998"/>
    <n v="0"/>
    <n v="0"/>
    <n v="0"/>
    <n v="0"/>
    <n v="0"/>
    <n v="0"/>
    <n v="10417.179999999998"/>
    <n v="0"/>
    <n v="0"/>
    <n v="0"/>
    <n v="0"/>
    <n v="0"/>
    <n v="0"/>
    <n v="0"/>
    <n v="0"/>
    <n v="10417.179999999998"/>
    <n v="0"/>
    <n v="0"/>
    <n v="302.12374336716834"/>
    <n v="40.81428571428571"/>
    <n v="0"/>
    <n v="0"/>
    <m/>
    <s v="Majhaul"/>
    <m/>
    <n v="0"/>
  </r>
  <r>
    <s v="Munger"/>
    <s v="24-30 Jul"/>
    <n v="1001"/>
    <s v="Majhaul"/>
    <x v="20"/>
    <s v="Gomukh Basahi"/>
    <s v="MPG"/>
    <s v="Direct"/>
    <n v="834.4"/>
    <n v="33248.17"/>
    <n v="833.8599999999999"/>
    <n v="34197.249999999993"/>
    <n v="2.17"/>
    <n v="95.03"/>
    <n v="836.02999999999986"/>
    <n v="34292.279999999992"/>
    <n v="33248.17"/>
    <n v="0"/>
    <n v="95.03"/>
    <n v="1044.1099999999933"/>
    <n v="0"/>
    <n v="0"/>
    <n v="0"/>
    <n v="33153"/>
    <n v="0"/>
    <n v="0"/>
    <n v="0"/>
    <n v="0"/>
    <n v="0"/>
    <n v="0"/>
    <n v="-3.1403532886170676E-2"/>
    <n v="28"/>
    <m/>
    <s v="Majhaul"/>
    <m/>
    <n v="0"/>
  </r>
  <r>
    <s v="Munger"/>
    <s v="24-30 Jul"/>
    <n v="1001"/>
    <s v="Majhaul"/>
    <x v="21"/>
    <s v="Gomukh Sawantpur"/>
    <s v="MPG"/>
    <s v="Direct"/>
    <n v="1171.2000000000003"/>
    <n v="45795.619999999995"/>
    <n v="875.56999999999994"/>
    <n v="34224.160000000003"/>
    <n v="385.1"/>
    <n v="15097.79"/>
    <n v="1260.67"/>
    <n v="49321.950000000004"/>
    <n v="45795.619999999995"/>
    <n v="0"/>
    <n v="61.220000000000006"/>
    <n v="3526.330000000009"/>
    <n v="0"/>
    <n v="0"/>
    <n v="0"/>
    <n v="30697"/>
    <n v="15037"/>
    <n v="0"/>
    <n v="0"/>
    <n v="0"/>
    <n v="0"/>
    <n v="0"/>
    <n v="-7.7001468699408576E-2"/>
    <n v="14"/>
    <m/>
    <s v="Majhaul"/>
    <m/>
    <n v="0"/>
  </r>
  <r>
    <s v="Munger"/>
    <s v="24-30 Jul"/>
    <n v="1001"/>
    <s v="Majhaul"/>
    <x v="22"/>
    <s v="Maida- Ram Kumar"/>
    <s v="vlc"/>
    <s v="Indirect"/>
    <n v="394.29999999999995"/>
    <n v="17944.77"/>
    <n v="0"/>
    <n v="0"/>
    <n v="0"/>
    <n v="0"/>
    <n v="0"/>
    <n v="0"/>
    <n v="17944.77"/>
    <n v="0"/>
    <n v="0"/>
    <n v="0"/>
    <n v="0"/>
    <n v="0"/>
    <n v="0"/>
    <n v="0"/>
    <n v="0"/>
    <n v="17944.77"/>
    <n v="0"/>
    <n v="0"/>
    <n v="278.25088455490754"/>
    <n v="56.328571428571422"/>
    <n v="0"/>
    <n v="0"/>
    <m/>
    <s v="Majhaul"/>
    <m/>
    <n v="0"/>
  </r>
  <r>
    <s v="Munger"/>
    <s v="24-30 Jul"/>
    <n v="1001"/>
    <s v="Majhaul"/>
    <x v="23"/>
    <s v="Gomukh Aure Bikrampur"/>
    <s v="MPG"/>
    <s v="Direct"/>
    <n v="969.49999999999989"/>
    <n v="41972.15"/>
    <n v="957.4000000000002"/>
    <n v="41605.629999999997"/>
    <n v="0"/>
    <n v="0"/>
    <n v="957.4000000000002"/>
    <n v="41605.629999999997"/>
    <n v="41605.629999999997"/>
    <n v="0"/>
    <n v="0"/>
    <n v="0"/>
    <n v="0"/>
    <n v="0"/>
    <n v="0"/>
    <n v="41601"/>
    <n v="0"/>
    <n v="0"/>
    <n v="371"/>
    <n v="0"/>
    <n v="0"/>
    <n v="0"/>
    <n v="8.7324571173981805E-3"/>
    <n v="15"/>
    <m/>
    <s v="Majhaul"/>
    <m/>
    <n v="0"/>
  </r>
  <r>
    <s v="Munger"/>
    <s v="24-30 Jul"/>
    <n v="1001"/>
    <s v="Majhaul"/>
    <x v="24"/>
    <s v="Manjhaul- Gulshan Kumar"/>
    <s v="vlc"/>
    <s v="Indirect"/>
    <n v="433.6"/>
    <n v="20276.55"/>
    <n v="0"/>
    <n v="0"/>
    <n v="0"/>
    <n v="0"/>
    <n v="0"/>
    <n v="0"/>
    <n v="20276.55"/>
    <n v="0"/>
    <n v="0"/>
    <n v="0"/>
    <n v="0"/>
    <n v="0"/>
    <n v="0"/>
    <n v="0"/>
    <n v="0"/>
    <n v="20276.55"/>
    <n v="0"/>
    <n v="0"/>
    <n v="249.15465498154975"/>
    <n v="61.942857142857143"/>
    <n v="0"/>
    <n v="0"/>
    <m/>
    <s v="Majhaul"/>
    <m/>
    <n v="0"/>
  </r>
  <r>
    <s v="Munger"/>
    <s v="24-30 Jul"/>
    <n v="1001"/>
    <s v="Majhaul"/>
    <x v="25"/>
    <s v="Khaira Manjhaul"/>
    <s v="vlc"/>
    <s v="Indirect"/>
    <n v="375.8"/>
    <n v="13347.770000000002"/>
    <n v="0"/>
    <n v="0"/>
    <n v="0"/>
    <n v="0"/>
    <n v="0"/>
    <n v="0"/>
    <n v="13347.770000000002"/>
    <n v="0"/>
    <n v="0"/>
    <n v="0"/>
    <n v="0"/>
    <n v="0"/>
    <n v="0"/>
    <n v="0"/>
    <n v="0"/>
    <n v="13347.770000000002"/>
    <n v="0"/>
    <n v="0"/>
    <n v="230.30053400745081"/>
    <n v="53.68571428571429"/>
    <n v="0"/>
    <n v="0"/>
    <m/>
    <s v="Majhaul"/>
    <m/>
    <n v="0"/>
  </r>
  <r>
    <s v="Munger"/>
    <s v="24-30 Jul"/>
    <n v="1001"/>
    <s v="Majhaul"/>
    <x v="26"/>
    <s v="Mehda Shahpur"/>
    <s v="vlc"/>
    <s v="Indirect"/>
    <n v="609"/>
    <n v="25248.79"/>
    <n v="0"/>
    <n v="0"/>
    <n v="0"/>
    <n v="0"/>
    <n v="0"/>
    <n v="0"/>
    <n v="25248.79"/>
    <n v="0"/>
    <n v="0"/>
    <n v="0"/>
    <n v="0"/>
    <n v="0"/>
    <n v="0"/>
    <n v="0"/>
    <n v="0"/>
    <n v="25248.79"/>
    <n v="0"/>
    <n v="0"/>
    <n v="75.456154022988514"/>
    <n v="87"/>
    <n v="0"/>
    <n v="0"/>
    <m/>
    <s v="Majhaul"/>
    <m/>
    <n v="0"/>
  </r>
  <r>
    <s v="Munger"/>
    <s v="24-30 Jul"/>
    <n v="1001"/>
    <s v="Majhaul"/>
    <x v="27"/>
    <s v="Shri Bhairav Laxmipur"/>
    <s v="MPG"/>
    <s v="Direct"/>
    <n v="215.5"/>
    <n v="9548.630000000001"/>
    <n v="204.88"/>
    <n v="9514.2200000000012"/>
    <n v="0"/>
    <n v="0"/>
    <n v="204.88"/>
    <n v="9514.2200000000012"/>
    <n v="9514.2200000000012"/>
    <n v="0"/>
    <n v="0"/>
    <n v="0"/>
    <n v="0"/>
    <n v="0"/>
    <n v="0"/>
    <n v="9514"/>
    <n v="0"/>
    <n v="0"/>
    <n v="35"/>
    <n v="0"/>
    <n v="429.35603109048731"/>
    <n v="30.785714285714285"/>
    <n v="3.6036583258540599E-3"/>
    <n v="4"/>
    <m/>
    <s v="Majhaul"/>
    <m/>
    <n v="0"/>
  </r>
  <r>
    <s v="Munger"/>
    <s v="24-30 Jul"/>
    <n v="1001"/>
    <s v="Majhaul"/>
    <x v="29"/>
    <s v="Gomukh Akaha"/>
    <s v="MPG"/>
    <s v="Direct"/>
    <n v="185.70000000000002"/>
    <n v="6470.4799999999987"/>
    <n v="184.39999999999998"/>
    <n v="6441.5099999999993"/>
    <n v="0"/>
    <n v="0"/>
    <n v="184.39999999999998"/>
    <n v="6441.5099999999993"/>
    <n v="6441.5099999999993"/>
    <n v="0"/>
    <n v="0"/>
    <n v="0"/>
    <n v="0"/>
    <n v="0"/>
    <n v="0"/>
    <n v="6440"/>
    <n v="0"/>
    <n v="0"/>
    <n v="30"/>
    <n v="0"/>
    <n v="358.40257016693579"/>
    <n v="26.528571428571432"/>
    <n v="4.4772567104757839E-3"/>
    <n v="5"/>
    <m/>
    <s v="Majhaul"/>
    <m/>
    <n v="0"/>
  </r>
  <r>
    <s v="Munger"/>
    <s v="24-30 Jul"/>
    <n v="1001"/>
    <s v="Majhaul"/>
    <x v="30"/>
    <s v="Gomukh Rajakpur"/>
    <s v="MPG"/>
    <s v="Direct"/>
    <n v="114.9"/>
    <n v="4126.1499999999996"/>
    <n v="122.44999999999999"/>
    <n v="4087.83"/>
    <n v="0"/>
    <n v="0"/>
    <n v="122.44999999999999"/>
    <n v="4087.83"/>
    <n v="4087.83"/>
    <n v="0"/>
    <n v="0"/>
    <n v="0"/>
    <n v="0"/>
    <n v="0"/>
    <n v="0"/>
    <n v="4088"/>
    <n v="0"/>
    <n v="0"/>
    <n v="38"/>
    <n v="0"/>
    <n v="420.2280879025239"/>
    <n v="16.414285714285715"/>
    <n v="9.2871078366030587E-3"/>
    <n v="3"/>
    <m/>
    <s v="Majhaul"/>
    <m/>
    <n v="0"/>
  </r>
  <r>
    <s v="Munger"/>
    <s v="24-30 Jul"/>
    <n v="1001"/>
    <s v="Majhaul"/>
    <x v="31"/>
    <s v="Gomukh Mohanpur"/>
    <s v="MPG"/>
    <s v="Direct"/>
    <n v="203.9"/>
    <n v="8175.68"/>
    <n v="199.79"/>
    <n v="8371.39"/>
    <n v="3.4500000000000006"/>
    <n v="128.71"/>
    <n v="203.23999999999998"/>
    <n v="8500.0999999999985"/>
    <n v="8175.68"/>
    <n v="0"/>
    <n v="128.71"/>
    <n v="324.41999999999825"/>
    <n v="0"/>
    <n v="0"/>
    <n v="0"/>
    <n v="8047"/>
    <n v="0"/>
    <n v="0"/>
    <n v="0"/>
    <n v="0"/>
    <n v="397.83765061304558"/>
    <n v="29.12857142857143"/>
    <n v="-3.9681102978589948E-2"/>
    <n v="6"/>
    <m/>
    <s v="Majhaul"/>
    <m/>
    <n v="0"/>
  </r>
  <r>
    <s v="Munger"/>
    <s v="24-30 Jul"/>
    <n v="1001"/>
    <s v="Majhaul"/>
    <x v="32"/>
    <s v="Gomukh Chakka"/>
    <s v="MPG"/>
    <s v="Direct"/>
    <n v="193.4"/>
    <n v="7807.45"/>
    <n v="193.78999999999996"/>
    <n v="7953.2999999999993"/>
    <n v="0"/>
    <n v="0"/>
    <n v="193.78999999999996"/>
    <n v="7953.2999999999993"/>
    <n v="7807.45"/>
    <n v="0"/>
    <n v="0"/>
    <n v="145.84999999999945"/>
    <n v="0"/>
    <n v="0"/>
    <n v="0"/>
    <n v="7807"/>
    <n v="0"/>
    <n v="0"/>
    <n v="0"/>
    <n v="0"/>
    <n v="409.02318200620476"/>
    <n v="27.62857142857143"/>
    <n v="-1.8680875317805361E-2"/>
    <n v="3"/>
    <m/>
    <s v="Majhaul"/>
    <m/>
    <n v="0"/>
  </r>
  <r>
    <s v="Munger"/>
    <s v="24-30 Jul"/>
    <n v="1001"/>
    <s v="Majhaul"/>
    <x v="33"/>
    <s v="Gamharia"/>
    <s v="vlc"/>
    <s v="Indirect"/>
    <n v="91.1"/>
    <n v="3998.5999999999995"/>
    <n v="0"/>
    <n v="0"/>
    <n v="0"/>
    <n v="0"/>
    <n v="0"/>
    <n v="0"/>
    <n v="3998.5999999999995"/>
    <n v="0"/>
    <n v="0"/>
    <n v="0"/>
    <n v="0"/>
    <n v="0"/>
    <n v="0"/>
    <n v="0"/>
    <n v="0"/>
    <n v="3998.5999999999995"/>
    <n v="0"/>
    <n v="0"/>
    <n v="534.5219626783753"/>
    <n v="13.014285714285714"/>
    <n v="0"/>
    <n v="0"/>
    <m/>
    <s v="Majhaul"/>
    <m/>
    <n v="0"/>
  </r>
  <r>
    <s v="Munger"/>
    <s v="24-30 Jul"/>
    <n v="1001"/>
    <s v="Majhaul"/>
    <x v="34"/>
    <s v="Gomukh Meghaul-02"/>
    <s v="MPG"/>
    <s v="Direct"/>
    <n v="219.6"/>
    <n v="9482.4900000000016"/>
    <n v="223.78"/>
    <n v="9691.15"/>
    <n v="6.38"/>
    <n v="261.25"/>
    <n v="230.16"/>
    <n v="9952.4"/>
    <n v="9482.4900000000016"/>
    <n v="0"/>
    <n v="261.25"/>
    <n v="469.90999999999804"/>
    <n v="0"/>
    <n v="0"/>
    <n v="0"/>
    <n v="9221"/>
    <n v="0"/>
    <n v="0"/>
    <n v="0"/>
    <n v="0"/>
    <n v="414.8805278688526"/>
    <n v="31.37142857142857"/>
    <n v="-4.9555549228103374E-2"/>
    <n v="7"/>
    <m/>
    <s v="Majhaul"/>
    <m/>
    <n v="0"/>
  </r>
  <r>
    <s v="Munger"/>
    <s v="24-30 Jul"/>
    <n v="1001"/>
    <s v="Majhaul"/>
    <x v="35"/>
    <s v="Gomukh Meida"/>
    <s v="MPG"/>
    <s v="Direct"/>
    <n v="138.4"/>
    <n v="5458.3499999999995"/>
    <n v="143.89999999999998"/>
    <n v="5619.9099999999962"/>
    <n v="0"/>
    <n v="0"/>
    <n v="143.89999999999998"/>
    <n v="5619.9099999999962"/>
    <n v="5458.3499999999995"/>
    <n v="0"/>
    <n v="0"/>
    <n v="161.55999999999676"/>
    <n v="0"/>
    <n v="0"/>
    <n v="0"/>
    <n v="5458"/>
    <n v="0"/>
    <n v="0"/>
    <n v="0"/>
    <n v="0"/>
    <n v="442.97823121387279"/>
    <n v="19.771428571428572"/>
    <n v="-2.9598688248279569E-2"/>
    <n v="6"/>
    <m/>
    <s v="Majhaul"/>
    <m/>
    <n v="0"/>
  </r>
  <r>
    <s v="Munger"/>
    <s v="24-30 Jul"/>
    <n v="1001"/>
    <s v="Majhaul"/>
    <x v="1030"/>
    <s v="Kamla Nagar"/>
    <s v="vlc"/>
    <s v="Indirect"/>
    <n v="205.89999999999998"/>
    <n v="7377.1"/>
    <n v="0"/>
    <n v="0"/>
    <n v="0"/>
    <n v="0"/>
    <n v="0"/>
    <n v="0"/>
    <n v="7377.1"/>
    <n v="0"/>
    <n v="0"/>
    <n v="0"/>
    <n v="0"/>
    <n v="0"/>
    <n v="0"/>
    <n v="0"/>
    <n v="0"/>
    <n v="7377.1"/>
    <n v="0"/>
    <n v="0"/>
    <n v="354.05780573093739"/>
    <n v="29.414285714285711"/>
    <n v="0"/>
    <n v="0"/>
    <m/>
    <s v="Majhaul"/>
    <m/>
    <n v="0"/>
  </r>
  <r>
    <s v="Munger"/>
    <s v="24-30 Jul"/>
    <n v="1002"/>
    <s v="Laldiyara"/>
    <x v="36"/>
    <s v="PIPARIYA DIH -2"/>
    <s v="MPG"/>
    <s v="Direct"/>
    <n v="2851.9999999999995"/>
    <n v="129991.73"/>
    <n v="1775.1999999999998"/>
    <n v="86570.979999999981"/>
    <n v="1072.6999999999998"/>
    <n v="45404.89"/>
    <n v="2847.8999999999996"/>
    <n v="131975.87"/>
    <n v="129991.73"/>
    <n v="0"/>
    <n v="983.69000000000017"/>
    <n v="1984.1399999999994"/>
    <n v="0"/>
    <n v="0"/>
    <n v="0"/>
    <n v="84587"/>
    <n v="44421"/>
    <n v="0"/>
    <n v="0"/>
    <n v="0"/>
    <n v="0"/>
    <n v="0"/>
    <n v="-1.5263586383533779E-2"/>
    <n v="14"/>
    <m/>
    <s v="Laldiyara"/>
    <m/>
    <n v="0"/>
  </r>
  <r>
    <s v="Munger"/>
    <s v="24-30 Jul"/>
    <n v="1002"/>
    <s v="Laldiyara"/>
    <x v="37"/>
    <s v="LAL DIYARA -1"/>
    <s v="MPG"/>
    <s v="Direct"/>
    <n v="533"/>
    <n v="21473.049999999996"/>
    <n v="532.79999999999995"/>
    <n v="21465.43"/>
    <n v="0"/>
    <n v="0"/>
    <n v="532.79999999999995"/>
    <n v="21465.43"/>
    <n v="21465.43"/>
    <n v="0"/>
    <n v="0"/>
    <n v="0"/>
    <n v="0"/>
    <n v="0"/>
    <n v="0"/>
    <n v="21465"/>
    <n v="0"/>
    <n v="0"/>
    <n v="8"/>
    <n v="0"/>
    <n v="134.5590750469043"/>
    <n v="76.142857142857139"/>
    <n v="3.5486342182388368E-4"/>
    <n v="1"/>
    <m/>
    <s v="Laldiyara"/>
    <m/>
    <n v="0"/>
  </r>
  <r>
    <s v="Munger"/>
    <s v="24-30 Jul"/>
    <n v="1002"/>
    <s v="Laldiyara"/>
    <x v="38"/>
    <s v="GANGA KINARE KHUTHA"/>
    <s v="vlc"/>
    <s v="Indirect"/>
    <n v="150.80000000000001"/>
    <n v="5856.4599999999991"/>
    <n v="0"/>
    <n v="0"/>
    <n v="0"/>
    <n v="0"/>
    <n v="0"/>
    <n v="0"/>
    <n v="5856.4599999999991"/>
    <n v="0"/>
    <n v="0"/>
    <n v="0"/>
    <n v="0"/>
    <n v="0"/>
    <n v="0"/>
    <n v="0"/>
    <n v="0"/>
    <n v="5856.4599999999991"/>
    <n v="0"/>
    <n v="0"/>
    <n v="426.57398302387264"/>
    <n v="21.542857142857144"/>
    <n v="0"/>
    <n v="0"/>
    <m/>
    <s v="Laldiyara"/>
    <m/>
    <n v="0"/>
  </r>
  <r>
    <s v="Munger"/>
    <s v="24-30 Jul"/>
    <n v="1002"/>
    <s v="Laldiyara"/>
    <x v="39"/>
    <s v="Gomukh ID Khutaha Ganga"/>
    <s v="vlc"/>
    <s v="Indirect"/>
    <n v="222.60000000000002"/>
    <n v="9162.61"/>
    <n v="0"/>
    <n v="0"/>
    <n v="0"/>
    <n v="0"/>
    <n v="0"/>
    <n v="0"/>
    <n v="9162.61"/>
    <n v="0"/>
    <n v="0"/>
    <n v="0"/>
    <n v="0"/>
    <n v="0"/>
    <n v="0"/>
    <n v="0"/>
    <n v="0"/>
    <n v="9162.61"/>
    <n v="0"/>
    <n v="0"/>
    <n v="393.01257987421371"/>
    <n v="31.800000000000004"/>
    <n v="0"/>
    <n v="0"/>
    <m/>
    <s v="Laldiyara"/>
    <m/>
    <n v="0"/>
  </r>
  <r>
    <s v="Munger"/>
    <s v="24-30 Jul"/>
    <n v="1002"/>
    <s v="Laldiyara"/>
    <x v="40"/>
    <s v="Gomukh ID Khutaha Dhih"/>
    <s v="vlc"/>
    <s v="Indirect"/>
    <n v="1486"/>
    <n v="61446.54"/>
    <n v="0"/>
    <n v="0"/>
    <n v="0"/>
    <n v="0"/>
    <n v="0"/>
    <n v="0"/>
    <n v="61446.54"/>
    <n v="0"/>
    <n v="0"/>
    <n v="0"/>
    <n v="0"/>
    <n v="0"/>
    <n v="0"/>
    <n v="0"/>
    <n v="0"/>
    <n v="61446.54"/>
    <n v="0"/>
    <n v="0"/>
    <n v="0"/>
    <n v="0"/>
    <n v="0"/>
    <n v="0"/>
    <m/>
    <s v="Laldiyara"/>
    <m/>
    <n v="0"/>
  </r>
  <r>
    <s v="Munger"/>
    <s v="24-30 Jul"/>
    <n v="1002"/>
    <s v="Laldiyara"/>
    <x v="41"/>
    <s v="GOMUKH RAHATPUR"/>
    <s v="MPG"/>
    <s v="Direct"/>
    <n v="58.5"/>
    <n v="2396.66"/>
    <n v="58.5"/>
    <n v="2342.54"/>
    <n v="0.4"/>
    <n v="14.489999999999998"/>
    <n v="58.9"/>
    <n v="2357.0299999999997"/>
    <n v="2357.0299999999997"/>
    <n v="0"/>
    <n v="14.489999999999998"/>
    <n v="0"/>
    <n v="0"/>
    <n v="0"/>
    <n v="0"/>
    <n v="2342"/>
    <n v="0"/>
    <n v="0"/>
    <n v="40"/>
    <n v="0"/>
    <n v="525.62645811965808"/>
    <n v="8.3571428571428577"/>
    <n v="1.6535511920756432E-2"/>
    <n v="4"/>
    <m/>
    <s v="Laldiyara"/>
    <m/>
    <n v="0"/>
  </r>
  <r>
    <s v="Munger"/>
    <s v="24-30 Jul"/>
    <n v="1002"/>
    <s v="Laldiyara"/>
    <x v="42"/>
    <s v="Vikash Kumar"/>
    <s v="vlc"/>
    <s v="Indirect"/>
    <n v="1343.3"/>
    <n v="54733.83"/>
    <n v="0"/>
    <n v="0"/>
    <n v="0"/>
    <n v="0"/>
    <n v="0"/>
    <n v="0"/>
    <n v="54733.83"/>
    <n v="0"/>
    <n v="0"/>
    <n v="0"/>
    <n v="0"/>
    <n v="0"/>
    <n v="0"/>
    <n v="0"/>
    <n v="0"/>
    <n v="54733.83"/>
    <n v="0"/>
    <n v="0"/>
    <n v="0"/>
    <n v="0"/>
    <n v="0"/>
    <n v="0"/>
    <m/>
    <s v="Laldiyara"/>
    <m/>
    <n v="0"/>
  </r>
  <r>
    <s v="Munger"/>
    <s v="24-30 Jul"/>
    <n v="1002"/>
    <s v="Laldiyara"/>
    <x v="43"/>
    <s v="GOMUKH  LALDIYARA TIRASHI                                                                           "/>
    <s v="vlc"/>
    <s v="Indirect"/>
    <n v="28921"/>
    <n v="1156143.8"/>
    <n v="0"/>
    <n v="0"/>
    <n v="0"/>
    <n v="0"/>
    <n v="0"/>
    <n v="0"/>
    <n v="1156143.8"/>
    <n v="0"/>
    <n v="0"/>
    <n v="0"/>
    <n v="0"/>
    <n v="0"/>
    <n v="0"/>
    <n v="0"/>
    <n v="0"/>
    <n v="1156143.8"/>
    <n v="0"/>
    <n v="0"/>
    <n v="0"/>
    <n v="0"/>
    <n v="0"/>
    <n v="0"/>
    <m/>
    <s v="Laldiyara"/>
    <m/>
    <n v="0"/>
  </r>
  <r>
    <s v="Munger"/>
    <s v="24-30 Jul"/>
    <n v="1002"/>
    <s v="Laldiyara"/>
    <x v="44"/>
    <s v="GOMUKH  LALDIYARA PURBI"/>
    <s v="vlc"/>
    <s v="Indirect"/>
    <n v="28930.800000000003"/>
    <n v="1155498.9200000002"/>
    <n v="0"/>
    <n v="0"/>
    <n v="0"/>
    <n v="0"/>
    <n v="0"/>
    <n v="0"/>
    <n v="1155498.9200000002"/>
    <n v="0"/>
    <n v="0"/>
    <n v="0"/>
    <n v="0"/>
    <n v="0"/>
    <n v="0"/>
    <n v="0"/>
    <n v="0"/>
    <n v="1155498.9200000002"/>
    <n v="0"/>
    <n v="0"/>
    <n v="0"/>
    <n v="0"/>
    <n v="0"/>
    <n v="0"/>
    <m/>
    <s v="Laldiyara"/>
    <m/>
    <n v="0"/>
  </r>
  <r>
    <s v="Munger"/>
    <s v="24-30 Jul"/>
    <n v="1002"/>
    <s v="Laldiyara"/>
    <x v="45"/>
    <s v="GOMUKH RAMCHANDARPUR II"/>
    <s v="MPG"/>
    <s v="Direct"/>
    <n v="3960.5000000000005"/>
    <n v="164438.74"/>
    <n v="4458.800000000002"/>
    <n v="163624.92000000001"/>
    <n v="33.1"/>
    <n v="1518.32"/>
    <n v="4491.9000000000024"/>
    <n v="165143.24000000002"/>
    <n v="164438.74"/>
    <n v="0"/>
    <n v="1518.32"/>
    <n v="704.5000000000291"/>
    <n v="0"/>
    <n v="0"/>
    <n v="0"/>
    <n v="162920"/>
    <n v="0"/>
    <n v="0"/>
    <n v="0"/>
    <n v="0"/>
    <n v="0"/>
    <n v="0"/>
    <n v="-4.2842702394826739E-3"/>
    <n v="61"/>
    <m/>
    <s v="Laldiyara"/>
    <m/>
    <n v="0"/>
  </r>
  <r>
    <s v="Munger"/>
    <s v="24-30 Jul"/>
    <n v="1002"/>
    <s v="Laldiyara"/>
    <x v="1011"/>
    <s v="WAKIL YADAV VLC"/>
    <s v="vlc"/>
    <s v="Indirect"/>
    <n v="31"/>
    <n v="1521.17"/>
    <n v="0"/>
    <n v="0"/>
    <n v="0"/>
    <n v="0"/>
    <n v="0"/>
    <n v="0"/>
    <n v="1521.17"/>
    <n v="0"/>
    <n v="0"/>
    <n v="0"/>
    <n v="0"/>
    <n v="0"/>
    <n v="0"/>
    <n v="0"/>
    <n v="0"/>
    <n v="1521.17"/>
    <n v="0"/>
    <n v="0"/>
    <n v="656.5566"/>
    <n v="4.4285714285714288"/>
    <n v="0"/>
    <n v="0"/>
    <m/>
    <s v="Laldiyara"/>
    <m/>
    <n v="0"/>
  </r>
  <r>
    <s v="Munger"/>
    <s v="24-30 Jul"/>
    <n v="1002"/>
    <s v="Laldiyara"/>
    <x v="46"/>
    <s v="MOHANPUR"/>
    <s v="MPG"/>
    <s v="Direct"/>
    <n v="3741.2000000000003"/>
    <n v="161981.51"/>
    <n v="3439.3"/>
    <n v="150010.46000000002"/>
    <n v="387.70000000000005"/>
    <n v="15971.059999999998"/>
    <n v="3827"/>
    <n v="165981.52000000002"/>
    <n v="161981.51"/>
    <n v="0"/>
    <n v="1319.48"/>
    <n v="4000.0100000000093"/>
    <n v="0"/>
    <n v="0"/>
    <n v="0"/>
    <n v="146011"/>
    <n v="14651"/>
    <n v="0"/>
    <n v="0"/>
    <n v="0"/>
    <n v="0"/>
    <n v="0"/>
    <n v="-2.4694238249785481E-2"/>
    <n v="31"/>
    <m/>
    <s v="Laldiyara"/>
    <m/>
    <n v="0"/>
  </r>
  <r>
    <s v="Munger"/>
    <s v="24-30 Jul"/>
    <n v="1002"/>
    <s v="Laldiyara"/>
    <x v="47"/>
    <s v="Juwas"/>
    <s v="MPG"/>
    <s v="Direct"/>
    <n v="857.80000000000018"/>
    <n v="33634.810000000005"/>
    <n v="845.0999999999998"/>
    <n v="32867.550000000003"/>
    <n v="7"/>
    <n v="263.63"/>
    <n v="852.0999999999998"/>
    <n v="33131.18"/>
    <n v="33131.18"/>
    <n v="0"/>
    <n v="263.63"/>
    <n v="0"/>
    <n v="0"/>
    <n v="0"/>
    <n v="0"/>
    <n v="32869"/>
    <n v="0"/>
    <n v="0"/>
    <n v="502"/>
    <n v="0"/>
    <n v="0"/>
    <n v="0"/>
    <n v="1.4973475396471828E-2"/>
    <n v="21"/>
    <m/>
    <s v="Laldiyara"/>
    <m/>
    <n v="0"/>
  </r>
  <r>
    <s v="Munger"/>
    <s v="24-30 Jul"/>
    <n v="1002"/>
    <s v="Laldiyara"/>
    <x v="48"/>
    <s v="Morwariya"/>
    <s v="MPG"/>
    <s v="Direct"/>
    <n v="2923.8999999999996"/>
    <n v="119845.64"/>
    <n v="2906.2799999999988"/>
    <n v="122038.67000000001"/>
    <n v="0"/>
    <n v="0"/>
    <n v="2906.2799999999988"/>
    <n v="122038.67000000001"/>
    <n v="119845.64"/>
    <n v="0"/>
    <n v="0"/>
    <n v="2193.0300000000134"/>
    <n v="0"/>
    <n v="0"/>
    <n v="0"/>
    <n v="119846"/>
    <n v="0"/>
    <n v="0"/>
    <n v="0"/>
    <n v="0"/>
    <n v="0"/>
    <n v="0"/>
    <n v="-1.829878834140327E-2"/>
    <n v="62"/>
    <m/>
    <s v="Laldiyara"/>
    <m/>
    <n v="0"/>
  </r>
  <r>
    <s v="Munger"/>
    <s v="24-30 Jul"/>
    <n v="1002"/>
    <s v="Laldiyara"/>
    <x v="49"/>
    <s v="Dumri 2"/>
    <s v="MPG"/>
    <s v="Direct"/>
    <n v="714"/>
    <n v="29874.6"/>
    <n v="706.35"/>
    <n v="29575.280000000002"/>
    <n v="9.65"/>
    <n v="400.83"/>
    <n v="716"/>
    <n v="29976.110000000004"/>
    <n v="29874.6"/>
    <n v="0"/>
    <n v="400.83"/>
    <n v="101.51000000000568"/>
    <n v="0"/>
    <n v="0"/>
    <n v="0"/>
    <n v="29474"/>
    <n v="0"/>
    <n v="0"/>
    <n v="0"/>
    <n v="0"/>
    <n v="0"/>
    <n v="0"/>
    <n v="-3.3978697622731578E-3"/>
    <n v="18"/>
    <m/>
    <s v="Laldiyara"/>
    <m/>
    <n v="0"/>
  </r>
  <r>
    <s v="Munger"/>
    <s v="24-30 Jul"/>
    <n v="1002"/>
    <s v="Laldiyara"/>
    <x v="50"/>
    <s v="Gomukh Jhakhaur"/>
    <s v="MPG"/>
    <s v="Direct"/>
    <n v="450"/>
    <n v="18470.16"/>
    <n v="464.51"/>
    <n v="19152.11"/>
    <n v="1.2999999999999998"/>
    <n v="52.64"/>
    <n v="465.81"/>
    <n v="19204.75"/>
    <n v="18470.16"/>
    <n v="0"/>
    <n v="52.64"/>
    <n v="734.59000000000015"/>
    <n v="0"/>
    <n v="0"/>
    <n v="0"/>
    <n v="18417"/>
    <n v="0"/>
    <n v="0"/>
    <n v="1"/>
    <n v="0"/>
    <n v="205.22399999999999"/>
    <n v="64.285714285714292"/>
    <n v="-3.9771718274232606E-2"/>
    <n v="4"/>
    <m/>
    <s v="Laldiyara"/>
    <m/>
    <n v="0"/>
  </r>
  <r>
    <s v="Munger"/>
    <s v="24-30 Jul"/>
    <n v="1002"/>
    <s v="Laldiyara"/>
    <x v="51"/>
    <s v="Gomukh Repura"/>
    <s v="MPG"/>
    <s v="Direct"/>
    <n v="641"/>
    <n v="27466.240000000002"/>
    <n v="641"/>
    <n v="27475.01"/>
    <n v="0"/>
    <n v="0"/>
    <n v="641"/>
    <n v="27475.01"/>
    <n v="27466.240000000002"/>
    <n v="0"/>
    <n v="0"/>
    <n v="8.7699999999967986"/>
    <n v="0"/>
    <n v="0"/>
    <n v="0"/>
    <n v="27466"/>
    <n v="0"/>
    <n v="0"/>
    <n v="0"/>
    <n v="0"/>
    <n v="50.561877067082698"/>
    <n v="91.571428571428569"/>
    <n v="-3.1930107652146047E-4"/>
    <n v="1"/>
    <m/>
    <s v="Laldiyara"/>
    <m/>
    <n v="0"/>
  </r>
  <r>
    <s v="Munger"/>
    <s v="24-30 Jul"/>
    <n v="1002"/>
    <s v="Laldiyara"/>
    <x v="52"/>
    <s v="Gomukh Virupur"/>
    <s v="MPG"/>
    <s v="Direct"/>
    <n v="327.99999999999994"/>
    <n v="13574.36"/>
    <n v="318.01"/>
    <n v="14039.060000000001"/>
    <n v="5.8900000000000006"/>
    <n v="232.61"/>
    <n v="323.89999999999998"/>
    <n v="14271.670000000002"/>
    <n v="13574.36"/>
    <n v="734"/>
    <n v="232.61"/>
    <n v="697.31000000000131"/>
    <n v="0"/>
    <n v="0"/>
    <n v="0"/>
    <n v="12607"/>
    <n v="0"/>
    <n v="0"/>
    <n v="1"/>
    <n v="0"/>
    <n v="307.90621463414652"/>
    <n v="46.857142857142847"/>
    <n v="-5.1369640999649434E-2"/>
    <n v="6"/>
    <m/>
    <s v="Laldiyara"/>
    <m/>
    <n v="0"/>
  </r>
  <r>
    <s v="Munger"/>
    <s v="24-30 Jul"/>
    <n v="1002"/>
    <s v="Laldiyara"/>
    <x v="53"/>
    <s v="Gomukh Diyarapipariya                                                                               "/>
    <s v="MPG"/>
    <s v="Direct"/>
    <n v="1253.8999999999999"/>
    <n v="56348.34"/>
    <n v="1246.1100000000001"/>
    <n v="56482.509999999995"/>
    <n v="14.780000000000001"/>
    <n v="704.42000000000007"/>
    <n v="1260.8900000000001"/>
    <n v="57186.929999999993"/>
    <n v="56348.34"/>
    <n v="0"/>
    <n v="704.42000000000007"/>
    <n v="838.58999999999651"/>
    <n v="0"/>
    <n v="0"/>
    <n v="0"/>
    <n v="55644"/>
    <n v="0"/>
    <n v="0"/>
    <n v="0"/>
    <n v="0"/>
    <n v="0"/>
    <n v="0"/>
    <n v="-1.4882248527640682E-2"/>
    <n v="23"/>
    <m/>
    <s v="Laldiyara"/>
    <m/>
    <n v="0"/>
  </r>
  <r>
    <s v="Munger"/>
    <s v="24-30 Jul"/>
    <n v="1002"/>
    <s v="Laldiyara"/>
    <x v="54"/>
    <s v="TAJPUR"/>
    <s v="MPG"/>
    <s v="Direct"/>
    <n v="815"/>
    <n v="37266.29"/>
    <n v="801.00000000000011"/>
    <n v="35361.78"/>
    <n v="9.2000000000000011"/>
    <n v="372.5"/>
    <n v="810.20000000000016"/>
    <n v="35734.28"/>
    <n v="35734.28"/>
    <n v="0"/>
    <n v="372.5"/>
    <n v="0"/>
    <n v="0"/>
    <n v="0"/>
    <n v="0"/>
    <n v="35362"/>
    <n v="0"/>
    <n v="0"/>
    <n v="1532"/>
    <s v="Release2"/>
    <n v="0"/>
    <n v="0"/>
    <n v="4.1109807281594225E-2"/>
    <n v="23"/>
    <m/>
    <s v="Laldiyara"/>
    <m/>
    <n v="0"/>
  </r>
  <r>
    <s v="Munger"/>
    <s v="24-30 Jul"/>
    <n v="1002"/>
    <s v="Laldiyara"/>
    <x v="55"/>
    <s v="PATHUA"/>
    <s v="MPG"/>
    <s v="Direct"/>
    <n v="2300.4"/>
    <n v="99974.5"/>
    <n v="2366.8000000000002"/>
    <n v="104628.92000000001"/>
    <n v="62.3"/>
    <n v="2800.43"/>
    <n v="2429.1000000000004"/>
    <n v="107429.35"/>
    <n v="99974.5"/>
    <n v="0"/>
    <n v="1183.6799999999998"/>
    <n v="7454.8500000000058"/>
    <n v="0"/>
    <n v="0"/>
    <n v="0"/>
    <n v="97173"/>
    <n v="1617"/>
    <n v="0"/>
    <n v="1"/>
    <n v="0"/>
    <n v="0"/>
    <n v="0"/>
    <n v="-7.4567514716252697E-2"/>
    <n v="7"/>
    <m/>
    <s v="Laldiyara"/>
    <m/>
    <n v="0"/>
  </r>
  <r>
    <s v="Munger"/>
    <s v="24-30 Jul"/>
    <n v="1002"/>
    <s v="Laldiyara"/>
    <x v="56"/>
    <s v="LODIYA"/>
    <s v="MPG"/>
    <s v="Direct"/>
    <n v="622.69999999999993"/>
    <n v="25359.670000000002"/>
    <n v="617.21999999999991"/>
    <n v="25099.509999999995"/>
    <n v="5.46"/>
    <n v="230.76000000000002"/>
    <n v="622.67999999999995"/>
    <n v="25330.269999999993"/>
    <n v="25330.269999999993"/>
    <n v="0"/>
    <n v="230.76000000000002"/>
    <n v="0"/>
    <n v="0"/>
    <n v="0"/>
    <n v="0"/>
    <n v="25101"/>
    <n v="0"/>
    <n v="0"/>
    <n v="28"/>
    <n v="0"/>
    <n v="62.961377581500031"/>
    <n v="88.957142857142841"/>
    <n v="1.1593210794938866E-3"/>
    <n v="11"/>
    <m/>
    <s v="Laldiyara"/>
    <m/>
    <n v="0"/>
  </r>
  <r>
    <s v="Munger"/>
    <s v="24-30 Jul"/>
    <n v="1002"/>
    <s v="Laldiyara"/>
    <x v="57"/>
    <s v="ADARSH LAXMIPUR-3"/>
    <s v="MPG"/>
    <s v="Direct"/>
    <n v="163.20000000000002"/>
    <n v="8589.7200000000012"/>
    <n v="164.64000000000001"/>
    <n v="8679.4399999999987"/>
    <n v="0"/>
    <n v="0"/>
    <n v="164.64000000000001"/>
    <n v="8679.4399999999987"/>
    <n v="8589.7200000000012"/>
    <n v="0"/>
    <n v="0"/>
    <n v="89.719999999997526"/>
    <n v="0"/>
    <n v="500"/>
    <n v="0"/>
    <n v="8090"/>
    <n v="0"/>
    <n v="0"/>
    <n v="0"/>
    <n v="0"/>
    <n v="565.06883529411766"/>
    <n v="23.314285714285717"/>
    <n v="-1.0445043610268729E-2"/>
    <n v="6"/>
    <m/>
    <s v="Laldiyara"/>
    <m/>
    <n v="500"/>
  </r>
  <r>
    <s v="Munger"/>
    <s v="24-30 Jul"/>
    <n v="1002"/>
    <s v="Laldiyara"/>
    <x v="58"/>
    <s v="BHANPUR"/>
    <s v="MPG"/>
    <s v="Direct"/>
    <n v="685.89999999999986"/>
    <n v="26625.73"/>
    <n v="685.8"/>
    <n v="26536.71"/>
    <n v="0"/>
    <n v="0"/>
    <n v="685.8"/>
    <n v="26536.71"/>
    <n v="26536.71"/>
    <n v="0"/>
    <n v="0"/>
    <n v="0"/>
    <n v="0"/>
    <n v="0"/>
    <n v="0"/>
    <n v="26537"/>
    <n v="0"/>
    <n v="0"/>
    <n v="89"/>
    <n v="0"/>
    <n v="10.946866686105954"/>
    <n v="97.985714285714266"/>
    <n v="3.3433825100757965E-3"/>
    <n v="1"/>
    <m/>
    <s v="Laldiyara"/>
    <m/>
    <n v="0"/>
  </r>
  <r>
    <s v="Munger"/>
    <s v="24-30 Jul"/>
    <n v="1002"/>
    <s v="Laldiyara"/>
    <x v="59"/>
    <s v="Karari Pipariya 2"/>
    <s v="MPG"/>
    <s v="Direct"/>
    <n v="621.5"/>
    <n v="27408.929999999997"/>
    <n v="620.97"/>
    <n v="27902.719999999998"/>
    <n v="9.74"/>
    <n v="429.69999999999993"/>
    <n v="630.71"/>
    <n v="28332.42"/>
    <n v="27408.929999999997"/>
    <n v="0"/>
    <n v="429.69999999999993"/>
    <n v="923.4900000000016"/>
    <n v="0"/>
    <n v="0"/>
    <n v="0"/>
    <n v="26979"/>
    <n v="0"/>
    <n v="0"/>
    <n v="0"/>
    <n v="0"/>
    <n v="69.238970394207513"/>
    <n v="88.785714285714292"/>
    <n v="-3.3693033620794455E-2"/>
    <n v="8"/>
    <m/>
    <s v="Laldiyara"/>
    <m/>
    <n v="0"/>
  </r>
  <r>
    <s v="Munger"/>
    <s v="24-30 Jul"/>
    <n v="1002"/>
    <s v="Laldiyara"/>
    <x v="60"/>
    <s v="DIYARA PIPARIYA-THANA                                                                               "/>
    <s v="MPG"/>
    <s v="Direct"/>
    <n v="1311.9"/>
    <n v="59376.87"/>
    <n v="1305.7300000000002"/>
    <n v="58737.62000000001"/>
    <n v="7.7399999999999993"/>
    <n v="344.72999999999996"/>
    <n v="1313.4700000000003"/>
    <n v="59082.350000000013"/>
    <n v="59082.350000000013"/>
    <n v="0"/>
    <n v="344.72999999999996"/>
    <n v="0"/>
    <n v="0"/>
    <n v="0"/>
    <n v="0"/>
    <n v="58739"/>
    <n v="0"/>
    <n v="0"/>
    <n v="293"/>
    <n v="0"/>
    <n v="0"/>
    <n v="0"/>
    <n v="4.9601806225216911E-3"/>
    <n v="23"/>
    <m/>
    <s v="Laldiyara"/>
    <m/>
    <n v="0"/>
  </r>
  <r>
    <s v="Munger"/>
    <s v="24-30 Jul"/>
    <n v="1002"/>
    <s v="Laldiyara"/>
    <x v="61"/>
    <s v="SRI RAM SINGH(VLC)"/>
    <s v="vlc"/>
    <s v="Indirect"/>
    <n v="3343.8"/>
    <n v="144252.51999999999"/>
    <n v="0"/>
    <n v="0"/>
    <n v="0"/>
    <n v="0"/>
    <n v="0"/>
    <n v="0"/>
    <n v="144252.51999999999"/>
    <n v="0"/>
    <n v="0"/>
    <n v="0"/>
    <n v="0"/>
    <n v="0"/>
    <n v="0"/>
    <n v="0"/>
    <n v="0"/>
    <n v="144252.51999999999"/>
    <n v="0"/>
    <n v="0"/>
    <n v="0"/>
    <n v="0"/>
    <n v="0"/>
    <n v="0"/>
    <m/>
    <s v="Laldiyara"/>
    <m/>
    <n v="0"/>
  </r>
  <r>
    <s v="Munger"/>
    <s v="24-30 Jul"/>
    <n v="1002"/>
    <s v="Laldiyara"/>
    <x v="62"/>
    <s v="GADHTOLA"/>
    <s v="MPG"/>
    <s v="Direct"/>
    <n v="950.30000000000007"/>
    <n v="45024.739999999991"/>
    <n v="944.53"/>
    <n v="44850.580000000009"/>
    <n v="4.4399999999999995"/>
    <n v="198.03"/>
    <n v="948.97"/>
    <n v="45048.610000000008"/>
    <n v="45024.739999999991"/>
    <n v="0"/>
    <n v="198.03"/>
    <n v="23.870000000017171"/>
    <n v="0"/>
    <n v="0"/>
    <n v="0"/>
    <n v="44850"/>
    <n v="0"/>
    <n v="0"/>
    <n v="-23"/>
    <s v="Release2"/>
    <n v="0"/>
    <n v="0"/>
    <n v="-5.3015297811863382E-4"/>
    <n v="9"/>
    <m/>
    <s v="Laldiyara"/>
    <m/>
    <n v="0"/>
  </r>
  <r>
    <s v="Munger"/>
    <s v="24-30 Jul"/>
    <n v="1002"/>
    <s v="Laldiyara"/>
    <x v="63"/>
    <s v="Chetan Tola - Ravi"/>
    <s v="vlc"/>
    <s v="Indirect"/>
    <n v="310.70000000000005"/>
    <n v="16981.560000000001"/>
    <n v="0"/>
    <n v="0"/>
    <n v="0"/>
    <n v="0"/>
    <n v="0"/>
    <n v="0"/>
    <n v="16981.560000000001"/>
    <n v="0"/>
    <n v="0"/>
    <n v="0"/>
    <n v="0"/>
    <n v="0"/>
    <n v="0"/>
    <n v="0"/>
    <n v="0"/>
    <n v="16981.560000000001"/>
    <n v="0"/>
    <n v="0"/>
    <n v="425.55013247505622"/>
    <n v="44.385714285714293"/>
    <n v="0"/>
    <n v="0"/>
    <m/>
    <s v="Laldiyara"/>
    <m/>
    <n v="0"/>
  </r>
  <r>
    <s v="Munger"/>
    <s v="24-30 Jul"/>
    <n v="1002"/>
    <s v="Laldiyara"/>
    <x v="64"/>
    <s v="Diyara-Pipariya-Utri - Chandan"/>
    <s v="vlc"/>
    <s v="Indirect"/>
    <n v="1970.7999999999997"/>
    <n v="86763.119999999981"/>
    <n v="0"/>
    <n v="0"/>
    <n v="0"/>
    <n v="0"/>
    <n v="0"/>
    <n v="0"/>
    <n v="86763.119999999981"/>
    <n v="0"/>
    <n v="0"/>
    <n v="0"/>
    <n v="0"/>
    <n v="0"/>
    <n v="0"/>
    <n v="0"/>
    <n v="0"/>
    <n v="86763.119999999981"/>
    <n v="0"/>
    <n v="0"/>
    <n v="0"/>
    <n v="0"/>
    <n v="0"/>
    <n v="0"/>
    <m/>
    <s v="Laldiyara"/>
    <m/>
    <n v="0"/>
  </r>
  <r>
    <s v="Munger"/>
    <s v="24-30 Jul"/>
    <n v="1002"/>
    <s v="Laldiyara"/>
    <x v="967"/>
    <s v="Chetan Tola-Dakshin - Hari Om"/>
    <s v="vlc"/>
    <s v="Indirect"/>
    <n v="422.5"/>
    <n v="23327.65"/>
    <n v="0"/>
    <n v="0"/>
    <n v="0"/>
    <n v="0"/>
    <n v="0"/>
    <n v="0"/>
    <n v="23327.65"/>
    <n v="0"/>
    <n v="0"/>
    <n v="0"/>
    <n v="0"/>
    <n v="0"/>
    <n v="0"/>
    <n v="0"/>
    <n v="0"/>
    <n v="23327.65"/>
    <n v="0"/>
    <n v="0"/>
    <n v="306.43421893491126"/>
    <n v="60.357142857142854"/>
    <n v="0"/>
    <n v="0"/>
    <m/>
    <s v="Laldiyara"/>
    <m/>
    <n v="0"/>
  </r>
  <r>
    <s v="Munger"/>
    <s v="24-30 Jul"/>
    <n v="1002"/>
    <s v="Laldiyara"/>
    <x v="65"/>
    <s v="KANHARPUR-2"/>
    <s v="MPG"/>
    <s v="Direct"/>
    <n v="2706.6"/>
    <n v="125229.05000000002"/>
    <n v="2289.69"/>
    <n v="109086.89"/>
    <n v="421.21000000000004"/>
    <n v="18293.07"/>
    <n v="2710.9"/>
    <n v="127379.95999999999"/>
    <n v="125229.05000000002"/>
    <n v="0"/>
    <n v="1782.8300000000002"/>
    <n v="2150.9099999999744"/>
    <n v="0"/>
    <n v="0"/>
    <n v="0"/>
    <n v="106936"/>
    <n v="16510"/>
    <n v="0"/>
    <n v="0"/>
    <n v="0"/>
    <n v="0"/>
    <n v="0"/>
    <n v="-1.7175807051159248E-2"/>
    <n v="13"/>
    <m/>
    <s v="Laldiyara"/>
    <m/>
    <n v="0"/>
  </r>
  <r>
    <s v="Munger"/>
    <s v="24-30 Jul"/>
    <n v="1002"/>
    <s v="Laldiyara"/>
    <x v="66"/>
    <s v="BASAUNA"/>
    <s v="MPG"/>
    <s v="Direct"/>
    <n v="676.30000000000007"/>
    <n v="28291.100000000002"/>
    <n v="455.90999999999997"/>
    <n v="20724.449999999997"/>
    <n v="222.71999999999997"/>
    <n v="8735.6899999999987"/>
    <n v="678.62999999999988"/>
    <n v="29460.139999999996"/>
    <n v="28291.100000000002"/>
    <n v="0"/>
    <n v="204.36999999999995"/>
    <n v="1169.0399999999936"/>
    <n v="0"/>
    <n v="0"/>
    <n v="0"/>
    <n v="19555"/>
    <n v="8532"/>
    <n v="0"/>
    <n v="0"/>
    <n v="0"/>
    <n v="19.828450983291358"/>
    <n v="96.614285714285728"/>
    <n v="-4.1321829126474176E-2"/>
    <n v="8"/>
    <m/>
    <s v="Laldiyara"/>
    <m/>
    <n v="0"/>
  </r>
  <r>
    <s v="Munger"/>
    <s v="24-30 Jul"/>
    <n v="1002"/>
    <s v="Laldiyara"/>
    <x v="67"/>
    <s v="GANGA-SARAI"/>
    <s v="MPG"/>
    <s v="Direct"/>
    <n v="985.89999999999986"/>
    <n v="43096.58"/>
    <n v="689.52"/>
    <n v="28932.780000000002"/>
    <n v="322.60000000000002"/>
    <n v="14178.570000000002"/>
    <n v="1012.12"/>
    <n v="43111.350000000006"/>
    <n v="43096.58"/>
    <n v="0"/>
    <n v="471.76000000000005"/>
    <n v="14.770000000004075"/>
    <n v="0"/>
    <n v="0"/>
    <n v="0"/>
    <n v="28918"/>
    <n v="13707"/>
    <n v="0"/>
    <n v="0"/>
    <n v="0"/>
    <n v="0"/>
    <n v="0"/>
    <n v="-3.4271861015431097E-4"/>
    <n v="10"/>
    <m/>
    <s v="Laldiyara"/>
    <m/>
    <n v="0"/>
  </r>
  <r>
    <s v="Munger"/>
    <s v="24-30 Jul"/>
    <n v="1002"/>
    <s v="Laldiyara"/>
    <x v="68"/>
    <s v="GOVIND-BIGHA                                                                                        "/>
    <s v="MPG"/>
    <s v="Direct"/>
    <n v="272"/>
    <n v="11111.43"/>
    <n v="272.75"/>
    <n v="11140.6"/>
    <n v="3.96"/>
    <n v="166.17999999999998"/>
    <n v="276.70999999999998"/>
    <n v="11306.78"/>
    <n v="11111.43"/>
    <n v="0"/>
    <n v="166.17999999999998"/>
    <n v="195.35000000000036"/>
    <n v="0"/>
    <n v="0"/>
    <n v="0"/>
    <n v="10945"/>
    <n v="0"/>
    <n v="0"/>
    <n v="0"/>
    <n v="0"/>
    <n v="349.68323823529414"/>
    <n v="38.857142857142854"/>
    <n v="-1.7580995425431321E-2"/>
    <n v="12"/>
    <m/>
    <s v="Laldiyara"/>
    <m/>
    <n v="0"/>
  </r>
  <r>
    <s v="Munger"/>
    <s v="24-30 Jul"/>
    <n v="1002"/>
    <s v="Laldiyara"/>
    <x v="69"/>
    <s v="MALPUR                                                                                              "/>
    <s v="MPG"/>
    <s v="Direct"/>
    <n v="991.89999999999986"/>
    <n v="46269.420000000013"/>
    <n v="595.88"/>
    <n v="30911.58"/>
    <n v="398.67000000000007"/>
    <n v="17171.940000000002"/>
    <n v="994.55000000000007"/>
    <n v="48083.520000000004"/>
    <n v="46269.420000000013"/>
    <n v="0"/>
    <n v="281.75"/>
    <n v="1814.0999999999913"/>
    <n v="0"/>
    <n v="0"/>
    <n v="0"/>
    <n v="29097"/>
    <n v="16890"/>
    <n v="0"/>
    <n v="1"/>
    <n v="0"/>
    <n v="0"/>
    <n v="0"/>
    <n v="-3.9207320947614879E-2"/>
    <n v="11"/>
    <m/>
    <s v="Laldiyara"/>
    <m/>
    <n v="0"/>
  </r>
  <r>
    <s v="Munger"/>
    <s v="24-30 Jul"/>
    <n v="1002"/>
    <s v="Laldiyara"/>
    <x v="70"/>
    <s v="Gomukh Hasanpur"/>
    <s v="vlc"/>
    <s v="Indirect"/>
    <n v="121.00000000000001"/>
    <n v="4836.51"/>
    <n v="0"/>
    <n v="0"/>
    <n v="0"/>
    <n v="0"/>
    <n v="0"/>
    <n v="0"/>
    <n v="4836.51"/>
    <n v="0"/>
    <n v="0"/>
    <n v="0"/>
    <n v="0"/>
    <n v="0"/>
    <n v="0"/>
    <n v="0"/>
    <n v="0"/>
    <n v="4836.51"/>
    <n v="0"/>
    <n v="0"/>
    <n v="462.86599834710739"/>
    <n v="17.285714285714288"/>
    <n v="0"/>
    <n v="0"/>
    <m/>
    <s v="Laldiyara"/>
    <m/>
    <n v="0"/>
  </r>
  <r>
    <s v="Munger"/>
    <s v="24-30 Jul"/>
    <n v="1002"/>
    <s v="Laldiyara"/>
    <x v="72"/>
    <s v="SABIKPUR"/>
    <s v="MPG"/>
    <s v="Direct"/>
    <n v="1443.2"/>
    <n v="62918.219999999994"/>
    <n v="1452.2299999999998"/>
    <n v="65808.000000000015"/>
    <n v="0"/>
    <n v="0"/>
    <n v="1452.2299999999998"/>
    <n v="65808.000000000015"/>
    <n v="62918.219999999994"/>
    <n v="0"/>
    <n v="0"/>
    <n v="2889.7800000000207"/>
    <n v="0"/>
    <n v="0"/>
    <n v="0"/>
    <n v="62918"/>
    <n v="0"/>
    <n v="0"/>
    <n v="0"/>
    <n v="0"/>
    <n v="0"/>
    <n v="0"/>
    <n v="-4.5929144212916717E-2"/>
    <n v="35"/>
    <m/>
    <s v="Laldiyara"/>
    <m/>
    <n v="0"/>
  </r>
  <r>
    <s v="Munger"/>
    <s v="24-30 Jul"/>
    <n v="1002"/>
    <s v="Laldiyara"/>
    <x v="73"/>
    <s v="CHETAN-TOLA-KHUTHA"/>
    <s v="MPG"/>
    <s v="Direct"/>
    <n v="183.4"/>
    <n v="7982.37"/>
    <n v="183.29"/>
    <n v="7981.8200000000015"/>
    <n v="0.61999999999999988"/>
    <n v="24.649999999999995"/>
    <n v="183.91"/>
    <n v="8006.4700000000012"/>
    <n v="7982.37"/>
    <n v="0"/>
    <n v="24.649999999999995"/>
    <n v="24.100000000001273"/>
    <n v="0"/>
    <n v="500"/>
    <n v="0"/>
    <n v="7457"/>
    <n v="0"/>
    <n v="0"/>
    <n v="1"/>
    <n v="0"/>
    <n v="449.6938213740458"/>
    <n v="26.2"/>
    <n v="-3.0191534594363923E-3"/>
    <n v="2"/>
    <m/>
    <s v="Laldiyara"/>
    <m/>
    <n v="500"/>
  </r>
  <r>
    <s v="Munger"/>
    <s v="24-30 Jul"/>
    <n v="1002"/>
    <s v="Laldiyara"/>
    <x v="74"/>
    <s v="LAXMIPUR"/>
    <s v="MPG"/>
    <s v="Direct"/>
    <n v="697.69999999999993"/>
    <n v="28059.13"/>
    <n v="698.8"/>
    <n v="32336.3"/>
    <n v="0"/>
    <n v="0"/>
    <n v="698.8"/>
    <n v="32336.3"/>
    <n v="28059.13"/>
    <n v="0"/>
    <n v="0"/>
    <n v="4277.1699999999983"/>
    <n v="0"/>
    <n v="0"/>
    <n v="0"/>
    <n v="28059"/>
    <n v="0"/>
    <n v="0"/>
    <n v="0"/>
    <s v="Release2"/>
    <n v="1.8499641393149355"/>
    <n v="99.671428571428564"/>
    <n v="-0.15243416314048219"/>
    <n v="10"/>
    <m/>
    <s v="Laldiyara"/>
    <m/>
    <n v="0"/>
  </r>
  <r>
    <s v="Munger"/>
    <s v="24-30 Jul"/>
    <n v="1002"/>
    <s v="Laldiyara"/>
    <x v="75"/>
    <s v="REHUA RK"/>
    <s v="vlc"/>
    <s v="Indirect"/>
    <n v="1044.5"/>
    <n v="40110.860000000015"/>
    <n v="0"/>
    <n v="0"/>
    <n v="0"/>
    <n v="0"/>
    <n v="0"/>
    <n v="0"/>
    <n v="40110.860000000015"/>
    <n v="0"/>
    <n v="0"/>
    <n v="0"/>
    <n v="0"/>
    <n v="0"/>
    <n v="0"/>
    <n v="0"/>
    <n v="0"/>
    <n v="40110.860000000015"/>
    <n v="0"/>
    <n v="0"/>
    <n v="0"/>
    <n v="0"/>
    <n v="0"/>
    <n v="0"/>
    <m/>
    <s v="Laldiyara"/>
    <m/>
    <n v="0"/>
  </r>
  <r>
    <s v="Munger"/>
    <s v="24-30 Jul"/>
    <n v="1002"/>
    <s v="Laldiyara"/>
    <x v="76"/>
    <s v="RAMNAGAR"/>
    <s v="MPG"/>
    <s v="Direct"/>
    <n v="266.2"/>
    <n v="12207.55"/>
    <n v="273.09999999999997"/>
    <n v="12868.38"/>
    <n v="0.6"/>
    <n v="21.52"/>
    <n v="273.7"/>
    <n v="12889.9"/>
    <n v="12207.55"/>
    <n v="0"/>
    <n v="21.52"/>
    <n v="682.35000000000036"/>
    <n v="0"/>
    <n v="0"/>
    <n v="0"/>
    <n v="12186"/>
    <n v="0"/>
    <n v="0"/>
    <n v="0"/>
    <s v="Release2"/>
    <n v="397.86890984222396"/>
    <n v="38.028571428571425"/>
    <n v="-5.5895736654775152E-2"/>
    <n v="9"/>
    <m/>
    <s v="Laldiyara"/>
    <m/>
    <n v="0"/>
  </r>
  <r>
    <s v="Munger"/>
    <s v="24-30 Jul"/>
    <n v="1002"/>
    <s v="Laldiyara"/>
    <x v="77"/>
    <s v="BANSIPUR"/>
    <s v="MPG"/>
    <s v="Direct"/>
    <n v="294.99999999999994"/>
    <n v="14494.289999999999"/>
    <n v="295"/>
    <n v="14526.189999999999"/>
    <n v="0"/>
    <n v="0"/>
    <n v="295"/>
    <n v="14526.189999999999"/>
    <n v="14494.289999999999"/>
    <n v="0"/>
    <n v="0"/>
    <n v="31.899999999999636"/>
    <n v="0"/>
    <n v="500"/>
    <n v="0"/>
    <n v="13994"/>
    <n v="0"/>
    <n v="0"/>
    <n v="0"/>
    <n v="0"/>
    <n v="397.97881016949162"/>
    <n v="42.142857142857132"/>
    <n v="-2.200866686122579E-3"/>
    <n v="1"/>
    <m/>
    <s v="Laldiyara"/>
    <m/>
    <n v="500"/>
  </r>
  <r>
    <s v="Munger"/>
    <s v="24-30 Jul"/>
    <n v="1002"/>
    <s v="Laldiyara"/>
    <x v="78"/>
    <s v="GODIH"/>
    <s v="MPG"/>
    <s v="Direct"/>
    <n v="480.79999999999995"/>
    <n v="20551.119999999995"/>
    <n v="478.15999999999997"/>
    <n v="28198.720000000001"/>
    <n v="0"/>
    <n v="0"/>
    <n v="478.15999999999997"/>
    <n v="28198.720000000001"/>
    <n v="20551.119999999995"/>
    <n v="0"/>
    <n v="0"/>
    <n v="7647.6000000000058"/>
    <n v="0"/>
    <n v="0"/>
    <n v="0"/>
    <n v="20551"/>
    <n v="0"/>
    <n v="0"/>
    <n v="0"/>
    <n v="0"/>
    <n v="187.38791613976704"/>
    <n v="68.685714285714283"/>
    <n v="-0.37212570409787921"/>
    <n v="2"/>
    <m/>
    <s v="Laldiyara"/>
    <m/>
    <n v="0"/>
  </r>
  <r>
    <s v="Munger"/>
    <s v="24-30 Jul"/>
    <n v="1002"/>
    <s v="Laldiyara"/>
    <x v="79"/>
    <s v="SINGARPUR"/>
    <s v="MPG"/>
    <s v="Direct"/>
    <n v="32.5"/>
    <n v="1435.93"/>
    <n v="33.19"/>
    <n v="1621.5200000000002"/>
    <n v="0"/>
    <n v="0"/>
    <n v="33.19"/>
    <n v="1621.5200000000002"/>
    <n v="1435.93"/>
    <n v="0"/>
    <n v="0"/>
    <n v="185.59000000000015"/>
    <n v="0"/>
    <n v="500"/>
    <n v="0"/>
    <n v="936"/>
    <n v="0"/>
    <n v="0"/>
    <n v="0"/>
    <n v="0"/>
    <n v="589.83586153846159"/>
    <n v="4.6428571428571432"/>
    <n v="-0.12924724742849591"/>
    <n v="2"/>
    <m/>
    <s v="Laldiyara"/>
    <m/>
    <n v="500"/>
  </r>
  <r>
    <s v="Munger"/>
    <s v="24-30 Jul"/>
    <n v="1002"/>
    <s v="Laldiyara"/>
    <x v="80"/>
    <s v="G WOLIPUR"/>
    <s v="MPG"/>
    <s v="Indirect"/>
    <n v="2010.1999999999998"/>
    <n v="85996.23"/>
    <n v="0"/>
    <n v="0"/>
    <n v="0"/>
    <n v="0"/>
    <n v="0"/>
    <n v="0"/>
    <n v="85996.23"/>
    <n v="0"/>
    <n v="0"/>
    <n v="0"/>
    <n v="0"/>
    <n v="0"/>
    <n v="0"/>
    <n v="0"/>
    <n v="0"/>
    <n v="85996.23"/>
    <n v="0"/>
    <n v="0"/>
    <n v="0"/>
    <n v="0"/>
    <n v="0"/>
    <n v="0"/>
    <m/>
    <s v="Laldiyara"/>
    <m/>
    <n v="0"/>
  </r>
  <r>
    <s v="Munger"/>
    <s v="24-30 Jul"/>
    <n v="1002"/>
    <s v="Laldiyara"/>
    <x v="81"/>
    <s v="REHUA 3"/>
    <s v="MPG"/>
    <s v="Indirect"/>
    <n v="1827.8999999999994"/>
    <n v="79196.239999999991"/>
    <n v="0"/>
    <n v="0"/>
    <n v="0"/>
    <n v="0"/>
    <n v="0"/>
    <n v="0"/>
    <n v="79196.239999999991"/>
    <n v="0"/>
    <n v="0"/>
    <n v="0"/>
    <n v="0"/>
    <n v="0"/>
    <n v="0"/>
    <n v="0"/>
    <n v="0"/>
    <n v="79196.239999999991"/>
    <n v="0"/>
    <n v="0"/>
    <n v="0"/>
    <n v="0"/>
    <n v="0"/>
    <n v="0"/>
    <m/>
    <s v="Laldiyara"/>
    <m/>
    <n v="0"/>
  </r>
  <r>
    <s v="Munger"/>
    <s v="24-30 Jul"/>
    <n v="1002"/>
    <s v="Laldiyara"/>
    <x v="82"/>
    <s v="BICHWAY"/>
    <s v="MPG"/>
    <s v="Direct"/>
    <n v="468.79999999999995"/>
    <n v="18672.39"/>
    <n v="468.4"/>
    <n v="19466.039999999997"/>
    <n v="0"/>
    <n v="0"/>
    <n v="468.4"/>
    <n v="19466.039999999997"/>
    <n v="18672.39"/>
    <n v="0"/>
    <n v="0"/>
    <n v="793.64999999999782"/>
    <n v="0"/>
    <n v="0"/>
    <n v="0"/>
    <n v="18672"/>
    <n v="0"/>
    <n v="0"/>
    <n v="0"/>
    <n v="0"/>
    <n v="184.17476825938576"/>
    <n v="66.971428571428561"/>
    <n v="-4.2503932276478688E-2"/>
    <n v="2"/>
    <m/>
    <s v="Laldiyara"/>
    <m/>
    <n v="0"/>
  </r>
  <r>
    <s v="Munger"/>
    <s v="24-30 Jul"/>
    <n v="1002"/>
    <s v="Laldiyara"/>
    <x v="83"/>
    <s v="MANOHARPUR"/>
    <s v="MPG"/>
    <s v="Direct"/>
    <n v="564.59999999999991"/>
    <n v="23309.969999999998"/>
    <n v="145.94"/>
    <n v="5755.0199999999995"/>
    <n v="421.61999999999995"/>
    <n v="17126.61"/>
    <n v="567.55999999999995"/>
    <n v="22881.63"/>
    <n v="22881.63"/>
    <n v="0"/>
    <n v="0"/>
    <n v="0"/>
    <n v="0"/>
    <n v="0"/>
    <n v="0"/>
    <n v="5755"/>
    <n v="17126"/>
    <n v="0"/>
    <n v="429"/>
    <n v="0"/>
    <n v="111.80198150903303"/>
    <n v="80.657142857142844"/>
    <n v="1.8375828025518546E-2"/>
    <n v="24"/>
    <m/>
    <s v="Laldiyara"/>
    <m/>
    <n v="0"/>
  </r>
  <r>
    <s v="Munger"/>
    <s v="24-30 Jul"/>
    <n v="1002"/>
    <s v="Laldiyara"/>
    <x v="84"/>
    <s v="HIRDANBIGHA"/>
    <s v="MPG"/>
    <s v="Direct"/>
    <n v="807.99999999999989"/>
    <n v="33378.130000000005"/>
    <n v="806.71"/>
    <n v="33526.509999999995"/>
    <n v="0"/>
    <n v="0"/>
    <n v="806.71"/>
    <n v="33526.509999999995"/>
    <n v="33378.130000000005"/>
    <n v="0"/>
    <n v="0"/>
    <n v="148.3799999999901"/>
    <n v="0"/>
    <n v="0"/>
    <n v="0"/>
    <n v="33378"/>
    <n v="0"/>
    <n v="0"/>
    <n v="0"/>
    <n v="0"/>
    <n v="0"/>
    <n v="0"/>
    <n v="-4.4454257922774609E-3"/>
    <n v="2"/>
    <m/>
    <s v="Laldiyara"/>
    <m/>
    <n v="0"/>
  </r>
  <r>
    <s v="Munger"/>
    <s v="24-30 Jul"/>
    <n v="1002"/>
    <s v="Laldiyara"/>
    <x v="85"/>
    <s v="KHUTAHA DIH C"/>
    <s v="MPG"/>
    <s v="Direct"/>
    <n v="297.10000000000002"/>
    <n v="11684.41"/>
    <n v="297.09999999999997"/>
    <n v="11633.44"/>
    <n v="0"/>
    <n v="0"/>
    <n v="297.09999999999997"/>
    <n v="11633.44"/>
    <n v="11633.44"/>
    <n v="0"/>
    <n v="0"/>
    <n v="0"/>
    <n v="0"/>
    <n v="0"/>
    <n v="0"/>
    <n v="11633"/>
    <n v="0"/>
    <n v="0"/>
    <n v="51"/>
    <n v="0"/>
    <n v="316.90668387748235"/>
    <n v="42.442857142857143"/>
    <n v="4.3622228251147767E-3"/>
    <n v="1"/>
    <m/>
    <s v="Laldiyara"/>
    <m/>
    <n v="0"/>
  </r>
  <r>
    <s v="Munger"/>
    <s v="24-30 Jul"/>
    <n v="1003"/>
    <s v="Asarganj"/>
    <x v="86"/>
    <s v="MOHANPUR"/>
    <s v="vlc"/>
    <s v="Indirect"/>
    <n v="540.9"/>
    <n v="22967.77"/>
    <n v="0"/>
    <n v="0"/>
    <n v="0"/>
    <n v="0"/>
    <n v="0"/>
    <n v="0"/>
    <n v="22967.77"/>
    <n v="0"/>
    <n v="0"/>
    <n v="0"/>
    <n v="0"/>
    <n v="0"/>
    <n v="0"/>
    <n v="0"/>
    <n v="0"/>
    <n v="22967.77"/>
    <n v="0"/>
    <n v="0"/>
    <n v="135.11452050286559"/>
    <n v="77.271428571428572"/>
    <n v="0"/>
    <n v="0"/>
    <m/>
    <s v="Asarganj"/>
    <m/>
    <n v="0"/>
  </r>
  <r>
    <s v="Munger"/>
    <s v="24-30 Jul"/>
    <n v="1003"/>
    <s v="Asarganj"/>
    <x v="87"/>
    <s v="CHATMADIH"/>
    <s v="MPG"/>
    <s v="Direct"/>
    <n v="1852.3999999999996"/>
    <n v="88781.940000000017"/>
    <n v="1837.6000000000001"/>
    <n v="84533.65"/>
    <n v="26.2"/>
    <n v="1873.64"/>
    <n v="1863.8000000000002"/>
    <n v="86407.29"/>
    <n v="86407.29"/>
    <n v="0"/>
    <n v="1873.64"/>
    <n v="0"/>
    <n v="0"/>
    <n v="0"/>
    <n v="0"/>
    <n v="84534"/>
    <n v="0"/>
    <n v="0"/>
    <n v="2374"/>
    <n v="0"/>
    <n v="0"/>
    <n v="0"/>
    <n v="2.6746993814282756E-2"/>
    <n v="70"/>
    <m/>
    <s v="Asarganj"/>
    <m/>
    <n v="0"/>
  </r>
  <r>
    <s v="Munger"/>
    <s v="24-30 Jul"/>
    <n v="1003"/>
    <s v="Asarganj"/>
    <x v="88"/>
    <s v="SIYADIH"/>
    <s v="vlc"/>
    <s v="Indirect"/>
    <n v="747.44999999999993"/>
    <n v="22919.429999999997"/>
    <n v="0"/>
    <n v="0"/>
    <n v="0"/>
    <n v="0"/>
    <n v="0"/>
    <n v="0"/>
    <n v="22919.429999999997"/>
    <n v="0"/>
    <n v="0"/>
    <n v="0"/>
    <n v="0"/>
    <n v="0"/>
    <n v="0"/>
    <n v="0"/>
    <n v="0"/>
    <n v="22919.429999999997"/>
    <n v="0"/>
    <n v="0"/>
    <n v="0"/>
    <n v="0"/>
    <n v="0"/>
    <n v="0"/>
    <m/>
    <s v="Asarganj"/>
    <m/>
    <n v="0"/>
  </r>
  <r>
    <s v="Munger"/>
    <s v="24-30 Jul"/>
    <n v="1003"/>
    <s v="Asarganj"/>
    <x v="89"/>
    <s v="Gomukh ID Laldiyara"/>
    <s v="vlc"/>
    <s v="Indirect"/>
    <n v="11037.800000000001"/>
    <n v="472029.31"/>
    <n v="0"/>
    <n v="0"/>
    <n v="0"/>
    <n v="0"/>
    <n v="0"/>
    <n v="0"/>
    <n v="472029.31"/>
    <n v="0"/>
    <n v="0"/>
    <n v="0"/>
    <n v="0"/>
    <n v="0"/>
    <n v="0"/>
    <n v="0"/>
    <n v="0"/>
    <n v="472029.31"/>
    <n v="0"/>
    <n v="0"/>
    <n v="0"/>
    <n v="0"/>
    <n v="0"/>
    <n v="0"/>
    <m/>
    <s v="Asarganj"/>
    <m/>
    <n v="0"/>
  </r>
  <r>
    <s v="Munger"/>
    <s v="24-30 Jul"/>
    <n v="1003"/>
    <s v="Asarganj"/>
    <x v="90"/>
    <s v="KATHNI"/>
    <s v="MPG"/>
    <s v="Direct"/>
    <n v="225.00000000000006"/>
    <n v="8000.74"/>
    <n v="217.6"/>
    <n v="8038.43"/>
    <n v="5.5"/>
    <n v="235.46"/>
    <n v="223.1"/>
    <n v="8273.89"/>
    <n v="8000.74"/>
    <n v="0"/>
    <n v="0"/>
    <n v="273.14999999999964"/>
    <n v="0"/>
    <n v="0"/>
    <n v="0"/>
    <n v="7766"/>
    <n v="235"/>
    <n v="0"/>
    <n v="0"/>
    <n v="0"/>
    <n v="337.80902222222204"/>
    <n v="32.142857142857153"/>
    <n v="-3.4140591995240395E-2"/>
    <n v="3"/>
    <m/>
    <s v="Asarganj"/>
    <m/>
    <n v="0"/>
  </r>
  <r>
    <s v="Munger"/>
    <s v="24-30 Jul"/>
    <n v="1003"/>
    <s v="Asarganj"/>
    <x v="91"/>
    <s v="DEVDHA GOMUKH MPG"/>
    <s v="MPG"/>
    <s v="Direct"/>
    <n v="1407.1"/>
    <n v="61002.689999999995"/>
    <n v="1396.9"/>
    <n v="60514.520000000011"/>
    <n v="6.6"/>
    <n v="289.48"/>
    <n v="1403.5"/>
    <n v="60804.000000000015"/>
    <n v="60804.000000000015"/>
    <n v="0"/>
    <n v="289.48"/>
    <n v="0"/>
    <n v="0"/>
    <n v="0"/>
    <n v="0"/>
    <n v="60515"/>
    <n v="0"/>
    <n v="0"/>
    <n v="198"/>
    <n v="0"/>
    <n v="0"/>
    <n v="0"/>
    <n v="3.2570694833290222E-3"/>
    <n v="20"/>
    <m/>
    <s v="Asarganj"/>
    <m/>
    <n v="0"/>
  </r>
  <r>
    <s v="Munger"/>
    <s v="24-30 Jul"/>
    <n v="1003"/>
    <s v="Asarganj"/>
    <x v="92"/>
    <s v="KASBA(MANGOAN)"/>
    <s v="vlc"/>
    <s v="Indirect"/>
    <n v="407.85000000000008"/>
    <n v="15290.54"/>
    <n v="0"/>
    <n v="0"/>
    <n v="0"/>
    <n v="0"/>
    <n v="0"/>
    <n v="0"/>
    <n v="15290.54"/>
    <n v="0"/>
    <n v="0"/>
    <n v="0"/>
    <n v="0"/>
    <n v="0"/>
    <n v="0"/>
    <n v="0"/>
    <n v="0"/>
    <n v="15290.54"/>
    <n v="0"/>
    <n v="0"/>
    <n v="219.05755846512193"/>
    <n v="58.264285714285727"/>
    <n v="0"/>
    <n v="0"/>
    <m/>
    <s v="Asarganj"/>
    <m/>
    <n v="0"/>
  </r>
  <r>
    <s v="Munger"/>
    <s v="24-30 Jul"/>
    <n v="1003"/>
    <s v="Asarganj"/>
    <x v="93"/>
    <s v="LOHRA"/>
    <s v="MPG"/>
    <s v="Direct"/>
    <n v="747.95"/>
    <n v="40933.129999999997"/>
    <n v="733.4"/>
    <n v="41313.19"/>
    <n v="17.100000000000001"/>
    <n v="909.99"/>
    <n v="750.5"/>
    <n v="42223.18"/>
    <n v="40933.129999999997"/>
    <n v="0"/>
    <n v="909.99"/>
    <n v="1290.0500000000029"/>
    <n v="0"/>
    <n v="0"/>
    <n v="0"/>
    <n v="40023"/>
    <n v="0"/>
    <n v="0"/>
    <n v="0"/>
    <n v="0"/>
    <n v="0"/>
    <n v="0"/>
    <n v="-3.1516036032426621E-2"/>
    <n v="12"/>
    <m/>
    <s v="Asarganj"/>
    <m/>
    <n v="0"/>
  </r>
  <r>
    <s v="Munger"/>
    <s v="24-30 Jul"/>
    <n v="1003"/>
    <s v="Asarganj"/>
    <x v="95"/>
    <s v="GIRDHARA"/>
    <s v="MPG"/>
    <s v="Direct"/>
    <n v="1191.5000000000002"/>
    <n v="52530.339999999989"/>
    <n v="153.30000000000001"/>
    <n v="7995.9500000000007"/>
    <n v="1052.67"/>
    <n v="46542.15"/>
    <n v="1205.97"/>
    <n v="54538.100000000006"/>
    <n v="52530.339999999989"/>
    <n v="0"/>
    <n v="377.54"/>
    <n v="2007.7600000000166"/>
    <n v="0"/>
    <n v="0"/>
    <n v="0"/>
    <n v="5987"/>
    <n v="46165"/>
    <n v="0"/>
    <n v="1"/>
    <n v="0"/>
    <n v="0"/>
    <n v="0"/>
    <n v="-3.8220959544522592E-2"/>
    <n v="12"/>
    <m/>
    <s v="Asarganj"/>
    <m/>
    <n v="0"/>
  </r>
  <r>
    <s v="Munger"/>
    <s v="24-30 Jul"/>
    <n v="1003"/>
    <s v="Asarganj"/>
    <x v="96"/>
    <s v="RATNI"/>
    <s v="MPG"/>
    <s v="Direct"/>
    <n v="1411.9499999999998"/>
    <n v="72187.610000000015"/>
    <n v="1388.1799999999998"/>
    <n v="70526.990000000005"/>
    <n v="38.22"/>
    <n v="2017.7599999999998"/>
    <n v="1426.3999999999999"/>
    <n v="72544.75"/>
    <n v="72187.610000000015"/>
    <n v="0"/>
    <n v="2017.7599999999998"/>
    <n v="357.13999999998487"/>
    <n v="0"/>
    <n v="0"/>
    <n v="0"/>
    <n v="70170"/>
    <n v="0"/>
    <n v="0"/>
    <n v="0"/>
    <n v="0"/>
    <n v="0"/>
    <n v="0"/>
    <n v="-4.9473864005192139E-3"/>
    <n v="36"/>
    <m/>
    <s v="Asarganj"/>
    <m/>
    <n v="0"/>
  </r>
  <r>
    <s v="Munger"/>
    <s v="24-30 Jul"/>
    <n v="1003"/>
    <s v="Asarganj"/>
    <x v="97"/>
    <s v="DHAPARI"/>
    <s v="MPG"/>
    <s v="Direct"/>
    <n v="792.4"/>
    <n v="33820.1"/>
    <n v="778.21"/>
    <n v="34782.300000000003"/>
    <n v="25.440000000000005"/>
    <n v="1054.1699999999998"/>
    <n v="803.65000000000009"/>
    <n v="35836.47"/>
    <n v="33820.1"/>
    <n v="0"/>
    <n v="1054.1699999999998"/>
    <n v="2016.3700000000026"/>
    <n v="0"/>
    <n v="0"/>
    <n v="0"/>
    <n v="32766"/>
    <n v="0"/>
    <n v="0"/>
    <n v="0"/>
    <n v="0"/>
    <n v="0"/>
    <n v="0"/>
    <n v="-5.962046238775174E-2"/>
    <n v="22"/>
    <m/>
    <s v="Asarganj"/>
    <m/>
    <n v="0"/>
  </r>
  <r>
    <s v="Munger"/>
    <s v="24-30 Jul"/>
    <n v="1003"/>
    <s v="Asarganj"/>
    <x v="98"/>
    <s v="KHARUI"/>
    <s v="MPG"/>
    <s v="Direct"/>
    <n v="309"/>
    <n v="13465.65"/>
    <n v="295.77"/>
    <n v="13322.65"/>
    <n v="15.469999999999999"/>
    <n v="1055.6000000000001"/>
    <n v="311.24"/>
    <n v="14378.25"/>
    <n v="13465.65"/>
    <n v="0"/>
    <n v="1055.6000000000001"/>
    <n v="912.60000000000036"/>
    <n v="0"/>
    <n v="0"/>
    <n v="0"/>
    <n v="12410"/>
    <n v="0"/>
    <n v="0"/>
    <n v="0"/>
    <n v="0"/>
    <n v="340.78117475728158"/>
    <n v="44.142857142857146"/>
    <n v="-6.7772443216629008E-2"/>
    <n v="5"/>
    <m/>
    <s v="Asarganj"/>
    <m/>
    <n v="0"/>
  </r>
  <r>
    <s v="Munger"/>
    <s v="24-30 Jul"/>
    <n v="1003"/>
    <s v="Asarganj"/>
    <x v="99"/>
    <s v="KHAIRA"/>
    <s v="MPG"/>
    <s v="Direct"/>
    <n v="443.10000000000008"/>
    <n v="18614.97"/>
    <n v="476.67000000000007"/>
    <n v="20643.360000000004"/>
    <n v="24.519999999999996"/>
    <n v="1004.9399999999999"/>
    <n v="501.19000000000005"/>
    <n v="21648.300000000003"/>
    <n v="18614.97"/>
    <n v="0"/>
    <n v="1004.9399999999999"/>
    <n v="3033.3300000000017"/>
    <n v="0"/>
    <n v="0"/>
    <n v="0"/>
    <n v="17610"/>
    <n v="0"/>
    <n v="0"/>
    <n v="0"/>
    <n v="0"/>
    <n v="215.85131090047383"/>
    <n v="63.300000000000011"/>
    <n v="-0.16295110870444601"/>
    <n v="12"/>
    <m/>
    <s v="Asarganj"/>
    <m/>
    <n v="0"/>
  </r>
  <r>
    <s v="Munger"/>
    <s v="24-30 Jul"/>
    <n v="1003"/>
    <s v="Asarganj"/>
    <x v="100"/>
    <s v="SISUA"/>
    <s v="MPG"/>
    <s v="Direct"/>
    <n v="1396.3499999999997"/>
    <n v="57707.850000000013"/>
    <n v="1302.6199999999999"/>
    <n v="55346.200000000012"/>
    <n v="122.35000000000001"/>
    <n v="4864.7099999999991"/>
    <n v="1424.9699999999998"/>
    <n v="60210.910000000011"/>
    <n v="57707.850000000013"/>
    <n v="0"/>
    <n v="784.21999999999991"/>
    <n v="2503.0599999999977"/>
    <n v="0"/>
    <n v="0"/>
    <n v="0"/>
    <n v="52844"/>
    <n v="4080"/>
    <n v="0"/>
    <n v="0"/>
    <n v="0"/>
    <n v="0"/>
    <n v="0"/>
    <n v="-4.3374688192334268E-2"/>
    <n v="24"/>
    <m/>
    <s v="Asarganj"/>
    <m/>
    <n v="0"/>
  </r>
  <r>
    <s v="Munger"/>
    <s v="24-30 Jul"/>
    <n v="1003"/>
    <s v="Asarganj"/>
    <x v="101"/>
    <s v="BISAI"/>
    <s v="MPG"/>
    <s v="Direct"/>
    <n v="387.35"/>
    <n v="16020.740000000002"/>
    <n v="384.98"/>
    <n v="16210.779999999999"/>
    <n v="10.65"/>
    <n v="455.25"/>
    <n v="395.63"/>
    <n v="16666.03"/>
    <n v="16020.740000000002"/>
    <n v="0"/>
    <n v="455.25"/>
    <n v="645.28999999999724"/>
    <n v="0"/>
    <n v="0"/>
    <n v="0"/>
    <n v="15565"/>
    <n v="0"/>
    <n v="0"/>
    <n v="0"/>
    <n v="0"/>
    <n v="258.62317599070605"/>
    <n v="55.335714285714289"/>
    <n v="-4.0278414105715289E-2"/>
    <n v="15"/>
    <m/>
    <s v="Asarganj"/>
    <m/>
    <n v="0"/>
  </r>
  <r>
    <s v="Munger"/>
    <s v="24-30 Jul"/>
    <n v="1003"/>
    <s v="Asarganj"/>
    <x v="102"/>
    <s v="SAJUA-1"/>
    <s v="MPG"/>
    <s v="Direct"/>
    <n v="690.05000000000007"/>
    <n v="27584.18"/>
    <n v="688.04000000000008"/>
    <n v="27898.639999999999"/>
    <n v="10.560000000000002"/>
    <n v="425.91"/>
    <n v="698.60000000000014"/>
    <n v="28324.55"/>
    <n v="27584.18"/>
    <n v="0"/>
    <n v="425.91"/>
    <n v="740.36999999999898"/>
    <n v="0"/>
    <n v="0"/>
    <n v="0"/>
    <n v="27158"/>
    <n v="0"/>
    <n v="0"/>
    <n v="0"/>
    <n v="0"/>
    <n v="7.9548609810882827"/>
    <n v="98.578571428571436"/>
    <n v="-2.6840384597258245E-2"/>
    <n v="7"/>
    <m/>
    <s v="Asarganj"/>
    <m/>
    <n v="0"/>
  </r>
  <r>
    <s v="Munger"/>
    <s v="24-30 Jul"/>
    <n v="1003"/>
    <s v="Asarganj"/>
    <x v="103"/>
    <s v="SAJUA-2"/>
    <s v="MPG"/>
    <s v="Direct"/>
    <n v="804.55000000000018"/>
    <n v="33246.53"/>
    <n v="844.42"/>
    <n v="35640.319999999992"/>
    <n v="0"/>
    <n v="0"/>
    <n v="844.42"/>
    <n v="35640.319999999992"/>
    <n v="33246.53"/>
    <n v="0"/>
    <n v="0"/>
    <n v="2393.7899999999936"/>
    <n v="0"/>
    <n v="0"/>
    <n v="0"/>
    <n v="34851"/>
    <n v="0"/>
    <n v="0"/>
    <n v="-1604"/>
    <s v="Release2"/>
    <n v="0"/>
    <n v="0"/>
    <n v="-7.2001198320546342E-2"/>
    <n v="37"/>
    <m/>
    <s v="Asarganj"/>
    <m/>
    <n v="0"/>
  </r>
  <r>
    <s v="Munger"/>
    <s v="24-30 Jul"/>
    <n v="1003"/>
    <s v="Asarganj"/>
    <x v="104"/>
    <s v="CHORGAUN"/>
    <s v="MPG"/>
    <s v="Direct"/>
    <n v="853.20000000000016"/>
    <n v="33891.060000000005"/>
    <n v="810.4"/>
    <n v="32527.260000000002"/>
    <n v="28.000000000000004"/>
    <n v="1116.8100000000002"/>
    <n v="838.4"/>
    <n v="33644.07"/>
    <n v="33644.07"/>
    <n v="0"/>
    <n v="1116.8100000000002"/>
    <n v="0"/>
    <n v="0"/>
    <n v="0"/>
    <n v="0"/>
    <n v="32532"/>
    <n v="0"/>
    <n v="0"/>
    <n v="242"/>
    <n v="0"/>
    <n v="0"/>
    <n v="0"/>
    <n v="7.2877626135035376E-3"/>
    <n v="43"/>
    <m/>
    <s v="Asarganj"/>
    <m/>
    <n v="0"/>
  </r>
  <r>
    <s v="Munger"/>
    <s v="24-30 Jul"/>
    <n v="1003"/>
    <s v="Asarganj"/>
    <x v="105"/>
    <s v="PADARATHPUR"/>
    <s v="MPG"/>
    <s v="Direct"/>
    <n v="1001.4000000000001"/>
    <n v="42617.039999999994"/>
    <n v="997.39999999999986"/>
    <n v="42718.8"/>
    <n v="19.100000000000001"/>
    <n v="767.78000000000009"/>
    <n v="1016.4999999999999"/>
    <n v="43486.58"/>
    <n v="42617.039999999994"/>
    <n v="0"/>
    <n v="767.78000000000009"/>
    <n v="869.54000000000815"/>
    <n v="0"/>
    <n v="0"/>
    <n v="0"/>
    <n v="41849"/>
    <n v="0"/>
    <n v="0"/>
    <n v="0"/>
    <n v="0"/>
    <n v="0"/>
    <n v="0"/>
    <n v="-2.0403575658938498E-2"/>
    <n v="42"/>
    <m/>
    <s v="Asarganj"/>
    <m/>
    <n v="0"/>
  </r>
  <r>
    <s v="Munger"/>
    <s v="24-30 Jul"/>
    <n v="1003"/>
    <s v="Asarganj"/>
    <x v="968"/>
    <s v="MACHIDIH"/>
    <s v="MPG"/>
    <s v="Direct"/>
    <n v="96.850000000000009"/>
    <n v="4588.13"/>
    <n v="97"/>
    <n v="4616.43"/>
    <n v="0"/>
    <n v="0"/>
    <n v="97"/>
    <n v="4616.43"/>
    <n v="4588.13"/>
    <n v="0"/>
    <n v="0"/>
    <n v="28.300000000000182"/>
    <n v="0"/>
    <n v="0"/>
    <n v="0"/>
    <n v="4588"/>
    <n v="0"/>
    <n v="0"/>
    <n v="0"/>
    <n v="0"/>
    <n v="571.46734321115127"/>
    <n v="13.835714285714287"/>
    <n v="-6.1680902677125936E-3"/>
    <n v="1"/>
    <m/>
    <s v="Asarganj"/>
    <m/>
    <n v="0"/>
  </r>
  <r>
    <s v="Munger"/>
    <s v="24-30 Jul"/>
    <n v="1003"/>
    <s v="Asarganj"/>
    <x v="106"/>
    <s v="BADARKHA"/>
    <s v="MPG"/>
    <s v="Direct"/>
    <n v="733.05"/>
    <n v="27539.78"/>
    <n v="729.62"/>
    <n v="27889.869999999995"/>
    <n v="0"/>
    <n v="0"/>
    <n v="729.62"/>
    <n v="27889.869999999995"/>
    <n v="27539.78"/>
    <n v="0"/>
    <n v="0"/>
    <n v="350.08999999999651"/>
    <n v="0"/>
    <n v="0"/>
    <n v="0"/>
    <n v="27540"/>
    <n v="0"/>
    <n v="0"/>
    <n v="0"/>
    <n v="0"/>
    <n v="0"/>
    <n v="0"/>
    <n v="-1.271215674199273E-2"/>
    <n v="23"/>
    <m/>
    <s v="Asarganj"/>
    <m/>
    <n v="0"/>
  </r>
  <r>
    <s v="Munger"/>
    <s v="24-30 Jul"/>
    <n v="1003"/>
    <s v="Asarganj"/>
    <x v="107"/>
    <s v="MAHDMADPUR                                                                                          "/>
    <s v="MPG"/>
    <s v="Direct"/>
    <n v="1126"/>
    <n v="39686.65"/>
    <n v="1191.3999999999999"/>
    <n v="45327.799999999996"/>
    <n v="8.6999999999999993"/>
    <n v="369.88"/>
    <n v="1200.0999999999999"/>
    <n v="45697.679999999993"/>
    <n v="39686.65"/>
    <n v="0"/>
    <n v="369.88"/>
    <n v="6011.0299999999916"/>
    <n v="0"/>
    <n v="0"/>
    <n v="0"/>
    <n v="39317"/>
    <n v="0"/>
    <n v="0"/>
    <n v="0"/>
    <n v="0"/>
    <n v="0"/>
    <n v="0"/>
    <n v="-0.15146226753832817"/>
    <n v="17"/>
    <m/>
    <s v="Asarganj"/>
    <m/>
    <n v="0"/>
  </r>
  <r>
    <s v="Munger"/>
    <s v="24-30 Jul"/>
    <n v="1003"/>
    <s v="Asarganj"/>
    <x v="108"/>
    <s v="MUSKIPUR                                                                                            "/>
    <s v="MPG"/>
    <s v="Direct"/>
    <n v="1254.2"/>
    <n v="54300.459999999992"/>
    <n v="1263.8600000000001"/>
    <n v="54733.329999999994"/>
    <n v="0"/>
    <n v="0"/>
    <n v="1263.8600000000001"/>
    <n v="54733.329999999994"/>
    <n v="54300.459999999992"/>
    <n v="0"/>
    <n v="0"/>
    <n v="432.87000000000262"/>
    <n v="0"/>
    <n v="0"/>
    <n v="0"/>
    <n v="54300"/>
    <n v="0"/>
    <n v="0"/>
    <n v="0"/>
    <n v="0"/>
    <n v="0"/>
    <n v="0"/>
    <n v="-7.9717556720514463E-3"/>
    <n v="39"/>
    <m/>
    <s v="Asarganj"/>
    <m/>
    <n v="0"/>
  </r>
  <r>
    <s v="Munger"/>
    <s v="24-30 Jul"/>
    <n v="1003"/>
    <s v="Asarganj"/>
    <x v="109"/>
    <s v="NAYAGAUN                                                                                            "/>
    <s v="MPG"/>
    <s v="Direct"/>
    <n v="651.85"/>
    <n v="27374.259999999995"/>
    <n v="647.57999999999993"/>
    <n v="27298.779999999995"/>
    <n v="3.1599999999999997"/>
    <n v="138.07999999999998"/>
    <n v="650.7399999999999"/>
    <n v="27436.859999999997"/>
    <n v="27374.259999999995"/>
    <n v="0"/>
    <n v="138.07999999999998"/>
    <n v="62.600000000002183"/>
    <n v="0"/>
    <n v="0"/>
    <n v="0"/>
    <n v="27236"/>
    <n v="0"/>
    <n v="0"/>
    <n v="0"/>
    <n v="0"/>
    <n v="40.440917971925991"/>
    <n v="93.121428571428581"/>
    <n v="-2.2868198080971758E-3"/>
    <n v="7"/>
    <m/>
    <s v="Asarganj"/>
    <m/>
    <n v="0"/>
  </r>
  <r>
    <s v="Munger"/>
    <s v="24-30 Jul"/>
    <n v="1003"/>
    <s v="Asarganj"/>
    <x v="110"/>
    <s v="LAUNA                                                                                               "/>
    <s v="MPG"/>
    <s v="Direct"/>
    <n v="1555.8500000000001"/>
    <n v="59036.240000000005"/>
    <n v="1507.3400000000001"/>
    <n v="58440.270000000004"/>
    <n v="14.45"/>
    <n v="554.36"/>
    <n v="1521.7900000000002"/>
    <n v="58994.630000000005"/>
    <n v="58994.630000000005"/>
    <n v="0"/>
    <n v="554.36"/>
    <n v="0"/>
    <n v="0"/>
    <n v="0"/>
    <n v="0"/>
    <n v="58442"/>
    <n v="0"/>
    <n v="0"/>
    <n v="40"/>
    <n v="0"/>
    <n v="0"/>
    <n v="0"/>
    <n v="7.048213097582193E-4"/>
    <n v="16"/>
    <m/>
    <s v="Asarganj"/>
    <m/>
    <n v="0"/>
  </r>
  <r>
    <s v="Munger"/>
    <s v="24-30 Jul"/>
    <n v="1003"/>
    <s v="Asarganj"/>
    <x v="111"/>
    <s v="DULHAR"/>
    <s v="MPG"/>
    <s v="Direct"/>
    <n v="696.94999999999993"/>
    <n v="30037.299999999996"/>
    <n v="637.45999999999992"/>
    <n v="31467.35"/>
    <n v="0"/>
    <n v="0"/>
    <n v="637.45999999999992"/>
    <n v="31467.35"/>
    <n v="30037.299999999996"/>
    <n v="0"/>
    <n v="0"/>
    <n v="1430.0500000000029"/>
    <n v="0"/>
    <n v="0"/>
    <n v="0"/>
    <n v="30037"/>
    <n v="0"/>
    <n v="0"/>
    <n v="0"/>
    <n v="0"/>
    <n v="2.6289910323553332"/>
    <n v="99.564285714285703"/>
    <n v="-4.7609139303466129E-2"/>
    <n v="21"/>
    <m/>
    <s v="Asarganj"/>
    <m/>
    <n v="0"/>
  </r>
  <r>
    <s v="Munger"/>
    <s v="24-30 Jul"/>
    <n v="1003"/>
    <s v="Asarganj"/>
    <x v="112"/>
    <s v="Ghorpithiya - Vikas"/>
    <s v="vlc"/>
    <s v="Indirect"/>
    <n v="373.95000000000005"/>
    <n v="16671.87"/>
    <n v="0"/>
    <n v="0"/>
    <n v="0"/>
    <n v="0"/>
    <n v="0"/>
    <n v="0"/>
    <n v="16671.87"/>
    <n v="0"/>
    <n v="0"/>
    <n v="0"/>
    <n v="0"/>
    <n v="0"/>
    <n v="0"/>
    <n v="0"/>
    <n v="0"/>
    <n v="16671.87"/>
    <n v="0"/>
    <n v="0"/>
    <n v="290.72673959085432"/>
    <n v="53.421428571428578"/>
    <n v="0"/>
    <n v="0"/>
    <m/>
    <s v="Asarganj"/>
    <m/>
    <n v="0"/>
  </r>
  <r>
    <s v="Munger"/>
    <s v="24-30 Jul"/>
    <n v="1003"/>
    <s v="Asarganj"/>
    <x v="113"/>
    <s v="Akbarnagar - Rakhi"/>
    <s v="vlc"/>
    <s v="Indirect"/>
    <n v="1143"/>
    <n v="46415.89"/>
    <n v="0"/>
    <n v="0"/>
    <n v="0"/>
    <n v="0"/>
    <n v="0"/>
    <n v="0"/>
    <n v="46415.89"/>
    <n v="0"/>
    <n v="0"/>
    <n v="0"/>
    <n v="0"/>
    <n v="0"/>
    <n v="0"/>
    <n v="0"/>
    <n v="0"/>
    <n v="46415.89"/>
    <n v="0"/>
    <n v="0"/>
    <n v="0"/>
    <n v="0"/>
    <n v="0"/>
    <n v="0"/>
    <m/>
    <s v="Asarganj"/>
    <m/>
    <n v="0"/>
  </r>
  <r>
    <s v="Munger"/>
    <s v="24-30 Jul"/>
    <n v="1003"/>
    <s v="Asarganj"/>
    <x v="969"/>
    <s v="Maheshi - Chamcham"/>
    <s v="vlc"/>
    <s v="Indirect"/>
    <n v="709.2"/>
    <n v="29037.729999999996"/>
    <n v="0"/>
    <n v="0"/>
    <n v="0"/>
    <n v="0"/>
    <n v="0"/>
    <n v="0"/>
    <n v="29037.729999999996"/>
    <n v="0"/>
    <n v="0"/>
    <n v="0"/>
    <n v="0"/>
    <n v="0"/>
    <n v="0"/>
    <n v="0"/>
    <n v="0"/>
    <n v="29037.729999999996"/>
    <n v="0"/>
    <n v="0"/>
    <n v="0"/>
    <n v="0"/>
    <n v="0"/>
    <n v="0"/>
    <m/>
    <s v="Asarganj"/>
    <m/>
    <n v="0"/>
  </r>
  <r>
    <s v="Munger"/>
    <s v="24-30 Jul"/>
    <n v="1003"/>
    <s v="Asarganj"/>
    <x v="114"/>
    <s v="Ghorpithiya - Dheeraj"/>
    <s v="vlc"/>
    <s v="Indirect"/>
    <n v="9168.9499999999989"/>
    <n v="391229.94999999995"/>
    <n v="0"/>
    <n v="0"/>
    <n v="0"/>
    <n v="0"/>
    <n v="0"/>
    <n v="0"/>
    <n v="391229.94999999995"/>
    <n v="0"/>
    <n v="0"/>
    <n v="0"/>
    <n v="0"/>
    <n v="0"/>
    <n v="0"/>
    <n v="0"/>
    <n v="0"/>
    <n v="391229.94999999995"/>
    <n v="0"/>
    <n v="0"/>
    <n v="0"/>
    <n v="0"/>
    <n v="0"/>
    <n v="0"/>
    <m/>
    <s v="Asarganj"/>
    <m/>
    <n v="0"/>
  </r>
  <r>
    <s v="Munger"/>
    <s v="24-30 Jul"/>
    <n v="1003"/>
    <s v="Asarganj"/>
    <x v="115"/>
    <s v="Asarganj Chhotki Tola - Akash"/>
    <s v="vlc"/>
    <s v="Indirect"/>
    <n v="9013.5499999999993"/>
    <n v="385225.29"/>
    <n v="0"/>
    <n v="0"/>
    <n v="0"/>
    <n v="0"/>
    <n v="0"/>
    <n v="0"/>
    <n v="385225.29"/>
    <n v="0"/>
    <n v="0"/>
    <n v="0"/>
    <n v="0"/>
    <n v="0"/>
    <n v="0"/>
    <n v="0"/>
    <n v="0"/>
    <n v="385225.29"/>
    <n v="0"/>
    <n v="0"/>
    <n v="0"/>
    <n v="0"/>
    <n v="0"/>
    <n v="0"/>
    <m/>
    <s v="Asarganj"/>
    <m/>
    <n v="0"/>
  </r>
  <r>
    <s v="Munger"/>
    <s v="24-30 Jul"/>
    <n v="1003"/>
    <s v="Asarganj"/>
    <x v="116"/>
    <s v="Manikpur - Golu"/>
    <s v="vlc"/>
    <s v="Indirect"/>
    <n v="809.7"/>
    <n v="33103.049999999996"/>
    <n v="0"/>
    <n v="0"/>
    <n v="0"/>
    <n v="0"/>
    <n v="0"/>
    <n v="0"/>
    <n v="33103.049999999996"/>
    <n v="0"/>
    <n v="0"/>
    <n v="0"/>
    <n v="0"/>
    <n v="0"/>
    <n v="0"/>
    <n v="0"/>
    <n v="0"/>
    <n v="33103.049999999996"/>
    <n v="0"/>
    <n v="0"/>
    <n v="0"/>
    <n v="0"/>
    <n v="0"/>
    <n v="0"/>
    <m/>
    <s v="Asarganj"/>
    <m/>
    <n v="0"/>
  </r>
  <r>
    <s v="Munger"/>
    <s v="24-30 Jul"/>
    <n v="1003"/>
    <s v="Asarganj"/>
    <x v="117"/>
    <s v="Rangaon - Jayram"/>
    <s v="vlc"/>
    <s v="Indirect"/>
    <n v="709.2"/>
    <n v="29037.729999999996"/>
    <n v="0"/>
    <n v="0"/>
    <n v="0"/>
    <n v="0"/>
    <n v="0"/>
    <n v="0"/>
    <n v="29037.729999999996"/>
    <n v="0"/>
    <n v="0"/>
    <n v="0"/>
    <n v="0"/>
    <n v="0"/>
    <n v="0"/>
    <n v="0"/>
    <n v="0"/>
    <n v="29037.729999999996"/>
    <n v="0"/>
    <n v="0"/>
    <n v="0"/>
    <n v="0"/>
    <n v="0"/>
    <n v="0"/>
    <m/>
    <s v="Asarganj"/>
    <m/>
    <n v="0"/>
  </r>
  <r>
    <s v="Munger"/>
    <s v="24-30 Jul"/>
    <n v="1003"/>
    <s v="Asarganj"/>
    <x v="970"/>
    <s v="Karso - Aparajita"/>
    <s v="vlc"/>
    <s v="Indirect"/>
    <n v="709.2"/>
    <n v="29037.729999999996"/>
    <n v="0"/>
    <n v="0"/>
    <n v="0"/>
    <n v="0"/>
    <n v="0"/>
    <n v="0"/>
    <n v="29037.729999999996"/>
    <n v="0"/>
    <n v="0"/>
    <n v="0"/>
    <n v="0"/>
    <n v="0"/>
    <n v="0"/>
    <n v="0"/>
    <n v="0"/>
    <n v="29037.729999999996"/>
    <n v="0"/>
    <n v="0"/>
    <n v="0"/>
    <n v="0"/>
    <n v="0"/>
    <n v="0"/>
    <m/>
    <s v="Asarganj"/>
    <m/>
    <n v="0"/>
  </r>
  <r>
    <s v="Munger"/>
    <s v="24-30 Jul"/>
    <n v="1003"/>
    <s v="Asarganj"/>
    <x v="971"/>
    <s v="Unchagaon - Niraj"/>
    <s v="vlc"/>
    <s v="Indirect"/>
    <n v="709.2"/>
    <n v="29037.729999999996"/>
    <n v="0"/>
    <n v="0"/>
    <n v="0"/>
    <n v="0"/>
    <n v="0"/>
    <n v="0"/>
    <n v="29037.729999999996"/>
    <n v="0"/>
    <n v="0"/>
    <n v="0"/>
    <n v="0"/>
    <n v="0"/>
    <n v="0"/>
    <n v="0"/>
    <n v="0"/>
    <n v="29037.729999999996"/>
    <n v="0"/>
    <n v="0"/>
    <n v="0"/>
    <n v="0"/>
    <n v="0"/>
    <n v="0"/>
    <m/>
    <s v="Asarganj"/>
    <m/>
    <n v="0"/>
  </r>
  <r>
    <s v="Munger"/>
    <s v="24-30 Jul"/>
    <n v="1003"/>
    <s v="Asarganj"/>
    <x v="118"/>
    <s v="PAIN"/>
    <s v="MPG"/>
    <s v="Direct"/>
    <n v="712.90000000000009"/>
    <n v="25963.37"/>
    <n v="708.41000000000008"/>
    <n v="28112.99"/>
    <n v="3.0700000000000003"/>
    <n v="117.86"/>
    <n v="711.48000000000013"/>
    <n v="28230.850000000002"/>
    <n v="25963.37"/>
    <n v="0"/>
    <n v="117.86"/>
    <n v="2267.4800000000032"/>
    <n v="0"/>
    <n v="0"/>
    <n v="0"/>
    <n v="25845"/>
    <n v="0"/>
    <n v="0"/>
    <n v="1"/>
    <n v="0"/>
    <n v="0"/>
    <n v="0"/>
    <n v="-8.7333809131865517E-2"/>
    <n v="11"/>
    <m/>
    <s v="Asarganj"/>
    <m/>
    <n v="0"/>
  </r>
  <r>
    <s v="Munger"/>
    <s v="24-30 Jul"/>
    <n v="1003"/>
    <s v="Asarganj"/>
    <x v="119"/>
    <s v="MOTICHAK"/>
    <s v="MPG"/>
    <s v="Direct"/>
    <n v="3959.4"/>
    <n v="149673.35999999999"/>
    <n v="3902.8399999999992"/>
    <n v="149121.34"/>
    <n v="76.399999999999991"/>
    <n v="2831.8100000000004"/>
    <n v="3979.2399999999993"/>
    <n v="151953.15"/>
    <n v="149673.35999999999"/>
    <n v="0"/>
    <n v="2831.8100000000004"/>
    <n v="2279.7900000000081"/>
    <n v="0"/>
    <n v="0"/>
    <n v="0"/>
    <n v="146841"/>
    <n v="0"/>
    <n v="0"/>
    <n v="1"/>
    <n v="0"/>
    <n v="0"/>
    <n v="0"/>
    <n v="-1.5231768699520131E-2"/>
    <n v="7"/>
    <m/>
    <s v="Asarganj"/>
    <m/>
    <n v="0"/>
  </r>
  <r>
    <s v="Munger"/>
    <s v="24-30 Jul"/>
    <n v="1003"/>
    <s v="Asarganj"/>
    <x v="120"/>
    <s v="MIRATTHI"/>
    <s v="MPG"/>
    <s v="Direct"/>
    <n v="304.8"/>
    <n v="12454.31"/>
    <n v="305.10000000000002"/>
    <n v="12039.04"/>
    <n v="0"/>
    <n v="0"/>
    <n v="305.10000000000002"/>
    <n v="12039.04"/>
    <n v="12039.04"/>
    <n v="0"/>
    <n v="0"/>
    <n v="0"/>
    <n v="0"/>
    <n v="0"/>
    <n v="0"/>
    <n v="12039"/>
    <n v="0"/>
    <n v="0"/>
    <n v="415"/>
    <n v="0"/>
    <n v="322.96215958005246"/>
    <n v="43.542857142857144"/>
    <n v="3.3343477077413253E-2"/>
    <n v="7"/>
    <m/>
    <s v="Asarganj"/>
    <m/>
    <n v="0"/>
  </r>
  <r>
    <s v="Munger"/>
    <s v="24-30 Jul"/>
    <n v="1003"/>
    <s v="Asarganj"/>
    <x v="121"/>
    <s v="DAULATPUR"/>
    <s v="MPG"/>
    <s v="Direct"/>
    <n v="194.94999999999996"/>
    <n v="8267.25"/>
    <n v="191.39000000000001"/>
    <n v="8451.01"/>
    <n v="2.9700000000000006"/>
    <n v="125.64999999999998"/>
    <n v="194.36"/>
    <n v="8576.66"/>
    <n v="8267.25"/>
    <n v="0"/>
    <n v="125.64999999999998"/>
    <n v="309.40999999999985"/>
    <n v="0"/>
    <n v="0"/>
    <n v="0"/>
    <n v="8141"/>
    <n v="0"/>
    <n v="0"/>
    <n v="1"/>
    <n v="0"/>
    <n v="428.35338420107735"/>
    <n v="27.849999999999994"/>
    <n v="-3.7425988085518141E-2"/>
    <n v="5"/>
    <m/>
    <s v="Asarganj"/>
    <m/>
    <n v="0"/>
  </r>
  <r>
    <s v="Munger"/>
    <s v="24-30 Jul"/>
    <n v="1003"/>
    <s v="Asarganj"/>
    <x v="122"/>
    <s v="MOHADDIPUR"/>
    <s v="MPG"/>
    <s v="Direct"/>
    <n v="216.85000000000002"/>
    <n v="7469.7999999999993"/>
    <n v="248.8"/>
    <n v="11122.7"/>
    <n v="0"/>
    <n v="0"/>
    <n v="248.8"/>
    <n v="11122.7"/>
    <n v="7469.7999999999993"/>
    <n v="0"/>
    <n v="0"/>
    <n v="3652.9000000000015"/>
    <n v="0"/>
    <n v="500"/>
    <n v="0"/>
    <n v="6970"/>
    <n v="0"/>
    <n v="0"/>
    <n v="0"/>
    <s v="Release2"/>
    <n v="332.8599372838367"/>
    <n v="30.978571428571431"/>
    <n v="-0.48902246378751796"/>
    <n v="2"/>
    <m/>
    <s v="Asarganj"/>
    <m/>
    <n v="500"/>
  </r>
  <r>
    <s v="Munger"/>
    <s v="24-30 Jul"/>
    <n v="1003"/>
    <s v="Asarganj"/>
    <x v="123"/>
    <s v="JHAJHA"/>
    <s v="MPG"/>
    <s v="Direct"/>
    <n v="644.79999999999995"/>
    <n v="28299.969999999998"/>
    <n v="680.28000000000009"/>
    <n v="31283.24"/>
    <n v="0"/>
    <n v="0"/>
    <n v="680.28000000000009"/>
    <n v="31283.24"/>
    <n v="28299.969999999998"/>
    <n v="0"/>
    <n v="0"/>
    <n v="2983.2700000000041"/>
    <n v="0"/>
    <n v="0"/>
    <n v="0"/>
    <n v="28300"/>
    <n v="0"/>
    <n v="0"/>
    <n v="0"/>
    <n v="0"/>
    <n v="48.454042928039698"/>
    <n v="92.114285714285714"/>
    <n v="-0.1054160128084943"/>
    <n v="10"/>
    <m/>
    <s v="Asarganj"/>
    <m/>
    <n v="0"/>
  </r>
  <r>
    <s v="Munger"/>
    <s v="24-30 Jul"/>
    <n v="1003"/>
    <s v="Asarganj"/>
    <x v="125"/>
    <s v="BARSABAD"/>
    <s v="MPG"/>
    <s v="Direct"/>
    <n v="458.49999999999989"/>
    <n v="17381.73"/>
    <n v="473.51000000000005"/>
    <n v="17394.11"/>
    <n v="8.0499999999999989"/>
    <n v="279.11"/>
    <n v="481.56000000000006"/>
    <n v="17673.22"/>
    <n v="17381.73"/>
    <n v="0"/>
    <n v="279.11"/>
    <n v="291.4900000000016"/>
    <n v="0"/>
    <n v="0"/>
    <n v="0"/>
    <n v="17103"/>
    <n v="0"/>
    <n v="0"/>
    <n v="0"/>
    <n v="0"/>
    <n v="183.10524732824442"/>
    <n v="65.499999999999986"/>
    <n v="-1.6769907253190657E-2"/>
    <n v="9"/>
    <m/>
    <s v="Asarganj"/>
    <m/>
    <n v="0"/>
  </r>
  <r>
    <s v="Munger"/>
    <s v="24-30 Jul"/>
    <n v="1003"/>
    <s v="Asarganj"/>
    <x v="126"/>
    <s v="GONAI"/>
    <s v="MPG"/>
    <s v="Direct"/>
    <n v="1557.05"/>
    <n v="65497.499999999985"/>
    <n v="1587.9599999999998"/>
    <n v="67123.199999999997"/>
    <n v="9.4599999999999991"/>
    <n v="411.84000000000003"/>
    <n v="1597.4199999999998"/>
    <n v="67535.039999999994"/>
    <n v="65497.499999999985"/>
    <n v="0"/>
    <n v="411.84000000000003"/>
    <n v="2037.5400000000081"/>
    <n v="0"/>
    <n v="0"/>
    <n v="0"/>
    <n v="65085"/>
    <n v="0"/>
    <n v="0"/>
    <n v="1"/>
    <n v="0"/>
    <n v="0"/>
    <n v="0"/>
    <n v="-3.1108668269781422E-2"/>
    <n v="8"/>
    <m/>
    <s v="Asarganj"/>
    <m/>
    <n v="0"/>
  </r>
  <r>
    <s v="Munger"/>
    <s v="24-30 Jul"/>
    <n v="1003"/>
    <s v="Asarganj"/>
    <x v="127"/>
    <s v="SHIKARITOLA"/>
    <s v="MPG"/>
    <s v="Direct"/>
    <n v="1231.05"/>
    <n v="50660.86"/>
    <n v="1258.26"/>
    <n v="54579.44999999999"/>
    <n v="0"/>
    <n v="0"/>
    <n v="1258.26"/>
    <n v="54579.44999999999"/>
    <n v="50660.86"/>
    <n v="0"/>
    <n v="0"/>
    <n v="3918.5899999999892"/>
    <n v="0"/>
    <n v="0"/>
    <n v="0"/>
    <n v="50661"/>
    <n v="0"/>
    <n v="0"/>
    <n v="0"/>
    <n v="0"/>
    <n v="0"/>
    <n v="0"/>
    <n v="-7.7349456760110055E-2"/>
    <n v="5"/>
    <m/>
    <s v="Asarganj"/>
    <m/>
    <n v="0"/>
  </r>
  <r>
    <s v="Munger"/>
    <s v="24-30 Jul"/>
    <n v="1003"/>
    <s v="Asarganj"/>
    <x v="128"/>
    <s v="BAIKUNTHPUR"/>
    <s v="MPG"/>
    <s v="Direct"/>
    <n v="324.85000000000002"/>
    <n v="12655.240000000002"/>
    <n v="330.37"/>
    <n v="12620.11"/>
    <n v="3.589999999999999"/>
    <n v="137.19"/>
    <n v="333.96"/>
    <n v="12757.300000000001"/>
    <n v="12655.240000000002"/>
    <n v="0"/>
    <n v="137.19"/>
    <n v="102.05999999999949"/>
    <n v="0"/>
    <n v="500"/>
    <n v="0"/>
    <n v="12018"/>
    <n v="0"/>
    <n v="0"/>
    <n v="0"/>
    <n v="0"/>
    <n v="292.29572331845469"/>
    <n v="46.407142857142858"/>
    <n v="-8.0646435784702212E-3"/>
    <n v="4"/>
    <m/>
    <s v="Asarganj"/>
    <m/>
    <n v="500"/>
  </r>
  <r>
    <s v="Munger"/>
    <s v="24-30 Jul"/>
    <n v="1003"/>
    <s v="Asarganj"/>
    <x v="129"/>
    <s v="KAITHA"/>
    <s v="MPG"/>
    <s v="Direct"/>
    <n v="3887.5500000000006"/>
    <n v="173465.28"/>
    <n v="2391.0600000000004"/>
    <n v="124654.06"/>
    <n v="1560.44"/>
    <n v="65458.19999999999"/>
    <n v="3951.5000000000005"/>
    <n v="190112.25999999998"/>
    <n v="173465.28"/>
    <n v="0"/>
    <n v="1872.7199999999998"/>
    <n v="16646.979999999981"/>
    <n v="0"/>
    <n v="0"/>
    <n v="0"/>
    <n v="108006"/>
    <n v="63586"/>
    <n v="0"/>
    <n v="1"/>
    <n v="0"/>
    <n v="0"/>
    <n v="0"/>
    <n v="-9.5967216033087319E-2"/>
    <n v="19"/>
    <m/>
    <s v="Asarganj"/>
    <m/>
    <n v="0"/>
  </r>
  <r>
    <s v="Munger"/>
    <s v="24-30 Jul"/>
    <n v="1003"/>
    <s v="Asarganj"/>
    <x v="130"/>
    <s v="DORAI"/>
    <s v="MPG"/>
    <s v="Direct"/>
    <n v="658"/>
    <n v="25383.170000000002"/>
    <n v="775.58"/>
    <n v="31542.859999999997"/>
    <n v="31.7"/>
    <n v="1544.07"/>
    <n v="807.28000000000009"/>
    <n v="33086.93"/>
    <n v="25383.170000000002"/>
    <n v="0"/>
    <n v="1544.07"/>
    <n v="7703.7599999999984"/>
    <n v="0"/>
    <n v="0"/>
    <n v="0"/>
    <n v="23839"/>
    <n v="0"/>
    <n v="0"/>
    <n v="0"/>
    <s v="Release2"/>
    <n v="32.404046808510643"/>
    <n v="94"/>
    <n v="-0.30349873557951973"/>
    <n v="9"/>
    <m/>
    <s v="Asarganj"/>
    <m/>
    <n v="0"/>
  </r>
  <r>
    <s v="Munger"/>
    <s v="24-30 Jul"/>
    <n v="1003"/>
    <s v="Asarganj"/>
    <x v="131"/>
    <s v="RAGHUNATHPUR"/>
    <s v="MPG"/>
    <s v="Indirect"/>
    <n v="984.09999999999991"/>
    <n v="35578.810000000005"/>
    <n v="0"/>
    <n v="0"/>
    <n v="0"/>
    <n v="0"/>
    <n v="0"/>
    <n v="0"/>
    <n v="35578.810000000005"/>
    <n v="0"/>
    <n v="0"/>
    <n v="0"/>
    <n v="0"/>
    <n v="0"/>
    <n v="0"/>
    <n v="0"/>
    <n v="0"/>
    <n v="35578.810000000005"/>
    <n v="0"/>
    <n v="0"/>
    <n v="0"/>
    <n v="0"/>
    <n v="0"/>
    <n v="0"/>
    <m/>
    <s v="Asarganj"/>
    <m/>
    <n v="0"/>
  </r>
  <r>
    <s v="Munger"/>
    <s v="24-30 Jul"/>
    <n v="1003"/>
    <s v="Asarganj"/>
    <x v="132"/>
    <s v="BANGAMA"/>
    <s v="MPG"/>
    <s v="Direct"/>
    <n v="662.35"/>
    <n v="29125.18"/>
    <n v="670"/>
    <n v="30592.190000000002"/>
    <n v="15"/>
    <n v="735.33999999999992"/>
    <n v="685"/>
    <n v="31327.530000000002"/>
    <n v="29125.18"/>
    <n v="0"/>
    <n v="735.33999999999992"/>
    <n v="2202.3500000000022"/>
    <n v="0"/>
    <n v="0"/>
    <n v="0"/>
    <n v="28390"/>
    <n v="0"/>
    <n v="0"/>
    <n v="0"/>
    <n v="0"/>
    <n v="33.111286389371124"/>
    <n v="94.621428571428581"/>
    <n v="-7.5616700051295893E-2"/>
    <n v="5"/>
    <m/>
    <s v="Asarganj"/>
    <m/>
    <n v="0"/>
  </r>
  <r>
    <s v="Munger"/>
    <s v="24-30 Jul"/>
    <n v="1003"/>
    <s v="Asarganj"/>
    <x v="133"/>
    <s v="KORIYA"/>
    <s v="MPG"/>
    <s v="Direct"/>
    <n v="242.50000000000003"/>
    <n v="10793.859999999999"/>
    <n v="247.76"/>
    <n v="11074.010000000002"/>
    <n v="0"/>
    <n v="0"/>
    <n v="247.76"/>
    <n v="11074.010000000002"/>
    <n v="10793.859999999999"/>
    <n v="0"/>
    <n v="0"/>
    <n v="280.15000000000327"/>
    <n v="0"/>
    <n v="500"/>
    <n v="0"/>
    <n v="10294"/>
    <n v="0"/>
    <n v="0"/>
    <n v="0"/>
    <s v="Release2"/>
    <n v="407.2734804123711"/>
    <n v="34.642857142857146"/>
    <n v="-2.595457046876681E-2"/>
    <n v="3"/>
    <m/>
    <s v="Asarganj"/>
    <m/>
    <n v="500"/>
  </r>
  <r>
    <s v="Munger"/>
    <s v="24-30 Jul"/>
    <n v="1003"/>
    <s v="Asarganj"/>
    <x v="134"/>
    <s v="HARLACHAK"/>
    <s v="MPG"/>
    <s v="Direct"/>
    <n v="1362.3000000000002"/>
    <n v="55672.560000000005"/>
    <n v="1341.21"/>
    <n v="55634.69"/>
    <n v="12.870000000000001"/>
    <n v="533.47"/>
    <n v="1354.08"/>
    <n v="56168.160000000003"/>
    <n v="55672.560000000005"/>
    <n v="0"/>
    <n v="533.47"/>
    <n v="495.59999999999854"/>
    <n v="0"/>
    <n v="0"/>
    <n v="0"/>
    <n v="55139"/>
    <n v="0"/>
    <n v="0"/>
    <n v="0"/>
    <n v="0"/>
    <n v="0"/>
    <n v="0"/>
    <n v="-8.9020515672352495E-3"/>
    <n v="26"/>
    <m/>
    <s v="Asarganj"/>
    <m/>
    <n v="0"/>
  </r>
  <r>
    <s v="Munger"/>
    <s v="24-30 Jul"/>
    <n v="1003"/>
    <s v="Asarganj"/>
    <x v="135"/>
    <s v="Jangle Jhakra"/>
    <s v="MPG"/>
    <s v="Direct"/>
    <n v="1568.3999999999999"/>
    <n v="66871.290000000008"/>
    <n v="1686.74"/>
    <n v="73813.36"/>
    <n v="1"/>
    <n v="38.92"/>
    <n v="1687.74"/>
    <n v="73852.28"/>
    <n v="66871.290000000008"/>
    <n v="0"/>
    <n v="38.92"/>
    <n v="6980.9899999999907"/>
    <n v="0"/>
    <n v="0"/>
    <n v="0"/>
    <n v="66832"/>
    <n v="0"/>
    <n v="0"/>
    <n v="0"/>
    <n v="0"/>
    <n v="0"/>
    <n v="0"/>
    <n v="-0.10439442696559301"/>
    <n v="5"/>
    <m/>
    <s v="Asarganj"/>
    <m/>
    <n v="0"/>
  </r>
  <r>
    <s v="Munger"/>
    <s v="24-30 Jul"/>
    <n v="1003"/>
    <s v="Asarganj"/>
    <x v="136"/>
    <s v="KATAHRA"/>
    <s v="MPG"/>
    <s v="Direct"/>
    <n v="502.5"/>
    <n v="23350.870000000003"/>
    <n v="552.75"/>
    <n v="25466.97"/>
    <n v="0"/>
    <n v="0"/>
    <n v="552.75"/>
    <n v="25466.97"/>
    <n v="23350.870000000003"/>
    <n v="0"/>
    <n v="0"/>
    <n v="2116.0999999999985"/>
    <n v="0"/>
    <n v="0"/>
    <n v="0"/>
    <n v="23351"/>
    <n v="0"/>
    <n v="0"/>
    <n v="0"/>
    <n v="0"/>
    <n v="183.55410248756218"/>
    <n v="71.785714285714292"/>
    <n v="-9.0621891175789102E-2"/>
    <n v="10"/>
    <m/>
    <s v="Asarganj"/>
    <m/>
    <n v="0"/>
  </r>
  <r>
    <s v="Munger"/>
    <s v="24-30 Jul"/>
    <n v="1003"/>
    <s v="Asarganj"/>
    <x v="137"/>
    <s v="KARHARIA V"/>
    <s v="vlc"/>
    <s v="Indirect"/>
    <n v="179.95000000000002"/>
    <n v="6705"/>
    <n v="0"/>
    <n v="0"/>
    <n v="0"/>
    <n v="0"/>
    <n v="0"/>
    <n v="0"/>
    <n v="6705"/>
    <n v="0"/>
    <n v="0"/>
    <n v="0"/>
    <n v="0"/>
    <n v="0"/>
    <n v="0"/>
    <n v="0"/>
    <n v="0"/>
    <n v="6705"/>
    <n v="0"/>
    <n v="0"/>
    <n v="387.54490136148917"/>
    <n v="25.707142857142859"/>
    <n v="0"/>
    <n v="0"/>
    <m/>
    <s v="Asarganj"/>
    <m/>
    <n v="0"/>
  </r>
  <r>
    <s v="Munger"/>
    <s v="24-30 Jul"/>
    <n v="1003"/>
    <s v="Asarganj"/>
    <x v="138"/>
    <s v="BALADEV ITAHARI"/>
    <s v="MPG"/>
    <s v="Direct"/>
    <n v="973.84999999999991"/>
    <n v="43931.010000000009"/>
    <n v="989.59"/>
    <n v="53081.149999999994"/>
    <n v="0"/>
    <n v="0"/>
    <n v="989.59"/>
    <n v="53081.149999999994"/>
    <n v="43931.010000000009"/>
    <n v="0"/>
    <n v="0"/>
    <n v="9150.1399999999849"/>
    <n v="0"/>
    <n v="0"/>
    <n v="0"/>
    <n v="43931"/>
    <n v="0"/>
    <n v="0"/>
    <n v="0"/>
    <n v="0"/>
    <n v="0"/>
    <n v="0"/>
    <n v="-0.2082843075995745"/>
    <n v="5"/>
    <m/>
    <s v="Asarganj"/>
    <m/>
    <n v="0"/>
  </r>
  <r>
    <s v="Munger"/>
    <s v="24-30 Jul"/>
    <n v="1003"/>
    <s v="Asarganj"/>
    <x v="139"/>
    <s v="PAHALANPUR"/>
    <s v="MPG"/>
    <s v="Direct"/>
    <n v="915.5"/>
    <n v="37735.000000000007"/>
    <n v="917.12000000000023"/>
    <n v="36620.35"/>
    <n v="0"/>
    <n v="0"/>
    <n v="917.12000000000023"/>
    <n v="36620.35"/>
    <n v="36620.35"/>
    <n v="0"/>
    <n v="0"/>
    <n v="0"/>
    <n v="0"/>
    <n v="0"/>
    <n v="0"/>
    <n v="36619"/>
    <n v="0"/>
    <n v="0"/>
    <n v="1116"/>
    <n v="0"/>
    <n v="0"/>
    <n v="0"/>
    <n v="2.9538889625016787E-2"/>
    <n v="30"/>
    <m/>
    <s v="Asarganj"/>
    <m/>
    <n v="0"/>
  </r>
  <r>
    <s v="Munger"/>
    <s v="24-30 Jul"/>
    <n v="1003"/>
    <s v="Asarganj"/>
    <x v="140"/>
    <s v="RAMBRAN YADAV"/>
    <s v="MPG"/>
    <s v="Direct"/>
    <n v="671.65"/>
    <n v="28431.01"/>
    <n v="665.54000000000008"/>
    <n v="28211.130000000005"/>
    <n v="0"/>
    <n v="0"/>
    <n v="665.54000000000008"/>
    <n v="28211.130000000005"/>
    <n v="28211.130000000005"/>
    <n v="0"/>
    <n v="0"/>
    <n v="0"/>
    <n v="0"/>
    <n v="0"/>
    <n v="0"/>
    <n v="28211"/>
    <n v="0"/>
    <n v="0"/>
    <n v="220"/>
    <n v="0"/>
    <n v="24.001165294424165"/>
    <n v="95.95"/>
    <n v="7.7338089642258138E-3"/>
    <n v="2"/>
    <m/>
    <s v="Asarganj"/>
    <m/>
    <n v="0"/>
  </r>
  <r>
    <s v="Munger"/>
    <s v="24-30 Jul"/>
    <n v="1003"/>
    <s v="Asarganj"/>
    <x v="141"/>
    <s v="Gomukh Beldra"/>
    <s v="MPG"/>
    <s v="Direct"/>
    <n v="326.59999999999997"/>
    <n v="16524.46"/>
    <n v="394.58000000000004"/>
    <n v="20639.889999999996"/>
    <n v="0"/>
    <n v="0"/>
    <n v="394.58000000000004"/>
    <n v="20639.889999999996"/>
    <n v="16524.46"/>
    <n v="0"/>
    <n v="0"/>
    <n v="4115.4299999999967"/>
    <n v="0"/>
    <n v="0"/>
    <n v="0"/>
    <n v="16524"/>
    <n v="0"/>
    <n v="0"/>
    <n v="0"/>
    <n v="0"/>
    <n v="377.84650116350286"/>
    <n v="46.657142857142851"/>
    <n v="-0.24905080105492081"/>
    <n v="1"/>
    <m/>
    <s v="Asarganj"/>
    <m/>
    <n v="0"/>
  </r>
  <r>
    <s v="Munger"/>
    <s v="24-30 Jul"/>
    <n v="1003"/>
    <s v="Asarganj"/>
    <x v="142"/>
    <s v="Gomukh Chandanpura"/>
    <s v="MPG"/>
    <s v="Direct"/>
    <n v="914.25000000000011"/>
    <n v="44789.079999999994"/>
    <n v="911.77999999999975"/>
    <n v="45616.4"/>
    <n v="0"/>
    <n v="0"/>
    <n v="911.77999999999975"/>
    <n v="45616.4"/>
    <n v="44789.079999999994"/>
    <n v="0"/>
    <n v="0"/>
    <n v="827.32000000000698"/>
    <n v="0"/>
    <n v="0"/>
    <n v="0"/>
    <n v="44789"/>
    <n v="0"/>
    <n v="0"/>
    <n v="0"/>
    <n v="0"/>
    <n v="0"/>
    <n v="0"/>
    <n v="-1.8471466705723964E-2"/>
    <n v="1"/>
    <m/>
    <s v="Asarganj"/>
    <m/>
    <n v="0"/>
  </r>
  <r>
    <s v="Munger"/>
    <s v="24-30 Jul"/>
    <n v="1003"/>
    <s v="Asarganj"/>
    <x v="143"/>
    <s v="DARIYAPUR R"/>
    <s v="MPG"/>
    <s v="Direct"/>
    <n v="409.2"/>
    <n v="22401.67"/>
    <n v="459.11"/>
    <n v="24219.519999999997"/>
    <n v="0"/>
    <n v="0"/>
    <n v="459.11"/>
    <n v="24219.519999999997"/>
    <n v="22401.67"/>
    <n v="0"/>
    <n v="0"/>
    <n v="1817.8499999999985"/>
    <n v="0"/>
    <n v="0"/>
    <n v="0"/>
    <n v="22402"/>
    <n v="0"/>
    <n v="0"/>
    <n v="0"/>
    <n v="0"/>
    <n v="318.39714740957965"/>
    <n v="58.457142857142856"/>
    <n v="-8.1147967986315253E-2"/>
    <n v="1"/>
    <m/>
    <s v="Asarganj"/>
    <m/>
    <n v="0"/>
  </r>
  <r>
    <s v="Munger"/>
    <s v="24-30 Jul"/>
    <n v="1003"/>
    <s v="Asarganj"/>
    <x v="144"/>
    <s v="MUZAFFARGANJ"/>
    <s v="MPG"/>
    <s v="Direct"/>
    <n v="433.25000000000006"/>
    <n v="15828.070000000002"/>
    <n v="422.90000000000003"/>
    <n v="15376.170000000002"/>
    <n v="0"/>
    <n v="0"/>
    <n v="422.90000000000003"/>
    <n v="15376.170000000002"/>
    <n v="15376.170000000002"/>
    <n v="0"/>
    <n v="0"/>
    <n v="0"/>
    <n v="0"/>
    <n v="0"/>
    <n v="0"/>
    <n v="15376"/>
    <n v="0"/>
    <n v="0"/>
    <n v="452"/>
    <n v="0"/>
    <n v="194.90537437968837"/>
    <n v="61.892857142857153"/>
    <n v="2.8550543433280215E-2"/>
    <n v="1"/>
    <m/>
    <s v="Asarganj"/>
    <m/>
    <n v="0"/>
  </r>
  <r>
    <s v="Munger"/>
    <s v="24-30 Jul"/>
    <n v="1003"/>
    <s v="Asarganj"/>
    <x v="145"/>
    <s v="SARHA"/>
    <s v="MPG"/>
    <s v="Direct"/>
    <n v="882.50000000000011"/>
    <n v="45216.52"/>
    <n v="908.99"/>
    <n v="45458.26"/>
    <n v="0"/>
    <n v="0"/>
    <n v="908.99"/>
    <n v="45458.26"/>
    <n v="45216.52"/>
    <n v="0"/>
    <n v="0"/>
    <n v="241.74000000000524"/>
    <n v="0"/>
    <n v="0"/>
    <n v="0"/>
    <n v="45217"/>
    <n v="0"/>
    <n v="0"/>
    <n v="0"/>
    <n v="0"/>
    <n v="0"/>
    <n v="0"/>
    <n v="-5.3462760955510346E-3"/>
    <n v="2"/>
    <m/>
    <s v="Asarganj"/>
    <m/>
    <n v="0"/>
  </r>
  <r>
    <s v="Munger"/>
    <s v="24-30 Jul"/>
    <n v="1003"/>
    <s v="Asarganj"/>
    <x v="146"/>
    <s v="KUSUMBHA"/>
    <s v="MPG"/>
    <s v="Direct"/>
    <n v="464.34999999999997"/>
    <n v="21361.759999999998"/>
    <n v="513.29999999999995"/>
    <n v="23946.539999999997"/>
    <n v="0"/>
    <n v="0"/>
    <n v="513.29999999999995"/>
    <n v="23946.539999999997"/>
    <n v="21361.759999999998"/>
    <n v="0"/>
    <n v="0"/>
    <n v="2584.7799999999988"/>
    <n v="0"/>
    <n v="0"/>
    <n v="0"/>
    <n v="21362"/>
    <n v="0"/>
    <n v="0"/>
    <n v="0"/>
    <n v="0"/>
    <n v="216.81484845482944"/>
    <n v="66.335714285714275"/>
    <n v="-0.12100032956086011"/>
    <n v="1"/>
    <m/>
    <s v="Asarganj"/>
    <m/>
    <n v="0"/>
  </r>
  <r>
    <s v="Munger"/>
    <s v="24-30 Jul"/>
    <n v="1006"/>
    <s v="Sonvarsha"/>
    <x v="147"/>
    <s v="MANO"/>
    <s v="vlc"/>
    <s v="Indirect"/>
    <n v="805.3"/>
    <n v="34098.869999999995"/>
    <n v="0"/>
    <n v="0"/>
    <n v="0"/>
    <n v="0"/>
    <n v="0"/>
    <n v="0"/>
    <n v="34098.869999999995"/>
    <n v="0"/>
    <n v="0"/>
    <n v="0"/>
    <n v="0"/>
    <n v="0"/>
    <n v="0"/>
    <n v="0"/>
    <n v="0"/>
    <n v="34098.869999999995"/>
    <n v="0"/>
    <n v="0"/>
    <n v="0"/>
    <n v="0"/>
    <n v="0"/>
    <n v="0"/>
    <m/>
    <s v="Sonvarsha"/>
    <m/>
    <n v="0"/>
  </r>
  <r>
    <s v="Munger"/>
    <s v="24-30 Jul"/>
    <n v="1006"/>
    <s v="Sonvarsha"/>
    <x v="148"/>
    <s v="PURANI SALEMPUR"/>
    <s v="vlc"/>
    <s v="Indirect"/>
    <n v="1578.1999999999998"/>
    <n v="63823.23"/>
    <n v="0"/>
    <n v="0"/>
    <n v="0"/>
    <n v="0"/>
    <n v="0"/>
    <n v="0"/>
    <n v="63823.23"/>
    <n v="0"/>
    <n v="0"/>
    <n v="0"/>
    <n v="0"/>
    <n v="0"/>
    <n v="0"/>
    <n v="0"/>
    <n v="0"/>
    <n v="63823.23"/>
    <n v="0"/>
    <n v="0"/>
    <n v="0"/>
    <n v="0"/>
    <n v="0"/>
    <n v="0"/>
    <m/>
    <s v="Sonvarsha"/>
    <m/>
    <n v="0"/>
  </r>
  <r>
    <s v="Munger"/>
    <s v="24-30 Jul"/>
    <n v="1006"/>
    <s v="Sonvarsha"/>
    <x v="149"/>
    <s v="DHANDHHA"/>
    <s v="MPG"/>
    <s v="Indirect"/>
    <n v="2812.4"/>
    <n v="113789.31000000001"/>
    <n v="0"/>
    <n v="0"/>
    <n v="0"/>
    <n v="0"/>
    <n v="0"/>
    <n v="0"/>
    <n v="113789.31000000001"/>
    <n v="0"/>
    <n v="0"/>
    <n v="0"/>
    <n v="0"/>
    <n v="0"/>
    <n v="0"/>
    <n v="0"/>
    <n v="0"/>
    <n v="113789.31000000001"/>
    <n v="0"/>
    <n v="0"/>
    <n v="0"/>
    <n v="0"/>
    <n v="0"/>
    <n v="0"/>
    <m/>
    <s v="Sonvarsha"/>
    <m/>
    <n v="0"/>
  </r>
  <r>
    <s v="Munger"/>
    <s v="24-30 Jul"/>
    <n v="1006"/>
    <s v="Sonvarsha"/>
    <x v="150"/>
    <s v="CHALISH"/>
    <s v="vlc"/>
    <s v="Indirect"/>
    <n v="705.00000000000011"/>
    <n v="29514.090000000004"/>
    <n v="0"/>
    <n v="0"/>
    <n v="0"/>
    <n v="0"/>
    <n v="0"/>
    <n v="0"/>
    <n v="29514.090000000004"/>
    <n v="0"/>
    <n v="0"/>
    <n v="0"/>
    <n v="0"/>
    <n v="0"/>
    <n v="0"/>
    <n v="0"/>
    <n v="0"/>
    <n v="29514.090000000004"/>
    <n v="0"/>
    <n v="0"/>
    <n v="0"/>
    <n v="0"/>
    <n v="0"/>
    <n v="0"/>
    <m/>
    <s v="Sonvarsha"/>
    <m/>
    <n v="0"/>
  </r>
  <r>
    <s v="Munger"/>
    <s v="24-30 Jul"/>
    <n v="1006"/>
    <s v="Sonvarsha"/>
    <x v="151"/>
    <s v="MAA BHAGWATI"/>
    <s v="vlc"/>
    <s v="Indirect"/>
    <n v="782.00000000000011"/>
    <n v="30131.55"/>
    <n v="0"/>
    <n v="0"/>
    <n v="0"/>
    <n v="0"/>
    <n v="0"/>
    <n v="0"/>
    <n v="30131.55"/>
    <n v="0"/>
    <n v="0"/>
    <n v="0"/>
    <n v="0"/>
    <n v="0"/>
    <n v="0"/>
    <n v="0"/>
    <n v="0"/>
    <n v="30131.55"/>
    <n v="0"/>
    <n v="0"/>
    <n v="0"/>
    <n v="0"/>
    <n v="0"/>
    <n v="0"/>
    <m/>
    <s v="Sonvarsha"/>
    <m/>
    <n v="0"/>
  </r>
  <r>
    <s v="Munger"/>
    <s v="24-30 Jul"/>
    <n v="1006"/>
    <s v="Sonvarsha"/>
    <x v="152"/>
    <s v="MAIDINICHOKI"/>
    <s v="vlc"/>
    <s v="Indirect"/>
    <n v="523.5"/>
    <n v="21278.54"/>
    <n v="0"/>
    <n v="0"/>
    <n v="0"/>
    <n v="0"/>
    <n v="0"/>
    <n v="0"/>
    <n v="21278.54"/>
    <n v="0"/>
    <n v="0"/>
    <n v="0"/>
    <n v="0"/>
    <n v="0"/>
    <n v="0"/>
    <n v="0"/>
    <n v="0"/>
    <n v="21278.54"/>
    <n v="0"/>
    <n v="0"/>
    <n v="143.48280076408784"/>
    <n v="74.785714285714292"/>
    <n v="0"/>
    <n v="0"/>
    <m/>
    <s v="Sonvarsha"/>
    <m/>
    <n v="0"/>
  </r>
  <r>
    <s v="Munger"/>
    <s v="24-30 Jul"/>
    <n v="1006"/>
    <s v="Sonvarsha"/>
    <x v="153"/>
    <s v="GOMUKH JAJWARA"/>
    <s v="vlc"/>
    <s v="Indirect"/>
    <n v="1135.4000000000001"/>
    <n v="49525.349999999991"/>
    <n v="0"/>
    <n v="0"/>
    <n v="0"/>
    <n v="0"/>
    <n v="0"/>
    <n v="0"/>
    <n v="49525.349999999991"/>
    <n v="0"/>
    <n v="0"/>
    <n v="0"/>
    <n v="0"/>
    <n v="0"/>
    <n v="0"/>
    <n v="0"/>
    <n v="0"/>
    <n v="49525.349999999991"/>
    <n v="0"/>
    <n v="0"/>
    <n v="0"/>
    <n v="0"/>
    <n v="0"/>
    <n v="0"/>
    <m/>
    <s v="Sonvarsha"/>
    <m/>
    <n v="0"/>
  </r>
  <r>
    <s v="Munger"/>
    <s v="24-30 Jul"/>
    <n v="1006"/>
    <s v="Sonvarsha"/>
    <x v="154"/>
    <s v="Gomukh ID Sonvarsha"/>
    <s v="vlc"/>
    <s v="Indirect"/>
    <n v="1942.8999999999999"/>
    <n v="84104.3"/>
    <n v="0"/>
    <n v="0"/>
    <n v="0"/>
    <n v="0"/>
    <n v="0"/>
    <n v="0"/>
    <n v="84104.3"/>
    <n v="0"/>
    <n v="0"/>
    <n v="0"/>
    <n v="0"/>
    <n v="0"/>
    <n v="0"/>
    <n v="0"/>
    <n v="0"/>
    <n v="84104.3"/>
    <n v="0"/>
    <n v="0"/>
    <n v="0"/>
    <n v="0"/>
    <n v="0"/>
    <n v="0"/>
    <m/>
    <s v="Sonvarsha"/>
    <m/>
    <n v="0"/>
  </r>
  <r>
    <s v="Munger"/>
    <s v="24-30 Jul"/>
    <n v="1059"/>
    <s v="Gopalpur Bmc"/>
    <x v="155"/>
    <s v="BALHAPUR"/>
    <s v="MPG"/>
    <s v="Direct"/>
    <n v="468.29999999999995"/>
    <n v="21686.87"/>
    <n v="463.76000000000005"/>
    <n v="21389.07"/>
    <n v="10.130000000000001"/>
    <n v="466.70000000000005"/>
    <n v="473.89000000000004"/>
    <n v="21855.77"/>
    <n v="21686.87"/>
    <n v="0"/>
    <n v="466.70000000000005"/>
    <n v="168.90000000000146"/>
    <n v="0"/>
    <n v="0"/>
    <n v="0"/>
    <n v="21220"/>
    <n v="0"/>
    <n v="0"/>
    <n v="0"/>
    <s v="Release1"/>
    <n v="214.59952077727959"/>
    <n v="66.899999999999991"/>
    <n v="-7.788122490705273E-3"/>
    <n v="25"/>
    <m/>
    <s v="Gopalpur Bmc"/>
    <m/>
    <n v="0"/>
  </r>
  <r>
    <s v="Munger"/>
    <s v="24-30 Jul"/>
    <n v="1006"/>
    <s v="Sonvarsha"/>
    <x v="156"/>
    <s v="Gomukh ID Husaina"/>
    <s v="vlc"/>
    <s v="Indirect"/>
    <n v="860.10000000000014"/>
    <n v="31337.33"/>
    <n v="0"/>
    <n v="0"/>
    <n v="0"/>
    <n v="0"/>
    <n v="0"/>
    <n v="0"/>
    <n v="31337.33"/>
    <n v="0"/>
    <n v="0"/>
    <n v="0"/>
    <n v="0"/>
    <n v="0"/>
    <n v="0"/>
    <n v="0"/>
    <n v="0"/>
    <n v="31337.33"/>
    <n v="0"/>
    <n v="0"/>
    <n v="0"/>
    <n v="0"/>
    <n v="0"/>
    <n v="0"/>
    <m/>
    <s v="Sonvarsha"/>
    <m/>
    <n v="0"/>
  </r>
  <r>
    <s v="Munger"/>
    <s v="24-30 Jul"/>
    <n v="1006"/>
    <s v="Sonvarsha"/>
    <x v="157"/>
    <s v="Gomukh ID Prarotol"/>
    <s v="vlc"/>
    <s v="Indirect"/>
    <n v="207.4"/>
    <n v="9024.7199999999993"/>
    <n v="0"/>
    <n v="0"/>
    <n v="0"/>
    <n v="0"/>
    <n v="0"/>
    <n v="0"/>
    <n v="9024.7199999999993"/>
    <n v="0"/>
    <n v="0"/>
    <n v="0"/>
    <n v="0"/>
    <n v="0"/>
    <n v="0"/>
    <n v="0"/>
    <n v="0"/>
    <n v="9024.7199999999993"/>
    <n v="0"/>
    <n v="0"/>
    <n v="428.69595679845696"/>
    <n v="29.62857142857143"/>
    <n v="0"/>
    <n v="0"/>
    <m/>
    <s v="Sonvarsha"/>
    <m/>
    <n v="0"/>
  </r>
  <r>
    <s v="Munger"/>
    <s v="24-30 Jul"/>
    <n v="1006"/>
    <s v="Sonvarsha"/>
    <x v="158"/>
    <s v="MAA SARDE"/>
    <s v="vlc"/>
    <s v="Indirect"/>
    <n v="1194.5000000000002"/>
    <n v="45553.49"/>
    <n v="0"/>
    <n v="0"/>
    <n v="0"/>
    <n v="0"/>
    <n v="0"/>
    <n v="0"/>
    <n v="45553.49"/>
    <n v="0"/>
    <n v="0"/>
    <n v="0"/>
    <n v="0"/>
    <n v="0"/>
    <n v="0"/>
    <n v="0"/>
    <n v="0"/>
    <n v="45553.49"/>
    <n v="0"/>
    <n v="0"/>
    <n v="0"/>
    <n v="0"/>
    <n v="0"/>
    <n v="0"/>
    <m/>
    <s v="Sonvarsha"/>
    <m/>
    <n v="0"/>
  </r>
  <r>
    <s v="Munger"/>
    <s v="24-30 Jul"/>
    <n v="1006"/>
    <s v="Sonvarsha"/>
    <x v="159"/>
    <s v="PURANI DIH"/>
    <s v="vlc"/>
    <s v="Indirect"/>
    <n v="2064.4"/>
    <n v="89122.669999999969"/>
    <n v="0"/>
    <n v="0"/>
    <n v="0"/>
    <n v="0"/>
    <n v="0"/>
    <n v="0"/>
    <n v="89122.669999999969"/>
    <n v="0"/>
    <n v="0"/>
    <n v="0"/>
    <n v="21000"/>
    <n v="0"/>
    <n v="0"/>
    <n v="0"/>
    <n v="0"/>
    <n v="68122.669999999969"/>
    <n v="0"/>
    <n v="0"/>
    <n v="0"/>
    <n v="0"/>
    <n v="0"/>
    <n v="0"/>
    <m/>
    <s v="Sonvarsha"/>
    <m/>
    <n v="0"/>
  </r>
  <r>
    <s v="Munger"/>
    <s v="24-30 Jul"/>
    <n v="1006"/>
    <s v="Sonvarsha"/>
    <x v="160"/>
    <s v="Farda Ravi Tola"/>
    <s v="MPG"/>
    <s v="Direct"/>
    <n v="750.7"/>
    <n v="29655.960000000003"/>
    <n v="561.59999999999991"/>
    <n v="22775.58"/>
    <n v="232.6"/>
    <n v="9298.69"/>
    <n v="794.19999999999993"/>
    <n v="32074.270000000004"/>
    <n v="29655.960000000003"/>
    <n v="0"/>
    <n v="594.94999999999993"/>
    <n v="2418.3100000000013"/>
    <n v="0"/>
    <n v="0"/>
    <n v="0"/>
    <n v="20357"/>
    <n v="8704"/>
    <n v="0"/>
    <n v="0"/>
    <n v="0"/>
    <n v="0"/>
    <n v="0"/>
    <n v="-8.1545497094007449E-2"/>
    <n v="26"/>
    <m/>
    <s v="Sonvarsha"/>
    <m/>
    <n v="0"/>
  </r>
  <r>
    <s v="Munger"/>
    <s v="24-30 Jul"/>
    <n v="1006"/>
    <s v="Sonvarsha"/>
    <x v="161"/>
    <s v="Gomukh Puranidih 2"/>
    <s v="MPG"/>
    <s v="Indirect"/>
    <n v="120.9"/>
    <n v="5556.36"/>
    <n v="0"/>
    <n v="0"/>
    <n v="0"/>
    <n v="0"/>
    <n v="0"/>
    <n v="0"/>
    <n v="5556.36"/>
    <n v="0"/>
    <n v="0"/>
    <n v="0"/>
    <n v="0"/>
    <n v="0"/>
    <n v="0"/>
    <n v="0"/>
    <n v="0"/>
    <n v="5556.36"/>
    <n v="0"/>
    <n v="0"/>
    <n v="532.2891771712159"/>
    <n v="17.271428571428572"/>
    <n v="0"/>
    <n v="0"/>
    <m/>
    <s v="Sonvarsha"/>
    <m/>
    <n v="0"/>
  </r>
  <r>
    <s v="Munger"/>
    <s v="24-30 Jul"/>
    <n v="1006"/>
    <s v="Sonvarsha"/>
    <x v="162"/>
    <s v="Gomukh Arma"/>
    <s v="MPG"/>
    <s v="Direct"/>
    <n v="731.49999999999989"/>
    <n v="38400.619999999995"/>
    <n v="517.19999999999993"/>
    <n v="29575.24"/>
    <n v="224.39999999999998"/>
    <n v="10276.59"/>
    <n v="741.59999999999991"/>
    <n v="39851.83"/>
    <n v="38400.619999999995"/>
    <n v="0"/>
    <n v="0"/>
    <n v="1451.2100000000064"/>
    <n v="0"/>
    <n v="0"/>
    <n v="0"/>
    <n v="28125"/>
    <n v="10276"/>
    <n v="0"/>
    <n v="0"/>
    <n v="0"/>
    <n v="0"/>
    <n v="0"/>
    <n v="-3.7791316911029209E-2"/>
    <n v="14"/>
    <m/>
    <s v="Sonvarsha"/>
    <m/>
    <n v="0"/>
  </r>
  <r>
    <s v="Munger"/>
    <s v="24-30 Jul"/>
    <n v="1059"/>
    <s v="Gopalpur Bmc"/>
    <x v="163"/>
    <s v="Singhchak"/>
    <s v="MPG"/>
    <s v="Direct"/>
    <n v="1538.8999999999996"/>
    <n v="67571.750000000015"/>
    <n v="1542.9199999999998"/>
    <n v="68307.049999999974"/>
    <n v="16.7"/>
    <n v="734.15000000000009"/>
    <n v="1559.62"/>
    <n v="69041.199999999968"/>
    <n v="67571.750000000015"/>
    <n v="0"/>
    <n v="734.15000000000009"/>
    <n v="1469.4499999999534"/>
    <n v="0"/>
    <n v="0"/>
    <n v="0"/>
    <n v="0"/>
    <n v="0"/>
    <n v="0"/>
    <n v="66838"/>
    <s v="Yes"/>
    <n v="0"/>
    <n v="0"/>
    <n v="-2.1746513890789465E-2"/>
    <n v="76"/>
    <m/>
    <s v="Gopalpur Bmc"/>
    <m/>
    <n v="0"/>
  </r>
  <r>
    <s v="Munger"/>
    <s v="24-30 Jul"/>
    <n v="1006"/>
    <s v="Sonvarsha"/>
    <x v="164"/>
    <s v="MAHA-LAXMI"/>
    <s v="vlc"/>
    <s v="Indirect"/>
    <n v="330.5"/>
    <n v="12570.699999999997"/>
    <n v="0"/>
    <n v="0"/>
    <n v="0"/>
    <n v="0"/>
    <n v="0"/>
    <n v="0"/>
    <n v="12570.699999999997"/>
    <n v="0"/>
    <n v="0"/>
    <n v="0"/>
    <n v="0"/>
    <n v="0"/>
    <n v="0"/>
    <n v="0"/>
    <n v="0"/>
    <n v="12570.699999999997"/>
    <n v="0"/>
    <n v="0"/>
    <n v="281.0816127080181"/>
    <n v="47.214285714285715"/>
    <n v="0"/>
    <n v="0"/>
    <m/>
    <s v="Sonvarsha"/>
    <m/>
    <n v="0"/>
  </r>
  <r>
    <s v="Munger"/>
    <s v="24-30 Jul"/>
    <n v="1006"/>
    <s v="Sonvarsha"/>
    <x v="165"/>
    <s v="PAWAI"/>
    <s v="MPG"/>
    <s v="Direct"/>
    <n v="2170.7999999999997"/>
    <n v="103702.68000000002"/>
    <n v="1900.6899999999998"/>
    <n v="90011.859999999986"/>
    <n v="325.29000000000002"/>
    <n v="15684"/>
    <n v="2225.98"/>
    <n v="105695.85999999999"/>
    <n v="103702.68000000002"/>
    <n v="0"/>
    <n v="1089.3699999999999"/>
    <n v="1993.1799999999639"/>
    <n v="0"/>
    <n v="0"/>
    <n v="0"/>
    <n v="88019"/>
    <n v="14594"/>
    <n v="0"/>
    <n v="0"/>
    <n v="0"/>
    <n v="0"/>
    <n v="0"/>
    <n v="-1.9220139730236129E-2"/>
    <n v="41"/>
    <m/>
    <s v="Sonvarsha"/>
    <m/>
    <n v="0"/>
  </r>
  <r>
    <s v="Munger"/>
    <s v="24-30 Jul"/>
    <n v="1006"/>
    <s v="Sonvarsha"/>
    <x v="166"/>
    <s v="LAKHOCHAK                                                                                           "/>
    <s v="MPG"/>
    <s v="Direct"/>
    <n v="391.9"/>
    <n v="17269.14"/>
    <n v="402.59000000000003"/>
    <n v="16990.54"/>
    <n v="0"/>
    <n v="0"/>
    <n v="402.59000000000003"/>
    <n v="16990.54"/>
    <n v="16990.54"/>
    <n v="0"/>
    <n v="0"/>
    <n v="0"/>
    <n v="0"/>
    <n v="0"/>
    <n v="0"/>
    <n v="16990"/>
    <n v="0"/>
    <n v="0"/>
    <n v="279"/>
    <n v="0"/>
    <n v="271.52957560602192"/>
    <n v="55.98571428571428"/>
    <n v="1.6132824217071524E-2"/>
    <n v="12"/>
    <m/>
    <s v="Sonvarsha"/>
    <m/>
    <n v="0"/>
  </r>
  <r>
    <s v="Munger"/>
    <s v="24-30 Jul"/>
    <n v="1059"/>
    <s v="Gopalpur Bmc"/>
    <x v="167"/>
    <s v="BATTA RAMPUR                                                                                        "/>
    <s v="MPG"/>
    <s v="Direct"/>
    <n v="3073.6"/>
    <n v="171859.99"/>
    <n v="3095.9500000000007"/>
    <n v="173259.02999999994"/>
    <n v="26.950000000000003"/>
    <n v="1830.8700000000001"/>
    <n v="3122.9000000000005"/>
    <n v="175089.89999999994"/>
    <n v="171859.99"/>
    <n v="0"/>
    <n v="1830.8700000000001"/>
    <n v="3229.9099999999453"/>
    <n v="5107.5"/>
    <n v="0"/>
    <n v="0"/>
    <n v="164921"/>
    <n v="0"/>
    <n v="0"/>
    <n v="1"/>
    <s v="Release1"/>
    <n v="0"/>
    <n v="0"/>
    <n v="-1.879384491992549E-2"/>
    <n v="55"/>
    <m/>
    <s v="Gopalpur Bmc"/>
    <m/>
    <n v="0"/>
  </r>
  <r>
    <s v="Munger"/>
    <s v="24-30 Jul"/>
    <n v="1006"/>
    <s v="Sonvarsha"/>
    <x v="168"/>
    <s v="URAIN"/>
    <s v="MPG"/>
    <s v="Direct"/>
    <n v="1347.8999999999999"/>
    <n v="68088.45"/>
    <n v="495.38000000000005"/>
    <n v="30192.98"/>
    <n v="780.04"/>
    <n v="43788.6"/>
    <n v="1275.42"/>
    <n v="73981.58"/>
    <n v="68088.45"/>
    <n v="0"/>
    <n v="0"/>
    <n v="5893.1300000000047"/>
    <n v="0"/>
    <n v="0"/>
    <n v="0"/>
    <n v="24299"/>
    <n v="43789"/>
    <n v="0"/>
    <n v="0"/>
    <n v="0"/>
    <n v="0"/>
    <n v="0"/>
    <n v="-8.6551096404750075E-2"/>
    <n v="12"/>
    <m/>
    <s v="Sonvarsha"/>
    <m/>
    <n v="0"/>
  </r>
  <r>
    <s v="Munger"/>
    <s v="24-30 Jul"/>
    <n v="1006"/>
    <s v="Sonvarsha"/>
    <x v="169"/>
    <s v="RANDHIR KUMAR(VLC)"/>
    <s v="vlc"/>
    <s v="Indirect"/>
    <n v="293.8"/>
    <n v="11456.37"/>
    <n v="0"/>
    <n v="0"/>
    <n v="0"/>
    <n v="0"/>
    <n v="0"/>
    <n v="0"/>
    <n v="11456.37"/>
    <n v="0"/>
    <n v="0"/>
    <n v="0"/>
    <n v="0"/>
    <n v="0"/>
    <n v="0"/>
    <n v="0"/>
    <n v="0"/>
    <n v="11456.37"/>
    <n v="0"/>
    <n v="0"/>
    <n v="316.78539782164734"/>
    <n v="41.971428571428575"/>
    <n v="0"/>
    <n v="0"/>
    <m/>
    <s v="Sonvarsha"/>
    <m/>
    <n v="0"/>
  </r>
  <r>
    <s v="Munger"/>
    <s v="24-30 Jul"/>
    <n v="1006"/>
    <s v="Sonvarsha"/>
    <x v="972"/>
    <s v="Abgil-2 - Sheshnath"/>
    <s v="vlc"/>
    <s v="Indirect"/>
    <n v="632.79999999999995"/>
    <n v="27152.41"/>
    <n v="0"/>
    <n v="0"/>
    <n v="0"/>
    <n v="0"/>
    <n v="0"/>
    <n v="0"/>
    <n v="27152.41"/>
    <n v="0"/>
    <n v="0"/>
    <n v="0"/>
    <n v="0"/>
    <n v="0"/>
    <n v="0"/>
    <n v="0"/>
    <n v="0"/>
    <n v="27152.41"/>
    <n v="0"/>
    <n v="0"/>
    <n v="57.668835398230144"/>
    <n v="90.399999999999991"/>
    <n v="0"/>
    <n v="0"/>
    <m/>
    <s v="Sonvarsha"/>
    <m/>
    <n v="0"/>
  </r>
  <r>
    <s v="Munger"/>
    <s v="24-30 Jul"/>
    <n v="1059"/>
    <s v="Gopalpur Bmc"/>
    <x v="170"/>
    <s v="MALIYA"/>
    <s v="MPG"/>
    <s v="Direct"/>
    <n v="767.09999999999991"/>
    <n v="36369.230000000003"/>
    <n v="760.92999999999984"/>
    <n v="36209.250000000007"/>
    <n v="7.0000000000000009"/>
    <n v="375.08"/>
    <n v="767.92999999999984"/>
    <n v="36584.330000000009"/>
    <n v="36369.230000000003"/>
    <n v="0"/>
    <n v="375.08"/>
    <n v="215.10000000000582"/>
    <n v="774"/>
    <n v="0"/>
    <n v="0"/>
    <n v="35220"/>
    <n v="0"/>
    <n v="0"/>
    <n v="0"/>
    <s v="Release1"/>
    <n v="0"/>
    <n v="0"/>
    <n v="-5.9143402266148004E-3"/>
    <n v="30"/>
    <m/>
    <s v="Gopalpur Bmc"/>
    <m/>
    <n v="0"/>
  </r>
  <r>
    <s v="Munger"/>
    <s v="24-30 Jul"/>
    <n v="1059"/>
    <s v="Gopalpur Bmc"/>
    <x v="171"/>
    <s v="MAHULIYA"/>
    <s v="MPG"/>
    <s v="Direct"/>
    <n v="573.4"/>
    <n v="27540.539999999994"/>
    <n v="581.57999999999981"/>
    <n v="27535.78000000001"/>
    <n v="8.1000000000000014"/>
    <n v="380.32000000000005"/>
    <n v="589.67999999999984"/>
    <n v="27916.100000000009"/>
    <n v="27540.539999999994"/>
    <n v="0"/>
    <n v="380.32000000000005"/>
    <n v="375.56000000001586"/>
    <n v="0"/>
    <n v="0"/>
    <n v="0"/>
    <n v="27536"/>
    <n v="0"/>
    <n v="0"/>
    <n v="-376"/>
    <s v="Release2"/>
    <n v="121.61256937565399"/>
    <n v="81.914285714285711"/>
    <n v="-1.3636624408962785E-2"/>
    <n v="23"/>
    <m/>
    <s v="Gopalpur Bmc"/>
    <m/>
    <n v="0"/>
  </r>
  <r>
    <s v="Munger"/>
    <s v="24-30 Jul"/>
    <n v="1006"/>
    <s v="Sonvarsha"/>
    <x v="172"/>
    <s v="ABGIL RAMPUR"/>
    <s v="vlc"/>
    <s v="Indirect"/>
    <n v="418.3"/>
    <n v="17548.64"/>
    <n v="0"/>
    <n v="0"/>
    <n v="0"/>
    <n v="0"/>
    <n v="0"/>
    <n v="0"/>
    <n v="17548.64"/>
    <n v="0"/>
    <n v="0"/>
    <n v="0"/>
    <n v="0"/>
    <n v="0"/>
    <n v="0"/>
    <n v="0"/>
    <n v="0"/>
    <n v="17548.64"/>
    <n v="0"/>
    <n v="0"/>
    <n v="236.35916270619171"/>
    <n v="59.75714285714286"/>
    <n v="0"/>
    <n v="0"/>
    <m/>
    <s v="Sonvarsha"/>
    <m/>
    <n v="0"/>
  </r>
  <r>
    <s v="Munger"/>
    <s v="24-30 Jul"/>
    <n v="1006"/>
    <s v="Sonvarsha"/>
    <x v="1012"/>
    <s v="ABGIL"/>
    <s v="vlc"/>
    <s v="Indirect"/>
    <n v="563.4"/>
    <n v="21768.7"/>
    <n v="0"/>
    <n v="0"/>
    <n v="0"/>
    <n v="0"/>
    <n v="0"/>
    <n v="0"/>
    <n v="21768.7"/>
    <n v="0"/>
    <n v="0"/>
    <n v="0"/>
    <n v="0"/>
    <n v="0"/>
    <n v="0"/>
    <n v="0"/>
    <n v="0"/>
    <n v="21768.7"/>
    <n v="0"/>
    <n v="0"/>
    <n v="105.55926233581827"/>
    <n v="80.48571428571428"/>
    <n v="0"/>
    <n v="0"/>
    <m/>
    <s v="Sonvarsha"/>
    <m/>
    <n v="0"/>
  </r>
  <r>
    <s v="Munger"/>
    <s v="24-30 Jul"/>
    <n v="1006"/>
    <s v="Sonvarsha"/>
    <x v="173"/>
    <s v="RUPESH KUMAR"/>
    <s v="vlc"/>
    <s v="Indirect"/>
    <n v="117.39999999999999"/>
    <n v="4530.9000000000005"/>
    <n v="0"/>
    <n v="0"/>
    <n v="0"/>
    <n v="0"/>
    <n v="0"/>
    <n v="0"/>
    <n v="4530.9000000000005"/>
    <n v="0"/>
    <n v="0"/>
    <n v="0"/>
    <n v="0"/>
    <n v="0"/>
    <n v="0"/>
    <n v="0"/>
    <n v="0"/>
    <n v="4530.9000000000005"/>
    <n v="0"/>
    <n v="0"/>
    <n v="449.69375468483827"/>
    <n v="16.771428571428569"/>
    <n v="0"/>
    <n v="0"/>
    <m/>
    <s v="Sonvarsha"/>
    <m/>
    <n v="0"/>
  </r>
  <r>
    <s v="Munger"/>
    <s v="24-30 Jul"/>
    <n v="1006"/>
    <s v="Sonvarsha"/>
    <x v="174"/>
    <s v="ABGIL HUSSAINA-2                                                                                    "/>
    <s v="MPG"/>
    <s v="Direct"/>
    <n v="364.40000000000003"/>
    <n v="14635.74"/>
    <n v="244.04000000000002"/>
    <n v="10070.109999999997"/>
    <n v="122.47"/>
    <n v="5100.5900000000011"/>
    <n v="366.51"/>
    <n v="15170.699999999997"/>
    <n v="14635.74"/>
    <n v="0"/>
    <n v="150.42000000000002"/>
    <n v="534.95999999999731"/>
    <n v="0"/>
    <n v="0"/>
    <n v="0"/>
    <n v="9535"/>
    <n v="4950"/>
    <n v="0"/>
    <n v="0"/>
    <n v="0"/>
    <n v="269.5803701427003"/>
    <n v="52.057142857142864"/>
    <n v="-3.6551619528633152E-2"/>
    <n v="4"/>
    <m/>
    <s v="Sonvarsha"/>
    <m/>
    <n v="0"/>
  </r>
  <r>
    <s v="Munger"/>
    <s v="24-30 Jul"/>
    <n v="1006"/>
    <s v="Sonvarsha"/>
    <x v="175"/>
    <s v="Manish Kumar                                                                                        "/>
    <s v="vlc"/>
    <s v="Indirect"/>
    <n v="104.5"/>
    <n v="3953.9999999999995"/>
    <n v="0"/>
    <n v="0"/>
    <n v="0"/>
    <n v="0"/>
    <n v="0"/>
    <n v="0"/>
    <n v="3953.9999999999995"/>
    <n v="0"/>
    <n v="0"/>
    <n v="0"/>
    <n v="0"/>
    <n v="0"/>
    <n v="0"/>
    <n v="0"/>
    <n v="0"/>
    <n v="3953.9999999999995"/>
    <n v="0"/>
    <n v="0"/>
    <n v="450.64248803827746"/>
    <n v="14.928571428571429"/>
    <n v="0"/>
    <n v="0"/>
    <m/>
    <s v="Sonvarsha"/>
    <m/>
    <n v="0"/>
  </r>
  <r>
    <s v="Munger"/>
    <s v="24-30 Jul"/>
    <n v="1006"/>
    <s v="Sonvarsha"/>
    <x v="176"/>
    <s v="AKHA-KURHA"/>
    <s v="vlc"/>
    <s v="Indirect"/>
    <n v="307.8"/>
    <n v="13260.75"/>
    <n v="0"/>
    <n v="0"/>
    <n v="0"/>
    <n v="0"/>
    <n v="0"/>
    <n v="0"/>
    <n v="13260.75"/>
    <n v="0"/>
    <n v="0"/>
    <n v="0"/>
    <n v="0"/>
    <n v="0"/>
    <n v="0"/>
    <n v="0"/>
    <n v="0"/>
    <n v="13260.75"/>
    <n v="0"/>
    <n v="0"/>
    <n v="337.93802144249509"/>
    <n v="43.971428571428575"/>
    <n v="0"/>
    <n v="0"/>
    <m/>
    <s v="Sonvarsha"/>
    <m/>
    <n v="0"/>
  </r>
  <r>
    <s v="Munger"/>
    <s v="24-30 Jul"/>
    <n v="1059"/>
    <s v="Gopalpur Bmc"/>
    <x v="177"/>
    <s v="BHANDAR"/>
    <s v="MPG"/>
    <s v="Direct"/>
    <n v="241.79999999999998"/>
    <n v="11867.820000000002"/>
    <n v="249.96"/>
    <n v="12042.730000000001"/>
    <n v="0"/>
    <n v="0"/>
    <n v="249.96"/>
    <n v="12042.730000000001"/>
    <n v="11867.820000000002"/>
    <n v="0"/>
    <n v="0"/>
    <n v="174.90999999999985"/>
    <n v="846"/>
    <n v="0"/>
    <n v="0"/>
    <n v="11197"/>
    <n v="0"/>
    <n v="0"/>
    <n v="-175"/>
    <s v="Release2"/>
    <n v="449.7795801488835"/>
    <n v="34.542857142857137"/>
    <n v="-1.4738174323506745E-2"/>
    <n v="1"/>
    <m/>
    <s v="Gopalpur Bmc"/>
    <m/>
    <n v="0"/>
  </r>
  <r>
    <s v="Munger"/>
    <s v="24-30 Jul"/>
    <n v="1059"/>
    <s v="Gopalpur Bmc"/>
    <x v="178"/>
    <s v="BASMATIYA"/>
    <s v="MPG"/>
    <s v="Direct"/>
    <n v="332.49999999999994"/>
    <n v="14455.369999999999"/>
    <n v="321.97000000000003"/>
    <n v="14586.909999999998"/>
    <n v="6.21"/>
    <n v="269.92"/>
    <n v="328.18"/>
    <n v="14856.829999999998"/>
    <n v="14455.369999999999"/>
    <n v="0"/>
    <n v="269.92"/>
    <n v="401.45999999999913"/>
    <n v="0"/>
    <n v="0"/>
    <n v="0"/>
    <n v="0"/>
    <n v="0"/>
    <n v="0"/>
    <n v="14185"/>
    <s v="Yes"/>
    <n v="319.53975789473697"/>
    <n v="47.499999999999993"/>
    <n v="-2.7772378015920668E-2"/>
    <n v="12"/>
    <m/>
    <s v="Gopalpur Bmc"/>
    <m/>
    <n v="0"/>
  </r>
  <r>
    <s v="Munger"/>
    <s v="24-30 Jul"/>
    <n v="1006"/>
    <s v="Sonvarsha"/>
    <x v="179"/>
    <s v="AKHA KURHA"/>
    <s v="MPG"/>
    <s v="Direct"/>
    <n v="364.89999999999992"/>
    <n v="15562.42"/>
    <n v="365"/>
    <n v="15656.33"/>
    <n v="0"/>
    <n v="0"/>
    <n v="365"/>
    <n v="15656.33"/>
    <n v="15562.42"/>
    <n v="0"/>
    <n v="0"/>
    <n v="93.909999999999854"/>
    <n v="0"/>
    <n v="0"/>
    <n v="0"/>
    <n v="15562"/>
    <n v="0"/>
    <n v="0"/>
    <n v="0"/>
    <n v="0"/>
    <n v="285.82992282817219"/>
    <n v="52.128571428571419"/>
    <n v="-6.0344085302928372E-3"/>
    <n v="1"/>
    <m/>
    <s v="Sonvarsha"/>
    <m/>
    <n v="0"/>
  </r>
  <r>
    <s v="Munger"/>
    <s v="24-30 Jul"/>
    <n v="1006"/>
    <s v="Sonvarsha"/>
    <x v="180"/>
    <s v="TILATHI"/>
    <s v="MPG"/>
    <s v="Direct"/>
    <n v="1485.8000000000002"/>
    <n v="64667.670000000006"/>
    <n v="1346.0000000000005"/>
    <n v="57990.84"/>
    <n v="176.44"/>
    <n v="7673.5499999999993"/>
    <n v="1522.4400000000005"/>
    <n v="65664.39"/>
    <n v="64667.670000000006"/>
    <n v="0"/>
    <n v="890.78000000000009"/>
    <n v="996.71999999999389"/>
    <n v="0"/>
    <n v="0"/>
    <n v="0"/>
    <n v="56994"/>
    <n v="6783"/>
    <n v="0"/>
    <n v="0"/>
    <n v="0"/>
    <n v="0"/>
    <n v="0"/>
    <n v="-1.5412956737114446E-2"/>
    <n v="38"/>
    <m/>
    <s v="Sonvarsha"/>
    <m/>
    <n v="0"/>
  </r>
  <r>
    <s v="Munger"/>
    <s v="24-30 Jul"/>
    <n v="1006"/>
    <s v="Sonvarsha"/>
    <x v="1031"/>
    <s v="RAVIRAJ "/>
    <s v="vlc"/>
    <s v="Indirect"/>
    <n v="1212.5"/>
    <n v="49609.17"/>
    <n v="0"/>
    <n v="0"/>
    <n v="0"/>
    <n v="0"/>
    <n v="0"/>
    <n v="0"/>
    <n v="49609.17"/>
    <n v="0"/>
    <n v="0"/>
    <n v="0"/>
    <n v="0"/>
    <n v="0"/>
    <n v="0"/>
    <n v="0"/>
    <n v="0"/>
    <n v="49609.17"/>
    <n v="0"/>
    <n v="0"/>
    <n v="0"/>
    <n v="0"/>
    <n v="0"/>
    <n v="0"/>
    <m/>
    <s v="Sonvarsha"/>
    <m/>
    <n v="0"/>
  </r>
  <r>
    <s v="Munger"/>
    <s v="24-30 Jul"/>
    <n v="1006"/>
    <s v="Sonvarsha"/>
    <x v="181"/>
    <s v="GOMUKH WESTOL"/>
    <s v="vlc"/>
    <s v="Indirect"/>
    <n v="2818.6000000000004"/>
    <n v="113050.46999999999"/>
    <n v="0"/>
    <n v="0"/>
    <n v="0"/>
    <n v="0"/>
    <n v="0"/>
    <n v="0"/>
    <n v="113050.46999999999"/>
    <n v="0"/>
    <n v="0"/>
    <n v="0"/>
    <n v="0"/>
    <n v="0"/>
    <n v="0"/>
    <n v="0"/>
    <n v="0"/>
    <n v="113050.46999999999"/>
    <n v="0"/>
    <n v="0"/>
    <n v="0"/>
    <n v="0"/>
    <n v="0"/>
    <n v="0"/>
    <m/>
    <s v="Sonvarsha"/>
    <m/>
    <n v="0"/>
  </r>
  <r>
    <s v="Munger"/>
    <s v="24-30 Jul"/>
    <n v="1006"/>
    <s v="Sonvarsha"/>
    <x v="182"/>
    <s v="GOMUKH NAWTOLIYA(OM PRAKASH)"/>
    <s v="vlc"/>
    <s v="Indirect"/>
    <n v="480.9"/>
    <n v="17003.37"/>
    <n v="0"/>
    <n v="0"/>
    <n v="0"/>
    <n v="0"/>
    <n v="0"/>
    <n v="0"/>
    <n v="17003.37"/>
    <n v="0"/>
    <n v="0"/>
    <n v="0"/>
    <n v="0"/>
    <n v="0"/>
    <n v="0"/>
    <n v="0"/>
    <n v="0"/>
    <n v="17003.37"/>
    <n v="0"/>
    <n v="0"/>
    <n v="154.93609344978165"/>
    <n v="68.7"/>
    <n v="0"/>
    <n v="0"/>
    <m/>
    <s v="Sonvarsha"/>
    <m/>
    <n v="0"/>
  </r>
  <r>
    <s v="Munger"/>
    <s v="24-30 Jul"/>
    <n v="1059"/>
    <s v="Gopalpur Bmc"/>
    <x v="183"/>
    <s v="SANGRAMPUR"/>
    <s v="MPG"/>
    <s v="Direct"/>
    <n v="562.40000000000009"/>
    <n v="25955.68"/>
    <n v="583.42000000000007"/>
    <n v="26020.989999999998"/>
    <n v="0"/>
    <n v="0"/>
    <n v="583.42000000000007"/>
    <n v="26020.989999999998"/>
    <n v="25955.68"/>
    <n v="0"/>
    <n v="0"/>
    <n v="65.309999999997672"/>
    <n v="1152.75"/>
    <n v="0"/>
    <n v="0"/>
    <n v="24803"/>
    <n v="0"/>
    <n v="0"/>
    <n v="0"/>
    <n v="0"/>
    <n v="127.00930184921754"/>
    <n v="80.342857142857156"/>
    <n v="-2.516212251037063E-3"/>
    <n v="3"/>
    <m/>
    <s v="Gopalpur Bmc"/>
    <m/>
    <n v="0"/>
  </r>
  <r>
    <s v="Munger"/>
    <s v="24-30 Jul"/>
    <n v="1006"/>
    <s v="Sonvarsha"/>
    <x v="184"/>
    <s v="GOMUKH CHASMASKAN"/>
    <s v="vlc"/>
    <s v="Indirect"/>
    <n v="690.80000000000007"/>
    <n v="26854.89"/>
    <n v="0"/>
    <n v="0"/>
    <n v="0"/>
    <n v="0"/>
    <n v="0"/>
    <n v="0"/>
    <n v="26854.89"/>
    <n v="0"/>
    <n v="0"/>
    <n v="0"/>
    <n v="0"/>
    <n v="0"/>
    <n v="0"/>
    <n v="0"/>
    <n v="0"/>
    <n v="26854.89"/>
    <n v="0"/>
    <n v="0"/>
    <n v="7.1530106543137748"/>
    <n v="98.685714285714297"/>
    <n v="0"/>
    <n v="0"/>
    <m/>
    <s v="Sonvarsha"/>
    <m/>
    <n v="0"/>
  </r>
  <r>
    <s v="Munger"/>
    <s v="24-30 Jul"/>
    <n v="1006"/>
    <s v="Sonvarsha"/>
    <x v="973"/>
    <s v="GOMUKH KAJITOLA"/>
    <s v="vlc"/>
    <s v="Indirect"/>
    <n v="1197"/>
    <n v="48720.46"/>
    <n v="0"/>
    <n v="0"/>
    <n v="0"/>
    <n v="0"/>
    <n v="0"/>
    <n v="0"/>
    <n v="48720.46"/>
    <n v="0"/>
    <n v="0"/>
    <n v="0"/>
    <n v="0"/>
    <n v="0"/>
    <n v="0"/>
    <n v="0"/>
    <n v="0"/>
    <n v="48720.46"/>
    <n v="0"/>
    <n v="0"/>
    <n v="0"/>
    <n v="0"/>
    <n v="0"/>
    <n v="0"/>
    <m/>
    <s v="Sonvarsha"/>
    <m/>
    <n v="0"/>
  </r>
  <r>
    <s v="Munger"/>
    <s v="24-30 Jul"/>
    <n v="1006"/>
    <s v="Sonvarsha"/>
    <x v="185"/>
    <s v="RAMDEV TOLA"/>
    <s v="MPG"/>
    <s v="Direct"/>
    <n v="1935.1999999999996"/>
    <n v="88158.329999999987"/>
    <n v="1238.4400000000005"/>
    <n v="60631.61"/>
    <n v="702.37"/>
    <n v="29132.27"/>
    <n v="1940.8100000000004"/>
    <n v="89763.88"/>
    <n v="88158.329999999987"/>
    <n v="0"/>
    <n v="572.70000000000016"/>
    <n v="1605.5500000000175"/>
    <n v="1350"/>
    <n v="0"/>
    <n v="0"/>
    <n v="59026"/>
    <n v="27209"/>
    <n v="0"/>
    <n v="1"/>
    <s v="Release1"/>
    <n v="0"/>
    <n v="0"/>
    <n v="-1.8212119036284124E-2"/>
    <n v="20"/>
    <m/>
    <s v="Sonvarsha"/>
    <m/>
    <n v="0"/>
  </r>
  <r>
    <s v="Munger"/>
    <s v="24-30 Jul"/>
    <n v="1006"/>
    <s v="Sonvarsha"/>
    <x v="186"/>
    <s v="GOMUKH KATEHAR"/>
    <s v="vlc"/>
    <s v="Indirect"/>
    <n v="1844.1000000000001"/>
    <n v="74403.850000000006"/>
    <n v="0"/>
    <n v="0"/>
    <n v="0"/>
    <n v="0"/>
    <n v="0"/>
    <n v="0"/>
    <n v="74403.850000000006"/>
    <n v="0"/>
    <n v="0"/>
    <n v="0"/>
    <n v="0"/>
    <n v="0"/>
    <n v="0"/>
    <n v="0"/>
    <n v="0"/>
    <n v="74403.850000000006"/>
    <n v="0"/>
    <n v="0"/>
    <n v="0"/>
    <n v="0"/>
    <n v="0"/>
    <n v="0"/>
    <m/>
    <s v="Sonvarsha"/>
    <m/>
    <n v="0"/>
  </r>
  <r>
    <s v="Munger"/>
    <s v="24-30 Jul"/>
    <n v="1006"/>
    <s v="Sonvarsha"/>
    <x v="187"/>
    <s v="PIPARPATI"/>
    <s v="MPG"/>
    <s v="Direct"/>
    <n v="864.90000000000009"/>
    <n v="43511.840000000004"/>
    <n v="854.02"/>
    <n v="47893.500000000007"/>
    <n v="8.5900000000000016"/>
    <n v="378.03"/>
    <n v="862.61"/>
    <n v="48271.530000000006"/>
    <n v="43511.840000000004"/>
    <n v="0"/>
    <n v="378.03"/>
    <n v="4759.6900000000023"/>
    <n v="0"/>
    <n v="0"/>
    <n v="0"/>
    <n v="43134"/>
    <n v="0"/>
    <n v="0"/>
    <n v="0"/>
    <n v="0"/>
    <n v="0"/>
    <n v="0"/>
    <n v="-0.10938838716082799"/>
    <n v="12"/>
    <m/>
    <s v="Sonvarsha"/>
    <m/>
    <n v="0"/>
  </r>
  <r>
    <s v="Munger"/>
    <s v="24-30 Jul"/>
    <n v="1006"/>
    <s v="Sonvarsha"/>
    <x v="188"/>
    <s v="GOMUKH JAGMAGLA"/>
    <s v="vlc"/>
    <s v="Indirect"/>
    <n v="1121.6999999999998"/>
    <n v="46564.43"/>
    <n v="0"/>
    <n v="0"/>
    <n v="0"/>
    <n v="0"/>
    <n v="0"/>
    <n v="0"/>
    <n v="46564.43"/>
    <n v="0"/>
    <n v="0"/>
    <n v="0"/>
    <n v="0"/>
    <n v="0"/>
    <n v="0"/>
    <n v="0"/>
    <n v="0"/>
    <n v="46564.43"/>
    <n v="0"/>
    <n v="0"/>
    <n v="0"/>
    <n v="0"/>
    <n v="0"/>
    <n v="0"/>
    <m/>
    <s v="Sonvarsha"/>
    <m/>
    <n v="0"/>
  </r>
  <r>
    <s v="Munger"/>
    <s v="24-30 Jul"/>
    <n v="1006"/>
    <s v="Sonvarsha"/>
    <x v="189"/>
    <s v="ORABAGICHA"/>
    <s v="MPG"/>
    <s v="Direct"/>
    <n v="470.7"/>
    <n v="20116.389999999996"/>
    <n v="275.3"/>
    <n v="12185"/>
    <n v="215.14"/>
    <n v="9037.2899999999991"/>
    <n v="490.44"/>
    <n v="21222.29"/>
    <n v="20116.389999999996"/>
    <n v="0"/>
    <n v="147.09"/>
    <n v="1105.9000000000051"/>
    <n v="0"/>
    <n v="500"/>
    <n v="0"/>
    <n v="10578"/>
    <n v="8891"/>
    <n v="0"/>
    <n v="0"/>
    <n v="0"/>
    <n v="195.99270138092197"/>
    <n v="67.242857142857147"/>
    <n v="-5.4975072565207041E-2"/>
    <n v="8"/>
    <m/>
    <s v="Sonvarsha"/>
    <m/>
    <n v="500"/>
  </r>
  <r>
    <s v="Munger"/>
    <s v="24-30 Jul"/>
    <n v="1006"/>
    <s v="Sonvarsha"/>
    <x v="190"/>
    <s v="KHAJURIYA"/>
    <s v="MPG"/>
    <s v="Direct"/>
    <n v="390"/>
    <n v="16177.859999999999"/>
    <n v="472.87"/>
    <n v="28843.56"/>
    <n v="0"/>
    <n v="0"/>
    <n v="472.87"/>
    <n v="28843.56"/>
    <n v="16177.859999999999"/>
    <n v="0"/>
    <n v="0"/>
    <n v="12665.700000000003"/>
    <n v="6750"/>
    <n v="0"/>
    <n v="0"/>
    <n v="9428"/>
    <n v="0"/>
    <n v="0"/>
    <n v="0"/>
    <s v="Release2"/>
    <n v="257.18649230769233"/>
    <n v="55.714285714285715"/>
    <n v="-0.78290330117827722"/>
    <n v="3"/>
    <m/>
    <s v="Sonvarsha"/>
    <m/>
    <n v="0"/>
  </r>
  <r>
    <s v="Munger"/>
    <s v="24-30 Jul"/>
    <n v="1006"/>
    <s v="Sonvarsha"/>
    <x v="191"/>
    <s v="NAYA SALEMPUR"/>
    <s v="vlc"/>
    <s v="Indirect"/>
    <n v="769.9"/>
    <n v="31363.960000000006"/>
    <n v="0"/>
    <n v="0"/>
    <n v="0"/>
    <n v="0"/>
    <n v="0"/>
    <n v="0"/>
    <n v="31363.960000000006"/>
    <n v="0"/>
    <n v="0"/>
    <n v="0"/>
    <n v="0"/>
    <n v="0"/>
    <n v="0"/>
    <n v="0"/>
    <n v="0"/>
    <n v="31363.960000000006"/>
    <n v="0"/>
    <n v="0"/>
    <n v="0"/>
    <n v="0"/>
    <n v="0"/>
    <n v="0"/>
    <m/>
    <s v="Sonvarsha"/>
    <m/>
    <n v="0"/>
  </r>
  <r>
    <s v="Munger"/>
    <s v="24-30 Jul"/>
    <n v="1006"/>
    <s v="Sonvarsha"/>
    <x v="192"/>
    <s v="MANO 2"/>
    <s v="MPG"/>
    <s v="Direct"/>
    <n v="168.10000000000002"/>
    <n v="7922.5099999999993"/>
    <n v="168.6"/>
    <n v="7915.4800000000005"/>
    <n v="0"/>
    <n v="0"/>
    <n v="168.6"/>
    <n v="7915.4800000000005"/>
    <n v="7915.4800000000005"/>
    <n v="0"/>
    <n v="0"/>
    <n v="0"/>
    <n v="0"/>
    <n v="0"/>
    <n v="0"/>
    <n v="7915"/>
    <n v="0"/>
    <n v="0"/>
    <n v="8"/>
    <n v="0"/>
    <n v="501.36621879833416"/>
    <n v="24.014285714285716"/>
    <n v="8.8734504595119933E-4"/>
    <n v="1"/>
    <m/>
    <s v="Sonvarsha"/>
    <m/>
    <n v="0"/>
  </r>
  <r>
    <s v="Munger"/>
    <s v="24-30 Jul"/>
    <n v="1006"/>
    <s v="Sonvarsha"/>
    <x v="193"/>
    <s v="Champanagar"/>
    <s v="MPG"/>
    <s v="Direct"/>
    <n v="221.4"/>
    <n v="11515.150000000001"/>
    <n v="232.7"/>
    <n v="12490.64"/>
    <n v="0"/>
    <n v="0"/>
    <n v="232.7"/>
    <n v="12490.64"/>
    <n v="11515.150000000001"/>
    <n v="0"/>
    <n v="0"/>
    <n v="975.48999999999796"/>
    <n v="0"/>
    <n v="500"/>
    <n v="0"/>
    <n v="11015"/>
    <n v="0"/>
    <n v="0"/>
    <n v="0"/>
    <n v="0"/>
    <n v="497.84559981933154"/>
    <n v="31.62857142857143"/>
    <n v="-8.4713616409686179E-2"/>
    <n v="3"/>
    <m/>
    <s v="Sonvarsha"/>
    <m/>
    <n v="500"/>
  </r>
  <r>
    <s v="Munger"/>
    <s v="24-30 Jul"/>
    <n v="1006"/>
    <s v="Sonvarsha"/>
    <x v="194"/>
    <s v="LOSDHANI"/>
    <s v="MPG"/>
    <s v="Direct"/>
    <n v="119.4"/>
    <n v="4397.880000000001"/>
    <n v="119.5"/>
    <n v="4513.6200000000008"/>
    <n v="0"/>
    <n v="0"/>
    <n v="119.5"/>
    <n v="4513.6200000000008"/>
    <n v="4397.880000000001"/>
    <n v="0"/>
    <n v="0"/>
    <n v="115.73999999999978"/>
    <n v="0"/>
    <n v="0"/>
    <n v="0"/>
    <n v="4398"/>
    <n v="0"/>
    <n v="0"/>
    <n v="0"/>
    <n v="0"/>
    <n v="427.70672160804031"/>
    <n v="17.057142857142857"/>
    <n v="-2.6317225572321152E-2"/>
    <n v="1"/>
    <m/>
    <s v="Sonvarsha"/>
    <m/>
    <n v="0"/>
  </r>
  <r>
    <s v="Munger"/>
    <s v="24-30 Jul"/>
    <n v="1006"/>
    <s v="Sonvarsha"/>
    <x v="1032"/>
    <s v="GOMUKH MAHGAMA"/>
    <s v="vlc"/>
    <s v="Indirect"/>
    <n v="207"/>
    <n v="9764.23"/>
    <n v="0"/>
    <n v="0"/>
    <n v="0"/>
    <n v="0"/>
    <n v="0"/>
    <n v="0"/>
    <n v="9764.23"/>
    <n v="0"/>
    <n v="0"/>
    <n v="0"/>
    <n v="0"/>
    <n v="0"/>
    <n v="0"/>
    <n v="0"/>
    <n v="0"/>
    <n v="9764.23"/>
    <n v="0"/>
    <n v="0"/>
    <n v="465.09810531400967"/>
    <n v="29.571428571428573"/>
    <n v="0"/>
    <n v="0"/>
    <m/>
    <s v="Sonvarsha"/>
    <m/>
    <n v="0"/>
  </r>
  <r>
    <s v="Munger"/>
    <s v="24-30 Jul"/>
    <n v="1006"/>
    <s v="Sonvarsha"/>
    <x v="195"/>
    <s v="GOMUKH BAGALWA"/>
    <s v="MPG"/>
    <s v="Direct"/>
    <n v="507.6"/>
    <n v="26765.000000000007"/>
    <n v="381.50000000000006"/>
    <n v="23939.420000000002"/>
    <n v="154.38999999999999"/>
    <n v="10128.849999999999"/>
    <n v="535.8900000000001"/>
    <n v="34068.270000000004"/>
    <n v="26765.000000000007"/>
    <n v="0"/>
    <n v="0"/>
    <n v="7303.2699999999968"/>
    <n v="0"/>
    <n v="0"/>
    <n v="0"/>
    <n v="16637"/>
    <n v="10128"/>
    <n v="0"/>
    <n v="0"/>
    <n v="0"/>
    <n v="202.89936958234833"/>
    <n v="72.51428571428572"/>
    <n v="-0.27286643003923017"/>
    <n v="5"/>
    <m/>
    <s v="Sonvarsha"/>
    <m/>
    <n v="0"/>
  </r>
  <r>
    <s v="Munger"/>
    <s v="24-30 Jul"/>
    <n v="1006"/>
    <s v="Sonvarsha"/>
    <x v="196"/>
    <s v="GOMUKH BHITAKITA"/>
    <s v="vlc"/>
    <s v="Indirect"/>
    <n v="71.5"/>
    <n v="2645.4300000000003"/>
    <n v="0"/>
    <n v="0"/>
    <n v="0"/>
    <n v="0"/>
    <n v="0"/>
    <n v="0"/>
    <n v="2645.4300000000003"/>
    <n v="0"/>
    <n v="0"/>
    <n v="0"/>
    <n v="0"/>
    <n v="0"/>
    <n v="0"/>
    <n v="0"/>
    <n v="0"/>
    <n v="2645.4300000000003"/>
    <n v="0"/>
    <n v="0"/>
    <n v="465.07769370629381"/>
    <n v="10.214285714285714"/>
    <n v="0"/>
    <n v="0"/>
    <m/>
    <s v="Sonvarsha"/>
    <m/>
    <n v="0"/>
  </r>
  <r>
    <s v="Munger"/>
    <s v="24-30 Jul"/>
    <n v="1006"/>
    <s v="Sonvarsha"/>
    <x v="197"/>
    <s v="GOMUKH OJONTOLA"/>
    <s v="vlc"/>
    <s v="Indirect"/>
    <n v="119.20000000000002"/>
    <n v="4808.2100000000009"/>
    <n v="0"/>
    <n v="0"/>
    <n v="0"/>
    <n v="0"/>
    <n v="0"/>
    <n v="0"/>
    <n v="4808.2100000000009"/>
    <n v="0"/>
    <n v="0"/>
    <n v="0"/>
    <n v="0"/>
    <n v="0"/>
    <n v="0"/>
    <n v="0"/>
    <n v="0"/>
    <n v="4808.2100000000009"/>
    <n v="0"/>
    <n v="0"/>
    <n v="468.55845100671144"/>
    <n v="17.028571428571432"/>
    <n v="0"/>
    <n v="0"/>
    <m/>
    <s v="Sonvarsha"/>
    <m/>
    <n v="0"/>
  </r>
  <r>
    <s v="Munger"/>
    <s v="24-30 Jul"/>
    <n v="1006"/>
    <s v="Sonvarsha"/>
    <x v="198"/>
    <s v="KHUDDIBAN SHIVNAGAR"/>
    <s v="MPG"/>
    <s v="Direct"/>
    <n v="758.6"/>
    <n v="27241.93"/>
    <n v="276.90000000000003"/>
    <n v="10045.719999999999"/>
    <n v="523.20000000000005"/>
    <n v="18919.300000000003"/>
    <n v="800.10000000000014"/>
    <n v="28965.020000000004"/>
    <n v="27241.93"/>
    <n v="0"/>
    <n v="0"/>
    <n v="1723.0900000000038"/>
    <n v="0"/>
    <n v="0"/>
    <n v="0"/>
    <n v="8322"/>
    <n v="18920"/>
    <n v="0"/>
    <n v="0"/>
    <n v="0"/>
    <n v="0"/>
    <n v="0"/>
    <n v="-6.325139224717205E-2"/>
    <n v="6"/>
    <m/>
    <s v="Sonvarsha"/>
    <m/>
    <n v="0"/>
  </r>
  <r>
    <s v="Munger"/>
    <s v="24-30 Jul"/>
    <n v="1006"/>
    <s v="Sonvarsha"/>
    <x v="199"/>
    <s v="BARIYARPUR"/>
    <s v="MPG"/>
    <s v="Direct"/>
    <n v="451.10000000000008"/>
    <n v="19295.349999999995"/>
    <n v="348.3"/>
    <n v="15418.539999999997"/>
    <n v="92.1"/>
    <n v="3882.7099999999996"/>
    <n v="440.4"/>
    <n v="19301.249999999996"/>
    <n v="19295.349999999995"/>
    <n v="0"/>
    <n v="172.01999999999998"/>
    <n v="5.9000000000014552"/>
    <n v="0"/>
    <n v="0"/>
    <n v="0"/>
    <n v="15412"/>
    <n v="3711"/>
    <n v="0"/>
    <n v="0"/>
    <n v="0"/>
    <n v="212.92895655065382"/>
    <n v="64.44285714285715"/>
    <n v="-3.0577315259901775E-4"/>
    <n v="7"/>
    <m/>
    <s v="Sonvarsha"/>
    <m/>
    <n v="0"/>
  </r>
  <r>
    <s v="Munger"/>
    <s v="24-30 Jul"/>
    <n v="1006"/>
    <s v="Sonvarsha"/>
    <x v="200"/>
    <s v="MASUDAN"/>
    <s v="MPG"/>
    <s v="Direct"/>
    <n v="2082.9"/>
    <n v="92017.489999999991"/>
    <n v="1816.3699999999997"/>
    <n v="85443.12000000001"/>
    <n v="177.92999999999995"/>
    <n v="8757.43"/>
    <n v="1994.2999999999997"/>
    <n v="94200.550000000017"/>
    <n v="92017.489999999991"/>
    <n v="0"/>
    <n v="951.37999999999988"/>
    <n v="2183.0600000000268"/>
    <n v="0"/>
    <n v="0"/>
    <n v="0"/>
    <n v="83260"/>
    <n v="7806"/>
    <n v="0"/>
    <n v="0"/>
    <n v="0"/>
    <n v="0"/>
    <n v="0"/>
    <n v="-2.3724402828201759E-2"/>
    <n v="22"/>
    <m/>
    <s v="Sonvarsha"/>
    <m/>
    <n v="0"/>
  </r>
  <r>
    <s v="Munger"/>
    <s v="24-30 Jul"/>
    <n v="1006"/>
    <s v="Sonvarsha"/>
    <x v="201"/>
    <s v="GOMUKH BOHLA"/>
    <s v="vlc"/>
    <s v="Indirect"/>
    <n v="572.89999999999986"/>
    <n v="20311.050000000003"/>
    <n v="0"/>
    <n v="0"/>
    <n v="0"/>
    <n v="0"/>
    <n v="0"/>
    <n v="0"/>
    <n v="20311.050000000003"/>
    <n v="0"/>
    <n v="0"/>
    <n v="0"/>
    <n v="0"/>
    <n v="0"/>
    <n v="0"/>
    <n v="0"/>
    <n v="0"/>
    <n v="20311.050000000003"/>
    <n v="0"/>
    <n v="0"/>
    <n v="90.121642695060331"/>
    <n v="81.842857142857127"/>
    <n v="0"/>
    <n v="0"/>
    <m/>
    <s v="Sonvarsha"/>
    <m/>
    <n v="0"/>
  </r>
  <r>
    <s v="Munger"/>
    <s v="24-30 Jul"/>
    <n v="1006"/>
    <s v="Sonvarsha"/>
    <x v="974"/>
    <s v="TOTAHA"/>
    <s v="vlc"/>
    <s v="Direct"/>
    <n v="408"/>
    <n v="17359.249999999996"/>
    <n v="341.15"/>
    <n v="14180.2"/>
    <n v="69.92"/>
    <n v="2739.95"/>
    <n v="411.07"/>
    <n v="16920.150000000001"/>
    <n v="16920.150000000001"/>
    <n v="0"/>
    <n v="0"/>
    <n v="0"/>
    <n v="0"/>
    <n v="0"/>
    <n v="0"/>
    <n v="14180"/>
    <n v="2740"/>
    <n v="0"/>
    <n v="439"/>
    <n v="0"/>
    <n v="248.47553921568624"/>
    <n v="58.285714285714285"/>
    <n v="2.529487161023633E-2"/>
    <n v="7"/>
    <m/>
    <s v="Sonvarsha"/>
    <m/>
    <n v="0"/>
  </r>
  <r>
    <s v="Munger"/>
    <s v="24-30 Jul"/>
    <n v="1006"/>
    <s v="Sonvarsha"/>
    <x v="202"/>
    <s v="GOMUKH RAMPUR"/>
    <s v="vlc"/>
    <s v="Indirect"/>
    <n v="603.29999999999995"/>
    <n v="21134.42"/>
    <n v="0"/>
    <n v="0"/>
    <n v="0"/>
    <n v="0"/>
    <n v="0"/>
    <n v="0"/>
    <n v="21134.42"/>
    <n v="0"/>
    <n v="0"/>
    <n v="0"/>
    <n v="0"/>
    <n v="0"/>
    <n v="0"/>
    <n v="0"/>
    <n v="0"/>
    <n v="21134.42"/>
    <n v="0"/>
    <n v="0"/>
    <n v="67.750651881319413"/>
    <n v="86.185714285714283"/>
    <n v="0"/>
    <n v="0"/>
    <m/>
    <s v="Sonvarsha"/>
    <m/>
    <n v="0"/>
  </r>
  <r>
    <s v="Munger"/>
    <s v="24-30 Jul"/>
    <n v="1006"/>
    <s v="Sonvarsha"/>
    <x v="1033"/>
    <s v="GOMUKH GAHILSTHAN"/>
    <s v="vlc"/>
    <s v="Indirect"/>
    <n v="5563.8"/>
    <n v="234627.50999999995"/>
    <n v="0"/>
    <n v="0"/>
    <n v="0"/>
    <n v="0"/>
    <n v="0"/>
    <n v="0"/>
    <n v="234627.50999999995"/>
    <n v="0"/>
    <n v="0"/>
    <n v="0"/>
    <n v="0"/>
    <n v="0"/>
    <n v="0"/>
    <n v="0"/>
    <n v="0"/>
    <n v="234627.50999999995"/>
    <n v="0"/>
    <n v="0"/>
    <n v="0"/>
    <n v="0"/>
    <n v="0"/>
    <n v="0"/>
    <m/>
    <s v="Sonvarsha"/>
    <m/>
    <n v="0"/>
  </r>
  <r>
    <s v="Munger"/>
    <s v="24-30 Jul"/>
    <n v="1007"/>
    <s v="Araria"/>
    <x v="203"/>
    <s v="Gomukh ID Araria"/>
    <s v="vlc"/>
    <s v="Indirect"/>
    <n v="4557.5"/>
    <n v="186965.49000000002"/>
    <n v="0"/>
    <n v="0"/>
    <n v="0"/>
    <n v="0"/>
    <n v="0"/>
    <n v="0"/>
    <n v="186965.49000000002"/>
    <n v="0"/>
    <n v="0"/>
    <n v="0"/>
    <n v="0"/>
    <n v="0"/>
    <n v="0"/>
    <n v="0"/>
    <n v="0"/>
    <n v="186965.49000000002"/>
    <n v="0"/>
    <n v="0"/>
    <n v="0"/>
    <n v="0"/>
    <n v="0"/>
    <n v="0"/>
    <m/>
    <s v="Araria"/>
    <m/>
    <n v="0"/>
  </r>
  <r>
    <s v="Munger"/>
    <s v="24-30 Jul"/>
    <n v="1007"/>
    <s v="Araria"/>
    <x v="204"/>
    <s v="Gomukh ID Chaidha"/>
    <s v="vlc"/>
    <s v="Indirect"/>
    <n v="700.60000000000014"/>
    <n v="25360.280000000002"/>
    <n v="0"/>
    <n v="0"/>
    <n v="0"/>
    <n v="0"/>
    <n v="0"/>
    <n v="0"/>
    <n v="25360.280000000002"/>
    <n v="0"/>
    <n v="0"/>
    <n v="0"/>
    <n v="0"/>
    <n v="0"/>
    <n v="0"/>
    <n v="0"/>
    <n v="0"/>
    <n v="25360.280000000002"/>
    <n v="0"/>
    <n v="0"/>
    <n v="0"/>
    <n v="0"/>
    <n v="0"/>
    <n v="0"/>
    <m/>
    <s v="Araria"/>
    <m/>
    <n v="0"/>
  </r>
  <r>
    <s v="Munger"/>
    <s v="24-30 Jul"/>
    <n v="1056"/>
    <s v="Chautham"/>
    <x v="206"/>
    <s v="Gomukh ID Pipra"/>
    <s v="MPG"/>
    <s v="Indirect"/>
    <n v="281.91999999999996"/>
    <n v="10452.929999999998"/>
    <n v="0"/>
    <n v="0"/>
    <n v="0"/>
    <n v="0"/>
    <n v="0"/>
    <n v="0"/>
    <n v="10452.929999999998"/>
    <n v="0"/>
    <n v="0"/>
    <n v="0"/>
    <n v="10453"/>
    <n v="0"/>
    <n v="0"/>
    <n v="0"/>
    <n v="0"/>
    <n v="-7.0000000001527951E-2"/>
    <n v="0"/>
    <n v="0"/>
    <n v="310.02844597048812"/>
    <n v="40.27428571428571"/>
    <n v="0"/>
    <n v="0"/>
    <m/>
    <s v="Chautham"/>
    <m/>
    <n v="0"/>
  </r>
  <r>
    <s v="Munger"/>
    <s v="24-30 Jul"/>
    <n v="1007"/>
    <s v="Araria"/>
    <x v="207"/>
    <s v="Gomukh Fatepur                                                                                      "/>
    <s v="MPG"/>
    <s v="Direct"/>
    <n v="230"/>
    <n v="9498.5600000000013"/>
    <n v="210.42000000000002"/>
    <n v="8489.49"/>
    <n v="21.36"/>
    <n v="875.73"/>
    <n v="231.78000000000003"/>
    <n v="9365.2199999999993"/>
    <n v="9365.2199999999993"/>
    <n v="0"/>
    <n v="105.85"/>
    <n v="0"/>
    <n v="0"/>
    <n v="0"/>
    <n v="0"/>
    <n v="8490"/>
    <n v="771"/>
    <n v="0"/>
    <n v="132"/>
    <n v="0"/>
    <n v="388.20201739130442"/>
    <n v="32.857142857142854"/>
    <n v="1.4037917326415999E-2"/>
    <n v="10"/>
    <m/>
    <s v="Araria"/>
    <m/>
    <n v="0"/>
  </r>
  <r>
    <s v="Munger"/>
    <s v="24-30 Jul"/>
    <n v="1007"/>
    <s v="Araria"/>
    <x v="208"/>
    <s v="Gomukh Gauchhari"/>
    <s v="MPG"/>
    <s v="Direct"/>
    <n v="284.40000000000003"/>
    <n v="11436.35"/>
    <n v="283.75"/>
    <n v="11433.43"/>
    <n v="0.65"/>
    <n v="26.249999999999996"/>
    <n v="284.39999999999998"/>
    <n v="11459.68"/>
    <n v="11436.35"/>
    <n v="0"/>
    <n v="26.249999999999996"/>
    <n v="23.329999999999927"/>
    <n v="0"/>
    <n v="0"/>
    <n v="0"/>
    <n v="11410"/>
    <n v="0"/>
    <n v="0"/>
    <n v="0"/>
    <n v="0"/>
    <n v="334.24381575246122"/>
    <n v="40.628571428571433"/>
    <n v="-2.0399865341651775E-3"/>
    <n v="6"/>
    <m/>
    <s v="Araria"/>
    <m/>
    <n v="0"/>
  </r>
  <r>
    <s v="Munger"/>
    <s v="24-30 Jul"/>
    <n v="1007"/>
    <s v="Araria"/>
    <x v="209"/>
    <s v="Gomukh Arariya Karjaniya"/>
    <s v="vlc"/>
    <s v="Indirect"/>
    <n v="11829.1"/>
    <n v="467460"/>
    <n v="0"/>
    <n v="0"/>
    <n v="0"/>
    <n v="0"/>
    <n v="0"/>
    <n v="0"/>
    <n v="467460"/>
    <n v="0"/>
    <n v="0"/>
    <n v="0"/>
    <n v="0"/>
    <n v="0"/>
    <n v="0"/>
    <n v="0"/>
    <n v="0"/>
    <n v="467460"/>
    <n v="0"/>
    <n v="0"/>
    <n v="0"/>
    <n v="0"/>
    <n v="0"/>
    <n v="0"/>
    <m/>
    <s v="Araria"/>
    <m/>
    <n v="0"/>
  </r>
  <r>
    <s v="Munger"/>
    <s v="24-30 Jul"/>
    <n v="1007"/>
    <s v="Araria"/>
    <x v="210"/>
    <s v="Gomukh Aariya Dummer Kothi"/>
    <s v="vlc"/>
    <s v="Indirect"/>
    <n v="6942.0999999999995"/>
    <n v="272155.30000000005"/>
    <n v="0"/>
    <n v="0"/>
    <n v="0"/>
    <n v="0"/>
    <n v="0"/>
    <n v="0"/>
    <n v="272155.30000000005"/>
    <n v="0"/>
    <n v="0"/>
    <n v="0"/>
    <n v="0"/>
    <n v="0"/>
    <n v="0"/>
    <n v="0"/>
    <n v="0"/>
    <n v="272155.30000000005"/>
    <n v="0"/>
    <n v="0"/>
    <n v="0"/>
    <n v="0"/>
    <n v="0"/>
    <n v="0"/>
    <m/>
    <s v="Araria"/>
    <m/>
    <n v="0"/>
  </r>
  <r>
    <s v="Munger"/>
    <s v="24-30 Jul"/>
    <n v="1007"/>
    <s v="Araria"/>
    <x v="211"/>
    <s v="Gomukh Balha"/>
    <s v="vlc"/>
    <s v="Indirect"/>
    <n v="6065.1"/>
    <n v="234386.56"/>
    <n v="0"/>
    <n v="0"/>
    <n v="0"/>
    <n v="0"/>
    <n v="0"/>
    <n v="0"/>
    <n v="234386.56"/>
    <n v="0"/>
    <n v="0"/>
    <n v="0"/>
    <n v="0"/>
    <n v="0"/>
    <n v="0"/>
    <n v="0"/>
    <n v="0"/>
    <n v="234386.56"/>
    <n v="0"/>
    <n v="0"/>
    <n v="0"/>
    <n v="0"/>
    <n v="0"/>
    <n v="0"/>
    <m/>
    <s v="Araria"/>
    <m/>
    <n v="0"/>
  </r>
  <r>
    <s v="Munger"/>
    <s v="24-30 Jul"/>
    <n v="1007"/>
    <s v="Araria"/>
    <x v="212"/>
    <s v="Haripur - Sanjay"/>
    <s v="vlc"/>
    <s v="Indirect"/>
    <n v="611.20000000000005"/>
    <n v="23439.730000000003"/>
    <n v="0"/>
    <n v="0"/>
    <n v="0"/>
    <n v="0"/>
    <n v="0"/>
    <n v="0"/>
    <n v="23439.730000000003"/>
    <n v="0"/>
    <n v="0"/>
    <n v="0"/>
    <n v="0"/>
    <n v="0"/>
    <n v="0"/>
    <n v="0"/>
    <n v="0"/>
    <n v="23439.730000000003"/>
    <n v="0"/>
    <n v="0"/>
    <n v="68.110210209424082"/>
    <n v="87.314285714285717"/>
    <n v="0"/>
    <n v="0"/>
    <m/>
    <s v="Araria"/>
    <m/>
    <n v="0"/>
  </r>
  <r>
    <s v="Munger"/>
    <s v="24-30 Jul"/>
    <n v="1007"/>
    <s v="Araria"/>
    <x v="213"/>
    <s v="Araria - Ankesh"/>
    <s v="vlc"/>
    <s v="Indirect"/>
    <n v="5049.0999999999995"/>
    <n v="192423.56"/>
    <n v="0"/>
    <n v="0"/>
    <n v="0"/>
    <n v="0"/>
    <n v="0"/>
    <n v="0"/>
    <n v="192423.56"/>
    <n v="0"/>
    <n v="0"/>
    <n v="0"/>
    <n v="0"/>
    <n v="0"/>
    <n v="0"/>
    <n v="0"/>
    <n v="0"/>
    <n v="192423.56"/>
    <n v="0"/>
    <n v="0"/>
    <n v="0"/>
    <n v="0"/>
    <n v="0"/>
    <n v="0"/>
    <m/>
    <s v="Araria"/>
    <m/>
    <n v="0"/>
  </r>
  <r>
    <s v="Munger"/>
    <s v="24-30 Jul"/>
    <n v="1010"/>
    <s v="Parbatta"/>
    <x v="214"/>
    <s v="Gomukh Kabela                                                                                       "/>
    <s v="MPG"/>
    <s v="Direct"/>
    <n v="376.5"/>
    <n v="19177.7"/>
    <n v="479.7"/>
    <n v="23943.809999999998"/>
    <n v="0"/>
    <n v="0"/>
    <n v="479.7"/>
    <n v="23943.809999999998"/>
    <n v="19177.7"/>
    <n v="0"/>
    <n v="0"/>
    <n v="4766.1099999999969"/>
    <n v="0"/>
    <n v="0"/>
    <n v="0"/>
    <n v="19178"/>
    <n v="0"/>
    <n v="0"/>
    <n v="0"/>
    <n v="0"/>
    <n v="329.56100664010631"/>
    <n v="53.785714285714285"/>
    <n v="-0.24852354557637238"/>
    <n v="2"/>
    <m/>
    <s v="Parbatta"/>
    <m/>
    <n v="0"/>
  </r>
  <r>
    <s v="Munger"/>
    <s v="24-30 Jul"/>
    <n v="1056"/>
    <s v="Chautham"/>
    <x v="215"/>
    <s v="Gomukh Malpa Uttari                                                                                 "/>
    <s v="vlc"/>
    <s v="Indirect"/>
    <n v="117.38"/>
    <n v="3986.25"/>
    <n v="0"/>
    <n v="0"/>
    <n v="0"/>
    <n v="0"/>
    <n v="0"/>
    <n v="0"/>
    <n v="3986.25"/>
    <n v="0"/>
    <n v="0"/>
    <n v="0"/>
    <n v="3986"/>
    <n v="0"/>
    <n v="0"/>
    <n v="0"/>
    <n v="0"/>
    <n v="0.25"/>
    <n v="0"/>
    <n v="0"/>
    <n v="395.71800562276377"/>
    <n v="16.768571428571427"/>
    <n v="0"/>
    <n v="0"/>
    <m/>
    <s v="Chautham"/>
    <m/>
    <n v="0"/>
  </r>
  <r>
    <s v="Munger"/>
    <s v="24-30 Jul"/>
    <n v="1007"/>
    <s v="Araria"/>
    <x v="216"/>
    <s v="Gomukh Sapha"/>
    <s v="MPG"/>
    <s v="Direct"/>
    <n v="203.20000000000002"/>
    <n v="8285.11"/>
    <n v="198.16999999999996"/>
    <n v="8175.83"/>
    <n v="5.03"/>
    <n v="208.8"/>
    <n v="203.19999999999996"/>
    <n v="8384.6299999999992"/>
    <n v="8285.11"/>
    <n v="0"/>
    <n v="208.8"/>
    <n v="99.519999999998618"/>
    <n v="0"/>
    <n v="0"/>
    <n v="0"/>
    <n v="8076"/>
    <n v="0"/>
    <n v="0"/>
    <n v="0"/>
    <n v="0"/>
    <n v="405.12230787401569"/>
    <n v="29.028571428571432"/>
    <n v="-1.2011910523819069E-2"/>
    <n v="4"/>
    <m/>
    <s v="Araria"/>
    <m/>
    <n v="0"/>
  </r>
  <r>
    <s v="Munger"/>
    <s v="24-30 Jul"/>
    <n v="1007"/>
    <s v="Araria"/>
    <x v="217"/>
    <s v="Araria"/>
    <s v="vlc"/>
    <s v="Indirect"/>
    <n v="14324.199999999997"/>
    <n v="572514.35"/>
    <n v="0"/>
    <n v="0"/>
    <n v="0"/>
    <n v="0"/>
    <n v="0"/>
    <n v="0"/>
    <n v="572514.35"/>
    <n v="0"/>
    <n v="0"/>
    <n v="0"/>
    <n v="0"/>
    <n v="0"/>
    <n v="0"/>
    <n v="0"/>
    <n v="0"/>
    <n v="572514.35"/>
    <n v="0"/>
    <n v="0"/>
    <n v="0"/>
    <n v="0"/>
    <n v="0"/>
    <n v="0"/>
    <m/>
    <s v="Araria"/>
    <m/>
    <n v="0"/>
  </r>
  <r>
    <s v="Munger"/>
    <s v="24-30 Jul"/>
    <n v="1007"/>
    <s v="Araria"/>
    <x v="218"/>
    <s v="Gomukh Gauchhari"/>
    <s v="MPG"/>
    <s v="Direct"/>
    <n v="107.49999999999999"/>
    <n v="4037.55"/>
    <n v="107.5"/>
    <n v="4064.58"/>
    <n v="0"/>
    <n v="0"/>
    <n v="107.5"/>
    <n v="4064.58"/>
    <n v="4037.55"/>
    <n v="0"/>
    <n v="0"/>
    <n v="27.029999999999745"/>
    <n v="0"/>
    <n v="0"/>
    <n v="0"/>
    <n v="4038"/>
    <n v="0"/>
    <n v="0"/>
    <n v="0"/>
    <n v="0"/>
    <n v="445.0694651162791"/>
    <n v="15.357142857142856"/>
    <n v="-6.6946539361741018E-3"/>
    <n v="1"/>
    <m/>
    <s v="Araria"/>
    <m/>
    <n v="0"/>
  </r>
  <r>
    <s v="Munger"/>
    <s v="24-30 Jul"/>
    <n v="1056"/>
    <s v="Chautham"/>
    <x v="219"/>
    <s v="Telouch"/>
    <s v="MPG"/>
    <s v="Direct"/>
    <n v="1332.32"/>
    <n v="53637.72"/>
    <n v="1351.6"/>
    <n v="55065.040000000008"/>
    <n v="5.6000000000000005"/>
    <n v="204.33000000000004"/>
    <n v="1357.1999999999998"/>
    <n v="55269.37000000001"/>
    <n v="53637.72"/>
    <n v="0"/>
    <n v="204.33000000000004"/>
    <n v="1631.6500000000087"/>
    <n v="0"/>
    <n v="0"/>
    <n v="0"/>
    <n v="53433"/>
    <n v="0"/>
    <n v="0"/>
    <n v="0"/>
    <n v="0"/>
    <n v="0"/>
    <n v="0"/>
    <n v="-3.0419823959706129E-2"/>
    <n v="7"/>
    <m/>
    <s v="Chautham"/>
    <m/>
    <n v="0"/>
  </r>
  <r>
    <s v="Munger"/>
    <s v="24-30 Jul"/>
    <n v="1007"/>
    <s v="Araria"/>
    <x v="220"/>
    <s v="Gomukh Jhangara B"/>
    <s v="MPG"/>
    <s v="Direct"/>
    <n v="1464.4999999999998"/>
    <n v="59098.089999999989"/>
    <n v="1501.06"/>
    <n v="63458.329999999994"/>
    <n v="0"/>
    <n v="0"/>
    <n v="1501.06"/>
    <n v="63458.329999999994"/>
    <n v="59098.089999999989"/>
    <n v="0"/>
    <n v="0"/>
    <n v="4360.2400000000052"/>
    <n v="0"/>
    <n v="0"/>
    <n v="0"/>
    <n v="59098"/>
    <n v="0"/>
    <n v="0"/>
    <n v="0"/>
    <n v="0"/>
    <n v="0"/>
    <n v="0"/>
    <n v="-7.3779710985583558E-2"/>
    <n v="9"/>
    <m/>
    <s v="Araria"/>
    <m/>
    <n v="0"/>
  </r>
  <r>
    <s v="Munger"/>
    <s v="24-30 Jul"/>
    <n v="1056"/>
    <s v="Chautham"/>
    <x v="221"/>
    <s v="Gomukh Saraiya"/>
    <s v="MPG"/>
    <s v="Direct"/>
    <n v="321.68"/>
    <n v="11606.36"/>
    <n v="396.96999999999997"/>
    <n v="16664.830000000002"/>
    <n v="0"/>
    <n v="0"/>
    <n v="396.96999999999997"/>
    <n v="16664.830000000002"/>
    <n v="11606.36"/>
    <n v="0"/>
    <n v="0"/>
    <n v="5058.4700000000012"/>
    <n v="0"/>
    <n v="0"/>
    <n v="0"/>
    <n v="12762"/>
    <n v="0"/>
    <n v="0"/>
    <n v="-1156"/>
    <s v="Release2"/>
    <n v="272.99913673215622"/>
    <n v="45.954285714285717"/>
    <n v="-0.43583604161856093"/>
    <n v="2"/>
    <m/>
    <s v="Chautham"/>
    <m/>
    <n v="0"/>
  </r>
  <r>
    <s v="Munger"/>
    <s v="24-30 Jul"/>
    <n v="1056"/>
    <s v="Chautham"/>
    <x v="222"/>
    <s v=" Gomukh Nauranga"/>
    <s v="vlc"/>
    <s v="Indirect"/>
    <n v="149.01999999999998"/>
    <n v="6185.6500000000005"/>
    <n v="0"/>
    <n v="0"/>
    <n v="0"/>
    <n v="0"/>
    <n v="0"/>
    <n v="0"/>
    <n v="6185.6500000000005"/>
    <n v="0"/>
    <n v="0"/>
    <n v="0"/>
    <n v="0"/>
    <n v="0"/>
    <n v="0"/>
    <n v="0"/>
    <n v="0"/>
    <n v="6185.6500000000005"/>
    <n v="0"/>
    <n v="0"/>
    <n v="457.41101019997325"/>
    <n v="21.288571428571426"/>
    <n v="0"/>
    <n v="0"/>
    <m/>
    <s v="Chautham"/>
    <m/>
    <n v="0"/>
  </r>
  <r>
    <s v="Munger"/>
    <s v="24-30 Jul"/>
    <n v="1056"/>
    <s v="Chautham"/>
    <x v="223"/>
    <s v="Gomukh Malpa Dhutauli VLC"/>
    <s v="vlc"/>
    <s v="Indirect"/>
    <n v="37.32"/>
    <n v="1342.45"/>
    <n v="0"/>
    <n v="0"/>
    <n v="0"/>
    <n v="0"/>
    <n v="0"/>
    <n v="0"/>
    <n v="1342.45"/>
    <n v="0"/>
    <n v="0"/>
    <n v="0"/>
    <n v="0"/>
    <n v="0"/>
    <n v="0"/>
    <n v="0"/>
    <n v="0"/>
    <n v="1342.45"/>
    <n v="0"/>
    <n v="0"/>
    <n v="476.74960664523041"/>
    <n v="5.3314285714285718"/>
    <n v="0"/>
    <n v="0"/>
    <m/>
    <s v="Chautham"/>
    <m/>
    <n v="0"/>
  </r>
  <r>
    <s v="Munger"/>
    <s v="24-30 Jul"/>
    <n v="1056"/>
    <s v="Chautham"/>
    <x v="224"/>
    <s v="Gomukh Pakrail Vijay Nagar VLC"/>
    <s v="vlc"/>
    <s v="Direct"/>
    <n v="684.74"/>
    <n v="26525.51"/>
    <n v="0"/>
    <n v="0"/>
    <n v="0"/>
    <n v="0"/>
    <n v="0"/>
    <n v="0"/>
    <n v="0"/>
    <n v="0"/>
    <n v="0"/>
    <n v="0"/>
    <n v="0"/>
    <n v="0"/>
    <n v="0"/>
    <n v="0"/>
    <n v="0"/>
    <n v="0"/>
    <n v="26526"/>
    <n v="0"/>
    <n v="11.822860723778327"/>
    <n v="97.820000000000007"/>
    <n v="1"/>
    <n v="0"/>
    <m/>
    <s v="Chautham"/>
    <m/>
    <n v="0"/>
  </r>
  <r>
    <s v="Munger"/>
    <s v="24-30 Jul"/>
    <n v="1056"/>
    <s v="Chautham"/>
    <x v="225"/>
    <s v="Gomukh Pakrail Shirnia VLC"/>
    <s v="vlc"/>
    <s v="Indirect"/>
    <n v="43.16"/>
    <n v="1860.62"/>
    <n v="0"/>
    <n v="0"/>
    <n v="0"/>
    <n v="0"/>
    <n v="0"/>
    <n v="0"/>
    <n v="1860.62"/>
    <n v="0"/>
    <n v="0"/>
    <n v="0"/>
    <n v="0"/>
    <n v="0"/>
    <n v="0"/>
    <n v="0"/>
    <n v="0"/>
    <n v="1860.62"/>
    <n v="0"/>
    <n v="0"/>
    <n v="566.32513475440237"/>
    <n v="6.1657142857142855"/>
    <n v="0"/>
    <n v="0"/>
    <m/>
    <s v="Chautham"/>
    <m/>
    <n v="0"/>
  </r>
  <r>
    <s v="Munger"/>
    <s v="24-30 Jul"/>
    <n v="1007"/>
    <s v="Araria"/>
    <x v="226"/>
    <s v="Gomukh Godhiyasi Nayagow VLC"/>
    <s v="vlc"/>
    <s v="Indirect"/>
    <n v="252.2"/>
    <n v="9191.9200000000019"/>
    <n v="0"/>
    <n v="0"/>
    <n v="0"/>
    <n v="0"/>
    <n v="0"/>
    <n v="0"/>
    <n v="9191.9200000000019"/>
    <n v="0"/>
    <n v="0"/>
    <n v="0"/>
    <n v="4050"/>
    <n v="0"/>
    <n v="0"/>
    <n v="0"/>
    <n v="0"/>
    <n v="5141.9200000000019"/>
    <n v="0"/>
    <n v="0"/>
    <n v="326.4188561459161"/>
    <n v="36.028571428571425"/>
    <n v="0"/>
    <n v="0"/>
    <m/>
    <s v="Araria"/>
    <m/>
    <n v="0"/>
  </r>
  <r>
    <s v="Munger"/>
    <s v="24-30 Jul"/>
    <n v="1010"/>
    <s v="Parbatta"/>
    <x v="227"/>
    <s v="Gomukh Bandehra Purbi"/>
    <s v="MPG"/>
    <s v="Direct"/>
    <n v="329.3"/>
    <n v="12539.049999999997"/>
    <n v="329.3"/>
    <n v="12794.099999999999"/>
    <n v="0"/>
    <n v="0"/>
    <n v="329.3"/>
    <n v="12794.099999999999"/>
    <n v="12539.049999999997"/>
    <n v="0"/>
    <n v="0"/>
    <n v="255.05000000000109"/>
    <n v="0"/>
    <n v="0"/>
    <n v="0"/>
    <n v="12539"/>
    <n v="0"/>
    <n v="0"/>
    <n v="0"/>
    <n v="0"/>
    <n v="282.30949498937133"/>
    <n v="47.042857142857144"/>
    <n v="-2.0340456414162249E-2"/>
    <n v="1"/>
    <m/>
    <s v="Parbatta"/>
    <m/>
    <n v="0"/>
  </r>
  <r>
    <s v="Munger"/>
    <s v="24-30 Jul"/>
    <n v="1056"/>
    <s v="Chautham"/>
    <x v="228"/>
    <s v="Gomukh Tila Tol"/>
    <s v="MPG"/>
    <s v="Direct"/>
    <n v="715.98"/>
    <n v="29603.429999999997"/>
    <n v="557.72"/>
    <n v="22893.35"/>
    <n v="252.64"/>
    <n v="11320.47"/>
    <n v="810.36"/>
    <n v="34213.82"/>
    <n v="29603.429999999997"/>
    <n v="0"/>
    <n v="136.62"/>
    <n v="4610.3900000000031"/>
    <n v="0"/>
    <n v="0"/>
    <n v="0"/>
    <n v="18282"/>
    <n v="11184"/>
    <n v="0"/>
    <n v="1"/>
    <n v="0"/>
    <n v="0"/>
    <n v="0"/>
    <n v="-0.15573837220889619"/>
    <n v="8"/>
    <m/>
    <s v="Chautham"/>
    <m/>
    <n v="0"/>
  </r>
  <r>
    <s v="Munger"/>
    <s v="24-30 Jul"/>
    <n v="1007"/>
    <s v="Araria"/>
    <x v="229"/>
    <s v="Gomukh Gulshan Kumar VLC"/>
    <s v="vlc"/>
    <s v="Indirect"/>
    <n v="1689.6000000000001"/>
    <n v="66989.669999999984"/>
    <n v="0"/>
    <n v="0"/>
    <n v="0"/>
    <n v="0"/>
    <n v="0"/>
    <n v="0"/>
    <n v="66989.669999999984"/>
    <n v="0"/>
    <n v="0"/>
    <n v="0"/>
    <n v="0"/>
    <n v="0"/>
    <n v="0"/>
    <n v="0"/>
    <n v="0"/>
    <n v="66989.669999999984"/>
    <n v="0"/>
    <n v="0"/>
    <n v="0"/>
    <n v="0"/>
    <n v="0"/>
    <n v="0"/>
    <m/>
    <s v="Araria"/>
    <m/>
    <n v="0"/>
  </r>
  <r>
    <s v="Munger"/>
    <s v="24-30 Jul"/>
    <n v="1007"/>
    <s v="Araria"/>
    <x v="1034"/>
    <s v="Gomukh Purani Tola"/>
    <s v="vlc"/>
    <s v="Indirect"/>
    <n v="297"/>
    <n v="11154.220000000001"/>
    <n v="297"/>
    <n v="11271.15"/>
    <n v="0"/>
    <n v="0"/>
    <n v="297"/>
    <n v="11271.15"/>
    <n v="11154.220000000001"/>
    <n v="0"/>
    <n v="0"/>
    <n v="116.92999999999847"/>
    <n v="0"/>
    <n v="0"/>
    <n v="0"/>
    <n v="0"/>
    <n v="0"/>
    <n v="11154.220000000001"/>
    <n v="0"/>
    <n v="0"/>
    <n v="302.70374814814818"/>
    <n v="42.428571428571431"/>
    <n v="0"/>
    <n v="1"/>
    <m/>
    <s v="Araria"/>
    <m/>
    <n v="0"/>
  </r>
  <r>
    <s v="Munger"/>
    <s v="24-30 Jul"/>
    <n v="1007"/>
    <s v="Araria"/>
    <x v="230"/>
    <s v="Gomukh Gogri VLC"/>
    <s v="vlc"/>
    <s v="Indirect"/>
    <n v="363.1"/>
    <n v="14240.59"/>
    <n v="0"/>
    <n v="0"/>
    <n v="0"/>
    <n v="0"/>
    <n v="0"/>
    <n v="0"/>
    <n v="14240.59"/>
    <n v="0"/>
    <n v="0"/>
    <n v="0"/>
    <n v="0"/>
    <n v="0"/>
    <n v="0"/>
    <n v="0"/>
    <n v="0"/>
    <n v="14240.59"/>
    <n v="0"/>
    <n v="0"/>
    <n v="264.26079708069398"/>
    <n v="51.871428571428574"/>
    <n v="0"/>
    <n v="0"/>
    <m/>
    <s v="Araria"/>
    <m/>
    <n v="0"/>
  </r>
  <r>
    <s v="Munger"/>
    <s v="24-30 Jul"/>
    <n v="1007"/>
    <s v="Araria"/>
    <x v="231"/>
    <s v="Gomukh Bari Chak Gogri"/>
    <s v="MPG"/>
    <s v="Direct"/>
    <n v="501"/>
    <n v="19341.969999999994"/>
    <n v="395.51000000000005"/>
    <n v="15703.58"/>
    <n v="106.94"/>
    <n v="5053.5600000000004"/>
    <n v="502.45000000000005"/>
    <n v="20757.14"/>
    <n v="19341.969999999994"/>
    <n v="0"/>
    <n v="0"/>
    <n v="1415.1700000000055"/>
    <n v="6750"/>
    <n v="500"/>
    <n v="0"/>
    <n v="7039"/>
    <n v="5053"/>
    <n v="0"/>
    <n v="0"/>
    <n v="0"/>
    <n v="153.65477165668656"/>
    <n v="71.571428571428569"/>
    <n v="-7.3165763363297845E-2"/>
    <n v="8"/>
    <m/>
    <s v="Araria"/>
    <m/>
    <n v="500"/>
  </r>
  <r>
    <s v="Munger"/>
    <s v="24-30 Jul"/>
    <n v="1007"/>
    <s v="Araria"/>
    <x v="232"/>
    <s v="Gomukh Khatha"/>
    <s v="MPG"/>
    <s v="Direct"/>
    <n v="777.9"/>
    <n v="29080.530000000002"/>
    <n v="777.9"/>
    <n v="28556.71"/>
    <n v="0"/>
    <n v="0"/>
    <n v="777.9"/>
    <n v="28556.71"/>
    <n v="28556.71"/>
    <n v="0"/>
    <n v="0"/>
    <n v="0"/>
    <n v="0"/>
    <n v="0"/>
    <n v="0"/>
    <n v="28557"/>
    <n v="0"/>
    <n v="0"/>
    <n v="524"/>
    <n v="0"/>
    <n v="0"/>
    <n v="0"/>
    <n v="1.8012739107574838E-2"/>
    <n v="1"/>
    <m/>
    <s v="Araria"/>
    <m/>
    <n v="0"/>
  </r>
  <r>
    <s v="Munger"/>
    <s v="24-30 Jul"/>
    <n v="1007"/>
    <s v="Araria"/>
    <x v="233"/>
    <s v="Gomukh Shailesh Yadav Vlc"/>
    <s v="vlc"/>
    <s v="Indirect"/>
    <n v="62.5"/>
    <n v="3176.38"/>
    <n v="0"/>
    <n v="0"/>
    <n v="0"/>
    <n v="0"/>
    <n v="0"/>
    <n v="0"/>
    <n v="3176.38"/>
    <n v="0"/>
    <n v="0"/>
    <n v="0"/>
    <n v="0"/>
    <n v="0"/>
    <n v="0"/>
    <n v="0"/>
    <n v="0"/>
    <n v="3176.38"/>
    <n v="0"/>
    <n v="0"/>
    <n v="647.98152000000005"/>
    <n v="8.9285714285714288"/>
    <n v="0"/>
    <n v="0"/>
    <m/>
    <s v="Araria"/>
    <m/>
    <n v="0"/>
  </r>
  <r>
    <s v="Munger"/>
    <s v="24-30 Jul"/>
    <n v="1007"/>
    <s v="Araria"/>
    <x v="1035"/>
    <s v="Gomukh Banni"/>
    <s v="vlc"/>
    <s v="Direct"/>
    <n v="450.5"/>
    <n v="18746.670000000002"/>
    <n v="481.47999999999996"/>
    <n v="20006.420000000002"/>
    <n v="0"/>
    <n v="0"/>
    <n v="481.47999999999996"/>
    <n v="20006.420000000002"/>
    <n v="18746.670000000002"/>
    <n v="0"/>
    <n v="0"/>
    <n v="1259.75"/>
    <n v="0"/>
    <n v="0"/>
    <n v="0"/>
    <n v="18747"/>
    <n v="0"/>
    <n v="0"/>
    <n v="0"/>
    <n v="0"/>
    <n v="207.64901953385126"/>
    <n v="64.357142857142861"/>
    <n v="-6.7198601138228814E-2"/>
    <n v="7"/>
    <m/>
    <s v="Araria"/>
    <m/>
    <n v="0"/>
  </r>
  <r>
    <s v="Munger"/>
    <s v="24-30 Jul"/>
    <n v="1055"/>
    <s v="Matihani"/>
    <x v="234"/>
    <s v="Chak Punervas"/>
    <s v="vlc"/>
    <s v="Indirect"/>
    <n v="652.20000000000005"/>
    <n v="26620.050000000003"/>
    <n v="0"/>
    <n v="0"/>
    <n v="0"/>
    <n v="0"/>
    <n v="0"/>
    <n v="0"/>
    <n v="26620.050000000003"/>
    <n v="0"/>
    <n v="0"/>
    <n v="0"/>
    <n v="0"/>
    <n v="0"/>
    <n v="0"/>
    <n v="0"/>
    <n v="0"/>
    <n v="26620.050000000003"/>
    <n v="0"/>
    <n v="0"/>
    <n v="39.019883164673381"/>
    <n v="93.171428571428578"/>
    <n v="0"/>
    <n v="0"/>
    <m/>
    <s v="Matihani"/>
    <m/>
    <n v="0"/>
  </r>
  <r>
    <s v="Munger"/>
    <s v="24-30 Jul"/>
    <n v="1008"/>
    <s v="Teghra"/>
    <x v="235"/>
    <s v="Labherchak"/>
    <s v="MPG"/>
    <s v="Indirect"/>
    <n v="286.65000000000003"/>
    <n v="11070.96"/>
    <n v="0"/>
    <n v="0"/>
    <n v="0"/>
    <n v="0"/>
    <n v="0"/>
    <n v="0"/>
    <n v="11070.96"/>
    <n v="0"/>
    <n v="0"/>
    <n v="0"/>
    <n v="0"/>
    <n v="0"/>
    <n v="0"/>
    <n v="0"/>
    <n v="0"/>
    <n v="11070.96"/>
    <n v="0"/>
    <n v="0"/>
    <n v="319.28702710622701"/>
    <n v="40.950000000000003"/>
    <n v="0"/>
    <n v="0"/>
    <m/>
    <s v="Teghra"/>
    <m/>
    <n v="0"/>
  </r>
  <r>
    <s v="Munger"/>
    <s v="24-30 Jul"/>
    <n v="1008"/>
    <s v="Teghra"/>
    <x v="237"/>
    <s v="Gomukh Godhna"/>
    <s v="vlc"/>
    <s v="Indirect"/>
    <n v="11.25"/>
    <n v="430.88"/>
    <n v="0"/>
    <n v="0"/>
    <n v="0"/>
    <n v="0"/>
    <n v="0"/>
    <n v="0"/>
    <n v="430.88"/>
    <n v="0"/>
    <n v="0"/>
    <n v="0"/>
    <n v="0"/>
    <n v="0"/>
    <n v="0"/>
    <n v="0"/>
    <n v="0"/>
    <n v="430.88"/>
    <n v="0"/>
    <n v="0"/>
    <n v="527.58862222222228"/>
    <n v="1.6071428571428572"/>
    <n v="0"/>
    <n v="0"/>
    <m/>
    <s v="Teghra"/>
    <m/>
    <n v="0"/>
  </r>
  <r>
    <s v="Munger"/>
    <s v="24-30 Jul"/>
    <n v="1008"/>
    <s v="Teghra"/>
    <x v="238"/>
    <s v="Gomukh Sihma 2"/>
    <s v="vlc"/>
    <s v="Indirect"/>
    <n v="222.39999999999995"/>
    <n v="8372.9299999999985"/>
    <n v="0"/>
    <n v="0"/>
    <n v="0"/>
    <n v="0"/>
    <n v="0"/>
    <n v="0"/>
    <n v="8372.9299999999985"/>
    <n v="0"/>
    <n v="0"/>
    <n v="0"/>
    <n v="0"/>
    <n v="0"/>
    <n v="0"/>
    <n v="0"/>
    <n v="0"/>
    <n v="8372.9299999999985"/>
    <n v="0"/>
    <n v="0"/>
    <n v="359.61433165467628"/>
    <n v="31.771428571428565"/>
    <n v="0"/>
    <n v="0"/>
    <m/>
    <s v="Teghra"/>
    <m/>
    <n v="0"/>
  </r>
  <r>
    <s v="Munger"/>
    <s v="24-30 Jul"/>
    <n v="1008"/>
    <s v="Teghra"/>
    <x v="239"/>
    <s v="Gomukh ID Marsaito"/>
    <s v="vlc"/>
    <s v="Indirect"/>
    <n v="543.35"/>
    <n v="19909.59"/>
    <n v="0"/>
    <n v="0"/>
    <n v="0"/>
    <n v="0"/>
    <n v="0"/>
    <n v="0"/>
    <n v="19909.59"/>
    <n v="0"/>
    <n v="0"/>
    <n v="0"/>
    <n v="0"/>
    <n v="0"/>
    <n v="0"/>
    <n v="0"/>
    <n v="0"/>
    <n v="19909.59"/>
    <n v="0"/>
    <n v="0"/>
    <n v="114.80030453667059"/>
    <n v="77.621428571428581"/>
    <n v="0"/>
    <n v="0"/>
    <m/>
    <s v="Teghra"/>
    <m/>
    <n v="0"/>
  </r>
  <r>
    <s v="Munger"/>
    <s v="24-30 Jul"/>
    <n v="1008"/>
    <s v="Teghra"/>
    <x v="240"/>
    <s v="Gomukh ID Akashpur-2"/>
    <s v="vlc"/>
    <s v="Indirect"/>
    <n v="77.400000000000006"/>
    <n v="2893.77"/>
    <n v="0"/>
    <n v="0"/>
    <n v="0"/>
    <n v="0"/>
    <n v="0"/>
    <n v="0"/>
    <n v="2893.77"/>
    <n v="0"/>
    <n v="0"/>
    <n v="0"/>
    <n v="0"/>
    <n v="0"/>
    <n v="0"/>
    <n v="0"/>
    <n v="0"/>
    <n v="2893.77"/>
    <n v="0"/>
    <n v="0"/>
    <n v="465.54553023255812"/>
    <n v="11.057142857142859"/>
    <n v="0"/>
    <n v="0"/>
    <m/>
    <s v="Teghra"/>
    <m/>
    <n v="0"/>
  </r>
  <r>
    <s v="Munger"/>
    <s v="24-30 Jul"/>
    <n v="1008"/>
    <s v="Teghra"/>
    <x v="241"/>
    <s v="Gomukh ID Akashpur"/>
    <s v="vlc"/>
    <s v="Indirect"/>
    <n v="358.24999999999994"/>
    <n v="14433.29"/>
    <n v="0"/>
    <n v="0"/>
    <n v="0"/>
    <n v="0"/>
    <n v="0"/>
    <n v="0"/>
    <n v="14433.29"/>
    <n v="0"/>
    <n v="0"/>
    <n v="0"/>
    <n v="0"/>
    <n v="0"/>
    <n v="0"/>
    <n v="0"/>
    <n v="0"/>
    <n v="14433.29"/>
    <n v="0"/>
    <n v="0"/>
    <n v="275.37065498953257"/>
    <n v="51.178571428571423"/>
    <n v="0"/>
    <n v="0"/>
    <m/>
    <s v="Teghra"/>
    <m/>
    <n v="0"/>
  </r>
  <r>
    <s v="Munger"/>
    <s v="24-30 Jul"/>
    <n v="1008"/>
    <s v="Teghra"/>
    <x v="242"/>
    <s v="Gomukh ID Rachiyahi"/>
    <s v="vlc"/>
    <s v="Indirect"/>
    <n v="30.05"/>
    <n v="1155.2199999999998"/>
    <n v="0"/>
    <n v="0"/>
    <n v="0"/>
    <n v="0"/>
    <n v="0"/>
    <n v="0"/>
    <n v="1155.2199999999998"/>
    <n v="0"/>
    <n v="0"/>
    <n v="0"/>
    <n v="0"/>
    <n v="0"/>
    <n v="0"/>
    <n v="0"/>
    <n v="0"/>
    <n v="1155.2199999999998"/>
    <n v="0"/>
    <n v="0"/>
    <n v="515.10125723793669"/>
    <n v="4.2928571428571427"/>
    <n v="0"/>
    <n v="0"/>
    <m/>
    <s v="Teghra"/>
    <m/>
    <n v="0"/>
  </r>
  <r>
    <s v="Munger"/>
    <s v="24-30 Jul"/>
    <n v="1008"/>
    <s v="Teghra"/>
    <x v="243"/>
    <s v="GomukhBariyahi Chanan"/>
    <s v="MPG"/>
    <s v="Direct"/>
    <n v="918.25"/>
    <n v="32763.93"/>
    <n v="921.09999999999991"/>
    <n v="34615.380000000005"/>
    <n v="1.9"/>
    <n v="66.539999999999992"/>
    <n v="922.99999999999989"/>
    <n v="34681.920000000006"/>
    <n v="32763.93"/>
    <n v="0"/>
    <n v="66.539999999999992"/>
    <n v="1917.9900000000052"/>
    <n v="0"/>
    <n v="0"/>
    <n v="0"/>
    <n v="32697"/>
    <n v="0"/>
    <n v="0"/>
    <n v="0"/>
    <n v="0"/>
    <n v="0"/>
    <n v="0"/>
    <n v="-5.8539680679332587E-2"/>
    <n v="8"/>
    <m/>
    <s v="Teghra"/>
    <m/>
    <n v="0"/>
  </r>
  <r>
    <s v="Munger"/>
    <s v="24-30 Jul"/>
    <n v="1008"/>
    <s v="Teghra"/>
    <x v="244"/>
    <s v="GomukhGehuni"/>
    <s v="MPG"/>
    <s v="Direct"/>
    <n v="139.75"/>
    <n v="5280.03"/>
    <n v="139"/>
    <n v="5251.3600000000006"/>
    <n v="0.7"/>
    <n v="25.91"/>
    <n v="139.69999999999999"/>
    <n v="5277.27"/>
    <n v="5277.27"/>
    <n v="0"/>
    <n v="25.91"/>
    <n v="0"/>
    <n v="0"/>
    <n v="500"/>
    <n v="0"/>
    <n v="4751"/>
    <n v="0"/>
    <n v="0"/>
    <n v="3"/>
    <n v="0"/>
    <n v="423.34694919499105"/>
    <n v="19.964285714285715"/>
    <n v="5.2272430270269463E-4"/>
    <n v="4"/>
    <m/>
    <s v="Teghra"/>
    <m/>
    <n v="500"/>
  </r>
  <r>
    <s v="Munger"/>
    <s v="24-30 Jul"/>
    <n v="1008"/>
    <s v="Teghra"/>
    <x v="245"/>
    <s v="Gomukh Bakhatpur"/>
    <s v="MPG"/>
    <s v="Direct"/>
    <n v="200.89999999999998"/>
    <n v="8986.2899999999991"/>
    <n v="194.39000000000004"/>
    <n v="8840.2099999999991"/>
    <n v="2.1300000000000003"/>
    <n v="92.41"/>
    <n v="196.52000000000004"/>
    <n v="8932.619999999999"/>
    <n v="8932.619999999999"/>
    <n v="0"/>
    <n v="92.41"/>
    <n v="0"/>
    <n v="0"/>
    <n v="0"/>
    <n v="0"/>
    <n v="8840"/>
    <n v="0"/>
    <n v="0"/>
    <n v="54"/>
    <n v="0"/>
    <n v="446.49649965156812"/>
    <n v="28.699999999999996"/>
    <n v="5.9724313370701455E-3"/>
    <n v="6"/>
    <m/>
    <s v="Teghra"/>
    <m/>
    <n v="0"/>
  </r>
  <r>
    <s v="Munger"/>
    <s v="24-30 Jul"/>
    <n v="1008"/>
    <s v="Teghra"/>
    <x v="246"/>
    <s v="Ananaya Dairy"/>
    <s v="vlc"/>
    <s v="Indirect"/>
    <n v="800.59999999999991"/>
    <n v="31584.489999999998"/>
    <n v="0"/>
    <n v="0"/>
    <n v="0"/>
    <n v="0"/>
    <n v="0"/>
    <n v="0"/>
    <n v="31584.489999999998"/>
    <n v="0"/>
    <n v="0"/>
    <n v="0"/>
    <n v="0"/>
    <n v="0"/>
    <n v="0"/>
    <n v="0"/>
    <n v="0"/>
    <n v="31584.489999999998"/>
    <n v="0"/>
    <n v="0"/>
    <n v="0"/>
    <n v="0"/>
    <n v="0"/>
    <n v="0"/>
    <m/>
    <s v="Teghra"/>
    <m/>
    <n v="0"/>
  </r>
  <r>
    <s v="Munger"/>
    <s v="24-30 Jul"/>
    <n v="1008"/>
    <s v="Teghra"/>
    <x v="247"/>
    <s v="Gomukh Bishanpur"/>
    <s v="MPG"/>
    <s v="Direct"/>
    <n v="833.6"/>
    <n v="29365.13"/>
    <n v="757.66"/>
    <n v="28751.900000000009"/>
    <n v="13.09"/>
    <n v="499.22"/>
    <n v="770.75"/>
    <n v="29251.12000000001"/>
    <n v="29251.12000000001"/>
    <n v="0"/>
    <n v="499.22"/>
    <n v="0"/>
    <n v="0"/>
    <n v="0"/>
    <n v="0"/>
    <n v="28749"/>
    <n v="0"/>
    <n v="0"/>
    <n v="117"/>
    <n v="0"/>
    <n v="0"/>
    <n v="0"/>
    <n v="3.8824960080200946E-3"/>
    <n v="22"/>
    <m/>
    <s v="Teghra"/>
    <m/>
    <n v="0"/>
  </r>
  <r>
    <s v="Munger"/>
    <s v="24-30 Jul"/>
    <n v="1008"/>
    <s v="Teghra"/>
    <x v="248"/>
    <s v="GOMUKH BEGAMSARAI"/>
    <s v="MPG"/>
    <s v="Direct"/>
    <n v="318.34999999999997"/>
    <n v="13978.189999999999"/>
    <n v="62.45"/>
    <n v="2781.24"/>
    <n v="250.13999999999996"/>
    <n v="11143.899999999998"/>
    <n v="312.58999999999997"/>
    <n v="13925.139999999998"/>
    <n v="13925.139999999998"/>
    <n v="0"/>
    <n v="255.07"/>
    <n v="0"/>
    <n v="0"/>
    <n v="0"/>
    <n v="0"/>
    <n v="2781"/>
    <n v="10889"/>
    <n v="0"/>
    <n v="53"/>
    <n v="0"/>
    <n v="335.15163898225228"/>
    <n v="45.478571428571421"/>
    <n v="3.7951980907400098E-3"/>
    <n v="12"/>
    <m/>
    <s v="Teghra"/>
    <m/>
    <n v="0"/>
  </r>
  <r>
    <s v="Munger"/>
    <s v="24-30 Jul"/>
    <n v="1008"/>
    <s v="Teghra"/>
    <x v="249"/>
    <s v="Bariyahi - Ramvaran"/>
    <s v="vlc"/>
    <s v="Indirect"/>
    <n v="250.2"/>
    <n v="10555.429999999998"/>
    <n v="0"/>
    <n v="0"/>
    <n v="0"/>
    <n v="0"/>
    <n v="0"/>
    <n v="0"/>
    <n v="10555.429999999998"/>
    <n v="0"/>
    <n v="0"/>
    <n v="0"/>
    <n v="0"/>
    <n v="0"/>
    <n v="0"/>
    <n v="0"/>
    <n v="0"/>
    <n v="10555.429999999998"/>
    <n v="0"/>
    <n v="0"/>
    <n v="379.52297474020787"/>
    <n v="35.74285714285714"/>
    <n v="0"/>
    <n v="0"/>
    <m/>
    <s v="Teghra"/>
    <m/>
    <n v="0"/>
  </r>
  <r>
    <s v="Munger"/>
    <s v="24-30 Jul"/>
    <n v="1008"/>
    <s v="Teghra"/>
    <x v="250"/>
    <s v="Hasanpur - Abhijeet"/>
    <s v="vlc"/>
    <s v="Indirect"/>
    <n v="11094.2"/>
    <n v="438498.83"/>
    <n v="0"/>
    <n v="0"/>
    <n v="0"/>
    <n v="0"/>
    <n v="0"/>
    <n v="0"/>
    <n v="438498.83"/>
    <n v="0"/>
    <n v="0"/>
    <n v="0"/>
    <n v="0"/>
    <n v="0"/>
    <n v="0"/>
    <n v="0"/>
    <n v="0"/>
    <n v="438498.83"/>
    <n v="0"/>
    <n v="0"/>
    <n v="0"/>
    <n v="0"/>
    <n v="0"/>
    <n v="0"/>
    <m/>
    <s v="Teghra"/>
    <m/>
    <n v="0"/>
  </r>
  <r>
    <s v="Munger"/>
    <s v="24-30 Jul"/>
    <n v="1008"/>
    <s v="Teghra"/>
    <x v="251"/>
    <s v="Adharpur - Manish"/>
    <s v="vlc"/>
    <s v="Indirect"/>
    <n v="666.45"/>
    <n v="27958.35"/>
    <n v="0"/>
    <n v="0"/>
    <n v="0"/>
    <n v="0"/>
    <n v="0"/>
    <n v="0"/>
    <n v="27958.35"/>
    <n v="0"/>
    <n v="0"/>
    <n v="0"/>
    <n v="0"/>
    <n v="0"/>
    <n v="0"/>
    <n v="0"/>
    <n v="0"/>
    <n v="27958.35"/>
    <n v="0"/>
    <n v="0"/>
    <n v="28.149227774026482"/>
    <n v="95.20714285714287"/>
    <n v="0"/>
    <n v="0"/>
    <m/>
    <s v="Teghra"/>
    <m/>
    <n v="0"/>
  </r>
  <r>
    <s v="Munger"/>
    <s v="24-30 Jul"/>
    <n v="1008"/>
    <s v="Teghra"/>
    <x v="252"/>
    <s v="Rani - Surender"/>
    <s v="vlc"/>
    <s v="Indirect"/>
    <n v="110.05000000000001"/>
    <n v="4476.34"/>
    <n v="0"/>
    <n v="0"/>
    <n v="0"/>
    <n v="0"/>
    <n v="0"/>
    <n v="0"/>
    <n v="4476.34"/>
    <n v="0"/>
    <n v="0"/>
    <n v="0"/>
    <n v="0"/>
    <n v="0"/>
    <n v="0"/>
    <n v="0"/>
    <n v="0"/>
    <n v="4476.34"/>
    <n v="0"/>
    <n v="0"/>
    <n v="479.93035583825531"/>
    <n v="15.721428571428573"/>
    <n v="0"/>
    <n v="0"/>
    <m/>
    <s v="Teghra"/>
    <m/>
    <n v="0"/>
  </r>
  <r>
    <s v="Munger"/>
    <s v="24-30 Jul"/>
    <n v="1008"/>
    <s v="Teghra"/>
    <x v="253"/>
    <s v="GOMUKH RANI 3"/>
    <s v="MPG"/>
    <s v="Direct"/>
    <n v="58.7"/>
    <n v="2441.9900000000002"/>
    <n v="59.38000000000001"/>
    <n v="2418.8999999999996"/>
    <n v="0.33999999999999997"/>
    <n v="13.790000000000001"/>
    <n v="59.720000000000013"/>
    <n v="2432.6899999999996"/>
    <n v="2432.6899999999996"/>
    <n v="0"/>
    <n v="13.790000000000001"/>
    <n v="0"/>
    <n v="0"/>
    <n v="138"/>
    <n v="0"/>
    <n v="2281"/>
    <n v="0"/>
    <n v="0"/>
    <n v="9"/>
    <s v="Release1"/>
    <n v="533.57689505962526"/>
    <n v="8.3857142857142861"/>
    <n v="3.8083694036423719E-3"/>
    <n v="3"/>
    <m/>
    <s v="Teghra"/>
    <m/>
    <n v="500"/>
  </r>
  <r>
    <s v="Munger"/>
    <s v="24-30 Jul"/>
    <n v="1008"/>
    <s v="Teghra"/>
    <x v="254"/>
    <s v="GOMUKH NONPUR"/>
    <s v="MPG"/>
    <s v="Direct"/>
    <n v="582.65000000000009"/>
    <n v="22698.780000000002"/>
    <n v="572.14"/>
    <n v="23012.510000000002"/>
    <n v="1.7599999999999998"/>
    <n v="70.72"/>
    <n v="573.9"/>
    <n v="23083.230000000003"/>
    <n v="22698.780000000002"/>
    <n v="0"/>
    <n v="70.72"/>
    <n v="384.45000000000073"/>
    <n v="0"/>
    <n v="0"/>
    <n v="0"/>
    <n v="22628"/>
    <n v="0"/>
    <n v="0"/>
    <n v="0"/>
    <n v="0"/>
    <n v="91.434028421865577"/>
    <n v="83.235714285714295"/>
    <n v="-1.6937033620309138E-2"/>
    <n v="5"/>
    <m/>
    <s v="Teghra"/>
    <m/>
    <n v="0"/>
  </r>
  <r>
    <s v="Munger"/>
    <s v="24-30 Jul"/>
    <n v="1008"/>
    <s v="Teghra"/>
    <x v="255"/>
    <s v="GOMUKH FATEHA"/>
    <s v="MPG"/>
    <s v="Direct"/>
    <n v="20.75"/>
    <n v="830.62"/>
    <n v="20"/>
    <n v="786.8"/>
    <n v="0"/>
    <n v="0"/>
    <n v="20"/>
    <n v="786.8"/>
    <n v="786.8"/>
    <n v="0"/>
    <n v="0"/>
    <n v="0"/>
    <n v="0"/>
    <n v="0"/>
    <n v="0"/>
    <n v="787"/>
    <n v="0"/>
    <n v="0"/>
    <n v="44"/>
    <n v="0"/>
    <n v="543.80591325301214"/>
    <n v="2.9642857142857144"/>
    <n v="5.2755772796224565E-2"/>
    <n v="1"/>
    <m/>
    <s v="Teghra"/>
    <m/>
    <n v="0"/>
  </r>
  <r>
    <s v="Munger"/>
    <s v="24-30 Jul"/>
    <n v="1008"/>
    <s v="Teghra"/>
    <x v="256"/>
    <s v="Bablu Singh"/>
    <s v="vlc"/>
    <s v="Indirect"/>
    <n v="1123.9499999999998"/>
    <n v="43628.250000000007"/>
    <n v="0"/>
    <n v="0"/>
    <n v="0"/>
    <n v="0"/>
    <n v="0"/>
    <n v="0"/>
    <n v="43628.250000000007"/>
    <n v="0"/>
    <n v="0"/>
    <n v="0"/>
    <n v="0"/>
    <n v="0"/>
    <n v="0"/>
    <n v="0"/>
    <n v="0"/>
    <n v="43628.250000000007"/>
    <n v="0"/>
    <n v="0"/>
    <n v="0"/>
    <n v="0"/>
    <n v="0"/>
    <n v="0"/>
    <m/>
    <s v="Teghra"/>
    <m/>
    <n v="0"/>
  </r>
  <r>
    <s v="Munger"/>
    <s v="24-30 Jul"/>
    <n v="1008"/>
    <s v="Teghra"/>
    <x v="257"/>
    <s v="Gomukh Rani                                                                                         "/>
    <s v="MPG"/>
    <s v="Direct"/>
    <n v="337.45000000000005"/>
    <n v="13371.61"/>
    <n v="215.72"/>
    <n v="9114.7099999999991"/>
    <n v="100.32000000000001"/>
    <n v="4280.05"/>
    <n v="316.04000000000002"/>
    <n v="13394.759999999998"/>
    <n v="13371.61"/>
    <n v="0"/>
    <n v="0"/>
    <n v="23.149999999997817"/>
    <n v="0"/>
    <n v="0"/>
    <n v="0"/>
    <n v="9093"/>
    <n v="4279"/>
    <n v="0"/>
    <n v="0"/>
    <n v="0"/>
    <n v="287.32417872277369"/>
    <n v="48.207142857142863"/>
    <n v="-1.7312799281461108E-3"/>
    <n v="9"/>
    <m/>
    <s v="Teghra"/>
    <m/>
    <n v="0"/>
  </r>
  <r>
    <s v="Munger"/>
    <s v="24-30 Jul"/>
    <n v="1008"/>
    <s v="Teghra"/>
    <x v="258"/>
    <s v="GOMUKH ROOPNAGAR"/>
    <s v="vlc"/>
    <s v="Direct"/>
    <n v="353.45"/>
    <n v="12885.390000000001"/>
    <n v="353.2"/>
    <n v="12876.05"/>
    <n v="0"/>
    <n v="0"/>
    <n v="353.2"/>
    <n v="12876.05"/>
    <n v="12876.05"/>
    <n v="0"/>
    <n v="0"/>
    <n v="0"/>
    <n v="0"/>
    <n v="0"/>
    <n v="0"/>
    <n v="12876"/>
    <n v="0"/>
    <n v="0"/>
    <n v="9"/>
    <n v="0"/>
    <n v="252.67686544065646"/>
    <n v="50.49285714285714"/>
    <n v="7.2485194472204288E-4"/>
    <n v="1"/>
    <m/>
    <s v="Teghra"/>
    <m/>
    <n v="0"/>
  </r>
  <r>
    <s v="Munger"/>
    <s v="24-30 Jul"/>
    <n v="1008"/>
    <s v="Teghra"/>
    <x v="259"/>
    <s v="GOMUKH HADIPUR"/>
    <s v="MPG"/>
    <s v="Direct"/>
    <n v="403.15000000000003"/>
    <n v="15265.640000000001"/>
    <n v="399.13"/>
    <n v="15176.82"/>
    <n v="0.63"/>
    <n v="23.75"/>
    <n v="399.76"/>
    <n v="15200.57"/>
    <n v="15200.57"/>
    <n v="0"/>
    <n v="23.75"/>
    <n v="0"/>
    <n v="0"/>
    <n v="500"/>
    <n v="0"/>
    <n v="14677"/>
    <n v="0"/>
    <n v="0"/>
    <n v="65"/>
    <n v="0"/>
    <n v="224.8098838645665"/>
    <n v="57.592857142857149"/>
    <n v="4.2625137236304228E-3"/>
    <n v="2"/>
    <m/>
    <s v="Teghra"/>
    <m/>
    <n v="500"/>
  </r>
  <r>
    <s v="Munger"/>
    <s v="24-30 Jul"/>
    <n v="1008"/>
    <s v="Teghra"/>
    <x v="260"/>
    <s v="Gomukh Harichak"/>
    <s v="MPG"/>
    <s v="Direct"/>
    <n v="131.9"/>
    <n v="5291.8100000000013"/>
    <n v="138.36999999999998"/>
    <n v="5237.68"/>
    <n v="0"/>
    <n v="0"/>
    <n v="138.36999999999998"/>
    <n v="5237.68"/>
    <n v="5237.68"/>
    <n v="0"/>
    <n v="0"/>
    <n v="0"/>
    <n v="0"/>
    <n v="500"/>
    <n v="0"/>
    <n v="4737"/>
    <n v="0"/>
    <n v="0"/>
    <n v="55"/>
    <n v="0"/>
    <n v="455.84188946171349"/>
    <n v="18.842857142857145"/>
    <n v="1.0229014269219985E-2"/>
    <n v="5"/>
    <m/>
    <s v="Teghra"/>
    <m/>
    <n v="500"/>
  </r>
  <r>
    <s v="Munger"/>
    <s v="24-30 Jul"/>
    <n v="1008"/>
    <s v="Teghra"/>
    <x v="261"/>
    <s v="PAWAN RAY"/>
    <s v="vlc"/>
    <s v="Indirect"/>
    <n v="5080.7000000000007"/>
    <n v="200555.78000000003"/>
    <n v="0"/>
    <n v="0"/>
    <n v="0"/>
    <n v="0"/>
    <n v="0"/>
    <n v="0"/>
    <n v="200555.78000000003"/>
    <n v="0"/>
    <n v="0"/>
    <n v="0"/>
    <n v="0"/>
    <n v="0"/>
    <n v="0"/>
    <n v="0"/>
    <n v="0"/>
    <n v="200555.78000000003"/>
    <n v="0"/>
    <n v="0"/>
    <n v="0"/>
    <n v="0"/>
    <n v="0"/>
    <n v="0"/>
    <m/>
    <s v="Teghra"/>
    <m/>
    <n v="0"/>
  </r>
  <r>
    <s v="Munger"/>
    <s v="24-30 Jul"/>
    <n v="1008"/>
    <s v="Teghra"/>
    <x v="262"/>
    <s v="RAJ BHARDWAJ"/>
    <s v="vlc"/>
    <s v="Indirect"/>
    <n v="207.20000000000002"/>
    <n v="8087.16"/>
    <n v="0"/>
    <n v="0"/>
    <n v="0"/>
    <n v="0"/>
    <n v="0"/>
    <n v="0"/>
    <n v="8087.16"/>
    <n v="0"/>
    <n v="0"/>
    <n v="0"/>
    <n v="0"/>
    <n v="0"/>
    <n v="0"/>
    <n v="0"/>
    <n v="0"/>
    <n v="8087.16"/>
    <n v="0"/>
    <n v="0"/>
    <n v="384.68652972972973"/>
    <n v="29.6"/>
    <n v="0"/>
    <n v="0"/>
    <m/>
    <s v="Teghra"/>
    <m/>
    <n v="0"/>
  </r>
  <r>
    <s v="Munger"/>
    <s v="24-30 Jul"/>
    <n v="1008"/>
    <s v="Teghra"/>
    <x v="264"/>
    <s v="Prashant Kumar"/>
    <s v="vlc"/>
    <s v="Indirect"/>
    <n v="13.6"/>
    <n v="529.30999999999995"/>
    <n v="0"/>
    <n v="0"/>
    <n v="0"/>
    <n v="0"/>
    <n v="0"/>
    <n v="0"/>
    <n v="529.30999999999995"/>
    <n v="0"/>
    <n v="0"/>
    <n v="0"/>
    <n v="0"/>
    <n v="0"/>
    <n v="0"/>
    <n v="0"/>
    <n v="0"/>
    <n v="529.30999999999995"/>
    <n v="0"/>
    <n v="0"/>
    <n v="534.29174117647062"/>
    <n v="1.9428571428571428"/>
    <n v="0"/>
    <n v="0"/>
    <m/>
    <s v="Teghra"/>
    <m/>
    <n v="0"/>
  </r>
  <r>
    <s v="Munger"/>
    <s v="24-30 Jul"/>
    <n v="1008"/>
    <s v="Teghra"/>
    <x v="266"/>
    <s v="CHANDAN YADAV"/>
    <s v="vlc"/>
    <s v="Indirect"/>
    <n v="284.8"/>
    <n v="10800.42"/>
    <n v="0"/>
    <n v="0"/>
    <n v="0"/>
    <n v="0"/>
    <n v="0"/>
    <n v="0"/>
    <n v="10800.42"/>
    <n v="0"/>
    <n v="0"/>
    <n v="0"/>
    <n v="0"/>
    <n v="0"/>
    <n v="0"/>
    <n v="0"/>
    <n v="0"/>
    <n v="10800.42"/>
    <n v="0"/>
    <n v="0"/>
    <n v="314.91112247191012"/>
    <n v="40.68571428571429"/>
    <n v="0"/>
    <n v="0"/>
    <m/>
    <s v="Teghra"/>
    <m/>
    <n v="0"/>
  </r>
  <r>
    <s v="Munger"/>
    <s v="24-30 Jul"/>
    <n v="1008"/>
    <s v="Teghra"/>
    <x v="267"/>
    <s v="ANITA DEVI"/>
    <s v="vlc"/>
    <s v="Indirect"/>
    <n v="225"/>
    <n v="8523.98"/>
    <n v="0"/>
    <n v="0"/>
    <n v="0"/>
    <n v="0"/>
    <n v="0"/>
    <n v="0"/>
    <n v="8523.98"/>
    <n v="0"/>
    <n v="0"/>
    <n v="0"/>
    <n v="0"/>
    <n v="0"/>
    <n v="0"/>
    <n v="0"/>
    <n v="0"/>
    <n v="8523.98"/>
    <n v="0"/>
    <n v="0"/>
    <n v="359.90137777777772"/>
    <n v="32.142857142857146"/>
    <n v="0"/>
    <n v="0"/>
    <m/>
    <s v="Teghra"/>
    <m/>
    <n v="0"/>
  </r>
  <r>
    <s v="Munger"/>
    <s v="24-30 Jul"/>
    <n v="1008"/>
    <s v="Teghra"/>
    <x v="268"/>
    <s v="GOMUKH FATEHA SALEMPUR"/>
    <s v="MPG"/>
    <s v="Direct"/>
    <n v="274.75"/>
    <n v="10201.260000000002"/>
    <n v="275.10000000000002"/>
    <n v="10214.039999999999"/>
    <n v="6.6"/>
    <n v="245.27"/>
    <n v="281.70000000000005"/>
    <n v="10459.31"/>
    <n v="10201.260000000002"/>
    <n v="0"/>
    <n v="245.27"/>
    <n v="258.04999999999745"/>
    <n v="0"/>
    <n v="500"/>
    <n v="0"/>
    <n v="9456"/>
    <n v="0"/>
    <n v="0"/>
    <n v="0"/>
    <n v="0"/>
    <n v="315.78422675159243"/>
    <n v="39.25"/>
    <n v="-2.5295894820835604E-2"/>
    <n v="3"/>
    <m/>
    <s v="Teghra"/>
    <m/>
    <n v="500"/>
  </r>
  <r>
    <s v="Munger"/>
    <s v="24-30 Jul"/>
    <n v="1008"/>
    <s v="Teghra"/>
    <x v="269"/>
    <s v="GOMUKH GEHUNI 2"/>
    <s v="MPG"/>
    <s v="Direct"/>
    <n v="617.74999999999989"/>
    <n v="25268.070000000003"/>
    <n v="616.88000000000011"/>
    <n v="24682.15"/>
    <n v="0.43999999999999995"/>
    <n v="17.62"/>
    <n v="617.32000000000016"/>
    <n v="24699.77"/>
    <n v="24699.77"/>
    <n v="0"/>
    <n v="17.62"/>
    <n v="0"/>
    <n v="0"/>
    <n v="0"/>
    <n v="0"/>
    <n v="24682"/>
    <n v="0"/>
    <n v="0"/>
    <n v="568"/>
    <n v="0"/>
    <n v="67.28607875354119"/>
    <n v="88.249999999999986"/>
    <n v="2.2490835271550335E-2"/>
    <n v="3"/>
    <m/>
    <s v="Teghra"/>
    <m/>
    <n v="0"/>
  </r>
  <r>
    <s v="Munger"/>
    <s v="24-30 Jul"/>
    <n v="1008"/>
    <s v="Teghra"/>
    <x v="270"/>
    <s v="GOMUKH MALHIPUR"/>
    <s v="MPG"/>
    <s v="Direct"/>
    <n v="633.35000000000014"/>
    <n v="22789.379999999997"/>
    <n v="632"/>
    <n v="22068.159999999996"/>
    <n v="0.8"/>
    <n v="28.330000000000002"/>
    <n v="632.79999999999995"/>
    <n v="22096.489999999998"/>
    <n v="22096.489999999998"/>
    <n v="0"/>
    <n v="28.330000000000002"/>
    <n v="0"/>
    <n v="0"/>
    <n v="0"/>
    <n v="0"/>
    <n v="22067"/>
    <n v="0"/>
    <n v="0"/>
    <n v="694"/>
    <n v="0"/>
    <n v="47.964385474066383"/>
    <n v="90.478571428571442"/>
    <n v="3.040407417841115E-2"/>
    <n v="8"/>
    <m/>
    <s v="Teghra"/>
    <m/>
    <n v="0"/>
  </r>
  <r>
    <s v="Munger"/>
    <s v="24-30 Jul"/>
    <n v="1008"/>
    <s v="Teghra"/>
    <x v="1036"/>
    <s v="Bihat - Sonu Kumar"/>
    <s v="vlc"/>
    <s v="Indirect"/>
    <n v="250.5"/>
    <n v="9184.92"/>
    <n v="0"/>
    <n v="0"/>
    <n v="0"/>
    <n v="0"/>
    <n v="0"/>
    <n v="0"/>
    <n v="9184.92"/>
    <n v="0"/>
    <n v="0"/>
    <n v="0"/>
    <n v="0"/>
    <n v="0"/>
    <n v="0"/>
    <n v="0"/>
    <n v="0"/>
    <n v="9184.92"/>
    <n v="0"/>
    <n v="0"/>
    <n v="329.63046227544919"/>
    <n v="35.785714285714285"/>
    <n v="0"/>
    <n v="0"/>
    <m/>
    <s v="Teghra"/>
    <m/>
    <n v="0"/>
  </r>
  <r>
    <s v="Munger"/>
    <s v="24-30 Jul"/>
    <n v="1008"/>
    <s v="Teghra"/>
    <x v="271"/>
    <s v="Rasalpur - Durgesh Kumar"/>
    <s v="vlc"/>
    <s v="Indirect"/>
    <n v="381.8"/>
    <n v="14682.019999999999"/>
    <n v="0"/>
    <n v="0"/>
    <n v="0"/>
    <n v="0"/>
    <n v="0"/>
    <n v="0"/>
    <n v="14682.019999999999"/>
    <n v="0"/>
    <n v="0"/>
    <n v="0"/>
    <n v="0"/>
    <n v="0"/>
    <n v="0"/>
    <n v="0"/>
    <n v="0"/>
    <n v="14682.019999999999"/>
    <n v="0"/>
    <n v="0"/>
    <n v="244.72596982713461"/>
    <n v="54.542857142857144"/>
    <n v="0"/>
    <n v="0"/>
    <m/>
    <s v="Teghra"/>
    <m/>
    <n v="0"/>
  </r>
  <r>
    <s v="Munger"/>
    <s v="24-30 Jul"/>
    <n v="1008"/>
    <s v="Teghra"/>
    <x v="272"/>
    <s v="Barauni Bariyarpur"/>
    <s v="MPG"/>
    <s v="Direct"/>
    <n v="319.90000000000003"/>
    <n v="12222.83"/>
    <n v="319.89999999999998"/>
    <n v="12316.15"/>
    <n v="0"/>
    <n v="0"/>
    <n v="319.89999999999998"/>
    <n v="12316.15"/>
    <n v="12222.83"/>
    <n v="0"/>
    <n v="0"/>
    <n v="93.319999999999709"/>
    <n v="0"/>
    <n v="0"/>
    <n v="0"/>
    <n v="12223"/>
    <n v="0"/>
    <n v="0"/>
    <n v="0"/>
    <n v="0"/>
    <n v="290.45937374179425"/>
    <n v="45.7"/>
    <n v="-7.6348930648630232E-3"/>
    <n v="1"/>
    <m/>
    <s v="Teghra"/>
    <m/>
    <n v="0"/>
  </r>
  <r>
    <s v="Munger"/>
    <s v="24-30 Jul"/>
    <n v="1008"/>
    <s v="Teghra"/>
    <x v="274"/>
    <s v="Fateha - Anil Yadav"/>
    <s v="vlc"/>
    <s v="Indirect"/>
    <n v="191.20000000000002"/>
    <n v="7598.8499999999995"/>
    <n v="0"/>
    <n v="0"/>
    <n v="0"/>
    <n v="0"/>
    <n v="0"/>
    <n v="0"/>
    <n v="7598.8499999999995"/>
    <n v="0"/>
    <n v="0"/>
    <n v="0"/>
    <n v="0"/>
    <n v="0"/>
    <n v="0"/>
    <n v="0"/>
    <n v="0"/>
    <n v="7598.8499999999995"/>
    <n v="0"/>
    <n v="0"/>
    <n v="404.42415062761495"/>
    <n v="27.314285714285717"/>
    <n v="0"/>
    <n v="0"/>
    <m/>
    <s v="Teghra"/>
    <m/>
    <n v="0"/>
  </r>
  <r>
    <s v="Munger"/>
    <s v="24-30 Jul"/>
    <n v="1008"/>
    <s v="Teghra"/>
    <x v="275"/>
    <s v="Bihat - Chakballi"/>
    <s v="MPG"/>
    <s v="Direct"/>
    <n v="154.24999999999997"/>
    <n v="6192.2000000000007"/>
    <n v="154"/>
    <n v="6123.04"/>
    <n v="0"/>
    <n v="0"/>
    <n v="154"/>
    <n v="6123.04"/>
    <n v="6123.04"/>
    <n v="0"/>
    <n v="0"/>
    <n v="0"/>
    <n v="0"/>
    <n v="0"/>
    <n v="0"/>
    <n v="6123"/>
    <n v="0"/>
    <n v="0"/>
    <n v="69"/>
    <n v="0"/>
    <n v="438.17091085899528"/>
    <n v="22.035714285714281"/>
    <n v="1.1168889893737405E-2"/>
    <n v="1"/>
    <m/>
    <s v="Teghra"/>
    <m/>
    <n v="0"/>
  </r>
  <r>
    <s v="Munger"/>
    <s v="24-30 Jul"/>
    <n v="1008"/>
    <s v="Teghra"/>
    <x v="277"/>
    <s v="Rasalpur"/>
    <s v="vlc"/>
    <s v="Indirect"/>
    <n v="1245.6000000000001"/>
    <n v="44936.799999999996"/>
    <n v="0"/>
    <n v="0"/>
    <n v="0"/>
    <n v="0"/>
    <n v="0"/>
    <n v="0"/>
    <n v="44936.799999999996"/>
    <n v="0"/>
    <n v="0"/>
    <n v="0"/>
    <n v="0"/>
    <n v="0"/>
    <n v="0"/>
    <n v="0"/>
    <n v="0"/>
    <n v="44936.799999999996"/>
    <n v="0"/>
    <n v="0"/>
    <n v="0"/>
    <n v="0"/>
    <n v="0"/>
    <n v="0"/>
    <m/>
    <s v="Teghra"/>
    <m/>
    <n v="0"/>
  </r>
  <r>
    <s v="Munger"/>
    <s v="24-30 Jul"/>
    <n v="1008"/>
    <s v="Teghra"/>
    <x v="278"/>
    <s v="Samsa"/>
    <s v="vlc"/>
    <s v="Indirect"/>
    <n v="1430.2999999999997"/>
    <n v="58097.63"/>
    <n v="0"/>
    <n v="0"/>
    <n v="0"/>
    <n v="0"/>
    <n v="0"/>
    <n v="0"/>
    <n v="58097.63"/>
    <n v="0"/>
    <n v="0"/>
    <n v="0"/>
    <n v="0"/>
    <n v="0"/>
    <n v="0"/>
    <n v="0"/>
    <n v="0"/>
    <n v="58097.63"/>
    <n v="0"/>
    <n v="0"/>
    <n v="0"/>
    <n v="0"/>
    <n v="0"/>
    <n v="0"/>
    <m/>
    <s v="Teghra"/>
    <m/>
    <n v="0"/>
  </r>
  <r>
    <s v="Munger"/>
    <s v="24-30 Jul"/>
    <n v="1008"/>
    <s v="Teghra"/>
    <x v="279"/>
    <s v="Dahiya"/>
    <s v="vlc"/>
    <s v="Indirect"/>
    <n v="335.84999999999997"/>
    <n v="12546.94"/>
    <n v="0"/>
    <n v="0"/>
    <n v="0"/>
    <n v="0"/>
    <n v="0"/>
    <n v="0"/>
    <n v="12546.94"/>
    <n v="0"/>
    <n v="0"/>
    <n v="0"/>
    <n v="0"/>
    <n v="0"/>
    <n v="0"/>
    <n v="0"/>
    <n v="0"/>
    <n v="12546.94"/>
    <n v="0"/>
    <n v="0"/>
    <n v="272.08385892511541"/>
    <n v="47.978571428571421"/>
    <n v="0"/>
    <n v="0"/>
    <m/>
    <s v="Teghra"/>
    <m/>
    <n v="0"/>
  </r>
  <r>
    <s v="Munger"/>
    <s v="24-30 Jul"/>
    <n v="1008"/>
    <s v="Teghra"/>
    <x v="280"/>
    <s v="Gaura"/>
    <s v="MPG"/>
    <s v="Direct"/>
    <n v="204.9"/>
    <n v="7843.16"/>
    <n v="204"/>
    <n v="7770.36"/>
    <n v="0"/>
    <n v="0"/>
    <n v="204"/>
    <n v="7770.36"/>
    <n v="7770.36"/>
    <n v="0"/>
    <n v="0"/>
    <n v="0"/>
    <n v="0"/>
    <n v="0"/>
    <n v="0"/>
    <n v="7770"/>
    <n v="0"/>
    <n v="0"/>
    <n v="73"/>
    <n v="0"/>
    <n v="379.02864968277208"/>
    <n v="29.271428571428572"/>
    <n v="9.2819730822780843E-3"/>
    <n v="1"/>
    <m/>
    <s v="Teghra"/>
    <m/>
    <n v="0"/>
  </r>
  <r>
    <s v="Munger"/>
    <s v="24-30 Jul"/>
    <n v="1008"/>
    <s v="Teghra"/>
    <x v="281"/>
    <s v="Mukhtiyarpur"/>
    <s v="MPG"/>
    <s v="Direct"/>
    <n v="188.20000000000002"/>
    <n v="7245.62"/>
    <n v="171.61999999999998"/>
    <n v="7260.65"/>
    <n v="0"/>
    <n v="0"/>
    <n v="171.61999999999998"/>
    <n v="7260.65"/>
    <n v="7245.62"/>
    <n v="0"/>
    <n v="0"/>
    <n v="15.029999999999745"/>
    <n v="0"/>
    <n v="0"/>
    <n v="0"/>
    <n v="7246"/>
    <n v="0"/>
    <n v="0"/>
    <n v="0"/>
    <n v="0"/>
    <n v="394.08164888416576"/>
    <n v="26.88571428571429"/>
    <n v="-2.0743566458080532E-3"/>
    <n v="1"/>
    <m/>
    <s v="Teghra"/>
    <m/>
    <n v="0"/>
  </r>
  <r>
    <s v="Munger"/>
    <s v="24-30 Jul"/>
    <n v="1008"/>
    <s v="Teghra"/>
    <x v="282"/>
    <s v="Gomukh Rudauli-02"/>
    <s v="MPG"/>
    <s v="Direct"/>
    <n v="586.29999999999995"/>
    <n v="22885.16"/>
    <n v="535.04999999999995"/>
    <n v="20377.739999999998"/>
    <n v="50.67"/>
    <n v="2016.37"/>
    <n v="585.71999999999991"/>
    <n v="22394.109999999997"/>
    <n v="22394.109999999997"/>
    <n v="0"/>
    <n v="0"/>
    <n v="0"/>
    <n v="0"/>
    <n v="0"/>
    <n v="0"/>
    <n v="20377"/>
    <n v="2016"/>
    <n v="0"/>
    <n v="492"/>
    <n v="0"/>
    <n v="88.761476786628023"/>
    <n v="83.757142857142853"/>
    <n v="2.1457136415039393E-2"/>
    <n v="9"/>
    <m/>
    <s v="Teghra"/>
    <m/>
    <n v="0"/>
  </r>
  <r>
    <s v="Munger"/>
    <s v="24-30 Jul"/>
    <n v="1008"/>
    <s v="Teghra"/>
    <x v="283"/>
    <s v="Gomukh Puranatol Raichiahi"/>
    <s v="MPG"/>
    <s v="Direct"/>
    <n v="584.00000000000011"/>
    <n v="23155.350000000002"/>
    <n v="581.6"/>
    <n v="23063.33"/>
    <n v="0"/>
    <n v="0"/>
    <n v="581.6"/>
    <n v="23063.33"/>
    <n v="23063.33"/>
    <n v="0"/>
    <n v="0"/>
    <n v="0"/>
    <n v="0"/>
    <n v="0"/>
    <n v="0"/>
    <n v="23063"/>
    <n v="0"/>
    <n v="0"/>
    <n v="92"/>
    <n v="0"/>
    <n v="91.987006849314966"/>
    <n v="83.428571428571445"/>
    <n v="3.9740276005329409E-3"/>
    <n v="1"/>
    <m/>
    <s v="Teghra"/>
    <m/>
    <n v="0"/>
  </r>
  <r>
    <s v="Munger"/>
    <s v="24-30 Jul"/>
    <n v="1008"/>
    <s v="Teghra"/>
    <x v="284"/>
    <s v="Bihat-Gududaspur"/>
    <s v="MPG"/>
    <s v="Direct"/>
    <n v="228.10000000000002"/>
    <n v="9276.49"/>
    <n v="80"/>
    <n v="3224.8"/>
    <n v="148"/>
    <n v="5965.88"/>
    <n v="228"/>
    <n v="9190.68"/>
    <n v="9190.68"/>
    <n v="0"/>
    <n v="0"/>
    <n v="0"/>
    <n v="0"/>
    <n v="0"/>
    <n v="0"/>
    <n v="3224"/>
    <n v="5965"/>
    <n v="0"/>
    <n v="87"/>
    <n v="0"/>
    <n v="383.82951608943443"/>
    <n v="32.585714285714289"/>
    <n v="9.2502659950045221E-3"/>
    <n v="5"/>
    <m/>
    <s v="Teghra"/>
    <m/>
    <n v="0"/>
  </r>
  <r>
    <s v="Munger"/>
    <s v="24-30 Jul"/>
    <n v="1008"/>
    <s v="Teghra"/>
    <x v="285"/>
    <s v="Labharchak-2"/>
    <s v="MPG"/>
    <s v="Direct"/>
    <n v="248.6"/>
    <n v="9590.81"/>
    <n v="248"/>
    <n v="9515.76"/>
    <n v="0"/>
    <n v="0"/>
    <n v="248"/>
    <n v="9515.76"/>
    <n v="9515.76"/>
    <n v="0"/>
    <n v="0"/>
    <n v="0"/>
    <n v="0"/>
    <n v="0"/>
    <n v="0"/>
    <n v="9516"/>
    <n v="0"/>
    <n v="0"/>
    <n v="75"/>
    <n v="0"/>
    <n v="348.29377586484321"/>
    <n v="35.514285714285712"/>
    <n v="7.8251993314432545E-3"/>
    <n v="1"/>
    <m/>
    <s v="Teghra"/>
    <m/>
    <n v="0"/>
  </r>
  <r>
    <s v="Munger"/>
    <s v="24-30 Jul"/>
    <n v="1008"/>
    <s v="Teghra"/>
    <x v="286"/>
    <s v="Shamar Kasha"/>
    <s v="MPG"/>
    <s v="Indirect"/>
    <n v="249.7"/>
    <n v="9799.9"/>
    <n v="0"/>
    <n v="0"/>
    <n v="0"/>
    <n v="0"/>
    <n v="0"/>
    <n v="0"/>
    <n v="9799.9"/>
    <n v="0"/>
    <n v="0"/>
    <n v="0"/>
    <n v="0"/>
    <n v="0"/>
    <n v="0"/>
    <n v="0"/>
    <n v="0"/>
    <n v="9799.9"/>
    <n v="0"/>
    <n v="0"/>
    <n v="353.45574449339205"/>
    <n v="35.671428571428571"/>
    <n v="0"/>
    <n v="0"/>
    <m/>
    <s v="Teghra"/>
    <m/>
    <n v="0"/>
  </r>
  <r>
    <s v="Munger"/>
    <s v="24-30 Jul"/>
    <n v="1009"/>
    <s v="Halsi"/>
    <x v="287"/>
    <s v="POHE"/>
    <s v="MPG"/>
    <s v="Indirect"/>
    <n v="597.59999999999991"/>
    <n v="25641.379999999997"/>
    <n v="0"/>
    <n v="0"/>
    <n v="0"/>
    <n v="0"/>
    <n v="0"/>
    <n v="0"/>
    <n v="25641.379999999997"/>
    <n v="0"/>
    <n v="0"/>
    <n v="0"/>
    <n v="0"/>
    <n v="0"/>
    <n v="0"/>
    <n v="0"/>
    <n v="0"/>
    <n v="25641.379999999997"/>
    <n v="0"/>
    <n v="0"/>
    <n v="87.874073360107218"/>
    <n v="85.371428571428552"/>
    <n v="0"/>
    <n v="0"/>
    <m/>
    <s v="Halsi"/>
    <m/>
    <n v="0"/>
  </r>
  <r>
    <s v="Munger"/>
    <s v="24-30 Jul"/>
    <n v="1009"/>
    <s v="Halsi"/>
    <x v="288"/>
    <s v="AURO"/>
    <s v="MPG"/>
    <s v="Direct"/>
    <n v="1041.6999999999998"/>
    <n v="44977.049999999988"/>
    <n v="831.76999999999987"/>
    <n v="36959.900000000009"/>
    <n v="212"/>
    <n v="8998.2400000000016"/>
    <n v="1043.77"/>
    <n v="45958.140000000014"/>
    <n v="44977.049999999988"/>
    <n v="0"/>
    <n v="332.97"/>
    <n v="981.09000000002561"/>
    <n v="0"/>
    <n v="0"/>
    <n v="0"/>
    <n v="35979"/>
    <n v="8665"/>
    <n v="0"/>
    <n v="0"/>
    <n v="0"/>
    <n v="0"/>
    <n v="0"/>
    <n v="-2.1813124693594307E-2"/>
    <n v="14"/>
    <m/>
    <s v="Halsi"/>
    <m/>
    <n v="0"/>
  </r>
  <r>
    <s v="Munger"/>
    <s v="24-30 Jul"/>
    <n v="1009"/>
    <s v="Halsi"/>
    <x v="289"/>
    <s v="PARSHAMA"/>
    <s v="MPG"/>
    <s v="Direct"/>
    <n v="44.000000000000007"/>
    <n v="1512.75"/>
    <n v="43"/>
    <n v="1496.82"/>
    <n v="0.7"/>
    <n v="23.910000000000004"/>
    <n v="43.7"/>
    <n v="1520.73"/>
    <n v="1512.75"/>
    <n v="0"/>
    <n v="23.910000000000004"/>
    <n v="7.9800000000000182"/>
    <n v="0"/>
    <n v="0"/>
    <n v="0"/>
    <n v="1489"/>
    <n v="0"/>
    <n v="0"/>
    <n v="0"/>
    <n v="0"/>
    <n v="451.07454545454539"/>
    <n v="6.2857142857142865"/>
    <n v="-5.2751611303916831E-3"/>
    <n v="3"/>
    <m/>
    <s v="Halsi"/>
    <m/>
    <n v="0"/>
  </r>
  <r>
    <s v="Munger"/>
    <s v="24-30 Jul"/>
    <n v="1009"/>
    <s v="Halsi"/>
    <x v="291"/>
    <s v="BALLOPUR"/>
    <s v="MPG"/>
    <s v="Direct"/>
    <n v="1463.5"/>
    <n v="62197.549999999988"/>
    <n v="1388.7"/>
    <n v="62154.100000000006"/>
    <n v="0"/>
    <n v="0"/>
    <n v="1388.7"/>
    <n v="62154.100000000006"/>
    <n v="62154.100000000006"/>
    <n v="0"/>
    <n v="0"/>
    <n v="0"/>
    <n v="0"/>
    <n v="0"/>
    <n v="0"/>
    <n v="62156"/>
    <n v="0"/>
    <n v="0"/>
    <n v="42"/>
    <n v="0"/>
    <n v="0"/>
    <n v="0"/>
    <n v="6.9858057109938487E-4"/>
    <n v="9"/>
    <m/>
    <s v="Halsi"/>
    <m/>
    <n v="0"/>
  </r>
  <r>
    <s v="Munger"/>
    <s v="24-30 Jul"/>
    <n v="1009"/>
    <s v="Halsi"/>
    <x v="292"/>
    <s v="KHAIRMA"/>
    <s v="MPG"/>
    <s v="Direct"/>
    <n v="477.70000000000005"/>
    <n v="18175.13"/>
    <n v="553.29999999999995"/>
    <n v="22266.429999999997"/>
    <n v="2.4000000000000004"/>
    <n v="96.190000000000012"/>
    <n v="555.69999999999993"/>
    <n v="22362.619999999995"/>
    <n v="18175.13"/>
    <n v="0"/>
    <n v="96.190000000000012"/>
    <n v="4187.4899999999943"/>
    <n v="0"/>
    <n v="0"/>
    <n v="0"/>
    <n v="18079"/>
    <n v="0"/>
    <n v="0"/>
    <n v="0"/>
    <n v="0"/>
    <n v="169.15768888423693"/>
    <n v="68.242857142857147"/>
    <n v="-0.23039670142661944"/>
    <n v="5"/>
    <m/>
    <s v="Halsi"/>
    <m/>
    <n v="0"/>
  </r>
  <r>
    <s v="Munger"/>
    <s v="24-30 Jul"/>
    <n v="1009"/>
    <s v="Halsi"/>
    <x v="293"/>
    <s v="MAHASONI"/>
    <s v="MPG"/>
    <s v="Direct"/>
    <n v="686.60000000000014"/>
    <n v="27677.709999999995"/>
    <n v="700.3"/>
    <n v="27158.679999999997"/>
    <n v="5.9"/>
    <n v="217.94"/>
    <n v="706.19999999999993"/>
    <n v="27376.619999999995"/>
    <n v="27376.619999999995"/>
    <n v="0"/>
    <n v="217.94"/>
    <n v="0"/>
    <n v="0"/>
    <n v="0"/>
    <n v="0"/>
    <n v="27158"/>
    <n v="0"/>
    <n v="0"/>
    <n v="302"/>
    <n v="0"/>
    <n v="10.803417244392559"/>
    <n v="98.085714285714303"/>
    <n v="1.0878428887360991E-2"/>
    <n v="25"/>
    <m/>
    <s v="Halsi"/>
    <m/>
    <n v="0"/>
  </r>
  <r>
    <s v="Munger"/>
    <s v="24-30 Jul"/>
    <n v="1009"/>
    <s v="Halsi"/>
    <x v="294"/>
    <s v="SONDHI"/>
    <s v="MPG"/>
    <s v="Direct"/>
    <n v="500.19999999999987"/>
    <n v="19853.349999999999"/>
    <n v="516.89999999999986"/>
    <n v="20713.579999999998"/>
    <n v="4.8999999999999995"/>
    <n v="202.36000000000004"/>
    <n v="521.79999999999984"/>
    <n v="20915.939999999999"/>
    <n v="19853.349999999999"/>
    <n v="0"/>
    <n v="202.36000000000004"/>
    <n v="1062.5900000000001"/>
    <n v="0"/>
    <n v="0"/>
    <n v="0"/>
    <n v="19651"/>
    <n v="0"/>
    <n v="0"/>
    <n v="0"/>
    <n v="0"/>
    <n v="158.60453138744512"/>
    <n v="71.457142857142841"/>
    <n v="-5.3521949696147007E-2"/>
    <n v="10"/>
    <m/>
    <s v="Halsi"/>
    <m/>
    <n v="0"/>
  </r>
  <r>
    <s v="Munger"/>
    <s v="24-30 Jul"/>
    <n v="1009"/>
    <s v="Halsi"/>
    <x v="295"/>
    <s v="BELDARAYA"/>
    <s v="vlc"/>
    <s v="Indirect"/>
    <n v="700.2"/>
    <n v="27065.27"/>
    <n v="0"/>
    <n v="0"/>
    <n v="0"/>
    <n v="0"/>
    <n v="0"/>
    <n v="0"/>
    <n v="27065.27"/>
    <n v="0"/>
    <n v="0"/>
    <n v="0"/>
    <n v="0"/>
    <n v="0"/>
    <n v="0"/>
    <n v="0"/>
    <n v="0"/>
    <n v="27065.27"/>
    <n v="0"/>
    <n v="0"/>
    <n v="0"/>
    <n v="0"/>
    <n v="0"/>
    <n v="0"/>
    <m/>
    <s v="Halsi"/>
    <m/>
    <n v="0"/>
  </r>
  <r>
    <s v="Munger"/>
    <s v="24-30 Jul"/>
    <n v="1009"/>
    <s v="Halsi"/>
    <x v="296"/>
    <s v="Gomukh ID Aure-2"/>
    <s v="vlc"/>
    <s v="Indirect"/>
    <n v="1000.1"/>
    <n v="38765.89"/>
    <n v="0"/>
    <n v="0"/>
    <n v="0"/>
    <n v="0"/>
    <n v="0"/>
    <n v="0"/>
    <n v="38765.89"/>
    <n v="0"/>
    <n v="0"/>
    <n v="0"/>
    <n v="0"/>
    <n v="0"/>
    <n v="0"/>
    <n v="0"/>
    <n v="0"/>
    <n v="38765.89"/>
    <n v="0"/>
    <n v="0"/>
    <n v="0"/>
    <n v="0"/>
    <n v="0"/>
    <n v="0"/>
    <m/>
    <s v="Halsi"/>
    <m/>
    <n v="0"/>
  </r>
  <r>
    <s v="Munger"/>
    <s v="24-30 Jul"/>
    <n v="1009"/>
    <s v="Halsi"/>
    <x v="297"/>
    <s v="Gomukh Karma"/>
    <s v="vlc"/>
    <s v="Indirect"/>
    <n v="712.10000000000014"/>
    <n v="30936.969999999994"/>
    <n v="0"/>
    <n v="0"/>
    <n v="0"/>
    <n v="0"/>
    <n v="0"/>
    <n v="0"/>
    <n v="30936.969999999994"/>
    <n v="0"/>
    <n v="0"/>
    <n v="0"/>
    <n v="0"/>
    <n v="0"/>
    <n v="0"/>
    <n v="0"/>
    <n v="0"/>
    <n v="30936.969999999994"/>
    <n v="0"/>
    <n v="0"/>
    <n v="0"/>
    <n v="0"/>
    <n v="0"/>
    <n v="0"/>
    <m/>
    <s v="Halsi"/>
    <m/>
    <n v="0"/>
  </r>
  <r>
    <s v="Munger"/>
    <s v="24-30 Jul"/>
    <n v="1009"/>
    <s v="Halsi"/>
    <x v="298"/>
    <s v="GOMUKH UKSI"/>
    <s v="MPG"/>
    <s v="Indirect"/>
    <n v="555.69999999999982"/>
    <n v="23889.29"/>
    <n v="0"/>
    <n v="0"/>
    <n v="0"/>
    <n v="0"/>
    <n v="0"/>
    <n v="0"/>
    <n v="23889.29"/>
    <n v="0"/>
    <n v="0"/>
    <n v="0"/>
    <n v="0"/>
    <n v="0"/>
    <n v="0"/>
    <n v="0"/>
    <n v="0"/>
    <n v="23889.29"/>
    <n v="0"/>
    <n v="0"/>
    <n v="124.06782605722532"/>
    <n v="79.385714285714258"/>
    <n v="0"/>
    <n v="0"/>
    <m/>
    <s v="Halsi"/>
    <m/>
    <n v="0"/>
  </r>
  <r>
    <s v="Munger"/>
    <s v="24-30 Jul"/>
    <n v="1009"/>
    <s v="Halsi"/>
    <x v="299"/>
    <s v="Gomukh ID Halsi"/>
    <s v="vlc"/>
    <s v="Indirect"/>
    <n v="4611.6000000000013"/>
    <n v="170511.59000000003"/>
    <n v="0"/>
    <n v="0"/>
    <n v="0"/>
    <n v="0"/>
    <n v="0"/>
    <n v="0"/>
    <n v="170511.59000000003"/>
    <n v="0"/>
    <n v="0"/>
    <n v="0"/>
    <n v="0"/>
    <n v="0"/>
    <n v="0"/>
    <n v="0"/>
    <n v="0"/>
    <n v="170511.59000000003"/>
    <n v="0"/>
    <n v="0"/>
    <n v="0"/>
    <n v="0"/>
    <n v="0"/>
    <n v="0"/>
    <m/>
    <s v="Halsi"/>
    <m/>
    <n v="0"/>
  </r>
  <r>
    <s v="Munger"/>
    <s v="24-30 Jul"/>
    <n v="1009"/>
    <s v="Halsi"/>
    <x v="300"/>
    <s v="Gomukh ID Lalpur"/>
    <s v="vlc"/>
    <s v="Indirect"/>
    <n v="579.69999999999993"/>
    <n v="23766.789999999997"/>
    <n v="0"/>
    <n v="0"/>
    <n v="0"/>
    <n v="0"/>
    <n v="0"/>
    <n v="0"/>
    <n v="23766.789999999997"/>
    <n v="0"/>
    <n v="0"/>
    <n v="0"/>
    <n v="0"/>
    <n v="0"/>
    <n v="0"/>
    <n v="0"/>
    <n v="0"/>
    <n v="23766.789999999997"/>
    <n v="0"/>
    <n v="0"/>
    <n v="98.64222311540459"/>
    <n v="82.814285714285703"/>
    <n v="0"/>
    <n v="0"/>
    <m/>
    <s v="Halsi"/>
    <m/>
    <n v="0"/>
  </r>
  <r>
    <s v="Munger"/>
    <s v="24-30 Jul"/>
    <n v="1009"/>
    <s v="Halsi"/>
    <x v="301"/>
    <s v="KHURIYARI"/>
    <s v="MPG"/>
    <s v="Direct"/>
    <n v="1177.3"/>
    <n v="55042.000000000007"/>
    <n v="1193.8"/>
    <n v="58112.79"/>
    <n v="1.2000000000000002"/>
    <n v="58.680000000000007"/>
    <n v="1195"/>
    <n v="58171.47"/>
    <n v="55042.000000000007"/>
    <n v="0"/>
    <n v="58.680000000000007"/>
    <n v="3129.4699999999939"/>
    <n v="0"/>
    <n v="0"/>
    <n v="0"/>
    <n v="54983"/>
    <n v="0"/>
    <n v="0"/>
    <n v="0"/>
    <n v="0"/>
    <n v="0"/>
    <n v="0"/>
    <n v="-5.6856037207950176E-2"/>
    <n v="8"/>
    <m/>
    <s v="Halsi"/>
    <m/>
    <n v="0"/>
  </r>
  <r>
    <s v="Munger"/>
    <s v="24-30 Jul"/>
    <n v="1009"/>
    <s v="Halsi"/>
    <x v="302"/>
    <s v="BISANPUR"/>
    <s v="MPG"/>
    <s v="Indirect"/>
    <n v="476.7"/>
    <n v="19167.420000000002"/>
    <n v="0"/>
    <n v="0"/>
    <n v="0"/>
    <n v="0"/>
    <n v="0"/>
    <n v="0"/>
    <n v="19167.420000000002"/>
    <n v="0"/>
    <n v="0"/>
    <n v="0"/>
    <n v="0"/>
    <n v="0"/>
    <n v="0"/>
    <n v="0"/>
    <n v="0"/>
    <n v="19167.420000000002"/>
    <n v="0"/>
    <n v="0"/>
    <n v="179.5714237885463"/>
    <n v="68.099999999999994"/>
    <n v="0"/>
    <n v="0"/>
    <m/>
    <s v="Halsi"/>
    <m/>
    <n v="0"/>
  </r>
  <r>
    <s v="Munger"/>
    <s v="24-30 Jul"/>
    <n v="1009"/>
    <s v="Halsi"/>
    <x v="303"/>
    <s v="BEHRAMA"/>
    <s v="MPG"/>
    <s v="Indirect"/>
    <n v="123.30000000000003"/>
    <n v="4958.88"/>
    <n v="0"/>
    <n v="0"/>
    <n v="0"/>
    <n v="0"/>
    <n v="0"/>
    <n v="0"/>
    <n v="4958.88"/>
    <n v="0"/>
    <n v="0"/>
    <n v="0"/>
    <n v="0"/>
    <n v="0"/>
    <n v="0"/>
    <n v="0"/>
    <n v="0"/>
    <n v="4958.88"/>
    <n v="0"/>
    <n v="0"/>
    <n v="463.87446812652058"/>
    <n v="17.614285714285717"/>
    <n v="0"/>
    <n v="0"/>
    <m/>
    <s v="Halsi"/>
    <m/>
    <n v="0"/>
  </r>
  <r>
    <s v="Munger"/>
    <s v="24-30 Jul"/>
    <n v="1009"/>
    <s v="Halsi"/>
    <x v="304"/>
    <s v="Gomukh ID Mathurapur"/>
    <s v="vlc"/>
    <s v="Indirect"/>
    <n v="501.40000000000003"/>
    <n v="18484.55"/>
    <n v="0"/>
    <n v="0"/>
    <n v="0"/>
    <n v="0"/>
    <n v="0"/>
    <n v="0"/>
    <n v="18484.55"/>
    <n v="0"/>
    <n v="0"/>
    <n v="0"/>
    <n v="0"/>
    <n v="0"/>
    <n v="0"/>
    <n v="0"/>
    <n v="0"/>
    <n v="18484.55"/>
    <n v="0"/>
    <n v="0"/>
    <n v="146.43125767850015"/>
    <n v="71.628571428571433"/>
    <n v="0"/>
    <n v="0"/>
    <m/>
    <s v="Halsi"/>
    <m/>
    <n v="0"/>
  </r>
  <r>
    <s v="Munger"/>
    <s v="24-30 Jul"/>
    <n v="1009"/>
    <s v="Halsi"/>
    <x v="1037"/>
    <s v="Gomukh ID Nawadih"/>
    <s v="vlc"/>
    <s v="Indirect"/>
    <n v="12.5"/>
    <n v="524.75"/>
    <n v="0"/>
    <n v="0"/>
    <n v="0"/>
    <n v="0"/>
    <n v="0"/>
    <n v="0"/>
    <n v="524.75"/>
    <n v="0"/>
    <n v="0"/>
    <n v="0"/>
    <n v="0"/>
    <n v="0"/>
    <n v="0"/>
    <n v="0"/>
    <n v="0"/>
    <n v="524.75"/>
    <n v="0"/>
    <n v="0"/>
    <n v="577.22499999999991"/>
    <n v="1.7857142857142858"/>
    <n v="0"/>
    <n v="0"/>
    <m/>
    <s v="Halsi"/>
    <m/>
    <n v="0"/>
  </r>
  <r>
    <s v="Munger"/>
    <s v="24-30 Jul"/>
    <n v="1009"/>
    <s v="Halsi"/>
    <x v="305"/>
    <s v="Gomukh ID Kurha Dih"/>
    <s v="vlc"/>
    <s v="Indirect"/>
    <n v="1641.5000000000002"/>
    <n v="73369.539999999994"/>
    <n v="0"/>
    <n v="0"/>
    <n v="0"/>
    <n v="0"/>
    <n v="0"/>
    <n v="0"/>
    <n v="73369.539999999994"/>
    <n v="0"/>
    <n v="0"/>
    <n v="0"/>
    <n v="0"/>
    <n v="0"/>
    <n v="0"/>
    <n v="0"/>
    <n v="0"/>
    <n v="73369.539999999994"/>
    <n v="0"/>
    <n v="0"/>
    <n v="0"/>
    <n v="0"/>
    <n v="0"/>
    <n v="0"/>
    <m/>
    <s v="Halsi"/>
    <m/>
    <n v="0"/>
  </r>
  <r>
    <s v="Munger"/>
    <s v="24-30 Jul"/>
    <n v="1009"/>
    <s v="Halsi"/>
    <x v="306"/>
    <s v="RAMNAGAR"/>
    <s v="MPG"/>
    <s v="Direct"/>
    <n v="647.6"/>
    <n v="29059.32"/>
    <n v="666.79000000000019"/>
    <n v="29004.51"/>
    <n v="7.22"/>
    <n v="306.13"/>
    <n v="674.01000000000022"/>
    <n v="29310.639999999999"/>
    <n v="29059.32"/>
    <n v="0"/>
    <n v="306.13"/>
    <n v="251.31999999999971"/>
    <n v="0"/>
    <n v="0"/>
    <n v="0"/>
    <n v="28753"/>
    <n v="0"/>
    <n v="0"/>
    <n v="0"/>
    <n v="0"/>
    <n v="47.026200370599099"/>
    <n v="92.51428571428572"/>
    <n v="-8.648516207536849E-3"/>
    <n v="17"/>
    <m/>
    <s v="Halsi"/>
    <m/>
    <n v="0"/>
  </r>
  <r>
    <s v="Munger"/>
    <s v="24-30 Jul"/>
    <n v="1009"/>
    <s v="Halsi"/>
    <x v="307"/>
    <s v="SANDH MAAF 2"/>
    <s v="MPG"/>
    <s v="Direct"/>
    <n v="1203.5999999999999"/>
    <n v="53629.919999999998"/>
    <n v="1103.9299999999998"/>
    <n v="52118.560000000019"/>
    <n v="5.2"/>
    <n v="241.61"/>
    <n v="1109.1299999999999"/>
    <n v="52360.17000000002"/>
    <n v="52360.17000000002"/>
    <n v="0"/>
    <n v="241.61"/>
    <n v="0"/>
    <n v="0"/>
    <n v="0"/>
    <n v="0"/>
    <n v="52119"/>
    <n v="0"/>
    <n v="0"/>
    <n v="1269"/>
    <n v="0"/>
    <n v="0"/>
    <n v="0"/>
    <n v="2.3676149433002662E-2"/>
    <n v="8"/>
    <m/>
    <s v="Halsi"/>
    <m/>
    <n v="0"/>
  </r>
  <r>
    <s v="Munger"/>
    <s v="24-30 Jul"/>
    <n v="1009"/>
    <s v="Halsi"/>
    <x v="308"/>
    <s v="TAAL-SHAHARSHA                                                                                      "/>
    <s v="MPG"/>
    <s v="Direct"/>
    <n v="1723.6999999999996"/>
    <n v="75766.289999999994"/>
    <n v="1699.6200000000001"/>
    <n v="77842.67"/>
    <n v="39.080000000000005"/>
    <n v="1772.3500000000001"/>
    <n v="1738.7"/>
    <n v="79615.02"/>
    <n v="75766.289999999994"/>
    <n v="0"/>
    <n v="1772.3500000000001"/>
    <n v="3848.7300000000105"/>
    <n v="0"/>
    <n v="0"/>
    <n v="0"/>
    <n v="73994"/>
    <n v="0"/>
    <n v="0"/>
    <n v="0"/>
    <n v="0"/>
    <n v="0"/>
    <n v="0"/>
    <n v="-5.0797392877492228E-2"/>
    <n v="41"/>
    <m/>
    <s v="Halsi"/>
    <m/>
    <n v="0"/>
  </r>
  <r>
    <s v="Munger"/>
    <s v="24-30 Jul"/>
    <n v="1009"/>
    <s v="Halsi"/>
    <x v="309"/>
    <s v="Dhira"/>
    <s v="MPG"/>
    <s v="Direct"/>
    <n v="676.5"/>
    <n v="34855.240000000005"/>
    <n v="476.65000000000003"/>
    <n v="25580.2"/>
    <n v="214.49"/>
    <n v="13287.030000000002"/>
    <n v="691.1400000000001"/>
    <n v="38867.230000000003"/>
    <n v="34855.240000000005"/>
    <n v="0"/>
    <n v="249.52999999999994"/>
    <n v="4011.989999999998"/>
    <n v="0"/>
    <n v="0"/>
    <n v="0"/>
    <n v="21568"/>
    <n v="13037"/>
    <n v="0"/>
    <n v="1"/>
    <n v="0"/>
    <n v="24.215761714708087"/>
    <n v="96.642857142857139"/>
    <n v="-0.11510435733622829"/>
    <n v="10"/>
    <m/>
    <s v="Halsi"/>
    <m/>
    <n v="0"/>
  </r>
  <r>
    <s v="Munger"/>
    <s v="24-30 Jul"/>
    <n v="1009"/>
    <s v="Halsi"/>
    <x v="310"/>
    <s v="SHARMA"/>
    <s v="vlc"/>
    <s v="Direct"/>
    <n v="310.90000000000003"/>
    <n v="12430.7"/>
    <n v="308.86"/>
    <n v="12219.88"/>
    <n v="0"/>
    <n v="0"/>
    <n v="308.86"/>
    <n v="12219.88"/>
    <n v="12219.88"/>
    <n v="0"/>
    <n v="0"/>
    <n v="0"/>
    <n v="0"/>
    <n v="0"/>
    <n v="0"/>
    <n v="12221"/>
    <n v="0"/>
    <n v="0"/>
    <n v="210"/>
    <n v="0"/>
    <n v="311.14733805082017"/>
    <n v="44.414285714285718"/>
    <n v="1.6959624156322774E-2"/>
    <n v="7"/>
    <m/>
    <s v="Halsi"/>
    <m/>
    <n v="0"/>
  </r>
  <r>
    <s v="Munger"/>
    <s v="24-30 Jul"/>
    <n v="1009"/>
    <s v="Halsi"/>
    <x v="311"/>
    <s v="AZADNAGAR(VLC)"/>
    <s v="vlc"/>
    <s v="Indirect"/>
    <n v="307.89999999999998"/>
    <n v="9558.130000000001"/>
    <n v="0"/>
    <n v="0"/>
    <n v="0"/>
    <n v="0"/>
    <n v="0"/>
    <n v="0"/>
    <n v="9558.130000000001"/>
    <n v="0"/>
    <n v="0"/>
    <n v="0"/>
    <n v="0"/>
    <n v="0"/>
    <n v="0"/>
    <n v="0"/>
    <n v="0"/>
    <n v="9558.130000000001"/>
    <n v="0"/>
    <n v="0"/>
    <n v="243.43895894771035"/>
    <n v="43.98571428571428"/>
    <n v="0"/>
    <n v="0"/>
    <m/>
    <s v="Halsi"/>
    <m/>
    <n v="0"/>
  </r>
  <r>
    <s v="Munger"/>
    <s v="24-30 Jul"/>
    <n v="1009"/>
    <s v="Halsi"/>
    <x v="312"/>
    <s v="REWAI"/>
    <s v="MPG"/>
    <s v="Direct"/>
    <n v="975"/>
    <n v="41530.57"/>
    <n v="1014.6399999999999"/>
    <n v="44745.29"/>
    <n v="0.87000000000000011"/>
    <n v="40.43"/>
    <n v="1015.5099999999999"/>
    <n v="44785.72"/>
    <n v="41530.57"/>
    <n v="0"/>
    <n v="40.43"/>
    <n v="3255.1500000000015"/>
    <n v="0"/>
    <n v="0"/>
    <n v="0"/>
    <n v="41490"/>
    <n v="0"/>
    <n v="0"/>
    <n v="0"/>
    <n v="0"/>
    <n v="0"/>
    <n v="0"/>
    <n v="-7.8379612897198414E-2"/>
    <n v="6"/>
    <m/>
    <s v="Halsi"/>
    <m/>
    <n v="0"/>
  </r>
  <r>
    <s v="Munger"/>
    <s v="24-30 Jul"/>
    <n v="1009"/>
    <s v="Halsi"/>
    <x v="313"/>
    <s v="MANJOS"/>
    <s v="MPG"/>
    <s v="Direct"/>
    <n v="67.3"/>
    <n v="3044.22"/>
    <n v="61.4"/>
    <n v="2718.32"/>
    <n v="0"/>
    <n v="0"/>
    <n v="61.4"/>
    <n v="2718.32"/>
    <n v="2718.32"/>
    <n v="0"/>
    <n v="0"/>
    <n v="0"/>
    <n v="0"/>
    <n v="0"/>
    <n v="0"/>
    <n v="2718"/>
    <n v="0"/>
    <n v="0"/>
    <n v="326"/>
    <n v="0"/>
    <n v="572.3857337295691"/>
    <n v="9.6142857142857139"/>
    <n v="0.10705533765627966"/>
    <n v="1"/>
    <m/>
    <s v="Halsi"/>
    <m/>
    <n v="0"/>
  </r>
  <r>
    <s v="Munger"/>
    <s v="24-30 Jul"/>
    <n v="1009"/>
    <s v="Halsi"/>
    <x v="314"/>
    <s v="RATA"/>
    <s v="MPG"/>
    <s v="Direct"/>
    <n v="431.20000000000005"/>
    <n v="19713.740000000002"/>
    <n v="444.45"/>
    <n v="21425.519999999997"/>
    <n v="0"/>
    <n v="0"/>
    <n v="444.45"/>
    <n v="21425.519999999997"/>
    <n v="19713.740000000002"/>
    <n v="0"/>
    <n v="0"/>
    <n v="1711.7799999999952"/>
    <n v="0"/>
    <n v="0"/>
    <n v="0"/>
    <n v="19714"/>
    <n v="0"/>
    <n v="0"/>
    <n v="0"/>
    <n v="0"/>
    <n v="245.78169350649347"/>
    <n v="61.600000000000009"/>
    <n v="-8.6831823895414828E-2"/>
    <n v="4"/>
    <m/>
    <s v="Halsi"/>
    <m/>
    <n v="0"/>
  </r>
  <r>
    <s v="Munger"/>
    <s v="24-30 Jul"/>
    <n v="1009"/>
    <s v="Halsi"/>
    <x v="315"/>
    <s v="BARUI"/>
    <s v="MPG"/>
    <s v="Direct"/>
    <n v="280.90000000000003"/>
    <n v="12381.44"/>
    <n v="285.15000000000003"/>
    <n v="12115.230000000001"/>
    <n v="9.4"/>
    <n v="406.78"/>
    <n v="294.55"/>
    <n v="12522.010000000002"/>
    <n v="12381.44"/>
    <n v="0"/>
    <n v="406.78"/>
    <n v="140.57000000000153"/>
    <n v="0"/>
    <n v="0"/>
    <n v="0"/>
    <n v="11974"/>
    <n v="0"/>
    <n v="0"/>
    <n v="1"/>
    <n v="0"/>
    <n v="369.45970124599495"/>
    <n v="40.128571428571433"/>
    <n v="-1.1353283624521988E-2"/>
    <n v="17"/>
    <m/>
    <s v="Halsi"/>
    <m/>
    <n v="0"/>
  </r>
  <r>
    <s v="Munger"/>
    <s v="24-30 Jul"/>
    <n v="1009"/>
    <s v="Halsi"/>
    <x v="316"/>
    <s v="LAHUARA                                                                                             "/>
    <s v="MPG"/>
    <s v="Direct"/>
    <n v="720.09999999999991"/>
    <n v="37020.92"/>
    <n v="720.49"/>
    <n v="39687.120000000003"/>
    <n v="6.45"/>
    <n v="371.36"/>
    <n v="726.94"/>
    <n v="40058.480000000003"/>
    <n v="37020.92"/>
    <n v="0"/>
    <n v="371.36"/>
    <n v="3037.5600000000049"/>
    <n v="0"/>
    <n v="0"/>
    <n v="0"/>
    <n v="36650"/>
    <n v="0"/>
    <n v="0"/>
    <n v="0"/>
    <n v="0"/>
    <n v="0"/>
    <n v="0"/>
    <n v="-8.2049824801760873E-2"/>
    <n v="12"/>
    <m/>
    <s v="Halsi"/>
    <m/>
    <n v="0"/>
  </r>
  <r>
    <s v="Munger"/>
    <s v="24-30 Jul"/>
    <n v="1009"/>
    <s v="Halsi"/>
    <x v="317"/>
    <s v="RAMDIH Ajit Kumar"/>
    <s v="vlc"/>
    <s v="Indirect"/>
    <n v="298.39999999999998"/>
    <n v="12709.390000000001"/>
    <n v="0"/>
    <n v="0"/>
    <n v="0"/>
    <n v="0"/>
    <n v="0"/>
    <n v="0"/>
    <n v="12709.390000000001"/>
    <n v="0"/>
    <n v="0"/>
    <n v="0"/>
    <n v="0"/>
    <n v="0"/>
    <n v="0"/>
    <n v="0"/>
    <n v="0"/>
    <n v="12709.390000000001"/>
    <n v="0"/>
    <n v="0"/>
    <n v="342.09725361930299"/>
    <n v="42.628571428571426"/>
    <n v="0"/>
    <n v="0"/>
    <m/>
    <s v="Halsi"/>
    <m/>
    <n v="0"/>
  </r>
  <r>
    <s v="Munger"/>
    <s v="24-30 Jul"/>
    <n v="1009"/>
    <s v="Halsi"/>
    <x v="318"/>
    <s v="NARAYANPUR"/>
    <s v="MPG"/>
    <s v="Direct"/>
    <n v="218.60000000000002"/>
    <n v="9563.65"/>
    <n v="287.83999999999997"/>
    <n v="12849.15"/>
    <n v="1.25"/>
    <n v="57.360000000000014"/>
    <n v="289.08999999999997"/>
    <n v="12906.51"/>
    <n v="9563.65"/>
    <n v="4000"/>
    <n v="57.360000000000014"/>
    <n v="3342.8600000000006"/>
    <n v="0"/>
    <n v="0"/>
    <n v="0"/>
    <n v="5506"/>
    <n v="0"/>
    <n v="0"/>
    <n v="0"/>
    <n v="0"/>
    <n v="421.22059560841717"/>
    <n v="31.228571428571431"/>
    <n v="-0.34953809476507408"/>
    <n v="4"/>
    <m/>
    <s v="Halsi"/>
    <m/>
    <n v="0"/>
  </r>
  <r>
    <s v="Munger"/>
    <s v="24-30 Jul"/>
    <n v="1009"/>
    <s v="Halsi"/>
    <x v="319"/>
    <s v="NAWKADIH"/>
    <s v="MPG"/>
    <s v="Direct"/>
    <n v="833"/>
    <n v="35981.060000000005"/>
    <n v="802.66"/>
    <n v="35505.99"/>
    <n v="0"/>
    <n v="0"/>
    <n v="802.66"/>
    <n v="35505.99"/>
    <n v="35505.99"/>
    <n v="0"/>
    <n v="0"/>
    <n v="0"/>
    <n v="0"/>
    <n v="0"/>
    <n v="0"/>
    <n v="35507"/>
    <n v="0"/>
    <n v="0"/>
    <n v="474"/>
    <n v="0"/>
    <n v="0"/>
    <n v="0"/>
    <n v="1.3203335310299555E-2"/>
    <n v="3"/>
    <m/>
    <s v="Halsi"/>
    <m/>
    <n v="0"/>
  </r>
  <r>
    <s v="Munger"/>
    <s v="24-30 Jul"/>
    <n v="1009"/>
    <s v="Halsi"/>
    <x v="320"/>
    <s v="CHOTAHA"/>
    <s v="MPG"/>
    <s v="Direct"/>
    <n v="157.30000000000001"/>
    <n v="6980.2800000000007"/>
    <n v="235.57"/>
    <n v="19249.739999999998"/>
    <n v="0"/>
    <n v="0"/>
    <n v="235.57"/>
    <n v="19249.739999999998"/>
    <n v="6980.2800000000007"/>
    <n v="0"/>
    <n v="0"/>
    <n v="12269.459999999997"/>
    <n v="0"/>
    <n v="0"/>
    <n v="0"/>
    <n v="6980"/>
    <n v="0"/>
    <n v="0"/>
    <n v="0"/>
    <n v="0"/>
    <n v="481.65263267641444"/>
    <n v="22.471428571428572"/>
    <n v="-1.7577317815331184"/>
    <n v="6"/>
    <m/>
    <s v="Halsi"/>
    <m/>
    <n v="0"/>
  </r>
  <r>
    <s v="Munger"/>
    <s v="24-30 Jul"/>
    <n v="1009"/>
    <s v="Halsi"/>
    <x v="321"/>
    <s v="KHARAGWADA "/>
    <s v="MPG"/>
    <s v="Direct"/>
    <n v="96.300000000000011"/>
    <n v="4761"/>
    <n v="93.600000000000009"/>
    <n v="4559.7299999999996"/>
    <n v="0"/>
    <n v="0"/>
    <n v="93.600000000000009"/>
    <n v="4559.7299999999996"/>
    <n v="4559.7299999999996"/>
    <n v="0"/>
    <n v="0"/>
    <n v="0"/>
    <n v="0"/>
    <n v="500"/>
    <n v="0"/>
    <n v="4060"/>
    <n v="0"/>
    <n v="0"/>
    <n v="201"/>
    <n v="0"/>
    <n v="596.92953271028034"/>
    <n v="13.757142857142858"/>
    <n v="4.2274732199117926E-2"/>
    <n v="1"/>
    <m/>
    <s v="Halsi"/>
    <m/>
    <n v="500"/>
  </r>
  <r>
    <s v="Munger"/>
    <s v="24-30 Jul"/>
    <n v="1009"/>
    <s v="Halsi"/>
    <x v="322"/>
    <s v="UFFAPUR"/>
    <s v="MPG"/>
    <s v="Direct"/>
    <n v="137.5"/>
    <n v="5933.4"/>
    <n v="166.32000000000002"/>
    <n v="7152.82"/>
    <n v="0"/>
    <n v="0"/>
    <n v="166.32000000000002"/>
    <n v="7152.82"/>
    <n v="5933.4"/>
    <n v="0"/>
    <n v="0"/>
    <n v="1219.42"/>
    <n v="0"/>
    <n v="500"/>
    <n v="0"/>
    <n v="5433"/>
    <n v="0"/>
    <n v="0"/>
    <n v="0"/>
    <n v="0"/>
    <n v="485.45999999999992"/>
    <n v="19.642857142857142"/>
    <n v="-0.20551791552903903"/>
    <n v="4"/>
    <m/>
    <s v="Halsi"/>
    <m/>
    <n v="500"/>
  </r>
  <r>
    <s v="Munger"/>
    <s v="24-30 Jul"/>
    <n v="1009"/>
    <s v="Halsi"/>
    <x v="323"/>
    <s v="BIHRAURA"/>
    <s v="MPG"/>
    <s v="Direct"/>
    <n v="137.5"/>
    <n v="7590.49"/>
    <n v="137.50000000000003"/>
    <n v="7582.1699999999992"/>
    <n v="0"/>
    <n v="0"/>
    <n v="137.50000000000003"/>
    <n v="7582.1699999999992"/>
    <n v="7582.1699999999992"/>
    <n v="0"/>
    <n v="0"/>
    <n v="0"/>
    <n v="0"/>
    <n v="500"/>
    <n v="0"/>
    <n v="7082"/>
    <n v="0"/>
    <n v="0"/>
    <n v="8"/>
    <n v="0"/>
    <n v="621.04009090909085"/>
    <n v="19.642857142857142"/>
    <n v="1.0961084198781131E-3"/>
    <n v="1"/>
    <m/>
    <s v="Halsi"/>
    <m/>
    <n v="500"/>
  </r>
  <r>
    <s v="Munger"/>
    <s v="24-30 Jul"/>
    <n v="1009"/>
    <s v="Halsi"/>
    <x v="324"/>
    <s v="SHIJHORI"/>
    <s v="MPG"/>
    <s v="Direct"/>
    <n v="539.9"/>
    <n v="26152.199999999997"/>
    <n v="309.68999999999994"/>
    <n v="16629.25"/>
    <n v="259.49"/>
    <n v="12450.92"/>
    <n v="569.17999999999995"/>
    <n v="29080.17"/>
    <n v="26152.199999999997"/>
    <n v="0"/>
    <n v="0"/>
    <n v="2927.9700000000012"/>
    <n v="0"/>
    <n v="0"/>
    <n v="0"/>
    <n v="13701"/>
    <n v="12451"/>
    <n v="0"/>
    <n v="0"/>
    <n v="0"/>
    <n v="155.10158251528065"/>
    <n v="77.128571428571419"/>
    <n v="-0.11195884093881209"/>
    <n v="5"/>
    <m/>
    <s v="Halsi"/>
    <m/>
    <n v="0"/>
  </r>
  <r>
    <s v="Munger"/>
    <s v="24-30 Jul"/>
    <n v="1009"/>
    <s v="Halsi"/>
    <x v="325"/>
    <s v="RAM PRAVESH YADAV"/>
    <s v="MPG"/>
    <s v="Direct"/>
    <n v="692.00000000000011"/>
    <n v="29392.280000000002"/>
    <n v="701.75999999999988"/>
    <n v="31281.870000000006"/>
    <n v="0"/>
    <n v="0"/>
    <n v="701.75999999999988"/>
    <n v="31281.870000000006"/>
    <n v="29392.280000000002"/>
    <n v="0"/>
    <n v="0"/>
    <n v="1889.5900000000038"/>
    <n v="0"/>
    <n v="0"/>
    <n v="0"/>
    <n v="29392"/>
    <n v="0"/>
    <n v="0"/>
    <n v="0"/>
    <n v="0"/>
    <n v="6.7959028901733012"/>
    <n v="98.857142857142875"/>
    <n v="-6.4288649944815562E-2"/>
    <n v="4"/>
    <m/>
    <s v="Halsi"/>
    <m/>
    <n v="0"/>
  </r>
  <r>
    <s v="Munger"/>
    <s v="24-30 Jul"/>
    <n v="1009"/>
    <s v="Halsi"/>
    <x v="326"/>
    <s v="MAHMADPUR VL"/>
    <s v="vlc"/>
    <s v="Indirect"/>
    <n v="725.6"/>
    <n v="34025.230000000003"/>
    <n v="0"/>
    <n v="0"/>
    <n v="0"/>
    <n v="0"/>
    <n v="0"/>
    <n v="0"/>
    <n v="34025.230000000003"/>
    <n v="0"/>
    <n v="0"/>
    <n v="0"/>
    <n v="0"/>
    <n v="0"/>
    <n v="0"/>
    <n v="0"/>
    <n v="0"/>
    <n v="34025.230000000003"/>
    <n v="0"/>
    <n v="0"/>
    <n v="0"/>
    <n v="0"/>
    <n v="0"/>
    <n v="0"/>
    <m/>
    <s v="Halsi"/>
    <m/>
    <n v="0"/>
  </r>
  <r>
    <s v="Munger"/>
    <s v="24-30 Jul"/>
    <n v="1009"/>
    <s v="Halsi"/>
    <x v="327"/>
    <s v="BOUDHNAGAR"/>
    <s v="MPG"/>
    <s v="Direct"/>
    <n v="305.09999999999997"/>
    <n v="11928.67"/>
    <n v="323.55"/>
    <n v="12728.19"/>
    <n v="0"/>
    <n v="0"/>
    <n v="323.55"/>
    <n v="12728.19"/>
    <n v="11928.67"/>
    <n v="0"/>
    <n v="0"/>
    <n v="799.52000000000044"/>
    <n v="0"/>
    <n v="0"/>
    <n v="0"/>
    <n v="11929"/>
    <n v="0"/>
    <n v="0"/>
    <n v="0"/>
    <n v="0"/>
    <n v="308.79264392002631"/>
    <n v="43.585714285714282"/>
    <n v="-6.7025074882614777E-2"/>
    <n v="1"/>
    <m/>
    <s v="Halsi"/>
    <m/>
    <n v="0"/>
  </r>
  <r>
    <s v="Munger"/>
    <s v="24-30 Jul"/>
    <n v="1009"/>
    <s v="Halsi"/>
    <x v="328"/>
    <s v="MOHADDINGAR"/>
    <s v="MPG"/>
    <s v="Direct"/>
    <n v="336.19999999999993"/>
    <n v="14616.489999999998"/>
    <n v="357.35"/>
    <n v="15259.56"/>
    <n v="0"/>
    <n v="0"/>
    <n v="357.35"/>
    <n v="15259.56"/>
    <n v="14616.489999999998"/>
    <n v="0"/>
    <n v="0"/>
    <n v="643.07000000000153"/>
    <n v="0"/>
    <n v="0"/>
    <n v="0"/>
    <n v="14616"/>
    <n v="0"/>
    <n v="0"/>
    <n v="0"/>
    <n v="0"/>
    <n v="316.32832016656761"/>
    <n v="48.028571428571418"/>
    <n v="-4.3996198813805613E-2"/>
    <n v="3"/>
    <m/>
    <s v="Halsi"/>
    <m/>
    <n v="0"/>
  </r>
  <r>
    <s v="Munger"/>
    <s v="24-30 Jul"/>
    <n v="1009"/>
    <s v="Halsi"/>
    <x v="329"/>
    <s v="PACHAUTA"/>
    <s v="MPG"/>
    <s v="Direct"/>
    <n v="65.2"/>
    <n v="2480.3199999999997"/>
    <n v="71.199999999999989"/>
    <n v="3140.49"/>
    <n v="0"/>
    <n v="0"/>
    <n v="71.199999999999989"/>
    <n v="3140.49"/>
    <n v="2480.3199999999997"/>
    <n v="0"/>
    <n v="0"/>
    <n v="660.17000000000007"/>
    <n v="0"/>
    <n v="0"/>
    <n v="0"/>
    <n v="2480"/>
    <n v="0"/>
    <n v="0"/>
    <n v="0"/>
    <n v="0"/>
    <n v="482.97764907975449"/>
    <n v="9.3142857142857149"/>
    <n v="-0.26616323700167727"/>
    <n v="1"/>
    <m/>
    <s v="Halsi"/>
    <m/>
    <n v="0"/>
  </r>
  <r>
    <s v="Munger"/>
    <s v="24-30 Jul"/>
    <n v="1009"/>
    <s v="Halsi"/>
    <x v="330"/>
    <s v="Gomukh Champa"/>
    <s v="vlc"/>
    <s v="Indirect"/>
    <n v="12800"/>
    <n v="523191"/>
    <n v="0"/>
    <n v="0"/>
    <n v="0"/>
    <n v="0"/>
    <n v="0"/>
    <n v="0"/>
    <n v="523191"/>
    <n v="0"/>
    <n v="0"/>
    <n v="0"/>
    <n v="0"/>
    <n v="0"/>
    <n v="0"/>
    <n v="0"/>
    <n v="0"/>
    <n v="523191"/>
    <n v="0"/>
    <n v="0"/>
    <n v="0"/>
    <n v="0"/>
    <n v="0"/>
    <n v="0"/>
    <m/>
    <s v="Halsi"/>
    <m/>
    <n v="0"/>
  </r>
  <r>
    <s v="Munger"/>
    <s v="24-30 Jul"/>
    <n v="1009"/>
    <s v="Halsi"/>
    <x v="331"/>
    <s v="GOMUKH DAKRA"/>
    <s v="vlc"/>
    <s v="Indirect"/>
    <n v="13200"/>
    <n v="544347"/>
    <n v="0"/>
    <n v="0"/>
    <n v="0"/>
    <n v="0"/>
    <n v="0"/>
    <n v="0"/>
    <n v="544347"/>
    <n v="0"/>
    <n v="0"/>
    <n v="0"/>
    <n v="0"/>
    <n v="0"/>
    <n v="0"/>
    <n v="0"/>
    <n v="0"/>
    <n v="544347"/>
    <n v="0"/>
    <n v="0"/>
    <n v="0"/>
    <n v="0"/>
    <n v="0"/>
    <n v="0"/>
    <m/>
    <s v="Halsi"/>
    <m/>
    <n v="0"/>
  </r>
  <r>
    <s v="Munger"/>
    <s v="24-30 Jul"/>
    <n v="1009"/>
    <s v="Halsi"/>
    <x v="332"/>
    <s v="TIYAY"/>
    <s v="MPG"/>
    <s v="Direct"/>
    <n v="290.2"/>
    <n v="10067.649999999998"/>
    <n v="298.79999999999995"/>
    <n v="10867.089999999998"/>
    <n v="0"/>
    <n v="0"/>
    <n v="298.79999999999995"/>
    <n v="10867.089999999998"/>
    <n v="10067.649999999998"/>
    <n v="0"/>
    <n v="0"/>
    <n v="799.44000000000051"/>
    <n v="0"/>
    <n v="0"/>
    <n v="0"/>
    <n v="10068"/>
    <n v="0"/>
    <n v="0"/>
    <n v="0"/>
    <n v="0"/>
    <n v="284.33652446588559"/>
    <n v="41.457142857142856"/>
    <n v="-7.9406812910659458E-2"/>
    <n v="1"/>
    <m/>
    <s v="Halsi"/>
    <m/>
    <n v="0"/>
  </r>
  <r>
    <s v="Munger"/>
    <s v="24-30 Jul"/>
    <n v="1009"/>
    <s v="Halsi"/>
    <x v="333"/>
    <s v="BILLO 2"/>
    <s v="MPG"/>
    <s v="Direct"/>
    <n v="237.09999999999997"/>
    <n v="9003.98"/>
    <n v="240.39999999999998"/>
    <n v="9349.0300000000025"/>
    <n v="0"/>
    <n v="0"/>
    <n v="240.39999999999998"/>
    <n v="9349.0300000000025"/>
    <n v="9003.98"/>
    <n v="0"/>
    <n v="0"/>
    <n v="345.05000000000291"/>
    <n v="0"/>
    <n v="0"/>
    <n v="0"/>
    <n v="9004"/>
    <n v="0"/>
    <n v="0"/>
    <n v="0"/>
    <n v="0"/>
    <n v="351.57674753268674"/>
    <n v="33.871428571428567"/>
    <n v="-3.8321942074505157E-2"/>
    <n v="1"/>
    <m/>
    <s v="Halsi"/>
    <m/>
    <n v="0"/>
  </r>
  <r>
    <s v="Munger"/>
    <s v="24-30 Jul"/>
    <n v="1009"/>
    <s v="Halsi"/>
    <x v="334"/>
    <s v="NAWADIH 2"/>
    <s v="MPG"/>
    <s v="Direct"/>
    <n v="559.29999999999995"/>
    <n v="27807.199999999993"/>
    <n v="402.59999999999997"/>
    <n v="20124.97"/>
    <n v="168.4"/>
    <n v="8080.74"/>
    <n v="571"/>
    <n v="28205.71"/>
    <n v="27807.199999999993"/>
    <n v="0"/>
    <n v="0"/>
    <n v="398.51000000000568"/>
    <n v="0"/>
    <n v="0"/>
    <n v="0"/>
    <n v="19727"/>
    <n v="8080"/>
    <n v="0"/>
    <n v="0"/>
    <n v="0"/>
    <n v="139.90606257822279"/>
    <n v="79.899999999999991"/>
    <n v="-1.4331180413706011E-2"/>
    <n v="5"/>
    <m/>
    <s v="Halsi"/>
    <m/>
    <n v="0"/>
  </r>
  <r>
    <s v="Munger"/>
    <s v="24-30 Jul"/>
    <n v="1007"/>
    <s v="Araria"/>
    <x v="335"/>
    <s v="Vishan Pur"/>
    <s v="MPG"/>
    <s v="Direct"/>
    <n v="847.4"/>
    <n v="34026.730000000003"/>
    <n v="806.7"/>
    <n v="33348.54"/>
    <n v="7"/>
    <n v="282.03000000000003"/>
    <n v="813.7"/>
    <n v="33630.57"/>
    <n v="33630.57"/>
    <n v="0"/>
    <n v="282.03000000000003"/>
    <n v="0"/>
    <n v="0"/>
    <n v="0"/>
    <n v="0"/>
    <n v="33348"/>
    <n v="0"/>
    <n v="0"/>
    <n v="397"/>
    <n v="0"/>
    <n v="0"/>
    <n v="0"/>
    <n v="1.1642611558618871E-2"/>
    <n v="10"/>
    <m/>
    <s v="Araria"/>
    <m/>
    <n v="0"/>
  </r>
  <r>
    <s v="Munger"/>
    <s v="24-30 Jul"/>
    <n v="1010"/>
    <s v="Parbatta"/>
    <x v="336"/>
    <s v="Gomukh Madhawpur"/>
    <s v="MPG"/>
    <s v="Direct"/>
    <n v="1856.2000000000003"/>
    <n v="77996.819999999992"/>
    <n v="1864.7"/>
    <n v="82274.989999999991"/>
    <n v="7"/>
    <n v="340.54999999999995"/>
    <n v="1871.7"/>
    <n v="82615.539999999994"/>
    <n v="77996.819999999992"/>
    <n v="0"/>
    <n v="340.54999999999995"/>
    <n v="4618.7200000000012"/>
    <n v="13500"/>
    <n v="0"/>
    <n v="0"/>
    <n v="64156"/>
    <n v="0"/>
    <n v="0"/>
    <n v="0"/>
    <n v="0"/>
    <n v="0"/>
    <n v="0"/>
    <n v="-5.9216773196650856E-2"/>
    <n v="5"/>
    <m/>
    <s v="Parbatta"/>
    <m/>
    <n v="0"/>
  </r>
  <r>
    <s v="Munger"/>
    <s v="24-30 Jul"/>
    <n v="1010"/>
    <s v="Parbatta"/>
    <x v="337"/>
    <s v="Gomukh Muradpur"/>
    <s v="vlc"/>
    <s v="Indirect"/>
    <n v="139.5"/>
    <n v="5328.58"/>
    <n v="0"/>
    <n v="0"/>
    <n v="0"/>
    <n v="0"/>
    <n v="0"/>
    <n v="0"/>
    <n v="5328.58"/>
    <n v="0"/>
    <n v="0"/>
    <n v="0"/>
    <n v="0"/>
    <n v="0"/>
    <n v="0"/>
    <n v="0"/>
    <n v="0"/>
    <n v="5328.58"/>
    <n v="0"/>
    <n v="0"/>
    <n v="428.19628530465945"/>
    <n v="19.928571428571427"/>
    <n v="0"/>
    <n v="0"/>
    <m/>
    <s v="Parbatta"/>
    <m/>
    <n v="0"/>
  </r>
  <r>
    <s v="Munger"/>
    <s v="24-30 Jul"/>
    <n v="1010"/>
    <s v="Parbatta"/>
    <x v="338"/>
    <s v="Gomukh Kanhaiyachak Pachhim"/>
    <s v="MPG"/>
    <s v="Direct"/>
    <n v="1344.5"/>
    <n v="56399.249999999993"/>
    <n v="1373.26"/>
    <n v="63324.610000000008"/>
    <n v="0"/>
    <n v="0"/>
    <n v="1373.26"/>
    <n v="63324.610000000008"/>
    <n v="56399.249999999993"/>
    <n v="0"/>
    <n v="0"/>
    <n v="6925.3600000000151"/>
    <n v="0"/>
    <n v="0"/>
    <n v="0"/>
    <n v="56399"/>
    <n v="0"/>
    <n v="0"/>
    <n v="0"/>
    <n v="0"/>
    <n v="0"/>
    <n v="0"/>
    <n v="-0.12279170379038756"/>
    <n v="3"/>
    <m/>
    <s v="Parbatta"/>
    <m/>
    <n v="0"/>
  </r>
  <r>
    <s v="Munger"/>
    <s v="24-30 Jul"/>
    <n v="1010"/>
    <s v="Parbatta"/>
    <x v="339"/>
    <s v="Gomukh Srirampur Thuthi"/>
    <s v="MPG"/>
    <s v="Direct"/>
    <n v="336.20000000000005"/>
    <n v="14223.709999999997"/>
    <n v="346.43999999999994"/>
    <n v="14192.11"/>
    <n v="0"/>
    <n v="0"/>
    <n v="346.43999999999994"/>
    <n v="14192.11"/>
    <n v="14192.11"/>
    <n v="0"/>
    <n v="0"/>
    <n v="0"/>
    <n v="0"/>
    <n v="0"/>
    <n v="0"/>
    <n v="14192"/>
    <n v="0"/>
    <n v="0"/>
    <n v="32"/>
    <n v="0"/>
    <n v="307.82782260559173"/>
    <n v="48.028571428571432"/>
    <n v="2.2216425953563968E-3"/>
    <n v="4"/>
    <m/>
    <s v="Parbatta"/>
    <m/>
    <n v="0"/>
  </r>
  <r>
    <s v="Munger"/>
    <s v="24-30 Jul"/>
    <n v="1010"/>
    <s v="Parbatta"/>
    <x v="340"/>
    <s v="Gomukh Dumariya Bujurg Madhay"/>
    <s v="MPG"/>
    <s v="Direct"/>
    <n v="281.10000000000002"/>
    <n v="11929.279999999999"/>
    <n v="281.10000000000002"/>
    <n v="11880.699999999999"/>
    <n v="0"/>
    <n v="0"/>
    <n v="281.10000000000002"/>
    <n v="11880.699999999999"/>
    <n v="11880.699999999999"/>
    <n v="0"/>
    <n v="0"/>
    <n v="0"/>
    <n v="0"/>
    <n v="0"/>
    <n v="0"/>
    <n v="11881"/>
    <n v="0"/>
    <n v="0"/>
    <n v="48"/>
    <n v="0"/>
    <n v="355.54431817858398"/>
    <n v="40.157142857142858"/>
    <n v="4.0723329488451887E-3"/>
    <n v="2"/>
    <m/>
    <s v="Parbatta"/>
    <m/>
    <n v="0"/>
  </r>
  <r>
    <s v="Munger"/>
    <s v="24-30 Jul"/>
    <n v="1010"/>
    <s v="Parbatta"/>
    <x v="341"/>
    <s v="Gomukh Bandahera                                                                                    "/>
    <s v="MPG"/>
    <s v="Direct"/>
    <n v="575.1"/>
    <n v="23747.690000000002"/>
    <n v="573.70000000000005"/>
    <n v="23689.85"/>
    <n v="1.4000000000000001"/>
    <n v="57.830000000000005"/>
    <n v="575.1"/>
    <n v="23747.68"/>
    <n v="23747.68"/>
    <n v="0"/>
    <n v="57.830000000000005"/>
    <n v="0"/>
    <n v="0"/>
    <n v="0"/>
    <n v="0"/>
    <n v="23690"/>
    <n v="0"/>
    <n v="0"/>
    <n v="0"/>
    <n v="0"/>
    <n v="103.15028624587029"/>
    <n v="82.157142857142858"/>
    <n v="4.2109358855691931E-7"/>
    <n v="4"/>
    <m/>
    <s v="Parbatta"/>
    <m/>
    <n v="0"/>
  </r>
  <r>
    <s v="Munger"/>
    <s v="24-30 Jul"/>
    <n v="1010"/>
    <s v="Parbatta"/>
    <x v="342"/>
    <s v="Gomukh Badi Lagar-1 Kiran"/>
    <s v="vlc"/>
    <s v="Indirect"/>
    <n v="1072.8000000000002"/>
    <n v="49438.849999999991"/>
    <n v="0"/>
    <n v="0"/>
    <n v="0"/>
    <n v="0"/>
    <n v="0"/>
    <n v="0"/>
    <n v="49438.849999999991"/>
    <n v="0"/>
    <n v="0"/>
    <n v="0"/>
    <n v="0"/>
    <n v="0"/>
    <n v="0"/>
    <n v="0"/>
    <n v="0"/>
    <n v="49438.849999999991"/>
    <n v="0"/>
    <n v="0"/>
    <n v="0"/>
    <n v="0"/>
    <n v="0"/>
    <n v="0"/>
    <m/>
    <s v="Parbatta"/>
    <m/>
    <n v="0"/>
  </r>
  <r>
    <s v="Munger"/>
    <s v="24-30 Jul"/>
    <n v="1010"/>
    <s v="Parbatta"/>
    <x v="343"/>
    <s v="Gomukh Muradpur Deepak"/>
    <s v="vlc"/>
    <s v="Indirect"/>
    <n v="396.40000000000003"/>
    <n v="14421.279999999999"/>
    <n v="0"/>
    <n v="0"/>
    <n v="0"/>
    <n v="0"/>
    <n v="0"/>
    <n v="0"/>
    <n v="14421.279999999999"/>
    <n v="0"/>
    <n v="0"/>
    <n v="0"/>
    <n v="0"/>
    <n v="0"/>
    <n v="0"/>
    <n v="0"/>
    <n v="0"/>
    <n v="14421.279999999999"/>
    <n v="0"/>
    <n v="0"/>
    <n v="220.90315882946516"/>
    <n v="56.628571428571433"/>
    <n v="0"/>
    <n v="0"/>
    <m/>
    <s v="Parbatta"/>
    <m/>
    <n v="0"/>
  </r>
  <r>
    <s v="Munger"/>
    <s v="24-30 Jul"/>
    <n v="1007"/>
    <s v="Araria"/>
    <x v="345"/>
    <s v="Gomukh Fudkichak"/>
    <s v="MPG"/>
    <s v="Direct"/>
    <n v="151.69999999999999"/>
    <n v="7095.68"/>
    <n v="272"/>
    <n v="14055.74"/>
    <n v="0"/>
    <n v="0"/>
    <n v="272"/>
    <n v="14055.74"/>
    <n v="7095.68"/>
    <n v="0"/>
    <n v="0"/>
    <n v="6960.0599999999995"/>
    <n v="0"/>
    <n v="500"/>
    <n v="0"/>
    <n v="6596"/>
    <n v="0"/>
    <n v="0"/>
    <n v="0"/>
    <n v="0"/>
    <n v="512.92832485168105"/>
    <n v="21.671428571428571"/>
    <n v="-0.98088696220799121"/>
    <n v="1"/>
    <m/>
    <s v="Araria"/>
    <m/>
    <n v="500"/>
  </r>
  <r>
    <s v="Munger"/>
    <s v="24-30 Jul"/>
    <n v="1010"/>
    <s v="Parbatta"/>
    <x v="346"/>
    <s v="Gomukh Tehay"/>
    <s v="MPG"/>
    <s v="Direct"/>
    <n v="262.3"/>
    <n v="12138.380000000001"/>
    <n v="319.5"/>
    <n v="15196.27"/>
    <n v="0"/>
    <n v="0"/>
    <n v="319.5"/>
    <n v="15196.27"/>
    <n v="12138.380000000001"/>
    <n v="0"/>
    <n v="0"/>
    <n v="3057.8899999999994"/>
    <n v="0"/>
    <n v="500"/>
    <n v="0"/>
    <n v="11638"/>
    <n v="0"/>
    <n v="0"/>
    <n v="0"/>
    <n v="0"/>
    <n v="405.10628486465885"/>
    <n v="37.471428571428575"/>
    <n v="-0.25191911935530104"/>
    <n v="2"/>
    <m/>
    <s v="Parbatta"/>
    <m/>
    <n v="500"/>
  </r>
  <r>
    <s v="Munger"/>
    <s v="24-30 Jul"/>
    <n v="1007"/>
    <s v="Araria"/>
    <x v="347"/>
    <s v="Gomukh Buddhnagar"/>
    <s v="vlc"/>
    <s v="Indirect"/>
    <n v="953.49999999999989"/>
    <n v="37352.409999999996"/>
    <n v="0"/>
    <n v="0"/>
    <n v="0"/>
    <n v="0"/>
    <n v="0"/>
    <n v="0"/>
    <n v="37352.409999999996"/>
    <n v="0"/>
    <n v="0"/>
    <n v="0"/>
    <n v="0"/>
    <n v="0"/>
    <n v="0"/>
    <n v="0"/>
    <n v="0"/>
    <n v="37352.409999999996"/>
    <n v="0"/>
    <n v="0"/>
    <n v="0"/>
    <n v="0"/>
    <n v="0"/>
    <n v="0"/>
    <m/>
    <s v="Araria"/>
    <m/>
    <n v="0"/>
  </r>
  <r>
    <s v="Munger"/>
    <s v="24-30 Jul"/>
    <n v="1010"/>
    <s v="Parbatta"/>
    <x v="348"/>
    <s v="Gomukh Krochaka Dudhela"/>
    <s v="MPG"/>
    <s v="Direct"/>
    <n v="2226"/>
    <n v="83432.010000000009"/>
    <n v="2243.56"/>
    <n v="86588.83"/>
    <n v="3.7699999999999996"/>
    <n v="145.72"/>
    <n v="2247.33"/>
    <n v="86734.55"/>
    <n v="83432.010000000009"/>
    <n v="0"/>
    <n v="145.72"/>
    <n v="3302.5399999999936"/>
    <n v="0"/>
    <n v="0"/>
    <n v="0"/>
    <n v="83286"/>
    <n v="0"/>
    <n v="0"/>
    <n v="0"/>
    <n v="0"/>
    <n v="0"/>
    <n v="0"/>
    <n v="-3.9583608257789706E-2"/>
    <n v="4"/>
    <m/>
    <s v="Parbatta"/>
    <m/>
    <n v="0"/>
  </r>
  <r>
    <s v="Munger"/>
    <s v="24-30 Jul"/>
    <n v="1007"/>
    <s v="Araria"/>
    <x v="349"/>
    <s v="Gomukh Govind Pur"/>
    <s v="MPG"/>
    <s v="Direct"/>
    <n v="949.19999999999993"/>
    <n v="37038.759999999995"/>
    <n v="949.2"/>
    <n v="37075.75"/>
    <n v="0"/>
    <n v="0"/>
    <n v="949.2"/>
    <n v="37075.75"/>
    <n v="37038.759999999995"/>
    <n v="0"/>
    <n v="0"/>
    <n v="36.990000000005239"/>
    <n v="0"/>
    <n v="0"/>
    <n v="0"/>
    <n v="37039"/>
    <n v="0"/>
    <n v="0"/>
    <n v="0"/>
    <n v="0"/>
    <n v="0"/>
    <n v="0"/>
    <n v="-9.986835412418031E-4"/>
    <n v="1"/>
    <m/>
    <s v="Araria"/>
    <m/>
    <n v="0"/>
  </r>
  <r>
    <s v="Munger"/>
    <s v="24-30 Jul"/>
    <n v="1007"/>
    <s v="Araria"/>
    <x v="350"/>
    <s v="Gomukh Sondiha"/>
    <s v="MPG"/>
    <s v="Direct"/>
    <n v="1570.7000000000003"/>
    <n v="62573.11"/>
    <n v="1579"/>
    <n v="63125.41"/>
    <n v="0"/>
    <n v="0"/>
    <n v="1579"/>
    <n v="63125.41"/>
    <n v="62573.11"/>
    <n v="0"/>
    <n v="0"/>
    <n v="552.30000000000291"/>
    <n v="0"/>
    <n v="0"/>
    <n v="0"/>
    <n v="62573"/>
    <n v="0"/>
    <n v="0"/>
    <n v="0"/>
    <n v="0"/>
    <n v="0"/>
    <n v="0"/>
    <n v="-8.8264751424374285E-3"/>
    <n v="3"/>
    <m/>
    <s v="Araria"/>
    <m/>
    <n v="0"/>
  </r>
  <r>
    <s v="Munger"/>
    <s v="24-30 Jul"/>
    <n v="1010"/>
    <s v="Parbatta"/>
    <x v="351"/>
    <s v="Gomukh Thebhay B"/>
    <s v="MPG"/>
    <s v="Direct"/>
    <n v="354.4"/>
    <n v="15993.2"/>
    <n v="443.2"/>
    <n v="19103.12"/>
    <n v="3.04"/>
    <n v="130.78"/>
    <n v="446.24"/>
    <n v="19233.899999999998"/>
    <n v="15993.2"/>
    <n v="0"/>
    <n v="130.78"/>
    <n v="3240.6999999999971"/>
    <n v="0"/>
    <n v="0"/>
    <n v="0"/>
    <n v="15862"/>
    <n v="0"/>
    <n v="0"/>
    <n v="0"/>
    <n v="0"/>
    <n v="311.92155304740413"/>
    <n v="50.628571428571426"/>
    <n v="-0.20262986769376967"/>
    <n v="5"/>
    <m/>
    <s v="Parbatta"/>
    <m/>
    <n v="0"/>
  </r>
  <r>
    <s v="Munger"/>
    <s v="24-30 Jul"/>
    <n v="1010"/>
    <s v="Parbatta"/>
    <x v="1014"/>
    <s v="Gomukh Bandehra"/>
    <s v="vlc"/>
    <s v="Indirect"/>
    <n v="680"/>
    <n v="31538.100000000002"/>
    <n v="0"/>
    <n v="0"/>
    <n v="0"/>
    <n v="0"/>
    <n v="0"/>
    <n v="0"/>
    <n v="31538.100000000002"/>
    <n v="0"/>
    <n v="0"/>
    <n v="0"/>
    <n v="0"/>
    <n v="0"/>
    <n v="0"/>
    <n v="0"/>
    <n v="0"/>
    <n v="31538.100000000002"/>
    <n v="0"/>
    <n v="0"/>
    <n v="18.551823529411791"/>
    <n v="97.142857142857139"/>
    <n v="0"/>
    <n v="0"/>
    <m/>
    <s v="Parbatta"/>
    <m/>
    <n v="0"/>
  </r>
  <r>
    <s v="Munger"/>
    <s v="24-30 Jul"/>
    <n v="1010"/>
    <s v="Parbatta"/>
    <x v="977"/>
    <s v="Gomukh Rahempur"/>
    <s v="vlc"/>
    <s v="Indirect"/>
    <n v="1184.3"/>
    <n v="56871.739999999991"/>
    <n v="0"/>
    <n v="0"/>
    <n v="0"/>
    <n v="0"/>
    <n v="0"/>
    <n v="0"/>
    <n v="56871.739999999991"/>
    <n v="0"/>
    <n v="0"/>
    <n v="0"/>
    <n v="0"/>
    <n v="0"/>
    <n v="0"/>
    <n v="0"/>
    <n v="0"/>
    <n v="56871.739999999991"/>
    <n v="0"/>
    <n v="0"/>
    <n v="0"/>
    <n v="0"/>
    <n v="0"/>
    <n v="0"/>
    <m/>
    <s v="Parbatta"/>
    <m/>
    <n v="0"/>
  </r>
  <r>
    <s v="Munger"/>
    <s v="24-30 Jul"/>
    <n v="1007"/>
    <s v="Araria"/>
    <x v="352"/>
    <s v="Gomukh Baisa"/>
    <s v="MPG"/>
    <s v="Direct"/>
    <n v="194.9"/>
    <n v="7586.24"/>
    <n v="194.9"/>
    <n v="7581.76"/>
    <n v="0.1"/>
    <n v="3.95"/>
    <n v="195"/>
    <n v="7585.71"/>
    <n v="7585.71"/>
    <n v="0"/>
    <n v="3.95"/>
    <n v="0"/>
    <n v="0"/>
    <n v="0"/>
    <n v="0"/>
    <n v="7581"/>
    <n v="0"/>
    <n v="0"/>
    <n v="1"/>
    <n v="0"/>
    <n v="393.20778081067215"/>
    <n v="27.842857142857145"/>
    <n v="6.9863331505428961E-5"/>
    <n v="5"/>
    <m/>
    <s v="Araria"/>
    <m/>
    <n v="0"/>
  </r>
  <r>
    <s v="Munger"/>
    <s v="24-30 Jul"/>
    <n v="1010"/>
    <s v="Parbatta"/>
    <x v="353"/>
    <s v="Gomukh Khutha VLC"/>
    <s v="vlc"/>
    <s v="Indirect"/>
    <n v="5498.4"/>
    <n v="225968.65"/>
    <n v="0"/>
    <n v="0"/>
    <n v="0"/>
    <n v="0"/>
    <n v="0"/>
    <n v="0"/>
    <n v="225968.65"/>
    <n v="0"/>
    <n v="0"/>
    <n v="0"/>
    <n v="0"/>
    <n v="0"/>
    <n v="0"/>
    <n v="0"/>
    <n v="0"/>
    <n v="225968.65"/>
    <n v="0"/>
    <n v="0"/>
    <n v="0"/>
    <n v="0"/>
    <n v="0"/>
    <n v="0"/>
    <m/>
    <s v="Parbatta"/>
    <m/>
    <n v="0"/>
  </r>
  <r>
    <s v="Munger"/>
    <s v="24-30 Jul"/>
    <n v="1010"/>
    <s v="Parbatta"/>
    <x v="354"/>
    <s v="Gomukh Kabela Vlc"/>
    <s v="vlc"/>
    <s v="Indirect"/>
    <n v="198.60000000000002"/>
    <n v="7626.21"/>
    <n v="0"/>
    <n v="0"/>
    <n v="0"/>
    <n v="0"/>
    <n v="0"/>
    <n v="0"/>
    <n v="7626.21"/>
    <n v="0"/>
    <n v="0"/>
    <n v="0"/>
    <n v="0"/>
    <n v="0"/>
    <n v="0"/>
    <n v="0"/>
    <n v="0"/>
    <n v="7626.21"/>
    <n v="0"/>
    <n v="0"/>
    <n v="385.07368519637458"/>
    <n v="28.371428571428574"/>
    <n v="0"/>
    <n v="0"/>
    <m/>
    <s v="Parbatta"/>
    <m/>
    <n v="0"/>
  </r>
  <r>
    <s v="Munger"/>
    <s v="24-30 Jul"/>
    <n v="1010"/>
    <s v="Parbatta"/>
    <x v="1015"/>
    <s v="RaJu Kumar(MOR)"/>
    <s v="vlc"/>
    <s v="Indirect"/>
    <n v="986.70000000000016"/>
    <n v="51014.259999999995"/>
    <n v="0"/>
    <n v="0"/>
    <n v="0"/>
    <n v="0"/>
    <n v="0"/>
    <n v="0"/>
    <n v="51014.259999999995"/>
    <n v="0"/>
    <n v="0"/>
    <n v="0"/>
    <n v="0"/>
    <n v="0"/>
    <n v="0"/>
    <n v="0"/>
    <n v="0"/>
    <n v="51014.259999999995"/>
    <n v="0"/>
    <n v="0"/>
    <n v="0"/>
    <n v="0"/>
    <n v="0"/>
    <n v="0"/>
    <m/>
    <s v="Parbatta"/>
    <m/>
    <n v="0"/>
  </r>
  <r>
    <s v="Munger"/>
    <s v="24-30 Jul"/>
    <n v="1010"/>
    <s v="Parbatta"/>
    <x v="355"/>
    <s v="Gomukh Lagar Wad-13 Vlc"/>
    <s v="vlc"/>
    <s v="Indirect"/>
    <n v="440.4"/>
    <n v="24412.560000000001"/>
    <n v="0"/>
    <n v="0"/>
    <n v="0"/>
    <n v="0"/>
    <n v="0"/>
    <n v="0"/>
    <n v="24412.560000000001"/>
    <n v="0"/>
    <n v="0"/>
    <n v="0"/>
    <n v="0"/>
    <n v="0"/>
    <n v="0"/>
    <n v="0"/>
    <n v="0"/>
    <n v="24412.560000000001"/>
    <n v="0"/>
    <n v="0"/>
    <n v="287.806565667575"/>
    <n v="62.914285714285711"/>
    <n v="0"/>
    <n v="0"/>
    <m/>
    <s v="Parbatta"/>
    <m/>
    <n v="0"/>
  </r>
  <r>
    <s v="Munger"/>
    <s v="24-30 Jul"/>
    <n v="1010"/>
    <s v="Parbatta"/>
    <x v="356"/>
    <s v="Gomukh Manish Vlc"/>
    <s v="vlc"/>
    <s v="Indirect"/>
    <n v="1917.9999999999998"/>
    <n v="104569.92"/>
    <n v="0"/>
    <n v="0"/>
    <n v="0"/>
    <n v="0"/>
    <n v="0"/>
    <n v="0"/>
    <n v="104569.92"/>
    <n v="0"/>
    <n v="0"/>
    <n v="0"/>
    <n v="0"/>
    <n v="0"/>
    <n v="0"/>
    <n v="0"/>
    <n v="0"/>
    <n v="104569.92"/>
    <n v="0"/>
    <n v="0"/>
    <n v="0"/>
    <n v="0"/>
    <n v="0"/>
    <n v="0"/>
    <m/>
    <s v="Parbatta"/>
    <m/>
    <n v="0"/>
  </r>
  <r>
    <s v="Munger"/>
    <s v="24-30 Jul"/>
    <n v="1010"/>
    <s v="Parbatta"/>
    <x v="357"/>
    <s v="Gomukh Parbatta Vlc"/>
    <s v="vlc"/>
    <s v="Indirect"/>
    <n v="1994.1"/>
    <n v="96831.98000000001"/>
    <n v="0"/>
    <n v="0"/>
    <n v="0"/>
    <n v="0"/>
    <n v="0"/>
    <n v="0"/>
    <n v="96831.98000000001"/>
    <n v="0"/>
    <n v="0"/>
    <n v="0"/>
    <n v="0"/>
    <n v="0"/>
    <n v="0"/>
    <n v="0"/>
    <n v="0"/>
    <n v="96831.98000000001"/>
    <n v="0"/>
    <n v="0"/>
    <n v="0"/>
    <n v="0"/>
    <n v="0"/>
    <n v="0"/>
    <m/>
    <s v="Parbatta"/>
    <m/>
    <n v="0"/>
  </r>
  <r>
    <s v="Munger"/>
    <s v="24-30 Jul"/>
    <n v="1055"/>
    <s v="Matihani"/>
    <x v="358"/>
    <s v="Gomukh Mahendrapur"/>
    <s v="MPG"/>
    <s v="Direct"/>
    <n v="2221.2000000000003"/>
    <n v="93263.610000000015"/>
    <n v="2178.8000000000002"/>
    <n v="94756.069999999963"/>
    <n v="56"/>
    <n v="2432.5999999999995"/>
    <n v="2234.8000000000002"/>
    <n v="97188.669999999969"/>
    <n v="93263.610000000015"/>
    <n v="0"/>
    <n v="2432.5999999999995"/>
    <n v="3925.059999999954"/>
    <n v="5450"/>
    <n v="0"/>
    <n v="0"/>
    <n v="85381"/>
    <n v="0"/>
    <n v="0"/>
    <n v="0"/>
    <n v="0"/>
    <n v="0"/>
    <n v="0"/>
    <n v="-4.2085653772140637E-2"/>
    <n v="16"/>
    <m/>
    <s v="Matihani"/>
    <m/>
    <n v="0"/>
  </r>
  <r>
    <s v="Munger"/>
    <s v="24-30 Jul"/>
    <n v="1055"/>
    <s v="Matihani"/>
    <x v="359"/>
    <s v="Gomukh Balahpur"/>
    <s v="vlc"/>
    <s v="Direct"/>
    <n v="395.6"/>
    <n v="15174.110000000002"/>
    <n v="396.99999999999994"/>
    <n v="15399.7"/>
    <n v="0"/>
    <n v="0"/>
    <n v="396.99999999999994"/>
    <n v="15399.7"/>
    <n v="15174.110000000002"/>
    <n v="0"/>
    <n v="0"/>
    <n v="225.58999999999833"/>
    <n v="0"/>
    <n v="0"/>
    <n v="0"/>
    <n v="15174"/>
    <n v="0"/>
    <n v="0"/>
    <n v="0"/>
    <n v="0"/>
    <n v="233.51865945399393"/>
    <n v="56.51428571428572"/>
    <n v="-1.4866769780896428E-2"/>
    <n v="3"/>
    <m/>
    <s v="Matihani"/>
    <m/>
    <n v="0"/>
  </r>
  <r>
    <s v="Munger"/>
    <s v="24-30 Jul"/>
    <n v="1011"/>
    <s v="Sahibpur Kamal"/>
    <x v="360"/>
    <s v="Gomukh Danauli"/>
    <s v="MPG"/>
    <s v="Direct"/>
    <n v="476.40000000000003"/>
    <n v="18155.36"/>
    <n v="476.1"/>
    <n v="18304.32"/>
    <n v="1.4000000000000001"/>
    <n v="53.410000000000004"/>
    <n v="477.5"/>
    <n v="18357.73"/>
    <n v="18155.36"/>
    <n v="0"/>
    <n v="53.410000000000004"/>
    <n v="202.36999999999898"/>
    <n v="0"/>
    <n v="0"/>
    <n v="0"/>
    <n v="18102"/>
    <n v="0"/>
    <n v="0"/>
    <n v="0"/>
    <n v="0"/>
    <n v="170.42562955499579"/>
    <n v="68.057142857142864"/>
    <n v="-1.1146570489376085E-2"/>
    <n v="3"/>
    <m/>
    <s v="Sahibpur Kamal"/>
    <m/>
    <n v="0"/>
  </r>
  <r>
    <s v="Munger"/>
    <s v="24-30 Jul"/>
    <n v="1055"/>
    <s v="Matihani"/>
    <x v="361"/>
    <s v="NAYAGAW"/>
    <s v="MPG"/>
    <s v="Direct"/>
    <n v="3703.5"/>
    <n v="161760.84"/>
    <n v="3665.14"/>
    <n v="159230.58000000002"/>
    <n v="35.650000000000006"/>
    <n v="2612.3900000000003"/>
    <n v="3700.79"/>
    <n v="161842.97000000003"/>
    <n v="161760.84"/>
    <n v="0"/>
    <n v="2612.3900000000003"/>
    <n v="82.13000000003376"/>
    <n v="0"/>
    <n v="0"/>
    <n v="0"/>
    <n v="159148"/>
    <n v="0"/>
    <n v="0"/>
    <n v="0"/>
    <n v="0"/>
    <n v="0"/>
    <n v="0"/>
    <n v="-5.077248609739772E-4"/>
    <n v="35"/>
    <m/>
    <s v="Matihani"/>
    <m/>
    <n v="0"/>
  </r>
  <r>
    <s v="Munger"/>
    <s v="24-30 Jul"/>
    <n v="1011"/>
    <s v="Sahibpur Kamal"/>
    <x v="362"/>
    <s v="Dandari"/>
    <s v="MPG"/>
    <s v="Direct"/>
    <n v="371.89999999999992"/>
    <n v="13682.83"/>
    <n v="351.70000000000005"/>
    <n v="13621.51"/>
    <n v="2.6"/>
    <n v="101.49000000000001"/>
    <n v="354.30000000000007"/>
    <n v="13723"/>
    <n v="13682.83"/>
    <n v="0"/>
    <n v="101.49000000000001"/>
    <n v="40.170000000000073"/>
    <n v="0"/>
    <n v="0"/>
    <n v="0"/>
    <n v="13581"/>
    <n v="0"/>
    <n v="0"/>
    <n v="0"/>
    <n v="0"/>
    <n v="241.42707840817434"/>
    <n v="53.128571428571419"/>
    <n v="-2.9357961766681359E-3"/>
    <n v="5"/>
    <m/>
    <s v="Sahibpur Kamal"/>
    <m/>
    <n v="0"/>
  </r>
  <r>
    <s v="Munger"/>
    <s v="24-30 Jul"/>
    <n v="1011"/>
    <s v="Sahibpur Kamal"/>
    <x v="363"/>
    <s v="Rahimpur Pachkhutti"/>
    <s v="MPG"/>
    <s v="Indirect"/>
    <n v="7827.6000000000013"/>
    <n v="310838.36"/>
    <n v="0"/>
    <n v="0"/>
    <n v="0"/>
    <n v="0"/>
    <n v="0"/>
    <n v="0"/>
    <n v="310838.36"/>
    <n v="0"/>
    <n v="0"/>
    <n v="0"/>
    <n v="310838"/>
    <n v="0"/>
    <n v="0"/>
    <n v="0"/>
    <n v="0"/>
    <n v="0.35999999998603016"/>
    <n v="0"/>
    <n v="0"/>
    <n v="0"/>
    <n v="0"/>
    <n v="0"/>
    <n v="0"/>
    <m/>
    <s v="Sahibpur Kamal"/>
    <m/>
    <n v="0"/>
  </r>
  <r>
    <s v="Munger"/>
    <s v="24-30 Jul"/>
    <n v="1011"/>
    <s v="Sahibpur Kamal"/>
    <x v="364"/>
    <s v="Gomukh Mohanpur                                                                                     "/>
    <s v="MPG"/>
    <s v="Direct"/>
    <n v="850.7"/>
    <n v="32172.52"/>
    <n v="825"/>
    <n v="31761.65"/>
    <n v="1.1000000000000001"/>
    <n v="42.489999999999995"/>
    <n v="826.1"/>
    <n v="31804.140000000003"/>
    <n v="31804.140000000003"/>
    <n v="0"/>
    <n v="42.489999999999995"/>
    <n v="0"/>
    <n v="0"/>
    <n v="0"/>
    <n v="0"/>
    <n v="31761"/>
    <n v="0"/>
    <n v="0"/>
    <n v="369"/>
    <n v="0"/>
    <n v="0"/>
    <n v="0"/>
    <n v="1.1450144408955138E-2"/>
    <n v="6"/>
    <m/>
    <s v="Sahibpur Kamal"/>
    <m/>
    <n v="0"/>
  </r>
  <r>
    <s v="Munger"/>
    <s v="24-30 Jul"/>
    <n v="1011"/>
    <s v="Sahibpur Kamal"/>
    <x v="365"/>
    <s v="Gomukh Raghunathpur"/>
    <s v="MPG"/>
    <s v="Direct"/>
    <n v="1045.2"/>
    <n v="47092.87"/>
    <n v="1043.1000000000001"/>
    <n v="46176.590000000011"/>
    <n v="18.999999999999996"/>
    <n v="827.42"/>
    <n v="1062.1000000000001"/>
    <n v="47004.010000000009"/>
    <n v="47004.010000000009"/>
    <n v="0"/>
    <n v="827.42"/>
    <n v="0"/>
    <n v="0"/>
    <n v="0"/>
    <n v="0"/>
    <n v="46177"/>
    <n v="0"/>
    <n v="0"/>
    <n v="88"/>
    <n v="0"/>
    <n v="0"/>
    <n v="0"/>
    <n v="1.8869098443138697E-3"/>
    <n v="34"/>
    <m/>
    <s v="Sahibpur Kamal"/>
    <m/>
    <n v="0"/>
  </r>
  <r>
    <s v="Munger"/>
    <s v="24-30 Jul"/>
    <n v="1055"/>
    <s v="Matihani"/>
    <x v="366"/>
    <s v="Gomukh Chhitraur"/>
    <s v="MPG"/>
    <s v="Direct"/>
    <n v="474.79999999999995"/>
    <n v="20580.690000000002"/>
    <n v="496.83000000000004"/>
    <n v="21572.29"/>
    <n v="0"/>
    <n v="0"/>
    <n v="496.83000000000004"/>
    <n v="21572.29"/>
    <n v="20580.690000000002"/>
    <n v="0"/>
    <n v="0"/>
    <n v="991.59999999999854"/>
    <n v="0"/>
    <n v="0"/>
    <n v="0"/>
    <n v="20581"/>
    <n v="0"/>
    <n v="0"/>
    <n v="0"/>
    <n v="0"/>
    <n v="195.23047127211464"/>
    <n v="67.828571428571422"/>
    <n v="-4.8181086251238341E-2"/>
    <n v="7"/>
    <m/>
    <s v="Matihani"/>
    <m/>
    <n v="0"/>
  </r>
  <r>
    <s v="Munger"/>
    <s v="24-30 Jul"/>
    <n v="1055"/>
    <s v="Matihani"/>
    <x v="367"/>
    <s v="Gomukh Khorampur Chakaur"/>
    <s v="MPG"/>
    <s v="Direct"/>
    <n v="425.79999999999995"/>
    <n v="18181.13"/>
    <n v="423.4"/>
    <n v="18220.14"/>
    <n v="3.5"/>
    <n v="153.73999999999998"/>
    <n v="426.9"/>
    <n v="18373.88"/>
    <n v="18181.13"/>
    <n v="0"/>
    <n v="153.73999999999998"/>
    <n v="192.75"/>
    <n v="0"/>
    <n v="0"/>
    <n v="0"/>
    <n v="18027"/>
    <n v="0"/>
    <n v="0"/>
    <n v="0"/>
    <n v="0"/>
    <n v="234.15997397839368"/>
    <n v="60.828571428571422"/>
    <n v="-1.0601651272500663E-2"/>
    <n v="6"/>
    <m/>
    <s v="Matihani"/>
    <m/>
    <n v="0"/>
  </r>
  <r>
    <s v="Munger"/>
    <s v="24-30 Jul"/>
    <n v="1011"/>
    <s v="Sahibpur Kamal"/>
    <x v="368"/>
    <s v="GOMUKH Mathar"/>
    <s v="MPG"/>
    <s v="Direct"/>
    <n v="206.50000000000003"/>
    <n v="9204.69"/>
    <n v="204.55"/>
    <n v="9102.8900000000012"/>
    <n v="1.7400000000000002"/>
    <n v="75.669999999999987"/>
    <n v="206.29000000000002"/>
    <n v="9178.5600000000013"/>
    <n v="9178.5600000000013"/>
    <n v="0"/>
    <n v="75.669999999999987"/>
    <n v="0"/>
    <n v="2700"/>
    <n v="0"/>
    <n v="0"/>
    <n v="6402"/>
    <n v="0"/>
    <n v="0"/>
    <n v="27"/>
    <n v="0"/>
    <n v="439.95297966101697"/>
    <n v="29.500000000000004"/>
    <n v="2.8387702356080648E-3"/>
    <n v="6"/>
    <m/>
    <s v="Sahibpur Kamal"/>
    <m/>
    <n v="0"/>
  </r>
  <r>
    <s v="Munger"/>
    <s v="24-30 Jul"/>
    <n v="1011"/>
    <s v="Sahibpur Kamal"/>
    <x v="369"/>
    <s v="Gomukh Kumar Chakki"/>
    <s v="MPG"/>
    <s v="Direct"/>
    <n v="30.5"/>
    <n v="1254.3800000000001"/>
    <n v="35.700000000000003"/>
    <n v="1548.31"/>
    <n v="0.2"/>
    <n v="8.67"/>
    <n v="35.900000000000006"/>
    <n v="1556.98"/>
    <n v="1254.3800000000001"/>
    <n v="0"/>
    <n v="8.67"/>
    <n v="302.59999999999991"/>
    <n v="0"/>
    <n v="500"/>
    <n v="0"/>
    <n v="745"/>
    <n v="0"/>
    <n v="0"/>
    <n v="1"/>
    <n v="0"/>
    <n v="550.6933836065574"/>
    <n v="4.3571428571428568"/>
    <n v="-0.24123471356367279"/>
    <n v="2"/>
    <m/>
    <s v="Sahibpur Kamal"/>
    <m/>
    <n v="500"/>
  </r>
  <r>
    <s v="Munger"/>
    <s v="24-30 Jul"/>
    <n v="1011"/>
    <s v="Sahibpur Kamal"/>
    <x v="1038"/>
    <s v="Gomukh Samastipur Kundan                                                                            "/>
    <s v="vlc"/>
    <s v="Indirect"/>
    <n v="420.20000000000005"/>
    <n v="16629.84"/>
    <n v="0"/>
    <n v="0"/>
    <n v="0"/>
    <n v="0"/>
    <n v="0"/>
    <n v="0"/>
    <n v="16629.84"/>
    <n v="0"/>
    <n v="0"/>
    <n v="0"/>
    <n v="0"/>
    <n v="0"/>
    <n v="0"/>
    <n v="0"/>
    <n v="0"/>
    <n v="16629.84"/>
    <n v="0"/>
    <n v="0"/>
    <n v="221.46735992384572"/>
    <n v="60.028571428571432"/>
    <n v="0"/>
    <n v="0"/>
    <m/>
    <s v="Sahibpur Kamal"/>
    <m/>
    <n v="0"/>
  </r>
  <r>
    <s v="Munger"/>
    <s v="24-30 Jul"/>
    <n v="1055"/>
    <s v="Matihani"/>
    <x v="370"/>
    <s v="Gomukh Sonapur"/>
    <s v="vlc"/>
    <s v="Indirect"/>
    <n v="396.99999999999994"/>
    <n v="15364.649999999996"/>
    <n v="0"/>
    <n v="0"/>
    <n v="0"/>
    <n v="0"/>
    <n v="0"/>
    <n v="0"/>
    <n v="15364.649999999996"/>
    <n v="0"/>
    <n v="0"/>
    <n v="0"/>
    <n v="0"/>
    <n v="0"/>
    <n v="0"/>
    <n v="0"/>
    <n v="0"/>
    <n v="15364.649999999996"/>
    <n v="0"/>
    <n v="0"/>
    <n v="234.53344836272041"/>
    <n v="56.714285714285708"/>
    <n v="0"/>
    <n v="0"/>
    <m/>
    <s v="Matihani"/>
    <m/>
    <n v="0"/>
  </r>
  <r>
    <s v="Munger"/>
    <s v="24-30 Jul"/>
    <n v="1011"/>
    <s v="Sahibpur Kamal"/>
    <x v="371"/>
    <s v="Gomukh Barkhandi 2"/>
    <s v="MPG"/>
    <s v="Indirect"/>
    <n v="898.19999999999993"/>
    <n v="40489.83"/>
    <n v="0"/>
    <n v="0"/>
    <n v="0"/>
    <n v="0"/>
    <n v="0"/>
    <n v="0"/>
    <n v="40489.83"/>
    <n v="0"/>
    <n v="0"/>
    <n v="0"/>
    <n v="0"/>
    <n v="0"/>
    <n v="0"/>
    <n v="0"/>
    <n v="0"/>
    <n v="40489.83"/>
    <n v="0"/>
    <n v="0"/>
    <n v="0"/>
    <n v="0"/>
    <n v="0"/>
    <n v="0"/>
    <m/>
    <s v="Sahibpur Kamal"/>
    <m/>
    <n v="0"/>
  </r>
  <r>
    <s v="Munger"/>
    <s v="24-30 Jul"/>
    <n v="1011"/>
    <s v="Sahibpur Kamal"/>
    <x v="372"/>
    <s v="Gomukh Kalyanpur                                                                                    "/>
    <s v="MPG"/>
    <s v="Direct"/>
    <n v="732.5"/>
    <n v="28577.29"/>
    <n v="712.1"/>
    <n v="28586.54"/>
    <n v="2.8000000000000003"/>
    <n v="112.12000000000002"/>
    <n v="714.9"/>
    <n v="28698.66"/>
    <n v="28577.29"/>
    <n v="0"/>
    <n v="112.12000000000002"/>
    <n v="121.36999999999898"/>
    <n v="0"/>
    <n v="0"/>
    <n v="0"/>
    <n v="28465"/>
    <n v="0"/>
    <n v="0"/>
    <n v="0"/>
    <n v="0"/>
    <n v="0"/>
    <n v="0"/>
    <n v="-4.2470787118022383E-3"/>
    <n v="4"/>
    <m/>
    <s v="Sahibpur Kamal"/>
    <m/>
    <n v="0"/>
  </r>
  <r>
    <s v="Munger"/>
    <s v="24-30 Jul"/>
    <n v="1011"/>
    <s v="Sahibpur Kamal"/>
    <x v="373"/>
    <s v="Gomukh Fatehpur                                                                                     "/>
    <s v="MPG"/>
    <s v="Direct"/>
    <n v="1123.8"/>
    <n v="50609.27"/>
    <n v="1123"/>
    <n v="50422.7"/>
    <n v="0"/>
    <n v="0"/>
    <n v="1123"/>
    <n v="50422.7"/>
    <n v="50422.7"/>
    <n v="0"/>
    <n v="0"/>
    <n v="0"/>
    <n v="0"/>
    <n v="0"/>
    <n v="0"/>
    <n v="50423"/>
    <n v="0"/>
    <n v="0"/>
    <n v="186"/>
    <n v="0"/>
    <n v="0"/>
    <n v="0"/>
    <n v="3.6864787814564351E-3"/>
    <n v="1"/>
    <m/>
    <s v="Sahibpur Kamal"/>
    <m/>
    <n v="0"/>
  </r>
  <r>
    <s v="Munger"/>
    <s v="24-30 Jul"/>
    <n v="1011"/>
    <s v="Sahibpur Kamal"/>
    <x v="374"/>
    <s v="GOMUKH KATAHRI"/>
    <s v="MPG"/>
    <s v="Direct"/>
    <n v="372.1"/>
    <n v="14896.580000000002"/>
    <n v="370.4"/>
    <n v="14813.55"/>
    <n v="2.8000000000000007"/>
    <n v="114.6"/>
    <n v="373.2"/>
    <n v="14928.15"/>
    <n v="14896.580000000002"/>
    <n v="0"/>
    <n v="114.6"/>
    <n v="31.56999999999789"/>
    <n v="1644"/>
    <n v="500"/>
    <n v="0"/>
    <n v="12638"/>
    <n v="0"/>
    <n v="0"/>
    <n v="0"/>
    <n v="0"/>
    <n v="262.54171362536954"/>
    <n v="53.157142857142858"/>
    <n v="-2.1192783847029241E-3"/>
    <n v="3"/>
    <m/>
    <s v="Sahibpur Kamal"/>
    <m/>
    <n v="500"/>
  </r>
  <r>
    <s v="Munger"/>
    <s v="24-30 Jul"/>
    <n v="1011"/>
    <s v="Sahibpur Kamal"/>
    <x v="375"/>
    <s v="GOMUKH Mathar Ward 10"/>
    <s v="MPG"/>
    <s v="Direct"/>
    <n v="1077.9000000000001"/>
    <n v="50588.650000000009"/>
    <n v="847.45999999999992"/>
    <n v="40206.879999999997"/>
    <n v="223.58"/>
    <n v="10381.470000000001"/>
    <n v="1071.04"/>
    <n v="50588.35"/>
    <n v="50588.35"/>
    <n v="0"/>
    <n v="0"/>
    <n v="0"/>
    <n v="0"/>
    <n v="0"/>
    <n v="0"/>
    <n v="40206"/>
    <n v="10381"/>
    <n v="0"/>
    <n v="2"/>
    <n v="0"/>
    <n v="0"/>
    <n v="0"/>
    <n v="5.930183944623671E-6"/>
    <n v="6"/>
    <m/>
    <s v="Sahibpur Kamal"/>
    <m/>
    <n v="0"/>
  </r>
  <r>
    <s v="Munger"/>
    <s v="24-30 Jul"/>
    <n v="1011"/>
    <s v="Sahibpur Kamal"/>
    <x v="376"/>
    <s v="GOMUKH Tartor 2"/>
    <s v="vlc"/>
    <s v="Direct"/>
    <n v="270.89999999999998"/>
    <n v="11700.36"/>
    <n v="253.5"/>
    <n v="11665.439999999997"/>
    <n v="0"/>
    <n v="0"/>
    <n v="253.5"/>
    <n v="11665.439999999997"/>
    <n v="11665.439999999997"/>
    <n v="0"/>
    <n v="0"/>
    <n v="0"/>
    <n v="0"/>
    <n v="0"/>
    <n v="0"/>
    <n v="11665"/>
    <n v="0"/>
    <n v="0"/>
    <n v="35"/>
    <n v="0"/>
    <n v="370.66256744186052"/>
    <n v="38.699999999999996"/>
    <n v="2.9845235531217595E-3"/>
    <n v="1"/>
    <m/>
    <s v="Sahibpur Kamal"/>
    <m/>
    <n v="0"/>
  </r>
  <r>
    <s v="Munger"/>
    <s v="24-30 Jul"/>
    <n v="1011"/>
    <s v="Sahibpur Kamal"/>
    <x v="377"/>
    <s v="Gomukh Chaidha"/>
    <s v="MPG"/>
    <s v="Direct"/>
    <n v="611.69999999999993"/>
    <n v="24273.179999999993"/>
    <n v="616.29999999999995"/>
    <n v="23965.9"/>
    <n v="0"/>
    <n v="0"/>
    <n v="616.29999999999995"/>
    <n v="23965.9"/>
    <n v="23965.9"/>
    <n v="0"/>
    <n v="0"/>
    <n v="0"/>
    <n v="1.7999999999999998"/>
    <n v="0"/>
    <n v="0"/>
    <n v="23963"/>
    <n v="0"/>
    <n v="0"/>
    <n v="308"/>
    <n v="0"/>
    <n v="70.07754762138309"/>
    <n v="87.385714285714272"/>
    <n v="1.2659239539277164E-2"/>
    <n v="17"/>
    <m/>
    <s v="Sahibpur Kamal"/>
    <m/>
    <n v="0"/>
  </r>
  <r>
    <s v="Munger"/>
    <s v="24-30 Jul"/>
    <n v="1011"/>
    <s v="Sahibpur Kamal"/>
    <x v="378"/>
    <s v="Gomukh Bakiya"/>
    <s v="MPG"/>
    <s v="Direct"/>
    <n v="700.30000000000018"/>
    <n v="29808.36"/>
    <n v="686.7"/>
    <n v="29592.99"/>
    <n v="4.72"/>
    <n v="193.6"/>
    <n v="691.42000000000007"/>
    <n v="29786.59"/>
    <n v="29786.59"/>
    <n v="0"/>
    <n v="193.6"/>
    <n v="0"/>
    <n v="0"/>
    <n v="0"/>
    <n v="0"/>
    <n v="29593"/>
    <n v="0"/>
    <n v="0"/>
    <n v="22"/>
    <n v="0"/>
    <n v="0"/>
    <n v="0"/>
    <n v="7.3033202765936925E-4"/>
    <n v="15"/>
    <m/>
    <s v="Sahibpur Kamal"/>
    <m/>
    <n v="0"/>
  </r>
  <r>
    <s v="Munger"/>
    <s v="24-30 Jul"/>
    <n v="1011"/>
    <s v="Sahibpur Kamal"/>
    <x v="379"/>
    <s v="Gomukh Sadpur"/>
    <s v="MPG"/>
    <s v="Direct"/>
    <n v="164.70000000000002"/>
    <n v="5691.35"/>
    <n v="145"/>
    <n v="5722.8"/>
    <n v="0"/>
    <n v="0"/>
    <n v="145"/>
    <n v="5722.8"/>
    <n v="5691.35"/>
    <n v="0"/>
    <n v="0"/>
    <n v="31.449999999999818"/>
    <n v="0"/>
    <n v="500"/>
    <n v="0"/>
    <n v="5191"/>
    <n v="0"/>
    <n v="0"/>
    <n v="0"/>
    <n v="0"/>
    <n v="369.95502792956893"/>
    <n v="23.528571428571432"/>
    <n v="-5.5259297003346858E-3"/>
    <n v="1"/>
    <m/>
    <s v="Sahibpur Kamal"/>
    <m/>
    <n v="500"/>
  </r>
  <r>
    <s v="Munger"/>
    <s v="24-30 Jul"/>
    <n v="1011"/>
    <s v="Sahibpur Kamal"/>
    <x v="380"/>
    <s v="GOMUKH Nista Tol"/>
    <s v="MPG"/>
    <s v="Direct"/>
    <n v="187.79999999999998"/>
    <n v="7019.1900000000005"/>
    <n v="171.52999999999997"/>
    <n v="6884.6599999999989"/>
    <n v="0"/>
    <n v="0"/>
    <n v="171.52999999999997"/>
    <n v="6884.6599999999989"/>
    <n v="6884.6599999999989"/>
    <n v="0"/>
    <n v="0"/>
    <n v="0"/>
    <n v="0"/>
    <n v="0"/>
    <n v="0"/>
    <n v="6885"/>
    <n v="0"/>
    <n v="0"/>
    <n v="134"/>
    <s v="Release1"/>
    <n v="382.87850031948898"/>
    <n v="26.828571428571426"/>
    <n v="1.9166029128717354E-2"/>
    <n v="2"/>
    <m/>
    <s v="Sahibpur Kamal"/>
    <m/>
    <n v="500"/>
  </r>
  <r>
    <s v="Munger"/>
    <s v="24-30 Jul"/>
    <n v="1011"/>
    <s v="Sahibpur Kamal"/>
    <x v="381"/>
    <s v="GOMUKH SRINAGAR"/>
    <s v="MPG"/>
    <s v="Direct"/>
    <n v="2240.2000000000003"/>
    <n v="96784.919999999984"/>
    <n v="1650.46"/>
    <n v="79222.850000000006"/>
    <n v="617.78000000000009"/>
    <n v="27756.489999999998"/>
    <n v="2268.2400000000002"/>
    <n v="106979.34"/>
    <n v="96784.919999999984"/>
    <n v="0"/>
    <n v="219.8"/>
    <n v="10194.420000000013"/>
    <n v="0"/>
    <n v="0"/>
    <n v="0"/>
    <n v="69028"/>
    <n v="27537"/>
    <n v="0"/>
    <n v="0"/>
    <n v="0"/>
    <n v="0"/>
    <n v="0"/>
    <n v="-0.10533066514907502"/>
    <n v="14"/>
    <m/>
    <s v="Sahibpur Kamal"/>
    <m/>
    <n v="0"/>
  </r>
  <r>
    <s v="Munger"/>
    <s v="24-30 Jul"/>
    <n v="1011"/>
    <s v="Sahibpur Kamal"/>
    <x v="382"/>
    <s v="GOMUKH THATHA"/>
    <s v="vlc"/>
    <s v="Direct"/>
    <n v="240.29999999999998"/>
    <n v="9262.6600000000017"/>
    <n v="216"/>
    <n v="9197.630000000001"/>
    <n v="0"/>
    <n v="0"/>
    <n v="216"/>
    <n v="9197.630000000001"/>
    <n v="9197.630000000001"/>
    <n v="0"/>
    <n v="0"/>
    <n v="0"/>
    <n v="0"/>
    <n v="0"/>
    <n v="0"/>
    <n v="9198"/>
    <n v="0"/>
    <n v="0"/>
    <n v="65"/>
    <n v="0"/>
    <n v="354.3940742405328"/>
    <n v="34.328571428571429"/>
    <n v="7.0206614514621768E-3"/>
    <n v="1"/>
    <m/>
    <s v="Sahibpur Kamal"/>
    <m/>
    <n v="0"/>
  </r>
  <r>
    <s v="Munger"/>
    <s v="24-30 Jul"/>
    <n v="1011"/>
    <s v="Sahibpur Kamal"/>
    <x v="383"/>
    <s v="GOMUKH GARHIYA"/>
    <s v="MPG"/>
    <s v="Direct"/>
    <n v="39.9"/>
    <n v="1481.49"/>
    <n v="39"/>
    <n v="1469.13"/>
    <n v="0"/>
    <n v="0"/>
    <n v="39"/>
    <n v="1469.13"/>
    <n v="1469.13"/>
    <n v="0"/>
    <n v="0"/>
    <n v="0"/>
    <n v="0"/>
    <n v="0"/>
    <n v="0"/>
    <n v="1469"/>
    <n v="0"/>
    <n v="0"/>
    <n v="12"/>
    <n v="0"/>
    <n v="490.19125263157906"/>
    <n v="5.7"/>
    <n v="8.3429520280257716E-3"/>
    <n v="1"/>
    <m/>
    <s v="Sahibpur Kamal"/>
    <m/>
    <n v="0"/>
  </r>
  <r>
    <s v="Munger"/>
    <s v="24-30 Jul"/>
    <n v="1011"/>
    <s v="Sahibpur Kamal"/>
    <x v="384"/>
    <s v="GOMUKH SANHA NAYATOLA"/>
    <s v="MPG"/>
    <s v="Direct"/>
    <n v="223.99999999999997"/>
    <n v="8829.7099999999991"/>
    <n v="224"/>
    <n v="8998.08"/>
    <n v="0"/>
    <n v="0"/>
    <n v="224"/>
    <n v="8998.08"/>
    <n v="8829.7099999999991"/>
    <n v="0"/>
    <n v="0"/>
    <n v="168.3700000000008"/>
    <n v="0"/>
    <n v="0"/>
    <n v="0"/>
    <n v="8830"/>
    <n v="0"/>
    <n v="0"/>
    <n v="0"/>
    <n v="0"/>
    <n v="375.262675"/>
    <n v="31.999999999999996"/>
    <n v="-1.9068576431162609E-2"/>
    <n v="1"/>
    <m/>
    <s v="Sahibpur Kamal"/>
    <m/>
    <n v="0"/>
  </r>
  <r>
    <s v="Munger"/>
    <s v="24-30 Jul"/>
    <n v="1011"/>
    <s v="Sahibpur Kamal"/>
    <x v="385"/>
    <s v="Gomukh Durgapur"/>
    <s v="MPG"/>
    <s v="Direct"/>
    <n v="252.2"/>
    <n v="10007.42"/>
    <n v="239.4"/>
    <n v="9803.4499999999989"/>
    <n v="1.8"/>
    <n v="73.87"/>
    <n v="241.20000000000002"/>
    <n v="9877.32"/>
    <n v="9877.32"/>
    <n v="0"/>
    <n v="73.87"/>
    <n v="0"/>
    <n v="0"/>
    <n v="0"/>
    <n v="0"/>
    <n v="9803"/>
    <n v="0"/>
    <n v="0"/>
    <n v="131"/>
    <n v="0"/>
    <n v="355.37848342585255"/>
    <n v="36.028571428571425"/>
    <n v="1.3000353737526791E-2"/>
    <n v="4"/>
    <m/>
    <s v="Sahibpur Kamal"/>
    <m/>
    <n v="0"/>
  </r>
  <r>
    <s v="Munger"/>
    <s v="24-30 Jul"/>
    <n v="1054"/>
    <s v="Alauli "/>
    <x v="386"/>
    <s v="Gomukh Koniya"/>
    <s v="MPG"/>
    <s v="Direct"/>
    <n v="437.09999999999997"/>
    <n v="16471.169999999998"/>
    <n v="474.99999999999994"/>
    <n v="18746.459999999995"/>
    <n v="12"/>
    <n v="473.2700000000001"/>
    <n v="486.99999999999994"/>
    <n v="19219.729999999996"/>
    <n v="16471.169999999998"/>
    <n v="0"/>
    <n v="473.2700000000001"/>
    <n v="2748.5599999999977"/>
    <n v="0"/>
    <n v="0"/>
    <n v="0"/>
    <n v="15998"/>
    <n v="0"/>
    <n v="0"/>
    <n v="0"/>
    <n v="0"/>
    <n v="198.13638037062458"/>
    <n v="62.442857142857136"/>
    <n v="-0.16687096302205598"/>
    <n v="3"/>
    <m/>
    <s v="Alauli "/>
    <m/>
    <n v="0"/>
  </r>
  <r>
    <s v="Munger"/>
    <s v="24-30 Jul"/>
    <n v="1011"/>
    <s v="Sahibpur Kamal"/>
    <x v="387"/>
    <s v="GOMUKH ROHUA"/>
    <s v="MPG"/>
    <s v="Direct"/>
    <n v="382.3"/>
    <n v="15171.079999999996"/>
    <n v="376.90999999999997"/>
    <n v="14904.91"/>
    <n v="5.87"/>
    <n v="231.8"/>
    <n v="382.78"/>
    <n v="15136.71"/>
    <n v="15136.71"/>
    <n v="0"/>
    <n v="231.8"/>
    <n v="0"/>
    <n v="0"/>
    <n v="0"/>
    <n v="0"/>
    <n v="14905"/>
    <n v="0"/>
    <n v="0"/>
    <n v="34"/>
    <n v="0"/>
    <n v="252.15025456447805"/>
    <n v="54.614285714285714"/>
    <n v="2.2654946121170787E-3"/>
    <n v="12"/>
    <m/>
    <s v="Sahibpur Kamal"/>
    <m/>
    <n v="0"/>
  </r>
  <r>
    <s v="Munger"/>
    <s v="24-30 Jul"/>
    <n v="1011"/>
    <s v="Sahibpur Kamal"/>
    <x v="388"/>
    <s v="GOMUKH LAXMIPUR"/>
    <s v="MPG"/>
    <s v="Direct"/>
    <n v="266"/>
    <n v="12149.810000000001"/>
    <n v="251.57999999999998"/>
    <n v="11859.250000000002"/>
    <n v="5.69"/>
    <n v="260.44"/>
    <n v="257.27"/>
    <n v="12119.690000000002"/>
    <n v="12119.690000000002"/>
    <n v="0"/>
    <n v="260.44"/>
    <n v="0"/>
    <n v="0"/>
    <n v="0"/>
    <n v="0"/>
    <n v="11859"/>
    <n v="0"/>
    <n v="0"/>
    <n v="30"/>
    <n v="0"/>
    <n v="396.46748421052638"/>
    <n v="38"/>
    <n v="2.479051112733366E-3"/>
    <n v="11"/>
    <m/>
    <s v="Sahibpur Kamal"/>
    <m/>
    <n v="0"/>
  </r>
  <r>
    <s v="Munger"/>
    <s v="24-30 Jul"/>
    <n v="1054"/>
    <s v="Alauli "/>
    <x v="389"/>
    <s v="GOMUKH CHATAR"/>
    <s v="MPG"/>
    <s v="Direct"/>
    <n v="140.5"/>
    <n v="5309.03"/>
    <n v="140.5"/>
    <n v="5554.06"/>
    <n v="0"/>
    <n v="0"/>
    <n v="140.5"/>
    <n v="5554.06"/>
    <n v="5309.03"/>
    <n v="0"/>
    <n v="0"/>
    <n v="245.03000000000065"/>
    <n v="0"/>
    <n v="500"/>
    <n v="0"/>
    <n v="4809"/>
    <n v="0"/>
    <n v="0"/>
    <n v="0"/>
    <n v="0"/>
    <n v="422.83306548042702"/>
    <n v="20.071428571428573"/>
    <n v="-4.6153440458991696E-2"/>
    <n v="1"/>
    <m/>
    <s v="Alauli "/>
    <m/>
    <n v="500"/>
  </r>
  <r>
    <s v="Munger"/>
    <s v="24-30 Jul"/>
    <n v="1054"/>
    <s v="Alauli "/>
    <x v="390"/>
    <s v="GOMUKH BATHNAMA"/>
    <s v="MPG"/>
    <s v="Direct"/>
    <n v="5555.6"/>
    <n v="227078.40999999995"/>
    <n v="5463.53"/>
    <n v="227424.77000000002"/>
    <n v="0"/>
    <n v="0"/>
    <n v="5463.53"/>
    <n v="227424.77000000002"/>
    <n v="227078.40999999995"/>
    <n v="0"/>
    <n v="0"/>
    <n v="346.36000000007334"/>
    <n v="3461"/>
    <n v="0"/>
    <n v="0"/>
    <n v="223617"/>
    <n v="0"/>
    <n v="0"/>
    <n v="0"/>
    <n v="0"/>
    <n v="0"/>
    <n v="0"/>
    <n v="-1.5252881152376988E-3"/>
    <n v="17"/>
    <m/>
    <s v="Alauli "/>
    <m/>
    <n v="0"/>
  </r>
  <r>
    <s v="Munger"/>
    <s v="24-30 Jul"/>
    <n v="1054"/>
    <s v="Alauli "/>
    <x v="391"/>
    <s v="GOMUKH TILAK NAGAR"/>
    <s v="MPG"/>
    <s v="Direct"/>
    <n v="323.39999999999998"/>
    <n v="14703.500000000002"/>
    <n v="345.17000000000007"/>
    <n v="14732.82"/>
    <n v="0"/>
    <n v="0"/>
    <n v="345.17000000000007"/>
    <n v="14732.82"/>
    <n v="14703.500000000002"/>
    <n v="0"/>
    <n v="0"/>
    <n v="29.31999999999789"/>
    <n v="0"/>
    <n v="0"/>
    <n v="0"/>
    <n v="14704"/>
    <n v="0"/>
    <n v="0"/>
    <n v="0"/>
    <n v="0"/>
    <n v="342.44515151515162"/>
    <n v="46.199999999999996"/>
    <n v="-1.9940830414525716E-3"/>
    <n v="8"/>
    <m/>
    <s v="Alauli "/>
    <m/>
    <n v="0"/>
  </r>
  <r>
    <s v="Munger"/>
    <s v="24-30 Jul"/>
    <n v="1011"/>
    <s v="Sahibpur Kamal"/>
    <x v="392"/>
    <s v="Gomukh Rahimpur Dakshin"/>
    <s v="MPG"/>
    <s v="Direct"/>
    <n v="6747"/>
    <n v="275686.65000000002"/>
    <n v="1307.2800000000002"/>
    <n v="53813.73"/>
    <n v="5442.1800000000012"/>
    <n v="223726.98000000004"/>
    <n v="6749.4600000000009"/>
    <n v="277540.71000000002"/>
    <n v="275686.65000000002"/>
    <n v="0"/>
    <n v="517.04000000000008"/>
    <n v="1854.0599999999977"/>
    <n v="0"/>
    <n v="0"/>
    <n v="0"/>
    <n v="51958"/>
    <n v="223212"/>
    <n v="0"/>
    <n v="0"/>
    <n v="0"/>
    <n v="0"/>
    <n v="0"/>
    <n v="-6.725244040652667E-3"/>
    <n v="21"/>
    <m/>
    <s v="Sahibpur Kamal"/>
    <m/>
    <n v="0"/>
  </r>
  <r>
    <s v="Munger"/>
    <s v="24-30 Jul"/>
    <n v="1054"/>
    <s v="Alauli "/>
    <x v="393"/>
    <s v="GOMUKH MORKAHI"/>
    <s v="MPG"/>
    <s v="Direct"/>
    <n v="705.5"/>
    <n v="28052.640000000003"/>
    <n v="782.38000000000011"/>
    <n v="31344.870000000003"/>
    <n v="1.5400000000000005"/>
    <n v="61.930000000000007"/>
    <n v="783.92000000000007"/>
    <n v="31406.800000000003"/>
    <n v="28052.640000000003"/>
    <n v="0"/>
    <n v="61.930000000000007"/>
    <n v="3354.16"/>
    <n v="0"/>
    <n v="0"/>
    <n v="0"/>
    <n v="27991"/>
    <n v="0"/>
    <n v="0"/>
    <n v="0"/>
    <s v="Release2"/>
    <n v="0"/>
    <n v="0"/>
    <n v="-0.11956664328205828"/>
    <n v="4"/>
    <m/>
    <s v="Alauli "/>
    <m/>
    <n v="0"/>
  </r>
  <r>
    <s v="Munger"/>
    <s v="24-30 Jul"/>
    <n v="1055"/>
    <s v="Matihani"/>
    <x v="394"/>
    <s v="GOMUKH HANSPUR"/>
    <s v="MPG"/>
    <s v="Direct"/>
    <n v="41.5"/>
    <n v="1785.7"/>
    <n v="41.599999999999994"/>
    <n v="1786.7499999999995"/>
    <n v="0"/>
    <n v="0"/>
    <n v="41.599999999999994"/>
    <n v="1786.7499999999995"/>
    <n v="1785.7"/>
    <n v="0"/>
    <n v="0"/>
    <n v="1.0499999999994998"/>
    <n v="0"/>
    <n v="500"/>
    <n v="0"/>
    <n v="1286"/>
    <n v="0"/>
    <n v="0"/>
    <n v="0"/>
    <n v="0"/>
    <n v="566.69081927710852"/>
    <n v="5.9285714285714288"/>
    <n v="-5.8800470403735212E-4"/>
    <n v="2"/>
    <m/>
    <s v="Matihani"/>
    <m/>
    <n v="500"/>
  </r>
  <r>
    <s v="Munger"/>
    <s v="24-30 Jul"/>
    <n v="1055"/>
    <s v="Matihani"/>
    <x v="395"/>
    <s v="GOMUKH NAYAGAON 2"/>
    <s v="MPG"/>
    <s v="Direct"/>
    <n v="132.19999999999999"/>
    <n v="7019.5300000000007"/>
    <n v="127.78"/>
    <n v="6971.9900000000007"/>
    <n v="2.2000000000000002"/>
    <n v="150.19"/>
    <n v="129.97999999999999"/>
    <n v="7122.18"/>
    <n v="7019.5300000000007"/>
    <n v="0"/>
    <n v="150.19"/>
    <n v="102.64999999999964"/>
    <n v="0"/>
    <n v="0"/>
    <n v="0"/>
    <n v="6869"/>
    <n v="0"/>
    <n v="0"/>
    <n v="0"/>
    <n v="0"/>
    <n v="602.97868895612714"/>
    <n v="18.885714285714283"/>
    <n v="-1.4623486187821638E-2"/>
    <n v="4"/>
    <m/>
    <s v="Matihani"/>
    <m/>
    <n v="0"/>
  </r>
  <r>
    <s v="Munger"/>
    <s v="24-30 Jul"/>
    <n v="1054"/>
    <s v="Alauli "/>
    <x v="978"/>
    <s v="GOMUKH ALOLI"/>
    <s v="MPG"/>
    <s v="Direct"/>
    <n v="213.8"/>
    <n v="8112.4800000000014"/>
    <n v="213.8"/>
    <n v="9332.3700000000008"/>
    <n v="0"/>
    <n v="0"/>
    <n v="213.8"/>
    <n v="9332.3700000000008"/>
    <n v="8112.4800000000014"/>
    <n v="0"/>
    <n v="0"/>
    <n v="1219.8899999999994"/>
    <n v="0"/>
    <n v="500"/>
    <n v="0"/>
    <n v="7612"/>
    <n v="0"/>
    <n v="0"/>
    <n v="0"/>
    <n v="0"/>
    <n v="368.9698574368569"/>
    <n v="30.542857142857144"/>
    <n v="-0.15037201940713557"/>
    <n v="1"/>
    <m/>
    <s v="Alauli "/>
    <m/>
    <n v="500"/>
  </r>
  <r>
    <s v="Munger"/>
    <s v="24-30 Jul"/>
    <n v="1054"/>
    <s v="Alauli "/>
    <x v="396"/>
    <s v="GOMUKH LABHGAON"/>
    <s v="MPG"/>
    <s v="Direct"/>
    <n v="409.2000000000001"/>
    <n v="16349.170000000002"/>
    <n v="381.61999999999995"/>
    <n v="15380.640000000001"/>
    <n v="24.59"/>
    <n v="993.66"/>
    <n v="406.20999999999992"/>
    <n v="16374.300000000001"/>
    <n v="16349.170000000002"/>
    <n v="0"/>
    <n v="0"/>
    <n v="25.1299999999992"/>
    <n v="0"/>
    <n v="0"/>
    <n v="0"/>
    <n v="15355"/>
    <n v="994"/>
    <n v="0"/>
    <n v="0"/>
    <n v="0"/>
    <n v="232.3723673509285"/>
    <n v="58.45714285714287"/>
    <n v="-1.5370810872967372E-3"/>
    <n v="4"/>
    <m/>
    <s v="Alauli "/>
    <m/>
    <n v="0"/>
  </r>
  <r>
    <s v="Munger"/>
    <s v="24-30 Jul"/>
    <n v="1054"/>
    <s v="Alauli "/>
    <x v="397"/>
    <s v="GOMUKH CHANDPURA"/>
    <s v="MPG"/>
    <s v="Direct"/>
    <n v="769.00000000000011"/>
    <n v="29052.280000000002"/>
    <n v="376"/>
    <n v="14217.420000000002"/>
    <n v="396"/>
    <n v="14949.000000000002"/>
    <n v="772"/>
    <n v="29166.420000000006"/>
    <n v="29052.280000000002"/>
    <n v="0"/>
    <n v="0"/>
    <n v="114.14000000000306"/>
    <n v="0"/>
    <n v="0"/>
    <n v="0"/>
    <n v="14100"/>
    <n v="14952"/>
    <n v="0"/>
    <n v="0"/>
    <n v="0"/>
    <n v="0"/>
    <n v="0"/>
    <n v="-3.9287794279830373E-3"/>
    <n v="10"/>
    <m/>
    <s v="Alauli "/>
    <m/>
    <n v="0"/>
  </r>
  <r>
    <s v="Munger"/>
    <s v="24-30 Jul"/>
    <n v="1054"/>
    <s v="Alauli "/>
    <x v="398"/>
    <s v="GOMUKH BADIL TOL"/>
    <s v="MPG"/>
    <s v="Direct"/>
    <n v="538.5"/>
    <n v="22681.439999999999"/>
    <n v="293.01000000000005"/>
    <n v="12024.61"/>
    <n v="277.09000000000003"/>
    <n v="10652.64"/>
    <n v="570.10000000000014"/>
    <n v="22677.25"/>
    <n v="22677.25"/>
    <n v="0"/>
    <n v="436.85999999999996"/>
    <n v="0"/>
    <n v="0"/>
    <n v="0"/>
    <n v="0"/>
    <n v="12025"/>
    <n v="10216"/>
    <n v="0"/>
    <n v="4"/>
    <n v="0"/>
    <n v="136.04652033426186"/>
    <n v="76.928571428571431"/>
    <n v="1.8473253902744671E-4"/>
    <n v="10"/>
    <m/>
    <s v="Alauli "/>
    <m/>
    <n v="0"/>
  </r>
  <r>
    <s v="Munger"/>
    <s v="24-30 Jul"/>
    <n v="1054"/>
    <s v="Alauli "/>
    <x v="399"/>
    <s v="GOMUKH TRIBHUVAN TOLA"/>
    <s v="MPG"/>
    <s v="Direct"/>
    <n v="426.09999999999997"/>
    <n v="16222.920000000002"/>
    <n v="444.6"/>
    <n v="16222.679999999998"/>
    <n v="0"/>
    <n v="0"/>
    <n v="444.6"/>
    <n v="16222.679999999998"/>
    <n v="16222.679999999998"/>
    <n v="0"/>
    <n v="0"/>
    <n v="0"/>
    <n v="0"/>
    <n v="0"/>
    <n v="0"/>
    <n v="16223"/>
    <n v="0"/>
    <n v="0"/>
    <n v="0"/>
    <n v="0"/>
    <n v="208.56408298521481"/>
    <n v="60.871428571428567"/>
    <n v="1.4793884208479095E-5"/>
    <n v="13"/>
    <m/>
    <s v="Alauli "/>
    <m/>
    <n v="0"/>
  </r>
  <r>
    <s v="Munger"/>
    <s v="24-30 Jul"/>
    <n v="1054"/>
    <s v="Alauli "/>
    <x v="400"/>
    <s v="GOMUKH SANTOSHPUL"/>
    <s v="MPG"/>
    <s v="Direct"/>
    <n v="1078.5999999999999"/>
    <n v="50634.990000000005"/>
    <n v="30.500000000000004"/>
    <n v="1417.8000000000002"/>
    <n v="1075.0999999999999"/>
    <n v="50103.39"/>
    <n v="1105.5999999999999"/>
    <n v="51521.19"/>
    <n v="50634.990000000005"/>
    <n v="0"/>
    <n v="0"/>
    <n v="886.19999999999709"/>
    <n v="0"/>
    <n v="0"/>
    <n v="0"/>
    <n v="531"/>
    <n v="50104"/>
    <n v="0"/>
    <n v="0"/>
    <n v="0"/>
    <n v="0"/>
    <n v="0"/>
    <n v="-1.750173151016712E-2"/>
    <n v="10"/>
    <m/>
    <s v="Alauli "/>
    <m/>
    <n v="0"/>
  </r>
  <r>
    <s v="Munger"/>
    <s v="24-30 Jul"/>
    <n v="1054"/>
    <s v="Alauli "/>
    <x v="401"/>
    <s v="GOMUKH AHUNA"/>
    <s v="MPG"/>
    <s v="Direct"/>
    <n v="332.3"/>
    <n v="13219.850000000002"/>
    <n v="334.39000000000004"/>
    <n v="13558.17"/>
    <n v="0"/>
    <n v="0"/>
    <n v="334.39000000000004"/>
    <n v="13558.17"/>
    <n v="13219.850000000002"/>
    <n v="0"/>
    <n v="0"/>
    <n v="338.31999999999789"/>
    <n v="0"/>
    <n v="0"/>
    <n v="0"/>
    <n v="13220"/>
    <n v="0"/>
    <n v="0"/>
    <n v="0"/>
    <n v="0"/>
    <n v="292.56327685826068"/>
    <n v="47.471428571428575"/>
    <n v="-2.5591818364050865E-2"/>
    <n v="1"/>
    <m/>
    <s v="Alauli "/>
    <m/>
    <n v="0"/>
  </r>
  <r>
    <s v="Munger"/>
    <s v="24-30 Jul"/>
    <n v="1055"/>
    <s v="Matihani"/>
    <x v="402"/>
    <s v="GOMUKH SHADIPUR"/>
    <s v="MPG"/>
    <s v="Direct"/>
    <n v="972.80000000000007"/>
    <n v="41193.199999999997"/>
    <n v="998.57999999999993"/>
    <n v="40634.6"/>
    <n v="13.459999999999999"/>
    <n v="535.92999999999995"/>
    <n v="1012.04"/>
    <n v="41170.53"/>
    <n v="41170.53"/>
    <n v="0"/>
    <n v="535.92999999999995"/>
    <n v="0"/>
    <n v="9800"/>
    <n v="0"/>
    <n v="0"/>
    <n v="30835"/>
    <n v="0"/>
    <n v="0"/>
    <n v="22"/>
    <n v="0"/>
    <n v="0"/>
    <n v="0"/>
    <n v="5.5033355019756304E-4"/>
    <n v="14"/>
    <m/>
    <s v="Matihani"/>
    <m/>
    <n v="0"/>
  </r>
  <r>
    <s v="Munger"/>
    <s v="24-30 Jul"/>
    <n v="1055"/>
    <s v="Matihani"/>
    <x v="403"/>
    <s v="GOMUKH ASHRAPHA DIYARA"/>
    <s v="MPG"/>
    <s v="Direct"/>
    <n v="1233"/>
    <n v="52957.810000000005"/>
    <n v="1211.8900000000001"/>
    <n v="52596.54"/>
    <n v="8.2899999999999991"/>
    <n v="353.43"/>
    <n v="1220.18"/>
    <n v="52949.97"/>
    <n v="52949.97"/>
    <n v="0"/>
    <n v="353.43"/>
    <n v="0"/>
    <n v="4200"/>
    <n v="0"/>
    <n v="0"/>
    <n v="48397"/>
    <n v="0"/>
    <n v="0"/>
    <n v="7"/>
    <n v="0"/>
    <n v="0"/>
    <n v="0"/>
    <n v="1.4804237561945598E-4"/>
    <n v="14"/>
    <m/>
    <s v="Matihani"/>
    <m/>
    <n v="0"/>
  </r>
  <r>
    <s v="Munger"/>
    <s v="24-30 Jul"/>
    <n v="1055"/>
    <s v="Matihani"/>
    <x v="404"/>
    <s v="GOMUKH MANIAPPA"/>
    <s v="MPG"/>
    <s v="Direct"/>
    <n v="360.30000000000007"/>
    <n v="15438.440000000002"/>
    <n v="357.18"/>
    <n v="14936.979999999996"/>
    <n v="3.0300000000000007"/>
    <n v="116.90000000000002"/>
    <n v="360.21"/>
    <n v="15053.879999999996"/>
    <n v="15053.879999999996"/>
    <n v="0"/>
    <n v="116.90000000000002"/>
    <n v="0"/>
    <n v="0"/>
    <n v="0"/>
    <n v="0"/>
    <n v="14937"/>
    <n v="0"/>
    <n v="0"/>
    <n v="385"/>
    <n v="0"/>
    <n v="291.11507454898691"/>
    <n v="51.471428571428582"/>
    <n v="2.4909252489241574E-2"/>
    <n v="9"/>
    <m/>
    <s v="Matihani"/>
    <m/>
    <n v="0"/>
  </r>
  <r>
    <s v="Munger"/>
    <s v="24-30 Jul"/>
    <n v="1054"/>
    <s v="Alauli "/>
    <x v="405"/>
    <s v="GOMUKH D SANJHAUTI"/>
    <s v="MPG"/>
    <s v="Direct"/>
    <n v="618.79999999999995"/>
    <n v="23020.559999999998"/>
    <n v="681.5"/>
    <n v="28701.57"/>
    <n v="0"/>
    <n v="0"/>
    <n v="681.5"/>
    <n v="28701.57"/>
    <n v="23020.559999999998"/>
    <n v="0"/>
    <n v="0"/>
    <n v="5681.010000000002"/>
    <n v="0"/>
    <n v="0"/>
    <n v="0"/>
    <n v="23021"/>
    <n v="0"/>
    <n v="0"/>
    <n v="0"/>
    <n v="0"/>
    <n v="60.415949321267007"/>
    <n v="88.399999999999991"/>
    <n v="-0.24677983506917306"/>
    <n v="3"/>
    <m/>
    <s v="Alauli "/>
    <m/>
    <n v="0"/>
  </r>
  <r>
    <s v="Munger"/>
    <s v="24-30 Jul"/>
    <n v="1054"/>
    <s v="Alauli "/>
    <x v="406"/>
    <s v="GOMUKH DHUSMURI BISHANPUR"/>
    <s v="MPG"/>
    <s v="Direct"/>
    <n v="293.60000000000002"/>
    <n v="12090.130000000001"/>
    <n v="191.91"/>
    <n v="8036.84"/>
    <n v="118.53999999999999"/>
    <n v="5134.3399999999992"/>
    <n v="310.45"/>
    <n v="13171.18"/>
    <n v="12090.130000000001"/>
    <n v="0"/>
    <n v="0"/>
    <n v="1081.0499999999993"/>
    <n v="0"/>
    <n v="500"/>
    <n v="0"/>
    <n v="6455"/>
    <n v="5135"/>
    <n v="0"/>
    <n v="0"/>
    <n v="0"/>
    <n v="334.70223651226155"/>
    <n v="41.942857142857143"/>
    <n v="-8.9415911987712218E-2"/>
    <n v="12"/>
    <m/>
    <s v="Alauli "/>
    <m/>
    <n v="500"/>
  </r>
  <r>
    <s v="Munger"/>
    <s v="24-30 Jul"/>
    <n v="1054"/>
    <s v="Alauli "/>
    <x v="407"/>
    <s v="GOMUKH ANANDPUR PARAS"/>
    <s v="MPG"/>
    <s v="Direct"/>
    <n v="3193.5000000000005"/>
    <n v="131554.54999999999"/>
    <n v="393.5"/>
    <n v="16135.740000000002"/>
    <n v="2800"/>
    <n v="115432"/>
    <n v="3193.5"/>
    <n v="131567.74"/>
    <n v="131554.54999999999"/>
    <n v="0"/>
    <n v="0"/>
    <n v="13.190000000002328"/>
    <n v="0"/>
    <n v="0"/>
    <n v="0"/>
    <n v="16123"/>
    <n v="115432"/>
    <n v="0"/>
    <n v="0"/>
    <n v="0"/>
    <n v="0"/>
    <n v="0"/>
    <n v="-1.0026259068958337E-4"/>
    <n v="3"/>
    <m/>
    <s v="Alauli "/>
    <m/>
    <n v="0"/>
  </r>
  <r>
    <s v="Munger"/>
    <s v="24-30 Jul"/>
    <n v="1054"/>
    <s v="Alauli "/>
    <x v="408"/>
    <s v="Gomukh Bishanpur"/>
    <s v="MPG"/>
    <s v="Direct"/>
    <n v="266.2"/>
    <n v="11096.920000000002"/>
    <n v="263.10000000000002"/>
    <n v="11036.58"/>
    <n v="4.55"/>
    <n v="186.97000000000003"/>
    <n v="267.65000000000003"/>
    <n v="11223.55"/>
    <n v="11096.920000000002"/>
    <n v="0"/>
    <n v="186.97000000000003"/>
    <n v="126.62999999999738"/>
    <n v="0"/>
    <n v="0"/>
    <n v="0"/>
    <n v="10910"/>
    <n v="0"/>
    <n v="0"/>
    <n v="0"/>
    <n v="0"/>
    <n v="361.67121682945157"/>
    <n v="38.028571428571425"/>
    <n v="-1.1411274479765319E-2"/>
    <n v="6"/>
    <m/>
    <s v="Alauli "/>
    <m/>
    <n v="0"/>
  </r>
  <r>
    <s v="Munger"/>
    <s v="24-30 Jul"/>
    <n v="1054"/>
    <s v="Alauli "/>
    <x v="409"/>
    <s v="GOMUKH BISHANPUR 2"/>
    <s v="MPG"/>
    <s v="Direct"/>
    <n v="749"/>
    <n v="29946.120000000003"/>
    <n v="645.76"/>
    <n v="25023.050000000003"/>
    <n v="110.65"/>
    <n v="4921.1500000000005"/>
    <n v="756.41"/>
    <n v="29944.200000000004"/>
    <n v="29944.200000000004"/>
    <n v="0"/>
    <n v="0"/>
    <n v="0"/>
    <n v="950"/>
    <n v="0"/>
    <n v="0"/>
    <n v="24074"/>
    <n v="4921"/>
    <n v="0"/>
    <n v="1"/>
    <n v="0"/>
    <n v="0"/>
    <n v="0"/>
    <n v="6.4115150810797978E-5"/>
    <n v="13"/>
    <m/>
    <s v="Alauli "/>
    <m/>
    <n v="0"/>
  </r>
  <r>
    <s v="Munger"/>
    <s v="24-30 Jul"/>
    <n v="1054"/>
    <s v="Alauli "/>
    <x v="410"/>
    <s v="GOMUKH GHAMARIYA"/>
    <s v="MPG"/>
    <s v="Direct"/>
    <n v="105.2"/>
    <n v="5218.43"/>
    <n v="109.4"/>
    <n v="5259.6100000000006"/>
    <n v="1.3599999999999999"/>
    <n v="67.040000000000006"/>
    <n v="110.76"/>
    <n v="5326.6500000000005"/>
    <n v="5218.43"/>
    <n v="0"/>
    <n v="67.040000000000006"/>
    <n v="108.22000000000025"/>
    <n v="0"/>
    <n v="0"/>
    <n v="0"/>
    <n v="5151"/>
    <n v="0"/>
    <n v="0"/>
    <n v="0"/>
    <n v="0"/>
    <n v="590.09927072243363"/>
    <n v="15.028571428571428"/>
    <n v="-2.0738038068921161E-2"/>
    <n v="4"/>
    <m/>
    <s v="Alauli "/>
    <m/>
    <n v="0"/>
  </r>
  <r>
    <s v="Munger"/>
    <s v="24-30 Jul"/>
    <n v="1054"/>
    <s v="Alauli "/>
    <x v="411"/>
    <s v="GOMUKH MEGHAUMA"/>
    <s v="MPG"/>
    <s v="Direct"/>
    <n v="769.4"/>
    <n v="32088"/>
    <n v="756.72000000000014"/>
    <n v="32503.289999999997"/>
    <n v="9.4799999999999986"/>
    <n v="411.26"/>
    <n v="766.20000000000016"/>
    <n v="32914.549999999996"/>
    <n v="32088"/>
    <n v="0"/>
    <n v="411.26"/>
    <n v="826.54999999999563"/>
    <n v="0"/>
    <n v="0"/>
    <n v="0"/>
    <n v="31677"/>
    <n v="0"/>
    <n v="0"/>
    <n v="0"/>
    <n v="0"/>
    <n v="0"/>
    <n v="0"/>
    <n v="-2.5758850660682984E-2"/>
    <n v="17"/>
    <m/>
    <s v="Alauli "/>
    <m/>
    <n v="0"/>
  </r>
  <r>
    <s v="Munger"/>
    <s v="24-30 Jul"/>
    <n v="1054"/>
    <s v="Alauli "/>
    <x v="412"/>
    <s v="GOMUKH AURA"/>
    <s v="MPG"/>
    <s v="Direct"/>
    <n v="724.69999999999993"/>
    <n v="27690.629999999997"/>
    <n v="918.99999999999989"/>
    <n v="37985.33"/>
    <n v="0"/>
    <n v="0"/>
    <n v="918.99999999999989"/>
    <n v="37985.33"/>
    <n v="27690.629999999997"/>
    <n v="0"/>
    <n v="0"/>
    <n v="10294.700000000004"/>
    <n v="0"/>
    <n v="0"/>
    <n v="0"/>
    <n v="27691"/>
    <n v="0"/>
    <n v="0"/>
    <n v="0"/>
    <n v="0"/>
    <n v="0"/>
    <n v="0"/>
    <n v="-0.37177557895938101"/>
    <n v="2"/>
    <m/>
    <s v="Alauli "/>
    <m/>
    <n v="0"/>
  </r>
  <r>
    <s v="Munger"/>
    <s v="24-30 Jul"/>
    <n v="1054"/>
    <s v="Alauli "/>
    <x v="413"/>
    <s v="GOMUKH BEHORBA"/>
    <s v="MPG"/>
    <s v="Direct"/>
    <n v="732.10000000000014"/>
    <n v="29045.1"/>
    <n v="784.09"/>
    <n v="30161.48"/>
    <n v="0"/>
    <n v="0"/>
    <n v="784.09"/>
    <n v="30161.48"/>
    <n v="29045.1"/>
    <n v="0"/>
    <n v="0"/>
    <n v="1116.380000000001"/>
    <n v="3601"/>
    <n v="0"/>
    <n v="0"/>
    <n v="25444"/>
    <n v="0"/>
    <n v="0"/>
    <n v="0"/>
    <n v="0"/>
    <n v="0"/>
    <n v="0"/>
    <n v="-3.8436087326261609E-2"/>
    <n v="7"/>
    <m/>
    <s v="Alauli "/>
    <m/>
    <n v="0"/>
  </r>
  <r>
    <s v="Munger"/>
    <s v="24-30 Jul"/>
    <n v="1011"/>
    <s v="Sahibpur Kamal"/>
    <x v="414"/>
    <s v="GOMUKH SAIDPUR SAMASTIPUR"/>
    <s v="MPG"/>
    <s v="Direct"/>
    <n v="1629.5000000000002"/>
    <n v="63118.13"/>
    <n v="1629.1"/>
    <n v="64064.900000000009"/>
    <n v="0"/>
    <n v="0"/>
    <n v="1629.1"/>
    <n v="64064.900000000009"/>
    <n v="63118.13"/>
    <n v="0"/>
    <n v="0"/>
    <n v="946.77000000001135"/>
    <n v="0"/>
    <n v="0"/>
    <n v="0"/>
    <n v="63118"/>
    <n v="0"/>
    <n v="0"/>
    <n v="0"/>
    <n v="0"/>
    <n v="0"/>
    <n v="0"/>
    <n v="-1.4999969105548776E-2"/>
    <n v="2"/>
    <m/>
    <s v="Sahibpur Kamal"/>
    <m/>
    <n v="0"/>
  </r>
  <r>
    <s v="Munger"/>
    <s v="24-30 Jul"/>
    <n v="1054"/>
    <s v="Alauli "/>
    <x v="1016"/>
    <s v="GOMUKH SAHARBANNI"/>
    <s v="MPG"/>
    <s v="Direct"/>
    <n v="415.6"/>
    <n v="16783.349999999999"/>
    <n v="415.6"/>
    <n v="19524.89"/>
    <n v="0"/>
    <n v="0"/>
    <n v="415.6"/>
    <n v="19524.89"/>
    <n v="16783.349999999999"/>
    <n v="0"/>
    <n v="0"/>
    <n v="2741.5400000000009"/>
    <n v="9542"/>
    <n v="500"/>
    <n v="0"/>
    <n v="6741"/>
    <n v="0"/>
    <n v="0"/>
    <n v="0"/>
    <s v="Release1"/>
    <n v="229.7009018286814"/>
    <n v="59.371428571428574"/>
    <n v="-0.16334879508560574"/>
    <n v="1"/>
    <m/>
    <s v="Alauli "/>
    <m/>
    <n v="500"/>
  </r>
  <r>
    <s v="Munger"/>
    <s v="24-30 Jul"/>
    <n v="1054"/>
    <s v="Alauli "/>
    <x v="415"/>
    <s v="GOMUKH PHULTAURA"/>
    <s v="MPG"/>
    <s v="Direct"/>
    <n v="570.30000000000007"/>
    <n v="22352.620000000003"/>
    <n v="67.45"/>
    <n v="3350.65"/>
    <n v="478.01"/>
    <n v="22017.53"/>
    <n v="545.46"/>
    <n v="25368.18"/>
    <n v="22352.620000000003"/>
    <n v="0"/>
    <n v="0"/>
    <n v="3015.5599999999977"/>
    <n v="0"/>
    <n v="0"/>
    <n v="0"/>
    <n v="336"/>
    <n v="22017"/>
    <n v="0"/>
    <n v="0"/>
    <n v="0"/>
    <n v="101.6705177625811"/>
    <n v="81.471428571428575"/>
    <n v="-0.13490857000208464"/>
    <n v="10"/>
    <m/>
    <s v="Alauli "/>
    <m/>
    <n v="0"/>
  </r>
  <r>
    <s v="Munger"/>
    <s v="24-30 Jul"/>
    <n v="1011"/>
    <s v="Sahibpur Kamal"/>
    <x v="416"/>
    <s v="Jangli Tol Vlc "/>
    <s v="vlc"/>
    <s v="Indirect"/>
    <n v="1689.8"/>
    <n v="67800.02"/>
    <n v="0"/>
    <n v="0"/>
    <n v="0"/>
    <n v="0"/>
    <n v="0"/>
    <n v="0"/>
    <n v="67800.02"/>
    <n v="0"/>
    <n v="0"/>
    <n v="0"/>
    <n v="0"/>
    <n v="0"/>
    <n v="0"/>
    <n v="0"/>
    <n v="0"/>
    <n v="67800.02"/>
    <n v="0"/>
    <n v="0"/>
    <n v="0"/>
    <n v="0"/>
    <n v="0"/>
    <n v="0"/>
    <m/>
    <s v="Sahibpur Kamal"/>
    <m/>
    <n v="0"/>
  </r>
  <r>
    <s v="Munger"/>
    <s v="24-30 Jul"/>
    <n v="1055"/>
    <s v="Matihani"/>
    <x v="417"/>
    <s v="DILKHUSH KUMAR "/>
    <s v="vlc"/>
    <s v="Indirect"/>
    <n v="515.9"/>
    <n v="20475.95"/>
    <n v="0"/>
    <n v="0"/>
    <n v="0"/>
    <n v="0"/>
    <n v="0"/>
    <n v="0"/>
    <n v="20475.95"/>
    <n v="0"/>
    <n v="0"/>
    <n v="0"/>
    <n v="0"/>
    <n v="0"/>
    <n v="0"/>
    <n v="0"/>
    <n v="0"/>
    <n v="20475.95"/>
    <n v="0"/>
    <n v="0"/>
    <n v="146.13771641791044"/>
    <n v="73.7"/>
    <n v="0"/>
    <n v="0"/>
    <m/>
    <s v="Matihani"/>
    <m/>
    <n v="0"/>
  </r>
  <r>
    <s v="Munger"/>
    <s v="24-30 Jul"/>
    <n v="1011"/>
    <s v="Sahibpur Kamal"/>
    <x v="418"/>
    <s v="GOMUKH CHOWKI 2"/>
    <s v="MPG"/>
    <s v="Direct"/>
    <n v="6666"/>
    <n v="261721.90000000002"/>
    <n v="5416.7400000000007"/>
    <n v="213841.37000000002"/>
    <n v="1175.8600000000001"/>
    <n v="47782.229999999996"/>
    <n v="6592.6"/>
    <n v="261623.60000000003"/>
    <n v="261623.60000000003"/>
    <n v="0"/>
    <n v="0"/>
    <n v="0"/>
    <n v="0"/>
    <n v="0"/>
    <n v="0"/>
    <n v="213841"/>
    <n v="47782"/>
    <n v="0"/>
    <n v="99"/>
    <n v="0"/>
    <n v="0"/>
    <n v="0"/>
    <n v="3.755895093226373E-4"/>
    <n v="43"/>
    <m/>
    <s v="Sahibpur Kamal"/>
    <m/>
    <n v="0"/>
  </r>
  <r>
    <s v="Munger"/>
    <s v="24-30 Jul"/>
    <n v="1011"/>
    <s v="Sahibpur Kamal"/>
    <x v="419"/>
    <s v="GOMUKH MOHABA"/>
    <s v="MPG"/>
    <s v="Direct"/>
    <n v="1712.3"/>
    <n v="66509.87999999999"/>
    <n v="731.09999999999991"/>
    <n v="28626.309999999998"/>
    <n v="984.40000000000009"/>
    <n v="38568.67"/>
    <n v="1715.5"/>
    <n v="67194.98"/>
    <n v="66509.87999999999"/>
    <n v="0"/>
    <n v="165.65999999999997"/>
    <n v="685.10000000000582"/>
    <n v="0"/>
    <n v="0"/>
    <n v="0"/>
    <n v="27940"/>
    <n v="38404"/>
    <n v="0"/>
    <n v="0"/>
    <n v="0"/>
    <n v="0"/>
    <n v="0"/>
    <n v="-1.0300725245632768E-2"/>
    <n v="11"/>
    <m/>
    <s v="Sahibpur Kamal"/>
    <m/>
    <n v="0"/>
  </r>
  <r>
    <s v="Munger"/>
    <s v="24-30 Jul"/>
    <n v="1011"/>
    <s v="Sahibpur Kamal"/>
    <x v="420"/>
    <s v="SANHA VLC"/>
    <s v="vlc"/>
    <s v="Indirect"/>
    <n v="517.30000000000007"/>
    <n v="19044.469999999998"/>
    <n v="0"/>
    <n v="0"/>
    <n v="0"/>
    <n v="0"/>
    <n v="0"/>
    <n v="0"/>
    <n v="19044.469999999998"/>
    <n v="0"/>
    <n v="0"/>
    <n v="0"/>
    <n v="0"/>
    <n v="0"/>
    <n v="0"/>
    <n v="0"/>
    <n v="0"/>
    <n v="19044.469999999998"/>
    <n v="0"/>
    <n v="0"/>
    <n v="134.52250798376178"/>
    <n v="73.900000000000006"/>
    <n v="0"/>
    <n v="0"/>
    <m/>
    <s v="Sahibpur Kamal"/>
    <m/>
    <n v="0"/>
  </r>
  <r>
    <s v="Munger"/>
    <s v="24-30 Jul"/>
    <n v="1011"/>
    <s v="Sahibpur Kamal"/>
    <x v="421"/>
    <s v="MOHANPUR VLC"/>
    <s v="vlc"/>
    <s v="Indirect"/>
    <n v="670"/>
    <n v="24683.7"/>
    <n v="0"/>
    <n v="0"/>
    <n v="0"/>
    <n v="0"/>
    <n v="0"/>
    <n v="0"/>
    <n v="24683.7"/>
    <n v="0"/>
    <n v="0"/>
    <n v="0"/>
    <n v="0"/>
    <n v="0"/>
    <n v="0"/>
    <n v="0"/>
    <n v="0"/>
    <n v="24683.7"/>
    <n v="0"/>
    <n v="0"/>
    <n v="22.104805970149286"/>
    <n v="95.714285714285708"/>
    <n v="0"/>
    <n v="0"/>
    <m/>
    <s v="Sahibpur Kamal"/>
    <m/>
    <n v="0"/>
  </r>
  <r>
    <s v="Munger"/>
    <s v="24-30 Jul"/>
    <n v="1011"/>
    <s v="Sahibpur Kamal"/>
    <x v="422"/>
    <s v="GOMUKH JANGLITOL"/>
    <s v="MPG"/>
    <s v="Direct"/>
    <n v="247.10000000000002"/>
    <n v="10370.269999999999"/>
    <n v="247"/>
    <n v="10065.549999999999"/>
    <n v="0"/>
    <n v="0"/>
    <n v="247"/>
    <n v="10065.549999999999"/>
    <n v="10065.549999999999"/>
    <n v="0"/>
    <n v="0"/>
    <n v="0"/>
    <n v="0"/>
    <n v="0"/>
    <n v="0"/>
    <n v="10067"/>
    <n v="0"/>
    <n v="0"/>
    <n v="303"/>
    <n v="0"/>
    <n v="380.14530821529729"/>
    <n v="35.300000000000004"/>
    <n v="2.9383998680844316E-2"/>
    <n v="5"/>
    <m/>
    <s v="Sahibpur Kamal"/>
    <m/>
    <n v="0"/>
  </r>
  <r>
    <s v="Munger"/>
    <s v="24-30 Jul"/>
    <n v="1011"/>
    <s v="Sahibpur Kamal"/>
    <x v="423"/>
    <s v="Hiratol VLC"/>
    <s v="vlc"/>
    <s v="Indirect"/>
    <n v="276.89999999999998"/>
    <n v="9876.3000000000011"/>
    <n v="0"/>
    <n v="0"/>
    <n v="0"/>
    <n v="0"/>
    <n v="0"/>
    <n v="0"/>
    <n v="9876.3000000000011"/>
    <n v="0"/>
    <n v="0"/>
    <n v="0"/>
    <n v="0"/>
    <n v="0"/>
    <n v="0"/>
    <n v="0"/>
    <n v="0"/>
    <n v="9876.3000000000011"/>
    <n v="0"/>
    <n v="0"/>
    <n v="301.81744528710732"/>
    <n v="39.557142857142857"/>
    <n v="0"/>
    <n v="0"/>
    <m/>
    <s v="Sahibpur Kamal"/>
    <m/>
    <n v="0"/>
  </r>
  <r>
    <s v="Munger"/>
    <s v="24-30 Jul"/>
    <n v="1011"/>
    <s v="Sahibpur Kamal"/>
    <x v="424"/>
    <s v="GOMUKH BARBIGHI"/>
    <s v="MPG"/>
    <s v="Direct"/>
    <n v="1431.6999999999998"/>
    <n v="55112.13"/>
    <n v="1394.3999999999999"/>
    <n v="55211.049999999996"/>
    <n v="4.5"/>
    <n v="179.24"/>
    <n v="1398.8999999999999"/>
    <n v="55390.289999999994"/>
    <n v="55112.13"/>
    <n v="0"/>
    <n v="179.24"/>
    <n v="278.15999999999622"/>
    <n v="0"/>
    <n v="0"/>
    <n v="0"/>
    <n v="54933"/>
    <n v="0"/>
    <n v="0"/>
    <n v="0"/>
    <n v="0"/>
    <n v="0"/>
    <n v="0"/>
    <n v="-5.0471647530225417E-3"/>
    <n v="3"/>
    <m/>
    <s v="Sahibpur Kamal"/>
    <m/>
    <n v="0"/>
  </r>
  <r>
    <s v="Munger"/>
    <s v="24-30 Jul"/>
    <n v="1011"/>
    <s v="Sahibpur Kamal"/>
    <x v="425"/>
    <s v="Dandari-2"/>
    <s v="MPG"/>
    <s v="Direct"/>
    <n v="279"/>
    <n v="10743.13"/>
    <n v="279"/>
    <n v="10705.23"/>
    <n v="0"/>
    <n v="0"/>
    <n v="279"/>
    <n v="10705.23"/>
    <n v="10705.23"/>
    <n v="0"/>
    <n v="0"/>
    <n v="0"/>
    <n v="0"/>
    <n v="0"/>
    <n v="0"/>
    <n v="10705"/>
    <n v="0"/>
    <n v="0"/>
    <n v="38"/>
    <n v="0"/>
    <n v="324.21919211469532"/>
    <n v="39.857142857142854"/>
    <n v="3.5278359286352898E-3"/>
    <n v="1"/>
    <m/>
    <s v="Sahibpur Kamal"/>
    <m/>
    <n v="0"/>
  </r>
  <r>
    <s v="Munger"/>
    <s v="24-30 Jul"/>
    <n v="1011"/>
    <s v="Sahibpur Kamal"/>
    <x v="426"/>
    <s v="Barkhanditol"/>
    <s v="vlc"/>
    <s v="Indirect"/>
    <n v="1140.3"/>
    <n v="47820.020000000004"/>
    <n v="0"/>
    <n v="0"/>
    <n v="0"/>
    <n v="0"/>
    <n v="0"/>
    <n v="0"/>
    <n v="47820.020000000004"/>
    <n v="0"/>
    <n v="0"/>
    <n v="0"/>
    <n v="0"/>
    <n v="0"/>
    <n v="0"/>
    <n v="0"/>
    <n v="0"/>
    <n v="47820.020000000004"/>
    <n v="0"/>
    <n v="0"/>
    <n v="0"/>
    <n v="0"/>
    <n v="0"/>
    <n v="0"/>
    <m/>
    <s v="Sahibpur Kamal"/>
    <m/>
    <n v="0"/>
  </r>
  <r>
    <s v="Munger"/>
    <s v="24-30 Jul"/>
    <n v="1011"/>
    <s v="Sahibpur Kamal"/>
    <x v="427"/>
    <s v="Chauki-VLC"/>
    <s v="vlc"/>
    <s v="Indirect"/>
    <n v="522.9"/>
    <n v="21435.989999999998"/>
    <n v="0"/>
    <n v="0"/>
    <n v="0"/>
    <n v="0"/>
    <n v="0"/>
    <n v="0"/>
    <n v="21435.989999999998"/>
    <n v="0"/>
    <n v="0"/>
    <n v="0"/>
    <n v="0"/>
    <n v="0"/>
    <n v="0"/>
    <n v="0"/>
    <n v="0"/>
    <n v="21435.989999999998"/>
    <n v="0"/>
    <n v="0"/>
    <n v="145.20228835341362"/>
    <n v="74.7"/>
    <n v="0"/>
    <n v="0"/>
    <m/>
    <s v="Sahibpur Kamal"/>
    <m/>
    <n v="0"/>
  </r>
  <r>
    <s v="Munger"/>
    <s v="24-30 Jul"/>
    <n v="1011"/>
    <s v="Sahibpur Kamal"/>
    <x v="428"/>
    <s v="Hardia"/>
    <s v="MPG"/>
    <s v="Direct"/>
    <n v="923.1"/>
    <n v="39242.79"/>
    <n v="919.7"/>
    <n v="39160.839999999997"/>
    <n v="3.4999999999999996"/>
    <n v="172.36"/>
    <n v="923.2"/>
    <n v="39333.199999999997"/>
    <n v="39242.79"/>
    <n v="0"/>
    <n v="172.36"/>
    <n v="90.409999999996217"/>
    <n v="0"/>
    <n v="0"/>
    <n v="0"/>
    <n v="39070"/>
    <n v="0"/>
    <n v="0"/>
    <n v="0"/>
    <n v="0"/>
    <n v="0"/>
    <n v="0"/>
    <n v="-2.3038626968163124E-3"/>
    <n v="3"/>
    <m/>
    <s v="Sahibpur Kamal"/>
    <m/>
    <n v="0"/>
  </r>
  <r>
    <s v="Munger"/>
    <s v="24-30 Jul"/>
    <n v="1011"/>
    <s v="Sahibpur Kamal"/>
    <x v="429"/>
    <s v="Pachveer"/>
    <s v="vlc"/>
    <s v="Indirect"/>
    <n v="16414.200000000004"/>
    <n v="648868.43000000005"/>
    <n v="0"/>
    <n v="0"/>
    <n v="0"/>
    <n v="0"/>
    <n v="0"/>
    <n v="0"/>
    <n v="648868.43000000005"/>
    <n v="0"/>
    <n v="0"/>
    <n v="0"/>
    <n v="0"/>
    <n v="0"/>
    <n v="0"/>
    <n v="0"/>
    <n v="0"/>
    <n v="648868.43000000005"/>
    <n v="0"/>
    <n v="0"/>
    <n v="0"/>
    <n v="0"/>
    <n v="0"/>
    <n v="0"/>
    <m/>
    <s v="Sahibpur Kamal"/>
    <m/>
    <n v="0"/>
  </r>
  <r>
    <s v="Munger"/>
    <s v="24-30 Jul"/>
    <n v="1011"/>
    <s v="Sahibpur Kamal"/>
    <x v="979"/>
    <s v="Barkhaditol-3"/>
    <s v="vlc"/>
    <s v="Indirect"/>
    <n v="891.69999999999993"/>
    <n v="37216.050000000003"/>
    <n v="0"/>
    <n v="0"/>
    <n v="0"/>
    <n v="0"/>
    <n v="0"/>
    <n v="0"/>
    <n v="37216.050000000003"/>
    <n v="0"/>
    <n v="0"/>
    <n v="0"/>
    <n v="0"/>
    <n v="0"/>
    <n v="0"/>
    <n v="0"/>
    <n v="0"/>
    <n v="37216.050000000003"/>
    <n v="0"/>
    <n v="0"/>
    <n v="0"/>
    <n v="0"/>
    <n v="0"/>
    <n v="0"/>
    <m/>
    <s v="Sahibpur Kamal"/>
    <m/>
    <n v="0"/>
  </r>
  <r>
    <s v="Munger"/>
    <s v="24-30 Jul"/>
    <n v="1011"/>
    <s v="Sahibpur Kamal"/>
    <x v="430"/>
    <s v="Mathar-3"/>
    <s v="vlc"/>
    <s v="Indirect"/>
    <n v="2459"/>
    <n v="101113.62"/>
    <n v="0"/>
    <n v="0"/>
    <n v="0"/>
    <n v="0"/>
    <n v="0"/>
    <n v="0"/>
    <n v="101113.62"/>
    <n v="0"/>
    <n v="0"/>
    <n v="0"/>
    <n v="0"/>
    <n v="0"/>
    <n v="0"/>
    <n v="0"/>
    <n v="0"/>
    <n v="101113.62"/>
    <n v="0"/>
    <n v="0"/>
    <n v="0"/>
    <n v="0"/>
    <n v="0"/>
    <n v="0"/>
    <m/>
    <s v="Sahibpur Kamal"/>
    <m/>
    <n v="0"/>
  </r>
  <r>
    <s v="Munger"/>
    <s v="24-30 Jul"/>
    <n v="1011"/>
    <s v="Sahibpur Kamal"/>
    <x v="431"/>
    <s v="Ahoghat"/>
    <s v="vlc"/>
    <s v="Indirect"/>
    <n v="400.9"/>
    <n v="17335.36"/>
    <n v="0"/>
    <n v="0"/>
    <n v="0"/>
    <n v="0"/>
    <n v="0"/>
    <n v="0"/>
    <n v="17335.36"/>
    <n v="0"/>
    <n v="0"/>
    <n v="0"/>
    <n v="0"/>
    <n v="0"/>
    <n v="0"/>
    <n v="0"/>
    <n v="0"/>
    <n v="17335.36"/>
    <n v="0"/>
    <s v="Release2"/>
    <n v="258.66830511349468"/>
    <n v="57.271428571428565"/>
    <n v="0"/>
    <n v="0"/>
    <m/>
    <s v="Sahibpur Kamal"/>
    <m/>
    <n v="0"/>
  </r>
  <r>
    <s v="Munger"/>
    <s v="24-30 Jul"/>
    <n v="1011"/>
    <s v="Sahibpur Kamal"/>
    <x v="432"/>
    <s v="Mathar-4"/>
    <s v="vlc"/>
    <s v="Indirect"/>
    <n v="308.8"/>
    <n v="12529.329999999998"/>
    <n v="0"/>
    <n v="0"/>
    <n v="0"/>
    <n v="0"/>
    <n v="0"/>
    <n v="0"/>
    <n v="12529.329999999998"/>
    <n v="0"/>
    <n v="0"/>
    <n v="0"/>
    <n v="0"/>
    <n v="0"/>
    <n v="0"/>
    <n v="0"/>
    <n v="0"/>
    <n v="12529.329999999998"/>
    <n v="0"/>
    <n v="0"/>
    <n v="317.45297253886002"/>
    <n v="44.114285714285714"/>
    <n v="0"/>
    <n v="0"/>
    <m/>
    <s v="Sahibpur Kamal"/>
    <m/>
    <n v="0"/>
  </r>
  <r>
    <s v="Munger"/>
    <s v="24-30 Jul"/>
    <n v="1011"/>
    <s v="Sahibpur Kamal"/>
    <x v="433"/>
    <s v="Sadpur-2"/>
    <s v="vlc"/>
    <s v="Direct"/>
    <n v="875.5"/>
    <n v="32114.51"/>
    <n v="875.5"/>
    <n v="32612.38"/>
    <n v="0"/>
    <n v="0"/>
    <n v="875.5"/>
    <n v="32612.38"/>
    <n v="32114.51"/>
    <n v="0"/>
    <n v="0"/>
    <n v="497.87000000000262"/>
    <n v="0"/>
    <n v="0"/>
    <n v="0"/>
    <n v="32115"/>
    <n v="0"/>
    <n v="0"/>
    <n v="0"/>
    <n v="0"/>
    <n v="0"/>
    <n v="0"/>
    <n v="-1.5502961122558079E-2"/>
    <n v="1"/>
    <m/>
    <s v="Sahibpur Kamal"/>
    <m/>
    <n v="0"/>
  </r>
  <r>
    <s v="Munger"/>
    <s v="24-30 Jul"/>
    <n v="1011"/>
    <s v="Sahibpur Kamal"/>
    <x v="435"/>
    <s v="Baliya"/>
    <s v="vlc"/>
    <s v="Indirect"/>
    <n v="7499.5999999999995"/>
    <n v="292629.06"/>
    <n v="0"/>
    <n v="0"/>
    <n v="0"/>
    <n v="0"/>
    <n v="0"/>
    <n v="0"/>
    <n v="292629.06"/>
    <n v="0"/>
    <n v="0"/>
    <n v="0"/>
    <n v="0"/>
    <n v="0"/>
    <n v="0"/>
    <n v="0"/>
    <n v="0"/>
    <n v="292629.06"/>
    <n v="0"/>
    <n v="0"/>
    <n v="0"/>
    <n v="0"/>
    <n v="0"/>
    <n v="0"/>
    <m/>
    <s v="Sahibpur Kamal"/>
    <m/>
    <n v="0"/>
  </r>
  <r>
    <s v="Munger"/>
    <s v="24-30 Jul"/>
    <n v="1012"/>
    <s v="DalsinghSarai"/>
    <x v="436"/>
    <s v="GOMUKH SUBHANPUR"/>
    <s v="MPG"/>
    <s v="Indirect"/>
    <n v="239.4"/>
    <n v="9730.6"/>
    <n v="0"/>
    <n v="0"/>
    <n v="0"/>
    <n v="0"/>
    <n v="0"/>
    <n v="0"/>
    <n v="9730.6"/>
    <n v="0"/>
    <n v="0"/>
    <n v="0"/>
    <n v="1400"/>
    <n v="0"/>
    <n v="0"/>
    <n v="0"/>
    <n v="0"/>
    <n v="8330.6"/>
    <n v="0"/>
    <n v="0"/>
    <n v="374.42893567251463"/>
    <n v="34.200000000000003"/>
    <n v="0"/>
    <n v="0"/>
    <m/>
    <s v="DalsinghSarai"/>
    <m/>
    <n v="0"/>
  </r>
  <r>
    <s v="Munger"/>
    <s v="24-30 Jul"/>
    <n v="1012"/>
    <s v="DalsinghSarai"/>
    <x v="437"/>
    <s v="GOMUKH  BHAJANGAMA"/>
    <s v="MPG"/>
    <s v="Indirect"/>
    <n v="518.04999999999995"/>
    <n v="20346.110000000004"/>
    <n v="0"/>
    <n v="0"/>
    <n v="0"/>
    <n v="0"/>
    <n v="0"/>
    <n v="0"/>
    <n v="20346.110000000004"/>
    <n v="0"/>
    <n v="0"/>
    <n v="0"/>
    <n v="7000"/>
    <n v="0"/>
    <n v="0"/>
    <n v="0"/>
    <n v="0"/>
    <n v="13346.110000000004"/>
    <n v="0"/>
    <n v="0"/>
    <n v="142.91959133288302"/>
    <n v="74.007142857142853"/>
    <n v="0"/>
    <n v="0"/>
    <m/>
    <s v="DalsinghSarai"/>
    <m/>
    <n v="0"/>
  </r>
  <r>
    <s v="Munger"/>
    <s v="24-30 Jul"/>
    <n v="1012"/>
    <s v="DalsinghSarai"/>
    <x v="438"/>
    <s v="Gomukh Basadhiya Kurni"/>
    <s v="MPG"/>
    <s v="Direct"/>
    <n v="595.04999999999995"/>
    <n v="22965.25"/>
    <n v="590.17000000000007"/>
    <n v="22965.07"/>
    <n v="0"/>
    <n v="0"/>
    <n v="590.17000000000007"/>
    <n v="22965.07"/>
    <n v="22965.07"/>
    <n v="0"/>
    <n v="0"/>
    <n v="0"/>
    <n v="0"/>
    <n v="0"/>
    <n v="0"/>
    <n v="22965"/>
    <n v="0"/>
    <n v="0"/>
    <n v="0"/>
    <n v="0"/>
    <n v="81.008419040416797"/>
    <n v="85.007142857142853"/>
    <n v="7.8379290449827902E-6"/>
    <n v="5"/>
    <m/>
    <s v="DalsinghSarai"/>
    <m/>
    <n v="0"/>
  </r>
  <r>
    <s v="Munger"/>
    <s v="24-30 Jul"/>
    <n v="1012"/>
    <s v="DalsinghSarai"/>
    <x v="439"/>
    <s v="KHAJURI"/>
    <s v="MPG"/>
    <s v="Direct"/>
    <n v="283.3"/>
    <n v="10668.75"/>
    <n v="267.95"/>
    <n v="10135.41"/>
    <n v="14.2"/>
    <n v="532.25"/>
    <n v="282.14999999999998"/>
    <n v="10667.66"/>
    <n v="10667.66"/>
    <n v="0"/>
    <n v="0"/>
    <n v="0"/>
    <n v="0"/>
    <n v="0"/>
    <n v="0"/>
    <n v="10135"/>
    <n v="532"/>
    <n v="0"/>
    <n v="2"/>
    <n v="0"/>
    <n v="313.8487910342393"/>
    <n v="40.471428571428575"/>
    <n v="1.0216754540130245E-4"/>
    <n v="7"/>
    <m/>
    <s v="DalsinghSarai"/>
    <m/>
    <n v="0"/>
  </r>
  <r>
    <s v="Munger"/>
    <s v="24-30 Jul"/>
    <n v="1012"/>
    <s v="DalsinghSarai"/>
    <x v="440"/>
    <s v="ARMAULI-2"/>
    <s v="MPG"/>
    <s v="Direct"/>
    <n v="1147.4000000000001"/>
    <n v="47464.330000000016"/>
    <n v="1126.3699999999999"/>
    <n v="46793.319999999992"/>
    <n v="14.55"/>
    <n v="598.34"/>
    <n v="1140.9199999999998"/>
    <n v="47391.659999999989"/>
    <n v="47391.659999999989"/>
    <n v="0"/>
    <n v="598.34"/>
    <n v="0"/>
    <n v="5540"/>
    <n v="0"/>
    <n v="0"/>
    <n v="41252"/>
    <n v="0"/>
    <n v="0"/>
    <n v="74"/>
    <n v="0"/>
    <n v="0"/>
    <n v="0"/>
    <n v="1.5310444706588577E-3"/>
    <n v="31"/>
    <m/>
    <s v="DalsinghSarai"/>
    <m/>
    <n v="0"/>
  </r>
  <r>
    <s v="Munger"/>
    <s v="24-30 Jul"/>
    <n v="1012"/>
    <s v="DalsinghSarai"/>
    <x v="441"/>
    <s v="MUSAPUR - 2"/>
    <s v="MPG"/>
    <s v="Indirect"/>
    <n v="74.150000000000006"/>
    <n v="2642.1499999999996"/>
    <n v="0"/>
    <n v="0"/>
    <n v="0"/>
    <n v="0"/>
    <n v="0"/>
    <n v="0"/>
    <n v="2642.1499999999996"/>
    <n v="0"/>
    <n v="0"/>
    <n v="0"/>
    <n v="0"/>
    <n v="0"/>
    <n v="0"/>
    <n v="0"/>
    <n v="0"/>
    <n v="2642.1499999999996"/>
    <n v="0"/>
    <n v="0"/>
    <n v="446.01202360080913"/>
    <n v="10.592857142857143"/>
    <n v="0"/>
    <n v="0"/>
    <m/>
    <s v="DalsinghSarai"/>
    <m/>
    <n v="0"/>
  </r>
  <r>
    <s v="Munger"/>
    <s v="24-30 Jul"/>
    <n v="1012"/>
    <s v="DalsinghSarai"/>
    <x v="442"/>
    <s v="Janganath Pur"/>
    <s v="MPG"/>
    <s v="Indirect"/>
    <n v="1976.7500000000002"/>
    <n v="86439.95"/>
    <n v="0"/>
    <n v="0"/>
    <n v="0"/>
    <n v="0"/>
    <n v="0"/>
    <n v="0"/>
    <n v="86439.95"/>
    <n v="0"/>
    <n v="0"/>
    <n v="0"/>
    <n v="2800"/>
    <n v="0"/>
    <n v="0"/>
    <n v="0"/>
    <n v="0"/>
    <n v="83639.95"/>
    <n v="0"/>
    <n v="0"/>
    <n v="0"/>
    <n v="0"/>
    <n v="0"/>
    <n v="0"/>
    <m/>
    <s v="DalsinghSarai"/>
    <m/>
    <n v="0"/>
  </r>
  <r>
    <s v="Munger"/>
    <s v="24-30 Jul"/>
    <n v="1012"/>
    <s v="DalsinghSarai"/>
    <x v="443"/>
    <s v="Nagargama"/>
    <s v="MPG"/>
    <s v="Indirect"/>
    <n v="579.90000000000009"/>
    <n v="23742.740000000005"/>
    <n v="0"/>
    <n v="0"/>
    <n v="0"/>
    <n v="0"/>
    <n v="0"/>
    <n v="0"/>
    <n v="23742.740000000005"/>
    <n v="0"/>
    <n v="0"/>
    <n v="0"/>
    <n v="0"/>
    <n v="0"/>
    <n v="0"/>
    <n v="0"/>
    <n v="0"/>
    <n v="23742.740000000005"/>
    <n v="0"/>
    <n v="0"/>
    <n v="98.344648180720739"/>
    <n v="82.842857142857156"/>
    <n v="0"/>
    <n v="0"/>
    <m/>
    <s v="DalsinghSarai"/>
    <m/>
    <n v="0"/>
  </r>
  <r>
    <s v="Munger"/>
    <s v="24-30 Jul"/>
    <n v="1012"/>
    <s v="DalsinghSarai"/>
    <x v="444"/>
    <s v="Sato Ghachchhi"/>
    <s v="MPG"/>
    <s v="Direct"/>
    <n v="646.54999999999984"/>
    <n v="32088.309999999998"/>
    <n v="662.9"/>
    <n v="31721.99"/>
    <n v="7.9"/>
    <n v="364.91"/>
    <n v="670.8"/>
    <n v="32086.9"/>
    <n v="32086.9"/>
    <n v="1965"/>
    <n v="364.91"/>
    <n v="0"/>
    <n v="0"/>
    <n v="0"/>
    <n v="0"/>
    <n v="29758"/>
    <n v="0"/>
    <n v="0"/>
    <n v="0"/>
    <n v="0"/>
    <n v="53.054525388601242"/>
    <n v="92.364285714285685"/>
    <n v="4.3941235920377748E-5"/>
    <n v="17"/>
    <m/>
    <s v="DalsinghSarai"/>
    <m/>
    <n v="0"/>
  </r>
  <r>
    <s v="Munger"/>
    <s v="24-30 Jul"/>
    <n v="1012"/>
    <s v="DalsinghSarai"/>
    <x v="445"/>
    <s v="Bhatgama"/>
    <s v="MPG"/>
    <s v="Indirect"/>
    <n v="394.35"/>
    <n v="12970.43"/>
    <n v="0"/>
    <n v="0"/>
    <n v="0"/>
    <n v="0"/>
    <n v="0"/>
    <n v="0"/>
    <n v="12970.43"/>
    <n v="0"/>
    <n v="0"/>
    <n v="0"/>
    <n v="2800"/>
    <n v="0"/>
    <n v="0"/>
    <n v="0"/>
    <n v="0"/>
    <n v="10170.43"/>
    <n v="0"/>
    <n v="0"/>
    <n v="201.06057712691771"/>
    <n v="56.335714285714289"/>
    <n v="0"/>
    <n v="0"/>
    <m/>
    <s v="DalsinghSarai"/>
    <m/>
    <n v="0"/>
  </r>
  <r>
    <s v="Munger"/>
    <s v="24-30 Jul"/>
    <n v="1012"/>
    <s v="DalsinghSarai"/>
    <x v="446"/>
    <s v="Borna Rasalpur"/>
    <s v="MPG"/>
    <s v="Direct"/>
    <n v="994.05000000000007"/>
    <n v="42771.869999999995"/>
    <n v="406.90000000000003"/>
    <n v="18451.86"/>
    <n v="563.20000000000005"/>
    <n v="24320.239999999998"/>
    <n v="970.10000000000014"/>
    <n v="42772.1"/>
    <n v="42771.869999999995"/>
    <n v="0"/>
    <n v="54.88"/>
    <n v="0.23000000000320142"/>
    <n v="0"/>
    <n v="0"/>
    <n v="0"/>
    <n v="18451"/>
    <n v="24266"/>
    <n v="0"/>
    <n v="0"/>
    <n v="0"/>
    <n v="0"/>
    <n v="0"/>
    <n v="-5.3773660118952351E-6"/>
    <n v="22"/>
    <m/>
    <s v="DalsinghSarai"/>
    <m/>
    <n v="0"/>
  </r>
  <r>
    <s v="Munger"/>
    <s v="24-30 Jul"/>
    <n v="1012"/>
    <s v="DalsinghSarai"/>
    <x v="447"/>
    <s v="Rasalpur"/>
    <s v="MPG"/>
    <s v="Direct"/>
    <n v="1232.1499999999999"/>
    <n v="48379.66"/>
    <n v="1081.3899999999999"/>
    <n v="40787.94"/>
    <n v="195.38"/>
    <n v="7590.38"/>
    <n v="1276.77"/>
    <n v="48378.32"/>
    <n v="48378.32"/>
    <n v="0"/>
    <n v="0"/>
    <n v="0"/>
    <n v="0"/>
    <n v="0"/>
    <n v="0"/>
    <n v="40788"/>
    <n v="7590"/>
    <n v="0"/>
    <n v="2"/>
    <n v="0"/>
    <n v="0"/>
    <n v="0"/>
    <n v="2.7697590268385174E-5"/>
    <n v="16"/>
    <m/>
    <s v="DalsinghSarai"/>
    <m/>
    <n v="0"/>
  </r>
  <r>
    <s v="Munger"/>
    <s v="24-30 Jul"/>
    <n v="1012"/>
    <s v="DalsinghSarai"/>
    <x v="448"/>
    <s v="Narahan"/>
    <s v="MPG"/>
    <s v="Direct"/>
    <n v="228.39999999999998"/>
    <n v="7858.6799999999994"/>
    <n v="211.73000000000002"/>
    <n v="7691.86"/>
    <n v="4.49"/>
    <n v="166.57000000000002"/>
    <n v="216.22000000000003"/>
    <n v="7858.4299999999994"/>
    <n v="7858.4299999999994"/>
    <n v="0"/>
    <n v="166.57000000000002"/>
    <n v="0"/>
    <n v="2428"/>
    <n v="0"/>
    <n v="0"/>
    <n v="5263"/>
    <n v="0"/>
    <n v="0"/>
    <n v="1"/>
    <n v="0"/>
    <n v="324.53182907180388"/>
    <n v="32.628571428571426"/>
    <n v="3.1811958242351134E-5"/>
    <n v="5"/>
    <m/>
    <s v="DalsinghSarai"/>
    <m/>
    <n v="0"/>
  </r>
  <r>
    <s v="Munger"/>
    <s v="24-30 Jul"/>
    <n v="1012"/>
    <s v="DalsinghSarai"/>
    <x v="449"/>
    <s v="Gomukh Dumduma"/>
    <s v="MPG"/>
    <s v="Direct"/>
    <n v="407.8"/>
    <n v="15437.81"/>
    <n v="415.85"/>
    <n v="15920.73"/>
    <n v="0"/>
    <n v="0"/>
    <n v="415.85"/>
    <n v="15920.73"/>
    <n v="15437.81"/>
    <n v="0"/>
    <n v="0"/>
    <n v="482.92000000000007"/>
    <n v="0"/>
    <n v="0"/>
    <n v="0"/>
    <n v="15438"/>
    <n v="0"/>
    <n v="0"/>
    <n v="0"/>
    <n v="0"/>
    <n v="221.23237282981853"/>
    <n v="58.25714285714286"/>
    <n v="-3.1281639040770685E-2"/>
    <n v="3"/>
    <m/>
    <s v="DalsinghSarai"/>
    <m/>
    <n v="0"/>
  </r>
  <r>
    <s v="Munger"/>
    <s v="24-30 Jul"/>
    <n v="1012"/>
    <s v="DalsinghSarai"/>
    <x v="450"/>
    <s v="SUPOL"/>
    <s v="MPG"/>
    <s v="Direct"/>
    <n v="439"/>
    <n v="19484.550000000003"/>
    <n v="420.7"/>
    <n v="18737.68"/>
    <n v="15.8"/>
    <n v="730.16"/>
    <n v="436.5"/>
    <n v="19467.84"/>
    <n v="19467.84"/>
    <n v="0"/>
    <n v="259.60000000000002"/>
    <n v="0"/>
    <n v="0"/>
    <n v="0"/>
    <n v="0"/>
    <n v="18738"/>
    <n v="473"/>
    <n v="0"/>
    <n v="14"/>
    <n v="0"/>
    <n v="231.68417084282464"/>
    <n v="62.714285714285715"/>
    <n v="8.5760256203005775E-4"/>
    <n v="11"/>
    <m/>
    <s v="DalsinghSarai"/>
    <m/>
    <n v="0"/>
  </r>
  <r>
    <s v="Munger"/>
    <s v="24-30 Jul"/>
    <n v="1012"/>
    <s v="DalsinghSarai"/>
    <x v="451"/>
    <s v="BHUSARAI"/>
    <s v="MPG"/>
    <s v="Direct"/>
    <n v="224.40000000000003"/>
    <n v="10155.019999999999"/>
    <n v="129.91"/>
    <n v="5716.77"/>
    <n v="96.84"/>
    <n v="4229.1900000000005"/>
    <n v="226.75"/>
    <n v="9945.9600000000009"/>
    <n v="9945.9600000000009"/>
    <n v="0"/>
    <n v="151.35"/>
    <n v="0"/>
    <n v="1400"/>
    <n v="0"/>
    <n v="0"/>
    <n v="4316"/>
    <n v="4078"/>
    <n v="0"/>
    <n v="210"/>
    <n v="0"/>
    <n v="430.45699750445618"/>
    <n v="32.057142857142864"/>
    <n v="2.058686245817317E-2"/>
    <n v="6"/>
    <m/>
    <s v="DalsinghSarai"/>
    <m/>
    <n v="0"/>
  </r>
  <r>
    <s v="Munger"/>
    <s v="24-30 Jul"/>
    <n v="1012"/>
    <s v="DalsinghSarai"/>
    <x v="452"/>
    <s v="Gomukha Jounapur"/>
    <s v="MPG"/>
    <s v="Indirect"/>
    <n v="161.75000000000003"/>
    <n v="7478.84"/>
    <n v="0"/>
    <n v="0"/>
    <n v="0"/>
    <n v="0"/>
    <n v="0"/>
    <n v="0"/>
    <n v="7478.84"/>
    <n v="0"/>
    <n v="0"/>
    <n v="0"/>
    <n v="7479"/>
    <n v="0"/>
    <n v="0"/>
    <n v="0"/>
    <n v="0"/>
    <n v="-0.15999999999985448"/>
    <n v="0"/>
    <n v="0"/>
    <n v="497.74165440494579"/>
    <n v="23.107142857142861"/>
    <n v="0"/>
    <n v="0"/>
    <m/>
    <s v="DalsinghSarai"/>
    <m/>
    <n v="0"/>
  </r>
  <r>
    <s v="Munger"/>
    <s v="24-30 Jul"/>
    <n v="1012"/>
    <s v="DalsinghSarai"/>
    <x v="453"/>
    <s v="Patailliya"/>
    <s v="MPG"/>
    <s v="Indirect"/>
    <n v="185.60000000000002"/>
    <n v="7012.15"/>
    <n v="0"/>
    <n v="0"/>
    <n v="0"/>
    <n v="0"/>
    <n v="0"/>
    <n v="0"/>
    <n v="7012.15"/>
    <n v="0"/>
    <n v="0"/>
    <n v="0"/>
    <n v="0"/>
    <n v="0"/>
    <n v="0"/>
    <n v="0"/>
    <n v="0"/>
    <n v="7012.15"/>
    <n v="0"/>
    <n v="0"/>
    <n v="388.69072844827576"/>
    <n v="26.514285714285716"/>
    <n v="0"/>
    <n v="0"/>
    <m/>
    <s v="DalsinghSarai"/>
    <m/>
    <n v="0"/>
  </r>
  <r>
    <s v="Munger"/>
    <s v="24-30 Jul"/>
    <n v="1012"/>
    <s v="DalsinghSarai"/>
    <x v="454"/>
    <s v="Badiya"/>
    <s v="MPG"/>
    <s v="Indirect"/>
    <n v="147.9"/>
    <n v="5134.42"/>
    <n v="0"/>
    <n v="0"/>
    <n v="0"/>
    <n v="0"/>
    <n v="0"/>
    <n v="0"/>
    <n v="5134.42"/>
    <n v="0"/>
    <n v="0"/>
    <n v="0"/>
    <n v="0"/>
    <n v="0"/>
    <n v="0"/>
    <n v="0"/>
    <n v="0"/>
    <n v="5134.42"/>
    <n v="0"/>
    <n v="0"/>
    <n v="383.32836808654486"/>
    <n v="21.12857142857143"/>
    <n v="0"/>
    <n v="0"/>
    <m/>
    <s v="DalsinghSarai"/>
    <m/>
    <n v="0"/>
  </r>
  <r>
    <s v="Munger"/>
    <s v="24-30 Jul"/>
    <n v="1012"/>
    <s v="DalsinghSarai"/>
    <x v="455"/>
    <s v="Gomukh Tabhka"/>
    <s v="MPG"/>
    <s v="Direct"/>
    <n v="2574.6"/>
    <n v="108368.29"/>
    <n v="1345.9"/>
    <n v="63995.479999999996"/>
    <n v="1048.78"/>
    <n v="44369.609999999993"/>
    <n v="2394.6800000000003"/>
    <n v="108365.09"/>
    <n v="108365.09"/>
    <n v="0"/>
    <n v="862.80000000000007"/>
    <n v="0"/>
    <n v="0"/>
    <n v="0"/>
    <n v="0"/>
    <n v="63995"/>
    <n v="43507"/>
    <n v="0"/>
    <n v="3"/>
    <n v="0"/>
    <n v="0"/>
    <n v="0"/>
    <n v="2.9528933233117268E-5"/>
    <n v="28"/>
    <m/>
    <s v="DalsinghSarai"/>
    <m/>
    <n v="0"/>
  </r>
  <r>
    <s v="Munger"/>
    <s v="24-30 Jul"/>
    <n v="1012"/>
    <s v="DalsinghSarai"/>
    <x v="456"/>
    <s v="Ghato"/>
    <s v="MPG"/>
    <s v="Indirect"/>
    <n v="33.050000000000004"/>
    <n v="1193.1000000000001"/>
    <n v="0"/>
    <n v="0"/>
    <n v="0"/>
    <n v="0"/>
    <n v="0"/>
    <n v="0"/>
    <n v="1193.1000000000001"/>
    <n v="0"/>
    <n v="0"/>
    <n v="0"/>
    <n v="0"/>
    <n v="0"/>
    <n v="0"/>
    <n v="0"/>
    <n v="0"/>
    <n v="1193.1000000000001"/>
    <n v="0"/>
    <n v="0"/>
    <n v="481.5358819969743"/>
    <n v="4.7214285714285724"/>
    <n v="0"/>
    <n v="0"/>
    <m/>
    <s v="DalsinghSarai"/>
    <m/>
    <n v="0"/>
  </r>
  <r>
    <s v="Munger"/>
    <s v="24-30 Jul"/>
    <n v="1012"/>
    <s v="DalsinghSarai"/>
    <x v="457"/>
    <s v="RAMNATHPUR                                                                                          "/>
    <s v="MPG"/>
    <s v="Direct"/>
    <n v="628.6"/>
    <n v="25257.61"/>
    <n v="415.98000000000008"/>
    <n v="16723.170000000002"/>
    <n v="217.42"/>
    <n v="8532.8700000000008"/>
    <n v="633.40000000000009"/>
    <n v="25256.04"/>
    <n v="25256.04"/>
    <n v="0"/>
    <n v="241.72000000000003"/>
    <n v="0"/>
    <n v="0"/>
    <n v="0"/>
    <n v="0"/>
    <n v="16723"/>
    <n v="8292"/>
    <n v="0"/>
    <n v="1"/>
    <n v="0"/>
    <n v="57.378089532293998"/>
    <n v="89.8"/>
    <n v="6.2159483814965425E-5"/>
    <n v="15"/>
    <m/>
    <s v="DalsinghSarai"/>
    <m/>
    <n v="0"/>
  </r>
  <r>
    <s v="Munger"/>
    <s v="24-30 Jul"/>
    <n v="1012"/>
    <s v="DalsinghSarai"/>
    <x v="458"/>
    <s v="DESUA"/>
    <s v="MPG"/>
    <s v="Direct"/>
    <n v="453.9"/>
    <n v="20483.98"/>
    <n v="137.43"/>
    <n v="6422.2800000000007"/>
    <n v="318.09999999999997"/>
    <n v="14060.499999999996"/>
    <n v="455.53"/>
    <n v="20482.78"/>
    <n v="20482.78"/>
    <n v="0"/>
    <n v="208.98999999999998"/>
    <n v="0"/>
    <n v="0"/>
    <n v="0"/>
    <n v="0"/>
    <n v="6422"/>
    <n v="13852"/>
    <n v="0"/>
    <n v="1"/>
    <n v="0"/>
    <n v="222.12414531835211"/>
    <n v="64.842857142857142"/>
    <n v="5.858236534114599E-5"/>
    <n v="13"/>
    <m/>
    <s v="DalsinghSarai"/>
    <m/>
    <n v="0"/>
  </r>
  <r>
    <s v="Munger"/>
    <s v="24-30 Jul"/>
    <n v="1012"/>
    <s v="DalsinghSarai"/>
    <x v="459"/>
    <s v="Matior"/>
    <s v="MPG"/>
    <s v="Direct"/>
    <n v="235.1"/>
    <n v="8766.57"/>
    <n v="89.6"/>
    <n v="3536.7"/>
    <n v="137.52000000000001"/>
    <n v="5229.6299999999992"/>
    <n v="227.12"/>
    <n v="8766.3299999999981"/>
    <n v="8766.3299999999981"/>
    <n v="0"/>
    <n v="0"/>
    <n v="0"/>
    <n v="0"/>
    <n v="0"/>
    <n v="0"/>
    <n v="3537"/>
    <n v="5229"/>
    <n v="0"/>
    <n v="1"/>
    <n v="0"/>
    <n v="346.71019931943857"/>
    <n v="33.585714285714282"/>
    <n v="2.7376727728359063E-5"/>
    <n v="5"/>
    <m/>
    <s v="DalsinghSarai"/>
    <m/>
    <n v="0"/>
  </r>
  <r>
    <s v="Munger"/>
    <s v="24-30 Jul"/>
    <n v="1012"/>
    <s v="DalsinghSarai"/>
    <x v="460"/>
    <s v="TELGAMA"/>
    <s v="MPG"/>
    <s v="Indirect"/>
    <n v="317.54999999999995"/>
    <n v="13131.24"/>
    <n v="0"/>
    <n v="0"/>
    <n v="0"/>
    <n v="0"/>
    <n v="0"/>
    <n v="0"/>
    <n v="13131.24"/>
    <n v="0"/>
    <n v="0"/>
    <n v="0"/>
    <n v="0"/>
    <n v="0"/>
    <n v="0"/>
    <n v="0"/>
    <n v="0"/>
    <n v="13131.24"/>
    <n v="0"/>
    <n v="0"/>
    <n v="316.29933793103453"/>
    <n v="45.364285714285707"/>
    <n v="0"/>
    <n v="0"/>
    <m/>
    <s v="DalsinghSarai"/>
    <m/>
    <n v="0"/>
  </r>
  <r>
    <s v="Munger"/>
    <s v="24-30 Jul"/>
    <n v="1012"/>
    <s v="DalsinghSarai"/>
    <x v="461"/>
    <s v="GOMUKH TATARPUR"/>
    <s v="MPG"/>
    <s v="Direct"/>
    <n v="143.14999999999998"/>
    <n v="7882.51"/>
    <n v="135.9"/>
    <n v="7558.9699999999993"/>
    <n v="8.1000000000000014"/>
    <n v="321.04000000000002"/>
    <n v="144"/>
    <n v="7880.0099999999993"/>
    <n v="7880.0099999999993"/>
    <n v="0"/>
    <n v="0"/>
    <n v="0"/>
    <n v="0"/>
    <n v="500"/>
    <n v="0"/>
    <n v="7059"/>
    <n v="321"/>
    <n v="0"/>
    <n v="3"/>
    <n v="0"/>
    <n v="613.25542347188286"/>
    <n v="20.449999999999996"/>
    <n v="3.1715785961589766E-4"/>
    <n v="6"/>
    <m/>
    <s v="DalsinghSarai"/>
    <m/>
    <n v="500"/>
  </r>
  <r>
    <s v="Munger"/>
    <s v="24-30 Jul"/>
    <n v="1012"/>
    <s v="DalsinghSarai"/>
    <x v="462"/>
    <s v="Gomukh Ghataho"/>
    <s v="MPG"/>
    <s v="Direct"/>
    <n v="2347.5499999999997"/>
    <n v="93253.92"/>
    <n v="1622.91"/>
    <n v="64972.570000000007"/>
    <n v="678.77"/>
    <n v="28278.49"/>
    <n v="2301.6800000000003"/>
    <n v="93251.060000000012"/>
    <n v="93251.060000000012"/>
    <n v="0"/>
    <n v="786.40999999999985"/>
    <n v="0"/>
    <n v="0"/>
    <n v="0"/>
    <n v="0"/>
    <n v="64974"/>
    <n v="27491"/>
    <n v="0"/>
    <n v="3"/>
    <n v="0"/>
    <n v="0"/>
    <n v="0"/>
    <n v="3.0668952039614317E-5"/>
    <n v="34"/>
    <m/>
    <s v="DalsinghSarai"/>
    <m/>
    <n v="0"/>
  </r>
  <r>
    <s v="Munger"/>
    <s v="24-30 Jul"/>
    <n v="1012"/>
    <s v="DalsinghSarai"/>
    <x v="463"/>
    <s v="Kacha - Amarjeet"/>
    <s v="vlc"/>
    <s v="Indirect"/>
    <n v="275.84999999999997"/>
    <n v="12441.53"/>
    <n v="0"/>
    <n v="0"/>
    <n v="0"/>
    <n v="0"/>
    <n v="0"/>
    <n v="0"/>
    <n v="12441.53"/>
    <n v="0"/>
    <n v="0"/>
    <n v="0"/>
    <n v="3500"/>
    <n v="0"/>
    <n v="0"/>
    <n v="0"/>
    <n v="0"/>
    <n v="8941.5300000000007"/>
    <n v="0"/>
    <n v="0"/>
    <n v="382.60467279318482"/>
    <n v="39.407142857142851"/>
    <n v="0"/>
    <n v="0"/>
    <m/>
    <s v="DalsinghSarai"/>
    <m/>
    <n v="0"/>
  </r>
  <r>
    <s v="Munger"/>
    <s v="24-30 Jul"/>
    <n v="1012"/>
    <s v="DalsinghSarai"/>
    <x v="464"/>
    <s v="Simri - Suman"/>
    <s v="vlc"/>
    <s v="Indirect"/>
    <n v="700"/>
    <n v="27734"/>
    <n v="0"/>
    <n v="0"/>
    <n v="0"/>
    <n v="0"/>
    <n v="0"/>
    <n v="0"/>
    <n v="27734"/>
    <n v="0"/>
    <n v="0"/>
    <n v="0"/>
    <n v="0"/>
    <n v="0"/>
    <n v="0"/>
    <n v="0"/>
    <n v="0"/>
    <n v="27734"/>
    <n v="0"/>
    <n v="0"/>
    <n v="0"/>
    <n v="100"/>
    <n v="0"/>
    <n v="0"/>
    <m/>
    <s v="DalsinghSarai"/>
    <m/>
    <n v="0"/>
  </r>
  <r>
    <s v="Munger"/>
    <s v="24-30 Jul"/>
    <n v="1012"/>
    <s v="DalsinghSarai"/>
    <x v="465"/>
    <s v="Narenpur"/>
    <s v="MPG"/>
    <s v="Direct"/>
    <n v="339.1"/>
    <n v="13984.759999999998"/>
    <n v="78.210000000000008"/>
    <n v="3636.5399999999995"/>
    <n v="238.58"/>
    <n v="10342.730000000001"/>
    <n v="316.79000000000002"/>
    <n v="13979.27"/>
    <n v="13979.27"/>
    <n v="0"/>
    <n v="0"/>
    <n v="0"/>
    <n v="0"/>
    <n v="0"/>
    <n v="0"/>
    <n v="3636"/>
    <n v="10343"/>
    <n v="0"/>
    <n v="6"/>
    <n v="0"/>
    <n v="297.67619486877021"/>
    <n v="48.442857142857143"/>
    <n v="3.9257019784379307E-4"/>
    <n v="11"/>
    <m/>
    <s v="DalsinghSarai"/>
    <m/>
    <n v="0"/>
  </r>
  <r>
    <s v="Munger"/>
    <s v="24-30 Jul"/>
    <n v="1012"/>
    <s v="DalsinghSarai"/>
    <x v="466"/>
    <s v="Mordiba"/>
    <s v="MPG"/>
    <s v="Direct"/>
    <n v="1614.3500000000001"/>
    <n v="66099.790000000008"/>
    <n v="1018.11"/>
    <n v="41756.520000000004"/>
    <n v="599.04000000000133"/>
    <n v="24342.65000000002"/>
    <n v="1617.1500000000015"/>
    <n v="66099.170000000027"/>
    <n v="66099.170000000027"/>
    <n v="0"/>
    <n v="53.98"/>
    <n v="0"/>
    <n v="4225"/>
    <n v="0"/>
    <n v="0"/>
    <n v="37528"/>
    <n v="24293"/>
    <n v="0"/>
    <n v="0"/>
    <n v="0"/>
    <n v="0"/>
    <n v="0"/>
    <n v="9.3797574845667649E-6"/>
    <n v="45"/>
    <m/>
    <s v="DalsinghSarai"/>
    <m/>
    <n v="0"/>
  </r>
  <r>
    <s v="Munger"/>
    <s v="24-30 Jul"/>
    <n v="1012"/>
    <s v="DalsinghSarai"/>
    <x v="467"/>
    <s v="Jagdispur"/>
    <s v="MPG"/>
    <s v="Direct"/>
    <n v="144.35"/>
    <n v="5696.91"/>
    <n v="146.97999999999999"/>
    <n v="5581.1699999999992"/>
    <n v="0"/>
    <n v="0"/>
    <n v="146.97999999999999"/>
    <n v="5581.1699999999992"/>
    <n v="5581.1699999999992"/>
    <n v="0"/>
    <n v="0"/>
    <n v="0"/>
    <n v="0"/>
    <n v="0"/>
    <n v="0"/>
    <n v="5581"/>
    <n v="0"/>
    <n v="0"/>
    <n v="116"/>
    <n v="0"/>
    <n v="438.58511139591275"/>
    <n v="20.62142857142857"/>
    <n v="2.0316276718431694E-2"/>
    <n v="5"/>
    <m/>
    <s v="DalsinghSarai"/>
    <m/>
    <n v="0"/>
  </r>
  <r>
    <s v="Munger"/>
    <s v="24-30 Jul"/>
    <n v="1012"/>
    <s v="DalsinghSarai"/>
    <x v="468"/>
    <s v="Chaklal Sahi_Vikrant"/>
    <s v="vlc"/>
    <s v="Indirect"/>
    <n v="4100"/>
    <n v="161224"/>
    <n v="0"/>
    <n v="0"/>
    <n v="0"/>
    <n v="0"/>
    <n v="0"/>
    <n v="0"/>
    <n v="161224"/>
    <n v="0"/>
    <n v="0"/>
    <n v="0"/>
    <n v="0"/>
    <n v="0"/>
    <n v="0"/>
    <n v="0"/>
    <n v="0"/>
    <n v="161224"/>
    <n v="0"/>
    <n v="0"/>
    <n v="0"/>
    <n v="0"/>
    <n v="0"/>
    <n v="0"/>
    <m/>
    <s v="DalsinghSarai"/>
    <m/>
    <n v="0"/>
  </r>
  <r>
    <s v="Munger"/>
    <s v="24-30 Jul"/>
    <n v="1012"/>
    <s v="DalsinghSarai"/>
    <x v="470"/>
    <s v="Sarhad-Subodh"/>
    <s v="vlc"/>
    <s v="Indirect"/>
    <n v="183.75000000000003"/>
    <n v="6505.7000000000007"/>
    <n v="0"/>
    <n v="0"/>
    <n v="0"/>
    <n v="0"/>
    <n v="0"/>
    <n v="0"/>
    <n v="6505.7000000000007"/>
    <n v="0"/>
    <n v="0"/>
    <n v="0"/>
    <n v="0"/>
    <n v="0"/>
    <n v="0"/>
    <n v="0"/>
    <n v="0"/>
    <n v="6505.7000000000007"/>
    <n v="0"/>
    <n v="0"/>
    <n v="365.55838095238096"/>
    <n v="26.250000000000004"/>
    <n v="0"/>
    <n v="0"/>
    <m/>
    <s v="DalsinghSarai"/>
    <m/>
    <n v="0"/>
  </r>
  <r>
    <s v="Munger"/>
    <s v="24-30 Jul"/>
    <n v="1012"/>
    <s v="DalsinghSarai"/>
    <x v="471"/>
    <s v="Suratpur"/>
    <s v="MPG"/>
    <s v="Direct"/>
    <n v="1034.2"/>
    <n v="41486.620000000003"/>
    <n v="136.84"/>
    <n v="5569.2000000000007"/>
    <n v="896.61999999999989"/>
    <n v="35915.800000000003"/>
    <n v="1033.4599999999998"/>
    <n v="41485"/>
    <n v="41485"/>
    <n v="0"/>
    <n v="0"/>
    <n v="0"/>
    <n v="1400"/>
    <n v="0"/>
    <n v="0"/>
    <n v="4169"/>
    <n v="35915"/>
    <n v="0"/>
    <n v="3"/>
    <n v="0"/>
    <n v="0"/>
    <n v="0"/>
    <n v="3.9048734266677289E-5"/>
    <n v="13"/>
    <m/>
    <s v="DalsinghSarai"/>
    <m/>
    <n v="0"/>
  </r>
  <r>
    <s v="Munger"/>
    <s v="24-30 Jul"/>
    <n v="1012"/>
    <s v="DalsinghSarai"/>
    <x v="472"/>
    <s v="Beri"/>
    <s v="MPG"/>
    <s v="Direct"/>
    <n v="60.949999999999996"/>
    <n v="2797.02"/>
    <n v="50.05"/>
    <n v="2244.17"/>
    <n v="10.8"/>
    <n v="552.96"/>
    <n v="60.849999999999994"/>
    <n v="2797.13"/>
    <n v="2797.02"/>
    <n v="0"/>
    <n v="0"/>
    <n v="0.11000000000012733"/>
    <n v="2244"/>
    <n v="0"/>
    <n v="0"/>
    <n v="0"/>
    <n v="553"/>
    <n v="0"/>
    <n v="0"/>
    <n v="0"/>
    <n v="586.52522756357666"/>
    <n v="8.7071428571428573"/>
    <n v="-3.9327570056748731E-5"/>
    <n v="4"/>
    <m/>
    <s v="DalsinghSarai"/>
    <m/>
    <n v="0"/>
  </r>
  <r>
    <s v="Munger"/>
    <s v="24-30 Jul"/>
    <n v="1012"/>
    <s v="DalsinghSarai"/>
    <x v="473"/>
    <s v="Mahmmadipur"/>
    <s v="MPG"/>
    <s v="Direct"/>
    <n v="2617.3000000000006"/>
    <n v="136352.97"/>
    <n v="620.46"/>
    <n v="33563.25"/>
    <n v="1925.2800000000002"/>
    <n v="102717.80999999998"/>
    <n v="2545.7400000000002"/>
    <n v="136281.06"/>
    <n v="136281.06"/>
    <n v="0"/>
    <n v="0"/>
    <n v="0"/>
    <n v="0"/>
    <n v="0"/>
    <n v="0"/>
    <n v="33564"/>
    <n v="102716"/>
    <n v="0"/>
    <n v="73"/>
    <n v="0"/>
    <n v="0"/>
    <n v="0"/>
    <n v="5.2738125176153843E-4"/>
    <n v="45"/>
    <m/>
    <s v="DalsinghSarai"/>
    <m/>
    <n v="0"/>
  </r>
  <r>
    <s v="Munger"/>
    <s v="24-30 Jul"/>
    <n v="1012"/>
    <s v="DalsinghSarai"/>
    <x v="474"/>
    <s v="Simri-Rupesh"/>
    <s v="vlc"/>
    <s v="Indirect"/>
    <n v="157.25"/>
    <n v="6530.2099999999991"/>
    <n v="0"/>
    <n v="0"/>
    <n v="0"/>
    <n v="0"/>
    <n v="0"/>
    <n v="0"/>
    <n v="6530.2099999999991"/>
    <n v="0"/>
    <n v="0"/>
    <n v="0"/>
    <n v="0"/>
    <n v="0"/>
    <n v="0"/>
    <n v="0"/>
    <n v="0"/>
    <n v="6530.2099999999991"/>
    <n v="0"/>
    <n v="0"/>
    <n v="450.78174594594589"/>
    <n v="22.464285714285715"/>
    <n v="0"/>
    <n v="0"/>
    <m/>
    <s v="DalsinghSarai"/>
    <m/>
    <n v="0"/>
  </r>
  <r>
    <s v="Munger"/>
    <s v="24-30 Jul"/>
    <n v="1062"/>
    <s v="Singhia BMC"/>
    <x v="475"/>
    <s v="Mithilanchal Dairy Products"/>
    <s v="vlc"/>
    <s v="Indirect"/>
    <n v="7711.74"/>
    <n v="330602.36"/>
    <n v="0"/>
    <n v="0"/>
    <n v="0"/>
    <n v="0"/>
    <n v="0"/>
    <n v="0"/>
    <n v="330602.36"/>
    <n v="100000"/>
    <n v="0"/>
    <n v="0"/>
    <n v="0"/>
    <n v="0"/>
    <n v="0"/>
    <n v="0"/>
    <n v="0"/>
    <n v="230602.36"/>
    <n v="0"/>
    <s v="Release2"/>
    <n v="0"/>
    <n v="0"/>
    <n v="0"/>
    <n v="0"/>
    <m/>
    <s v="Singhia BMC"/>
    <m/>
    <n v="0"/>
  </r>
  <r>
    <s v="Munger"/>
    <s v="24-30 Jul"/>
    <n v="1012"/>
    <s v="DalsinghSarai"/>
    <x v="476"/>
    <s v="Gomukh Jhaura Tabhka"/>
    <s v="MPG"/>
    <s v="Direct"/>
    <n v="542.70000000000005"/>
    <n v="21088.61"/>
    <n v="507.95"/>
    <n v="20897.199999999993"/>
    <n v="5.2"/>
    <n v="191.29000000000002"/>
    <n v="513.15"/>
    <n v="21088.489999999994"/>
    <n v="21088.489999999994"/>
    <n v="0"/>
    <n v="57.74"/>
    <n v="0"/>
    <n v="1400"/>
    <n v="0"/>
    <n v="0"/>
    <n v="19497"/>
    <n v="133"/>
    <n v="0"/>
    <n v="1"/>
    <n v="0"/>
    <n v="122.24943257785141"/>
    <n v="77.528571428571439"/>
    <n v="5.6902754617899101E-6"/>
    <n v="13"/>
    <m/>
    <s v="DalsinghSarai"/>
    <m/>
    <n v="0"/>
  </r>
  <r>
    <s v="Munger"/>
    <s v="24-30 Jul"/>
    <n v="1012"/>
    <s v="DalsinghSarai"/>
    <x v="477"/>
    <s v="Gomukh Mohanpur"/>
    <s v="MPG"/>
    <s v="Direct"/>
    <n v="390.94999999999993"/>
    <n v="15076.009999999998"/>
    <n v="148.07999999999998"/>
    <n v="5526.4699999999993"/>
    <n v="255.31"/>
    <n v="9543.56"/>
    <n v="403.39"/>
    <n v="15070.029999999999"/>
    <n v="15070.029999999999"/>
    <n v="0"/>
    <n v="672.9799999999999"/>
    <n v="0"/>
    <n v="0"/>
    <n v="0"/>
    <n v="0"/>
    <n v="5527"/>
    <n v="8870"/>
    <n v="0"/>
    <n v="6"/>
    <n v="0"/>
    <n v="238.35482238137877"/>
    <n v="55.849999999999987"/>
    <n v="3.9665667507514016E-4"/>
    <n v="10"/>
    <m/>
    <s v="DalsinghSarai"/>
    <m/>
    <n v="0"/>
  </r>
  <r>
    <s v="Munger"/>
    <s v="24-30 Jul"/>
    <n v="1012"/>
    <s v="DalsinghSarai"/>
    <x v="478"/>
    <s v="Gomukh Bochaha"/>
    <s v="MPG"/>
    <s v="Direct"/>
    <n v="1264.5999999999999"/>
    <n v="58919.270000000004"/>
    <n v="240.76"/>
    <n v="10705.28"/>
    <n v="1086.77"/>
    <n v="48328.12"/>
    <n v="1327.53"/>
    <n v="59033.4"/>
    <n v="58919.270000000004"/>
    <n v="0"/>
    <n v="0"/>
    <n v="114.12999999999738"/>
    <n v="0"/>
    <n v="0"/>
    <n v="0"/>
    <n v="10590"/>
    <n v="48329"/>
    <n v="0"/>
    <n v="0"/>
    <n v="0"/>
    <n v="0"/>
    <n v="0"/>
    <n v="-1.9370572649660691E-3"/>
    <n v="24"/>
    <m/>
    <s v="DalsinghSarai"/>
    <m/>
    <n v="0"/>
  </r>
  <r>
    <s v="Munger"/>
    <s v="24-30 Jul"/>
    <n v="1012"/>
    <s v="DalsinghSarai"/>
    <x v="479"/>
    <s v="Gomukh Terganj"/>
    <s v="MPG"/>
    <s v="Direct"/>
    <n v="179.55"/>
    <n v="7681.37"/>
    <n v="179.55"/>
    <n v="7471.6900000000005"/>
    <n v="5.3000000000000007"/>
    <n v="194.56"/>
    <n v="184.85000000000002"/>
    <n v="7666.2500000000009"/>
    <n v="7666.2500000000009"/>
    <n v="0"/>
    <n v="0"/>
    <n v="0"/>
    <n v="0"/>
    <n v="500"/>
    <n v="0"/>
    <n v="6972"/>
    <n v="195"/>
    <n v="0"/>
    <n v="14"/>
    <n v="0"/>
    <n v="445.30983196881078"/>
    <n v="25.650000000000002"/>
    <n v="1.9683988663479275E-3"/>
    <n v="5"/>
    <m/>
    <s v="DalsinghSarai"/>
    <m/>
    <n v="500"/>
  </r>
  <r>
    <s v="Munger"/>
    <s v="24-30 Jul"/>
    <n v="1012"/>
    <s v="DalsinghSarai"/>
    <x v="480"/>
    <s v="Gomukh Chapra"/>
    <s v="vlc"/>
    <s v="Indirect"/>
    <n v="2069.0500000000002"/>
    <n v="105630.45"/>
    <n v="0"/>
    <n v="0"/>
    <n v="0"/>
    <n v="0"/>
    <n v="0"/>
    <n v="0"/>
    <n v="105630.45"/>
    <n v="0"/>
    <n v="0"/>
    <n v="0"/>
    <n v="0"/>
    <n v="0"/>
    <n v="0"/>
    <n v="0"/>
    <n v="0"/>
    <n v="105630.45"/>
    <n v="0"/>
    <n v="0"/>
    <n v="0"/>
    <n v="0"/>
    <n v="0"/>
    <n v="0"/>
    <m/>
    <s v="DalsinghSarai"/>
    <m/>
    <n v="0"/>
  </r>
  <r>
    <s v="Munger"/>
    <s v="24-30 Jul"/>
    <n v="1012"/>
    <s v="DalsinghSarai"/>
    <x v="481"/>
    <s v="GOMUKH Chiranjipur"/>
    <s v="vlc"/>
    <s v="Indirect"/>
    <n v="9908"/>
    <n v="397709.66000000003"/>
    <n v="0"/>
    <n v="0"/>
    <n v="0"/>
    <n v="0"/>
    <n v="0"/>
    <n v="0"/>
    <n v="397709.66000000003"/>
    <n v="0"/>
    <n v="0"/>
    <n v="0"/>
    <n v="0"/>
    <n v="0"/>
    <n v="0"/>
    <n v="0"/>
    <n v="0"/>
    <n v="397709.66000000003"/>
    <n v="0"/>
    <n v="0"/>
    <n v="0"/>
    <n v="0"/>
    <n v="0"/>
    <n v="0"/>
    <m/>
    <s v="DalsinghSarai"/>
    <m/>
    <n v="0"/>
  </r>
  <r>
    <s v="Munger"/>
    <s v="24-30 Jul"/>
    <n v="1012"/>
    <s v="DalsinghSarai"/>
    <x v="482"/>
    <s v="Gomukh Sahu Tol"/>
    <s v="vlc"/>
    <s v="Indirect"/>
    <n v="1824.3"/>
    <n v="74623.649999999994"/>
    <n v="0"/>
    <n v="0"/>
    <n v="0"/>
    <n v="0"/>
    <n v="0"/>
    <n v="0"/>
    <n v="74623.649999999994"/>
    <n v="0"/>
    <n v="0"/>
    <n v="0"/>
    <n v="1855"/>
    <n v="0"/>
    <n v="0"/>
    <n v="0"/>
    <n v="0"/>
    <n v="72768.649999999994"/>
    <n v="0"/>
    <n v="0"/>
    <n v="0"/>
    <n v="0"/>
    <n v="0"/>
    <n v="0"/>
    <m/>
    <s v="DalsinghSarai"/>
    <m/>
    <n v="0"/>
  </r>
  <r>
    <s v="Munger"/>
    <s v="24-30 Jul"/>
    <n v="1012"/>
    <s v="DalsinghSarai"/>
    <x v="483"/>
    <s v="Gomukh Mordiwa East"/>
    <s v="MPG"/>
    <s v="Direct"/>
    <n v="1283"/>
    <n v="51816.860000000008"/>
    <n v="265.24"/>
    <n v="10594.02"/>
    <n v="1027.4299999999998"/>
    <n v="41210.69000000001"/>
    <n v="1292.6699999999998"/>
    <n v="51804.710000000006"/>
    <n v="51804.710000000006"/>
    <n v="0"/>
    <n v="0"/>
    <n v="0"/>
    <n v="2800"/>
    <n v="0"/>
    <n v="0"/>
    <n v="7794"/>
    <n v="41210"/>
    <n v="0"/>
    <n v="13"/>
    <n v="0"/>
    <n v="0"/>
    <n v="0"/>
    <n v="2.3447966549886376E-4"/>
    <n v="18"/>
    <m/>
    <s v="DalsinghSarai"/>
    <m/>
    <n v="0"/>
  </r>
  <r>
    <s v="Munger"/>
    <s v="24-30 Jul"/>
    <n v="1012"/>
    <s v="DalsinghSarai"/>
    <x v="484"/>
    <s v="Gomukh Belamegh"/>
    <s v="vlc"/>
    <s v="Indirect"/>
    <n v="1150"/>
    <n v="44615.199999999997"/>
    <n v="0"/>
    <n v="0"/>
    <n v="0"/>
    <n v="0"/>
    <n v="0"/>
    <n v="0"/>
    <n v="44615.199999999997"/>
    <n v="0"/>
    <n v="0"/>
    <n v="0"/>
    <n v="0"/>
    <n v="0"/>
    <n v="0"/>
    <n v="0"/>
    <n v="0"/>
    <n v="44615.199999999997"/>
    <n v="0"/>
    <n v="0"/>
    <n v="0"/>
    <n v="0"/>
    <n v="0"/>
    <n v="0"/>
    <m/>
    <s v="DalsinghSarai"/>
    <m/>
    <n v="0"/>
  </r>
  <r>
    <s v="Munger"/>
    <s v="24-30 Jul"/>
    <n v="1012"/>
    <s v="DalsinghSarai"/>
    <x v="485"/>
    <s v="Gomukh Ramaiya"/>
    <s v="MPG"/>
    <s v="Direct"/>
    <n v="701.45"/>
    <n v="28445.009999999995"/>
    <n v="671.44999999999993"/>
    <n v="27023.010000000006"/>
    <n v="33.6"/>
    <n v="1418.4499999999998"/>
    <n v="705.05"/>
    <n v="28441.460000000006"/>
    <n v="28441.460000000006"/>
    <n v="0"/>
    <n v="0"/>
    <n v="0"/>
    <n v="0"/>
    <n v="0"/>
    <n v="0"/>
    <n v="27023"/>
    <n v="1420"/>
    <n v="0"/>
    <n v="2"/>
    <n v="0"/>
    <n v="0"/>
    <n v="0"/>
    <n v="1.2480220608072765E-4"/>
    <n v="12"/>
    <m/>
    <s v="DalsinghSarai"/>
    <m/>
    <n v="0"/>
  </r>
  <r>
    <s v="Munger"/>
    <s v="24-30 Jul"/>
    <n v="1012"/>
    <s v="DalsinghSarai"/>
    <x v="486"/>
    <s v="GOMUKH MANIKA EAST"/>
    <s v="MPG"/>
    <s v="Direct"/>
    <n v="573.15000000000009"/>
    <n v="22187.139999999996"/>
    <n v="347.2"/>
    <n v="14405.84"/>
    <n v="181.89999999999998"/>
    <n v="7758.8700000000008"/>
    <n v="529.09999999999991"/>
    <n v="22164.71"/>
    <n v="22164.71"/>
    <n v="0"/>
    <n v="0"/>
    <n v="0"/>
    <n v="0"/>
    <n v="0"/>
    <n v="0"/>
    <n v="14405"/>
    <n v="7759"/>
    <n v="0"/>
    <n v="23"/>
    <n v="0"/>
    <n v="98.209498700165611"/>
    <n v="81.878571428571448"/>
    <n v="1.0109459804191372E-3"/>
    <n v="13"/>
    <m/>
    <s v="DalsinghSarai"/>
    <m/>
    <n v="0"/>
  </r>
  <r>
    <s v="Munger"/>
    <s v="24-30 Jul"/>
    <n v="1012"/>
    <s v="DalsinghSarai"/>
    <x v="487"/>
    <s v="IMADPUR"/>
    <s v="vlc"/>
    <s v="Indirect"/>
    <n v="1565.6000000000001"/>
    <n v="59082.510000000009"/>
    <n v="0"/>
    <n v="0"/>
    <n v="0"/>
    <n v="0"/>
    <n v="0"/>
    <n v="0"/>
    <n v="59082.510000000009"/>
    <n v="0"/>
    <n v="0"/>
    <n v="0"/>
    <n v="0"/>
    <n v="0"/>
    <n v="0"/>
    <n v="0"/>
    <n v="0"/>
    <n v="59082.510000000009"/>
    <n v="0"/>
    <n v="0"/>
    <n v="0"/>
    <n v="0"/>
    <n v="0"/>
    <n v="0"/>
    <m/>
    <s v="DalsinghSarai"/>
    <m/>
    <n v="0"/>
  </r>
  <r>
    <s v="Munger"/>
    <s v="24-30 Jul"/>
    <n v="1012"/>
    <s v="DalsinghSarai"/>
    <x v="488"/>
    <s v="GOMUKH Kisanpur Tabhka"/>
    <s v="MPG"/>
    <s v="Direct"/>
    <n v="983.6"/>
    <n v="40514.870000000003"/>
    <n v="183"/>
    <n v="7448.42"/>
    <n v="800.75000000000011"/>
    <n v="33065.619999999995"/>
    <n v="983.75000000000011"/>
    <n v="40514.039999999994"/>
    <n v="40514.039999999994"/>
    <n v="0"/>
    <n v="55.85"/>
    <n v="0"/>
    <n v="0"/>
    <n v="0"/>
    <n v="0"/>
    <n v="7449"/>
    <n v="33010"/>
    <n v="0"/>
    <n v="0"/>
    <n v="0"/>
    <n v="0"/>
    <n v="0"/>
    <n v="2.0486305398709712E-5"/>
    <n v="12"/>
    <m/>
    <s v="DalsinghSarai"/>
    <m/>
    <n v="0"/>
  </r>
  <r>
    <s v="Munger"/>
    <s v="24-30 Jul"/>
    <n v="1012"/>
    <s v="DalsinghSarai"/>
    <x v="489"/>
    <s v="GOMUKH BIBHUTIPUR"/>
    <s v="MPG"/>
    <s v="Direct"/>
    <n v="75.050000000000011"/>
    <n v="2913.0099999999998"/>
    <n v="74.56"/>
    <n v="2912.0699999999997"/>
    <n v="0"/>
    <n v="0"/>
    <n v="74.56"/>
    <n v="2912.0699999999997"/>
    <n v="2912.0699999999997"/>
    <n v="0"/>
    <n v="0"/>
    <n v="0"/>
    <n v="0"/>
    <n v="500"/>
    <n v="0"/>
    <n v="2412"/>
    <n v="0"/>
    <n v="0"/>
    <n v="1"/>
    <s v="Release2"/>
    <n v="485.13940026648891"/>
    <n v="10.721428571428573"/>
    <n v="3.2269027569423197E-4"/>
    <n v="1"/>
    <m/>
    <s v="DalsinghSarai"/>
    <m/>
    <n v="500"/>
  </r>
  <r>
    <s v="Munger"/>
    <s v="24-30 Jul"/>
    <n v="1012"/>
    <s v="DalsinghSarai"/>
    <x v="490"/>
    <s v="GOMUKH PATHAKTOL"/>
    <s v="MPG"/>
    <s v="Direct"/>
    <n v="156.95000000000002"/>
    <n v="6680.9999999999991"/>
    <n v="106.3"/>
    <n v="4599.57"/>
    <n v="54.899999999999991"/>
    <n v="2017.09"/>
    <n v="161.19999999999999"/>
    <n v="6616.66"/>
    <n v="6616.66"/>
    <n v="0"/>
    <n v="0"/>
    <n v="0"/>
    <n v="0"/>
    <n v="500"/>
    <n v="0"/>
    <n v="4100"/>
    <n v="2017"/>
    <n v="0"/>
    <n v="64"/>
    <n v="0"/>
    <n v="462.32775406180298"/>
    <n v="22.421428571428574"/>
    <n v="9.6302948660379056E-3"/>
    <n v="4"/>
    <m/>
    <s v="DalsinghSarai"/>
    <m/>
    <n v="500"/>
  </r>
  <r>
    <s v="Munger"/>
    <s v="24-30 Jul"/>
    <n v="1012"/>
    <s v="DalsinghSarai"/>
    <x v="491"/>
    <s v="Gomukh Musapur West"/>
    <s v="vlc"/>
    <s v="Indirect"/>
    <n v="1745.55"/>
    <n v="69044.44"/>
    <n v="0"/>
    <n v="0"/>
    <n v="0"/>
    <n v="0"/>
    <n v="0"/>
    <n v="0"/>
    <n v="69044.44"/>
    <n v="0"/>
    <n v="0"/>
    <n v="0"/>
    <n v="0"/>
    <n v="0"/>
    <n v="0"/>
    <n v="0"/>
    <n v="0"/>
    <n v="69044.44"/>
    <n v="0"/>
    <n v="0"/>
    <n v="0"/>
    <n v="0"/>
    <n v="0"/>
    <n v="0"/>
    <m/>
    <s v="DalsinghSarai"/>
    <m/>
    <n v="0"/>
  </r>
  <r>
    <s v="Munger"/>
    <s v="24-30 Jul"/>
    <n v="1012"/>
    <s v="DalsinghSarai"/>
    <x v="492"/>
    <s v="GOMUKH DADHIYA RAMKRISHANPUR"/>
    <s v="MPG"/>
    <s v="Direct"/>
    <n v="1460.5999999999995"/>
    <n v="64066.520000000019"/>
    <n v="374.59999999999997"/>
    <n v="14754.14"/>
    <n v="1139.0999999999999"/>
    <n v="49307.68"/>
    <n v="1513.6999999999998"/>
    <n v="64061.82"/>
    <n v="64061.82"/>
    <n v="0"/>
    <n v="2841.32"/>
    <n v="0"/>
    <n v="0"/>
    <n v="0"/>
    <n v="0"/>
    <n v="14753"/>
    <n v="46466"/>
    <n v="0"/>
    <n v="6"/>
    <n v="0"/>
    <n v="0"/>
    <n v="0"/>
    <n v="7.3361250150919948E-5"/>
    <n v="29"/>
    <m/>
    <s v="DalsinghSarai"/>
    <m/>
    <n v="0"/>
  </r>
  <r>
    <s v="Munger"/>
    <s v="24-30 Jul"/>
    <n v="1012"/>
    <s v="DalsinghSarai"/>
    <x v="494"/>
    <s v="GOMUKH BALTHARA"/>
    <s v="MPG"/>
    <s v="Direct"/>
    <n v="403.70000000000005"/>
    <n v="16323.510000000002"/>
    <n v="251.48999999999998"/>
    <n v="10112.759999999998"/>
    <n v="155.46"/>
    <n v="6203.920000000001"/>
    <n v="406.95"/>
    <n v="16316.68"/>
    <n v="16316.68"/>
    <n v="0"/>
    <n v="0"/>
    <n v="0"/>
    <n v="0"/>
    <n v="0"/>
    <n v="0"/>
    <n v="10113"/>
    <n v="6203"/>
    <n v="0"/>
    <n v="8"/>
    <n v="0"/>
    <n v="239.61634941788452"/>
    <n v="57.671428571428578"/>
    <n v="4.1841491198901126E-4"/>
    <n v="11"/>
    <m/>
    <s v="DalsinghSarai"/>
    <m/>
    <n v="0"/>
  </r>
  <r>
    <s v="Munger"/>
    <s v="24-30 Jul"/>
    <n v="1012"/>
    <s v="DalsinghSarai"/>
    <x v="495"/>
    <s v="GOMUKH BHASINGPUR"/>
    <s v="MPG"/>
    <s v="Direct"/>
    <n v="1177.6999999999998"/>
    <n v="50680.229999999989"/>
    <n v="505.43999999999994"/>
    <n v="20911.810000000001"/>
    <n v="690.31"/>
    <n v="29761.919999999995"/>
    <n v="1195.75"/>
    <n v="50673.729999999996"/>
    <n v="50673.729999999996"/>
    <n v="0"/>
    <n v="0"/>
    <n v="0"/>
    <n v="108"/>
    <n v="0"/>
    <n v="0"/>
    <n v="20804"/>
    <n v="29761"/>
    <n v="0"/>
    <n v="7"/>
    <n v="0"/>
    <n v="0"/>
    <n v="0"/>
    <n v="1.282551401205702E-4"/>
    <n v="20"/>
    <m/>
    <s v="DalsinghSarai"/>
    <m/>
    <n v="0"/>
  </r>
  <r>
    <s v="Munger"/>
    <s v="24-30 Jul"/>
    <n v="1012"/>
    <s v="DalsinghSarai"/>
    <x v="496"/>
    <s v="GOMUKH Chakhale Dad"/>
    <s v="MPG"/>
    <s v="Direct"/>
    <n v="984.14999999999975"/>
    <n v="38918.709999999992"/>
    <n v="609.79"/>
    <n v="24729.29"/>
    <n v="370.00000000000011"/>
    <n v="14179.220000000003"/>
    <n v="979.79000000000008"/>
    <n v="38908.51"/>
    <n v="38908.51"/>
    <n v="0"/>
    <n v="135.54999999999998"/>
    <n v="0"/>
    <n v="0"/>
    <n v="0"/>
    <n v="0"/>
    <n v="24730"/>
    <n v="14042"/>
    <n v="0"/>
    <n v="11"/>
    <n v="0"/>
    <n v="0"/>
    <n v="0"/>
    <n v="2.6208474021851739E-4"/>
    <n v="22"/>
    <m/>
    <s v="DalsinghSarai"/>
    <m/>
    <n v="0"/>
  </r>
  <r>
    <s v="Munger"/>
    <s v="24-30 Jul"/>
    <n v="1012"/>
    <s v="DalsinghSarai"/>
    <x v="497"/>
    <s v="Gomukh Simri"/>
    <s v="vlc"/>
    <s v="Indirect"/>
    <n v="844.79999999999984"/>
    <n v="35082.22"/>
    <n v="0"/>
    <n v="0"/>
    <n v="0"/>
    <n v="0"/>
    <n v="0"/>
    <n v="0"/>
    <n v="35082.22"/>
    <n v="0"/>
    <n v="0"/>
    <n v="0"/>
    <n v="0"/>
    <n v="0"/>
    <n v="0"/>
    <n v="0"/>
    <n v="0"/>
    <n v="35082.22"/>
    <n v="0"/>
    <n v="0"/>
    <n v="0"/>
    <n v="0"/>
    <n v="0"/>
    <n v="0"/>
    <m/>
    <s v="DalsinghSarai"/>
    <m/>
    <n v="0"/>
  </r>
  <r>
    <s v="Munger"/>
    <s v="24-30 Jul"/>
    <n v="1013"/>
    <s v="Musrigharari"/>
    <x v="498"/>
    <s v="GOMUKH BANGHARH KISHANPUR"/>
    <s v="MPG"/>
    <s v="Direct"/>
    <n v="606.79999999999995"/>
    <n v="22422.09"/>
    <n v="173.22"/>
    <n v="6223.6200000000008"/>
    <n v="546.02"/>
    <n v="20361.070000000003"/>
    <n v="719.24"/>
    <n v="26584.690000000002"/>
    <n v="22422.09"/>
    <n v="0"/>
    <n v="59.980000000000004"/>
    <n v="4162.6000000000022"/>
    <n v="0"/>
    <n v="0"/>
    <n v="0"/>
    <n v="2061"/>
    <n v="20301"/>
    <n v="0"/>
    <n v="0"/>
    <n v="0"/>
    <n v="68.877349637442336"/>
    <n v="86.685714285714283"/>
    <n v="-0.18564727908950512"/>
    <n v="16"/>
    <m/>
    <s v="Musrigharari"/>
    <m/>
    <n v="0"/>
  </r>
  <r>
    <s v="Munger"/>
    <s v="24-30 Jul"/>
    <n v="1013"/>
    <s v="Musrigharari"/>
    <x v="499"/>
    <s v="Gomukh Serpur Narsari"/>
    <s v="vlc"/>
    <s v="Indirect"/>
    <n v="264.10000000000002"/>
    <n v="10082.560000000001"/>
    <n v="0"/>
    <n v="0"/>
    <n v="0"/>
    <n v="0"/>
    <n v="0"/>
    <n v="0"/>
    <n v="10082.560000000001"/>
    <n v="0"/>
    <n v="0"/>
    <n v="0"/>
    <n v="0"/>
    <n v="0"/>
    <n v="0"/>
    <n v="0"/>
    <n v="0"/>
    <n v="10082.560000000001"/>
    <n v="0"/>
    <n v="0"/>
    <n v="332.82755804619461"/>
    <n v="37.728571428571435"/>
    <n v="0"/>
    <n v="0"/>
    <m/>
    <s v="Musrigharari"/>
    <m/>
    <n v="0"/>
  </r>
  <r>
    <s v="Munger"/>
    <s v="24-30 Jul"/>
    <n v="1013"/>
    <s v="Musrigharari"/>
    <x v="500"/>
    <s v="PARORIYA"/>
    <s v="MPG"/>
    <s v="Direct"/>
    <n v="81"/>
    <n v="2548.0100000000002"/>
    <n v="80.5"/>
    <n v="2519.0200000000004"/>
    <n v="0.8"/>
    <n v="22.560000000000002"/>
    <n v="81.3"/>
    <n v="2541.5800000000004"/>
    <n v="2541.5800000000004"/>
    <n v="0"/>
    <n v="22.560000000000002"/>
    <n v="0"/>
    <n v="0"/>
    <n v="0"/>
    <n v="0"/>
    <n v="2519"/>
    <n v="0"/>
    <n v="0"/>
    <n v="6"/>
    <n v="0"/>
    <n v="389.43659012345688"/>
    <n v="11.571428571428571"/>
    <n v="2.5235379766954742E-3"/>
    <n v="3"/>
    <m/>
    <s v="Musrigharari"/>
    <m/>
    <n v="0"/>
  </r>
  <r>
    <s v="Munger"/>
    <s v="24-30 Jul"/>
    <n v="1013"/>
    <s v="Musrigharari"/>
    <x v="501"/>
    <s v="JHAKHRA"/>
    <s v="MPG"/>
    <s v="Indirect"/>
    <n v="47.399999999999991"/>
    <n v="1709.88"/>
    <n v="0"/>
    <n v="0"/>
    <n v="0"/>
    <n v="0"/>
    <n v="0"/>
    <n v="0"/>
    <n v="1709.88"/>
    <n v="0"/>
    <n v="0"/>
    <n v="0"/>
    <n v="0"/>
    <n v="0"/>
    <n v="0"/>
    <n v="0"/>
    <n v="0"/>
    <n v="1709.88"/>
    <n v="0"/>
    <n v="0"/>
    <n v="470.83024810126591"/>
    <n v="6.7714285714285705"/>
    <n v="0"/>
    <n v="0"/>
    <m/>
    <s v="Musrigharari"/>
    <m/>
    <n v="0"/>
  </r>
  <r>
    <s v="Munger"/>
    <s v="24-30 Jul"/>
    <n v="1013"/>
    <s v="Musrigharari"/>
    <x v="502"/>
    <s v="GOMUKH ANDAHA"/>
    <s v="MPG"/>
    <s v="Direct"/>
    <n v="481.79999999999995"/>
    <n v="18994.999999999996"/>
    <n v="486.99"/>
    <n v="18985.34"/>
    <n v="0"/>
    <n v="0"/>
    <n v="486.99"/>
    <n v="18985.34"/>
    <n v="18985.34"/>
    <n v="0"/>
    <n v="0"/>
    <n v="0"/>
    <n v="822"/>
    <n v="0"/>
    <n v="0"/>
    <n v="18164"/>
    <n v="0"/>
    <n v="0"/>
    <n v="9"/>
    <n v="0"/>
    <n v="172.05101701951023"/>
    <n v="68.828571428571422"/>
    <n v="5.0855488286371251E-4"/>
    <n v="7"/>
    <m/>
    <s v="Musrigharari"/>
    <m/>
    <n v="0"/>
  </r>
  <r>
    <s v="Munger"/>
    <s v="24-30 Jul"/>
    <n v="1013"/>
    <s v="Musrigharari"/>
    <x v="503"/>
    <s v="Gomukha Rohua"/>
    <s v="MPG"/>
    <s v="Direct"/>
    <n v="425.6"/>
    <n v="17514.099999999999"/>
    <n v="408.31000000000006"/>
    <n v="17207.66"/>
    <n v="6.6800000000000006"/>
    <n v="279.5"/>
    <n v="414.99000000000007"/>
    <n v="17487.16"/>
    <n v="17487.16"/>
    <n v="0"/>
    <n v="201.74"/>
    <n v="0"/>
    <n v="0"/>
    <n v="0"/>
    <n v="0"/>
    <n v="17207"/>
    <n v="78"/>
    <n v="0"/>
    <n v="27"/>
    <n v="0"/>
    <n v="225.83971052631577"/>
    <n v="60.800000000000004"/>
    <n v="1.5381892303914385E-3"/>
    <n v="10"/>
    <m/>
    <s v="Musrigharari"/>
    <m/>
    <n v="0"/>
  </r>
  <r>
    <s v="Munger"/>
    <s v="24-30 Jul"/>
    <n v="1013"/>
    <s v="Musrigharari"/>
    <x v="504"/>
    <s v="Gomukha Arniya Ganj"/>
    <s v="MPG"/>
    <s v="Direct"/>
    <n v="2683.8"/>
    <n v="102840.04000000001"/>
    <n v="1353.7000000000003"/>
    <n v="53438.489999999991"/>
    <n v="1283.9000000000001"/>
    <n v="49398.639999999992"/>
    <n v="2637.6000000000004"/>
    <n v="102837.12999999998"/>
    <n v="102837.12999999998"/>
    <n v="0"/>
    <n v="1305.4600000000003"/>
    <n v="0"/>
    <n v="0"/>
    <n v="0"/>
    <n v="0"/>
    <n v="53438"/>
    <n v="48092"/>
    <n v="0"/>
    <n v="5"/>
    <n v="0"/>
    <n v="0"/>
    <n v="0"/>
    <n v="2.8296371724793147E-5"/>
    <n v="56"/>
    <m/>
    <s v="Musrigharari"/>
    <m/>
    <n v="0"/>
  </r>
  <r>
    <s v="Munger"/>
    <s v="24-30 Jul"/>
    <n v="1013"/>
    <s v="Musrigharari"/>
    <x v="505"/>
    <s v="Gomukha Vishanupatti II"/>
    <s v="MPG"/>
    <s v="Indirect"/>
    <n v="653.79999999999995"/>
    <n v="25405.309999999998"/>
    <n v="0"/>
    <n v="0"/>
    <n v="0"/>
    <n v="0"/>
    <n v="0"/>
    <n v="0"/>
    <n v="25405.309999999998"/>
    <n v="0"/>
    <n v="0"/>
    <n v="0"/>
    <n v="1400"/>
    <n v="0"/>
    <n v="0"/>
    <n v="0"/>
    <n v="0"/>
    <n v="24005.309999999998"/>
    <n v="0"/>
    <n v="0"/>
    <n v="35.904720770877987"/>
    <n v="93.399999999999991"/>
    <n v="0"/>
    <n v="0"/>
    <m/>
    <s v="Musrigharari"/>
    <m/>
    <n v="0"/>
  </r>
  <r>
    <s v="Munger"/>
    <s v="24-30 Jul"/>
    <n v="1013"/>
    <s v="Musrigharari"/>
    <x v="506"/>
    <s v="Gomukh Khesarhiya"/>
    <s v="MPG"/>
    <s v="Indirect"/>
    <n v="234"/>
    <n v="10283.49"/>
    <n v="0"/>
    <n v="0"/>
    <n v="0"/>
    <n v="0"/>
    <n v="0"/>
    <n v="0"/>
    <n v="10283.49"/>
    <n v="0"/>
    <n v="0"/>
    <n v="0"/>
    <n v="0"/>
    <n v="0"/>
    <n v="0"/>
    <n v="0"/>
    <n v="0"/>
    <n v="10283.49"/>
    <n v="0"/>
    <n v="0"/>
    <n v="409.58173846153841"/>
    <n v="33.428571428571431"/>
    <n v="0"/>
    <n v="0"/>
    <m/>
    <s v="Musrigharari"/>
    <m/>
    <n v="0"/>
  </r>
  <r>
    <s v="Munger"/>
    <s v="24-30 Jul"/>
    <n v="1013"/>
    <s v="Musrigharari"/>
    <x v="507"/>
    <s v="Harsingpur"/>
    <s v="MPG"/>
    <s v="Indirect"/>
    <n v="443.49999999999994"/>
    <n v="14588.98"/>
    <n v="0"/>
    <n v="0"/>
    <n v="0"/>
    <n v="0"/>
    <n v="0"/>
    <n v="0"/>
    <n v="14588.98"/>
    <n v="0"/>
    <n v="0"/>
    <n v="0"/>
    <n v="1400"/>
    <n v="0"/>
    <n v="0"/>
    <n v="0"/>
    <n v="0"/>
    <n v="13188.98"/>
    <n v="0"/>
    <n v="0"/>
    <n v="168.75189943630224"/>
    <n v="63.357142857142847"/>
    <n v="0"/>
    <n v="0"/>
    <m/>
    <s v="Musrigharari"/>
    <m/>
    <n v="0"/>
  </r>
  <r>
    <s v="Munger"/>
    <s v="24-30 Jul"/>
    <n v="1013"/>
    <s v="Musrigharari"/>
    <x v="508"/>
    <s v="Gomukh ID Mahathi"/>
    <s v="vlc"/>
    <s v="Indirect"/>
    <n v="598.30000000000007"/>
    <n v="24401.760000000002"/>
    <n v="0"/>
    <n v="0"/>
    <n v="0"/>
    <n v="0"/>
    <n v="0"/>
    <n v="0"/>
    <n v="24401.760000000002"/>
    <n v="0"/>
    <n v="0"/>
    <n v="0"/>
    <n v="0"/>
    <n v="0"/>
    <n v="0"/>
    <n v="0"/>
    <n v="0"/>
    <n v="24401.760000000002"/>
    <n v="0"/>
    <n v="0"/>
    <n v="82.957011265251538"/>
    <n v="85.471428571428575"/>
    <n v="0"/>
    <n v="0"/>
    <m/>
    <s v="Musrigharari"/>
    <m/>
    <n v="0"/>
  </r>
  <r>
    <s v="Munger"/>
    <s v="24-30 Jul"/>
    <n v="1013"/>
    <s v="Musrigharari"/>
    <x v="509"/>
    <s v="MURTUJAPUR"/>
    <s v="MPG"/>
    <s v="Indirect"/>
    <n v="530"/>
    <n v="21021.989999999998"/>
    <n v="0"/>
    <n v="0"/>
    <n v="0"/>
    <n v="0"/>
    <n v="0"/>
    <n v="0"/>
    <n v="21021.989999999998"/>
    <n v="0"/>
    <n v="0"/>
    <n v="0"/>
    <n v="3100"/>
    <n v="0"/>
    <n v="0"/>
    <n v="0"/>
    <n v="0"/>
    <n v="17921.989999999998"/>
    <n v="0"/>
    <n v="0"/>
    <n v="134.85804905660379"/>
    <n v="75.714285714285708"/>
    <n v="0"/>
    <n v="0"/>
    <m/>
    <s v="Musrigharari"/>
    <m/>
    <n v="0"/>
  </r>
  <r>
    <s v="Munger"/>
    <s v="24-30 Jul"/>
    <n v="1013"/>
    <s v="Musrigharari"/>
    <x v="510"/>
    <s v="Rasalpur"/>
    <s v="MPG"/>
    <s v="Direct"/>
    <n v="234"/>
    <n v="10990.8"/>
    <n v="69.429999999999993"/>
    <n v="3434.62"/>
    <n v="159.79999999999998"/>
    <n v="7630.9"/>
    <n v="229.22999999999996"/>
    <n v="11065.52"/>
    <n v="10990.8"/>
    <n v="0"/>
    <n v="119.64"/>
    <n v="74.720000000001164"/>
    <n v="0"/>
    <n v="500"/>
    <n v="0"/>
    <n v="2859"/>
    <n v="7512"/>
    <n v="0"/>
    <n v="0"/>
    <n v="0"/>
    <n v="437.75323076923081"/>
    <n v="33.428571428571431"/>
    <n v="-6.7984132183281625E-3"/>
    <n v="8"/>
    <m/>
    <s v="Musrigharari"/>
    <m/>
    <n v="500"/>
  </r>
  <r>
    <s v="Munger"/>
    <s v="24-30 Jul"/>
    <n v="1013"/>
    <s v="Musrigharari"/>
    <x v="511"/>
    <s v="Gomukh VISHNUPATTI"/>
    <s v="MPG"/>
    <s v="Indirect"/>
    <n v="79.3"/>
    <n v="3026.1899999999996"/>
    <n v="0"/>
    <n v="0"/>
    <n v="0"/>
    <n v="0"/>
    <n v="0"/>
    <n v="0"/>
    <n v="3026.1899999999996"/>
    <n v="0"/>
    <n v="0"/>
    <n v="0"/>
    <n v="0"/>
    <n v="0"/>
    <n v="0"/>
    <n v="0"/>
    <n v="0"/>
    <n v="3026.1899999999996"/>
    <n v="0"/>
    <n v="0"/>
    <n v="473.7342075662043"/>
    <n v="11.328571428571427"/>
    <n v="0"/>
    <n v="0"/>
    <m/>
    <s v="Musrigharari"/>
    <m/>
    <n v="0"/>
  </r>
  <r>
    <s v="Munger"/>
    <s v="24-30 Jul"/>
    <n v="1013"/>
    <s v="Musrigharari"/>
    <x v="512"/>
    <s v="Chhuchhipur                                                                                         "/>
    <s v="MPG"/>
    <s v="Direct"/>
    <n v="136.19999999999999"/>
    <n v="5164.9000000000005"/>
    <n v="96.2"/>
    <n v="3682.18"/>
    <n v="39.5"/>
    <n v="1471.3000000000002"/>
    <n v="135.69999999999999"/>
    <n v="5153.4799999999996"/>
    <n v="5153.4799999999996"/>
    <n v="0"/>
    <n v="16.07"/>
    <n v="0"/>
    <n v="0"/>
    <n v="0"/>
    <n v="0"/>
    <n v="3682"/>
    <n v="1455"/>
    <n v="0"/>
    <n v="12"/>
    <n v="0"/>
    <n v="427.60214684287814"/>
    <n v="19.457142857142856"/>
    <n v="2.2110786268855118E-3"/>
    <n v="10"/>
    <m/>
    <s v="Musrigharari"/>
    <m/>
    <n v="0"/>
  </r>
  <r>
    <s v="Munger"/>
    <s v="24-30 Jul"/>
    <n v="1013"/>
    <s v="Musrigharari"/>
    <x v="513"/>
    <s v="Gomukh ID Sararanjan"/>
    <s v="vlc"/>
    <s v="Indirect"/>
    <n v="84.6"/>
    <n v="2981.35"/>
    <n v="0"/>
    <n v="0"/>
    <n v="0"/>
    <n v="0"/>
    <n v="0"/>
    <n v="0"/>
    <n v="2981.35"/>
    <n v="0"/>
    <n v="0"/>
    <n v="0"/>
    <n v="2981"/>
    <n v="0"/>
    <n v="0"/>
    <n v="0"/>
    <n v="0"/>
    <n v="0.34999999999990905"/>
    <n v="0"/>
    <n v="0"/>
    <n v="433.74061229314418"/>
    <n v="12.085714285714285"/>
    <n v="0"/>
    <n v="0"/>
    <m/>
    <s v="Musrigharari"/>
    <m/>
    <n v="0"/>
  </r>
  <r>
    <s v="Munger"/>
    <s v="24-30 Jul"/>
    <n v="1013"/>
    <s v="Musrigharari"/>
    <x v="515"/>
    <s v="Birnama"/>
    <s v="vlc"/>
    <s v="Indirect"/>
    <n v="1334.1"/>
    <n v="37223.019999999997"/>
    <n v="0"/>
    <n v="0"/>
    <n v="0"/>
    <n v="0"/>
    <n v="0"/>
    <n v="0"/>
    <n v="37223.019999999997"/>
    <n v="0"/>
    <n v="0"/>
    <n v="0"/>
    <n v="0"/>
    <n v="0"/>
    <n v="0"/>
    <n v="0"/>
    <n v="0"/>
    <n v="37223.019999999997"/>
    <n v="0"/>
    <n v="0"/>
    <n v="0"/>
    <n v="0"/>
    <n v="0"/>
    <n v="0"/>
    <m/>
    <s v="Musrigharari"/>
    <m/>
    <n v="0"/>
  </r>
  <r>
    <s v="Munger"/>
    <s v="24-30 Jul"/>
    <n v="1013"/>
    <s v="Musrigharari"/>
    <x v="516"/>
    <s v="Maraie - Rubi"/>
    <s v="vlc"/>
    <s v="Indirect"/>
    <n v="54.7"/>
    <n v="2208.09"/>
    <n v="0"/>
    <n v="0"/>
    <n v="0"/>
    <n v="0"/>
    <n v="0"/>
    <n v="0"/>
    <n v="2208.09"/>
    <n v="0"/>
    <n v="0"/>
    <n v="0"/>
    <n v="0"/>
    <n v="0"/>
    <n v="0"/>
    <n v="0"/>
    <n v="0"/>
    <n v="2208.09"/>
    <n v="0"/>
    <n v="0"/>
    <n v="520.98006471663609"/>
    <n v="7.8142857142857149"/>
    <n v="0"/>
    <n v="0"/>
    <m/>
    <s v="Musrigharari"/>
    <m/>
    <n v="0"/>
  </r>
  <r>
    <s v="Munger"/>
    <s v="24-30 Jul"/>
    <n v="1013"/>
    <s v="Musrigharari"/>
    <x v="517"/>
    <s v="Arniya East Tola - Seema"/>
    <s v="vlc"/>
    <s v="Indirect"/>
    <n v="6.6"/>
    <n v="242.22"/>
    <n v="0"/>
    <n v="0"/>
    <n v="0"/>
    <n v="0"/>
    <n v="0"/>
    <n v="0"/>
    <n v="242.22"/>
    <n v="0"/>
    <n v="0"/>
    <n v="0"/>
    <n v="0"/>
    <n v="0"/>
    <n v="0"/>
    <n v="0"/>
    <n v="0"/>
    <n v="242.22"/>
    <n v="0"/>
    <n v="0"/>
    <n v="508.95560000000012"/>
    <n v="0.94285714285714284"/>
    <n v="0"/>
    <n v="0"/>
    <m/>
    <s v="Musrigharari"/>
    <m/>
    <n v="0"/>
  </r>
  <r>
    <s v="Munger"/>
    <s v="24-30 Jul"/>
    <n v="1013"/>
    <s v="Musrigharari"/>
    <x v="518"/>
    <s v="Lakshmipur Western Tol - Rajeev"/>
    <s v="MPG"/>
    <s v="Indirect"/>
    <n v="1988.9"/>
    <n v="90062.02"/>
    <n v="0"/>
    <n v="0"/>
    <n v="0"/>
    <n v="0"/>
    <n v="0"/>
    <n v="0"/>
    <n v="90062.02"/>
    <n v="0"/>
    <n v="0"/>
    <n v="0"/>
    <n v="0"/>
    <n v="0"/>
    <n v="0"/>
    <n v="0"/>
    <n v="0"/>
    <n v="90062.02"/>
    <n v="0"/>
    <n v="0"/>
    <n v="0"/>
    <n v="0"/>
    <n v="0"/>
    <n v="0"/>
    <m/>
    <s v="Musrigharari"/>
    <m/>
    <n v="0"/>
  </r>
  <r>
    <s v="Munger"/>
    <s v="24-30 Jul"/>
    <n v="1013"/>
    <s v="Musrigharari"/>
    <x v="519"/>
    <s v="Jahangipur Salkhanni"/>
    <s v="MPG"/>
    <s v="Direct"/>
    <n v="287.40000000000003"/>
    <n v="13226.19"/>
    <n v="424.14"/>
    <n v="20201.41"/>
    <n v="25.43"/>
    <n v="1645.8000000000002"/>
    <n v="449.57"/>
    <n v="21847.21"/>
    <n v="13226.19"/>
    <n v="0"/>
    <n v="0"/>
    <n v="8621.0199999999986"/>
    <n v="1400"/>
    <n v="0"/>
    <n v="0"/>
    <n v="10180"/>
    <n v="1646"/>
    <n v="0"/>
    <n v="0"/>
    <n v="0"/>
    <n v="379.75824592901876"/>
    <n v="41.057142857142864"/>
    <n v="-0.65181431689700498"/>
    <n v="12"/>
    <m/>
    <s v="Musrigharari"/>
    <m/>
    <n v="0"/>
  </r>
  <r>
    <s v="Munger"/>
    <s v="24-30 Jul"/>
    <n v="1013"/>
    <s v="Musrigharari"/>
    <x v="520"/>
    <s v="Sekhpura"/>
    <s v="MPG"/>
    <s v="Direct"/>
    <n v="261.2"/>
    <n v="10244.079999999998"/>
    <n v="263.48"/>
    <n v="10149.969999999998"/>
    <n v="2.72"/>
    <n v="102.17"/>
    <n v="266.20000000000005"/>
    <n v="10252.139999999998"/>
    <n v="10244.079999999998"/>
    <n v="0"/>
    <n v="102.17"/>
    <n v="8.0599999999994907"/>
    <n v="0"/>
    <n v="0"/>
    <n v="0"/>
    <n v="10142"/>
    <n v="0"/>
    <n v="0"/>
    <n v="0"/>
    <n v="0"/>
    <n v="344.18853782542107"/>
    <n v="37.31428571428571"/>
    <n v="-7.8679588601411664E-4"/>
    <n v="6"/>
    <m/>
    <s v="Musrigharari"/>
    <m/>
    <n v="0"/>
  </r>
  <r>
    <s v="Munger"/>
    <s v="24-30 Jul"/>
    <n v="1013"/>
    <s v="Musrigharari"/>
    <x v="521"/>
    <s v="Songar"/>
    <s v="MPG"/>
    <s v="Direct"/>
    <n v="1049.3"/>
    <n v="38040.33"/>
    <n v="822.49999999999989"/>
    <n v="30008.280000000006"/>
    <n v="219.3"/>
    <n v="8004.6"/>
    <n v="1041.8"/>
    <n v="38012.880000000005"/>
    <n v="38012.880000000005"/>
    <n v="0"/>
    <n v="398.65000000000003"/>
    <n v="0"/>
    <n v="15500"/>
    <n v="0"/>
    <n v="0"/>
    <n v="18793"/>
    <n v="3323"/>
    <n v="0"/>
    <n v="26"/>
    <s v="Release1"/>
    <n v="0"/>
    <n v="0"/>
    <n v="7.2160257284826623E-4"/>
    <n v="25"/>
    <m/>
    <s v="Musrigharari"/>
    <m/>
    <n v="0"/>
  </r>
  <r>
    <s v="Munger"/>
    <s v="24-30 Jul"/>
    <n v="1013"/>
    <s v="Musrigharari"/>
    <x v="522"/>
    <s v="Rampur Maheshpur"/>
    <s v="MPG"/>
    <s v="Direct"/>
    <n v="808.1"/>
    <n v="33355.020000000004"/>
    <n v="168.94"/>
    <n v="8589.0499999999993"/>
    <n v="638.25"/>
    <n v="24784.04"/>
    <n v="807.19"/>
    <n v="33373.089999999997"/>
    <n v="33355.020000000004"/>
    <n v="0"/>
    <n v="0"/>
    <n v="18.069999999992433"/>
    <n v="0"/>
    <n v="0"/>
    <n v="0"/>
    <n v="8570"/>
    <n v="24785"/>
    <n v="0"/>
    <n v="0"/>
    <n v="0"/>
    <n v="0"/>
    <n v="0"/>
    <n v="-5.4174753905086642E-4"/>
    <n v="15"/>
    <m/>
    <s v="Musrigharari"/>
    <m/>
    <n v="0"/>
  </r>
  <r>
    <s v="Munger"/>
    <s v="24-30 Jul"/>
    <n v="1013"/>
    <s v="Musrigharari"/>
    <x v="523"/>
    <s v="Godhiyari"/>
    <s v="vlc"/>
    <s v="Indirect"/>
    <n v="1386.8"/>
    <n v="44834.66"/>
    <n v="0"/>
    <n v="0"/>
    <n v="0"/>
    <n v="0"/>
    <n v="0"/>
    <n v="0"/>
    <n v="44834.66"/>
    <n v="0"/>
    <n v="0"/>
    <n v="0"/>
    <n v="1400"/>
    <n v="0"/>
    <n v="0"/>
    <n v="0"/>
    <n v="0"/>
    <n v="43434.66"/>
    <n v="0"/>
    <n v="0"/>
    <n v="0"/>
    <n v="0"/>
    <n v="0"/>
    <n v="0"/>
    <m/>
    <s v="Musrigharari"/>
    <m/>
    <n v="0"/>
  </r>
  <r>
    <s v="Munger"/>
    <s v="24-30 Jul"/>
    <n v="1013"/>
    <s v="Musrigharari"/>
    <x v="524"/>
    <s v="Hussainipur Gobindpur"/>
    <s v="vlc"/>
    <s v="Indirect"/>
    <n v="678"/>
    <n v="28235.5"/>
    <n v="0"/>
    <n v="0"/>
    <n v="0"/>
    <n v="0"/>
    <n v="0"/>
    <n v="0"/>
    <n v="28235.5"/>
    <n v="0"/>
    <n v="0"/>
    <n v="0"/>
    <n v="0"/>
    <n v="0"/>
    <n v="0"/>
    <n v="0"/>
    <n v="0"/>
    <n v="28235.5"/>
    <n v="0"/>
    <n v="0"/>
    <n v="18.323923303834786"/>
    <n v="96.857142857142861"/>
    <n v="0"/>
    <n v="0"/>
    <m/>
    <s v="Musrigharari"/>
    <m/>
    <n v="0"/>
  </r>
  <r>
    <s v="Munger"/>
    <s v="24-30 Jul"/>
    <n v="1013"/>
    <s v="Musrigharari"/>
    <x v="525"/>
    <s v="Jhakhra-Rambilash"/>
    <s v="vlc"/>
    <s v="Indirect"/>
    <n v="476.90000000000003"/>
    <n v="19376.549999999996"/>
    <n v="0"/>
    <n v="0"/>
    <n v="0"/>
    <n v="0"/>
    <n v="0"/>
    <n v="0"/>
    <n v="19376.549999999996"/>
    <n v="0"/>
    <n v="0"/>
    <n v="0"/>
    <n v="0"/>
    <n v="0"/>
    <n v="0"/>
    <n v="0"/>
    <n v="0"/>
    <n v="19376.549999999996"/>
    <n v="0"/>
    <n v="0"/>
    <n v="181.29202369469485"/>
    <n v="68.128571428571433"/>
    <n v="0"/>
    <n v="0"/>
    <m/>
    <s v="Musrigharari"/>
    <m/>
    <n v="0"/>
  </r>
  <r>
    <s v="Munger"/>
    <s v="24-30 Jul"/>
    <n v="1013"/>
    <s v="Musrigharari"/>
    <x v="526"/>
    <s v="Dagarua"/>
    <s v="MPG"/>
    <s v="Direct"/>
    <n v="940.59999999999991"/>
    <n v="36088.959999999999"/>
    <n v="384.24000000000007"/>
    <n v="14143.539999999997"/>
    <n v="550.32000000000005"/>
    <n v="21924.859999999997"/>
    <n v="934.56000000000017"/>
    <n v="36068.399999999994"/>
    <n v="36068.399999999994"/>
    <n v="0"/>
    <n v="111.78999999999999"/>
    <n v="0"/>
    <n v="0"/>
    <n v="0"/>
    <n v="0"/>
    <n v="14144"/>
    <n v="21815"/>
    <n v="0"/>
    <n v="18"/>
    <n v="0"/>
    <n v="0"/>
    <n v="0"/>
    <n v="5.6970331092957372E-4"/>
    <n v="22"/>
    <m/>
    <s v="Musrigharari"/>
    <m/>
    <n v="0"/>
  </r>
  <r>
    <s v="Munger"/>
    <s v="24-30 Jul"/>
    <n v="1013"/>
    <s v="Musrigharari"/>
    <x v="527"/>
    <s v="Chakmilki"/>
    <s v="MPG"/>
    <s v="Direct"/>
    <n v="221.60000000000002"/>
    <n v="8217.89"/>
    <n v="92.009999999999991"/>
    <n v="3632.6399999999994"/>
    <n v="126.71"/>
    <n v="4567.6799999999994"/>
    <n v="218.71999999999997"/>
    <n v="8200.32"/>
    <n v="8200.32"/>
    <n v="0"/>
    <n v="208.79"/>
    <n v="0"/>
    <n v="0"/>
    <n v="0"/>
    <n v="0"/>
    <n v="3633"/>
    <n v="4359"/>
    <n v="0"/>
    <n v="17"/>
    <n v="0"/>
    <n v="354.82297617328516"/>
    <n v="31.657142857142862"/>
    <n v="2.1380183964496615E-3"/>
    <n v="11"/>
    <m/>
    <s v="Musrigharari"/>
    <m/>
    <n v="0"/>
  </r>
  <r>
    <s v="Munger"/>
    <s v="24-30 Jul"/>
    <n v="1013"/>
    <s v="Musrigharari"/>
    <x v="528"/>
    <s v="Gomukh Akaha"/>
    <s v="MPG"/>
    <s v="Direct"/>
    <n v="336.00000000000006"/>
    <n v="12209.580000000002"/>
    <n v="261.89999999999998"/>
    <n v="9106.9"/>
    <n v="77.179999999999993"/>
    <n v="3093.2699999999995"/>
    <n v="339.08"/>
    <n v="12200.169999999998"/>
    <n v="12200.169999999998"/>
    <n v="0"/>
    <n v="60.52"/>
    <n v="0"/>
    <n v="2950"/>
    <n v="500"/>
    <n v="0"/>
    <n v="5657"/>
    <n v="3033"/>
    <n v="0"/>
    <n v="9"/>
    <n v="0"/>
    <n v="264.54089999999997"/>
    <n v="48.000000000000007"/>
    <n v="7.7070628146123704E-4"/>
    <n v="9"/>
    <m/>
    <s v="Musrigharari"/>
    <m/>
    <n v="500"/>
  </r>
  <r>
    <s v="Munger"/>
    <s v="24-30 Jul"/>
    <n v="1013"/>
    <s v="Musrigharari"/>
    <x v="529"/>
    <s v="Nauachak-Pankaj"/>
    <s v="vlc"/>
    <s v="Indirect"/>
    <n v="30.6"/>
    <n v="1379.0499999999997"/>
    <n v="0"/>
    <n v="0"/>
    <n v="0"/>
    <n v="0"/>
    <n v="0"/>
    <n v="0"/>
    <n v="1379.0499999999997"/>
    <n v="0"/>
    <n v="0"/>
    <n v="0"/>
    <n v="0"/>
    <n v="0"/>
    <n v="0"/>
    <n v="0"/>
    <n v="0"/>
    <n v="1379.0499999999997"/>
    <n v="0"/>
    <n v="0"/>
    <n v="603.35690849673199"/>
    <n v="4.3714285714285719"/>
    <n v="0"/>
    <n v="0"/>
    <m/>
    <s v="Musrigharari"/>
    <m/>
    <n v="0"/>
  </r>
  <r>
    <s v="Munger"/>
    <s v="24-30 Jul"/>
    <n v="1013"/>
    <s v="Musrigharari"/>
    <x v="530"/>
    <s v="Jitwarpur-Manisha"/>
    <s v="vlc"/>
    <s v="Indirect"/>
    <n v="166.00000000000003"/>
    <n v="5308.14"/>
    <n v="0"/>
    <n v="0"/>
    <n v="0"/>
    <n v="0"/>
    <n v="0"/>
    <n v="0"/>
    <n v="5308.14"/>
    <n v="0"/>
    <n v="0"/>
    <n v="0"/>
    <n v="217"/>
    <n v="0"/>
    <n v="0"/>
    <n v="0"/>
    <n v="0"/>
    <n v="5091.1400000000003"/>
    <n v="0"/>
    <n v="0"/>
    <n v="341.51165783132529"/>
    <n v="23.714285714285719"/>
    <n v="0"/>
    <n v="0"/>
    <m/>
    <s v="Musrigharari"/>
    <m/>
    <n v="0"/>
  </r>
  <r>
    <s v="Munger"/>
    <s v="24-30 Jul"/>
    <n v="1013"/>
    <s v="Musrigharari"/>
    <x v="531"/>
    <s v="Gomukh Sirdulpur 2"/>
    <s v="vlc"/>
    <s v="Indirect"/>
    <n v="959.6"/>
    <n v="30092.880000000005"/>
    <n v="0"/>
    <n v="0"/>
    <n v="0"/>
    <n v="0"/>
    <n v="0"/>
    <n v="0"/>
    <n v="30092.880000000005"/>
    <n v="0"/>
    <n v="0"/>
    <n v="0"/>
    <n v="0"/>
    <n v="0"/>
    <n v="0"/>
    <n v="0"/>
    <n v="0"/>
    <n v="30092.880000000005"/>
    <n v="0"/>
    <n v="0"/>
    <n v="0"/>
    <n v="0"/>
    <n v="0"/>
    <n v="0"/>
    <m/>
    <s v="Musrigharari"/>
    <m/>
    <n v="0"/>
  </r>
  <r>
    <s v="Munger"/>
    <s v="24-30 Jul"/>
    <n v="1013"/>
    <s v="Musrigharari"/>
    <x v="532"/>
    <s v="Gomukh Patepur"/>
    <s v="vlc"/>
    <s v="Indirect"/>
    <n v="311.59999999999997"/>
    <n v="11421.07"/>
    <n v="0"/>
    <n v="0"/>
    <n v="0"/>
    <n v="0"/>
    <n v="0"/>
    <n v="0"/>
    <n v="11421.07"/>
    <n v="0"/>
    <n v="0"/>
    <n v="0"/>
    <n v="0"/>
    <n v="0"/>
    <n v="0"/>
    <n v="0"/>
    <n v="0"/>
    <n v="11421.07"/>
    <n v="0"/>
    <n v="0"/>
    <n v="284.72038433889605"/>
    <n v="44.514285714285712"/>
    <n v="0"/>
    <n v="0"/>
    <m/>
    <s v="Musrigharari"/>
    <m/>
    <n v="0"/>
  </r>
  <r>
    <s v="Munger"/>
    <s v="24-30 Jul"/>
    <n v="1013"/>
    <s v="Musrigharari"/>
    <x v="980"/>
    <s v="Gomukh Akowahi Purvi Tol"/>
    <s v="MPG"/>
    <s v="Direct"/>
    <n v="31.7"/>
    <n v="1034.1199999999999"/>
    <n v="31"/>
    <n v="1010.3199999999999"/>
    <n v="0"/>
    <n v="0"/>
    <n v="31"/>
    <n v="1010.3199999999999"/>
    <n v="1010.3199999999999"/>
    <n v="0"/>
    <n v="0"/>
    <n v="0"/>
    <n v="0"/>
    <n v="0"/>
    <n v="0"/>
    <n v="1010"/>
    <n v="0"/>
    <n v="0"/>
    <n v="24"/>
    <n v="0"/>
    <n v="436.02674826498429"/>
    <n v="4.5285714285714285"/>
    <n v="2.301473716783348E-2"/>
    <n v="1"/>
    <m/>
    <s v="Musrigharari"/>
    <m/>
    <n v="0"/>
  </r>
  <r>
    <s v="Munger"/>
    <s v="24-30 Jul"/>
    <n v="1013"/>
    <s v="Musrigharari"/>
    <x v="533"/>
    <s v="Gomukh Sherpur Narsari East"/>
    <s v="MPG"/>
    <s v="Direct"/>
    <n v="263.90000000000003"/>
    <n v="11626.739999999998"/>
    <n v="180.79000000000002"/>
    <n v="7500.7400000000007"/>
    <n v="79.69"/>
    <n v="4127.96"/>
    <n v="260.48"/>
    <n v="11628.7"/>
    <n v="11626.739999999998"/>
    <n v="0"/>
    <n v="0"/>
    <n v="1.9600000000027649"/>
    <n v="0"/>
    <n v="0"/>
    <n v="0"/>
    <n v="7499"/>
    <n v="4128"/>
    <n v="0"/>
    <n v="0"/>
    <n v="0"/>
    <n v="384.2683830238725"/>
    <n v="37.700000000000003"/>
    <n v="-1.6857691837976639E-4"/>
    <n v="6"/>
    <m/>
    <s v="Musrigharari"/>
    <m/>
    <n v="0"/>
  </r>
  <r>
    <s v="Munger"/>
    <s v="24-30 Jul"/>
    <n v="1013"/>
    <s v="Musrigharari"/>
    <x v="534"/>
    <s v="Gomukh Karhatti"/>
    <s v="MPG"/>
    <s v="Direct"/>
    <n v="86.5"/>
    <n v="2838.03"/>
    <n v="85.699999999999989"/>
    <n v="2851.72"/>
    <n v="0"/>
    <n v="0"/>
    <n v="85.699999999999989"/>
    <n v="2851.72"/>
    <n v="2838.03"/>
    <n v="0"/>
    <n v="0"/>
    <n v="13.6899999999996"/>
    <n v="0"/>
    <n v="500"/>
    <n v="0"/>
    <n v="2338"/>
    <n v="0"/>
    <n v="0"/>
    <n v="0"/>
    <n v="0"/>
    <n v="402.57373526011565"/>
    <n v="12.357142857142858"/>
    <n v="-4.8237686000498934E-3"/>
    <n v="1"/>
    <m/>
    <s v="Musrigharari"/>
    <m/>
    <n v="500"/>
  </r>
  <r>
    <s v="Munger"/>
    <s v="24-30 Jul"/>
    <n v="1013"/>
    <s v="Musrigharari"/>
    <x v="535"/>
    <s v="Gomukh Gaopur Bhagwatpur"/>
    <s v="MPG"/>
    <s v="Direct"/>
    <n v="262.2"/>
    <n v="12913.18"/>
    <n v="265.09000000000003"/>
    <n v="12895.58"/>
    <n v="0"/>
    <n v="0"/>
    <n v="265.09000000000003"/>
    <n v="12895.58"/>
    <n v="12895.58"/>
    <n v="0"/>
    <n v="0"/>
    <n v="0"/>
    <n v="0"/>
    <n v="0"/>
    <n v="0"/>
    <n v="12896"/>
    <n v="0"/>
    <n v="0"/>
    <n v="17"/>
    <n v="0"/>
    <n v="431.22732295957286"/>
    <n v="37.457142857142856"/>
    <n v="1.3629485533385552E-3"/>
    <n v="6"/>
    <m/>
    <s v="Musrigharari"/>
    <m/>
    <n v="0"/>
  </r>
  <r>
    <s v="Munger"/>
    <s v="24-30 Jul"/>
    <n v="1013"/>
    <s v="Musrigharari"/>
    <x v="536"/>
    <s v="Gomukh Rajwara"/>
    <s v="MPG"/>
    <s v="Direct"/>
    <n v="93.700000000000017"/>
    <n v="3806.2800000000007"/>
    <n v="92.32"/>
    <n v="3795.24"/>
    <n v="0"/>
    <n v="0"/>
    <n v="92.32"/>
    <n v="3795.24"/>
    <n v="3795.24"/>
    <n v="0"/>
    <n v="0"/>
    <n v="0"/>
    <n v="0"/>
    <n v="500"/>
    <n v="0"/>
    <n v="3296"/>
    <n v="0"/>
    <n v="0"/>
    <n v="10"/>
    <n v="0"/>
    <n v="492.58219082177158"/>
    <n v="13.385714285714288"/>
    <n v="2.900469749992347E-3"/>
    <n v="3"/>
    <m/>
    <s v="Musrigharari"/>
    <m/>
    <n v="500"/>
  </r>
  <r>
    <s v="Munger"/>
    <s v="24-30 Jul"/>
    <n v="1061"/>
    <s v="Mahua BMC"/>
    <x v="537"/>
    <s v="Gomukh Karhatiya Bujurg"/>
    <s v="vlc"/>
    <s v="Indirect"/>
    <n v="800.10000000000014"/>
    <n v="33060.35"/>
    <n v="0"/>
    <n v="0"/>
    <n v="0"/>
    <n v="0"/>
    <n v="0"/>
    <n v="0"/>
    <n v="33060.35"/>
    <n v="0"/>
    <n v="0"/>
    <n v="0"/>
    <n v="0"/>
    <n v="0"/>
    <n v="0"/>
    <n v="0"/>
    <n v="0"/>
    <n v="33060.35"/>
    <n v="0"/>
    <n v="0"/>
    <n v="0"/>
    <n v="0"/>
    <n v="0"/>
    <n v="0"/>
    <m/>
    <s v="Mahua BMC"/>
    <m/>
    <n v="0"/>
  </r>
  <r>
    <s v="Munger"/>
    <s v="24-30 Jul"/>
    <n v="1013"/>
    <s v="Musrigharari"/>
    <x v="538"/>
    <s v="GOMUKH NIKASPUR"/>
    <s v="vlc"/>
    <s v="Indirect"/>
    <n v="50.4"/>
    <n v="1809.16"/>
    <n v="0"/>
    <n v="0"/>
    <n v="0"/>
    <n v="0"/>
    <n v="0"/>
    <n v="0"/>
    <n v="1809.16"/>
    <n v="0"/>
    <n v="0"/>
    <n v="0"/>
    <n v="0"/>
    <n v="0"/>
    <n v="0"/>
    <n v="0"/>
    <n v="0"/>
    <n v="1809.16"/>
    <n v="0"/>
    <n v="0"/>
    <n v="466.36124444444448"/>
    <n v="7.2"/>
    <n v="0"/>
    <n v="0"/>
    <m/>
    <s v="Musrigharari"/>
    <m/>
    <n v="0"/>
  </r>
  <r>
    <s v="Munger"/>
    <s v="24-30 Jul"/>
    <n v="1013"/>
    <s v="Musrigharari"/>
    <x v="1017"/>
    <s v="NAUACHAUK W-04"/>
    <s v="vlc"/>
    <s v="Indirect"/>
    <n v="100.10000000000001"/>
    <n v="3596.0099999999993"/>
    <n v="0"/>
    <n v="0"/>
    <n v="0"/>
    <n v="0"/>
    <n v="0"/>
    <n v="0"/>
    <n v="3596.0099999999993"/>
    <n v="0"/>
    <n v="0"/>
    <n v="0"/>
    <n v="0"/>
    <n v="0"/>
    <n v="0"/>
    <n v="0"/>
    <n v="0"/>
    <n v="3596.0099999999993"/>
    <n v="0"/>
    <n v="0"/>
    <n v="431.01826153846139"/>
    <n v="14.3"/>
    <n v="0"/>
    <n v="0"/>
    <m/>
    <s v="Musrigharari"/>
    <m/>
    <n v="0"/>
  </r>
  <r>
    <s v="Munger"/>
    <s v="24-30 Jul"/>
    <n v="1013"/>
    <s v="Musrigharari"/>
    <x v="539"/>
    <s v="Gomukh Morwa Mohanpur"/>
    <s v="vlc"/>
    <s v="Indirect"/>
    <n v="384"/>
    <n v="16296.78"/>
    <n v="0"/>
    <n v="0"/>
    <n v="0"/>
    <n v="0"/>
    <n v="0"/>
    <n v="0"/>
    <n v="16296.78"/>
    <n v="0"/>
    <n v="0"/>
    <n v="0"/>
    <n v="0"/>
    <n v="0"/>
    <n v="0"/>
    <n v="0"/>
    <n v="0"/>
    <n v="16296.78"/>
    <n v="0"/>
    <n v="0"/>
    <n v="268.21783750000003"/>
    <n v="54.857142857142854"/>
    <n v="0"/>
    <n v="0"/>
    <m/>
    <s v="Musrigharari"/>
    <m/>
    <n v="0"/>
  </r>
  <r>
    <s v="Munger"/>
    <s v="24-30 Jul"/>
    <n v="1013"/>
    <s v="Musrigharari"/>
    <x v="981"/>
    <s v="Gomukh Gangapur East"/>
    <s v="vlc"/>
    <s v="Indirect"/>
    <n v="1120.4000000000001"/>
    <n v="38117.65"/>
    <n v="0"/>
    <n v="0"/>
    <n v="0"/>
    <n v="0"/>
    <n v="0"/>
    <n v="0"/>
    <n v="38117.65"/>
    <n v="0"/>
    <n v="0"/>
    <n v="0"/>
    <n v="0"/>
    <n v="0"/>
    <n v="0"/>
    <n v="0"/>
    <n v="0"/>
    <n v="38117.65"/>
    <n v="0"/>
    <n v="0"/>
    <n v="0"/>
    <n v="0"/>
    <n v="0"/>
    <n v="0"/>
    <m/>
    <s v="Musrigharari"/>
    <m/>
    <n v="0"/>
  </r>
  <r>
    <s v="Munger"/>
    <s v="24-30 Jul"/>
    <n v="1013"/>
    <s v="Musrigharari"/>
    <x v="540"/>
    <s v="GOMUKH Laguniya"/>
    <s v="vlc"/>
    <s v="Indirect"/>
    <n v="1182.5"/>
    <n v="48349.06"/>
    <n v="0"/>
    <n v="0"/>
    <n v="0"/>
    <n v="0"/>
    <n v="0"/>
    <n v="0"/>
    <n v="48349.06"/>
    <n v="0"/>
    <n v="0"/>
    <n v="0"/>
    <n v="0"/>
    <n v="0"/>
    <n v="0"/>
    <n v="0"/>
    <n v="0"/>
    <n v="48349.06"/>
    <n v="0"/>
    <n v="0"/>
    <n v="0"/>
    <n v="0"/>
    <n v="0"/>
    <n v="0"/>
    <m/>
    <s v="Musrigharari"/>
    <m/>
    <n v="0"/>
  </r>
  <r>
    <s v="Munger"/>
    <s v="24-30 Jul"/>
    <n v="1013"/>
    <s v="Musrigharari"/>
    <x v="541"/>
    <s v="GOMUKH MAHINDWARA"/>
    <s v="vlc"/>
    <s v="Indirect"/>
    <n v="289.59999999999997"/>
    <n v="11320.949999999999"/>
    <n v="0"/>
    <n v="0"/>
    <n v="0"/>
    <n v="0"/>
    <n v="0"/>
    <n v="0"/>
    <n v="11320.949999999999"/>
    <n v="0"/>
    <n v="0"/>
    <n v="0"/>
    <n v="0"/>
    <n v="0"/>
    <n v="0"/>
    <n v="0"/>
    <n v="0"/>
    <n v="11320.949999999999"/>
    <n v="0"/>
    <n v="0"/>
    <n v="320.86449447513814"/>
    <n v="41.371428571428567"/>
    <n v="0"/>
    <n v="0"/>
    <m/>
    <s v="Musrigharari"/>
    <m/>
    <n v="0"/>
  </r>
  <r>
    <s v="Munger"/>
    <s v="24-30 Jul"/>
    <n v="1013"/>
    <s v="Musrigharari"/>
    <x v="542"/>
    <s v="GOMUKH MISHRAULIA"/>
    <s v="MPG"/>
    <s v="Direct"/>
    <n v="497.09999999999997"/>
    <n v="23029.239999999998"/>
    <n v="463.69999999999993"/>
    <n v="22600.44"/>
    <n v="11"/>
    <n v="424.8"/>
    <n v="474.69999999999993"/>
    <n v="23025.239999999998"/>
    <n v="23025.239999999998"/>
    <n v="0"/>
    <n v="0"/>
    <n v="0"/>
    <n v="1400"/>
    <n v="0"/>
    <n v="0"/>
    <n v="21200"/>
    <n v="426"/>
    <n v="0"/>
    <n v="3"/>
    <n v="0"/>
    <n v="187.99568682357679"/>
    <n v="71.014285714285705"/>
    <n v="1.7369222779388294E-4"/>
    <n v="7"/>
    <m/>
    <s v="Musrigharari"/>
    <m/>
    <n v="0"/>
  </r>
  <r>
    <s v="Munger"/>
    <s v="24-30 Jul"/>
    <n v="1013"/>
    <s v="Musrigharari"/>
    <x v="543"/>
    <s v="GOMUKH Bhagwatpur East"/>
    <s v="vlc"/>
    <s v="Direct"/>
    <n v="293.8"/>
    <n v="9073.35"/>
    <n v="293.2"/>
    <n v="9054.9699999999993"/>
    <n v="0"/>
    <n v="0"/>
    <n v="293.2"/>
    <n v="9054.9699999999993"/>
    <n v="9054.9699999999993"/>
    <n v="0"/>
    <n v="0"/>
    <n v="0"/>
    <n v="4350"/>
    <n v="0"/>
    <n v="0"/>
    <n v="4705"/>
    <n v="0"/>
    <n v="0"/>
    <n v="18"/>
    <s v="Release1"/>
    <n v="250.89140707964603"/>
    <n v="41.971428571428575"/>
    <n v="2.0257126640106484E-3"/>
    <n v="1"/>
    <m/>
    <s v="Musrigharari"/>
    <m/>
    <n v="0"/>
  </r>
  <r>
    <s v="Munger"/>
    <s v="24-30 Jul"/>
    <n v="1013"/>
    <s v="Musrigharari"/>
    <x v="544"/>
    <s v="Gomukh Rupauli Buzurg"/>
    <s v="vlc"/>
    <s v="Indirect"/>
    <n v="8022"/>
    <n v="308629.66000000003"/>
    <n v="0"/>
    <n v="0"/>
    <n v="0"/>
    <n v="0"/>
    <n v="0"/>
    <n v="0"/>
    <n v="308629.66000000003"/>
    <n v="0"/>
    <n v="0"/>
    <n v="0"/>
    <n v="0"/>
    <n v="0"/>
    <n v="0"/>
    <n v="0"/>
    <n v="0"/>
    <n v="308629.66000000003"/>
    <n v="0"/>
    <n v="0"/>
    <n v="0"/>
    <n v="0"/>
    <n v="0"/>
    <n v="0"/>
    <m/>
    <s v="Musrigharari"/>
    <m/>
    <n v="0"/>
  </r>
  <r>
    <s v="Munger"/>
    <s v="24-30 Jul"/>
    <n v="1013"/>
    <s v="Musrigharari"/>
    <x v="545"/>
    <s v="GOMUKH BAKHRI"/>
    <s v="vlc"/>
    <s v="Indirect"/>
    <n v="40"/>
    <n v="1747.85"/>
    <n v="0"/>
    <n v="0"/>
    <n v="0"/>
    <n v="0"/>
    <n v="0"/>
    <n v="0"/>
    <n v="1747.85"/>
    <n v="0"/>
    <n v="0"/>
    <n v="0"/>
    <n v="0"/>
    <n v="0"/>
    <n v="0"/>
    <n v="0"/>
    <n v="0"/>
    <n v="1747.85"/>
    <n v="0"/>
    <n v="0"/>
    <n v="576.79049999999995"/>
    <n v="5.7142857142857144"/>
    <n v="0"/>
    <n v="0"/>
    <m/>
    <s v="Musrigharari"/>
    <m/>
    <n v="0"/>
  </r>
  <r>
    <s v="Munger"/>
    <s v="24-30 Jul"/>
    <n v="1013"/>
    <s v="Musrigharari"/>
    <x v="546"/>
    <s v="GOMUKH KAMTAUL"/>
    <s v="MPG"/>
    <s v="Direct"/>
    <n v="586.6"/>
    <n v="24219.600000000002"/>
    <n v="562.66999999999996"/>
    <n v="23348.12"/>
    <n v="20.82"/>
    <n v="831.46000000000015"/>
    <n v="583.49"/>
    <n v="24179.579999999998"/>
    <n v="24179.579999999998"/>
    <n v="0"/>
    <n v="309.45000000000005"/>
    <n v="0"/>
    <n v="0"/>
    <n v="0"/>
    <n v="0"/>
    <n v="23347"/>
    <n v="523"/>
    <n v="0"/>
    <n v="40"/>
    <n v="0"/>
    <n v="93.641412887828196"/>
    <n v="83.8"/>
    <n v="1.6523807164447006E-3"/>
    <n v="11"/>
    <m/>
    <s v="Musrigharari"/>
    <m/>
    <n v="0"/>
  </r>
  <r>
    <s v="Munger"/>
    <s v="24-30 Jul"/>
    <n v="1013"/>
    <s v="Musrigharari"/>
    <x v="547"/>
    <s v="GOMUKH MIRJAPUR NISFI"/>
    <s v="vlc"/>
    <s v="Indirect"/>
    <n v="472.10000000000008"/>
    <n v="16169.08"/>
    <n v="0"/>
    <n v="0"/>
    <n v="0"/>
    <n v="0"/>
    <n v="0"/>
    <n v="0"/>
    <n v="16169.08"/>
    <n v="0"/>
    <n v="0"/>
    <n v="0"/>
    <n v="0"/>
    <n v="0"/>
    <n v="0"/>
    <n v="0"/>
    <n v="0"/>
    <n v="16169.08"/>
    <n v="0"/>
    <n v="0"/>
    <n v="156.1081691167125"/>
    <n v="67.44285714285715"/>
    <n v="0"/>
    <n v="0"/>
    <m/>
    <s v="Musrigharari"/>
    <m/>
    <n v="0"/>
  </r>
  <r>
    <s v="Munger"/>
    <s v="24-30 Jul"/>
    <n v="1014"/>
    <s v="Dumraon"/>
    <x v="548"/>
    <s v="Dumri Purvi Tola"/>
    <s v="MPG"/>
    <s v="Direct"/>
    <n v="597.9"/>
    <n v="19780.729999999996"/>
    <n v="403.9"/>
    <n v="19742.920000000002"/>
    <n v="0"/>
    <n v="0"/>
    <n v="403.9"/>
    <n v="19742.920000000002"/>
    <n v="19742.920000000002"/>
    <n v="0"/>
    <n v="0"/>
    <n v="0"/>
    <n v="13300"/>
    <n v="0"/>
    <n v="0"/>
    <n v="6442"/>
    <n v="0"/>
    <n v="0"/>
    <n v="39"/>
    <s v="Release1"/>
    <n v="67.556866800468313"/>
    <n v="85.414285714285711"/>
    <n v="1.9114562506031901E-3"/>
    <n v="4"/>
    <m/>
    <s v="Dumraon"/>
    <m/>
    <n v="0"/>
  </r>
  <r>
    <s v="Munger"/>
    <s v="24-30 Jul"/>
    <n v="1014"/>
    <s v="Dumraon"/>
    <x v="549"/>
    <s v="Simri"/>
    <s v="MPG"/>
    <s v="Direct"/>
    <n v="619.30000000000007"/>
    <n v="24284.670000000002"/>
    <n v="661.49"/>
    <n v="25621.350000000006"/>
    <n v="0"/>
    <n v="0"/>
    <n v="661.49"/>
    <n v="25621.350000000006"/>
    <n v="24284.670000000002"/>
    <n v="0"/>
    <n v="0"/>
    <n v="1336.6800000000039"/>
    <n v="0"/>
    <n v="0"/>
    <n v="0"/>
    <n v="24285"/>
    <n v="0"/>
    <n v="0"/>
    <n v="0"/>
    <n v="0"/>
    <n v="63.289936024543813"/>
    <n v="88.471428571428575"/>
    <n v="-5.5042131517537764E-2"/>
    <n v="13"/>
    <m/>
    <s v="Dumraon"/>
    <m/>
    <n v="0"/>
  </r>
  <r>
    <s v="Munger"/>
    <s v="24-30 Jul"/>
    <n v="1014"/>
    <s v="Dumraon"/>
    <x v="550"/>
    <s v="Sahiyar"/>
    <s v="MPG"/>
    <s v="Direct"/>
    <n v="1044.1999999999998"/>
    <n v="43286.21"/>
    <n v="966.89999999999986"/>
    <n v="41985.689999999995"/>
    <n v="34.799999999999997"/>
    <n v="1415.56"/>
    <n v="1001.6999999999998"/>
    <n v="43401.249999999993"/>
    <n v="43286.21"/>
    <n v="0"/>
    <n v="1415.56"/>
    <n v="115.0399999999936"/>
    <n v="0"/>
    <n v="0"/>
    <n v="0"/>
    <n v="41870"/>
    <n v="0"/>
    <n v="0"/>
    <n v="1"/>
    <n v="0"/>
    <n v="0"/>
    <n v="0"/>
    <n v="-2.6576593330761367E-3"/>
    <n v="24"/>
    <m/>
    <s v="Dumraon"/>
    <m/>
    <n v="0"/>
  </r>
  <r>
    <s v="Munger"/>
    <s v="24-30 Jul"/>
    <n v="1014"/>
    <s v="Dumraon"/>
    <x v="551"/>
    <s v="ENGLISH DUBAULI"/>
    <s v="MPG"/>
    <s v="Direct"/>
    <n v="703.5"/>
    <n v="26419.88"/>
    <n v="691.21"/>
    <n v="27892.29"/>
    <n v="28.88"/>
    <n v="1406.79"/>
    <n v="720.09"/>
    <n v="29299.08"/>
    <n v="26419.88"/>
    <n v="0"/>
    <n v="1406.79"/>
    <n v="2879.2000000000007"/>
    <n v="0"/>
    <n v="0"/>
    <n v="0"/>
    <n v="27890"/>
    <n v="0"/>
    <n v="0"/>
    <n v="-2877"/>
    <s v="Release2"/>
    <n v="0"/>
    <n v="0"/>
    <n v="-0.10897854191616316"/>
    <n v="13"/>
    <m/>
    <s v="Dumraon"/>
    <m/>
    <n v="0"/>
  </r>
  <r>
    <s v="Munger"/>
    <s v="24-30 Jul"/>
    <n v="1014"/>
    <s v="Dumraon"/>
    <x v="552"/>
    <s v="Ramo Bariya"/>
    <s v="MPG"/>
    <s v="Direct"/>
    <n v="461.6"/>
    <n v="17822.53"/>
    <n v="466.27"/>
    <n v="17822.089999999997"/>
    <n v="0"/>
    <n v="0"/>
    <n v="466.27"/>
    <n v="17822.089999999997"/>
    <n v="17822.089999999997"/>
    <n v="0"/>
    <n v="0"/>
    <n v="0"/>
    <n v="0"/>
    <n v="0"/>
    <n v="0"/>
    <n v="17823"/>
    <n v="0"/>
    <n v="0"/>
    <n v="0"/>
    <n v="0"/>
    <n v="184.09407071057188"/>
    <n v="65.94285714285715"/>
    <n v="2.4687852959278416E-5"/>
    <n v="12"/>
    <m/>
    <s v="Dumraon"/>
    <m/>
    <n v="0"/>
  </r>
  <r>
    <s v="Munger"/>
    <s v="24-30 Jul"/>
    <n v="1014"/>
    <s v="Dumraon"/>
    <x v="553"/>
    <s v="HITAN PARARI"/>
    <s v="MPG"/>
    <s v="Direct"/>
    <n v="1229.1000000000004"/>
    <n v="52481.650000000009"/>
    <n v="1228.8899999999999"/>
    <n v="55322.25"/>
    <n v="0"/>
    <n v="0"/>
    <n v="1228.8899999999999"/>
    <n v="55322.25"/>
    <n v="52481.650000000009"/>
    <n v="0"/>
    <n v="0"/>
    <n v="2840.5999999999913"/>
    <n v="0"/>
    <n v="0"/>
    <n v="0"/>
    <n v="52482"/>
    <n v="0"/>
    <n v="0"/>
    <n v="0"/>
    <n v="0"/>
    <n v="0"/>
    <n v="0"/>
    <n v="-5.4125584847275018E-2"/>
    <n v="6"/>
    <m/>
    <s v="Dumraon"/>
    <m/>
    <n v="0"/>
  </r>
  <r>
    <s v="Munger"/>
    <s v="24-30 Jul"/>
    <n v="1014"/>
    <s v="Dumraon"/>
    <x v="554"/>
    <s v="DULLAHPUR2"/>
    <s v="MPG"/>
    <s v="Direct"/>
    <n v="210.1"/>
    <n v="6637.1899999999987"/>
    <n v="210"/>
    <n v="6636"/>
    <n v="0"/>
    <n v="0"/>
    <n v="210"/>
    <n v="6636"/>
    <n v="6636"/>
    <n v="0"/>
    <n v="0"/>
    <n v="0"/>
    <n v="30"/>
    <n v="0"/>
    <n v="0"/>
    <n v="6606"/>
    <n v="0"/>
    <n v="0"/>
    <n v="1"/>
    <s v="Release1"/>
    <n v="309.52492917658259"/>
    <n v="30.014285714285712"/>
    <n v="1.7929274286236955E-4"/>
    <n v="1"/>
    <m/>
    <s v="Dumraon"/>
    <m/>
    <n v="0"/>
  </r>
  <r>
    <s v="Munger"/>
    <s v="24-30 Jul"/>
    <n v="1014"/>
    <s v="Dumraon"/>
    <x v="555"/>
    <s v="Gangauli"/>
    <s v="MPG"/>
    <s v="Direct"/>
    <n v="1527.6999999999998"/>
    <n v="71371.080000000016"/>
    <n v="1499.71"/>
    <n v="71734.44"/>
    <n v="8.9599999999999991"/>
    <n v="339.92"/>
    <n v="1508.67"/>
    <n v="72074.36"/>
    <n v="71371.080000000016"/>
    <n v="0"/>
    <n v="339.92"/>
    <n v="703.27999999998428"/>
    <n v="0"/>
    <n v="0"/>
    <n v="0"/>
    <n v="71031"/>
    <n v="0"/>
    <n v="0"/>
    <n v="0"/>
    <n v="0"/>
    <n v="0"/>
    <n v="0"/>
    <n v="-9.8538511677276584E-3"/>
    <n v="22"/>
    <m/>
    <s v="Dumraon"/>
    <m/>
    <n v="0"/>
  </r>
  <r>
    <s v="Munger"/>
    <s v="24-30 Jul"/>
    <n v="1014"/>
    <s v="Dumraon"/>
    <x v="556"/>
    <s v="MATHURA DERA"/>
    <s v="MPG"/>
    <s v="Direct"/>
    <n v="2035.1"/>
    <n v="84224.949999999983"/>
    <n v="2345.1999999999998"/>
    <n v="84034.6"/>
    <n v="4"/>
    <n v="136.24"/>
    <n v="2349.1999999999998"/>
    <n v="84170.840000000011"/>
    <n v="84170.840000000011"/>
    <n v="0"/>
    <n v="136.24"/>
    <n v="0"/>
    <n v="0"/>
    <n v="0"/>
    <n v="0"/>
    <n v="84034"/>
    <n v="0"/>
    <n v="0"/>
    <n v="55"/>
    <n v="0"/>
    <n v="0"/>
    <n v="0"/>
    <n v="6.4244621100958195E-4"/>
    <n v="6"/>
    <m/>
    <s v="Dumraon"/>
    <m/>
    <n v="0"/>
  </r>
  <r>
    <s v="Munger"/>
    <s v="24-30 Jul"/>
    <n v="1014"/>
    <s v="Dumraon"/>
    <x v="557"/>
    <s v="NANDAN"/>
    <s v="MPG"/>
    <s v="Direct"/>
    <n v="234.1"/>
    <n v="12558.23"/>
    <n v="234"/>
    <n v="12556.44"/>
    <n v="0"/>
    <n v="0"/>
    <n v="234"/>
    <n v="12556.44"/>
    <n v="12556.44"/>
    <n v="0"/>
    <n v="0"/>
    <n v="0"/>
    <n v="0"/>
    <n v="0"/>
    <n v="0"/>
    <n v="12556"/>
    <n v="0"/>
    <n v="0"/>
    <n v="2"/>
    <n v="0"/>
    <n v="499.8615426740709"/>
    <n v="33.442857142857143"/>
    <n v="1.4253601024977677E-4"/>
    <n v="1"/>
    <m/>
    <s v="Dumraon"/>
    <m/>
    <n v="0"/>
  </r>
  <r>
    <s v="Munger"/>
    <s v="24-30 Jul"/>
    <n v="1014"/>
    <s v="Dumraon"/>
    <x v="559"/>
    <s v="HEMDAPUR"/>
    <s v="MPG"/>
    <s v="Direct"/>
    <n v="502.09999999999997"/>
    <n v="18764.47"/>
    <n v="506.87999999999994"/>
    <n v="19657.559999999998"/>
    <n v="0"/>
    <n v="0"/>
    <n v="506.87999999999994"/>
    <n v="19657.559999999998"/>
    <n v="18764.47"/>
    <n v="0"/>
    <n v="0"/>
    <n v="893.08999999999651"/>
    <n v="0"/>
    <n v="0"/>
    <n v="0"/>
    <n v="18764"/>
    <n v="0"/>
    <n v="0"/>
    <n v="0"/>
    <n v="0"/>
    <n v="147.91828771161127"/>
    <n v="71.728571428571428"/>
    <n v="-4.7594736222232571E-2"/>
    <n v="3"/>
    <m/>
    <s v="Dumraon"/>
    <m/>
    <n v="0"/>
  </r>
  <r>
    <s v="Munger"/>
    <s v="24-30 Jul"/>
    <n v="1014"/>
    <s v="Dumraon"/>
    <x v="560"/>
    <s v="Chaugain"/>
    <s v="MPG"/>
    <s v="Direct"/>
    <n v="80.900000000000006"/>
    <n v="2695.95"/>
    <n v="91"/>
    <n v="2989.35"/>
    <n v="0"/>
    <n v="0"/>
    <n v="91"/>
    <n v="2989.35"/>
    <n v="2695.95"/>
    <n v="0"/>
    <n v="0"/>
    <n v="293.40000000000009"/>
    <n v="0"/>
    <n v="500"/>
    <n v="0"/>
    <n v="2196"/>
    <n v="0"/>
    <n v="0"/>
    <n v="0"/>
    <n v="0"/>
    <n v="412.62364524103816"/>
    <n v="11.557142857142859"/>
    <n v="-0.10882991153396766"/>
    <n v="2"/>
    <m/>
    <s v="Dumraon"/>
    <m/>
    <n v="500"/>
  </r>
  <r>
    <s v="Munger"/>
    <s v="24-30 Jul"/>
    <n v="1014"/>
    <s v="Dumraon"/>
    <x v="561"/>
    <s v="Akalupur"/>
    <s v="MPG"/>
    <s v="Direct"/>
    <n v="55.3"/>
    <n v="1896.09"/>
    <n v="55.4"/>
    <n v="1865.87"/>
    <n v="0"/>
    <n v="0"/>
    <n v="55.4"/>
    <n v="1865.87"/>
    <n v="1865.87"/>
    <n v="0"/>
    <n v="0"/>
    <n v="0"/>
    <n v="0"/>
    <n v="0"/>
    <n v="0"/>
    <n v="1866"/>
    <n v="0"/>
    <n v="0"/>
    <n v="30"/>
    <n v="0"/>
    <n v="442.10098481012653"/>
    <n v="7.8999999999999995"/>
    <n v="1.593806201182435E-2"/>
    <n v="1"/>
    <m/>
    <s v="Dumraon"/>
    <m/>
    <n v="0"/>
  </r>
  <r>
    <s v="Munger"/>
    <s v="24-30 Jul"/>
    <n v="1014"/>
    <s v="Dumraon"/>
    <x v="562"/>
    <s v="Chhotka Sihanpura"/>
    <s v="MPG"/>
    <s v="Direct"/>
    <n v="442.29999999999995"/>
    <n v="16220.840000000002"/>
    <n v="444.4"/>
    <n v="17859.22"/>
    <n v="2.5"/>
    <n v="107.94"/>
    <n v="446.9"/>
    <n v="17967.16"/>
    <n v="16220.840000000002"/>
    <n v="0"/>
    <n v="107.94"/>
    <n v="1746.3199999999979"/>
    <n v="0"/>
    <n v="0"/>
    <n v="0"/>
    <n v="16113"/>
    <n v="0"/>
    <n v="0"/>
    <n v="0"/>
    <n v="0"/>
    <n v="189.01697797874752"/>
    <n v="63.185714285714276"/>
    <n v="-0.10765903615349129"/>
    <n v="5"/>
    <m/>
    <s v="Dumraon"/>
    <m/>
    <n v="0"/>
  </r>
  <r>
    <s v="Munger"/>
    <s v="24-30 Jul"/>
    <n v="1014"/>
    <s v="Dumraon"/>
    <x v="563"/>
    <s v="Dharauli"/>
    <s v="MPG"/>
    <s v="Direct"/>
    <n v="217.30000000000004"/>
    <n v="8408.23"/>
    <n v="218"/>
    <n v="8268.7599999999984"/>
    <n v="3.5999999999999996"/>
    <n v="127.01000000000002"/>
    <n v="221.6"/>
    <n v="8395.7699999999986"/>
    <n v="8395.7699999999986"/>
    <n v="0"/>
    <n v="127.01000000000002"/>
    <n v="0"/>
    <n v="0"/>
    <n v="0"/>
    <n v="0"/>
    <n v="8269"/>
    <n v="0"/>
    <n v="0"/>
    <n v="12"/>
    <n v="0"/>
    <n v="373.5529333640128"/>
    <n v="31.042857142857148"/>
    <n v="1.4818814423488589E-3"/>
    <n v="9"/>
    <m/>
    <s v="Dumraon"/>
    <m/>
    <n v="0"/>
  </r>
  <r>
    <s v="Munger"/>
    <s v="24-30 Jul"/>
    <n v="1014"/>
    <s v="Dumraon"/>
    <x v="564"/>
    <s v="Ramopatti"/>
    <s v="MPG"/>
    <s v="Direct"/>
    <n v="506.40000000000009"/>
    <n v="18274.95"/>
    <n v="510.6"/>
    <n v="18264.16"/>
    <n v="0"/>
    <n v="0"/>
    <n v="510.6"/>
    <n v="18264.16"/>
    <n v="18264.16"/>
    <n v="0"/>
    <n v="0"/>
    <n v="0"/>
    <n v="0"/>
    <n v="500"/>
    <n v="0"/>
    <n v="17764"/>
    <n v="0"/>
    <n v="0"/>
    <n v="11"/>
    <n v="0"/>
    <n v="139.73263507108999"/>
    <n v="72.342857142857156"/>
    <n v="5.9042569199920512E-4"/>
    <n v="1"/>
    <m/>
    <s v="Dumraon"/>
    <m/>
    <n v="500"/>
  </r>
  <r>
    <s v="Munger"/>
    <s v="24-30 Jul"/>
    <n v="1014"/>
    <s v="Dumraon"/>
    <x v="565"/>
    <s v="Kaithi"/>
    <s v="MPG"/>
    <s v="Direct"/>
    <n v="216.9"/>
    <n v="9180.4599999999991"/>
    <n v="216.5"/>
    <n v="9179.6"/>
    <n v="0"/>
    <n v="0"/>
    <n v="216.5"/>
    <n v="9179.6"/>
    <n v="9179.6"/>
    <n v="0"/>
    <n v="0"/>
    <n v="0"/>
    <n v="0"/>
    <n v="500"/>
    <n v="0"/>
    <n v="8680"/>
    <n v="0"/>
    <n v="0"/>
    <n v="0"/>
    <n v="0"/>
    <n v="408.95161143384036"/>
    <n v="30.985714285714288"/>
    <n v="9.3677223145546425E-5"/>
    <n v="2"/>
    <m/>
    <s v="Dumraon"/>
    <m/>
    <n v="500"/>
  </r>
  <r>
    <s v="Munger"/>
    <s v="24-30 Jul"/>
    <n v="1014"/>
    <s v="Dumraon"/>
    <x v="566"/>
    <s v="Rangi Dera"/>
    <s v="MPG"/>
    <s v="Direct"/>
    <n v="145.9"/>
    <n v="5929.19"/>
    <n v="145"/>
    <n v="5905.8499999999995"/>
    <n v="0"/>
    <n v="0"/>
    <n v="145"/>
    <n v="5905.8499999999995"/>
    <n v="5905.8499999999995"/>
    <n v="0"/>
    <n v="0"/>
    <n v="0"/>
    <n v="0"/>
    <n v="0"/>
    <n v="0"/>
    <n v="5906"/>
    <n v="0"/>
    <n v="0"/>
    <n v="23"/>
    <n v="0"/>
    <n v="450.35835215901295"/>
    <n v="20.842857142857145"/>
    <n v="3.9364567504161863E-3"/>
    <n v="2"/>
    <m/>
    <s v="Dumraon"/>
    <m/>
    <n v="0"/>
  </r>
  <r>
    <s v="Munger"/>
    <s v="24-30 Jul"/>
    <n v="1014"/>
    <s v="Dumraon"/>
    <x v="567"/>
    <s v="Dubki"/>
    <s v="MPG"/>
    <s v="Direct"/>
    <n v="402.4"/>
    <n v="19971.79"/>
    <n v="404.28999999999996"/>
    <n v="19962.53"/>
    <n v="1.5699999999999998"/>
    <n v="62.75"/>
    <n v="405.85999999999996"/>
    <n v="20025.28"/>
    <n v="19971.79"/>
    <n v="0"/>
    <n v="62.75"/>
    <n v="53.489999999997963"/>
    <n v="0"/>
    <n v="0"/>
    <n v="0"/>
    <n v="19909"/>
    <n v="0"/>
    <n v="0"/>
    <n v="0"/>
    <n v="0"/>
    <n v="295.40778846918494"/>
    <n v="57.48571428571428"/>
    <n v="-2.6782777107108558E-3"/>
    <n v="4"/>
    <m/>
    <s v="Dumraon"/>
    <m/>
    <n v="0"/>
  </r>
  <r>
    <s v="Munger"/>
    <s v="24-30 Jul"/>
    <n v="1014"/>
    <s v="Dumraon"/>
    <x v="568"/>
    <s v="Sonvarsa"/>
    <s v="MPG"/>
    <s v="Direct"/>
    <n v="318.8"/>
    <n v="12784.090000000002"/>
    <n v="317.35999999999996"/>
    <n v="12697.329999999998"/>
    <n v="0"/>
    <n v="0"/>
    <n v="317.35999999999996"/>
    <n v="12697.329999999998"/>
    <n v="12697.329999999998"/>
    <n v="0"/>
    <n v="0"/>
    <n v="0"/>
    <n v="0"/>
    <n v="0"/>
    <n v="0"/>
    <n v="12697"/>
    <n v="0"/>
    <n v="0"/>
    <n v="87"/>
    <n v="0"/>
    <n v="305.72742208281056"/>
    <n v="45.542857142857144"/>
    <n v="6.7865604826001574E-3"/>
    <n v="3"/>
    <m/>
    <s v="Dumraon"/>
    <m/>
    <n v="0"/>
  </r>
  <r>
    <s v="Munger"/>
    <s v="24-30 Jul"/>
    <n v="1014"/>
    <s v="Dumraon"/>
    <x v="569"/>
    <s v="Soan"/>
    <s v="MPG"/>
    <s v="Direct"/>
    <n v="90.000000000000014"/>
    <n v="4334.3900000000003"/>
    <n v="110.94999999999999"/>
    <n v="4554.32"/>
    <n v="1.53"/>
    <n v="59.08"/>
    <n v="112.47999999999999"/>
    <n v="4613.3999999999996"/>
    <n v="4334.3900000000003"/>
    <n v="0"/>
    <n v="59.08"/>
    <n v="279.00999999999931"/>
    <n v="0"/>
    <n v="0"/>
    <n v="0"/>
    <n v="4275"/>
    <n v="0"/>
    <n v="0"/>
    <n v="0"/>
    <n v="0"/>
    <n v="587.5506444444444"/>
    <n v="12.857142857142859"/>
    <n v="-6.4371226400946682E-2"/>
    <n v="7"/>
    <m/>
    <s v="Dumraon"/>
    <m/>
    <n v="0"/>
  </r>
  <r>
    <s v="Munger"/>
    <s v="24-30 Jul"/>
    <n v="1014"/>
    <s v="Dumraon"/>
    <x v="570"/>
    <s v="PURANA BHOJPUR                                                                                      "/>
    <s v="MPG"/>
    <s v="Direct"/>
    <n v="220.7"/>
    <n v="8513.17"/>
    <n v="221"/>
    <n v="8508.5"/>
    <n v="0"/>
    <n v="0"/>
    <n v="221"/>
    <n v="8508.5"/>
    <n v="8508.5"/>
    <n v="0"/>
    <n v="0"/>
    <n v="0"/>
    <n v="2660"/>
    <n v="0"/>
    <n v="0"/>
    <n v="5849"/>
    <n v="0"/>
    <n v="0"/>
    <n v="4"/>
    <n v="0"/>
    <n v="369.76550801993659"/>
    <n v="31.528571428571428"/>
    <n v="5.4856181657362332E-4"/>
    <n v="2"/>
    <m/>
    <s v="Dumraon"/>
    <m/>
    <n v="0"/>
  </r>
  <r>
    <s v="Munger"/>
    <s v="24-30 Jul"/>
    <n v="1014"/>
    <s v="Dumraon"/>
    <x v="1018"/>
    <s v="Gomukh Lewar"/>
    <s v="MPG"/>
    <s v="Direct"/>
    <n v="102.10000000000001"/>
    <n v="3932.92"/>
    <n v="102"/>
    <n v="3917.98"/>
    <n v="0"/>
    <n v="0"/>
    <n v="102"/>
    <n v="3917.98"/>
    <n v="3917.98"/>
    <n v="0"/>
    <n v="0"/>
    <n v="0"/>
    <n v="0"/>
    <n v="0"/>
    <n v="0"/>
    <n v="3918"/>
    <n v="0"/>
    <n v="0"/>
    <n v="15"/>
    <n v="0"/>
    <n v="460.62543937316354"/>
    <n v="14.585714285714287"/>
    <n v="3.7987042706182821E-3"/>
    <n v="2"/>
    <m/>
    <s v="Dumraon"/>
    <m/>
    <n v="0"/>
  </r>
  <r>
    <s v="Munger"/>
    <s v="24-30 Jul"/>
    <n v="1014"/>
    <s v="Dumraon"/>
    <x v="571"/>
    <s v="Gomukh Kant"/>
    <s v="MPG"/>
    <s v="Direct"/>
    <n v="44"/>
    <n v="2474.92"/>
    <n v="65"/>
    <n v="4151.62"/>
    <n v="0.2"/>
    <n v="14.35"/>
    <n v="65.2"/>
    <n v="4165.97"/>
    <n v="2474.92"/>
    <n v="0"/>
    <n v="14.35"/>
    <n v="1691.0500000000002"/>
    <n v="0"/>
    <n v="500"/>
    <n v="0"/>
    <n v="1961"/>
    <n v="0"/>
    <n v="0"/>
    <n v="0"/>
    <n v="0"/>
    <n v="737.97614545454553"/>
    <n v="6.2857142857142856"/>
    <n v="-0.68327461089651387"/>
    <n v="3"/>
    <m/>
    <s v="Dumraon"/>
    <m/>
    <n v="500"/>
  </r>
  <r>
    <s v="Munger"/>
    <s v="24-30 Jul"/>
    <n v="1014"/>
    <s v="Dumraon"/>
    <x v="572"/>
    <s v="Gomukh Naat"/>
    <s v="MPG"/>
    <s v="Direct"/>
    <n v="348.1"/>
    <n v="13166.76"/>
    <n v="347.14"/>
    <n v="13423.580000000002"/>
    <n v="0"/>
    <n v="0"/>
    <n v="347.14"/>
    <n v="13423.580000000002"/>
    <n v="13166.76"/>
    <n v="0"/>
    <n v="0"/>
    <n v="256.82000000000153"/>
    <n v="0"/>
    <n v="0"/>
    <n v="0"/>
    <n v="13167"/>
    <n v="0"/>
    <n v="0"/>
    <n v="0"/>
    <n v="0"/>
    <n v="266.20987325481178"/>
    <n v="49.728571428571435"/>
    <n v="-1.9505178191142052E-2"/>
    <n v="2"/>
    <m/>
    <s v="Dumraon"/>
    <m/>
    <n v="0"/>
  </r>
  <r>
    <s v="Munger"/>
    <s v="24-30 Jul"/>
    <n v="1014"/>
    <s v="Dumraon"/>
    <x v="573"/>
    <s v="Gomukh Raghunathpur"/>
    <s v="MPG"/>
    <s v="Direct"/>
    <n v="283.60000000000002"/>
    <n v="11521.970000000001"/>
    <n v="291.3"/>
    <n v="11515.2"/>
    <n v="0"/>
    <n v="0"/>
    <n v="291.3"/>
    <n v="11515.2"/>
    <n v="11515.2"/>
    <n v="0"/>
    <n v="0"/>
    <n v="0"/>
    <n v="0"/>
    <n v="0"/>
    <n v="0"/>
    <n v="11515"/>
    <n v="0"/>
    <n v="0"/>
    <n v="7"/>
    <n v="0"/>
    <n v="338.34614301833574"/>
    <n v="40.51428571428572"/>
    <n v="5.8757313202520368E-4"/>
    <n v="4"/>
    <m/>
    <s v="Dumraon"/>
    <m/>
    <n v="0"/>
  </r>
  <r>
    <s v="Munger"/>
    <s v="24-30 Jul"/>
    <n v="1014"/>
    <s v="Dumraon"/>
    <x v="574"/>
    <s v="Gomukh Tilakraika Hata 1 - Manoj"/>
    <s v="vlc"/>
    <s v="Indirect"/>
    <n v="209.6"/>
    <n v="7864.04"/>
    <n v="0"/>
    <n v="0"/>
    <n v="0"/>
    <n v="0"/>
    <n v="0"/>
    <n v="0"/>
    <n v="7864.04"/>
    <n v="0"/>
    <n v="0"/>
    <n v="0"/>
    <n v="0"/>
    <n v="0"/>
    <n v="0"/>
    <n v="0"/>
    <n v="0"/>
    <n v="7864.04"/>
    <n v="0"/>
    <n v="0"/>
    <n v="367.98904732824428"/>
    <n v="29.942857142857143"/>
    <n v="0"/>
    <n v="0"/>
    <m/>
    <s v="Dumraon"/>
    <m/>
    <n v="0"/>
  </r>
  <r>
    <s v="Munger"/>
    <s v="24-30 Jul"/>
    <n v="1014"/>
    <s v="Dumraon"/>
    <x v="575"/>
    <s v="Gomukh Murar"/>
    <s v="MPG"/>
    <s v="Direct"/>
    <n v="721.50000000000011"/>
    <n v="29699.03000000001"/>
    <n v="527.5"/>
    <n v="21805.530000000006"/>
    <n v="373.2"/>
    <n v="17661.829999999998"/>
    <n v="900.7"/>
    <n v="39467.360000000001"/>
    <n v="29699.03000000001"/>
    <n v="0"/>
    <n v="225.36"/>
    <n v="9768.3299999999908"/>
    <n v="0"/>
    <n v="0"/>
    <n v="0"/>
    <n v="12036"/>
    <n v="17438"/>
    <n v="0"/>
    <n v="0"/>
    <n v="0"/>
    <n v="0"/>
    <n v="0"/>
    <n v="-0.32891074220269106"/>
    <n v="13"/>
    <m/>
    <s v="Dumraon"/>
    <m/>
    <n v="0"/>
  </r>
  <r>
    <s v="Munger"/>
    <s v="24-30 Jul"/>
    <n v="1014"/>
    <s v="Dumraon"/>
    <x v="576"/>
    <s v="Gomukh Churamanpur                                                                                  "/>
    <s v="MPG"/>
    <s v="Direct"/>
    <n v="197.3"/>
    <n v="8338.26"/>
    <n v="171.88000000000002"/>
    <n v="8325.1899999999987"/>
    <n v="0"/>
    <n v="0"/>
    <n v="171.88000000000002"/>
    <n v="8325.1899999999987"/>
    <n v="8325.1899999999987"/>
    <n v="0"/>
    <n v="0"/>
    <n v="0"/>
    <n v="0"/>
    <n v="0"/>
    <n v="0"/>
    <n v="8325"/>
    <n v="0"/>
    <n v="0"/>
    <n v="13"/>
    <n v="0"/>
    <n v="424.90048677141408"/>
    <n v="28.185714285714287"/>
    <n v="1.5674733097794417E-3"/>
    <n v="3"/>
    <m/>
    <s v="Dumraon"/>
    <m/>
    <n v="0"/>
  </r>
  <r>
    <s v="Munger"/>
    <s v="24-30 Jul"/>
    <n v="1014"/>
    <s v="Dumraon"/>
    <x v="577"/>
    <s v="Gomukh Ekauni Karuwaj"/>
    <s v="MPG"/>
    <s v="Direct"/>
    <n v="22.6"/>
    <n v="838.73"/>
    <n v="23"/>
    <n v="837.66"/>
    <n v="0"/>
    <n v="0"/>
    <n v="23"/>
    <n v="837.66"/>
    <n v="837.66"/>
    <n v="0"/>
    <n v="0"/>
    <n v="0"/>
    <n v="0"/>
    <n v="500"/>
    <n v="0"/>
    <n v="338"/>
    <n v="0"/>
    <n v="0"/>
    <n v="1"/>
    <n v="0"/>
    <n v="502.79265663716814"/>
    <n v="3.2285714285714286"/>
    <n v="1.2757383186484924E-3"/>
    <n v="1"/>
    <m/>
    <s v="Dumraon"/>
    <m/>
    <n v="500"/>
  </r>
  <r>
    <s v="Munger"/>
    <s v="24-30 Jul"/>
    <n v="1014"/>
    <s v="Dumraon"/>
    <x v="578"/>
    <s v="Kulharia Agriculture Producer Company Limited"/>
    <s v="MPG"/>
    <s v="Direct"/>
    <n v="789.80000000000007"/>
    <n v="32545.820000000007"/>
    <n v="776.61999999999989"/>
    <n v="32004.959999999999"/>
    <n v="13.15"/>
    <n v="537.2700000000001"/>
    <n v="789.76999999999987"/>
    <n v="32542.23"/>
    <n v="32542.23"/>
    <n v="0"/>
    <n v="537.2700000000001"/>
    <n v="0"/>
    <n v="13300"/>
    <n v="0"/>
    <n v="0"/>
    <n v="18704"/>
    <n v="0"/>
    <n v="0"/>
    <n v="5"/>
    <n v="0"/>
    <n v="0"/>
    <n v="0"/>
    <n v="1.103060239381715E-4"/>
    <n v="4"/>
    <m/>
    <s v="Dumraon"/>
    <m/>
    <n v="0"/>
  </r>
  <r>
    <s v="Munger"/>
    <s v="24-30 Jul"/>
    <n v="1014"/>
    <s v="Dumraon"/>
    <x v="579"/>
    <s v="Gomukh Dhakaich"/>
    <s v="MPG"/>
    <s v="Direct"/>
    <n v="118.69999999999999"/>
    <n v="4709.0199999999995"/>
    <n v="123.73"/>
    <n v="4443.59"/>
    <n v="0"/>
    <n v="0"/>
    <n v="123.73"/>
    <n v="4443.59"/>
    <n v="4443.59"/>
    <n v="0"/>
    <n v="0"/>
    <n v="0"/>
    <n v="0"/>
    <n v="0"/>
    <n v="0"/>
    <n v="4444"/>
    <n v="0"/>
    <n v="0"/>
    <n v="265"/>
    <n v="0"/>
    <n v="461.22212737994948"/>
    <n v="16.957142857142856"/>
    <n v="5.6366292774292615E-2"/>
    <n v="5"/>
    <m/>
    <s v="Dumraon"/>
    <m/>
    <n v="0"/>
  </r>
  <r>
    <s v="Munger"/>
    <s v="24-30 Jul"/>
    <n v="1014"/>
    <s v="Dumraon"/>
    <x v="580"/>
    <s v="Gomukh Kajipura Chandan"/>
    <s v="vlc"/>
    <s v="Indirect"/>
    <n v="591.79999999999995"/>
    <n v="21614.969999999998"/>
    <n v="0"/>
    <n v="0"/>
    <n v="0"/>
    <n v="0"/>
    <n v="0"/>
    <n v="0"/>
    <n v="21614.969999999998"/>
    <n v="0"/>
    <n v="0"/>
    <n v="0"/>
    <n v="0"/>
    <n v="0"/>
    <n v="0"/>
    <n v="0"/>
    <n v="0"/>
    <n v="21614.969999999998"/>
    <n v="0"/>
    <n v="0"/>
    <n v="79.038180263602626"/>
    <n v="84.54285714285713"/>
    <n v="0"/>
    <n v="0"/>
    <m/>
    <s v="Dumraon"/>
    <m/>
    <n v="0"/>
  </r>
  <r>
    <s v="Munger"/>
    <s v="24-30 Jul"/>
    <n v="1014"/>
    <s v="Dumraon"/>
    <x v="581"/>
    <s v="Gomukh Sikraul Lakh"/>
    <s v="MPG"/>
    <s v="Direct"/>
    <n v="578.4"/>
    <n v="23803.499999999996"/>
    <n v="570.45000000000005"/>
    <n v="23867.439999999999"/>
    <n v="9.77"/>
    <n v="384.53000000000003"/>
    <n v="580.22"/>
    <n v="24251.969999999998"/>
    <n v="23803.499999999996"/>
    <n v="0"/>
    <n v="384.53000000000003"/>
    <n v="448.47000000000116"/>
    <n v="6650"/>
    <n v="0"/>
    <n v="0"/>
    <n v="16768"/>
    <n v="0"/>
    <n v="0"/>
    <n v="1"/>
    <n v="0"/>
    <n v="100.08663900414942"/>
    <n v="82.628571428571419"/>
    <n v="-1.8840506648182043E-2"/>
    <n v="2"/>
    <m/>
    <s v="Dumraon"/>
    <m/>
    <n v="0"/>
  </r>
  <r>
    <s v="Munger"/>
    <s v="24-30 Jul"/>
    <n v="1014"/>
    <s v="Dumraon"/>
    <x v="582"/>
    <s v="Gomukh Dafadihari"/>
    <s v="MPG"/>
    <s v="Direct"/>
    <n v="155.5"/>
    <n v="5670.4699999999993"/>
    <n v="151.69999999999999"/>
    <n v="5595.9400000000005"/>
    <n v="1.5999999999999999"/>
    <n v="65.070000000000007"/>
    <n v="153.29999999999998"/>
    <n v="5661.01"/>
    <n v="5661.01"/>
    <n v="0"/>
    <n v="65.070000000000007"/>
    <n v="0"/>
    <n v="0"/>
    <n v="0"/>
    <n v="0"/>
    <n v="5596"/>
    <n v="0"/>
    <n v="0"/>
    <n v="9"/>
    <n v="0"/>
    <n v="397.11523022508038"/>
    <n v="22.214285714285715"/>
    <n v="1.6682920463381569E-3"/>
    <n v="5"/>
    <m/>
    <s v="Dumraon"/>
    <m/>
    <n v="0"/>
  </r>
  <r>
    <s v="Munger"/>
    <s v="24-30 Jul"/>
    <n v="1014"/>
    <s v="Dumraon"/>
    <x v="583"/>
    <s v="Gomukh Paharpur"/>
    <s v="MPG"/>
    <s v="Direct"/>
    <n v="90.6"/>
    <n v="3302.6099999999997"/>
    <n v="91"/>
    <n v="3302.39"/>
    <n v="0"/>
    <n v="0"/>
    <n v="91"/>
    <n v="3302.39"/>
    <n v="3302.39"/>
    <n v="0"/>
    <n v="0"/>
    <n v="0"/>
    <n v="0"/>
    <n v="500"/>
    <n v="0"/>
    <n v="2802"/>
    <n v="0"/>
    <n v="0"/>
    <n v="1"/>
    <n v="0"/>
    <n v="444.28488609271534"/>
    <n v="12.942857142857141"/>
    <n v="6.6613981063401356E-5"/>
    <n v="2"/>
    <m/>
    <s v="Dumraon"/>
    <m/>
    <n v="500"/>
  </r>
  <r>
    <s v="Munger"/>
    <s v="24-30 Jul"/>
    <n v="1014"/>
    <s v="Dumraon"/>
    <x v="584"/>
    <s v="Gomukh Basaon Kalan"/>
    <s v="MPG"/>
    <s v="Direct"/>
    <n v="74.800000000000011"/>
    <n v="2680.87"/>
    <n v="75.399999999999991"/>
    <n v="2678.07"/>
    <n v="0"/>
    <n v="0"/>
    <n v="75.399999999999991"/>
    <n v="2678.07"/>
    <n v="2678.07"/>
    <n v="0"/>
    <n v="0"/>
    <n v="0"/>
    <n v="0"/>
    <n v="0"/>
    <n v="0"/>
    <n v="2678"/>
    <n v="0"/>
    <n v="0"/>
    <n v="3"/>
    <n v="0"/>
    <n v="448.14971229946525"/>
    <n v="10.685714285714287"/>
    <n v="1.0444370670714086E-3"/>
    <n v="1"/>
    <m/>
    <s v="Dumraon"/>
    <m/>
    <n v="0"/>
  </r>
  <r>
    <s v="Munger"/>
    <s v="24-30 Jul"/>
    <n v="1014"/>
    <s v="Dumraon"/>
    <x v="585"/>
    <s v="Gomukh Mangolpur"/>
    <s v="MPG"/>
    <s v="Direct"/>
    <n v="369.1"/>
    <n v="13162.3"/>
    <n v="367.5"/>
    <n v="12932.45"/>
    <n v="5.6000000000000005"/>
    <n v="194.48999999999998"/>
    <n v="373.1"/>
    <n v="13126.94"/>
    <n v="13126.94"/>
    <n v="0"/>
    <n v="194.48999999999998"/>
    <n v="0"/>
    <n v="5320"/>
    <n v="0"/>
    <n v="0"/>
    <n v="7612"/>
    <n v="0"/>
    <n v="0"/>
    <n v="36"/>
    <n v="0"/>
    <n v="236.00135843944724"/>
    <n v="52.728571428571435"/>
    <n v="2.6864605730000657E-3"/>
    <n v="8"/>
    <m/>
    <s v="Dumraon"/>
    <m/>
    <n v="0"/>
  </r>
  <r>
    <s v="Munger"/>
    <s v="24-30 Jul"/>
    <n v="1014"/>
    <s v="Dumraon"/>
    <x v="586"/>
    <s v="Gomukh Dhanipur"/>
    <s v="MPG"/>
    <s v="Direct"/>
    <n v="410.6"/>
    <n v="16412.34"/>
    <n v="410.03"/>
    <n v="16410.36"/>
    <n v="0"/>
    <n v="0"/>
    <n v="410.03"/>
    <n v="16410.36"/>
    <n v="16410.36"/>
    <n v="0"/>
    <n v="0"/>
    <n v="0"/>
    <n v="0"/>
    <n v="0"/>
    <n v="0"/>
    <n v="16411"/>
    <n v="0"/>
    <n v="0"/>
    <n v="1"/>
    <n v="0"/>
    <n v="231.35563546030198"/>
    <n v="58.657142857142858"/>
    <n v="1.2064093237159133E-4"/>
    <n v="3"/>
    <m/>
    <s v="Dumraon"/>
    <m/>
    <n v="0"/>
  </r>
  <r>
    <s v="Munger"/>
    <s v="24-30 Jul"/>
    <n v="1014"/>
    <s v="Dumraon"/>
    <x v="587"/>
    <s v="Gomukh Rakshanagar_tola"/>
    <s v="MPG"/>
    <s v="Direct"/>
    <n v="307.40000000000003"/>
    <n v="13132.63"/>
    <n v="427.20000000000005"/>
    <n v="17302.84"/>
    <n v="0"/>
    <n v="0"/>
    <n v="427.20000000000005"/>
    <n v="17302.84"/>
    <n v="13132.63"/>
    <n v="0"/>
    <n v="0"/>
    <n v="4170.2100000000009"/>
    <n v="0"/>
    <n v="0"/>
    <n v="0"/>
    <n v="13133"/>
    <n v="0"/>
    <n v="0"/>
    <n v="0"/>
    <n v="0"/>
    <n v="335.45026271958346"/>
    <n v="43.914285714285718"/>
    <n v="-0.31754568582226111"/>
    <n v="3"/>
    <m/>
    <s v="Dumraon"/>
    <m/>
    <n v="0"/>
  </r>
  <r>
    <s v="Munger"/>
    <s v="24-30 Jul"/>
    <n v="1014"/>
    <s v="Dumraon"/>
    <x v="588"/>
    <s v="Gomukh Nadaon"/>
    <s v="MPG"/>
    <s v="Direct"/>
    <n v="342.1"/>
    <n v="9445.9699999999993"/>
    <n v="358.4"/>
    <n v="9987.93"/>
    <n v="0"/>
    <n v="0"/>
    <n v="358.4"/>
    <n v="9987.93"/>
    <n v="9445.9699999999993"/>
    <n v="0"/>
    <n v="0"/>
    <n v="541.96000000000095"/>
    <n v="0"/>
    <n v="500"/>
    <n v="0"/>
    <n v="8946"/>
    <n v="0"/>
    <n v="0"/>
    <n v="0"/>
    <n v="0"/>
    <n v="197.64470406313941"/>
    <n v="48.871428571428574"/>
    <n v="-5.7374732293242622E-2"/>
    <n v="2"/>
    <m/>
    <s v="Dumraon"/>
    <m/>
    <n v="500"/>
  </r>
  <r>
    <s v="Munger"/>
    <s v="24-30 Jul"/>
    <n v="1014"/>
    <s v="Dumraon"/>
    <x v="589"/>
    <s v="Gomukh Mathuradera Upendra "/>
    <s v="vlc"/>
    <s v="Indirect"/>
    <n v="326.80000000000007"/>
    <n v="14244.600000000002"/>
    <n v="0"/>
    <n v="0"/>
    <n v="0"/>
    <n v="0"/>
    <n v="0"/>
    <n v="0"/>
    <n v="14244.600000000002"/>
    <n v="0"/>
    <n v="0"/>
    <n v="0"/>
    <n v="0"/>
    <n v="0"/>
    <n v="0"/>
    <n v="0"/>
    <n v="0"/>
    <n v="14244.600000000002"/>
    <n v="0"/>
    <n v="0"/>
    <n v="325.34178212974291"/>
    <n v="46.685714285714297"/>
    <n v="0"/>
    <n v="0"/>
    <m/>
    <s v="Dumraon"/>
    <m/>
    <n v="0"/>
  </r>
  <r>
    <s v="Munger"/>
    <s v="24-30 Jul"/>
    <n v="1014"/>
    <s v="Dumraon"/>
    <x v="590"/>
    <s v="Gomukh Bramhpur"/>
    <s v="MPG"/>
    <s v="Direct"/>
    <n v="43.9"/>
    <n v="1665.93"/>
    <n v="63.56"/>
    <n v="3227.9799999999996"/>
    <n v="0"/>
    <n v="0"/>
    <n v="63.56"/>
    <n v="3227.9799999999996"/>
    <n v="1665.93"/>
    <n v="0"/>
    <n v="0"/>
    <n v="1562.0499999999995"/>
    <n v="0"/>
    <n v="500"/>
    <n v="0"/>
    <n v="1166"/>
    <n v="0"/>
    <n v="0"/>
    <n v="0"/>
    <n v="0"/>
    <n v="497.95748200455586"/>
    <n v="6.2714285714285714"/>
    <n v="-0.9376444388419678"/>
    <n v="2"/>
    <m/>
    <s v="Dumraon"/>
    <m/>
    <n v="500"/>
  </r>
  <r>
    <s v="Munger"/>
    <s v="24-30 Jul"/>
    <n v="1014"/>
    <s v="Dumraon"/>
    <x v="591"/>
    <s v="Gomukh Mashariya"/>
    <s v="MPG"/>
    <s v="Direct"/>
    <n v="374.49999999999994"/>
    <n v="13649.039999999999"/>
    <n v="417.83999999999992"/>
    <n v="15683.07"/>
    <n v="24.469999999999995"/>
    <n v="1074.5899999999999"/>
    <n v="442.30999999999989"/>
    <n v="16757.66"/>
    <n v="13649.039999999999"/>
    <n v="0"/>
    <n v="969.37999999999988"/>
    <n v="3108.6200000000008"/>
    <n v="0"/>
    <n v="0"/>
    <n v="0"/>
    <n v="12575"/>
    <n v="105"/>
    <n v="0"/>
    <n v="0"/>
    <n v="0"/>
    <n v="237.2636859813085"/>
    <n v="53.499999999999993"/>
    <n v="-0.22775374678365665"/>
    <n v="3"/>
    <m/>
    <s v="Dumraon"/>
    <m/>
    <n v="0"/>
  </r>
  <r>
    <s v="Munger"/>
    <s v="24-30 Jul"/>
    <n v="1014"/>
    <s v="Dumraon"/>
    <x v="592"/>
    <s v="Gomukh Basawkala Sudhir Kumar"/>
    <s v="vlc"/>
    <s v="Indirect"/>
    <n v="3"/>
    <n v="81.900000000000006"/>
    <n v="0"/>
    <n v="0"/>
    <n v="0"/>
    <n v="0"/>
    <n v="0"/>
    <n v="0"/>
    <n v="81.900000000000006"/>
    <n v="0"/>
    <n v="0"/>
    <n v="0"/>
    <n v="0"/>
    <n v="0"/>
    <n v="0"/>
    <n v="0"/>
    <n v="0"/>
    <n v="81.900000000000006"/>
    <n v="0"/>
    <n v="0"/>
    <n v="380.56200000000007"/>
    <n v="0.42857142857142855"/>
    <n v="0"/>
    <n v="0"/>
    <m/>
    <s v="Dumraon"/>
    <m/>
    <n v="0"/>
  </r>
  <r>
    <s v="Munger"/>
    <s v="24-30 Jul"/>
    <n v="1014"/>
    <s v="Dumraon"/>
    <x v="593"/>
    <s v="Gomukh KritSagar"/>
    <s v="MPG"/>
    <s v="Direct"/>
    <n v="240.7"/>
    <n v="12808.62"/>
    <n v="242.3"/>
    <n v="12805.56"/>
    <n v="0"/>
    <n v="0"/>
    <n v="242.3"/>
    <n v="12805.56"/>
    <n v="12805.56"/>
    <n v="0"/>
    <n v="0"/>
    <n v="0"/>
    <n v="0"/>
    <n v="0"/>
    <n v="0"/>
    <n v="12806"/>
    <n v="0"/>
    <n v="0"/>
    <n v="3"/>
    <n v="0"/>
    <n v="488.82419326963037"/>
    <n v="34.385714285714286"/>
    <n v="2.3890161469395684E-4"/>
    <n v="1"/>
    <m/>
    <s v="Dumraon"/>
    <m/>
    <n v="0"/>
  </r>
  <r>
    <s v="Munger"/>
    <s v="24-30 Jul"/>
    <n v="1014"/>
    <s v="Dumraon"/>
    <x v="594"/>
    <s v="Gomukh Navdera Jaipraksh"/>
    <s v="vlc"/>
    <s v="Indirect"/>
    <n v="1835.1000000000001"/>
    <n v="70059.81"/>
    <n v="0"/>
    <n v="0"/>
    <n v="0"/>
    <n v="0"/>
    <n v="0"/>
    <n v="0"/>
    <n v="70059.81"/>
    <n v="0"/>
    <n v="0"/>
    <n v="0"/>
    <n v="0"/>
    <n v="0"/>
    <n v="0"/>
    <n v="0"/>
    <n v="0"/>
    <n v="70059.81"/>
    <n v="0"/>
    <n v="0"/>
    <n v="0"/>
    <n v="0"/>
    <n v="0"/>
    <n v="0"/>
    <m/>
    <s v="Dumraon"/>
    <m/>
    <n v="0"/>
  </r>
  <r>
    <s v="Munger"/>
    <s v="24-30 Jul"/>
    <n v="1014"/>
    <s v="Dumraon"/>
    <x v="595"/>
    <s v="Gomukh Ataon"/>
    <s v="MPG"/>
    <s v="Direct"/>
    <n v="293"/>
    <n v="13623.800000000001"/>
    <n v="299.5"/>
    <n v="13699.3"/>
    <n v="0"/>
    <n v="0"/>
    <n v="299.5"/>
    <n v="13699.3"/>
    <n v="13623.800000000001"/>
    <n v="0"/>
    <n v="0"/>
    <n v="75.499999999998181"/>
    <n v="0"/>
    <n v="0"/>
    <n v="0"/>
    <n v="13624"/>
    <n v="0"/>
    <n v="0"/>
    <n v="0"/>
    <n v="0"/>
    <n v="378.49055290102393"/>
    <n v="41.857142857142854"/>
    <n v="-5.5417724863839881E-3"/>
    <n v="2"/>
    <m/>
    <s v="Dumraon"/>
    <m/>
    <n v="0"/>
  </r>
  <r>
    <s v="Munger"/>
    <s v="24-30 Jul"/>
    <n v="1014"/>
    <s v="Dumraon"/>
    <x v="596"/>
    <s v="Gumukh Gayghat"/>
    <s v="MPG"/>
    <s v="Direct"/>
    <n v="814.9"/>
    <n v="30227.059999999994"/>
    <n v="823.12"/>
    <n v="35762.559999999998"/>
    <n v="0"/>
    <n v="0"/>
    <n v="823.12"/>
    <n v="35762.559999999998"/>
    <n v="30227.059999999994"/>
    <n v="0"/>
    <n v="0"/>
    <n v="5535.5000000000036"/>
    <n v="2660"/>
    <n v="0"/>
    <n v="0"/>
    <n v="27567"/>
    <n v="0"/>
    <n v="0"/>
    <n v="0"/>
    <n v="0"/>
    <n v="0"/>
    <n v="0"/>
    <n v="-0.18313061210716505"/>
    <n v="2"/>
    <m/>
    <s v="Dumraon"/>
    <m/>
    <n v="0"/>
  </r>
  <r>
    <s v="Munger"/>
    <s v="24-30 Jul"/>
    <n v="1014"/>
    <s v="Dumraon"/>
    <x v="597"/>
    <s v="Gomukh Chakki Janardan Yadav"/>
    <s v="vlc"/>
    <s v="Indirect"/>
    <n v="104.2"/>
    <n v="4028.5699999999997"/>
    <n v="0"/>
    <n v="0"/>
    <n v="0"/>
    <n v="0"/>
    <n v="0"/>
    <n v="0"/>
    <n v="4028.5699999999997"/>
    <n v="0"/>
    <n v="0"/>
    <n v="0"/>
    <n v="0"/>
    <n v="0"/>
    <n v="0"/>
    <n v="0"/>
    <n v="0"/>
    <n v="4028.5699999999997"/>
    <n v="0"/>
    <n v="0"/>
    <n v="460.69520268714007"/>
    <n v="14.885714285714286"/>
    <n v="0"/>
    <n v="0"/>
    <m/>
    <s v="Dumraon"/>
    <m/>
    <n v="0"/>
  </r>
  <r>
    <s v="Munger"/>
    <s v="24-30 Jul"/>
    <n v="1014"/>
    <s v="Dumraon"/>
    <x v="598"/>
    <s v="Gomukh Rajpur"/>
    <s v="MPG"/>
    <s v="Direct"/>
    <n v="870.30000000000018"/>
    <n v="36793.39"/>
    <n v="932.18000000000018"/>
    <n v="40118.300000000003"/>
    <n v="10.290000000000001"/>
    <n v="434.73"/>
    <n v="942.47000000000014"/>
    <n v="40553.030000000006"/>
    <n v="36793.39"/>
    <n v="0"/>
    <n v="434.73"/>
    <n v="3759.6400000000067"/>
    <n v="0"/>
    <n v="0"/>
    <n v="0"/>
    <n v="0"/>
    <n v="0"/>
    <n v="0"/>
    <n v="36359"/>
    <s v="Yes"/>
    <n v="0"/>
    <n v="0"/>
    <n v="-0.10218248440820503"/>
    <n v="43"/>
    <m/>
    <s v="Dumraon"/>
    <m/>
    <n v="0"/>
  </r>
  <r>
    <s v="Munger"/>
    <s v="24-30 Jul"/>
    <n v="1014"/>
    <s v="Dumraon"/>
    <x v="599"/>
    <s v="Gomukh Gangauli Dubha"/>
    <s v="MPG"/>
    <s v="Direct"/>
    <n v="186.70000000000002"/>
    <n v="7725.61"/>
    <n v="190.4"/>
    <n v="7654.93"/>
    <n v="2.6999999999999997"/>
    <n v="113"/>
    <n v="193.1"/>
    <n v="7767.93"/>
    <n v="7725.61"/>
    <n v="0"/>
    <n v="113"/>
    <n v="42.320000000000618"/>
    <n v="1330"/>
    <n v="0"/>
    <n v="0"/>
    <n v="6283"/>
    <n v="0"/>
    <n v="0"/>
    <n v="0"/>
    <n v="0"/>
    <n v="424.80510048205667"/>
    <n v="26.671428571428574"/>
    <n v="-5.4778845942262963E-3"/>
    <n v="6"/>
    <m/>
    <s v="Dumraon"/>
    <m/>
    <n v="0"/>
  </r>
  <r>
    <s v="Munger"/>
    <s v="24-30 Jul"/>
    <n v="1014"/>
    <s v="Dumraon"/>
    <x v="600"/>
    <s v="Gomukh Jagdishpur"/>
    <s v="MPG"/>
    <s v="Direct"/>
    <n v="318.10000000000002"/>
    <n v="10478.209999999999"/>
    <n v="317.8"/>
    <n v="10474.69"/>
    <n v="0"/>
    <n v="0"/>
    <n v="317.8"/>
    <n v="10474.69"/>
    <n v="10474.69"/>
    <n v="0"/>
    <n v="0"/>
    <n v="0"/>
    <n v="3990"/>
    <n v="0"/>
    <n v="0"/>
    <n v="6485"/>
    <n v="0"/>
    <n v="0"/>
    <n v="3"/>
    <n v="0"/>
    <n v="251.59562395473117"/>
    <n v="45.442857142857143"/>
    <n v="3.3593524084730292E-4"/>
    <n v="1"/>
    <m/>
    <s v="Dumraon"/>
    <m/>
    <n v="0"/>
  </r>
  <r>
    <s v="Munger"/>
    <s v="24-30 Jul"/>
    <n v="1014"/>
    <s v="Dumraon"/>
    <x v="601"/>
    <s v="Gumukk JP Dera"/>
    <s v="vlc"/>
    <s v="Indirect"/>
    <n v="442.60000000000008"/>
    <n v="17503.57"/>
    <n v="0"/>
    <n v="0"/>
    <n v="0"/>
    <n v="0"/>
    <n v="0"/>
    <n v="0"/>
    <n v="17503.57"/>
    <n v="0"/>
    <n v="0"/>
    <n v="0"/>
    <n v="0"/>
    <n v="0"/>
    <n v="0"/>
    <n v="0"/>
    <n v="0"/>
    <n v="17503.57"/>
    <n v="0"/>
    <n v="0"/>
    <n v="203.58874460009025"/>
    <n v="63.228571428571442"/>
    <n v="0"/>
    <n v="0"/>
    <m/>
    <s v="Dumraon"/>
    <m/>
    <n v="0"/>
  </r>
  <r>
    <s v="Munger"/>
    <s v="24-30 Jul"/>
    <n v="1014"/>
    <s v="Dumraon"/>
    <x v="602"/>
    <s v="Gumukh Orap Khurd"/>
    <s v="MPG"/>
    <s v="Direct"/>
    <n v="349.8"/>
    <n v="13904.449999999997"/>
    <n v="358.61"/>
    <n v="14054.42"/>
    <n v="0"/>
    <n v="0"/>
    <n v="358.61"/>
    <n v="14054.42"/>
    <n v="13904.449999999997"/>
    <n v="0"/>
    <n v="0"/>
    <n v="149.97000000000298"/>
    <n v="0"/>
    <n v="0"/>
    <n v="0"/>
    <n v="13904"/>
    <n v="0"/>
    <n v="0"/>
    <n v="0"/>
    <n v="0"/>
    <n v="278.40699771297875"/>
    <n v="49.971428571428575"/>
    <n v="-1.0785755639381854E-2"/>
    <n v="1"/>
    <m/>
    <s v="Dumraon"/>
    <m/>
    <n v="0"/>
  </r>
  <r>
    <s v="Munger"/>
    <s v="24-30 Jul"/>
    <n v="1014"/>
    <s v="Dumraon"/>
    <x v="603"/>
    <s v="Gomukh Daunpura Manendra"/>
    <s v="vlc"/>
    <s v="Indirect"/>
    <n v="386.09999999999997"/>
    <n v="15171.209999999997"/>
    <n v="0"/>
    <n v="0"/>
    <n v="0"/>
    <n v="0"/>
    <n v="0"/>
    <n v="0"/>
    <n v="15171.209999999997"/>
    <n v="0"/>
    <n v="0"/>
    <n v="0"/>
    <n v="0"/>
    <n v="0"/>
    <n v="0"/>
    <n v="0"/>
    <n v="0"/>
    <n v="15171.209999999997"/>
    <n v="0"/>
    <n v="0"/>
    <n v="246.68442470862473"/>
    <n v="55.157142857142851"/>
    <n v="0"/>
    <n v="0"/>
    <m/>
    <s v="Dumraon"/>
    <m/>
    <n v="0"/>
  </r>
  <r>
    <s v="Munger"/>
    <s v="24-30 Jul"/>
    <n v="1014"/>
    <s v="Dumraon"/>
    <x v="604"/>
    <s v="Gumukh Mathiyapur"/>
    <s v="MPG"/>
    <s v="Direct"/>
    <n v="110.60000000000001"/>
    <n v="4812.9399999999996"/>
    <n v="112.4"/>
    <n v="4811.84"/>
    <n v="0"/>
    <n v="0"/>
    <n v="112.4"/>
    <n v="4811.84"/>
    <n v="4811.84"/>
    <n v="0"/>
    <n v="0"/>
    <n v="0"/>
    <n v="1330"/>
    <n v="0"/>
    <n v="0"/>
    <n v="3482"/>
    <n v="0"/>
    <n v="0"/>
    <n v="1"/>
    <n v="0"/>
    <n v="512.97411139240501"/>
    <n v="15.8"/>
    <n v="2.2855053252262742E-4"/>
    <n v="1"/>
    <m/>
    <s v="Dumraon"/>
    <m/>
    <n v="0"/>
  </r>
  <r>
    <s v="Munger"/>
    <s v="24-30 Jul"/>
    <n v="1014"/>
    <s v="Dumraon"/>
    <x v="605"/>
    <s v="Gomukh Raghunathpur Dasrath"/>
    <s v="vlc"/>
    <s v="Indirect"/>
    <n v="571.6"/>
    <n v="24556.33"/>
    <n v="0"/>
    <n v="0"/>
    <n v="0"/>
    <n v="0"/>
    <n v="0"/>
    <n v="0"/>
    <n v="24556.33"/>
    <n v="0"/>
    <n v="0"/>
    <n v="0"/>
    <n v="0"/>
    <n v="0"/>
    <n v="0"/>
    <n v="0"/>
    <n v="0"/>
    <n v="24556.33"/>
    <n v="0"/>
    <n v="0"/>
    <n v="110.32305010496849"/>
    <n v="81.657142857142858"/>
    <n v="0"/>
    <n v="0"/>
    <m/>
    <s v="Dumraon"/>
    <m/>
    <n v="0"/>
  </r>
  <r>
    <s v="Munger"/>
    <s v="24-30 Jul"/>
    <n v="1014"/>
    <s v="Dumraon"/>
    <x v="606"/>
    <s v="Gomukh Lakshman Dera Raja"/>
    <s v="vlc"/>
    <s v="Indirect"/>
    <n v="119.1"/>
    <n v="4607.88"/>
    <n v="0"/>
    <n v="0"/>
    <n v="0"/>
    <n v="0"/>
    <n v="0"/>
    <n v="0"/>
    <n v="4607.88"/>
    <n v="0"/>
    <n v="0"/>
    <n v="0"/>
    <n v="0"/>
    <n v="0"/>
    <n v="0"/>
    <n v="0"/>
    <n v="0"/>
    <n v="4607.88"/>
    <n v="0"/>
    <n v="0"/>
    <n v="449.49076272040315"/>
    <n v="17.014285714285712"/>
    <n v="0"/>
    <n v="0"/>
    <m/>
    <s v="Dumraon"/>
    <m/>
    <n v="0"/>
  </r>
  <r>
    <s v="Munger"/>
    <s v="24-30 Jul"/>
    <n v="1014"/>
    <s v="Dumraon"/>
    <x v="607"/>
    <s v="Sohan Narayan Farmer Dairy Producer Company Ltd"/>
    <s v="vlc"/>
    <s v="Indirect"/>
    <n v="1519"/>
    <n v="56750.39"/>
    <n v="0"/>
    <n v="0"/>
    <n v="0"/>
    <n v="0"/>
    <n v="0"/>
    <n v="0"/>
    <n v="56750.39"/>
    <n v="0"/>
    <n v="0"/>
    <n v="0"/>
    <n v="0"/>
    <n v="0"/>
    <n v="0"/>
    <n v="0"/>
    <n v="0"/>
    <n v="56750.39"/>
    <n v="0"/>
    <n v="0"/>
    <n v="0"/>
    <n v="0"/>
    <n v="0"/>
    <n v="0"/>
    <m/>
    <s v="Dumraon"/>
    <m/>
    <n v="0"/>
  </r>
  <r>
    <s v="Munger"/>
    <s v="24-30 Jul"/>
    <n v="1014"/>
    <s v="Dumraon"/>
    <x v="608"/>
    <s v="Gomukh Arion Govind "/>
    <s v="vlc"/>
    <s v="Indirect"/>
    <n v="11.899999999999999"/>
    <n v="484.07"/>
    <n v="0"/>
    <n v="0"/>
    <n v="0"/>
    <n v="0"/>
    <n v="0"/>
    <n v="0"/>
    <n v="484.07"/>
    <n v="0"/>
    <n v="0"/>
    <n v="0"/>
    <n v="0"/>
    <n v="0"/>
    <n v="0"/>
    <n v="0"/>
    <n v="0"/>
    <n v="484.07"/>
    <n v="0"/>
    <n v="0"/>
    <n v="559.812717647059"/>
    <n v="1.6999999999999997"/>
    <n v="0"/>
    <n v="0"/>
    <m/>
    <s v="Dumraon"/>
    <m/>
    <n v="0"/>
  </r>
  <r>
    <s v="Munger"/>
    <s v="24-30 Jul"/>
    <n v="1014"/>
    <s v="Dumraon"/>
    <x v="610"/>
    <s v="GomukhSimari Bakulha Patti"/>
    <s v="vlc"/>
    <s v="Indirect"/>
    <n v="424.8"/>
    <n v="15436.56"/>
    <n v="0"/>
    <n v="0"/>
    <n v="0"/>
    <n v="0"/>
    <n v="0"/>
    <n v="0"/>
    <n v="15436.56"/>
    <n v="0"/>
    <n v="0"/>
    <n v="0"/>
    <n v="0"/>
    <n v="0"/>
    <n v="0"/>
    <n v="0"/>
    <n v="0"/>
    <n v="15436.56"/>
    <n v="0"/>
    <n v="0"/>
    <n v="200.00665310734462"/>
    <n v="60.68571428571429"/>
    <n v="0"/>
    <n v="0"/>
    <m/>
    <s v="Dumraon"/>
    <m/>
    <n v="0"/>
  </r>
  <r>
    <s v="Munger"/>
    <s v="24-30 Jul"/>
    <n v="1014"/>
    <s v="Dumraon"/>
    <x v="611"/>
    <s v="Gomukh Baijnathpur"/>
    <s v="MPG"/>
    <s v="Direct"/>
    <n v="843.19999999999982"/>
    <n v="34556.06"/>
    <n v="844.45"/>
    <n v="34994.910000000003"/>
    <n v="0"/>
    <n v="0"/>
    <n v="844.45"/>
    <n v="34994.910000000003"/>
    <n v="34556.06"/>
    <n v="0"/>
    <n v="0"/>
    <n v="438.85000000000582"/>
    <n v="0"/>
    <n v="0"/>
    <n v="0"/>
    <n v="34556"/>
    <n v="0"/>
    <n v="0"/>
    <n v="0"/>
    <n v="0"/>
    <n v="0"/>
    <n v="0"/>
    <n v="-1.2699653837850896E-2"/>
    <n v="2"/>
    <m/>
    <s v="Dumraon"/>
    <m/>
    <n v="0"/>
  </r>
  <r>
    <s v="Munger"/>
    <s v="24-30 Jul"/>
    <n v="1002"/>
    <s v="Laldiyara"/>
    <x v="613"/>
    <s v="Gaachhi Tola"/>
    <s v="MPG"/>
    <s v="Indirect"/>
    <n v="641.29999999999995"/>
    <n v="26622.949999999997"/>
    <n v="0"/>
    <n v="0"/>
    <n v="0"/>
    <n v="0"/>
    <n v="0"/>
    <n v="0"/>
    <n v="26622.949999999997"/>
    <n v="0"/>
    <n v="0"/>
    <n v="0"/>
    <n v="0"/>
    <n v="0"/>
    <n v="0"/>
    <n v="0"/>
    <n v="0"/>
    <n v="26622.949999999997"/>
    <n v="0"/>
    <n v="0"/>
    <n v="48.737475908311247"/>
    <n v="91.614285714285714"/>
    <n v="0"/>
    <n v="0"/>
    <m/>
    <s v="Laldiyara"/>
    <m/>
    <n v="0"/>
  </r>
  <r>
    <s v="Munger"/>
    <s v="24-30 Jul"/>
    <n v="1002"/>
    <s v="Laldiyara"/>
    <x v="983"/>
    <s v="SHIVNAR-2"/>
    <s v="MPG"/>
    <s v="Direct"/>
    <n v="631.20000000000005"/>
    <n v="23777.3"/>
    <n v="634"/>
    <n v="23882.78"/>
    <n v="0"/>
    <n v="0"/>
    <n v="634"/>
    <n v="23882.78"/>
    <n v="23777.3"/>
    <n v="0"/>
    <n v="0"/>
    <n v="105.47999999999956"/>
    <n v="0"/>
    <n v="0"/>
    <n v="0"/>
    <n v="23777"/>
    <n v="0"/>
    <n v="0"/>
    <n v="0"/>
    <n v="0"/>
    <n v="51.833911280101347"/>
    <n v="90.171428571428578"/>
    <n v="-4.4361639042279641E-3"/>
    <n v="1"/>
    <m/>
    <s v="Laldiyara"/>
    <m/>
    <n v="0"/>
  </r>
  <r>
    <s v="Munger"/>
    <s v="24-30 Jul"/>
    <n v="1003"/>
    <s v="Asarganj"/>
    <x v="614"/>
    <s v="KUMARPUIR KATHARA"/>
    <s v="MPG"/>
    <s v="Direct"/>
    <n v="2143.4"/>
    <n v="80357.290000000008"/>
    <n v="2186.3999999999992"/>
    <n v="79039.599999999991"/>
    <n v="25.899999999999995"/>
    <n v="1307.1899999999998"/>
    <n v="2212.2999999999993"/>
    <n v="80346.789999999994"/>
    <n v="80346.789999999994"/>
    <n v="0"/>
    <n v="1307.1899999999998"/>
    <n v="0"/>
    <n v="0"/>
    <n v="0"/>
    <n v="0"/>
    <n v="79042"/>
    <n v="0"/>
    <n v="0"/>
    <n v="8"/>
    <n v="0"/>
    <n v="0"/>
    <n v="0"/>
    <n v="1.3066642740210068E-4"/>
    <n v="70"/>
    <m/>
    <s v="Asarganj"/>
    <m/>
    <n v="0"/>
  </r>
  <r>
    <s v="Munger"/>
    <s v="24-30 Jul"/>
    <n v="1003"/>
    <s v="Asarganj"/>
    <x v="615"/>
    <s v="KUDHIYA MPG"/>
    <s v="MPG"/>
    <s v="Direct"/>
    <n v="2094.1"/>
    <n v="91848.29"/>
    <n v="2089.9"/>
    <n v="91750.16"/>
    <n v="13.399999999999999"/>
    <n v="589.6"/>
    <n v="2103.3000000000002"/>
    <n v="92339.760000000009"/>
    <n v="91848.29"/>
    <n v="0"/>
    <n v="589.6"/>
    <n v="491.47000000001572"/>
    <n v="3651"/>
    <n v="0"/>
    <n v="0"/>
    <n v="87607"/>
    <n v="0"/>
    <n v="0"/>
    <n v="1"/>
    <s v="Release1"/>
    <n v="0"/>
    <n v="0"/>
    <n v="-5.3508889495930273E-3"/>
    <n v="16"/>
    <m/>
    <s v="Asarganj"/>
    <m/>
    <n v="0"/>
  </r>
  <r>
    <s v="Munger"/>
    <s v="24-30 Jul"/>
    <n v="1003"/>
    <s v="Asarganj"/>
    <x v="616"/>
    <s v="SHAHJADPUR MPG"/>
    <s v="MPG"/>
    <s v="Direct"/>
    <n v="1415.3"/>
    <n v="54000.88"/>
    <n v="1527.8999999999999"/>
    <n v="66993.319999999992"/>
    <n v="6.8000000000000007"/>
    <n v="295.92"/>
    <n v="1534.6999999999998"/>
    <n v="67289.239999999991"/>
    <n v="54000.88"/>
    <n v="0"/>
    <n v="295.92"/>
    <n v="13288.359999999993"/>
    <n v="0"/>
    <n v="0"/>
    <n v="0"/>
    <n v="53705"/>
    <n v="0"/>
    <n v="0"/>
    <n v="0"/>
    <s v="Release2"/>
    <n v="0"/>
    <n v="0"/>
    <n v="-0.24607673060142712"/>
    <n v="15"/>
    <m/>
    <s v="Asarganj"/>
    <m/>
    <n v="0"/>
  </r>
  <r>
    <s v="Munger"/>
    <s v="24-30 Jul"/>
    <n v="1006"/>
    <s v="Sonvarsha"/>
    <x v="617"/>
    <s v="FARDA - 3"/>
    <s v="MPG"/>
    <s v="Direct"/>
    <n v="1634.9"/>
    <n v="61460.619999999995"/>
    <n v="374.2"/>
    <n v="14197.890000000003"/>
    <n v="1384.3"/>
    <n v="51892.12999999999"/>
    <n v="1758.5"/>
    <n v="66090.01999999999"/>
    <n v="61460.619999999995"/>
    <n v="0"/>
    <n v="284.19000000000005"/>
    <n v="4629.3999999999942"/>
    <n v="0"/>
    <n v="0"/>
    <n v="0"/>
    <n v="9569"/>
    <n v="51607"/>
    <n v="0"/>
    <n v="0"/>
    <n v="0"/>
    <n v="0"/>
    <n v="0"/>
    <n v="-7.5323027981168994E-2"/>
    <n v="13"/>
    <m/>
    <s v="Sonvarsha"/>
    <m/>
    <n v="0"/>
  </r>
  <r>
    <s v="Munger"/>
    <s v="24-30 Jul"/>
    <n v="1006"/>
    <s v="Sonvarsha"/>
    <x v="618"/>
    <s v="CHANDANPURA"/>
    <s v="MPG"/>
    <s v="Indirect"/>
    <n v="1453.2000000000003"/>
    <n v="61510.38"/>
    <n v="0"/>
    <n v="0"/>
    <n v="0"/>
    <n v="0"/>
    <n v="0"/>
    <n v="0"/>
    <n v="61510.38"/>
    <n v="0"/>
    <n v="0"/>
    <n v="0"/>
    <n v="0"/>
    <n v="0"/>
    <n v="0"/>
    <n v="0"/>
    <n v="0"/>
    <n v="61510.38"/>
    <n v="0"/>
    <n v="0"/>
    <n v="0"/>
    <n v="0"/>
    <n v="0"/>
    <n v="0"/>
    <m/>
    <s v="Sonvarsha"/>
    <m/>
    <n v="0"/>
  </r>
  <r>
    <s v="Munger"/>
    <s v="24-30 Jul"/>
    <n v="1006"/>
    <s v="Sonvarsha"/>
    <x v="619"/>
    <s v="MANIKPUR"/>
    <s v="MPG"/>
    <s v="Direct"/>
    <n v="848.70000000000016"/>
    <n v="35405.78"/>
    <n v="124.3"/>
    <n v="5240.5600000000004"/>
    <n v="725"/>
    <n v="30190.440000000002"/>
    <n v="849.3"/>
    <n v="35431"/>
    <n v="35405.78"/>
    <n v="0"/>
    <n v="208.38"/>
    <n v="25.220000000001164"/>
    <n v="0"/>
    <n v="0"/>
    <n v="0"/>
    <n v="5217"/>
    <n v="29980"/>
    <n v="0"/>
    <n v="0"/>
    <n v="0"/>
    <n v="0"/>
    <n v="0"/>
    <n v="-7.1231307430597956E-4"/>
    <n v="10"/>
    <m/>
    <s v="Sonvarsha"/>
    <m/>
    <n v="0"/>
  </r>
  <r>
    <s v="Munger"/>
    <s v="24-30 Jul"/>
    <n v="1006"/>
    <s v="Sonvarsha"/>
    <x v="620"/>
    <s v="JAKARPURA"/>
    <s v="MPG"/>
    <s v="Indirect"/>
    <n v="1219.5"/>
    <n v="48672.530000000006"/>
    <n v="0"/>
    <n v="0"/>
    <n v="0"/>
    <n v="0"/>
    <n v="0"/>
    <n v="0"/>
    <n v="48672.530000000006"/>
    <n v="0"/>
    <n v="0"/>
    <n v="0"/>
    <n v="0"/>
    <n v="0"/>
    <n v="0"/>
    <n v="0"/>
    <n v="0"/>
    <n v="48672.530000000006"/>
    <n v="0"/>
    <n v="0"/>
    <n v="0"/>
    <n v="0"/>
    <n v="0"/>
    <n v="0"/>
    <m/>
    <s v="Sonvarsha"/>
    <m/>
    <n v="0"/>
  </r>
  <r>
    <s v="Munger"/>
    <s v="24-30 Jul"/>
    <n v="1006"/>
    <s v="Sonvarsha"/>
    <x v="621"/>
    <s v="KISHANPUR"/>
    <s v="MPG"/>
    <s v="Indirect"/>
    <n v="2707.9"/>
    <n v="109188.67000000001"/>
    <n v="0"/>
    <n v="0"/>
    <n v="0"/>
    <n v="0"/>
    <n v="0"/>
    <n v="0"/>
    <n v="109188.67000000001"/>
    <n v="0"/>
    <n v="0"/>
    <n v="0"/>
    <n v="0"/>
    <n v="0"/>
    <n v="0"/>
    <n v="0"/>
    <n v="0"/>
    <n v="109188.67000000001"/>
    <n v="0"/>
    <n v="0"/>
    <n v="0"/>
    <n v="0"/>
    <n v="0"/>
    <n v="0"/>
    <m/>
    <s v="Sonvarsha"/>
    <m/>
    <n v="0"/>
  </r>
  <r>
    <s v="Munger"/>
    <s v="24-30 Jul"/>
    <n v="1006"/>
    <s v="Sonvarsha"/>
    <x v="622"/>
    <s v="NANDPUR"/>
    <s v="MPG"/>
    <s v="Indirect"/>
    <n v="1384.1"/>
    <n v="53089.090000000004"/>
    <n v="0"/>
    <n v="0"/>
    <n v="0"/>
    <n v="0"/>
    <n v="0"/>
    <n v="0"/>
    <n v="53089.090000000004"/>
    <n v="0"/>
    <n v="0"/>
    <n v="0"/>
    <n v="0"/>
    <n v="0"/>
    <n v="0"/>
    <n v="0"/>
    <n v="0"/>
    <n v="53089.090000000004"/>
    <n v="0"/>
    <n v="0"/>
    <n v="0"/>
    <n v="0"/>
    <n v="0"/>
    <n v="0"/>
    <m/>
    <s v="Sonvarsha"/>
    <m/>
    <n v="0"/>
  </r>
  <r>
    <s v="Munger"/>
    <s v="24-30 Jul"/>
    <n v="1006"/>
    <s v="Sonvarsha"/>
    <x v="623"/>
    <s v="NOWAGADHI"/>
    <s v="MPG"/>
    <s v="Direct"/>
    <n v="1395.1"/>
    <n v="63005.36"/>
    <n v="1671.2000000000005"/>
    <n v="64599.520000000004"/>
    <n v="14.7"/>
    <n v="662.09"/>
    <n v="1685.9000000000005"/>
    <n v="65261.61"/>
    <n v="63005.36"/>
    <n v="0"/>
    <n v="662.09"/>
    <n v="2256.25"/>
    <n v="0"/>
    <n v="0"/>
    <n v="0"/>
    <n v="62343"/>
    <n v="0"/>
    <n v="0"/>
    <n v="0"/>
    <n v="0"/>
    <n v="0"/>
    <n v="0"/>
    <n v="-3.581044533353988E-2"/>
    <n v="15"/>
    <m/>
    <s v="Sonvarsha"/>
    <m/>
    <n v="0"/>
  </r>
  <r>
    <s v="Munger"/>
    <s v="24-30 Jul"/>
    <n v="1036"/>
    <s v="MAHADAT PUR 2"/>
    <x v="624"/>
    <s v="MAHADAT PUR 2"/>
    <s v="MPG"/>
    <s v="Direct"/>
    <n v="1942.1999999999998"/>
    <n v="75707.62999999999"/>
    <n v="1894.3"/>
    <n v="73880.33"/>
    <n v="47.9"/>
    <n v="1827.3"/>
    <n v="1942.2"/>
    <n v="75707.63"/>
    <n v="75707.62999999999"/>
    <n v="0"/>
    <n v="1827.3"/>
    <n v="0"/>
    <n v="0"/>
    <n v="0"/>
    <n v="0"/>
    <n v="73879"/>
    <n v="0"/>
    <n v="0"/>
    <n v="1"/>
    <n v="0"/>
    <n v="0"/>
    <n v="0"/>
    <n v="-1.9221200331283457E-16"/>
    <n v="11"/>
    <m/>
    <s v="MAHADAT PUR 2"/>
    <m/>
    <n v="0"/>
  </r>
  <r>
    <s v="Munger"/>
    <s v="24-30 Jul"/>
    <n v="1007"/>
    <s v="Araria"/>
    <x v="625"/>
    <s v="SONBARSHA 1"/>
    <s v="MPG"/>
    <s v="Direct"/>
    <n v="1080"/>
    <n v="38596.28"/>
    <n v="701"/>
    <n v="25056.42"/>
    <n v="377"/>
    <n v="13467.86"/>
    <n v="1078"/>
    <n v="38524.28"/>
    <n v="38524.28"/>
    <n v="0"/>
    <n v="179.18"/>
    <n v="0"/>
    <n v="0"/>
    <n v="0"/>
    <n v="0"/>
    <n v="25055"/>
    <n v="13288"/>
    <n v="0"/>
    <n v="74"/>
    <n v="0"/>
    <n v="0"/>
    <n v="0"/>
    <n v="1.8654647546343845E-3"/>
    <n v="12"/>
    <m/>
    <s v="Araria"/>
    <m/>
    <n v="0"/>
  </r>
  <r>
    <s v="Munger"/>
    <s v="24-30 Jul"/>
    <n v="1007"/>
    <s v="Araria"/>
    <x v="626"/>
    <s v="GANOUL"/>
    <s v="vlc"/>
    <s v="Indirect"/>
    <n v="412"/>
    <n v="15005.04"/>
    <n v="305"/>
    <n v="11108.099999999999"/>
    <n v="0"/>
    <n v="0"/>
    <n v="305"/>
    <n v="11108.099999999999"/>
    <n v="15005.04"/>
    <n v="0"/>
    <n v="94.69"/>
    <n v="0"/>
    <n v="0"/>
    <n v="0"/>
    <n v="0"/>
    <n v="0"/>
    <n v="0"/>
    <n v="14910.35"/>
    <n v="0"/>
    <n v="0"/>
    <n v="209.77920000000003"/>
    <n v="58.857142857142854"/>
    <n v="0"/>
    <n v="15"/>
    <m/>
    <s v="Araria"/>
    <m/>
    <n v="0"/>
  </r>
  <r>
    <s v="Munger"/>
    <s v="24-30 Jul"/>
    <n v="1007"/>
    <s v="Araria"/>
    <x v="627"/>
    <s v="Gauripur"/>
    <s v="MPG"/>
    <s v="Direct"/>
    <n v="2447"/>
    <n v="88647.17"/>
    <n v="1903"/>
    <n v="69036.27"/>
    <n v="544"/>
    <n v="19802.260000000002"/>
    <n v="2447"/>
    <n v="88838.53"/>
    <n v="88647.17"/>
    <n v="0"/>
    <n v="292.22000000000003"/>
    <n v="191.36000000000058"/>
    <n v="0"/>
    <n v="0"/>
    <n v="0"/>
    <n v="68845"/>
    <n v="19510"/>
    <n v="0"/>
    <n v="0"/>
    <n v="0"/>
    <n v="0"/>
    <n v="0"/>
    <n v="-2.1586701526963644E-3"/>
    <n v="16"/>
    <m/>
    <s v="Araria"/>
    <m/>
    <n v="0"/>
  </r>
  <r>
    <s v="Munger"/>
    <s v="24-30 Jul"/>
    <n v="1007"/>
    <s v="Araria"/>
    <x v="628"/>
    <s v="Bhramarpur"/>
    <s v="MPG"/>
    <s v="Direct"/>
    <n v="3134"/>
    <n v="110460.5"/>
    <n v="900"/>
    <n v="31653"/>
    <n v="2238"/>
    <n v="78949.02"/>
    <n v="3138"/>
    <n v="110602.02"/>
    <n v="110460.5"/>
    <n v="0"/>
    <n v="211.02"/>
    <n v="141.52000000000407"/>
    <n v="0"/>
    <n v="0"/>
    <n v="0"/>
    <n v="31510"/>
    <n v="78739"/>
    <n v="0"/>
    <n v="0"/>
    <n v="0"/>
    <n v="0"/>
    <n v="0"/>
    <n v="-1.2811819609725111E-3"/>
    <n v="15"/>
    <m/>
    <s v="Araria"/>
    <m/>
    <n v="0"/>
  </r>
  <r>
    <s v="Munger"/>
    <s v="24-30 Jul"/>
    <n v="1011"/>
    <s v="Sahibpur Kamal"/>
    <x v="629"/>
    <s v="Gomukh Bariyarpur"/>
    <s v="MPG"/>
    <s v="Direct"/>
    <n v="331.9"/>
    <n v="12918.59"/>
    <n v="341.6"/>
    <n v="13295.07"/>
    <n v="0"/>
    <n v="0"/>
    <n v="341.6"/>
    <n v="13295.07"/>
    <n v="12918.59"/>
    <n v="0"/>
    <n v="0"/>
    <n v="376.47999999999956"/>
    <n v="0"/>
    <n v="0"/>
    <n v="0"/>
    <n v="12919"/>
    <n v="0"/>
    <n v="0"/>
    <n v="0"/>
    <n v="0"/>
    <n v="286.55215299789097"/>
    <n v="47.414285714285711"/>
    <n v="-2.9142499297523921E-2"/>
    <n v="1"/>
    <m/>
    <s v="Sahibpur Kamal"/>
    <m/>
    <n v="0"/>
  </r>
  <r>
    <s v="Munger"/>
    <s v="24-30 Jul"/>
    <n v="1011"/>
    <s v="Sahibpur Kamal"/>
    <x v="630"/>
    <s v="Gomukh Sadananpur"/>
    <s v="MPG"/>
    <s v="Direct"/>
    <n v="53"/>
    <n v="1933.89"/>
    <n v="53.000000000000007"/>
    <n v="1999.5"/>
    <n v="0"/>
    <n v="0"/>
    <n v="53.000000000000007"/>
    <n v="1999.5"/>
    <n v="1933.89"/>
    <n v="0"/>
    <n v="0"/>
    <n v="65.6099999999999"/>
    <n v="0"/>
    <n v="0"/>
    <n v="0"/>
    <n v="2000"/>
    <n v="0"/>
    <n v="0"/>
    <n v="-66"/>
    <s v="Release1"/>
    <n v="472.16106792452831"/>
    <n v="7.5714285714285712"/>
    <n v="-3.3926438422040496E-2"/>
    <n v="1"/>
    <m/>
    <s v="Sahibpur Kamal"/>
    <m/>
    <n v="0"/>
  </r>
  <r>
    <s v="Munger"/>
    <s v="24-30 Jul"/>
    <n v="1003"/>
    <s v="Asarganj"/>
    <x v="631"/>
    <s v="TILAKPUR  2"/>
    <s v="MPG"/>
    <s v="Direct"/>
    <n v="540.9"/>
    <n v="19172.71"/>
    <n v="572.69999999999993"/>
    <n v="21397.570000000003"/>
    <n v="2.2999999999999998"/>
    <n v="87.899999999999991"/>
    <n v="574.99999999999989"/>
    <n v="21485.470000000005"/>
    <n v="19172.71"/>
    <n v="0"/>
    <n v="87.899999999999991"/>
    <n v="2312.7600000000057"/>
    <n v="0"/>
    <n v="0"/>
    <n v="0"/>
    <n v="19085"/>
    <n v="0"/>
    <n v="0"/>
    <n v="0"/>
    <n v="0"/>
    <n v="112.7889872804585"/>
    <n v="77.271428571428572"/>
    <n v="-0.12062770469067784"/>
    <n v="8"/>
    <m/>
    <s v="Asarganj"/>
    <m/>
    <n v="0"/>
  </r>
  <r>
    <s v="Munger"/>
    <s v="24-30 Jul"/>
    <n v="1003"/>
    <s v="Asarganj"/>
    <x v="632"/>
    <s v="TILAKPUR"/>
    <s v="MPG"/>
    <s v="Direct"/>
    <n v="689.15"/>
    <n v="21872.57"/>
    <n v="675.1"/>
    <n v="22280.639999999996"/>
    <n v="7.3000000000000007"/>
    <n v="211.68"/>
    <n v="682.4"/>
    <n v="22492.319999999996"/>
    <n v="21872.57"/>
    <n v="0"/>
    <n v="30.18"/>
    <n v="619.74999999999636"/>
    <n v="0"/>
    <n v="0"/>
    <n v="0"/>
    <n v="21660"/>
    <n v="182"/>
    <n v="0"/>
    <n v="0"/>
    <n v="0"/>
    <n v="6.8872490604367584"/>
    <n v="98.45"/>
    <n v="-2.8334576138057684E-2"/>
    <n v="5"/>
    <m/>
    <s v="Asarganj"/>
    <m/>
    <n v="0"/>
  </r>
  <r>
    <s v="Munger"/>
    <s v="24-30 Jul"/>
    <n v="1036"/>
    <s v="MAHADAT PUR 2"/>
    <x v="633"/>
    <s v="Prasharpur Kadwa Gomukh"/>
    <s v="MPG"/>
    <s v="Direct"/>
    <n v="367.3"/>
    <n v="14675.940000000002"/>
    <n v="363.6"/>
    <n v="14639.3"/>
    <n v="3.1000000000000005"/>
    <n v="124.57000000000002"/>
    <n v="366.70000000000005"/>
    <n v="14763.869999999999"/>
    <n v="14675.940000000002"/>
    <n v="0"/>
    <n v="124.57000000000002"/>
    <n v="87.929999999996653"/>
    <n v="0"/>
    <n v="0"/>
    <n v="0"/>
    <n v="14551"/>
    <n v="0"/>
    <n v="0"/>
    <n v="0"/>
    <n v="0"/>
    <n v="265.86905733732647"/>
    <n v="52.471428571428575"/>
    <n v="-5.9914390492191057E-3"/>
    <n v="3"/>
    <m/>
    <s v="MAHADAT PUR 2"/>
    <m/>
    <n v="0"/>
  </r>
  <r>
    <s v="Munger"/>
    <s v="24-30 Jul"/>
    <n v="1036"/>
    <s v="MAHADAT PUR 2"/>
    <x v="634"/>
    <s v="Borwa Tola Gomukh"/>
    <s v="MPG"/>
    <s v="Indirect"/>
    <n v="285.40000000000003"/>
    <n v="10366.31"/>
    <n v="285.40000000000003"/>
    <n v="10529.82"/>
    <n v="0"/>
    <n v="0"/>
    <n v="285.40000000000003"/>
    <n v="10529.82"/>
    <n v="10366.31"/>
    <n v="0"/>
    <n v="0"/>
    <n v="163.51000000000022"/>
    <n v="0"/>
    <n v="0"/>
    <n v="0"/>
    <n v="0"/>
    <n v="0"/>
    <n v="10366.31"/>
    <n v="0"/>
    <n v="0"/>
    <n v="301.18234940434473"/>
    <n v="40.771428571428579"/>
    <n v="0"/>
    <n v="1"/>
    <m/>
    <s v="MAHADAT PUR 2"/>
    <m/>
    <n v="0"/>
  </r>
  <r>
    <s v="Munger"/>
    <s v="24-30 Jul"/>
    <n v="1007"/>
    <s v="Araria"/>
    <x v="635"/>
    <s v="Sheela Devi"/>
    <s v="MPG"/>
    <s v="Indirect"/>
    <n v="1437"/>
    <n v="48177.64"/>
    <n v="0"/>
    <n v="0"/>
    <n v="0"/>
    <n v="0"/>
    <n v="0"/>
    <n v="0"/>
    <n v="48177.64"/>
    <n v="0"/>
    <n v="0"/>
    <n v="0"/>
    <n v="0"/>
    <n v="0"/>
    <n v="0"/>
    <n v="0"/>
    <n v="0"/>
    <n v="48177.64"/>
    <n v="0"/>
    <n v="0"/>
    <n v="0"/>
    <n v="0"/>
    <n v="0"/>
    <n v="0"/>
    <m/>
    <s v="Araria"/>
    <m/>
    <n v="0"/>
  </r>
  <r>
    <s v="Munger"/>
    <s v="24-30 Jul"/>
    <n v="1036"/>
    <s v="MAHADAT PUR 2"/>
    <x v="636"/>
    <s v="Gomukh Vijay Lalganj"/>
    <s v="MPG"/>
    <s v="Direct"/>
    <n v="315"/>
    <n v="13289.79"/>
    <n v="337.1"/>
    <n v="14482.429999999998"/>
    <n v="1.4000000000000001"/>
    <n v="60.050000000000004"/>
    <n v="338.5"/>
    <n v="14542.479999999998"/>
    <n v="13289.79"/>
    <n v="0"/>
    <n v="60.050000000000004"/>
    <n v="1252.6899999999969"/>
    <n v="0"/>
    <n v="0"/>
    <n v="0"/>
    <n v="13230"/>
    <n v="0"/>
    <n v="0"/>
    <n v="0"/>
    <n v="0"/>
    <n v="324.8615333333334"/>
    <n v="45"/>
    <n v="-9.4259578217563769E-2"/>
    <n v="5"/>
    <m/>
    <s v="MAHADAT PUR 2"/>
    <m/>
    <n v="0"/>
  </r>
  <r>
    <s v="Munger"/>
    <s v="24-30 Jul"/>
    <n v="1036"/>
    <s v="MAHADAT PUR 2"/>
    <x v="637"/>
    <s v="Gomukh Sarswati Nagar Nakdahri"/>
    <s v="MPG"/>
    <s v="Direct"/>
    <n v="470.40000000000003"/>
    <n v="19480.869999999995"/>
    <n v="223.07"/>
    <n v="9758.64"/>
    <n v="263.93"/>
    <n v="11634.039999999999"/>
    <n v="487"/>
    <n v="21392.68"/>
    <n v="19480.869999999995"/>
    <n v="0"/>
    <n v="132.22999999999999"/>
    <n v="1911.8100000000049"/>
    <n v="0"/>
    <n v="0"/>
    <n v="0"/>
    <n v="7846"/>
    <n v="11503"/>
    <n v="0"/>
    <n v="0"/>
    <n v="0"/>
    <n v="190.17039761904755"/>
    <n v="67.2"/>
    <n v="-9.8137814173597251E-2"/>
    <n v="11"/>
    <m/>
    <s v="MAHADAT PUR 2"/>
    <m/>
    <n v="0"/>
  </r>
  <r>
    <s v="Munger"/>
    <s v="24-30 Jul"/>
    <n v="1036"/>
    <s v="MAHADAT PUR 2"/>
    <x v="638"/>
    <s v="Dhobina Basa"/>
    <s v="MPG"/>
    <s v="Direct"/>
    <n v="380.50000000000006"/>
    <n v="14793.33"/>
    <n v="226.7"/>
    <n v="9870.7100000000009"/>
    <n v="207.60000000000002"/>
    <n v="9061.8100000000031"/>
    <n v="434.3"/>
    <n v="18932.520000000004"/>
    <n v="14793.33"/>
    <n v="0"/>
    <n v="52.439999999999991"/>
    <n v="4139.1900000000041"/>
    <n v="0"/>
    <n v="0"/>
    <n v="0"/>
    <n v="5732"/>
    <n v="9009"/>
    <n v="0"/>
    <n v="0"/>
    <n v="0"/>
    <n v="248.43463521681988"/>
    <n v="54.357142857142868"/>
    <n v="-0.27980109954959459"/>
    <n v="3"/>
    <m/>
    <s v="MAHADAT PUR 2"/>
    <m/>
    <n v="0"/>
  </r>
  <r>
    <s v="Munger"/>
    <s v="24-30 Jul"/>
    <n v="1036"/>
    <s v="MAHADAT PUR 2"/>
    <x v="639"/>
    <s v="Gomukh Shreepur Madhay"/>
    <s v="MPG"/>
    <s v="Direct"/>
    <n v="1761.7"/>
    <n v="71227.23000000001"/>
    <n v="1421"/>
    <n v="57751.19"/>
    <n v="346.64"/>
    <n v="14094.69"/>
    <n v="1767.6399999999999"/>
    <n v="71845.88"/>
    <n v="71227.23000000001"/>
    <n v="0"/>
    <n v="3026.5699999999997"/>
    <n v="618.64999999999418"/>
    <n v="0"/>
    <n v="0"/>
    <n v="0"/>
    <n v="57132"/>
    <n v="11068"/>
    <n v="0"/>
    <n v="1"/>
    <n v="0"/>
    <n v="0"/>
    <n v="0"/>
    <n v="-8.6855827469353233E-3"/>
    <n v="13"/>
    <m/>
    <s v="MAHADAT PUR 2"/>
    <m/>
    <n v="0"/>
  </r>
  <r>
    <s v="Munger"/>
    <s v="24-30 Jul"/>
    <n v="1036"/>
    <s v="MAHADAT PUR 2"/>
    <x v="640"/>
    <s v="Gomukh Dhoriya Dadpur -VLC"/>
    <s v="vlc"/>
    <s v="Indirect"/>
    <n v="227.4"/>
    <n v="8883.98"/>
    <n v="0"/>
    <n v="0"/>
    <n v="0"/>
    <n v="0"/>
    <n v="0"/>
    <n v="0"/>
    <n v="8883.98"/>
    <n v="0"/>
    <n v="0"/>
    <n v="0"/>
    <n v="0"/>
    <n v="0"/>
    <n v="0"/>
    <n v="0"/>
    <n v="0"/>
    <n v="8883.98"/>
    <n v="0"/>
    <n v="0"/>
    <n v="369.2672777484608"/>
    <n v="32.485714285714288"/>
    <n v="0"/>
    <n v="0"/>
    <m/>
    <s v="MAHADAT PUR 2"/>
    <m/>
    <n v="0"/>
  </r>
  <r>
    <s v="Munger"/>
    <s v="24-30 Jul"/>
    <n v="1036"/>
    <s v="MAHADAT PUR 2"/>
    <x v="641"/>
    <s v="Gomukh Mohanpur  VLC"/>
    <s v="vlc"/>
    <s v="Indirect"/>
    <n v="130.89999999999998"/>
    <n v="4750.42"/>
    <n v="0"/>
    <n v="0"/>
    <n v="0"/>
    <n v="0"/>
    <n v="0"/>
    <n v="0"/>
    <n v="4750.42"/>
    <n v="0"/>
    <n v="0"/>
    <n v="0"/>
    <n v="0"/>
    <n v="0"/>
    <n v="0"/>
    <n v="0"/>
    <n v="0"/>
    <n v="4750.42"/>
    <n v="0"/>
    <n v="0"/>
    <n v="413.05791016042792"/>
    <n v="18.699999999999996"/>
    <n v="0"/>
    <n v="0"/>
    <m/>
    <s v="MAHADAT PUR 2"/>
    <m/>
    <n v="0"/>
  </r>
  <r>
    <s v="Munger"/>
    <s v="24-30 Jul"/>
    <n v="1036"/>
    <s v="MAHADAT PUR 2"/>
    <x v="642"/>
    <s v="Gomukh Abhirampur VLC"/>
    <s v="vlc"/>
    <s v="Indirect"/>
    <n v="242.5"/>
    <n v="10081.17"/>
    <n v="0"/>
    <n v="0"/>
    <n v="0"/>
    <n v="0"/>
    <n v="0"/>
    <n v="0"/>
    <n v="10081.17"/>
    <n v="0"/>
    <n v="0"/>
    <n v="0"/>
    <n v="0"/>
    <n v="0"/>
    <n v="0"/>
    <n v="0"/>
    <n v="0"/>
    <n v="10081.17"/>
    <n v="0"/>
    <n v="0"/>
    <n v="380.3822907216495"/>
    <n v="34.642857142857146"/>
    <n v="0"/>
    <n v="0"/>
    <m/>
    <s v="MAHADAT PUR 2"/>
    <m/>
    <n v="0"/>
  </r>
  <r>
    <s v="Munger"/>
    <s v="24-30 Jul"/>
    <n v="1003"/>
    <s v="Asarganj"/>
    <x v="643"/>
    <s v="KUNTHA M"/>
    <s v="MPG"/>
    <s v="Direct"/>
    <n v="883.3"/>
    <n v="33644.9"/>
    <n v="979.09999999999991"/>
    <n v="38831.31"/>
    <n v="12.700000000000001"/>
    <n v="466.04"/>
    <n v="991.8"/>
    <n v="39297.35"/>
    <n v="33644.9"/>
    <n v="0"/>
    <n v="466.04"/>
    <n v="5652.4499999999971"/>
    <n v="0"/>
    <n v="0"/>
    <n v="0"/>
    <n v="33179"/>
    <n v="0"/>
    <n v="0"/>
    <n v="0"/>
    <s v="Release2"/>
    <n v="0"/>
    <n v="0"/>
    <n v="-0.16800317432954168"/>
    <n v="10"/>
    <m/>
    <s v="Asarganj"/>
    <m/>
    <n v="0"/>
  </r>
  <r>
    <s v="Munger"/>
    <s v="24-30 Jul"/>
    <n v="1014"/>
    <s v="Dumraon"/>
    <x v="644"/>
    <s v="ARAK"/>
    <s v="MPG"/>
    <s v="Direct"/>
    <n v="2126.2999999999997"/>
    <n v="80586.85000000002"/>
    <n v="2091.2999999999997"/>
    <n v="80946.510000000009"/>
    <n v="14.8"/>
    <n v="706.43999999999994"/>
    <n v="2106.1"/>
    <n v="81652.950000000012"/>
    <n v="80586.85000000002"/>
    <n v="0"/>
    <n v="706.43999999999994"/>
    <n v="1066.0999999999913"/>
    <n v="0"/>
    <n v="0"/>
    <n v="0"/>
    <n v="79880"/>
    <n v="0"/>
    <n v="0"/>
    <n v="0"/>
    <n v="0"/>
    <n v="0"/>
    <n v="0"/>
    <n v="-1.3229205509335469E-2"/>
    <n v="36"/>
    <m/>
    <s v="Dumraon"/>
    <m/>
    <n v="0"/>
  </r>
  <r>
    <s v="Munger"/>
    <s v="24-30 Jul"/>
    <n v="1014"/>
    <s v="Dumraon"/>
    <x v="645"/>
    <s v="Diyaman"/>
    <s v="MPG"/>
    <s v="Direct"/>
    <n v="1154.7"/>
    <n v="48147.5"/>
    <n v="1143.7700000000002"/>
    <n v="47877.05"/>
    <n v="6.1500000000000012"/>
    <n v="257.79000000000002"/>
    <n v="1149.9200000000003"/>
    <n v="48134.840000000004"/>
    <n v="48134.840000000004"/>
    <n v="0"/>
    <n v="257.79000000000002"/>
    <n v="0"/>
    <n v="6650"/>
    <n v="0"/>
    <n v="0"/>
    <n v="41227"/>
    <n v="0"/>
    <n v="0"/>
    <n v="13"/>
    <n v="0"/>
    <n v="0"/>
    <n v="0"/>
    <n v="2.6294200114224451E-4"/>
    <n v="6"/>
    <m/>
    <s v="Dumraon"/>
    <m/>
    <n v="0"/>
  </r>
  <r>
    <s v="Munger"/>
    <s v="24-30 Jul"/>
    <n v="1014"/>
    <s v="Dumraon"/>
    <x v="646"/>
    <s v="HENHA"/>
    <s v="MPG"/>
    <s v="Direct"/>
    <n v="2044.6000000000001"/>
    <n v="80147.69"/>
    <n v="2376.1999999999998"/>
    <n v="105045.34999999999"/>
    <n v="23.799999999999994"/>
    <n v="1290.0299999999997"/>
    <n v="2400"/>
    <n v="106335.37999999999"/>
    <n v="80147.69"/>
    <n v="0"/>
    <n v="1290.0299999999997"/>
    <n v="26187.689999999988"/>
    <n v="0"/>
    <n v="0"/>
    <n v="0"/>
    <n v="78858"/>
    <n v="0"/>
    <n v="0"/>
    <n v="0"/>
    <n v="0"/>
    <n v="0"/>
    <n v="0"/>
    <n v="-0.32674291673284639"/>
    <n v="5"/>
    <m/>
    <s v="Dumraon"/>
    <m/>
    <n v="0"/>
  </r>
  <r>
    <s v="Munger"/>
    <s v="24-30 Jul"/>
    <n v="1012"/>
    <s v="DalsinghSarai"/>
    <x v="647"/>
    <s v="Suddh Dairy"/>
    <s v="vlc"/>
    <s v="Indirect"/>
    <n v="31160"/>
    <n v="1181901.3999999999"/>
    <n v="0"/>
    <n v="0"/>
    <n v="0"/>
    <n v="0"/>
    <n v="0"/>
    <n v="0"/>
    <n v="1181901.3999999999"/>
    <n v="0"/>
    <n v="0"/>
    <n v="0"/>
    <n v="0"/>
    <n v="0"/>
    <n v="0"/>
    <n v="0"/>
    <n v="0"/>
    <n v="1181901.3999999999"/>
    <n v="0"/>
    <n v="0"/>
    <n v="0"/>
    <n v="0"/>
    <n v="0"/>
    <n v="0"/>
    <m/>
    <s v="DalsinghSarai"/>
    <m/>
    <n v="0"/>
  </r>
  <r>
    <s v="Munger"/>
    <s v="24-30 Jul"/>
    <n v="1053"/>
    <s v="Kalyanpur"/>
    <x v="648"/>
    <s v="Anik Kumar"/>
    <s v="vlc"/>
    <s v="Indirect"/>
    <n v="5005"/>
    <n v="203853.65000000002"/>
    <n v="0"/>
    <n v="0"/>
    <n v="0"/>
    <n v="0"/>
    <n v="0"/>
    <n v="0"/>
    <n v="203853.65000000002"/>
    <n v="0"/>
    <n v="0"/>
    <n v="0"/>
    <n v="0"/>
    <n v="0"/>
    <n v="0"/>
    <n v="0"/>
    <n v="0"/>
    <n v="203853.65000000002"/>
    <n v="0"/>
    <n v="0"/>
    <n v="0"/>
    <n v="0"/>
    <n v="0"/>
    <n v="0"/>
    <m/>
    <s v="Kalyanpur"/>
    <m/>
    <n v="0"/>
  </r>
  <r>
    <s v="Munger"/>
    <s v="24-30 Jul"/>
    <n v="1052"/>
    <s v="3P Network"/>
    <x v="649"/>
    <s v="Nand Kishor Kumar"/>
    <s v="MPG"/>
    <s v="Indirect"/>
    <n v="10737"/>
    <n v="410333.24"/>
    <n v="0"/>
    <n v="0"/>
    <n v="0"/>
    <n v="0"/>
    <n v="0"/>
    <n v="0"/>
    <n v="410333.24"/>
    <n v="0"/>
    <n v="0"/>
    <n v="0"/>
    <n v="0"/>
    <n v="0"/>
    <n v="0"/>
    <n v="0"/>
    <n v="0"/>
    <n v="410333.24"/>
    <n v="0"/>
    <n v="0"/>
    <n v="0"/>
    <n v="0"/>
    <n v="0"/>
    <n v="0"/>
    <m/>
    <s v="3P Network"/>
    <m/>
    <n v="0"/>
  </r>
  <r>
    <s v="Munger"/>
    <s v="24-30 Jul"/>
    <n v="1053"/>
    <s v="Kalyanpur"/>
    <x v="650"/>
    <s v="Gomukh CHANDAULI"/>
    <s v="MPG"/>
    <s v="Direct"/>
    <n v="1437.25"/>
    <n v="61595.41"/>
    <n v="1431.0200000000002"/>
    <n v="60914.470000000008"/>
    <n v="14.940000000000001"/>
    <n v="651.85"/>
    <n v="1445.9600000000003"/>
    <n v="61566.320000000007"/>
    <n v="61566.320000000007"/>
    <n v="0"/>
    <n v="651.85"/>
    <n v="0"/>
    <n v="0"/>
    <n v="0"/>
    <n v="0"/>
    <n v="60916"/>
    <n v="0"/>
    <n v="0"/>
    <n v="28"/>
    <n v="0"/>
    <n v="0"/>
    <n v="0"/>
    <n v="4.7227545039470485E-4"/>
    <n v="28"/>
    <m/>
    <s v="Kalyanpur"/>
    <m/>
    <n v="0"/>
  </r>
  <r>
    <s v="Munger"/>
    <s v="24-30 Jul"/>
    <n v="1053"/>
    <s v="Kalyanpur"/>
    <x v="651"/>
    <s v="GOMUKH HATHA"/>
    <s v="MPG"/>
    <s v="Direct"/>
    <n v="2128.9500000000003"/>
    <n v="85163.639999999985"/>
    <n v="2153.63"/>
    <n v="84629.210000000021"/>
    <n v="13.27"/>
    <n v="530.59999999999991"/>
    <n v="2166.9"/>
    <n v="85159.810000000027"/>
    <n v="85159.810000000027"/>
    <n v="0"/>
    <n v="530.59999999999991"/>
    <n v="0"/>
    <n v="8995"/>
    <n v="0"/>
    <n v="0"/>
    <n v="75638"/>
    <n v="0"/>
    <n v="0"/>
    <n v="0"/>
    <n v="0"/>
    <n v="0"/>
    <n v="0"/>
    <n v="4.4972244022896286E-5"/>
    <n v="39"/>
    <m/>
    <s v="Kalyanpur"/>
    <m/>
    <n v="0"/>
  </r>
  <r>
    <s v="Munger"/>
    <s v="24-30 Jul"/>
    <n v="1053"/>
    <s v="Kalyanpur"/>
    <x v="652"/>
    <s v="GOMUKH VADEYA"/>
    <s v="MPG"/>
    <s v="Direct"/>
    <n v="1269.1000000000001"/>
    <n v="56247.000000000015"/>
    <n v="1268.2199999999996"/>
    <n v="55704.76999999999"/>
    <n v="11.77"/>
    <n v="538.76"/>
    <n v="1279.9899999999996"/>
    <n v="56243.529999999992"/>
    <n v="56243.529999999992"/>
    <n v="0"/>
    <n v="538.76"/>
    <n v="0"/>
    <n v="6700"/>
    <n v="0"/>
    <n v="0"/>
    <n v="49006"/>
    <n v="0"/>
    <n v="0"/>
    <n v="2"/>
    <n v="0"/>
    <n v="0"/>
    <n v="0"/>
    <n v="6.1692179138851693E-5"/>
    <n v="31"/>
    <m/>
    <s v="Kalyanpur"/>
    <m/>
    <n v="0"/>
  </r>
  <r>
    <s v="Munger"/>
    <s v="24-30 Jul"/>
    <n v="1053"/>
    <s v="Kalyanpur"/>
    <x v="653"/>
    <s v="GOMUKH CHANDPURA"/>
    <s v="MPG"/>
    <s v="Direct"/>
    <n v="691.95000000000016"/>
    <n v="33695.42"/>
    <n v="685.18"/>
    <n v="32669.589999999997"/>
    <n v="22.67"/>
    <n v="998.44000000000017"/>
    <n v="707.84999999999991"/>
    <n v="33668.03"/>
    <n v="33668.03"/>
    <n v="0"/>
    <n v="998.44000000000017"/>
    <n v="0"/>
    <n v="2440"/>
    <n v="0"/>
    <n v="0"/>
    <n v="30231"/>
    <n v="0"/>
    <n v="0"/>
    <n v="26"/>
    <n v="0"/>
    <n v="7.8401078401617044"/>
    <n v="98.850000000000023"/>
    <n v="8.1287011706633779E-4"/>
    <n v="20"/>
    <m/>
    <s v="Kalyanpur"/>
    <m/>
    <n v="0"/>
  </r>
  <r>
    <s v="Munger"/>
    <s v="24-30 Jul"/>
    <n v="1053"/>
    <s v="Kalyanpur"/>
    <x v="654"/>
    <s v="GOMUKH BARGAMA"/>
    <s v="MPG"/>
    <s v="Direct"/>
    <n v="1319.3000000000002"/>
    <n v="61965.419999999991"/>
    <n v="1309.3899999999996"/>
    <n v="59326.929999999978"/>
    <n v="65.12"/>
    <n v="4199.4100000000008"/>
    <n v="1374.5099999999998"/>
    <n v="63526.339999999982"/>
    <n v="61965.419999999991"/>
    <n v="0"/>
    <n v="4199.4100000000008"/>
    <n v="1560.919999999991"/>
    <n v="0"/>
    <n v="0"/>
    <n v="0"/>
    <n v="57766"/>
    <n v="0"/>
    <n v="0"/>
    <n v="0"/>
    <s v="Release2"/>
    <n v="0"/>
    <n v="0"/>
    <n v="-2.5190178651254058E-2"/>
    <n v="65"/>
    <m/>
    <s v="Kalyanpur"/>
    <m/>
    <n v="0"/>
  </r>
  <r>
    <s v="Munger"/>
    <s v="24-30 Jul"/>
    <n v="1053"/>
    <s v="Kalyanpur"/>
    <x v="655"/>
    <s v="Gomukh Gograha Tola"/>
    <s v="MPG"/>
    <s v="Direct"/>
    <n v="552.79999999999984"/>
    <n v="25313.15"/>
    <n v="544.33999999999992"/>
    <n v="25290.850000000002"/>
    <n v="0.57000000000000006"/>
    <n v="19.670000000000002"/>
    <n v="544.91"/>
    <n v="25310.52"/>
    <n v="25310.52"/>
    <n v="0"/>
    <n v="19.670000000000002"/>
    <n v="0"/>
    <n v="0"/>
    <n v="0"/>
    <n v="0"/>
    <n v="25289"/>
    <n v="0"/>
    <n v="0"/>
    <n v="4"/>
    <n v="0"/>
    <n v="134.8080926193924"/>
    <n v="78.971428571428547"/>
    <n v="1.038985665553682E-4"/>
    <n v="14"/>
    <m/>
    <s v="Kalyanpur"/>
    <m/>
    <n v="0"/>
  </r>
  <r>
    <s v="Munger"/>
    <s v="24-30 Jul"/>
    <n v="1053"/>
    <s v="Kalyanpur"/>
    <x v="656"/>
    <s v="Gomukh Patsara"/>
    <s v="MPG"/>
    <s v="Direct"/>
    <n v="352.35"/>
    <n v="16473.62"/>
    <n v="349.27"/>
    <n v="16409.55"/>
    <n v="1.5300000000000002"/>
    <n v="61.65"/>
    <n v="350.79999999999995"/>
    <n v="16471.2"/>
    <n v="16471.2"/>
    <n v="0"/>
    <n v="61.65"/>
    <n v="0"/>
    <n v="9991"/>
    <n v="0"/>
    <n v="0"/>
    <n v="6419"/>
    <n v="0"/>
    <n v="0"/>
    <n v="2"/>
    <n v="0"/>
    <n v="325.07756452391084"/>
    <n v="50.335714285714289"/>
    <n v="1.4690153105378502E-4"/>
    <n v="6"/>
    <m/>
    <s v="Kalyanpur"/>
    <m/>
    <n v="0"/>
  </r>
  <r>
    <s v="Munger"/>
    <s v="24-30 Jul"/>
    <n v="1053"/>
    <s v="Kalyanpur"/>
    <x v="657"/>
    <s v="Gomukh Singhiya"/>
    <s v="vlc"/>
    <s v="Indirect"/>
    <n v="6230.1"/>
    <n v="259423.24"/>
    <n v="0"/>
    <n v="0"/>
    <n v="0"/>
    <n v="0"/>
    <n v="0"/>
    <n v="0"/>
    <n v="259423.24"/>
    <n v="0"/>
    <n v="0"/>
    <n v="0"/>
    <n v="0"/>
    <n v="0"/>
    <n v="0"/>
    <n v="0"/>
    <n v="0"/>
    <n v="259423.24"/>
    <n v="0"/>
    <n v="0"/>
    <n v="0"/>
    <n v="0"/>
    <n v="0"/>
    <n v="0"/>
    <m/>
    <s v="Kalyanpur"/>
    <m/>
    <n v="0"/>
  </r>
  <r>
    <s v="Munger"/>
    <s v="24-30 Jul"/>
    <n v="1053"/>
    <s v="Kalyanpur"/>
    <x v="658"/>
    <s v="Gomukh BALHA "/>
    <s v="vlc"/>
    <s v="Indirect"/>
    <n v="3134.4500000000003"/>
    <n v="136904.46000000002"/>
    <n v="0"/>
    <n v="0"/>
    <n v="0"/>
    <n v="0"/>
    <n v="0"/>
    <n v="0"/>
    <n v="136904.46000000002"/>
    <n v="0"/>
    <n v="0"/>
    <n v="0"/>
    <n v="0"/>
    <n v="0"/>
    <n v="0"/>
    <n v="0"/>
    <n v="0"/>
    <n v="136904.46000000002"/>
    <n v="0"/>
    <n v="0"/>
    <n v="0"/>
    <n v="0"/>
    <n v="0"/>
    <n v="0"/>
    <m/>
    <s v="Kalyanpur"/>
    <m/>
    <n v="0"/>
  </r>
  <r>
    <s v="Munger"/>
    <s v="24-30 Jul"/>
    <n v="1053"/>
    <s v="Kalyanpur"/>
    <x v="659"/>
    <s v="Gomukh Namapur 2"/>
    <s v="vlc"/>
    <s v="Indirect"/>
    <n v="2375.6999999999998"/>
    <n v="93195.589999999982"/>
    <n v="0"/>
    <n v="0"/>
    <n v="0"/>
    <n v="0"/>
    <n v="0"/>
    <n v="0"/>
    <n v="93195.589999999982"/>
    <n v="0"/>
    <n v="0"/>
    <n v="0"/>
    <n v="0"/>
    <n v="0"/>
    <n v="0"/>
    <n v="0"/>
    <n v="0"/>
    <n v="93195.589999999982"/>
    <n v="0"/>
    <n v="0"/>
    <n v="0"/>
    <n v="0"/>
    <n v="0"/>
    <n v="0"/>
    <m/>
    <s v="Kalyanpur"/>
    <m/>
    <n v="0"/>
  </r>
  <r>
    <s v="Munger"/>
    <s v="24-30 Jul"/>
    <n v="1053"/>
    <s v="Kalyanpur"/>
    <x v="660"/>
    <s v="Gomukh Madhopur"/>
    <s v="vlc"/>
    <s v="Indirect"/>
    <n v="651.15000000000009"/>
    <n v="28462.239999999998"/>
    <n v="0"/>
    <n v="0"/>
    <n v="0"/>
    <n v="0"/>
    <n v="0"/>
    <n v="0"/>
    <n v="28462.239999999998"/>
    <n v="0"/>
    <n v="0"/>
    <n v="0"/>
    <n v="0"/>
    <n v="0"/>
    <n v="0"/>
    <n v="0"/>
    <n v="0"/>
    <n v="28462.239999999998"/>
    <n v="0"/>
    <n v="0"/>
    <n v="42.705380449973021"/>
    <n v="93.021428571428586"/>
    <n v="0"/>
    <n v="0"/>
    <m/>
    <s v="Kalyanpur"/>
    <m/>
    <n v="0"/>
  </r>
  <r>
    <s v="Munger"/>
    <s v="24-30 Jul"/>
    <n v="1053"/>
    <s v="Kalyanpur"/>
    <x v="661"/>
    <s v="Gomukh Kalyanpur East"/>
    <s v="vlc"/>
    <s v="Indirect"/>
    <n v="867.15"/>
    <n v="36287.81"/>
    <n v="0"/>
    <n v="0"/>
    <n v="0"/>
    <n v="0"/>
    <n v="0"/>
    <n v="0"/>
    <n v="36287.81"/>
    <n v="0"/>
    <n v="0"/>
    <n v="0"/>
    <n v="0"/>
    <n v="0"/>
    <n v="0"/>
    <n v="0"/>
    <n v="0"/>
    <n v="36287.81"/>
    <n v="0"/>
    <n v="0"/>
    <n v="0"/>
    <n v="0"/>
    <n v="0"/>
    <n v="0"/>
    <m/>
    <s v="Kalyanpur"/>
    <m/>
    <n v="0"/>
  </r>
  <r>
    <s v="Munger"/>
    <s v="24-30 Jul"/>
    <n v="1053"/>
    <s v="Kalyanpur"/>
    <x v="662"/>
    <s v="Gomukh Bazidpur"/>
    <s v="vlc"/>
    <s v="Indirect"/>
    <n v="2743.7499999999995"/>
    <n v="124055.01000000001"/>
    <n v="0"/>
    <n v="0"/>
    <n v="0"/>
    <n v="0"/>
    <n v="0"/>
    <n v="0"/>
    <n v="124055.01000000001"/>
    <n v="0"/>
    <n v="0"/>
    <n v="0"/>
    <n v="7750"/>
    <n v="0"/>
    <n v="0"/>
    <n v="0"/>
    <n v="0"/>
    <n v="116305.01000000001"/>
    <n v="0"/>
    <n v="0"/>
    <n v="0"/>
    <n v="0"/>
    <n v="0"/>
    <n v="0"/>
    <m/>
    <s v="Kalyanpur"/>
    <m/>
    <n v="0"/>
  </r>
  <r>
    <s v="Munger"/>
    <s v="24-30 Jul"/>
    <n v="1053"/>
    <s v="Kalyanpur"/>
    <x v="663"/>
    <s v="Gomukh Belsandi"/>
    <s v="vlc"/>
    <s v="Indirect"/>
    <n v="1139.4000000000001"/>
    <n v="47587.78"/>
    <n v="0"/>
    <n v="0"/>
    <n v="0"/>
    <n v="0"/>
    <n v="0"/>
    <n v="0"/>
    <n v="47587.78"/>
    <n v="0"/>
    <n v="0"/>
    <n v="0"/>
    <n v="1400"/>
    <n v="0"/>
    <n v="0"/>
    <n v="0"/>
    <n v="0"/>
    <n v="46187.78"/>
    <n v="0"/>
    <n v="0"/>
    <n v="0"/>
    <n v="0"/>
    <n v="0"/>
    <n v="0"/>
    <m/>
    <s v="Kalyanpur"/>
    <m/>
    <n v="0"/>
  </r>
  <r>
    <s v="Munger"/>
    <s v="24-30 Jul"/>
    <n v="1053"/>
    <s v="Kalyanpur"/>
    <x v="984"/>
    <s v="Gomukh Namapur Ward 8"/>
    <s v="vlc"/>
    <s v="Indirect"/>
    <n v="987.10000000000014"/>
    <n v="41107.409999999996"/>
    <n v="0"/>
    <n v="0"/>
    <n v="0"/>
    <n v="0"/>
    <n v="0"/>
    <n v="0"/>
    <n v="41107.409999999996"/>
    <n v="0"/>
    <n v="0"/>
    <n v="0"/>
    <n v="0"/>
    <n v="0"/>
    <n v="0"/>
    <n v="0"/>
    <n v="0"/>
    <n v="41107.409999999996"/>
    <n v="0"/>
    <n v="0"/>
    <n v="0"/>
    <n v="0"/>
    <n v="0"/>
    <n v="0"/>
    <m/>
    <s v="Kalyanpur"/>
    <m/>
    <n v="0"/>
  </r>
  <r>
    <s v="Munger"/>
    <s v="24-30 Jul"/>
    <n v="1053"/>
    <s v="Kalyanpur"/>
    <x v="664"/>
    <s v="Belsandi"/>
    <s v="vlc"/>
    <s v="Indirect"/>
    <n v="519.85"/>
    <n v="23768.83"/>
    <n v="0"/>
    <n v="0"/>
    <n v="0"/>
    <n v="0"/>
    <n v="0"/>
    <n v="0"/>
    <n v="23768.83"/>
    <n v="0"/>
    <n v="0"/>
    <n v="0"/>
    <n v="0"/>
    <n v="0"/>
    <n v="0"/>
    <n v="0"/>
    <n v="0"/>
    <n v="23768.83"/>
    <n v="0"/>
    <n v="0"/>
    <n v="164.7380869289218"/>
    <n v="74.26428571428572"/>
    <n v="0"/>
    <n v="0"/>
    <m/>
    <s v="Kalyanpur"/>
    <m/>
    <n v="0"/>
  </r>
  <r>
    <s v="Munger"/>
    <s v="24-30 Jul"/>
    <n v="1053"/>
    <s v="Kalyanpur"/>
    <x v="665"/>
    <s v="Gomukh Belsandi East"/>
    <s v="vlc"/>
    <s v="Indirect"/>
    <n v="653.35000000000014"/>
    <n v="31232.849999999991"/>
    <n v="0"/>
    <n v="0"/>
    <n v="0"/>
    <n v="0"/>
    <n v="0"/>
    <n v="0"/>
    <n v="31232.849999999991"/>
    <n v="0"/>
    <n v="0"/>
    <n v="0"/>
    <n v="0"/>
    <n v="0"/>
    <n v="0"/>
    <n v="0"/>
    <n v="0"/>
    <n v="31232.849999999991"/>
    <n v="0"/>
    <n v="0"/>
    <n v="44.601284227443038"/>
    <n v="93.335714285714303"/>
    <n v="0"/>
    <n v="0"/>
    <m/>
    <s v="Kalyanpur"/>
    <m/>
    <n v="0"/>
  </r>
  <r>
    <s v="Munger"/>
    <s v="24-30 Jul"/>
    <n v="1053"/>
    <s v="Kalyanpur"/>
    <x v="666"/>
    <s v="Gomukh Belsandi West Tola"/>
    <s v="vlc"/>
    <s v="Indirect"/>
    <n v="335.6"/>
    <n v="13641.040000000003"/>
    <n v="0"/>
    <n v="0"/>
    <n v="0"/>
    <n v="0"/>
    <n v="0"/>
    <n v="0"/>
    <n v="13641.040000000003"/>
    <n v="0"/>
    <n v="0"/>
    <n v="0"/>
    <n v="0"/>
    <n v="0"/>
    <n v="0"/>
    <n v="0"/>
    <n v="0"/>
    <n v="13641.040000000003"/>
    <n v="0"/>
    <n v="0"/>
    <n v="296.2333120381407"/>
    <n v="47.942857142857143"/>
    <n v="0"/>
    <n v="0"/>
    <m/>
    <s v="Kalyanpur"/>
    <m/>
    <n v="0"/>
  </r>
  <r>
    <s v="Munger"/>
    <s v="24-30 Jul"/>
    <n v="1053"/>
    <s v="Kalyanpur"/>
    <x v="667"/>
    <s v="Gomukh Gopalpur"/>
    <s v="vlc"/>
    <s v="Indirect"/>
    <n v="3441.7000000000003"/>
    <n v="145874.81000000003"/>
    <n v="0"/>
    <n v="0"/>
    <n v="0"/>
    <n v="0"/>
    <n v="0"/>
    <n v="0"/>
    <n v="145874.81000000003"/>
    <n v="0"/>
    <n v="0"/>
    <n v="0"/>
    <n v="0"/>
    <n v="0"/>
    <n v="0"/>
    <n v="0"/>
    <n v="0"/>
    <n v="145874.81000000003"/>
    <n v="0"/>
    <n v="0"/>
    <n v="0"/>
    <n v="0"/>
    <n v="0"/>
    <n v="0"/>
    <m/>
    <s v="Kalyanpur"/>
    <m/>
    <n v="0"/>
  </r>
  <r>
    <s v="Munger"/>
    <s v="24-30 Jul"/>
    <n v="1053"/>
    <s v="Kalyanpur"/>
    <x v="668"/>
    <s v="Gomukh Bharav"/>
    <s v="MPG"/>
    <s v="Direct"/>
    <n v="815.99999999999989"/>
    <n v="41269.83"/>
    <n v="819.76"/>
    <n v="40169.339999999989"/>
    <n v="20.88"/>
    <n v="1071.6199999999999"/>
    <n v="840.64"/>
    <n v="41240.959999999992"/>
    <n v="41240.959999999992"/>
    <n v="0"/>
    <n v="1071.6199999999999"/>
    <n v="0"/>
    <n v="1442"/>
    <n v="0"/>
    <n v="0"/>
    <n v="38726"/>
    <n v="0"/>
    <n v="0"/>
    <n v="30"/>
    <n v="0"/>
    <n v="0"/>
    <n v="0"/>
    <n v="6.9954249872146055E-4"/>
    <n v="28"/>
    <m/>
    <s v="Kalyanpur"/>
    <m/>
    <n v="0"/>
  </r>
  <r>
    <s v="Munger"/>
    <s v="24-30 Jul"/>
    <n v="1053"/>
    <s v="Kalyanpur"/>
    <x v="669"/>
    <s v="Gomukh Harpur"/>
    <s v="MPG"/>
    <s v="Direct"/>
    <n v="792.50000000000011"/>
    <n v="36489.619999999995"/>
    <n v="787.00000000000011"/>
    <n v="35661.879999999997"/>
    <n v="13.44"/>
    <n v="592.94000000000005"/>
    <n v="800.44000000000017"/>
    <n v="36254.82"/>
    <n v="36254.82"/>
    <n v="0"/>
    <n v="592.94000000000005"/>
    <n v="0"/>
    <n v="3108"/>
    <n v="0"/>
    <n v="0"/>
    <n v="32554"/>
    <n v="0"/>
    <n v="0"/>
    <n v="235"/>
    <n v="0"/>
    <n v="0"/>
    <n v="0"/>
    <n v="6.4347066371202456E-3"/>
    <n v="23"/>
    <m/>
    <s v="Kalyanpur"/>
    <m/>
    <n v="0"/>
  </r>
  <r>
    <s v="Munger"/>
    <s v="24-30 Jul"/>
    <n v="1053"/>
    <s v="Kalyanpur"/>
    <x v="670"/>
    <s v="Gomukh Fulhatta"/>
    <s v="MPG"/>
    <s v="Direct"/>
    <n v="2120.2000000000003"/>
    <n v="110865.69"/>
    <n v="2122.2000000000007"/>
    <n v="110861.68999999997"/>
    <n v="0"/>
    <n v="0"/>
    <n v="2122.2000000000007"/>
    <n v="110861.68999999997"/>
    <n v="110861.68999999997"/>
    <n v="0"/>
    <n v="0"/>
    <n v="0"/>
    <n v="0"/>
    <n v="0"/>
    <n v="0"/>
    <n v="110860"/>
    <n v="0"/>
    <n v="0"/>
    <n v="6"/>
    <n v="0"/>
    <n v="0"/>
    <n v="0"/>
    <n v="3.6079692464179887E-5"/>
    <n v="52"/>
    <m/>
    <s v="Kalyanpur"/>
    <m/>
    <n v="0"/>
  </r>
  <r>
    <s v="Munger"/>
    <s v="24-30 Jul"/>
    <n v="1053"/>
    <s v="Kalyanpur"/>
    <x v="671"/>
    <s v="Gomukh Birauli Khurd"/>
    <s v="MPG"/>
    <s v="Direct"/>
    <n v="820.60000000000014"/>
    <n v="41022.590000000011"/>
    <n v="829.34999999999991"/>
    <n v="39305.859999999993"/>
    <n v="36.910000000000011"/>
    <n v="1664.6899999999996"/>
    <n v="866.25999999999988"/>
    <n v="40970.549999999996"/>
    <n v="40970.549999999996"/>
    <n v="0"/>
    <n v="1664.6899999999996"/>
    <n v="0"/>
    <n v="0"/>
    <n v="0"/>
    <n v="0"/>
    <n v="39305"/>
    <n v="0"/>
    <n v="0"/>
    <n v="53"/>
    <n v="0"/>
    <n v="0"/>
    <n v="0"/>
    <n v="1.2685693419166224E-3"/>
    <n v="21"/>
    <m/>
    <s v="Kalyanpur"/>
    <m/>
    <n v="0"/>
  </r>
  <r>
    <s v="Munger"/>
    <s v="24-30 Jul"/>
    <n v="1053"/>
    <s v="Kalyanpur"/>
    <x v="672"/>
    <s v="Gomukh Bedauliya"/>
    <s v="vlc"/>
    <s v="Indirect"/>
    <n v="512.94999999999993"/>
    <n v="23804.95"/>
    <n v="0"/>
    <n v="0"/>
    <n v="0"/>
    <n v="0"/>
    <n v="0"/>
    <n v="0"/>
    <n v="23804.95"/>
    <n v="0"/>
    <n v="0"/>
    <n v="0"/>
    <n v="0"/>
    <n v="0"/>
    <n v="0"/>
    <n v="0"/>
    <n v="0"/>
    <n v="23804.95"/>
    <n v="0"/>
    <n v="0"/>
    <n v="173.61208295155478"/>
    <n v="73.278571428571425"/>
    <n v="0"/>
    <n v="0"/>
    <m/>
    <s v="Kalyanpur"/>
    <m/>
    <n v="0"/>
  </r>
  <r>
    <s v="Munger"/>
    <s v="24-30 Jul"/>
    <n v="1053"/>
    <s v="Kalyanpur"/>
    <x v="673"/>
    <s v="Gomukh Khanua"/>
    <s v="MPG"/>
    <s v="Direct"/>
    <n v="512.85"/>
    <n v="25516.100000000002"/>
    <n v="505.61"/>
    <n v="24316.889999999996"/>
    <n v="25.29"/>
    <n v="1171.8400000000001"/>
    <n v="530.9"/>
    <n v="25488.729999999996"/>
    <n v="25488.729999999996"/>
    <n v="0"/>
    <n v="1171.8400000000001"/>
    <n v="0"/>
    <n v="0"/>
    <n v="0"/>
    <n v="0"/>
    <n v="24315"/>
    <n v="0"/>
    <n v="0"/>
    <n v="29"/>
    <n v="0"/>
    <n v="186.2274784049917"/>
    <n v="73.26428571428572"/>
    <n v="1.0726560877252502E-3"/>
    <n v="22"/>
    <m/>
    <s v="Kalyanpur"/>
    <m/>
    <n v="0"/>
  </r>
  <r>
    <s v="Munger"/>
    <s v="24-30 Jul"/>
    <n v="1053"/>
    <s v="Kalyanpur"/>
    <x v="674"/>
    <s v="Gomukh Punas"/>
    <s v="MPG"/>
    <s v="Direct"/>
    <n v="1375.0500000000002"/>
    <n v="64961.67"/>
    <n v="1365.4899999999996"/>
    <n v="63680.829999999987"/>
    <n v="15.959999999999999"/>
    <n v="744.14999999999986"/>
    <n v="1381.4499999999996"/>
    <n v="64424.979999999989"/>
    <n v="64424.979999999989"/>
    <n v="0"/>
    <n v="744.14999999999986"/>
    <n v="0"/>
    <n v="0"/>
    <n v="0"/>
    <n v="0"/>
    <n v="63679"/>
    <n v="0"/>
    <n v="0"/>
    <n v="539"/>
    <n v="0"/>
    <n v="0"/>
    <n v="0"/>
    <n v="8.2616410569495771E-3"/>
    <n v="28"/>
    <m/>
    <s v="Kalyanpur"/>
    <m/>
    <n v="0"/>
  </r>
  <r>
    <s v="Munger"/>
    <s v="24-30 Jul"/>
    <n v="1053"/>
    <s v="Kalyanpur"/>
    <x v="675"/>
    <s v="Gomukh Loharkha"/>
    <s v="MPG"/>
    <s v="Direct"/>
    <n v="351.95"/>
    <n v="16942.009999999998"/>
    <n v="329.95"/>
    <n v="16937.050000000003"/>
    <n v="0"/>
    <n v="0"/>
    <n v="329.95"/>
    <n v="16937.050000000003"/>
    <n v="16937.050000000003"/>
    <n v="0"/>
    <n v="0"/>
    <n v="0"/>
    <n v="0"/>
    <n v="0"/>
    <n v="0"/>
    <n v="16935"/>
    <n v="0"/>
    <n v="0"/>
    <n v="7"/>
    <n v="0"/>
    <n v="335.08547126012212"/>
    <n v="50.278571428571425"/>
    <n v="2.9276337341292382E-4"/>
    <n v="13"/>
    <m/>
    <s v="Kalyanpur"/>
    <m/>
    <n v="0"/>
  </r>
  <r>
    <s v="Munger"/>
    <s v="24-30 Jul"/>
    <n v="1053"/>
    <s v="Kalyanpur"/>
    <x v="676"/>
    <s v="Gomukh Dighra"/>
    <s v="MPG"/>
    <s v="Direct"/>
    <n v="305.54999999999995"/>
    <n v="11250.630000000001"/>
    <n v="293.10000000000008"/>
    <n v="10952.75"/>
    <n v="7.51"/>
    <n v="294.51"/>
    <n v="300.61000000000007"/>
    <n v="11247.26"/>
    <n v="11247.26"/>
    <n v="0"/>
    <n v="294.51"/>
    <n v="0"/>
    <n v="0"/>
    <n v="0"/>
    <n v="0"/>
    <n v="10952"/>
    <n v="0"/>
    <n v="0"/>
    <n v="4"/>
    <n v="0"/>
    <n v="290.48018350515474"/>
    <n v="43.649999999999991"/>
    <n v="2.9953878138386919E-4"/>
    <n v="5"/>
    <m/>
    <s v="Kalyanpur"/>
    <m/>
    <n v="0"/>
  </r>
  <r>
    <s v="Munger"/>
    <s v="24-30 Jul"/>
    <n v="1053"/>
    <s v="Kalyanpur"/>
    <x v="677"/>
    <s v="Basuwari"/>
    <s v="MPG"/>
    <s v="Direct"/>
    <n v="307.25000000000006"/>
    <n v="12970.649999999998"/>
    <n v="301.17"/>
    <n v="12501.829999999998"/>
    <n v="9.77"/>
    <n v="427.35999999999996"/>
    <n v="310.94"/>
    <n v="12929.189999999999"/>
    <n v="12929.189999999999"/>
    <n v="0"/>
    <n v="427.35999999999996"/>
    <n v="0"/>
    <n v="1400"/>
    <n v="0"/>
    <n v="0"/>
    <n v="11101"/>
    <n v="0"/>
    <n v="0"/>
    <n v="42"/>
    <n v="0"/>
    <n v="331.60115785191192"/>
    <n v="43.892857142857153"/>
    <n v="3.1964473638560237E-3"/>
    <n v="11"/>
    <m/>
    <s v="Kalyanpur"/>
    <m/>
    <n v="0"/>
  </r>
  <r>
    <s v="Munger"/>
    <s v="24-30 Jul"/>
    <n v="1053"/>
    <s v="Kalyanpur"/>
    <x v="678"/>
    <s v="Belsandi 3"/>
    <s v="vlc"/>
    <s v="Indirect"/>
    <n v="2272.35"/>
    <n v="91109.059999999983"/>
    <n v="0"/>
    <n v="0"/>
    <n v="0"/>
    <n v="0"/>
    <n v="0"/>
    <n v="0"/>
    <n v="91109.059999999983"/>
    <n v="0"/>
    <n v="0"/>
    <n v="0"/>
    <n v="0"/>
    <n v="0"/>
    <n v="0"/>
    <n v="0"/>
    <n v="0"/>
    <n v="91109.059999999983"/>
    <n v="0"/>
    <n v="0"/>
    <n v="0"/>
    <n v="0"/>
    <n v="0"/>
    <n v="0"/>
    <m/>
    <s v="Kalyanpur"/>
    <m/>
    <n v="0"/>
  </r>
  <r>
    <s v="Munger"/>
    <s v="24-30 Jul"/>
    <n v="1053"/>
    <s v="Kalyanpur"/>
    <x v="679"/>
    <s v="Gomukh Bhagwanpur"/>
    <s v="vlc"/>
    <s v="Indirect"/>
    <n v="270.5"/>
    <n v="14548.98"/>
    <n v="0"/>
    <n v="0"/>
    <n v="0"/>
    <n v="0"/>
    <n v="0"/>
    <n v="0"/>
    <n v="14548.98"/>
    <n v="0"/>
    <n v="0"/>
    <n v="0"/>
    <n v="0"/>
    <n v="0"/>
    <n v="0"/>
    <n v="0"/>
    <n v="0"/>
    <n v="14548.98"/>
    <n v="0"/>
    <n v="0"/>
    <n v="462.01751645101666"/>
    <n v="38.642857142857146"/>
    <n v="0"/>
    <n v="0"/>
    <m/>
    <s v="Kalyanpur"/>
    <m/>
    <n v="0"/>
  </r>
  <r>
    <s v="Munger"/>
    <s v="24-30 Jul"/>
    <n v="1066"/>
    <s v="Gaighat"/>
    <x v="985"/>
    <s v="Gomukh PARAN"/>
    <s v="vlc"/>
    <s v="Indirect"/>
    <n v="3066.2000000000003"/>
    <n v="123882.29999999999"/>
    <n v="0"/>
    <n v="0"/>
    <n v="0"/>
    <n v="0"/>
    <n v="0"/>
    <n v="0"/>
    <n v="123882.29999999999"/>
    <n v="0"/>
    <n v="0"/>
    <n v="0"/>
    <n v="0"/>
    <n v="0"/>
    <n v="0"/>
    <n v="0"/>
    <n v="0"/>
    <n v="123882.29999999999"/>
    <n v="0"/>
    <n v="0"/>
    <n v="0"/>
    <n v="0"/>
    <n v="0"/>
    <n v="0"/>
    <m/>
    <s v="Gaighat"/>
    <m/>
    <n v="0"/>
  </r>
  <r>
    <s v="Munger"/>
    <s v="24-30 Jul"/>
    <n v="1053"/>
    <s v="Kalyanpur"/>
    <x v="681"/>
    <s v="GOMUKH HARPUR W-13"/>
    <s v="MPG"/>
    <s v="Direct"/>
    <n v="1712.3500000000001"/>
    <n v="72801.03"/>
    <n v="1697.5400000000002"/>
    <n v="71154.689999999988"/>
    <n v="24.78"/>
    <n v="1050.45"/>
    <n v="1722.3200000000002"/>
    <n v="72205.139999999985"/>
    <n v="72205.139999999985"/>
    <n v="0"/>
    <n v="1050.45"/>
    <n v="0"/>
    <n v="5276"/>
    <n v="0"/>
    <n v="0"/>
    <n v="65877"/>
    <n v="0"/>
    <n v="0"/>
    <n v="598"/>
    <n v="0"/>
    <n v="0"/>
    <n v="0"/>
    <n v="8.1851863909070243E-3"/>
    <n v="49"/>
    <m/>
    <s v="Kalyanpur"/>
    <m/>
    <n v="0"/>
  </r>
  <r>
    <s v="Munger"/>
    <s v="24-30 Jul"/>
    <n v="1053"/>
    <s v="Kalyanpur"/>
    <x v="682"/>
    <s v="GOMUKH MILKI"/>
    <s v="vlc"/>
    <s v="Indirect"/>
    <n v="76.2"/>
    <n v="3260.38"/>
    <n v="0"/>
    <n v="0"/>
    <n v="0"/>
    <n v="0"/>
    <n v="0"/>
    <n v="0"/>
    <n v="3260.38"/>
    <n v="0"/>
    <n v="0"/>
    <n v="0"/>
    <n v="0"/>
    <n v="0"/>
    <n v="0"/>
    <n v="0"/>
    <n v="0"/>
    <n v="3260.38"/>
    <n v="0"/>
    <n v="0"/>
    <n v="533.81234750656176"/>
    <n v="10.885714285714286"/>
    <n v="0"/>
    <n v="0"/>
    <m/>
    <s v="Kalyanpur"/>
    <m/>
    <n v="0"/>
  </r>
  <r>
    <s v="Munger"/>
    <s v="24-30 Jul"/>
    <n v="1053"/>
    <s v="Kalyanpur"/>
    <x v="683"/>
    <s v="Gomukh Ratwara"/>
    <s v="MPG"/>
    <s v="Direct"/>
    <n v="112.15"/>
    <n v="4150.0599999999995"/>
    <n v="109.62"/>
    <n v="4147.3"/>
    <n v="0"/>
    <n v="0"/>
    <n v="109.62"/>
    <n v="4147.3"/>
    <n v="4147.3"/>
    <n v="0"/>
    <n v="0"/>
    <n v="0"/>
    <n v="0"/>
    <n v="500"/>
    <n v="0"/>
    <n v="3647"/>
    <n v="0"/>
    <n v="0"/>
    <n v="3"/>
    <s v="Release2"/>
    <n v="435.06246473473027"/>
    <n v="16.021428571428572"/>
    <n v="6.6505062577391872E-4"/>
    <n v="5"/>
    <m/>
    <s v="Kalyanpur"/>
    <m/>
    <n v="500"/>
  </r>
  <r>
    <s v="Munger"/>
    <s v="24-30 Jul"/>
    <n v="1053"/>
    <s v="Kalyanpur"/>
    <x v="684"/>
    <s v="Gomukh Fulhara"/>
    <s v="vlc"/>
    <s v="Indirect"/>
    <n v="1683.1999999999998"/>
    <n v="76244.559999999983"/>
    <n v="0"/>
    <n v="0"/>
    <n v="0"/>
    <n v="0"/>
    <n v="0"/>
    <n v="0"/>
    <n v="76244.559999999983"/>
    <n v="0"/>
    <n v="0"/>
    <n v="0"/>
    <n v="0"/>
    <n v="0"/>
    <n v="0"/>
    <n v="0"/>
    <n v="0"/>
    <n v="76244.559999999983"/>
    <n v="0"/>
    <n v="0"/>
    <n v="0"/>
    <n v="0"/>
    <n v="0"/>
    <n v="0"/>
    <m/>
    <s v="Kalyanpur"/>
    <m/>
    <n v="0"/>
  </r>
  <r>
    <s v="Munger"/>
    <s v="24-30 Jul"/>
    <n v="1053"/>
    <s v="Kalyanpur"/>
    <x v="685"/>
    <s v="Gomukh Ranitola"/>
    <s v="vlc"/>
    <s v="Indirect"/>
    <n v="2242.2999999999997"/>
    <n v="95147.26999999999"/>
    <n v="0"/>
    <n v="0"/>
    <n v="0"/>
    <n v="0"/>
    <n v="0"/>
    <n v="0"/>
    <n v="95147.26999999999"/>
    <n v="0"/>
    <n v="0"/>
    <n v="0"/>
    <n v="0"/>
    <n v="0"/>
    <n v="0"/>
    <n v="0"/>
    <n v="0"/>
    <n v="95147.26999999999"/>
    <n v="0"/>
    <n v="0"/>
    <n v="0"/>
    <n v="0"/>
    <n v="0"/>
    <n v="0"/>
    <m/>
    <s v="Kalyanpur"/>
    <m/>
    <n v="0"/>
  </r>
  <r>
    <s v="Munger"/>
    <s v="24-30 Jul"/>
    <n v="1053"/>
    <s v="Kalyanpur"/>
    <x v="686"/>
    <s v="Gomukh Malinagar East"/>
    <s v="MPG"/>
    <s v="Direct"/>
    <n v="1229.6499999999999"/>
    <n v="54345.520000000004"/>
    <n v="1228.5600000000002"/>
    <n v="53739.360000000008"/>
    <n v="5.9600000000000009"/>
    <n v="291.69"/>
    <n v="1234.5200000000002"/>
    <n v="54031.05000000001"/>
    <n v="54031.05000000001"/>
    <n v="0"/>
    <n v="291.69"/>
    <n v="0"/>
    <n v="0"/>
    <n v="0"/>
    <n v="0"/>
    <n v="53740"/>
    <n v="0"/>
    <n v="0"/>
    <n v="314"/>
    <n v="0"/>
    <n v="0"/>
    <n v="0"/>
    <n v="5.7864935324934575E-3"/>
    <n v="9"/>
    <m/>
    <s v="Kalyanpur"/>
    <m/>
    <n v="0"/>
  </r>
  <r>
    <s v="Munger"/>
    <s v="24-30 Jul"/>
    <n v="1053"/>
    <s v="Kalyanpur"/>
    <x v="687"/>
    <s v="GOMUKH Singhiya Ward 11"/>
    <s v="vlc"/>
    <s v="Indirect"/>
    <n v="247.85"/>
    <n v="12029.869999999999"/>
    <n v="0"/>
    <n v="0"/>
    <n v="0"/>
    <n v="0"/>
    <n v="0"/>
    <n v="0"/>
    <n v="12029.869999999999"/>
    <n v="0"/>
    <n v="0"/>
    <n v="0"/>
    <n v="1650"/>
    <n v="0"/>
    <n v="0"/>
    <n v="0"/>
    <n v="0"/>
    <n v="10379.869999999999"/>
    <n v="0"/>
    <n v="0"/>
    <n v="438.91916243695778"/>
    <n v="35.407142857142858"/>
    <n v="0"/>
    <n v="0"/>
    <m/>
    <s v="Kalyanpur"/>
    <m/>
    <n v="0"/>
  </r>
  <r>
    <s v="Munger"/>
    <s v="24-30 Jul"/>
    <n v="1053"/>
    <s v="Kalyanpur"/>
    <x v="688"/>
    <s v="GOMUKH MANIYARPUR"/>
    <s v="MPG"/>
    <s v="Direct"/>
    <n v="1066.3"/>
    <n v="47363.14"/>
    <n v="1069.6400000000003"/>
    <n v="45699.17"/>
    <n v="34.540000000000006"/>
    <n v="1547.08"/>
    <n v="1104.1800000000003"/>
    <n v="47246.25"/>
    <n v="47246.25"/>
    <n v="0"/>
    <n v="1547.08"/>
    <n v="0"/>
    <n v="4611.5"/>
    <n v="0"/>
    <n v="0"/>
    <n v="41088"/>
    <n v="0"/>
    <n v="0"/>
    <n v="117"/>
    <n v="0"/>
    <n v="0"/>
    <n v="0"/>
    <n v="2.4679529271074388E-3"/>
    <n v="33"/>
    <m/>
    <s v="Kalyanpur"/>
    <m/>
    <n v="0"/>
  </r>
  <r>
    <s v="Munger"/>
    <s v="24-30 Jul"/>
    <n v="1053"/>
    <s v="Kalyanpur"/>
    <x v="689"/>
    <s v="GOMUKH DIGHRA W-6"/>
    <s v="MPG"/>
    <s v="Direct"/>
    <n v="909.75"/>
    <n v="36645.42"/>
    <n v="902.19999999999993"/>
    <n v="36092.29"/>
    <n v="9.85"/>
    <n v="413.48000000000008"/>
    <n v="912.05"/>
    <n v="36505.770000000004"/>
    <n v="36505.770000000004"/>
    <n v="748"/>
    <n v="413.48000000000008"/>
    <n v="0"/>
    <n v="9996.7999999999993"/>
    <n v="0"/>
    <n v="0"/>
    <n v="25346"/>
    <n v="0"/>
    <n v="0"/>
    <n v="141"/>
    <n v="0"/>
    <n v="0"/>
    <n v="0"/>
    <n v="3.8108445748471212E-3"/>
    <n v="9"/>
    <m/>
    <s v="Kalyanpur"/>
    <m/>
    <n v="0"/>
  </r>
  <r>
    <s v="Munger"/>
    <s v="24-30 Jul"/>
    <n v="1053"/>
    <s v="Kalyanpur"/>
    <x v="690"/>
    <s v="GOMUKH BANDRA W-6"/>
    <s v="MPG"/>
    <s v="Direct"/>
    <n v="477.34999999999997"/>
    <n v="22086.91"/>
    <n v="495.01"/>
    <n v="21482.969999999998"/>
    <n v="13.55"/>
    <n v="593.17000000000007"/>
    <n v="508.56"/>
    <n v="22076.14"/>
    <n v="22076.14"/>
    <n v="0"/>
    <n v="593.17000000000007"/>
    <n v="0"/>
    <n v="1550"/>
    <n v="0"/>
    <n v="0"/>
    <n v="19933"/>
    <n v="0"/>
    <n v="0"/>
    <n v="11"/>
    <n v="0"/>
    <n v="206.03961502042532"/>
    <n v="68.192857142857136"/>
    <n v="4.876191373080452E-4"/>
    <n v="20"/>
    <m/>
    <s v="Kalyanpur"/>
    <m/>
    <n v="0"/>
  </r>
  <r>
    <s v="Munger"/>
    <s v="24-30 Jul"/>
    <n v="1066"/>
    <s v="Gaighat"/>
    <x v="691"/>
    <s v="BELSANDI W-9"/>
    <s v="vlc"/>
    <s v="Indirect"/>
    <n v="786.40000000000009"/>
    <n v="33246.730000000003"/>
    <n v="0"/>
    <n v="0"/>
    <n v="0"/>
    <n v="0"/>
    <n v="0"/>
    <n v="0"/>
    <n v="33246.730000000003"/>
    <n v="0"/>
    <n v="0"/>
    <n v="0"/>
    <n v="1400"/>
    <n v="0"/>
    <n v="0"/>
    <n v="0"/>
    <n v="0"/>
    <n v="31846.730000000003"/>
    <n v="0"/>
    <n v="0"/>
    <n v="0"/>
    <n v="0"/>
    <n v="0"/>
    <n v="0"/>
    <m/>
    <s v="Gaighat"/>
    <m/>
    <n v="0"/>
  </r>
  <r>
    <s v="Munger"/>
    <s v="24-30 Jul"/>
    <n v="1053"/>
    <s v="Kalyanpur"/>
    <x v="692"/>
    <s v="GOMUKH PARAN 2"/>
    <s v="MPG"/>
    <s v="Direct"/>
    <n v="353.40000000000003"/>
    <n v="17647.36"/>
    <n v="357.85999999999996"/>
    <n v="17306.66"/>
    <n v="6.7999999999999989"/>
    <n v="338.35000000000008"/>
    <n v="364.65999999999997"/>
    <n v="17645.009999999998"/>
    <n v="17645.009999999998"/>
    <n v="0"/>
    <n v="338.35000000000008"/>
    <n v="0"/>
    <n v="1293"/>
    <n v="500"/>
    <n v="0"/>
    <n v="15516"/>
    <n v="0"/>
    <n v="0"/>
    <n v="0"/>
    <n v="0"/>
    <n v="346.15591262026027"/>
    <n v="50.485714285714288"/>
    <n v="1.3316439399446619E-4"/>
    <n v="15"/>
    <m/>
    <s v="Kalyanpur"/>
    <m/>
    <n v="500"/>
  </r>
  <r>
    <s v="Munger"/>
    <s v="24-30 Jul"/>
    <n v="1053"/>
    <s v="Kalyanpur"/>
    <x v="693"/>
    <s v="GOMUKH KHARAGPUR"/>
    <s v="MPG"/>
    <s v="Direct"/>
    <n v="453.25"/>
    <n v="22379.960000000003"/>
    <n v="458.4799999999999"/>
    <n v="22296.080000000002"/>
    <n v="0"/>
    <n v="0"/>
    <n v="458.4799999999999"/>
    <n v="22296.080000000002"/>
    <n v="22296.080000000002"/>
    <n v="0"/>
    <n v="0"/>
    <n v="0"/>
    <n v="0"/>
    <n v="0"/>
    <n v="0"/>
    <n v="22294"/>
    <n v="0"/>
    <n v="0"/>
    <n v="86"/>
    <n v="0"/>
    <n v="243.67369575289581"/>
    <n v="64.75"/>
    <n v="3.7479959749705098E-3"/>
    <n v="10"/>
    <m/>
    <s v="Kalyanpur"/>
    <m/>
    <n v="0"/>
  </r>
  <r>
    <s v="Munger"/>
    <s v="24-30 Jul"/>
    <n v="1053"/>
    <s v="Kalyanpur"/>
    <x v="694"/>
    <s v="KAMARGAMA"/>
    <s v="vlc"/>
    <s v="Indirect"/>
    <n v="793.19999999999993"/>
    <n v="47734.21"/>
    <n v="0"/>
    <n v="0"/>
    <n v="0"/>
    <n v="0"/>
    <n v="0"/>
    <n v="0"/>
    <n v="47734.21"/>
    <n v="0"/>
    <n v="0"/>
    <n v="0"/>
    <n v="0"/>
    <n v="0"/>
    <n v="0"/>
    <n v="0"/>
    <n v="0"/>
    <n v="47734.21"/>
    <n v="0"/>
    <n v="0"/>
    <n v="0"/>
    <n v="0"/>
    <n v="0"/>
    <n v="0"/>
    <m/>
    <s v="Kalyanpur"/>
    <m/>
    <n v="0"/>
  </r>
  <r>
    <s v="Munger"/>
    <s v="24-30 Jul"/>
    <n v="1053"/>
    <s v="Kalyanpur"/>
    <x v="695"/>
    <s v="GOMUKH BALAHA W-9"/>
    <s v="MPG"/>
    <s v="Direct"/>
    <n v="845.25"/>
    <n v="35629.370000000003"/>
    <n v="832.27"/>
    <n v="35013.93"/>
    <n v="14.740000000000004"/>
    <n v="611.97"/>
    <n v="847.01"/>
    <n v="35625.9"/>
    <n v="35625.9"/>
    <n v="0"/>
    <n v="611.97"/>
    <n v="0"/>
    <n v="0"/>
    <n v="0"/>
    <n v="0"/>
    <n v="35014"/>
    <n v="0"/>
    <n v="0"/>
    <n v="3"/>
    <n v="0"/>
    <n v="0"/>
    <n v="0"/>
    <n v="9.7391562073681452E-5"/>
    <n v="23"/>
    <m/>
    <s v="Kalyanpur"/>
    <m/>
    <n v="0"/>
  </r>
  <r>
    <s v="Munger"/>
    <s v="24-30 Jul"/>
    <n v="1053"/>
    <s v="Kalyanpur"/>
    <x v="697"/>
    <s v="GOMUKH Madanpur W-3"/>
    <s v="MPG"/>
    <s v="Direct"/>
    <n v="2505.9499999999998"/>
    <n v="122228.6"/>
    <n v="2512.7700000000004"/>
    <n v="120480.32000000002"/>
    <n v="30.26"/>
    <n v="1377.2700000000002"/>
    <n v="2543.0300000000007"/>
    <n v="121857.59000000003"/>
    <n v="121857.59000000003"/>
    <n v="0"/>
    <n v="1377.2700000000002"/>
    <n v="0"/>
    <n v="9400"/>
    <n v="0"/>
    <n v="0"/>
    <n v="111077"/>
    <n v="0"/>
    <n v="0"/>
    <n v="374"/>
    <n v="0"/>
    <n v="0"/>
    <n v="0"/>
    <n v="3.0353779720947486E-3"/>
    <n v="50"/>
    <m/>
    <s v="Kalyanpur"/>
    <m/>
    <n v="0"/>
  </r>
  <r>
    <s v="Munger"/>
    <s v="24-30 Jul"/>
    <n v="1053"/>
    <s v="Kalyanpur"/>
    <x v="698"/>
    <s v="Gomukh Namapur East (08)"/>
    <s v="vlc"/>
    <s v="Indirect"/>
    <n v="935.90000000000009"/>
    <n v="38358.1"/>
    <n v="0"/>
    <n v="0"/>
    <n v="0"/>
    <n v="0"/>
    <n v="0"/>
    <n v="0"/>
    <n v="38358.1"/>
    <n v="0"/>
    <n v="0"/>
    <n v="0"/>
    <n v="0"/>
    <n v="0"/>
    <n v="0"/>
    <n v="0"/>
    <n v="0"/>
    <n v="38358.1"/>
    <n v="0"/>
    <n v="0"/>
    <n v="0"/>
    <n v="0"/>
    <n v="0"/>
    <n v="0"/>
    <m/>
    <s v="Kalyanpur"/>
    <m/>
    <n v="0"/>
  </r>
  <r>
    <s v="Munger"/>
    <s v="24-30 Jul"/>
    <n v="1053"/>
    <s v="Kalyanpur"/>
    <x v="699"/>
    <s v="GOMUKH Kalaunjar"/>
    <s v="MPG"/>
    <s v="Direct"/>
    <n v="954.65"/>
    <n v="41139.81"/>
    <n v="943.79999999999973"/>
    <n v="39900.189999999995"/>
    <n v="26.860000000000003"/>
    <n v="1203.32"/>
    <n v="970.65999999999974"/>
    <n v="41103.509999999995"/>
    <n v="41103.509999999995"/>
    <n v="0"/>
    <n v="1203.32"/>
    <n v="0"/>
    <n v="853"/>
    <n v="0"/>
    <n v="0"/>
    <n v="39051"/>
    <n v="0"/>
    <n v="0"/>
    <n v="32"/>
    <n v="0"/>
    <n v="0"/>
    <n v="0"/>
    <n v="8.8235701623325222E-4"/>
    <n v="19"/>
    <m/>
    <s v="Kalyanpur"/>
    <m/>
    <n v="0"/>
  </r>
  <r>
    <s v="Munger"/>
    <s v="24-30 Jul"/>
    <n v="1053"/>
    <s v="Kalyanpur"/>
    <x v="700"/>
    <s v="Jitwariya W-11"/>
    <s v="vlc"/>
    <s v="Indirect"/>
    <n v="109.50000000000001"/>
    <n v="5481.41"/>
    <n v="0"/>
    <n v="0"/>
    <n v="0"/>
    <n v="0"/>
    <n v="0"/>
    <n v="0"/>
    <n v="5481.41"/>
    <n v="0"/>
    <n v="0"/>
    <n v="0"/>
    <n v="0"/>
    <n v="0"/>
    <n v="0"/>
    <n v="0"/>
    <n v="0"/>
    <n v="5481.41"/>
    <n v="0"/>
    <n v="0"/>
    <n v="591.19134337899527"/>
    <n v="15.642857142857144"/>
    <n v="0"/>
    <n v="0"/>
    <m/>
    <s v="Kalyanpur"/>
    <m/>
    <n v="0"/>
  </r>
  <r>
    <s v="Munger"/>
    <s v="24-30 Jul"/>
    <n v="1053"/>
    <s v="Kalyanpur"/>
    <x v="701"/>
    <s v="Pastara Lakshman"/>
    <s v="vlc"/>
    <s v="Indirect"/>
    <n v="124.25000000000001"/>
    <n v="4311.99"/>
    <n v="0"/>
    <n v="0"/>
    <n v="0"/>
    <n v="0"/>
    <n v="0"/>
    <n v="0"/>
    <n v="4311.99"/>
    <n v="0"/>
    <n v="0"/>
    <n v="0"/>
    <n v="0"/>
    <n v="0"/>
    <n v="0"/>
    <n v="0"/>
    <n v="0"/>
    <n v="4311.99"/>
    <n v="0"/>
    <n v="0"/>
    <n v="399.61822816901395"/>
    <n v="17.750000000000004"/>
    <n v="0"/>
    <n v="0"/>
    <m/>
    <s v="Kalyanpur"/>
    <m/>
    <n v="0"/>
  </r>
  <r>
    <s v="Munger"/>
    <s v="24-30 Jul"/>
    <n v="1053"/>
    <s v="Kalyanpur"/>
    <x v="702"/>
    <s v="GOMUKH DADHIYA-2"/>
    <s v="MPG"/>
    <s v="Direct"/>
    <n v="1507.7499999999995"/>
    <n v="66378.049999999988"/>
    <n v="1518.75"/>
    <n v="64803.459999999985"/>
    <n v="20.329999999999998"/>
    <n v="898.48"/>
    <n v="1539.08"/>
    <n v="65701.939999999988"/>
    <n v="65701.939999999988"/>
    <n v="0"/>
    <n v="898.48"/>
    <n v="0"/>
    <n v="0"/>
    <n v="0"/>
    <n v="0"/>
    <n v="64805"/>
    <n v="0"/>
    <n v="0"/>
    <n v="675"/>
    <n v="0"/>
    <n v="0"/>
    <n v="0"/>
    <n v="1.0185746643657062E-2"/>
    <n v="40"/>
    <m/>
    <s v="Kalyanpur"/>
    <m/>
    <n v="0"/>
  </r>
  <r>
    <s v="Munger"/>
    <s v="24-30 Jul"/>
    <n v="1053"/>
    <s v="Kalyanpur"/>
    <x v="703"/>
    <s v="GOMUKH PREMNAGAR"/>
    <s v="MPG"/>
    <s v="Direct"/>
    <n v="1157.7000000000003"/>
    <n v="47968.830000000009"/>
    <n v="1130.8899999999999"/>
    <n v="47686.819999999985"/>
    <n v="6.4899999999999993"/>
    <n v="279"/>
    <n v="1137.3799999999999"/>
    <n v="47965.819999999985"/>
    <n v="47965.819999999985"/>
    <n v="0"/>
    <n v="182.82"/>
    <n v="0"/>
    <n v="4204"/>
    <n v="0"/>
    <n v="0"/>
    <n v="43484"/>
    <n v="96"/>
    <n v="0"/>
    <n v="2"/>
    <n v="0"/>
    <n v="0"/>
    <n v="0"/>
    <n v="6.2749081018316776E-5"/>
    <n v="30"/>
    <m/>
    <s v="Kalyanpur"/>
    <m/>
    <n v="0"/>
  </r>
  <r>
    <s v="Munger"/>
    <s v="24-30 Jul"/>
    <n v="1053"/>
    <s v="Kalyanpur"/>
    <x v="704"/>
    <s v="GOMUKH JITWARIYA W-6"/>
    <s v="MPG"/>
    <s v="Direct"/>
    <n v="2415"/>
    <n v="100089.66000000003"/>
    <n v="2419.6800000000007"/>
    <n v="98249.49000000002"/>
    <n v="43.449999999999996"/>
    <n v="1797.7800000000002"/>
    <n v="2463.1300000000006"/>
    <n v="100047.27000000002"/>
    <n v="100047.27000000002"/>
    <n v="0"/>
    <n v="1797.7800000000002"/>
    <n v="0"/>
    <n v="3910"/>
    <n v="0"/>
    <n v="0"/>
    <n v="94344"/>
    <n v="0"/>
    <n v="0"/>
    <n v="38"/>
    <n v="0"/>
    <n v="0"/>
    <n v="0"/>
    <n v="4.2352027172451136E-4"/>
    <n v="49"/>
    <m/>
    <s v="Kalyanpur"/>
    <m/>
    <n v="0"/>
  </r>
  <r>
    <s v="Munger"/>
    <s v="24-30 Jul"/>
    <n v="1053"/>
    <s v="Kalyanpur"/>
    <x v="705"/>
    <s v="GOMUKH SUSTA"/>
    <s v="MPG"/>
    <s v="Direct"/>
    <n v="597.20000000000005"/>
    <n v="28066.549999999996"/>
    <n v="608.92000000000007"/>
    <n v="27413.99"/>
    <n v="12"/>
    <n v="638.04"/>
    <n v="620.92000000000007"/>
    <n v="28052.030000000002"/>
    <n v="28052.030000000002"/>
    <n v="0"/>
    <n v="638.04"/>
    <n v="0"/>
    <n v="725"/>
    <n v="0"/>
    <n v="0"/>
    <n v="26692"/>
    <n v="0"/>
    <n v="0"/>
    <n v="12"/>
    <n v="0"/>
    <n v="96.625630944407206"/>
    <n v="85.314285714285717"/>
    <n v="5.173418179289283E-4"/>
    <n v="17"/>
    <m/>
    <s v="Kalyanpur"/>
    <m/>
    <n v="0"/>
  </r>
  <r>
    <s v="Munger"/>
    <s v="24-30 Jul"/>
    <n v="1012"/>
    <s v="DalsinghSarai"/>
    <x v="707"/>
    <s v="BHATGAMA W-5"/>
    <s v="vlc"/>
    <s v="Indirect"/>
    <n v="448.59999999999991"/>
    <n v="14422.87"/>
    <n v="0"/>
    <n v="0"/>
    <n v="0"/>
    <n v="0"/>
    <n v="0"/>
    <n v="0"/>
    <n v="14422.87"/>
    <n v="0"/>
    <n v="0"/>
    <n v="0"/>
    <n v="0"/>
    <n v="0"/>
    <n v="0"/>
    <n v="0"/>
    <n v="0"/>
    <n v="14422.87"/>
    <n v="0"/>
    <n v="0"/>
    <n v="161.65445911725379"/>
    <n v="64.085714285714275"/>
    <n v="0"/>
    <n v="0"/>
    <m/>
    <s v="DalsinghSarai"/>
    <m/>
    <n v="0"/>
  </r>
  <r>
    <s v="Munger"/>
    <s v="24-30 Jul"/>
    <n v="1053"/>
    <s v="Kalyanpur"/>
    <x v="708"/>
    <s v="GOMUKH TOKE"/>
    <s v="MPG"/>
    <s v="Direct"/>
    <n v="59.5"/>
    <n v="2641.3099999999995"/>
    <n v="58.600000000000009"/>
    <n v="2560.27"/>
    <n v="0"/>
    <n v="0"/>
    <n v="58.600000000000009"/>
    <n v="2560.27"/>
    <n v="2560.27"/>
    <n v="0"/>
    <n v="0"/>
    <n v="0"/>
    <n v="0"/>
    <n v="0"/>
    <n v="0"/>
    <n v="2560"/>
    <n v="0"/>
    <n v="0"/>
    <n v="81"/>
    <n v="0"/>
    <n v="568.65850588235287"/>
    <n v="8.5"/>
    <n v="3.0681745043179151E-2"/>
    <n v="6"/>
    <m/>
    <s v="Kalyanpur"/>
    <m/>
    <n v="0"/>
  </r>
  <r>
    <s v="Munger"/>
    <s v="24-30 Jul"/>
    <n v="1053"/>
    <s v="Kalyanpur"/>
    <x v="709"/>
    <s v="GOMUKH SHIVNAGAR"/>
    <s v="MPG"/>
    <s v="Direct"/>
    <n v="1051.1000000000001"/>
    <n v="44067"/>
    <n v="848.76999999999987"/>
    <n v="34680.969999999994"/>
    <n v="200.2"/>
    <n v="9768.11"/>
    <n v="1048.9699999999998"/>
    <n v="44449.079999999994"/>
    <n v="44067"/>
    <n v="0"/>
    <n v="0"/>
    <n v="382.07999999999447"/>
    <n v="0"/>
    <n v="0"/>
    <n v="0"/>
    <n v="34300"/>
    <n v="9767"/>
    <n v="0"/>
    <n v="0"/>
    <n v="0"/>
    <n v="0"/>
    <n v="0"/>
    <n v="-8.6704336578390731E-3"/>
    <n v="18"/>
    <m/>
    <s v="Kalyanpur"/>
    <m/>
    <n v="0"/>
  </r>
  <r>
    <s v="Munger"/>
    <s v="24-30 Jul"/>
    <n v="1053"/>
    <s v="Kalyanpur"/>
    <x v="710"/>
    <s v="GOMUKH BAKHITIYARPUR"/>
    <s v="MPG"/>
    <s v="Direct"/>
    <n v="1299.7499999999993"/>
    <n v="60103.819999999992"/>
    <n v="1279.3000000000002"/>
    <n v="58284.499999999993"/>
    <n v="40.900000000000006"/>
    <n v="1806.5200000000002"/>
    <n v="1320.2000000000003"/>
    <n v="60091.01999999999"/>
    <n v="60091.01999999999"/>
    <n v="0"/>
    <n v="1806.5200000000002"/>
    <n v="0"/>
    <n v="7256"/>
    <n v="0"/>
    <n v="0"/>
    <n v="51031"/>
    <n v="0"/>
    <n v="0"/>
    <n v="10"/>
    <n v="0"/>
    <n v="0"/>
    <n v="0"/>
    <n v="2.1296483318369636E-4"/>
    <n v="39"/>
    <m/>
    <s v="Kalyanpur"/>
    <m/>
    <n v="0"/>
  </r>
  <r>
    <s v="Munger"/>
    <s v="24-30 Jul"/>
    <n v="1066"/>
    <s v="Gaighat"/>
    <x v="711"/>
    <s v="Gomukh Bhagwanpur East "/>
    <s v="vlc"/>
    <s v="Indirect"/>
    <n v="346.00000000000006"/>
    <n v="13243.05"/>
    <n v="0"/>
    <n v="0"/>
    <n v="0"/>
    <n v="0"/>
    <n v="0"/>
    <n v="0"/>
    <n v="13243.05"/>
    <n v="0"/>
    <n v="0"/>
    <n v="0"/>
    <n v="2950"/>
    <n v="0"/>
    <n v="0"/>
    <n v="0"/>
    <n v="0"/>
    <n v="10293.049999999999"/>
    <n v="0"/>
    <n v="0"/>
    <n v="270.98495375722536"/>
    <n v="49.428571428571438"/>
    <n v="0"/>
    <n v="0"/>
    <m/>
    <s v="Gaighat"/>
    <m/>
    <n v="0"/>
  </r>
  <r>
    <s v="Munger"/>
    <s v="24-30 Jul"/>
    <n v="1053"/>
    <s v="Kalyanpur"/>
    <x v="712"/>
    <s v="GOMUKH BHARJA"/>
    <s v="MPG"/>
    <s v="Direct"/>
    <n v="2636.55"/>
    <n v="132559.16"/>
    <n v="2642.9"/>
    <n v="129257.27999999996"/>
    <n v="72.5"/>
    <n v="3250.47"/>
    <n v="2715.4"/>
    <n v="132507.74999999994"/>
    <n v="132507.74999999994"/>
    <n v="0"/>
    <n v="425.36"/>
    <n v="0"/>
    <n v="26020"/>
    <n v="0"/>
    <n v="0"/>
    <n v="103241"/>
    <n v="2826"/>
    <n v="0"/>
    <n v="47"/>
    <n v="0"/>
    <n v="0"/>
    <n v="0"/>
    <n v="3.8782683897560678E-4"/>
    <n v="16"/>
    <m/>
    <s v="Kalyanpur"/>
    <m/>
    <n v="0"/>
  </r>
  <r>
    <s v="Munger"/>
    <s v="24-30 Jul"/>
    <n v="1053"/>
    <s v="Kalyanpur"/>
    <x v="713"/>
    <s v="GOMUKH NAWABGANJ"/>
    <s v="MPG"/>
    <s v="Direct"/>
    <n v="750.6"/>
    <n v="30946.589999999997"/>
    <n v="749.5"/>
    <n v="30439.05999999999"/>
    <n v="9.5999999999999979"/>
    <n v="383.61000000000007"/>
    <n v="759.1"/>
    <n v="30822.669999999991"/>
    <n v="30822.669999999991"/>
    <n v="0"/>
    <n v="383.61000000000007"/>
    <n v="0"/>
    <n v="2079"/>
    <n v="0"/>
    <n v="0"/>
    <n v="28357"/>
    <n v="0"/>
    <n v="0"/>
    <n v="127"/>
    <n v="0"/>
    <n v="0"/>
    <n v="0"/>
    <n v="4.0043184079410861E-3"/>
    <n v="19"/>
    <m/>
    <s v="Kalyanpur"/>
    <m/>
    <n v="0"/>
  </r>
  <r>
    <s v="Munger"/>
    <s v="24-30 Jul"/>
    <n v="1053"/>
    <s v="Kalyanpur"/>
    <x v="714"/>
    <s v="GOMUKH CHAKKI"/>
    <s v="MPG"/>
    <s v="Direct"/>
    <n v="143.40000000000003"/>
    <n v="6458.119999999999"/>
    <n v="150.94999999999999"/>
    <n v="6406"/>
    <n v="1.2"/>
    <n v="47.36999999999999"/>
    <n v="152.14999999999998"/>
    <n v="6453.37"/>
    <n v="6453.37"/>
    <n v="0"/>
    <n v="47.36999999999999"/>
    <n v="0"/>
    <n v="0"/>
    <n v="0"/>
    <n v="0"/>
    <n v="6406"/>
    <n v="0"/>
    <n v="0"/>
    <n v="5"/>
    <n v="0"/>
    <n v="501.33746052998578"/>
    <n v="20.485714285714291"/>
    <n v="7.3550816646316439E-4"/>
    <n v="6"/>
    <m/>
    <s v="Kalyanpur"/>
    <m/>
    <n v="0"/>
  </r>
  <r>
    <s v="Munger"/>
    <s v="24-30 Jul"/>
    <n v="1053"/>
    <s v="Kalyanpur"/>
    <x v="715"/>
    <s v="GOMUKH LAKSHMAN NAGAR"/>
    <s v="MPG"/>
    <s v="Direct"/>
    <n v="400.15"/>
    <n v="17685.59"/>
    <n v="423.4"/>
    <n v="17423.460000000003"/>
    <n v="0"/>
    <n v="0"/>
    <n v="423.4"/>
    <n v="17423.460000000003"/>
    <n v="17423.460000000003"/>
    <n v="0"/>
    <n v="0"/>
    <n v="0"/>
    <n v="0"/>
    <n v="0"/>
    <n v="0"/>
    <n v="17425"/>
    <n v="0"/>
    <n v="0"/>
    <n v="261"/>
    <n v="0"/>
    <n v="265.05181364488317"/>
    <n v="57.164285714285711"/>
    <n v="1.4821671202374214E-2"/>
    <n v="15"/>
    <m/>
    <s v="Kalyanpur"/>
    <m/>
    <n v="0"/>
  </r>
  <r>
    <s v="Munger"/>
    <s v="24-30 Jul"/>
    <n v="1053"/>
    <s v="Kalyanpur"/>
    <x v="716"/>
    <s v="GOMUKH KOTHIYA"/>
    <s v="MPG"/>
    <s v="Direct"/>
    <n v="92.000000000000014"/>
    <n v="4125.18"/>
    <n v="90.399999999999991"/>
    <n v="3834.9399999999996"/>
    <n v="1.3"/>
    <n v="55.860000000000007"/>
    <n v="91.699999999999989"/>
    <n v="3890.7999999999997"/>
    <n v="3890.7999999999997"/>
    <n v="0"/>
    <n v="55.860000000000007"/>
    <n v="0"/>
    <n v="0"/>
    <n v="500"/>
    <n v="0"/>
    <n v="3335"/>
    <n v="0"/>
    <n v="0"/>
    <n v="234"/>
    <n v="0"/>
    <n v="545.24118260869557"/>
    <n v="13.142857142857144"/>
    <n v="5.681691465584545E-2"/>
    <n v="5"/>
    <m/>
    <s v="Kalyanpur"/>
    <m/>
    <n v="500"/>
  </r>
  <r>
    <s v="Munger"/>
    <s v="24-30 Jul"/>
    <n v="1053"/>
    <s v="Kalyanpur"/>
    <x v="717"/>
    <s v="GOMUKH JHAHURI"/>
    <s v="MPG"/>
    <s v="Direct"/>
    <n v="2763.1499999999987"/>
    <n v="122926.54000000001"/>
    <n v="2763.400000000001"/>
    <n v="119138.12999999999"/>
    <n v="82.7"/>
    <n v="3681.7100000000009"/>
    <n v="2846.1000000000008"/>
    <n v="122819.84"/>
    <n v="122819.84"/>
    <n v="0"/>
    <n v="3681.7100000000009"/>
    <n v="0"/>
    <n v="14029"/>
    <n v="0"/>
    <n v="0"/>
    <n v="105110"/>
    <n v="0"/>
    <n v="0"/>
    <n v="106"/>
    <n v="0"/>
    <n v="0"/>
    <n v="0"/>
    <n v="8.6799807429715039E-4"/>
    <n v="28"/>
    <m/>
    <s v="Kalyanpur"/>
    <m/>
    <n v="0"/>
  </r>
  <r>
    <s v="Munger"/>
    <s v="24-30 Jul"/>
    <n v="1053"/>
    <s v="Kalyanpur"/>
    <x v="986"/>
    <s v="Belsandi Dihtola"/>
    <s v="vlc"/>
    <s v="Indirect"/>
    <n v="44.05"/>
    <n v="1870.91"/>
    <n v="0"/>
    <n v="0"/>
    <n v="0"/>
    <n v="0"/>
    <n v="0"/>
    <n v="0"/>
    <n v="1870.91"/>
    <n v="0"/>
    <n v="0"/>
    <n v="0"/>
    <n v="0"/>
    <n v="0"/>
    <n v="0"/>
    <n v="0"/>
    <n v="0"/>
    <n v="1870.91"/>
    <n v="0"/>
    <n v="0"/>
    <n v="557.19564790011361"/>
    <n v="6.2928571428571427"/>
    <n v="0"/>
    <n v="0"/>
    <m/>
    <s v="Kalyanpur"/>
    <m/>
    <n v="0"/>
  </r>
  <r>
    <s v="Munger"/>
    <s v="24-30 Jul"/>
    <n v="1053"/>
    <s v="Kalyanpur"/>
    <x v="718"/>
    <s v="GOMUKH Keotsa"/>
    <s v="MPG"/>
    <s v="Direct"/>
    <n v="653.8499999999998"/>
    <n v="29298.859999999997"/>
    <n v="548.01"/>
    <n v="23925.910000000003"/>
    <n v="132.96"/>
    <n v="5361.8600000000006"/>
    <n v="680.97"/>
    <n v="29287.770000000004"/>
    <n v="29287.770000000004"/>
    <n v="0"/>
    <n v="1487.58"/>
    <n v="0"/>
    <n v="0"/>
    <n v="0"/>
    <n v="0"/>
    <n v="23926"/>
    <n v="3874"/>
    <n v="0"/>
    <n v="11"/>
    <n v="0"/>
    <n v="41.359406255257504"/>
    <n v="93.40714285714283"/>
    <n v="3.7851302064288066E-4"/>
    <n v="13"/>
    <m/>
    <s v="Kalyanpur"/>
    <m/>
    <n v="0"/>
  </r>
  <r>
    <s v="Munger"/>
    <s v="24-30 Jul"/>
    <n v="1053"/>
    <s v="Kalyanpur"/>
    <x v="719"/>
    <s v="Gomukh Namapur East"/>
    <s v="vlc"/>
    <s v="Indirect"/>
    <n v="288.04999999999995"/>
    <n v="17798.59"/>
    <n v="0"/>
    <n v="0"/>
    <n v="0"/>
    <n v="0"/>
    <n v="0"/>
    <n v="0"/>
    <n v="17798.59"/>
    <n v="0"/>
    <n v="0"/>
    <n v="0"/>
    <n v="0"/>
    <n v="0"/>
    <n v="0"/>
    <n v="0"/>
    <n v="0"/>
    <n v="17798.59"/>
    <n v="0"/>
    <n v="0"/>
    <n v="509.08725224787378"/>
    <n v="41.149999999999991"/>
    <n v="0"/>
    <n v="0"/>
    <m/>
    <s v="Kalyanpur"/>
    <m/>
    <n v="0"/>
  </r>
  <r>
    <s v="Munger"/>
    <s v="24-30 Jul"/>
    <n v="1053"/>
    <s v="Kalyanpur"/>
    <x v="720"/>
    <s v="GOMUKH Waini"/>
    <s v="MPG"/>
    <s v="Direct"/>
    <n v="517.19999999999993"/>
    <n v="21092.339999999997"/>
    <n v="504.32000000000005"/>
    <n v="20560.969999999994"/>
    <n v="8.6000000000000014"/>
    <n v="346.68999999999994"/>
    <n v="512.92000000000007"/>
    <n v="20907.659999999993"/>
    <n v="20907.659999999993"/>
    <n v="0"/>
    <n v="346.68999999999994"/>
    <n v="0"/>
    <n v="0"/>
    <n v="0"/>
    <n v="0"/>
    <n v="20562"/>
    <n v="0"/>
    <n v="0"/>
    <n v="184"/>
    <n v="0"/>
    <n v="149.09821160092815"/>
    <n v="73.885714285714272"/>
    <n v="8.7557852756026105E-3"/>
    <n v="9"/>
    <m/>
    <s v="Kalyanpur"/>
    <m/>
    <n v="0"/>
  </r>
  <r>
    <s v="Munger"/>
    <s v="24-30 Jul"/>
    <n v="1053"/>
    <s v="Kalyanpur"/>
    <x v="721"/>
    <s v="GOMUKH SAKARI"/>
    <s v="MPG"/>
    <s v="Direct"/>
    <n v="1709.8500000000001"/>
    <n v="77101.010000000024"/>
    <n v="1714.0100000000002"/>
    <n v="75825.919999999998"/>
    <n v="27.58"/>
    <n v="1254.76"/>
    <n v="1741.5900000000001"/>
    <n v="77080.679999999993"/>
    <n v="77080.679999999993"/>
    <n v="0"/>
    <n v="1254.76"/>
    <n v="0"/>
    <n v="22896"/>
    <n v="0"/>
    <n v="0"/>
    <n v="52932"/>
    <n v="0"/>
    <n v="0"/>
    <n v="18"/>
    <n v="0"/>
    <n v="0"/>
    <n v="0"/>
    <n v="2.6368007371149667E-4"/>
    <n v="30"/>
    <m/>
    <s v="Kalyanpur"/>
    <m/>
    <n v="0"/>
  </r>
  <r>
    <s v="Munger"/>
    <s v="24-30 Jul"/>
    <n v="1053"/>
    <s v="Kalyanpur"/>
    <x v="722"/>
    <s v="GOMUKH DHOBGAMA"/>
    <s v="MPG"/>
    <s v="Direct"/>
    <n v="766.69999999999993"/>
    <n v="32552.89"/>
    <n v="747.49999999999989"/>
    <n v="30988.86"/>
    <n v="23.049999999999997"/>
    <n v="955.78999999999985"/>
    <n v="770.54999999999984"/>
    <n v="31944.65"/>
    <n v="31944.65"/>
    <n v="0"/>
    <n v="955.78999999999985"/>
    <n v="0"/>
    <n v="0"/>
    <n v="0"/>
    <n v="0"/>
    <n v="30989"/>
    <n v="0"/>
    <n v="0"/>
    <n v="608"/>
    <n v="0"/>
    <n v="0"/>
    <n v="0"/>
    <n v="1.8684669778935081E-2"/>
    <n v="16"/>
    <m/>
    <s v="Kalyanpur"/>
    <m/>
    <n v="0"/>
  </r>
  <r>
    <s v="Munger"/>
    <s v="24-30 Jul"/>
    <n v="1053"/>
    <s v="Kalyanpur"/>
    <x v="723"/>
    <s v="GOMUKH BHUSKOUL"/>
    <s v="MPG"/>
    <s v="Direct"/>
    <n v="477.7"/>
    <n v="19684.719999999998"/>
    <n v="494.45000000000005"/>
    <n v="19053.690000000002"/>
    <n v="11.52"/>
    <n v="451.99"/>
    <n v="505.97"/>
    <n v="19505.680000000004"/>
    <n v="19505.680000000004"/>
    <n v="0"/>
    <n v="451.99"/>
    <n v="0"/>
    <n v="0"/>
    <n v="0"/>
    <n v="0"/>
    <n v="19052"/>
    <n v="0"/>
    <n v="0"/>
    <n v="181"/>
    <n v="0"/>
    <n v="183.20758869583412"/>
    <n v="68.242857142857147"/>
    <n v="9.0953795634377138E-3"/>
    <n v="18"/>
    <m/>
    <s v="Kalyanpur"/>
    <m/>
    <n v="0"/>
  </r>
  <r>
    <s v="Munger"/>
    <s v="24-30 Jul"/>
    <n v="1053"/>
    <s v="Kalyanpur"/>
    <x v="724"/>
    <s v="GOMUKH BIRSINGHPUR"/>
    <s v="MPG"/>
    <s v="Direct"/>
    <n v="695"/>
    <n v="28429.75"/>
    <n v="696.18"/>
    <n v="27927.590000000004"/>
    <n v="11.8"/>
    <n v="483.28"/>
    <n v="707.9799999999999"/>
    <n v="28410.870000000003"/>
    <n v="28410.870000000003"/>
    <n v="0"/>
    <n v="461.78"/>
    <n v="0"/>
    <n v="0"/>
    <n v="0"/>
    <n v="0"/>
    <n v="27929"/>
    <n v="22"/>
    <n v="0"/>
    <n v="17"/>
    <n v="0"/>
    <n v="4.0906115107913319"/>
    <n v="99.285714285714292"/>
    <n v="6.6409307151829968E-4"/>
    <n v="9"/>
    <m/>
    <s v="Kalyanpur"/>
    <m/>
    <n v="0"/>
  </r>
  <r>
    <s v="Munger"/>
    <s v="24-30 Jul"/>
    <n v="1053"/>
    <s v="Kalyanpur"/>
    <x v="725"/>
    <s v="GOMUKH GHOSRAWAN"/>
    <s v="MPG"/>
    <s v="Direct"/>
    <n v="497.59999999999997"/>
    <n v="20324.759999999995"/>
    <n v="453.4"/>
    <n v="17917.499999999996"/>
    <n v="56.800000000000004"/>
    <n v="2381.4999999999995"/>
    <n v="510.2"/>
    <n v="20298.999999999996"/>
    <n v="20298.999999999996"/>
    <n v="0"/>
    <n v="213.26999999999995"/>
    <n v="0"/>
    <n v="4650"/>
    <n v="0"/>
    <n v="0"/>
    <n v="13267"/>
    <n v="2168"/>
    <n v="0"/>
    <n v="26"/>
    <n v="0"/>
    <n v="165.34290289389071"/>
    <n v="71.085714285714275"/>
    <n v="1.2674196398874283E-3"/>
    <n v="10"/>
    <m/>
    <s v="Kalyanpur"/>
    <m/>
    <n v="0"/>
  </r>
  <r>
    <s v="Munger"/>
    <s v="24-30 Jul"/>
    <n v="1053"/>
    <s v="Kalyanpur"/>
    <x v="726"/>
    <s v="GOMUKH BANDRA W-9"/>
    <s v="MPG"/>
    <s v="Direct"/>
    <n v="506.55000000000007"/>
    <n v="22826.799999999999"/>
    <n v="506.68000000000006"/>
    <n v="22052.449999999997"/>
    <n v="15.870000000000003"/>
    <n v="740.3599999999999"/>
    <n v="522.55000000000007"/>
    <n v="22792.809999999998"/>
    <n v="22792.809999999998"/>
    <n v="0"/>
    <n v="740.3599999999999"/>
    <n v="0"/>
    <n v="0"/>
    <n v="0"/>
    <n v="0"/>
    <n v="22053"/>
    <n v="0"/>
    <n v="0"/>
    <n v="33"/>
    <n v="0"/>
    <n v="174.34979607146371"/>
    <n v="72.364285714285728"/>
    <n v="1.4890391995374559E-3"/>
    <n v="19"/>
    <m/>
    <s v="Kalyanpur"/>
    <m/>
    <n v="0"/>
  </r>
  <r>
    <s v="Munger"/>
    <s v="24-30 Jul"/>
    <n v="1053"/>
    <s v="Kalyanpur"/>
    <x v="727"/>
    <s v="AMI Dairy"/>
    <s v="vlc"/>
    <s v="Indirect"/>
    <n v="1232.8999999999999"/>
    <n v="51125.42"/>
    <n v="0"/>
    <n v="0"/>
    <n v="0"/>
    <n v="0"/>
    <n v="0"/>
    <n v="0"/>
    <n v="51125.42"/>
    <n v="0"/>
    <n v="0"/>
    <n v="0"/>
    <n v="0"/>
    <n v="0"/>
    <n v="0"/>
    <n v="0"/>
    <n v="0"/>
    <n v="51125.42"/>
    <n v="0"/>
    <n v="0"/>
    <n v="0"/>
    <n v="0"/>
    <n v="0"/>
    <n v="0"/>
    <m/>
    <s v="Kalyanpur"/>
    <m/>
    <n v="0"/>
  </r>
  <r>
    <s v="Munger"/>
    <s v="24-30 Jul"/>
    <n v="1053"/>
    <s v="Kalyanpur"/>
    <x v="987"/>
    <s v="Gomukh Simra"/>
    <s v="vlc"/>
    <s v="Indirect"/>
    <n v="1486.3000000000002"/>
    <n v="58619.979999999996"/>
    <n v="0"/>
    <n v="0"/>
    <n v="0"/>
    <n v="0"/>
    <n v="0"/>
    <n v="0"/>
    <n v="58619.979999999996"/>
    <n v="0"/>
    <n v="0"/>
    <n v="0"/>
    <n v="23250"/>
    <n v="0"/>
    <n v="0"/>
    <n v="0"/>
    <n v="0"/>
    <n v="35369.979999999996"/>
    <n v="0"/>
    <n v="0"/>
    <n v="0"/>
    <n v="0"/>
    <n v="0"/>
    <n v="0"/>
    <m/>
    <s v="Kalyanpur"/>
    <m/>
    <n v="0"/>
  </r>
  <r>
    <s v="Munger"/>
    <s v="24-30 Jul"/>
    <n v="1054"/>
    <s v="Alauli "/>
    <x v="728"/>
    <s v="GOMUKH ANANDPUR PARAS 2"/>
    <s v="MPG"/>
    <s v="Direct"/>
    <n v="3542.7000000000003"/>
    <n v="146338.76999999999"/>
    <n v="2003.3"/>
    <n v="83012.39"/>
    <n v="1568.7000000000003"/>
    <n v="64487.259999999987"/>
    <n v="3572"/>
    <n v="147499.65"/>
    <n v="146338.76999999999"/>
    <n v="0"/>
    <n v="0"/>
    <n v="1160.8800000000047"/>
    <n v="0"/>
    <n v="0"/>
    <n v="0"/>
    <n v="81851"/>
    <n v="64488"/>
    <n v="0"/>
    <n v="0"/>
    <n v="0"/>
    <n v="0"/>
    <n v="0"/>
    <n v="-7.9328260036626297E-3"/>
    <n v="22"/>
    <m/>
    <s v="Alauli "/>
    <m/>
    <n v="0"/>
  </r>
  <r>
    <s v="Munger"/>
    <s v="24-30 Jul"/>
    <n v="1054"/>
    <s v="Alauli "/>
    <x v="729"/>
    <s v="GOMUKH GADBANNI"/>
    <s v="MPG"/>
    <s v="Direct"/>
    <n v="361.6"/>
    <n v="15720.399999999998"/>
    <n v="398.33"/>
    <n v="17625.939999999999"/>
    <n v="0"/>
    <n v="0"/>
    <n v="398.33"/>
    <n v="17625.939999999999"/>
    <n v="15720.399999999998"/>
    <n v="0"/>
    <n v="0"/>
    <n v="1905.5400000000009"/>
    <n v="0"/>
    <n v="0"/>
    <n v="0"/>
    <n v="15720"/>
    <n v="0"/>
    <n v="0"/>
    <n v="0"/>
    <s v="Release2"/>
    <n v="294.23580530973447"/>
    <n v="51.657142857142858"/>
    <n v="-0.12121447291417528"/>
    <n v="15"/>
    <m/>
    <s v="Alauli "/>
    <m/>
    <n v="0"/>
  </r>
  <r>
    <s v="Munger"/>
    <s v="24-30 Jul"/>
    <n v="1054"/>
    <s v="Alauli "/>
    <x v="988"/>
    <s v="GOMUKH GORIYAMI"/>
    <s v="MPG"/>
    <s v="Direct"/>
    <n v="418.59999999999997"/>
    <n v="18508.09"/>
    <n v="491.18000000000006"/>
    <n v="22493.59"/>
    <n v="2.97"/>
    <n v="113.54"/>
    <n v="494.15000000000009"/>
    <n v="22607.13"/>
    <n v="18508.09"/>
    <n v="0"/>
    <n v="113.54"/>
    <n v="4099.0400000000009"/>
    <n v="0"/>
    <n v="0"/>
    <n v="0"/>
    <n v="18394"/>
    <n v="0"/>
    <n v="0"/>
    <n v="1"/>
    <n v="0"/>
    <n v="248.83786555183954"/>
    <n v="59.8"/>
    <n v="-0.22147288023777714"/>
    <n v="3"/>
    <m/>
    <s v="Alauli "/>
    <m/>
    <n v="0"/>
  </r>
  <r>
    <s v="Munger"/>
    <s v="24-30 Jul"/>
    <n v="1054"/>
    <s v="Alauli "/>
    <x v="730"/>
    <s v="GOMUKH PARRI"/>
    <s v="MPG"/>
    <s v="Direct"/>
    <n v="81.599999999999994"/>
    <n v="3784.97"/>
    <n v="86.81"/>
    <n v="4121.5200000000004"/>
    <n v="0"/>
    <n v="0"/>
    <n v="86.81"/>
    <n v="4121.5200000000004"/>
    <n v="3784.97"/>
    <n v="0"/>
    <n v="0"/>
    <n v="336.55000000000064"/>
    <n v="1511"/>
    <n v="0"/>
    <n v="0"/>
    <n v="0"/>
    <n v="0"/>
    <n v="0"/>
    <n v="2274"/>
    <s v="Yes"/>
    <n v="573.68270784313722"/>
    <n v="11.657142857142857"/>
    <n v="-8.8917481512403182E-2"/>
    <n v="7"/>
    <m/>
    <s v="Alauli "/>
    <m/>
    <n v="0"/>
  </r>
  <r>
    <s v="Munger"/>
    <s v="24-30 Jul"/>
    <n v="1054"/>
    <s v="Alauli "/>
    <x v="731"/>
    <s v="GOMUKH BHIKHARI GHAT"/>
    <s v="MPG"/>
    <s v="Direct"/>
    <n v="1213.6000000000001"/>
    <n v="52986.98"/>
    <n v="1252.1499999999996"/>
    <n v="57299.319999999992"/>
    <n v="0"/>
    <n v="0"/>
    <n v="1252.1499999999996"/>
    <n v="57299.319999999992"/>
    <n v="52986.98"/>
    <n v="0"/>
    <n v="0"/>
    <n v="4312.3399999999892"/>
    <n v="2029"/>
    <n v="0"/>
    <n v="0"/>
    <n v="50958"/>
    <n v="0"/>
    <n v="0"/>
    <n v="0"/>
    <s v="Release2"/>
    <n v="0"/>
    <n v="0"/>
    <n v="-8.1384898705304382E-2"/>
    <n v="32"/>
    <m/>
    <s v="Alauli "/>
    <m/>
    <n v="0"/>
  </r>
  <r>
    <s v="Munger"/>
    <s v="24-30 Jul"/>
    <n v="1054"/>
    <s v="Alauli "/>
    <x v="732"/>
    <s v="Vikash Kumar"/>
    <s v="vlc"/>
    <s v="Indirect"/>
    <n v="1740.8"/>
    <n v="73027.53"/>
    <n v="0"/>
    <n v="0"/>
    <n v="0"/>
    <n v="0"/>
    <n v="0"/>
    <n v="0"/>
    <n v="73027.53"/>
    <n v="0"/>
    <n v="0"/>
    <n v="0"/>
    <n v="0"/>
    <n v="0"/>
    <n v="0"/>
    <n v="0"/>
    <n v="0"/>
    <n v="73027.53"/>
    <n v="0"/>
    <n v="0"/>
    <n v="0"/>
    <n v="0"/>
    <n v="0"/>
    <n v="0"/>
    <m/>
    <s v="Alauli "/>
    <m/>
    <n v="0"/>
  </r>
  <r>
    <s v="Munger"/>
    <s v="24-30 Jul"/>
    <n v="1054"/>
    <s v="Alauli "/>
    <x v="733"/>
    <s v="Rajkishore Yadav"/>
    <s v="vlc"/>
    <s v="Indirect"/>
    <n v="363.49999999999994"/>
    <n v="12749.45"/>
    <n v="0"/>
    <n v="0"/>
    <n v="0"/>
    <n v="0"/>
    <n v="0"/>
    <n v="0"/>
    <n v="12749.45"/>
    <n v="0"/>
    <n v="0"/>
    <n v="0"/>
    <n v="0"/>
    <n v="0"/>
    <n v="0"/>
    <n v="0"/>
    <n v="0"/>
    <n v="12749.45"/>
    <n v="0"/>
    <n v="0"/>
    <n v="236.0489642365888"/>
    <n v="51.928571428571423"/>
    <n v="0"/>
    <n v="0"/>
    <m/>
    <s v="Alauli "/>
    <m/>
    <n v="0"/>
  </r>
  <r>
    <s v="Munger"/>
    <s v="24-30 Jul"/>
    <n v="1054"/>
    <s v="Alauli "/>
    <x v="734"/>
    <s v="BHADAS VLC"/>
    <s v="vlc"/>
    <s v="Indirect"/>
    <n v="51.4"/>
    <n v="2970.29"/>
    <n v="0"/>
    <n v="0"/>
    <n v="0"/>
    <n v="0"/>
    <n v="0"/>
    <n v="0"/>
    <n v="2970.29"/>
    <n v="0"/>
    <n v="0"/>
    <n v="0"/>
    <n v="0"/>
    <n v="0"/>
    <n v="0"/>
    <n v="0"/>
    <n v="0"/>
    <n v="2970.29"/>
    <n v="0"/>
    <n v="0"/>
    <n v="749.6226046692608"/>
    <n v="7.3428571428571425"/>
    <n v="0"/>
    <n v="0"/>
    <m/>
    <s v="Alauli "/>
    <m/>
    <n v="0"/>
  </r>
  <r>
    <s v="Munger"/>
    <s v="24-30 Jul"/>
    <n v="1054"/>
    <s v="Alauli "/>
    <x v="735"/>
    <s v="GOMUKH BENHER"/>
    <s v="MPG"/>
    <s v="Direct"/>
    <n v="493.9"/>
    <n v="26327.230000000003"/>
    <n v="400.7"/>
    <n v="21307.469999999998"/>
    <n v="116.35999999999999"/>
    <n v="6204.8499999999985"/>
    <n v="517.05999999999995"/>
    <n v="27512.319999999996"/>
    <n v="26327.230000000003"/>
    <n v="0"/>
    <n v="47.36"/>
    <n v="1185.0899999999929"/>
    <n v="0"/>
    <n v="0"/>
    <n v="0"/>
    <n v="20122"/>
    <n v="6158"/>
    <n v="0"/>
    <n v="0"/>
    <n v="0"/>
    <n v="219.72229613282047"/>
    <n v="70.55714285714285"/>
    <n v="-4.5013850678555727E-2"/>
    <n v="12"/>
    <m/>
    <s v="Alauli "/>
    <m/>
    <n v="0"/>
  </r>
  <r>
    <s v="Munger"/>
    <s v="24-30 Jul"/>
    <n v="1054"/>
    <s v="Alauli "/>
    <x v="736"/>
    <s v="GOMUKH LADORA"/>
    <s v="MPG"/>
    <s v="Direct"/>
    <n v="721.20000000000016"/>
    <n v="27455.119999999999"/>
    <n v="721"/>
    <n v="28162.26"/>
    <n v="0"/>
    <n v="0"/>
    <n v="721"/>
    <n v="28162.26"/>
    <n v="27455.119999999999"/>
    <n v="0"/>
    <n v="0"/>
    <n v="707.13999999999942"/>
    <n v="27455"/>
    <n v="0"/>
    <n v="0"/>
    <n v="0"/>
    <n v="0"/>
    <n v="0"/>
    <n v="0"/>
    <n v="0"/>
    <n v="0"/>
    <n v="0"/>
    <n v="-2.5756215962632816E-2"/>
    <n v="1"/>
    <m/>
    <s v="Alauli "/>
    <m/>
    <n v="0"/>
  </r>
  <r>
    <s v="Munger"/>
    <s v="24-30 Jul"/>
    <n v="1054"/>
    <s v="Alauli "/>
    <x v="737"/>
    <s v="GOMUKH SAHSI"/>
    <s v="MPG"/>
    <s v="Direct"/>
    <n v="385.7"/>
    <n v="17971.72"/>
    <n v="400.36"/>
    <n v="18443.18"/>
    <n v="0"/>
    <n v="0"/>
    <n v="400.36"/>
    <n v="18443.18"/>
    <n v="17971.72"/>
    <n v="0"/>
    <n v="0"/>
    <n v="471.45999999999913"/>
    <n v="0"/>
    <n v="500"/>
    <n v="0"/>
    <n v="17472"/>
    <n v="0"/>
    <n v="0"/>
    <n v="0"/>
    <n v="0"/>
    <n v="292.89663448275866"/>
    <n v="55.1"/>
    <n v="-2.6233437867939136E-2"/>
    <n v="8"/>
    <m/>
    <s v="Alauli "/>
    <m/>
    <n v="500"/>
  </r>
  <r>
    <s v="Munger"/>
    <s v="24-30 Jul"/>
    <n v="1054"/>
    <s v="Alauli "/>
    <x v="738"/>
    <s v="Gomukh Chikni"/>
    <s v="MPG"/>
    <s v="Direct"/>
    <n v="142.39999999999998"/>
    <n v="4800.18"/>
    <n v="142.07"/>
    <n v="6081.26"/>
    <n v="0"/>
    <n v="0"/>
    <n v="142.07"/>
    <n v="6081.26"/>
    <n v="4800.18"/>
    <n v="0"/>
    <n v="0"/>
    <n v="1281.08"/>
    <n v="0"/>
    <n v="500"/>
    <n v="0"/>
    <n v="4300"/>
    <n v="0"/>
    <n v="0"/>
    <n v="0"/>
    <n v="0"/>
    <n v="375.92420898876418"/>
    <n v="20.342857142857138"/>
    <n v="-0.26688165860446894"/>
    <n v="2"/>
    <m/>
    <s v="Alauli "/>
    <m/>
    <n v="500"/>
  </r>
  <r>
    <s v="Munger"/>
    <s v="24-30 Jul"/>
    <n v="1054"/>
    <s v="Alauli "/>
    <x v="739"/>
    <s v="GOMUKH BUDWA"/>
    <s v="MPG"/>
    <s v="Direct"/>
    <n v="123.60000000000001"/>
    <n v="4855.9500000000007"/>
    <n v="135.34"/>
    <n v="5449.66"/>
    <n v="0"/>
    <n v="0"/>
    <n v="135.34"/>
    <n v="5449.66"/>
    <n v="4855.9500000000007"/>
    <n v="0"/>
    <n v="0"/>
    <n v="593.70999999999913"/>
    <n v="0"/>
    <n v="0"/>
    <n v="0"/>
    <n v="0"/>
    <n v="0"/>
    <n v="0"/>
    <n v="4856"/>
    <s v="Yes"/>
    <n v="452.90769902912626"/>
    <n v="17.657142857142858"/>
    <n v="-0.12226443847238934"/>
    <n v="7"/>
    <m/>
    <s v="Alauli "/>
    <m/>
    <n v="0"/>
  </r>
  <r>
    <s v="Munger"/>
    <s v="24-30 Jul"/>
    <n v="1054"/>
    <s v="Alauli "/>
    <x v="740"/>
    <s v="GOMUKH GANGIYA"/>
    <s v="vlc"/>
    <s v="Indirect"/>
    <n v="689.2"/>
    <n v="23969.270000000004"/>
    <n v="0"/>
    <n v="0"/>
    <n v="0"/>
    <n v="0"/>
    <n v="0"/>
    <n v="0"/>
    <n v="23969.270000000004"/>
    <n v="0"/>
    <n v="0"/>
    <n v="0"/>
    <n v="0"/>
    <n v="0"/>
    <n v="0"/>
    <n v="0"/>
    <n v="0"/>
    <n v="23969.270000000004"/>
    <n v="0"/>
    <n v="0"/>
    <n v="7.5121333720254757"/>
    <n v="98.45714285714287"/>
    <n v="0"/>
    <n v="0"/>
    <m/>
    <s v="Alauli "/>
    <m/>
    <n v="0"/>
  </r>
  <r>
    <s v="Munger"/>
    <s v="24-30 Jul"/>
    <n v="1054"/>
    <s v="Alauli "/>
    <x v="741"/>
    <s v="GOMUKH AMBA ICHARUA"/>
    <s v="MPG"/>
    <s v="Direct"/>
    <n v="475.5"/>
    <n v="18481.32"/>
    <n v="13.98"/>
    <n v="554.92000000000007"/>
    <n v="445.71999999999997"/>
    <n v="18103.23"/>
    <n v="459.7"/>
    <n v="18658.150000000001"/>
    <n v="18481.32"/>
    <n v="0"/>
    <n v="0"/>
    <n v="176.83000000000175"/>
    <n v="0"/>
    <n v="0"/>
    <n v="0"/>
    <n v="380"/>
    <n v="18101"/>
    <n v="0"/>
    <n v="0"/>
    <n v="0"/>
    <n v="174.51341072555206"/>
    <n v="67.928571428571431"/>
    <n v="-9.5680395123293009E-3"/>
    <n v="12"/>
    <m/>
    <s v="Alauli "/>
    <m/>
    <n v="0"/>
  </r>
  <r>
    <s v="Munger"/>
    <s v="24-30 Jul"/>
    <n v="1054"/>
    <s v="Alauli "/>
    <x v="742"/>
    <s v="RAJAURA VLC"/>
    <s v="vlc"/>
    <s v="Indirect"/>
    <n v="881"/>
    <n v="33092.97"/>
    <n v="0"/>
    <n v="0"/>
    <n v="0"/>
    <n v="0"/>
    <n v="0"/>
    <n v="0"/>
    <n v="33092.97"/>
    <n v="0"/>
    <n v="0"/>
    <n v="0"/>
    <n v="0"/>
    <n v="0"/>
    <n v="0"/>
    <n v="0"/>
    <n v="0"/>
    <n v="33092.97"/>
    <n v="0"/>
    <n v="0"/>
    <n v="0"/>
    <n v="0"/>
    <n v="0"/>
    <n v="0"/>
    <m/>
    <s v="Alauli "/>
    <m/>
    <n v="0"/>
  </r>
  <r>
    <s v="Munger"/>
    <s v="24-30 Jul"/>
    <n v="1054"/>
    <s v="Alauli "/>
    <x v="743"/>
    <s v="GOMUKH JWALAPUR"/>
    <s v="MPG"/>
    <s v="Direct"/>
    <n v="192.4"/>
    <n v="7411.69"/>
    <n v="192.8"/>
    <n v="8415.7199999999993"/>
    <n v="0"/>
    <n v="0"/>
    <n v="192.8"/>
    <n v="8415.7199999999993"/>
    <n v="7411.69"/>
    <n v="0"/>
    <n v="0"/>
    <n v="1004.0299999999997"/>
    <n v="0"/>
    <n v="500"/>
    <n v="0"/>
    <n v="6912"/>
    <n v="0"/>
    <n v="0"/>
    <n v="0"/>
    <n v="0"/>
    <n v="391.07836216216202"/>
    <n v="27.485714285714288"/>
    <n v="-0.13546573048791838"/>
    <n v="1"/>
    <m/>
    <s v="Alauli "/>
    <m/>
    <n v="500"/>
  </r>
  <r>
    <s v="Munger"/>
    <s v="24-30 Jul"/>
    <n v="1054"/>
    <s v="Alauli "/>
    <x v="744"/>
    <s v="VLC Dhushmuri Bishanpur"/>
    <s v="vlc"/>
    <s v="Indirect"/>
    <n v="435.2"/>
    <n v="14600.730000000001"/>
    <n v="0"/>
    <n v="0"/>
    <n v="0"/>
    <n v="0"/>
    <n v="0"/>
    <n v="0"/>
    <n v="14600.730000000001"/>
    <n v="0"/>
    <n v="0"/>
    <n v="0"/>
    <n v="0"/>
    <n v="0"/>
    <n v="0"/>
    <n v="0"/>
    <n v="0"/>
    <n v="14600.730000000001"/>
    <n v="0"/>
    <n v="0"/>
    <n v="177.67800110294124"/>
    <n v="62.171428571428571"/>
    <n v="0"/>
    <n v="0"/>
    <m/>
    <s v="Alauli "/>
    <m/>
    <n v="0"/>
  </r>
  <r>
    <s v="Munger"/>
    <s v="24-30 Jul"/>
    <n v="1054"/>
    <s v="Alauli "/>
    <x v="746"/>
    <s v="Gomukh Darhi Mor"/>
    <s v="vlc"/>
    <s v="Indirect"/>
    <n v="108"/>
    <n v="4229.5200000000004"/>
    <n v="0"/>
    <n v="0"/>
    <n v="0"/>
    <n v="0"/>
    <n v="0"/>
    <n v="0"/>
    <n v="4229.5200000000004"/>
    <n v="0"/>
    <n v="0"/>
    <n v="0"/>
    <n v="0"/>
    <n v="0"/>
    <n v="0"/>
    <n v="0"/>
    <n v="0"/>
    <n v="4229.5200000000004"/>
    <n v="0"/>
    <n v="0"/>
    <n v="463.68071111111118"/>
    <n v="15.428571428571429"/>
    <n v="0"/>
    <n v="0"/>
    <m/>
    <s v="Alauli "/>
    <m/>
    <n v="0"/>
  </r>
  <r>
    <s v="Munger"/>
    <s v="24-30 Jul"/>
    <n v="1054"/>
    <s v="Alauli "/>
    <x v="747"/>
    <s v="Gomukh Balaur"/>
    <s v="MPG"/>
    <s v="Direct"/>
    <n v="1820.5"/>
    <n v="97543.07"/>
    <n v="505.27"/>
    <n v="32046.329999999998"/>
    <n v="1315"/>
    <n v="68800.800000000003"/>
    <n v="1820.27"/>
    <n v="100847.13"/>
    <n v="97543.07"/>
    <n v="0"/>
    <n v="0"/>
    <n v="3304.0599999999977"/>
    <n v="0"/>
    <n v="0"/>
    <n v="0"/>
    <n v="28741"/>
    <n v="68802"/>
    <n v="0"/>
    <n v="0"/>
    <n v="0"/>
    <n v="0"/>
    <n v="0"/>
    <n v="-3.3872831765495971E-2"/>
    <n v="10"/>
    <m/>
    <s v="Alauli "/>
    <m/>
    <n v="0"/>
  </r>
  <r>
    <s v="Munger"/>
    <s v="24-30 Jul"/>
    <n v="1054"/>
    <s v="Alauli "/>
    <x v="748"/>
    <s v="Gomukh Usri"/>
    <s v="vlc"/>
    <s v="Direct"/>
    <n v="303.59999999999997"/>
    <n v="13978.119999999999"/>
    <n v="296.54000000000002"/>
    <n v="14241.690000000002"/>
    <n v="0"/>
    <n v="0"/>
    <n v="296.54000000000002"/>
    <n v="14241.690000000002"/>
    <n v="13978.119999999999"/>
    <n v="0"/>
    <n v="0"/>
    <n v="263.57000000000335"/>
    <n v="5827"/>
    <n v="0"/>
    <n v="0"/>
    <n v="8151"/>
    <n v="0"/>
    <n v="0"/>
    <n v="0"/>
    <n v="0"/>
    <n v="365.01493860342561"/>
    <n v="43.371428571428567"/>
    <n v="-1.8855897645749454E-2"/>
    <n v="6"/>
    <m/>
    <s v="Alauli "/>
    <m/>
    <n v="0"/>
  </r>
  <r>
    <s v="Munger"/>
    <s v="24-30 Jul"/>
    <n v="1054"/>
    <s v="Alauli "/>
    <x v="749"/>
    <s v="Gomukh Hathwan - 2"/>
    <s v="MPG"/>
    <s v="Direct"/>
    <n v="180.20000000000005"/>
    <n v="7395.57"/>
    <n v="185"/>
    <n v="8075.25"/>
    <n v="0"/>
    <n v="0"/>
    <n v="185"/>
    <n v="8075.25"/>
    <n v="7395.57"/>
    <n v="0"/>
    <n v="0"/>
    <n v="679.68000000000029"/>
    <n v="0"/>
    <n v="0"/>
    <n v="0"/>
    <n v="7396"/>
    <n v="0"/>
    <n v="0"/>
    <n v="0"/>
    <n v="0"/>
    <n v="426.66118601553814"/>
    <n v="25.742857142857151"/>
    <n v="-9.1903666654497257E-2"/>
    <n v="1"/>
    <m/>
    <s v="Alauli "/>
    <m/>
    <n v="0"/>
  </r>
  <r>
    <s v="Munger"/>
    <s v="24-30 Jul"/>
    <n v="1054"/>
    <s v="Alauli "/>
    <x v="750"/>
    <s v="VLC Sunil Khas"/>
    <s v="vlc"/>
    <s v="Indirect"/>
    <n v="775.2"/>
    <n v="32944.590000000004"/>
    <n v="0"/>
    <n v="0"/>
    <n v="0"/>
    <n v="0"/>
    <n v="0"/>
    <n v="0"/>
    <n v="32944.590000000004"/>
    <n v="0"/>
    <n v="0"/>
    <n v="0"/>
    <n v="8400"/>
    <n v="0"/>
    <n v="0"/>
    <n v="0"/>
    <n v="0"/>
    <n v="24544.590000000004"/>
    <n v="0"/>
    <n v="0"/>
    <n v="0"/>
    <n v="0"/>
    <n v="0"/>
    <n v="0"/>
    <m/>
    <s v="Alauli "/>
    <m/>
    <n v="0"/>
  </r>
  <r>
    <s v="Munger"/>
    <s v="24-30 Jul"/>
    <n v="1054"/>
    <s v="Alauli "/>
    <x v="751"/>
    <s v="Gomukh Hathwan "/>
    <s v="MPG"/>
    <s v="Direct"/>
    <n v="530.20000000000005"/>
    <n v="22130"/>
    <n v="594.75"/>
    <n v="28755.07"/>
    <n v="0"/>
    <n v="0"/>
    <n v="594.75"/>
    <n v="28755.07"/>
    <n v="22130"/>
    <n v="0"/>
    <n v="0"/>
    <n v="6625.07"/>
    <n v="0"/>
    <n v="0"/>
    <n v="0"/>
    <n v="22130"/>
    <n v="0"/>
    <n v="0"/>
    <n v="0"/>
    <n v="0"/>
    <n v="141.74552998868347"/>
    <n v="75.742857142857147"/>
    <n v="-0.29937053773158606"/>
    <n v="2"/>
    <m/>
    <s v="Alauli "/>
    <m/>
    <n v="0"/>
  </r>
  <r>
    <s v="Munger"/>
    <s v="24-30 Jul"/>
    <n v="1054"/>
    <s v="Alauli "/>
    <x v="752"/>
    <s v="Gomukh Bekhari Ghat-2"/>
    <s v="MPG"/>
    <s v="Direct"/>
    <n v="100.89999999999999"/>
    <n v="3453.2399999999993"/>
    <n v="100"/>
    <n v="4365"/>
    <n v="0"/>
    <n v="0"/>
    <n v="100"/>
    <n v="4365"/>
    <n v="3453.2399999999993"/>
    <n v="0"/>
    <n v="0"/>
    <n v="911.76000000000067"/>
    <n v="1400"/>
    <n v="0"/>
    <n v="0"/>
    <n v="2053"/>
    <n v="0"/>
    <n v="0"/>
    <n v="0"/>
    <n v="0"/>
    <n v="410.0765280475718"/>
    <n v="14.414285714285713"/>
    <n v="-0.26403030197727378"/>
    <n v="1"/>
    <m/>
    <s v="Alauli "/>
    <m/>
    <n v="0"/>
  </r>
  <r>
    <s v="Munger"/>
    <s v="24-30 Jul"/>
    <n v="1054"/>
    <s v="Alauli "/>
    <x v="753"/>
    <s v="Gomukh Rahul VLC"/>
    <s v="vlc"/>
    <s v="Indirect"/>
    <n v="2008.3000000000004"/>
    <n v="87785.250000000015"/>
    <n v="0"/>
    <n v="0"/>
    <n v="0"/>
    <n v="0"/>
    <n v="0"/>
    <n v="0"/>
    <n v="87785.250000000015"/>
    <n v="0"/>
    <n v="0"/>
    <n v="0"/>
    <n v="0"/>
    <n v="0"/>
    <n v="0"/>
    <n v="0"/>
    <n v="0"/>
    <n v="87785.250000000015"/>
    <n v="0"/>
    <n v="0"/>
    <n v="0"/>
    <n v="0"/>
    <n v="0"/>
    <n v="0"/>
    <m/>
    <s v="Alauli "/>
    <m/>
    <n v="0"/>
  </r>
  <r>
    <s v="Munger"/>
    <s v="24-30 Jul"/>
    <n v="1054"/>
    <s v="Alauli "/>
    <x v="754"/>
    <s v="Gomukh Sachin VLC"/>
    <s v="vlc"/>
    <s v="Indirect"/>
    <n v="644.80000000000007"/>
    <n v="24845.170000000002"/>
    <n v="0"/>
    <n v="0"/>
    <n v="0"/>
    <n v="0"/>
    <n v="0"/>
    <n v="0"/>
    <n v="24845.170000000002"/>
    <n v="0"/>
    <n v="0"/>
    <n v="0"/>
    <n v="24845"/>
    <n v="0"/>
    <n v="0"/>
    <n v="0"/>
    <n v="0"/>
    <n v="0.17000000000189175"/>
    <n v="0"/>
    <n v="0"/>
    <n v="42.538876674937882"/>
    <n v="92.114285714285728"/>
    <n v="0"/>
    <n v="0"/>
    <m/>
    <s v="Alauli "/>
    <m/>
    <n v="0"/>
  </r>
  <r>
    <s v="Munger"/>
    <s v="24-30 Jul"/>
    <n v="1054"/>
    <s v="Alauli "/>
    <x v="755"/>
    <s v="Gomukh Khutauna"/>
    <s v="MPG"/>
    <s v="Direct"/>
    <n v="359.60000000000008"/>
    <n v="13003.699999999997"/>
    <n v="112.76"/>
    <n v="3985.67"/>
    <n v="278.48"/>
    <n v="9067.9800000000014"/>
    <n v="391.24"/>
    <n v="13053.650000000001"/>
    <n v="13003.699999999997"/>
    <n v="0"/>
    <n v="0"/>
    <n v="49.950000000004366"/>
    <n v="3936"/>
    <n v="0"/>
    <n v="0"/>
    <n v="0"/>
    <n v="9068"/>
    <n v="0"/>
    <n v="0"/>
    <s v="Release2"/>
    <n v="246.18795773081186"/>
    <n v="51.371428571428581"/>
    <n v="-3.8412144235874693E-3"/>
    <n v="2"/>
    <m/>
    <s v="Alauli "/>
    <m/>
    <n v="0"/>
  </r>
  <r>
    <s v="Munger"/>
    <s v="24-30 Jul"/>
    <n v="1054"/>
    <s v="Alauli "/>
    <x v="756"/>
    <s v="Gomukh Bathnaha VLC"/>
    <s v="vlc"/>
    <s v="Indirect"/>
    <n v="238.9"/>
    <n v="8296.9699999999993"/>
    <n v="0"/>
    <n v="0"/>
    <n v="0"/>
    <n v="0"/>
    <n v="0"/>
    <n v="0"/>
    <n v="8296.9699999999993"/>
    <n v="0"/>
    <n v="0"/>
    <n v="0"/>
    <n v="0"/>
    <n v="0"/>
    <n v="0"/>
    <n v="0"/>
    <n v="0"/>
    <n v="8296.9699999999993"/>
    <n v="0"/>
    <n v="0"/>
    <n v="320.27901774801171"/>
    <n v="34.128571428571426"/>
    <n v="0"/>
    <n v="0"/>
    <m/>
    <s v="Alauli "/>
    <m/>
    <n v="0"/>
  </r>
  <r>
    <s v="Munger"/>
    <s v="24-30 Jul"/>
    <n v="1054"/>
    <s v="Alauli "/>
    <x v="1039"/>
    <s v="Ahok VLC"/>
    <s v="vlc"/>
    <s v="Indirect"/>
    <n v="207.29999999999998"/>
    <n v="6932.25"/>
    <n v="0"/>
    <n v="0"/>
    <n v="0"/>
    <n v="0"/>
    <n v="0"/>
    <n v="0"/>
    <n v="6932.25"/>
    <n v="0"/>
    <n v="0"/>
    <n v="0"/>
    <n v="0"/>
    <n v="0"/>
    <n v="0"/>
    <n v="0"/>
    <n v="0"/>
    <n v="6932.25"/>
    <n v="0"/>
    <n v="0"/>
    <n v="329.52431982633868"/>
    <n v="29.61428571428571"/>
    <n v="0"/>
    <n v="0"/>
    <m/>
    <s v="Alauli "/>
    <m/>
    <n v="0"/>
  </r>
  <r>
    <s v="Munger"/>
    <s v="24-30 Jul"/>
    <n v="1055"/>
    <s v="Matihani"/>
    <x v="757"/>
    <s v="Balahpur-Anil Yadav"/>
    <s v="vlc"/>
    <s v="Indirect"/>
    <n v="26118.2"/>
    <n v="998373.24"/>
    <n v="0"/>
    <n v="0"/>
    <n v="0"/>
    <n v="0"/>
    <n v="0"/>
    <n v="0"/>
    <n v="998373.24"/>
    <n v="0"/>
    <n v="0"/>
    <n v="0"/>
    <n v="0"/>
    <n v="0"/>
    <n v="0"/>
    <n v="0"/>
    <n v="0"/>
    <n v="998373.24"/>
    <n v="0"/>
    <n v="0"/>
    <n v="0"/>
    <n v="0"/>
    <n v="0"/>
    <n v="0"/>
    <m/>
    <s v="Matihani"/>
    <m/>
    <n v="0"/>
  </r>
  <r>
    <s v="Munger"/>
    <s v="24-30 Jul"/>
    <n v="1055"/>
    <s v="Matihani"/>
    <x v="758"/>
    <s v="Bagdobh"/>
    <s v="vlc"/>
    <s v="Indirect"/>
    <n v="143.5"/>
    <n v="5572.7200000000012"/>
    <n v="0"/>
    <n v="0"/>
    <n v="0"/>
    <n v="0"/>
    <n v="0"/>
    <n v="0"/>
    <n v="5572.7200000000012"/>
    <n v="0"/>
    <n v="0"/>
    <n v="0"/>
    <n v="0"/>
    <n v="0"/>
    <n v="0"/>
    <n v="0"/>
    <n v="0"/>
    <n v="5572.7200000000012"/>
    <n v="0"/>
    <n v="0"/>
    <n v="432.22560000000004"/>
    <n v="20.5"/>
    <n v="0"/>
    <n v="0"/>
    <m/>
    <s v="Matihani"/>
    <m/>
    <n v="0"/>
  </r>
  <r>
    <s v="Munger"/>
    <s v="24-30 Jul"/>
    <n v="1055"/>
    <s v="Matihani"/>
    <x v="759"/>
    <s v="Gomukh Matihani"/>
    <s v="MPG"/>
    <s v="Direct"/>
    <n v="130"/>
    <n v="5365.58"/>
    <n v="122.7"/>
    <n v="5204.9400000000005"/>
    <n v="4.5999999999999996"/>
    <n v="183.49"/>
    <n v="127.3"/>
    <n v="5388.43"/>
    <n v="5365.58"/>
    <n v="0"/>
    <n v="183.49"/>
    <n v="22.850000000000364"/>
    <n v="0"/>
    <n v="0"/>
    <n v="0"/>
    <n v="5182"/>
    <n v="0"/>
    <n v="0"/>
    <n v="0"/>
    <n v="0"/>
    <n v="470.52009230769232"/>
    <n v="18.571428571428573"/>
    <n v="-4.2586262808494823E-3"/>
    <n v="3"/>
    <m/>
    <s v="Matihani"/>
    <m/>
    <n v="0"/>
  </r>
  <r>
    <s v="Munger"/>
    <s v="24-30 Jul"/>
    <n v="1055"/>
    <s v="Matihani"/>
    <x v="760"/>
    <s v="Jalalpur"/>
    <s v="vlc"/>
    <s v="Indirect"/>
    <n v="1649.3999999999999"/>
    <n v="60430.979999999996"/>
    <n v="0"/>
    <n v="0"/>
    <n v="0"/>
    <n v="0"/>
    <n v="0"/>
    <n v="0"/>
    <n v="60430.979999999996"/>
    <n v="0"/>
    <n v="0"/>
    <n v="0"/>
    <n v="0"/>
    <n v="0"/>
    <n v="0"/>
    <n v="0"/>
    <n v="0"/>
    <n v="60430.979999999996"/>
    <n v="0"/>
    <n v="0"/>
    <n v="0"/>
    <n v="0"/>
    <n v="0"/>
    <n v="0"/>
    <m/>
    <s v="Matihani"/>
    <m/>
    <n v="0"/>
  </r>
  <r>
    <s v="Munger"/>
    <s v="24-30 Jul"/>
    <n v="1055"/>
    <s v="Matihani"/>
    <x v="761"/>
    <s v="Saidpur"/>
    <s v="vlc"/>
    <s v="Indirect"/>
    <n v="302.2"/>
    <n v="11088.320000000002"/>
    <n v="0"/>
    <n v="0"/>
    <n v="0"/>
    <n v="0"/>
    <n v="0"/>
    <n v="0"/>
    <n v="11088.320000000002"/>
    <n v="0"/>
    <n v="0"/>
    <n v="0"/>
    <n v="0"/>
    <n v="0"/>
    <n v="0"/>
    <n v="0"/>
    <n v="0"/>
    <n v="11088.320000000002"/>
    <n v="0"/>
    <n v="0"/>
    <n v="291.92148881535417"/>
    <n v="43.171428571428571"/>
    <n v="0"/>
    <n v="0"/>
    <m/>
    <s v="Matihani"/>
    <m/>
    <n v="0"/>
  </r>
  <r>
    <s v="Munger"/>
    <s v="24-30 Jul"/>
    <n v="1055"/>
    <s v="Matihani"/>
    <x v="762"/>
    <s v="Chak"/>
    <s v="vlc"/>
    <s v="Indirect"/>
    <n v="1242.0999999999999"/>
    <n v="47829.09"/>
    <n v="0"/>
    <n v="0"/>
    <n v="0"/>
    <n v="0"/>
    <n v="0"/>
    <n v="0"/>
    <n v="47829.09"/>
    <n v="0"/>
    <n v="0"/>
    <n v="0"/>
    <n v="0"/>
    <n v="0"/>
    <n v="0"/>
    <n v="0"/>
    <n v="0"/>
    <n v="47829.09"/>
    <n v="0"/>
    <n v="0"/>
    <n v="0"/>
    <n v="0"/>
    <n v="0"/>
    <n v="0"/>
    <m/>
    <s v="Matihani"/>
    <m/>
    <n v="0"/>
  </r>
  <r>
    <s v="Munger"/>
    <s v="24-30 Jul"/>
    <n v="1055"/>
    <s v="Matihani"/>
    <x v="763"/>
    <s v="Manmana Dhala"/>
    <s v="MPG"/>
    <s v="Direct"/>
    <n v="272.09999999999997"/>
    <n v="11552.77"/>
    <n v="271.26000000000005"/>
    <n v="11386.2"/>
    <n v="3.0900000000000003"/>
    <n v="135.51"/>
    <n v="274.35000000000002"/>
    <n v="11521.710000000001"/>
    <n v="11521.710000000001"/>
    <n v="0"/>
    <n v="135.51"/>
    <n v="0"/>
    <n v="0"/>
    <n v="0"/>
    <n v="0"/>
    <n v="11386"/>
    <n v="0"/>
    <n v="0"/>
    <n v="31"/>
    <n v="0"/>
    <n v="363.35393480338121"/>
    <n v="38.871428571428567"/>
    <n v="2.688532706874584E-3"/>
    <n v="7"/>
    <m/>
    <s v="Matihani"/>
    <m/>
    <n v="0"/>
  </r>
  <r>
    <s v="Munger"/>
    <s v="24-30 Jul"/>
    <n v="1055"/>
    <s v="Matihani"/>
    <x v="764"/>
    <s v="Mahendarpur 2"/>
    <s v="MPG"/>
    <s v="Direct"/>
    <n v="279.90000000000003"/>
    <n v="11182.480000000001"/>
    <n v="265.98"/>
    <n v="11005.7"/>
    <n v="2.8699999999999997"/>
    <n v="116.41000000000001"/>
    <n v="268.85000000000002"/>
    <n v="11122.11"/>
    <n v="11122.11"/>
    <n v="0"/>
    <n v="116.41000000000001"/>
    <n v="0"/>
    <n v="0"/>
    <n v="0"/>
    <n v="0"/>
    <n v="11006"/>
    <n v="0"/>
    <n v="0"/>
    <n v="60"/>
    <n v="0"/>
    <n v="335.67415848517328"/>
    <n v="39.985714285714288"/>
    <n v="5.3986235611421431E-3"/>
    <n v="6"/>
    <m/>
    <s v="Matihani"/>
    <m/>
    <n v="0"/>
  </r>
  <r>
    <s v="Munger"/>
    <s v="24-30 Jul"/>
    <n v="1055"/>
    <s v="Matihani"/>
    <x v="1040"/>
    <s v="Badalpura"/>
    <s v="MPG"/>
    <s v="Direct"/>
    <n v="46.4"/>
    <n v="1899.6100000000001"/>
    <n v="46.399999999999991"/>
    <n v="1869.68"/>
    <n v="0.2"/>
    <n v="7.7"/>
    <n v="46.599999999999994"/>
    <n v="1877.38"/>
    <n v="1877.38"/>
    <n v="0"/>
    <n v="7.7"/>
    <n v="0"/>
    <n v="0"/>
    <n v="0"/>
    <n v="0"/>
    <n v="1870"/>
    <n v="0"/>
    <n v="0"/>
    <n v="22"/>
    <n v="0"/>
    <n v="535.16598965517244"/>
    <n v="6.6285714285714281"/>
    <n v="1.1702402072004263E-2"/>
    <n v="3"/>
    <m/>
    <s v="Matihani"/>
    <m/>
    <n v="0"/>
  </r>
  <r>
    <s v="Munger"/>
    <s v="24-30 Jul"/>
    <n v="1056"/>
    <s v="Chautham"/>
    <x v="765"/>
    <s v="Gomukh Chautham(Mithun Kumar VLC)"/>
    <s v="MPG"/>
    <s v="Indirect"/>
    <n v="2656.06"/>
    <n v="104162.86"/>
    <n v="0"/>
    <n v="0"/>
    <n v="0"/>
    <n v="0"/>
    <n v="0"/>
    <n v="0"/>
    <n v="104162.86"/>
    <n v="0"/>
    <n v="0"/>
    <n v="0"/>
    <n v="0"/>
    <n v="0"/>
    <n v="0"/>
    <n v="0"/>
    <n v="0"/>
    <n v="104162.86"/>
    <n v="0"/>
    <n v="0"/>
    <n v="0"/>
    <n v="0"/>
    <n v="0"/>
    <n v="0"/>
    <m/>
    <s v="Chautham"/>
    <m/>
    <n v="0"/>
  </r>
  <r>
    <s v="Munger"/>
    <s v="24-30 Jul"/>
    <n v="1056"/>
    <s v="Chautham"/>
    <x v="766"/>
    <s v="Gomukh Pansalwa"/>
    <s v="vlc"/>
    <s v="Indirect"/>
    <n v="313.18000000000006"/>
    <n v="11731.36"/>
    <n v="0"/>
    <n v="0"/>
    <n v="0"/>
    <n v="0"/>
    <n v="0"/>
    <n v="0"/>
    <n v="11731.36"/>
    <n v="0"/>
    <n v="0"/>
    <n v="0"/>
    <n v="0"/>
    <n v="0"/>
    <n v="0"/>
    <n v="0"/>
    <n v="0"/>
    <n v="11731.36"/>
    <n v="0"/>
    <n v="0"/>
    <n v="289.7965818506928"/>
    <n v="44.740000000000009"/>
    <n v="0"/>
    <n v="0"/>
    <m/>
    <s v="Chautham"/>
    <m/>
    <n v="0"/>
  </r>
  <r>
    <s v="Munger"/>
    <s v="24-30 Jul"/>
    <n v="1056"/>
    <s v="Chautham"/>
    <x v="767"/>
    <s v="Gomukh Nawada"/>
    <s v="MPG"/>
    <s v="Direct"/>
    <n v="979.12"/>
    <n v="35846.219999999994"/>
    <n v="1043.52"/>
    <n v="38642.330000000009"/>
    <n v="0"/>
    <n v="0"/>
    <n v="1043.52"/>
    <n v="38642.330000000009"/>
    <n v="35846.219999999994"/>
    <n v="0"/>
    <n v="0"/>
    <n v="2796.1100000000151"/>
    <n v="0"/>
    <n v="0"/>
    <n v="0"/>
    <n v="35846"/>
    <n v="0"/>
    <n v="0"/>
    <n v="0"/>
    <n v="0"/>
    <n v="0"/>
    <n v="0"/>
    <n v="-7.8002924715632929E-2"/>
    <n v="1"/>
    <m/>
    <s v="Chautham"/>
    <m/>
    <n v="0"/>
  </r>
  <r>
    <s v="Munger"/>
    <s v="24-30 Jul"/>
    <n v="1056"/>
    <s v="Chautham"/>
    <x v="768"/>
    <s v="Gomukh Yadav Tol Kanauli"/>
    <s v="MPG"/>
    <s v="Direct"/>
    <n v="1527.6999999999998"/>
    <n v="65262.98"/>
    <n v="22.34"/>
    <n v="957.12000000000012"/>
    <n v="1505"/>
    <n v="64345.55000000001"/>
    <n v="1527.34"/>
    <n v="65302.670000000013"/>
    <n v="65262.98"/>
    <n v="0"/>
    <n v="0"/>
    <n v="39.690000000009604"/>
    <n v="0"/>
    <n v="0"/>
    <n v="0"/>
    <n v="917"/>
    <n v="64346"/>
    <n v="0"/>
    <n v="0"/>
    <n v="0"/>
    <n v="0"/>
    <n v="0"/>
    <n v="-6.0815488351910387E-4"/>
    <n v="3"/>
    <m/>
    <s v="Chautham"/>
    <m/>
    <n v="0"/>
  </r>
  <r>
    <s v="Munger"/>
    <s v="24-30 Jul"/>
    <n v="1056"/>
    <s v="Chautham"/>
    <x v="769"/>
    <s v="Gomukh Hardia"/>
    <s v="MPG"/>
    <s v="Direct"/>
    <n v="262.38000000000005"/>
    <n v="10397.17"/>
    <n v="336.53"/>
    <n v="13988.240000000002"/>
    <n v="0"/>
    <n v="0"/>
    <n v="336.53"/>
    <n v="13988.240000000002"/>
    <n v="10397.17"/>
    <n v="0"/>
    <n v="0"/>
    <n v="3591.0700000000015"/>
    <n v="0"/>
    <n v="500"/>
    <n v="0"/>
    <n v="9897"/>
    <n v="0"/>
    <n v="0"/>
    <n v="0"/>
    <n v="0"/>
    <n v="346.82594217547063"/>
    <n v="37.482857142857149"/>
    <n v="-0.34538917801671049"/>
    <n v="1"/>
    <m/>
    <s v="Chautham"/>
    <m/>
    <n v="500"/>
  </r>
  <r>
    <s v="Munger"/>
    <s v="24-30 Jul"/>
    <n v="1056"/>
    <s v="Chautham"/>
    <x v="770"/>
    <s v="Gomukh Ashatol Paharpur"/>
    <s v="MPG"/>
    <s v="Direct"/>
    <n v="2017"/>
    <n v="83184.12999999999"/>
    <n v="2017.0599999999995"/>
    <n v="87324.169999999984"/>
    <n v="0"/>
    <n v="0"/>
    <n v="2017.0599999999995"/>
    <n v="87324.169999999984"/>
    <n v="83184.12999999999"/>
    <n v="0"/>
    <n v="0"/>
    <n v="4140.0399999999936"/>
    <n v="0"/>
    <n v="0"/>
    <n v="0"/>
    <n v="83362"/>
    <n v="0"/>
    <n v="0"/>
    <n v="-178"/>
    <s v="Release2"/>
    <n v="0"/>
    <n v="0"/>
    <n v="-4.9769589463759423E-2"/>
    <n v="12"/>
    <m/>
    <s v="Chautham"/>
    <m/>
    <n v="0"/>
  </r>
  <r>
    <s v="Munger"/>
    <s v="24-30 Jul"/>
    <n v="1056"/>
    <s v="Chautham"/>
    <x v="771"/>
    <s v="Gomukh Kharawa"/>
    <s v="MPG"/>
    <s v="Direct"/>
    <n v="1369.28"/>
    <n v="56916.359999999986"/>
    <n v="1373.2299999999998"/>
    <n v="58117.79"/>
    <n v="0"/>
    <n v="0"/>
    <n v="1373.2299999999998"/>
    <n v="58117.79"/>
    <n v="56916.359999999986"/>
    <n v="0"/>
    <n v="0"/>
    <n v="1201.4300000000148"/>
    <n v="0"/>
    <n v="0"/>
    <n v="0"/>
    <n v="56916"/>
    <n v="0"/>
    <n v="0"/>
    <n v="0"/>
    <n v="0"/>
    <n v="0"/>
    <n v="0"/>
    <n v="-2.1108693528539335E-2"/>
    <n v="5"/>
    <m/>
    <s v="Chautham"/>
    <m/>
    <n v="0"/>
  </r>
  <r>
    <s v="Munger"/>
    <s v="24-30 Jul"/>
    <n v="1056"/>
    <s v="Chautham"/>
    <x v="772"/>
    <s v="Gomukh Patel Nagar"/>
    <s v="vlc"/>
    <s v="Indirect"/>
    <n v="152.56"/>
    <n v="5870.4699999999993"/>
    <n v="0"/>
    <n v="0"/>
    <n v="0"/>
    <n v="0"/>
    <n v="0"/>
    <n v="0"/>
    <n v="5870.4699999999993"/>
    <n v="0"/>
    <n v="0"/>
    <n v="0"/>
    <n v="0"/>
    <n v="0"/>
    <n v="0"/>
    <n v="0"/>
    <n v="0"/>
    <n v="5870.4699999999993"/>
    <n v="0"/>
    <n v="0"/>
    <n v="421.30703943366552"/>
    <n v="21.794285714285714"/>
    <n v="0"/>
    <n v="0"/>
    <m/>
    <s v="Chautham"/>
    <m/>
    <n v="0"/>
  </r>
  <r>
    <s v="Munger"/>
    <s v="24-30 Jul"/>
    <n v="1056"/>
    <s v="Chautham"/>
    <x v="773"/>
    <s v="Gomukh Pachout"/>
    <s v="MPG"/>
    <s v="Direct"/>
    <n v="954.78"/>
    <n v="34763.769999999997"/>
    <n v="1134.4599999999998"/>
    <n v="41326.1"/>
    <n v="0"/>
    <n v="0"/>
    <n v="1134.4599999999998"/>
    <n v="41326.1"/>
    <n v="34763.769999999997"/>
    <n v="0"/>
    <n v="0"/>
    <n v="6562.3300000000017"/>
    <n v="0"/>
    <n v="0"/>
    <n v="0"/>
    <n v="34764"/>
    <n v="0"/>
    <n v="0"/>
    <n v="0"/>
    <n v="0"/>
    <n v="0"/>
    <n v="0"/>
    <n v="-0.18876922727310652"/>
    <n v="1"/>
    <m/>
    <s v="Chautham"/>
    <m/>
    <n v="0"/>
  </r>
  <r>
    <s v="Munger"/>
    <s v="24-30 Jul"/>
    <n v="1056"/>
    <s v="Chautham"/>
    <x v="774"/>
    <s v="Gomukh Telihar"/>
    <s v="MPG"/>
    <s v="Direct"/>
    <n v="718.86"/>
    <n v="29582.969999999998"/>
    <n v="718.05000000000007"/>
    <n v="28714.59"/>
    <n v="0"/>
    <n v="0"/>
    <n v="718.05000000000007"/>
    <n v="28714.59"/>
    <n v="28714.59"/>
    <n v="0"/>
    <n v="0"/>
    <n v="0"/>
    <n v="0"/>
    <n v="0"/>
    <n v="0"/>
    <n v="28716"/>
    <n v="0"/>
    <n v="0"/>
    <n v="867"/>
    <s v="Release2"/>
    <n v="0"/>
    <n v="0"/>
    <n v="2.9354050658199547E-2"/>
    <n v="14"/>
    <m/>
    <s v="Chautham"/>
    <m/>
    <n v="0"/>
  </r>
  <r>
    <s v="Munger"/>
    <s v="24-30 Jul"/>
    <n v="1056"/>
    <s v="Chautham"/>
    <x v="775"/>
    <s v="Gomukh Pansalba Ward No 05"/>
    <s v="vlc"/>
    <s v="Indirect"/>
    <n v="1152.3799999999999"/>
    <n v="43007.98"/>
    <n v="0"/>
    <n v="0"/>
    <n v="0"/>
    <n v="0"/>
    <n v="0"/>
    <n v="0"/>
    <n v="43007.98"/>
    <n v="0"/>
    <n v="0"/>
    <n v="0"/>
    <n v="5400"/>
    <n v="0"/>
    <n v="0"/>
    <n v="0"/>
    <n v="0"/>
    <n v="37607.980000000003"/>
    <n v="0"/>
    <n v="0"/>
    <n v="0"/>
    <n v="0"/>
    <n v="0"/>
    <n v="0"/>
    <m/>
    <s v="Chautham"/>
    <m/>
    <n v="0"/>
  </r>
  <r>
    <s v="Munger"/>
    <s v="24-30 Jul"/>
    <n v="1056"/>
    <s v="Chautham"/>
    <x v="776"/>
    <s v="Gomukh Paharpur Jilebya "/>
    <s v="MPG"/>
    <s v="Direct"/>
    <n v="2196.48"/>
    <n v="95020.349999999977"/>
    <n v="2197.08"/>
    <n v="95045.62000000001"/>
    <n v="0"/>
    <n v="0"/>
    <n v="2197.08"/>
    <n v="95045.62000000001"/>
    <n v="95020.349999999977"/>
    <n v="0"/>
    <n v="0"/>
    <n v="25.270000000033178"/>
    <n v="0"/>
    <n v="0"/>
    <n v="0"/>
    <n v="95020"/>
    <n v="0"/>
    <n v="0"/>
    <n v="0"/>
    <n v="0"/>
    <n v="0"/>
    <n v="0"/>
    <n v="-2.6594303220345099E-4"/>
    <n v="1"/>
    <m/>
    <s v="Chautham"/>
    <m/>
    <n v="0"/>
  </r>
  <r>
    <s v="Munger"/>
    <s v="24-30 Jul"/>
    <n v="1056"/>
    <s v="Chautham"/>
    <x v="777"/>
    <s v="Gomukh Debka Vlc"/>
    <s v="vlc"/>
    <s v="Indirect"/>
    <n v="82.48"/>
    <n v="3628.2799999999997"/>
    <n v="0"/>
    <n v="0"/>
    <n v="0"/>
    <n v="0"/>
    <n v="0"/>
    <n v="0"/>
    <n v="3628.2799999999997"/>
    <n v="0"/>
    <n v="0"/>
    <n v="0"/>
    <n v="1350"/>
    <n v="0"/>
    <n v="0"/>
    <n v="0"/>
    <n v="0"/>
    <n v="2278.2799999999997"/>
    <n v="0"/>
    <n v="0"/>
    <n v="543.29181998060119"/>
    <n v="11.782857142857143"/>
    <n v="0"/>
    <n v="0"/>
    <m/>
    <s v="Chautham"/>
    <m/>
    <n v="0"/>
  </r>
  <r>
    <s v="Munger"/>
    <s v="24-30 Jul"/>
    <n v="1056"/>
    <s v="Chautham"/>
    <x v="778"/>
    <s v="Gomukh Azad Nagar"/>
    <s v="MPG"/>
    <s v="Direct"/>
    <n v="1016.68"/>
    <n v="40450.94"/>
    <n v="1016.78"/>
    <n v="40855.229999999996"/>
    <n v="0"/>
    <n v="0"/>
    <n v="1016.78"/>
    <n v="40855.229999999996"/>
    <n v="40450.94"/>
    <n v="0"/>
    <n v="0"/>
    <n v="404.2899999999936"/>
    <n v="0"/>
    <n v="0"/>
    <n v="0"/>
    <n v="40451"/>
    <n v="0"/>
    <n v="0"/>
    <n v="0"/>
    <n v="0"/>
    <n v="0"/>
    <n v="0"/>
    <n v="-9.9945761458199375E-3"/>
    <n v="17"/>
    <m/>
    <s v="Chautham"/>
    <m/>
    <n v="0"/>
  </r>
  <r>
    <s v="Munger"/>
    <s v="24-30 Jul"/>
    <n v="1056"/>
    <s v="Chautham"/>
    <x v="779"/>
    <s v="Gomukh Uttari Hardia"/>
    <s v="vlc"/>
    <s v="Direct"/>
    <n v="257.53999999999996"/>
    <n v="12399.029999999999"/>
    <n v="262.71999999999997"/>
    <n v="12638.189999999999"/>
    <n v="0"/>
    <n v="0"/>
    <n v="262.71999999999997"/>
    <n v="12638.189999999999"/>
    <n v="12399.029999999999"/>
    <n v="0"/>
    <n v="0"/>
    <n v="239.15999999999985"/>
    <n v="12399"/>
    <n v="0"/>
    <n v="0"/>
    <n v="0"/>
    <n v="0"/>
    <n v="0"/>
    <n v="0"/>
    <s v="Release1"/>
    <n v="426.03671769822171"/>
    <n v="36.791428571428568"/>
    <n v="-1.9288605640925126E-2"/>
    <n v="1"/>
    <m/>
    <s v="Chautham"/>
    <m/>
    <n v="0"/>
  </r>
  <r>
    <s v="Munger"/>
    <s v="24-30 Jul"/>
    <n v="1056"/>
    <s v="Chautham"/>
    <x v="780"/>
    <s v="Gomukh Nirpur Keshv Nagar"/>
    <s v="vlc"/>
    <s v="Direct"/>
    <n v="511.05999999999995"/>
    <n v="20448.160000000003"/>
    <n v="508.06"/>
    <n v="20338.509999999995"/>
    <n v="0"/>
    <n v="0"/>
    <n v="508.06"/>
    <n v="20338.509999999995"/>
    <n v="20338.509999999995"/>
    <n v="0"/>
    <n v="0"/>
    <n v="0"/>
    <n v="0"/>
    <n v="0"/>
    <n v="0"/>
    <n v="20339"/>
    <n v="0"/>
    <n v="0"/>
    <n v="109"/>
    <n v="0"/>
    <n v="151.19458969201281"/>
    <n v="73.008571428571415"/>
    <n v="5.3623406702612226E-3"/>
    <n v="1"/>
    <m/>
    <s v="Chautham"/>
    <m/>
    <n v="0"/>
  </r>
  <r>
    <s v="Munger"/>
    <s v="24-30 Jul"/>
    <n v="1056"/>
    <s v="Chautham"/>
    <x v="781"/>
    <s v="Gomukh Thuthi Vlc"/>
    <s v="MPG"/>
    <s v="Indirect"/>
    <n v="323.49999999999994"/>
    <n v="13199.640000000001"/>
    <n v="323.5"/>
    <n v="13130.87"/>
    <n v="0"/>
    <n v="0"/>
    <n v="323.5"/>
    <n v="13130.87"/>
    <n v="13199.640000000001"/>
    <n v="0"/>
    <n v="0"/>
    <n v="0"/>
    <n v="0"/>
    <n v="0"/>
    <n v="0"/>
    <n v="0"/>
    <n v="0"/>
    <n v="13199.640000000001"/>
    <n v="0"/>
    <n v="0"/>
    <n v="307.24355239567251"/>
    <n v="46.214285714285708"/>
    <n v="0"/>
    <n v="1"/>
    <m/>
    <s v="Chautham"/>
    <m/>
    <n v="0"/>
  </r>
  <r>
    <s v="Munger"/>
    <s v="24-30 Jul"/>
    <n v="1056"/>
    <s v="Chautham"/>
    <x v="782"/>
    <s v="Gomukh Nawadai Vlc"/>
    <s v="vlc"/>
    <s v="Indirect"/>
    <n v="20.58"/>
    <n v="733.01"/>
    <n v="0"/>
    <n v="0"/>
    <n v="0"/>
    <n v="0"/>
    <n v="0"/>
    <n v="0"/>
    <n v="733.01"/>
    <n v="0"/>
    <n v="0"/>
    <n v="0"/>
    <n v="733"/>
    <n v="0"/>
    <n v="0"/>
    <n v="0"/>
    <n v="0"/>
    <n v="9.9999999999909051E-3"/>
    <n v="0"/>
    <n v="0"/>
    <n v="483.98605850340152"/>
    <n v="2.94"/>
    <n v="0"/>
    <n v="0"/>
    <m/>
    <s v="Chautham"/>
    <m/>
    <n v="0"/>
  </r>
  <r>
    <s v="Munger"/>
    <s v="24-30 Jul"/>
    <n v="1056"/>
    <s v="Chautham"/>
    <x v="783"/>
    <s v="Gomukh Kharra Basa"/>
    <s v="MPG"/>
    <s v="Direct"/>
    <n v="485.90000000000003"/>
    <n v="18568.509999999998"/>
    <n v="493.82000000000005"/>
    <n v="17886.150000000001"/>
    <n v="0"/>
    <n v="0"/>
    <n v="493.82000000000005"/>
    <n v="17886.150000000001"/>
    <n v="17886.150000000001"/>
    <n v="0"/>
    <n v="0"/>
    <n v="0"/>
    <n v="0"/>
    <n v="0"/>
    <n v="0"/>
    <n v="17886"/>
    <n v="0"/>
    <n v="0"/>
    <n v="683"/>
    <n v="0"/>
    <n v="163.63523321671116"/>
    <n v="69.414285714285725"/>
    <n v="3.6748236665192682E-2"/>
    <n v="2"/>
    <m/>
    <s v="Chautham"/>
    <m/>
    <n v="0"/>
  </r>
  <r>
    <s v="Munger"/>
    <s v="24-30 Jul"/>
    <n v="1056"/>
    <s v="Chautham"/>
    <x v="784"/>
    <s v="Gomukh Bangalia"/>
    <s v="MPG"/>
    <s v="Direct"/>
    <n v="525.57999999999993"/>
    <n v="24289.23"/>
    <n v="568.88"/>
    <n v="25647.549999999996"/>
    <n v="0"/>
    <n v="0"/>
    <n v="568.88"/>
    <n v="25647.549999999996"/>
    <n v="24289.23"/>
    <n v="0"/>
    <n v="0"/>
    <n v="1358.3199999999961"/>
    <n v="0"/>
    <n v="0"/>
    <n v="0"/>
    <n v="24289"/>
    <n v="0"/>
    <n v="0"/>
    <n v="0"/>
    <n v="0"/>
    <n v="161.21342123368478"/>
    <n v="75.082857142857137"/>
    <n v="-5.592272789215616E-2"/>
    <n v="1"/>
    <m/>
    <s v="Chautham"/>
    <m/>
    <n v="0"/>
  </r>
  <r>
    <s v="Munger"/>
    <s v="24-30 Jul"/>
    <n v="1056"/>
    <s v="Chautham"/>
    <x v="785"/>
    <s v="Gomukh Soharba Purvi"/>
    <s v="MPG"/>
    <s v="Direct"/>
    <n v="149.30000000000001"/>
    <n v="5910.79"/>
    <n v="92.170000000000016"/>
    <n v="3596.3199999999997"/>
    <n v="57.78"/>
    <n v="2219.92"/>
    <n v="149.95000000000002"/>
    <n v="5816.24"/>
    <n v="5816.24"/>
    <n v="0"/>
    <n v="0"/>
    <n v="0"/>
    <n v="0"/>
    <n v="0"/>
    <n v="0"/>
    <n v="3596"/>
    <n v="2219"/>
    <n v="0"/>
    <n v="96"/>
    <n v="0"/>
    <n v="436.04448131279298"/>
    <n v="21.328571428571429"/>
    <n v="1.5996169716738402E-2"/>
    <n v="5"/>
    <m/>
    <s v="Chautham"/>
    <m/>
    <n v="0"/>
  </r>
  <r>
    <s v="Munger"/>
    <s v="24-30 Jul"/>
    <n v="1056"/>
    <s v="Chautham"/>
    <x v="786"/>
    <s v="Gommukh Khushbu Kumari Vlc"/>
    <s v="vlc"/>
    <s v="Indirect"/>
    <n v="23.08"/>
    <n v="818.42"/>
    <n v="0"/>
    <n v="0"/>
    <n v="0"/>
    <n v="0"/>
    <n v="0"/>
    <n v="0"/>
    <n v="818.42"/>
    <n v="0"/>
    <n v="0"/>
    <n v="0"/>
    <n v="0"/>
    <n v="0"/>
    <n v="0"/>
    <n v="0"/>
    <n v="0"/>
    <n v="818.42"/>
    <n v="0"/>
    <n v="0"/>
    <n v="480.07354107452329"/>
    <n v="3.2971428571428567"/>
    <n v="0"/>
    <n v="0"/>
    <m/>
    <s v="Chautham"/>
    <m/>
    <n v="0"/>
  </r>
  <r>
    <s v="Munger"/>
    <s v="24-30 Jul"/>
    <n v="1056"/>
    <s v="Chautham"/>
    <x v="787"/>
    <s v="Gomukh Saraiya Wad -5 Vlc"/>
    <s v="vlc"/>
    <s v="Indirect"/>
    <n v="129.52000000000001"/>
    <n v="5118.32"/>
    <n v="0"/>
    <n v="0"/>
    <n v="0"/>
    <n v="0"/>
    <n v="0"/>
    <n v="0"/>
    <n v="5118.32"/>
    <n v="0"/>
    <n v="0"/>
    <n v="0"/>
    <n v="0"/>
    <n v="0"/>
    <n v="0"/>
    <n v="0"/>
    <n v="0"/>
    <n v="5118.32"/>
    <n v="0"/>
    <n v="0"/>
    <n v="450.8800484249536"/>
    <n v="18.502857142857145"/>
    <n v="0"/>
    <n v="0"/>
    <m/>
    <s v="Chautham"/>
    <m/>
    <n v="0"/>
  </r>
  <r>
    <s v="Munger"/>
    <s v="24-30 Jul"/>
    <n v="1056"/>
    <s v="Chautham"/>
    <x v="1041"/>
    <s v="Gomukh Baltara Wad-2 Vlc"/>
    <s v="vlc"/>
    <s v="Indirect"/>
    <n v="324.14"/>
    <n v="11941.32"/>
    <n v="0"/>
    <n v="0"/>
    <n v="0"/>
    <n v="0"/>
    <n v="0"/>
    <n v="0"/>
    <n v="11941.32"/>
    <n v="0"/>
    <n v="0"/>
    <n v="0"/>
    <n v="0"/>
    <n v="0"/>
    <n v="0"/>
    <n v="0"/>
    <n v="0"/>
    <n v="11941.32"/>
    <n v="0"/>
    <n v="0"/>
    <n v="276.9337036589128"/>
    <n v="46.305714285714281"/>
    <n v="0"/>
    <n v="0"/>
    <m/>
    <s v="Chautham"/>
    <m/>
    <n v="0"/>
  </r>
  <r>
    <s v="Munger"/>
    <s v="24-30 Jul"/>
    <n v="1056"/>
    <s v="Chautham"/>
    <x v="1042"/>
    <s v="Gomukh Koila"/>
    <s v="vlc"/>
    <s v="Direct"/>
    <n v="97.5"/>
    <n v="4168.74"/>
    <n v="96.170000000000016"/>
    <n v="4477.45"/>
    <n v="0"/>
    <n v="0"/>
    <n v="96.170000000000016"/>
    <n v="4477.45"/>
    <n v="4168.74"/>
    <n v="0"/>
    <n v="0"/>
    <n v="308.71000000000004"/>
    <n v="0"/>
    <n v="0"/>
    <n v="0"/>
    <n v="4477"/>
    <n v="0"/>
    <n v="0"/>
    <n v="-308"/>
    <s v="Release2"/>
    <n v="515.21350769230764"/>
    <n v="13.928571428571429"/>
    <n v="-7.4053550953045777E-2"/>
    <n v="3"/>
    <m/>
    <s v="Chautham"/>
    <m/>
    <n v="0"/>
  </r>
  <r>
    <s v="Munger"/>
    <s v="24-30 Jul"/>
    <n v="1056"/>
    <s v="Chautham"/>
    <x v="1043"/>
    <s v="Gomukh Aakash Milk And Milk Producers.company"/>
    <s v="vlc"/>
    <s v="Indirect"/>
    <n v="523.29999999999995"/>
    <n v="22311.02"/>
    <n v="0"/>
    <n v="0"/>
    <n v="0"/>
    <n v="0"/>
    <n v="0"/>
    <n v="0"/>
    <n v="22311.02"/>
    <n v="0"/>
    <n v="0"/>
    <n v="0"/>
    <n v="0"/>
    <n v="0"/>
    <n v="0"/>
    <n v="0"/>
    <n v="0"/>
    <n v="22311.02"/>
    <n v="0"/>
    <n v="0"/>
    <n v="150.67293078540041"/>
    <n v="74.757142857142853"/>
    <n v="0"/>
    <n v="0"/>
    <m/>
    <s v="Chautham"/>
    <m/>
    <n v="0"/>
  </r>
  <r>
    <s v="Munger"/>
    <s v="24-30 Jul"/>
    <n v="1056"/>
    <s v="Chautham"/>
    <x v="1044"/>
    <s v="Gomukh Paharpur Vlc"/>
    <s v="vlc"/>
    <s v="Indirect"/>
    <n v="39.340000000000003"/>
    <n v="1427.65"/>
    <n v="0"/>
    <n v="0"/>
    <n v="0"/>
    <n v="0"/>
    <n v="0"/>
    <n v="0"/>
    <n v="1427.65"/>
    <n v="0"/>
    <n v="0"/>
    <n v="0"/>
    <n v="0"/>
    <n v="0"/>
    <n v="0"/>
    <n v="0"/>
    <n v="0"/>
    <n v="1427.65"/>
    <n v="0"/>
    <n v="0"/>
    <n v="479.50749822064057"/>
    <n v="5.62"/>
    <n v="0"/>
    <n v="0"/>
    <m/>
    <s v="Chautham"/>
    <m/>
    <n v="0"/>
  </r>
  <r>
    <s v="Munger"/>
    <s v="24-30 Jul"/>
    <n v="1063"/>
    <s v="Rosera"/>
    <x v="788"/>
    <s v="Karian"/>
    <s v="MPG"/>
    <s v="Direct"/>
    <n v="67.199999999999989"/>
    <n v="2765.7400000000002"/>
    <n v="65.199999999999989"/>
    <n v="2673.5800000000004"/>
    <n v="2"/>
    <n v="89.8"/>
    <n v="67.199999999999989"/>
    <n v="2763.3800000000006"/>
    <n v="2763.3800000000006"/>
    <n v="0"/>
    <n v="8.98"/>
    <n v="0"/>
    <n v="0"/>
    <n v="500"/>
    <n v="0"/>
    <n v="2174"/>
    <n v="79"/>
    <n v="0"/>
    <n v="4"/>
    <n v="0"/>
    <n v="520.88103333333356"/>
    <n v="9.5999999999999979"/>
    <n v="8.5329785156944336E-4"/>
    <n v="7"/>
    <m/>
    <s v="Rosera"/>
    <m/>
    <n v="500"/>
  </r>
  <r>
    <s v="Munger"/>
    <s v="24-30 Jul"/>
    <n v="1057"/>
    <s v="Warisnagar"/>
    <x v="789"/>
    <s v="Teghara"/>
    <s v="MPG"/>
    <s v="Direct"/>
    <n v="291.5"/>
    <n v="11617.7"/>
    <n v="39.6"/>
    <n v="1572.1599999999999"/>
    <n v="249.8"/>
    <n v="9984.75"/>
    <n v="289.40000000000003"/>
    <n v="11556.91"/>
    <n v="11556.91"/>
    <n v="0"/>
    <n v="227.03"/>
    <n v="0"/>
    <n v="0"/>
    <n v="500"/>
    <n v="0"/>
    <n v="1072"/>
    <n v="9759"/>
    <n v="0"/>
    <n v="60"/>
    <n v="0"/>
    <n v="325.61443910806179"/>
    <n v="41.642857142857146"/>
    <n v="5.2325331175706782E-3"/>
    <n v="14"/>
    <m/>
    <s v="Warisnagar"/>
    <m/>
    <n v="500"/>
  </r>
  <r>
    <s v="Munger"/>
    <s v="24-30 Jul"/>
    <n v="1057"/>
    <s v="Warisnagar"/>
    <x v="790"/>
    <s v="Basantpur"/>
    <s v="MPG"/>
    <s v="Indirect"/>
    <n v="946.9"/>
    <n v="41276.420000000006"/>
    <n v="0"/>
    <n v="0"/>
    <n v="0"/>
    <n v="0"/>
    <n v="0"/>
    <n v="0"/>
    <n v="41276.420000000006"/>
    <n v="0"/>
    <n v="0"/>
    <n v="0"/>
    <n v="0"/>
    <n v="0"/>
    <n v="0"/>
    <n v="0"/>
    <n v="0"/>
    <n v="41276.420000000006"/>
    <n v="0"/>
    <s v="Release1"/>
    <n v="0"/>
    <n v="0"/>
    <n v="0"/>
    <n v="0"/>
    <m/>
    <s v="Warisnagar"/>
    <m/>
    <n v="0"/>
  </r>
  <r>
    <s v="Munger"/>
    <s v="24-30 Jul"/>
    <n v="1057"/>
    <s v="Warisnagar"/>
    <x v="791"/>
    <s v="Chakoti"/>
    <s v="MPG"/>
    <s v="Direct"/>
    <n v="1074.8"/>
    <n v="42897.42"/>
    <n v="50.31"/>
    <n v="2020.7200000000003"/>
    <n v="1022.1000000000001"/>
    <n v="40864.220000000008"/>
    <n v="1072.4100000000001"/>
    <n v="42884.94000000001"/>
    <n v="42884.94000000001"/>
    <n v="0"/>
    <n v="752.76"/>
    <n v="0"/>
    <n v="0"/>
    <n v="0"/>
    <n v="0"/>
    <n v="2021"/>
    <n v="40114"/>
    <n v="0"/>
    <n v="10"/>
    <n v="0"/>
    <n v="0"/>
    <n v="0"/>
    <n v="2.9092658719309108E-4"/>
    <n v="20"/>
    <m/>
    <s v="Warisnagar"/>
    <m/>
    <n v="0"/>
  </r>
  <r>
    <s v="Munger"/>
    <s v="24-30 Jul"/>
    <n v="1057"/>
    <s v="Warisnagar"/>
    <x v="792"/>
    <s v="Nathudawar"/>
    <s v="MPG"/>
    <s v="Direct"/>
    <n v="1230.7"/>
    <n v="48476.76"/>
    <n v="308.39999999999998"/>
    <n v="12534.309999999998"/>
    <n v="922"/>
    <n v="35902.1"/>
    <n v="1230.4000000000001"/>
    <n v="48436.409999999996"/>
    <n v="48436.409999999996"/>
    <n v="0"/>
    <n v="596.49"/>
    <n v="0"/>
    <n v="0"/>
    <n v="0"/>
    <n v="0"/>
    <n v="12534"/>
    <n v="35306"/>
    <n v="0"/>
    <n v="40"/>
    <n v="0"/>
    <n v="0"/>
    <n v="0"/>
    <n v="8.3235760805808428E-4"/>
    <n v="7"/>
    <m/>
    <s v="Warisnagar"/>
    <m/>
    <n v="0"/>
  </r>
  <r>
    <s v="Munger"/>
    <s v="24-30 Jul"/>
    <n v="1057"/>
    <s v="Warisnagar"/>
    <x v="793"/>
    <s v="Purnahi"/>
    <s v="vlc"/>
    <s v="Indirect"/>
    <n v="110.79999999999998"/>
    <n v="4098"/>
    <n v="0"/>
    <n v="0"/>
    <n v="0"/>
    <n v="0"/>
    <n v="0"/>
    <n v="0"/>
    <n v="4098"/>
    <n v="0"/>
    <n v="0"/>
    <n v="0"/>
    <n v="0"/>
    <n v="0"/>
    <n v="0"/>
    <n v="0"/>
    <n v="0"/>
    <n v="4098"/>
    <n v="0"/>
    <n v="0"/>
    <n v="435.83783393501812"/>
    <n v="15.828571428571426"/>
    <n v="0"/>
    <n v="0"/>
    <m/>
    <s v="Warisnagar"/>
    <m/>
    <n v="0"/>
  </r>
  <r>
    <s v="Munger"/>
    <s v="24-30 Jul"/>
    <n v="1057"/>
    <s v="Warisnagar"/>
    <x v="794"/>
    <s v="Baghopur "/>
    <s v="vlc"/>
    <s v="Indirect"/>
    <n v="1385.9999999999998"/>
    <n v="52559.479999999996"/>
    <n v="0"/>
    <n v="0"/>
    <n v="0"/>
    <n v="0"/>
    <n v="0"/>
    <n v="0"/>
    <n v="52559.479999999996"/>
    <n v="0"/>
    <n v="0"/>
    <n v="0"/>
    <n v="0"/>
    <n v="0"/>
    <n v="0"/>
    <n v="0"/>
    <n v="0"/>
    <n v="52559.479999999996"/>
    <n v="0"/>
    <n v="0"/>
    <n v="0"/>
    <n v="0"/>
    <n v="0"/>
    <n v="0"/>
    <m/>
    <s v="Warisnagar"/>
    <m/>
    <n v="0"/>
  </r>
  <r>
    <s v="Munger"/>
    <s v="24-30 Jul"/>
    <n v="1063"/>
    <s v="Rosera"/>
    <x v="795"/>
    <s v="Dewanpur"/>
    <s v="MPG"/>
    <s v="Direct"/>
    <n v="256.7"/>
    <n v="12043.819999999998"/>
    <n v="184.79999999999995"/>
    <n v="8898.1600000000017"/>
    <n v="71.100000000000009"/>
    <n v="3115.5"/>
    <n v="255.89999999999998"/>
    <n v="12013.660000000002"/>
    <n v="12013.660000000002"/>
    <n v="0"/>
    <n v="240.78"/>
    <n v="0"/>
    <n v="0"/>
    <n v="500"/>
    <n v="0"/>
    <n v="8398"/>
    <n v="2874"/>
    <n v="0"/>
    <n v="31"/>
    <n v="0"/>
    <n v="415.97393112582773"/>
    <n v="36.671428571428571"/>
    <n v="2.504188870308276E-3"/>
    <n v="12"/>
    <m/>
    <s v="Rosera"/>
    <m/>
    <n v="500"/>
  </r>
  <r>
    <s v="Munger"/>
    <s v="24-30 Jul"/>
    <n v="1057"/>
    <s v="Warisnagar"/>
    <x v="797"/>
    <s v="Matua"/>
    <s v="MPG"/>
    <s v="Direct"/>
    <n v="676.1"/>
    <n v="30951.350000000002"/>
    <n v="173.5"/>
    <n v="7418.4599999999991"/>
    <n v="501.7"/>
    <n v="23405.280000000002"/>
    <n v="675.2"/>
    <n v="30823.74"/>
    <n v="30823.74"/>
    <n v="0"/>
    <n v="153.57999999999998"/>
    <n v="0"/>
    <n v="0"/>
    <n v="0"/>
    <n v="0"/>
    <n v="7419"/>
    <n v="23253"/>
    <n v="0"/>
    <n v="126"/>
    <n v="0"/>
    <n v="21.882480846028674"/>
    <n v="96.585714285714289"/>
    <n v="4.1229219404000338E-3"/>
    <n v="19"/>
    <m/>
    <s v="Warisnagar"/>
    <m/>
    <n v="0"/>
  </r>
  <r>
    <s v="Munger"/>
    <s v="24-30 Jul"/>
    <n v="1057"/>
    <s v="Warisnagar"/>
    <x v="798"/>
    <s v="Ratni Chouk"/>
    <s v="MPG"/>
    <s v="Direct"/>
    <n v="680.3"/>
    <n v="30713.949999999997"/>
    <n v="680.3"/>
    <n v="30703.040000000001"/>
    <n v="0"/>
    <n v="0"/>
    <n v="680.3"/>
    <n v="30703.040000000001"/>
    <n v="30703.040000000001"/>
    <n v="0"/>
    <n v="0"/>
    <n v="0"/>
    <n v="0"/>
    <n v="0"/>
    <n v="0"/>
    <n v="30703"/>
    <n v="0"/>
    <n v="0"/>
    <n v="11"/>
    <n v="0"/>
    <n v="17.788176245773936"/>
    <n v="97.185714285714283"/>
    <n v="3.5521318488817677E-4"/>
    <n v="1"/>
    <m/>
    <s v="Warisnagar"/>
    <m/>
    <n v="0"/>
  </r>
  <r>
    <s v="Munger"/>
    <s v="24-30 Jul"/>
    <n v="1057"/>
    <s v="Warisnagar"/>
    <x v="799"/>
    <s v="Balahi 2"/>
    <s v="MPG"/>
    <s v="Direct"/>
    <n v="471.29999999999995"/>
    <n v="17635.489999999998"/>
    <n v="426.09999999999997"/>
    <n v="16149.460000000001"/>
    <n v="39.900000000000006"/>
    <n v="1473.27"/>
    <n v="466"/>
    <n v="17622.73"/>
    <n v="17622.73"/>
    <n v="0"/>
    <n v="0"/>
    <n v="0"/>
    <n v="0"/>
    <n v="0"/>
    <n v="0"/>
    <n v="16150"/>
    <n v="1473"/>
    <n v="0"/>
    <n v="12"/>
    <n v="0"/>
    <n v="171.15368398047954"/>
    <n v="67.328571428571422"/>
    <n v="7.2354099602553717E-4"/>
    <n v="8"/>
    <m/>
    <s v="Warisnagar"/>
    <m/>
    <n v="0"/>
  </r>
  <r>
    <s v="Munger"/>
    <s v="24-30 Jul"/>
    <n v="1057"/>
    <s v="Warisnagar"/>
    <x v="800"/>
    <s v="Chandauli"/>
    <s v="vlc"/>
    <s v="Indirect"/>
    <n v="203"/>
    <n v="9908.44"/>
    <n v="0"/>
    <n v="0"/>
    <n v="0"/>
    <n v="0"/>
    <n v="0"/>
    <n v="0"/>
    <n v="9908.44"/>
    <n v="0"/>
    <n v="0"/>
    <n v="0"/>
    <n v="0"/>
    <n v="0"/>
    <n v="0"/>
    <n v="0"/>
    <n v="0"/>
    <n v="9908.44"/>
    <n v="0"/>
    <n v="0"/>
    <n v="485.17188965517244"/>
    <n v="29"/>
    <n v="0"/>
    <n v="0"/>
    <m/>
    <s v="Warisnagar"/>
    <m/>
    <n v="0"/>
  </r>
  <r>
    <s v="Munger"/>
    <s v="24-30 Jul"/>
    <n v="1057"/>
    <s v="Warisnagar"/>
    <x v="1045"/>
    <s v="Nakta"/>
    <s v="vlc"/>
    <s v="Indirect"/>
    <n v="122.8"/>
    <n v="5138.6200000000008"/>
    <n v="0"/>
    <n v="0"/>
    <n v="0"/>
    <n v="0"/>
    <n v="0"/>
    <n v="0"/>
    <n v="5138.6200000000008"/>
    <n v="0"/>
    <n v="0"/>
    <n v="0"/>
    <n v="0"/>
    <n v="0"/>
    <n v="0"/>
    <n v="0"/>
    <n v="0"/>
    <n v="5138.6200000000008"/>
    <n v="0"/>
    <n v="0"/>
    <n v="483.0637563517916"/>
    <n v="17.542857142857141"/>
    <n v="0"/>
    <n v="0"/>
    <m/>
    <s v="Warisnagar"/>
    <m/>
    <n v="0"/>
  </r>
  <r>
    <s v="Munger"/>
    <s v="24-30 Jul"/>
    <n v="1057"/>
    <s v="Warisnagar"/>
    <x v="801"/>
    <s v="Gulabi Choak"/>
    <s v="vlc"/>
    <s v="Indirect"/>
    <n v="1036.7"/>
    <n v="39462.109999999993"/>
    <n v="0"/>
    <n v="0"/>
    <n v="0"/>
    <n v="0"/>
    <n v="0"/>
    <n v="0"/>
    <n v="39462.109999999993"/>
    <n v="0"/>
    <n v="0"/>
    <n v="0"/>
    <n v="0"/>
    <n v="0"/>
    <n v="0"/>
    <n v="0"/>
    <n v="0"/>
    <n v="39462.109999999993"/>
    <n v="0"/>
    <n v="0"/>
    <n v="0"/>
    <n v="0"/>
    <n v="0"/>
    <n v="0"/>
    <m/>
    <s v="Warisnagar"/>
    <m/>
    <n v="0"/>
  </r>
  <r>
    <s v="Munger"/>
    <s v="24-30 Jul"/>
    <n v="1057"/>
    <s v="Warisnagar"/>
    <x v="802"/>
    <s v="Satmalpur"/>
    <s v="vlc"/>
    <s v="Indirect"/>
    <n v="1050.1000000000001"/>
    <n v="40474.950000000004"/>
    <n v="0"/>
    <n v="0"/>
    <n v="0"/>
    <n v="0"/>
    <n v="0"/>
    <n v="0"/>
    <n v="40474.950000000004"/>
    <n v="0"/>
    <n v="0"/>
    <n v="0"/>
    <n v="0"/>
    <n v="0"/>
    <n v="0"/>
    <n v="0"/>
    <n v="0"/>
    <n v="40474.950000000004"/>
    <n v="0"/>
    <n v="0"/>
    <n v="0"/>
    <n v="0"/>
    <n v="0"/>
    <n v="0"/>
    <m/>
    <s v="Warisnagar"/>
    <m/>
    <n v="0"/>
  </r>
  <r>
    <s v="Munger"/>
    <s v="24-30 Jul"/>
    <n v="1057"/>
    <s v="Warisnagar"/>
    <x v="803"/>
    <s v="Chhatnesar 2"/>
    <s v="MPG"/>
    <s v="Direct"/>
    <n v="335.99999999999994"/>
    <n v="12500.36"/>
    <n v="47.8"/>
    <n v="1775.89"/>
    <n v="290.09999999999991"/>
    <n v="10734.120000000003"/>
    <n v="337.89999999999992"/>
    <n v="12510.010000000002"/>
    <n v="12500.36"/>
    <n v="0"/>
    <n v="155.25"/>
    <n v="9.6500000000014552"/>
    <n v="0"/>
    <n v="0"/>
    <n v="0"/>
    <n v="1770"/>
    <n v="10575"/>
    <n v="0"/>
    <n v="0"/>
    <n v="0"/>
    <n v="270.84113333333346"/>
    <n v="47.999999999999993"/>
    <n v="-7.7197776704042561E-4"/>
    <n v="15"/>
    <m/>
    <s v="Warisnagar"/>
    <m/>
    <n v="0"/>
  </r>
  <r>
    <s v="Munger"/>
    <s v="24-30 Jul"/>
    <n v="1057"/>
    <s v="Warisnagar"/>
    <x v="804"/>
    <s v="Hajpurwa"/>
    <s v="MPG"/>
    <s v="Direct"/>
    <n v="160.50000000000003"/>
    <n v="6948.6900000000005"/>
    <n v="23"/>
    <n v="955.88"/>
    <n v="139.6"/>
    <n v="5896.45"/>
    <n v="162.6"/>
    <n v="6852.33"/>
    <n v="6852.33"/>
    <n v="0"/>
    <n v="110.94"/>
    <n v="0"/>
    <n v="0"/>
    <n v="0"/>
    <n v="0"/>
    <n v="0"/>
    <n v="0"/>
    <n v="0"/>
    <n v="6838"/>
    <s v="Yes"/>
    <n v="467.14246168224292"/>
    <n v="22.928571428571434"/>
    <n v="1.3867362049537478E-2"/>
    <n v="10"/>
    <m/>
    <s v="Warisnagar"/>
    <m/>
    <n v="0"/>
  </r>
  <r>
    <s v="Munger"/>
    <s v="24-30 Jul"/>
    <n v="1057"/>
    <s v="Warisnagar"/>
    <x v="805"/>
    <s v="Shekhopur"/>
    <s v="MPG"/>
    <s v="Direct"/>
    <n v="419.8"/>
    <n v="16046.46"/>
    <n v="128"/>
    <n v="4790.7199999999993"/>
    <n v="292.29999999999995"/>
    <n v="11240.949999999999"/>
    <n v="420.29999999999995"/>
    <n v="16031.669999999998"/>
    <n v="16031.669999999998"/>
    <n v="0"/>
    <n v="426.22999999999996"/>
    <n v="0"/>
    <n v="0"/>
    <n v="0"/>
    <n v="0"/>
    <n v="4791"/>
    <n v="10816"/>
    <n v="0"/>
    <n v="13"/>
    <n v="0"/>
    <n v="214.20762706050496"/>
    <n v="59.971428571428575"/>
    <n v="9.2169861763908515E-4"/>
    <n v="7"/>
    <m/>
    <s v="Warisnagar"/>
    <m/>
    <n v="0"/>
  </r>
  <r>
    <s v="Munger"/>
    <s v="24-30 Jul"/>
    <n v="1057"/>
    <s v="Warisnagar"/>
    <x v="807"/>
    <s v="Pauriya 2"/>
    <s v="vlc"/>
    <s v="Indirect"/>
    <n v="720.09999999999991"/>
    <n v="30846.44"/>
    <n v="0"/>
    <n v="0"/>
    <n v="0"/>
    <n v="0"/>
    <n v="0"/>
    <n v="0"/>
    <n v="30846.44"/>
    <n v="0"/>
    <n v="0"/>
    <n v="0"/>
    <n v="0"/>
    <n v="0"/>
    <n v="0"/>
    <n v="0"/>
    <n v="0"/>
    <n v="30846.44"/>
    <n v="0"/>
    <n v="0"/>
    <n v="0"/>
    <n v="0"/>
    <n v="0"/>
    <n v="0"/>
    <m/>
    <s v="Warisnagar"/>
    <m/>
    <n v="0"/>
  </r>
  <r>
    <s v="Munger"/>
    <s v="24-30 Jul"/>
    <n v="1057"/>
    <s v="Warisnagar"/>
    <x v="808"/>
    <s v="Hajpurwa Pachim"/>
    <s v="MPG"/>
    <s v="Direct"/>
    <n v="330"/>
    <n v="14726.96"/>
    <n v="326.29999999999995"/>
    <n v="14537.899999999998"/>
    <n v="6.1"/>
    <n v="171.97"/>
    <n v="332.4"/>
    <n v="14709.869999999997"/>
    <n v="14709.869999999997"/>
    <n v="0"/>
    <n v="26.88"/>
    <n v="0"/>
    <n v="100"/>
    <n v="0"/>
    <n v="0"/>
    <n v="14438"/>
    <n v="145"/>
    <n v="0"/>
    <n v="17"/>
    <n v="0"/>
    <n v="330.24092121212118"/>
    <n v="47.142857142857146"/>
    <n v="1.1604567405630196E-3"/>
    <n v="11"/>
    <m/>
    <s v="Warisnagar"/>
    <m/>
    <n v="0"/>
  </r>
  <r>
    <s v="Munger"/>
    <s v="24-30 Jul"/>
    <n v="1057"/>
    <s v="Warisnagar"/>
    <x v="809"/>
    <s v="Almasnagar"/>
    <s v="vlc"/>
    <s v="Indirect"/>
    <n v="189.59999999999997"/>
    <n v="7343.04"/>
    <n v="0"/>
    <n v="0"/>
    <n v="0"/>
    <n v="0"/>
    <n v="0"/>
    <n v="0"/>
    <n v="7343.04"/>
    <n v="0"/>
    <n v="0"/>
    <n v="0"/>
    <n v="0"/>
    <n v="0"/>
    <n v="0"/>
    <n v="0"/>
    <n v="0"/>
    <n v="7343.04"/>
    <n v="0"/>
    <n v="0"/>
    <n v="395.34679493670893"/>
    <n v="27.085714285714282"/>
    <n v="0"/>
    <n v="0"/>
    <m/>
    <s v="Warisnagar"/>
    <m/>
    <n v="0"/>
  </r>
  <r>
    <s v="Munger"/>
    <s v="24-30 Jul"/>
    <n v="1057"/>
    <s v="Warisnagar"/>
    <x v="810"/>
    <s v="Kadarchak"/>
    <s v="vlc"/>
    <s v="Indirect"/>
    <n v="118.9"/>
    <n v="4581.46"/>
    <n v="0"/>
    <n v="0"/>
    <n v="0"/>
    <n v="0"/>
    <n v="0"/>
    <n v="0"/>
    <n v="4581.46"/>
    <n v="0"/>
    <n v="0"/>
    <n v="0"/>
    <n v="0"/>
    <n v="0"/>
    <n v="0"/>
    <n v="0"/>
    <n v="0"/>
    <n v="4581.46"/>
    <n v="0"/>
    <n v="0"/>
    <n v="447.81941227922607"/>
    <n v="16.985714285714288"/>
    <n v="0"/>
    <n v="0"/>
    <m/>
    <s v="Warisnagar"/>
    <m/>
    <n v="0"/>
  </r>
  <r>
    <s v="Munger"/>
    <s v="24-30 Jul"/>
    <n v="1057"/>
    <s v="Warisnagar"/>
    <x v="811"/>
    <s v="Rahua"/>
    <s v="MPG"/>
    <s v="Direct"/>
    <n v="171.49999999999997"/>
    <n v="7353.2100000000019"/>
    <n v="43.8"/>
    <n v="1857.12"/>
    <n v="123.4"/>
    <n v="5436.98"/>
    <n v="167.2"/>
    <n v="7294.0999999999995"/>
    <n v="7294.0999999999995"/>
    <n v="0"/>
    <n v="61.68"/>
    <n v="0"/>
    <n v="0"/>
    <n v="0"/>
    <n v="0"/>
    <n v="1857"/>
    <n v="5375"/>
    <n v="0"/>
    <n v="60"/>
    <n v="0"/>
    <n v="453.19784081632673"/>
    <n v="24.499999999999996"/>
    <n v="8.0386661063674755E-3"/>
    <n v="7"/>
    <m/>
    <s v="Warisnagar"/>
    <m/>
    <n v="0"/>
  </r>
  <r>
    <s v="Munger"/>
    <s v="24-30 Jul"/>
    <n v="1057"/>
    <s v="Warisnagar"/>
    <x v="812"/>
    <s v="Dagrua"/>
    <s v="MPG"/>
    <s v="Direct"/>
    <n v="141.10000000000002"/>
    <n v="6564.9900000000007"/>
    <n v="17.7"/>
    <n v="838.98"/>
    <n v="120.00000000000001"/>
    <n v="5688"/>
    <n v="137.70000000000002"/>
    <n v="6526.98"/>
    <n v="6526.98"/>
    <n v="0"/>
    <n v="142.19999999999999"/>
    <n v="0"/>
    <n v="0"/>
    <n v="0"/>
    <n v="0"/>
    <n v="839"/>
    <n v="5550"/>
    <n v="0"/>
    <n v="34"/>
    <n v="0"/>
    <n v="520.08120637845491"/>
    <n v="20.157142857142862"/>
    <n v="5.7898031832494985E-3"/>
    <n v="12"/>
    <m/>
    <s v="Warisnagar"/>
    <m/>
    <n v="0"/>
  </r>
  <r>
    <s v="Munger"/>
    <s v="24-30 Jul"/>
    <n v="1057"/>
    <s v="Warisnagar"/>
    <x v="813"/>
    <s v="Buzurgdoar"/>
    <s v="MPG"/>
    <s v="Direct"/>
    <n v="1008.8000000000001"/>
    <n v="40829.9"/>
    <n v="1005.6999999999996"/>
    <n v="40593.680000000008"/>
    <n v="2.5"/>
    <n v="97.45"/>
    <n v="1008.1999999999996"/>
    <n v="40691.130000000005"/>
    <n v="40691.130000000005"/>
    <n v="0"/>
    <n v="97.45"/>
    <n v="0"/>
    <n v="0"/>
    <n v="0"/>
    <n v="0"/>
    <n v="40596"/>
    <n v="0"/>
    <n v="0"/>
    <n v="136"/>
    <n v="0"/>
    <n v="0"/>
    <n v="0"/>
    <n v="3.3987347507585565E-3"/>
    <n v="19"/>
    <m/>
    <s v="Warisnagar"/>
    <m/>
    <n v="0"/>
  </r>
  <r>
    <s v="Munger"/>
    <s v="24-30 Jul"/>
    <n v="1057"/>
    <s v="Warisnagar"/>
    <x v="814"/>
    <s v="Patpara"/>
    <s v="vlc"/>
    <s v="Indirect"/>
    <n v="415.79999999999995"/>
    <n v="15179.439999999999"/>
    <n v="0"/>
    <n v="0"/>
    <n v="0"/>
    <n v="0"/>
    <n v="0"/>
    <n v="0"/>
    <n v="15179.439999999999"/>
    <n v="0"/>
    <n v="0"/>
    <n v="0"/>
    <n v="0"/>
    <n v="0"/>
    <n v="0"/>
    <n v="0"/>
    <n v="0"/>
    <n v="15179.439999999999"/>
    <n v="0"/>
    <n v="0"/>
    <n v="207.50345589225591"/>
    <n v="59.399999999999991"/>
    <n v="0"/>
    <n v="0"/>
    <m/>
    <s v="Warisnagar"/>
    <m/>
    <n v="0"/>
  </r>
  <r>
    <s v="Munger"/>
    <s v="24-30 Jul"/>
    <n v="1057"/>
    <s v="Warisnagar"/>
    <x v="815"/>
    <s v="Kamopur"/>
    <s v="MPG"/>
    <s v="Direct"/>
    <n v="355.7"/>
    <n v="15447.7"/>
    <n v="281.39999999999998"/>
    <n v="11174.64"/>
    <n v="74.599999999999994"/>
    <n v="4265.1000000000004"/>
    <n v="356"/>
    <n v="15439.74"/>
    <n v="15439.74"/>
    <n v="0"/>
    <n v="177.39000000000001"/>
    <n v="0"/>
    <n v="0"/>
    <n v="0"/>
    <n v="0"/>
    <n v="11175"/>
    <n v="4088"/>
    <n v="0"/>
    <n v="7"/>
    <n v="0"/>
    <n v="299.05218498734888"/>
    <n v="50.81428571428571"/>
    <n v="5.1528706538843622E-4"/>
    <n v="15"/>
    <m/>
    <s v="Warisnagar"/>
    <m/>
    <n v="0"/>
  </r>
  <r>
    <s v="Munger"/>
    <s v="24-30 Jul"/>
    <n v="1057"/>
    <s v="Warisnagar"/>
    <x v="816"/>
    <s v="Kussaiya"/>
    <s v="MPG"/>
    <s v="Direct"/>
    <n v="468.9"/>
    <n v="20229.05"/>
    <n v="69.90000000000002"/>
    <n v="2872.8799999999997"/>
    <n v="400.8"/>
    <n v="17343.059999999998"/>
    <n v="470.70000000000005"/>
    <n v="20215.939999999999"/>
    <n v="20215.939999999999"/>
    <n v="0"/>
    <n v="67.55"/>
    <n v="0"/>
    <n v="0"/>
    <n v="0"/>
    <n v="0"/>
    <n v="2873"/>
    <n v="17276"/>
    <n v="0"/>
    <n v="13"/>
    <n v="0"/>
    <n v="199.40001940712307"/>
    <n v="66.98571428571428"/>
    <n v="6.4807788798784834E-4"/>
    <n v="11"/>
    <m/>
    <s v="Warisnagar"/>
    <m/>
    <n v="0"/>
  </r>
  <r>
    <s v="Munger"/>
    <s v="24-30 Jul"/>
    <n v="1057"/>
    <s v="Warisnagar"/>
    <x v="817"/>
    <s v="Jagdishpur"/>
    <s v="MPG"/>
    <s v="Direct"/>
    <n v="121.19999999999997"/>
    <n v="4451.5"/>
    <n v="120.99999999999999"/>
    <n v="4205.670000000001"/>
    <n v="6.2"/>
    <n v="224.07000000000002"/>
    <n v="127.19999999999999"/>
    <n v="4429.7400000000007"/>
    <n v="4429.7400000000007"/>
    <n v="0"/>
    <n v="0"/>
    <n v="0"/>
    <n v="0"/>
    <n v="0"/>
    <n v="0"/>
    <n v="4206"/>
    <n v="224"/>
    <n v="0"/>
    <n v="22"/>
    <n v="0"/>
    <n v="425.16966996699682"/>
    <n v="17.31428571428571"/>
    <n v="4.8882399191282283E-3"/>
    <n v="5"/>
    <m/>
    <s v="Warisnagar"/>
    <m/>
    <n v="0"/>
  </r>
  <r>
    <s v="Munger"/>
    <s v="24-30 Jul"/>
    <n v="1057"/>
    <s v="Warisnagar"/>
    <x v="818"/>
    <s v="Kanu Bisanpur"/>
    <s v="vlc"/>
    <s v="Indirect"/>
    <n v="207.8"/>
    <n v="7706.2800000000007"/>
    <n v="0"/>
    <n v="0"/>
    <n v="0"/>
    <n v="0"/>
    <n v="0"/>
    <n v="0"/>
    <n v="7706.2800000000007"/>
    <n v="0"/>
    <n v="0"/>
    <n v="0"/>
    <n v="0"/>
    <n v="0"/>
    <n v="0"/>
    <n v="0"/>
    <n v="0"/>
    <n v="7706.2800000000007"/>
    <n v="0"/>
    <n v="0"/>
    <n v="365.06554533205008"/>
    <n v="29.685714285714287"/>
    <n v="0"/>
    <n v="0"/>
    <m/>
    <s v="Warisnagar"/>
    <m/>
    <n v="0"/>
  </r>
  <r>
    <s v="Munger"/>
    <s v="24-30 Jul"/>
    <n v="1057"/>
    <s v="Warisnagar"/>
    <x v="819"/>
    <s v="Raini 2"/>
    <s v="MPG"/>
    <s v="Direct"/>
    <n v="708.19999999999993"/>
    <n v="27968"/>
    <n v="33.9"/>
    <n v="1500.7499999999998"/>
    <n v="674.30000000000018"/>
    <n v="26338.989999999998"/>
    <n v="708.20000000000016"/>
    <n v="27839.739999999998"/>
    <n v="27839.739999999998"/>
    <n v="0"/>
    <n v="98.05"/>
    <n v="0"/>
    <n v="0"/>
    <n v="0"/>
    <n v="0"/>
    <n v="1501"/>
    <n v="26240"/>
    <n v="0"/>
    <n v="129"/>
    <n v="0"/>
    <n v="0"/>
    <n v="0"/>
    <n v="4.5859553775744431E-3"/>
    <n v="10"/>
    <m/>
    <s v="Warisnagar"/>
    <m/>
    <n v="0"/>
  </r>
  <r>
    <s v="Munger"/>
    <s v="24-30 Jul"/>
    <n v="1057"/>
    <s v="Warisnagar"/>
    <x v="820"/>
    <s v="Babupur"/>
    <s v="vlc"/>
    <s v="Indirect"/>
    <n v="1350.6999999999998"/>
    <n v="51272.790000000008"/>
    <n v="0"/>
    <n v="0"/>
    <n v="0"/>
    <n v="0"/>
    <n v="0"/>
    <n v="0"/>
    <n v="51272.790000000008"/>
    <n v="0"/>
    <n v="0"/>
    <n v="0"/>
    <n v="0"/>
    <n v="0"/>
    <n v="0"/>
    <n v="0"/>
    <n v="0"/>
    <n v="51272.790000000008"/>
    <n v="0"/>
    <n v="0"/>
    <n v="0"/>
    <n v="0"/>
    <n v="0"/>
    <n v="0"/>
    <m/>
    <s v="Warisnagar"/>
    <m/>
    <n v="0"/>
  </r>
  <r>
    <s v="Munger"/>
    <s v="24-30 Jul"/>
    <n v="1057"/>
    <s v="Warisnagar"/>
    <x v="821"/>
    <s v="Rahua 2"/>
    <s v="vlc"/>
    <s v="Indirect"/>
    <n v="1497.5000000000002"/>
    <n v="65704.25"/>
    <n v="0"/>
    <n v="0"/>
    <n v="0"/>
    <n v="0"/>
    <n v="0"/>
    <n v="0"/>
    <n v="65704.25"/>
    <n v="0"/>
    <n v="0"/>
    <n v="0"/>
    <n v="0"/>
    <n v="0"/>
    <n v="0"/>
    <n v="0"/>
    <n v="0"/>
    <n v="65704.25"/>
    <n v="0"/>
    <n v="0"/>
    <n v="0"/>
    <n v="0"/>
    <n v="0"/>
    <n v="0"/>
    <m/>
    <s v="Warisnagar"/>
    <m/>
    <n v="0"/>
  </r>
  <r>
    <s v="Munger"/>
    <s v="24-30 Jul"/>
    <n v="1057"/>
    <s v="Warisnagar"/>
    <x v="822"/>
    <s v="Madhopur"/>
    <s v="vlc"/>
    <s v="Indirect"/>
    <n v="47"/>
    <n v="1979.64"/>
    <n v="0"/>
    <n v="0"/>
    <n v="0"/>
    <n v="0"/>
    <n v="0"/>
    <n v="0"/>
    <n v="1979.64"/>
    <n v="0"/>
    <n v="0"/>
    <n v="0"/>
    <n v="0"/>
    <n v="0"/>
    <n v="0"/>
    <n v="0"/>
    <n v="0"/>
    <n v="1979.64"/>
    <n v="0"/>
    <n v="0"/>
    <n v="550.08720000000005"/>
    <n v="6.7142857142857144"/>
    <n v="0"/>
    <n v="0"/>
    <m/>
    <s v="Warisnagar"/>
    <m/>
    <n v="0"/>
  </r>
  <r>
    <s v="Munger"/>
    <s v="24-30 Jul"/>
    <n v="1057"/>
    <s v="Warisnagar"/>
    <x v="823"/>
    <s v="Ekdara"/>
    <s v="vlc"/>
    <s v="Indirect"/>
    <n v="3066.0000000000005"/>
    <n v="115825.53000000001"/>
    <n v="0"/>
    <n v="0"/>
    <n v="0"/>
    <n v="0"/>
    <n v="0"/>
    <n v="0"/>
    <n v="115825.53000000001"/>
    <n v="0"/>
    <n v="0"/>
    <n v="0"/>
    <n v="0"/>
    <n v="0"/>
    <n v="0"/>
    <n v="0"/>
    <n v="0"/>
    <n v="115825.53000000001"/>
    <n v="0"/>
    <n v="0"/>
    <n v="0"/>
    <n v="0"/>
    <n v="0"/>
    <n v="0"/>
    <m/>
    <s v="Warisnagar"/>
    <m/>
    <n v="0"/>
  </r>
  <r>
    <s v="Munger"/>
    <s v="24-30 Jul"/>
    <n v="1057"/>
    <s v="Warisnagar"/>
    <x v="824"/>
    <s v="Khokasaha"/>
    <s v="vlc"/>
    <s v="Indirect"/>
    <n v="166.20000000000002"/>
    <n v="6168.07"/>
    <n v="0"/>
    <n v="0"/>
    <n v="0"/>
    <n v="0"/>
    <n v="0"/>
    <n v="0"/>
    <n v="6168.07"/>
    <n v="0"/>
    <n v="0"/>
    <n v="0"/>
    <n v="0"/>
    <n v="0"/>
    <n v="0"/>
    <n v="0"/>
    <n v="0"/>
    <n v="6168.07"/>
    <n v="0"/>
    <n v="0"/>
    <n v="396.21128351383868"/>
    <n v="23.742857142857144"/>
    <n v="0"/>
    <n v="0"/>
    <m/>
    <s v="Warisnagar"/>
    <m/>
    <n v="0"/>
  </r>
  <r>
    <s v="Munger"/>
    <s v="24-30 Jul"/>
    <n v="1057"/>
    <s v="Warisnagar"/>
    <x v="825"/>
    <s v="Madhopur 2"/>
    <s v="vlc"/>
    <s v="Indirect"/>
    <n v="128.4"/>
    <n v="4557.37"/>
    <n v="0"/>
    <n v="0"/>
    <n v="0"/>
    <n v="0"/>
    <n v="0"/>
    <n v="0"/>
    <n v="4557.37"/>
    <n v="0"/>
    <n v="0"/>
    <n v="0"/>
    <n v="0"/>
    <n v="0"/>
    <n v="0"/>
    <n v="0"/>
    <n v="0"/>
    <n v="4557.37"/>
    <n v="0"/>
    <n v="0"/>
    <n v="405.76210155763238"/>
    <n v="18.342857142857145"/>
    <n v="0"/>
    <n v="0"/>
    <m/>
    <s v="Warisnagar"/>
    <m/>
    <n v="0"/>
  </r>
  <r>
    <s v="Munger"/>
    <s v="24-30 Jul"/>
    <n v="1057"/>
    <s v="Warisnagar"/>
    <x v="826"/>
    <s v="Kadarchak 2"/>
    <s v="vlc"/>
    <s v="Indirect"/>
    <n v="272.5"/>
    <n v="10112.18"/>
    <n v="0"/>
    <n v="0"/>
    <n v="0"/>
    <n v="0"/>
    <n v="0"/>
    <n v="0"/>
    <n v="10112.18"/>
    <n v="0"/>
    <n v="0"/>
    <n v="0"/>
    <n v="0"/>
    <n v="0"/>
    <n v="0"/>
    <n v="0"/>
    <n v="0"/>
    <n v="10112.18"/>
    <n v="0"/>
    <n v="0"/>
    <n v="317.28124403669727"/>
    <n v="38.928571428571431"/>
    <n v="0"/>
    <n v="0"/>
    <m/>
    <s v="Warisnagar"/>
    <m/>
    <n v="0"/>
  </r>
  <r>
    <s v="Munger"/>
    <s v="24-30 Jul"/>
    <n v="1057"/>
    <s v="Warisnagar"/>
    <x v="827"/>
    <s v="Madhopur Dih"/>
    <s v="vlc"/>
    <s v="Indirect"/>
    <n v="1066.1999999999998"/>
    <n v="44879.57"/>
    <n v="0"/>
    <n v="0"/>
    <n v="0"/>
    <n v="0"/>
    <n v="0"/>
    <n v="0"/>
    <n v="44879.57"/>
    <n v="0"/>
    <n v="0"/>
    <n v="0"/>
    <n v="0"/>
    <n v="0"/>
    <n v="0"/>
    <n v="0"/>
    <n v="0"/>
    <n v="44879.57"/>
    <n v="0"/>
    <n v="0"/>
    <n v="0"/>
    <n v="0"/>
    <n v="0"/>
    <n v="0"/>
    <m/>
    <s v="Warisnagar"/>
    <m/>
    <n v="0"/>
  </r>
  <r>
    <s v="Munger"/>
    <s v="24-30 Jul"/>
    <n v="1057"/>
    <s v="Warisnagar"/>
    <x v="828"/>
    <s v="Alampur"/>
    <s v="vlc"/>
    <s v="Indirect"/>
    <n v="1264.9000000000001"/>
    <n v="49851.159999999996"/>
    <n v="0"/>
    <n v="0"/>
    <n v="0"/>
    <n v="0"/>
    <n v="0"/>
    <n v="0"/>
    <n v="49851.159999999996"/>
    <n v="0"/>
    <n v="0"/>
    <n v="0"/>
    <n v="0"/>
    <n v="0"/>
    <n v="0"/>
    <n v="0"/>
    <n v="0"/>
    <n v="49851.159999999996"/>
    <n v="0"/>
    <n v="0"/>
    <n v="0"/>
    <n v="0"/>
    <n v="0"/>
    <n v="0"/>
    <m/>
    <s v="Warisnagar"/>
    <m/>
    <n v="0"/>
  </r>
  <r>
    <s v="Munger"/>
    <s v="24-30 Jul"/>
    <n v="1057"/>
    <s v="Warisnagar"/>
    <x v="829"/>
    <s v="Satmalpur Pachim"/>
    <s v="vlc"/>
    <s v="Indirect"/>
    <n v="71"/>
    <n v="2691.24"/>
    <n v="0"/>
    <n v="0"/>
    <n v="0"/>
    <n v="0"/>
    <n v="0"/>
    <n v="0"/>
    <n v="2691.24"/>
    <n v="0"/>
    <n v="0"/>
    <n v="0"/>
    <n v="0"/>
    <n v="0"/>
    <n v="0"/>
    <n v="0"/>
    <n v="0"/>
    <n v="2691.24"/>
    <n v="0"/>
    <n v="0"/>
    <n v="476.84224225352114"/>
    <n v="10.142857142857142"/>
    <n v="0"/>
    <n v="0"/>
    <m/>
    <s v="Warisnagar"/>
    <m/>
    <n v="0"/>
  </r>
  <r>
    <s v="Munger"/>
    <s v="24-30 Jul"/>
    <n v="1057"/>
    <s v="Warisnagar"/>
    <x v="830"/>
    <s v="Ganopur"/>
    <s v="vlc"/>
    <s v="Indirect"/>
    <n v="185.70000000000002"/>
    <n v="6801.1099999999988"/>
    <n v="0"/>
    <n v="0"/>
    <n v="0"/>
    <n v="0"/>
    <n v="0"/>
    <n v="0"/>
    <n v="6801.1099999999988"/>
    <n v="0"/>
    <n v="0"/>
    <n v="0"/>
    <n v="0"/>
    <n v="0"/>
    <n v="0"/>
    <n v="0"/>
    <n v="0"/>
    <n v="6801.1099999999988"/>
    <n v="0"/>
    <n v="0"/>
    <n v="376.71630296176613"/>
    <n v="26.528571428571432"/>
    <n v="0"/>
    <n v="0"/>
    <m/>
    <s v="Warisnagar"/>
    <m/>
    <n v="0"/>
  </r>
  <r>
    <s v="Munger"/>
    <s v="24-30 Jul"/>
    <n v="1057"/>
    <s v="Warisnagar"/>
    <x v="1046"/>
    <s v="Ratanpur"/>
    <s v="MPG"/>
    <s v="Direct"/>
    <n v="19.600000000000001"/>
    <n v="836.33"/>
    <n v="18.77"/>
    <n v="728.74999999999989"/>
    <n v="1"/>
    <n v="26.88"/>
    <n v="19.77"/>
    <n v="755.62999999999988"/>
    <n v="755.62999999999988"/>
    <n v="0"/>
    <n v="0"/>
    <n v="0"/>
    <n v="0"/>
    <n v="0"/>
    <n v="0"/>
    <n v="729"/>
    <n v="27"/>
    <n v="0"/>
    <n v="80"/>
    <n v="0"/>
    <n v="580.65197142857141"/>
    <n v="2.8000000000000003"/>
    <n v="9.6493011131969619E-2"/>
    <n v="10"/>
    <m/>
    <s v="Warisnagar"/>
    <m/>
    <n v="0"/>
  </r>
  <r>
    <s v="Munger"/>
    <s v="24-30 Jul"/>
    <n v="1057"/>
    <s v="Warisnagar"/>
    <x v="1047"/>
    <s v="Ratanpur 2"/>
    <s v="vlc"/>
    <s v="Indirect"/>
    <n v="103.69999999999999"/>
    <n v="4325.57"/>
    <n v="0"/>
    <n v="0"/>
    <n v="0"/>
    <n v="0"/>
    <n v="0"/>
    <n v="0"/>
    <n v="4325.57"/>
    <n v="0"/>
    <n v="0"/>
    <n v="0"/>
    <n v="0"/>
    <n v="0"/>
    <n v="0"/>
    <n v="0"/>
    <n v="0"/>
    <n v="4325.57"/>
    <n v="0"/>
    <n v="0"/>
    <n v="497.461406171649"/>
    <n v="14.814285714285713"/>
    <n v="0"/>
    <n v="0"/>
    <m/>
    <s v="Warisnagar"/>
    <m/>
    <n v="0"/>
  </r>
  <r>
    <s v="Munger"/>
    <s v="24-30 Jul"/>
    <n v="1058"/>
    <s v="Hasanpur"/>
    <x v="831"/>
    <s v="Mahuli"/>
    <s v="MPG"/>
    <s v="Direct"/>
    <n v="488.09999999999991"/>
    <n v="21626.280000000002"/>
    <n v="487.4"/>
    <n v="21362.07"/>
    <n v="8.9999999999999982"/>
    <n v="396.26"/>
    <n v="496.4"/>
    <n v="21758.329999999998"/>
    <n v="21626.280000000002"/>
    <n v="0"/>
    <n v="396.26"/>
    <n v="132.04999999999563"/>
    <n v="0"/>
    <n v="0"/>
    <n v="0"/>
    <n v="21230"/>
    <n v="0"/>
    <n v="0"/>
    <n v="0"/>
    <n v="0"/>
    <n v="187.77335513214518"/>
    <n v="69.728571428571414"/>
    <n v="-6.1059969629541286E-3"/>
    <n v="17"/>
    <m/>
    <s v="Hasanpur"/>
    <m/>
    <n v="0"/>
  </r>
  <r>
    <s v="Munger"/>
    <s v="24-30 Jul"/>
    <n v="1058"/>
    <s v="Hasanpur"/>
    <x v="832"/>
    <s v="Sakhwa Ghat"/>
    <s v="MPG"/>
    <s v="Direct"/>
    <n v="437.17999999999995"/>
    <n v="19029.5"/>
    <n v="444.1"/>
    <n v="19693.240000000002"/>
    <n v="3.2"/>
    <n v="132.69"/>
    <n v="447.3"/>
    <n v="19825.93"/>
    <n v="19029.5"/>
    <n v="0"/>
    <n v="132.69"/>
    <n v="796.43000000000029"/>
    <n v="0"/>
    <n v="0"/>
    <n v="0"/>
    <n v="18896"/>
    <n v="0"/>
    <n v="0"/>
    <n v="1"/>
    <n v="0"/>
    <n v="228.79972505604107"/>
    <n v="62.45428571428571"/>
    <n v="-4.1852387083212921E-2"/>
    <n v="7"/>
    <m/>
    <s v="Hasanpur"/>
    <m/>
    <n v="0"/>
  </r>
  <r>
    <s v="Munger"/>
    <s v="24-30 Jul"/>
    <n v="1058"/>
    <s v="Hasanpur"/>
    <x v="833"/>
    <s v="Patiya"/>
    <s v="MPG"/>
    <s v="Direct"/>
    <n v="255.16999999999996"/>
    <n v="10751.14"/>
    <n v="258.39999999999998"/>
    <n v="10664.659999999998"/>
    <n v="1.4000000000000001"/>
    <n v="60.94"/>
    <n v="259.79999999999995"/>
    <n v="10725.599999999999"/>
    <n v="10725.599999999999"/>
    <n v="0"/>
    <n v="60.94"/>
    <n v="0"/>
    <n v="0"/>
    <n v="0"/>
    <n v="0"/>
    <n v="10665"/>
    <n v="0"/>
    <n v="0"/>
    <n v="25"/>
    <n v="0"/>
    <n v="374.84262305129926"/>
    <n v="36.452857142857134"/>
    <n v="2.3755620334216534E-3"/>
    <n v="3"/>
    <m/>
    <s v="Hasanpur"/>
    <m/>
    <n v="0"/>
  </r>
  <r>
    <s v="Munger"/>
    <s v="24-30 Jul"/>
    <n v="1058"/>
    <s v="Hasanpur"/>
    <x v="834"/>
    <s v="Kasiya"/>
    <s v="MPG"/>
    <s v="Direct"/>
    <n v="562.95000000000005"/>
    <n v="24255.17"/>
    <n v="543"/>
    <n v="23826.95"/>
    <n v="9.1999999999999993"/>
    <n v="382.05999999999995"/>
    <n v="552.20000000000005"/>
    <n v="24209.010000000002"/>
    <n v="24209.010000000002"/>
    <n v="0"/>
    <n v="382.05999999999995"/>
    <n v="0"/>
    <n v="0"/>
    <n v="0"/>
    <n v="0"/>
    <n v="23827"/>
    <n v="0"/>
    <n v="0"/>
    <n v="46"/>
    <n v="0"/>
    <n v="118.09826977529082"/>
    <n v="80.421428571428578"/>
    <n v="1.9030994216901478E-3"/>
    <n v="11"/>
    <m/>
    <s v="Hasanpur"/>
    <m/>
    <n v="0"/>
  </r>
  <r>
    <s v="Munger"/>
    <s v="24-30 Jul"/>
    <n v="1058"/>
    <s v="Hasanpur"/>
    <x v="835"/>
    <s v="Godah"/>
    <s v="MPG"/>
    <s v="Direct"/>
    <n v="550.53"/>
    <n v="25042.050000000003"/>
    <n v="578.6"/>
    <n v="30043.369999999995"/>
    <n v="0"/>
    <n v="0"/>
    <n v="578.6"/>
    <n v="30043.369999999995"/>
    <n v="25042.050000000003"/>
    <n v="0"/>
    <n v="0"/>
    <n v="5001.3199999999924"/>
    <n v="0"/>
    <n v="0"/>
    <n v="0"/>
    <n v="25042"/>
    <n v="0"/>
    <n v="0"/>
    <n v="0"/>
    <n v="0"/>
    <n v="135.9793367663888"/>
    <n v="78.647142857142853"/>
    <n v="-0.19971687621420739"/>
    <n v="6"/>
    <m/>
    <s v="Hasanpur"/>
    <m/>
    <n v="0"/>
  </r>
  <r>
    <s v="Munger"/>
    <s v="24-30 Jul"/>
    <n v="1058"/>
    <s v="Hasanpur"/>
    <x v="836"/>
    <s v="Ballahpur"/>
    <s v="MPG"/>
    <s v="Direct"/>
    <n v="558.73"/>
    <n v="22175.010000000002"/>
    <n v="567.64"/>
    <n v="22985.18"/>
    <n v="0"/>
    <n v="0"/>
    <n v="567.64"/>
    <n v="22985.18"/>
    <n v="22175.010000000002"/>
    <n v="0"/>
    <n v="0"/>
    <n v="810.16999999999825"/>
    <n v="0"/>
    <n v="500"/>
    <n v="0"/>
    <n v="21675"/>
    <n v="0"/>
    <n v="0"/>
    <n v="0"/>
    <n v="0"/>
    <n v="112.13515160095216"/>
    <n v="79.818571428571431"/>
    <n v="-3.6535271010024267E-2"/>
    <n v="3"/>
    <m/>
    <s v="Hasanpur"/>
    <m/>
    <n v="500"/>
  </r>
  <r>
    <s v="Munger"/>
    <s v="24-30 Jul"/>
    <n v="1058"/>
    <s v="Hasanpur"/>
    <x v="837"/>
    <s v="Laxmipur-VLC"/>
    <s v="vlc"/>
    <s v="Indirect"/>
    <n v="160.57999999999996"/>
    <n v="5784.4900000000007"/>
    <n v="0"/>
    <n v="0"/>
    <n v="0"/>
    <n v="0"/>
    <n v="0"/>
    <n v="0"/>
    <n v="5784.4900000000007"/>
    <n v="0"/>
    <n v="0"/>
    <n v="0"/>
    <n v="0"/>
    <n v="0"/>
    <n v="0"/>
    <n v="0"/>
    <n v="0"/>
    <n v="5784.4900000000007"/>
    <n v="0"/>
    <n v="0"/>
    <n v="388.62493408892783"/>
    <n v="22.939999999999994"/>
    <n v="0"/>
    <n v="0"/>
    <m/>
    <s v="Hasanpur"/>
    <m/>
    <n v="0"/>
  </r>
  <r>
    <s v="Munger"/>
    <s v="24-30 Jul"/>
    <n v="1058"/>
    <s v="Hasanpur"/>
    <x v="838"/>
    <s v="Birpur"/>
    <s v="MPG"/>
    <s v="Direct"/>
    <n v="427.08000000000004"/>
    <n v="16946.98"/>
    <n v="438.77"/>
    <n v="17948.45"/>
    <n v="0"/>
    <n v="0"/>
    <n v="438.77"/>
    <n v="17948.45"/>
    <n v="16946.98"/>
    <n v="0"/>
    <n v="0"/>
    <n v="1001.4700000000012"/>
    <n v="0"/>
    <n v="0"/>
    <n v="0"/>
    <n v="16947"/>
    <n v="0"/>
    <n v="0"/>
    <n v="0"/>
    <n v="0"/>
    <n v="216.59500709937242"/>
    <n v="61.011428571428574"/>
    <n v="-5.9094304707977538E-2"/>
    <n v="6"/>
    <m/>
    <s v="Hasanpur"/>
    <m/>
    <n v="0"/>
  </r>
  <r>
    <s v="Munger"/>
    <s v="24-30 Jul"/>
    <n v="1058"/>
    <s v="Hasanpur"/>
    <x v="839"/>
    <s v="Ahilwar"/>
    <s v="MPG"/>
    <s v="Direct"/>
    <n v="927.34999999999991"/>
    <n v="38692.68"/>
    <n v="645.80000000000007"/>
    <n v="27343.87"/>
    <n v="260.2"/>
    <n v="10073.370000000001"/>
    <n v="906"/>
    <n v="37417.24"/>
    <n v="37417.24"/>
    <n v="0"/>
    <n v="243.25"/>
    <n v="0"/>
    <n v="0"/>
    <n v="0"/>
    <n v="0"/>
    <n v="27344"/>
    <n v="9830"/>
    <n v="0"/>
    <n v="1275"/>
    <n v="0"/>
    <n v="0"/>
    <n v="0"/>
    <n v="3.2963340869642588E-2"/>
    <n v="6"/>
    <m/>
    <s v="Hasanpur"/>
    <m/>
    <n v="0"/>
  </r>
  <r>
    <s v="Munger"/>
    <s v="24-30 Jul"/>
    <n v="1058"/>
    <s v="Hasanpur"/>
    <x v="840"/>
    <s v="Paridah"/>
    <s v="MPG"/>
    <s v="Direct"/>
    <n v="389.25"/>
    <n v="15837.500000000002"/>
    <n v="382.34000000000003"/>
    <n v="15686.560000000001"/>
    <n v="3.0100000000000007"/>
    <n v="122.85000000000001"/>
    <n v="385.35"/>
    <n v="15809.410000000002"/>
    <n v="15809.410000000002"/>
    <n v="0"/>
    <n v="122.85000000000001"/>
    <n v="0"/>
    <n v="0"/>
    <n v="0"/>
    <n v="0"/>
    <n v="0"/>
    <n v="0"/>
    <n v="0"/>
    <n v="15715"/>
    <s v="Yes"/>
    <n v="252.87106615285811"/>
    <n v="55.607142857142854"/>
    <n v="1.7736385161799615E-3"/>
    <n v="13"/>
    <m/>
    <s v="Hasanpur"/>
    <m/>
    <n v="0"/>
  </r>
  <r>
    <s v="Munger"/>
    <s v="24-30 Jul"/>
    <n v="1058"/>
    <s v="Hasanpur"/>
    <x v="841"/>
    <s v="KOLAWARI"/>
    <s v="MPG"/>
    <s v="Direct"/>
    <n v="519.27"/>
    <n v="20865.97"/>
    <n v="476.59999999999991"/>
    <n v="20810.820000000007"/>
    <n v="0"/>
    <n v="0"/>
    <n v="476.59999999999991"/>
    <n v="20810.820000000007"/>
    <n v="20810.820000000007"/>
    <n v="0"/>
    <n v="0"/>
    <n v="0"/>
    <n v="0"/>
    <n v="0"/>
    <n v="0"/>
    <n v="20810"/>
    <n v="0"/>
    <n v="0"/>
    <n v="56"/>
    <n v="0"/>
    <n v="145.2464713193522"/>
    <n v="74.181428571428569"/>
    <n v="2.6430594887270602E-3"/>
    <n v="2"/>
    <m/>
    <s v="Hasanpur"/>
    <m/>
    <n v="0"/>
  </r>
  <r>
    <s v="Munger"/>
    <s v="24-30 Jul"/>
    <n v="1058"/>
    <s v="Hasanpur"/>
    <x v="842"/>
    <s v="MALDAH"/>
    <s v="vlc"/>
    <s v="Indirect"/>
    <n v="757.78999999999985"/>
    <n v="31085.41"/>
    <n v="0"/>
    <n v="0"/>
    <n v="0"/>
    <n v="0"/>
    <n v="0"/>
    <n v="0"/>
    <n v="31085.41"/>
    <n v="0"/>
    <n v="0"/>
    <n v="0"/>
    <n v="0"/>
    <n v="0"/>
    <n v="0"/>
    <n v="0"/>
    <n v="0"/>
    <n v="31085.41"/>
    <n v="0"/>
    <n v="0"/>
    <n v="0"/>
    <n v="0"/>
    <n v="0"/>
    <n v="0"/>
    <m/>
    <s v="Hasanpur"/>
    <m/>
    <n v="0"/>
  </r>
  <r>
    <s v="Munger"/>
    <s v="24-30 Jul"/>
    <n v="1058"/>
    <s v="Hasanpur"/>
    <x v="843"/>
    <s v="KARANCHI"/>
    <s v="MPG"/>
    <s v="Direct"/>
    <n v="597.01"/>
    <n v="23634.38"/>
    <n v="558"/>
    <n v="23587.859999999997"/>
    <n v="0"/>
    <n v="0"/>
    <n v="558"/>
    <n v="23587.859999999997"/>
    <n v="23587.859999999997"/>
    <n v="0"/>
    <n v="0"/>
    <n v="0"/>
    <n v="0"/>
    <n v="0"/>
    <n v="0"/>
    <n v="23588"/>
    <n v="0"/>
    <n v="0"/>
    <n v="46"/>
    <n v="0"/>
    <n v="81.543183403963113"/>
    <n v="85.287142857142854"/>
    <n v="1.9683190335436796E-3"/>
    <n v="2"/>
    <m/>
    <s v="Hasanpur"/>
    <m/>
    <n v="0"/>
  </r>
  <r>
    <s v="Munger"/>
    <s v="24-30 Jul"/>
    <n v="1058"/>
    <s v="Hasanpur"/>
    <x v="844"/>
    <s v="MARTHUA"/>
    <s v="MPG"/>
    <s v="Direct"/>
    <n v="872.05000000000007"/>
    <n v="39299.11"/>
    <n v="879.40000000000009"/>
    <n v="40542.629999999997"/>
    <n v="0"/>
    <n v="0"/>
    <n v="879.40000000000009"/>
    <n v="40542.629999999997"/>
    <n v="39299.11"/>
    <n v="0"/>
    <n v="0"/>
    <n v="1243.5199999999968"/>
    <n v="0"/>
    <n v="0"/>
    <n v="0"/>
    <n v="39299"/>
    <n v="0"/>
    <n v="0"/>
    <n v="0"/>
    <n v="0"/>
    <n v="0"/>
    <n v="0"/>
    <n v="-3.1642446864572675E-2"/>
    <n v="13"/>
    <m/>
    <s v="Hasanpur"/>
    <m/>
    <n v="0"/>
  </r>
  <r>
    <s v="Munger"/>
    <s v="24-30 Jul"/>
    <n v="1058"/>
    <s v="Hasanpur"/>
    <x v="845"/>
    <s v="GARHPURA "/>
    <s v="MPG"/>
    <s v="Direct"/>
    <n v="81.749999999999986"/>
    <n v="3630.6699999999996"/>
    <n v="82.7"/>
    <n v="3670.4100000000003"/>
    <n v="0"/>
    <n v="0"/>
    <n v="82.7"/>
    <n v="3670.4100000000003"/>
    <n v="3630.6699999999996"/>
    <n v="0"/>
    <n v="0"/>
    <n v="39.740000000000691"/>
    <n v="0"/>
    <n v="0"/>
    <n v="0"/>
    <n v="3631"/>
    <n v="0"/>
    <n v="0"/>
    <n v="0"/>
    <n v="0"/>
    <n v="549.15271620795113"/>
    <n v="11.678571428571427"/>
    <n v="-1.094563813290679E-2"/>
    <n v="1"/>
    <m/>
    <s v="Hasanpur"/>
    <m/>
    <n v="0"/>
  </r>
  <r>
    <s v="Munger"/>
    <s v="24-30 Jul"/>
    <n v="1058"/>
    <s v="Hasanpur"/>
    <x v="846"/>
    <s v="KOKANI"/>
    <s v="MPG"/>
    <s v="Direct"/>
    <n v="160.24"/>
    <n v="6512.25"/>
    <n v="167.92"/>
    <n v="6891.16"/>
    <n v="0"/>
    <n v="0"/>
    <n v="167.92"/>
    <n v="6891.16"/>
    <n v="6512.25"/>
    <n v="0"/>
    <n v="0"/>
    <n v="378.90999999999985"/>
    <n v="0"/>
    <n v="0"/>
    <n v="0"/>
    <n v="6512"/>
    <n v="0"/>
    <n v="0"/>
    <n v="0"/>
    <n v="0"/>
    <n v="438.72342236645028"/>
    <n v="22.891428571428573"/>
    <n v="-5.8184191331720966E-2"/>
    <n v="1"/>
    <m/>
    <s v="Hasanpur"/>
    <m/>
    <n v="0"/>
  </r>
  <r>
    <s v="Munger"/>
    <s v="24-30 Jul"/>
    <n v="1058"/>
    <s v="Hasanpur"/>
    <x v="847"/>
    <s v="DURGAPUR "/>
    <s v="MPG"/>
    <s v="Direct"/>
    <n v="402.17"/>
    <n v="16572.8"/>
    <n v="400.7"/>
    <n v="16496.699999999997"/>
    <n v="0"/>
    <n v="0"/>
    <n v="400.7"/>
    <n v="16496.699999999997"/>
    <n v="16496.699999999997"/>
    <n v="0"/>
    <n v="0"/>
    <n v="0"/>
    <n v="0"/>
    <n v="0"/>
    <n v="0"/>
    <n v="16497"/>
    <n v="0"/>
    <n v="0"/>
    <n v="76"/>
    <n v="0"/>
    <n v="245.46221866374913"/>
    <n v="57.452857142857148"/>
    <n v="4.5918613631976603E-3"/>
    <n v="2"/>
    <m/>
    <s v="Hasanpur"/>
    <m/>
    <n v="0"/>
  </r>
  <r>
    <s v="Munger"/>
    <s v="24-30 Jul"/>
    <n v="1058"/>
    <s v="Hasanpur"/>
    <x v="848"/>
    <s v="Chandauli"/>
    <s v="MPG"/>
    <s v="Direct"/>
    <n v="200.7"/>
    <n v="9270.91"/>
    <n v="210.39999999999995"/>
    <n v="9896.4700000000012"/>
    <n v="0"/>
    <n v="0"/>
    <n v="210.39999999999995"/>
    <n v="9896.4700000000012"/>
    <n v="9270.91"/>
    <n v="0"/>
    <n v="0"/>
    <n v="625.56000000000131"/>
    <n v="0"/>
    <n v="0"/>
    <n v="0"/>
    <n v="0"/>
    <n v="0"/>
    <n v="0"/>
    <n v="9271"/>
    <s v="Yes"/>
    <n v="461.28204912805182"/>
    <n v="28.671428571428571"/>
    <n v="-6.7475576831185005E-2"/>
    <n v="11"/>
    <m/>
    <s v="Hasanpur"/>
    <m/>
    <n v="0"/>
  </r>
  <r>
    <s v="Munger"/>
    <s v="24-30 Jul"/>
    <n v="1058"/>
    <s v="Hasanpur"/>
    <x v="1048"/>
    <s v="Gomukh Baliyar"/>
    <s v="MPG"/>
    <s v="Direct"/>
    <n v="323.18999999999994"/>
    <n v="14096.87"/>
    <n v="320.7"/>
    <n v="14030.400000000001"/>
    <n v="0"/>
    <n v="0"/>
    <n v="320.7"/>
    <n v="14030.400000000001"/>
    <n v="14030.400000000001"/>
    <n v="0"/>
    <n v="0"/>
    <n v="0"/>
    <n v="0"/>
    <n v="0"/>
    <n v="0"/>
    <n v="14030"/>
    <n v="0"/>
    <n v="0"/>
    <n v="67"/>
    <n v="0"/>
    <n v="328.7132389430368"/>
    <n v="46.169999999999995"/>
    <n v="4.7152311115871356E-3"/>
    <n v="1"/>
    <m/>
    <s v="Hasanpur"/>
    <m/>
    <n v="0"/>
  </r>
  <r>
    <s v="Munger"/>
    <s v="24-30 Jul"/>
    <n v="1059"/>
    <s v="Gopalpur Bmc"/>
    <x v="850"/>
    <s v="MISHRBIGHA"/>
    <s v="MPG"/>
    <s v="Direct"/>
    <n v="716.10000000000025"/>
    <n v="34132.89"/>
    <n v="834.14"/>
    <n v="41266.239999999991"/>
    <n v="0"/>
    <n v="0"/>
    <n v="834.14"/>
    <n v="41266.239999999991"/>
    <n v="34132.89"/>
    <n v="0"/>
    <n v="0"/>
    <n v="7133.3499999999913"/>
    <n v="0"/>
    <n v="0"/>
    <n v="0"/>
    <n v="34133"/>
    <n v="0"/>
    <n v="0"/>
    <n v="0"/>
    <n v="0"/>
    <n v="0"/>
    <n v="0"/>
    <n v="-0.20898757767068629"/>
    <n v="2"/>
    <m/>
    <s v="Gopalpur Bmc"/>
    <m/>
    <n v="0"/>
  </r>
  <r>
    <s v="Munger"/>
    <s v="24-30 Jul"/>
    <n v="1059"/>
    <s v="Gopalpur Bmc"/>
    <x v="851"/>
    <s v="DIGHOI"/>
    <s v="MPG"/>
    <s v="Direct"/>
    <n v="60.1"/>
    <n v="3981.2"/>
    <n v="65.399999999999991"/>
    <n v="4019.65"/>
    <n v="0"/>
    <n v="0"/>
    <n v="65.399999999999991"/>
    <n v="4019.65"/>
    <n v="3981.2"/>
    <n v="0"/>
    <n v="0"/>
    <n v="38.450000000000273"/>
    <n v="0"/>
    <n v="500"/>
    <n v="0"/>
    <n v="3481"/>
    <n v="0"/>
    <n v="0"/>
    <n v="0"/>
    <n v="0"/>
    <n v="847.77699833610654"/>
    <n v="8.5857142857142854"/>
    <n v="-9.6578920928363995E-3"/>
    <n v="1"/>
    <m/>
    <s v="Gopalpur Bmc"/>
    <m/>
    <n v="500"/>
  </r>
  <r>
    <s v="Munger"/>
    <s v="24-30 Jul"/>
    <n v="1059"/>
    <s v="Gopalpur Bmc"/>
    <x v="852"/>
    <s v="PRATAPUR"/>
    <s v="MPG"/>
    <s v="Direct"/>
    <n v="931.7"/>
    <n v="36125.579999999994"/>
    <n v="934.7"/>
    <n v="36266.83"/>
    <n v="0"/>
    <n v="0"/>
    <n v="934.7"/>
    <n v="36266.83"/>
    <n v="36125.579999999994"/>
    <n v="0"/>
    <n v="0"/>
    <n v="141.25000000000728"/>
    <n v="7714.75"/>
    <n v="0"/>
    <n v="0"/>
    <n v="28552"/>
    <n v="0"/>
    <n v="0"/>
    <n v="-141"/>
    <s v="Release2"/>
    <n v="0"/>
    <n v="0"/>
    <n v="-3.9099718260580812E-3"/>
    <n v="1"/>
    <m/>
    <s v="Gopalpur Bmc"/>
    <m/>
    <n v="0"/>
  </r>
  <r>
    <s v="Munger"/>
    <s v="24-30 Jul"/>
    <n v="1059"/>
    <s v="Gopalpur Bmc"/>
    <x v="853"/>
    <s v="GOPALPUR"/>
    <s v="MPG"/>
    <s v="Direct"/>
    <n v="1288.4000000000001"/>
    <n v="59224.51"/>
    <n v="1351"/>
    <n v="59420.37999999999"/>
    <n v="0"/>
    <n v="0"/>
    <n v="1351"/>
    <n v="59420.37999999999"/>
    <n v="59224.51"/>
    <n v="0"/>
    <n v="0"/>
    <n v="195.86999999998807"/>
    <n v="0"/>
    <n v="0"/>
    <n v="0"/>
    <n v="59225"/>
    <n v="0"/>
    <n v="0"/>
    <n v="0"/>
    <n v="0"/>
    <n v="0"/>
    <n v="0"/>
    <n v="-3.3072455981482678E-3"/>
    <n v="18"/>
    <m/>
    <s v="Gopalpur Bmc"/>
    <m/>
    <n v="0"/>
  </r>
  <r>
    <s v="Munger"/>
    <s v="24-30 Jul"/>
    <n v="1059"/>
    <s v="Gopalpur Bmc"/>
    <x v="1049"/>
    <s v="LAXMIPUR"/>
    <s v="MPG"/>
    <s v="Direct"/>
    <n v="202.8"/>
    <n v="9163.4500000000007"/>
    <n v="202.79999999999998"/>
    <n v="8946.18"/>
    <n v="0"/>
    <n v="0"/>
    <n v="202.79999999999998"/>
    <n v="8946.18"/>
    <n v="8946.18"/>
    <n v="0"/>
    <n v="0"/>
    <n v="0"/>
    <n v="0"/>
    <n v="0"/>
    <n v="0"/>
    <n v="8946"/>
    <n v="0"/>
    <n v="0"/>
    <n v="217"/>
    <n v="0"/>
    <n v="449.3163057199211"/>
    <n v="28.971428571428572"/>
    <n v="2.3710502048900843E-2"/>
    <n v="1"/>
    <m/>
    <s v="Gopalpur Bmc"/>
    <m/>
    <n v="0"/>
  </r>
  <r>
    <s v="Munger"/>
    <s v="24-30 Jul"/>
    <n v="1059"/>
    <s v="Gopalpur Bmc"/>
    <x v="854"/>
    <s v="NARMDA"/>
    <s v="MPG"/>
    <s v="Direct"/>
    <n v="315.5"/>
    <n v="15201.209999999995"/>
    <n v="317"/>
    <n v="15306.5"/>
    <n v="0"/>
    <n v="0"/>
    <n v="317"/>
    <n v="15306.5"/>
    <n v="15201.209999999995"/>
    <n v="0"/>
    <n v="0"/>
    <n v="105.29000000000451"/>
    <n v="675"/>
    <n v="0"/>
    <n v="0"/>
    <n v="14526"/>
    <n v="0"/>
    <n v="0"/>
    <n v="0"/>
    <n v="0"/>
    <n v="370.51443708399353"/>
    <n v="45.071428571428569"/>
    <n v="-6.9264223045405297E-3"/>
    <n v="1"/>
    <m/>
    <s v="Gopalpur Bmc"/>
    <m/>
    <n v="0"/>
  </r>
  <r>
    <s v="Munger"/>
    <s v="24-30 Jul"/>
    <n v="1059"/>
    <s v="Gopalpur Bmc"/>
    <x v="1050"/>
    <s v="LAKHANPUR"/>
    <s v="MPG"/>
    <s v="Direct"/>
    <n v="722.10000000000014"/>
    <n v="39839.340000000004"/>
    <n v="724.09999999999991"/>
    <n v="39778.019999999997"/>
    <n v="0"/>
    <n v="0"/>
    <n v="724.09999999999991"/>
    <n v="39778.019999999997"/>
    <n v="39778.019999999997"/>
    <n v="0"/>
    <n v="0"/>
    <n v="0"/>
    <n v="0"/>
    <n v="0"/>
    <n v="0"/>
    <n v="39778"/>
    <n v="0"/>
    <n v="0"/>
    <n v="61"/>
    <n v="0"/>
    <n v="0"/>
    <n v="0"/>
    <n v="1.5391821250052581E-3"/>
    <n v="1"/>
    <m/>
    <s v="Gopalpur Bmc"/>
    <m/>
    <n v="0"/>
  </r>
  <r>
    <s v="Munger"/>
    <s v="24-30 Jul"/>
    <n v="1059"/>
    <s v="Gopalpur Bmc"/>
    <x v="855"/>
    <s v="AMRATH"/>
    <s v="MPG"/>
    <s v="Direct"/>
    <n v="1338.3999999999999"/>
    <n v="66709.45"/>
    <n v="1353.3999999999999"/>
    <n v="66706.880000000005"/>
    <n v="0"/>
    <n v="0"/>
    <n v="1353.3999999999999"/>
    <n v="66706.880000000005"/>
    <n v="66706.880000000005"/>
    <n v="0"/>
    <n v="0"/>
    <n v="0"/>
    <n v="0"/>
    <n v="0"/>
    <n v="0"/>
    <n v="66707"/>
    <n v="0"/>
    <n v="0"/>
    <n v="2"/>
    <n v="0"/>
    <n v="0"/>
    <n v="0"/>
    <n v="3.8525276403754385E-5"/>
    <n v="3"/>
    <m/>
    <s v="Gopalpur Bmc"/>
    <m/>
    <n v="0"/>
  </r>
  <r>
    <s v="Munger"/>
    <s v="24-30 Jul"/>
    <n v="1059"/>
    <s v="Gopalpur Bmc"/>
    <x v="856"/>
    <s v="PUTERIA"/>
    <s v="MPG"/>
    <s v="Direct"/>
    <n v="405.50000000000011"/>
    <n v="16920.460000000003"/>
    <n v="395.24000000000007"/>
    <n v="17524.550000000003"/>
    <n v="0"/>
    <n v="0"/>
    <n v="395.24000000000007"/>
    <n v="17524.550000000003"/>
    <n v="16920.460000000003"/>
    <n v="0"/>
    <n v="0"/>
    <n v="604.09000000000015"/>
    <n v="0"/>
    <n v="0"/>
    <n v="0"/>
    <n v="16920"/>
    <n v="0"/>
    <n v="0"/>
    <n v="0"/>
    <n v="0"/>
    <n v="245.77437583230568"/>
    <n v="57.928571428571445"/>
    <n v="-3.5701748061222928E-2"/>
    <n v="6"/>
    <m/>
    <s v="Gopalpur Bmc"/>
    <m/>
    <n v="0"/>
  </r>
  <r>
    <s v="Munger"/>
    <s v="24-30 Jul"/>
    <n v="1059"/>
    <s v="Gopalpur Bmc"/>
    <x v="857"/>
    <s v="LAKHAPUR"/>
    <s v="MPG"/>
    <s v="Direct"/>
    <n v="1254.3"/>
    <n v="53016.059999999983"/>
    <n v="1254.2"/>
    <n v="53012.099999999991"/>
    <n v="0"/>
    <n v="0"/>
    <n v="1254.2"/>
    <n v="53012.099999999991"/>
    <n v="53012.099999999991"/>
    <n v="0"/>
    <n v="0"/>
    <n v="0"/>
    <n v="2001.5"/>
    <n v="0"/>
    <n v="0"/>
    <n v="51011"/>
    <n v="0"/>
    <n v="0"/>
    <n v="4"/>
    <n v="0"/>
    <n v="0"/>
    <n v="0"/>
    <n v="7.4694347335351819E-5"/>
    <n v="1"/>
    <m/>
    <s v="Gopalpur Bmc"/>
    <m/>
    <n v="0"/>
  </r>
  <r>
    <s v="Munger"/>
    <s v="24-30 Jul"/>
    <n v="1059"/>
    <s v="Gopalpur Bmc"/>
    <x v="858"/>
    <s v="BARIYARPUR"/>
    <s v="MPG"/>
    <s v="Direct"/>
    <n v="542.80000000000007"/>
    <n v="26219.100000000002"/>
    <n v="542.90000000000009"/>
    <n v="25451.25"/>
    <n v="0"/>
    <n v="0"/>
    <n v="542.90000000000009"/>
    <n v="25451.25"/>
    <n v="25451.25"/>
    <n v="0"/>
    <n v="0"/>
    <n v="0"/>
    <n v="0"/>
    <n v="0"/>
    <n v="0"/>
    <n v="25451"/>
    <n v="0"/>
    <n v="0"/>
    <n v="768"/>
    <n v="0"/>
    <n v="151.86597347089153"/>
    <n v="77.542857142857159"/>
    <n v="2.9285902262091455E-2"/>
    <n v="1"/>
    <m/>
    <s v="Gopalpur Bmc"/>
    <m/>
    <n v="0"/>
  </r>
  <r>
    <s v="Munger"/>
    <s v="24-30 Jul"/>
    <n v="1059"/>
    <s v="Gopalpur Bmc"/>
    <x v="859"/>
    <s v="BAGWANA"/>
    <s v="MPG"/>
    <s v="Direct"/>
    <n v="695.69999999999993"/>
    <n v="33153.160000000003"/>
    <n v="695.1"/>
    <n v="32808.020000000004"/>
    <n v="0"/>
    <n v="0"/>
    <n v="695.1"/>
    <n v="32808.020000000004"/>
    <n v="32808.020000000004"/>
    <n v="0"/>
    <n v="0"/>
    <n v="0"/>
    <n v="0"/>
    <n v="0"/>
    <n v="0"/>
    <n v="32808"/>
    <n v="0"/>
    <n v="0"/>
    <n v="345"/>
    <n v="0"/>
    <n v="4.0982776484117647"/>
    <n v="99.385714285714272"/>
    <n v="1.0410470676098429E-2"/>
    <n v="1"/>
    <m/>
    <s v="Gopalpur Bmc"/>
    <m/>
    <n v="0"/>
  </r>
  <r>
    <s v="Munger"/>
    <s v="24-30 Jul"/>
    <n v="1059"/>
    <s v="Gopalpur Bmc"/>
    <x v="860"/>
    <s v="GOMUKH DAND"/>
    <s v="vlc"/>
    <s v="Indirect"/>
    <n v="368.09999999999997"/>
    <n v="20052.710000000003"/>
    <n v="0"/>
    <n v="0"/>
    <n v="0"/>
    <n v="0"/>
    <n v="0"/>
    <n v="0"/>
    <n v="20052.710000000003"/>
    <n v="0"/>
    <n v="0"/>
    <n v="0"/>
    <n v="0"/>
    <n v="0"/>
    <n v="0"/>
    <n v="0"/>
    <n v="0"/>
    <n v="20052.710000000003"/>
    <n v="0"/>
    <n v="0"/>
    <n v="361.61339032871513"/>
    <n v="52.585714285714282"/>
    <n v="0"/>
    <n v="0"/>
    <m/>
    <s v="Gopalpur Bmc"/>
    <m/>
    <n v="0"/>
  </r>
  <r>
    <s v="Munger"/>
    <s v="24-30 Jul"/>
    <n v="1014"/>
    <s v="Dumraon"/>
    <x v="1020"/>
    <s v="Gomukh Karisath"/>
    <s v="MPG"/>
    <s v="Direct"/>
    <n v="17"/>
    <n v="667.17000000000007"/>
    <n v="17.100000000000001"/>
    <n v="665.53"/>
    <n v="0"/>
    <n v="0"/>
    <n v="17.100000000000001"/>
    <n v="665.53"/>
    <n v="665.53"/>
    <n v="0"/>
    <n v="0"/>
    <n v="0"/>
    <n v="0"/>
    <n v="0"/>
    <n v="0"/>
    <n v="666"/>
    <n v="0"/>
    <n v="0"/>
    <n v="1"/>
    <n v="0"/>
    <n v="536.09071764705891"/>
    <n v="2.4285714285714284"/>
    <n v="2.4581441012037409E-3"/>
    <n v="1"/>
    <m/>
    <s v="Dumraon"/>
    <m/>
    <n v="0"/>
  </r>
  <r>
    <s v="Munger"/>
    <s v="24-30 Jul"/>
    <n v="1014"/>
    <s v="Dumraon"/>
    <x v="861"/>
    <s v="Gomukh Ama"/>
    <s v="MPG"/>
    <s v="Direct"/>
    <n v="471.8"/>
    <n v="18487.670000000002"/>
    <n v="552.31000000000006"/>
    <n v="23103.239999999998"/>
    <n v="0"/>
    <n v="0"/>
    <n v="552.31000000000006"/>
    <n v="23103.239999999998"/>
    <n v="18487.670000000002"/>
    <n v="0"/>
    <n v="0"/>
    <n v="4615.5699999999961"/>
    <n v="0"/>
    <n v="0"/>
    <n v="0"/>
    <n v="18488"/>
    <n v="0"/>
    <n v="0"/>
    <n v="0"/>
    <n v="0"/>
    <n v="178.84214896142433"/>
    <n v="67.400000000000006"/>
    <n v="-0.24965666306246248"/>
    <n v="1"/>
    <m/>
    <s v="Dumraon"/>
    <m/>
    <n v="0"/>
  </r>
  <r>
    <s v="Munger"/>
    <s v="24-30 Jul"/>
    <n v="1014"/>
    <s v="Dumraon"/>
    <x v="862"/>
    <s v="Gomukh Pawat"/>
    <s v="MPG"/>
    <s v="Direct"/>
    <n v="114.7"/>
    <n v="4584.9799999999996"/>
    <n v="146.82000000000002"/>
    <n v="6406.92"/>
    <n v="0"/>
    <n v="0"/>
    <n v="146.82000000000002"/>
    <n v="6406.92"/>
    <n v="4584.9799999999996"/>
    <n v="0"/>
    <n v="0"/>
    <n v="1821.9400000000005"/>
    <n v="0"/>
    <n v="0"/>
    <n v="0"/>
    <n v="4727"/>
    <n v="0"/>
    <n v="0"/>
    <n v="-142"/>
    <s v="Release1"/>
    <n v="467.93178622493451"/>
    <n v="16.385714285714286"/>
    <n v="-0.39737141710541829"/>
    <n v="2"/>
    <m/>
    <s v="Dumraon"/>
    <m/>
    <n v="0"/>
  </r>
  <r>
    <s v="Munger"/>
    <s v="24-30 Jul"/>
    <n v="1014"/>
    <s v="Dumraon"/>
    <x v="863"/>
    <s v="Gomukh Barja"/>
    <s v="MPG"/>
    <s v="Direct"/>
    <n v="75.2"/>
    <n v="2900.1800000000003"/>
    <n v="75.3"/>
    <n v="2899.05"/>
    <n v="0"/>
    <n v="0"/>
    <n v="75.3"/>
    <n v="2899.05"/>
    <n v="2899.05"/>
    <n v="0"/>
    <n v="0"/>
    <n v="0"/>
    <n v="0"/>
    <n v="0"/>
    <n v="0"/>
    <n v="2899"/>
    <n v="0"/>
    <n v="0"/>
    <n v="1"/>
    <n v="0"/>
    <n v="481.9235276595744"/>
    <n v="10.742857142857144"/>
    <n v="3.896309884214459E-4"/>
    <n v="1"/>
    <m/>
    <s v="Dumraon"/>
    <m/>
    <n v="0"/>
  </r>
  <r>
    <s v="Munger"/>
    <s v="24-30 Jul"/>
    <n v="1014"/>
    <s v="Dumraon"/>
    <x v="864"/>
    <s v="Gomukh Charghat"/>
    <s v="MPG"/>
    <s v="Direct"/>
    <n v="113.9"/>
    <n v="4827.7599999999993"/>
    <n v="140.20999999999998"/>
    <n v="5873.28"/>
    <n v="0"/>
    <n v="0"/>
    <n v="140.20999999999998"/>
    <n v="5873.28"/>
    <n v="4827.7599999999993"/>
    <n v="0"/>
    <n v="0"/>
    <n v="1045.5200000000004"/>
    <n v="0"/>
    <n v="0"/>
    <n v="0"/>
    <n v="4828"/>
    <n v="0"/>
    <n v="0"/>
    <n v="0"/>
    <n v="0"/>
    <n v="496.84813625987698"/>
    <n v="16.271428571428572"/>
    <n v="-0.21656420368866733"/>
    <n v="1"/>
    <m/>
    <s v="Dumraon"/>
    <m/>
    <n v="0"/>
  </r>
  <r>
    <s v="Munger"/>
    <s v="24-30 Jul"/>
    <n v="1014"/>
    <s v="Dumraon"/>
    <x v="865"/>
    <s v="Gomukh Ramdihra"/>
    <s v="MPG"/>
    <s v="Direct"/>
    <n v="62.4"/>
    <n v="2229.6000000000004"/>
    <n v="62.6"/>
    <n v="2229.19"/>
    <n v="0"/>
    <n v="0"/>
    <n v="62.6"/>
    <n v="2229.19"/>
    <n v="2229.19"/>
    <n v="0"/>
    <n v="0"/>
    <n v="0"/>
    <n v="0"/>
    <n v="500"/>
    <n v="0"/>
    <n v="1729"/>
    <n v="0"/>
    <n v="0"/>
    <n v="1"/>
    <n v="0"/>
    <n v="455.63876923076941"/>
    <n v="8.9142857142857146"/>
    <n v="1.8388948690361911E-4"/>
    <n v="1"/>
    <m/>
    <s v="Dumraon"/>
    <m/>
    <n v="500"/>
  </r>
  <r>
    <s v="Munger"/>
    <s v="24-30 Jul"/>
    <n v="1014"/>
    <s v="Dumraon"/>
    <x v="866"/>
    <s v="Gomukh Bara"/>
    <s v="MPG"/>
    <s v="Direct"/>
    <n v="44.53"/>
    <n v="1761.73"/>
    <n v="42.13"/>
    <n v="1744.08"/>
    <n v="0"/>
    <n v="0"/>
    <n v="42.13"/>
    <n v="1744.08"/>
    <n v="1744.08"/>
    <n v="0"/>
    <n v="0"/>
    <n v="0"/>
    <n v="0"/>
    <n v="0"/>
    <n v="0"/>
    <n v="1744"/>
    <n v="0"/>
    <n v="0"/>
    <n v="18"/>
    <n v="0"/>
    <n v="518.64413343813158"/>
    <n v="6.3614285714285712"/>
    <n v="1.0018561300539863E-2"/>
    <n v="1"/>
    <m/>
    <s v="Dumraon"/>
    <m/>
    <n v="0"/>
  </r>
  <r>
    <s v="Munger"/>
    <s v="24-30 Jul"/>
    <n v="1014"/>
    <s v="Dumraon"/>
    <x v="867"/>
    <s v="Gumukh Khajuriya"/>
    <s v="MPG"/>
    <s v="Direct"/>
    <n v="182.7"/>
    <n v="7292.09"/>
    <n v="231.21000000000004"/>
    <n v="9308.0600000000013"/>
    <n v="0"/>
    <n v="0"/>
    <n v="231.21000000000004"/>
    <n v="9308.0600000000013"/>
    <n v="7292.09"/>
    <n v="0"/>
    <n v="0"/>
    <n v="2015.9700000000012"/>
    <n v="0"/>
    <n v="0"/>
    <n v="0"/>
    <n v="7292"/>
    <n v="0"/>
    <n v="0"/>
    <n v="0"/>
    <n v="0"/>
    <n v="412.93904291187749"/>
    <n v="26.099999999999998"/>
    <n v="-0.27645983524613671"/>
    <n v="3"/>
    <m/>
    <s v="Dumraon"/>
    <m/>
    <n v="0"/>
  </r>
  <r>
    <s v="Munger"/>
    <s v="24-30 Jul"/>
    <n v="1061"/>
    <s v="Mahua BMC"/>
    <x v="868"/>
    <s v="GOMUKH BHATOLIYA"/>
    <s v="MPG"/>
    <s v="Direct"/>
    <n v="679.59999999999991"/>
    <n v="32665.700000000004"/>
    <n v="690.19999999999993"/>
    <n v="32592.289999999994"/>
    <n v="0.5"/>
    <n v="27.41"/>
    <n v="690.69999999999993"/>
    <n v="32619.699999999993"/>
    <n v="32619.699999999993"/>
    <n v="0"/>
    <n v="27.41"/>
    <n v="0"/>
    <n v="0"/>
    <n v="0"/>
    <n v="0"/>
    <n v="32590"/>
    <n v="0"/>
    <n v="0"/>
    <n v="48"/>
    <n v="0"/>
    <n v="19.610955856386187"/>
    <n v="97.085714285714275"/>
    <n v="1.4082049366770314E-3"/>
    <n v="9"/>
    <m/>
    <s v="Mahua BMC"/>
    <m/>
    <n v="0"/>
  </r>
  <r>
    <s v="Munger"/>
    <s v="24-30 Jul"/>
    <n v="1061"/>
    <s v="Mahua BMC"/>
    <x v="869"/>
    <s v="GOMUKH CHEHRAKALA"/>
    <s v="MPG"/>
    <s v="Direct"/>
    <n v="444.60000000000008"/>
    <n v="21556.46"/>
    <n v="445.00000000000006"/>
    <n v="22006.75"/>
    <n v="0"/>
    <n v="0"/>
    <n v="445.00000000000006"/>
    <n v="22006.75"/>
    <n v="21556.46"/>
    <n v="0"/>
    <n v="0"/>
    <n v="450.29000000000087"/>
    <n v="0"/>
    <n v="0"/>
    <n v="0"/>
    <n v="21556"/>
    <n v="0"/>
    <n v="0"/>
    <n v="0"/>
    <n v="0"/>
    <n v="247.66171318038673"/>
    <n v="63.514285714285727"/>
    <n v="-2.088886579707433E-2"/>
    <n v="10"/>
    <m/>
    <s v="Mahua BMC"/>
    <m/>
    <n v="0"/>
  </r>
  <r>
    <s v="Munger"/>
    <s v="24-30 Jul"/>
    <n v="1061"/>
    <s v="Mahua BMC"/>
    <x v="870"/>
    <s v="GOMUKH KHAJECHAND"/>
    <s v="MPG"/>
    <s v="Direct"/>
    <n v="251.4"/>
    <n v="9913.58"/>
    <n v="258.89999999999998"/>
    <n v="10186.140000000001"/>
    <n v="0"/>
    <n v="0"/>
    <n v="258.89999999999998"/>
    <n v="10186.140000000001"/>
    <n v="9913.58"/>
    <n v="0"/>
    <n v="0"/>
    <n v="272.56000000000131"/>
    <n v="0"/>
    <n v="0"/>
    <n v="0"/>
    <n v="9914"/>
    <n v="0"/>
    <n v="0"/>
    <n v="0"/>
    <n v="0"/>
    <n v="353.79729419252197"/>
    <n v="35.914285714285718"/>
    <n v="-2.749359968850822E-2"/>
    <n v="3"/>
    <m/>
    <s v="Mahua BMC"/>
    <m/>
    <n v="0"/>
  </r>
  <r>
    <s v="Munger"/>
    <s v="24-30 Jul"/>
    <n v="1061"/>
    <s v="Mahua BMC"/>
    <x v="871"/>
    <s v="GOMUKH SALEMPUR"/>
    <s v="MPG"/>
    <s v="Direct"/>
    <n v="324.39999999999998"/>
    <n v="14876.62"/>
    <n v="318.3"/>
    <n v="14541.56"/>
    <n v="6.3000000000000007"/>
    <n v="275.7"/>
    <n v="324.60000000000002"/>
    <n v="14817.26"/>
    <n v="14817.26"/>
    <n v="0"/>
    <n v="275.7"/>
    <n v="0"/>
    <n v="0"/>
    <n v="0"/>
    <n v="0"/>
    <n v="14542"/>
    <n v="0"/>
    <n v="0"/>
    <n v="59"/>
    <s v="Release1"/>
    <n v="344.49189099876708"/>
    <n v="46.342857142857142"/>
    <n v="3.9901536773810573E-3"/>
    <n v="9"/>
    <m/>
    <s v="Mahua BMC"/>
    <m/>
    <n v="0"/>
  </r>
  <r>
    <s v="Munger"/>
    <s v="24-30 Jul"/>
    <n v="1061"/>
    <s v="Mahua BMC"/>
    <x v="872"/>
    <s v="Gomukh Paharpur"/>
    <s v="MPG"/>
    <s v="Direct"/>
    <n v="1076.3"/>
    <n v="49071.96"/>
    <n v="1101.5999999999999"/>
    <n v="48515.4"/>
    <n v="0"/>
    <n v="0"/>
    <n v="1101.5999999999999"/>
    <n v="48515.4"/>
    <n v="48515.4"/>
    <n v="0"/>
    <n v="0"/>
    <n v="0"/>
    <n v="0"/>
    <n v="0"/>
    <n v="0"/>
    <n v="48516"/>
    <n v="0"/>
    <n v="0"/>
    <n v="556"/>
    <n v="0"/>
    <n v="0"/>
    <n v="0"/>
    <n v="1.134171123386956E-2"/>
    <n v="7"/>
    <m/>
    <s v="Mahua BMC"/>
    <m/>
    <n v="0"/>
  </r>
  <r>
    <s v="Munger"/>
    <s v="24-30 Jul"/>
    <n v="1061"/>
    <s v="Mahua BMC"/>
    <x v="873"/>
    <s v="GOMUKH PREMRAJ"/>
    <s v="MPG"/>
    <s v="Direct"/>
    <n v="346.00000000000011"/>
    <n v="17376.760000000006"/>
    <n v="352.4"/>
    <n v="17766.580000000002"/>
    <n v="0"/>
    <n v="0"/>
    <n v="352.4"/>
    <n v="17766.580000000002"/>
    <n v="17376.760000000006"/>
    <n v="0"/>
    <n v="0"/>
    <n v="389.81999999999607"/>
    <n v="0"/>
    <n v="0"/>
    <n v="0"/>
    <n v="17377"/>
    <n v="0"/>
    <n v="0"/>
    <n v="0"/>
    <n v="0"/>
    <n v="355.57069595375708"/>
    <n v="49.428571428571445"/>
    <n v="-2.2433411061670641E-2"/>
    <n v="10"/>
    <m/>
    <s v="Mahua BMC"/>
    <m/>
    <n v="0"/>
  </r>
  <r>
    <s v="Munger"/>
    <s v="24-30 Jul"/>
    <n v="1061"/>
    <s v="Mahua BMC"/>
    <x v="874"/>
    <s v="GOMUKH GANGATI"/>
    <s v="MPG"/>
    <s v="Direct"/>
    <n v="342.5"/>
    <n v="15455.479999999998"/>
    <n v="348.79999999999995"/>
    <n v="15608.869999999997"/>
    <n v="0"/>
    <n v="0"/>
    <n v="348.79999999999995"/>
    <n v="15608.869999999997"/>
    <n v="15455.479999999998"/>
    <n v="0"/>
    <n v="0"/>
    <n v="153.38999999999942"/>
    <n v="0"/>
    <n v="0"/>
    <n v="0"/>
    <n v="15455"/>
    <n v="0"/>
    <n v="0"/>
    <n v="0"/>
    <n v="0"/>
    <n v="322.64724671532844"/>
    <n v="48.928571428571431"/>
    <n v="-9.9246351455923362E-3"/>
    <n v="3"/>
    <m/>
    <s v="Mahua BMC"/>
    <m/>
    <n v="0"/>
  </r>
  <r>
    <s v="Munger"/>
    <s v="24-30 Jul"/>
    <n v="1061"/>
    <s v="Mahua BMC"/>
    <x v="875"/>
    <s v="GOMUKH Khanpatti"/>
    <s v="MPG"/>
    <s v="Direct"/>
    <n v="1272.3999999999999"/>
    <n v="61546.280000000013"/>
    <n v="1302.7000000000003"/>
    <n v="61725.329999999987"/>
    <n v="15.000000000000002"/>
    <n v="686.07999999999993"/>
    <n v="1317.7000000000003"/>
    <n v="62411.409999999989"/>
    <n v="61546.280000000013"/>
    <n v="0"/>
    <n v="686.07999999999993"/>
    <n v="865.12999999997555"/>
    <n v="0"/>
    <n v="0"/>
    <n v="0"/>
    <n v="60860"/>
    <n v="0"/>
    <n v="0"/>
    <n v="0"/>
    <s v="Release1"/>
    <n v="0"/>
    <n v="0"/>
    <n v="-1.4056576611941053E-2"/>
    <n v="29"/>
    <m/>
    <s v="Mahua BMC"/>
    <m/>
    <n v="0"/>
  </r>
  <r>
    <s v="Munger"/>
    <s v="24-30 Jul"/>
    <n v="1061"/>
    <s v="Mahua BMC"/>
    <x v="876"/>
    <s v="GOMUKH Bhagwatpur"/>
    <s v="MPG"/>
    <s v="Direct"/>
    <n v="438.3"/>
    <n v="21791.440000000002"/>
    <n v="473"/>
    <n v="21824.190000000002"/>
    <n v="0"/>
    <n v="0"/>
    <n v="473"/>
    <n v="21824.190000000002"/>
    <n v="21791.440000000002"/>
    <n v="0"/>
    <n v="0"/>
    <n v="32.75"/>
    <n v="0"/>
    <n v="0"/>
    <n v="0"/>
    <n v="21791"/>
    <n v="0"/>
    <n v="0"/>
    <n v="0"/>
    <n v="0"/>
    <n v="260.22449682865619"/>
    <n v="62.614285714285714"/>
    <n v="-1.5028837011230097E-3"/>
    <n v="19"/>
    <m/>
    <s v="Mahua BMC"/>
    <m/>
    <n v="0"/>
  </r>
  <r>
    <s v="Munger"/>
    <s v="24-30 Jul"/>
    <n v="1061"/>
    <s v="Mahua BMC"/>
    <x v="877"/>
    <s v="GOMUKH JIRWARA"/>
    <s v="vlc"/>
    <s v="Indirect"/>
    <n v="338.79999999999995"/>
    <n v="13495.039999999999"/>
    <n v="0"/>
    <n v="0"/>
    <n v="0"/>
    <n v="0"/>
    <n v="0"/>
    <n v="0"/>
    <n v="13495.039999999999"/>
    <n v="0"/>
    <n v="0"/>
    <n v="0"/>
    <n v="0"/>
    <n v="0"/>
    <n v="0"/>
    <n v="0"/>
    <n v="0"/>
    <n v="13495.039999999999"/>
    <n v="0"/>
    <n v="0"/>
    <n v="287.74548099173563"/>
    <n v="48.399999999999991"/>
    <n v="0"/>
    <n v="0"/>
    <m/>
    <s v="Mahua BMC"/>
    <m/>
    <n v="0"/>
  </r>
  <r>
    <s v="Munger"/>
    <s v="24-30 Jul"/>
    <n v="1061"/>
    <s v="Mahua BMC"/>
    <x v="878"/>
    <s v="GOMUKH Karhatiya"/>
    <s v="vlc"/>
    <s v="Indirect"/>
    <n v="107.80000000000001"/>
    <n v="3925.11"/>
    <n v="0"/>
    <n v="0"/>
    <n v="0"/>
    <n v="0"/>
    <n v="0"/>
    <n v="0"/>
    <n v="3925.11"/>
    <n v="0"/>
    <n v="0"/>
    <n v="0"/>
    <n v="0"/>
    <n v="0"/>
    <n v="0"/>
    <n v="0"/>
    <n v="0"/>
    <n v="3925.11"/>
    <n v="0"/>
    <n v="0"/>
    <n v="431.25234545454543"/>
    <n v="15.400000000000002"/>
    <n v="0"/>
    <n v="0"/>
    <m/>
    <s v="Mahua BMC"/>
    <m/>
    <n v="0"/>
  </r>
  <r>
    <s v="Munger"/>
    <s v="24-30 Jul"/>
    <n v="1061"/>
    <s v="Mahua BMC"/>
    <x v="879"/>
    <s v="GOMUKH Bheraukhara"/>
    <s v="MPG"/>
    <s v="Direct"/>
    <n v="277.3"/>
    <n v="13085.089999999998"/>
    <n v="270.30000000000007"/>
    <n v="11740.370000000003"/>
    <n v="0"/>
    <n v="0"/>
    <n v="270.30000000000007"/>
    <n v="11740.370000000003"/>
    <n v="11740.370000000003"/>
    <n v="0"/>
    <n v="0"/>
    <n v="0"/>
    <n v="0"/>
    <n v="0"/>
    <n v="0"/>
    <n v="11739"/>
    <n v="0"/>
    <n v="0"/>
    <n v="1346"/>
    <n v="0"/>
    <n v="398.92301067435983"/>
    <n v="39.614285714285714"/>
    <n v="0.10276734818025676"/>
    <n v="10"/>
    <m/>
    <s v="Mahua BMC"/>
    <m/>
    <n v="0"/>
  </r>
  <r>
    <s v="Munger"/>
    <s v="24-30 Jul"/>
    <n v="1061"/>
    <s v="Mahua BMC"/>
    <x v="880"/>
    <s v="GOMUKH SUPOLTARIYA"/>
    <s v="MPG"/>
    <s v="Direct"/>
    <n v="485.3"/>
    <n v="22067.19"/>
    <n v="278.3"/>
    <n v="13469.97"/>
    <n v="212.79999999999995"/>
    <n v="8375.2499999999982"/>
    <n v="491.09999999999997"/>
    <n v="21845.219999999998"/>
    <n v="21845.219999999998"/>
    <n v="0"/>
    <n v="0"/>
    <n v="0"/>
    <n v="1056"/>
    <n v="0"/>
    <n v="0"/>
    <n v="12414"/>
    <n v="8375"/>
    <n v="0"/>
    <n v="222"/>
    <s v="Release1"/>
    <n v="195.25348003296924"/>
    <n v="69.328571428571436"/>
    <n v="1.0058824888896192E-2"/>
    <n v="16"/>
    <m/>
    <s v="Mahua BMC"/>
    <m/>
    <n v="0"/>
  </r>
  <r>
    <s v="Munger"/>
    <s v="24-30 Jul"/>
    <n v="1061"/>
    <s v="Mahua BMC"/>
    <x v="881"/>
    <s v="GOMUKH Shravanapatti"/>
    <s v="MPG"/>
    <s v="Direct"/>
    <n v="46.2"/>
    <n v="2347.2199999999998"/>
    <n v="46.199999999999996"/>
    <n v="2365.38"/>
    <n v="0"/>
    <n v="0"/>
    <n v="46.199999999999996"/>
    <n v="2365.38"/>
    <n v="2347.2199999999998"/>
    <n v="0"/>
    <n v="0"/>
    <n v="18.160000000000309"/>
    <n v="0"/>
    <n v="0"/>
    <n v="0"/>
    <n v="2347"/>
    <n v="0"/>
    <n v="0"/>
    <n v="0"/>
    <n v="0"/>
    <n v="664.33438787878788"/>
    <n v="6.6000000000000005"/>
    <n v="-7.7368120585204246E-3"/>
    <n v="1"/>
    <m/>
    <s v="Mahua BMC"/>
    <m/>
    <n v="0"/>
  </r>
  <r>
    <s v="Munger"/>
    <s v="24-30 Jul"/>
    <n v="1061"/>
    <s v="Mahua BMC"/>
    <x v="882"/>
    <s v="GOMUKH Jilwara"/>
    <s v="MPG"/>
    <s v="Direct"/>
    <n v="324.7"/>
    <n v="14404.029999999999"/>
    <n v="319.60000000000002"/>
    <n v="13936.54"/>
    <n v="6.2"/>
    <n v="278"/>
    <n v="325.8"/>
    <n v="14214.54"/>
    <n v="14214.54"/>
    <n v="0"/>
    <n v="278"/>
    <n v="0"/>
    <n v="0"/>
    <n v="0"/>
    <n v="0"/>
    <n v="13935"/>
    <n v="0"/>
    <n v="0"/>
    <n v="191"/>
    <n v="0"/>
    <n v="332.97397345241757"/>
    <n v="46.385714285714286"/>
    <n v="1.3155346107998801E-2"/>
    <n v="11"/>
    <m/>
    <s v="Mahua BMC"/>
    <m/>
    <n v="0"/>
  </r>
  <r>
    <s v="Munger"/>
    <s v="24-30 Jul"/>
    <n v="1061"/>
    <s v="Mahua BMC"/>
    <x v="883"/>
    <s v="GOMUKH ABBUCHAK"/>
    <s v="MPG"/>
    <s v="Direct"/>
    <n v="189"/>
    <n v="9501.4"/>
    <n v="187.9"/>
    <n v="9583.010000000002"/>
    <n v="0"/>
    <n v="0"/>
    <n v="187.9"/>
    <n v="9583.010000000002"/>
    <n v="9501.4"/>
    <n v="0"/>
    <n v="0"/>
    <n v="81.610000000002401"/>
    <n v="0"/>
    <n v="0"/>
    <n v="0"/>
    <n v="9501"/>
    <n v="0"/>
    <n v="0"/>
    <n v="0"/>
    <n v="0"/>
    <n v="513.77940740740746"/>
    <n v="27"/>
    <n v="-8.589260530027407E-3"/>
    <n v="4"/>
    <m/>
    <s v="Mahua BMC"/>
    <m/>
    <n v="0"/>
  </r>
  <r>
    <s v="Munger"/>
    <s v="24-30 Jul"/>
    <n v="1061"/>
    <s v="Mahua BMC"/>
    <x v="884"/>
    <s v="GOMUKH KAILA JALALPUR"/>
    <s v="MPG"/>
    <s v="Direct"/>
    <n v="226.4"/>
    <n v="9365.3499999999985"/>
    <n v="247.5"/>
    <n v="9693.630000000001"/>
    <n v="7.1000000000000014"/>
    <n v="260.42"/>
    <n v="254.6"/>
    <n v="9954.0500000000011"/>
    <n v="9365.3499999999985"/>
    <n v="0"/>
    <n v="260.42"/>
    <n v="588.70000000000255"/>
    <n v="0"/>
    <n v="0"/>
    <n v="0"/>
    <n v="9447"/>
    <n v="0"/>
    <n v="0"/>
    <n v="-342"/>
    <s v="Release1"/>
    <n v="391.82241696113073"/>
    <n v="32.342857142857142"/>
    <n v="-6.2859369911429111E-2"/>
    <n v="10"/>
    <m/>
    <s v="Mahua BMC"/>
    <m/>
    <n v="0"/>
  </r>
  <r>
    <s v="Munger"/>
    <s v="24-30 Jul"/>
    <n v="1061"/>
    <s v="Mahua BMC"/>
    <x v="886"/>
    <s v="Gomukh Jhitkahi East"/>
    <s v="MPG"/>
    <s v="Direct"/>
    <n v="186.30000000000004"/>
    <n v="9916.17"/>
    <n v="181.00000000000003"/>
    <n v="9863.380000000001"/>
    <n v="0"/>
    <n v="0"/>
    <n v="181.00000000000003"/>
    <n v="9863.380000000001"/>
    <n v="9863.380000000001"/>
    <n v="0"/>
    <n v="0"/>
    <n v="0"/>
    <n v="0"/>
    <n v="0"/>
    <n v="0"/>
    <n v="9862"/>
    <n v="0"/>
    <n v="0"/>
    <n v="54"/>
    <n v="0"/>
    <n v="546.85308953301114"/>
    <n v="26.614285714285721"/>
    <n v="5.3236279733000803E-3"/>
    <n v="7"/>
    <m/>
    <s v="Mahua BMC"/>
    <m/>
    <n v="0"/>
  </r>
  <r>
    <s v="Munger"/>
    <s v="24-30 Jul"/>
    <n v="1061"/>
    <s v="Mahua BMC"/>
    <x v="887"/>
    <s v="GOMUKH UPHRAUL"/>
    <s v="vlc"/>
    <s v="Indirect"/>
    <n v="1128.5"/>
    <n v="40915.380000000005"/>
    <n v="0"/>
    <n v="0"/>
    <n v="0"/>
    <n v="0"/>
    <n v="0"/>
    <n v="0"/>
    <n v="40915.380000000005"/>
    <n v="0"/>
    <n v="0"/>
    <n v="0"/>
    <n v="0"/>
    <n v="0"/>
    <n v="0"/>
    <n v="0"/>
    <n v="0"/>
    <n v="40915.380000000005"/>
    <n v="0"/>
    <n v="0"/>
    <n v="0"/>
    <n v="0"/>
    <n v="0"/>
    <n v="0"/>
    <m/>
    <s v="Mahua BMC"/>
    <m/>
    <n v="0"/>
  </r>
  <r>
    <s v="Munger"/>
    <s v="24-30 Jul"/>
    <n v="1061"/>
    <s v="Mahua BMC"/>
    <x v="888"/>
    <s v="GOMUKH SHERPUR"/>
    <s v="vlc"/>
    <s v="Indirect"/>
    <n v="199.1"/>
    <n v="7800.6400000000012"/>
    <n v="0"/>
    <n v="0"/>
    <n v="0"/>
    <n v="0"/>
    <n v="0"/>
    <n v="0"/>
    <n v="7800.6400000000012"/>
    <n v="0"/>
    <n v="0"/>
    <n v="0"/>
    <n v="0"/>
    <n v="0"/>
    <n v="0"/>
    <n v="0"/>
    <n v="0"/>
    <n v="7800.6400000000012"/>
    <n v="0"/>
    <n v="0"/>
    <n v="392.50030899045714"/>
    <n v="28.442857142857143"/>
    <n v="0"/>
    <n v="0"/>
    <m/>
    <s v="Mahua BMC"/>
    <m/>
    <n v="0"/>
  </r>
  <r>
    <s v="Munger"/>
    <s v="24-30 Jul"/>
    <n v="1061"/>
    <s v="Mahua BMC"/>
    <x v="989"/>
    <s v="GOMUKH PANSALA"/>
    <s v="vlc"/>
    <s v="Indirect"/>
    <n v="422.70000000000005"/>
    <n v="16120.330000000002"/>
    <n v="0"/>
    <n v="0"/>
    <n v="0"/>
    <n v="0"/>
    <n v="0"/>
    <n v="0"/>
    <n v="16120.330000000002"/>
    <n v="0"/>
    <n v="0"/>
    <n v="0"/>
    <n v="0"/>
    <n v="0"/>
    <n v="0"/>
    <n v="0"/>
    <n v="0"/>
    <n v="16120.330000000002"/>
    <n v="0"/>
    <n v="0"/>
    <n v="211.50544163709486"/>
    <n v="60.385714285714293"/>
    <n v="0"/>
    <n v="0"/>
    <m/>
    <s v="Mahua BMC"/>
    <m/>
    <n v="0"/>
  </r>
  <r>
    <s v="Munger"/>
    <s v="24-30 Jul"/>
    <n v="1061"/>
    <s v="Mahua BMC"/>
    <x v="990"/>
    <s v="GOMUKH KUSIYARI"/>
    <s v="vlc"/>
    <s v="Indirect"/>
    <n v="250.9"/>
    <n v="9746.7100000000009"/>
    <n v="0"/>
    <n v="0"/>
    <n v="0"/>
    <n v="0"/>
    <n v="0"/>
    <n v="0"/>
    <n v="9746.7100000000009"/>
    <n v="0"/>
    <n v="0"/>
    <n v="0"/>
    <n v="0"/>
    <n v="0"/>
    <n v="0"/>
    <n v="0"/>
    <n v="0"/>
    <n v="9746.7100000000009"/>
    <n v="0"/>
    <n v="0"/>
    <n v="348.92367166201677"/>
    <n v="35.842857142857142"/>
    <n v="0"/>
    <n v="0"/>
    <m/>
    <s v="Mahua BMC"/>
    <m/>
    <n v="0"/>
  </r>
  <r>
    <s v="Munger"/>
    <s v="24-30 Jul"/>
    <n v="1061"/>
    <s v="Mahua BMC"/>
    <x v="991"/>
    <s v="GOMUKH PACHAI"/>
    <s v="vlc"/>
    <s v="Indirect"/>
    <n v="481.5"/>
    <n v="18723.740000000002"/>
    <n v="0"/>
    <n v="0"/>
    <n v="0"/>
    <n v="0"/>
    <n v="0"/>
    <n v="0"/>
    <n v="18723.740000000002"/>
    <n v="0"/>
    <n v="0"/>
    <n v="0"/>
    <n v="0"/>
    <n v="0"/>
    <n v="0"/>
    <n v="0"/>
    <n v="0"/>
    <n v="18723.740000000002"/>
    <n v="0"/>
    <n v="0"/>
    <n v="169.93300893042573"/>
    <n v="68.785714285714292"/>
    <n v="0"/>
    <n v="0"/>
    <m/>
    <s v="Mahua BMC"/>
    <m/>
    <n v="0"/>
  </r>
  <r>
    <s v="Munger"/>
    <s v="24-30 Jul"/>
    <n v="1061"/>
    <s v="Mahua BMC"/>
    <x v="889"/>
    <s v="GOMUKH GARAHI"/>
    <s v="vlc"/>
    <s v="Indirect"/>
    <n v="248.80000000000004"/>
    <n v="8446.32"/>
    <n v="0"/>
    <n v="0"/>
    <n v="0"/>
    <n v="0"/>
    <n v="0"/>
    <n v="0"/>
    <n v="8446.32"/>
    <n v="0"/>
    <n v="0"/>
    <n v="0"/>
    <n v="0"/>
    <n v="0"/>
    <n v="0"/>
    <n v="0"/>
    <n v="0"/>
    <n v="8446.32"/>
    <n v="0"/>
    <n v="0"/>
    <n v="306.34884115755625"/>
    <n v="35.542857142857152"/>
    <n v="0"/>
    <n v="0"/>
    <m/>
    <s v="Mahua BMC"/>
    <m/>
    <n v="0"/>
  </r>
  <r>
    <s v="Munger"/>
    <s v="24-30 Jul"/>
    <n v="1061"/>
    <s v="Mahua BMC"/>
    <x v="890"/>
    <s v="GOMUKH BAIKUNTHPUR"/>
    <s v="vlc"/>
    <s v="Indirect"/>
    <n v="376.79999999999995"/>
    <n v="13523.360000000002"/>
    <n v="0"/>
    <n v="0"/>
    <n v="0"/>
    <n v="0"/>
    <n v="0"/>
    <n v="0"/>
    <n v="13523.360000000002"/>
    <n v="0"/>
    <n v="0"/>
    <n v="0"/>
    <n v="0"/>
    <n v="0"/>
    <n v="0"/>
    <n v="0"/>
    <n v="0"/>
    <n v="13523.360000000002"/>
    <n v="0"/>
    <n v="0"/>
    <n v="231.99309723991519"/>
    <n v="53.828571428571422"/>
    <n v="0"/>
    <n v="0"/>
    <m/>
    <s v="Mahua BMC"/>
    <m/>
    <n v="0"/>
  </r>
  <r>
    <s v="Munger"/>
    <s v="24-30 Jul"/>
    <n v="1061"/>
    <s v="Mahua BMC"/>
    <x v="891"/>
    <s v="GOMUKH BAHASHI"/>
    <s v="vlc"/>
    <s v="Indirect"/>
    <n v="227.9"/>
    <n v="8007.83"/>
    <n v="0"/>
    <n v="0"/>
    <n v="0"/>
    <n v="0"/>
    <n v="0"/>
    <n v="0"/>
    <n v="8007.83"/>
    <n v="0"/>
    <n v="0"/>
    <n v="0"/>
    <n v="0"/>
    <n v="0"/>
    <n v="0"/>
    <n v="0"/>
    <n v="0"/>
    <n v="8007.83"/>
    <n v="0"/>
    <n v="0"/>
    <n v="331.76801605967529"/>
    <n v="32.557142857142857"/>
    <n v="0"/>
    <n v="0"/>
    <m/>
    <s v="Mahua BMC"/>
    <m/>
    <n v="0"/>
  </r>
  <r>
    <s v="Munger"/>
    <s v="24-30 Jul"/>
    <n v="1061"/>
    <s v="Mahua BMC"/>
    <x v="893"/>
    <s v="GOMUKH KHARIKA"/>
    <s v="vlc"/>
    <s v="Indirect"/>
    <n v="174.6"/>
    <n v="6654.82"/>
    <n v="0"/>
    <n v="0"/>
    <n v="0"/>
    <n v="0"/>
    <n v="0"/>
    <n v="0"/>
    <n v="6654.82"/>
    <n v="0"/>
    <n v="0"/>
    <n v="0"/>
    <n v="0"/>
    <n v="0"/>
    <n v="0"/>
    <n v="0"/>
    <n v="0"/>
    <n v="6654.82"/>
    <n v="0"/>
    <n v="0"/>
    <n v="400.5088691867125"/>
    <n v="24.942857142857143"/>
    <n v="0"/>
    <n v="0"/>
    <m/>
    <s v="Mahua BMC"/>
    <m/>
    <n v="0"/>
  </r>
  <r>
    <s v="Munger"/>
    <s v="24-30 Jul"/>
    <n v="1061"/>
    <s v="Mahua BMC"/>
    <x v="896"/>
    <s v="GOMUKH HARPUR RAJESH"/>
    <s v="vlc"/>
    <s v="Indirect"/>
    <n v="468.4"/>
    <n v="19015.010000000002"/>
    <n v="0"/>
    <n v="0"/>
    <n v="0"/>
    <n v="0"/>
    <n v="0"/>
    <n v="0"/>
    <n v="19015.010000000002"/>
    <n v="0"/>
    <n v="0"/>
    <n v="0"/>
    <n v="0"/>
    <n v="0"/>
    <n v="0"/>
    <n v="0"/>
    <n v="0"/>
    <n v="19015.010000000002"/>
    <n v="0"/>
    <n v="0"/>
    <n v="188.03912536293771"/>
    <n v="66.914285714285711"/>
    <n v="0"/>
    <n v="0"/>
    <m/>
    <s v="Mahua BMC"/>
    <m/>
    <n v="0"/>
  </r>
  <r>
    <s v="Munger"/>
    <s v="24-30 Jul"/>
    <n v="1061"/>
    <s v="Mahua BMC"/>
    <x v="897"/>
    <s v="GOMUKH SANICHAR HATT"/>
    <s v="vlc"/>
    <s v="Indirect"/>
    <n v="310.5"/>
    <n v="11278.76"/>
    <n v="0"/>
    <n v="0"/>
    <n v="0"/>
    <n v="0"/>
    <n v="0"/>
    <n v="0"/>
    <n v="11278.76"/>
    <n v="0"/>
    <n v="0"/>
    <n v="0"/>
    <n v="0"/>
    <n v="0"/>
    <n v="0"/>
    <n v="0"/>
    <n v="0"/>
    <n v="11278.76"/>
    <n v="0"/>
    <n v="0"/>
    <n v="282.96792399355877"/>
    <n v="44.357142857142854"/>
    <n v="0"/>
    <n v="0"/>
    <m/>
    <s v="Mahua BMC"/>
    <m/>
    <n v="0"/>
  </r>
  <r>
    <s v="Munger"/>
    <s v="24-30 Jul"/>
    <n v="1061"/>
    <s v="Mahua BMC"/>
    <x v="898"/>
    <s v="GOMUKH SAHARIYA"/>
    <s v="vlc"/>
    <s v="Indirect"/>
    <n v="648.00000000000011"/>
    <n v="25495.32"/>
    <n v="0"/>
    <n v="0"/>
    <n v="0"/>
    <n v="0"/>
    <n v="0"/>
    <n v="0"/>
    <n v="25495.32"/>
    <n v="0"/>
    <n v="0"/>
    <n v="0"/>
    <n v="0"/>
    <n v="0"/>
    <n v="0"/>
    <n v="0"/>
    <n v="0"/>
    <n v="25495.32"/>
    <n v="0"/>
    <n v="0"/>
    <n v="40.918414814814746"/>
    <n v="92.571428571428584"/>
    <n v="0"/>
    <n v="0"/>
    <m/>
    <s v="Mahua BMC"/>
    <m/>
    <n v="0"/>
  </r>
  <r>
    <s v="Munger"/>
    <s v="24-30 Jul"/>
    <n v="1061"/>
    <s v="Mahua BMC"/>
    <x v="899"/>
    <s v="GOMUKH TAJPUR BUZURG"/>
    <s v="MPG"/>
    <s v="Direct"/>
    <n v="580.29999999999995"/>
    <n v="22330.46"/>
    <n v="617.19999999999993"/>
    <n v="23072.98"/>
    <n v="0"/>
    <n v="0"/>
    <n v="617.19999999999993"/>
    <n v="23072.98"/>
    <n v="22330.46"/>
    <n v="0"/>
    <n v="0"/>
    <n v="742.52000000000044"/>
    <n v="0"/>
    <n v="0"/>
    <n v="0"/>
    <n v="22330"/>
    <n v="0"/>
    <n v="0"/>
    <n v="0"/>
    <n v="0"/>
    <n v="92.123248733413803"/>
    <n v="82.899999999999991"/>
    <n v="-3.3251442200474171E-2"/>
    <n v="4"/>
    <m/>
    <s v="Mahua BMC"/>
    <m/>
    <n v="0"/>
  </r>
  <r>
    <s v="Munger"/>
    <s v="24-30 Jul"/>
    <n v="1061"/>
    <s v="Mahua BMC"/>
    <x v="900"/>
    <s v="GOMUKH PAITRAPUR"/>
    <s v="MPG"/>
    <s v="Direct"/>
    <n v="248.39999999999995"/>
    <n v="12380.439999999999"/>
    <n v="242.7"/>
    <n v="11370.25"/>
    <n v="15.6"/>
    <n v="962.31"/>
    <n v="258.3"/>
    <n v="12332.56"/>
    <n v="12332.56"/>
    <n v="0"/>
    <n v="0"/>
    <n v="0"/>
    <n v="962"/>
    <n v="0"/>
    <n v="0"/>
    <n v="11371"/>
    <n v="0"/>
    <n v="0"/>
    <n v="47"/>
    <n v="0"/>
    <n v="450.1615703703705"/>
    <n v="35.48571428571428"/>
    <n v="3.8673908197123207E-3"/>
    <n v="12"/>
    <m/>
    <s v="Mahua BMC"/>
    <m/>
    <n v="0"/>
  </r>
  <r>
    <s v="Munger"/>
    <s v="24-30 Jul"/>
    <n v="1061"/>
    <s v="Mahua BMC"/>
    <x v="901"/>
    <s v="GOMUKH JAI MATA DI MILK CENTER"/>
    <s v="vlc"/>
    <s v="Indirect"/>
    <n v="620.49999999999989"/>
    <n v="25830.970000000005"/>
    <n v="0"/>
    <n v="0"/>
    <n v="0"/>
    <n v="0"/>
    <n v="0"/>
    <n v="0"/>
    <n v="25830.970000000005"/>
    <n v="0"/>
    <n v="0"/>
    <n v="0"/>
    <n v="0"/>
    <n v="0"/>
    <n v="0"/>
    <n v="0"/>
    <n v="0"/>
    <n v="25830.970000000005"/>
    <n v="0"/>
    <n v="0"/>
    <n v="66.190559709911497"/>
    <n v="88.642857142857125"/>
    <n v="0"/>
    <n v="0"/>
    <m/>
    <s v="Mahua BMC"/>
    <m/>
    <n v="0"/>
  </r>
  <r>
    <s v="Munger"/>
    <s v="24-30 Jul"/>
    <n v="1061"/>
    <s v="Mahua BMC"/>
    <x v="904"/>
    <s v="GOMUKH BAHJRANGI"/>
    <s v="vlc"/>
    <s v="Indirect"/>
    <n v="1251.3"/>
    <n v="52306.410000000011"/>
    <n v="0"/>
    <n v="0"/>
    <n v="0"/>
    <n v="0"/>
    <n v="0"/>
    <n v="0"/>
    <n v="52306.410000000011"/>
    <n v="0"/>
    <n v="0"/>
    <n v="0"/>
    <n v="0"/>
    <n v="0"/>
    <n v="0"/>
    <n v="0"/>
    <n v="0"/>
    <n v="52306.410000000011"/>
    <n v="0"/>
    <n v="0"/>
    <n v="0"/>
    <n v="0"/>
    <n v="0"/>
    <n v="0"/>
    <m/>
    <s v="Mahua BMC"/>
    <m/>
    <n v="0"/>
  </r>
  <r>
    <s v="Munger"/>
    <s v="24-30 Jul"/>
    <n v="1061"/>
    <s v="Mahua BMC"/>
    <x v="994"/>
    <s v="GOMUKH BAJITPUR"/>
    <s v="vlc"/>
    <s v="Indirect"/>
    <n v="115.09999999999998"/>
    <n v="4460.57"/>
    <n v="0"/>
    <n v="0"/>
    <n v="0"/>
    <n v="0"/>
    <n v="0"/>
    <n v="0"/>
    <n v="4460.57"/>
    <n v="0"/>
    <n v="0"/>
    <n v="0"/>
    <n v="0"/>
    <n v="0"/>
    <n v="0"/>
    <n v="0"/>
    <n v="0"/>
    <n v="4460.57"/>
    <n v="0"/>
    <n v="0"/>
    <n v="453.34272684622084"/>
    <n v="16.44285714285714"/>
    <n v="0"/>
    <n v="0"/>
    <m/>
    <s v="Mahua BMC"/>
    <m/>
    <n v="0"/>
  </r>
  <r>
    <s v="Munger"/>
    <s v="24-30 Jul"/>
    <n v="1061"/>
    <s v="Mahua BMC"/>
    <x v="995"/>
    <s v="GOMUKH SHAHPUR TOI"/>
    <s v="vlc"/>
    <s v="Indirect"/>
    <n v="412.5"/>
    <n v="17194.86"/>
    <n v="0"/>
    <n v="0"/>
    <n v="0"/>
    <n v="0"/>
    <n v="0"/>
    <n v="0"/>
    <n v="17194.86"/>
    <n v="0"/>
    <n v="0"/>
    <n v="0"/>
    <n v="0"/>
    <n v="0"/>
    <n v="0"/>
    <n v="0"/>
    <n v="0"/>
    <n v="17194.86"/>
    <n v="0"/>
    <n v="0"/>
    <n v="239.68592727272733"/>
    <n v="58.928571428571431"/>
    <n v="0"/>
    <n v="0"/>
    <m/>
    <s v="Mahua BMC"/>
    <m/>
    <n v="0"/>
  </r>
  <r>
    <s v="Munger"/>
    <s v="24-30 Jul"/>
    <n v="1061"/>
    <s v="Mahua BMC"/>
    <x v="996"/>
    <s v="GOMUKH SUPAYAN"/>
    <s v="vlc"/>
    <s v="Indirect"/>
    <n v="1057.0999999999999"/>
    <n v="44291.369999999995"/>
    <n v="0"/>
    <n v="0"/>
    <n v="0"/>
    <n v="0"/>
    <n v="0"/>
    <n v="0"/>
    <n v="44291.369999999995"/>
    <n v="0"/>
    <n v="0"/>
    <n v="0"/>
    <n v="0"/>
    <n v="0"/>
    <n v="0"/>
    <n v="0"/>
    <n v="0"/>
    <n v="44291.369999999995"/>
    <n v="0"/>
    <n v="0"/>
    <n v="0"/>
    <n v="0"/>
    <n v="0"/>
    <n v="0"/>
    <m/>
    <s v="Mahua BMC"/>
    <m/>
    <n v="0"/>
  </r>
  <r>
    <s v="Munger"/>
    <s v="24-30 Jul"/>
    <n v="1061"/>
    <s v="Mahua BMC"/>
    <x v="1051"/>
    <s v="GOMUKH SURYANSH"/>
    <s v="vlc"/>
    <s v="Indirect"/>
    <n v="110.7"/>
    <n v="5263.869999999999"/>
    <n v="0"/>
    <n v="0"/>
    <n v="0"/>
    <n v="0"/>
    <n v="0"/>
    <n v="0"/>
    <n v="5263.869999999999"/>
    <n v="0"/>
    <n v="0"/>
    <n v="0"/>
    <n v="0"/>
    <n v="0"/>
    <n v="0"/>
    <n v="0"/>
    <n v="0"/>
    <n v="5263.869999999999"/>
    <n v="0"/>
    <n v="0"/>
    <n v="560.4333497741643"/>
    <n v="15.814285714285715"/>
    <n v="0"/>
    <n v="0"/>
    <m/>
    <s v="Mahua BMC"/>
    <m/>
    <n v="0"/>
  </r>
  <r>
    <s v="Munger"/>
    <s v="24-30 Jul"/>
    <n v="1061"/>
    <s v="Mahua BMC"/>
    <x v="1022"/>
    <s v="GOMUKH RAJAPAKAR PURBI"/>
    <s v="vlc"/>
    <s v="Indirect"/>
    <n v="253.60000000000002"/>
    <n v="10213.51"/>
    <n v="0"/>
    <n v="0"/>
    <n v="0"/>
    <n v="0"/>
    <n v="0"/>
    <n v="0"/>
    <n v="10213.51"/>
    <n v="0"/>
    <n v="0"/>
    <n v="0"/>
    <n v="0"/>
    <n v="0"/>
    <n v="0"/>
    <n v="0"/>
    <n v="0"/>
    <n v="10213.51"/>
    <n v="0"/>
    <n v="0"/>
    <n v="359.56710283911661"/>
    <n v="36.228571428571435"/>
    <n v="0"/>
    <n v="0"/>
    <m/>
    <s v="Mahua BMC"/>
    <m/>
    <n v="0"/>
  </r>
  <r>
    <s v="Munger"/>
    <s v="24-30 Jul"/>
    <n v="1061"/>
    <s v="Mahua BMC"/>
    <x v="1023"/>
    <s v="GOMUKH SAIDPUR"/>
    <s v="vlc"/>
    <s v="Indirect"/>
    <n v="170.2"/>
    <n v="7406.5399999999991"/>
    <n v="0"/>
    <n v="0"/>
    <n v="0"/>
    <n v="0"/>
    <n v="0"/>
    <n v="0"/>
    <n v="7406.5399999999991"/>
    <n v="0"/>
    <n v="0"/>
    <n v="0"/>
    <n v="0"/>
    <n v="0"/>
    <n v="0"/>
    <n v="0"/>
    <n v="0"/>
    <n v="7406.5399999999991"/>
    <n v="0"/>
    <n v="0"/>
    <n v="461.10280752056394"/>
    <n v="24.314285714285713"/>
    <n v="0"/>
    <n v="0"/>
    <m/>
    <s v="Mahua BMC"/>
    <m/>
    <n v="0"/>
  </r>
  <r>
    <s v="Munger"/>
    <s v="24-30 Jul"/>
    <n v="1057"/>
    <s v="Warisnagar"/>
    <x v="905"/>
    <s v="Karua"/>
    <s v="MPG"/>
    <s v="Direct"/>
    <n v="142.19999999999999"/>
    <n v="6157.03"/>
    <n v="3"/>
    <n v="165.84"/>
    <n v="130.22"/>
    <n v="6052.43"/>
    <n v="133.22"/>
    <n v="6218.27"/>
    <n v="6157.03"/>
    <n v="0"/>
    <n v="41.56"/>
    <n v="61.240000000000691"/>
    <n v="0"/>
    <n v="0"/>
    <n v="0"/>
    <n v="102"/>
    <n v="6013"/>
    <n v="0"/>
    <n v="0"/>
    <n v="0"/>
    <n v="483.03675583684947"/>
    <n v="20.314285714285713"/>
    <n v="-9.9463540050967261E-3"/>
    <n v="12"/>
    <m/>
    <s v="Warisnagar"/>
    <m/>
    <n v="0"/>
  </r>
  <r>
    <s v="Munger"/>
    <s v="24-30 Jul"/>
    <n v="1063"/>
    <s v="Rosera"/>
    <x v="907"/>
    <s v="Murli"/>
    <s v="MPG"/>
    <s v="Direct"/>
    <n v="326.5"/>
    <n v="13344.1"/>
    <n v="286.29999999999995"/>
    <n v="14225.199999999997"/>
    <n v="0.2"/>
    <n v="10.14"/>
    <n v="286.49999999999994"/>
    <n v="14235.339999999997"/>
    <n v="13344.1"/>
    <n v="0"/>
    <n v="10.14"/>
    <n v="891.23999999999614"/>
    <n v="0"/>
    <n v="0"/>
    <n v="0"/>
    <n v="13334"/>
    <n v="0"/>
    <n v="0"/>
    <n v="0"/>
    <n v="0"/>
    <n v="305.29992955589586"/>
    <n v="46.642857142857146"/>
    <n v="-6.6789067827728824E-2"/>
    <n v="7"/>
    <m/>
    <s v="Rosera"/>
    <m/>
    <n v="0"/>
  </r>
  <r>
    <s v="Munger"/>
    <s v="24-30 Jul"/>
    <n v="1063"/>
    <s v="Rosera"/>
    <x v="909"/>
    <s v="Nauapokhar"/>
    <s v="MPG"/>
    <s v="Direct"/>
    <n v="2041.2999999999997"/>
    <n v="78695.829999999973"/>
    <n v="1546.1"/>
    <n v="78370.889999999985"/>
    <n v="5"/>
    <n v="251.09000000000003"/>
    <n v="1551.1"/>
    <n v="78621.979999999981"/>
    <n v="78621.979999999981"/>
    <n v="0"/>
    <n v="251.09000000000003"/>
    <n v="0"/>
    <n v="0"/>
    <n v="0"/>
    <n v="0"/>
    <n v="78371"/>
    <n v="0"/>
    <n v="0"/>
    <n v="74"/>
    <n v="0"/>
    <n v="0"/>
    <n v="0"/>
    <n v="9.3842329383896572E-4"/>
    <n v="5"/>
    <m/>
    <s v="Rosera"/>
    <m/>
    <n v="0"/>
  </r>
  <r>
    <s v="Munger"/>
    <s v="24-30 Jul"/>
    <n v="1063"/>
    <s v="Rosera"/>
    <x v="910"/>
    <s v="Erout 2"/>
    <s v="vlc"/>
    <s v="Indirect"/>
    <n v="794.00000000000023"/>
    <n v="33817.120000000003"/>
    <n v="0"/>
    <n v="0"/>
    <n v="0"/>
    <n v="0"/>
    <n v="0"/>
    <n v="0"/>
    <n v="33817.120000000003"/>
    <n v="0"/>
    <n v="0"/>
    <n v="0"/>
    <n v="0"/>
    <n v="0"/>
    <n v="0"/>
    <n v="0"/>
    <n v="0"/>
    <n v="33817.120000000003"/>
    <n v="0"/>
    <n v="0"/>
    <n v="0"/>
    <n v="0"/>
    <n v="0"/>
    <n v="0"/>
    <m/>
    <s v="Rosera"/>
    <m/>
    <n v="0"/>
  </r>
  <r>
    <s v="Munger"/>
    <s v="24-30 Jul"/>
    <n v="1063"/>
    <s v="Rosera"/>
    <x v="911"/>
    <s v="Parsuram"/>
    <s v="vlc"/>
    <s v="Indirect"/>
    <n v="141"/>
    <n v="4475.46"/>
    <n v="0"/>
    <n v="0"/>
    <n v="0"/>
    <n v="0"/>
    <n v="0"/>
    <n v="0"/>
    <n v="4475.46"/>
    <n v="0"/>
    <n v="0"/>
    <n v="0"/>
    <n v="0"/>
    <n v="0"/>
    <n v="0"/>
    <n v="0"/>
    <n v="0"/>
    <n v="4475.46"/>
    <n v="0"/>
    <n v="0"/>
    <n v="354.86271489361701"/>
    <n v="20.142857142857142"/>
    <n v="0"/>
    <n v="0"/>
    <m/>
    <s v="Rosera"/>
    <m/>
    <n v="0"/>
  </r>
  <r>
    <s v="Munger"/>
    <s v="24-30 Jul"/>
    <n v="1063"/>
    <s v="Rosera"/>
    <x v="913"/>
    <s v="Sedukha"/>
    <s v="MPG"/>
    <s v="Direct"/>
    <n v="506.5"/>
    <n v="19624.86"/>
    <n v="492.90000000000003"/>
    <n v="19623.84"/>
    <n v="0"/>
    <n v="0"/>
    <n v="492.90000000000003"/>
    <n v="19623.84"/>
    <n v="19623.84"/>
    <n v="0"/>
    <n v="0"/>
    <n v="0"/>
    <n v="0"/>
    <n v="0"/>
    <n v="0"/>
    <n v="19623"/>
    <n v="0"/>
    <n v="0"/>
    <n v="2"/>
    <n v="0"/>
    <n v="149.94710404738402"/>
    <n v="72.357142857142861"/>
    <n v="5.1974893069323118E-5"/>
    <n v="9"/>
    <m/>
    <s v="Rosera"/>
    <m/>
    <n v="0"/>
  </r>
  <r>
    <s v="Munger"/>
    <s v="24-30 Jul"/>
    <n v="1057"/>
    <s v="Warisnagar"/>
    <x v="914"/>
    <s v="Madhuban 2"/>
    <s v="vlc"/>
    <s v="Indirect"/>
    <n v="339.2"/>
    <n v="13359.129999999997"/>
    <n v="0"/>
    <n v="0"/>
    <n v="0"/>
    <n v="0"/>
    <n v="0"/>
    <n v="0"/>
    <n v="13359.129999999997"/>
    <n v="0"/>
    <n v="0"/>
    <n v="0"/>
    <n v="0"/>
    <n v="0"/>
    <n v="0"/>
    <n v="0"/>
    <n v="0"/>
    <n v="13359.129999999997"/>
    <n v="0"/>
    <n v="0"/>
    <n v="284.19658632075465"/>
    <n v="48.457142857142856"/>
    <n v="0"/>
    <n v="0"/>
    <m/>
    <s v="Warisnagar"/>
    <m/>
    <n v="0"/>
  </r>
  <r>
    <s v="Munger"/>
    <s v="24-30 Jul"/>
    <n v="1063"/>
    <s v="Rosera"/>
    <x v="915"/>
    <s v="Yadav Jee"/>
    <s v="vlc"/>
    <s v="Indirect"/>
    <n v="180.60000000000002"/>
    <n v="7830.02"/>
    <n v="0"/>
    <n v="0"/>
    <n v="0"/>
    <n v="0"/>
    <n v="0"/>
    <n v="0"/>
    <n v="7830.02"/>
    <n v="0"/>
    <n v="0"/>
    <n v="0"/>
    <n v="0"/>
    <n v="0"/>
    <n v="0"/>
    <n v="0"/>
    <n v="0"/>
    <n v="7830.02"/>
    <n v="0"/>
    <n v="0"/>
    <n v="450.37789457364329"/>
    <n v="25.800000000000004"/>
    <n v="0"/>
    <n v="0"/>
    <m/>
    <s v="Rosera"/>
    <m/>
    <n v="0"/>
  </r>
  <r>
    <s v="Munger"/>
    <s v="24-30 Jul"/>
    <n v="1063"/>
    <s v="Rosera"/>
    <x v="916"/>
    <s v="Durgaashtan 2"/>
    <s v="vlc"/>
    <s v="Indirect"/>
    <n v="875.39999999999986"/>
    <n v="34565.760000000002"/>
    <n v="0"/>
    <n v="0"/>
    <n v="0"/>
    <n v="0"/>
    <n v="0"/>
    <n v="0"/>
    <n v="34565.760000000002"/>
    <n v="0"/>
    <n v="0"/>
    <n v="0"/>
    <n v="0"/>
    <n v="0"/>
    <n v="0"/>
    <n v="0"/>
    <n v="0"/>
    <n v="34565.760000000002"/>
    <n v="0"/>
    <n v="0"/>
    <n v="0"/>
    <n v="0"/>
    <n v="0"/>
    <n v="0"/>
    <m/>
    <s v="Rosera"/>
    <m/>
    <n v="0"/>
  </r>
  <r>
    <s v="Munger"/>
    <s v="24-30 Jul"/>
    <n v="1063"/>
    <s v="Rosera"/>
    <x v="917"/>
    <s v="Durgaashtan "/>
    <s v="vlc"/>
    <s v="Indirect"/>
    <n v="1444.3999999999999"/>
    <n v="55128.52"/>
    <n v="0"/>
    <n v="0"/>
    <n v="0"/>
    <n v="0"/>
    <n v="0"/>
    <n v="0"/>
    <n v="55128.52"/>
    <n v="0"/>
    <n v="0"/>
    <n v="0"/>
    <n v="0"/>
    <n v="0"/>
    <n v="0"/>
    <n v="0"/>
    <n v="0"/>
    <n v="55128.52"/>
    <n v="0"/>
    <n v="0"/>
    <n v="0"/>
    <n v="0"/>
    <n v="0"/>
    <n v="0"/>
    <m/>
    <s v="Rosera"/>
    <m/>
    <n v="0"/>
  </r>
  <r>
    <s v="Munger"/>
    <s v="24-30 Jul"/>
    <n v="1063"/>
    <s v="Rosera"/>
    <x v="918"/>
    <s v="Motipur"/>
    <s v="vlc"/>
    <s v="Indirect"/>
    <n v="280.60000000000002"/>
    <n v="10074.9"/>
    <n v="0"/>
    <n v="0"/>
    <n v="0"/>
    <n v="0"/>
    <n v="0"/>
    <n v="0"/>
    <n v="10074.9"/>
    <n v="0"/>
    <n v="0"/>
    <n v="0"/>
    <n v="0"/>
    <n v="0"/>
    <n v="0"/>
    <n v="0"/>
    <n v="0"/>
    <n v="10074.9"/>
    <n v="0"/>
    <n v="0"/>
    <n v="301.16985459729148"/>
    <n v="40.085714285714289"/>
    <n v="0"/>
    <n v="0"/>
    <m/>
    <s v="Rosera"/>
    <m/>
    <n v="0"/>
  </r>
  <r>
    <s v="Munger"/>
    <s v="24-30 Jul"/>
    <n v="1063"/>
    <s v="Rosera"/>
    <x v="998"/>
    <s v="Bhatandi"/>
    <s v="vlc"/>
    <s v="Direct"/>
    <n v="157.80000000000001"/>
    <n v="7520.98"/>
    <n v="148.35"/>
    <n v="7507.7899999999981"/>
    <n v="0"/>
    <n v="0"/>
    <n v="148.35"/>
    <n v="7507.7899999999981"/>
    <n v="7507.7899999999981"/>
    <n v="0"/>
    <n v="0"/>
    <n v="0"/>
    <n v="0"/>
    <n v="0"/>
    <n v="0"/>
    <n v="7508"/>
    <n v="0"/>
    <n v="0"/>
    <n v="13"/>
    <n v="0"/>
    <n v="516.84098301647657"/>
    <n v="22.542857142857144"/>
    <n v="1.7537608130857175E-3"/>
    <n v="1"/>
    <m/>
    <s v="Rosera"/>
    <m/>
    <n v="0"/>
  </r>
  <r>
    <s v="Munger"/>
    <s v="24-30 Jul"/>
    <n v="1063"/>
    <s v="Rosera"/>
    <x v="919"/>
    <s v="Haripur"/>
    <s v="vlc"/>
    <s v="Direct"/>
    <n v="298.10000000000008"/>
    <n v="12319.980000000001"/>
    <n v="253.79999999999993"/>
    <n v="12319.73"/>
    <n v="0"/>
    <n v="0"/>
    <n v="253.79999999999993"/>
    <n v="12319.73"/>
    <n v="12319.73"/>
    <n v="0"/>
    <n v="0"/>
    <n v="0"/>
    <n v="0"/>
    <n v="0"/>
    <n v="0"/>
    <n v="12319"/>
    <n v="0"/>
    <n v="0"/>
    <n v="1"/>
    <n v="0"/>
    <n v="332.19724669573958"/>
    <n v="42.585714285714296"/>
    <n v="2.0292240734304678E-5"/>
    <n v="5"/>
    <m/>
    <s v="Rosera"/>
    <m/>
    <n v="0"/>
  </r>
  <r>
    <s v="Munger"/>
    <s v="24-30 Jul"/>
    <n v="1063"/>
    <s v="Rosera"/>
    <x v="920"/>
    <s v="Jakhar"/>
    <s v="vlc"/>
    <s v="Indirect"/>
    <n v="78.7"/>
    <n v="2617.56"/>
    <n v="0"/>
    <n v="0"/>
    <n v="0"/>
    <n v="0"/>
    <n v="0"/>
    <n v="0"/>
    <n v="2617.56"/>
    <n v="0"/>
    <n v="0"/>
    <n v="0"/>
    <n v="0"/>
    <n v="0"/>
    <n v="0"/>
    <n v="0"/>
    <n v="0"/>
    <n v="2617.56"/>
    <n v="0"/>
    <n v="0"/>
    <n v="413.28844421855138"/>
    <n v="11.242857142857144"/>
    <n v="0"/>
    <n v="0"/>
    <m/>
    <s v="Rosera"/>
    <m/>
    <n v="0"/>
  </r>
  <r>
    <s v="Munger"/>
    <s v="24-30 Jul"/>
    <n v="1063"/>
    <s v="Rosera"/>
    <x v="923"/>
    <s v="Bhoraha"/>
    <s v="vlc"/>
    <s v="Indirect"/>
    <n v="135.1"/>
    <n v="5904.07"/>
    <n v="0"/>
    <n v="0"/>
    <n v="0"/>
    <n v="0"/>
    <n v="0"/>
    <n v="0"/>
    <n v="5904.07"/>
    <n v="0"/>
    <n v="0"/>
    <n v="0"/>
    <n v="0"/>
    <n v="0"/>
    <n v="0"/>
    <n v="0"/>
    <n v="0"/>
    <n v="5904.07"/>
    <n v="0"/>
    <n v="0"/>
    <n v="493.739325388601"/>
    <n v="19.3"/>
    <n v="0"/>
    <n v="0"/>
    <m/>
    <s v="Rosera"/>
    <m/>
    <n v="0"/>
  </r>
  <r>
    <s v="Munger"/>
    <s v="24-30 Jul"/>
    <n v="1063"/>
    <s v="Rosera"/>
    <x v="999"/>
    <s v="Dharha"/>
    <s v="vlc"/>
    <s v="Indirect"/>
    <n v="140.1"/>
    <n v="5177.9900000000007"/>
    <n v="0"/>
    <n v="0"/>
    <n v="0"/>
    <n v="0"/>
    <n v="0"/>
    <n v="0"/>
    <n v="5177.9900000000007"/>
    <n v="0"/>
    <n v="0"/>
    <n v="0"/>
    <n v="0"/>
    <n v="0"/>
    <n v="0"/>
    <n v="0"/>
    <n v="0"/>
    <n v="5177.9900000000007"/>
    <n v="0"/>
    <n v="0"/>
    <n v="413.86960756602446"/>
    <n v="20.014285714285712"/>
    <n v="0"/>
    <n v="0"/>
    <m/>
    <s v="Rosera"/>
    <m/>
    <n v="0"/>
  </r>
  <r>
    <s v="Munger"/>
    <s v="24-30 Jul"/>
    <n v="1063"/>
    <s v="Rosera"/>
    <x v="926"/>
    <s v="Tolapur Erout"/>
    <s v="vlc"/>
    <s v="Indirect"/>
    <n v="242.3"/>
    <n v="8380.8599999999988"/>
    <n v="0"/>
    <n v="0"/>
    <n v="0"/>
    <n v="0"/>
    <n v="0"/>
    <n v="0"/>
    <n v="8380.8599999999988"/>
    <n v="0"/>
    <n v="0"/>
    <n v="0"/>
    <n v="0"/>
    <n v="0"/>
    <n v="0"/>
    <n v="0"/>
    <n v="0"/>
    <n v="8380.8599999999988"/>
    <n v="0"/>
    <n v="0"/>
    <n v="316.62563945522072"/>
    <n v="34.614285714285714"/>
    <n v="0"/>
    <n v="0"/>
    <m/>
    <s v="Rosera"/>
    <m/>
    <n v="0"/>
  </r>
  <r>
    <s v="Munger"/>
    <s v="24-30 Jul"/>
    <n v="1063"/>
    <s v="Rosera"/>
    <x v="927"/>
    <s v="Sunil Erout"/>
    <s v="vlc"/>
    <s v="Indirect"/>
    <n v="15.1"/>
    <n v="440.77"/>
    <n v="0"/>
    <n v="0"/>
    <n v="0"/>
    <n v="0"/>
    <n v="0"/>
    <n v="0"/>
    <n v="440.77"/>
    <n v="0"/>
    <n v="0"/>
    <n v="0"/>
    <n v="0"/>
    <n v="0"/>
    <n v="0"/>
    <n v="0"/>
    <n v="0"/>
    <n v="440.77"/>
    <n v="0"/>
    <n v="0"/>
    <n v="399.84552715231791"/>
    <n v="2.157142857142857"/>
    <n v="0"/>
    <n v="0"/>
    <m/>
    <s v="Rosera"/>
    <m/>
    <n v="0"/>
  </r>
  <r>
    <s v="Munger"/>
    <s v="24-30 Jul"/>
    <n v="1063"/>
    <s v="Rosera"/>
    <x v="1000"/>
    <s v="Fatepur 2"/>
    <s v="vlc"/>
    <s v="Indirect"/>
    <n v="456.4"/>
    <n v="15841.93"/>
    <n v="0"/>
    <n v="0"/>
    <n v="0"/>
    <n v="0"/>
    <n v="0"/>
    <n v="0"/>
    <n v="15841.93"/>
    <n v="0"/>
    <n v="0"/>
    <n v="0"/>
    <n v="0"/>
    <n v="0"/>
    <n v="0"/>
    <n v="0"/>
    <n v="0"/>
    <n v="15841.93"/>
    <n v="0"/>
    <n v="0"/>
    <n v="169.11017300613494"/>
    <n v="65.2"/>
    <n v="0"/>
    <n v="0"/>
    <m/>
    <s v="Rosera"/>
    <m/>
    <n v="0"/>
  </r>
  <r>
    <s v="Munger"/>
    <s v="24-30 Jul"/>
    <n v="1063"/>
    <s v="Rosera"/>
    <x v="1001"/>
    <s v="Shivram"/>
    <s v="vlc"/>
    <s v="Indirect"/>
    <n v="674.00000000000011"/>
    <n v="23553.690000000002"/>
    <n v="0"/>
    <n v="0"/>
    <n v="0"/>
    <n v="0"/>
    <n v="0"/>
    <n v="0"/>
    <n v="23553.690000000002"/>
    <n v="0"/>
    <n v="0"/>
    <n v="0"/>
    <n v="0"/>
    <n v="0"/>
    <n v="0"/>
    <n v="0"/>
    <n v="0"/>
    <n v="23553.690000000002"/>
    <n v="0"/>
    <n v="0"/>
    <n v="18.17198635014827"/>
    <n v="96.285714285714306"/>
    <n v="0"/>
    <n v="0"/>
    <m/>
    <s v="Rosera"/>
    <m/>
    <n v="0"/>
  </r>
  <r>
    <s v="Munger"/>
    <s v="24-30 Jul"/>
    <n v="1063"/>
    <s v="Rosera"/>
    <x v="1002"/>
    <s v="Sonupur"/>
    <s v="vlc"/>
    <s v="Indirect"/>
    <n v="214"/>
    <n v="6381.2100000000009"/>
    <n v="0"/>
    <n v="0"/>
    <n v="0"/>
    <n v="0"/>
    <n v="0"/>
    <n v="0"/>
    <n v="6381.2100000000009"/>
    <n v="0"/>
    <n v="0"/>
    <n v="0"/>
    <n v="0"/>
    <n v="0"/>
    <n v="0"/>
    <n v="0"/>
    <n v="0"/>
    <n v="6381.2100000000009"/>
    <n v="0"/>
    <n v="0"/>
    <n v="289.83813644859816"/>
    <n v="30.571428571428573"/>
    <n v="0"/>
    <n v="0"/>
    <m/>
    <s v="Rosera"/>
    <m/>
    <n v="0"/>
  </r>
  <r>
    <s v="Munger"/>
    <s v="24-30 Jul"/>
    <n v="1063"/>
    <s v="Rosera"/>
    <x v="1004"/>
    <s v="Jahangirpur"/>
    <s v="vlc"/>
    <s v="Indirect"/>
    <n v="129.79999999999998"/>
    <n v="4081.8599999999997"/>
    <n v="0"/>
    <n v="0"/>
    <n v="0"/>
    <n v="0"/>
    <n v="0"/>
    <n v="0"/>
    <n v="4081.8599999999997"/>
    <n v="0"/>
    <n v="0"/>
    <n v="0"/>
    <n v="0"/>
    <n v="0"/>
    <n v="0"/>
    <n v="0"/>
    <n v="0"/>
    <n v="4081.8599999999997"/>
    <n v="0"/>
    <n v="0"/>
    <n v="358.62504961479203"/>
    <n v="18.542857142857141"/>
    <n v="0"/>
    <n v="0"/>
    <m/>
    <s v="Rosera"/>
    <m/>
    <n v="0"/>
  </r>
  <r>
    <s v="Munger"/>
    <s v="24-30 Jul"/>
    <n v="1063"/>
    <s v="Rosera"/>
    <x v="1005"/>
    <s v="Tolapur Durgasthan"/>
    <s v="vlc"/>
    <s v="Indirect"/>
    <n v="36.4"/>
    <n v="1213.1199999999999"/>
    <n v="0"/>
    <n v="0"/>
    <n v="0"/>
    <n v="0"/>
    <n v="0"/>
    <n v="0"/>
    <n v="1213.1199999999999"/>
    <n v="0"/>
    <n v="0"/>
    <n v="0"/>
    <n v="0"/>
    <n v="0"/>
    <n v="0"/>
    <n v="0"/>
    <n v="0"/>
    <n v="1213.1199999999999"/>
    <n v="0"/>
    <n v="0"/>
    <n v="442.32221538461533"/>
    <n v="5.2"/>
    <n v="0"/>
    <n v="0"/>
    <m/>
    <s v="Rosera"/>
    <m/>
    <n v="0"/>
  </r>
  <r>
    <s v="Munger"/>
    <s v="24-30 Jul"/>
    <n v="1062"/>
    <s v="Singhia BMC"/>
    <x v="928"/>
    <s v="DUMRA "/>
    <s v="MPG"/>
    <s v="Direct"/>
    <n v="1218.9199999999998"/>
    <n v="48958.599999999991"/>
    <n v="1220"/>
    <n v="48623.489999999991"/>
    <n v="0"/>
    <n v="0"/>
    <n v="1220"/>
    <n v="48623.489999999991"/>
    <n v="48623.489999999991"/>
    <n v="0"/>
    <n v="0"/>
    <n v="0"/>
    <n v="0"/>
    <n v="0"/>
    <n v="0"/>
    <n v="48624"/>
    <n v="0"/>
    <n v="0"/>
    <n v="335"/>
    <n v="0"/>
    <n v="0"/>
    <n v="0"/>
    <n v="6.844762717888188E-3"/>
    <n v="4"/>
    <m/>
    <s v="Singhia BMC"/>
    <m/>
    <n v="0"/>
  </r>
  <r>
    <s v="Munger"/>
    <s v="24-30 Jul"/>
    <n v="1062"/>
    <s v="Singhia BMC"/>
    <x v="929"/>
    <s v="BALHA"/>
    <s v="MPG"/>
    <s v="Direct"/>
    <n v="2246"/>
    <n v="99780.36"/>
    <n v="2224.4000000000005"/>
    <n v="100318.24999999999"/>
    <n v="16.499999999999996"/>
    <n v="728.14999999999986"/>
    <n v="2240.9000000000005"/>
    <n v="101046.39999999998"/>
    <n v="99780.36"/>
    <n v="0"/>
    <n v="728.14999999999986"/>
    <n v="1266.039999999979"/>
    <n v="0"/>
    <n v="0"/>
    <n v="0"/>
    <n v="99052"/>
    <n v="0"/>
    <n v="0"/>
    <n v="0"/>
    <n v="0"/>
    <n v="0"/>
    <n v="0"/>
    <n v="-1.268826851296166E-2"/>
    <n v="27"/>
    <m/>
    <s v="Singhia BMC"/>
    <m/>
    <n v="0"/>
  </r>
  <r>
    <s v="Munger"/>
    <s v="24-30 Jul"/>
    <n v="1062"/>
    <s v="Singhia BMC"/>
    <x v="930"/>
    <s v="BARA"/>
    <s v="MPG"/>
    <s v="Direct"/>
    <n v="247.39000000000001"/>
    <n v="9839.42"/>
    <n v="245.4"/>
    <n v="9761.1700000000019"/>
    <n v="1.4000000000000001"/>
    <n v="55.370000000000005"/>
    <n v="246.8"/>
    <n v="9816.5400000000027"/>
    <n v="9816.5400000000027"/>
    <n v="0"/>
    <n v="55.370000000000005"/>
    <n v="0"/>
    <n v="0"/>
    <n v="0"/>
    <n v="0"/>
    <n v="9761"/>
    <n v="0"/>
    <n v="0"/>
    <n v="23"/>
    <n v="0"/>
    <n v="360.03232840454342"/>
    <n v="35.341428571428573"/>
    <n v="2.3253403147743853E-3"/>
    <n v="3"/>
    <m/>
    <s v="Singhia BMC"/>
    <m/>
    <n v="0"/>
  </r>
  <r>
    <s v="Munger"/>
    <s v="24-30 Jul"/>
    <n v="1062"/>
    <s v="Singhia BMC"/>
    <x v="931"/>
    <s v="KABILASHI"/>
    <s v="MPG"/>
    <s v="Direct"/>
    <n v="415.17000000000007"/>
    <n v="19625.959999999995"/>
    <n v="404.2"/>
    <n v="21196.969999999998"/>
    <n v="10.4"/>
    <n v="499.26000000000005"/>
    <n v="414.59999999999997"/>
    <n v="21696.229999999996"/>
    <n v="19625.959999999995"/>
    <n v="0"/>
    <n v="499.26000000000005"/>
    <n v="2070.2700000000004"/>
    <n v="0"/>
    <n v="0"/>
    <n v="0"/>
    <n v="19127"/>
    <n v="0"/>
    <n v="0"/>
    <n v="0"/>
    <n v="0"/>
    <n v="269.29027563648606"/>
    <n v="59.310000000000009"/>
    <n v="-0.1054863048737489"/>
    <n v="8"/>
    <m/>
    <s v="Singhia BMC"/>
    <m/>
    <n v="0"/>
  </r>
  <r>
    <s v="Munger"/>
    <s v="24-30 Jul"/>
    <n v="1062"/>
    <s v="Singhia BMC"/>
    <x v="932"/>
    <s v="SULTANPUR"/>
    <s v="vlc"/>
    <s v="Indirect"/>
    <n v="89.53"/>
    <n v="3856.29"/>
    <n v="0"/>
    <n v="0"/>
    <n v="0"/>
    <n v="0"/>
    <n v="0"/>
    <n v="0"/>
    <n v="3856.29"/>
    <n v="0"/>
    <n v="0"/>
    <n v="0"/>
    <n v="0"/>
    <n v="0"/>
    <n v="0"/>
    <n v="0"/>
    <n v="0"/>
    <n v="3856.29"/>
    <n v="0"/>
    <n v="0"/>
    <n v="525.89061907740415"/>
    <n v="12.790000000000001"/>
    <n v="0"/>
    <n v="0"/>
    <m/>
    <s v="Singhia BMC"/>
    <m/>
    <n v="0"/>
  </r>
  <r>
    <s v="Munger"/>
    <s v="24-30 Jul"/>
    <n v="1062"/>
    <s v="Singhia BMC"/>
    <x v="933"/>
    <s v="BHUSNA"/>
    <s v="vlc"/>
    <s v="Direct"/>
    <n v="215.64"/>
    <n v="9482.1200000000026"/>
    <n v="214.89999999999998"/>
    <n v="9449.36"/>
    <n v="0"/>
    <n v="0"/>
    <n v="214.89999999999998"/>
    <n v="9449.36"/>
    <n v="9449.36"/>
    <n v="0"/>
    <n v="0"/>
    <n v="0"/>
    <n v="0"/>
    <n v="0"/>
    <n v="0"/>
    <n v="9449"/>
    <n v="0"/>
    <n v="0"/>
    <n v="33"/>
    <n v="0"/>
    <n v="425.96546496011888"/>
    <n v="30.805714285714284"/>
    <n v="3.4549235824902057E-3"/>
    <n v="1"/>
    <m/>
    <s v="Singhia BMC"/>
    <m/>
    <n v="0"/>
  </r>
  <r>
    <s v="Munger"/>
    <s v="24-30 Jul"/>
    <n v="1062"/>
    <s v="Singhia BMC"/>
    <x v="934"/>
    <s v="SUKUMARPUR"/>
    <s v="MPG"/>
    <s v="Direct"/>
    <n v="344.64000000000004"/>
    <n v="15416.99"/>
    <n v="373.40000000000003"/>
    <n v="16746.75"/>
    <n v="0"/>
    <n v="0"/>
    <n v="373.40000000000003"/>
    <n v="16746.75"/>
    <n v="15416.99"/>
    <n v="0"/>
    <n v="0"/>
    <n v="1329.7600000000002"/>
    <n v="0"/>
    <n v="0"/>
    <n v="0"/>
    <n v="15417"/>
    <n v="0"/>
    <n v="0"/>
    <n v="0"/>
    <n v="0"/>
    <n v="317.93068514391825"/>
    <n v="49.234285714285718"/>
    <n v="-8.6252893723093818E-2"/>
    <n v="2"/>
    <m/>
    <s v="Singhia BMC"/>
    <m/>
    <n v="0"/>
  </r>
  <r>
    <s v="Munger"/>
    <s v="24-30 Jul"/>
    <n v="1062"/>
    <s v="Singhia BMC"/>
    <x v="935"/>
    <s v="SISAUNA VLC"/>
    <s v="vlc"/>
    <s v="Indirect"/>
    <n v="219.77000000000004"/>
    <n v="7401.7799999999988"/>
    <n v="0"/>
    <n v="0"/>
    <n v="0"/>
    <n v="0"/>
    <n v="0"/>
    <n v="0"/>
    <n v="7401.7799999999988"/>
    <n v="0"/>
    <n v="0"/>
    <n v="0"/>
    <n v="0"/>
    <n v="0"/>
    <n v="0"/>
    <n v="0"/>
    <n v="0"/>
    <n v="7401.7799999999988"/>
    <n v="0"/>
    <n v="0"/>
    <n v="323.47971146198284"/>
    <n v="31.395714285714291"/>
    <n v="0"/>
    <n v="0"/>
    <m/>
    <s v="Singhia BMC"/>
    <m/>
    <n v="0"/>
  </r>
  <r>
    <s v="Munger"/>
    <s v="24-30 Jul"/>
    <n v="1062"/>
    <s v="Singhia BMC"/>
    <x v="936"/>
    <s v="Aditya Bishwas "/>
    <s v="vlc"/>
    <s v="Indirect"/>
    <n v="184.54000000000002"/>
    <n v="8862.07"/>
    <n v="0"/>
    <n v="0"/>
    <n v="0"/>
    <n v="0"/>
    <n v="0"/>
    <n v="0"/>
    <n v="8862.07"/>
    <n v="0"/>
    <n v="0"/>
    <n v="0"/>
    <n v="0"/>
    <n v="0"/>
    <n v="0"/>
    <n v="0"/>
    <n v="0"/>
    <n v="8862.07"/>
    <n v="0"/>
    <n v="0"/>
    <n v="495.07343689173075"/>
    <n v="26.362857142857145"/>
    <n v="0"/>
    <n v="0"/>
    <m/>
    <s v="Singhia BMC"/>
    <m/>
    <n v="0"/>
  </r>
  <r>
    <s v="Munger"/>
    <s v="24-30 Jul"/>
    <n v="1008"/>
    <s v="Teghra"/>
    <x v="937"/>
    <s v="Gomukh Vijaiya"/>
    <s v="MPG"/>
    <s v="Direct"/>
    <n v="321.95"/>
    <n v="12636.59"/>
    <n v="329.1"/>
    <n v="13280.109999999999"/>
    <n v="0"/>
    <n v="0"/>
    <n v="329.1"/>
    <n v="13280.109999999999"/>
    <n v="12636.59"/>
    <n v="0"/>
    <n v="0"/>
    <n v="643.51999999999862"/>
    <n v="0"/>
    <n v="0"/>
    <n v="0"/>
    <n v="12637"/>
    <n v="0"/>
    <n v="0"/>
    <n v="0"/>
    <n v="0"/>
    <n v="296.77048296319305"/>
    <n v="45.99285714285714"/>
    <n v="-5.0925130909525322E-2"/>
    <n v="3"/>
    <m/>
    <s v="Teghra"/>
    <m/>
    <n v="0"/>
  </r>
  <r>
    <s v="Munger"/>
    <s v="24-30 Jul"/>
    <n v="1008"/>
    <s v="Teghra"/>
    <x v="938"/>
    <s v="Gomukh Gangauli"/>
    <s v="MPG"/>
    <s v="Direct"/>
    <n v="1238.5999999999999"/>
    <n v="52545.500000000007"/>
    <n v="1260.3999999999999"/>
    <n v="53229.329999999994"/>
    <n v="0"/>
    <n v="0"/>
    <n v="1260.3999999999999"/>
    <n v="53229.329999999994"/>
    <n v="52545.500000000007"/>
    <n v="0"/>
    <n v="0"/>
    <n v="683.82999999998719"/>
    <n v="0"/>
    <n v="0"/>
    <n v="0"/>
    <n v="52546"/>
    <n v="0"/>
    <n v="0"/>
    <n v="0"/>
    <n v="0"/>
    <n v="0"/>
    <n v="0"/>
    <n v="-1.301405448611179E-2"/>
    <n v="22"/>
    <m/>
    <s v="Teghra"/>
    <m/>
    <n v="0"/>
  </r>
  <r>
    <s v="Munger"/>
    <s v="24-30 Jul"/>
    <n v="1008"/>
    <s v="Teghra"/>
    <x v="939"/>
    <s v="Gomukh KARRAKH"/>
    <s v="MPG"/>
    <s v="Direct"/>
    <n v="556.54999999999995"/>
    <n v="21767.03"/>
    <n v="327.20000000000005"/>
    <n v="13490.439999999997"/>
    <n v="233.89999999999998"/>
    <n v="9510.26"/>
    <n v="561.1"/>
    <n v="23000.699999999997"/>
    <n v="21767.03"/>
    <n v="0"/>
    <n v="0"/>
    <n v="1233.6699999999983"/>
    <n v="0"/>
    <n v="0"/>
    <n v="0"/>
    <n v="12257"/>
    <n v="9510"/>
    <n v="0"/>
    <n v="0"/>
    <n v="0"/>
    <n v="112.2084432126494"/>
    <n v="79.507142857142853"/>
    <n v="-5.6676083048537093E-2"/>
    <n v="6"/>
    <m/>
    <s v="Teghra"/>
    <m/>
    <n v="0"/>
  </r>
  <r>
    <s v="Munger"/>
    <s v="24-30 Jul"/>
    <n v="1008"/>
    <s v="Teghra"/>
    <x v="941"/>
    <s v="Gomukh Manda"/>
    <s v="MPG"/>
    <s v="Direct"/>
    <n v="601.5"/>
    <n v="23819.629999999997"/>
    <n v="602.59999999999991"/>
    <n v="24864.649999999994"/>
    <n v="0"/>
    <n v="0"/>
    <n v="602.59999999999991"/>
    <n v="24864.649999999994"/>
    <n v="23819.629999999997"/>
    <n v="0"/>
    <n v="0"/>
    <n v="1045.0199999999968"/>
    <n v="0"/>
    <n v="0"/>
    <n v="0"/>
    <n v="23820"/>
    <n v="0"/>
    <n v="0"/>
    <n v="0"/>
    <n v="0"/>
    <n v="78.012753283458011"/>
    <n v="85.928571428571431"/>
    <n v="-4.3872217998348291E-2"/>
    <n v="9"/>
    <m/>
    <s v="Teghra"/>
    <m/>
    <n v="0"/>
  </r>
  <r>
    <s v="Munger"/>
    <s v="24-30 Jul"/>
    <n v="1008"/>
    <s v="Teghra"/>
    <x v="942"/>
    <s v="Gomukh NAVTOL"/>
    <s v="MPG"/>
    <s v="Direct"/>
    <n v="295.84999999999997"/>
    <n v="11303.57"/>
    <n v="312.2"/>
    <n v="11291.05"/>
    <n v="0"/>
    <n v="0"/>
    <n v="312.2"/>
    <n v="11291.05"/>
    <n v="11291.05"/>
    <n v="0"/>
    <n v="0"/>
    <n v="0"/>
    <n v="0"/>
    <n v="0"/>
    <n v="0"/>
    <n v="11292"/>
    <n v="0"/>
    <n v="0"/>
    <n v="12"/>
    <n v="0"/>
    <n v="308.82797468311651"/>
    <n v="42.264285714285712"/>
    <n v="1.1076146739481807E-3"/>
    <n v="3"/>
    <m/>
    <s v="Teghra"/>
    <m/>
    <n v="0"/>
  </r>
  <r>
    <s v="Munger"/>
    <s v="24-30 Jul"/>
    <n v="1008"/>
    <s v="Teghra"/>
    <x v="1006"/>
    <s v="Gomukh KAIDRABAD"/>
    <s v="MPG"/>
    <s v="Direct"/>
    <n v="709.44999999999993"/>
    <n v="27686.460000000003"/>
    <n v="701.9000000000002"/>
    <n v="29051.350000000002"/>
    <n v="0"/>
    <n v="0"/>
    <n v="701.9000000000002"/>
    <n v="29051.350000000002"/>
    <n v="27686.460000000003"/>
    <n v="0"/>
    <n v="0"/>
    <n v="1364.8899999999994"/>
    <n v="0"/>
    <n v="0"/>
    <n v="0"/>
    <n v="27686"/>
    <n v="0"/>
    <n v="0"/>
    <n v="0"/>
    <n v="0"/>
    <n v="0"/>
    <n v="0"/>
    <n v="-4.9298104560857522E-2"/>
    <n v="1"/>
    <m/>
    <s v="Teghra"/>
    <m/>
    <n v="0"/>
  </r>
  <r>
    <s v="Munger"/>
    <s v="24-30 Jul"/>
    <n v="1008"/>
    <s v="Teghra"/>
    <x v="944"/>
    <s v="Gomukh KASTOLI"/>
    <s v="MPG"/>
    <s v="Direct"/>
    <n v="385.6"/>
    <n v="13726.630000000001"/>
    <n v="266"/>
    <n v="9551.119999999999"/>
    <n v="126.30000000000001"/>
    <n v="4312.2299999999996"/>
    <n v="392.3"/>
    <n v="13863.349999999999"/>
    <n v="13726.630000000001"/>
    <n v="0"/>
    <n v="0"/>
    <n v="136.71999999999753"/>
    <n v="0"/>
    <n v="0"/>
    <n v="0"/>
    <n v="9414"/>
    <n v="4313"/>
    <n v="0"/>
    <n v="0"/>
    <n v="0"/>
    <n v="223.84089585062242"/>
    <n v="55.085714285714289"/>
    <n v="-9.9602014478424438E-3"/>
    <n v="6"/>
    <m/>
    <s v="Teghra"/>
    <m/>
    <n v="0"/>
  </r>
  <r>
    <s v="Munger"/>
    <s v="24-30 Jul"/>
    <n v="1008"/>
    <s v="Teghra"/>
    <x v="945"/>
    <s v="GANPATI DAIRY"/>
    <s v="vlc"/>
    <s v="Indirect"/>
    <n v="853.65000000000009"/>
    <n v="33987.449999999997"/>
    <n v="0"/>
    <n v="0"/>
    <n v="0"/>
    <n v="0"/>
    <n v="0"/>
    <n v="0"/>
    <n v="33987.449999999997"/>
    <n v="0"/>
    <n v="0"/>
    <n v="0"/>
    <n v="0"/>
    <n v="0"/>
    <n v="0"/>
    <n v="0"/>
    <n v="0"/>
    <n v="33987.449999999997"/>
    <n v="0"/>
    <n v="0"/>
    <n v="0"/>
    <n v="0"/>
    <n v="0"/>
    <n v="0"/>
    <m/>
    <s v="Teghra"/>
    <m/>
    <n v="0"/>
  </r>
  <r>
    <s v="Munger"/>
    <s v="24-30 Jul"/>
    <n v="1008"/>
    <s v="Teghra"/>
    <x v="1052"/>
    <s v="Gomukh Sakh Mohan"/>
    <s v="MPG"/>
    <s v="Direct"/>
    <n v="27.65"/>
    <n v="1109.96"/>
    <n v="43.02"/>
    <n v="1706.8199999999997"/>
    <n v="0"/>
    <n v="0"/>
    <n v="43.02"/>
    <n v="1706.8199999999997"/>
    <n v="1109.96"/>
    <n v="0"/>
    <n v="0"/>
    <n v="596.85999999999967"/>
    <n v="0"/>
    <n v="0"/>
    <n v="0"/>
    <n v="1110"/>
    <n v="0"/>
    <n v="0"/>
    <n v="0"/>
    <n v="0"/>
    <n v="539.8058632911393"/>
    <n v="3.9499999999999997"/>
    <n v="-0.53773108940862702"/>
    <n v="1"/>
    <m/>
    <s v="Teghra"/>
    <m/>
    <n v="0"/>
  </r>
  <r>
    <s v="Munger"/>
    <s v="24-30 Jul"/>
    <n v="1066"/>
    <s v="Gaighat"/>
    <x v="946"/>
    <s v="GOMUKH CHATAUNA W-2"/>
    <s v="MPG"/>
    <s v="Direct"/>
    <n v="1198.0999999999999"/>
    <n v="66461.149999999994"/>
    <n v="1183.2"/>
    <n v="66220.329999999987"/>
    <n v="5.4"/>
    <n v="265.93"/>
    <n v="1188.6000000000001"/>
    <n v="66486.25999999998"/>
    <n v="66461.149999999994"/>
    <n v="0"/>
    <n v="265.93"/>
    <n v="25.10999999998603"/>
    <n v="0"/>
    <n v="0"/>
    <n v="0"/>
    <n v="66195"/>
    <n v="0"/>
    <n v="0"/>
    <n v="0"/>
    <n v="0"/>
    <n v="0"/>
    <n v="0"/>
    <n v="-3.7781470829177698E-4"/>
    <n v="10"/>
    <m/>
    <s v="Gaighat"/>
    <m/>
    <n v="0"/>
  </r>
  <r>
    <s v="Munger"/>
    <s v="24-30 Jul"/>
    <n v="1066"/>
    <s v="Gaighat"/>
    <x v="947"/>
    <s v="GOMUKH TEERA JATMALPUR"/>
    <s v="MPG"/>
    <s v="Direct"/>
    <n v="663.9"/>
    <n v="30147.800000000007"/>
    <n v="645.70000000000005"/>
    <n v="29910.750000000004"/>
    <n v="6"/>
    <n v="270.97000000000003"/>
    <n v="651.70000000000005"/>
    <n v="30181.720000000005"/>
    <n v="30147.800000000007"/>
    <n v="0"/>
    <n v="270.97000000000003"/>
    <n v="33.919999999998254"/>
    <n v="0"/>
    <n v="0"/>
    <n v="0"/>
    <n v="29877"/>
    <n v="0"/>
    <n v="0"/>
    <n v="0"/>
    <n v="0"/>
    <n v="32.786129838831165"/>
    <n v="94.842857142857142"/>
    <n v="-1.1251235579378344E-3"/>
    <n v="9"/>
    <m/>
    <s v="Gaighat"/>
    <m/>
    <n v="0"/>
  </r>
  <r>
    <s v="Munger"/>
    <s v="24-30 Jul"/>
    <n v="1066"/>
    <s v="Gaighat"/>
    <x v="948"/>
    <s v="GOMUKH GOBARSITTHA"/>
    <s v="MPG"/>
    <s v="Direct"/>
    <n v="726.90000000000009"/>
    <n v="31451.85"/>
    <n v="704.8"/>
    <n v="31034.040000000005"/>
    <n v="16.2"/>
    <n v="717.13"/>
    <n v="721"/>
    <n v="31751.170000000006"/>
    <n v="31451.85"/>
    <n v="0"/>
    <n v="717.13"/>
    <n v="299.32000000000698"/>
    <n v="1901"/>
    <n v="0"/>
    <n v="0"/>
    <n v="28834"/>
    <n v="0"/>
    <n v="0"/>
    <n v="0"/>
    <n v="0"/>
    <n v="0"/>
    <n v="0"/>
    <n v="-9.5167692838420311E-3"/>
    <n v="24"/>
    <m/>
    <s v="Gaighat"/>
    <m/>
    <n v="0"/>
  </r>
  <r>
    <s v="Munger"/>
    <s v="24-30 Jul"/>
    <n v="1066"/>
    <s v="Gaighat"/>
    <x v="949"/>
    <s v="GOMUKH UGHRA"/>
    <s v="MPG"/>
    <s v="Direct"/>
    <n v="681.49999999999989"/>
    <n v="32141.689999999995"/>
    <n v="663.39999999999986"/>
    <n v="32163.57"/>
    <n v="0.5"/>
    <n v="32.409999999999997"/>
    <n v="663.89999999999986"/>
    <n v="32195.98"/>
    <n v="32141.689999999995"/>
    <n v="0"/>
    <n v="32.409999999999997"/>
    <n v="54.290000000004511"/>
    <n v="1550"/>
    <n v="0"/>
    <n v="0"/>
    <n v="30559"/>
    <n v="0"/>
    <n v="0"/>
    <n v="0"/>
    <n v="0"/>
    <n v="17.450367278063165"/>
    <n v="97.357142857142847"/>
    <n v="-1.6890835547229944E-3"/>
    <n v="22"/>
    <m/>
    <s v="Gaighat"/>
    <m/>
    <n v="0"/>
  </r>
  <r>
    <s v="Munger"/>
    <s v="24-30 Jul"/>
    <n v="1066"/>
    <s v="Gaighat"/>
    <x v="950"/>
    <s v="GOMUKH BALUAHA"/>
    <s v="MPG"/>
    <s v="Direct"/>
    <n v="449.6"/>
    <n v="19193.820000000003"/>
    <n v="443.3"/>
    <n v="19017.259999999998"/>
    <n v="4"/>
    <n v="177.75"/>
    <n v="447.3"/>
    <n v="19195.009999999998"/>
    <n v="19193.820000000003"/>
    <n v="0"/>
    <n v="177.75"/>
    <n v="1.1899999999950523"/>
    <n v="1550"/>
    <n v="0"/>
    <n v="0"/>
    <n v="17466"/>
    <n v="0"/>
    <n v="0"/>
    <n v="0"/>
    <n v="0"/>
    <n v="213.79593096085412"/>
    <n v="64.228571428571428"/>
    <n v="-6.1999122634006791E-5"/>
    <n v="13"/>
    <m/>
    <s v="Gaighat"/>
    <m/>
    <n v="0"/>
  </r>
  <r>
    <s v="Munger"/>
    <s v="24-30 Jul"/>
    <n v="1066"/>
    <s v="Gaighat"/>
    <x v="951"/>
    <s v="GOMUKH DHAB WEST"/>
    <s v="vlc"/>
    <s v="Indirect"/>
    <n v="211.89999999999998"/>
    <n v="8577.01"/>
    <n v="0"/>
    <n v="0"/>
    <n v="0"/>
    <n v="0"/>
    <n v="0"/>
    <n v="0"/>
    <n v="8577.01"/>
    <n v="0"/>
    <n v="0"/>
    <n v="0"/>
    <n v="0"/>
    <n v="0"/>
    <n v="0"/>
    <n v="0"/>
    <n v="0"/>
    <n v="8577.01"/>
    <n v="0"/>
    <n v="0"/>
    <n v="395.13341963190192"/>
    <n v="30.271428571428569"/>
    <n v="0"/>
    <n v="0"/>
    <m/>
    <s v="Gaighat"/>
    <m/>
    <n v="0"/>
  </r>
  <r>
    <s v="Munger"/>
    <s v="24-30 Jul"/>
    <n v="1066"/>
    <s v="Gaighat"/>
    <x v="952"/>
    <s v="GOMUKH HAYAGHAT WEST"/>
    <s v="vlc"/>
    <s v="Indirect"/>
    <n v="2225.1000000000004"/>
    <n v="89921.58"/>
    <n v="0"/>
    <n v="0"/>
    <n v="0"/>
    <n v="0"/>
    <n v="0"/>
    <n v="0"/>
    <n v="89921.58"/>
    <n v="0"/>
    <n v="0"/>
    <n v="0"/>
    <n v="0"/>
    <n v="0"/>
    <n v="0"/>
    <n v="0"/>
    <n v="0"/>
    <n v="89921.58"/>
    <n v="0"/>
    <n v="0"/>
    <n v="0"/>
    <n v="0"/>
    <n v="0"/>
    <n v="0"/>
    <m/>
    <s v="Gaighat"/>
    <m/>
    <n v="0"/>
  </r>
  <r>
    <s v="Munger"/>
    <s v="24-30 Jul"/>
    <n v="1066"/>
    <s v="Gaighat"/>
    <x v="953"/>
    <s v="GOMUKH GHOGHARAHA"/>
    <s v="vlc"/>
    <s v="Indirect"/>
    <n v="1246.5"/>
    <n v="51863.540000000008"/>
    <n v="0"/>
    <n v="0"/>
    <n v="0"/>
    <n v="0"/>
    <n v="0"/>
    <n v="0"/>
    <n v="51863.540000000008"/>
    <n v="0"/>
    <n v="0"/>
    <n v="0"/>
    <n v="0"/>
    <n v="0"/>
    <n v="0"/>
    <n v="0"/>
    <n v="0"/>
    <n v="51863.540000000008"/>
    <n v="0"/>
    <n v="0"/>
    <n v="0"/>
    <n v="0"/>
    <n v="0"/>
    <n v="0"/>
    <m/>
    <s v="Gaighat"/>
    <m/>
    <n v="0"/>
  </r>
  <r>
    <s v="Munger"/>
    <s v="24-30 Jul"/>
    <n v="1066"/>
    <s v="Gaighat"/>
    <x v="954"/>
    <s v="Gomukh Jatmalpur Dhab"/>
    <s v="vlc"/>
    <s v="Indirect"/>
    <n v="182.5"/>
    <n v="8570.9499999999989"/>
    <n v="0"/>
    <n v="0"/>
    <n v="0"/>
    <n v="0"/>
    <n v="0"/>
    <n v="0"/>
    <n v="8570.9499999999989"/>
    <n v="0"/>
    <n v="0"/>
    <n v="0"/>
    <n v="0"/>
    <n v="0"/>
    <n v="0"/>
    <n v="0"/>
    <n v="0"/>
    <n v="8570.9499999999989"/>
    <n v="0"/>
    <n v="0"/>
    <n v="486.0785342465752"/>
    <n v="26.071428571428573"/>
    <n v="0"/>
    <n v="0"/>
    <m/>
    <s v="Gaighat"/>
    <m/>
    <n v="0"/>
  </r>
  <r>
    <s v="Munger"/>
    <s v="24-30 Jul"/>
    <n v="1066"/>
    <s v="Gaighat"/>
    <x v="955"/>
    <s v="GOMUKH MORWARA"/>
    <s v="MPG"/>
    <s v="Direct"/>
    <n v="671.9"/>
    <n v="27430.5"/>
    <n v="690.8"/>
    <n v="27112.22"/>
    <n v="0"/>
    <n v="0"/>
    <n v="690.8"/>
    <n v="27112.22"/>
    <n v="27112.22"/>
    <n v="0"/>
    <n v="0"/>
    <n v="0"/>
    <n v="3100"/>
    <n v="0"/>
    <n v="0"/>
    <n v="24012"/>
    <n v="0"/>
    <n v="0"/>
    <n v="319"/>
    <n v="0"/>
    <n v="22.943802649203782"/>
    <n v="95.98571428571428"/>
    <n v="1.1603142487377148E-2"/>
    <n v="4"/>
    <m/>
    <s v="Gaighat"/>
    <m/>
    <n v="0"/>
  </r>
  <r>
    <s v="Munger"/>
    <s v="24-30 Jul"/>
    <n v="1066"/>
    <s v="Gaighat"/>
    <x v="1024"/>
    <s v="GOMUKH SABAUL"/>
    <s v="vlc"/>
    <s v="Direct"/>
    <n v="47.800000000000004"/>
    <n v="2072.67"/>
    <n v="45.7"/>
    <n v="1982.6100000000001"/>
    <n v="0"/>
    <n v="0"/>
    <n v="45.7"/>
    <n v="1982.6100000000001"/>
    <n v="1982.6100000000001"/>
    <n v="0"/>
    <n v="0"/>
    <n v="0"/>
    <n v="0"/>
    <n v="0"/>
    <n v="0"/>
    <n v="1982"/>
    <n v="0"/>
    <n v="0"/>
    <n v="91"/>
    <n v="0"/>
    <n v="565.60475899581593"/>
    <n v="6.8285714285714292"/>
    <n v="4.3451200625280406E-2"/>
    <n v="4"/>
    <m/>
    <s v="Gaighat"/>
    <m/>
    <n v="0"/>
  </r>
  <r>
    <s v="Munger"/>
    <s v="24-30 Jul"/>
    <n v="1066"/>
    <s v="Gaighat"/>
    <x v="956"/>
    <s v="GOMUKH NIYAMCHAKHAIDAR"/>
    <s v="vlc"/>
    <s v="Indirect"/>
    <n v="1872.3000000000002"/>
    <n v="79802.03"/>
    <n v="0"/>
    <n v="0"/>
    <n v="0"/>
    <n v="0"/>
    <n v="0"/>
    <n v="0"/>
    <n v="79802.03"/>
    <n v="0"/>
    <n v="0"/>
    <n v="0"/>
    <n v="0"/>
    <n v="0"/>
    <n v="0"/>
    <n v="0"/>
    <n v="0"/>
    <n v="79802.03"/>
    <n v="0"/>
    <n v="0"/>
    <n v="0"/>
    <n v="0"/>
    <n v="0"/>
    <n v="0"/>
    <m/>
    <s v="Gaighat"/>
    <m/>
    <n v="0"/>
  </r>
  <r>
    <s v="Munger"/>
    <s v="24-30 Jul"/>
    <n v="1066"/>
    <s v="Gaighat"/>
    <x v="957"/>
    <s v="GOMUKH JATMAPUR WARD 1"/>
    <s v="vlc"/>
    <s v="Indirect"/>
    <n v="685.40000000000009"/>
    <n v="27920.460000000003"/>
    <n v="0"/>
    <n v="0"/>
    <n v="0"/>
    <n v="0"/>
    <n v="0"/>
    <n v="0"/>
    <n v="27920.460000000003"/>
    <n v="0"/>
    <n v="0"/>
    <n v="0"/>
    <n v="0"/>
    <n v="0"/>
    <n v="0"/>
    <n v="0"/>
    <n v="0"/>
    <n v="27920.460000000003"/>
    <n v="0"/>
    <n v="0"/>
    <n v="11.894914385760078"/>
    <n v="97.914285714285725"/>
    <n v="0"/>
    <n v="0"/>
    <m/>
    <s v="Gaighat"/>
    <m/>
    <n v="0"/>
  </r>
  <r>
    <s v="Munger"/>
    <s v="24-30 Jul"/>
    <n v="1066"/>
    <s v="Gaighat"/>
    <x v="958"/>
    <s v="GOMUKH JATMALPUR"/>
    <s v="MPG"/>
    <s v="Direct"/>
    <n v="293.7"/>
    <n v="12597.080000000002"/>
    <n v="272"/>
    <n v="12508.36"/>
    <n v="2.9"/>
    <n v="123.21"/>
    <n v="274.89999999999998"/>
    <n v="12631.57"/>
    <n v="12597.080000000002"/>
    <n v="0"/>
    <n v="123.21"/>
    <n v="34.489999999997963"/>
    <n v="3100"/>
    <n v="0"/>
    <n v="0"/>
    <n v="9374"/>
    <n v="0"/>
    <n v="0"/>
    <n v="0"/>
    <n v="0"/>
    <n v="348.53208062648969"/>
    <n v="41.957142857142856"/>
    <n v="-2.7379360931261815E-3"/>
    <n v="7"/>
    <m/>
    <s v="Gaighat"/>
    <m/>
    <n v="0"/>
  </r>
  <r>
    <s v="Munger"/>
    <s v="24-30 Jul"/>
    <n v="1066"/>
    <s v="Gaighat"/>
    <x v="961"/>
    <s v="GOMUKH BHADOGHAT"/>
    <s v="vlc"/>
    <s v="Indirect"/>
    <n v="8695.9000000000015"/>
    <n v="354613.97"/>
    <n v="0"/>
    <n v="0"/>
    <n v="0"/>
    <n v="0"/>
    <n v="0"/>
    <n v="0"/>
    <n v="354613.97"/>
    <n v="0"/>
    <n v="0"/>
    <n v="0"/>
    <n v="0"/>
    <n v="0"/>
    <n v="0"/>
    <n v="0"/>
    <n v="0"/>
    <n v="354613.97"/>
    <n v="0"/>
    <n v="0"/>
    <n v="0"/>
    <n v="0"/>
    <n v="0"/>
    <n v="0"/>
    <m/>
    <s v="Gaighat"/>
    <m/>
    <n v="0"/>
  </r>
  <r>
    <s v="Munger"/>
    <s v="24-30 Jul"/>
    <n v="1066"/>
    <s v="Gaighat"/>
    <x v="1025"/>
    <s v="GOMUKH  JATMALPUR DHAB"/>
    <s v="vlc"/>
    <s v="Indirect"/>
    <n v="133.4"/>
    <n v="5699.36"/>
    <n v="0"/>
    <n v="0"/>
    <n v="0"/>
    <n v="0"/>
    <n v="0"/>
    <n v="0"/>
    <n v="5699.36"/>
    <n v="0"/>
    <n v="0"/>
    <n v="0"/>
    <n v="0"/>
    <n v="0"/>
    <n v="0"/>
    <n v="0"/>
    <n v="0"/>
    <n v="5699.36"/>
    <n v="0"/>
    <n v="0"/>
    <n v="484.14653313343325"/>
    <n v="19.057142857142857"/>
    <n v="0"/>
    <n v="0"/>
    <m/>
    <s v="Gaighat"/>
    <m/>
    <n v="0"/>
  </r>
  <r>
    <s v="Munger"/>
    <s v="24-30 Jul"/>
    <n v="1066"/>
    <s v="Gaighat"/>
    <x v="1008"/>
    <s v="GOMUKH  DAGHRAUL"/>
    <s v="vlc"/>
    <s v="Direct"/>
    <n v="206.79999999999998"/>
    <n v="9380.09"/>
    <n v="200.3"/>
    <n v="9523.0499999999993"/>
    <n v="0"/>
    <n v="0"/>
    <n v="200.3"/>
    <n v="9523.0499999999993"/>
    <n v="9380.09"/>
    <n v="0"/>
    <n v="0"/>
    <n v="142.95999999999913"/>
    <n v="0"/>
    <n v="0"/>
    <n v="0"/>
    <n v="9380"/>
    <n v="0"/>
    <n v="0"/>
    <n v="0"/>
    <n v="0"/>
    <n v="447.41396402321089"/>
    <n v="29.542857142857141"/>
    <n v="-1.5240791932699912E-2"/>
    <n v="5"/>
    <m/>
    <s v="Gaighat"/>
    <m/>
    <n v="0"/>
  </r>
  <r>
    <s v="Munger"/>
    <s v="24-30 Jul"/>
    <n v="1066"/>
    <s v="Gaighat"/>
    <x v="1009"/>
    <s v="GOMUKH RUPAULI"/>
    <s v="vlc"/>
    <s v="Direct"/>
    <n v="666.2"/>
    <n v="26461.699999999997"/>
    <n v="664.9"/>
    <n v="26455.120000000003"/>
    <n v="0"/>
    <n v="0"/>
    <n v="664.9"/>
    <n v="26455.120000000003"/>
    <n v="26455.120000000003"/>
    <n v="0"/>
    <n v="0"/>
    <n v="0"/>
    <n v="0"/>
    <n v="0"/>
    <n v="0"/>
    <n v="26454"/>
    <n v="0"/>
    <n v="0"/>
    <n v="8"/>
    <n v="0"/>
    <n v="26.850959471630098"/>
    <n v="95.171428571428578"/>
    <n v="2.4866127270713791E-4"/>
    <n v="8"/>
    <m/>
    <s v="Gaighat"/>
    <m/>
    <n v="0"/>
  </r>
  <r>
    <s v="Munger"/>
    <s v="24-30 Jul"/>
    <n v="1066"/>
    <s v="Gaighat"/>
    <x v="963"/>
    <s v="GOMUKH CHHATAUNA W-1"/>
    <s v="vlc"/>
    <s v="Direct"/>
    <n v="1350.8"/>
    <n v="68898.44"/>
    <n v="1337.2"/>
    <n v="69107.63"/>
    <n v="0"/>
    <n v="0"/>
    <n v="1337.2"/>
    <n v="69107.63"/>
    <n v="68898.44"/>
    <n v="0"/>
    <n v="0"/>
    <n v="209.19000000000233"/>
    <n v="0"/>
    <n v="0"/>
    <n v="0"/>
    <n v="68898"/>
    <n v="0"/>
    <n v="0"/>
    <n v="0"/>
    <n v="0"/>
    <n v="0"/>
    <n v="0"/>
    <n v="-3.0362080766995932E-3"/>
    <n v="21"/>
    <m/>
    <s v="Gaighat"/>
    <m/>
    <n v="0"/>
  </r>
  <r>
    <s v="Munger"/>
    <s v="24-30 Jul"/>
    <n v="1066"/>
    <s v="Gaighat"/>
    <x v="1010"/>
    <s v="GOMUKH VISHANPUR MORO"/>
    <s v="vlc"/>
    <s v="Direct"/>
    <n v="220.3"/>
    <n v="9605.14"/>
    <n v="220.49999999999997"/>
    <n v="9616.73"/>
    <n v="0"/>
    <n v="0"/>
    <n v="220.49999999999997"/>
    <n v="9616.73"/>
    <n v="9605.14"/>
    <n v="0"/>
    <n v="0"/>
    <n v="11.590000000000146"/>
    <n v="0"/>
    <n v="0"/>
    <n v="0"/>
    <n v="9605"/>
    <n v="0"/>
    <n v="0"/>
    <n v="0"/>
    <n v="0"/>
    <n v="418.30101298229681"/>
    <n v="31.471428571428572"/>
    <n v="-1.2066456084971324E-3"/>
    <n v="3"/>
    <m/>
    <s v="Gaighat"/>
    <m/>
    <n v="0"/>
  </r>
  <r>
    <s v="Munger"/>
    <s v="24-30 Jul"/>
    <n v="1066"/>
    <s v="Gaighat"/>
    <x v="1026"/>
    <s v="Gomukh Bhagwanpur"/>
    <s v="vlc"/>
    <s v="Indirect"/>
    <n v="27.5"/>
    <n v="1246.3"/>
    <n v="0"/>
    <n v="0"/>
    <n v="0"/>
    <n v="0"/>
    <n v="0"/>
    <n v="0"/>
    <n v="1246.3"/>
    <n v="0"/>
    <n v="0"/>
    <n v="0"/>
    <n v="0"/>
    <n v="0"/>
    <n v="0"/>
    <n v="0"/>
    <n v="0"/>
    <n v="1246.3"/>
    <n v="0"/>
    <n v="0"/>
    <n v="609.55399999999997"/>
    <n v="3.9285714285714284"/>
    <n v="0"/>
    <n v="0"/>
    <m/>
    <s v="Gaighat"/>
    <m/>
    <n v="0"/>
  </r>
  <r>
    <s v="Munger"/>
    <s v="24-30 Jul"/>
    <n v="1066"/>
    <s v="Gaighat"/>
    <x v="964"/>
    <s v="GOMUKH MORWARA"/>
    <s v="vlc"/>
    <s v="Indirect"/>
    <n v="81.5"/>
    <n v="3209.19"/>
    <n v="0"/>
    <n v="0"/>
    <n v="0"/>
    <n v="0"/>
    <n v="0"/>
    <n v="0"/>
    <n v="3209.19"/>
    <n v="0"/>
    <n v="0"/>
    <n v="0"/>
    <n v="0"/>
    <n v="0"/>
    <n v="0"/>
    <n v="0"/>
    <n v="0"/>
    <n v="3209.19"/>
    <n v="0"/>
    <n v="0"/>
    <n v="487.08810184049088"/>
    <n v="11.642857142857142"/>
    <n v="0"/>
    <n v="0"/>
    <m/>
    <s v="Gaighat"/>
    <m/>
    <n v="0"/>
  </r>
  <r>
    <s v="Munger"/>
    <s v="24-30 Jul"/>
    <n v="1066"/>
    <s v="Gaighat"/>
    <x v="1027"/>
    <s v="GOMUKH  RUPAULI GHAT"/>
    <s v="vlc"/>
    <s v="Direct"/>
    <n v="145"/>
    <n v="8390.409999999998"/>
    <n v="142.6"/>
    <n v="8502.8600000000024"/>
    <n v="0"/>
    <n v="0"/>
    <n v="142.6"/>
    <n v="8502.8600000000024"/>
    <n v="8390.409999999998"/>
    <n v="0"/>
    <n v="0"/>
    <n v="112.45000000000437"/>
    <n v="0"/>
    <n v="0"/>
    <n v="0"/>
    <n v="8390"/>
    <n v="0"/>
    <n v="0"/>
    <n v="0"/>
    <n v="0"/>
    <n v="642.30035172413773"/>
    <n v="20.714285714285715"/>
    <n v="-1.3402205613313819E-2"/>
    <n v="5"/>
    <m/>
    <s v="Gaighat"/>
    <m/>
    <n v="0"/>
  </r>
  <r>
    <s v="Munger"/>
    <s v="24-30 Jul"/>
    <n v="1066"/>
    <s v="Gaighat"/>
    <x v="1053"/>
    <s v="GOMUKH  DIHLAHI 2"/>
    <s v="vlc"/>
    <s v="Indirect"/>
    <n v="22"/>
    <n v="889.9"/>
    <n v="0"/>
    <n v="0"/>
    <n v="0"/>
    <n v="0"/>
    <n v="0"/>
    <n v="0"/>
    <n v="889.9"/>
    <n v="0"/>
    <n v="0"/>
    <n v="0"/>
    <n v="0"/>
    <n v="0"/>
    <n v="0"/>
    <n v="0"/>
    <n v="0"/>
    <n v="889.9"/>
    <n v="0"/>
    <n v="0"/>
    <n v="548.50199999999995"/>
    <n v="3.1428571428571428"/>
    <n v="0"/>
    <n v="0"/>
    <m/>
    <s v="Gaighat"/>
    <m/>
    <n v="0"/>
  </r>
  <r>
    <s v="Munger"/>
    <s v="24-30 Jul"/>
    <n v="1066"/>
    <s v="Gaighat"/>
    <x v="1028"/>
    <s v="GOMUKH Dharampur"/>
    <s v="vlc"/>
    <s v="Indirect"/>
    <n v="3017.2"/>
    <n v="122325.69"/>
    <n v="0"/>
    <n v="0"/>
    <n v="0"/>
    <n v="0"/>
    <n v="0"/>
    <n v="0"/>
    <n v="122325.69"/>
    <n v="0"/>
    <n v="0"/>
    <n v="0"/>
    <n v="0"/>
    <n v="0"/>
    <n v="0"/>
    <n v="0"/>
    <n v="0"/>
    <n v="122325.69"/>
    <n v="0"/>
    <n v="0"/>
    <n v="0"/>
    <n v="0"/>
    <n v="0"/>
    <n v="0"/>
    <m/>
    <s v="Gaighat"/>
    <m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50">
  <r>
    <x v="0"/>
    <s v="Gomukh Kumbhi"/>
    <s v="MPG"/>
    <s v="Direct"/>
    <n v="612.4"/>
    <n v="22833.279999999999"/>
    <n v="623.03"/>
    <n v="24057.63"/>
    <n v="2.13"/>
    <n v="82.850000000000009"/>
    <n v="625.16"/>
    <n v="24140.48"/>
    <n v="22833.279999999999"/>
    <n v="0"/>
    <n v="82.850000000000009"/>
    <n v="1307.2000000000007"/>
    <n v="0"/>
    <n v="0"/>
    <n v="0"/>
    <n v="22750"/>
    <n v="0"/>
    <n v="0"/>
    <n v="0"/>
    <s v="Release4"/>
  </r>
  <r>
    <x v="1"/>
    <s v="Gomukh Jagdar                                                                                       "/>
    <s v="MPG"/>
    <s v="Direct"/>
    <n v="918.90000000000009"/>
    <n v="34565.64"/>
    <n v="906.7399999999999"/>
    <n v="34574.94"/>
    <n v="12.940000000000001"/>
    <n v="476.37"/>
    <n v="919.68"/>
    <n v="35051.310000000005"/>
    <n v="34565.64"/>
    <n v="0"/>
    <n v="476.37"/>
    <n v="485.67000000000553"/>
    <n v="0"/>
    <n v="0"/>
    <n v="0"/>
    <n v="34089"/>
    <n v="0"/>
    <n v="0"/>
    <n v="0"/>
    <s v="Release4"/>
  </r>
  <r>
    <x v="2"/>
    <s v="Gomukh Goriyari"/>
    <s v="MPG"/>
    <s v="Direct"/>
    <n v="944.4"/>
    <n v="37536.829999999994"/>
    <n v="789.30000000000018"/>
    <n v="31479.510000000002"/>
    <n v="162.20000000000002"/>
    <n v="6342.8900000000012"/>
    <n v="951.50000000000023"/>
    <n v="37822.400000000001"/>
    <n v="37536.829999999994"/>
    <n v="0"/>
    <n v="356.72"/>
    <n v="285.57000000000698"/>
    <n v="0"/>
    <n v="0"/>
    <n v="0"/>
    <n v="31194"/>
    <n v="5986"/>
    <n v="0"/>
    <n v="0"/>
    <n v="0"/>
  </r>
  <r>
    <x v="3"/>
    <s v="Gomukh Kanausi"/>
    <s v="MPG"/>
    <s v="Direct"/>
    <n v="302.93"/>
    <n v="11743.84"/>
    <n v="265.60000000000002"/>
    <n v="10437.82"/>
    <n v="29.5"/>
    <n v="1145.6200000000001"/>
    <n v="295.10000000000002"/>
    <n v="11583.44"/>
    <n v="11583.44"/>
    <n v="0"/>
    <n v="156.74"/>
    <n v="0"/>
    <n v="0"/>
    <n v="0"/>
    <n v="0"/>
    <n v="10438"/>
    <n v="988"/>
    <n v="0"/>
    <n v="161"/>
    <n v="0"/>
  </r>
  <r>
    <x v="4"/>
    <s v="Mohanpur - Chandan"/>
    <s v="vlc"/>
    <s v="Indirect"/>
    <n v="81"/>
    <n v="3231.08"/>
    <n v="0"/>
    <n v="0"/>
    <n v="0"/>
    <n v="0"/>
    <n v="0"/>
    <n v="0"/>
    <n v="3231.08"/>
    <n v="0"/>
    <n v="0"/>
    <n v="0"/>
    <n v="0"/>
    <n v="0"/>
    <n v="0"/>
    <n v="0"/>
    <n v="0"/>
    <n v="3231.08"/>
    <n v="0"/>
    <n v="0"/>
  </r>
  <r>
    <x v="5"/>
    <s v="Ekamba - Ashutosh"/>
    <s v="vlc"/>
    <s v="Indirect"/>
    <n v="1160.6399999999999"/>
    <n v="49533.67"/>
    <n v="0"/>
    <n v="0"/>
    <n v="0"/>
    <n v="0"/>
    <n v="0"/>
    <n v="0"/>
    <n v="49533.67"/>
    <n v="0"/>
    <n v="0"/>
    <n v="0"/>
    <n v="0"/>
    <n v="0"/>
    <n v="0"/>
    <n v="0"/>
    <n v="0"/>
    <n v="49533.67"/>
    <n v="0"/>
    <n v="0"/>
  </r>
  <r>
    <x v="6"/>
    <s v="GOMUKH BIRPUR PASCHIM                                                                               "/>
    <s v="MPG"/>
    <s v="Direct"/>
    <n v="107.20000000000002"/>
    <n v="4448.5100000000011"/>
    <n v="106.9"/>
    <n v="4429.8600000000006"/>
    <n v="0"/>
    <n v="0"/>
    <n v="106.9"/>
    <n v="4429.8600000000006"/>
    <n v="4429.8600000000006"/>
    <n v="0"/>
    <n v="0"/>
    <n v="0"/>
    <n v="0"/>
    <n v="500"/>
    <n v="0"/>
    <n v="3930"/>
    <n v="0"/>
    <n v="0"/>
    <n v="19"/>
    <n v="0"/>
  </r>
  <r>
    <x v="7"/>
    <s v="Manish Dairy                                                                                        "/>
    <s v="vlc"/>
    <s v="Indirect"/>
    <n v="7234"/>
    <n v="269129.39"/>
    <n v="0"/>
    <n v="0"/>
    <n v="0"/>
    <n v="0"/>
    <n v="0"/>
    <n v="0"/>
    <n v="269129.39"/>
    <n v="0"/>
    <n v="0"/>
    <n v="0"/>
    <n v="0"/>
    <n v="0"/>
    <n v="0"/>
    <n v="0"/>
    <n v="0"/>
    <n v="269129.39"/>
    <n v="0"/>
    <n v="0"/>
  </r>
  <r>
    <x v="8"/>
    <s v="Gomukh Bhith-02"/>
    <s v="MPG"/>
    <s v="Direct"/>
    <n v="580.9"/>
    <n v="23920.039999999997"/>
    <n v="156.47"/>
    <n v="7053.4199999999983"/>
    <n v="395.2700000000001"/>
    <n v="17409.490000000002"/>
    <n v="551.74000000000012"/>
    <n v="24462.91"/>
    <n v="23920.039999999997"/>
    <n v="0"/>
    <n v="0"/>
    <n v="542.87000000000262"/>
    <n v="0"/>
    <n v="0"/>
    <n v="0"/>
    <n v="6511"/>
    <n v="17409"/>
    <n v="0"/>
    <n v="0"/>
    <n v="0"/>
  </r>
  <r>
    <x v="9"/>
    <s v="Gomukh Sharmatola Sahuri"/>
    <s v="MPG"/>
    <s v="Direct"/>
    <n v="1078.5"/>
    <n v="41530.25"/>
    <n v="1127.8399999999999"/>
    <n v="43201.63"/>
    <n v="26.42"/>
    <n v="992.33999999999992"/>
    <n v="1154.26"/>
    <n v="44193.969999999994"/>
    <n v="41530.25"/>
    <n v="0"/>
    <n v="0"/>
    <n v="2663.7199999999939"/>
    <n v="0"/>
    <n v="0"/>
    <n v="0"/>
    <n v="40538"/>
    <n v="992"/>
    <n v="0"/>
    <n v="0"/>
    <s v="Release4"/>
  </r>
  <r>
    <x v="10"/>
    <s v="Sangat- Sanjeev Kumar"/>
    <s v="vlc"/>
    <s v="Indirect"/>
    <n v="297.3"/>
    <n v="9672.8599999999969"/>
    <n v="0"/>
    <n v="0"/>
    <n v="0"/>
    <n v="0"/>
    <n v="0"/>
    <n v="0"/>
    <n v="9672.8599999999969"/>
    <n v="0"/>
    <n v="0"/>
    <n v="0"/>
    <n v="0"/>
    <n v="0"/>
    <n v="0"/>
    <n v="0"/>
    <n v="0"/>
    <n v="9672.8599999999969"/>
    <n v="0"/>
    <n v="0"/>
  </r>
  <r>
    <x v="11"/>
    <s v="Gomukh Garhi Bisanpur"/>
    <s v="MPG"/>
    <s v="Direct"/>
    <n v="80.36"/>
    <n v="4057.98"/>
    <n v="84.64"/>
    <n v="4477.97"/>
    <n v="2.2899999999999996"/>
    <n v="112.51"/>
    <n v="86.93"/>
    <n v="4590.4800000000005"/>
    <n v="4057.98"/>
    <n v="0"/>
    <n v="112.51"/>
    <n v="532.50000000000045"/>
    <n v="0"/>
    <n v="500"/>
    <n v="0"/>
    <n v="3445"/>
    <n v="0"/>
    <n v="0"/>
    <n v="0"/>
    <s v="Release4"/>
  </r>
  <r>
    <x v="12"/>
    <s v="Bagaraha-Gopal Yadav"/>
    <s v="vlc"/>
    <s v="Indirect"/>
    <n v="133.74"/>
    <n v="4762.38"/>
    <n v="0"/>
    <n v="0"/>
    <n v="0"/>
    <n v="0"/>
    <n v="0"/>
    <n v="0"/>
    <n v="4762.38"/>
    <n v="0"/>
    <n v="0"/>
    <n v="0"/>
    <n v="0"/>
    <n v="0"/>
    <n v="0"/>
    <n v="0"/>
    <n v="0"/>
    <n v="4762.38"/>
    <n v="0"/>
    <n v="0"/>
  </r>
  <r>
    <x v="13"/>
    <s v="Gomukh Barkurwa"/>
    <s v="MPG"/>
    <s v="Direct"/>
    <n v="453.54"/>
    <n v="19513.920000000006"/>
    <n v="244.48000000000002"/>
    <n v="10717.43"/>
    <n v="212.00000000000003"/>
    <n v="9301.15"/>
    <n v="456.48"/>
    <n v="20018.580000000002"/>
    <n v="19513.920000000006"/>
    <n v="0"/>
    <n v="300.19999999999993"/>
    <n v="504.65999999999622"/>
    <n v="0"/>
    <n v="0"/>
    <n v="0"/>
    <n v="10213"/>
    <n v="9001"/>
    <n v="0"/>
    <n v="0"/>
    <n v="0"/>
  </r>
  <r>
    <x v="14"/>
    <s v="Kamla- Amarjeet"/>
    <s v="vlc"/>
    <s v="Indirect"/>
    <n v="553"/>
    <n v="17414.170000000002"/>
    <n v="0"/>
    <n v="0"/>
    <n v="0"/>
    <n v="0"/>
    <n v="0"/>
    <n v="0"/>
    <n v="17414.170000000002"/>
    <n v="0"/>
    <n v="0"/>
    <n v="0"/>
    <n v="0"/>
    <n v="0"/>
    <n v="0"/>
    <n v="0"/>
    <n v="0"/>
    <n v="17414.170000000002"/>
    <n v="0"/>
    <n v="0"/>
  </r>
  <r>
    <x v="15"/>
    <s v="Gomukh Goha-02"/>
    <s v="MPG"/>
    <s v="Direct"/>
    <n v="263.74"/>
    <n v="10688.859999999999"/>
    <n v="259.60000000000002"/>
    <n v="10510.580000000002"/>
    <n v="4"/>
    <n v="176.24"/>
    <n v="263.60000000000002"/>
    <n v="10686.820000000002"/>
    <n v="10686.820000000002"/>
    <n v="0"/>
    <n v="176.24"/>
    <n v="0"/>
    <n v="0"/>
    <n v="0"/>
    <n v="0"/>
    <n v="10511"/>
    <n v="0"/>
    <n v="0"/>
    <n v="2"/>
    <n v="0"/>
  </r>
  <r>
    <x v="16"/>
    <s v="Gomukh Cheria Bariarpur"/>
    <s v="MPG"/>
    <s v="Direct"/>
    <n v="1056.5999999999999"/>
    <n v="40392.589999999997"/>
    <n v="1076.7499999999998"/>
    <n v="46081.490000000005"/>
    <n v="2.4500000000000002"/>
    <n v="102.57999999999997"/>
    <n v="1079.1999999999998"/>
    <n v="46184.070000000007"/>
    <n v="40392.589999999997"/>
    <n v="0"/>
    <n v="102.57999999999997"/>
    <n v="5791.4800000000105"/>
    <n v="0"/>
    <n v="0"/>
    <n v="0"/>
    <n v="40290"/>
    <n v="0"/>
    <n v="0"/>
    <n v="0"/>
    <n v="0"/>
  </r>
  <r>
    <x v="17"/>
    <s v="Gomukh Bagraha-01"/>
    <s v="MPG"/>
    <s v="Direct"/>
    <n v="244.14"/>
    <n v="10899.2"/>
    <n v="238.10000000000002"/>
    <n v="10216.339999999998"/>
    <n v="5"/>
    <n v="201.55"/>
    <n v="243.10000000000002"/>
    <n v="10417.889999999998"/>
    <n v="10417.889999999998"/>
    <n v="0"/>
    <n v="201.55"/>
    <n v="0"/>
    <n v="1350"/>
    <n v="500"/>
    <n v="0"/>
    <n v="8366"/>
    <n v="0"/>
    <n v="0"/>
    <n v="482"/>
    <s v="Release4"/>
  </r>
  <r>
    <x v="18"/>
    <s v="Gomukh Pirauna"/>
    <s v="MPG"/>
    <s v="Direct"/>
    <n v="261.40000000000003"/>
    <n v="9163.74"/>
    <n v="262.73999999999995"/>
    <n v="9254.1399999999976"/>
    <n v="0.5"/>
    <n v="16.920000000000002"/>
    <n v="263.23999999999995"/>
    <n v="9271.0599999999977"/>
    <n v="9163.74"/>
    <n v="0"/>
    <n v="16.920000000000002"/>
    <n v="107.31999999999789"/>
    <n v="0"/>
    <n v="0"/>
    <n v="0"/>
    <n v="9147"/>
    <n v="0"/>
    <n v="0"/>
    <n v="0"/>
    <s v="Release3"/>
  </r>
  <r>
    <x v="19"/>
    <s v="Parra- Nagendra Kumar"/>
    <s v="vlc"/>
    <s v="Indirect"/>
    <n v="285.99999999999994"/>
    <n v="9451.27"/>
    <n v="0"/>
    <n v="0"/>
    <n v="0"/>
    <n v="0"/>
    <n v="0"/>
    <n v="0"/>
    <n v="9451.27"/>
    <n v="0"/>
    <n v="0"/>
    <n v="0"/>
    <n v="0"/>
    <n v="0"/>
    <n v="0"/>
    <n v="0"/>
    <n v="0"/>
    <n v="9451.27"/>
    <n v="0"/>
    <n v="0"/>
  </r>
  <r>
    <x v="20"/>
    <s v="Gomukh Basahi"/>
    <s v="MPG"/>
    <s v="Direct"/>
    <n v="895.19999999999993"/>
    <n v="36332.189999999995"/>
    <n v="885.92000000000007"/>
    <n v="39126.89"/>
    <n v="2.93"/>
    <n v="115.94"/>
    <n v="888.85"/>
    <n v="39242.83"/>
    <n v="36332.189999999995"/>
    <n v="0"/>
    <n v="115.94"/>
    <n v="2910.6400000000067"/>
    <n v="0"/>
    <n v="0"/>
    <n v="0"/>
    <n v="36216"/>
    <n v="0"/>
    <n v="0"/>
    <n v="0"/>
    <n v="0"/>
  </r>
  <r>
    <x v="21"/>
    <s v="Gomukh Sawantpur"/>
    <s v="MPG"/>
    <s v="Direct"/>
    <n v="1474.4999999999998"/>
    <n v="56034.749999999993"/>
    <n v="1460.2599999999991"/>
    <n v="55521.180000000037"/>
    <n v="2.23"/>
    <n v="80.86"/>
    <n v="1462.4899999999991"/>
    <n v="55602.040000000037"/>
    <n v="55602.040000000037"/>
    <n v="0"/>
    <n v="80.86"/>
    <n v="0"/>
    <n v="0"/>
    <n v="0"/>
    <n v="0"/>
    <n v="55516"/>
    <n v="0"/>
    <n v="0"/>
    <n v="438"/>
    <n v="0"/>
  </r>
  <r>
    <x v="22"/>
    <s v="Maida- Ram Kumar"/>
    <s v="vlc"/>
    <s v="Indirect"/>
    <n v="109.3"/>
    <n v="4045.9700000000003"/>
    <n v="0"/>
    <n v="0"/>
    <n v="0"/>
    <n v="0"/>
    <n v="0"/>
    <n v="0"/>
    <n v="4045.9700000000003"/>
    <n v="0"/>
    <n v="0"/>
    <n v="0"/>
    <n v="0"/>
    <n v="0"/>
    <n v="0"/>
    <n v="0"/>
    <n v="0"/>
    <n v="4045.9700000000003"/>
    <n v="0"/>
    <n v="0"/>
  </r>
  <r>
    <x v="23"/>
    <s v="Gomukh Aure Bikrampur"/>
    <s v="MPG"/>
    <s v="Direct"/>
    <n v="1075.3"/>
    <n v="45149.3"/>
    <n v="1281.7200000000003"/>
    <n v="54017.229999999996"/>
    <n v="0"/>
    <n v="0"/>
    <n v="1281.7200000000003"/>
    <n v="54017.229999999996"/>
    <n v="45149.3"/>
    <n v="0"/>
    <n v="0"/>
    <n v="8867.929999999993"/>
    <n v="2700"/>
    <n v="0"/>
    <n v="0"/>
    <n v="42449"/>
    <n v="0"/>
    <n v="0"/>
    <n v="0"/>
    <n v="0"/>
  </r>
  <r>
    <x v="24"/>
    <s v="Manjhaul- Gulshan Kumar"/>
    <s v="vlc"/>
    <s v="Indirect"/>
    <n v="761.40000000000009"/>
    <n v="31370.889999999996"/>
    <n v="0"/>
    <n v="0"/>
    <n v="0"/>
    <n v="0"/>
    <n v="0"/>
    <n v="0"/>
    <n v="31370.889999999996"/>
    <n v="0"/>
    <n v="0"/>
    <n v="0"/>
    <n v="0"/>
    <n v="0"/>
    <n v="0"/>
    <n v="0"/>
    <n v="0"/>
    <n v="31370.889999999996"/>
    <n v="0"/>
    <n v="0"/>
  </r>
  <r>
    <x v="25"/>
    <s v="Khaira Manjhaul"/>
    <s v="vlc"/>
    <s v="Indirect"/>
    <n v="457.4"/>
    <n v="17292.940000000002"/>
    <n v="0"/>
    <n v="0"/>
    <n v="0"/>
    <n v="0"/>
    <n v="0"/>
    <n v="0"/>
    <n v="17292.940000000002"/>
    <n v="0"/>
    <n v="0"/>
    <n v="0"/>
    <n v="0"/>
    <n v="0"/>
    <n v="0"/>
    <n v="0"/>
    <n v="0"/>
    <n v="17292.940000000002"/>
    <n v="0"/>
    <n v="0"/>
  </r>
  <r>
    <x v="26"/>
    <s v="Mehda Shahpur"/>
    <s v="vlc"/>
    <s v="Indirect"/>
    <n v="520.9"/>
    <n v="20390.09"/>
    <n v="0"/>
    <n v="0"/>
    <n v="0"/>
    <n v="0"/>
    <n v="0"/>
    <n v="0"/>
    <n v="20390.09"/>
    <n v="0"/>
    <n v="0"/>
    <n v="0"/>
    <n v="0"/>
    <n v="0"/>
    <n v="0"/>
    <n v="0"/>
    <n v="0"/>
    <n v="20390.09"/>
    <n v="0"/>
    <n v="0"/>
  </r>
  <r>
    <x v="27"/>
    <s v="Shri Bhairav Laxmipur"/>
    <s v="MPG"/>
    <s v="Direct"/>
    <n v="268.8"/>
    <n v="11447.569999999998"/>
    <n v="306.93"/>
    <n v="13605.720000000001"/>
    <n v="0"/>
    <n v="0"/>
    <n v="306.93"/>
    <n v="13605.720000000001"/>
    <n v="11447.569999999998"/>
    <n v="0"/>
    <n v="0"/>
    <n v="2158.1500000000033"/>
    <n v="0"/>
    <n v="0"/>
    <n v="0"/>
    <n v="11448"/>
    <n v="0"/>
    <n v="0"/>
    <n v="0"/>
    <s v="Release4"/>
  </r>
  <r>
    <x v="28"/>
    <s v="Goapalpur"/>
    <s v="MPG"/>
    <s v="Direct"/>
    <n v="193.89999999999998"/>
    <n v="7683.17"/>
    <n v="201.03000000000003"/>
    <n v="7654.53"/>
    <n v="0"/>
    <n v="0"/>
    <n v="201.03000000000003"/>
    <n v="7654.53"/>
    <n v="7654.53"/>
    <n v="0"/>
    <n v="0"/>
    <n v="0"/>
    <n v="0"/>
    <n v="500"/>
    <n v="0"/>
    <n v="7155"/>
    <n v="0"/>
    <n v="0"/>
    <n v="28"/>
    <n v="0"/>
  </r>
  <r>
    <x v="29"/>
    <s v="Gomukh Akaha"/>
    <s v="MPG"/>
    <s v="Direct"/>
    <n v="211.4"/>
    <n v="6580.329999999999"/>
    <n v="209.29999999999998"/>
    <n v="6568.6499999999978"/>
    <n v="0"/>
    <n v="0"/>
    <n v="209.29999999999998"/>
    <n v="6568.6499999999978"/>
    <n v="6568.6499999999978"/>
    <n v="0"/>
    <n v="0"/>
    <n v="0"/>
    <n v="1350"/>
    <n v="0"/>
    <n v="0"/>
    <n v="5216"/>
    <n v="0"/>
    <n v="0"/>
    <n v="14"/>
    <n v="0"/>
  </r>
  <r>
    <x v="30"/>
    <s v="Gomukh Rajakpur"/>
    <s v="MPG"/>
    <s v="Direct"/>
    <n v="101.1"/>
    <n v="3596.9300000000007"/>
    <n v="101.47"/>
    <n v="3385.6899999999996"/>
    <n v="0"/>
    <n v="0"/>
    <n v="101.47"/>
    <n v="3385.6899999999996"/>
    <n v="3385.6899999999996"/>
    <n v="0"/>
    <n v="0"/>
    <n v="0"/>
    <n v="0"/>
    <n v="0"/>
    <n v="0"/>
    <n v="3385"/>
    <n v="0"/>
    <n v="0"/>
    <n v="212"/>
    <n v="0"/>
  </r>
  <r>
    <x v="31"/>
    <s v="Gomukh Mohanpur"/>
    <s v="MPG"/>
    <s v="Direct"/>
    <n v="174.39999999999998"/>
    <n v="6757.9999999999991"/>
    <n v="178.9"/>
    <n v="7235.1299999999992"/>
    <n v="2.2299999999999995"/>
    <n v="85.16"/>
    <n v="181.13"/>
    <n v="7320.2899999999991"/>
    <n v="6757.9999999999991"/>
    <n v="0"/>
    <n v="85.16"/>
    <n v="562.29"/>
    <n v="0"/>
    <n v="0"/>
    <n v="0"/>
    <n v="6673"/>
    <n v="0"/>
    <n v="0"/>
    <n v="0"/>
    <n v="0"/>
  </r>
  <r>
    <x v="32"/>
    <s v="Gomukh Chakka"/>
    <s v="MPG"/>
    <s v="Direct"/>
    <n v="153.4"/>
    <n v="6207.66"/>
    <n v="153.57999999999998"/>
    <n v="6368.48"/>
    <n v="0"/>
    <n v="0"/>
    <n v="153.57999999999998"/>
    <n v="6368.48"/>
    <n v="6207.66"/>
    <n v="0"/>
    <n v="0"/>
    <n v="160.81999999999971"/>
    <n v="1350"/>
    <n v="0"/>
    <n v="0"/>
    <n v="4858"/>
    <n v="0"/>
    <n v="0"/>
    <n v="0"/>
    <n v="0"/>
  </r>
  <r>
    <x v="33"/>
    <s v="Gamharia"/>
    <s v="vlc"/>
    <s v="Indirect"/>
    <n v="192.5"/>
    <n v="7621.6"/>
    <n v="0"/>
    <n v="0"/>
    <n v="0"/>
    <n v="0"/>
    <n v="0"/>
    <n v="0"/>
    <n v="7621.6"/>
    <n v="0"/>
    <n v="0"/>
    <n v="0"/>
    <n v="0"/>
    <n v="0"/>
    <n v="0"/>
    <n v="0"/>
    <n v="0"/>
    <n v="7621.6"/>
    <n v="0"/>
    <n v="0"/>
  </r>
  <r>
    <x v="34"/>
    <s v="Gomukh Meghaul-02"/>
    <s v="MPG"/>
    <s v="Direct"/>
    <n v="368.8"/>
    <n v="15616.59"/>
    <n v="362.87"/>
    <n v="15967.5"/>
    <n v="6.87"/>
    <n v="293.71999999999997"/>
    <n v="369.74"/>
    <n v="16261.22"/>
    <n v="15616.59"/>
    <n v="0"/>
    <n v="293.71999999999997"/>
    <n v="644.6299999999992"/>
    <n v="0"/>
    <n v="0"/>
    <n v="0"/>
    <n v="15323"/>
    <n v="0"/>
    <n v="0"/>
    <n v="0"/>
    <n v="0"/>
  </r>
  <r>
    <x v="35"/>
    <s v="Gomukh Meida"/>
    <s v="MPG"/>
    <s v="Direct"/>
    <n v="270.60000000000002"/>
    <n v="10306.619999999997"/>
    <n v="258.90000000000009"/>
    <n v="9873.2499999999982"/>
    <n v="0"/>
    <n v="0"/>
    <n v="258.90000000000009"/>
    <n v="9873.2499999999982"/>
    <n v="9873.2499999999982"/>
    <n v="0"/>
    <n v="0"/>
    <n v="0"/>
    <n v="0"/>
    <n v="0"/>
    <n v="0"/>
    <n v="9871"/>
    <n v="0"/>
    <n v="0"/>
    <n v="436"/>
    <n v="0"/>
  </r>
  <r>
    <x v="36"/>
    <s v="PIPARIYA DIH -2"/>
    <s v="MPG"/>
    <s v="Direct"/>
    <n v="2206.5"/>
    <n v="102770.63"/>
    <n v="1385.2000000000003"/>
    <n v="65187.880000000005"/>
    <n v="812.6"/>
    <n v="38078.380000000005"/>
    <n v="2197.8000000000002"/>
    <n v="103266.26000000001"/>
    <n v="102770.63"/>
    <n v="0"/>
    <n v="1034.46"/>
    <n v="495.63000000000466"/>
    <n v="0"/>
    <n v="0"/>
    <n v="0"/>
    <n v="64693"/>
    <n v="37043"/>
    <n v="0"/>
    <n v="0"/>
    <n v="0"/>
  </r>
  <r>
    <x v="37"/>
    <s v="LAL DIYARA -1"/>
    <s v="MPG"/>
    <s v="Direct"/>
    <n v="539.6"/>
    <n v="21633.18"/>
    <n v="539.59999999999991"/>
    <n v="21607.1"/>
    <n v="0"/>
    <n v="0"/>
    <n v="539.59999999999991"/>
    <n v="21607.1"/>
    <n v="21607.1"/>
    <n v="0"/>
    <n v="0"/>
    <n v="0"/>
    <n v="0"/>
    <n v="0"/>
    <n v="0"/>
    <n v="21607"/>
    <n v="0"/>
    <n v="0"/>
    <n v="26"/>
    <n v="0"/>
  </r>
  <r>
    <x v="38"/>
    <s v="GANGA KINARE KHUTHA"/>
    <s v="vlc"/>
    <s v="Indirect"/>
    <n v="184.20000000000002"/>
    <n v="7444"/>
    <n v="0"/>
    <n v="0"/>
    <n v="0"/>
    <n v="0"/>
    <n v="0"/>
    <n v="0"/>
    <n v="7444"/>
    <n v="0"/>
    <n v="0"/>
    <n v="0"/>
    <n v="0"/>
    <n v="0"/>
    <n v="0"/>
    <n v="0"/>
    <n v="0"/>
    <n v="7444"/>
    <n v="0"/>
    <n v="0"/>
  </r>
  <r>
    <x v="39"/>
    <s v="Gomukh ID Khutaha Ganga"/>
    <s v="vlc"/>
    <s v="Indirect"/>
    <n v="89.399999999999991"/>
    <n v="3296.14"/>
    <n v="0"/>
    <n v="0"/>
    <n v="0"/>
    <n v="0"/>
    <n v="0"/>
    <n v="0"/>
    <n v="3296.14"/>
    <n v="0"/>
    <n v="0"/>
    <n v="0"/>
    <n v="0"/>
    <n v="0"/>
    <n v="0"/>
    <n v="0"/>
    <n v="0"/>
    <n v="3296.14"/>
    <n v="0"/>
    <n v="0"/>
  </r>
  <r>
    <x v="40"/>
    <s v="Gomukh ID Khutaha Dhih"/>
    <s v="vlc"/>
    <s v="Indirect"/>
    <n v="823.10000000000014"/>
    <n v="35471.24"/>
    <n v="0"/>
    <n v="0"/>
    <n v="0"/>
    <n v="0"/>
    <n v="0"/>
    <n v="0"/>
    <n v="35471.24"/>
    <n v="0"/>
    <n v="0"/>
    <n v="0"/>
    <n v="0"/>
    <n v="0"/>
    <n v="0"/>
    <n v="0"/>
    <n v="0"/>
    <n v="35471.24"/>
    <n v="0"/>
    <n v="0"/>
  </r>
  <r>
    <x v="41"/>
    <s v="GOMUKH RAHATPUR"/>
    <s v="MPG"/>
    <s v="Direct"/>
    <n v="77"/>
    <n v="3015.7000000000003"/>
    <n v="130.39999999999998"/>
    <n v="5126.8899999999994"/>
    <n v="0.5"/>
    <n v="19.46"/>
    <n v="130.89999999999998"/>
    <n v="5146.3499999999995"/>
    <n v="3015.7000000000003"/>
    <n v="0"/>
    <n v="19.46"/>
    <n v="2130.6499999999992"/>
    <n v="0"/>
    <n v="0"/>
    <n v="0"/>
    <n v="2996"/>
    <n v="0"/>
    <n v="0"/>
    <n v="0"/>
    <s v="Release3"/>
  </r>
  <r>
    <x v="42"/>
    <s v="Vikash Kumar"/>
    <s v="vlc"/>
    <s v="Indirect"/>
    <n v="1933.1"/>
    <n v="77786.86"/>
    <n v="0"/>
    <n v="0"/>
    <n v="0"/>
    <n v="0"/>
    <n v="0"/>
    <n v="0"/>
    <n v="77786.86"/>
    <n v="0"/>
    <n v="0"/>
    <n v="0"/>
    <n v="0"/>
    <n v="0"/>
    <n v="0"/>
    <n v="0"/>
    <n v="0"/>
    <n v="77786.86"/>
    <n v="0"/>
    <n v="0"/>
  </r>
  <r>
    <x v="43"/>
    <s v="GOMUKH  LALDIYARA TIRASHI                                                                           "/>
    <s v="vlc"/>
    <s v="Indirect"/>
    <n v="31678.300000000003"/>
    <n v="1281280.17"/>
    <n v="0"/>
    <n v="0"/>
    <n v="0"/>
    <n v="0"/>
    <n v="0"/>
    <n v="0"/>
    <n v="1281280.17"/>
    <n v="0"/>
    <n v="0"/>
    <n v="0"/>
    <n v="0"/>
    <n v="0"/>
    <n v="0"/>
    <n v="0"/>
    <n v="0"/>
    <n v="1281280.17"/>
    <n v="0"/>
    <n v="0"/>
  </r>
  <r>
    <x v="44"/>
    <s v="GOMUKH  LALDIYARA PURBI"/>
    <s v="vlc"/>
    <s v="Indirect"/>
    <n v="31749.500000000004"/>
    <n v="1285317.5299999996"/>
    <n v="0"/>
    <n v="0"/>
    <n v="0"/>
    <n v="0"/>
    <n v="0"/>
    <n v="0"/>
    <n v="1285317.5299999996"/>
    <n v="0"/>
    <n v="0"/>
    <n v="0"/>
    <n v="0"/>
    <n v="0"/>
    <n v="0"/>
    <n v="0"/>
    <n v="0"/>
    <n v="1285317.5299999996"/>
    <n v="0"/>
    <n v="0"/>
  </r>
  <r>
    <x v="45"/>
    <s v="GOMUKH RAMCHANDARPUR II"/>
    <s v="MPG"/>
    <s v="Direct"/>
    <n v="3253.0999999999995"/>
    <n v="138944.31"/>
    <n v="3323.1000000000004"/>
    <n v="137942.15000000002"/>
    <n v="32.9"/>
    <n v="1509.1199999999997"/>
    <n v="3356.0000000000005"/>
    <n v="139451.27000000002"/>
    <n v="138944.31"/>
    <n v="0"/>
    <n v="1509.1199999999997"/>
    <n v="506.96000000002095"/>
    <n v="0"/>
    <n v="0"/>
    <n v="0"/>
    <n v="137435"/>
    <n v="0"/>
    <n v="0"/>
    <n v="0"/>
    <n v="0"/>
  </r>
  <r>
    <x v="46"/>
    <s v="MOHANPUR"/>
    <s v="MPG"/>
    <s v="Direct"/>
    <n v="4474.6000000000004"/>
    <n v="199134.44999999998"/>
    <n v="4095.0000000000005"/>
    <n v="182548.08999999997"/>
    <n v="412.49999999999994"/>
    <n v="16990.610000000004"/>
    <n v="4507.5"/>
    <n v="199538.69999999998"/>
    <n v="199134.44999999998"/>
    <n v="0"/>
    <n v="1735.9"/>
    <n v="404.25"/>
    <n v="0"/>
    <n v="0"/>
    <n v="0"/>
    <n v="182143"/>
    <n v="15256"/>
    <n v="0"/>
    <n v="0"/>
    <n v="0"/>
  </r>
  <r>
    <x v="47"/>
    <s v="Juwas"/>
    <s v="MPG"/>
    <s v="Direct"/>
    <n v="804.49999999999989"/>
    <n v="32129.270000000004"/>
    <n v="788.8"/>
    <n v="30426.129999999994"/>
    <n v="10.199999999999999"/>
    <n v="386.62"/>
    <n v="799"/>
    <n v="30812.749999999993"/>
    <n v="30812.749999999993"/>
    <n v="0"/>
    <n v="386.62"/>
    <n v="0"/>
    <n v="0"/>
    <n v="0"/>
    <n v="0"/>
    <n v="30427"/>
    <n v="0"/>
    <n v="0"/>
    <n v="1316"/>
    <n v="0"/>
  </r>
  <r>
    <x v="48"/>
    <s v="Morwariya"/>
    <s v="MPG"/>
    <s v="Direct"/>
    <n v="2481.4000000000005"/>
    <n v="102646.50000000001"/>
    <n v="2464.3799999999997"/>
    <n v="102173.75999999999"/>
    <n v="0"/>
    <n v="0"/>
    <n v="2464.3799999999997"/>
    <n v="102173.75999999999"/>
    <n v="102173.75999999999"/>
    <n v="0"/>
    <n v="0"/>
    <n v="0"/>
    <n v="3000"/>
    <n v="0"/>
    <n v="0"/>
    <n v="99171"/>
    <n v="0"/>
    <n v="0"/>
    <n v="476"/>
    <s v="Release1"/>
  </r>
  <r>
    <x v="49"/>
    <s v="Dumri 2"/>
    <s v="MPG"/>
    <s v="Direct"/>
    <n v="799.8"/>
    <n v="31963.480000000003"/>
    <n v="782.59999999999991"/>
    <n v="32306.370000000003"/>
    <n v="9.6599999999999984"/>
    <n v="404.53000000000003"/>
    <n v="792.25999999999988"/>
    <n v="32710.9"/>
    <n v="31963.480000000003"/>
    <n v="0"/>
    <n v="404.53000000000003"/>
    <n v="747.41999999999825"/>
    <n v="0"/>
    <n v="0"/>
    <n v="0"/>
    <n v="31559"/>
    <n v="0"/>
    <n v="0"/>
    <n v="0"/>
    <n v="0"/>
  </r>
  <r>
    <x v="50"/>
    <s v="Gomukh Jhakhaur"/>
    <s v="MPG"/>
    <s v="Direct"/>
    <n v="502.80000000000007"/>
    <n v="20638.04"/>
    <n v="502.15000000000003"/>
    <n v="20630.580000000002"/>
    <n v="1.1000000000000001"/>
    <n v="43.47"/>
    <n v="503.25000000000006"/>
    <n v="20674.050000000003"/>
    <n v="20638.04"/>
    <n v="0"/>
    <n v="43.47"/>
    <n v="36.010000000002037"/>
    <n v="0"/>
    <n v="0"/>
    <n v="0"/>
    <n v="20595"/>
    <n v="0"/>
    <n v="0"/>
    <n v="0"/>
    <n v="0"/>
  </r>
  <r>
    <x v="51"/>
    <s v="Gomukh Repura"/>
    <s v="MPG"/>
    <s v="Direct"/>
    <n v="685.19999999999993"/>
    <n v="28422.31"/>
    <n v="675.19999999999993"/>
    <n v="28252.219999999998"/>
    <n v="0"/>
    <n v="0"/>
    <n v="675.19999999999993"/>
    <n v="28252.219999999998"/>
    <n v="28252.219999999998"/>
    <n v="0"/>
    <n v="0"/>
    <n v="0"/>
    <n v="0"/>
    <n v="0"/>
    <n v="0"/>
    <n v="28252"/>
    <n v="0"/>
    <n v="0"/>
    <n v="170"/>
    <n v="0"/>
  </r>
  <r>
    <x v="52"/>
    <s v="Gomukh Virupur"/>
    <s v="MPG"/>
    <s v="Direct"/>
    <n v="364.6"/>
    <n v="14767.66"/>
    <n v="336.57000000000005"/>
    <n v="14713.699999999999"/>
    <n v="1.2600000000000002"/>
    <n v="53.180000000000007"/>
    <n v="337.83000000000004"/>
    <n v="14766.88"/>
    <n v="14766.88"/>
    <n v="0"/>
    <n v="53.180000000000007"/>
    <n v="0"/>
    <n v="0"/>
    <n v="0"/>
    <n v="0"/>
    <n v="14714"/>
    <n v="0"/>
    <n v="0"/>
    <n v="0"/>
    <n v="0"/>
  </r>
  <r>
    <x v="53"/>
    <s v="Gomukh Diyarapipariya                                                                               "/>
    <s v="MPG"/>
    <s v="Direct"/>
    <n v="1265.5999999999999"/>
    <n v="55756.209999999992"/>
    <n v="1253.8600000000004"/>
    <n v="55253.409999999996"/>
    <n v="13.149999999999999"/>
    <n v="584.15000000000009"/>
    <n v="1267.0100000000004"/>
    <n v="55837.56"/>
    <n v="55756.209999999992"/>
    <n v="0"/>
    <n v="584.15000000000009"/>
    <n v="81.350000000005821"/>
    <n v="0"/>
    <n v="0"/>
    <n v="0"/>
    <n v="55172"/>
    <n v="0"/>
    <n v="0"/>
    <n v="0"/>
    <n v="0"/>
  </r>
  <r>
    <x v="54"/>
    <s v="TAJPUR"/>
    <s v="MPG"/>
    <s v="Direct"/>
    <n v="942.70000000000016"/>
    <n v="41438.740000000005"/>
    <n v="929.9799999999999"/>
    <n v="39006.25"/>
    <n v="9.84"/>
    <n v="377.62"/>
    <n v="939.81999999999994"/>
    <n v="39383.870000000003"/>
    <n v="39383.870000000003"/>
    <n v="0"/>
    <n v="377.62"/>
    <n v="0"/>
    <n v="0"/>
    <n v="0"/>
    <n v="0"/>
    <n v="39007"/>
    <n v="0"/>
    <n v="0"/>
    <n v="2054"/>
    <n v="0"/>
  </r>
  <r>
    <x v="55"/>
    <s v="PATHUA"/>
    <s v="MPG"/>
    <s v="Direct"/>
    <n v="1272.5999999999999"/>
    <n v="54693.400000000023"/>
    <n v="1305.7"/>
    <n v="55678.37000000001"/>
    <n v="32"/>
    <n v="1482.01"/>
    <n v="1337.7"/>
    <n v="57160.380000000012"/>
    <n v="54693.400000000023"/>
    <n v="0"/>
    <n v="1023.2"/>
    <n v="2466.9799999999886"/>
    <n v="0"/>
    <n v="0"/>
    <n v="0"/>
    <n v="53211"/>
    <n v="459"/>
    <n v="0"/>
    <n v="0"/>
    <n v="0"/>
  </r>
  <r>
    <x v="56"/>
    <s v="LODIYA"/>
    <s v="MPG"/>
    <s v="Direct"/>
    <n v="582.90000000000009"/>
    <n v="24899.939999999995"/>
    <n v="583.92000000000007"/>
    <n v="24393.470000000005"/>
    <n v="5.7099999999999991"/>
    <n v="238.39"/>
    <n v="589.63000000000011"/>
    <n v="24631.860000000004"/>
    <n v="24631.860000000004"/>
    <n v="0"/>
    <n v="238.39"/>
    <n v="0"/>
    <n v="0"/>
    <n v="0"/>
    <n v="0"/>
    <n v="24393"/>
    <n v="0"/>
    <n v="0"/>
    <n v="269"/>
    <n v="0"/>
  </r>
  <r>
    <x v="57"/>
    <s v="ADARSH LAXMIPUR-3"/>
    <s v="MPG"/>
    <s v="Direct"/>
    <n v="233.6"/>
    <n v="10908.339999999998"/>
    <n v="235.2"/>
    <n v="10897.470000000001"/>
    <n v="0"/>
    <n v="0"/>
    <n v="235.2"/>
    <n v="10897.470000000001"/>
    <n v="10897.470000000001"/>
    <n v="0"/>
    <n v="0"/>
    <n v="0"/>
    <n v="0"/>
    <n v="500"/>
    <n v="0"/>
    <n v="10398"/>
    <n v="0"/>
    <n v="0"/>
    <n v="10"/>
    <n v="0"/>
  </r>
  <r>
    <x v="58"/>
    <s v="BHANPUR"/>
    <s v="MPG"/>
    <s v="Direct"/>
    <n v="786.40000000000009"/>
    <n v="29721.140000000003"/>
    <n v="796.40000000000009"/>
    <n v="29576.329999999998"/>
    <n v="0"/>
    <n v="0"/>
    <n v="796.40000000000009"/>
    <n v="29576.329999999998"/>
    <n v="29576.329999999998"/>
    <n v="0"/>
    <n v="0"/>
    <n v="0"/>
    <n v="0"/>
    <n v="0"/>
    <n v="0"/>
    <n v="29576"/>
    <n v="0"/>
    <n v="0"/>
    <n v="145"/>
    <n v="0"/>
  </r>
  <r>
    <x v="59"/>
    <s v="Karari Pipariya 2"/>
    <s v="MPG"/>
    <s v="Direct"/>
    <n v="973.2"/>
    <n v="43442.700000000004"/>
    <n v="997.06"/>
    <n v="44647.219999999994"/>
    <n v="11.08"/>
    <n v="482.75"/>
    <n v="1008.14"/>
    <n v="45129.969999999994"/>
    <n v="43442.700000000004"/>
    <n v="0"/>
    <n v="482.75"/>
    <n v="1687.2699999999895"/>
    <n v="0"/>
    <n v="0"/>
    <n v="0"/>
    <n v="42960"/>
    <n v="0"/>
    <n v="0"/>
    <n v="0"/>
    <n v="0"/>
  </r>
  <r>
    <x v="60"/>
    <s v="DIYARA PIPARIYA-THANA                                                                               "/>
    <s v="MPG"/>
    <s v="Direct"/>
    <n v="1268.0999999999997"/>
    <n v="55661.06"/>
    <n v="1296.3200000000002"/>
    <n v="57260.229999999996"/>
    <n v="7.74"/>
    <n v="348.81999999999994"/>
    <n v="1304.0600000000002"/>
    <n v="57609.049999999996"/>
    <n v="55661.06"/>
    <n v="0"/>
    <n v="348.81999999999994"/>
    <n v="1947.989999999998"/>
    <n v="0"/>
    <n v="0"/>
    <n v="0"/>
    <n v="55312"/>
    <n v="0"/>
    <n v="0"/>
    <n v="0"/>
    <s v="Release3"/>
  </r>
  <r>
    <x v="61"/>
    <s v="SRI RAM SINGH(VLC)"/>
    <s v="vlc"/>
    <s v="Indirect"/>
    <n v="2682.2000000000003"/>
    <n v="114290.47"/>
    <n v="0"/>
    <n v="0"/>
    <n v="0"/>
    <n v="0"/>
    <n v="0"/>
    <n v="0"/>
    <n v="114290.47"/>
    <n v="0"/>
    <n v="0"/>
    <n v="0"/>
    <n v="0"/>
    <n v="0"/>
    <n v="0"/>
    <n v="0"/>
    <n v="0"/>
    <n v="114290.47"/>
    <n v="0"/>
    <n v="0"/>
  </r>
  <r>
    <x v="62"/>
    <s v="GADHTOLA"/>
    <s v="MPG"/>
    <s v="Direct"/>
    <n v="1458.5999999999997"/>
    <n v="66330.179999999993"/>
    <n v="1448.4"/>
    <n v="65265.510000000017"/>
    <n v="5.88"/>
    <n v="246.92000000000002"/>
    <n v="1454.2800000000002"/>
    <n v="65512.430000000015"/>
    <n v="65512.430000000015"/>
    <n v="0"/>
    <n v="246.92000000000002"/>
    <n v="0"/>
    <n v="0"/>
    <n v="0"/>
    <n v="0"/>
    <n v="65265"/>
    <n v="0"/>
    <n v="0"/>
    <n v="818"/>
    <n v="0"/>
  </r>
  <r>
    <x v="63"/>
    <s v="Chetan Tola - Ravi"/>
    <s v="vlc"/>
    <s v="Indirect"/>
    <n v="245.79999999999995"/>
    <n v="14606.21"/>
    <n v="0"/>
    <n v="0"/>
    <n v="0"/>
    <n v="0"/>
    <n v="0"/>
    <n v="0"/>
    <n v="14606.21"/>
    <n v="0"/>
    <n v="0"/>
    <n v="0"/>
    <n v="0"/>
    <n v="0"/>
    <n v="0"/>
    <n v="0"/>
    <n v="0"/>
    <n v="14606.21"/>
    <n v="0"/>
    <n v="0"/>
  </r>
  <r>
    <x v="64"/>
    <s v="Diyara-Pipariya-Utri - Chandan"/>
    <s v="vlc"/>
    <s v="Indirect"/>
    <n v="1523.3"/>
    <n v="63328.53"/>
    <n v="0"/>
    <n v="0"/>
    <n v="0"/>
    <n v="0"/>
    <n v="0"/>
    <n v="0"/>
    <n v="63328.53"/>
    <n v="0"/>
    <n v="0"/>
    <n v="0"/>
    <n v="0"/>
    <n v="0"/>
    <n v="0"/>
    <n v="0"/>
    <n v="0"/>
    <n v="63328.53"/>
    <n v="0"/>
    <n v="0"/>
  </r>
  <r>
    <x v="65"/>
    <s v="KANHARPUR-2"/>
    <s v="MPG"/>
    <s v="Direct"/>
    <n v="2486.3999999999992"/>
    <n v="116817.45"/>
    <n v="2277.5700000000006"/>
    <n v="108308.52"/>
    <n v="203.85000000000002"/>
    <n v="9017.98"/>
    <n v="2481.4200000000005"/>
    <n v="117326.5"/>
    <n v="116817.45"/>
    <n v="0"/>
    <n v="1636.71"/>
    <n v="509.05000000000291"/>
    <n v="0"/>
    <n v="0"/>
    <n v="0"/>
    <n v="107800"/>
    <n v="7381"/>
    <n v="0"/>
    <n v="0"/>
    <n v="0"/>
  </r>
  <r>
    <x v="66"/>
    <s v="BASAUNA"/>
    <s v="MPG"/>
    <s v="Direct"/>
    <n v="652.4"/>
    <n v="27738.07"/>
    <n v="446.87"/>
    <n v="19984.469999999998"/>
    <n v="212.65"/>
    <n v="8311.8599999999988"/>
    <n v="659.52"/>
    <n v="28296.329999999994"/>
    <n v="27738.07"/>
    <n v="0"/>
    <n v="381.85999999999996"/>
    <n v="558.25999999999476"/>
    <n v="0"/>
    <n v="0"/>
    <n v="0"/>
    <n v="19426"/>
    <n v="7930"/>
    <n v="0"/>
    <n v="0"/>
    <n v="0"/>
  </r>
  <r>
    <x v="67"/>
    <s v="GANGA-SARAI"/>
    <s v="MPG"/>
    <s v="Direct"/>
    <n v="1254.5"/>
    <n v="54742.81"/>
    <n v="786.28"/>
    <n v="32216.33"/>
    <n v="481"/>
    <n v="22221.47"/>
    <n v="1267.28"/>
    <n v="54437.8"/>
    <n v="54437.8"/>
    <n v="0"/>
    <n v="463.92000000000007"/>
    <n v="0"/>
    <n v="0"/>
    <n v="0"/>
    <n v="0"/>
    <n v="32216"/>
    <n v="21758"/>
    <n v="0"/>
    <n v="305"/>
    <n v="0"/>
  </r>
  <r>
    <x v="68"/>
    <s v="GOVIND-BIGHA                                                                                        "/>
    <s v="MPG"/>
    <s v="Direct"/>
    <n v="151.1"/>
    <n v="6702.2999999999993"/>
    <n v="150.91999999999999"/>
    <n v="6789.38"/>
    <n v="2.7399999999999998"/>
    <n v="117.38"/>
    <n v="153.66"/>
    <n v="6906.76"/>
    <n v="6702.2999999999993"/>
    <n v="0"/>
    <n v="117.38"/>
    <n v="204.46000000000095"/>
    <n v="0"/>
    <n v="0"/>
    <n v="0"/>
    <n v="6585"/>
    <n v="0"/>
    <n v="0"/>
    <n v="0"/>
    <n v="0"/>
  </r>
  <r>
    <x v="69"/>
    <s v="MALPUR                                                                                              "/>
    <s v="MPG"/>
    <s v="Direct"/>
    <n v="1040.5"/>
    <n v="46412.260000000009"/>
    <n v="514.65"/>
    <n v="25456.800000000003"/>
    <n v="528.59999999999991"/>
    <n v="22517.449999999997"/>
    <n v="1043.25"/>
    <n v="47974.25"/>
    <n v="46412.260000000009"/>
    <n v="0"/>
    <n v="498.08"/>
    <n v="1561.9899999999907"/>
    <n v="0"/>
    <n v="0"/>
    <n v="0"/>
    <n v="23895"/>
    <n v="22019"/>
    <n v="0"/>
    <n v="0"/>
    <n v="0"/>
  </r>
  <r>
    <x v="70"/>
    <s v="Gomukh Hasanpur"/>
    <s v="vlc"/>
    <s v="Indirect"/>
    <n v="789.8"/>
    <n v="32763.789999999997"/>
    <n v="0"/>
    <n v="0"/>
    <n v="0"/>
    <n v="0"/>
    <n v="0"/>
    <n v="0"/>
    <n v="32763.789999999997"/>
    <n v="0"/>
    <n v="0"/>
    <n v="0"/>
    <n v="0"/>
    <n v="0"/>
    <n v="0"/>
    <n v="0"/>
    <n v="0"/>
    <n v="32763.789999999997"/>
    <n v="0"/>
    <n v="0"/>
  </r>
  <r>
    <x v="71"/>
    <s v="ADARSH LAXMIPUR-2"/>
    <s v="vlc"/>
    <s v="Indirect"/>
    <n v="1272.4000000000001"/>
    <n v="52069.209999999992"/>
    <n v="0"/>
    <n v="0"/>
    <n v="0"/>
    <n v="0"/>
    <n v="0"/>
    <n v="0"/>
    <n v="52069.209999999992"/>
    <n v="0"/>
    <n v="0"/>
    <n v="0"/>
    <n v="0"/>
    <n v="0"/>
    <n v="0"/>
    <n v="0"/>
    <n v="0"/>
    <n v="52069.209999999992"/>
    <n v="0"/>
    <n v="0"/>
  </r>
  <r>
    <x v="72"/>
    <s v="SABIKPUR"/>
    <s v="MPG"/>
    <s v="Direct"/>
    <n v="1470.5"/>
    <n v="62552.040000000008"/>
    <n v="1596.2999999999997"/>
    <n v="69597.250000000015"/>
    <n v="0"/>
    <n v="0"/>
    <n v="1596.2999999999997"/>
    <n v="69597.250000000015"/>
    <n v="62552.040000000008"/>
    <n v="0"/>
    <n v="0"/>
    <n v="7045.2100000000064"/>
    <n v="0"/>
    <n v="0"/>
    <n v="0"/>
    <n v="62552"/>
    <n v="0"/>
    <n v="0"/>
    <n v="0"/>
    <n v="0"/>
  </r>
  <r>
    <x v="73"/>
    <s v="CHETAN-TOLA-KHUTHA"/>
    <s v="MPG"/>
    <s v="Direct"/>
    <n v="169.5"/>
    <n v="7778.3300000000017"/>
    <n v="185.01"/>
    <n v="8398.11"/>
    <n v="0.45999999999999991"/>
    <n v="20.73"/>
    <n v="185.47"/>
    <n v="8418.84"/>
    <n v="7778.3300000000017"/>
    <n v="0"/>
    <n v="20.73"/>
    <n v="640.5099999999984"/>
    <n v="0"/>
    <n v="500"/>
    <n v="0"/>
    <n v="7258"/>
    <n v="0"/>
    <n v="0"/>
    <n v="0"/>
    <n v="0"/>
  </r>
  <r>
    <x v="74"/>
    <s v="LAXMIPUR"/>
    <s v="MPG"/>
    <s v="Direct"/>
    <n v="784.3"/>
    <n v="31051.140000000003"/>
    <n v="788.9"/>
    <n v="36781.78"/>
    <n v="0"/>
    <n v="0"/>
    <n v="788.9"/>
    <n v="36781.78"/>
    <n v="31051.140000000003"/>
    <n v="0"/>
    <n v="0"/>
    <n v="5730.6399999999958"/>
    <n v="0"/>
    <n v="0"/>
    <n v="0"/>
    <n v="31051"/>
    <n v="0"/>
    <n v="0"/>
    <n v="0"/>
    <s v="Release3"/>
  </r>
  <r>
    <x v="75"/>
    <s v="REHUA RK"/>
    <s v="vlc"/>
    <s v="Indirect"/>
    <n v="842.90000000000009"/>
    <n v="34044.129999999997"/>
    <n v="0"/>
    <n v="0"/>
    <n v="0"/>
    <n v="0"/>
    <n v="0"/>
    <n v="0"/>
    <n v="34044.129999999997"/>
    <n v="0"/>
    <n v="0"/>
    <n v="0"/>
    <n v="0"/>
    <n v="0"/>
    <n v="0"/>
    <n v="0"/>
    <n v="0"/>
    <n v="34044.129999999997"/>
    <n v="0"/>
    <n v="0"/>
  </r>
  <r>
    <x v="76"/>
    <s v="RAMNAGAR"/>
    <s v="MPG"/>
    <s v="Direct"/>
    <n v="242.60000000000002"/>
    <n v="10787.51"/>
    <n v="235.57"/>
    <n v="10787.18"/>
    <n v="0"/>
    <n v="0"/>
    <n v="235.57"/>
    <n v="10787.18"/>
    <n v="10787.18"/>
    <n v="0"/>
    <n v="0"/>
    <n v="0"/>
    <n v="0"/>
    <n v="0"/>
    <n v="0"/>
    <n v="10788"/>
    <n v="0"/>
    <n v="0"/>
    <n v="0"/>
    <n v="0"/>
  </r>
  <r>
    <x v="77"/>
    <s v="BANSIPUR"/>
    <s v="MPG"/>
    <s v="Direct"/>
    <n v="245.9"/>
    <n v="11795.800000000001"/>
    <n v="245.89999999999998"/>
    <n v="11844.78"/>
    <n v="0"/>
    <n v="0"/>
    <n v="245.89999999999998"/>
    <n v="11844.78"/>
    <n v="11795.800000000001"/>
    <n v="0"/>
    <n v="0"/>
    <n v="48.979999999999563"/>
    <n v="0"/>
    <n v="500"/>
    <n v="0"/>
    <n v="11296"/>
    <n v="0"/>
    <n v="0"/>
    <n v="0"/>
    <n v="0"/>
  </r>
  <r>
    <x v="78"/>
    <s v="GODIH"/>
    <s v="MPG"/>
    <s v="Direct"/>
    <n v="495.59999999999997"/>
    <n v="21319.550000000003"/>
    <n v="493.68999999999994"/>
    <n v="25865.07"/>
    <n v="0"/>
    <n v="0"/>
    <n v="493.68999999999994"/>
    <n v="25865.07"/>
    <n v="21319.550000000003"/>
    <n v="0"/>
    <n v="0"/>
    <n v="4545.5199999999968"/>
    <n v="0"/>
    <n v="0"/>
    <n v="0"/>
    <n v="21320"/>
    <n v="0"/>
    <n v="0"/>
    <n v="0"/>
    <n v="0"/>
  </r>
  <r>
    <x v="79"/>
    <s v="SINGARPUR"/>
    <s v="MPG"/>
    <s v="Direct"/>
    <n v="159.80000000000001"/>
    <n v="7188.98"/>
    <n v="158.51"/>
    <n v="7848.2699999999995"/>
    <n v="0"/>
    <n v="0"/>
    <n v="158.51"/>
    <n v="7848.2699999999995"/>
    <n v="7188.98"/>
    <n v="0"/>
    <n v="0"/>
    <n v="659.29"/>
    <n v="0"/>
    <n v="500"/>
    <n v="0"/>
    <n v="6689"/>
    <n v="0"/>
    <n v="0"/>
    <n v="0"/>
    <n v="0"/>
  </r>
  <r>
    <x v="80"/>
    <s v="G WOLIPUR"/>
    <s v="vlc"/>
    <s v="Indirect"/>
    <n v="1966.3"/>
    <n v="82625.850000000006"/>
    <n v="0"/>
    <n v="0"/>
    <n v="0"/>
    <n v="0"/>
    <n v="0"/>
    <n v="0"/>
    <n v="82625.850000000006"/>
    <n v="0"/>
    <n v="0"/>
    <n v="0"/>
    <n v="0"/>
    <n v="0"/>
    <n v="0"/>
    <n v="0"/>
    <n v="0"/>
    <n v="82625.850000000006"/>
    <n v="0"/>
    <n v="0"/>
  </r>
  <r>
    <x v="81"/>
    <s v="REHUA 3"/>
    <s v="vlc"/>
    <s v="Indirect"/>
    <n v="1494.9999999999998"/>
    <n v="64055.67"/>
    <n v="0"/>
    <n v="0"/>
    <n v="0"/>
    <n v="0"/>
    <n v="0"/>
    <n v="0"/>
    <n v="64055.67"/>
    <n v="0"/>
    <n v="0"/>
    <n v="0"/>
    <n v="0"/>
    <n v="0"/>
    <n v="0"/>
    <n v="0"/>
    <n v="0"/>
    <n v="64055.67"/>
    <n v="0"/>
    <n v="0"/>
  </r>
  <r>
    <x v="82"/>
    <s v="BICHWAY"/>
    <s v="MPG"/>
    <s v="Direct"/>
    <n v="647"/>
    <n v="25106.41"/>
    <n v="645.69999999999993"/>
    <n v="26593.7"/>
    <n v="0"/>
    <n v="0"/>
    <n v="645.69999999999993"/>
    <n v="26593.7"/>
    <n v="25106.41"/>
    <n v="0"/>
    <n v="0"/>
    <n v="1487.2900000000009"/>
    <n v="0"/>
    <n v="0"/>
    <n v="0"/>
    <n v="25106"/>
    <n v="0"/>
    <n v="0"/>
    <n v="0"/>
    <n v="0"/>
  </r>
  <r>
    <x v="83"/>
    <s v="MANOHARPUR"/>
    <s v="MPG"/>
    <s v="Direct"/>
    <n v="608.6"/>
    <n v="25594.86"/>
    <n v="146.26999999999998"/>
    <n v="5916.38"/>
    <n v="466.53999999999996"/>
    <n v="18780.28"/>
    <n v="612.80999999999995"/>
    <n v="24696.66"/>
    <n v="24696.66"/>
    <n v="0"/>
    <n v="0"/>
    <n v="0"/>
    <n v="0"/>
    <n v="0"/>
    <n v="0"/>
    <n v="5916"/>
    <n v="18778"/>
    <n v="0"/>
    <n v="901"/>
    <n v="0"/>
  </r>
  <r>
    <x v="84"/>
    <s v="HIRDANBIGHA"/>
    <s v="MPG"/>
    <s v="Direct"/>
    <n v="625.50000000000011"/>
    <n v="25776.29"/>
    <n v="632.84999999999991"/>
    <n v="26393.94"/>
    <n v="0"/>
    <n v="0"/>
    <n v="632.84999999999991"/>
    <n v="26393.94"/>
    <n v="25776.29"/>
    <n v="0"/>
    <n v="0"/>
    <n v="617.64999999999782"/>
    <n v="0"/>
    <n v="0"/>
    <n v="0"/>
    <n v="25776"/>
    <n v="0"/>
    <n v="0"/>
    <n v="0"/>
    <n v="0"/>
  </r>
  <r>
    <x v="85"/>
    <s v="KHUTAHA DIH C"/>
    <s v="MPG"/>
    <s v="Direct"/>
    <n v="216.4"/>
    <n v="8332.48"/>
    <n v="213"/>
    <n v="8268.1600000000017"/>
    <n v="0"/>
    <n v="0"/>
    <n v="213"/>
    <n v="8268.1600000000017"/>
    <n v="8268.1600000000017"/>
    <n v="0"/>
    <n v="0"/>
    <n v="0"/>
    <n v="0"/>
    <n v="0"/>
    <n v="0"/>
    <n v="8268"/>
    <n v="0"/>
    <n v="0"/>
    <n v="64"/>
    <n v="0"/>
  </r>
  <r>
    <x v="86"/>
    <s v="MOHANPUR"/>
    <s v="vlc"/>
    <s v="Indirect"/>
    <n v="557.15000000000009"/>
    <n v="23989.989999999998"/>
    <n v="0"/>
    <n v="0"/>
    <n v="0"/>
    <n v="0"/>
    <n v="0"/>
    <n v="0"/>
    <n v="23989.989999999998"/>
    <n v="0"/>
    <n v="0"/>
    <n v="0"/>
    <n v="0"/>
    <n v="0"/>
    <n v="0"/>
    <n v="0"/>
    <n v="0"/>
    <n v="23989.989999999998"/>
    <n v="0"/>
    <n v="0"/>
  </r>
  <r>
    <x v="87"/>
    <s v="CHATMADIH"/>
    <s v="MPG"/>
    <s v="Direct"/>
    <n v="1884.7499999999998"/>
    <n v="89851.299999999988"/>
    <n v="1849.3099999999997"/>
    <n v="88321.190000000017"/>
    <n v="26.200000000000006"/>
    <n v="1825.5299999999997"/>
    <n v="1875.5099999999998"/>
    <n v="90146.720000000016"/>
    <n v="89851.299999999988"/>
    <n v="0"/>
    <n v="1825.5299999999997"/>
    <n v="295.42000000002736"/>
    <n v="0"/>
    <n v="0"/>
    <n v="0"/>
    <n v="88026"/>
    <n v="0"/>
    <n v="0"/>
    <n v="0"/>
    <s v="Release3"/>
  </r>
  <r>
    <x v="88"/>
    <s v="SIYADIH"/>
    <s v="vlc"/>
    <s v="Indirect"/>
    <n v="813.75000000000011"/>
    <n v="25753.88"/>
    <n v="0"/>
    <n v="0"/>
    <n v="0"/>
    <n v="0"/>
    <n v="0"/>
    <n v="0"/>
    <n v="25753.88"/>
    <n v="0"/>
    <n v="0"/>
    <n v="0"/>
    <n v="0"/>
    <n v="0"/>
    <n v="0"/>
    <n v="0"/>
    <n v="0"/>
    <n v="25753.88"/>
    <n v="0"/>
    <n v="0"/>
  </r>
  <r>
    <x v="89"/>
    <s v="Gomukh ID Laldiyara"/>
    <s v="vlc"/>
    <s v="Indirect"/>
    <n v="7653.1"/>
    <n v="306405.48"/>
    <n v="0"/>
    <n v="0"/>
    <n v="0"/>
    <n v="0"/>
    <n v="0"/>
    <n v="0"/>
    <n v="306405.48"/>
    <n v="0"/>
    <n v="0"/>
    <n v="0"/>
    <n v="0"/>
    <n v="0"/>
    <n v="0"/>
    <n v="0"/>
    <n v="0"/>
    <n v="306405.48"/>
    <n v="0"/>
    <n v="0"/>
  </r>
  <r>
    <x v="90"/>
    <s v="KATHNI"/>
    <s v="MPG"/>
    <s v="Direct"/>
    <n v="263.3"/>
    <n v="9477.35"/>
    <n v="321.11"/>
    <n v="13509.97"/>
    <n v="0"/>
    <n v="0"/>
    <n v="321.11"/>
    <n v="13509.97"/>
    <n v="9477.35"/>
    <n v="0"/>
    <n v="0"/>
    <n v="4032.619999999999"/>
    <n v="0"/>
    <n v="0"/>
    <n v="0"/>
    <n v="9477"/>
    <n v="0"/>
    <n v="0"/>
    <n v="0"/>
    <n v="0"/>
  </r>
  <r>
    <x v="91"/>
    <s v="DEVDHA GOMUKH MPG"/>
    <s v="MPG"/>
    <s v="Direct"/>
    <n v="1593.85"/>
    <n v="66970.36"/>
    <n v="1586.4"/>
    <n v="66656.63"/>
    <n v="6.9"/>
    <n v="292.5"/>
    <n v="1593.3000000000002"/>
    <n v="66949.13"/>
    <n v="66949.13"/>
    <n v="0"/>
    <n v="292.5"/>
    <n v="0"/>
    <n v="0"/>
    <n v="0"/>
    <n v="0"/>
    <n v="66659"/>
    <n v="0"/>
    <n v="0"/>
    <n v="19"/>
    <n v="0"/>
  </r>
  <r>
    <x v="92"/>
    <s v="KASBA(MANGOAN)"/>
    <s v="vlc"/>
    <s v="Indirect"/>
    <n v="1057.25"/>
    <n v="35114.319999999992"/>
    <n v="0"/>
    <n v="0"/>
    <n v="0"/>
    <n v="0"/>
    <n v="0"/>
    <n v="0"/>
    <n v="35114.319999999992"/>
    <n v="0"/>
    <n v="0"/>
    <n v="0"/>
    <n v="0"/>
    <n v="0"/>
    <n v="0"/>
    <n v="0"/>
    <n v="0"/>
    <n v="35114.319999999992"/>
    <n v="0"/>
    <n v="0"/>
  </r>
  <r>
    <x v="93"/>
    <s v="LOHRA"/>
    <s v="MPG"/>
    <s v="Direct"/>
    <n v="671.75"/>
    <n v="36881.920000000013"/>
    <n v="644.06000000000006"/>
    <n v="39014.400000000001"/>
    <n v="18.520000000000003"/>
    <n v="1006.6599999999999"/>
    <n v="662.58"/>
    <n v="40021.06"/>
    <n v="36881.920000000013"/>
    <n v="0"/>
    <n v="1006.6599999999999"/>
    <n v="3139.1399999999849"/>
    <n v="0"/>
    <n v="0"/>
    <n v="0"/>
    <n v="35875"/>
    <n v="0"/>
    <n v="0"/>
    <n v="0"/>
    <s v="Release3"/>
  </r>
  <r>
    <x v="94"/>
    <s v="KAMATPUR"/>
    <s v="MPG"/>
    <s v="Direct"/>
    <n v="256.89999999999998"/>
    <n v="10513.32"/>
    <n v="256.79999999999995"/>
    <n v="10435.150000000001"/>
    <n v="0"/>
    <n v="0"/>
    <n v="256.79999999999995"/>
    <n v="10435.150000000001"/>
    <n v="10435.150000000001"/>
    <n v="0"/>
    <n v="0"/>
    <n v="0"/>
    <n v="0"/>
    <n v="0"/>
    <n v="0"/>
    <n v="10435"/>
    <n v="0"/>
    <n v="0"/>
    <n v="78"/>
    <n v="0"/>
  </r>
  <r>
    <x v="95"/>
    <s v="GIRDHARA"/>
    <s v="MPG"/>
    <s v="Direct"/>
    <n v="1278.5"/>
    <n v="54354.200000000004"/>
    <n v="171.08"/>
    <n v="8695.3499999999985"/>
    <n v="1103"/>
    <n v="46792.189999999995"/>
    <n v="1274.08"/>
    <n v="55487.539999999994"/>
    <n v="54354.200000000004"/>
    <n v="0"/>
    <n v="359.63000000000005"/>
    <n v="1133.3399999999892"/>
    <n v="250"/>
    <n v="0"/>
    <n v="0"/>
    <n v="7312"/>
    <n v="46433"/>
    <n v="0"/>
    <n v="0"/>
    <n v="0"/>
  </r>
  <r>
    <x v="96"/>
    <s v="RATNI"/>
    <s v="MPG"/>
    <s v="Direct"/>
    <n v="1385"/>
    <n v="71747.25"/>
    <n v="1356.4699999999998"/>
    <n v="69856.479999999981"/>
    <n v="39.29"/>
    <n v="2052.21"/>
    <n v="1395.7599999999998"/>
    <n v="71908.689999999988"/>
    <n v="71747.25"/>
    <n v="0"/>
    <n v="2052.21"/>
    <n v="161.43999999998778"/>
    <n v="0"/>
    <n v="0"/>
    <n v="0"/>
    <n v="69695"/>
    <n v="0"/>
    <n v="0"/>
    <n v="0"/>
    <n v="0"/>
  </r>
  <r>
    <x v="97"/>
    <s v="DHAPARI"/>
    <s v="MPG"/>
    <s v="Direct"/>
    <n v="609.19999999999993"/>
    <n v="25462.350000000002"/>
    <n v="590.21"/>
    <n v="26157.160000000003"/>
    <n v="19.3"/>
    <n v="837.69999999999982"/>
    <n v="609.51"/>
    <n v="26994.860000000004"/>
    <n v="25462.350000000002"/>
    <n v="0"/>
    <n v="837.69999999999982"/>
    <n v="1532.510000000002"/>
    <n v="0"/>
    <n v="0"/>
    <n v="0"/>
    <n v="24625"/>
    <n v="0"/>
    <n v="0"/>
    <n v="0"/>
    <s v="Release3"/>
  </r>
  <r>
    <x v="98"/>
    <s v="KHARUI"/>
    <s v="MPG"/>
    <s v="Direct"/>
    <n v="417.3"/>
    <n v="18021.93"/>
    <n v="390.87"/>
    <n v="17307.810000000001"/>
    <n v="18.32"/>
    <n v="1085.18"/>
    <n v="409.19"/>
    <n v="18392.990000000002"/>
    <n v="18021.93"/>
    <n v="0"/>
    <n v="1085.18"/>
    <n v="371.06000000000131"/>
    <n v="0"/>
    <n v="0"/>
    <n v="0"/>
    <n v="16937"/>
    <n v="0"/>
    <n v="0"/>
    <n v="0"/>
    <n v="0"/>
  </r>
  <r>
    <x v="99"/>
    <s v="KHAIRA"/>
    <s v="MPG"/>
    <s v="Direct"/>
    <n v="619.79999999999995"/>
    <n v="25464.719999999998"/>
    <n v="609.87999999999988"/>
    <n v="26367.520000000004"/>
    <n v="25.53"/>
    <n v="1076.5999999999999"/>
    <n v="635.40999999999985"/>
    <n v="27444.120000000003"/>
    <n v="25464.719999999998"/>
    <n v="0"/>
    <n v="1076.5999999999999"/>
    <n v="1979.4000000000051"/>
    <n v="0"/>
    <n v="0"/>
    <n v="0"/>
    <n v="24388"/>
    <n v="0"/>
    <n v="0"/>
    <n v="0"/>
    <n v="0"/>
  </r>
  <r>
    <x v="100"/>
    <s v="SISUA"/>
    <s v="MPG"/>
    <s v="Direct"/>
    <n v="1682.7999999999997"/>
    <n v="69141.77"/>
    <n v="1482.6799999999998"/>
    <n v="61981.729999999996"/>
    <n v="216.06"/>
    <n v="8657.25"/>
    <n v="1698.7399999999998"/>
    <n v="70638.98"/>
    <n v="69141.77"/>
    <n v="0"/>
    <n v="729.02"/>
    <n v="1497.2099999999919"/>
    <n v="0"/>
    <n v="0"/>
    <n v="0"/>
    <n v="60485"/>
    <n v="7928"/>
    <n v="0"/>
    <n v="0"/>
    <n v="0"/>
  </r>
  <r>
    <x v="101"/>
    <s v="BISAI"/>
    <s v="MPG"/>
    <s v="Direct"/>
    <n v="386.74999999999994"/>
    <n v="16279.34"/>
    <n v="376.22"/>
    <n v="16132.16"/>
    <n v="10.73"/>
    <n v="467.57"/>
    <n v="386.95000000000005"/>
    <n v="16599.73"/>
    <n v="16279.34"/>
    <n v="0"/>
    <n v="467.57"/>
    <n v="320.38999999999942"/>
    <n v="0"/>
    <n v="0"/>
    <n v="0"/>
    <n v="15812"/>
    <n v="0"/>
    <n v="0"/>
    <n v="0"/>
    <n v="0"/>
  </r>
  <r>
    <x v="102"/>
    <s v="SAJUA-1"/>
    <s v="MPG"/>
    <s v="Direct"/>
    <n v="815.50000000000011"/>
    <n v="32948.159999999996"/>
    <n v="810.04000000000008"/>
    <n v="32589.949999999997"/>
    <n v="8.39"/>
    <n v="337.56"/>
    <n v="818.43000000000006"/>
    <n v="32927.509999999995"/>
    <n v="32927.509999999995"/>
    <n v="0"/>
    <n v="337.56"/>
    <n v="0"/>
    <n v="0"/>
    <n v="0"/>
    <n v="0"/>
    <n v="32591"/>
    <n v="0"/>
    <n v="0"/>
    <n v="20"/>
    <n v="0"/>
  </r>
  <r>
    <x v="103"/>
    <s v="SAJUA-2"/>
    <s v="MPG"/>
    <s v="Direct"/>
    <n v="1484.3500000000001"/>
    <n v="59778.55"/>
    <n v="1463.6000000000001"/>
    <n v="60826.030000000006"/>
    <n v="18.489999999999998"/>
    <n v="1256.22"/>
    <n v="1482.0900000000001"/>
    <n v="62082.250000000007"/>
    <n v="59778.55"/>
    <n v="0"/>
    <n v="1256.22"/>
    <n v="2303.7000000000044"/>
    <n v="0"/>
    <n v="0"/>
    <n v="0"/>
    <n v="58522"/>
    <n v="0"/>
    <n v="0"/>
    <n v="0"/>
    <s v="Release3"/>
  </r>
  <r>
    <x v="104"/>
    <s v="CHORGAUN"/>
    <s v="MPG"/>
    <s v="Direct"/>
    <n v="1135.4999999999998"/>
    <n v="44437.409999999989"/>
    <n v="1086.8"/>
    <n v="42692.52"/>
    <n v="28.400000000000002"/>
    <n v="1174.5"/>
    <n v="1115.2"/>
    <n v="43867.02"/>
    <n v="43867.02"/>
    <n v="0"/>
    <n v="1174.5"/>
    <n v="0"/>
    <n v="0"/>
    <n v="0"/>
    <n v="0"/>
    <n v="42689"/>
    <n v="0"/>
    <n v="0"/>
    <n v="574"/>
    <n v="0"/>
  </r>
  <r>
    <x v="105"/>
    <s v="PADARATHPUR"/>
    <s v="MPG"/>
    <s v="Direct"/>
    <n v="1263.8499999999999"/>
    <n v="52172"/>
    <n v="1234.1999999999996"/>
    <n v="52646.2"/>
    <n v="23.400000000000002"/>
    <n v="912.27"/>
    <n v="1257.5999999999997"/>
    <n v="53558.469999999994"/>
    <n v="52172"/>
    <n v="0"/>
    <n v="912.27"/>
    <n v="1386.4699999999939"/>
    <n v="0"/>
    <n v="0"/>
    <n v="0"/>
    <n v="51260"/>
    <n v="0"/>
    <n v="0"/>
    <n v="0"/>
    <n v="0"/>
  </r>
  <r>
    <x v="106"/>
    <s v="BADARKHA"/>
    <s v="MPG"/>
    <s v="Direct"/>
    <n v="864.2"/>
    <n v="33912.060000000005"/>
    <n v="878.41"/>
    <n v="34083.019999999997"/>
    <n v="0"/>
    <n v="0"/>
    <n v="878.41"/>
    <n v="34083.019999999997"/>
    <n v="33912.060000000005"/>
    <n v="0"/>
    <n v="0"/>
    <n v="170.95999999999185"/>
    <n v="0"/>
    <n v="0"/>
    <n v="0"/>
    <n v="33912"/>
    <n v="0"/>
    <n v="0"/>
    <n v="0"/>
    <n v="0"/>
  </r>
  <r>
    <x v="107"/>
    <s v="MAHDMADPUR                                                                                          "/>
    <s v="MPG"/>
    <s v="Direct"/>
    <n v="1270.5500000000002"/>
    <n v="49208.560000000005"/>
    <n v="1261.5999999999999"/>
    <n v="48474.64"/>
    <n v="16.8"/>
    <n v="654.33000000000004"/>
    <n v="1278.3999999999999"/>
    <n v="49128.97"/>
    <n v="49128.97"/>
    <n v="0"/>
    <n v="654.33000000000004"/>
    <n v="0"/>
    <n v="0"/>
    <n v="0"/>
    <n v="0"/>
    <n v="48474"/>
    <n v="0"/>
    <n v="0"/>
    <n v="80"/>
    <n v="0"/>
  </r>
  <r>
    <x v="108"/>
    <s v="MUSKIPUR                                                                                            "/>
    <s v="MPG"/>
    <s v="Direct"/>
    <n v="1316.8500000000004"/>
    <n v="56084.689999999988"/>
    <n v="1311.8"/>
    <n v="54526.110000000008"/>
    <n v="0"/>
    <n v="0"/>
    <n v="1311.8"/>
    <n v="54526.110000000008"/>
    <n v="54526.110000000008"/>
    <n v="0"/>
    <n v="0"/>
    <n v="0"/>
    <n v="0"/>
    <n v="0"/>
    <n v="0"/>
    <n v="54527"/>
    <n v="0"/>
    <n v="0"/>
    <n v="1558"/>
    <n v="0"/>
  </r>
  <r>
    <x v="109"/>
    <s v="NAYAGAUN                                                                                            "/>
    <s v="MPG"/>
    <s v="Direct"/>
    <n v="714.25"/>
    <n v="28992.389999999996"/>
    <n v="710.16"/>
    <n v="28826.89"/>
    <n v="3.15"/>
    <n v="132.49"/>
    <n v="713.31"/>
    <n v="28959.38"/>
    <n v="28959.38"/>
    <n v="0"/>
    <n v="132.49"/>
    <n v="0"/>
    <n v="0"/>
    <n v="0"/>
    <n v="0"/>
    <n v="28828"/>
    <n v="0"/>
    <n v="0"/>
    <n v="32"/>
    <n v="0"/>
  </r>
  <r>
    <x v="110"/>
    <s v="LAUNA                                                                                               "/>
    <s v="MPG"/>
    <s v="Direct"/>
    <n v="1342"/>
    <n v="50700.79"/>
    <n v="1350.52"/>
    <n v="51433.700000000004"/>
    <n v="16.34"/>
    <n v="642.47"/>
    <n v="1366.86"/>
    <n v="52076.170000000006"/>
    <n v="50700.79"/>
    <n v="0"/>
    <n v="642.47"/>
    <n v="1375.3800000000047"/>
    <n v="0"/>
    <n v="0"/>
    <n v="0"/>
    <n v="50058"/>
    <n v="0"/>
    <n v="0"/>
    <n v="0"/>
    <n v="0"/>
  </r>
  <r>
    <x v="111"/>
    <s v="DULHAR"/>
    <s v="MPG"/>
    <s v="Direct"/>
    <n v="610.29999999999995"/>
    <n v="25564.979999999996"/>
    <n v="628.3399999999998"/>
    <n v="30702.09"/>
    <n v="0"/>
    <n v="0"/>
    <n v="628.3399999999998"/>
    <n v="30702.09"/>
    <n v="25564.979999999996"/>
    <n v="0"/>
    <n v="0"/>
    <n v="5137.1100000000042"/>
    <n v="0"/>
    <n v="0"/>
    <n v="0"/>
    <n v="25565"/>
    <n v="0"/>
    <n v="0"/>
    <n v="0"/>
    <n v="0"/>
  </r>
  <r>
    <x v="112"/>
    <s v="Ghorpithiya - Vikas"/>
    <s v="vlc"/>
    <s v="Indirect"/>
    <n v="361.05"/>
    <n v="16298.600000000002"/>
    <n v="0"/>
    <n v="0"/>
    <n v="0"/>
    <n v="0"/>
    <n v="0"/>
    <n v="0"/>
    <n v="16298.600000000002"/>
    <n v="0"/>
    <n v="0"/>
    <n v="0"/>
    <n v="0"/>
    <n v="0"/>
    <n v="0"/>
    <n v="0"/>
    <n v="0"/>
    <n v="16298.600000000002"/>
    <n v="0"/>
    <n v="0"/>
  </r>
  <r>
    <x v="113"/>
    <s v="Akbarnagar - Rakhi"/>
    <s v="vlc"/>
    <s v="Indirect"/>
    <n v="1133.3000000000002"/>
    <n v="45078.51"/>
    <n v="0"/>
    <n v="0"/>
    <n v="0"/>
    <n v="0"/>
    <n v="0"/>
    <n v="0"/>
    <n v="45078.51"/>
    <n v="0"/>
    <n v="0"/>
    <n v="0"/>
    <n v="0"/>
    <n v="0"/>
    <n v="0"/>
    <n v="0"/>
    <n v="0"/>
    <n v="45078.51"/>
    <n v="0"/>
    <n v="0"/>
  </r>
  <r>
    <x v="114"/>
    <s v="Ghorpithiya - Dheeraj"/>
    <s v="vlc"/>
    <s v="Indirect"/>
    <n v="7653.1"/>
    <n v="306405.48"/>
    <n v="0"/>
    <n v="0"/>
    <n v="0"/>
    <n v="0"/>
    <n v="0"/>
    <n v="0"/>
    <n v="306405.48"/>
    <n v="0"/>
    <n v="0"/>
    <n v="0"/>
    <n v="0"/>
    <n v="0"/>
    <n v="0"/>
    <n v="0"/>
    <n v="0"/>
    <n v="306405.48"/>
    <n v="0"/>
    <n v="0"/>
  </r>
  <r>
    <x v="115"/>
    <s v="Asarganj Chhotki Tola - Akash"/>
    <s v="vlc"/>
    <s v="Indirect"/>
    <n v="7112.6"/>
    <n v="285066.53999999998"/>
    <n v="0"/>
    <n v="0"/>
    <n v="0"/>
    <n v="0"/>
    <n v="0"/>
    <n v="0"/>
    <n v="285066.53999999998"/>
    <n v="0"/>
    <n v="0"/>
    <n v="0"/>
    <n v="0"/>
    <n v="0"/>
    <n v="0"/>
    <n v="0"/>
    <n v="0"/>
    <n v="285066.53999999998"/>
    <n v="0"/>
    <n v="0"/>
  </r>
  <r>
    <x v="116"/>
    <s v="Manikpur - Golu"/>
    <s v="vlc"/>
    <s v="Indirect"/>
    <n v="230.9"/>
    <n v="9137.58"/>
    <n v="0"/>
    <n v="0"/>
    <n v="0"/>
    <n v="0"/>
    <n v="0"/>
    <n v="0"/>
    <n v="9137.58"/>
    <n v="0"/>
    <n v="0"/>
    <n v="0"/>
    <n v="0"/>
    <n v="0"/>
    <n v="0"/>
    <n v="0"/>
    <n v="0"/>
    <n v="9137.58"/>
    <n v="0"/>
    <n v="0"/>
  </r>
  <r>
    <x v="117"/>
    <s v="Rangaon - Jayram"/>
    <s v="vlc"/>
    <s v="Indirect"/>
    <n v="118.05"/>
    <n v="4791.6499999999996"/>
    <n v="0"/>
    <n v="0"/>
    <n v="0"/>
    <n v="0"/>
    <n v="0"/>
    <n v="0"/>
    <n v="4791.6499999999996"/>
    <n v="0"/>
    <n v="0"/>
    <n v="0"/>
    <n v="0"/>
    <n v="0"/>
    <n v="0"/>
    <n v="0"/>
    <n v="0"/>
    <n v="4791.6499999999996"/>
    <n v="0"/>
    <n v="0"/>
  </r>
  <r>
    <x v="118"/>
    <s v="PAIN"/>
    <s v="MPG"/>
    <s v="Direct"/>
    <n v="663.65"/>
    <n v="24049.260000000006"/>
    <n v="691.0200000000001"/>
    <n v="28888.569999999996"/>
    <n v="2.5600000000000005"/>
    <n v="99.78"/>
    <n v="693.58"/>
    <n v="28988.349999999995"/>
    <n v="24049.260000000006"/>
    <n v="0"/>
    <n v="99.78"/>
    <n v="4939.0899999999892"/>
    <n v="0"/>
    <n v="0"/>
    <n v="0"/>
    <n v="23949"/>
    <n v="0"/>
    <n v="0"/>
    <n v="0"/>
    <n v="0"/>
  </r>
  <r>
    <x v="119"/>
    <s v="MOTICHAK"/>
    <s v="MPG"/>
    <s v="Direct"/>
    <n v="3699.4"/>
    <n v="136394.77000000002"/>
    <n v="3552.7200000000003"/>
    <n v="134502.26999999999"/>
    <n v="53.980000000000004"/>
    <n v="1991.7299999999998"/>
    <n v="3606.7000000000003"/>
    <n v="136494"/>
    <n v="136394.77000000002"/>
    <n v="0"/>
    <n v="1991.7299999999998"/>
    <n v="99.229999999981374"/>
    <n v="0"/>
    <n v="0"/>
    <n v="0"/>
    <n v="134403"/>
    <n v="0"/>
    <n v="0"/>
    <n v="0"/>
    <n v="0"/>
  </r>
  <r>
    <x v="120"/>
    <s v="MIRATTHI"/>
    <s v="MPG"/>
    <s v="Direct"/>
    <n v="288.5"/>
    <n v="11361.8"/>
    <n v="286.39999999999998"/>
    <n v="10651.74"/>
    <n v="3.25"/>
    <n v="121.96999999999998"/>
    <n v="289.64999999999998"/>
    <n v="10773.71"/>
    <n v="10773.71"/>
    <n v="0"/>
    <n v="121.96999999999998"/>
    <n v="0"/>
    <n v="0"/>
    <n v="0"/>
    <n v="0"/>
    <n v="10652"/>
    <n v="0"/>
    <n v="0"/>
    <n v="588"/>
    <n v="0"/>
  </r>
  <r>
    <x v="121"/>
    <s v="DAULATPUR"/>
    <s v="MPG"/>
    <s v="Direct"/>
    <n v="238.45000000000002"/>
    <n v="9890.1299999999992"/>
    <n v="242.08999999999995"/>
    <n v="10345.450000000001"/>
    <n v="0.7"/>
    <n v="30.379999999999995"/>
    <n v="242.78999999999994"/>
    <n v="10375.83"/>
    <n v="9890.1299999999992"/>
    <n v="0"/>
    <n v="30.379999999999995"/>
    <n v="485.70000000000073"/>
    <n v="0"/>
    <n v="0"/>
    <n v="0"/>
    <n v="9860"/>
    <n v="0"/>
    <n v="0"/>
    <n v="0"/>
    <s v="Release3"/>
  </r>
  <r>
    <x v="122"/>
    <s v="MOHADDIPUR"/>
    <s v="MPG"/>
    <s v="Direct"/>
    <n v="152.59999999999997"/>
    <n v="5413.7300000000005"/>
    <n v="240"/>
    <n v="13541.2"/>
    <n v="0"/>
    <n v="0"/>
    <n v="240"/>
    <n v="13541.2"/>
    <n v="5413.7300000000005"/>
    <n v="0"/>
    <n v="0"/>
    <n v="8127.47"/>
    <n v="0"/>
    <n v="0"/>
    <n v="0"/>
    <n v="5414"/>
    <n v="0"/>
    <n v="0"/>
    <n v="0"/>
    <s v="Release3"/>
  </r>
  <r>
    <x v="123"/>
    <s v="JHAJHA"/>
    <s v="MPG"/>
    <s v="Direct"/>
    <n v="675.25"/>
    <n v="29796.170000000002"/>
    <n v="665.18"/>
    <n v="32106"/>
    <n v="0"/>
    <n v="0"/>
    <n v="665.18"/>
    <n v="32106"/>
    <n v="29796.170000000002"/>
    <n v="0"/>
    <n v="0"/>
    <n v="2309.8299999999981"/>
    <n v="0"/>
    <n v="0"/>
    <n v="0"/>
    <n v="29796"/>
    <n v="0"/>
    <n v="0"/>
    <n v="0"/>
    <n v="0"/>
  </r>
  <r>
    <x v="124"/>
    <s v="KAMARDUH"/>
    <s v="MPG"/>
    <s v="Direct"/>
    <n v="700.6"/>
    <n v="25663.790000000005"/>
    <n v="700.5"/>
    <n v="25660.130000000005"/>
    <n v="7"/>
    <n v="256.99"/>
    <n v="707.5"/>
    <n v="25917.120000000006"/>
    <n v="25663.790000000005"/>
    <n v="0"/>
    <n v="256.99"/>
    <n v="253.33000000000175"/>
    <n v="0"/>
    <n v="0"/>
    <n v="0"/>
    <n v="25407"/>
    <n v="0"/>
    <n v="0"/>
    <n v="0"/>
    <n v="0"/>
  </r>
  <r>
    <x v="125"/>
    <s v="BARSABAD"/>
    <s v="MPG"/>
    <s v="Direct"/>
    <n v="375.44999999999993"/>
    <n v="14025.57"/>
    <n v="367.06"/>
    <n v="13618.78"/>
    <n v="10.08"/>
    <n v="377.19"/>
    <n v="377.14"/>
    <n v="13995.970000000001"/>
    <n v="13995.970000000001"/>
    <n v="0"/>
    <n v="377.19"/>
    <n v="0"/>
    <n v="0"/>
    <n v="0"/>
    <n v="0"/>
    <n v="13620"/>
    <n v="0"/>
    <n v="0"/>
    <n v="28"/>
    <n v="0"/>
  </r>
  <r>
    <x v="126"/>
    <s v="GONAI"/>
    <s v="MPG"/>
    <s v="Direct"/>
    <n v="1819.7500000000002"/>
    <n v="73980.62000000001"/>
    <n v="1788.7"/>
    <n v="73175.320000000007"/>
    <n v="8.9200000000000017"/>
    <n v="351.06"/>
    <n v="1797.6200000000001"/>
    <n v="73526.38"/>
    <n v="73526.38"/>
    <n v="0"/>
    <n v="351.06"/>
    <n v="0"/>
    <n v="1000"/>
    <n v="0"/>
    <n v="0"/>
    <n v="72175"/>
    <n v="0"/>
    <n v="0"/>
    <n v="455"/>
    <n v="0"/>
  </r>
  <r>
    <x v="127"/>
    <s v="SHIKARITOLA"/>
    <s v="MPG"/>
    <s v="Direct"/>
    <n v="1061.6499999999999"/>
    <n v="42188.329999999994"/>
    <n v="1082.5"/>
    <n v="46870.889999999992"/>
    <n v="0"/>
    <n v="0"/>
    <n v="1082.5"/>
    <n v="46870.889999999992"/>
    <n v="42188.329999999994"/>
    <n v="0"/>
    <n v="0"/>
    <n v="4682.5599999999977"/>
    <n v="0"/>
    <n v="0"/>
    <n v="0"/>
    <n v="42188"/>
    <n v="0"/>
    <n v="0"/>
    <n v="0"/>
    <n v="0"/>
  </r>
  <r>
    <x v="128"/>
    <s v="BAIKUNTHPUR"/>
    <s v="MPG"/>
    <s v="Direct"/>
    <n v="300.15000000000003"/>
    <n v="11159.050000000001"/>
    <n v="310.60000000000002"/>
    <n v="10984.17"/>
    <n v="4.379999999999999"/>
    <n v="157.09000000000003"/>
    <n v="314.98"/>
    <n v="11141.26"/>
    <n v="11141.26"/>
    <n v="0"/>
    <n v="157.09000000000003"/>
    <n v="0"/>
    <n v="0"/>
    <n v="500"/>
    <n v="0"/>
    <n v="10484"/>
    <n v="0"/>
    <n v="0"/>
    <n v="18"/>
    <n v="0"/>
  </r>
  <r>
    <x v="129"/>
    <s v="KAITHA"/>
    <s v="MPG"/>
    <s v="Direct"/>
    <n v="2978.15"/>
    <n v="127932.04000000001"/>
    <n v="2151.64"/>
    <n v="94326.3"/>
    <n v="853.33999999999992"/>
    <n v="34889.300000000003"/>
    <n v="3004.9799999999996"/>
    <n v="129215.6"/>
    <n v="127932.04000000001"/>
    <n v="0"/>
    <n v="948.9"/>
    <n v="1283.5599999999977"/>
    <n v="0"/>
    <n v="0"/>
    <n v="0"/>
    <n v="93043"/>
    <n v="33940"/>
    <n v="0"/>
    <n v="0"/>
    <n v="0"/>
  </r>
  <r>
    <x v="130"/>
    <s v="DORAI"/>
    <s v="MPG"/>
    <s v="Direct"/>
    <n v="1080.6499999999999"/>
    <n v="38557.029999999992"/>
    <n v="1199.8800000000001"/>
    <n v="51328.839999999989"/>
    <n v="43.269999999999996"/>
    <n v="2093.38"/>
    <n v="1243.1500000000001"/>
    <n v="53422.219999999987"/>
    <n v="38557.029999999992"/>
    <n v="0"/>
    <n v="2093.38"/>
    <n v="14865.189999999995"/>
    <n v="0"/>
    <n v="0"/>
    <n v="0"/>
    <n v="36464"/>
    <n v="0"/>
    <n v="0"/>
    <n v="0"/>
    <n v="0"/>
  </r>
  <r>
    <x v="131"/>
    <s v="RAGHUNATHPUR"/>
    <s v="vlc"/>
    <s v="Indirect"/>
    <n v="1077.75"/>
    <n v="37533.269999999997"/>
    <n v="0"/>
    <n v="0"/>
    <n v="0"/>
    <n v="0"/>
    <n v="0"/>
    <n v="0"/>
    <n v="37533.269999999997"/>
    <n v="0"/>
    <n v="0"/>
    <n v="0"/>
    <n v="0"/>
    <n v="0"/>
    <n v="0"/>
    <n v="0"/>
    <n v="0"/>
    <n v="37533.269999999997"/>
    <n v="0"/>
    <n v="0"/>
  </r>
  <r>
    <x v="132"/>
    <s v="BANGAMA"/>
    <s v="MPG"/>
    <s v="Direct"/>
    <n v="799.15000000000009"/>
    <n v="34091.399999999994"/>
    <n v="795.80000000000007"/>
    <n v="35134.65"/>
    <n v="18.600000000000001"/>
    <n v="829.92000000000007"/>
    <n v="814.40000000000009"/>
    <n v="35964.57"/>
    <n v="34091.399999999994"/>
    <n v="0"/>
    <n v="653.33000000000004"/>
    <n v="1873.1700000000055"/>
    <n v="0"/>
    <n v="0"/>
    <n v="0"/>
    <n v="33261"/>
    <n v="177"/>
    <n v="0"/>
    <n v="0"/>
    <n v="0"/>
  </r>
  <r>
    <x v="133"/>
    <s v="KORIYA"/>
    <s v="MPG"/>
    <s v="Direct"/>
    <n v="241"/>
    <n v="10499.039999999999"/>
    <n v="240.71999999999994"/>
    <n v="11140.13"/>
    <n v="0"/>
    <n v="0"/>
    <n v="240.71999999999994"/>
    <n v="11140.13"/>
    <n v="10499.039999999999"/>
    <n v="0"/>
    <n v="0"/>
    <n v="641.09000000000015"/>
    <n v="0"/>
    <n v="0"/>
    <n v="0"/>
    <n v="10499"/>
    <n v="0"/>
    <n v="0"/>
    <n v="0"/>
    <s v="Release3"/>
  </r>
  <r>
    <x v="134"/>
    <s v="HARLACHAK"/>
    <s v="MPG"/>
    <s v="Direct"/>
    <n v="1141.6499999999999"/>
    <n v="47084.689999999995"/>
    <n v="1117.5399999999997"/>
    <n v="46830.590000000004"/>
    <n v="9.33"/>
    <n v="390.81000000000006"/>
    <n v="1126.8699999999997"/>
    <n v="47221.4"/>
    <n v="47084.689999999995"/>
    <n v="0"/>
    <n v="390.81000000000006"/>
    <n v="136.7100000000064"/>
    <n v="0"/>
    <n v="0"/>
    <n v="0"/>
    <n v="46694"/>
    <n v="0"/>
    <n v="0"/>
    <n v="0"/>
    <n v="0"/>
  </r>
  <r>
    <x v="135"/>
    <s v="Jangle Jhakra"/>
    <s v="MPG"/>
    <s v="Direct"/>
    <n v="1811.5"/>
    <n v="75646.73"/>
    <n v="1892.67"/>
    <n v="80849.91"/>
    <n v="3.46"/>
    <n v="136.07999999999998"/>
    <n v="1896.13"/>
    <n v="80985.990000000005"/>
    <n v="75646.73"/>
    <n v="0"/>
    <n v="136.07999999999998"/>
    <n v="5339.2600000000093"/>
    <n v="0"/>
    <n v="0"/>
    <n v="0"/>
    <n v="75511"/>
    <n v="0"/>
    <n v="0"/>
    <n v="0"/>
    <n v="0"/>
  </r>
  <r>
    <x v="136"/>
    <s v="KATAHRA"/>
    <s v="MPG"/>
    <s v="Direct"/>
    <n v="490.59999999999997"/>
    <n v="21006.890000000003"/>
    <n v="639.87"/>
    <n v="30146.440000000006"/>
    <n v="0"/>
    <n v="0"/>
    <n v="639.87"/>
    <n v="30146.440000000006"/>
    <n v="21006.890000000003"/>
    <n v="0"/>
    <n v="0"/>
    <n v="9139.5500000000029"/>
    <n v="7500"/>
    <n v="0"/>
    <n v="0"/>
    <n v="13507"/>
    <n v="0"/>
    <n v="0"/>
    <n v="0"/>
    <s v="Release1"/>
  </r>
  <r>
    <x v="137"/>
    <s v="KARHARIA V"/>
    <s v="vlc"/>
    <s v="Indirect"/>
    <n v="153.75"/>
    <n v="5699.37"/>
    <n v="0"/>
    <n v="0"/>
    <n v="0"/>
    <n v="0"/>
    <n v="0"/>
    <n v="0"/>
    <n v="5699.37"/>
    <n v="0"/>
    <n v="0"/>
    <n v="0"/>
    <n v="0"/>
    <n v="0"/>
    <n v="0"/>
    <n v="0"/>
    <n v="0"/>
    <n v="5699.37"/>
    <n v="0"/>
    <n v="0"/>
  </r>
  <r>
    <x v="138"/>
    <s v="BALADEV ITAHARI"/>
    <s v="MPG"/>
    <s v="Direct"/>
    <n v="697.45000000000016"/>
    <n v="31581.839999999997"/>
    <n v="703.45"/>
    <n v="34568.07"/>
    <n v="0"/>
    <n v="0"/>
    <n v="703.45"/>
    <n v="34568.07"/>
    <n v="31581.839999999997"/>
    <n v="0"/>
    <n v="0"/>
    <n v="2986.2300000000032"/>
    <n v="0"/>
    <n v="0"/>
    <n v="0"/>
    <n v="31582"/>
    <n v="0"/>
    <n v="0"/>
    <n v="0"/>
    <n v="0"/>
  </r>
  <r>
    <x v="139"/>
    <s v="PAHALANPUR"/>
    <s v="MPG"/>
    <s v="Direct"/>
    <n v="979.54999999999984"/>
    <n v="40238.93"/>
    <n v="979.78000000000031"/>
    <n v="37521.730000000003"/>
    <n v="0"/>
    <n v="0"/>
    <n v="979.78000000000031"/>
    <n v="37521.730000000003"/>
    <n v="37521.730000000003"/>
    <n v="0"/>
    <n v="0"/>
    <n v="0"/>
    <n v="0"/>
    <n v="0"/>
    <n v="0"/>
    <n v="37523"/>
    <n v="0"/>
    <n v="0"/>
    <n v="2716"/>
    <n v="0"/>
  </r>
  <r>
    <x v="140"/>
    <s v="RAMBRAN YADAV"/>
    <s v="MPG"/>
    <s v="Direct"/>
    <n v="817.25"/>
    <n v="32219.82"/>
    <n v="801.93999999999994"/>
    <n v="32487"/>
    <n v="0"/>
    <n v="0"/>
    <n v="801.93999999999994"/>
    <n v="32487"/>
    <n v="32219.82"/>
    <n v="0"/>
    <n v="0"/>
    <n v="267.18000000000029"/>
    <n v="0"/>
    <n v="0"/>
    <n v="0"/>
    <n v="32220"/>
    <n v="0"/>
    <n v="0"/>
    <n v="0"/>
    <n v="0"/>
  </r>
  <r>
    <x v="141"/>
    <s v="Gomukh Beldra"/>
    <s v="MPG"/>
    <s v="Direct"/>
    <n v="258.59999999999997"/>
    <n v="10618.929999999998"/>
    <n v="250.26"/>
    <n v="10705.060000000001"/>
    <n v="0"/>
    <n v="0"/>
    <n v="250.26"/>
    <n v="10705.060000000001"/>
    <n v="10618.929999999998"/>
    <n v="0"/>
    <n v="0"/>
    <n v="86.130000000002838"/>
    <n v="0"/>
    <n v="0"/>
    <n v="0"/>
    <n v="10619"/>
    <n v="0"/>
    <n v="0"/>
    <n v="0"/>
    <n v="0"/>
  </r>
  <r>
    <x v="142"/>
    <s v="Gomukh Chandanpura"/>
    <s v="MPG"/>
    <s v="Direct"/>
    <n v="1116.1000000000001"/>
    <n v="52167.469999999994"/>
    <n v="1107.2"/>
    <n v="54914.34"/>
    <n v="0"/>
    <n v="0"/>
    <n v="1107.2"/>
    <n v="54914.34"/>
    <n v="52167.469999999994"/>
    <n v="0"/>
    <n v="0"/>
    <n v="2746.8700000000026"/>
    <n v="0"/>
    <n v="0"/>
    <n v="0"/>
    <n v="52167"/>
    <n v="0"/>
    <n v="0"/>
    <n v="0"/>
    <n v="0"/>
  </r>
  <r>
    <x v="143"/>
    <s v="DARIYAPUR R"/>
    <s v="MPG"/>
    <s v="Direct"/>
    <n v="355.7"/>
    <n v="18044.29"/>
    <n v="352.60999999999996"/>
    <n v="18902.93"/>
    <n v="0"/>
    <n v="0"/>
    <n v="352.60999999999996"/>
    <n v="18902.93"/>
    <n v="18044.29"/>
    <n v="0"/>
    <n v="0"/>
    <n v="858.63999999999942"/>
    <n v="0"/>
    <n v="0"/>
    <n v="0"/>
    <n v="18044"/>
    <n v="0"/>
    <n v="0"/>
    <n v="0"/>
    <n v="0"/>
  </r>
  <r>
    <x v="144"/>
    <s v="MUZAFFARGANJ"/>
    <s v="MPG"/>
    <s v="Direct"/>
    <n v="458.6"/>
    <n v="17377.64"/>
    <n v="461.8"/>
    <n v="17523.54"/>
    <n v="0"/>
    <n v="0"/>
    <n v="461.8"/>
    <n v="17523.54"/>
    <n v="17377.64"/>
    <n v="0"/>
    <n v="0"/>
    <n v="145.90000000000146"/>
    <n v="0"/>
    <n v="0"/>
    <n v="0"/>
    <n v="17378"/>
    <n v="0"/>
    <n v="0"/>
    <n v="0"/>
    <n v="0"/>
  </r>
  <r>
    <x v="145"/>
    <s v="SARHA"/>
    <s v="MPG"/>
    <s v="Direct"/>
    <n v="760.9"/>
    <n v="40104.5"/>
    <n v="814.11"/>
    <n v="43368.42"/>
    <n v="0"/>
    <n v="0"/>
    <n v="814.11"/>
    <n v="43368.42"/>
    <n v="40104.5"/>
    <n v="0"/>
    <n v="0"/>
    <n v="3263.9199999999983"/>
    <n v="0"/>
    <n v="0"/>
    <n v="0"/>
    <n v="40104"/>
    <n v="0"/>
    <n v="0"/>
    <n v="1"/>
    <n v="0"/>
  </r>
  <r>
    <x v="146"/>
    <s v="KUSUMBHA"/>
    <s v="MPG"/>
    <s v="Direct"/>
    <n v="541.44999999999993"/>
    <n v="22627.1"/>
    <n v="532.16"/>
    <n v="23345.720000000005"/>
    <n v="0"/>
    <n v="0"/>
    <n v="532.16"/>
    <n v="23345.720000000005"/>
    <n v="22627.1"/>
    <n v="0"/>
    <n v="0"/>
    <n v="718.62000000000626"/>
    <n v="0"/>
    <n v="0"/>
    <n v="0"/>
    <n v="22627"/>
    <n v="0"/>
    <n v="0"/>
    <n v="0"/>
    <n v="0"/>
  </r>
  <r>
    <x v="147"/>
    <s v="MANO"/>
    <s v="vlc"/>
    <s v="Indirect"/>
    <n v="1252.5999999999999"/>
    <n v="52026.999999999993"/>
    <n v="0"/>
    <n v="0"/>
    <n v="0"/>
    <n v="0"/>
    <n v="0"/>
    <n v="0"/>
    <n v="52026.999999999993"/>
    <n v="0"/>
    <n v="0"/>
    <n v="0"/>
    <n v="0"/>
    <n v="0"/>
    <n v="0"/>
    <n v="0"/>
    <n v="0"/>
    <n v="52026.999999999993"/>
    <n v="0"/>
    <n v="0"/>
  </r>
  <r>
    <x v="148"/>
    <s v="PURANI SALEMPUR"/>
    <s v="vlc"/>
    <s v="Indirect"/>
    <n v="1918.2"/>
    <n v="77201.69"/>
    <n v="0"/>
    <n v="0"/>
    <n v="0"/>
    <n v="0"/>
    <n v="0"/>
    <n v="0"/>
    <n v="77201.69"/>
    <n v="0"/>
    <n v="0"/>
    <n v="0"/>
    <n v="0"/>
    <n v="0"/>
    <n v="0"/>
    <n v="0"/>
    <n v="0"/>
    <n v="77201.69"/>
    <n v="0"/>
    <n v="0"/>
  </r>
  <r>
    <x v="149"/>
    <s v="DHANDHHA"/>
    <s v="vlc"/>
    <s v="Indirect"/>
    <n v="2710.2000000000007"/>
    <n v="108295.19000000002"/>
    <n v="0"/>
    <n v="0"/>
    <n v="0"/>
    <n v="0"/>
    <n v="0"/>
    <n v="0"/>
    <n v="108295.19000000002"/>
    <n v="0"/>
    <n v="0"/>
    <n v="0"/>
    <n v="0"/>
    <n v="0"/>
    <n v="0"/>
    <n v="0"/>
    <n v="0"/>
    <n v="108295.19000000002"/>
    <n v="0"/>
    <n v="0"/>
  </r>
  <r>
    <x v="150"/>
    <s v="CHALISH"/>
    <s v="vlc"/>
    <s v="Indirect"/>
    <n v="866.6"/>
    <n v="36134.079999999994"/>
    <n v="0"/>
    <n v="0"/>
    <n v="0"/>
    <n v="0"/>
    <n v="0"/>
    <n v="0"/>
    <n v="36134.079999999994"/>
    <n v="0"/>
    <n v="0"/>
    <n v="0"/>
    <n v="0"/>
    <n v="0"/>
    <n v="0"/>
    <n v="0"/>
    <n v="0"/>
    <n v="36134.079999999994"/>
    <n v="0"/>
    <n v="0"/>
  </r>
  <r>
    <x v="151"/>
    <s v="MAA BHAGWATI"/>
    <s v="vlc"/>
    <s v="Indirect"/>
    <n v="712.10000000000014"/>
    <n v="26352.18"/>
    <n v="0"/>
    <n v="0"/>
    <n v="0"/>
    <n v="0"/>
    <n v="0"/>
    <n v="0"/>
    <n v="26352.18"/>
    <n v="0"/>
    <n v="0"/>
    <n v="0"/>
    <n v="0"/>
    <n v="0"/>
    <n v="0"/>
    <n v="0"/>
    <n v="0"/>
    <n v="26352.18"/>
    <n v="0"/>
    <n v="0"/>
  </r>
  <r>
    <x v="152"/>
    <s v="MAIDINICHOKI"/>
    <s v="vlc"/>
    <s v="Indirect"/>
    <n v="399.70000000000005"/>
    <n v="16128.550000000001"/>
    <n v="0"/>
    <n v="0"/>
    <n v="0"/>
    <n v="0"/>
    <n v="0"/>
    <n v="0"/>
    <n v="16128.550000000001"/>
    <n v="0"/>
    <n v="0"/>
    <n v="0"/>
    <n v="0"/>
    <n v="0"/>
    <n v="0"/>
    <n v="0"/>
    <n v="0"/>
    <n v="16128.550000000001"/>
    <n v="0"/>
    <n v="0"/>
  </r>
  <r>
    <x v="153"/>
    <s v="GOMUKH JAJWARA"/>
    <s v="vlc"/>
    <s v="Indirect"/>
    <n v="1450.8"/>
    <n v="63595.310000000012"/>
    <n v="0"/>
    <n v="0"/>
    <n v="0"/>
    <n v="0"/>
    <n v="0"/>
    <n v="0"/>
    <n v="63595.310000000012"/>
    <n v="0"/>
    <n v="0"/>
    <n v="0"/>
    <n v="24000"/>
    <n v="0"/>
    <n v="0"/>
    <n v="0"/>
    <n v="0"/>
    <n v="39595.310000000012"/>
    <n v="0"/>
    <n v="0"/>
  </r>
  <r>
    <x v="154"/>
    <s v="Gomukh ID Sonvarsha"/>
    <s v="vlc"/>
    <s v="Indirect"/>
    <n v="2086.0000000000005"/>
    <n v="88981.950000000012"/>
    <n v="0"/>
    <n v="0"/>
    <n v="0"/>
    <n v="0"/>
    <n v="0"/>
    <n v="0"/>
    <n v="88981.950000000012"/>
    <n v="0"/>
    <n v="0"/>
    <n v="0"/>
    <n v="0"/>
    <n v="0"/>
    <n v="0"/>
    <n v="0"/>
    <n v="0"/>
    <n v="88981.950000000012"/>
    <n v="0"/>
    <n v="0"/>
  </r>
  <r>
    <x v="155"/>
    <s v="BALHAPUR"/>
    <s v="MPG"/>
    <s v="Direct"/>
    <n v="564.5"/>
    <n v="28156.95"/>
    <n v="557.7299999999999"/>
    <n v="27749.01"/>
    <n v="10.74"/>
    <n v="508.94999999999993"/>
    <n v="568.46999999999991"/>
    <n v="28257.96"/>
    <n v="28156.95"/>
    <n v="0"/>
    <n v="508.94999999999993"/>
    <n v="101.0099999999984"/>
    <n v="0"/>
    <n v="0"/>
    <n v="0"/>
    <n v="27648"/>
    <n v="0"/>
    <n v="0"/>
    <n v="0"/>
    <n v="0"/>
  </r>
  <r>
    <x v="156"/>
    <s v="Gomukh ID Husaina"/>
    <s v="vlc"/>
    <s v="Indirect"/>
    <n v="34.700000000000003"/>
    <n v="1205.83"/>
    <n v="0"/>
    <n v="0"/>
    <n v="0"/>
    <n v="0"/>
    <n v="0"/>
    <n v="0"/>
    <n v="1205.83"/>
    <n v="0"/>
    <n v="0"/>
    <n v="0"/>
    <n v="0"/>
    <n v="0"/>
    <n v="0"/>
    <n v="0"/>
    <n v="0"/>
    <n v="1205.83"/>
    <n v="0"/>
    <n v="0"/>
  </r>
  <r>
    <x v="157"/>
    <s v="Gomukh ID Prarotol"/>
    <s v="vlc"/>
    <s v="Indirect"/>
    <n v="132.29999999999998"/>
    <n v="5893.1900000000005"/>
    <n v="0"/>
    <n v="0"/>
    <n v="0"/>
    <n v="0"/>
    <n v="0"/>
    <n v="0"/>
    <n v="5893.1900000000005"/>
    <n v="0"/>
    <n v="0"/>
    <n v="0"/>
    <n v="0"/>
    <n v="0"/>
    <n v="0"/>
    <n v="0"/>
    <n v="0"/>
    <n v="5893.1900000000005"/>
    <n v="0"/>
    <n v="0"/>
  </r>
  <r>
    <x v="158"/>
    <s v="MAA SARDE"/>
    <s v="vlc"/>
    <s v="Indirect"/>
    <n v="1112.2"/>
    <n v="41877.49"/>
    <n v="0"/>
    <n v="0"/>
    <n v="0"/>
    <n v="0"/>
    <n v="0"/>
    <n v="0"/>
    <n v="41877.49"/>
    <n v="0"/>
    <n v="0"/>
    <n v="0"/>
    <n v="0"/>
    <n v="0"/>
    <n v="0"/>
    <n v="0"/>
    <n v="0"/>
    <n v="41877.49"/>
    <n v="0"/>
    <n v="0"/>
  </r>
  <r>
    <x v="159"/>
    <s v="PURANI DIH"/>
    <s v="vlc"/>
    <s v="Indirect"/>
    <n v="1930.3000000000002"/>
    <n v="77909.98000000001"/>
    <n v="0"/>
    <n v="0"/>
    <n v="0"/>
    <n v="0"/>
    <n v="0"/>
    <n v="0"/>
    <n v="77909.98000000001"/>
    <n v="0"/>
    <n v="0"/>
    <n v="0"/>
    <n v="20250"/>
    <n v="0"/>
    <n v="0"/>
    <n v="0"/>
    <n v="0"/>
    <n v="57659.98000000001"/>
    <n v="0"/>
    <n v="0"/>
  </r>
  <r>
    <x v="160"/>
    <s v="Farda Ravi Tola"/>
    <s v="MPG"/>
    <s v="Direct"/>
    <n v="769.69999999999993"/>
    <n v="29413.059999999998"/>
    <n v="412.6"/>
    <n v="16367.900000000001"/>
    <n v="338.4"/>
    <n v="13366.279999999999"/>
    <n v="751"/>
    <n v="29734.18"/>
    <n v="29413.059999999998"/>
    <n v="0"/>
    <n v="500.9"/>
    <n v="321.12000000000262"/>
    <n v="28912"/>
    <n v="0"/>
    <n v="0"/>
    <n v="0"/>
    <n v="0"/>
    <n v="0"/>
    <n v="0"/>
    <s v="Release1"/>
  </r>
  <r>
    <x v="161"/>
    <s v="Gomukh Puranidih 2"/>
    <s v="vlc"/>
    <s v="Indirect"/>
    <n v="152.30000000000001"/>
    <n v="6625.35"/>
    <n v="0"/>
    <n v="0"/>
    <n v="0"/>
    <n v="0"/>
    <n v="0"/>
    <n v="0"/>
    <n v="6625.35"/>
    <n v="0"/>
    <n v="0"/>
    <n v="0"/>
    <n v="0"/>
    <n v="0"/>
    <n v="0"/>
    <n v="0"/>
    <n v="0"/>
    <n v="6625.35"/>
    <n v="0"/>
    <n v="0"/>
  </r>
  <r>
    <x v="162"/>
    <s v="Gomukh Arma"/>
    <s v="MPG"/>
    <s v="Direct"/>
    <n v="757.39999999999986"/>
    <n v="40149.710000000006"/>
    <n v="552.79999999999995"/>
    <n v="29811.299999999996"/>
    <n v="207.70000000000002"/>
    <n v="10986.27"/>
    <n v="760.5"/>
    <n v="40797.569999999992"/>
    <n v="40149.710000000006"/>
    <n v="0"/>
    <n v="0"/>
    <n v="647.85999999998603"/>
    <n v="0"/>
    <n v="0"/>
    <n v="0"/>
    <n v="29164"/>
    <n v="10986"/>
    <n v="0"/>
    <n v="0"/>
    <n v="0"/>
  </r>
  <r>
    <x v="163"/>
    <s v="Singhchak"/>
    <s v="MPG"/>
    <s v="Direct"/>
    <n v="1768.3999999999999"/>
    <n v="79784.329999999987"/>
    <n v="1760.14"/>
    <n v="79732.570000000007"/>
    <n v="19.600000000000001"/>
    <n v="880.33"/>
    <n v="1779.74"/>
    <n v="80612.900000000009"/>
    <n v="79784.329999999987"/>
    <n v="0"/>
    <n v="880.33"/>
    <n v="828.57000000002154"/>
    <n v="0"/>
    <n v="0"/>
    <n v="0"/>
    <n v="78904"/>
    <n v="0"/>
    <n v="0"/>
    <n v="0"/>
    <n v="0"/>
  </r>
  <r>
    <x v="164"/>
    <s v="MAHA-LAXMI"/>
    <s v="vlc"/>
    <s v="Indirect"/>
    <n v="396.90000000000003"/>
    <n v="15129.240000000002"/>
    <n v="0"/>
    <n v="0"/>
    <n v="0"/>
    <n v="0"/>
    <n v="0"/>
    <n v="0"/>
    <n v="15129.240000000002"/>
    <n v="0"/>
    <n v="0"/>
    <n v="0"/>
    <n v="0"/>
    <n v="0"/>
    <n v="0"/>
    <n v="0"/>
    <n v="0"/>
    <n v="15129.240000000002"/>
    <n v="0"/>
    <n v="0"/>
  </r>
  <r>
    <x v="165"/>
    <s v="PAWAI"/>
    <s v="MPG"/>
    <s v="Direct"/>
    <n v="2093.5000000000005"/>
    <n v="102597.69"/>
    <n v="1751.64"/>
    <n v="85807.07"/>
    <n v="357.38"/>
    <n v="17243"/>
    <n v="2109.02"/>
    <n v="103050.07"/>
    <n v="102597.69"/>
    <n v="0"/>
    <n v="1065.0100000000002"/>
    <n v="452.38000000000466"/>
    <n v="0"/>
    <n v="0"/>
    <n v="0"/>
    <n v="85355"/>
    <n v="16178"/>
    <n v="0"/>
    <n v="0"/>
    <n v="0"/>
  </r>
  <r>
    <x v="166"/>
    <s v="LAKHOCHAK                                                                                           "/>
    <s v="MPG"/>
    <s v="Direct"/>
    <n v="497"/>
    <n v="20313.7"/>
    <n v="478.22000000000008"/>
    <n v="22261.97"/>
    <n v="0"/>
    <n v="0"/>
    <n v="478.22000000000008"/>
    <n v="22261.97"/>
    <n v="20313.7"/>
    <n v="0"/>
    <n v="0"/>
    <n v="1948.2700000000004"/>
    <n v="0"/>
    <n v="0"/>
    <n v="0"/>
    <n v="20314"/>
    <n v="0"/>
    <n v="0"/>
    <n v="0"/>
    <n v="0"/>
  </r>
  <r>
    <x v="167"/>
    <s v="BATTA RAMPUR                                                                                        "/>
    <s v="MPG"/>
    <s v="Direct"/>
    <n v="3657.0000000000005"/>
    <n v="193574.91999999995"/>
    <n v="3732.2699999999995"/>
    <n v="194550.28999999995"/>
    <n v="35.99"/>
    <n v="2306.85"/>
    <n v="3768.2599999999993"/>
    <n v="196857.13999999996"/>
    <n v="193574.91999999995"/>
    <n v="0"/>
    <n v="2306.85"/>
    <n v="3282.2200000000012"/>
    <n v="15000"/>
    <n v="0"/>
    <n v="0"/>
    <n v="176268"/>
    <n v="0"/>
    <n v="0"/>
    <n v="0"/>
    <n v="0"/>
  </r>
  <r>
    <x v="168"/>
    <s v="URAIN"/>
    <s v="MPG"/>
    <s v="Direct"/>
    <n v="2233.9"/>
    <n v="115135.2"/>
    <n v="768.80000000000007"/>
    <n v="41631.850000000013"/>
    <n v="2084.2599999999998"/>
    <n v="115133.31"/>
    <n v="2853.06"/>
    <n v="156765.16"/>
    <n v="115135.2"/>
    <n v="0"/>
    <n v="51.65"/>
    <n v="41629.960000000006"/>
    <n v="0"/>
    <n v="0"/>
    <n v="0"/>
    <n v="2"/>
    <n v="115082"/>
    <n v="0"/>
    <n v="0"/>
    <n v="0"/>
  </r>
  <r>
    <x v="169"/>
    <s v="RANDHIR KUMAR(VLC)"/>
    <s v="vlc"/>
    <s v="Indirect"/>
    <n v="150.5"/>
    <n v="5962.27"/>
    <n v="0"/>
    <n v="0"/>
    <n v="0"/>
    <n v="0"/>
    <n v="0"/>
    <n v="0"/>
    <n v="5962.27"/>
    <n v="0"/>
    <n v="0"/>
    <n v="0"/>
    <n v="0"/>
    <n v="0"/>
    <n v="0"/>
    <n v="0"/>
    <n v="0"/>
    <n v="5962.27"/>
    <n v="0"/>
    <n v="0"/>
  </r>
  <r>
    <x v="170"/>
    <s v="MALIYA"/>
    <s v="MPG"/>
    <s v="Direct"/>
    <n v="756.3"/>
    <n v="36330.450000000004"/>
    <n v="739.09"/>
    <n v="36368.110000000008"/>
    <n v="8.4"/>
    <n v="467.66"/>
    <n v="747.49"/>
    <n v="36835.770000000011"/>
    <n v="36330.450000000004"/>
    <n v="0"/>
    <n v="467.66"/>
    <n v="505.32000000000698"/>
    <n v="0"/>
    <n v="0"/>
    <n v="0"/>
    <n v="35863"/>
    <n v="0"/>
    <n v="0"/>
    <n v="0"/>
    <n v="0"/>
  </r>
  <r>
    <x v="171"/>
    <s v="MAHULIYA"/>
    <s v="MPG"/>
    <s v="Direct"/>
    <n v="878.5"/>
    <n v="40986.890000000007"/>
    <n v="887.5100000000001"/>
    <n v="40861.310000000012"/>
    <n v="10.85"/>
    <n v="487.9"/>
    <n v="898.36000000000013"/>
    <n v="41349.210000000014"/>
    <n v="40986.890000000007"/>
    <n v="0"/>
    <n v="487.9"/>
    <n v="362.32000000000698"/>
    <n v="0"/>
    <n v="0"/>
    <n v="0"/>
    <n v="40499"/>
    <n v="0"/>
    <n v="0"/>
    <n v="0"/>
    <n v="0"/>
  </r>
  <r>
    <x v="172"/>
    <s v="ABGIL RAMPUR"/>
    <s v="vlc"/>
    <s v="Indirect"/>
    <n v="98.6"/>
    <n v="3482.3"/>
    <n v="0"/>
    <n v="0"/>
    <n v="0"/>
    <n v="0"/>
    <n v="0"/>
    <n v="0"/>
    <n v="3482.3"/>
    <n v="0"/>
    <n v="0"/>
    <n v="0"/>
    <n v="0"/>
    <n v="0"/>
    <n v="0"/>
    <n v="0"/>
    <n v="0"/>
    <n v="3482.3"/>
    <n v="0"/>
    <n v="0"/>
  </r>
  <r>
    <x v="173"/>
    <s v="RUPESH KUMAR"/>
    <s v="vlc"/>
    <s v="Indirect"/>
    <n v="47.7"/>
    <n v="1766.27"/>
    <n v="0"/>
    <n v="0"/>
    <n v="0"/>
    <n v="0"/>
    <n v="0"/>
    <n v="0"/>
    <n v="1766.27"/>
    <n v="0"/>
    <n v="0"/>
    <n v="0"/>
    <n v="0"/>
    <n v="0"/>
    <n v="0"/>
    <n v="0"/>
    <n v="0"/>
    <n v="1766.27"/>
    <n v="0"/>
    <n v="0"/>
  </r>
  <r>
    <x v="174"/>
    <s v="ABGIL HUSSAINA-2                                                                                    "/>
    <s v="MPG"/>
    <s v="Direct"/>
    <n v="477.6"/>
    <n v="19128.93"/>
    <n v="301.93"/>
    <n v="12322.92"/>
    <n v="166.31"/>
    <n v="6931.55"/>
    <n v="468.24"/>
    <n v="19254.47"/>
    <n v="19128.93"/>
    <n v="0"/>
    <n v="149.66999999999999"/>
    <n v="125.54000000000087"/>
    <n v="0"/>
    <n v="0"/>
    <n v="0"/>
    <n v="12197"/>
    <n v="6782"/>
    <n v="0"/>
    <n v="0"/>
    <n v="0"/>
  </r>
  <r>
    <x v="175"/>
    <s v="Manish Kumar                                                                                        "/>
    <s v="vlc"/>
    <s v="Indirect"/>
    <n v="161.60000000000002"/>
    <n v="5910.23"/>
    <n v="0"/>
    <n v="0"/>
    <n v="0"/>
    <n v="0"/>
    <n v="0"/>
    <n v="0"/>
    <n v="5910.23"/>
    <n v="0"/>
    <n v="0"/>
    <n v="0"/>
    <n v="0"/>
    <n v="0"/>
    <n v="0"/>
    <n v="0"/>
    <n v="0"/>
    <n v="5910.23"/>
    <n v="0"/>
    <n v="0"/>
  </r>
  <r>
    <x v="176"/>
    <s v="AKHA-KURHA"/>
    <s v="vlc"/>
    <s v="Indirect"/>
    <n v="348.59999999999997"/>
    <n v="14725.539999999999"/>
    <n v="0"/>
    <n v="0"/>
    <n v="0"/>
    <n v="0"/>
    <n v="0"/>
    <n v="0"/>
    <n v="14725.539999999999"/>
    <n v="0"/>
    <n v="0"/>
    <n v="0"/>
    <n v="0"/>
    <n v="0"/>
    <n v="0"/>
    <n v="0"/>
    <n v="0"/>
    <n v="14725.539999999999"/>
    <n v="0"/>
    <n v="0"/>
  </r>
  <r>
    <x v="177"/>
    <s v="BHANDAR"/>
    <s v="MPG"/>
    <s v="Direct"/>
    <n v="277"/>
    <n v="12980.53"/>
    <n v="277"/>
    <n v="12965.98"/>
    <n v="0"/>
    <n v="0"/>
    <n v="277"/>
    <n v="12965.98"/>
    <n v="12965.98"/>
    <n v="0"/>
    <n v="0"/>
    <n v="0"/>
    <n v="0"/>
    <n v="0"/>
    <n v="0"/>
    <n v="12966"/>
    <n v="0"/>
    <n v="0"/>
    <n v="15"/>
    <n v="0"/>
  </r>
  <r>
    <x v="178"/>
    <s v="BASMATIYA"/>
    <s v="MPG"/>
    <s v="Direct"/>
    <n v="347.01000000000005"/>
    <n v="15744.250000000004"/>
    <n v="335.21999999999997"/>
    <n v="15760.18"/>
    <n v="6.1300000000000008"/>
    <n v="279.24000000000007"/>
    <n v="341.34999999999997"/>
    <n v="16039.42"/>
    <n v="15744.250000000004"/>
    <n v="0"/>
    <n v="279.24000000000007"/>
    <n v="295.16999999999643"/>
    <n v="3000"/>
    <n v="0"/>
    <n v="0"/>
    <n v="12465"/>
    <n v="0"/>
    <n v="0"/>
    <n v="0"/>
    <s v="Release1"/>
  </r>
  <r>
    <x v="179"/>
    <s v="AKHA KURHA"/>
    <s v="MPG"/>
    <s v="Direct"/>
    <n v="368.3"/>
    <n v="15144.220000000001"/>
    <n v="367.6"/>
    <n v="15198.76"/>
    <n v="0"/>
    <n v="0"/>
    <n v="367.6"/>
    <n v="15198.76"/>
    <n v="15144.220000000001"/>
    <n v="0"/>
    <n v="0"/>
    <n v="54.539999999999054"/>
    <n v="0"/>
    <n v="0"/>
    <n v="0"/>
    <n v="15144"/>
    <n v="0"/>
    <n v="0"/>
    <n v="0"/>
    <n v="0"/>
  </r>
  <r>
    <x v="180"/>
    <s v="TILATHI"/>
    <s v="MPG"/>
    <s v="Direct"/>
    <n v="1484.9999999999995"/>
    <n v="63612.890000000021"/>
    <n v="1343.12"/>
    <n v="54917.369999999995"/>
    <n v="187.44"/>
    <n v="8765.5800000000017"/>
    <n v="1530.56"/>
    <n v="63682.95"/>
    <n v="63612.890000000021"/>
    <n v="0"/>
    <n v="818.26"/>
    <n v="70.059999999975844"/>
    <n v="0"/>
    <n v="0"/>
    <n v="0"/>
    <n v="54848"/>
    <n v="7947"/>
    <n v="0"/>
    <n v="0"/>
    <n v="0"/>
  </r>
  <r>
    <x v="181"/>
    <s v="GOMUKH WESTOL"/>
    <s v="vlc"/>
    <s v="Indirect"/>
    <n v="249"/>
    <n v="9924.16"/>
    <n v="0"/>
    <n v="0"/>
    <n v="0"/>
    <n v="0"/>
    <n v="0"/>
    <n v="0"/>
    <n v="9924.16"/>
    <n v="0"/>
    <n v="0"/>
    <n v="0"/>
    <n v="0"/>
    <n v="0"/>
    <n v="0"/>
    <n v="0"/>
    <n v="0"/>
    <n v="9924.16"/>
    <n v="0"/>
    <n v="0"/>
  </r>
  <r>
    <x v="182"/>
    <s v="GOMUKH NAWTOLIYA(OM PRAKASH)"/>
    <s v="vlc"/>
    <s v="Indirect"/>
    <n v="518.80000000000007"/>
    <n v="17305.009999999998"/>
    <n v="0"/>
    <n v="0"/>
    <n v="0"/>
    <n v="0"/>
    <n v="0"/>
    <n v="0"/>
    <n v="17305.009999999998"/>
    <n v="0"/>
    <n v="0"/>
    <n v="0"/>
    <n v="0"/>
    <n v="0"/>
    <n v="0"/>
    <n v="0"/>
    <n v="0"/>
    <n v="17305.009999999998"/>
    <n v="0"/>
    <n v="0"/>
  </r>
  <r>
    <x v="183"/>
    <s v="SANGRAMPUR"/>
    <s v="MPG"/>
    <s v="Direct"/>
    <n v="684.09999999999991"/>
    <n v="34045.43"/>
    <n v="684.1"/>
    <n v="34045.43"/>
    <n v="0"/>
    <n v="0"/>
    <n v="684.1"/>
    <n v="34045.43"/>
    <n v="34045.43"/>
    <n v="0"/>
    <n v="0"/>
    <n v="0"/>
    <n v="0"/>
    <n v="0"/>
    <n v="0"/>
    <n v="34045"/>
    <n v="0"/>
    <n v="0"/>
    <n v="0"/>
    <n v="0"/>
  </r>
  <r>
    <x v="184"/>
    <s v="GOMUKH CHASMASKAN"/>
    <s v="vlc"/>
    <s v="Indirect"/>
    <n v="30.2"/>
    <n v="1297.43"/>
    <n v="0"/>
    <n v="0"/>
    <n v="0"/>
    <n v="0"/>
    <n v="0"/>
    <n v="0"/>
    <n v="1297.43"/>
    <n v="0"/>
    <n v="0"/>
    <n v="0"/>
    <n v="0"/>
    <n v="0"/>
    <n v="0"/>
    <n v="0"/>
    <n v="0"/>
    <n v="1297.43"/>
    <n v="0"/>
    <n v="0"/>
  </r>
  <r>
    <x v="185"/>
    <s v="RAMDEV TOLA"/>
    <s v="MPG"/>
    <s v="Direct"/>
    <n v="1291.3999999999999"/>
    <n v="57091.360000000001"/>
    <n v="576.73"/>
    <n v="27280.2"/>
    <n v="717.31"/>
    <n v="29769.05"/>
    <n v="1294.04"/>
    <n v="57049.25"/>
    <n v="57049.25"/>
    <n v="0"/>
    <n v="406.01"/>
    <n v="0"/>
    <n v="0"/>
    <n v="0"/>
    <n v="0"/>
    <n v="27280"/>
    <n v="29363"/>
    <n v="0"/>
    <n v="42"/>
    <n v="0"/>
  </r>
  <r>
    <x v="186"/>
    <s v="GOMUKH KATEHAR"/>
    <s v="vlc"/>
    <s v="Indirect"/>
    <n v="1669"/>
    <n v="61182.19"/>
    <n v="0"/>
    <n v="0"/>
    <n v="0"/>
    <n v="0"/>
    <n v="0"/>
    <n v="0"/>
    <n v="61182.19"/>
    <n v="0"/>
    <n v="0"/>
    <n v="0"/>
    <n v="0"/>
    <n v="0"/>
    <n v="0"/>
    <n v="0"/>
    <n v="0"/>
    <n v="61182.19"/>
    <n v="0"/>
    <n v="0"/>
  </r>
  <r>
    <x v="187"/>
    <s v="PIPARPATI"/>
    <s v="MPG"/>
    <s v="Direct"/>
    <n v="656"/>
    <n v="32486.400000000001"/>
    <n v="647.4"/>
    <n v="33851.859999999993"/>
    <n v="36.729999999999997"/>
    <n v="1598.3899999999999"/>
    <n v="684.13"/>
    <n v="35450.249999999993"/>
    <n v="32486.400000000001"/>
    <n v="0"/>
    <n v="1598.3899999999999"/>
    <n v="2963.8499999999913"/>
    <n v="0"/>
    <n v="0"/>
    <n v="0"/>
    <n v="30888"/>
    <n v="0"/>
    <n v="0"/>
    <n v="0"/>
    <n v="0"/>
  </r>
  <r>
    <x v="188"/>
    <s v="GOMUKH JAGMAGLA"/>
    <s v="vlc"/>
    <s v="Indirect"/>
    <n v="938.3"/>
    <n v="37824.269999999997"/>
    <n v="0"/>
    <n v="0"/>
    <n v="0"/>
    <n v="0"/>
    <n v="0"/>
    <n v="0"/>
    <n v="37824.269999999997"/>
    <n v="0"/>
    <n v="0"/>
    <n v="0"/>
    <n v="0"/>
    <n v="0"/>
    <n v="0"/>
    <n v="0"/>
    <n v="0"/>
    <n v="37824.269999999997"/>
    <n v="0"/>
    <n v="0"/>
  </r>
  <r>
    <x v="189"/>
    <s v="ORABAGICHA"/>
    <s v="MPG"/>
    <s v="Direct"/>
    <n v="485.20000000000005"/>
    <n v="20343.490000000002"/>
    <n v="434.39999999999992"/>
    <n v="17935.669999999998"/>
    <n v="45.400000000000006"/>
    <n v="1901.07"/>
    <n v="479.79999999999995"/>
    <n v="19836.739999999998"/>
    <n v="19836.739999999998"/>
    <n v="0"/>
    <n v="112.69"/>
    <n v="0"/>
    <n v="6750"/>
    <n v="500"/>
    <n v="0"/>
    <n v="10686"/>
    <n v="1788"/>
    <n v="0"/>
    <n v="507"/>
    <s v="Release1"/>
  </r>
  <r>
    <x v="190"/>
    <s v="KHAJURIYA"/>
    <s v="MPG"/>
    <s v="Direct"/>
    <n v="403"/>
    <n v="17622.100000000002"/>
    <n v="377.46000000000004"/>
    <n v="21374.22"/>
    <n v="0"/>
    <n v="0"/>
    <n v="377.46000000000004"/>
    <n v="21374.22"/>
    <n v="17622.100000000002"/>
    <n v="0"/>
    <n v="0"/>
    <n v="3752.119999999999"/>
    <n v="0"/>
    <n v="0"/>
    <n v="0"/>
    <n v="17622"/>
    <n v="0"/>
    <n v="0"/>
    <n v="0"/>
    <s v="Release3"/>
  </r>
  <r>
    <x v="191"/>
    <s v="NAYA SALEMPUR"/>
    <s v="vlc"/>
    <s v="Indirect"/>
    <n v="894.5"/>
    <n v="35846.100000000006"/>
    <n v="0"/>
    <n v="0"/>
    <n v="0"/>
    <n v="0"/>
    <n v="0"/>
    <n v="0"/>
    <n v="35846.100000000006"/>
    <n v="0"/>
    <n v="0"/>
    <n v="0"/>
    <n v="0"/>
    <n v="0"/>
    <n v="0"/>
    <n v="0"/>
    <n v="0"/>
    <n v="35846.100000000006"/>
    <n v="0"/>
    <n v="0"/>
  </r>
  <r>
    <x v="192"/>
    <s v="MANO 2"/>
    <s v="MPG"/>
    <s v="Direct"/>
    <n v="256.2"/>
    <n v="11375.87"/>
    <n v="258.59999999999997"/>
    <n v="11389.08"/>
    <n v="0"/>
    <n v="0"/>
    <n v="258.59999999999997"/>
    <n v="11389.08"/>
    <n v="11375.87"/>
    <n v="0"/>
    <n v="0"/>
    <n v="13.209999999999127"/>
    <n v="0"/>
    <n v="0"/>
    <n v="0"/>
    <n v="11376"/>
    <n v="0"/>
    <n v="0"/>
    <n v="0"/>
    <n v="0"/>
  </r>
  <r>
    <x v="193"/>
    <s v="Champanagar"/>
    <s v="MPG"/>
    <s v="Direct"/>
    <n v="547.6"/>
    <n v="28908.710000000006"/>
    <n v="590.78000000000009"/>
    <n v="31580.640000000003"/>
    <n v="0"/>
    <n v="0"/>
    <n v="590.78000000000009"/>
    <n v="31580.640000000003"/>
    <n v="28908.710000000006"/>
    <n v="0"/>
    <n v="0"/>
    <n v="2671.9299999999967"/>
    <n v="0"/>
    <n v="500"/>
    <n v="0"/>
    <n v="28409"/>
    <n v="0"/>
    <n v="0"/>
    <n v="0"/>
    <n v="0"/>
  </r>
  <r>
    <x v="194"/>
    <s v="LOSDHANI"/>
    <s v="MPG"/>
    <s v="Direct"/>
    <n v="130"/>
    <n v="4787.9600000000009"/>
    <n v="129.30000000000001"/>
    <n v="4822.53"/>
    <n v="0.79999999999999993"/>
    <n v="30.05"/>
    <n v="130.10000000000002"/>
    <n v="4852.58"/>
    <n v="4787.9600000000009"/>
    <n v="0"/>
    <n v="30.05"/>
    <n v="64.619999999998981"/>
    <n v="0"/>
    <n v="0"/>
    <n v="0"/>
    <n v="4758"/>
    <n v="0"/>
    <n v="0"/>
    <n v="0"/>
    <n v="0"/>
  </r>
  <r>
    <x v="195"/>
    <s v="GOMUKH BAGALWA"/>
    <s v="MPG"/>
    <s v="Direct"/>
    <n v="236"/>
    <n v="14260.779999999999"/>
    <n v="0"/>
    <n v="0"/>
    <n v="224.16"/>
    <n v="14269.630000000001"/>
    <n v="224.16"/>
    <n v="14269.630000000001"/>
    <n v="14260.779999999999"/>
    <n v="0"/>
    <n v="0"/>
    <n v="8.8500000000021828"/>
    <n v="0"/>
    <n v="0"/>
    <n v="0"/>
    <n v="0"/>
    <n v="14261"/>
    <n v="0"/>
    <n v="0"/>
    <s v="Release3"/>
  </r>
  <r>
    <x v="196"/>
    <s v="GOMUKH BHITAKITA"/>
    <s v="vlc"/>
    <s v="Indirect"/>
    <n v="84"/>
    <n v="2842.9399999999996"/>
    <n v="0"/>
    <n v="0"/>
    <n v="0"/>
    <n v="0"/>
    <n v="0"/>
    <n v="0"/>
    <n v="2842.9399999999996"/>
    <n v="0"/>
    <n v="0"/>
    <n v="0"/>
    <n v="0"/>
    <n v="0"/>
    <n v="0"/>
    <n v="0"/>
    <n v="0"/>
    <n v="2842.9399999999996"/>
    <n v="0"/>
    <n v="0"/>
  </r>
  <r>
    <x v="197"/>
    <s v="GOMUKH OJONTOLA"/>
    <s v="vlc"/>
    <s v="Indirect"/>
    <n v="129.69999999999999"/>
    <n v="5281.81"/>
    <n v="0"/>
    <n v="0"/>
    <n v="0"/>
    <n v="0"/>
    <n v="0"/>
    <n v="0"/>
    <n v="5281.81"/>
    <n v="0"/>
    <n v="0"/>
    <n v="0"/>
    <n v="0"/>
    <n v="0"/>
    <n v="0"/>
    <n v="0"/>
    <n v="0"/>
    <n v="5281.81"/>
    <n v="0"/>
    <n v="0"/>
  </r>
  <r>
    <x v="198"/>
    <s v="KHUDDIBAN SHIVNAGAR"/>
    <s v="MPG"/>
    <s v="Direct"/>
    <n v="1215.8"/>
    <n v="43182.189999999995"/>
    <n v="424.5"/>
    <n v="15073.72"/>
    <n v="809.5"/>
    <n v="29417.549999999996"/>
    <n v="1234"/>
    <n v="44491.27"/>
    <n v="43182.189999999995"/>
    <n v="0"/>
    <n v="0"/>
    <n v="1309.0800000000017"/>
    <n v="0"/>
    <n v="0"/>
    <n v="0"/>
    <n v="13765"/>
    <n v="29417"/>
    <n v="0"/>
    <n v="0"/>
    <n v="0"/>
  </r>
  <r>
    <x v="199"/>
    <s v="BARIYARPUR"/>
    <s v="MPG"/>
    <s v="Direct"/>
    <n v="567.4"/>
    <n v="24258.089999999993"/>
    <n v="382.30000000000007"/>
    <n v="16496.64"/>
    <n v="185.49999999999997"/>
    <n v="7911.7000000000007"/>
    <n v="567.80000000000007"/>
    <n v="24408.34"/>
    <n v="24258.089999999993"/>
    <n v="0"/>
    <n v="152.44999999999999"/>
    <n v="150.25000000000728"/>
    <n v="0"/>
    <n v="0"/>
    <n v="0"/>
    <n v="16347"/>
    <n v="7759"/>
    <n v="0"/>
    <n v="0"/>
    <n v="0"/>
  </r>
  <r>
    <x v="200"/>
    <s v="MASUDAN"/>
    <s v="MPG"/>
    <s v="Direct"/>
    <n v="1835.3000000000002"/>
    <n v="82624.469999999987"/>
    <n v="1398.7200000000007"/>
    <n v="65801.08"/>
    <n v="504.96999999999997"/>
    <n v="25369.9"/>
    <n v="1903.6900000000007"/>
    <n v="91170.98000000001"/>
    <n v="82624.469999999987"/>
    <n v="0"/>
    <n v="0"/>
    <n v="8546.5100000000239"/>
    <n v="0"/>
    <n v="0"/>
    <n v="0"/>
    <n v="57255"/>
    <n v="25369"/>
    <n v="0"/>
    <n v="0"/>
    <n v="0"/>
  </r>
  <r>
    <x v="201"/>
    <s v="GOMUKH BOHLA"/>
    <s v="vlc"/>
    <s v="Indirect"/>
    <n v="118.2"/>
    <n v="4337.76"/>
    <n v="0"/>
    <n v="0"/>
    <n v="0"/>
    <n v="0"/>
    <n v="0"/>
    <n v="0"/>
    <n v="4337.76"/>
    <n v="0"/>
    <n v="0"/>
    <n v="0"/>
    <n v="0"/>
    <n v="0"/>
    <n v="0"/>
    <n v="0"/>
    <n v="0"/>
    <n v="4337.76"/>
    <n v="0"/>
    <n v="0"/>
  </r>
  <r>
    <x v="202"/>
    <s v="GOMUKH RAMPUR"/>
    <s v="vlc"/>
    <s v="Indirect"/>
    <n v="470.2"/>
    <n v="17016.27"/>
    <n v="0"/>
    <n v="0"/>
    <n v="0"/>
    <n v="0"/>
    <n v="0"/>
    <n v="0"/>
    <n v="17016.27"/>
    <n v="0"/>
    <n v="0"/>
    <n v="0"/>
    <n v="0"/>
    <n v="0"/>
    <n v="0"/>
    <n v="0"/>
    <n v="0"/>
    <n v="17016.27"/>
    <n v="0"/>
    <n v="0"/>
  </r>
  <r>
    <x v="203"/>
    <s v="Gomukh ID Araria"/>
    <s v="vlc"/>
    <s v="Indirect"/>
    <n v="4373.0999999999995"/>
    <n v="169899.28999999998"/>
    <n v="0"/>
    <n v="0"/>
    <n v="0"/>
    <n v="0"/>
    <n v="0"/>
    <n v="0"/>
    <n v="169899.28999999998"/>
    <n v="0"/>
    <n v="0"/>
    <n v="0"/>
    <n v="0"/>
    <n v="0"/>
    <n v="0"/>
    <n v="0"/>
    <n v="0"/>
    <n v="169899.28999999998"/>
    <n v="0"/>
    <n v="0"/>
  </r>
  <r>
    <x v="204"/>
    <s v="Gomukh ID Chaidha"/>
    <s v="vlc"/>
    <s v="Indirect"/>
    <n v="1053.7"/>
    <n v="36392.810000000005"/>
    <n v="0"/>
    <n v="0"/>
    <n v="0"/>
    <n v="0"/>
    <n v="0"/>
    <n v="0"/>
    <n v="36392.810000000005"/>
    <n v="0"/>
    <n v="0"/>
    <n v="0"/>
    <n v="0"/>
    <n v="0"/>
    <n v="0"/>
    <n v="0"/>
    <n v="0"/>
    <n v="36392.810000000005"/>
    <n v="0"/>
    <n v="0"/>
  </r>
  <r>
    <x v="205"/>
    <s v="Gomukh ID Pakrail"/>
    <s v="vlc"/>
    <s v="Indirect"/>
    <n v="154.70000000000002"/>
    <n v="5283.7800000000007"/>
    <n v="0"/>
    <n v="0"/>
    <n v="0"/>
    <n v="0"/>
    <n v="0"/>
    <n v="0"/>
    <n v="5283.7800000000007"/>
    <n v="0"/>
    <n v="0"/>
    <n v="0"/>
    <n v="0"/>
    <n v="0"/>
    <n v="0"/>
    <n v="0"/>
    <n v="0"/>
    <n v="5283.7800000000007"/>
    <n v="0"/>
    <n v="0"/>
  </r>
  <r>
    <x v="206"/>
    <s v="Gomukh ID Pipra"/>
    <s v="vlc"/>
    <s v="Indirect"/>
    <n v="598.4"/>
    <n v="21506.899999999994"/>
    <n v="0"/>
    <n v="0"/>
    <n v="0"/>
    <n v="0"/>
    <n v="0"/>
    <n v="0"/>
    <n v="21506.899999999994"/>
    <n v="0"/>
    <n v="0"/>
    <n v="0"/>
    <n v="0"/>
    <n v="0"/>
    <n v="0"/>
    <n v="0"/>
    <n v="0"/>
    <n v="21506.899999999994"/>
    <n v="0"/>
    <n v="0"/>
  </r>
  <r>
    <x v="207"/>
    <s v="Gomukh Fatepur                                                                                      "/>
    <s v="MPG"/>
    <s v="Direct"/>
    <n v="235"/>
    <n v="9527.3100000000013"/>
    <n v="212.4"/>
    <n v="8281.9699999999993"/>
    <n v="25.84"/>
    <n v="1038.7900000000002"/>
    <n v="238.24"/>
    <n v="9320.76"/>
    <n v="9320.76"/>
    <n v="0"/>
    <n v="118.08999999999999"/>
    <n v="0"/>
    <n v="0"/>
    <n v="0"/>
    <n v="0"/>
    <n v="8283"/>
    <n v="921"/>
    <n v="0"/>
    <n v="205"/>
    <n v="0"/>
  </r>
  <r>
    <x v="208"/>
    <s v="Gomukh Gauchhari"/>
    <s v="MPG"/>
    <s v="Direct"/>
    <n v="207.89999999999995"/>
    <n v="8583.4600000000009"/>
    <n v="207.21999999999997"/>
    <n v="8584.43"/>
    <n v="1.5100000000000002"/>
    <n v="63.190000000000005"/>
    <n v="208.72999999999996"/>
    <n v="8647.6200000000008"/>
    <n v="8583.4600000000009"/>
    <n v="0"/>
    <n v="63.190000000000005"/>
    <n v="64.159999999999854"/>
    <n v="0"/>
    <n v="0"/>
    <n v="0"/>
    <n v="8520"/>
    <n v="0"/>
    <n v="0"/>
    <n v="0"/>
    <s v="Release4"/>
  </r>
  <r>
    <x v="209"/>
    <s v="Gomukh Arariya Karjaniya"/>
    <s v="vlc"/>
    <s v="Indirect"/>
    <n v="12147.100000000002"/>
    <n v="475219.13999999996"/>
    <n v="0"/>
    <n v="0"/>
    <n v="0"/>
    <n v="0"/>
    <n v="0"/>
    <n v="0"/>
    <n v="475219.13999999996"/>
    <n v="0"/>
    <n v="0"/>
    <n v="0"/>
    <n v="0"/>
    <n v="0"/>
    <n v="0"/>
    <n v="0"/>
    <n v="0"/>
    <n v="475219.13999999996"/>
    <n v="0"/>
    <n v="0"/>
  </r>
  <r>
    <x v="210"/>
    <s v="Gomukh Aariya Dummer Kothi"/>
    <s v="vlc"/>
    <s v="Indirect"/>
    <n v="7447.2"/>
    <n v="291131.88"/>
    <n v="0"/>
    <n v="0"/>
    <n v="0"/>
    <n v="0"/>
    <n v="0"/>
    <n v="0"/>
    <n v="291131.88"/>
    <n v="0"/>
    <n v="0"/>
    <n v="0"/>
    <n v="0"/>
    <n v="0"/>
    <n v="0"/>
    <n v="0"/>
    <n v="0"/>
    <n v="291131.88"/>
    <n v="0"/>
    <n v="0"/>
  </r>
  <r>
    <x v="211"/>
    <s v="Gomukh Balha"/>
    <s v="vlc"/>
    <s v="Indirect"/>
    <n v="5148.7"/>
    <n v="197869.03999999998"/>
    <n v="0"/>
    <n v="0"/>
    <n v="0"/>
    <n v="0"/>
    <n v="0"/>
    <n v="0"/>
    <n v="197869.03999999998"/>
    <n v="0"/>
    <n v="0"/>
    <n v="0"/>
    <n v="0"/>
    <n v="0"/>
    <n v="0"/>
    <n v="0"/>
    <n v="0"/>
    <n v="197869.03999999998"/>
    <n v="0"/>
    <n v="0"/>
  </r>
  <r>
    <x v="212"/>
    <s v="Haripur - Sanjay"/>
    <s v="vlc"/>
    <s v="Indirect"/>
    <n v="751.9"/>
    <n v="29119.21"/>
    <n v="0"/>
    <n v="0"/>
    <n v="0"/>
    <n v="0"/>
    <n v="0"/>
    <n v="0"/>
    <n v="29119.21"/>
    <n v="0"/>
    <n v="0"/>
    <n v="0"/>
    <n v="0"/>
    <n v="0"/>
    <n v="0"/>
    <n v="0"/>
    <n v="0"/>
    <n v="29119.21"/>
    <n v="0"/>
    <n v="0"/>
  </r>
  <r>
    <x v="213"/>
    <s v="Araria - Ankesh"/>
    <s v="vlc"/>
    <s v="Indirect"/>
    <n v="4420.3"/>
    <n v="166641.89000000001"/>
    <n v="0"/>
    <n v="0"/>
    <n v="0"/>
    <n v="0"/>
    <n v="0"/>
    <n v="0"/>
    <n v="166641.89000000001"/>
    <n v="0"/>
    <n v="0"/>
    <n v="0"/>
    <n v="0"/>
    <n v="0"/>
    <n v="0"/>
    <n v="0"/>
    <n v="0"/>
    <n v="166641.89000000001"/>
    <n v="0"/>
    <n v="0"/>
  </r>
  <r>
    <x v="214"/>
    <s v="Gomukh Kabela                                                                                       "/>
    <s v="MPG"/>
    <s v="Direct"/>
    <n v="452.9"/>
    <n v="23928.829999999998"/>
    <n v="452.90000000000003"/>
    <n v="22735.510000000002"/>
    <n v="0"/>
    <n v="0"/>
    <n v="452.90000000000003"/>
    <n v="22735.510000000002"/>
    <n v="22735.510000000002"/>
    <n v="0"/>
    <n v="0"/>
    <n v="0"/>
    <n v="0"/>
    <n v="0"/>
    <n v="0"/>
    <n v="22736"/>
    <n v="0"/>
    <n v="0"/>
    <n v="1193"/>
    <n v="0"/>
  </r>
  <r>
    <x v="215"/>
    <s v="Gomukh Malpa Uttari                                                                                 "/>
    <s v="vlc"/>
    <s v="Indirect"/>
    <n v="181.14"/>
    <n v="6342.9"/>
    <n v="0"/>
    <n v="0"/>
    <n v="0"/>
    <n v="0"/>
    <n v="0"/>
    <n v="0"/>
    <n v="6342.9"/>
    <n v="0"/>
    <n v="0"/>
    <n v="0"/>
    <n v="0"/>
    <n v="0"/>
    <n v="0"/>
    <n v="0"/>
    <n v="0"/>
    <n v="6342.9"/>
    <n v="0"/>
    <n v="0"/>
  </r>
  <r>
    <x v="216"/>
    <s v="Gomukh Sapha"/>
    <s v="MPG"/>
    <s v="Direct"/>
    <n v="266.2"/>
    <n v="10548.02"/>
    <n v="355.88"/>
    <n v="14563.14"/>
    <n v="8.01"/>
    <n v="322.67000000000007"/>
    <n v="363.89"/>
    <n v="14885.81"/>
    <n v="10548.02"/>
    <n v="0"/>
    <n v="322.67000000000007"/>
    <n v="4337.7899999999991"/>
    <n v="0"/>
    <n v="0"/>
    <n v="0"/>
    <n v="10225"/>
    <n v="0"/>
    <n v="0"/>
    <n v="0"/>
    <n v="0"/>
  </r>
  <r>
    <x v="217"/>
    <s v="Araria"/>
    <s v="vlc"/>
    <s v="Indirect"/>
    <n v="15825.699999999999"/>
    <n v="627822.28999999992"/>
    <n v="0"/>
    <n v="0"/>
    <n v="0"/>
    <n v="0"/>
    <n v="0"/>
    <n v="0"/>
    <n v="627822.28999999992"/>
    <n v="0"/>
    <n v="0"/>
    <n v="0"/>
    <n v="0"/>
    <n v="0"/>
    <n v="0"/>
    <n v="0"/>
    <n v="0"/>
    <n v="627822.28999999992"/>
    <n v="0"/>
    <n v="0"/>
  </r>
  <r>
    <x v="218"/>
    <s v="Gomukh Gauchhari"/>
    <s v="MPG"/>
    <s v="Direct"/>
    <n v="9.9"/>
    <n v="394.91"/>
    <n v="0"/>
    <n v="0"/>
    <n v="0"/>
    <n v="0"/>
    <n v="0"/>
    <n v="0"/>
    <n v="0"/>
    <n v="0"/>
    <n v="0"/>
    <n v="0"/>
    <n v="0"/>
    <n v="0"/>
    <n v="0"/>
    <n v="0"/>
    <n v="0"/>
    <n v="0"/>
    <n v="395"/>
    <n v="0"/>
  </r>
  <r>
    <x v="219"/>
    <s v="Telouch"/>
    <s v="MPG"/>
    <s v="Direct"/>
    <n v="1860.06"/>
    <n v="72825.5"/>
    <n v="1867.2699999999998"/>
    <n v="76004.650000000009"/>
    <n v="5.6000000000000005"/>
    <n v="201.15000000000003"/>
    <n v="1872.8699999999997"/>
    <n v="76205.8"/>
    <n v="72825.5"/>
    <n v="0"/>
    <n v="201.15000000000003"/>
    <n v="3380.3000000000029"/>
    <n v="0"/>
    <n v="0"/>
    <n v="0"/>
    <n v="72624"/>
    <n v="0"/>
    <n v="0"/>
    <n v="0"/>
    <n v="0"/>
  </r>
  <r>
    <x v="220"/>
    <s v="Gomukh Jhangara B"/>
    <s v="MPG"/>
    <s v="Direct"/>
    <n v="1782.1000000000001"/>
    <n v="71567.989999999991"/>
    <n v="1794.85"/>
    <n v="75733.87"/>
    <n v="0"/>
    <n v="0"/>
    <n v="1794.85"/>
    <n v="75733.87"/>
    <n v="71567.989999999991"/>
    <n v="0"/>
    <n v="0"/>
    <n v="4165.8800000000047"/>
    <n v="0"/>
    <n v="0"/>
    <n v="0"/>
    <n v="71568"/>
    <n v="0"/>
    <n v="0"/>
    <n v="0"/>
    <n v="0"/>
  </r>
  <r>
    <x v="221"/>
    <s v="Gomukh Saraiya"/>
    <s v="vlc"/>
    <s v="Direct"/>
    <n v="248.01999999999998"/>
    <n v="8803.09"/>
    <n v="336.57"/>
    <n v="14625.439999999999"/>
    <n v="0"/>
    <n v="0"/>
    <n v="336.57"/>
    <n v="14625.439999999999"/>
    <n v="8803.09"/>
    <n v="0"/>
    <n v="0"/>
    <n v="5822.3499999999985"/>
    <n v="0"/>
    <n v="0"/>
    <n v="0"/>
    <n v="8803"/>
    <n v="0"/>
    <n v="0"/>
    <n v="0"/>
    <s v="Release3"/>
  </r>
  <r>
    <x v="222"/>
    <s v=" Gomukh Nauranga"/>
    <s v="vlc"/>
    <s v="Indirect"/>
    <n v="317.33999999999997"/>
    <n v="13540"/>
    <n v="0"/>
    <n v="0"/>
    <n v="0"/>
    <n v="0"/>
    <n v="0"/>
    <n v="0"/>
    <n v="13540"/>
    <n v="0"/>
    <n v="0"/>
    <n v="0"/>
    <n v="6750"/>
    <n v="0"/>
    <n v="0"/>
    <n v="0"/>
    <n v="0"/>
    <n v="6790"/>
    <n v="0"/>
    <n v="0"/>
  </r>
  <r>
    <x v="223"/>
    <s v="Gomukh Malpa Dhutauli VLC"/>
    <s v="vlc"/>
    <s v="Indirect"/>
    <n v="158.78"/>
    <n v="5444.2000000000007"/>
    <n v="0"/>
    <n v="0"/>
    <n v="0"/>
    <n v="0"/>
    <n v="0"/>
    <n v="0"/>
    <n v="5444.2000000000007"/>
    <n v="0"/>
    <n v="0"/>
    <n v="0"/>
    <n v="0"/>
    <n v="0"/>
    <n v="0"/>
    <n v="0"/>
    <n v="0"/>
    <n v="5444.2000000000007"/>
    <n v="0"/>
    <n v="0"/>
  </r>
  <r>
    <x v="224"/>
    <s v="Gomukh Pakrail Vijay Nagar VLC"/>
    <s v="vlc"/>
    <s v="Indirect"/>
    <n v="729.68000000000018"/>
    <n v="29362.189999999995"/>
    <n v="0"/>
    <n v="0"/>
    <n v="0"/>
    <n v="0"/>
    <n v="0"/>
    <n v="0"/>
    <n v="29362.189999999995"/>
    <n v="0"/>
    <n v="0"/>
    <n v="0"/>
    <n v="0"/>
    <n v="0"/>
    <n v="0"/>
    <n v="0"/>
    <n v="0"/>
    <n v="29362.189999999995"/>
    <n v="0"/>
    <n v="0"/>
  </r>
  <r>
    <x v="225"/>
    <s v="Gomukh Pakrail Shirnia VLC"/>
    <s v="vlc"/>
    <s v="Indirect"/>
    <n v="225.34"/>
    <n v="8099.9699999999993"/>
    <n v="0"/>
    <n v="0"/>
    <n v="0"/>
    <n v="0"/>
    <n v="0"/>
    <n v="0"/>
    <n v="8099.9699999999993"/>
    <n v="0"/>
    <n v="0"/>
    <n v="0"/>
    <n v="0"/>
    <n v="0"/>
    <n v="0"/>
    <n v="0"/>
    <n v="0"/>
    <n v="8099.9699999999993"/>
    <n v="0"/>
    <n v="0"/>
  </r>
  <r>
    <x v="226"/>
    <s v="Gomukh Godhiyasi Nayagow VLC"/>
    <s v="vlc"/>
    <s v="Indirect"/>
    <n v="317.60000000000002"/>
    <n v="11584.62"/>
    <n v="0"/>
    <n v="0"/>
    <n v="0"/>
    <n v="0"/>
    <n v="0"/>
    <n v="0"/>
    <n v="11584.62"/>
    <n v="0"/>
    <n v="0"/>
    <n v="0"/>
    <n v="0"/>
    <n v="0"/>
    <n v="0"/>
    <n v="0"/>
    <n v="0"/>
    <n v="11584.62"/>
    <n v="0"/>
    <n v="0"/>
  </r>
  <r>
    <x v="227"/>
    <s v="Gomukh Bandehra Purbi"/>
    <s v="MPG"/>
    <s v="Direct"/>
    <n v="250.5"/>
    <n v="9979.27"/>
    <n v="250.4"/>
    <n v="12144.86"/>
    <n v="0"/>
    <n v="0"/>
    <n v="250.4"/>
    <n v="12144.86"/>
    <n v="9979.27"/>
    <n v="0"/>
    <n v="0"/>
    <n v="2165.59"/>
    <n v="0"/>
    <n v="0"/>
    <n v="0"/>
    <n v="9979"/>
    <n v="0"/>
    <n v="0"/>
    <n v="0"/>
    <n v="0"/>
  </r>
  <r>
    <x v="228"/>
    <s v="Gomukh Tila Tol"/>
    <s v="MPG"/>
    <s v="Direct"/>
    <n v="855.93999999999994"/>
    <n v="34938.770000000004"/>
    <n v="860.83999999999992"/>
    <n v="35232.19"/>
    <n v="3.63"/>
    <n v="155.5"/>
    <n v="864.46999999999991"/>
    <n v="35387.69"/>
    <n v="34938.770000000004"/>
    <n v="0"/>
    <n v="155.5"/>
    <n v="448.91999999999825"/>
    <n v="0"/>
    <n v="0"/>
    <n v="0"/>
    <n v="34783"/>
    <n v="0"/>
    <n v="0"/>
    <n v="0"/>
    <n v="0"/>
  </r>
  <r>
    <x v="229"/>
    <s v="Gomukh Gulshan Kumar VLC"/>
    <s v="vlc"/>
    <s v="Indirect"/>
    <n v="1473.7"/>
    <n v="56788.93"/>
    <n v="0"/>
    <n v="0"/>
    <n v="0"/>
    <n v="0"/>
    <n v="0"/>
    <n v="0"/>
    <n v="56788.93"/>
    <n v="0"/>
    <n v="0"/>
    <n v="0"/>
    <n v="0"/>
    <n v="0"/>
    <n v="0"/>
    <n v="0"/>
    <n v="0"/>
    <n v="56788.93"/>
    <n v="0"/>
    <n v="0"/>
  </r>
  <r>
    <x v="230"/>
    <s v="Gomukh Gogri VLC"/>
    <s v="vlc"/>
    <s v="Indirect"/>
    <n v="392.6"/>
    <n v="13908.26"/>
    <n v="0"/>
    <n v="0"/>
    <n v="0"/>
    <n v="0"/>
    <n v="0"/>
    <n v="0"/>
    <n v="13908.26"/>
    <n v="0"/>
    <n v="0"/>
    <n v="0"/>
    <n v="0"/>
    <n v="0"/>
    <n v="0"/>
    <n v="0"/>
    <n v="0"/>
    <n v="13908.26"/>
    <n v="0"/>
    <n v="0"/>
  </r>
  <r>
    <x v="231"/>
    <s v="Gomukh Bari Chak Gogri"/>
    <s v="MPG"/>
    <s v="Direct"/>
    <n v="297.7"/>
    <n v="10017.300000000001"/>
    <n v="297.7"/>
    <n v="12861.8"/>
    <n v="0"/>
    <n v="0"/>
    <n v="297.7"/>
    <n v="12861.8"/>
    <n v="10017.300000000001"/>
    <n v="0"/>
    <n v="0"/>
    <n v="2844.4999999999982"/>
    <n v="0"/>
    <n v="500"/>
    <n v="0"/>
    <n v="9517"/>
    <n v="0"/>
    <n v="0"/>
    <n v="0"/>
    <n v="0"/>
  </r>
  <r>
    <x v="232"/>
    <s v="Gomukh Khatha"/>
    <s v="MPG"/>
    <s v="Direct"/>
    <n v="915.20000000000016"/>
    <n v="34047.129999999997"/>
    <n v="915.2"/>
    <n v="39948.47"/>
    <n v="0"/>
    <n v="0"/>
    <n v="915.2"/>
    <n v="39948.47"/>
    <n v="34047.129999999997"/>
    <n v="0"/>
    <n v="0"/>
    <n v="5901.3400000000038"/>
    <n v="0"/>
    <n v="0"/>
    <n v="0"/>
    <n v="34047"/>
    <n v="0"/>
    <n v="0"/>
    <n v="0"/>
    <n v="0"/>
  </r>
  <r>
    <x v="233"/>
    <s v="Gomukh Shailesh Yadav Vlc"/>
    <s v="vlc"/>
    <s v="Indirect"/>
    <n v="206.2"/>
    <n v="10022.35"/>
    <n v="0"/>
    <n v="0"/>
    <n v="0"/>
    <n v="0"/>
    <n v="0"/>
    <n v="0"/>
    <n v="10022.35"/>
    <n v="0"/>
    <n v="0"/>
    <n v="0"/>
    <n v="0"/>
    <n v="0"/>
    <n v="0"/>
    <n v="0"/>
    <n v="0"/>
    <n v="10022.35"/>
    <n v="0"/>
    <n v="0"/>
  </r>
  <r>
    <x v="234"/>
    <s v="Chak Punervas"/>
    <s v="vlc"/>
    <s v="Indirect"/>
    <n v="1121.2"/>
    <n v="43857.88"/>
    <n v="0"/>
    <n v="0"/>
    <n v="0"/>
    <n v="0"/>
    <n v="0"/>
    <n v="0"/>
    <n v="43857.88"/>
    <n v="0"/>
    <n v="0"/>
    <n v="0"/>
    <n v="0"/>
    <n v="0"/>
    <n v="0"/>
    <n v="0"/>
    <n v="0"/>
    <n v="43857.88"/>
    <n v="0"/>
    <n v="0"/>
  </r>
  <r>
    <x v="235"/>
    <s v="Labherchak"/>
    <s v="vlc"/>
    <s v="Indirect"/>
    <n v="319.25"/>
    <n v="11358.49"/>
    <n v="0"/>
    <n v="0"/>
    <n v="0"/>
    <n v="0"/>
    <n v="0"/>
    <n v="0"/>
    <n v="11358.49"/>
    <n v="0"/>
    <n v="0"/>
    <n v="0"/>
    <n v="0"/>
    <n v="0"/>
    <n v="0"/>
    <n v="0"/>
    <n v="0"/>
    <n v="11358.49"/>
    <n v="0"/>
    <n v="0"/>
  </r>
  <r>
    <x v="236"/>
    <s v="Paspura"/>
    <s v="vlc"/>
    <s v="Indirect"/>
    <n v="38.5"/>
    <n v="1431.66"/>
    <n v="0"/>
    <n v="0"/>
    <n v="0"/>
    <n v="0"/>
    <n v="0"/>
    <n v="0"/>
    <n v="1431.66"/>
    <n v="0"/>
    <n v="0"/>
    <n v="0"/>
    <n v="0"/>
    <n v="0"/>
    <n v="0"/>
    <n v="0"/>
    <n v="0"/>
    <n v="1431.66"/>
    <n v="0"/>
    <n v="0"/>
  </r>
  <r>
    <x v="237"/>
    <s v="Gomukh Godhna"/>
    <s v="vlc"/>
    <s v="Indirect"/>
    <n v="33.1"/>
    <n v="1291.02"/>
    <n v="0"/>
    <n v="0"/>
    <n v="0"/>
    <n v="0"/>
    <n v="0"/>
    <n v="0"/>
    <n v="1291.02"/>
    <n v="0"/>
    <n v="0"/>
    <n v="0"/>
    <n v="0"/>
    <n v="0"/>
    <n v="0"/>
    <n v="0"/>
    <n v="0"/>
    <n v="1291.02"/>
    <n v="0"/>
    <n v="0"/>
  </r>
  <r>
    <x v="238"/>
    <s v="Gomukh Sihma 2"/>
    <s v="vlc"/>
    <s v="Indirect"/>
    <n v="355.90000000000003"/>
    <n v="12819.760000000002"/>
    <n v="0"/>
    <n v="0"/>
    <n v="0"/>
    <n v="0"/>
    <n v="0"/>
    <n v="0"/>
    <n v="12819.760000000002"/>
    <n v="0"/>
    <n v="0"/>
    <n v="0"/>
    <n v="0"/>
    <n v="0"/>
    <n v="0"/>
    <n v="0"/>
    <n v="0"/>
    <n v="12819.760000000002"/>
    <n v="0"/>
    <n v="0"/>
  </r>
  <r>
    <x v="239"/>
    <s v="Gomukh ID Marsaito"/>
    <s v="vlc"/>
    <s v="Indirect"/>
    <n v="725.05"/>
    <n v="26260.78"/>
    <n v="0"/>
    <n v="0"/>
    <n v="0"/>
    <n v="0"/>
    <n v="0"/>
    <n v="0"/>
    <n v="26260.78"/>
    <n v="0"/>
    <n v="0"/>
    <n v="0"/>
    <n v="0"/>
    <n v="0"/>
    <n v="0"/>
    <n v="0"/>
    <n v="0"/>
    <n v="26260.78"/>
    <n v="0"/>
    <n v="0"/>
  </r>
  <r>
    <x v="240"/>
    <s v="Gomukh ID Akashpur-2"/>
    <s v="vlc"/>
    <s v="Indirect"/>
    <n v="77.25"/>
    <n v="2995.76"/>
    <n v="0"/>
    <n v="0"/>
    <n v="0"/>
    <n v="0"/>
    <n v="0"/>
    <n v="0"/>
    <n v="2995.76"/>
    <n v="0"/>
    <n v="0"/>
    <n v="0"/>
    <n v="0"/>
    <n v="0"/>
    <n v="0"/>
    <n v="0"/>
    <n v="0"/>
    <n v="2995.76"/>
    <n v="0"/>
    <n v="0"/>
  </r>
  <r>
    <x v="241"/>
    <s v="Gomukh ID Akashpur"/>
    <s v="vlc"/>
    <s v="Indirect"/>
    <n v="400.75000000000006"/>
    <n v="16134.58"/>
    <n v="0"/>
    <n v="0"/>
    <n v="0"/>
    <n v="0"/>
    <n v="0"/>
    <n v="0"/>
    <n v="16134.58"/>
    <n v="0"/>
    <n v="0"/>
    <n v="0"/>
    <n v="0"/>
    <n v="0"/>
    <n v="0"/>
    <n v="0"/>
    <n v="0"/>
    <n v="16134.58"/>
    <n v="0"/>
    <n v="0"/>
  </r>
  <r>
    <x v="242"/>
    <s v="Gomukh ID Rachiyahi"/>
    <s v="vlc"/>
    <s v="Indirect"/>
    <n v="210.45"/>
    <n v="8561.3799999999992"/>
    <n v="0"/>
    <n v="0"/>
    <n v="0"/>
    <n v="0"/>
    <n v="0"/>
    <n v="0"/>
    <n v="8561.3799999999992"/>
    <n v="0"/>
    <n v="0"/>
    <n v="0"/>
    <n v="0"/>
    <n v="0"/>
    <n v="0"/>
    <n v="0"/>
    <n v="0"/>
    <n v="8561.3799999999992"/>
    <n v="0"/>
    <n v="0"/>
  </r>
  <r>
    <x v="243"/>
    <s v="GomukhBariyahi Chanan"/>
    <s v="MPG"/>
    <s v="Direct"/>
    <n v="1418.25"/>
    <n v="50940.02"/>
    <n v="1415.3"/>
    <n v="52401.17"/>
    <n v="2.6999999999999997"/>
    <n v="94.990000000000009"/>
    <n v="1418"/>
    <n v="52496.159999999996"/>
    <n v="50940.02"/>
    <n v="0"/>
    <n v="94.990000000000009"/>
    <n v="1556.1399999999994"/>
    <n v="0"/>
    <n v="0"/>
    <n v="0"/>
    <n v="50845"/>
    <n v="0"/>
    <n v="0"/>
    <n v="0"/>
    <n v="0"/>
  </r>
  <r>
    <x v="244"/>
    <s v="GomukhGehuni"/>
    <s v="MPG"/>
    <s v="Direct"/>
    <n v="87.000000000000014"/>
    <n v="3162.88"/>
    <n v="86.699999999999989"/>
    <n v="3157.5200000000004"/>
    <n v="1.0999999999999999"/>
    <n v="37.869999999999997"/>
    <n v="87.799999999999983"/>
    <n v="3195.3900000000003"/>
    <n v="3162.88"/>
    <n v="0"/>
    <n v="37.869999999999997"/>
    <n v="32.510000000000218"/>
    <n v="0"/>
    <n v="500"/>
    <n v="0"/>
    <n v="2625"/>
    <n v="0"/>
    <n v="0"/>
    <n v="0"/>
    <n v="0"/>
  </r>
  <r>
    <x v="245"/>
    <s v="Gomukh Bakhatpur"/>
    <s v="MPG"/>
    <s v="Direct"/>
    <n v="210.95"/>
    <n v="9396.77"/>
    <n v="208.37"/>
    <n v="9184.59"/>
    <n v="3.6400000000000006"/>
    <n v="155.69"/>
    <n v="212.01"/>
    <n v="9340.2800000000007"/>
    <n v="9340.2800000000007"/>
    <n v="0"/>
    <n v="155.69"/>
    <n v="0"/>
    <n v="0"/>
    <n v="0"/>
    <n v="0"/>
    <n v="9185"/>
    <n v="0"/>
    <n v="0"/>
    <n v="56"/>
    <n v="0"/>
  </r>
  <r>
    <x v="246"/>
    <s v="Ananaya Dairy"/>
    <s v="vlc"/>
    <s v="Indirect"/>
    <n v="5295.5000000000009"/>
    <n v="209592.41"/>
    <n v="0"/>
    <n v="0"/>
    <n v="0"/>
    <n v="0"/>
    <n v="0"/>
    <n v="0"/>
    <n v="209592.41"/>
    <n v="0"/>
    <n v="0"/>
    <n v="0"/>
    <n v="0"/>
    <n v="0"/>
    <n v="0"/>
    <n v="0"/>
    <n v="0"/>
    <n v="209592.41"/>
    <n v="0"/>
    <n v="0"/>
  </r>
  <r>
    <x v="247"/>
    <s v="Gomukh Bishanpur"/>
    <s v="MPG"/>
    <s v="Direct"/>
    <n v="816.35"/>
    <n v="30196.01"/>
    <n v="855.34999999999991"/>
    <n v="32928.590000000004"/>
    <n v="13.239999999999998"/>
    <n v="508.42999999999995"/>
    <n v="868.58999999999992"/>
    <n v="33437.020000000004"/>
    <n v="30196.01"/>
    <n v="0"/>
    <n v="508.42999999999995"/>
    <n v="3241.0100000000057"/>
    <n v="0"/>
    <n v="0"/>
    <n v="0"/>
    <n v="29688"/>
    <n v="0"/>
    <n v="0"/>
    <n v="0"/>
    <s v="Release4"/>
  </r>
  <r>
    <x v="248"/>
    <s v="GOMUKH BEGAMSARAI"/>
    <s v="MPG"/>
    <s v="Direct"/>
    <n v="194.75"/>
    <n v="8710.59"/>
    <n v="52.45"/>
    <n v="2374.77"/>
    <n v="154.46999999999997"/>
    <n v="6925.22"/>
    <n v="206.91999999999996"/>
    <n v="9299.99"/>
    <n v="8710.59"/>
    <n v="0"/>
    <n v="180.17999999999998"/>
    <n v="589.39999999999964"/>
    <n v="0"/>
    <n v="0"/>
    <n v="0"/>
    <n v="1785"/>
    <n v="6745"/>
    <n v="0"/>
    <n v="0"/>
    <n v="0"/>
  </r>
  <r>
    <x v="249"/>
    <s v="Bariyahi - Ramvaran"/>
    <s v="vlc"/>
    <s v="Indirect"/>
    <n v="55.1"/>
    <n v="2003.69"/>
    <n v="0"/>
    <n v="0"/>
    <n v="0"/>
    <n v="0"/>
    <n v="0"/>
    <n v="0"/>
    <n v="2003.69"/>
    <n v="0"/>
    <n v="0"/>
    <n v="0"/>
    <n v="0"/>
    <n v="0"/>
    <n v="0"/>
    <n v="0"/>
    <n v="0"/>
    <n v="2003.69"/>
    <n v="0"/>
    <n v="0"/>
  </r>
  <r>
    <x v="250"/>
    <s v="Hasanpur - Abhijeet"/>
    <s v="vlc"/>
    <s v="Indirect"/>
    <n v="6389.8000000000011"/>
    <n v="231037.12999999998"/>
    <n v="0"/>
    <n v="0"/>
    <n v="0"/>
    <n v="0"/>
    <n v="0"/>
    <n v="0"/>
    <n v="231037.12999999998"/>
    <n v="0"/>
    <n v="0"/>
    <n v="0"/>
    <n v="0"/>
    <n v="0"/>
    <n v="0"/>
    <n v="0"/>
    <n v="0"/>
    <n v="231037.12999999998"/>
    <n v="0"/>
    <n v="0"/>
  </r>
  <r>
    <x v="251"/>
    <s v="Adharpur - Manish"/>
    <s v="vlc"/>
    <s v="Indirect"/>
    <n v="775.3"/>
    <n v="31685.369999999995"/>
    <n v="0"/>
    <n v="0"/>
    <n v="0"/>
    <n v="0"/>
    <n v="0"/>
    <n v="0"/>
    <n v="31685.369999999995"/>
    <n v="0"/>
    <n v="0"/>
    <n v="0"/>
    <n v="0"/>
    <n v="0"/>
    <n v="0"/>
    <n v="0"/>
    <n v="0"/>
    <n v="31685.369999999995"/>
    <n v="0"/>
    <n v="0"/>
  </r>
  <r>
    <x v="252"/>
    <s v="Rani - Surender"/>
    <s v="vlc"/>
    <s v="Indirect"/>
    <n v="292.5"/>
    <n v="12185.050000000003"/>
    <n v="0"/>
    <n v="0"/>
    <n v="0"/>
    <n v="0"/>
    <n v="0"/>
    <n v="0"/>
    <n v="12185.050000000003"/>
    <n v="0"/>
    <n v="0"/>
    <n v="0"/>
    <n v="0"/>
    <n v="0"/>
    <n v="0"/>
    <n v="0"/>
    <n v="0"/>
    <n v="12185.050000000003"/>
    <n v="0"/>
    <n v="0"/>
  </r>
  <r>
    <x v="253"/>
    <s v="GOMUKH RANI 3"/>
    <s v="MPG"/>
    <s v="Direct"/>
    <n v="460.9"/>
    <n v="20976.639999999996"/>
    <n v="393.36999999999995"/>
    <n v="17969.22"/>
    <n v="82.28"/>
    <n v="3211.14"/>
    <n v="475.65"/>
    <n v="21180.36"/>
    <n v="20976.639999999996"/>
    <n v="0"/>
    <n v="117.27"/>
    <n v="203.7200000000048"/>
    <n v="0"/>
    <n v="500"/>
    <n v="0"/>
    <n v="17266"/>
    <n v="3093"/>
    <n v="0"/>
    <n v="0"/>
    <n v="0"/>
  </r>
  <r>
    <x v="254"/>
    <s v="GOMUKH NONPUR"/>
    <s v="MPG"/>
    <s v="Direct"/>
    <n v="505.25"/>
    <n v="19615.32"/>
    <n v="510.28"/>
    <n v="20296.349999999999"/>
    <n v="1.5200000000000002"/>
    <n v="60.480000000000004"/>
    <n v="511.79999999999995"/>
    <n v="20356.829999999998"/>
    <n v="19615.32"/>
    <n v="0"/>
    <n v="60.480000000000004"/>
    <n v="741.5099999999984"/>
    <n v="0"/>
    <n v="0"/>
    <n v="0"/>
    <n v="19555"/>
    <n v="0"/>
    <n v="0"/>
    <n v="0"/>
    <n v="0"/>
  </r>
  <r>
    <x v="255"/>
    <s v="GOMUKH FATEHA"/>
    <s v="MPG"/>
    <s v="Direct"/>
    <n v="179.95"/>
    <n v="6848.9500000000007"/>
    <n v="301.03999999999996"/>
    <n v="11877"/>
    <n v="0"/>
    <n v="0"/>
    <n v="301.03999999999996"/>
    <n v="11877"/>
    <n v="6848.9500000000007"/>
    <n v="0"/>
    <n v="0"/>
    <n v="5028.0499999999993"/>
    <n v="0"/>
    <n v="0"/>
    <n v="0"/>
    <n v="6849"/>
    <n v="0"/>
    <n v="0"/>
    <n v="0"/>
    <n v="0"/>
  </r>
  <r>
    <x v="256"/>
    <s v="Bablu Singh"/>
    <s v="vlc"/>
    <s v="Indirect"/>
    <n v="1010.35"/>
    <n v="36561.199999999997"/>
    <n v="0"/>
    <n v="0"/>
    <n v="0"/>
    <n v="0"/>
    <n v="0"/>
    <n v="0"/>
    <n v="36561.199999999997"/>
    <n v="0"/>
    <n v="0"/>
    <n v="0"/>
    <n v="0"/>
    <n v="0"/>
    <n v="0"/>
    <n v="0"/>
    <n v="0"/>
    <n v="36561.199999999997"/>
    <n v="0"/>
    <n v="0"/>
  </r>
  <r>
    <x v="257"/>
    <s v="Gomukh Rani                                                                                         "/>
    <s v="MPG"/>
    <s v="Direct"/>
    <n v="528.65"/>
    <n v="19702.59"/>
    <n v="334.43"/>
    <n v="14214.070000000002"/>
    <n v="203.69"/>
    <n v="8660.5400000000009"/>
    <n v="538.12"/>
    <n v="22874.61"/>
    <n v="19702.59"/>
    <n v="0"/>
    <n v="0"/>
    <n v="3172.0200000000004"/>
    <n v="0"/>
    <n v="0"/>
    <n v="0"/>
    <n v="11043"/>
    <n v="8660"/>
    <n v="0"/>
    <n v="0"/>
    <n v="0"/>
  </r>
  <r>
    <x v="258"/>
    <s v="GOMUKH ROOPNAGAR"/>
    <s v="MPG"/>
    <s v="Direct"/>
    <n v="239.6"/>
    <n v="8102.89"/>
    <n v="239.4"/>
    <n v="8095.8600000000015"/>
    <n v="0"/>
    <n v="0"/>
    <n v="239.4"/>
    <n v="8095.8600000000015"/>
    <n v="8095.8600000000015"/>
    <n v="0"/>
    <n v="0"/>
    <n v="0"/>
    <n v="0"/>
    <n v="0"/>
    <n v="0"/>
    <n v="8096"/>
    <n v="0"/>
    <n v="0"/>
    <n v="7"/>
    <n v="0"/>
  </r>
  <r>
    <x v="259"/>
    <s v="GOMUKH HADIPUR"/>
    <s v="MPG"/>
    <s v="Direct"/>
    <n v="295.65000000000003"/>
    <n v="11541.67"/>
    <n v="301.05999999999995"/>
    <n v="11799.150000000001"/>
    <n v="0.7300000000000002"/>
    <n v="28.71"/>
    <n v="301.78999999999996"/>
    <n v="11827.86"/>
    <n v="11541.67"/>
    <n v="0"/>
    <n v="28.71"/>
    <n v="286.19000000000051"/>
    <n v="0"/>
    <n v="500"/>
    <n v="0"/>
    <n v="11013"/>
    <n v="0"/>
    <n v="0"/>
    <n v="0"/>
    <n v="0"/>
  </r>
  <r>
    <x v="260"/>
    <s v="Gomukh Harichak"/>
    <s v="MPG"/>
    <s v="Direct"/>
    <n v="93.149999999999991"/>
    <n v="4225.1200000000008"/>
    <n v="88.17"/>
    <n v="3895.71"/>
    <n v="0"/>
    <n v="0"/>
    <n v="88.17"/>
    <n v="3895.71"/>
    <n v="3895.71"/>
    <n v="0"/>
    <n v="0"/>
    <n v="0"/>
    <n v="0"/>
    <n v="500"/>
    <n v="0"/>
    <n v="3396"/>
    <n v="0"/>
    <n v="0"/>
    <n v="329"/>
    <s v="Release4"/>
  </r>
  <r>
    <x v="261"/>
    <s v="PAWAN RAY"/>
    <s v="vlc"/>
    <s v="Indirect"/>
    <n v="1224.0000000000002"/>
    <n v="48036.009999999995"/>
    <n v="0"/>
    <n v="0"/>
    <n v="0"/>
    <n v="0"/>
    <n v="0"/>
    <n v="0"/>
    <n v="48036.009999999995"/>
    <n v="0"/>
    <n v="0"/>
    <n v="0"/>
    <n v="0"/>
    <n v="0"/>
    <n v="0"/>
    <n v="0"/>
    <n v="0"/>
    <n v="48036.009999999995"/>
    <n v="0"/>
    <n v="0"/>
  </r>
  <r>
    <x v="262"/>
    <s v="RAJ BHARDWAJ"/>
    <s v="vlc"/>
    <s v="Indirect"/>
    <n v="331.84999999999997"/>
    <n v="12610.12"/>
    <n v="0"/>
    <n v="0"/>
    <n v="0"/>
    <n v="0"/>
    <n v="0"/>
    <n v="0"/>
    <n v="12610.12"/>
    <n v="0"/>
    <n v="0"/>
    <n v="0"/>
    <n v="0"/>
    <n v="0"/>
    <n v="0"/>
    <n v="0"/>
    <n v="0"/>
    <n v="12610.12"/>
    <n v="0"/>
    <n v="0"/>
  </r>
  <r>
    <x v="263"/>
    <s v="Gomukh Amarpur"/>
    <s v="MPG"/>
    <s v="Direct"/>
    <n v="404.7"/>
    <n v="15085.289999999999"/>
    <n v="420.12999999999994"/>
    <n v="14811.52"/>
    <n v="1.18"/>
    <n v="43.730000000000004"/>
    <n v="421.30999999999995"/>
    <n v="14855.25"/>
    <n v="14855.25"/>
    <n v="0"/>
    <n v="43.730000000000004"/>
    <n v="0"/>
    <n v="0"/>
    <n v="0"/>
    <n v="0"/>
    <n v="14812"/>
    <n v="0"/>
    <n v="0"/>
    <n v="230"/>
    <n v="0"/>
  </r>
  <r>
    <x v="264"/>
    <s v="Prashant Kumar"/>
    <s v="vlc"/>
    <s v="Indirect"/>
    <n v="39.65"/>
    <n v="1517.53"/>
    <n v="0"/>
    <n v="0"/>
    <n v="0"/>
    <n v="0"/>
    <n v="0"/>
    <n v="0"/>
    <n v="1517.53"/>
    <n v="0"/>
    <n v="0"/>
    <n v="0"/>
    <n v="0"/>
    <n v="0"/>
    <n v="0"/>
    <n v="0"/>
    <n v="0"/>
    <n v="1517.53"/>
    <n v="0"/>
    <n v="0"/>
  </r>
  <r>
    <x v="265"/>
    <s v="Gomukh Barauni 3"/>
    <s v="MPG"/>
    <s v="Direct"/>
    <n v="89.75"/>
    <n v="3704.17"/>
    <n v="106.1"/>
    <n v="4351.16"/>
    <n v="0"/>
    <n v="0"/>
    <n v="106.1"/>
    <n v="4351.16"/>
    <n v="3704.17"/>
    <n v="0"/>
    <n v="0"/>
    <n v="646.98999999999978"/>
    <n v="0"/>
    <n v="500"/>
    <n v="0"/>
    <n v="3204"/>
    <n v="0"/>
    <n v="0"/>
    <n v="0"/>
    <n v="0"/>
  </r>
  <r>
    <x v="266"/>
    <s v="CHANDAN YADAV"/>
    <s v="vlc"/>
    <s v="Indirect"/>
    <n v="365.59999999999991"/>
    <n v="13836.350000000002"/>
    <n v="0"/>
    <n v="0"/>
    <n v="0"/>
    <n v="0"/>
    <n v="0"/>
    <n v="0"/>
    <n v="13836.350000000002"/>
    <n v="0"/>
    <n v="0"/>
    <n v="0"/>
    <n v="0"/>
    <n v="0"/>
    <n v="0"/>
    <n v="0"/>
    <n v="0"/>
    <n v="13836.350000000002"/>
    <n v="0"/>
    <n v="0"/>
  </r>
  <r>
    <x v="267"/>
    <s v="ANITA DEVI"/>
    <s v="vlc"/>
    <s v="Indirect"/>
    <n v="323.89999999999992"/>
    <n v="11791.9"/>
    <n v="0"/>
    <n v="0"/>
    <n v="0"/>
    <n v="0"/>
    <n v="0"/>
    <n v="0"/>
    <n v="11791.9"/>
    <n v="0"/>
    <n v="0"/>
    <n v="0"/>
    <n v="0"/>
    <n v="0"/>
    <n v="0"/>
    <n v="0"/>
    <n v="0"/>
    <n v="11791.9"/>
    <n v="0"/>
    <n v="0"/>
  </r>
  <r>
    <x v="268"/>
    <s v="GOMUKH FATEHA SALEMPUR"/>
    <s v="MPG"/>
    <s v="Direct"/>
    <n v="93.6"/>
    <n v="3798.7200000000003"/>
    <n v="93.8"/>
    <n v="3806.39"/>
    <n v="3.5"/>
    <n v="142.99"/>
    <n v="97.3"/>
    <n v="3949.38"/>
    <n v="3798.7200000000003"/>
    <n v="0"/>
    <n v="142.99"/>
    <n v="150.65999999999985"/>
    <n v="0"/>
    <n v="500"/>
    <n v="0"/>
    <n v="3156"/>
    <n v="0"/>
    <n v="0"/>
    <n v="0"/>
    <n v="0"/>
  </r>
  <r>
    <x v="269"/>
    <s v="GOMUKH GEHUNI 2"/>
    <s v="MPG"/>
    <s v="Direct"/>
    <n v="671"/>
    <n v="26963.56"/>
    <n v="680.19"/>
    <n v="27137.539999999997"/>
    <n v="0.76000000000000023"/>
    <n v="30.42"/>
    <n v="680.95"/>
    <n v="27167.959999999995"/>
    <n v="26963.56"/>
    <n v="0"/>
    <n v="30.42"/>
    <n v="204.39999999999418"/>
    <n v="0"/>
    <n v="0"/>
    <n v="0"/>
    <n v="26933"/>
    <n v="0"/>
    <n v="0"/>
    <n v="0"/>
    <n v="0"/>
  </r>
  <r>
    <x v="270"/>
    <s v="GOMUKH MALHIPUR"/>
    <s v="MPG"/>
    <s v="Direct"/>
    <n v="886"/>
    <n v="31067.619999999995"/>
    <n v="891.9"/>
    <n v="30235.93"/>
    <n v="2"/>
    <n v="69.820000000000007"/>
    <n v="893.9"/>
    <n v="30305.75"/>
    <n v="30305.75"/>
    <n v="0"/>
    <n v="69.820000000000007"/>
    <n v="0"/>
    <n v="0"/>
    <n v="0"/>
    <n v="0"/>
    <n v="30235"/>
    <n v="0"/>
    <n v="0"/>
    <n v="763"/>
    <n v="0"/>
  </r>
  <r>
    <x v="271"/>
    <s v="Rasalpur - Durgesh Kumar"/>
    <s v="vlc"/>
    <s v="Indirect"/>
    <n v="122.64999999999998"/>
    <n v="4595.46"/>
    <n v="0"/>
    <n v="0"/>
    <n v="0"/>
    <n v="0"/>
    <n v="0"/>
    <n v="0"/>
    <n v="4595.46"/>
    <n v="0"/>
    <n v="0"/>
    <n v="0"/>
    <n v="0"/>
    <n v="0"/>
    <n v="0"/>
    <n v="0"/>
    <n v="0"/>
    <n v="4595.46"/>
    <n v="0"/>
    <n v="0"/>
  </r>
  <r>
    <x v="272"/>
    <s v="Barauni Bariyarpur"/>
    <s v="MPG"/>
    <s v="Direct"/>
    <n v="382.2"/>
    <n v="13734.460000000003"/>
    <n v="381.7"/>
    <n v="13374.77"/>
    <n v="0"/>
    <n v="0"/>
    <n v="381.7"/>
    <n v="13374.77"/>
    <n v="13374.77"/>
    <n v="0"/>
    <n v="0"/>
    <n v="0"/>
    <n v="0"/>
    <n v="0"/>
    <n v="0"/>
    <n v="13375"/>
    <n v="0"/>
    <n v="0"/>
    <n v="359"/>
    <n v="0"/>
  </r>
  <r>
    <x v="273"/>
    <s v="Jaynagar"/>
    <s v="MPG"/>
    <s v="Direct"/>
    <n v="20.399999999999999"/>
    <n v="724.95"/>
    <n v="20"/>
    <n v="695.6"/>
    <n v="0"/>
    <n v="0"/>
    <n v="20"/>
    <n v="695.6"/>
    <n v="695.6"/>
    <n v="0"/>
    <n v="0"/>
    <n v="0"/>
    <n v="0"/>
    <n v="500"/>
    <n v="0"/>
    <n v="196"/>
    <n v="0"/>
    <n v="0"/>
    <n v="29"/>
    <s v="Release4"/>
  </r>
  <r>
    <x v="274"/>
    <s v="Fateha - Anil Yadav"/>
    <s v="vlc"/>
    <s v="Indirect"/>
    <n v="529.35"/>
    <n v="21845.93"/>
    <n v="0"/>
    <n v="0"/>
    <n v="0"/>
    <n v="0"/>
    <n v="0"/>
    <n v="0"/>
    <n v="21845.93"/>
    <n v="0"/>
    <n v="0"/>
    <n v="0"/>
    <n v="0"/>
    <n v="0"/>
    <n v="0"/>
    <n v="0"/>
    <n v="0"/>
    <n v="21845.93"/>
    <n v="0"/>
    <n v="0"/>
  </r>
  <r>
    <x v="275"/>
    <s v="Bihat - Chakballi"/>
    <s v="MPG"/>
    <s v="Direct"/>
    <n v="503.8"/>
    <n v="17679.349999999999"/>
    <n v="503.69999999999993"/>
    <n v="17675.830000000002"/>
    <n v="0"/>
    <n v="0"/>
    <n v="503.69999999999993"/>
    <n v="17675.830000000002"/>
    <n v="17675.830000000002"/>
    <n v="0"/>
    <n v="0"/>
    <n v="0"/>
    <n v="0"/>
    <n v="0"/>
    <n v="0"/>
    <n v="17676"/>
    <n v="0"/>
    <n v="0"/>
    <n v="3"/>
    <n v="0"/>
  </r>
  <r>
    <x v="276"/>
    <s v="Sibutol- Naya Tola"/>
    <s v="MPG"/>
    <s v="Direct"/>
    <n v="393.95"/>
    <n v="13679.87"/>
    <n v="258.18"/>
    <n v="9505.75"/>
    <n v="197.84"/>
    <n v="7143.16"/>
    <n v="456.02"/>
    <n v="16648.91"/>
    <n v="13679.87"/>
    <n v="0"/>
    <n v="0"/>
    <n v="2969.0399999999991"/>
    <n v="0"/>
    <n v="500"/>
    <n v="0"/>
    <n v="6037"/>
    <n v="7143"/>
    <n v="0"/>
    <n v="0"/>
    <n v="0"/>
  </r>
  <r>
    <x v="277"/>
    <s v="Rasalpur"/>
    <s v="vlc"/>
    <s v="Indirect"/>
    <n v="710.75"/>
    <n v="26712.920000000002"/>
    <n v="0"/>
    <n v="0"/>
    <n v="0"/>
    <n v="0"/>
    <n v="0"/>
    <n v="0"/>
    <n v="26712.920000000002"/>
    <n v="0"/>
    <n v="0"/>
    <n v="0"/>
    <n v="0"/>
    <n v="0"/>
    <n v="0"/>
    <n v="0"/>
    <n v="0"/>
    <n v="26712.920000000002"/>
    <n v="0"/>
    <n v="0"/>
  </r>
  <r>
    <x v="278"/>
    <s v="Samsa"/>
    <s v="vlc"/>
    <s v="Indirect"/>
    <n v="1116.8"/>
    <n v="45833.270000000004"/>
    <n v="0"/>
    <n v="0"/>
    <n v="0"/>
    <n v="0"/>
    <n v="0"/>
    <n v="0"/>
    <n v="45833.270000000004"/>
    <n v="0"/>
    <n v="0"/>
    <n v="0"/>
    <n v="0"/>
    <n v="0"/>
    <n v="0"/>
    <n v="0"/>
    <n v="0"/>
    <n v="45833.270000000004"/>
    <n v="0"/>
    <n v="0"/>
  </r>
  <r>
    <x v="279"/>
    <s v="Dahiya"/>
    <s v="vlc"/>
    <s v="Indirect"/>
    <n v="328.65000000000003"/>
    <n v="12087.16"/>
    <n v="0"/>
    <n v="0"/>
    <n v="0"/>
    <n v="0"/>
    <n v="0"/>
    <n v="0"/>
    <n v="12087.16"/>
    <n v="0"/>
    <n v="0"/>
    <n v="0"/>
    <n v="0"/>
    <n v="0"/>
    <n v="0"/>
    <n v="0"/>
    <n v="0"/>
    <n v="12087.16"/>
    <n v="0"/>
    <n v="0"/>
  </r>
  <r>
    <x v="280"/>
    <s v="Gaura"/>
    <s v="MPG"/>
    <s v="Direct"/>
    <n v="279"/>
    <n v="10555.330000000002"/>
    <n v="278.7"/>
    <n v="10459.61"/>
    <n v="0"/>
    <n v="0"/>
    <n v="278.7"/>
    <n v="10459.61"/>
    <n v="10459.61"/>
    <n v="0"/>
    <n v="0"/>
    <n v="0"/>
    <n v="0"/>
    <n v="0"/>
    <n v="0"/>
    <n v="10460"/>
    <n v="0"/>
    <n v="0"/>
    <n v="95"/>
    <n v="0"/>
  </r>
  <r>
    <x v="281"/>
    <s v="Mukhtiyarpur"/>
    <s v="MPG"/>
    <s v="Direct"/>
    <n v="161.75"/>
    <n v="5875.91"/>
    <n v="161.31"/>
    <n v="6277.5900000000011"/>
    <n v="0"/>
    <n v="0"/>
    <n v="161.31"/>
    <n v="6277.5900000000011"/>
    <n v="5875.91"/>
    <n v="0"/>
    <n v="0"/>
    <n v="401.6800000000012"/>
    <n v="0"/>
    <n v="0"/>
    <n v="0"/>
    <n v="5876"/>
    <n v="0"/>
    <n v="0"/>
    <n v="0"/>
    <n v="0"/>
  </r>
  <r>
    <x v="282"/>
    <s v="Gomukh Rudauli-02"/>
    <s v="MPG"/>
    <s v="Direct"/>
    <n v="527.85"/>
    <n v="20349.660000000003"/>
    <n v="497.86"/>
    <n v="19159.090000000004"/>
    <n v="31.99"/>
    <n v="1169.48"/>
    <n v="529.85"/>
    <n v="20328.570000000003"/>
    <n v="20328.570000000003"/>
    <n v="0"/>
    <n v="0"/>
    <n v="0"/>
    <n v="0"/>
    <n v="0"/>
    <n v="0"/>
    <n v="19160"/>
    <n v="1170"/>
    <n v="0"/>
    <n v="20"/>
    <n v="0"/>
  </r>
  <r>
    <x v="283"/>
    <s v="Gomukh Puranatol Raichiahi"/>
    <s v="MPG"/>
    <s v="Direct"/>
    <n v="644.75"/>
    <n v="24993.21"/>
    <n v="644.4"/>
    <n v="24979.65"/>
    <n v="0"/>
    <n v="0"/>
    <n v="644.4"/>
    <n v="24979.65"/>
    <n v="24979.65"/>
    <n v="0"/>
    <n v="0"/>
    <n v="0"/>
    <n v="0"/>
    <n v="0"/>
    <n v="0"/>
    <n v="24980"/>
    <n v="0"/>
    <n v="0"/>
    <n v="13"/>
    <n v="0"/>
  </r>
  <r>
    <x v="284"/>
    <s v="Bihat-Gududaspur"/>
    <s v="MPG"/>
    <s v="Direct"/>
    <n v="273.35000000000002"/>
    <n v="10961.41"/>
    <n v="273"/>
    <n v="10889.97"/>
    <n v="0"/>
    <n v="0"/>
    <n v="273"/>
    <n v="10889.97"/>
    <n v="10889.97"/>
    <n v="0"/>
    <n v="0"/>
    <n v="0"/>
    <n v="0"/>
    <n v="0"/>
    <n v="0"/>
    <n v="10890"/>
    <n v="0"/>
    <n v="0"/>
    <n v="71"/>
    <n v="0"/>
  </r>
  <r>
    <x v="285"/>
    <s v="Labharchak-2"/>
    <s v="MPG"/>
    <s v="Direct"/>
    <n v="204.85000000000002"/>
    <n v="7152.8500000000013"/>
    <n v="204.39999999999998"/>
    <n v="7137.32"/>
    <n v="0"/>
    <n v="0"/>
    <n v="204.39999999999998"/>
    <n v="7137.32"/>
    <n v="7137.32"/>
    <n v="0"/>
    <n v="0"/>
    <n v="0"/>
    <n v="0"/>
    <n v="0"/>
    <n v="0"/>
    <n v="7137"/>
    <n v="0"/>
    <n v="0"/>
    <n v="16"/>
    <n v="0"/>
  </r>
  <r>
    <x v="286"/>
    <s v="Shamar Kasha"/>
    <s v="vlc"/>
    <s v="Indirect"/>
    <n v="131.29999999999998"/>
    <n v="5316.25"/>
    <n v="0"/>
    <n v="0"/>
    <n v="0"/>
    <n v="0"/>
    <n v="0"/>
    <n v="0"/>
    <n v="5316.25"/>
    <n v="0"/>
    <n v="0"/>
    <n v="0"/>
    <n v="0"/>
    <n v="0"/>
    <n v="0"/>
    <n v="0"/>
    <n v="0"/>
    <n v="5316.25"/>
    <n v="0"/>
    <n v="0"/>
  </r>
  <r>
    <x v="287"/>
    <s v="POHE"/>
    <s v="vlc"/>
    <s v="Indirect"/>
    <n v="654.29999999999995"/>
    <n v="28168.01"/>
    <n v="0"/>
    <n v="0"/>
    <n v="0"/>
    <n v="0"/>
    <n v="0"/>
    <n v="0"/>
    <n v="28168.01"/>
    <n v="0"/>
    <n v="0"/>
    <n v="0"/>
    <n v="0"/>
    <n v="0"/>
    <n v="0"/>
    <n v="0"/>
    <n v="0"/>
    <n v="28168.01"/>
    <n v="0"/>
    <n v="0"/>
  </r>
  <r>
    <x v="288"/>
    <s v="AURO"/>
    <s v="MPG"/>
    <s v="Direct"/>
    <n v="1706.2999999999997"/>
    <n v="75052.310000000012"/>
    <n v="1317.24"/>
    <n v="57646.39"/>
    <n v="390.06000000000006"/>
    <n v="16645.16"/>
    <n v="1707.3000000000002"/>
    <n v="74291.55"/>
    <n v="74291.55"/>
    <n v="0"/>
    <n v="550.13"/>
    <n v="0"/>
    <n v="0"/>
    <n v="0"/>
    <n v="0"/>
    <n v="57647"/>
    <n v="16096"/>
    <n v="0"/>
    <n v="759"/>
    <n v="0"/>
  </r>
  <r>
    <x v="289"/>
    <s v="PARSHAMA"/>
    <s v="MPG"/>
    <s v="Direct"/>
    <n v="74.7"/>
    <n v="2668.9399999999996"/>
    <n v="74"/>
    <n v="2658.13"/>
    <n v="0.30000000000000004"/>
    <n v="10.98"/>
    <n v="74.3"/>
    <n v="2669.11"/>
    <n v="2668.9399999999996"/>
    <n v="0"/>
    <n v="10.98"/>
    <n v="0.17000000000052751"/>
    <n v="0"/>
    <n v="0"/>
    <n v="0"/>
    <n v="2658"/>
    <n v="0"/>
    <n v="0"/>
    <n v="0"/>
    <n v="0"/>
  </r>
  <r>
    <x v="290"/>
    <s v="PRATAPUR 2"/>
    <s v="vlc"/>
    <s v="Indirect"/>
    <n v="211"/>
    <n v="9517.6899999999987"/>
    <n v="0"/>
    <n v="0"/>
    <n v="0"/>
    <n v="0"/>
    <n v="0"/>
    <n v="0"/>
    <n v="9517.6899999999987"/>
    <n v="0"/>
    <n v="0"/>
    <n v="0"/>
    <n v="0"/>
    <n v="0"/>
    <n v="0"/>
    <n v="0"/>
    <n v="0"/>
    <n v="9517.6899999999987"/>
    <n v="0"/>
    <n v="0"/>
  </r>
  <r>
    <x v="291"/>
    <s v="BALLOPUR"/>
    <s v="MPG"/>
    <s v="Direct"/>
    <n v="1295.8"/>
    <n v="56553"/>
    <n v="1269.0999999999997"/>
    <n v="59454.1"/>
    <n v="2.5"/>
    <n v="184.05"/>
    <n v="1271.5999999999997"/>
    <n v="59638.15"/>
    <n v="56553"/>
    <n v="0"/>
    <n v="184.05"/>
    <n v="3085.1500000000015"/>
    <n v="0"/>
    <n v="0"/>
    <n v="0"/>
    <n v="56369"/>
    <n v="0"/>
    <n v="0"/>
    <n v="0"/>
    <n v="0"/>
  </r>
  <r>
    <x v="292"/>
    <s v="KHAIRMA"/>
    <s v="MPG"/>
    <s v="Direct"/>
    <n v="587.29999999999995"/>
    <n v="22168.079999999994"/>
    <n v="644.30000000000007"/>
    <n v="25641.88"/>
    <n v="2.0000000000000004"/>
    <n v="75.820000000000007"/>
    <n v="646.30000000000007"/>
    <n v="25717.7"/>
    <n v="22168.079999999994"/>
    <n v="0"/>
    <n v="75.820000000000007"/>
    <n v="3549.6200000000063"/>
    <n v="0"/>
    <n v="0"/>
    <n v="0"/>
    <n v="22092"/>
    <n v="0"/>
    <n v="0"/>
    <n v="0"/>
    <n v="0"/>
  </r>
  <r>
    <x v="293"/>
    <s v="MAHASONI"/>
    <s v="MPG"/>
    <s v="Direct"/>
    <n v="891.1"/>
    <n v="36057.480000000003"/>
    <n v="896.89999999999986"/>
    <n v="35173.50999999998"/>
    <n v="12.800000000000002"/>
    <n v="499.28999999999996"/>
    <n v="909.69999999999982"/>
    <n v="35672.799999999981"/>
    <n v="35672.799999999981"/>
    <n v="0"/>
    <n v="499.28999999999996"/>
    <n v="0"/>
    <n v="0"/>
    <n v="0"/>
    <n v="0"/>
    <n v="35174"/>
    <n v="0"/>
    <n v="0"/>
    <n v="384"/>
    <n v="0"/>
  </r>
  <r>
    <x v="294"/>
    <s v="SONDHI"/>
    <s v="MPG"/>
    <s v="Direct"/>
    <n v="730.19999999999982"/>
    <n v="29128.149999999998"/>
    <n v="733.8"/>
    <n v="28924.49"/>
    <n v="4.9000000000000004"/>
    <n v="202.46"/>
    <n v="738.69999999999993"/>
    <n v="29126.95"/>
    <n v="29126.95"/>
    <n v="0"/>
    <n v="202.46"/>
    <n v="0"/>
    <n v="0"/>
    <n v="0"/>
    <n v="0"/>
    <n v="28924"/>
    <n v="0"/>
    <n v="0"/>
    <n v="2"/>
    <n v="0"/>
  </r>
  <r>
    <x v="295"/>
    <s v="BELDARAYA"/>
    <s v="vlc"/>
    <s v="Indirect"/>
    <n v="850.30000000000007"/>
    <n v="32893.199999999997"/>
    <n v="0"/>
    <n v="0"/>
    <n v="0"/>
    <n v="0"/>
    <n v="0"/>
    <n v="0"/>
    <n v="32893.199999999997"/>
    <n v="0"/>
    <n v="0"/>
    <n v="0"/>
    <n v="0"/>
    <n v="0"/>
    <n v="0"/>
    <n v="0"/>
    <n v="0"/>
    <n v="32893.199999999997"/>
    <n v="0"/>
    <n v="0"/>
  </r>
  <r>
    <x v="296"/>
    <s v="Gomukh ID Aure-2"/>
    <s v="vlc"/>
    <s v="Indirect"/>
    <n v="1050.3000000000002"/>
    <n v="40712.200000000004"/>
    <n v="0"/>
    <n v="0"/>
    <n v="0"/>
    <n v="0"/>
    <n v="0"/>
    <n v="0"/>
    <n v="40712.200000000004"/>
    <n v="0"/>
    <n v="0"/>
    <n v="0"/>
    <n v="0"/>
    <n v="0"/>
    <n v="0"/>
    <n v="0"/>
    <n v="0"/>
    <n v="40712.200000000004"/>
    <n v="0"/>
    <n v="0"/>
  </r>
  <r>
    <x v="297"/>
    <s v="Gomukh Karma"/>
    <s v="vlc"/>
    <s v="Indirect"/>
    <n v="717.1"/>
    <n v="30321.18"/>
    <n v="0"/>
    <n v="0"/>
    <n v="0"/>
    <n v="0"/>
    <n v="0"/>
    <n v="0"/>
    <n v="30321.18"/>
    <n v="0"/>
    <n v="0"/>
    <n v="0"/>
    <n v="0"/>
    <n v="0"/>
    <n v="0"/>
    <n v="0"/>
    <n v="0"/>
    <n v="30321.18"/>
    <n v="0"/>
    <n v="0"/>
  </r>
  <r>
    <x v="298"/>
    <s v="GOMUKH UKSI"/>
    <s v="vlc"/>
    <s v="Indirect"/>
    <n v="599.5"/>
    <n v="27069.89"/>
    <n v="0"/>
    <n v="0"/>
    <n v="0"/>
    <n v="0"/>
    <n v="0"/>
    <n v="0"/>
    <n v="27069.89"/>
    <n v="0"/>
    <n v="0"/>
    <n v="0"/>
    <n v="0"/>
    <n v="0"/>
    <n v="0"/>
    <n v="0"/>
    <n v="0"/>
    <n v="27069.89"/>
    <n v="0"/>
    <n v="0"/>
  </r>
  <r>
    <x v="299"/>
    <s v="Gomukh ID Halsi"/>
    <s v="vlc"/>
    <s v="Indirect"/>
    <n v="5198.7000000000007"/>
    <n v="193520.19"/>
    <n v="0"/>
    <n v="0"/>
    <n v="0"/>
    <n v="0"/>
    <n v="0"/>
    <n v="0"/>
    <n v="193520.19"/>
    <n v="0"/>
    <n v="0"/>
    <n v="0"/>
    <n v="0"/>
    <n v="0"/>
    <n v="0"/>
    <n v="0"/>
    <n v="0"/>
    <n v="193520.19"/>
    <n v="0"/>
    <n v="0"/>
  </r>
  <r>
    <x v="300"/>
    <s v="Gomukh ID Lalpur"/>
    <s v="vlc"/>
    <s v="Indirect"/>
    <n v="663.19999999999993"/>
    <n v="27044.41"/>
    <n v="0"/>
    <n v="0"/>
    <n v="0"/>
    <n v="0"/>
    <n v="0"/>
    <n v="0"/>
    <n v="27044.41"/>
    <n v="0"/>
    <n v="0"/>
    <n v="0"/>
    <n v="0"/>
    <n v="0"/>
    <n v="0"/>
    <n v="0"/>
    <n v="0"/>
    <n v="27044.41"/>
    <n v="0"/>
    <n v="0"/>
  </r>
  <r>
    <x v="301"/>
    <s v="KHURIYARI"/>
    <s v="MPG"/>
    <s v="Direct"/>
    <n v="1252.0999999999997"/>
    <n v="56997.01"/>
    <n v="1156.7"/>
    <n v="55439.44"/>
    <n v="1.9999999999999998"/>
    <n v="90.12"/>
    <n v="1158.7"/>
    <n v="55529.560000000005"/>
    <n v="55529.560000000005"/>
    <n v="0"/>
    <n v="90.12"/>
    <n v="0"/>
    <n v="0"/>
    <n v="0"/>
    <n v="0"/>
    <n v="55440"/>
    <n v="0"/>
    <n v="0"/>
    <n v="1467"/>
    <n v="0"/>
  </r>
  <r>
    <x v="302"/>
    <s v="BISANPUR"/>
    <s v="vlc"/>
    <s v="Indirect"/>
    <n v="406.8"/>
    <n v="16275.619999999999"/>
    <n v="0"/>
    <n v="0"/>
    <n v="0"/>
    <n v="0"/>
    <n v="0"/>
    <n v="0"/>
    <n v="16275.619999999999"/>
    <n v="0"/>
    <n v="0"/>
    <n v="0"/>
    <n v="0"/>
    <n v="0"/>
    <n v="0"/>
    <n v="0"/>
    <n v="0"/>
    <n v="16275.619999999999"/>
    <n v="0"/>
    <n v="0"/>
  </r>
  <r>
    <x v="303"/>
    <s v="BEHRAMA"/>
    <s v="vlc"/>
    <s v="Indirect"/>
    <n v="173.00000000000003"/>
    <n v="6810.2199999999984"/>
    <n v="0"/>
    <n v="0"/>
    <n v="0"/>
    <n v="0"/>
    <n v="0"/>
    <n v="0"/>
    <n v="6810.2199999999984"/>
    <n v="0"/>
    <n v="0"/>
    <n v="0"/>
    <n v="0"/>
    <n v="0"/>
    <n v="0"/>
    <n v="0"/>
    <n v="0"/>
    <n v="6810.2199999999984"/>
    <n v="0"/>
    <n v="0"/>
  </r>
  <r>
    <x v="304"/>
    <s v="Gomukh ID Mathurapur"/>
    <s v="vlc"/>
    <s v="Indirect"/>
    <n v="459"/>
    <n v="18561.489999999998"/>
    <n v="0"/>
    <n v="0"/>
    <n v="0"/>
    <n v="0"/>
    <n v="0"/>
    <n v="0"/>
    <n v="18561.489999999998"/>
    <n v="0"/>
    <n v="0"/>
    <n v="0"/>
    <n v="0"/>
    <n v="0"/>
    <n v="0"/>
    <n v="0"/>
    <n v="0"/>
    <n v="18561.489999999998"/>
    <n v="0"/>
    <n v="0"/>
  </r>
  <r>
    <x v="305"/>
    <s v="Gomukh ID Kurha Dih"/>
    <s v="vlc"/>
    <s v="Indirect"/>
    <n v="2038.6000000000004"/>
    <n v="89810.36"/>
    <n v="0"/>
    <n v="0"/>
    <n v="0"/>
    <n v="0"/>
    <n v="0"/>
    <n v="0"/>
    <n v="89810.36"/>
    <n v="0"/>
    <n v="0"/>
    <n v="0"/>
    <n v="0"/>
    <n v="0"/>
    <n v="0"/>
    <n v="0"/>
    <n v="0"/>
    <n v="89810.36"/>
    <n v="0"/>
    <n v="0"/>
  </r>
  <r>
    <x v="306"/>
    <s v="RAMNAGAR"/>
    <s v="MPG"/>
    <s v="Direct"/>
    <n v="772.20000000000016"/>
    <n v="34539.72"/>
    <n v="810.98"/>
    <n v="34293.249999999993"/>
    <n v="5.29"/>
    <n v="252.97"/>
    <n v="816.27"/>
    <n v="34546.219999999994"/>
    <n v="34539.72"/>
    <n v="0"/>
    <n v="252.97"/>
    <n v="6.499999999992724"/>
    <n v="0"/>
    <n v="0"/>
    <n v="0"/>
    <n v="34287"/>
    <n v="0"/>
    <n v="0"/>
    <n v="0"/>
    <n v="0"/>
  </r>
  <r>
    <x v="307"/>
    <s v="SANDH MAAF 2"/>
    <s v="MPG"/>
    <s v="Direct"/>
    <n v="846.1"/>
    <n v="39963.560000000012"/>
    <n v="848.82999999999993"/>
    <n v="40443.340000000004"/>
    <n v="4.3099999999999996"/>
    <n v="211.79"/>
    <n v="853.13999999999987"/>
    <n v="40655.130000000005"/>
    <n v="39963.560000000012"/>
    <n v="0"/>
    <n v="211.79"/>
    <n v="691.56999999999243"/>
    <n v="0"/>
    <n v="0"/>
    <n v="0"/>
    <n v="39752"/>
    <n v="0"/>
    <n v="0"/>
    <n v="0"/>
    <n v="0"/>
  </r>
  <r>
    <x v="308"/>
    <s v="TAAL-SHAHARSHA                                                                                      "/>
    <s v="MPG"/>
    <s v="Direct"/>
    <n v="1554.7999999999997"/>
    <n v="68790.439999999973"/>
    <n v="1541.1399999999999"/>
    <n v="67692.509999999995"/>
    <n v="15.240000000000002"/>
    <n v="675.95"/>
    <n v="1556.3799999999999"/>
    <n v="68368.459999999992"/>
    <n v="68368.459999999992"/>
    <n v="0"/>
    <n v="675.95"/>
    <n v="0"/>
    <n v="0"/>
    <n v="0"/>
    <n v="0"/>
    <n v="67691"/>
    <n v="0"/>
    <n v="0"/>
    <n v="423"/>
    <n v="0"/>
  </r>
  <r>
    <x v="309"/>
    <s v="Dhira"/>
    <s v="MPG"/>
    <s v="Direct"/>
    <n v="663.7"/>
    <n v="34404.67"/>
    <n v="612.9"/>
    <n v="32755.09"/>
    <n v="53.510000000000005"/>
    <n v="2980.4400000000005"/>
    <n v="666.41"/>
    <n v="35735.53"/>
    <n v="34404.67"/>
    <n v="0"/>
    <n v="287.16999999999996"/>
    <n v="1330.8600000000006"/>
    <n v="0"/>
    <n v="0"/>
    <n v="0"/>
    <n v="31424"/>
    <n v="2693"/>
    <n v="0"/>
    <n v="1"/>
    <n v="0"/>
  </r>
  <r>
    <x v="310"/>
    <s v="SHARMA"/>
    <s v="MPG"/>
    <s v="Direct"/>
    <n v="108.80000000000003"/>
    <n v="4364.6499999999996"/>
    <n v="108.80000000000001"/>
    <n v="4361.04"/>
    <n v="0"/>
    <n v="0"/>
    <n v="108.80000000000001"/>
    <n v="4361.04"/>
    <n v="4361.04"/>
    <n v="0"/>
    <n v="0"/>
    <n v="0"/>
    <n v="0"/>
    <n v="0"/>
    <n v="0"/>
    <n v="4361"/>
    <n v="0"/>
    <n v="0"/>
    <n v="4"/>
    <n v="0"/>
  </r>
  <r>
    <x v="311"/>
    <s v="AZADNAGAR(VLC)"/>
    <s v="vlc"/>
    <s v="Indirect"/>
    <n v="379.4"/>
    <n v="11737.21"/>
    <n v="0"/>
    <n v="0"/>
    <n v="0"/>
    <n v="0"/>
    <n v="0"/>
    <n v="0"/>
    <n v="11737.21"/>
    <n v="0"/>
    <n v="0"/>
    <n v="0"/>
    <n v="0"/>
    <n v="0"/>
    <n v="0"/>
    <n v="0"/>
    <n v="0"/>
    <n v="11737.21"/>
    <n v="0"/>
    <n v="0"/>
  </r>
  <r>
    <x v="312"/>
    <s v="REWAI"/>
    <s v="MPG"/>
    <s v="Direct"/>
    <n v="869.4"/>
    <n v="38335.25"/>
    <n v="883.68"/>
    <n v="39634.259999999995"/>
    <n v="2.59"/>
    <n v="122.23000000000002"/>
    <n v="886.27"/>
    <n v="39756.49"/>
    <n v="38335.25"/>
    <n v="0"/>
    <n v="122.23000000000002"/>
    <n v="1421.239999999998"/>
    <n v="0"/>
    <n v="0"/>
    <n v="0"/>
    <n v="38213"/>
    <n v="0"/>
    <n v="0"/>
    <n v="0"/>
    <n v="0"/>
  </r>
  <r>
    <x v="313"/>
    <s v="MANJOS"/>
    <s v="MPG"/>
    <s v="Direct"/>
    <n v="87.499999999999986"/>
    <n v="3634.93"/>
    <n v="87.7"/>
    <n v="3643.36"/>
    <n v="0"/>
    <n v="0"/>
    <n v="87.7"/>
    <n v="3643.36"/>
    <n v="3634.93"/>
    <n v="0"/>
    <n v="0"/>
    <n v="8.430000000000291"/>
    <n v="0"/>
    <n v="0"/>
    <n v="0"/>
    <n v="3635"/>
    <n v="0"/>
    <n v="0"/>
    <n v="0"/>
    <n v="0"/>
  </r>
  <r>
    <x v="314"/>
    <s v="RATA"/>
    <s v="MPG"/>
    <s v="Direct"/>
    <n v="487"/>
    <n v="23458.930000000004"/>
    <n v="494.44999999999987"/>
    <n v="24061.660000000003"/>
    <n v="0"/>
    <n v="0"/>
    <n v="494.44999999999987"/>
    <n v="24061.660000000003"/>
    <n v="23458.930000000004"/>
    <n v="0"/>
    <n v="0"/>
    <n v="602.72999999999956"/>
    <n v="0"/>
    <n v="0"/>
    <n v="0"/>
    <n v="23459"/>
    <n v="0"/>
    <n v="0"/>
    <n v="0"/>
    <n v="0"/>
  </r>
  <r>
    <x v="315"/>
    <s v="BARUI"/>
    <s v="MPG"/>
    <s v="Direct"/>
    <n v="285.99999999999994"/>
    <n v="13008.58"/>
    <n v="286.05"/>
    <n v="13023.15"/>
    <n v="7.9499999999999993"/>
    <n v="359.59"/>
    <n v="294"/>
    <n v="13382.74"/>
    <n v="13008.58"/>
    <n v="0"/>
    <n v="359.59"/>
    <n v="374.15999999999985"/>
    <n v="0"/>
    <n v="0"/>
    <n v="0"/>
    <n v="12649"/>
    <n v="0"/>
    <n v="0"/>
    <n v="0"/>
    <n v="0"/>
  </r>
  <r>
    <x v="316"/>
    <s v="LAHUARA                                                                                             "/>
    <s v="MPG"/>
    <s v="Direct"/>
    <n v="722.5"/>
    <n v="39151.499999999993"/>
    <n v="725.88"/>
    <n v="41264.39"/>
    <n v="6.62"/>
    <n v="385.31000000000006"/>
    <n v="732.5"/>
    <n v="41649.699999999997"/>
    <n v="39151.499999999993"/>
    <n v="0"/>
    <n v="385.31000000000006"/>
    <n v="2498.2000000000044"/>
    <n v="0"/>
    <n v="0"/>
    <n v="0"/>
    <n v="38766"/>
    <n v="0"/>
    <n v="0"/>
    <n v="0"/>
    <n v="0"/>
  </r>
  <r>
    <x v="317"/>
    <s v="RAMDIH Ajit Kumar"/>
    <s v="vlc"/>
    <s v="Indirect"/>
    <n v="358.70000000000005"/>
    <n v="13769.619999999999"/>
    <n v="0"/>
    <n v="0"/>
    <n v="0"/>
    <n v="0"/>
    <n v="0"/>
    <n v="0"/>
    <n v="13769.619999999999"/>
    <n v="0"/>
    <n v="0"/>
    <n v="0"/>
    <n v="0"/>
    <n v="0"/>
    <n v="0"/>
    <n v="0"/>
    <n v="0"/>
    <n v="13769.619999999999"/>
    <n v="0"/>
    <n v="0"/>
  </r>
  <r>
    <x v="318"/>
    <s v="NARAYANPUR"/>
    <s v="MPG"/>
    <s v="Direct"/>
    <n v="342.09999999999997"/>
    <n v="14959.68"/>
    <n v="388.14000000000004"/>
    <n v="16616.96"/>
    <n v="1.5400000000000003"/>
    <n v="70.209999999999994"/>
    <n v="389.68000000000006"/>
    <n v="16687.169999999998"/>
    <n v="14959.68"/>
    <n v="0"/>
    <n v="70.209999999999994"/>
    <n v="1727.489999999998"/>
    <n v="0"/>
    <n v="0"/>
    <n v="0"/>
    <n v="14889"/>
    <n v="0"/>
    <n v="0"/>
    <n v="0"/>
    <n v="0"/>
  </r>
  <r>
    <x v="319"/>
    <s v="NAWKADIH"/>
    <s v="MPG"/>
    <s v="Direct"/>
    <n v="751.6"/>
    <n v="33915.75"/>
    <n v="752.7399999999999"/>
    <n v="36308.989999999991"/>
    <n v="0"/>
    <n v="0"/>
    <n v="752.7399999999999"/>
    <n v="36308.989999999991"/>
    <n v="33915.75"/>
    <n v="0"/>
    <n v="0"/>
    <n v="2393.2399999999907"/>
    <n v="0"/>
    <n v="0"/>
    <n v="0"/>
    <n v="33916"/>
    <n v="0"/>
    <n v="0"/>
    <n v="0"/>
    <n v="0"/>
  </r>
  <r>
    <x v="320"/>
    <s v="CHOTAHA"/>
    <s v="MPG"/>
    <s v="Direct"/>
    <n v="350.90000000000003"/>
    <n v="16954.71"/>
    <n v="974.78000000000009"/>
    <n v="73963.66"/>
    <n v="0"/>
    <n v="0"/>
    <n v="974.78000000000009"/>
    <n v="73963.66"/>
    <n v="16954.71"/>
    <n v="0"/>
    <n v="0"/>
    <n v="57008.950000000004"/>
    <n v="0"/>
    <n v="0"/>
    <n v="0"/>
    <n v="16955"/>
    <n v="0"/>
    <n v="0"/>
    <n v="0"/>
    <s v="Release5"/>
  </r>
  <r>
    <x v="321"/>
    <s v="KHARAGWADA "/>
    <s v="MPG"/>
    <s v="Direct"/>
    <n v="240.29999999999995"/>
    <n v="11495.099999999999"/>
    <n v="240.3"/>
    <n v="11606.18"/>
    <n v="0"/>
    <n v="0"/>
    <n v="240.3"/>
    <n v="11606.18"/>
    <n v="11495.099999999999"/>
    <n v="0"/>
    <n v="0"/>
    <n v="111.08000000000175"/>
    <n v="0"/>
    <n v="500"/>
    <n v="0"/>
    <n v="10995"/>
    <n v="0"/>
    <n v="0"/>
    <n v="0"/>
    <n v="0"/>
  </r>
  <r>
    <x v="322"/>
    <s v="UFFAPUR"/>
    <s v="MPG"/>
    <s v="Direct"/>
    <n v="215.2"/>
    <n v="10426.129999999999"/>
    <n v="244.19999999999996"/>
    <n v="12504.859999999999"/>
    <n v="0"/>
    <n v="0"/>
    <n v="244.19999999999996"/>
    <n v="12504.859999999999"/>
    <n v="10426.129999999999"/>
    <n v="0"/>
    <n v="0"/>
    <n v="2078.7299999999996"/>
    <n v="0"/>
    <n v="500"/>
    <n v="0"/>
    <n v="9926"/>
    <n v="0"/>
    <n v="0"/>
    <n v="0"/>
    <n v="0"/>
  </r>
  <r>
    <x v="323"/>
    <s v="BIHRAURA"/>
    <s v="MPG"/>
    <s v="Direct"/>
    <n v="183.6"/>
    <n v="9687.7300000000014"/>
    <n v="183.6"/>
    <n v="9712.48"/>
    <n v="0"/>
    <n v="0"/>
    <n v="183.6"/>
    <n v="9712.48"/>
    <n v="9687.7300000000014"/>
    <n v="0"/>
    <n v="0"/>
    <n v="24.749999999998181"/>
    <n v="0"/>
    <n v="500"/>
    <n v="0"/>
    <n v="9188"/>
    <n v="0"/>
    <n v="0"/>
    <n v="0"/>
    <n v="0"/>
  </r>
  <r>
    <x v="324"/>
    <s v="SHIJHORI"/>
    <s v="MPG"/>
    <s v="Direct"/>
    <n v="361.90000000000003"/>
    <n v="16789.21"/>
    <n v="373.15000000000003"/>
    <n v="17392.209999999995"/>
    <n v="0"/>
    <n v="0"/>
    <n v="373.15000000000003"/>
    <n v="17392.209999999995"/>
    <n v="16789.21"/>
    <n v="0"/>
    <n v="0"/>
    <n v="602.99999999999636"/>
    <n v="0"/>
    <n v="0"/>
    <n v="0"/>
    <n v="16789"/>
    <n v="0"/>
    <n v="0"/>
    <n v="0"/>
    <n v="0"/>
  </r>
  <r>
    <x v="325"/>
    <s v="RAM PRAVESH YADAV"/>
    <s v="MPG"/>
    <s v="Direct"/>
    <n v="597.79999999999995"/>
    <n v="26009.090000000004"/>
    <n v="602.57000000000005"/>
    <n v="27535.65"/>
    <n v="0"/>
    <n v="0"/>
    <n v="602.57000000000005"/>
    <n v="27535.65"/>
    <n v="26009.090000000004"/>
    <n v="0"/>
    <n v="0"/>
    <n v="1526.5599999999977"/>
    <n v="0"/>
    <n v="0"/>
    <n v="0"/>
    <n v="26009"/>
    <n v="0"/>
    <n v="0"/>
    <n v="0"/>
    <n v="0"/>
  </r>
  <r>
    <x v="326"/>
    <s v="MAHMADPUR VL"/>
    <s v="vlc"/>
    <s v="Indirect"/>
    <n v="950.5999999999998"/>
    <n v="42330.5"/>
    <n v="0"/>
    <n v="0"/>
    <n v="0"/>
    <n v="0"/>
    <n v="0"/>
    <n v="0"/>
    <n v="42330.5"/>
    <n v="0"/>
    <n v="0"/>
    <n v="0"/>
    <n v="0"/>
    <n v="0"/>
    <n v="0"/>
    <n v="0"/>
    <n v="0"/>
    <n v="42330.5"/>
    <n v="0"/>
    <n v="0"/>
  </r>
  <r>
    <x v="327"/>
    <s v="BOUDHNAGAR"/>
    <s v="MPG"/>
    <s v="Direct"/>
    <n v="404.99999999999994"/>
    <n v="16383.21"/>
    <n v="429.1099999999999"/>
    <n v="18429.97"/>
    <n v="0"/>
    <n v="0"/>
    <n v="429.1099999999999"/>
    <n v="18429.97"/>
    <n v="16383.21"/>
    <n v="0"/>
    <n v="0"/>
    <n v="2046.760000000002"/>
    <n v="0"/>
    <n v="0"/>
    <n v="0"/>
    <n v="16383"/>
    <n v="0"/>
    <n v="0"/>
    <n v="0"/>
    <n v="0"/>
  </r>
  <r>
    <x v="328"/>
    <s v="MOHADDINGAR"/>
    <s v="MPG"/>
    <s v="Direct"/>
    <n v="420.2"/>
    <n v="17964.560000000001"/>
    <n v="463.65"/>
    <n v="19982.660000000003"/>
    <n v="0"/>
    <n v="0"/>
    <n v="463.65"/>
    <n v="19982.660000000003"/>
    <n v="17964.560000000001"/>
    <n v="0"/>
    <n v="0"/>
    <n v="2018.1000000000022"/>
    <n v="0"/>
    <n v="0"/>
    <n v="0"/>
    <n v="17965"/>
    <n v="0"/>
    <n v="0"/>
    <n v="0"/>
    <n v="0"/>
  </r>
  <r>
    <x v="329"/>
    <s v="PACHAUTA"/>
    <s v="MPG"/>
    <s v="Direct"/>
    <n v="532.90000000000009"/>
    <n v="21434.63"/>
    <n v="573.7700000000001"/>
    <n v="25335.410000000003"/>
    <n v="0"/>
    <n v="0"/>
    <n v="573.7700000000001"/>
    <n v="25335.410000000003"/>
    <n v="21434.63"/>
    <n v="0"/>
    <n v="0"/>
    <n v="3900.7800000000025"/>
    <n v="0"/>
    <n v="0"/>
    <n v="0"/>
    <n v="21435"/>
    <n v="0"/>
    <n v="0"/>
    <n v="0"/>
    <n v="0"/>
  </r>
  <r>
    <x v="330"/>
    <s v="Gomukh Champa"/>
    <s v="vlc"/>
    <s v="Indirect"/>
    <n v="10000"/>
    <n v="409860"/>
    <n v="0"/>
    <n v="0"/>
    <n v="0"/>
    <n v="0"/>
    <n v="0"/>
    <n v="0"/>
    <n v="409860"/>
    <n v="0"/>
    <n v="0"/>
    <n v="0"/>
    <n v="0"/>
    <n v="0"/>
    <n v="0"/>
    <n v="0"/>
    <n v="0"/>
    <n v="409860"/>
    <n v="0"/>
    <n v="0"/>
  </r>
  <r>
    <x v="331"/>
    <s v="GOMUKH DAKRA"/>
    <s v="vlc"/>
    <s v="Indirect"/>
    <n v="11000"/>
    <n v="453300"/>
    <n v="0"/>
    <n v="0"/>
    <n v="0"/>
    <n v="0"/>
    <n v="0"/>
    <n v="0"/>
    <n v="453300"/>
    <n v="0"/>
    <n v="0"/>
    <n v="0"/>
    <n v="0"/>
    <n v="0"/>
    <n v="0"/>
    <n v="0"/>
    <n v="0"/>
    <n v="453300"/>
    <n v="0"/>
    <n v="0"/>
  </r>
  <r>
    <x v="332"/>
    <s v="TIYAY"/>
    <s v="MPG"/>
    <s v="Direct"/>
    <n v="238.89999999999998"/>
    <n v="8612.9600000000028"/>
    <n v="253.8"/>
    <n v="9266.4"/>
    <n v="0"/>
    <n v="0"/>
    <n v="253.8"/>
    <n v="9266.4"/>
    <n v="8612.9600000000028"/>
    <n v="0"/>
    <n v="0"/>
    <n v="653.43999999999687"/>
    <n v="0"/>
    <n v="0"/>
    <n v="0"/>
    <n v="8613"/>
    <n v="0"/>
    <n v="0"/>
    <n v="0"/>
    <n v="0"/>
  </r>
  <r>
    <x v="333"/>
    <s v="BILLO 2"/>
    <s v="MPG"/>
    <s v="Direct"/>
    <n v="295.5"/>
    <n v="12046.460000000003"/>
    <n v="295.5"/>
    <n v="12035.130000000001"/>
    <n v="0"/>
    <n v="0"/>
    <n v="295.5"/>
    <n v="12035.130000000001"/>
    <n v="12035.130000000001"/>
    <n v="0"/>
    <n v="0"/>
    <n v="0"/>
    <n v="0"/>
    <n v="0"/>
    <n v="0"/>
    <n v="12035"/>
    <n v="0"/>
    <n v="0"/>
    <n v="11"/>
    <n v="0"/>
  </r>
  <r>
    <x v="334"/>
    <s v="NAWADIH 2"/>
    <s v="MPG"/>
    <s v="Direct"/>
    <n v="529.29999999999995"/>
    <n v="26406.93"/>
    <n v="449.2"/>
    <n v="22751.489999999998"/>
    <n v="79.900000000000006"/>
    <n v="3642.99"/>
    <n v="529.1"/>
    <n v="26394.479999999996"/>
    <n v="26394.479999999996"/>
    <n v="0"/>
    <n v="0"/>
    <n v="0"/>
    <n v="0"/>
    <n v="0"/>
    <n v="0"/>
    <n v="22752"/>
    <n v="3643"/>
    <n v="0"/>
    <n v="12"/>
    <n v="0"/>
  </r>
  <r>
    <x v="335"/>
    <s v="Vishan Pur"/>
    <s v="MPG"/>
    <s v="Direct"/>
    <n v="784.7"/>
    <n v="30847.510000000002"/>
    <n v="780.0100000000001"/>
    <n v="32333.38"/>
    <n v="4.1899999999999995"/>
    <n v="172.89"/>
    <n v="784.20000000000016"/>
    <n v="32506.27"/>
    <n v="30847.510000000002"/>
    <n v="0"/>
    <n v="172.89"/>
    <n v="1658.7599999999984"/>
    <n v="0"/>
    <n v="0"/>
    <n v="0"/>
    <n v="30675"/>
    <n v="0"/>
    <n v="0"/>
    <n v="0"/>
    <s v="Release4"/>
  </r>
  <r>
    <x v="336"/>
    <s v="Gomukh Madhawpur"/>
    <s v="MPG"/>
    <s v="Direct"/>
    <n v="1686.7999999999997"/>
    <n v="70034.95"/>
    <n v="2901.9"/>
    <n v="140897.57"/>
    <n v="6.5"/>
    <n v="316.28999999999991"/>
    <n v="2908.4"/>
    <n v="141213.86000000002"/>
    <n v="70034.95"/>
    <n v="0"/>
    <n v="316.28999999999991"/>
    <n v="71178.910000000018"/>
    <n v="0"/>
    <n v="0"/>
    <n v="0"/>
    <n v="69719"/>
    <n v="0"/>
    <n v="0"/>
    <n v="0"/>
    <n v="0"/>
  </r>
  <r>
    <x v="337"/>
    <s v="Gomukh Muradpur"/>
    <s v="vlc"/>
    <s v="Indirect"/>
    <n v="127"/>
    <n v="4830.41"/>
    <n v="0"/>
    <n v="0"/>
    <n v="0"/>
    <n v="0"/>
    <n v="0"/>
    <n v="0"/>
    <n v="4830.41"/>
    <n v="0"/>
    <n v="0"/>
    <n v="0"/>
    <n v="0"/>
    <n v="0"/>
    <n v="0"/>
    <n v="0"/>
    <n v="0"/>
    <n v="4830.41"/>
    <n v="0"/>
    <n v="0"/>
  </r>
  <r>
    <x v="338"/>
    <s v="Gomukh Kanhaiyachak Pachhim"/>
    <s v="MPG"/>
    <s v="Direct"/>
    <n v="1329.6"/>
    <n v="51922.530000000006"/>
    <n v="1369.79"/>
    <n v="58163.94"/>
    <n v="0"/>
    <n v="0"/>
    <n v="1369.79"/>
    <n v="58163.94"/>
    <n v="51922.530000000006"/>
    <n v="0"/>
    <n v="0"/>
    <n v="6241.4099999999962"/>
    <n v="0"/>
    <n v="0"/>
    <n v="0"/>
    <n v="51923"/>
    <n v="0"/>
    <n v="0"/>
    <n v="0"/>
    <n v="0"/>
  </r>
  <r>
    <x v="339"/>
    <s v="Gomukh Srirampur Thuthi"/>
    <s v="MPG"/>
    <s v="Direct"/>
    <n v="416.7"/>
    <n v="17370.439999999999"/>
    <n v="416.53000000000003"/>
    <n v="17130.95"/>
    <n v="0"/>
    <n v="0"/>
    <n v="416.53000000000003"/>
    <n v="17130.95"/>
    <n v="17130.95"/>
    <n v="0"/>
    <n v="0"/>
    <n v="0"/>
    <n v="0"/>
    <n v="0"/>
    <n v="0"/>
    <n v="17130"/>
    <n v="0"/>
    <n v="0"/>
    <n v="240"/>
    <n v="0"/>
  </r>
  <r>
    <x v="340"/>
    <s v="Gomukh Dumariya Bujurg Madhay"/>
    <s v="MPG"/>
    <s v="Direct"/>
    <n v="299.3"/>
    <n v="12655.5"/>
    <n v="299.89999999999998"/>
    <n v="12726.18"/>
    <n v="0"/>
    <n v="0"/>
    <n v="299.89999999999998"/>
    <n v="12726.18"/>
    <n v="12655.5"/>
    <n v="0"/>
    <n v="0"/>
    <n v="70.680000000000291"/>
    <n v="0"/>
    <n v="0"/>
    <n v="0"/>
    <n v="12655"/>
    <n v="0"/>
    <n v="0"/>
    <n v="1"/>
    <n v="0"/>
  </r>
  <r>
    <x v="341"/>
    <s v="Gomukh Bandahera                                                                                    "/>
    <s v="MPG"/>
    <s v="Direct"/>
    <n v="552.89999999999986"/>
    <n v="22841.15"/>
    <n v="584.70000000000005"/>
    <n v="24190.21"/>
    <n v="1.4000000000000001"/>
    <n v="58.53"/>
    <n v="586.1"/>
    <n v="24248.739999999998"/>
    <n v="22841.15"/>
    <n v="0"/>
    <n v="58.53"/>
    <n v="1407.5899999999965"/>
    <n v="0"/>
    <n v="0"/>
    <n v="0"/>
    <n v="22783"/>
    <n v="0"/>
    <n v="0"/>
    <n v="0"/>
    <s v="Release4"/>
  </r>
  <r>
    <x v="342"/>
    <s v="Gomukh Badi Lagar-1 Kiran"/>
    <s v="vlc"/>
    <s v="Indirect"/>
    <n v="818.9"/>
    <n v="35911.519999999997"/>
    <n v="0"/>
    <n v="0"/>
    <n v="0"/>
    <n v="0"/>
    <n v="0"/>
    <n v="0"/>
    <n v="35911.519999999997"/>
    <n v="0"/>
    <n v="0"/>
    <n v="0"/>
    <n v="0"/>
    <n v="0"/>
    <n v="0"/>
    <n v="0"/>
    <n v="0"/>
    <n v="35911.519999999997"/>
    <n v="0"/>
    <n v="0"/>
  </r>
  <r>
    <x v="343"/>
    <s v="Gomukh Muradpur Deepak"/>
    <s v="vlc"/>
    <s v="Indirect"/>
    <n v="344.4"/>
    <n v="11829.65"/>
    <n v="0"/>
    <n v="0"/>
    <n v="0"/>
    <n v="0"/>
    <n v="0"/>
    <n v="0"/>
    <n v="11829.65"/>
    <n v="0"/>
    <n v="0"/>
    <n v="0"/>
    <n v="0"/>
    <n v="0"/>
    <n v="0"/>
    <n v="0"/>
    <n v="0"/>
    <n v="11829.65"/>
    <n v="0"/>
    <n v="0"/>
  </r>
  <r>
    <x v="344"/>
    <s v="Gomukh Basudevpur"/>
    <s v="vlc"/>
    <s v="Indirect"/>
    <n v="68.7"/>
    <n v="2790.87"/>
    <n v="0"/>
    <n v="0"/>
    <n v="0"/>
    <n v="0"/>
    <n v="0"/>
    <n v="0"/>
    <n v="2790.87"/>
    <n v="0"/>
    <n v="0"/>
    <n v="0"/>
    <n v="0"/>
    <n v="0"/>
    <n v="0"/>
    <n v="0"/>
    <n v="0"/>
    <n v="2790.87"/>
    <n v="0"/>
    <n v="0"/>
  </r>
  <r>
    <x v="345"/>
    <s v="Gomukh Fudkichak"/>
    <s v="MPG"/>
    <s v="Direct"/>
    <n v="677.5"/>
    <n v="31613.499999999996"/>
    <n v="677.5"/>
    <n v="31705.840000000004"/>
    <n v="0"/>
    <n v="0"/>
    <n v="677.5"/>
    <n v="31705.840000000004"/>
    <n v="31613.499999999996"/>
    <n v="0"/>
    <n v="0"/>
    <n v="92.340000000007421"/>
    <n v="0"/>
    <n v="0"/>
    <n v="0"/>
    <n v="31613"/>
    <n v="0"/>
    <n v="0"/>
    <n v="0"/>
    <n v="0"/>
  </r>
  <r>
    <x v="346"/>
    <s v="Gomukh Tehay"/>
    <s v="MPG"/>
    <s v="Direct"/>
    <n v="240.7"/>
    <n v="11390.31"/>
    <n v="258.20000000000005"/>
    <n v="12081.310000000001"/>
    <n v="0"/>
    <n v="0"/>
    <n v="258.20000000000005"/>
    <n v="12081.310000000001"/>
    <n v="11390.31"/>
    <n v="0"/>
    <n v="0"/>
    <n v="691.00000000000182"/>
    <n v="0"/>
    <n v="500"/>
    <n v="0"/>
    <n v="10890"/>
    <n v="0"/>
    <n v="0"/>
    <n v="0"/>
    <n v="0"/>
  </r>
  <r>
    <x v="347"/>
    <s v="Gomukh Buddhnagar"/>
    <s v="vlc"/>
    <s v="Indirect"/>
    <n v="1245.3"/>
    <n v="47582.34"/>
    <n v="0"/>
    <n v="0"/>
    <n v="0"/>
    <n v="0"/>
    <n v="0"/>
    <n v="0"/>
    <n v="47582.34"/>
    <n v="0"/>
    <n v="0"/>
    <n v="0"/>
    <n v="0"/>
    <n v="0"/>
    <n v="0"/>
    <n v="0"/>
    <n v="0"/>
    <n v="47582.34"/>
    <n v="0"/>
    <n v="0"/>
  </r>
  <r>
    <x v="348"/>
    <s v="Gomukh Krochaka Dudhela"/>
    <s v="MPG"/>
    <s v="Direct"/>
    <n v="1115.0999999999999"/>
    <n v="42324.659999999996"/>
    <n v="1587.8099999999997"/>
    <n v="67693.339999999982"/>
    <n v="4.32"/>
    <n v="165.86"/>
    <n v="1592.1299999999997"/>
    <n v="67859.199999999983"/>
    <n v="42324.659999999996"/>
    <n v="0"/>
    <n v="165.86"/>
    <n v="25534.539999999986"/>
    <n v="0"/>
    <n v="0"/>
    <n v="0"/>
    <n v="42159"/>
    <n v="0"/>
    <n v="0"/>
    <n v="0"/>
    <n v="0"/>
  </r>
  <r>
    <x v="349"/>
    <s v="Gomukh Govind Pur"/>
    <s v="MPG"/>
    <s v="Direct"/>
    <n v="1191.9999999999998"/>
    <n v="47309.429999999993"/>
    <n v="1192"/>
    <n v="51029.520000000004"/>
    <n v="0"/>
    <n v="0"/>
    <n v="1192"/>
    <n v="51029.520000000004"/>
    <n v="47309.429999999993"/>
    <n v="0"/>
    <n v="0"/>
    <n v="3720.0900000000111"/>
    <n v="0"/>
    <n v="0"/>
    <n v="0"/>
    <n v="47309"/>
    <n v="0"/>
    <n v="0"/>
    <n v="0"/>
    <n v="0"/>
  </r>
  <r>
    <x v="350"/>
    <s v="Gomukh Sondiha"/>
    <s v="MPG"/>
    <s v="Direct"/>
    <n v="2099.1999999999998"/>
    <n v="80746.390000000014"/>
    <n v="2116"/>
    <n v="81791.73"/>
    <n v="0"/>
    <n v="0"/>
    <n v="2116"/>
    <n v="81791.73"/>
    <n v="80746.390000000014"/>
    <n v="0"/>
    <n v="0"/>
    <n v="1045.339999999982"/>
    <n v="0"/>
    <n v="0"/>
    <n v="0"/>
    <n v="80746"/>
    <n v="0"/>
    <n v="0"/>
    <n v="0"/>
    <n v="0"/>
  </r>
  <r>
    <x v="351"/>
    <s v="Gomukh Thebhay B"/>
    <s v="MPG"/>
    <s v="Direct"/>
    <n v="361.90000000000003"/>
    <n v="15813.609999999999"/>
    <n v="553.54000000000008"/>
    <n v="22855.62"/>
    <n v="3.29"/>
    <n v="138.49999999999997"/>
    <n v="556.83000000000004"/>
    <n v="22994.12"/>
    <n v="15813.609999999999"/>
    <n v="0"/>
    <n v="138.49999999999997"/>
    <n v="7180.51"/>
    <n v="0"/>
    <n v="0"/>
    <n v="0"/>
    <n v="15675"/>
    <n v="0"/>
    <n v="0"/>
    <n v="0"/>
    <n v="0"/>
  </r>
  <r>
    <x v="352"/>
    <s v="Gomukh Baisa"/>
    <s v="MPG"/>
    <s v="Direct"/>
    <n v="247.6"/>
    <n v="9510.5800000000017"/>
    <n v="339.6"/>
    <n v="14505.650000000001"/>
    <n v="0.89999999999999991"/>
    <n v="34.800000000000004"/>
    <n v="340.5"/>
    <n v="14540.45"/>
    <n v="9510.5800000000017"/>
    <n v="0"/>
    <n v="34.800000000000004"/>
    <n v="5029.869999999999"/>
    <n v="0"/>
    <n v="0"/>
    <n v="0"/>
    <n v="9476"/>
    <n v="0"/>
    <n v="0"/>
    <n v="0"/>
    <n v="0"/>
  </r>
  <r>
    <x v="353"/>
    <s v="Gomukh Khutha VLC"/>
    <s v="vlc"/>
    <s v="Indirect"/>
    <n v="9685.4"/>
    <n v="402315.76999999996"/>
    <n v="0"/>
    <n v="0"/>
    <n v="0"/>
    <n v="0"/>
    <n v="0"/>
    <n v="0"/>
    <n v="402315.76999999996"/>
    <n v="0"/>
    <n v="0"/>
    <n v="0"/>
    <n v="0"/>
    <n v="0"/>
    <n v="0"/>
    <n v="0"/>
    <n v="0"/>
    <n v="402315.76999999996"/>
    <n v="0"/>
    <n v="0"/>
  </r>
  <r>
    <x v="354"/>
    <s v="Gomukh Kabela Vlc"/>
    <s v="vlc"/>
    <s v="Indirect"/>
    <n v="990.49999999999977"/>
    <n v="37040.120000000003"/>
    <n v="0"/>
    <n v="0"/>
    <n v="0"/>
    <n v="0"/>
    <n v="0"/>
    <n v="0"/>
    <n v="37040.120000000003"/>
    <n v="0"/>
    <n v="0"/>
    <n v="0"/>
    <n v="0"/>
    <n v="0"/>
    <n v="0"/>
    <n v="0"/>
    <n v="0"/>
    <n v="37040.120000000003"/>
    <n v="0"/>
    <n v="0"/>
  </r>
  <r>
    <x v="355"/>
    <s v="Gomukh Lagar Wad-13 Vlc"/>
    <s v="vlc"/>
    <s v="Indirect"/>
    <n v="99.1"/>
    <n v="5543.96"/>
    <n v="0"/>
    <n v="0"/>
    <n v="0"/>
    <n v="0"/>
    <n v="0"/>
    <n v="0"/>
    <n v="5543.96"/>
    <n v="0"/>
    <n v="0"/>
    <n v="0"/>
    <n v="0"/>
    <n v="0"/>
    <n v="0"/>
    <n v="0"/>
    <n v="0"/>
    <n v="5543.96"/>
    <n v="0"/>
    <n v="0"/>
  </r>
  <r>
    <x v="356"/>
    <s v="Gomukh Manish Vlc"/>
    <s v="vlc"/>
    <s v="Indirect"/>
    <n v="2455.6999999999998"/>
    <n v="121242.37000000001"/>
    <n v="0"/>
    <n v="0"/>
    <n v="0"/>
    <n v="0"/>
    <n v="0"/>
    <n v="0"/>
    <n v="121242.37000000001"/>
    <n v="0"/>
    <n v="0"/>
    <n v="0"/>
    <n v="0"/>
    <n v="0"/>
    <n v="0"/>
    <n v="0"/>
    <n v="0"/>
    <n v="121242.37000000001"/>
    <n v="0"/>
    <n v="0"/>
  </r>
  <r>
    <x v="357"/>
    <s v="Gomukh Parbatta Vlc"/>
    <s v="vlc"/>
    <s v="Indirect"/>
    <n v="3407.3"/>
    <n v="179652.24"/>
    <n v="0"/>
    <n v="0"/>
    <n v="0"/>
    <n v="0"/>
    <n v="0"/>
    <n v="0"/>
    <n v="179652.24"/>
    <n v="0"/>
    <n v="0"/>
    <n v="0"/>
    <n v="0"/>
    <n v="0"/>
    <n v="0"/>
    <n v="0"/>
    <n v="0"/>
    <n v="179652.24"/>
    <n v="0"/>
    <n v="0"/>
  </r>
  <r>
    <x v="358"/>
    <s v="Gomukh Mahendrapur"/>
    <s v="MPG"/>
    <s v="Direct"/>
    <n v="1537.2"/>
    <n v="63826.86"/>
    <n v="1554"/>
    <n v="67101.5"/>
    <n v="30"/>
    <n v="1312.3200000000004"/>
    <n v="1584"/>
    <n v="68413.820000000007"/>
    <n v="63826.86"/>
    <n v="0"/>
    <n v="1312.3200000000004"/>
    <n v="4586.9600000000064"/>
    <n v="0"/>
    <n v="0"/>
    <n v="0"/>
    <n v="62515"/>
    <n v="0"/>
    <n v="0"/>
    <n v="0"/>
    <n v="0"/>
  </r>
  <r>
    <x v="359"/>
    <s v="Gomukh Balahpur"/>
    <s v="MPG"/>
    <s v="Direct"/>
    <n v="724.6"/>
    <n v="27793.34"/>
    <n v="724.69999999999993"/>
    <n v="27861.279999999999"/>
    <n v="0"/>
    <n v="0"/>
    <n v="724.69999999999993"/>
    <n v="27861.279999999999"/>
    <n v="27793.34"/>
    <n v="0"/>
    <n v="0"/>
    <n v="67.93999999999869"/>
    <n v="0"/>
    <n v="0"/>
    <n v="0"/>
    <n v="27793"/>
    <n v="0"/>
    <n v="0"/>
    <n v="0"/>
    <n v="0"/>
  </r>
  <r>
    <x v="360"/>
    <s v="Gomukh Danauli"/>
    <s v="MPG"/>
    <s v="Direct"/>
    <n v="510.50000000000006"/>
    <n v="19758.52"/>
    <n v="941"/>
    <n v="36074.229999999996"/>
    <n v="0.6"/>
    <n v="22.96"/>
    <n v="941.6"/>
    <n v="36097.189999999995"/>
    <n v="19758.52"/>
    <n v="0"/>
    <n v="22.96"/>
    <n v="16338.669999999995"/>
    <n v="0"/>
    <n v="0"/>
    <n v="0"/>
    <n v="19736"/>
    <n v="0"/>
    <n v="0"/>
    <n v="0"/>
    <n v="0"/>
  </r>
  <r>
    <x v="361"/>
    <s v="NAYAGAW"/>
    <s v="MPG"/>
    <s v="Direct"/>
    <n v="3945.9000000000005"/>
    <n v="168703.28999999998"/>
    <n v="3908.8100000000009"/>
    <n v="165888.10999999996"/>
    <n v="33.04"/>
    <n v="2154.15"/>
    <n v="3941.8500000000008"/>
    <n v="168042.25999999995"/>
    <n v="168042.25999999995"/>
    <n v="0"/>
    <n v="2154.15"/>
    <n v="0"/>
    <n v="0"/>
    <n v="0"/>
    <n v="0"/>
    <n v="165887"/>
    <n v="0"/>
    <n v="0"/>
    <n v="662"/>
    <n v="0"/>
  </r>
  <r>
    <x v="362"/>
    <s v="Dandari"/>
    <s v="MPG"/>
    <s v="Direct"/>
    <n v="320.60000000000002"/>
    <n v="11764.02"/>
    <n v="316.89999999999998"/>
    <n v="11903.26"/>
    <n v="2.8000000000000003"/>
    <n v="111.24000000000002"/>
    <n v="319.7"/>
    <n v="12014.5"/>
    <n v="11764.02"/>
    <n v="0"/>
    <n v="111.24000000000002"/>
    <n v="250.47999999999956"/>
    <n v="0"/>
    <n v="0"/>
    <n v="0"/>
    <n v="11653"/>
    <n v="0"/>
    <n v="0"/>
    <n v="0"/>
    <n v="0"/>
  </r>
  <r>
    <x v="363"/>
    <s v="Rahimpur Pachkhutti"/>
    <s v="vlc"/>
    <s v="Indirect"/>
    <n v="5698.8"/>
    <n v="227029.83"/>
    <n v="0"/>
    <n v="0"/>
    <n v="0"/>
    <n v="0"/>
    <n v="0"/>
    <n v="0"/>
    <n v="227029.83"/>
    <n v="0"/>
    <n v="0"/>
    <n v="0"/>
    <n v="0"/>
    <n v="0"/>
    <n v="0"/>
    <n v="0"/>
    <n v="0"/>
    <n v="227029.83"/>
    <n v="0"/>
    <n v="0"/>
  </r>
  <r>
    <x v="364"/>
    <s v="Gomukh Mohanpur                                                                                     "/>
    <s v="MPG"/>
    <s v="Direct"/>
    <n v="846.30000000000007"/>
    <n v="31924.409999999996"/>
    <n v="848"/>
    <n v="32879.57"/>
    <n v="1.6"/>
    <n v="61.49"/>
    <n v="849.6"/>
    <n v="32941.06"/>
    <n v="31924.409999999996"/>
    <n v="0"/>
    <n v="61.49"/>
    <n v="1016.6500000000015"/>
    <n v="1350"/>
    <n v="0"/>
    <n v="0"/>
    <n v="30513"/>
    <n v="0"/>
    <n v="0"/>
    <n v="0"/>
    <n v="0"/>
  </r>
  <r>
    <x v="365"/>
    <s v="Gomukh Raghunathpur"/>
    <s v="MPG"/>
    <s v="Direct"/>
    <n v="1140.2"/>
    <n v="50356.649999999994"/>
    <n v="1140.6999999999998"/>
    <n v="49708.27"/>
    <n v="18.999999999999996"/>
    <n v="833.69"/>
    <n v="1159.6999999999998"/>
    <n v="50541.96"/>
    <n v="50356.649999999994"/>
    <n v="0"/>
    <n v="833.69"/>
    <n v="185.31000000000495"/>
    <n v="6750"/>
    <n v="0"/>
    <n v="0"/>
    <n v="42773"/>
    <n v="0"/>
    <n v="0"/>
    <n v="0"/>
    <n v="0"/>
  </r>
  <r>
    <x v="366"/>
    <s v="Gomukh Chhitraur"/>
    <s v="MPG"/>
    <s v="Direct"/>
    <n v="629.59999999999991"/>
    <n v="27623.430000000004"/>
    <n v="635.09"/>
    <n v="27447.7"/>
    <n v="0"/>
    <n v="0"/>
    <n v="635.09"/>
    <n v="27447.7"/>
    <n v="27447.7"/>
    <n v="0"/>
    <n v="0"/>
    <n v="0"/>
    <n v="0"/>
    <n v="0"/>
    <n v="0"/>
    <n v="27448"/>
    <n v="0"/>
    <n v="0"/>
    <n v="175"/>
    <n v="0"/>
  </r>
  <r>
    <x v="367"/>
    <s v="Gomukh Khorampur Chakaur"/>
    <s v="MPG"/>
    <s v="Direct"/>
    <n v="534.6"/>
    <n v="22317.339999999997"/>
    <n v="585.20000000000005"/>
    <n v="24733.31"/>
    <n v="3.35"/>
    <n v="143.26"/>
    <n v="588.55000000000007"/>
    <n v="24876.57"/>
    <n v="22317.339999999997"/>
    <n v="0"/>
    <n v="143.26"/>
    <n v="2559.2300000000032"/>
    <n v="0"/>
    <n v="0"/>
    <n v="0"/>
    <n v="22174"/>
    <n v="0"/>
    <n v="0"/>
    <n v="0"/>
    <n v="0"/>
  </r>
  <r>
    <x v="368"/>
    <s v="GOMUKH Mathar"/>
    <s v="MPG"/>
    <s v="Direct"/>
    <n v="79"/>
    <n v="3253.87"/>
    <n v="85.22"/>
    <n v="3535.62"/>
    <n v="1.05"/>
    <n v="41.81"/>
    <n v="86.27"/>
    <n v="3577.43"/>
    <n v="3253.87"/>
    <n v="0"/>
    <n v="41.81"/>
    <n v="323.55999999999995"/>
    <n v="0"/>
    <n v="0"/>
    <n v="0"/>
    <n v="3212"/>
    <n v="0"/>
    <n v="0"/>
    <n v="0"/>
    <s v="Release4"/>
  </r>
  <r>
    <x v="369"/>
    <s v="Gomukh Kumar Chakki"/>
    <s v="MPG"/>
    <s v="Direct"/>
    <n v="175.79999999999998"/>
    <n v="6734.0499999999993"/>
    <n v="174.6"/>
    <n v="6747.65"/>
    <n v="1.2"/>
    <n v="46.440000000000005"/>
    <n v="175.79999999999998"/>
    <n v="6794.0899999999992"/>
    <n v="6734.0499999999993"/>
    <n v="0"/>
    <n v="46.440000000000005"/>
    <n v="60.039999999999964"/>
    <n v="0"/>
    <n v="500"/>
    <n v="0"/>
    <n v="6188"/>
    <n v="0"/>
    <n v="0"/>
    <n v="0"/>
    <n v="0"/>
  </r>
  <r>
    <x v="370"/>
    <s v="Gomukh Sonapur"/>
    <s v="vlc"/>
    <s v="Indirect"/>
    <n v="537"/>
    <n v="21086.12"/>
    <n v="0"/>
    <n v="0"/>
    <n v="0"/>
    <n v="0"/>
    <n v="0"/>
    <n v="0"/>
    <n v="21086.12"/>
    <n v="0"/>
    <n v="0"/>
    <n v="0"/>
    <n v="0"/>
    <n v="0"/>
    <n v="0"/>
    <n v="0"/>
    <n v="0"/>
    <n v="21086.12"/>
    <n v="0"/>
    <n v="0"/>
  </r>
  <r>
    <x v="371"/>
    <s v="Gomukh Barkhandi 2"/>
    <s v="MPG"/>
    <s v="Indirect"/>
    <n v="804.6"/>
    <n v="34795.910000000003"/>
    <n v="0"/>
    <n v="0"/>
    <n v="0"/>
    <n v="0"/>
    <n v="0"/>
    <n v="0"/>
    <n v="34795.910000000003"/>
    <n v="0"/>
    <n v="0"/>
    <n v="0"/>
    <n v="0"/>
    <n v="0"/>
    <n v="0"/>
    <n v="0"/>
    <n v="0"/>
    <n v="34795.910000000003"/>
    <n v="0"/>
    <n v="0"/>
  </r>
  <r>
    <x v="372"/>
    <s v="Gomukh Kalyanpur                                                                                    "/>
    <s v="MPG"/>
    <s v="Direct"/>
    <n v="775.69999999999993"/>
    <n v="30211.38"/>
    <n v="784.7"/>
    <n v="31479.49"/>
    <n v="3.6999999999999993"/>
    <n v="149.09000000000003"/>
    <n v="788.40000000000009"/>
    <n v="31628.58"/>
    <n v="30211.38"/>
    <n v="0"/>
    <n v="149.09000000000003"/>
    <n v="1417.2000000000007"/>
    <n v="0"/>
    <n v="0"/>
    <n v="0"/>
    <n v="30062"/>
    <n v="0"/>
    <n v="0"/>
    <n v="0"/>
    <n v="0"/>
  </r>
  <r>
    <x v="373"/>
    <s v="Gomukh Fatehpur                                                                                     "/>
    <s v="MPG"/>
    <s v="Direct"/>
    <n v="1006.1000000000001"/>
    <n v="45017.930000000008"/>
    <n v="1038"/>
    <n v="44607.98"/>
    <n v="0"/>
    <n v="0"/>
    <n v="1038"/>
    <n v="44607.98"/>
    <n v="44607.98"/>
    <n v="0"/>
    <n v="0"/>
    <n v="0"/>
    <n v="0"/>
    <n v="0"/>
    <n v="0"/>
    <n v="44608"/>
    <n v="0"/>
    <n v="0"/>
    <n v="410"/>
    <n v="0"/>
  </r>
  <r>
    <x v="374"/>
    <s v="GOMUKH KATAHRI"/>
    <s v="MPG"/>
    <s v="Direct"/>
    <n v="336.5"/>
    <n v="14107.560000000001"/>
    <n v="334.40000000000003"/>
    <n v="14043.79"/>
    <n v="2.3000000000000003"/>
    <n v="99.34"/>
    <n v="336.70000000000005"/>
    <n v="14143.130000000001"/>
    <n v="14107.560000000001"/>
    <n v="0"/>
    <n v="99.34"/>
    <n v="35.569999999999709"/>
    <n v="0"/>
    <n v="500"/>
    <n v="0"/>
    <n v="13508"/>
    <n v="0"/>
    <n v="0"/>
    <n v="0"/>
    <n v="0"/>
  </r>
  <r>
    <x v="375"/>
    <s v="GOMUKH Mathar Ward 10"/>
    <s v="MPG"/>
    <s v="Direct"/>
    <n v="1020.1999999999999"/>
    <n v="44312.729999999996"/>
    <n v="847"/>
    <n v="37123.43"/>
    <n v="214.8"/>
    <n v="9508.89"/>
    <n v="1061.8"/>
    <n v="46632.32"/>
    <n v="44312.729999999996"/>
    <n v="0"/>
    <n v="0"/>
    <n v="2319.5900000000038"/>
    <n v="0"/>
    <n v="0"/>
    <n v="0"/>
    <n v="34804"/>
    <n v="9509"/>
    <n v="0"/>
    <n v="0"/>
    <n v="0"/>
  </r>
  <r>
    <x v="376"/>
    <s v="GOMUKH Tartor 2"/>
    <s v="MPG"/>
    <s v="Direct"/>
    <n v="185.6"/>
    <n v="8095.2"/>
    <n v="185"/>
    <n v="8023.45"/>
    <n v="0"/>
    <n v="0"/>
    <n v="185"/>
    <n v="8023.45"/>
    <n v="8023.45"/>
    <n v="0"/>
    <n v="0"/>
    <n v="0"/>
    <n v="0"/>
    <n v="0"/>
    <n v="0"/>
    <n v="8023"/>
    <n v="0"/>
    <n v="0"/>
    <n v="72"/>
    <n v="0"/>
  </r>
  <r>
    <x v="377"/>
    <s v="Gomukh Chaidha"/>
    <s v="MPG"/>
    <s v="Direct"/>
    <n v="842.69999999999993"/>
    <n v="32926.159999999996"/>
    <n v="841.26000000000022"/>
    <n v="34031.54"/>
    <n v="5.5600000000000005"/>
    <n v="213.91000000000003"/>
    <n v="846.82000000000016"/>
    <n v="34245.450000000004"/>
    <n v="32926.159999999996"/>
    <n v="0"/>
    <n v="213.91000000000003"/>
    <n v="1319.2900000000081"/>
    <n v="3726"/>
    <n v="0"/>
    <n v="0"/>
    <n v="28986"/>
    <n v="0"/>
    <n v="0"/>
    <n v="0"/>
    <n v="0"/>
  </r>
  <r>
    <x v="378"/>
    <s v="Gomukh Bakiya"/>
    <s v="MPG"/>
    <s v="Direct"/>
    <n v="892.4"/>
    <n v="37550.520000000004"/>
    <n v="886.77999999999986"/>
    <n v="37526.400000000001"/>
    <n v="4.78"/>
    <n v="195.51999999999998"/>
    <n v="891.55999999999983"/>
    <n v="37721.919999999998"/>
    <n v="37550.520000000004"/>
    <n v="0"/>
    <n v="195.51999999999998"/>
    <n v="171.39999999999418"/>
    <n v="0"/>
    <n v="0"/>
    <n v="0"/>
    <n v="37355"/>
    <n v="0"/>
    <n v="0"/>
    <n v="0"/>
    <n v="0"/>
  </r>
  <r>
    <x v="379"/>
    <s v="Gomukh Sadpur"/>
    <s v="MPG"/>
    <s v="Direct"/>
    <n v="183.7"/>
    <n v="6665.5"/>
    <n v="303"/>
    <n v="12099.6"/>
    <n v="0"/>
    <n v="0"/>
    <n v="303"/>
    <n v="12099.6"/>
    <n v="6665.5"/>
    <n v="0"/>
    <n v="0"/>
    <n v="5434.1"/>
    <n v="0"/>
    <n v="500"/>
    <n v="0"/>
    <n v="6165"/>
    <n v="0"/>
    <n v="0"/>
    <n v="1"/>
    <n v="0"/>
  </r>
  <r>
    <x v="380"/>
    <s v="GOMUKH Nista Tol"/>
    <s v="MPG"/>
    <s v="Direct"/>
    <n v="310.79999999999995"/>
    <n v="11652.16"/>
    <n v="317.40999999999997"/>
    <n v="11742.53"/>
    <n v="0"/>
    <n v="0"/>
    <n v="317.40999999999997"/>
    <n v="11742.53"/>
    <n v="11652.16"/>
    <n v="0"/>
    <n v="0"/>
    <n v="90.3700000000008"/>
    <n v="0"/>
    <n v="500"/>
    <n v="0"/>
    <n v="11152"/>
    <n v="0"/>
    <n v="0"/>
    <n v="0"/>
    <s v="Release4"/>
  </r>
  <r>
    <x v="381"/>
    <s v="GOMUKH SRINAGAR"/>
    <s v="MPG"/>
    <s v="Direct"/>
    <n v="1907.3"/>
    <n v="78742.009999999995"/>
    <n v="1359.7800000000002"/>
    <n v="62731.6"/>
    <n v="591.26"/>
    <n v="25288"/>
    <n v="1951.0400000000002"/>
    <n v="88019.6"/>
    <n v="78742.009999999995"/>
    <n v="0"/>
    <n v="247.47"/>
    <n v="9277.5900000000111"/>
    <n v="0"/>
    <n v="0"/>
    <n v="0"/>
    <n v="53454"/>
    <n v="25041"/>
    <n v="0"/>
    <n v="0"/>
    <n v="0"/>
  </r>
  <r>
    <x v="382"/>
    <s v="GOMUKH THATHA"/>
    <s v="MPG"/>
    <s v="Direct"/>
    <n v="292.2"/>
    <n v="10953.349999999999"/>
    <n v="311.20000000000005"/>
    <n v="11699.150000000001"/>
    <n v="0"/>
    <n v="0"/>
    <n v="311.20000000000005"/>
    <n v="11699.150000000001"/>
    <n v="10953.349999999999"/>
    <n v="0"/>
    <n v="0"/>
    <n v="745.80000000000291"/>
    <n v="0"/>
    <n v="0"/>
    <n v="0"/>
    <n v="10953"/>
    <n v="0"/>
    <n v="0"/>
    <n v="0"/>
    <n v="0"/>
  </r>
  <r>
    <x v="383"/>
    <s v="GOMUKH GARHIYA"/>
    <s v="MPG"/>
    <s v="Direct"/>
    <n v="39.1"/>
    <n v="1483.85"/>
    <n v="49"/>
    <n v="1825.25"/>
    <n v="0"/>
    <n v="0"/>
    <n v="49"/>
    <n v="1825.25"/>
    <n v="1483.85"/>
    <n v="0"/>
    <n v="0"/>
    <n v="341.40000000000009"/>
    <n v="0"/>
    <n v="0"/>
    <n v="0"/>
    <n v="1484"/>
    <n v="0"/>
    <n v="0"/>
    <n v="0"/>
    <n v="0"/>
  </r>
  <r>
    <x v="384"/>
    <s v="GOMUKH SANHA NAYATOLA"/>
    <s v="MPG"/>
    <s v="Direct"/>
    <n v="255.5"/>
    <n v="10151.459999999999"/>
    <n v="255"/>
    <n v="10031.700000000001"/>
    <n v="0"/>
    <n v="0"/>
    <n v="255"/>
    <n v="10031.700000000001"/>
    <n v="10031.700000000001"/>
    <n v="0"/>
    <n v="0"/>
    <n v="0"/>
    <n v="0"/>
    <n v="0"/>
    <n v="0"/>
    <n v="10032"/>
    <n v="0"/>
    <n v="0"/>
    <n v="119"/>
    <n v="0"/>
  </r>
  <r>
    <x v="385"/>
    <s v="Gomukh Durgapur"/>
    <s v="MPG"/>
    <s v="Direct"/>
    <n v="555.80000000000007"/>
    <n v="23358.25"/>
    <n v="619"/>
    <n v="26114.58"/>
    <n v="3.5999999999999992"/>
    <n v="152.87"/>
    <n v="622.6"/>
    <n v="26267.45"/>
    <n v="23358.25"/>
    <n v="0"/>
    <n v="152.87"/>
    <n v="2909.2000000000007"/>
    <n v="8700"/>
    <n v="0"/>
    <n v="0"/>
    <n v="14505"/>
    <n v="0"/>
    <n v="0"/>
    <n v="0"/>
    <s v="Release1"/>
  </r>
  <r>
    <x v="386"/>
    <s v="Gomukh Koniya"/>
    <s v="MPG"/>
    <s v="Direct"/>
    <n v="451.59999999999991"/>
    <n v="18720.71"/>
    <n v="459.70000000000005"/>
    <n v="19526.659999999996"/>
    <n v="10"/>
    <n v="421.56"/>
    <n v="469.70000000000005"/>
    <n v="19948.219999999998"/>
    <n v="18720.71"/>
    <n v="0"/>
    <n v="421.56"/>
    <n v="1227.5099999999984"/>
    <n v="0"/>
    <n v="0"/>
    <n v="0"/>
    <n v="18299"/>
    <n v="0"/>
    <n v="0"/>
    <n v="0"/>
    <n v="0"/>
  </r>
  <r>
    <x v="387"/>
    <s v="GOMUKH ROHUA"/>
    <s v="MPG"/>
    <s v="Direct"/>
    <n v="428.80000000000007"/>
    <n v="16931.93"/>
    <n v="431.21000000000004"/>
    <n v="17061.460000000003"/>
    <n v="6.4599999999999982"/>
    <n v="252.84000000000003"/>
    <n v="437.67"/>
    <n v="17314.300000000003"/>
    <n v="16931.93"/>
    <n v="0"/>
    <n v="252.84000000000003"/>
    <n v="382.37000000000262"/>
    <n v="0"/>
    <n v="0"/>
    <n v="0"/>
    <n v="16679"/>
    <n v="0"/>
    <n v="0"/>
    <n v="0"/>
    <n v="0"/>
  </r>
  <r>
    <x v="388"/>
    <s v="GOMUKH LAXMIPUR"/>
    <s v="MPG"/>
    <s v="Direct"/>
    <n v="418.9"/>
    <n v="19197.739999999998"/>
    <n v="411.32"/>
    <n v="19866.18"/>
    <n v="6.58"/>
    <n v="308.23"/>
    <n v="417.9"/>
    <n v="20174.41"/>
    <n v="19197.739999999998"/>
    <n v="0"/>
    <n v="308.23"/>
    <n v="976.67000000000189"/>
    <n v="0"/>
    <n v="0"/>
    <n v="0"/>
    <n v="18890"/>
    <n v="0"/>
    <n v="0"/>
    <n v="0"/>
    <n v="0"/>
  </r>
  <r>
    <x v="389"/>
    <s v="GOMUKH CHATAR"/>
    <s v="MPG"/>
    <s v="Direct"/>
    <n v="155"/>
    <n v="6010.71"/>
    <n v="9.0500000000000007"/>
    <n v="363.98999999999995"/>
    <n v="150.44999999999999"/>
    <n v="5643.34"/>
    <n v="159.5"/>
    <n v="6007.33"/>
    <n v="6007.33"/>
    <n v="0"/>
    <n v="0"/>
    <n v="0"/>
    <n v="5643"/>
    <n v="364"/>
    <n v="0"/>
    <n v="0"/>
    <n v="0"/>
    <n v="0"/>
    <n v="4"/>
    <s v="Release5"/>
  </r>
  <r>
    <x v="390"/>
    <s v="GOMUKH BATHNAMA"/>
    <s v="MPG"/>
    <s v="Direct"/>
    <n v="3884.8999999999996"/>
    <n v="158900.31"/>
    <n v="3890.51"/>
    <n v="159050.59"/>
    <n v="0"/>
    <n v="0"/>
    <n v="3890.51"/>
    <n v="159050.59"/>
    <n v="158900.31"/>
    <n v="0"/>
    <n v="0"/>
    <n v="150.27999999999884"/>
    <n v="0"/>
    <n v="0"/>
    <n v="0"/>
    <n v="158900"/>
    <n v="0"/>
    <n v="0"/>
    <n v="0"/>
    <n v="0"/>
  </r>
  <r>
    <x v="391"/>
    <s v="GOMUKH TILAK NAGAR"/>
    <s v="MPG"/>
    <s v="Direct"/>
    <n v="197.30000000000004"/>
    <n v="9814.4800000000014"/>
    <n v="189.19"/>
    <n v="10731.689999999999"/>
    <n v="0"/>
    <n v="0"/>
    <n v="189.19"/>
    <n v="10731.689999999999"/>
    <n v="9814.4800000000014"/>
    <n v="0"/>
    <n v="0"/>
    <n v="917.20999999999731"/>
    <n v="0"/>
    <n v="0"/>
    <n v="0"/>
    <n v="9814"/>
    <n v="0"/>
    <n v="0"/>
    <n v="0"/>
    <s v="Release4"/>
  </r>
  <r>
    <x v="392"/>
    <s v="Gomukh Rahimpur Dakshin"/>
    <s v="MPG"/>
    <s v="Direct"/>
    <n v="7564.9"/>
    <n v="306470.10000000003"/>
    <n v="1182.4999999999998"/>
    <n v="49659.710000000006"/>
    <n v="6383.8600000000006"/>
    <n v="260344.4"/>
    <n v="7566.3600000000006"/>
    <n v="310004.11"/>
    <n v="306470.10000000003"/>
    <n v="0"/>
    <n v="708.09"/>
    <n v="3534.0099999999511"/>
    <n v="290000"/>
    <n v="0"/>
    <n v="0"/>
    <n v="15762"/>
    <n v="0"/>
    <n v="0"/>
    <n v="0"/>
    <n v="0"/>
  </r>
  <r>
    <x v="393"/>
    <s v="GOMUKH MORKAHI"/>
    <s v="MPG"/>
    <s v="Direct"/>
    <n v="612.29999999999995"/>
    <n v="24089.5"/>
    <n v="617.23"/>
    <n v="24370.74"/>
    <n v="1.3"/>
    <n v="51.819999999999993"/>
    <n v="618.53"/>
    <n v="24422.560000000001"/>
    <n v="24089.5"/>
    <n v="0"/>
    <n v="51.819999999999993"/>
    <n v="333.06000000000131"/>
    <n v="0"/>
    <n v="0"/>
    <n v="0"/>
    <n v="24038"/>
    <n v="0"/>
    <n v="0"/>
    <n v="0"/>
    <n v="0"/>
  </r>
  <r>
    <x v="394"/>
    <s v="GOMUKH HANSPUR"/>
    <s v="MPG"/>
    <s v="Direct"/>
    <n v="82.699999999999989"/>
    <n v="3760.1000000000004"/>
    <n v="82.2"/>
    <n v="3707.2400000000002"/>
    <n v="0"/>
    <n v="0"/>
    <n v="82.2"/>
    <n v="3707.2400000000002"/>
    <n v="3707.2400000000002"/>
    <n v="0"/>
    <n v="0"/>
    <n v="0"/>
    <n v="0"/>
    <n v="500"/>
    <n v="0"/>
    <n v="3207"/>
    <n v="0"/>
    <n v="0"/>
    <n v="53"/>
    <n v="0"/>
  </r>
  <r>
    <x v="395"/>
    <s v="GOMUKH NAYAGAON 2"/>
    <s v="MPG"/>
    <s v="Direct"/>
    <n v="130.30000000000001"/>
    <n v="7063.2599999999993"/>
    <n v="130.32000000000002"/>
    <n v="7192.1999999999989"/>
    <n v="2.8000000000000007"/>
    <n v="183.32"/>
    <n v="133.12000000000003"/>
    <n v="7375.5199999999986"/>
    <n v="7063.2599999999993"/>
    <n v="0"/>
    <n v="183.32"/>
    <n v="312.25999999999931"/>
    <n v="0"/>
    <n v="0"/>
    <n v="0"/>
    <n v="6880"/>
    <n v="0"/>
    <n v="0"/>
    <n v="0"/>
    <n v="0"/>
  </r>
  <r>
    <x v="396"/>
    <s v="GOMUKH LABHGAON"/>
    <s v="MPG"/>
    <s v="Direct"/>
    <n v="332.1"/>
    <n v="13740.650000000001"/>
    <n v="341.59000000000003"/>
    <n v="13737.300000000001"/>
    <n v="0"/>
    <n v="0"/>
    <n v="341.59000000000003"/>
    <n v="13737.300000000001"/>
    <n v="13737.300000000001"/>
    <n v="0"/>
    <n v="0"/>
    <n v="0"/>
    <n v="0"/>
    <n v="0"/>
    <n v="0"/>
    <n v="13737"/>
    <n v="0"/>
    <n v="0"/>
    <n v="4"/>
    <n v="0"/>
  </r>
  <r>
    <x v="397"/>
    <s v="GOMUKH CHANDPURA"/>
    <s v="MPG"/>
    <s v="Direct"/>
    <n v="669.1"/>
    <n v="25426.500000000004"/>
    <n v="453.1"/>
    <n v="17292.28"/>
    <n v="216"/>
    <n v="8220.9599999999991"/>
    <n v="669.1"/>
    <n v="25513.239999999998"/>
    <n v="25426.500000000004"/>
    <n v="0"/>
    <n v="0"/>
    <n v="86.739999999994325"/>
    <n v="0"/>
    <n v="0"/>
    <n v="0"/>
    <n v="17207"/>
    <n v="8220"/>
    <n v="0"/>
    <n v="0"/>
    <n v="0"/>
  </r>
  <r>
    <x v="398"/>
    <s v="GOMUKH BADIL TOL"/>
    <s v="MPG"/>
    <s v="Direct"/>
    <n v="456.70000000000005"/>
    <n v="18706.499999999996"/>
    <n v="220.87000000000003"/>
    <n v="9298.8700000000008"/>
    <n v="246.62999999999997"/>
    <n v="9420.23"/>
    <n v="467.5"/>
    <n v="18719.099999999999"/>
    <n v="18706.499999999996"/>
    <n v="0"/>
    <n v="497.81"/>
    <n v="12.600000000002183"/>
    <n v="0"/>
    <n v="0"/>
    <n v="0"/>
    <n v="9287"/>
    <n v="8922"/>
    <n v="0"/>
    <n v="0"/>
    <n v="0"/>
  </r>
  <r>
    <x v="399"/>
    <s v="GOMUKH TRIBHUVAN TOLA"/>
    <s v="MPG"/>
    <s v="Direct"/>
    <n v="407.70000000000005"/>
    <n v="15526.689999999999"/>
    <n v="437.19"/>
    <n v="15551.919999999998"/>
    <n v="0"/>
    <n v="0"/>
    <n v="437.19"/>
    <n v="15551.919999999998"/>
    <n v="15526.689999999999"/>
    <n v="0"/>
    <n v="0"/>
    <n v="25.229999999999563"/>
    <n v="0"/>
    <n v="0"/>
    <n v="0"/>
    <n v="15527"/>
    <n v="0"/>
    <n v="0"/>
    <n v="0"/>
    <n v="0"/>
  </r>
  <r>
    <x v="400"/>
    <s v="GOMUKH SANTOSHPUL"/>
    <s v="MPG"/>
    <s v="Direct"/>
    <n v="1196.4000000000001"/>
    <n v="57423.890000000007"/>
    <n v="33.400000000000006"/>
    <n v="1594.45"/>
    <n v="1163"/>
    <n v="55755.86"/>
    <n v="1196.4000000000001"/>
    <n v="57350.31"/>
    <n v="57350.31"/>
    <n v="0"/>
    <n v="0"/>
    <n v="0"/>
    <n v="0"/>
    <n v="0"/>
    <n v="0"/>
    <n v="1594"/>
    <n v="55754"/>
    <n v="0"/>
    <n v="76"/>
    <n v="0"/>
  </r>
  <r>
    <x v="401"/>
    <s v="GOMUKH AHUNA"/>
    <s v="MPG"/>
    <s v="Direct"/>
    <n v="388.3"/>
    <n v="15192.08"/>
    <n v="390.04"/>
    <n v="15160.89"/>
    <n v="0"/>
    <n v="0"/>
    <n v="390.04"/>
    <n v="15160.89"/>
    <n v="15160.89"/>
    <n v="0"/>
    <n v="0"/>
    <n v="0"/>
    <n v="0"/>
    <n v="0"/>
    <n v="0"/>
    <n v="15161"/>
    <n v="0"/>
    <n v="0"/>
    <n v="31"/>
    <n v="0"/>
  </r>
  <r>
    <x v="402"/>
    <s v="GOMUKH SHADIPUR"/>
    <s v="MPG"/>
    <s v="Direct"/>
    <n v="938.1"/>
    <n v="39362.020000000004"/>
    <n v="952.94999999999993"/>
    <n v="39285.570000000007"/>
    <n v="12.6"/>
    <n v="496.92000000000007"/>
    <n v="965.55"/>
    <n v="39782.490000000005"/>
    <n v="39362.020000000004"/>
    <n v="0"/>
    <n v="496.92000000000007"/>
    <n v="420.47000000000116"/>
    <n v="0"/>
    <n v="0"/>
    <n v="0"/>
    <n v="38865"/>
    <n v="0"/>
    <n v="0"/>
    <n v="0"/>
    <n v="0"/>
  </r>
  <r>
    <x v="403"/>
    <s v="GOMUKH ASHRAPHA DIYARA"/>
    <s v="MPG"/>
    <s v="Direct"/>
    <n v="1037.8"/>
    <n v="44510.26"/>
    <n v="1028.9299999999998"/>
    <n v="43719.669999999991"/>
    <n v="9.0800000000000018"/>
    <n v="375.40999999999997"/>
    <n v="1038.0099999999998"/>
    <n v="44095.079999999994"/>
    <n v="44095.079999999994"/>
    <n v="0"/>
    <n v="375.40999999999997"/>
    <n v="0"/>
    <n v="0"/>
    <n v="0"/>
    <n v="0"/>
    <n v="43720"/>
    <n v="0"/>
    <n v="0"/>
    <n v="415"/>
    <n v="0"/>
  </r>
  <r>
    <x v="404"/>
    <s v="GOMUKH MANIAPPA"/>
    <s v="MPG"/>
    <s v="Direct"/>
    <n v="480.09999999999997"/>
    <n v="19943.189999999999"/>
    <n v="478.57"/>
    <n v="19697.810000000001"/>
    <n v="2.81"/>
    <n v="107.91"/>
    <n v="481.38"/>
    <n v="19805.72"/>
    <n v="19805.72"/>
    <n v="0"/>
    <n v="107.91"/>
    <n v="0"/>
    <n v="0"/>
    <n v="0"/>
    <n v="0"/>
    <n v="19697"/>
    <n v="0"/>
    <n v="0"/>
    <n v="138"/>
    <n v="0"/>
  </r>
  <r>
    <x v="405"/>
    <s v="GOMUKH D SANJHAUTI"/>
    <s v="MPG"/>
    <s v="Direct"/>
    <n v="815.9"/>
    <n v="31371.219999999994"/>
    <n v="831"/>
    <n v="35024.43"/>
    <n v="0"/>
    <n v="0"/>
    <n v="831"/>
    <n v="35024.43"/>
    <n v="31371.219999999994"/>
    <n v="0"/>
    <n v="0"/>
    <n v="3653.2100000000064"/>
    <n v="0"/>
    <n v="0"/>
    <n v="0"/>
    <n v="31371"/>
    <n v="0"/>
    <n v="0"/>
    <n v="0"/>
    <n v="0"/>
  </r>
  <r>
    <x v="406"/>
    <s v="GOMUKH DHUSMURI BISHANPUR"/>
    <s v="MPG"/>
    <s v="Direct"/>
    <n v="457.09999999999997"/>
    <n v="18032.829999999998"/>
    <n v="484.29999999999995"/>
    <n v="19195.39"/>
    <n v="0"/>
    <n v="0"/>
    <n v="484.29999999999995"/>
    <n v="19195.39"/>
    <n v="18032.829999999998"/>
    <n v="0"/>
    <n v="0"/>
    <n v="1162.5600000000013"/>
    <n v="0"/>
    <n v="500"/>
    <n v="0"/>
    <n v="17533"/>
    <n v="0"/>
    <n v="0"/>
    <n v="0"/>
    <n v="0"/>
  </r>
  <r>
    <x v="407"/>
    <s v="GOMUKH ANANDPUR PARAS"/>
    <s v="MPG"/>
    <s v="Direct"/>
    <n v="2464.5"/>
    <n v="98704.16"/>
    <n v="2472.1"/>
    <n v="98961.49"/>
    <n v="0"/>
    <n v="0"/>
    <n v="2472.1"/>
    <n v="98961.49"/>
    <n v="98704.16"/>
    <n v="0"/>
    <n v="0"/>
    <n v="257.33000000000175"/>
    <n v="0"/>
    <n v="0"/>
    <n v="0"/>
    <n v="98704"/>
    <n v="0"/>
    <n v="0"/>
    <n v="0"/>
    <n v="0"/>
  </r>
  <r>
    <x v="408"/>
    <s v="Gomukh Bishanpur"/>
    <s v="MPG"/>
    <s v="Direct"/>
    <n v="326.10000000000002"/>
    <n v="14066.560000000001"/>
    <n v="338.33000000000004"/>
    <n v="13927.500000000002"/>
    <n v="4.71"/>
    <n v="203.45000000000005"/>
    <n v="343.04"/>
    <n v="14130.950000000003"/>
    <n v="14066.560000000001"/>
    <n v="0"/>
    <n v="203.45000000000005"/>
    <n v="64.390000000001237"/>
    <n v="0"/>
    <n v="0"/>
    <n v="0"/>
    <n v="13863"/>
    <n v="0"/>
    <n v="0"/>
    <n v="0"/>
    <n v="0"/>
  </r>
  <r>
    <x v="409"/>
    <s v="GOMUKH BISHANPUR 2"/>
    <s v="MPG"/>
    <s v="Direct"/>
    <n v="649.19999999999993"/>
    <n v="25849.840000000004"/>
    <n v="642.35"/>
    <n v="24990.649999999998"/>
    <n v="22.590000000000003"/>
    <n v="901.78"/>
    <n v="664.94"/>
    <n v="25892.429999999997"/>
    <n v="25849.840000000004"/>
    <n v="0"/>
    <n v="135.18"/>
    <n v="42.58999999999287"/>
    <n v="0"/>
    <n v="0"/>
    <n v="0"/>
    <n v="24948"/>
    <n v="767"/>
    <n v="0"/>
    <n v="0"/>
    <n v="0"/>
  </r>
  <r>
    <x v="410"/>
    <s v="GOMUKH GHAMARIYA"/>
    <s v="MPG"/>
    <s v="Direct"/>
    <n v="152.9"/>
    <n v="7771.9000000000005"/>
    <n v="156.72"/>
    <n v="7687.49"/>
    <n v="2.09"/>
    <n v="104.58000000000001"/>
    <n v="158.81"/>
    <n v="7792.07"/>
    <n v="7771.9000000000005"/>
    <n v="0"/>
    <n v="104.58000000000001"/>
    <n v="20.169999999999163"/>
    <n v="1415"/>
    <n v="0"/>
    <n v="0"/>
    <n v="6252"/>
    <n v="0"/>
    <n v="0"/>
    <n v="0"/>
    <s v="Release1"/>
  </r>
  <r>
    <x v="411"/>
    <s v="GOMUKH MEGHAUMA"/>
    <s v="MPG"/>
    <s v="Direct"/>
    <n v="740.79999999999984"/>
    <n v="30588.860000000004"/>
    <n v="738.00999999999988"/>
    <n v="30219.840000000004"/>
    <n v="9.3800000000000008"/>
    <n v="395.42999999999995"/>
    <n v="747.38999999999987"/>
    <n v="30615.270000000004"/>
    <n v="30588.860000000004"/>
    <n v="0"/>
    <n v="395.42999999999995"/>
    <n v="26.409999999999854"/>
    <n v="0"/>
    <n v="0"/>
    <n v="0"/>
    <n v="30193"/>
    <n v="0"/>
    <n v="0"/>
    <n v="0"/>
    <n v="0"/>
  </r>
  <r>
    <x v="412"/>
    <s v="GOMUKH AURA"/>
    <s v="MPG"/>
    <s v="Direct"/>
    <n v="737.4"/>
    <n v="29211.369999999995"/>
    <n v="833.96"/>
    <n v="33357.51999999999"/>
    <n v="0"/>
    <n v="0"/>
    <n v="833.96"/>
    <n v="33357.51999999999"/>
    <n v="29211.369999999995"/>
    <n v="0"/>
    <n v="0"/>
    <n v="4146.1499999999942"/>
    <n v="500"/>
    <n v="0"/>
    <n v="0"/>
    <n v="28711"/>
    <n v="0"/>
    <n v="0"/>
    <n v="0"/>
    <s v="Release1"/>
  </r>
  <r>
    <x v="413"/>
    <s v="GOMUKH BEHORBA"/>
    <s v="MPG"/>
    <s v="Direct"/>
    <n v="694.3"/>
    <n v="27965.87"/>
    <n v="829.84"/>
    <n v="32195.96"/>
    <n v="0"/>
    <n v="0"/>
    <n v="829.84"/>
    <n v="32195.96"/>
    <n v="27965.87"/>
    <n v="0"/>
    <n v="0"/>
    <n v="4230.09"/>
    <n v="0"/>
    <n v="0"/>
    <n v="0"/>
    <n v="27966"/>
    <n v="0"/>
    <n v="0"/>
    <n v="0"/>
    <n v="0"/>
  </r>
  <r>
    <x v="414"/>
    <s v="GOMUKH SAIDPUR SAMASTIPUR"/>
    <s v="MPG"/>
    <s v="Direct"/>
    <n v="1899.6"/>
    <n v="77534.5"/>
    <n v="3701.4"/>
    <n v="152026.31"/>
    <n v="0"/>
    <n v="0"/>
    <n v="3701.4"/>
    <n v="152026.31"/>
    <n v="77534.5"/>
    <n v="0"/>
    <n v="0"/>
    <n v="74491.81"/>
    <n v="0"/>
    <n v="0"/>
    <n v="0"/>
    <n v="77534"/>
    <n v="0"/>
    <n v="0"/>
    <n v="1"/>
    <s v="Release4"/>
  </r>
  <r>
    <x v="415"/>
    <s v="GOMUKH PHULTAURA"/>
    <s v="MPG"/>
    <s v="Direct"/>
    <n v="597.70000000000005"/>
    <n v="23853.750000000004"/>
    <n v="469.09000000000003"/>
    <n v="19297.39"/>
    <n v="133.60999999999999"/>
    <n v="4686.41"/>
    <n v="602.70000000000005"/>
    <n v="23983.8"/>
    <n v="23853.750000000004"/>
    <n v="0"/>
    <n v="0"/>
    <n v="130.04999999999563"/>
    <n v="0"/>
    <n v="0"/>
    <n v="0"/>
    <n v="19167"/>
    <n v="4687"/>
    <n v="0"/>
    <n v="0"/>
    <n v="0"/>
  </r>
  <r>
    <x v="416"/>
    <s v="Jangli Tol Vlc "/>
    <s v="vlc"/>
    <s v="Indirect"/>
    <n v="2589.3000000000002"/>
    <n v="108112.15000000002"/>
    <n v="0"/>
    <n v="0"/>
    <n v="0"/>
    <n v="0"/>
    <n v="0"/>
    <n v="0"/>
    <n v="108112.15000000002"/>
    <n v="0"/>
    <n v="0"/>
    <n v="0"/>
    <n v="0"/>
    <n v="0"/>
    <n v="0"/>
    <n v="0"/>
    <n v="0"/>
    <n v="108112.15000000002"/>
    <n v="0"/>
    <n v="0"/>
  </r>
  <r>
    <x v="417"/>
    <s v="DILKHUSH KUMAR "/>
    <s v="vlc"/>
    <s v="Indirect"/>
    <n v="383.79999999999995"/>
    <n v="14822.59"/>
    <n v="0"/>
    <n v="0"/>
    <n v="0"/>
    <n v="0"/>
    <n v="0"/>
    <n v="0"/>
    <n v="14822.59"/>
    <n v="0"/>
    <n v="0"/>
    <n v="0"/>
    <n v="0"/>
    <n v="0"/>
    <n v="0"/>
    <n v="0"/>
    <n v="0"/>
    <n v="14822.59"/>
    <n v="0"/>
    <n v="0"/>
  </r>
  <r>
    <x v="418"/>
    <s v="GOMUKH CHOWKI 2"/>
    <s v="MPG"/>
    <s v="Direct"/>
    <n v="7133.300000000002"/>
    <n v="274530.46999999997"/>
    <n v="5927.4799999999987"/>
    <n v="228550.2600000001"/>
    <n v="1188.6200000000001"/>
    <n v="47336.679999999993"/>
    <n v="7116.0999999999985"/>
    <n v="275886.94000000006"/>
    <n v="274530.46999999997"/>
    <n v="0"/>
    <n v="0"/>
    <n v="1356.4700000000885"/>
    <n v="0"/>
    <n v="0"/>
    <n v="0"/>
    <n v="227193"/>
    <n v="47337"/>
    <n v="0"/>
    <n v="0"/>
    <n v="0"/>
  </r>
  <r>
    <x v="419"/>
    <s v="GOMUKH MOHABA"/>
    <s v="MPG"/>
    <s v="Direct"/>
    <n v="1659.3999999999999"/>
    <n v="65279.12000000001"/>
    <n v="724.9"/>
    <n v="28627.11"/>
    <n v="1064.1999999999998"/>
    <n v="41973.4"/>
    <n v="1789.1"/>
    <n v="70600.510000000009"/>
    <n v="65279.12000000001"/>
    <n v="0"/>
    <n v="166.05000000000004"/>
    <n v="5321.3899999999994"/>
    <n v="0"/>
    <n v="0"/>
    <n v="0"/>
    <n v="23305"/>
    <n v="41808"/>
    <n v="0"/>
    <n v="0"/>
    <n v="0"/>
  </r>
  <r>
    <x v="420"/>
    <s v="SANHA VLC"/>
    <s v="vlc"/>
    <s v="Indirect"/>
    <n v="487.40000000000003"/>
    <n v="17925.57"/>
    <n v="0"/>
    <n v="0"/>
    <n v="0"/>
    <n v="0"/>
    <n v="0"/>
    <n v="0"/>
    <n v="17925.57"/>
    <n v="0"/>
    <n v="0"/>
    <n v="0"/>
    <n v="4050"/>
    <n v="0"/>
    <n v="0"/>
    <n v="0"/>
    <n v="0"/>
    <n v="13875.57"/>
    <n v="0"/>
    <n v="0"/>
  </r>
  <r>
    <x v="421"/>
    <s v="MOHANPUR VLC"/>
    <s v="vlc"/>
    <s v="Indirect"/>
    <n v="898.99999999999989"/>
    <n v="31500.190000000002"/>
    <n v="0"/>
    <n v="0"/>
    <n v="0"/>
    <n v="0"/>
    <n v="0"/>
    <n v="0"/>
    <n v="31500.190000000002"/>
    <n v="0"/>
    <n v="0"/>
    <n v="0"/>
    <n v="713.30000000000007"/>
    <n v="0"/>
    <n v="0"/>
    <n v="0"/>
    <n v="0"/>
    <n v="30786.890000000003"/>
    <n v="0"/>
    <n v="0"/>
  </r>
  <r>
    <x v="422"/>
    <s v="GOMUKH JANGLITOL"/>
    <s v="MPG"/>
    <s v="Direct"/>
    <n v="260.90000000000003"/>
    <n v="10967.91"/>
    <n v="260"/>
    <n v="10987.599999999999"/>
    <n v="0"/>
    <n v="0"/>
    <n v="260"/>
    <n v="10987.599999999999"/>
    <n v="10967.91"/>
    <n v="0"/>
    <n v="0"/>
    <n v="19.68999999999869"/>
    <n v="0"/>
    <n v="0"/>
    <n v="0"/>
    <n v="10968"/>
    <n v="0"/>
    <n v="0"/>
    <n v="0"/>
    <s v="Release4"/>
  </r>
  <r>
    <x v="423"/>
    <s v="Hiratol VLC"/>
    <s v="vlc"/>
    <s v="Indirect"/>
    <n v="38.1"/>
    <n v="1477.52"/>
    <n v="0"/>
    <n v="0"/>
    <n v="0"/>
    <n v="0"/>
    <n v="0"/>
    <n v="0"/>
    <n v="1477.52"/>
    <n v="0"/>
    <n v="0"/>
    <n v="0"/>
    <n v="0"/>
    <n v="0"/>
    <n v="0"/>
    <n v="0"/>
    <n v="0"/>
    <n v="1477.52"/>
    <n v="0"/>
    <n v="0"/>
  </r>
  <r>
    <x v="424"/>
    <s v="GOMUKH BARBIGHI"/>
    <s v="MPG"/>
    <s v="Direct"/>
    <n v="1657.9"/>
    <n v="62401.61"/>
    <n v="1651.3000000000002"/>
    <n v="63787.82"/>
    <n v="6.3"/>
    <n v="245.33"/>
    <n v="1657.6000000000001"/>
    <n v="64033.15"/>
    <n v="62401.61"/>
    <n v="0"/>
    <n v="245.33"/>
    <n v="1631.5400000000009"/>
    <n v="0"/>
    <n v="0"/>
    <n v="0"/>
    <n v="62156"/>
    <n v="0"/>
    <n v="0"/>
    <n v="0"/>
    <n v="0"/>
  </r>
  <r>
    <x v="425"/>
    <s v="Dandari-2"/>
    <s v="MPG"/>
    <s v="Direct"/>
    <n v="221.50000000000003"/>
    <n v="8503.6999999999989"/>
    <n v="221"/>
    <n v="8570.3799999999992"/>
    <n v="0"/>
    <n v="0"/>
    <n v="221"/>
    <n v="8570.3799999999992"/>
    <n v="8503.6999999999989"/>
    <n v="0"/>
    <n v="0"/>
    <n v="66.680000000000291"/>
    <n v="0"/>
    <n v="0"/>
    <n v="0"/>
    <n v="8504"/>
    <n v="0"/>
    <n v="0"/>
    <n v="0"/>
    <s v="Release4"/>
  </r>
  <r>
    <x v="426"/>
    <s v="Barkhanditol"/>
    <s v="vlc"/>
    <s v="Indirect"/>
    <n v="1351.8999999999999"/>
    <n v="60625.849999999991"/>
    <n v="0"/>
    <n v="0"/>
    <n v="0"/>
    <n v="0"/>
    <n v="0"/>
    <n v="0"/>
    <n v="60625.849999999991"/>
    <n v="0"/>
    <n v="0"/>
    <n v="0"/>
    <n v="0"/>
    <n v="0"/>
    <n v="0"/>
    <n v="0"/>
    <n v="0"/>
    <n v="60625.849999999991"/>
    <n v="0"/>
    <n v="0"/>
  </r>
  <r>
    <x v="427"/>
    <s v="Chauki-VLC"/>
    <s v="vlc"/>
    <s v="Indirect"/>
    <n v="569.30000000000007"/>
    <n v="21951.37"/>
    <n v="0"/>
    <n v="0"/>
    <n v="0"/>
    <n v="0"/>
    <n v="0"/>
    <n v="0"/>
    <n v="21951.37"/>
    <n v="0"/>
    <n v="0"/>
    <n v="0"/>
    <n v="0"/>
    <n v="0"/>
    <n v="0"/>
    <n v="0"/>
    <n v="0"/>
    <n v="21951.37"/>
    <n v="0"/>
    <n v="0"/>
  </r>
  <r>
    <x v="428"/>
    <s v="Hardia"/>
    <s v="MPG"/>
    <s v="Direct"/>
    <n v="640.40000000000009"/>
    <n v="28786.460000000003"/>
    <n v="727.26"/>
    <n v="32542.109999999997"/>
    <n v="2.8400000000000007"/>
    <n v="140.66000000000003"/>
    <n v="730.1"/>
    <n v="32682.769999999997"/>
    <n v="28786.460000000003"/>
    <n v="0"/>
    <n v="140.66000000000003"/>
    <n v="3896.309999999994"/>
    <n v="0"/>
    <n v="0"/>
    <n v="0"/>
    <n v="28646"/>
    <n v="0"/>
    <n v="0"/>
    <n v="0"/>
    <n v="0"/>
  </r>
  <r>
    <x v="429"/>
    <s v="Pachveer"/>
    <s v="vlc"/>
    <s v="Indirect"/>
    <n v="8840.6999999999989"/>
    <n v="344228.19"/>
    <n v="0"/>
    <n v="0"/>
    <n v="0"/>
    <n v="0"/>
    <n v="0"/>
    <n v="0"/>
    <n v="344228.19"/>
    <n v="0"/>
    <n v="0"/>
    <n v="0"/>
    <n v="0"/>
    <n v="0"/>
    <n v="0"/>
    <n v="0"/>
    <n v="0"/>
    <n v="344228.19"/>
    <n v="0"/>
    <n v="0"/>
  </r>
  <r>
    <x v="430"/>
    <s v="Mathar-3"/>
    <s v="vlc"/>
    <s v="Indirect"/>
    <n v="3067.5"/>
    <n v="129507.39"/>
    <n v="0"/>
    <n v="0"/>
    <n v="0"/>
    <n v="0"/>
    <n v="0"/>
    <n v="0"/>
    <n v="129507.39"/>
    <n v="0"/>
    <n v="0"/>
    <n v="0"/>
    <n v="0"/>
    <n v="0"/>
    <n v="0"/>
    <n v="0"/>
    <n v="0"/>
    <n v="129507.39"/>
    <n v="0"/>
    <n v="0"/>
  </r>
  <r>
    <x v="431"/>
    <s v="Ahoghat"/>
    <s v="vlc"/>
    <s v="Indirect"/>
    <n v="636.59999999999991"/>
    <n v="28639.19"/>
    <n v="0"/>
    <n v="0"/>
    <n v="0"/>
    <n v="0"/>
    <n v="0"/>
    <n v="0"/>
    <n v="28639.19"/>
    <n v="0"/>
    <n v="0"/>
    <n v="0"/>
    <n v="0"/>
    <n v="0"/>
    <n v="0"/>
    <n v="0"/>
    <n v="0"/>
    <n v="28639.19"/>
    <n v="0"/>
    <n v="0"/>
  </r>
  <r>
    <x v="432"/>
    <s v="Mathar-4"/>
    <s v="vlc"/>
    <s v="Indirect"/>
    <n v="372.30000000000007"/>
    <n v="15027.119999999999"/>
    <n v="0"/>
    <n v="0"/>
    <n v="0"/>
    <n v="0"/>
    <n v="0"/>
    <n v="0"/>
    <n v="15027.119999999999"/>
    <n v="0"/>
    <n v="0"/>
    <n v="0"/>
    <n v="0"/>
    <n v="0"/>
    <n v="0"/>
    <n v="0"/>
    <n v="0"/>
    <n v="15027.119999999999"/>
    <n v="0"/>
    <n v="0"/>
  </r>
  <r>
    <x v="433"/>
    <s v="Sadpur-2"/>
    <s v="MPG"/>
    <s v="Direct"/>
    <n v="665.2"/>
    <n v="24689.65"/>
    <n v="665"/>
    <n v="24771.25"/>
    <n v="0"/>
    <n v="0"/>
    <n v="665"/>
    <n v="24771.25"/>
    <n v="24689.65"/>
    <n v="0"/>
    <n v="0"/>
    <n v="81.599999999998545"/>
    <n v="0"/>
    <n v="0"/>
    <n v="0"/>
    <n v="24690"/>
    <n v="0"/>
    <n v="0"/>
    <n v="0"/>
    <n v="0"/>
  </r>
  <r>
    <x v="434"/>
    <s v="Phulmalik"/>
    <s v="vlc"/>
    <s v="Indirect"/>
    <n v="177.3"/>
    <n v="7226.85"/>
    <n v="0"/>
    <n v="0"/>
    <n v="0"/>
    <n v="0"/>
    <n v="0"/>
    <n v="0"/>
    <n v="7226.85"/>
    <n v="0"/>
    <n v="0"/>
    <n v="0"/>
    <n v="0"/>
    <n v="0"/>
    <n v="0"/>
    <n v="0"/>
    <n v="0"/>
    <n v="7226.85"/>
    <n v="0"/>
    <n v="0"/>
  </r>
  <r>
    <x v="435"/>
    <s v="Baliya"/>
    <s v="vlc"/>
    <s v="Indirect"/>
    <n v="7470.4999999999991"/>
    <n v="294440.01"/>
    <n v="0"/>
    <n v="0"/>
    <n v="0"/>
    <n v="0"/>
    <n v="0"/>
    <n v="0"/>
    <n v="294440.01"/>
    <n v="0"/>
    <n v="0"/>
    <n v="0"/>
    <n v="0"/>
    <n v="0"/>
    <n v="0"/>
    <n v="0"/>
    <n v="0"/>
    <n v="294440.01"/>
    <n v="0"/>
    <n v="0"/>
  </r>
  <r>
    <x v="436"/>
    <s v="GOMUKH SUBHANPUR"/>
    <s v="vlc"/>
    <s v="Indirect"/>
    <n v="265.93"/>
    <n v="10479.09"/>
    <n v="0"/>
    <n v="0"/>
    <n v="0"/>
    <n v="0"/>
    <n v="0"/>
    <n v="0"/>
    <n v="10479.09"/>
    <n v="0"/>
    <n v="0"/>
    <n v="0"/>
    <n v="723"/>
    <n v="0"/>
    <n v="0"/>
    <n v="0"/>
    <n v="0"/>
    <n v="9756.09"/>
    <n v="0"/>
    <n v="0"/>
  </r>
  <r>
    <x v="437"/>
    <s v="GOMUKH  BHAJANGAMA"/>
    <s v="vlc"/>
    <s v="Indirect"/>
    <n v="436.37000000000006"/>
    <n v="17480.71"/>
    <n v="0"/>
    <n v="0"/>
    <n v="0"/>
    <n v="0"/>
    <n v="0"/>
    <n v="0"/>
    <n v="17480.71"/>
    <n v="0"/>
    <n v="0"/>
    <n v="0"/>
    <n v="0"/>
    <n v="0"/>
    <n v="0"/>
    <n v="0"/>
    <n v="0"/>
    <n v="17480.71"/>
    <n v="0"/>
    <n v="0"/>
  </r>
  <r>
    <x v="438"/>
    <s v="Gomukh Basadhiya Kurni"/>
    <s v="MPG"/>
    <s v="Direct"/>
    <n v="439.18000000000006"/>
    <n v="17489.07"/>
    <n v="453.27"/>
    <n v="17486.100000000002"/>
    <n v="0"/>
    <n v="0"/>
    <n v="453.27"/>
    <n v="17486.100000000002"/>
    <n v="17486.100000000002"/>
    <n v="0"/>
    <n v="0"/>
    <n v="0"/>
    <n v="0"/>
    <n v="0"/>
    <n v="0"/>
    <n v="17486"/>
    <n v="0"/>
    <n v="0"/>
    <n v="3"/>
    <n v="0"/>
  </r>
  <r>
    <x v="439"/>
    <s v="KHAJURI"/>
    <s v="MPG"/>
    <s v="Direct"/>
    <n v="352.96000000000004"/>
    <n v="13588.499999999998"/>
    <n v="163"/>
    <n v="6539.0899999999992"/>
    <n v="176.7"/>
    <n v="7048.4600000000009"/>
    <n v="339.7"/>
    <n v="13587.55"/>
    <n v="13587.55"/>
    <n v="0"/>
    <n v="222.23000000000002"/>
    <n v="0"/>
    <n v="0"/>
    <n v="0"/>
    <n v="0"/>
    <n v="6540"/>
    <n v="6825"/>
    <n v="0"/>
    <n v="1"/>
    <n v="0"/>
  </r>
  <r>
    <x v="440"/>
    <s v="ARMAULI-2"/>
    <s v="MPG"/>
    <s v="Direct"/>
    <n v="1216.69"/>
    <n v="50722.200000000004"/>
    <n v="1231.45"/>
    <n v="50099.83"/>
    <n v="15.549999999999999"/>
    <n v="634.61"/>
    <n v="1247"/>
    <n v="50734.44"/>
    <n v="50722.200000000004"/>
    <n v="0"/>
    <n v="634.61"/>
    <n v="12.239999999997963"/>
    <n v="9357"/>
    <n v="0"/>
    <n v="0"/>
    <n v="40731"/>
    <n v="0"/>
    <n v="0"/>
    <n v="0"/>
    <n v="0"/>
  </r>
  <r>
    <x v="441"/>
    <s v="MUSAPUR - 2"/>
    <s v="vlc"/>
    <s v="Indirect"/>
    <n v="53.83"/>
    <n v="1863.41"/>
    <n v="0"/>
    <n v="0"/>
    <n v="0"/>
    <n v="0"/>
    <n v="0"/>
    <n v="0"/>
    <n v="1863.41"/>
    <n v="0"/>
    <n v="0"/>
    <n v="0"/>
    <n v="0"/>
    <n v="0"/>
    <n v="0"/>
    <n v="0"/>
    <n v="0"/>
    <n v="1863.41"/>
    <n v="0"/>
    <n v="0"/>
  </r>
  <r>
    <x v="442"/>
    <s v="Janganath Pur"/>
    <s v="vlc"/>
    <s v="Indirect"/>
    <n v="1807.5499999999997"/>
    <n v="76981.63"/>
    <n v="0"/>
    <n v="0"/>
    <n v="0"/>
    <n v="0"/>
    <n v="0"/>
    <n v="0"/>
    <n v="76981.63"/>
    <n v="0"/>
    <n v="0"/>
    <n v="0"/>
    <n v="0"/>
    <n v="0"/>
    <n v="0"/>
    <n v="0"/>
    <n v="0"/>
    <n v="76981.63"/>
    <n v="0"/>
    <n v="0"/>
  </r>
  <r>
    <x v="443"/>
    <s v="Nagargama"/>
    <s v="vlc"/>
    <s v="Indirect"/>
    <n v="332.74"/>
    <n v="13730.550000000001"/>
    <n v="0"/>
    <n v="0"/>
    <n v="0"/>
    <n v="0"/>
    <n v="0"/>
    <n v="0"/>
    <n v="13730.550000000001"/>
    <n v="0"/>
    <n v="0"/>
    <n v="0"/>
    <n v="7750"/>
    <n v="0"/>
    <n v="0"/>
    <n v="0"/>
    <n v="0"/>
    <n v="5980.5500000000011"/>
    <n v="0"/>
    <n v="0"/>
  </r>
  <r>
    <x v="444"/>
    <s v="Sato Ghachchhi"/>
    <s v="MPG"/>
    <s v="Direct"/>
    <n v="658.2"/>
    <n v="31466.31"/>
    <n v="671.39999999999986"/>
    <n v="30910.17"/>
    <n v="12.100000000000001"/>
    <n v="554.49999999999989"/>
    <n v="683.49999999999989"/>
    <n v="31464.67"/>
    <n v="31464.67"/>
    <n v="0"/>
    <n v="554.49999999999989"/>
    <n v="0"/>
    <n v="0"/>
    <n v="0"/>
    <n v="0"/>
    <n v="30911"/>
    <n v="0"/>
    <n v="0"/>
    <n v="1"/>
    <n v="0"/>
  </r>
  <r>
    <x v="445"/>
    <s v="Bhatgama"/>
    <s v="vlc"/>
    <s v="Indirect"/>
    <n v="531.55999999999995"/>
    <n v="19045.850000000002"/>
    <n v="0"/>
    <n v="0"/>
    <n v="0"/>
    <n v="0"/>
    <n v="0"/>
    <n v="0"/>
    <n v="19045.850000000002"/>
    <n v="0"/>
    <n v="0"/>
    <n v="0"/>
    <n v="1400"/>
    <n v="0"/>
    <n v="0"/>
    <n v="0"/>
    <n v="0"/>
    <n v="17645.850000000002"/>
    <n v="0"/>
    <n v="0"/>
  </r>
  <r>
    <x v="446"/>
    <s v="Borna Rasalpur"/>
    <s v="MPG"/>
    <s v="Direct"/>
    <n v="1123.6000000000001"/>
    <n v="47953.570000000007"/>
    <n v="657.40000000000009"/>
    <n v="29138.240000000002"/>
    <n v="419.2000000000001"/>
    <n v="18789.570000000003"/>
    <n v="1076.6000000000001"/>
    <n v="47927.810000000005"/>
    <n v="47927.810000000005"/>
    <n v="0"/>
    <n v="95.95"/>
    <n v="0"/>
    <n v="0"/>
    <n v="0"/>
    <n v="0"/>
    <n v="29138"/>
    <n v="18695"/>
    <n v="0"/>
    <n v="25"/>
    <n v="0"/>
  </r>
  <r>
    <x v="447"/>
    <s v="Rasalpur"/>
    <s v="MPG"/>
    <s v="Direct"/>
    <n v="1192.7199999999998"/>
    <n v="46603.19"/>
    <n v="1040.55"/>
    <n v="39771.679999999993"/>
    <n v="178.18"/>
    <n v="6831.38"/>
    <n v="1218.73"/>
    <n v="46603.05999999999"/>
    <n v="46603.05999999999"/>
    <n v="0"/>
    <n v="0"/>
    <n v="0"/>
    <n v="0"/>
    <n v="0"/>
    <n v="0"/>
    <n v="39772"/>
    <n v="6831"/>
    <n v="0"/>
    <n v="0"/>
    <n v="0"/>
  </r>
  <r>
    <x v="448"/>
    <s v="Narahan"/>
    <s v="MPG"/>
    <s v="Direct"/>
    <n v="201.06000000000003"/>
    <n v="6857.95"/>
    <n v="193.82"/>
    <n v="6709.43"/>
    <n v="4.1899999999999995"/>
    <n v="148.36000000000001"/>
    <n v="198.01"/>
    <n v="6857.79"/>
    <n v="6857.79"/>
    <n v="0"/>
    <n v="148.36000000000001"/>
    <n v="0"/>
    <n v="1370"/>
    <n v="0"/>
    <n v="0"/>
    <n v="5339"/>
    <n v="0"/>
    <n v="0"/>
    <n v="1"/>
    <s v="Release1"/>
  </r>
  <r>
    <x v="449"/>
    <s v="Gomukh Dumduma"/>
    <s v="MPG"/>
    <s v="Direct"/>
    <n v="398.22999999999996"/>
    <n v="15979.75"/>
    <n v="389.29999999999995"/>
    <n v="15766.859999999997"/>
    <n v="5"/>
    <n v="197.4"/>
    <n v="394.29999999999995"/>
    <n v="15964.259999999997"/>
    <n v="15964.259999999997"/>
    <n v="0"/>
    <n v="0"/>
    <n v="0"/>
    <n v="2060"/>
    <n v="0"/>
    <n v="0"/>
    <n v="13707"/>
    <n v="197"/>
    <n v="0"/>
    <n v="16"/>
    <n v="0"/>
  </r>
  <r>
    <x v="450"/>
    <s v="SUPOL"/>
    <s v="MPG"/>
    <s v="Direct"/>
    <n v="406.99"/>
    <n v="16930.040000000005"/>
    <n v="371.53999999999996"/>
    <n v="16217.720000000001"/>
    <n v="16.500000000000007"/>
    <n v="711.9100000000002"/>
    <n v="388.03999999999996"/>
    <n v="16929.63"/>
    <n v="16929.63"/>
    <n v="0"/>
    <n v="261.89999999999998"/>
    <n v="0"/>
    <n v="0"/>
    <n v="0"/>
    <n v="0"/>
    <n v="16216"/>
    <n v="452"/>
    <n v="0"/>
    <n v="0"/>
    <n v="0"/>
  </r>
  <r>
    <x v="451"/>
    <s v="BHUSARAI"/>
    <s v="MPG"/>
    <s v="Direct"/>
    <n v="211.88000000000002"/>
    <n v="8792.2899999999991"/>
    <n v="127.99"/>
    <n v="5184.32"/>
    <n v="88.87"/>
    <n v="3607.75"/>
    <n v="216.86"/>
    <n v="8792.07"/>
    <n v="8792.07"/>
    <n v="0"/>
    <n v="134.07000000000002"/>
    <n v="0"/>
    <n v="0"/>
    <n v="0"/>
    <n v="0"/>
    <n v="5184"/>
    <n v="3474"/>
    <n v="0"/>
    <n v="0"/>
    <n v="0"/>
  </r>
  <r>
    <x v="452"/>
    <s v="Gomukha Jounapur"/>
    <s v="vlc"/>
    <s v="Indirect"/>
    <n v="48.25"/>
    <n v="2284.0700000000002"/>
    <n v="0"/>
    <n v="0"/>
    <n v="0"/>
    <n v="0"/>
    <n v="0"/>
    <n v="0"/>
    <n v="2284.0700000000002"/>
    <n v="0"/>
    <n v="0"/>
    <n v="0"/>
    <n v="1400"/>
    <n v="0"/>
    <n v="0"/>
    <n v="0"/>
    <n v="0"/>
    <n v="884.07000000000016"/>
    <n v="0"/>
    <n v="0"/>
  </r>
  <r>
    <x v="453"/>
    <s v="Patailliya"/>
    <s v="vlc"/>
    <s v="Indirect"/>
    <n v="262.41000000000003"/>
    <n v="10058.359999999999"/>
    <n v="0"/>
    <n v="0"/>
    <n v="0"/>
    <n v="0"/>
    <n v="0"/>
    <n v="0"/>
    <n v="10058.359999999999"/>
    <n v="0"/>
    <n v="0"/>
    <n v="0"/>
    <n v="0"/>
    <n v="0"/>
    <n v="0"/>
    <n v="0"/>
    <n v="0"/>
    <n v="10058.359999999999"/>
    <n v="0"/>
    <n v="0"/>
  </r>
  <r>
    <x v="454"/>
    <s v="Badiya"/>
    <s v="vlc"/>
    <s v="Indirect"/>
    <n v="157.25"/>
    <n v="5405.9000000000005"/>
    <n v="0"/>
    <n v="0"/>
    <n v="0"/>
    <n v="0"/>
    <n v="0"/>
    <n v="0"/>
    <n v="5405.9000000000005"/>
    <n v="0"/>
    <n v="0"/>
    <n v="0"/>
    <n v="0"/>
    <n v="0"/>
    <n v="0"/>
    <n v="0"/>
    <n v="0"/>
    <n v="5405.9000000000005"/>
    <n v="0"/>
    <n v="0"/>
  </r>
  <r>
    <x v="455"/>
    <s v="Gomukh Tabhka"/>
    <s v="MPG"/>
    <s v="Direct"/>
    <n v="2282.36"/>
    <n v="95414.42"/>
    <n v="1340.5700000000002"/>
    <n v="61031.42"/>
    <n v="809.02"/>
    <n v="34382.620000000003"/>
    <n v="2149.59"/>
    <n v="95414.040000000008"/>
    <n v="95414.040000000008"/>
    <n v="0"/>
    <n v="531.09999999999991"/>
    <n v="0"/>
    <n v="0"/>
    <n v="0"/>
    <n v="0"/>
    <n v="61031"/>
    <n v="33851"/>
    <n v="0"/>
    <n v="1"/>
    <n v="0"/>
  </r>
  <r>
    <x v="456"/>
    <s v="Ghato"/>
    <s v="vlc"/>
    <s v="Indirect"/>
    <n v="36.51"/>
    <n v="1175.4299999999998"/>
    <n v="0"/>
    <n v="0"/>
    <n v="0"/>
    <n v="0"/>
    <n v="0"/>
    <n v="0"/>
    <n v="1175.4299999999998"/>
    <n v="0"/>
    <n v="0"/>
    <n v="0"/>
    <n v="0"/>
    <n v="0"/>
    <n v="0"/>
    <n v="0"/>
    <n v="0"/>
    <n v="1175.4299999999998"/>
    <n v="0"/>
    <n v="0"/>
  </r>
  <r>
    <x v="457"/>
    <s v="RAMNATHPUR                                                                                          "/>
    <s v="MPG"/>
    <s v="Direct"/>
    <n v="574.67000000000007"/>
    <n v="22492.769999999997"/>
    <n v="418.53"/>
    <n v="16249.51"/>
    <n v="167.64000000000004"/>
    <n v="6239.14"/>
    <n v="586.17000000000007"/>
    <n v="22488.65"/>
    <n v="22488.65"/>
    <n v="0"/>
    <n v="195.79000000000002"/>
    <n v="0"/>
    <n v="268"/>
    <n v="0"/>
    <n v="0"/>
    <n v="15981"/>
    <n v="6044"/>
    <n v="0"/>
    <n v="4"/>
    <n v="0"/>
  </r>
  <r>
    <x v="458"/>
    <s v="DESUA"/>
    <s v="MPG"/>
    <s v="Direct"/>
    <n v="431.04"/>
    <n v="17865.98"/>
    <n v="242.5"/>
    <n v="10711.259999999998"/>
    <n v="169.09999999999997"/>
    <n v="7151.7000000000007"/>
    <n v="411.59999999999997"/>
    <n v="17862.96"/>
    <n v="17862.96"/>
    <n v="0"/>
    <n v="39.68"/>
    <n v="0"/>
    <n v="0"/>
    <n v="0"/>
    <n v="0"/>
    <n v="10711"/>
    <n v="7112"/>
    <n v="0"/>
    <n v="3"/>
    <n v="0"/>
  </r>
  <r>
    <x v="459"/>
    <s v="Matior"/>
    <s v="MPG"/>
    <s v="Direct"/>
    <n v="207.13"/>
    <n v="8083.7899999999991"/>
    <n v="91.24"/>
    <n v="3662.1"/>
    <n v="116.05"/>
    <n v="4414.47"/>
    <n v="207.29"/>
    <n v="8076.57"/>
    <n v="8076.57"/>
    <n v="0"/>
    <n v="0"/>
    <n v="0"/>
    <n v="6036"/>
    <n v="0"/>
    <n v="0"/>
    <n v="933"/>
    <n v="1107"/>
    <n v="0"/>
    <n v="8"/>
    <n v="0"/>
  </r>
  <r>
    <x v="460"/>
    <s v="TELGAMA"/>
    <s v="vlc"/>
    <s v="Indirect"/>
    <n v="328.01000000000005"/>
    <n v="13337.690000000002"/>
    <n v="0"/>
    <n v="0"/>
    <n v="0"/>
    <n v="0"/>
    <n v="0"/>
    <n v="0"/>
    <n v="13337.690000000002"/>
    <n v="0"/>
    <n v="0"/>
    <n v="0"/>
    <n v="2800"/>
    <n v="0"/>
    <n v="0"/>
    <n v="0"/>
    <n v="0"/>
    <n v="10537.690000000002"/>
    <n v="0"/>
    <n v="0"/>
  </r>
  <r>
    <x v="461"/>
    <s v="GOMUKH TATARPUR"/>
    <s v="MPG"/>
    <s v="Direct"/>
    <n v="218.03000000000003"/>
    <n v="10700.670000000002"/>
    <n v="210.13000000000002"/>
    <n v="10380.560000000001"/>
    <n v="8.2000000000000011"/>
    <n v="318.75999999999993"/>
    <n v="218.33"/>
    <n v="10699.320000000002"/>
    <n v="10699.320000000002"/>
    <n v="0"/>
    <n v="0"/>
    <n v="0"/>
    <n v="0"/>
    <n v="500"/>
    <n v="0"/>
    <n v="9881"/>
    <n v="319"/>
    <n v="0"/>
    <n v="1"/>
    <n v="0"/>
  </r>
  <r>
    <x v="462"/>
    <s v="Gomukh Ghataho"/>
    <s v="MPG"/>
    <s v="Direct"/>
    <n v="2430.81"/>
    <n v="96102.110000000015"/>
    <n v="1810.7200000000003"/>
    <n v="70796.409999999989"/>
    <n v="615.69999999999993"/>
    <n v="25302.369999999995"/>
    <n v="2426.42"/>
    <n v="96098.779999999984"/>
    <n v="96098.779999999984"/>
    <n v="0"/>
    <n v="767.70999999999992"/>
    <n v="0"/>
    <n v="0"/>
    <n v="0"/>
    <n v="0"/>
    <n v="70798"/>
    <n v="24535"/>
    <n v="0"/>
    <n v="1"/>
    <n v="0"/>
  </r>
  <r>
    <x v="463"/>
    <s v="Kacha - Amarjeet"/>
    <s v="vlc"/>
    <s v="Indirect"/>
    <n v="363.40000000000003"/>
    <n v="16955.460000000003"/>
    <n v="0"/>
    <n v="0"/>
    <n v="0"/>
    <n v="0"/>
    <n v="0"/>
    <n v="0"/>
    <n v="16955.460000000003"/>
    <n v="0"/>
    <n v="0"/>
    <n v="0"/>
    <n v="3100"/>
    <n v="0"/>
    <n v="0"/>
    <n v="0"/>
    <n v="0"/>
    <n v="13855.460000000003"/>
    <n v="0"/>
    <n v="0"/>
  </r>
  <r>
    <x v="464"/>
    <s v="Simri - Suman"/>
    <s v="vlc"/>
    <s v="Indirect"/>
    <n v="3648.1"/>
    <n v="145026.85"/>
    <n v="0"/>
    <n v="0"/>
    <n v="0"/>
    <n v="0"/>
    <n v="0"/>
    <n v="0"/>
    <n v="145026.85"/>
    <n v="0"/>
    <n v="0"/>
    <n v="0"/>
    <n v="0"/>
    <n v="0"/>
    <n v="0"/>
    <n v="0"/>
    <n v="0"/>
    <n v="145026.85"/>
    <n v="0"/>
    <n v="0"/>
  </r>
  <r>
    <x v="465"/>
    <s v="Narenpur"/>
    <s v="MPG"/>
    <s v="Direct"/>
    <n v="317.54999999999995"/>
    <n v="13118.630000000001"/>
    <n v="80.86"/>
    <n v="3652.5299999999997"/>
    <n v="201.59"/>
    <n v="9447.77"/>
    <n v="282.45"/>
    <n v="13100.3"/>
    <n v="13100.3"/>
    <n v="0"/>
    <n v="0"/>
    <n v="0"/>
    <n v="318"/>
    <n v="0"/>
    <n v="0"/>
    <n v="3334"/>
    <n v="9447"/>
    <n v="0"/>
    <n v="20"/>
    <s v="Release1"/>
  </r>
  <r>
    <x v="466"/>
    <s v="Mordiba"/>
    <s v="MPG"/>
    <s v="Direct"/>
    <n v="1641.7100000000003"/>
    <n v="66833.850000000006"/>
    <n v="1219.68"/>
    <n v="48911.659999999996"/>
    <n v="978.86999999999989"/>
    <n v="38678.419999999969"/>
    <n v="2198.5500000000002"/>
    <n v="87590.079999999958"/>
    <n v="66833.850000000006"/>
    <n v="0"/>
    <n v="152.45999999999998"/>
    <n v="20756.229999999952"/>
    <n v="3050"/>
    <n v="0"/>
    <n v="0"/>
    <n v="25146"/>
    <n v="38485"/>
    <n v="0"/>
    <n v="0"/>
    <n v="0"/>
  </r>
  <r>
    <x v="467"/>
    <s v="Jagdispur"/>
    <s v="MPG"/>
    <s v="Direct"/>
    <n v="223.64000000000001"/>
    <n v="8742.59"/>
    <n v="243.33"/>
    <n v="8740.630000000001"/>
    <n v="0"/>
    <n v="0"/>
    <n v="243.33"/>
    <n v="8740.630000000001"/>
    <n v="8740.630000000001"/>
    <n v="0"/>
    <n v="0"/>
    <n v="0"/>
    <n v="1839"/>
    <n v="0"/>
    <n v="0"/>
    <n v="6900"/>
    <n v="0"/>
    <n v="0"/>
    <n v="4"/>
    <n v="0"/>
  </r>
  <r>
    <x v="468"/>
    <s v="Chaklal Sahi_Vikrant"/>
    <s v="vlc"/>
    <s v="Indirect"/>
    <n v="1244.2"/>
    <n v="50425.61"/>
    <n v="0"/>
    <n v="0"/>
    <n v="0"/>
    <n v="0"/>
    <n v="0"/>
    <n v="0"/>
    <n v="50425.61"/>
    <n v="0"/>
    <n v="0"/>
    <n v="0"/>
    <n v="0"/>
    <n v="0"/>
    <n v="0"/>
    <n v="0"/>
    <n v="0"/>
    <n v="50425.61"/>
    <n v="0"/>
    <n v="0"/>
  </r>
  <r>
    <x v="469"/>
    <s v="Piparpaati"/>
    <s v="vlc"/>
    <s v="Indirect"/>
    <n v="54.599999999999994"/>
    <n v="2095.2600000000002"/>
    <n v="0"/>
    <n v="0"/>
    <n v="0"/>
    <n v="0"/>
    <n v="0"/>
    <n v="0"/>
    <n v="2095.2600000000002"/>
    <n v="0"/>
    <n v="0"/>
    <n v="0"/>
    <n v="0"/>
    <n v="0"/>
    <n v="0"/>
    <n v="0"/>
    <n v="0"/>
    <n v="2095.2600000000002"/>
    <n v="0"/>
    <n v="0"/>
  </r>
  <r>
    <x v="470"/>
    <s v="Sarhad-Subodh"/>
    <s v="vlc"/>
    <s v="Indirect"/>
    <n v="497.24999999999994"/>
    <n v="18005.330000000002"/>
    <n v="0"/>
    <n v="0"/>
    <n v="0"/>
    <n v="0"/>
    <n v="0"/>
    <n v="0"/>
    <n v="18005.330000000002"/>
    <n v="0"/>
    <n v="0"/>
    <n v="0"/>
    <n v="0"/>
    <n v="0"/>
    <n v="0"/>
    <n v="0"/>
    <n v="0"/>
    <n v="18005.330000000002"/>
    <n v="0"/>
    <n v="0"/>
  </r>
  <r>
    <x v="471"/>
    <s v="Suratpur"/>
    <s v="MPG"/>
    <s v="Direct"/>
    <n v="938.42"/>
    <n v="36599.21"/>
    <n v="67.509999999999991"/>
    <n v="2569.4300000000003"/>
    <n v="891.66000000000008"/>
    <n v="34029.450000000004"/>
    <n v="959.17000000000007"/>
    <n v="36598.880000000005"/>
    <n v="36598.880000000005"/>
    <n v="0"/>
    <n v="283.10000000000002"/>
    <n v="0"/>
    <n v="0"/>
    <n v="0"/>
    <n v="0"/>
    <n v="2568"/>
    <n v="33748"/>
    <n v="0"/>
    <n v="0"/>
    <n v="0"/>
  </r>
  <r>
    <x v="472"/>
    <s v="Beri"/>
    <s v="MPG"/>
    <s v="Direct"/>
    <n v="414.7999999999999"/>
    <n v="16686.91"/>
    <n v="407.6"/>
    <n v="16398.690000000002"/>
    <n v="7.8999999999999995"/>
    <n v="282.47999999999996"/>
    <n v="415.5"/>
    <n v="16681.170000000002"/>
    <n v="16681.170000000002"/>
    <n v="0"/>
    <n v="0"/>
    <n v="0"/>
    <n v="16399"/>
    <n v="0"/>
    <n v="0"/>
    <n v="0"/>
    <n v="283"/>
    <n v="0"/>
    <n v="5"/>
    <n v="0"/>
  </r>
  <r>
    <x v="473"/>
    <s v="Mahmmadipur"/>
    <s v="MPG"/>
    <s v="Direct"/>
    <n v="2373.58"/>
    <n v="122003.92"/>
    <n v="774.03000000000009"/>
    <n v="41822.980000000003"/>
    <n v="1479.6400000000003"/>
    <n v="80173.77"/>
    <n v="2253.6700000000005"/>
    <n v="121996.75"/>
    <n v="121996.75"/>
    <n v="0"/>
    <n v="0"/>
    <n v="0"/>
    <n v="0"/>
    <n v="0"/>
    <n v="0"/>
    <n v="41824"/>
    <n v="80172"/>
    <n v="0"/>
    <n v="8"/>
    <n v="0"/>
  </r>
  <r>
    <x v="474"/>
    <s v="Simri-Rupesh"/>
    <s v="vlc"/>
    <s v="Indirect"/>
    <n v="59.45"/>
    <n v="2313.79"/>
    <n v="0"/>
    <n v="0"/>
    <n v="0"/>
    <n v="0"/>
    <n v="0"/>
    <n v="0"/>
    <n v="2313.79"/>
    <n v="0"/>
    <n v="0"/>
    <n v="0"/>
    <n v="0"/>
    <n v="0"/>
    <n v="0"/>
    <n v="0"/>
    <n v="0"/>
    <n v="2313.79"/>
    <n v="0"/>
    <n v="0"/>
  </r>
  <r>
    <x v="475"/>
    <s v="Mithilanchal Dairy Products"/>
    <s v="vlc"/>
    <s v="Indirect"/>
    <n v="4825.9800000000005"/>
    <n v="198408.03"/>
    <n v="0"/>
    <n v="0"/>
    <n v="0"/>
    <n v="0"/>
    <n v="0"/>
    <n v="0"/>
    <n v="198408.03"/>
    <n v="0"/>
    <n v="0"/>
    <n v="0"/>
    <n v="0"/>
    <n v="0"/>
    <n v="0"/>
    <n v="0"/>
    <n v="0"/>
    <n v="198408.03"/>
    <n v="0"/>
    <n v="0"/>
  </r>
  <r>
    <x v="476"/>
    <s v="Gomukh Jhaura Tabhka"/>
    <s v="MPG"/>
    <s v="Direct"/>
    <n v="734.99"/>
    <n v="29144.36"/>
    <n v="679.5100000000001"/>
    <n v="28498.690000000002"/>
    <n v="16.2"/>
    <n v="645.42000000000007"/>
    <n v="695.71000000000015"/>
    <n v="29144.11"/>
    <n v="29144.11"/>
    <n v="0"/>
    <n v="58.900000000000006"/>
    <n v="0"/>
    <n v="2800"/>
    <n v="0"/>
    <n v="0"/>
    <n v="25699"/>
    <n v="584"/>
    <n v="0"/>
    <n v="2"/>
    <n v="0"/>
  </r>
  <r>
    <x v="477"/>
    <s v="Gomukh Mohanpur"/>
    <s v="MPG"/>
    <s v="Direct"/>
    <n v="416.71000000000004"/>
    <n v="16141.160000000002"/>
    <n v="114.43"/>
    <n v="4691.32"/>
    <n v="299.51"/>
    <n v="11449.509999999998"/>
    <n v="413.94"/>
    <n v="16140.829999999998"/>
    <n v="16140.829999999998"/>
    <n v="0"/>
    <n v="349.06"/>
    <n v="0"/>
    <n v="0"/>
    <n v="0"/>
    <n v="0"/>
    <n v="4691"/>
    <n v="11101"/>
    <n v="0"/>
    <n v="0"/>
    <n v="0"/>
  </r>
  <r>
    <x v="478"/>
    <s v="Gomukh Bochaha"/>
    <s v="MPG"/>
    <s v="Direct"/>
    <n v="1127.04"/>
    <n v="51152.67"/>
    <n v="160.07999999999998"/>
    <n v="6834.4500000000007"/>
    <n v="999.92"/>
    <n v="43898.29"/>
    <n v="1160"/>
    <n v="50732.740000000005"/>
    <n v="50732.740000000005"/>
    <n v="0"/>
    <n v="0"/>
    <n v="0"/>
    <n v="0"/>
    <n v="0"/>
    <n v="0"/>
    <n v="6835"/>
    <n v="43897"/>
    <n v="0"/>
    <n v="421"/>
    <n v="0"/>
  </r>
  <r>
    <x v="479"/>
    <s v="Gomukh Terganj"/>
    <s v="MPG"/>
    <s v="Direct"/>
    <n v="239.18"/>
    <n v="9848.42"/>
    <n v="63.5"/>
    <n v="2771.7799999999997"/>
    <n v="162"/>
    <n v="7071.2999999999993"/>
    <n v="225.5"/>
    <n v="9843.0799999999981"/>
    <n v="9843.0799999999981"/>
    <n v="0"/>
    <n v="0"/>
    <n v="0"/>
    <n v="0"/>
    <n v="500"/>
    <n v="0"/>
    <n v="2272"/>
    <n v="7071"/>
    <n v="0"/>
    <n v="5"/>
    <n v="0"/>
  </r>
  <r>
    <x v="480"/>
    <s v="Gomukh Chapra"/>
    <s v="vlc"/>
    <s v="Indirect"/>
    <n v="745.59999999999991"/>
    <n v="30798.619999999995"/>
    <n v="0"/>
    <n v="0"/>
    <n v="0"/>
    <n v="0"/>
    <n v="0"/>
    <n v="0"/>
    <n v="30798.619999999995"/>
    <n v="0"/>
    <n v="0"/>
    <n v="0"/>
    <n v="26000"/>
    <n v="0"/>
    <n v="0"/>
    <n v="0"/>
    <n v="0"/>
    <n v="4798.6199999999953"/>
    <n v="0"/>
    <n v="0"/>
  </r>
  <r>
    <x v="481"/>
    <s v="GOMUKH Chiranjipur"/>
    <s v="vlc"/>
    <s v="Indirect"/>
    <n v="7746"/>
    <n v="310250.69999999995"/>
    <n v="0"/>
    <n v="0"/>
    <n v="0"/>
    <n v="0"/>
    <n v="0"/>
    <n v="0"/>
    <n v="310250.69999999995"/>
    <n v="0"/>
    <n v="0"/>
    <n v="0"/>
    <n v="0"/>
    <n v="0"/>
    <n v="0"/>
    <n v="0"/>
    <n v="0"/>
    <n v="310250.69999999995"/>
    <n v="0"/>
    <n v="0"/>
  </r>
  <r>
    <x v="482"/>
    <s v="Gomukh Sahu Tol"/>
    <s v="vlc"/>
    <s v="Indirect"/>
    <n v="728.95"/>
    <n v="28774.75"/>
    <n v="0"/>
    <n v="0"/>
    <n v="0"/>
    <n v="0"/>
    <n v="0"/>
    <n v="0"/>
    <n v="28774.75"/>
    <n v="0"/>
    <n v="0"/>
    <n v="0"/>
    <n v="0"/>
    <n v="0"/>
    <n v="0"/>
    <n v="0"/>
    <n v="0"/>
    <n v="28774.75"/>
    <n v="0"/>
    <n v="0"/>
  </r>
  <r>
    <x v="483"/>
    <s v="Gomukh Mordiwa East"/>
    <s v="MPG"/>
    <s v="Direct"/>
    <n v="1226.0699999999997"/>
    <n v="48684.239999999991"/>
    <n v="230.60000000000002"/>
    <n v="9443.81"/>
    <n v="973.83"/>
    <n v="39240.140000000014"/>
    <n v="1204.43"/>
    <n v="48683.950000000012"/>
    <n v="48683.950000000012"/>
    <n v="0"/>
    <n v="0"/>
    <n v="0"/>
    <n v="1566"/>
    <n v="0"/>
    <n v="0"/>
    <n v="7877"/>
    <n v="39241"/>
    <n v="0"/>
    <n v="0"/>
    <n v="0"/>
  </r>
  <r>
    <x v="484"/>
    <s v="Gomukh Belamegh"/>
    <s v="vlc"/>
    <s v="Indirect"/>
    <n v="919.65000000000009"/>
    <n v="36126.559999999998"/>
    <n v="0"/>
    <n v="0"/>
    <n v="0"/>
    <n v="0"/>
    <n v="0"/>
    <n v="0"/>
    <n v="36126.559999999998"/>
    <n v="0"/>
    <n v="0"/>
    <n v="0"/>
    <n v="0"/>
    <n v="0"/>
    <n v="0"/>
    <n v="0"/>
    <n v="0"/>
    <n v="36126.559999999998"/>
    <n v="0"/>
    <n v="0"/>
  </r>
  <r>
    <x v="485"/>
    <s v="Gomukh Ramaiya"/>
    <s v="MPG"/>
    <s v="Direct"/>
    <n v="773.52999999999975"/>
    <n v="32003.51"/>
    <n v="760.87999999999977"/>
    <n v="31482.960000000003"/>
    <n v="13.7"/>
    <n v="511.64999999999992"/>
    <n v="774.57999999999981"/>
    <n v="31994.610000000004"/>
    <n v="31994.610000000004"/>
    <n v="0"/>
    <n v="0"/>
    <n v="0"/>
    <n v="0"/>
    <n v="0"/>
    <n v="0"/>
    <n v="31483"/>
    <n v="512"/>
    <n v="0"/>
    <n v="9"/>
    <n v="0"/>
  </r>
  <r>
    <x v="486"/>
    <s v="GOMUKH MANIKA EAST"/>
    <s v="MPG"/>
    <s v="Direct"/>
    <n v="684.1"/>
    <n v="27659.33"/>
    <n v="442.80000000000007"/>
    <n v="18840.34"/>
    <n v="204.3"/>
    <n v="8813.3799999999992"/>
    <n v="647.10000000000014"/>
    <n v="27653.72"/>
    <n v="27653.72"/>
    <n v="0"/>
    <n v="0"/>
    <n v="0"/>
    <n v="0"/>
    <n v="0"/>
    <n v="0"/>
    <n v="18840"/>
    <n v="8814"/>
    <n v="0"/>
    <n v="5"/>
    <n v="0"/>
  </r>
  <r>
    <x v="487"/>
    <s v="IMADPUR"/>
    <s v="vlc"/>
    <s v="Indirect"/>
    <n v="585.41"/>
    <n v="23354.769999999997"/>
    <n v="0"/>
    <n v="0"/>
    <n v="0"/>
    <n v="0"/>
    <n v="0"/>
    <n v="0"/>
    <n v="23354.769999999997"/>
    <n v="0"/>
    <n v="0"/>
    <n v="0"/>
    <n v="0"/>
    <n v="0"/>
    <n v="0"/>
    <n v="0"/>
    <n v="0"/>
    <n v="23354.769999999997"/>
    <n v="0"/>
    <n v="0"/>
  </r>
  <r>
    <x v="488"/>
    <s v="GOMUKH Kisanpur Tabhka"/>
    <s v="MPG"/>
    <s v="Direct"/>
    <n v="969.71"/>
    <n v="38686.560000000005"/>
    <n v="193.29"/>
    <n v="7853.8700000000008"/>
    <n v="770.76"/>
    <n v="30832.43"/>
    <n v="964.05"/>
    <n v="38686.300000000003"/>
    <n v="38686.300000000003"/>
    <n v="0"/>
    <n v="0"/>
    <n v="0"/>
    <n v="0"/>
    <n v="0"/>
    <n v="0"/>
    <n v="7854"/>
    <n v="30832"/>
    <n v="0"/>
    <n v="1"/>
    <n v="0"/>
  </r>
  <r>
    <x v="489"/>
    <s v="GOMUKH BIBHUTIPUR"/>
    <s v="MPG"/>
    <s v="Direct"/>
    <n v="102.17999999999999"/>
    <n v="3916.5200000000004"/>
    <n v="102.57000000000001"/>
    <n v="3916.36"/>
    <n v="0"/>
    <n v="0"/>
    <n v="102.57000000000001"/>
    <n v="3916.36"/>
    <n v="3916.36"/>
    <n v="0"/>
    <n v="0"/>
    <n v="0"/>
    <n v="0"/>
    <n v="500"/>
    <n v="0"/>
    <n v="3416"/>
    <n v="0"/>
    <n v="0"/>
    <n v="1"/>
    <s v="Release2"/>
  </r>
  <r>
    <x v="490"/>
    <s v="GOMUKH PATHAKTOL"/>
    <s v="MPG"/>
    <s v="Direct"/>
    <n v="220.54"/>
    <n v="9352.3100000000013"/>
    <n v="142.69999999999999"/>
    <n v="5925.1999999999989"/>
    <n v="89.699999999999989"/>
    <n v="3411.91"/>
    <n v="232.39999999999998"/>
    <n v="9337.1099999999988"/>
    <n v="9337.1099999999988"/>
    <n v="0"/>
    <n v="0"/>
    <n v="0"/>
    <n v="0"/>
    <n v="500"/>
    <n v="0"/>
    <n v="5425"/>
    <n v="3412"/>
    <n v="0"/>
    <n v="15"/>
    <n v="0"/>
  </r>
  <r>
    <x v="491"/>
    <s v="Gomukh Musapur West"/>
    <s v="vlc"/>
    <s v="Indirect"/>
    <n v="2000.5900000000001"/>
    <n v="79124.149999999994"/>
    <n v="0"/>
    <n v="0"/>
    <n v="0"/>
    <n v="0"/>
    <n v="0"/>
    <n v="0"/>
    <n v="79124.149999999994"/>
    <n v="0"/>
    <n v="0"/>
    <n v="0"/>
    <n v="0"/>
    <n v="0"/>
    <n v="0"/>
    <n v="0"/>
    <n v="0"/>
    <n v="79124.149999999994"/>
    <n v="0"/>
    <n v="0"/>
  </r>
  <r>
    <x v="492"/>
    <s v="GOMUKH DADHIYA RAMKRISHANPUR"/>
    <s v="MPG"/>
    <s v="Direct"/>
    <n v="1301.97"/>
    <n v="56314.409999999989"/>
    <n v="307"/>
    <n v="11798.93"/>
    <n v="1027.8"/>
    <n v="44451.77"/>
    <n v="1334.8"/>
    <n v="56250.7"/>
    <n v="56250.7"/>
    <n v="0"/>
    <n v="865.33999999999992"/>
    <n v="0"/>
    <n v="8822.25"/>
    <n v="0"/>
    <n v="0"/>
    <n v="9188"/>
    <n v="37374"/>
    <n v="0"/>
    <n v="65"/>
    <n v="0"/>
  </r>
  <r>
    <x v="493"/>
    <s v="Gomukh Simri Ward 4"/>
    <s v="vlc"/>
    <s v="Indirect"/>
    <n v="1200"/>
    <n v="47868"/>
    <n v="0"/>
    <n v="0"/>
    <n v="0"/>
    <n v="0"/>
    <n v="0"/>
    <n v="0"/>
    <n v="47868"/>
    <n v="0"/>
    <n v="0"/>
    <n v="0"/>
    <n v="0"/>
    <n v="0"/>
    <n v="0"/>
    <n v="0"/>
    <n v="0"/>
    <n v="47868"/>
    <n v="0"/>
    <n v="0"/>
  </r>
  <r>
    <x v="494"/>
    <s v="GOMUKH BALTHARA"/>
    <s v="MPG"/>
    <s v="Direct"/>
    <n v="432.28"/>
    <n v="17819.77"/>
    <n v="172.01999999999998"/>
    <n v="7060.1500000000005"/>
    <n v="297.27999999999997"/>
    <n v="12119.119999999999"/>
    <n v="469.29999999999995"/>
    <n v="19179.27"/>
    <n v="17819.77"/>
    <n v="0"/>
    <n v="0"/>
    <n v="1359.5"/>
    <n v="1550"/>
    <n v="0"/>
    <n v="0"/>
    <n v="5494"/>
    <n v="10776"/>
    <n v="0"/>
    <n v="0"/>
    <s v="Release1"/>
  </r>
  <r>
    <x v="495"/>
    <s v="GOMUKH BHASINGPUR"/>
    <s v="MPG"/>
    <s v="Direct"/>
    <n v="1140.26"/>
    <n v="48826.930000000008"/>
    <n v="673.45999999999992"/>
    <n v="30638.519999999997"/>
    <n v="424.59"/>
    <n v="18280.409999999996"/>
    <n v="1098.05"/>
    <n v="48918.929999999993"/>
    <n v="48826.930000000008"/>
    <n v="0"/>
    <n v="0"/>
    <n v="91.999999999985448"/>
    <n v="6063"/>
    <n v="0"/>
    <n v="0"/>
    <n v="27304"/>
    <n v="15460"/>
    <n v="0"/>
    <n v="0"/>
    <n v="0"/>
  </r>
  <r>
    <x v="496"/>
    <s v="GOMUKH Chakhale Dad"/>
    <s v="MPG"/>
    <s v="Direct"/>
    <n v="886.54000000000008"/>
    <n v="34528.89"/>
    <n v="519.17999999999995"/>
    <n v="20735.57"/>
    <n v="361.90999999999997"/>
    <n v="13790.91"/>
    <n v="881.08999999999992"/>
    <n v="34526.479999999996"/>
    <n v="34526.479999999996"/>
    <n v="0"/>
    <n v="121.75999999999996"/>
    <n v="0"/>
    <n v="0"/>
    <n v="0"/>
    <n v="0"/>
    <n v="20736"/>
    <n v="13671"/>
    <n v="0"/>
    <n v="0"/>
    <n v="0"/>
  </r>
  <r>
    <x v="497"/>
    <s v="Gomukh Simri"/>
    <s v="vlc"/>
    <s v="Indirect"/>
    <n v="805.06000000000006"/>
    <n v="32984.53"/>
    <n v="0"/>
    <n v="0"/>
    <n v="0"/>
    <n v="0"/>
    <n v="0"/>
    <n v="0"/>
    <n v="32984.53"/>
    <n v="0"/>
    <n v="0"/>
    <n v="0"/>
    <n v="7000"/>
    <n v="0"/>
    <n v="0"/>
    <n v="0"/>
    <n v="0"/>
    <n v="25984.53"/>
    <n v="0"/>
    <n v="0"/>
  </r>
  <r>
    <x v="498"/>
    <s v="GOMUKH BANGHARH KISHANPUR"/>
    <s v="MPG"/>
    <s v="Direct"/>
    <n v="840.70000000000016"/>
    <n v="32530.76"/>
    <n v="129.1"/>
    <n v="4971.3600000000006"/>
    <n v="717.3"/>
    <n v="27479.46"/>
    <n v="846.4"/>
    <n v="32450.82"/>
    <n v="32450.82"/>
    <n v="0"/>
    <n v="222.83"/>
    <n v="0"/>
    <n v="1400"/>
    <n v="0"/>
    <n v="0"/>
    <n v="3571"/>
    <n v="27256"/>
    <n v="0"/>
    <n v="81"/>
    <n v="0"/>
  </r>
  <r>
    <x v="499"/>
    <s v="Gomukh Serpur Narsari"/>
    <s v="vlc"/>
    <s v="Indirect"/>
    <n v="164.9"/>
    <n v="5840.66"/>
    <n v="0"/>
    <n v="0"/>
    <n v="0"/>
    <n v="0"/>
    <n v="0"/>
    <n v="0"/>
    <n v="5840.66"/>
    <n v="0"/>
    <n v="0"/>
    <n v="0"/>
    <n v="0"/>
    <n v="0"/>
    <n v="0"/>
    <n v="0"/>
    <n v="0"/>
    <n v="5840.66"/>
    <n v="0"/>
    <n v="0"/>
  </r>
  <r>
    <x v="500"/>
    <s v="PARORIYA"/>
    <s v="MPG"/>
    <s v="Direct"/>
    <n v="85.699999999999989"/>
    <n v="2718.0699999999997"/>
    <n v="85.52000000000001"/>
    <n v="2677.1599999999994"/>
    <n v="0.7"/>
    <n v="23.1"/>
    <n v="86.220000000000013"/>
    <n v="2700.2599999999993"/>
    <n v="2700.2599999999993"/>
    <n v="0"/>
    <n v="23.1"/>
    <n v="0"/>
    <n v="0"/>
    <n v="0"/>
    <n v="0"/>
    <n v="2677"/>
    <n v="0"/>
    <n v="0"/>
    <n v="18"/>
    <n v="0"/>
  </r>
  <r>
    <x v="501"/>
    <s v="JHAKHRA"/>
    <s v="vlc"/>
    <s v="Indirect"/>
    <n v="35.4"/>
    <n v="1204.68"/>
    <n v="0"/>
    <n v="0"/>
    <n v="0"/>
    <n v="0"/>
    <n v="0"/>
    <n v="0"/>
    <n v="1204.68"/>
    <n v="0"/>
    <n v="0"/>
    <n v="0"/>
    <n v="1205"/>
    <n v="0"/>
    <n v="0"/>
    <n v="0"/>
    <n v="0"/>
    <n v="-0.31999999999993634"/>
    <n v="0"/>
    <n v="0"/>
  </r>
  <r>
    <x v="502"/>
    <s v="GOMUKH ANDAHA"/>
    <s v="MPG"/>
    <s v="Direct"/>
    <n v="559.1"/>
    <n v="22003.97"/>
    <n v="578.78"/>
    <n v="21994.010000000002"/>
    <n v="0"/>
    <n v="0"/>
    <n v="578.78"/>
    <n v="21994.010000000002"/>
    <n v="21994.010000000002"/>
    <n v="0"/>
    <n v="0"/>
    <n v="0"/>
    <n v="0"/>
    <n v="0"/>
    <n v="0"/>
    <n v="21995"/>
    <n v="0"/>
    <n v="0"/>
    <n v="9"/>
    <n v="0"/>
  </r>
  <r>
    <x v="503"/>
    <s v="Gomukha Rohua"/>
    <s v="MPG"/>
    <s v="Direct"/>
    <n v="438.79999999999995"/>
    <n v="18046.370000000003"/>
    <n v="419.49999999999994"/>
    <n v="17981.490000000002"/>
    <n v="27.7"/>
    <n v="1199.58"/>
    <n v="447.19999999999993"/>
    <n v="19181.07"/>
    <n v="18046.370000000003"/>
    <n v="0"/>
    <n v="282.52999999999997"/>
    <n v="1134.6999999999971"/>
    <n v="0"/>
    <n v="0"/>
    <n v="0"/>
    <n v="16847"/>
    <n v="917"/>
    <n v="0"/>
    <n v="0"/>
    <n v="0"/>
  </r>
  <r>
    <x v="504"/>
    <s v="Gomukha Arniya Ganj"/>
    <s v="MPG"/>
    <s v="Direct"/>
    <n v="2953.7"/>
    <n v="112547.36999999998"/>
    <n v="1651.3"/>
    <n v="63289.38"/>
    <n v="1305.6999999999998"/>
    <n v="49254.640000000007"/>
    <n v="2957"/>
    <n v="112544.02"/>
    <n v="112544.02"/>
    <n v="0"/>
    <n v="1338.1299999999999"/>
    <n v="0"/>
    <n v="0"/>
    <n v="0"/>
    <n v="0"/>
    <n v="63290"/>
    <n v="47918"/>
    <n v="0"/>
    <n v="1"/>
    <n v="0"/>
  </r>
  <r>
    <x v="505"/>
    <s v="Gomukha Vishanupatti II"/>
    <s v="vlc"/>
    <s v="Indirect"/>
    <n v="761.90000000000009"/>
    <n v="30148.999999999996"/>
    <n v="0"/>
    <n v="0"/>
    <n v="0"/>
    <n v="0"/>
    <n v="0"/>
    <n v="0"/>
    <n v="30148.999999999996"/>
    <n v="0"/>
    <n v="0"/>
    <n v="0"/>
    <n v="3059"/>
    <n v="0"/>
    <n v="0"/>
    <n v="0"/>
    <n v="0"/>
    <n v="27089.999999999996"/>
    <n v="0"/>
    <n v="0"/>
  </r>
  <r>
    <x v="506"/>
    <s v="Gomukh Khesarhiya"/>
    <s v="vlc"/>
    <s v="Indirect"/>
    <n v="242.39999999999998"/>
    <n v="9873.64"/>
    <n v="0"/>
    <n v="0"/>
    <n v="0"/>
    <n v="0"/>
    <n v="0"/>
    <n v="0"/>
    <n v="9873.64"/>
    <n v="0"/>
    <n v="0"/>
    <n v="0"/>
    <n v="0"/>
    <n v="0"/>
    <n v="0"/>
    <n v="0"/>
    <n v="0"/>
    <n v="9873.64"/>
    <n v="0"/>
    <n v="0"/>
  </r>
  <r>
    <x v="507"/>
    <s v="Harsingpur"/>
    <s v="vlc"/>
    <s v="Indirect"/>
    <n v="337.2"/>
    <n v="11639.37"/>
    <n v="0"/>
    <n v="0"/>
    <n v="0"/>
    <n v="0"/>
    <n v="0"/>
    <n v="0"/>
    <n v="11639.37"/>
    <n v="0"/>
    <n v="0"/>
    <n v="0"/>
    <n v="1400"/>
    <n v="0"/>
    <n v="0"/>
    <n v="0"/>
    <n v="0"/>
    <n v="10239.370000000001"/>
    <n v="0"/>
    <n v="0"/>
  </r>
  <r>
    <x v="508"/>
    <s v="Gomukh ID Mahathi"/>
    <s v="vlc"/>
    <s v="Indirect"/>
    <n v="543"/>
    <n v="21754.120000000003"/>
    <n v="0"/>
    <n v="0"/>
    <n v="0"/>
    <n v="0"/>
    <n v="0"/>
    <n v="0"/>
    <n v="21754.120000000003"/>
    <n v="0"/>
    <n v="0"/>
    <n v="0"/>
    <n v="0"/>
    <n v="0"/>
    <n v="0"/>
    <n v="0"/>
    <n v="0"/>
    <n v="21754.120000000003"/>
    <n v="0"/>
    <n v="0"/>
  </r>
  <r>
    <x v="509"/>
    <s v="MURTUJAPUR"/>
    <s v="vlc"/>
    <s v="Indirect"/>
    <n v="352.09999999999991"/>
    <n v="15687.52"/>
    <n v="0"/>
    <n v="0"/>
    <n v="0"/>
    <n v="0"/>
    <n v="0"/>
    <n v="0"/>
    <n v="15687.52"/>
    <n v="0"/>
    <n v="0"/>
    <n v="0"/>
    <n v="3359"/>
    <n v="0"/>
    <n v="0"/>
    <n v="0"/>
    <n v="0"/>
    <n v="12328.52"/>
    <n v="0"/>
    <n v="0"/>
  </r>
  <r>
    <x v="510"/>
    <s v="Rasalpur"/>
    <s v="MPG"/>
    <s v="Direct"/>
    <n v="143.6"/>
    <n v="5713.57"/>
    <n v="52.56"/>
    <n v="2304.2799999999997"/>
    <n v="102.92"/>
    <n v="4283.97"/>
    <n v="155.48000000000002"/>
    <n v="6588.25"/>
    <n v="5713.57"/>
    <n v="0"/>
    <n v="52.22"/>
    <n v="874.68000000000029"/>
    <n v="0"/>
    <n v="500"/>
    <n v="0"/>
    <n v="929"/>
    <n v="4232"/>
    <n v="0"/>
    <n v="0"/>
    <n v="0"/>
  </r>
  <r>
    <x v="511"/>
    <s v="Gomukh VISHNUPATTI"/>
    <s v="vlc"/>
    <s v="Indirect"/>
    <n v="23.6"/>
    <n v="969.94"/>
    <n v="0"/>
    <n v="0"/>
    <n v="0"/>
    <n v="0"/>
    <n v="0"/>
    <n v="0"/>
    <n v="969.94"/>
    <n v="0"/>
    <n v="0"/>
    <n v="0"/>
    <n v="0"/>
    <n v="0"/>
    <n v="0"/>
    <n v="0"/>
    <n v="0"/>
    <n v="969.94"/>
    <n v="0"/>
    <n v="0"/>
  </r>
  <r>
    <x v="512"/>
    <s v="Chhuchhipur                                                                                         "/>
    <s v="MPG"/>
    <s v="Direct"/>
    <n v="231.10000000000002"/>
    <n v="7761.74"/>
    <n v="231.10000000000002"/>
    <n v="7756.02"/>
    <n v="0"/>
    <n v="0"/>
    <n v="231.10000000000002"/>
    <n v="7756.02"/>
    <n v="7756.02"/>
    <n v="0"/>
    <n v="0"/>
    <n v="0"/>
    <n v="259"/>
    <n v="0"/>
    <n v="0"/>
    <n v="7497"/>
    <n v="0"/>
    <n v="0"/>
    <n v="6"/>
    <n v="0"/>
  </r>
  <r>
    <x v="513"/>
    <s v="Gomukh ID Sararanjan"/>
    <s v="vlc"/>
    <s v="Indirect"/>
    <n v="136.9"/>
    <n v="4923.5599999999995"/>
    <n v="0"/>
    <n v="0"/>
    <n v="0"/>
    <n v="0"/>
    <n v="0"/>
    <n v="0"/>
    <n v="4923.5599999999995"/>
    <n v="0"/>
    <n v="0"/>
    <n v="0"/>
    <n v="4924"/>
    <n v="0"/>
    <n v="0"/>
    <n v="0"/>
    <n v="0"/>
    <n v="-0.44000000000050932"/>
    <n v="0"/>
    <n v="0"/>
  </r>
  <r>
    <x v="514"/>
    <s v="Gomukh Soharthi Purvi Tola                                                                          "/>
    <s v="MPG"/>
    <s v="Direct"/>
    <n v="62.899999999999991"/>
    <n v="2667.13"/>
    <n v="61.800000000000011"/>
    <n v="2622.4199999999996"/>
    <n v="0"/>
    <n v="0"/>
    <n v="61.800000000000011"/>
    <n v="2622.4199999999996"/>
    <n v="2622.4199999999996"/>
    <n v="0"/>
    <n v="0"/>
    <n v="0"/>
    <n v="0"/>
    <n v="500"/>
    <n v="0"/>
    <n v="2122"/>
    <n v="0"/>
    <n v="0"/>
    <n v="45"/>
    <n v="0"/>
  </r>
  <r>
    <x v="515"/>
    <s v="Birnama"/>
    <s v="vlc"/>
    <s v="Indirect"/>
    <n v="844.3"/>
    <n v="23098.15"/>
    <n v="0"/>
    <n v="0"/>
    <n v="0"/>
    <n v="0"/>
    <n v="0"/>
    <n v="0"/>
    <n v="23098.15"/>
    <n v="0"/>
    <n v="0"/>
    <n v="0"/>
    <n v="0"/>
    <n v="0"/>
    <n v="0"/>
    <n v="0"/>
    <n v="0"/>
    <n v="23098.15"/>
    <n v="0"/>
    <n v="0"/>
  </r>
  <r>
    <x v="516"/>
    <s v="Maraie - Rubi"/>
    <s v="vlc"/>
    <s v="Indirect"/>
    <n v="40.5"/>
    <n v="1611.21"/>
    <n v="0"/>
    <n v="0"/>
    <n v="0"/>
    <n v="0"/>
    <n v="0"/>
    <n v="0"/>
    <n v="1611.21"/>
    <n v="0"/>
    <n v="0"/>
    <n v="0"/>
    <n v="0"/>
    <n v="0"/>
    <n v="0"/>
    <n v="0"/>
    <n v="0"/>
    <n v="1611.21"/>
    <n v="0"/>
    <n v="0"/>
  </r>
  <r>
    <x v="517"/>
    <s v="Arniya East Tola - Seema"/>
    <s v="vlc"/>
    <s v="Indirect"/>
    <n v="10.4"/>
    <n v="435.14"/>
    <n v="0"/>
    <n v="0"/>
    <n v="0"/>
    <n v="0"/>
    <n v="0"/>
    <n v="0"/>
    <n v="435.14"/>
    <n v="0"/>
    <n v="0"/>
    <n v="0"/>
    <n v="0"/>
    <n v="0"/>
    <n v="0"/>
    <n v="0"/>
    <n v="0"/>
    <n v="435.14"/>
    <n v="0"/>
    <n v="0"/>
  </r>
  <r>
    <x v="518"/>
    <s v="Lakshmipur Western Tol - Rajeev"/>
    <s v="MPG"/>
    <s v="Indirect"/>
    <n v="2879.7999999999997"/>
    <n v="128436.12000000001"/>
    <n v="0"/>
    <n v="0"/>
    <n v="0"/>
    <n v="0"/>
    <n v="0"/>
    <n v="0"/>
    <n v="128436.12000000001"/>
    <n v="0"/>
    <n v="0"/>
    <n v="0"/>
    <n v="0"/>
    <n v="0"/>
    <n v="0"/>
    <n v="0"/>
    <n v="0"/>
    <n v="128436.12000000001"/>
    <n v="0"/>
    <n v="0"/>
  </r>
  <r>
    <x v="519"/>
    <s v="Jahangipur Salkhanni"/>
    <s v="MPG"/>
    <s v="Direct"/>
    <n v="341.2"/>
    <n v="15215.900000000001"/>
    <n v="207.56999999999996"/>
    <n v="9367.9399999999987"/>
    <n v="89.7"/>
    <n v="5052.2700000000004"/>
    <n v="297.27"/>
    <n v="14420.21"/>
    <n v="14420.21"/>
    <n v="0"/>
    <n v="0"/>
    <n v="0"/>
    <n v="2800"/>
    <n v="0"/>
    <n v="0"/>
    <n v="6568"/>
    <n v="5051"/>
    <n v="0"/>
    <n v="797"/>
    <n v="0"/>
  </r>
  <r>
    <x v="520"/>
    <s v="Sekhpura"/>
    <s v="MPG"/>
    <s v="Direct"/>
    <n v="272.2"/>
    <n v="10183.129999999999"/>
    <n v="269.12"/>
    <n v="10084.17"/>
    <n v="2.67"/>
    <n v="94.65"/>
    <n v="271.79000000000002"/>
    <n v="10178.82"/>
    <n v="10178.82"/>
    <n v="0"/>
    <n v="94.65"/>
    <n v="0"/>
    <n v="0"/>
    <n v="0"/>
    <n v="0"/>
    <n v="10085"/>
    <n v="0"/>
    <n v="0"/>
    <n v="3"/>
    <n v="0"/>
  </r>
  <r>
    <x v="521"/>
    <s v="Songar"/>
    <s v="MPG"/>
    <s v="Direct"/>
    <n v="1101.3999999999999"/>
    <n v="39364.339999999997"/>
    <n v="775.03000000000009"/>
    <n v="28055.15"/>
    <n v="328.12"/>
    <n v="11301.81"/>
    <n v="1103.1500000000001"/>
    <n v="39356.959999999999"/>
    <n v="39356.959999999999"/>
    <n v="0"/>
    <n v="432.16"/>
    <n v="0"/>
    <n v="6809"/>
    <n v="0"/>
    <n v="0"/>
    <n v="22128"/>
    <n v="9987"/>
    <n v="0"/>
    <n v="8"/>
    <n v="0"/>
  </r>
  <r>
    <x v="522"/>
    <s v="Rampur Maheshpur"/>
    <s v="MPG"/>
    <s v="Direct"/>
    <n v="722.19999999999993"/>
    <n v="29792.389999999996"/>
    <n v="307.04999999999995"/>
    <n v="13974.31"/>
    <n v="416.59"/>
    <n v="15811.14"/>
    <n v="723.63999999999987"/>
    <n v="29785.449999999997"/>
    <n v="29785.449999999997"/>
    <n v="0"/>
    <n v="0"/>
    <n v="0"/>
    <n v="0"/>
    <n v="0"/>
    <n v="0"/>
    <n v="13975"/>
    <n v="15810"/>
    <n v="0"/>
    <n v="7"/>
    <s v="Release1"/>
  </r>
  <r>
    <x v="523"/>
    <s v="Godhiyari"/>
    <s v="vlc"/>
    <s v="Indirect"/>
    <n v="1103"/>
    <n v="38213.69"/>
    <n v="0"/>
    <n v="0"/>
    <n v="0"/>
    <n v="0"/>
    <n v="0"/>
    <n v="0"/>
    <n v="38213.69"/>
    <n v="0"/>
    <n v="0"/>
    <n v="0"/>
    <n v="0"/>
    <n v="0"/>
    <n v="0"/>
    <n v="0"/>
    <n v="0"/>
    <n v="38213.69"/>
    <n v="0"/>
    <n v="0"/>
  </r>
  <r>
    <x v="524"/>
    <s v="Hussainipur Gobindpur"/>
    <s v="vlc"/>
    <s v="Indirect"/>
    <n v="117.50000000000001"/>
    <n v="4600.3999999999996"/>
    <n v="0"/>
    <n v="0"/>
    <n v="0"/>
    <n v="0"/>
    <n v="0"/>
    <n v="0"/>
    <n v="4600.3999999999996"/>
    <n v="0"/>
    <n v="0"/>
    <n v="0"/>
    <n v="0"/>
    <n v="0"/>
    <n v="0"/>
    <n v="0"/>
    <n v="0"/>
    <n v="4600.3999999999996"/>
    <n v="0"/>
    <n v="0"/>
  </r>
  <r>
    <x v="525"/>
    <s v="Jhakhra-Rambilash"/>
    <s v="vlc"/>
    <s v="Indirect"/>
    <n v="594.29999999999995"/>
    <n v="23948.32"/>
    <n v="0"/>
    <n v="0"/>
    <n v="0"/>
    <n v="0"/>
    <n v="0"/>
    <n v="0"/>
    <n v="23948.32"/>
    <n v="0"/>
    <n v="0"/>
    <n v="0"/>
    <n v="0"/>
    <n v="0"/>
    <n v="0"/>
    <n v="0"/>
    <n v="0"/>
    <n v="23948.32"/>
    <n v="0"/>
    <n v="0"/>
  </r>
  <r>
    <x v="526"/>
    <s v="Dagarua"/>
    <s v="MPG"/>
    <s v="Direct"/>
    <n v="288.2"/>
    <n v="10801.470000000001"/>
    <n v="173.70000000000002"/>
    <n v="6545.93"/>
    <n v="113.3"/>
    <n v="4238.2300000000005"/>
    <n v="287"/>
    <n v="10784.16"/>
    <n v="10784.16"/>
    <n v="0"/>
    <n v="40.340000000000003"/>
    <n v="0"/>
    <n v="1503"/>
    <n v="500"/>
    <n v="0"/>
    <n v="4543"/>
    <n v="4197"/>
    <n v="0"/>
    <n v="18"/>
    <s v="Release1"/>
  </r>
  <r>
    <x v="527"/>
    <s v="Chakmilki"/>
    <s v="MPG"/>
    <s v="Direct"/>
    <n v="224.59999999999997"/>
    <n v="8843.25"/>
    <n v="122.58"/>
    <n v="4612.0999999999995"/>
    <n v="123.57999999999998"/>
    <n v="4500.329999999999"/>
    <n v="246.15999999999997"/>
    <n v="9112.4299999999985"/>
    <n v="8843.25"/>
    <n v="0"/>
    <n v="130.75"/>
    <n v="269.17999999999847"/>
    <n v="0"/>
    <n v="0"/>
    <n v="0"/>
    <n v="4343"/>
    <n v="4369"/>
    <n v="0"/>
    <n v="1"/>
    <n v="0"/>
  </r>
  <r>
    <x v="528"/>
    <s v="Gomukh Akaha"/>
    <s v="MPG"/>
    <s v="Direct"/>
    <n v="393.09999999999997"/>
    <n v="14799.77"/>
    <n v="363.98"/>
    <n v="12459.89"/>
    <n v="56.059999999999988"/>
    <n v="2321.8599999999997"/>
    <n v="420.04"/>
    <n v="14781.75"/>
    <n v="14781.75"/>
    <n v="0"/>
    <n v="55.459999999999994"/>
    <n v="0"/>
    <n v="0"/>
    <n v="500"/>
    <n v="0"/>
    <n v="11960"/>
    <n v="2267"/>
    <n v="0"/>
    <n v="17"/>
    <n v="0"/>
  </r>
  <r>
    <x v="529"/>
    <s v="Nauachak-Pankaj"/>
    <s v="vlc"/>
    <s v="Indirect"/>
    <n v="55.5"/>
    <n v="2144.04"/>
    <n v="0"/>
    <n v="0"/>
    <n v="0"/>
    <n v="0"/>
    <n v="0"/>
    <n v="0"/>
    <n v="2144.04"/>
    <n v="0"/>
    <n v="0"/>
    <n v="0"/>
    <n v="0"/>
    <n v="0"/>
    <n v="0"/>
    <n v="0"/>
    <n v="0"/>
    <n v="2144.04"/>
    <n v="0"/>
    <n v="0"/>
  </r>
  <r>
    <x v="530"/>
    <s v="Jitwarpur-Manisha"/>
    <s v="vlc"/>
    <s v="Indirect"/>
    <n v="86.5"/>
    <n v="3052.92"/>
    <n v="0"/>
    <n v="0"/>
    <n v="0"/>
    <n v="0"/>
    <n v="0"/>
    <n v="0"/>
    <n v="3052.92"/>
    <n v="0"/>
    <n v="0"/>
    <n v="0"/>
    <n v="0"/>
    <n v="0"/>
    <n v="0"/>
    <n v="0"/>
    <n v="0"/>
    <n v="3052.92"/>
    <n v="0"/>
    <n v="0"/>
  </r>
  <r>
    <x v="531"/>
    <s v="Gomukh Sirdulpur 2"/>
    <s v="vlc"/>
    <s v="Indirect"/>
    <n v="621.70000000000005"/>
    <n v="19502.989999999998"/>
    <n v="0"/>
    <n v="0"/>
    <n v="0"/>
    <n v="0"/>
    <n v="0"/>
    <n v="0"/>
    <n v="19502.989999999998"/>
    <n v="0"/>
    <n v="0"/>
    <n v="0"/>
    <n v="0"/>
    <n v="0"/>
    <n v="0"/>
    <n v="0"/>
    <n v="0"/>
    <n v="19502.989999999998"/>
    <n v="0"/>
    <n v="0"/>
  </r>
  <r>
    <x v="532"/>
    <s v="Gomukh Patepur"/>
    <s v="vlc"/>
    <s v="Indirect"/>
    <n v="238.9"/>
    <n v="8845.5"/>
    <n v="0"/>
    <n v="0"/>
    <n v="0"/>
    <n v="0"/>
    <n v="0"/>
    <n v="0"/>
    <n v="8845.5"/>
    <n v="0"/>
    <n v="0"/>
    <n v="0"/>
    <n v="0"/>
    <n v="0"/>
    <n v="0"/>
    <n v="0"/>
    <n v="0"/>
    <n v="8845.5"/>
    <n v="0"/>
    <n v="0"/>
  </r>
  <r>
    <x v="533"/>
    <s v="Gomukh Sherpur Narsari East"/>
    <s v="MPG"/>
    <s v="Direct"/>
    <n v="266.7"/>
    <n v="11671.25"/>
    <n v="212.3"/>
    <n v="8726.49"/>
    <n v="55.53"/>
    <n v="2915.05"/>
    <n v="267.83000000000004"/>
    <n v="11641.54"/>
    <n v="11641.54"/>
    <n v="0"/>
    <n v="0"/>
    <n v="0"/>
    <n v="0"/>
    <n v="0"/>
    <n v="0"/>
    <n v="8727"/>
    <n v="2915"/>
    <n v="0"/>
    <n v="29"/>
    <n v="0"/>
  </r>
  <r>
    <x v="534"/>
    <s v="Gomukh Karhatti"/>
    <s v="MPG"/>
    <s v="Direct"/>
    <n v="84.000000000000014"/>
    <n v="2867.9299999999994"/>
    <n v="82.2"/>
    <n v="2807.4199999999996"/>
    <n v="0"/>
    <n v="0"/>
    <n v="82.2"/>
    <n v="2807.4199999999996"/>
    <n v="2807.4199999999996"/>
    <n v="0"/>
    <n v="0"/>
    <n v="0"/>
    <n v="0"/>
    <n v="500"/>
    <n v="0"/>
    <n v="2307"/>
    <n v="0"/>
    <n v="0"/>
    <n v="61"/>
    <n v="0"/>
  </r>
  <r>
    <x v="535"/>
    <s v="Gomukh Gaopur Bhagwatpur"/>
    <s v="MPG"/>
    <s v="Direct"/>
    <n v="187.7"/>
    <n v="9987.1299999999992"/>
    <n v="184.89000000000001"/>
    <n v="9912.0400000000009"/>
    <n v="1"/>
    <n v="48.65"/>
    <n v="185.89000000000001"/>
    <n v="9960.69"/>
    <n v="9960.69"/>
    <n v="0"/>
    <n v="48.65"/>
    <n v="0"/>
    <n v="0"/>
    <n v="0"/>
    <n v="0"/>
    <n v="9913"/>
    <n v="0"/>
    <n v="0"/>
    <n v="25"/>
    <n v="0"/>
  </r>
  <r>
    <x v="536"/>
    <s v="Gomukh Rajwara"/>
    <s v="MPG"/>
    <s v="Direct"/>
    <n v="92.399999999999991"/>
    <n v="3639.6500000000005"/>
    <n v="90.64"/>
    <n v="3595.1400000000008"/>
    <n v="0.6"/>
    <n v="23.36"/>
    <n v="91.24"/>
    <n v="3618.5000000000009"/>
    <n v="3618.5000000000009"/>
    <n v="0"/>
    <n v="23.36"/>
    <n v="0"/>
    <n v="0"/>
    <n v="500"/>
    <n v="0"/>
    <n v="3095"/>
    <n v="0"/>
    <n v="0"/>
    <n v="21"/>
    <n v="0"/>
  </r>
  <r>
    <x v="537"/>
    <s v="Gomukh Karhatiya Bujurg"/>
    <s v="vlc"/>
    <s v="Indirect"/>
    <n v="70.8"/>
    <n v="2949.05"/>
    <n v="0"/>
    <n v="0"/>
    <n v="0"/>
    <n v="0"/>
    <n v="0"/>
    <n v="0"/>
    <n v="2949.05"/>
    <n v="0"/>
    <n v="0"/>
    <n v="0"/>
    <n v="0"/>
    <n v="0"/>
    <n v="0"/>
    <n v="0"/>
    <n v="0"/>
    <n v="2949.05"/>
    <n v="0"/>
    <n v="0"/>
  </r>
  <r>
    <x v="538"/>
    <s v="GOMUKH NIKASPUR"/>
    <s v="vlc"/>
    <s v="Indirect"/>
    <n v="321"/>
    <n v="10997.23"/>
    <n v="0"/>
    <n v="0"/>
    <n v="0"/>
    <n v="0"/>
    <n v="0"/>
    <n v="0"/>
    <n v="10997.23"/>
    <n v="0"/>
    <n v="0"/>
    <n v="0"/>
    <n v="0"/>
    <n v="0"/>
    <n v="0"/>
    <n v="0"/>
    <n v="0"/>
    <n v="10997.23"/>
    <n v="0"/>
    <s v="Release2"/>
  </r>
  <r>
    <x v="539"/>
    <s v="Gomukh Morwa Mohanpur"/>
    <s v="vlc"/>
    <s v="Indirect"/>
    <n v="271.8"/>
    <n v="11066.869999999999"/>
    <n v="0"/>
    <n v="0"/>
    <n v="0"/>
    <n v="0"/>
    <n v="0"/>
    <n v="0"/>
    <n v="11066.869999999999"/>
    <n v="0"/>
    <n v="0"/>
    <n v="0"/>
    <n v="0"/>
    <n v="0"/>
    <n v="0"/>
    <n v="0"/>
    <n v="0"/>
    <n v="11066.869999999999"/>
    <n v="0"/>
    <n v="0"/>
  </r>
  <r>
    <x v="540"/>
    <s v="GOMUKH Laguniya"/>
    <s v="vlc"/>
    <s v="Indirect"/>
    <n v="305.7"/>
    <n v="11930.94"/>
    <n v="0"/>
    <n v="0"/>
    <n v="0"/>
    <n v="0"/>
    <n v="0"/>
    <n v="0"/>
    <n v="11930.94"/>
    <n v="0"/>
    <n v="0"/>
    <n v="0"/>
    <n v="264"/>
    <n v="0"/>
    <n v="0"/>
    <n v="0"/>
    <n v="0"/>
    <n v="11666.94"/>
    <n v="0"/>
    <n v="0"/>
  </r>
  <r>
    <x v="541"/>
    <s v="GOMUKH MAHINDWARA"/>
    <s v="vlc"/>
    <s v="Indirect"/>
    <n v="342.60000000000008"/>
    <n v="13710.75"/>
    <n v="0"/>
    <n v="0"/>
    <n v="0"/>
    <n v="0"/>
    <n v="0"/>
    <n v="0"/>
    <n v="13710.75"/>
    <n v="0"/>
    <n v="0"/>
    <n v="0"/>
    <n v="0"/>
    <n v="0"/>
    <n v="0"/>
    <n v="0"/>
    <n v="0"/>
    <n v="13710.75"/>
    <n v="0"/>
    <n v="0"/>
  </r>
  <r>
    <x v="542"/>
    <s v="GOMUKH MISHRAULIA"/>
    <s v="MPG"/>
    <s v="Direct"/>
    <n v="521.40000000000009"/>
    <n v="24351.570000000003"/>
    <n v="515.19999999999993"/>
    <n v="24276.15"/>
    <n v="0"/>
    <n v="0"/>
    <n v="515.19999999999993"/>
    <n v="24276.15"/>
    <n v="24276.15"/>
    <n v="0"/>
    <n v="0"/>
    <n v="0"/>
    <n v="0"/>
    <n v="0"/>
    <n v="0"/>
    <n v="24276"/>
    <n v="0"/>
    <n v="0"/>
    <n v="76"/>
    <n v="0"/>
  </r>
  <r>
    <x v="543"/>
    <s v="GOMUKH Bhagwatpur East"/>
    <s v="MPG"/>
    <s v="Direct"/>
    <n v="282.39999999999998"/>
    <n v="8974.85"/>
    <n v="281.09999999999997"/>
    <n v="8933.93"/>
    <n v="0"/>
    <n v="0"/>
    <n v="281.09999999999997"/>
    <n v="8933.93"/>
    <n v="8933.93"/>
    <n v="0"/>
    <n v="0"/>
    <n v="0"/>
    <n v="0"/>
    <n v="0"/>
    <n v="0"/>
    <n v="8934"/>
    <n v="0"/>
    <n v="0"/>
    <n v="41"/>
    <n v="0"/>
  </r>
  <r>
    <x v="544"/>
    <s v="Gomukh Rupauli Buzurg"/>
    <s v="vlc"/>
    <s v="Indirect"/>
    <n v="6657.1"/>
    <n v="239648.86"/>
    <n v="0"/>
    <n v="0"/>
    <n v="0"/>
    <n v="0"/>
    <n v="0"/>
    <n v="0"/>
    <n v="239648.86"/>
    <n v="0"/>
    <n v="0"/>
    <n v="0"/>
    <n v="0"/>
    <n v="0"/>
    <n v="0"/>
    <n v="0"/>
    <n v="0"/>
    <n v="239648.86"/>
    <n v="0"/>
    <n v="0"/>
  </r>
  <r>
    <x v="545"/>
    <s v="GOMUKH BAKHRI"/>
    <s v="vlc"/>
    <s v="Indirect"/>
    <n v="111"/>
    <n v="4642.5899999999992"/>
    <n v="0"/>
    <n v="0"/>
    <n v="0"/>
    <n v="0"/>
    <n v="0"/>
    <n v="0"/>
    <n v="4642.5899999999992"/>
    <n v="0"/>
    <n v="0"/>
    <n v="0"/>
    <n v="0"/>
    <n v="0"/>
    <n v="0"/>
    <n v="0"/>
    <n v="0"/>
    <n v="4642.5899999999992"/>
    <n v="0"/>
    <n v="0"/>
  </r>
  <r>
    <x v="546"/>
    <s v="GOMUKH KAMTAUL"/>
    <s v="MPG"/>
    <s v="Direct"/>
    <n v="490.20000000000005"/>
    <n v="20165.239999999998"/>
    <n v="486.17999999999995"/>
    <n v="19821.61"/>
    <n v="6.3199999999999985"/>
    <n v="278.83"/>
    <n v="492.49999999999994"/>
    <n v="20100.440000000002"/>
    <n v="20100.440000000002"/>
    <n v="0"/>
    <n v="278.83"/>
    <n v="0"/>
    <n v="286"/>
    <n v="0"/>
    <n v="0"/>
    <n v="19536"/>
    <n v="0"/>
    <n v="0"/>
    <n v="64"/>
    <n v="0"/>
  </r>
  <r>
    <x v="547"/>
    <s v="GOMUKH MIRJAPUR NISFI"/>
    <s v="vlc"/>
    <s v="Indirect"/>
    <n v="447.30000000000007"/>
    <n v="15553.44"/>
    <n v="0"/>
    <n v="0"/>
    <n v="0"/>
    <n v="0"/>
    <n v="0"/>
    <n v="0"/>
    <n v="15553.44"/>
    <n v="0"/>
    <n v="0"/>
    <n v="0"/>
    <n v="1400"/>
    <n v="0"/>
    <n v="0"/>
    <n v="0"/>
    <n v="0"/>
    <n v="14153.44"/>
    <n v="0"/>
    <n v="0"/>
  </r>
  <r>
    <x v="548"/>
    <s v="Dumri Purvi Tola"/>
    <s v="MPG"/>
    <s v="Direct"/>
    <n v="486.10000000000008"/>
    <n v="16371.729999999998"/>
    <n v="485.6"/>
    <n v="16355.57"/>
    <n v="0"/>
    <n v="0"/>
    <n v="485.6"/>
    <n v="16355.57"/>
    <n v="16355.57"/>
    <n v="0"/>
    <n v="0"/>
    <n v="0"/>
    <n v="0"/>
    <n v="0"/>
    <n v="0"/>
    <n v="16355"/>
    <n v="0"/>
    <n v="0"/>
    <n v="17"/>
    <n v="0"/>
  </r>
  <r>
    <x v="549"/>
    <s v="Simri"/>
    <s v="MPG"/>
    <s v="Direct"/>
    <n v="702.90000000000009"/>
    <n v="26067.449999999997"/>
    <n v="729.06"/>
    <n v="27944.54"/>
    <n v="0"/>
    <n v="0"/>
    <n v="729.06"/>
    <n v="27944.54"/>
    <n v="26067.449999999997"/>
    <n v="0"/>
    <n v="0"/>
    <n v="1877.0900000000038"/>
    <n v="0"/>
    <n v="0"/>
    <n v="0"/>
    <n v="26067"/>
    <n v="0"/>
    <n v="0"/>
    <n v="0"/>
    <n v="0"/>
  </r>
  <r>
    <x v="550"/>
    <s v="Sahiyar"/>
    <s v="MPG"/>
    <s v="Direct"/>
    <n v="1111.8"/>
    <n v="46125.520000000004"/>
    <n v="1016.9999999999999"/>
    <n v="45003.26"/>
    <n v="34.700000000000003"/>
    <n v="1434.34"/>
    <n v="1051.6999999999998"/>
    <n v="46437.599999999999"/>
    <n v="46125.520000000004"/>
    <n v="0"/>
    <n v="1434.34"/>
    <n v="312.07999999999447"/>
    <n v="0"/>
    <n v="0"/>
    <n v="0"/>
    <n v="44691"/>
    <n v="0"/>
    <n v="0"/>
    <n v="0"/>
    <n v="0"/>
  </r>
  <r>
    <x v="551"/>
    <s v="ENGLISH DUBAULI"/>
    <s v="MPG"/>
    <s v="Direct"/>
    <n v="671.5"/>
    <n v="24566.159999999993"/>
    <n v="724.81000000000006"/>
    <n v="29493.719999999998"/>
    <n v="26.150000000000002"/>
    <n v="1359.29"/>
    <n v="750.96"/>
    <n v="30853.01"/>
    <n v="24566.159999999993"/>
    <n v="0"/>
    <n v="1359.29"/>
    <n v="6286.8500000000058"/>
    <n v="0"/>
    <n v="0"/>
    <n v="0"/>
    <n v="23207"/>
    <n v="0"/>
    <n v="0"/>
    <n v="0"/>
    <s v="Release3"/>
  </r>
  <r>
    <x v="552"/>
    <s v="Ramo Bariya"/>
    <s v="MPG"/>
    <s v="Direct"/>
    <n v="687.19999999999993"/>
    <n v="27173.309999999998"/>
    <n v="715.75000000000011"/>
    <n v="27169.550000000003"/>
    <n v="0"/>
    <n v="0"/>
    <n v="715.75000000000011"/>
    <n v="27169.550000000003"/>
    <n v="27169.550000000003"/>
    <n v="0"/>
    <n v="0"/>
    <n v="0"/>
    <n v="0"/>
    <n v="0"/>
    <n v="0"/>
    <n v="27171"/>
    <n v="0"/>
    <n v="0"/>
    <n v="2"/>
    <n v="0"/>
  </r>
  <r>
    <x v="553"/>
    <s v="HITAN PARARI"/>
    <s v="MPG"/>
    <s v="Direct"/>
    <n v="1176.8999999999996"/>
    <n v="49702.950000000004"/>
    <n v="1198.6699999999998"/>
    <n v="53132.01"/>
    <n v="0"/>
    <n v="0"/>
    <n v="1198.6699999999998"/>
    <n v="53132.01"/>
    <n v="49702.950000000004"/>
    <n v="0"/>
    <n v="0"/>
    <n v="3429.0599999999977"/>
    <n v="0"/>
    <n v="0"/>
    <n v="0"/>
    <n v="49703"/>
    <n v="0"/>
    <n v="0"/>
    <n v="0"/>
    <n v="0"/>
  </r>
  <r>
    <x v="554"/>
    <s v="DULLAHPUR2"/>
    <s v="MPG"/>
    <s v="Direct"/>
    <n v="147.30000000000001"/>
    <n v="4699.46"/>
    <n v="148"/>
    <n v="4653.12"/>
    <n v="0"/>
    <n v="0"/>
    <n v="148"/>
    <n v="4653.12"/>
    <n v="4653.12"/>
    <n v="0"/>
    <n v="0"/>
    <n v="0"/>
    <n v="3960"/>
    <n v="0"/>
    <n v="0"/>
    <n v="693"/>
    <n v="0"/>
    <n v="0"/>
    <n v="46"/>
    <s v="Release1"/>
  </r>
  <r>
    <x v="555"/>
    <s v="Gangauli"/>
    <s v="MPG"/>
    <s v="Direct"/>
    <n v="1221.3"/>
    <n v="52888.210000000006"/>
    <n v="1217.8899999999999"/>
    <n v="53555.630000000005"/>
    <n v="5.1000000000000005"/>
    <n v="201.70000000000005"/>
    <n v="1222.9899999999998"/>
    <n v="53757.33"/>
    <n v="52888.210000000006"/>
    <n v="0"/>
    <n v="201.70000000000005"/>
    <n v="869.11999999999534"/>
    <n v="0"/>
    <n v="0"/>
    <n v="0"/>
    <n v="52687"/>
    <n v="0"/>
    <n v="0"/>
    <n v="0"/>
    <s v="Release3"/>
  </r>
  <r>
    <x v="556"/>
    <s v="MATHURA DERA"/>
    <s v="MPG"/>
    <s v="Direct"/>
    <n v="2247"/>
    <n v="89222"/>
    <n v="2307.6"/>
    <n v="89156.859999999986"/>
    <n v="4"/>
    <n v="136.24"/>
    <n v="2311.6"/>
    <n v="89293.099999999991"/>
    <n v="89222"/>
    <n v="0"/>
    <n v="136.24"/>
    <n v="71.099999999991269"/>
    <n v="0"/>
    <n v="0"/>
    <n v="0"/>
    <n v="89086"/>
    <n v="0"/>
    <n v="0"/>
    <n v="0"/>
    <s v="Release3"/>
  </r>
  <r>
    <x v="557"/>
    <s v="NANDAN"/>
    <s v="MPG"/>
    <s v="Direct"/>
    <n v="350.7"/>
    <n v="18661.379999999997"/>
    <n v="349"/>
    <n v="18626.13"/>
    <n v="0"/>
    <n v="0"/>
    <n v="349"/>
    <n v="18626.13"/>
    <n v="18626.13"/>
    <n v="0"/>
    <n v="0"/>
    <n v="0"/>
    <n v="0"/>
    <n v="0"/>
    <n v="0"/>
    <n v="18626"/>
    <n v="0"/>
    <n v="0"/>
    <n v="35"/>
    <n v="0"/>
  </r>
  <r>
    <x v="558"/>
    <s v="RAJAPUR"/>
    <s v="MPG"/>
    <s v="Direct"/>
    <n v="56.6"/>
    <n v="2052.86"/>
    <n v="68.900000000000006"/>
    <n v="2705.21"/>
    <n v="0"/>
    <n v="0"/>
    <n v="68.900000000000006"/>
    <n v="2705.21"/>
    <n v="2052.86"/>
    <n v="0"/>
    <n v="0"/>
    <n v="652.34999999999991"/>
    <n v="0"/>
    <n v="500"/>
    <n v="0"/>
    <n v="1553"/>
    <n v="0"/>
    <n v="0"/>
    <n v="0"/>
    <n v="0"/>
  </r>
  <r>
    <x v="559"/>
    <s v="HEMDAPUR"/>
    <s v="MPG"/>
    <s v="Direct"/>
    <n v="487.1"/>
    <n v="18889.290000000005"/>
    <n v="480"/>
    <n v="18936.419999999998"/>
    <n v="0"/>
    <n v="0"/>
    <n v="480"/>
    <n v="18936.419999999998"/>
    <n v="18889.290000000005"/>
    <n v="0"/>
    <n v="0"/>
    <n v="47.129999999993743"/>
    <n v="0"/>
    <n v="0"/>
    <n v="0"/>
    <n v="18889"/>
    <n v="0"/>
    <n v="0"/>
    <n v="0"/>
    <n v="0"/>
  </r>
  <r>
    <x v="560"/>
    <s v="Chaugain"/>
    <s v="MPG"/>
    <s v="Direct"/>
    <n v="417.49999999999994"/>
    <n v="15290.150000000001"/>
    <n v="419"/>
    <n v="15259.98"/>
    <n v="0"/>
    <n v="0"/>
    <n v="419"/>
    <n v="15259.98"/>
    <n v="15259.98"/>
    <n v="0"/>
    <n v="0"/>
    <n v="0"/>
    <n v="0"/>
    <n v="500"/>
    <n v="0"/>
    <n v="14760"/>
    <n v="0"/>
    <n v="0"/>
    <n v="30"/>
    <n v="0"/>
  </r>
  <r>
    <x v="561"/>
    <s v="Akalupur"/>
    <s v="MPG"/>
    <s v="Direct"/>
    <n v="93.4"/>
    <n v="3584.9800000000005"/>
    <n v="94"/>
    <n v="3528.7599999999998"/>
    <n v="0"/>
    <n v="0"/>
    <n v="94"/>
    <n v="3528.7599999999998"/>
    <n v="3528.7599999999998"/>
    <n v="0"/>
    <n v="0"/>
    <n v="0"/>
    <n v="0"/>
    <n v="0"/>
    <n v="0"/>
    <n v="3529"/>
    <n v="0"/>
    <n v="0"/>
    <n v="56"/>
    <n v="0"/>
  </r>
  <r>
    <x v="562"/>
    <s v="Chhotka Sihanpura"/>
    <s v="MPG"/>
    <s v="Direct"/>
    <n v="348.6"/>
    <n v="12826.949999999999"/>
    <n v="353.4"/>
    <n v="13890.370000000003"/>
    <n v="4.1000000000000005"/>
    <n v="154.14000000000001"/>
    <n v="357.5"/>
    <n v="14044.510000000002"/>
    <n v="12826.949999999999"/>
    <n v="0"/>
    <n v="154.14000000000001"/>
    <n v="1217.5600000000031"/>
    <n v="0"/>
    <n v="0"/>
    <n v="0"/>
    <n v="12673"/>
    <n v="0"/>
    <n v="0"/>
    <n v="0"/>
    <n v="0"/>
  </r>
  <r>
    <x v="563"/>
    <s v="Dharauli"/>
    <s v="MPG"/>
    <s v="Direct"/>
    <n v="214.5"/>
    <n v="8610.5300000000007"/>
    <n v="210.9"/>
    <n v="8629.5399999999991"/>
    <n v="4.6000000000000005"/>
    <n v="176.16"/>
    <n v="215.5"/>
    <n v="8805.6999999999989"/>
    <n v="8610.5300000000007"/>
    <n v="0"/>
    <n v="176.16"/>
    <n v="195.16999999999825"/>
    <n v="0"/>
    <n v="0"/>
    <n v="0"/>
    <n v="8434"/>
    <n v="0"/>
    <n v="0"/>
    <n v="0"/>
    <n v="0"/>
  </r>
  <r>
    <x v="564"/>
    <s v="Ramopatti"/>
    <s v="MPG"/>
    <s v="Direct"/>
    <n v="220"/>
    <n v="8709.49"/>
    <n v="219"/>
    <n v="8405.2199999999993"/>
    <n v="0"/>
    <n v="0"/>
    <n v="219"/>
    <n v="8405.2199999999993"/>
    <n v="8405.2199999999993"/>
    <n v="0"/>
    <n v="0"/>
    <n v="0"/>
    <n v="0"/>
    <n v="500"/>
    <n v="0"/>
    <n v="7905"/>
    <n v="0"/>
    <n v="0"/>
    <n v="304"/>
    <n v="0"/>
  </r>
  <r>
    <x v="565"/>
    <s v="Kaithi"/>
    <s v="MPG"/>
    <s v="Direct"/>
    <n v="200.8"/>
    <n v="7400.81"/>
    <n v="198"/>
    <n v="7375.5"/>
    <n v="0"/>
    <n v="0"/>
    <n v="198"/>
    <n v="7375.5"/>
    <n v="7375.5"/>
    <n v="0"/>
    <n v="0"/>
    <n v="0"/>
    <n v="0"/>
    <n v="500"/>
    <n v="0"/>
    <n v="6876"/>
    <n v="0"/>
    <n v="0"/>
    <n v="25"/>
    <n v="0"/>
  </r>
  <r>
    <x v="566"/>
    <s v="Rangi Dera"/>
    <s v="MPG"/>
    <s v="Direct"/>
    <n v="148.20000000000002"/>
    <n v="5787.2000000000007"/>
    <n v="148"/>
    <n v="5760.16"/>
    <n v="0"/>
    <n v="0"/>
    <n v="148"/>
    <n v="5760.16"/>
    <n v="5760.16"/>
    <n v="0"/>
    <n v="0"/>
    <n v="0"/>
    <n v="0"/>
    <n v="0"/>
    <n v="0"/>
    <n v="5761"/>
    <n v="0"/>
    <n v="0"/>
    <n v="26"/>
    <n v="0"/>
  </r>
  <r>
    <x v="567"/>
    <s v="Dubki"/>
    <s v="MPG"/>
    <s v="Direct"/>
    <n v="492.1"/>
    <n v="22865"/>
    <n v="556.92999999999995"/>
    <n v="27596.019999999997"/>
    <n v="1.1000000000000001"/>
    <n v="44.75"/>
    <n v="558.03"/>
    <n v="27640.769999999997"/>
    <n v="22865"/>
    <n v="0"/>
    <n v="44.75"/>
    <n v="4775.7699999999968"/>
    <n v="0"/>
    <n v="0"/>
    <n v="0"/>
    <n v="22820"/>
    <n v="0"/>
    <n v="0"/>
    <n v="0"/>
    <n v="0"/>
  </r>
  <r>
    <x v="568"/>
    <s v="Sonvarsa"/>
    <s v="MPG"/>
    <s v="Direct"/>
    <n v="246.79999999999995"/>
    <n v="9744.0099999999984"/>
    <n v="245.95"/>
    <n v="10043.59"/>
    <n v="0"/>
    <n v="0"/>
    <n v="245.95"/>
    <n v="10043.59"/>
    <n v="9744.0099999999984"/>
    <n v="0"/>
    <n v="0"/>
    <n v="299.58000000000175"/>
    <n v="0"/>
    <n v="0"/>
    <n v="0"/>
    <n v="9744"/>
    <n v="0"/>
    <n v="0"/>
    <n v="0"/>
    <n v="0"/>
  </r>
  <r>
    <x v="569"/>
    <s v="Soan"/>
    <s v="MPG"/>
    <s v="Direct"/>
    <n v="394.80000000000007"/>
    <n v="17359.57"/>
    <n v="419.92"/>
    <n v="17629.510000000002"/>
    <n v="3.6500000000000004"/>
    <n v="155.52000000000001"/>
    <n v="423.57"/>
    <n v="17785.030000000002"/>
    <n v="17359.57"/>
    <n v="0"/>
    <n v="155.52000000000001"/>
    <n v="425.46000000000276"/>
    <n v="6650"/>
    <n v="0"/>
    <n v="0"/>
    <n v="10554"/>
    <n v="0"/>
    <n v="0"/>
    <n v="0"/>
    <n v="0"/>
  </r>
  <r>
    <x v="570"/>
    <s v="PURANA BHOJPUR                                                                                      "/>
    <s v="MPG"/>
    <s v="Direct"/>
    <n v="319.19999999999993"/>
    <n v="12226.080000000002"/>
    <n v="320.89999999999998"/>
    <n v="12223.08"/>
    <n v="0"/>
    <n v="0"/>
    <n v="320.89999999999998"/>
    <n v="12223.08"/>
    <n v="12223.08"/>
    <n v="0"/>
    <n v="0"/>
    <n v="0"/>
    <n v="2660"/>
    <n v="0"/>
    <n v="0"/>
    <n v="9563"/>
    <n v="0"/>
    <n v="0"/>
    <n v="3"/>
    <n v="0"/>
  </r>
  <r>
    <x v="571"/>
    <s v="Gomukh Kant"/>
    <s v="MPG"/>
    <s v="Direct"/>
    <n v="212.9"/>
    <n v="10068.85"/>
    <n v="229.5"/>
    <n v="12293.94"/>
    <n v="1.4"/>
    <n v="71.490000000000009"/>
    <n v="230.9"/>
    <n v="12365.43"/>
    <n v="10068.85"/>
    <n v="0"/>
    <n v="71.490000000000009"/>
    <n v="2296.58"/>
    <n v="0"/>
    <n v="500"/>
    <n v="0"/>
    <n v="9497"/>
    <n v="0"/>
    <n v="0"/>
    <n v="0"/>
    <n v="0"/>
  </r>
  <r>
    <x v="572"/>
    <s v="Gomukh Naat"/>
    <s v="MPG"/>
    <s v="Direct"/>
    <n v="393.3"/>
    <n v="15329.310000000001"/>
    <n v="396.19"/>
    <n v="16003.030000000002"/>
    <n v="0"/>
    <n v="0"/>
    <n v="396.19"/>
    <n v="16003.030000000002"/>
    <n v="15329.310000000001"/>
    <n v="0"/>
    <n v="0"/>
    <n v="673.72000000000116"/>
    <n v="0"/>
    <n v="0"/>
    <n v="0"/>
    <n v="15329"/>
    <n v="0"/>
    <n v="0"/>
    <n v="0"/>
    <n v="0"/>
  </r>
  <r>
    <x v="573"/>
    <s v="Gomukh Raghunathpur"/>
    <s v="MPG"/>
    <s v="Direct"/>
    <n v="432.29999999999995"/>
    <n v="16677.52"/>
    <n v="389.4"/>
    <n v="16649.169999999998"/>
    <n v="0"/>
    <n v="0"/>
    <n v="389.4"/>
    <n v="16649.169999999998"/>
    <n v="16649.169999999998"/>
    <n v="0"/>
    <n v="0"/>
    <n v="0"/>
    <n v="0"/>
    <n v="0"/>
    <n v="0"/>
    <n v="16649"/>
    <n v="0"/>
    <n v="0"/>
    <n v="29"/>
    <n v="0"/>
  </r>
  <r>
    <x v="574"/>
    <s v="Gomukh Tilakraika Hata 1 - Manoj"/>
    <s v="vlc"/>
    <s v="Indirect"/>
    <n v="1534.8999999999999"/>
    <n v="52969.020000000004"/>
    <n v="0"/>
    <n v="0"/>
    <n v="0"/>
    <n v="0"/>
    <n v="0"/>
    <n v="0"/>
    <n v="52969.020000000004"/>
    <n v="0"/>
    <n v="0"/>
    <n v="0"/>
    <n v="0"/>
    <n v="0"/>
    <n v="0"/>
    <n v="0"/>
    <n v="0"/>
    <n v="52969.020000000004"/>
    <n v="0"/>
    <n v="0"/>
  </r>
  <r>
    <x v="575"/>
    <s v="Gomukh Murar"/>
    <s v="MPG"/>
    <s v="Direct"/>
    <n v="1078.5999999999999"/>
    <n v="44559.25"/>
    <n v="573.30000000000007"/>
    <n v="23627.46"/>
    <n v="655.6"/>
    <n v="31311.89"/>
    <n v="1228.9000000000001"/>
    <n v="54939.35"/>
    <n v="44559.25"/>
    <n v="0"/>
    <n v="321.32"/>
    <n v="10380.099999999999"/>
    <n v="0"/>
    <n v="0"/>
    <n v="0"/>
    <n v="13249"/>
    <n v="30989"/>
    <n v="0"/>
    <n v="0"/>
    <n v="0"/>
  </r>
  <r>
    <x v="576"/>
    <s v="Gomukh Churamanpur                                                                                  "/>
    <s v="MPG"/>
    <s v="Direct"/>
    <n v="159.1"/>
    <n v="6480.9"/>
    <n v="159"/>
    <n v="6431.55"/>
    <n v="0"/>
    <n v="0"/>
    <n v="159"/>
    <n v="6431.55"/>
    <n v="6431.55"/>
    <n v="0"/>
    <n v="0"/>
    <n v="0"/>
    <n v="0"/>
    <n v="0"/>
    <n v="0"/>
    <n v="6432"/>
    <n v="0"/>
    <n v="0"/>
    <n v="49"/>
    <n v="0"/>
  </r>
  <r>
    <x v="577"/>
    <s v="Gomukh Ekauni Karuwaj"/>
    <s v="MPG"/>
    <s v="Direct"/>
    <n v="19"/>
    <n v="666.55"/>
    <n v="21.8"/>
    <n v="757.28"/>
    <n v="39.500000000000007"/>
    <n v="1409.58"/>
    <n v="61.300000000000011"/>
    <n v="2166.8599999999997"/>
    <n v="666.55"/>
    <n v="0"/>
    <n v="0"/>
    <n v="1500.3099999999997"/>
    <n v="0"/>
    <n v="0"/>
    <n v="0"/>
    <n v="0"/>
    <n v="667"/>
    <n v="0"/>
    <n v="0"/>
    <s v="Release3"/>
  </r>
  <r>
    <x v="578"/>
    <s v="Kulharia Agriculture Producer Company Limited"/>
    <s v="MPG"/>
    <s v="Direct"/>
    <n v="972.09999999999991"/>
    <n v="39857.160000000003"/>
    <n v="936.51999999999987"/>
    <n v="39393"/>
    <n v="11.589999999999998"/>
    <n v="457.57999999999993"/>
    <n v="948.1099999999999"/>
    <n v="39850.58"/>
    <n v="39850.58"/>
    <n v="0"/>
    <n v="457.57999999999993"/>
    <n v="0"/>
    <n v="0"/>
    <n v="0"/>
    <n v="0"/>
    <n v="39393"/>
    <n v="0"/>
    <n v="0"/>
    <n v="7"/>
    <n v="0"/>
  </r>
  <r>
    <x v="579"/>
    <s v="Gomukh Dhakaich"/>
    <s v="MPG"/>
    <s v="Direct"/>
    <n v="180.09999999999997"/>
    <n v="7093.64"/>
    <n v="192.8"/>
    <n v="7149.82"/>
    <n v="0"/>
    <n v="0"/>
    <n v="192.8"/>
    <n v="7149.82"/>
    <n v="7093.64"/>
    <n v="0"/>
    <n v="0"/>
    <n v="56.179999999999382"/>
    <n v="0"/>
    <n v="0"/>
    <n v="0"/>
    <n v="7094"/>
    <n v="0"/>
    <n v="0"/>
    <n v="0"/>
    <n v="0"/>
  </r>
  <r>
    <x v="580"/>
    <s v="Gomukh Kajipura Chandan"/>
    <s v="vlc"/>
    <s v="Indirect"/>
    <n v="688"/>
    <n v="26197.179999999997"/>
    <n v="0"/>
    <n v="0"/>
    <n v="0"/>
    <n v="0"/>
    <n v="0"/>
    <n v="0"/>
    <n v="26197.179999999997"/>
    <n v="0"/>
    <n v="0"/>
    <n v="0"/>
    <n v="0"/>
    <n v="0"/>
    <n v="0"/>
    <n v="0"/>
    <n v="0"/>
    <n v="26197.179999999997"/>
    <n v="0"/>
    <n v="0"/>
  </r>
  <r>
    <x v="581"/>
    <s v="Gomukh Sikraul Lakh"/>
    <s v="MPG"/>
    <s v="Direct"/>
    <n v="547.70000000000005"/>
    <n v="22478.39"/>
    <n v="537.40000000000009"/>
    <n v="22699.39"/>
    <n v="8.69"/>
    <n v="349.71999999999997"/>
    <n v="546.09000000000015"/>
    <n v="23049.11"/>
    <n v="22478.39"/>
    <n v="0"/>
    <n v="349.71999999999997"/>
    <n v="570.72000000000116"/>
    <n v="0"/>
    <n v="0"/>
    <n v="0"/>
    <n v="22129"/>
    <n v="0"/>
    <n v="0"/>
    <n v="0"/>
    <s v="Release3"/>
  </r>
  <r>
    <x v="582"/>
    <s v="Gomukh Dafadihari"/>
    <s v="MPG"/>
    <s v="Direct"/>
    <n v="248.7"/>
    <n v="9207.39"/>
    <n v="252.33"/>
    <n v="9866.6300000000028"/>
    <n v="1.2"/>
    <n v="49.860000000000007"/>
    <n v="253.53"/>
    <n v="9916.4900000000034"/>
    <n v="9207.39"/>
    <n v="0"/>
    <n v="49.860000000000007"/>
    <n v="709.100000000004"/>
    <n v="0"/>
    <n v="0"/>
    <n v="0"/>
    <n v="9158"/>
    <n v="0"/>
    <n v="0"/>
    <n v="0"/>
    <s v="Release3"/>
  </r>
  <r>
    <x v="583"/>
    <s v="Gomukh Paharpur"/>
    <s v="MPG"/>
    <s v="Direct"/>
    <n v="96.2"/>
    <n v="3473.9900000000002"/>
    <n v="96"/>
    <n v="3456"/>
    <n v="0"/>
    <n v="0"/>
    <n v="96"/>
    <n v="3456"/>
    <n v="3456"/>
    <n v="0"/>
    <n v="0"/>
    <n v="0"/>
    <n v="0"/>
    <n v="500"/>
    <n v="0"/>
    <n v="2956"/>
    <n v="0"/>
    <n v="0"/>
    <n v="18"/>
    <n v="0"/>
  </r>
  <r>
    <x v="584"/>
    <s v="Gomukh Basaon Kalan"/>
    <s v="MPG"/>
    <s v="Direct"/>
    <n v="30"/>
    <n v="1165.8699999999999"/>
    <n v="30"/>
    <n v="1143.3"/>
    <n v="0"/>
    <n v="0"/>
    <n v="30"/>
    <n v="1143.3"/>
    <n v="1143.3"/>
    <n v="0"/>
    <n v="0"/>
    <n v="0"/>
    <n v="0"/>
    <n v="0"/>
    <n v="0"/>
    <n v="1143"/>
    <n v="0"/>
    <n v="0"/>
    <n v="23"/>
    <n v="0"/>
  </r>
  <r>
    <x v="585"/>
    <s v="Gomukh Mangolpur"/>
    <s v="MPG"/>
    <s v="Direct"/>
    <n v="364.40000000000003"/>
    <n v="12413.250000000002"/>
    <n v="342.7"/>
    <n v="12207.779999999999"/>
    <n v="5.6"/>
    <n v="201.35999999999996"/>
    <n v="348.3"/>
    <n v="12409.14"/>
    <n v="12409.14"/>
    <n v="0"/>
    <n v="201.35999999999996"/>
    <n v="0"/>
    <n v="0"/>
    <n v="0"/>
    <n v="0"/>
    <n v="12209"/>
    <n v="0"/>
    <n v="0"/>
    <n v="3"/>
    <n v="0"/>
  </r>
  <r>
    <x v="586"/>
    <s v="Gomukh Dhanipur"/>
    <s v="MPG"/>
    <s v="Direct"/>
    <n v="207"/>
    <n v="8982.9699999999993"/>
    <n v="210.81"/>
    <n v="10162.029999999999"/>
    <n v="0"/>
    <n v="0"/>
    <n v="210.81"/>
    <n v="10162.029999999999"/>
    <n v="8982.9699999999993"/>
    <n v="0"/>
    <n v="0"/>
    <n v="1179.0599999999995"/>
    <n v="0"/>
    <n v="0"/>
    <n v="0"/>
    <n v="8983"/>
    <n v="0"/>
    <n v="0"/>
    <n v="0"/>
    <n v="0"/>
  </r>
  <r>
    <x v="587"/>
    <s v="Gomukh Rakshanagar_tola"/>
    <s v="MPG"/>
    <s v="Direct"/>
    <n v="559.09999999999991"/>
    <n v="24621.239999999998"/>
    <n v="563.20000000000005"/>
    <n v="26072.690000000002"/>
    <n v="0"/>
    <n v="0"/>
    <n v="563.20000000000005"/>
    <n v="26072.690000000002"/>
    <n v="24621.239999999998"/>
    <n v="0"/>
    <n v="0"/>
    <n v="1451.4500000000044"/>
    <n v="0"/>
    <n v="0"/>
    <n v="0"/>
    <n v="24621"/>
    <n v="0"/>
    <n v="0"/>
    <n v="0"/>
    <n v="0"/>
  </r>
  <r>
    <x v="588"/>
    <s v="Gomukh Nadaon"/>
    <s v="MPG"/>
    <s v="Direct"/>
    <n v="294.99999999999994"/>
    <n v="9190.0500000000011"/>
    <n v="294.5"/>
    <n v="9182.51"/>
    <n v="0"/>
    <n v="0"/>
    <n v="294.5"/>
    <n v="9182.51"/>
    <n v="9182.51"/>
    <n v="0"/>
    <n v="0"/>
    <n v="0"/>
    <n v="0"/>
    <n v="500"/>
    <n v="0"/>
    <n v="8683"/>
    <n v="0"/>
    <n v="0"/>
    <n v="7"/>
    <n v="0"/>
  </r>
  <r>
    <x v="589"/>
    <s v="Gomukh Mathuradera Upendra "/>
    <s v="vlc"/>
    <s v="Indirect"/>
    <n v="317.5"/>
    <n v="13320.449999999999"/>
    <n v="0"/>
    <n v="0"/>
    <n v="0"/>
    <n v="0"/>
    <n v="0"/>
    <n v="0"/>
    <n v="13320.449999999999"/>
    <n v="0"/>
    <n v="0"/>
    <n v="0"/>
    <n v="0"/>
    <n v="0"/>
    <n v="0"/>
    <n v="0"/>
    <n v="0"/>
    <n v="13320.449999999999"/>
    <n v="0"/>
    <n v="0"/>
  </r>
  <r>
    <x v="590"/>
    <s v="Gomukh Bramhpur"/>
    <s v="MPG"/>
    <s v="Direct"/>
    <n v="143.9"/>
    <n v="4903.1499999999996"/>
    <n v="194.13"/>
    <n v="7618.64"/>
    <n v="0"/>
    <n v="0"/>
    <n v="194.13"/>
    <n v="7618.64"/>
    <n v="4903.1499999999996"/>
    <n v="0"/>
    <n v="0"/>
    <n v="2715.4900000000007"/>
    <n v="0"/>
    <n v="500"/>
    <n v="0"/>
    <n v="4403"/>
    <n v="0"/>
    <n v="0"/>
    <n v="0"/>
    <n v="0"/>
  </r>
  <r>
    <x v="591"/>
    <s v="Gomukh Mashariya"/>
    <s v="MPG"/>
    <s v="Direct"/>
    <n v="1688.5999999999997"/>
    <n v="68501.469999999987"/>
    <n v="872.2"/>
    <n v="40013.410000000003"/>
    <n v="1169.04"/>
    <n v="45886.460000000006"/>
    <n v="2041.24"/>
    <n v="85899.87000000001"/>
    <n v="68501.469999999987"/>
    <n v="0"/>
    <n v="1563.3100000000002"/>
    <n v="17398.400000000023"/>
    <n v="0"/>
    <n v="0"/>
    <n v="0"/>
    <n v="22615"/>
    <n v="44323"/>
    <n v="0"/>
    <n v="0"/>
    <n v="0"/>
  </r>
  <r>
    <x v="592"/>
    <s v="Gomukh Basawkala Sudhir Kumar"/>
    <s v="vlc"/>
    <s v="Indirect"/>
    <n v="325.3"/>
    <n v="13890.739999999998"/>
    <n v="0"/>
    <n v="0"/>
    <n v="0"/>
    <n v="0"/>
    <n v="0"/>
    <n v="0"/>
    <n v="13890.739999999998"/>
    <n v="0"/>
    <n v="0"/>
    <n v="0"/>
    <n v="0"/>
    <n v="0"/>
    <n v="0"/>
    <n v="0"/>
    <n v="0"/>
    <n v="13890.739999999998"/>
    <n v="0"/>
    <n v="0"/>
  </r>
  <r>
    <x v="593"/>
    <s v="Gomukh KritSagar"/>
    <s v="MPG"/>
    <s v="Direct"/>
    <n v="298.60000000000002"/>
    <n v="14300.039999999999"/>
    <n v="298"/>
    <n v="14250.36"/>
    <n v="0"/>
    <n v="0"/>
    <n v="298"/>
    <n v="14250.36"/>
    <n v="14250.36"/>
    <n v="0"/>
    <n v="0"/>
    <n v="0"/>
    <n v="0"/>
    <n v="0"/>
    <n v="0"/>
    <n v="14250"/>
    <n v="0"/>
    <n v="0"/>
    <n v="50"/>
    <n v="0"/>
  </r>
  <r>
    <x v="594"/>
    <s v="Gomukh Navdera Jaipraksh"/>
    <s v="vlc"/>
    <s v="Indirect"/>
    <n v="1686.2999999999997"/>
    <n v="65904.78"/>
    <n v="0"/>
    <n v="0"/>
    <n v="0"/>
    <n v="0"/>
    <n v="0"/>
    <n v="0"/>
    <n v="65904.78"/>
    <n v="0"/>
    <n v="0"/>
    <n v="0"/>
    <n v="0"/>
    <n v="0"/>
    <n v="0"/>
    <n v="0"/>
    <n v="0"/>
    <n v="65904.78"/>
    <n v="0"/>
    <n v="0"/>
  </r>
  <r>
    <x v="595"/>
    <s v="Gomukh Ataon"/>
    <s v="MPG"/>
    <s v="Direct"/>
    <n v="360.90000000000003"/>
    <n v="15449.289999999999"/>
    <n v="401.99999999999994"/>
    <n v="19221.379999999997"/>
    <n v="0"/>
    <n v="0"/>
    <n v="401.99999999999994"/>
    <n v="19221.379999999997"/>
    <n v="15449.289999999999"/>
    <n v="0"/>
    <n v="0"/>
    <n v="3772.0899999999983"/>
    <n v="0"/>
    <n v="0"/>
    <n v="0"/>
    <n v="15449"/>
    <n v="0"/>
    <n v="0"/>
    <n v="0"/>
    <s v="Release3"/>
  </r>
  <r>
    <x v="596"/>
    <s v="Gumukh Gayghat"/>
    <s v="MPG"/>
    <s v="Direct"/>
    <n v="793"/>
    <n v="30443.009999999995"/>
    <n v="798.94999999999993"/>
    <n v="34087.49"/>
    <n v="0"/>
    <n v="0"/>
    <n v="798.94999999999993"/>
    <n v="34087.49"/>
    <n v="30443.009999999995"/>
    <n v="0"/>
    <n v="0"/>
    <n v="3644.4800000000032"/>
    <n v="5320"/>
    <n v="0"/>
    <n v="0"/>
    <n v="25123"/>
    <n v="0"/>
    <n v="0"/>
    <n v="0"/>
    <s v="Release3"/>
  </r>
  <r>
    <x v="597"/>
    <s v="Gomukh Chakki Janardan Yadav"/>
    <s v="vlc"/>
    <s v="Indirect"/>
    <n v="118.80000000000001"/>
    <n v="4467.4000000000005"/>
    <n v="0"/>
    <n v="0"/>
    <n v="0"/>
    <n v="0"/>
    <n v="0"/>
    <n v="0"/>
    <n v="4467.4000000000005"/>
    <n v="0"/>
    <n v="0"/>
    <n v="0"/>
    <n v="0"/>
    <n v="0"/>
    <n v="0"/>
    <n v="0"/>
    <n v="0"/>
    <n v="4467.4000000000005"/>
    <n v="0"/>
    <n v="0"/>
  </r>
  <r>
    <x v="598"/>
    <s v="Gomukh Rajpur"/>
    <s v="MPG"/>
    <s v="Direct"/>
    <n v="1105"/>
    <n v="46742.23000000001"/>
    <n v="1098.8400000000004"/>
    <n v="47365.85"/>
    <n v="14.399999999999999"/>
    <n v="624.99999999999989"/>
    <n v="1113.2400000000005"/>
    <n v="47990.85"/>
    <n v="46742.23000000001"/>
    <n v="0"/>
    <n v="624.99999999999989"/>
    <n v="1248.6199999999881"/>
    <n v="0"/>
    <n v="0"/>
    <n v="0"/>
    <n v="46117"/>
    <n v="0"/>
    <n v="0"/>
    <n v="0"/>
    <s v="Release3"/>
  </r>
  <r>
    <x v="599"/>
    <s v="Gomukh Gangauli Dubha"/>
    <s v="MPG"/>
    <s v="Direct"/>
    <n v="207.79999999999998"/>
    <n v="8509.9399999999987"/>
    <n v="232"/>
    <n v="9382.66"/>
    <n v="2.6999999999999997"/>
    <n v="110.39"/>
    <n v="234.7"/>
    <n v="9493.0499999999993"/>
    <n v="8509.9399999999987"/>
    <n v="0"/>
    <n v="110.39"/>
    <n v="983.11000000000058"/>
    <n v="2660"/>
    <n v="0"/>
    <n v="0"/>
    <n v="5740"/>
    <n v="0"/>
    <n v="0"/>
    <n v="0"/>
    <n v="0"/>
  </r>
  <r>
    <x v="600"/>
    <s v="Gomukh Jagdishpur"/>
    <s v="MPG"/>
    <s v="Direct"/>
    <n v="328.90000000000003"/>
    <n v="11486.03"/>
    <n v="327"/>
    <n v="11458.08"/>
    <n v="0"/>
    <n v="0"/>
    <n v="327"/>
    <n v="11458.08"/>
    <n v="11458.08"/>
    <n v="0"/>
    <n v="0"/>
    <n v="0"/>
    <n v="0"/>
    <n v="0"/>
    <n v="0"/>
    <n v="11458"/>
    <n v="0"/>
    <n v="0"/>
    <n v="28"/>
    <n v="0"/>
  </r>
  <r>
    <x v="601"/>
    <s v="Gumukk JP Dera"/>
    <s v="vlc"/>
    <s v="Indirect"/>
    <n v="288.69999999999993"/>
    <n v="11343.260000000002"/>
    <n v="0"/>
    <n v="0"/>
    <n v="0"/>
    <n v="0"/>
    <n v="0"/>
    <n v="0"/>
    <n v="11343.260000000002"/>
    <n v="0"/>
    <n v="0"/>
    <n v="0"/>
    <n v="0"/>
    <n v="0"/>
    <n v="0"/>
    <n v="0"/>
    <n v="0"/>
    <n v="11343.260000000002"/>
    <n v="0"/>
    <n v="0"/>
  </r>
  <r>
    <x v="602"/>
    <s v="Gumukh Orap Khurd"/>
    <s v="MPG"/>
    <s v="Direct"/>
    <n v="452.59999999999997"/>
    <n v="18323.530000000002"/>
    <n v="463.65000000000003"/>
    <n v="18778.980000000003"/>
    <n v="0"/>
    <n v="0"/>
    <n v="463.65000000000003"/>
    <n v="18778.980000000003"/>
    <n v="18323.530000000002"/>
    <n v="0"/>
    <n v="0"/>
    <n v="455.45000000000073"/>
    <n v="0"/>
    <n v="0"/>
    <n v="0"/>
    <n v="18324"/>
    <n v="0"/>
    <n v="0"/>
    <n v="0"/>
    <n v="0"/>
  </r>
  <r>
    <x v="603"/>
    <s v="Gomukh Daunpura Manendra"/>
    <s v="vlc"/>
    <s v="Indirect"/>
    <n v="407.3"/>
    <n v="16236.9"/>
    <n v="0"/>
    <n v="0"/>
    <n v="0"/>
    <n v="0"/>
    <n v="0"/>
    <n v="0"/>
    <n v="16236.9"/>
    <n v="0"/>
    <n v="0"/>
    <n v="0"/>
    <n v="0"/>
    <n v="0"/>
    <n v="0"/>
    <n v="0"/>
    <n v="0"/>
    <n v="16236.9"/>
    <n v="0"/>
    <n v="0"/>
  </r>
  <r>
    <x v="604"/>
    <s v="Gumukh Mathiyapur"/>
    <s v="MPG"/>
    <s v="Direct"/>
    <n v="237.70000000000002"/>
    <n v="9629.6099999999988"/>
    <n v="239"/>
    <n v="9600.6299999999992"/>
    <n v="0"/>
    <n v="0"/>
    <n v="239"/>
    <n v="9600.6299999999992"/>
    <n v="9600.6299999999992"/>
    <n v="0"/>
    <n v="0"/>
    <n v="0"/>
    <n v="0"/>
    <n v="0"/>
    <n v="0"/>
    <n v="9601"/>
    <n v="0"/>
    <n v="0"/>
    <n v="29"/>
    <n v="0"/>
  </r>
  <r>
    <x v="605"/>
    <s v="Gomukh Raghunathpur Dasrath"/>
    <s v="vlc"/>
    <s v="Indirect"/>
    <n v="839.2"/>
    <n v="35524.629999999997"/>
    <n v="0"/>
    <n v="0"/>
    <n v="0"/>
    <n v="0"/>
    <n v="0"/>
    <n v="0"/>
    <n v="35524.629999999997"/>
    <n v="0"/>
    <n v="0"/>
    <n v="0"/>
    <n v="0"/>
    <n v="0"/>
    <n v="0"/>
    <n v="0"/>
    <n v="0"/>
    <n v="35524.629999999997"/>
    <n v="0"/>
    <n v="0"/>
  </r>
  <r>
    <x v="606"/>
    <s v="Gomukh Lakshman Dera Raja"/>
    <s v="vlc"/>
    <s v="Indirect"/>
    <n v="140.5"/>
    <n v="5244.11"/>
    <n v="0"/>
    <n v="0"/>
    <n v="0"/>
    <n v="0"/>
    <n v="0"/>
    <n v="0"/>
    <n v="5244.11"/>
    <n v="0"/>
    <n v="0"/>
    <n v="0"/>
    <n v="0"/>
    <n v="0"/>
    <n v="0"/>
    <n v="0"/>
    <n v="0"/>
    <n v="5244.11"/>
    <n v="0"/>
    <n v="0"/>
  </r>
  <r>
    <x v="607"/>
    <s v="Sohan Narayan Farmer Dairy Producer Company Ltd"/>
    <s v="vlc"/>
    <s v="Indirect"/>
    <n v="671.8"/>
    <n v="25101.279999999999"/>
    <n v="0"/>
    <n v="0"/>
    <n v="0"/>
    <n v="0"/>
    <n v="0"/>
    <n v="0"/>
    <n v="25101.279999999999"/>
    <n v="0"/>
    <n v="0"/>
    <n v="0"/>
    <n v="0"/>
    <n v="0"/>
    <n v="0"/>
    <n v="0"/>
    <n v="0"/>
    <n v="25101.279999999999"/>
    <n v="0"/>
    <n v="0"/>
  </r>
  <r>
    <x v="608"/>
    <s v="Gomukh Arion Govind "/>
    <s v="vlc"/>
    <s v="Indirect"/>
    <n v="87.1"/>
    <n v="3807.3500000000004"/>
    <n v="0"/>
    <n v="0"/>
    <n v="0"/>
    <n v="0"/>
    <n v="0"/>
    <n v="0"/>
    <n v="3807.3500000000004"/>
    <n v="0"/>
    <n v="0"/>
    <n v="0"/>
    <n v="1330"/>
    <n v="0"/>
    <n v="0"/>
    <n v="0"/>
    <n v="0"/>
    <n v="2477.3500000000004"/>
    <n v="0"/>
    <n v="0"/>
  </r>
  <r>
    <x v="609"/>
    <s v="Gumukh Basawkala Dahpura Tola"/>
    <s v="MPG"/>
    <s v="Direct"/>
    <n v="521.59999999999991"/>
    <n v="21405.29"/>
    <n v="523.51"/>
    <n v="21371.3"/>
    <n v="0"/>
    <n v="0"/>
    <n v="523.51"/>
    <n v="21371.3"/>
    <n v="21371.3"/>
    <n v="0"/>
    <n v="0"/>
    <n v="0"/>
    <n v="0"/>
    <n v="0"/>
    <n v="0"/>
    <n v="21371"/>
    <n v="0"/>
    <n v="0"/>
    <n v="34"/>
    <n v="0"/>
  </r>
  <r>
    <x v="610"/>
    <s v="GomukhSimari Bakulha Patti"/>
    <s v="vlc"/>
    <s v="Indirect"/>
    <n v="274.10000000000002"/>
    <n v="9732.7000000000007"/>
    <n v="0"/>
    <n v="0"/>
    <n v="0"/>
    <n v="0"/>
    <n v="0"/>
    <n v="0"/>
    <n v="9732.7000000000007"/>
    <n v="0"/>
    <n v="0"/>
    <n v="0"/>
    <n v="0"/>
    <n v="0"/>
    <n v="0"/>
    <n v="0"/>
    <n v="0"/>
    <n v="9732.7000000000007"/>
    <n v="0"/>
    <n v="0"/>
  </r>
  <r>
    <x v="611"/>
    <s v="Gomukh Baijnathpur"/>
    <s v="MPG"/>
    <s v="Direct"/>
    <n v="928.5"/>
    <n v="37299.290000000008"/>
    <n v="927.38"/>
    <n v="37280.080000000009"/>
    <n v="0"/>
    <n v="0"/>
    <n v="927.38"/>
    <n v="37280.080000000009"/>
    <n v="37280.080000000009"/>
    <n v="0"/>
    <n v="0"/>
    <n v="0"/>
    <n v="0"/>
    <n v="0"/>
    <n v="0"/>
    <n v="37280"/>
    <n v="0"/>
    <n v="0"/>
    <n v="19"/>
    <n v="0"/>
  </r>
  <r>
    <x v="612"/>
    <s v="Gomukh Banjhudera"/>
    <s v="vlc"/>
    <s v="Indirect"/>
    <n v="714.8"/>
    <n v="26620.019999999997"/>
    <n v="0"/>
    <n v="0"/>
    <n v="0"/>
    <n v="0"/>
    <n v="0"/>
    <n v="0"/>
    <n v="26620.019999999997"/>
    <n v="0"/>
    <n v="0"/>
    <n v="0"/>
    <n v="0"/>
    <n v="0"/>
    <n v="0"/>
    <n v="0"/>
    <n v="0"/>
    <n v="26620.019999999997"/>
    <n v="0"/>
    <n v="0"/>
  </r>
  <r>
    <x v="613"/>
    <s v="Gaachhi Tola"/>
    <s v="vlc"/>
    <s v="Indirect"/>
    <n v="801.5"/>
    <n v="33393.4"/>
    <n v="0"/>
    <n v="0"/>
    <n v="0"/>
    <n v="0"/>
    <n v="0"/>
    <n v="0"/>
    <n v="33393.4"/>
    <n v="0"/>
    <n v="0"/>
    <n v="0"/>
    <n v="0"/>
    <n v="0"/>
    <n v="0"/>
    <n v="0"/>
    <n v="0"/>
    <n v="33393.4"/>
    <n v="0"/>
    <n v="0"/>
  </r>
  <r>
    <x v="614"/>
    <s v="KUMARPUIR KATHARA"/>
    <s v="RMC"/>
    <s v="Direct"/>
    <n v="2221.6999999999998"/>
    <n v="84624.55"/>
    <n v="2307.8000000000011"/>
    <n v="83120.5"/>
    <n v="28.700000000000003"/>
    <n v="1496.7899999999997"/>
    <n v="2336.5000000000009"/>
    <n v="84617.29"/>
    <n v="84617.29"/>
    <n v="0"/>
    <n v="1496.7899999999997"/>
    <n v="0"/>
    <n v="0"/>
    <n v="0"/>
    <n v="0"/>
    <n v="83122"/>
    <n v="0"/>
    <n v="0"/>
    <n v="6"/>
    <n v="0"/>
  </r>
  <r>
    <x v="615"/>
    <s v="KUDHIYA MPG"/>
    <s v="RMC"/>
    <s v="Direct"/>
    <n v="2075.8000000000002"/>
    <n v="89125.859999999986"/>
    <n v="2091.5000000000005"/>
    <n v="89766.889999999985"/>
    <n v="12.399999999999999"/>
    <n v="526.79000000000008"/>
    <n v="2103.9000000000005"/>
    <n v="90293.679999999978"/>
    <n v="89125.859999999986"/>
    <n v="0"/>
    <n v="526.79000000000008"/>
    <n v="1167.8199999999924"/>
    <n v="0"/>
    <n v="0"/>
    <n v="0"/>
    <n v="88599"/>
    <n v="0"/>
    <n v="0"/>
    <n v="0"/>
    <n v="0"/>
  </r>
  <r>
    <x v="616"/>
    <s v="SHAHJADPUR MPG"/>
    <s v="RMC"/>
    <s v="Direct"/>
    <n v="1558.55"/>
    <n v="59391.899999999994"/>
    <n v="1575.6"/>
    <n v="68486.010000000009"/>
    <n v="7.8999999999999995"/>
    <n v="349.61"/>
    <n v="1583.5"/>
    <n v="68835.62000000001"/>
    <n v="59391.899999999994"/>
    <n v="0"/>
    <n v="349.61"/>
    <n v="9443.7200000000157"/>
    <n v="25"/>
    <n v="0"/>
    <n v="0"/>
    <n v="59017"/>
    <n v="0"/>
    <n v="0"/>
    <n v="0"/>
    <n v="0"/>
  </r>
  <r>
    <x v="617"/>
    <s v="FARDA - 3"/>
    <s v="RMC"/>
    <s v="Direct"/>
    <n v="1827.6999999999998"/>
    <n v="66706.95"/>
    <n v="195.29999999999998"/>
    <n v="7278.3000000000011"/>
    <n v="1680.5999999999997"/>
    <n v="63402.060000000005"/>
    <n v="1875.8999999999996"/>
    <n v="70680.36"/>
    <n v="66706.95"/>
    <n v="0"/>
    <n v="312.97000000000003"/>
    <n v="3973.4100000000035"/>
    <n v="0"/>
    <n v="0"/>
    <n v="0"/>
    <n v="3304"/>
    <n v="63090"/>
    <n v="0"/>
    <n v="0"/>
    <n v="0"/>
  </r>
  <r>
    <x v="618"/>
    <s v="CHANDANPURA"/>
    <s v="vlc"/>
    <s v="Indirect"/>
    <n v="561.4"/>
    <n v="23214.759999999995"/>
    <n v="0"/>
    <n v="0"/>
    <n v="0"/>
    <n v="0"/>
    <n v="0"/>
    <n v="0"/>
    <n v="23214.759999999995"/>
    <n v="0"/>
    <n v="0"/>
    <n v="0"/>
    <n v="0"/>
    <n v="0"/>
    <n v="0"/>
    <n v="0"/>
    <n v="0"/>
    <n v="23214.759999999995"/>
    <n v="0"/>
    <n v="0"/>
  </r>
  <r>
    <x v="619"/>
    <s v="MANIKPUR"/>
    <s v="RMC"/>
    <s v="Direct"/>
    <n v="1065.4000000000001"/>
    <n v="42865.340000000004"/>
    <n v="0"/>
    <n v="0"/>
    <n v="1041.2"/>
    <n v="41875.459999999992"/>
    <n v="1041.2"/>
    <n v="41875.459999999992"/>
    <n v="41875.459999999992"/>
    <n v="0"/>
    <n v="249.29"/>
    <n v="0"/>
    <n v="0"/>
    <n v="0"/>
    <n v="0"/>
    <n v="0"/>
    <n v="41625"/>
    <n v="0"/>
    <n v="991"/>
    <n v="0"/>
  </r>
  <r>
    <x v="620"/>
    <s v="JAKARPURA"/>
    <s v="vlc"/>
    <s v="Indirect"/>
    <n v="2046.5000000000002"/>
    <n v="81216.700000000026"/>
    <n v="0"/>
    <n v="0"/>
    <n v="0"/>
    <n v="0"/>
    <n v="0"/>
    <n v="0"/>
    <n v="81216.700000000026"/>
    <n v="0"/>
    <n v="0"/>
    <n v="0"/>
    <n v="0"/>
    <n v="0"/>
    <n v="0"/>
    <n v="0"/>
    <n v="0"/>
    <n v="81216.700000000026"/>
    <n v="0"/>
    <n v="0"/>
  </r>
  <r>
    <x v="621"/>
    <s v="KISHANPUR"/>
    <s v="vlc"/>
    <s v="Indirect"/>
    <n v="2496"/>
    <n v="96473.68"/>
    <n v="0"/>
    <n v="0"/>
    <n v="0"/>
    <n v="0"/>
    <n v="0"/>
    <n v="0"/>
    <n v="96473.68"/>
    <n v="0"/>
    <n v="0"/>
    <n v="0"/>
    <n v="0"/>
    <n v="0"/>
    <n v="0"/>
    <n v="0"/>
    <n v="0"/>
    <n v="96473.68"/>
    <n v="0"/>
    <n v="0"/>
  </r>
  <r>
    <x v="622"/>
    <s v="NANDPUR"/>
    <s v="vlc"/>
    <s v="Indirect"/>
    <n v="1400.8999999999996"/>
    <n v="54229.26"/>
    <n v="0"/>
    <n v="0"/>
    <n v="0"/>
    <n v="0"/>
    <n v="0"/>
    <n v="0"/>
    <n v="54229.26"/>
    <n v="0"/>
    <n v="0"/>
    <n v="0"/>
    <n v="0"/>
    <n v="0"/>
    <n v="0"/>
    <n v="0"/>
    <n v="0"/>
    <n v="54229.26"/>
    <n v="0"/>
    <n v="0"/>
  </r>
  <r>
    <x v="623"/>
    <s v="NOWAGADHI"/>
    <s v="RMC"/>
    <s v="Direct"/>
    <n v="1849.8999999999999"/>
    <n v="74177.47"/>
    <n v="1940.7"/>
    <n v="74011.35000000002"/>
    <n v="18.8"/>
    <n v="723.8"/>
    <n v="1959.5"/>
    <n v="74735.150000000023"/>
    <n v="74177.47"/>
    <n v="0"/>
    <n v="723.8"/>
    <n v="557.68000000002212"/>
    <n v="0"/>
    <n v="0"/>
    <n v="0"/>
    <n v="73454"/>
    <n v="0"/>
    <n v="0"/>
    <n v="0"/>
    <n v="0"/>
  </r>
  <r>
    <x v="624"/>
    <s v="MAHADAT PUR 2"/>
    <s v="RMC"/>
    <s v="Direct"/>
    <n v="2345.8000000000002"/>
    <n v="93052.680000000008"/>
    <n v="2322.9"/>
    <n v="92162.280000000013"/>
    <n v="22.9"/>
    <n v="890.4"/>
    <n v="2345.8000000000002"/>
    <n v="93052.680000000008"/>
    <n v="93052.680000000008"/>
    <n v="0"/>
    <n v="890.4"/>
    <n v="0"/>
    <n v="0"/>
    <n v="0"/>
    <n v="0"/>
    <n v="92161"/>
    <n v="0"/>
    <n v="0"/>
    <n v="1"/>
    <n v="0"/>
  </r>
  <r>
    <x v="625"/>
    <s v="SONBARSHA 1"/>
    <s v="RMC"/>
    <s v="Direct"/>
    <n v="426"/>
    <n v="15336"/>
    <n v="422"/>
    <n v="15192"/>
    <n v="4"/>
    <n v="144"/>
    <n v="426"/>
    <n v="15336"/>
    <n v="15336"/>
    <n v="0"/>
    <n v="144"/>
    <n v="0"/>
    <n v="0"/>
    <n v="0"/>
    <n v="0"/>
    <n v="15192"/>
    <n v="0"/>
    <n v="0"/>
    <n v="0"/>
    <n v="0"/>
  </r>
  <r>
    <x v="626"/>
    <s v="GANOUL"/>
    <s v="RMC"/>
    <s v="Indirect"/>
    <n v="708"/>
    <n v="25010.48"/>
    <n v="600"/>
    <n v="21684"/>
    <n v="0"/>
    <n v="0"/>
    <n v="600"/>
    <n v="21684"/>
    <n v="25010.48"/>
    <n v="0"/>
    <n v="28.97"/>
    <n v="0"/>
    <n v="0"/>
    <n v="0"/>
    <n v="0"/>
    <n v="0"/>
    <n v="0"/>
    <n v="24981.51"/>
    <n v="0"/>
    <n v="0"/>
  </r>
  <r>
    <x v="627"/>
    <s v="Gauripur"/>
    <s v="RMC"/>
    <s v="Direct"/>
    <n v="2697"/>
    <n v="94780.83"/>
    <n v="2324"/>
    <n v="81784.160000000003"/>
    <n v="373"/>
    <n v="12993.620000000003"/>
    <n v="2697"/>
    <n v="94777.78"/>
    <n v="94777.78"/>
    <n v="0"/>
    <n v="211.01999999999998"/>
    <n v="0"/>
    <n v="0"/>
    <n v="0"/>
    <n v="0"/>
    <n v="81785"/>
    <n v="12783"/>
    <n v="0"/>
    <n v="2"/>
    <n v="0"/>
  </r>
  <r>
    <x v="628"/>
    <s v="Bhramarpur"/>
    <s v="RMC"/>
    <s v="Direct"/>
    <n v="2374"/>
    <n v="83081.14"/>
    <n v="870"/>
    <n v="30463.5"/>
    <n v="1596"/>
    <n v="55878.479999999996"/>
    <n v="2466"/>
    <n v="86341.98"/>
    <n v="83081.14"/>
    <n v="0"/>
    <n v="139.84"/>
    <n v="3260.8399999999965"/>
    <n v="0"/>
    <n v="0"/>
    <n v="0"/>
    <n v="27202"/>
    <n v="55739"/>
    <n v="0"/>
    <n v="0"/>
    <n v="0"/>
  </r>
  <r>
    <x v="629"/>
    <s v="Gomukh Bariyarpur"/>
    <s v="MPG"/>
    <s v="Direct"/>
    <n v="784.10000000000014"/>
    <n v="28627.379999999997"/>
    <n v="774"/>
    <n v="28376.579999999998"/>
    <n v="0"/>
    <n v="0"/>
    <n v="774"/>
    <n v="28376.579999999998"/>
    <n v="28376.579999999998"/>
    <n v="0"/>
    <n v="0"/>
    <n v="0"/>
    <n v="0"/>
    <n v="0"/>
    <n v="0"/>
    <n v="28377"/>
    <n v="0"/>
    <n v="0"/>
    <n v="250"/>
    <n v="0"/>
  </r>
  <r>
    <x v="630"/>
    <s v="Gomukh Sadananpur"/>
    <s v="MPG"/>
    <s v="Direct"/>
    <n v="58.400000000000006"/>
    <n v="1928.19"/>
    <n v="257.39999999999998"/>
    <n v="9533.99"/>
    <n v="0"/>
    <n v="0"/>
    <n v="257.39999999999998"/>
    <n v="9533.99"/>
    <n v="1928.19"/>
    <n v="0"/>
    <n v="0"/>
    <n v="7605.7999999999993"/>
    <n v="0"/>
    <n v="0"/>
    <n v="0"/>
    <n v="1928"/>
    <n v="0"/>
    <n v="0"/>
    <n v="0"/>
    <s v="Release4"/>
  </r>
  <r>
    <x v="631"/>
    <s v="TILAKPUR  2"/>
    <s v="MPG"/>
    <s v="Direct"/>
    <n v="485.15000000000003"/>
    <n v="17298.43"/>
    <n v="490.90000000000003"/>
    <n v="18529.29"/>
    <n v="1"/>
    <n v="38.71"/>
    <n v="491.90000000000003"/>
    <n v="18568"/>
    <n v="17298.43"/>
    <n v="0"/>
    <n v="38.71"/>
    <n v="1269.5699999999997"/>
    <n v="0"/>
    <n v="0"/>
    <n v="0"/>
    <n v="17260"/>
    <n v="0"/>
    <n v="0"/>
    <n v="0"/>
    <n v="0"/>
  </r>
  <r>
    <x v="632"/>
    <s v="TILAKPUR"/>
    <s v="MPG"/>
    <s v="Direct"/>
    <n v="784.84999999999991"/>
    <n v="24846.95"/>
    <n v="777.7"/>
    <n v="25858.98"/>
    <n v="1.8000000000000005"/>
    <n v="58.559999999999988"/>
    <n v="779.5"/>
    <n v="25917.54"/>
    <n v="24846.95"/>
    <n v="0"/>
    <n v="58.559999999999988"/>
    <n v="1070.5900000000001"/>
    <n v="0"/>
    <n v="0"/>
    <n v="0"/>
    <n v="24788"/>
    <n v="0"/>
    <n v="0"/>
    <n v="0"/>
    <n v="0"/>
  </r>
  <r>
    <x v="633"/>
    <s v="Prasharpur Kadwa Gomukh"/>
    <s v="MPG"/>
    <s v="Direct"/>
    <n v="390.9"/>
    <n v="14540.82"/>
    <n v="388"/>
    <n v="14410.2"/>
    <n v="2.9000000000000004"/>
    <n v="108.57000000000001"/>
    <n v="390.9"/>
    <n v="14518.77"/>
    <n v="14518.77"/>
    <n v="0"/>
    <n v="108.57000000000001"/>
    <n v="0"/>
    <n v="0"/>
    <n v="0"/>
    <n v="0"/>
    <n v="14410"/>
    <n v="0"/>
    <n v="0"/>
    <n v="22"/>
    <n v="0"/>
  </r>
  <r>
    <x v="634"/>
    <s v="Borwa Tola Gomukh"/>
    <s v="vlc"/>
    <s v="Indirect"/>
    <n v="390.99999999999994"/>
    <n v="13050.69"/>
    <n v="391.3"/>
    <n v="13151.51"/>
    <n v="0"/>
    <n v="0"/>
    <n v="391.3"/>
    <n v="13151.51"/>
    <n v="13050.69"/>
    <n v="0"/>
    <n v="0"/>
    <n v="100.81999999999971"/>
    <n v="0"/>
    <n v="0"/>
    <n v="0"/>
    <n v="0"/>
    <n v="0"/>
    <n v="13050.69"/>
    <n v="0"/>
    <n v="0"/>
  </r>
  <r>
    <x v="635"/>
    <s v="Sheela Devi"/>
    <s v="vlc"/>
    <s v="Indirect"/>
    <n v="627"/>
    <n v="21023.31"/>
    <n v="0"/>
    <n v="0"/>
    <n v="0"/>
    <n v="0"/>
    <n v="0"/>
    <n v="0"/>
    <n v="21023.31"/>
    <n v="0"/>
    <n v="0"/>
    <n v="0"/>
    <n v="0"/>
    <n v="0"/>
    <n v="0"/>
    <n v="0"/>
    <n v="0"/>
    <n v="21023.31"/>
    <n v="0"/>
    <n v="0"/>
  </r>
  <r>
    <x v="636"/>
    <s v="Gomukh Vijay Lalganj"/>
    <s v="MPG"/>
    <s v="Direct"/>
    <n v="395.8"/>
    <n v="16172.599999999999"/>
    <n v="2465.8999999999996"/>
    <n v="98854.450000000012"/>
    <n v="1.4000000000000001"/>
    <n v="58.27000000000001"/>
    <n v="2467.2999999999997"/>
    <n v="98912.720000000016"/>
    <n v="16172.599999999999"/>
    <n v="0"/>
    <n v="58.27000000000001"/>
    <n v="82740.120000000024"/>
    <n v="0"/>
    <n v="0"/>
    <n v="0"/>
    <n v="16114"/>
    <n v="0"/>
    <n v="0"/>
    <n v="0"/>
    <n v="0"/>
  </r>
  <r>
    <x v="637"/>
    <s v="Gomukh Sarswati Nagar Nakdahri"/>
    <s v="MPG"/>
    <s v="Direct"/>
    <n v="549.9"/>
    <n v="22191.87"/>
    <n v="364.08000000000004"/>
    <n v="14888.85"/>
    <n v="196.96000000000004"/>
    <n v="8149.62"/>
    <n v="561.04000000000008"/>
    <n v="23038.47"/>
    <n v="22191.87"/>
    <n v="0"/>
    <n v="123.74000000000001"/>
    <n v="846.60000000000218"/>
    <n v="0"/>
    <n v="0"/>
    <n v="0"/>
    <n v="14042"/>
    <n v="8026"/>
    <n v="0"/>
    <n v="0"/>
    <n v="0"/>
  </r>
  <r>
    <x v="638"/>
    <s v="Dhobina Basa"/>
    <s v="MPG"/>
    <s v="Direct"/>
    <n v="478.7999999999999"/>
    <n v="18458.55"/>
    <n v="285.3"/>
    <n v="12453.36"/>
    <n v="275"/>
    <n v="12003.849999999999"/>
    <n v="560.29999999999995"/>
    <n v="24457.21"/>
    <n v="18458.55"/>
    <n v="0"/>
    <n v="61.179999999999986"/>
    <n v="5998.66"/>
    <n v="0"/>
    <n v="0"/>
    <n v="0"/>
    <n v="6454"/>
    <n v="11943"/>
    <n v="0"/>
    <n v="0"/>
    <n v="0"/>
  </r>
  <r>
    <x v="639"/>
    <s v="Gomukh Shreepur Madhay"/>
    <s v="MPG"/>
    <s v="Direct"/>
    <n v="1148.5000000000002"/>
    <n v="46224.849999999984"/>
    <n v="985.6"/>
    <n v="40570.229999999996"/>
    <n v="163.6"/>
    <n v="6675.5599999999995"/>
    <n v="1149.2"/>
    <n v="47245.789999999994"/>
    <n v="46224.849999999984"/>
    <n v="0"/>
    <n v="2706.3399999999997"/>
    <n v="1020.9400000000096"/>
    <n v="0"/>
    <n v="0"/>
    <n v="0"/>
    <n v="39550"/>
    <n v="3969"/>
    <n v="0"/>
    <n v="0"/>
    <n v="0"/>
  </r>
  <r>
    <x v="640"/>
    <s v="Gomukh Dhoriya Dadpur -VLC"/>
    <s v="vlc"/>
    <s v="Indirect"/>
    <n v="369.8"/>
    <n v="13798.84"/>
    <n v="0"/>
    <n v="0"/>
    <n v="0"/>
    <n v="0"/>
    <n v="0"/>
    <n v="0"/>
    <n v="13798.84"/>
    <n v="0"/>
    <n v="0"/>
    <n v="0"/>
    <n v="0"/>
    <n v="0"/>
    <n v="0"/>
    <n v="0"/>
    <n v="0"/>
    <n v="13798.84"/>
    <n v="0"/>
    <n v="0"/>
  </r>
  <r>
    <x v="641"/>
    <s v="Gomukh Mohanpur  VLC"/>
    <s v="vlc"/>
    <s v="Indirect"/>
    <n v="154.20000000000005"/>
    <n v="5439.14"/>
    <n v="0"/>
    <n v="0"/>
    <n v="0"/>
    <n v="0"/>
    <n v="0"/>
    <n v="0"/>
    <n v="5439.14"/>
    <n v="0"/>
    <n v="0"/>
    <n v="0"/>
    <n v="0"/>
    <n v="0"/>
    <n v="0"/>
    <n v="0"/>
    <n v="0"/>
    <n v="5439.14"/>
    <n v="0"/>
    <n v="0"/>
  </r>
  <r>
    <x v="642"/>
    <s v="Gomukh Abhirampur VLC"/>
    <s v="vlc"/>
    <s v="Indirect"/>
    <n v="373.2"/>
    <n v="15455.41"/>
    <n v="0"/>
    <n v="0"/>
    <n v="0"/>
    <n v="0"/>
    <n v="0"/>
    <n v="0"/>
    <n v="15455.41"/>
    <n v="0"/>
    <n v="0"/>
    <n v="0"/>
    <n v="0"/>
    <n v="0"/>
    <n v="0"/>
    <n v="0"/>
    <n v="0"/>
    <n v="15455.41"/>
    <n v="0"/>
    <n v="0"/>
  </r>
  <r>
    <x v="643"/>
    <s v="KUNTHA M"/>
    <s v="RMC"/>
    <s v="Direct"/>
    <n v="1000"/>
    <n v="37250"/>
    <n v="1019.5999999999999"/>
    <n v="37720.100000000006"/>
    <n v="11.699999999999998"/>
    <n v="422.2"/>
    <n v="1031.3"/>
    <n v="38142.300000000003"/>
    <n v="37250"/>
    <n v="0"/>
    <n v="422.2"/>
    <n v="892.30000000000291"/>
    <n v="0"/>
    <n v="0"/>
    <n v="0"/>
    <n v="36828"/>
    <n v="0"/>
    <n v="0"/>
    <n v="0"/>
    <n v="0"/>
  </r>
  <r>
    <x v="644"/>
    <s v="ARAK"/>
    <s v="MPG"/>
    <s v="Direct"/>
    <n v="2375.8999999999996"/>
    <n v="90955.459999999992"/>
    <n v="2361.2999999999997"/>
    <n v="92652.76"/>
    <n v="14.400000000000002"/>
    <n v="759.12"/>
    <n v="2375.6999999999998"/>
    <n v="93411.87999999999"/>
    <n v="90955.459999999992"/>
    <n v="0"/>
    <n v="759.12"/>
    <n v="2456.4199999999983"/>
    <n v="0"/>
    <n v="0"/>
    <n v="0"/>
    <n v="90196"/>
    <n v="0"/>
    <n v="0"/>
    <n v="0"/>
    <n v="0"/>
  </r>
  <r>
    <x v="645"/>
    <s v="Diyaman"/>
    <s v="MPG"/>
    <s v="Direct"/>
    <n v="1160.0999999999999"/>
    <n v="48301.069999999992"/>
    <n v="1150.6200000000001"/>
    <n v="48429.609999999986"/>
    <n v="6.09"/>
    <n v="261.35000000000002"/>
    <n v="1156.71"/>
    <n v="48690.959999999985"/>
    <n v="48301.069999999992"/>
    <n v="0"/>
    <n v="261.35000000000002"/>
    <n v="389.88999999999214"/>
    <n v="0"/>
    <n v="0"/>
    <n v="0"/>
    <n v="48040"/>
    <n v="0"/>
    <n v="0"/>
    <n v="0"/>
    <n v="0"/>
  </r>
  <r>
    <x v="646"/>
    <s v="HENHA"/>
    <s v="MPG"/>
    <s v="Direct"/>
    <n v="2278.8000000000002"/>
    <n v="88953.36"/>
    <n v="2272.6999999999998"/>
    <n v="88395.849999999991"/>
    <n v="11.499999999999998"/>
    <n v="548.20000000000005"/>
    <n v="2284.1999999999998"/>
    <n v="88944.049999999988"/>
    <n v="88944.049999999988"/>
    <n v="0"/>
    <n v="548.20000000000005"/>
    <n v="0"/>
    <n v="0"/>
    <n v="0"/>
    <n v="0"/>
    <n v="88395"/>
    <n v="0"/>
    <n v="0"/>
    <n v="10"/>
    <n v="0"/>
  </r>
  <r>
    <x v="647"/>
    <s v="Suddh Dairy"/>
    <s v="vlc"/>
    <s v="Indirect"/>
    <n v="3884.7"/>
    <n v="151905.19999999998"/>
    <n v="0"/>
    <n v="0"/>
    <n v="0"/>
    <n v="0"/>
    <n v="0"/>
    <n v="0"/>
    <n v="151905.19999999998"/>
    <n v="0"/>
    <n v="0"/>
    <n v="0"/>
    <n v="0"/>
    <n v="0"/>
    <n v="0"/>
    <n v="0"/>
    <n v="0"/>
    <n v="151905.19999999998"/>
    <n v="0"/>
    <n v="0"/>
  </r>
  <r>
    <x v="648"/>
    <s v="Anik Kumar"/>
    <s v="vlc"/>
    <s v="Indirect"/>
    <n v="5209"/>
    <n v="214961.83000000002"/>
    <n v="0"/>
    <n v="0"/>
    <n v="0"/>
    <n v="0"/>
    <n v="0"/>
    <n v="0"/>
    <n v="214961.83000000002"/>
    <n v="0"/>
    <n v="0"/>
    <n v="0"/>
    <n v="0"/>
    <n v="0"/>
    <n v="0"/>
    <n v="0"/>
    <n v="0"/>
    <n v="214961.83000000002"/>
    <n v="0"/>
    <n v="0"/>
  </r>
  <r>
    <x v="649"/>
    <s v="Nand Kishor Kumar"/>
    <s v="vlc"/>
    <s v="Indirect"/>
    <n v="12940"/>
    <n v="410246.2"/>
    <n v="0"/>
    <n v="0"/>
    <n v="0"/>
    <n v="0"/>
    <n v="0"/>
    <n v="0"/>
    <n v="410246.2"/>
    <n v="0"/>
    <n v="0"/>
    <n v="0"/>
    <n v="0"/>
    <n v="0"/>
    <n v="0"/>
    <n v="0"/>
    <n v="0"/>
    <n v="410246.2"/>
    <n v="0"/>
    <n v="0"/>
  </r>
  <r>
    <x v="650"/>
    <s v="Gomukh CHANDAULI"/>
    <s v="MPG"/>
    <s v="Direct"/>
    <n v="1322.9"/>
    <n v="56912.44"/>
    <n v="1328.8999999999999"/>
    <n v="56357.699999999983"/>
    <n v="11.820000000000002"/>
    <n v="513.80999999999995"/>
    <n v="1340.7199999999998"/>
    <n v="56871.50999999998"/>
    <n v="56871.50999999998"/>
    <n v="0"/>
    <n v="513.80999999999995"/>
    <n v="0"/>
    <n v="0"/>
    <n v="0"/>
    <n v="0"/>
    <n v="56358"/>
    <n v="0"/>
    <n v="0"/>
    <n v="41"/>
    <n v="0"/>
  </r>
  <r>
    <x v="651"/>
    <s v="GOMUKH HATHA"/>
    <s v="MPG"/>
    <s v="Direct"/>
    <n v="1413.0500000000002"/>
    <n v="58834.97"/>
    <n v="1418.1299999999997"/>
    <n v="58054.689999999995"/>
    <n v="14.610000000000001"/>
    <n v="614.95000000000005"/>
    <n v="1432.7399999999996"/>
    <n v="58669.639999999992"/>
    <n v="58669.639999999992"/>
    <n v="0"/>
    <n v="614.95000000000005"/>
    <n v="0"/>
    <n v="2109"/>
    <n v="0"/>
    <n v="0"/>
    <n v="55947"/>
    <n v="0"/>
    <n v="0"/>
    <n v="164"/>
    <n v="0"/>
  </r>
  <r>
    <x v="652"/>
    <s v="GOMUKH VADEYA"/>
    <s v="MPG"/>
    <s v="Direct"/>
    <n v="653.1"/>
    <n v="28786.760000000002"/>
    <n v="630.89"/>
    <n v="28605.890000000003"/>
    <n v="4.03"/>
    <n v="176.01000000000002"/>
    <n v="634.91999999999996"/>
    <n v="28781.9"/>
    <n v="28781.9"/>
    <n v="0"/>
    <n v="176.01000000000002"/>
    <n v="0"/>
    <n v="0"/>
    <n v="0"/>
    <n v="0"/>
    <n v="28606"/>
    <n v="0"/>
    <n v="0"/>
    <n v="5"/>
    <n v="0"/>
  </r>
  <r>
    <x v="653"/>
    <s v="GOMUKH CHANDPURA"/>
    <s v="MPG"/>
    <s v="Direct"/>
    <n v="590.15"/>
    <n v="27877.289999999997"/>
    <n v="584.45000000000005"/>
    <n v="27359.29"/>
    <n v="10.639999999999999"/>
    <n v="484.05000000000007"/>
    <n v="595.09"/>
    <n v="27843.34"/>
    <n v="27843.34"/>
    <n v="0"/>
    <n v="484.05000000000007"/>
    <n v="0"/>
    <n v="79"/>
    <n v="0"/>
    <n v="0"/>
    <n v="27280"/>
    <n v="0"/>
    <n v="0"/>
    <n v="34"/>
    <n v="0"/>
  </r>
  <r>
    <x v="654"/>
    <s v="GOMUKH BARGAMA"/>
    <s v="MPG"/>
    <s v="Direct"/>
    <n v="1186.5999999999999"/>
    <n v="53528.46"/>
    <n v="1155.78"/>
    <n v="50356.319999999985"/>
    <n v="60.320000000000014"/>
    <n v="3151.64"/>
    <n v="1216.0999999999999"/>
    <n v="53507.959999999985"/>
    <n v="53507.959999999985"/>
    <n v="0"/>
    <n v="3151.64"/>
    <n v="0"/>
    <n v="0"/>
    <n v="0"/>
    <n v="0"/>
    <n v="50354"/>
    <n v="0"/>
    <n v="0"/>
    <n v="23"/>
    <n v="0"/>
  </r>
  <r>
    <x v="655"/>
    <s v="Gomukh Gograha Tola"/>
    <s v="MPG"/>
    <s v="Direct"/>
    <n v="408.09999999999997"/>
    <n v="18959.650000000001"/>
    <n v="410.99"/>
    <n v="18911.289999999997"/>
    <n v="0.85000000000000009"/>
    <n v="46.04"/>
    <n v="411.84000000000003"/>
    <n v="18957.329999999998"/>
    <n v="18957.329999999998"/>
    <n v="0"/>
    <n v="46.04"/>
    <n v="0"/>
    <n v="0"/>
    <n v="0"/>
    <n v="0"/>
    <n v="18911"/>
    <n v="0"/>
    <n v="0"/>
    <n v="3"/>
    <n v="0"/>
  </r>
  <r>
    <x v="656"/>
    <s v="Gomukh Patsara"/>
    <s v="MPG"/>
    <s v="Direct"/>
    <n v="410.14999999999992"/>
    <n v="18858.730000000003"/>
    <n v="393.2"/>
    <n v="18777.189999999995"/>
    <n v="1.78"/>
    <n v="79.25"/>
    <n v="394.97999999999996"/>
    <n v="18856.439999999995"/>
    <n v="18856.439999999995"/>
    <n v="0"/>
    <n v="79.25"/>
    <n v="0"/>
    <n v="0"/>
    <n v="0"/>
    <n v="0"/>
    <n v="18776"/>
    <n v="0"/>
    <n v="0"/>
    <n v="3"/>
    <n v="0"/>
  </r>
  <r>
    <x v="657"/>
    <s v="Gomukh Singhiya"/>
    <s v="vlc"/>
    <s v="Indirect"/>
    <n v="7878.05"/>
    <n v="329097.17000000004"/>
    <n v="0"/>
    <n v="0"/>
    <n v="0"/>
    <n v="0"/>
    <n v="0"/>
    <n v="0"/>
    <n v="329097.17000000004"/>
    <n v="0"/>
    <n v="0"/>
    <n v="0"/>
    <n v="0"/>
    <n v="0"/>
    <n v="0"/>
    <n v="0"/>
    <n v="0"/>
    <n v="329097.17000000004"/>
    <n v="0"/>
    <n v="0"/>
  </r>
  <r>
    <x v="658"/>
    <s v="Gomukh BALHA "/>
    <s v="vlc"/>
    <s v="Indirect"/>
    <n v="2147.5499999999997"/>
    <n v="95538.839999999967"/>
    <n v="0"/>
    <n v="0"/>
    <n v="0"/>
    <n v="0"/>
    <n v="0"/>
    <n v="0"/>
    <n v="95538.839999999967"/>
    <n v="0"/>
    <n v="0"/>
    <n v="0"/>
    <n v="0"/>
    <n v="0"/>
    <n v="0"/>
    <n v="0"/>
    <n v="0"/>
    <n v="95538.839999999967"/>
    <n v="0"/>
    <n v="0"/>
  </r>
  <r>
    <x v="659"/>
    <s v="Gomukh Namapur 2"/>
    <s v="vlc"/>
    <s v="Indirect"/>
    <n v="26.35"/>
    <n v="959.67"/>
    <n v="0"/>
    <n v="0"/>
    <n v="0"/>
    <n v="0"/>
    <n v="0"/>
    <n v="0"/>
    <n v="959.67"/>
    <n v="0"/>
    <n v="0"/>
    <n v="0"/>
    <n v="0"/>
    <n v="0"/>
    <n v="0"/>
    <n v="0"/>
    <n v="0"/>
    <n v="959.67"/>
    <n v="0"/>
    <n v="0"/>
  </r>
  <r>
    <x v="660"/>
    <s v="Gomukh Madhopur"/>
    <s v="vlc"/>
    <s v="Indirect"/>
    <n v="395.15"/>
    <n v="16098.189999999999"/>
    <n v="0"/>
    <n v="0"/>
    <n v="0"/>
    <n v="0"/>
    <n v="0"/>
    <n v="0"/>
    <n v="16098.189999999999"/>
    <n v="0"/>
    <n v="0"/>
    <n v="0"/>
    <n v="0"/>
    <n v="0"/>
    <n v="0"/>
    <n v="0"/>
    <n v="0"/>
    <n v="16098.189999999999"/>
    <n v="0"/>
    <n v="0"/>
  </r>
  <r>
    <x v="661"/>
    <s v="Gomukh Kalyanpur East"/>
    <s v="vlc"/>
    <s v="Indirect"/>
    <n v="893"/>
    <n v="35792.03"/>
    <n v="0"/>
    <n v="0"/>
    <n v="0"/>
    <n v="0"/>
    <n v="0"/>
    <n v="0"/>
    <n v="35792.03"/>
    <n v="0"/>
    <n v="0"/>
    <n v="0"/>
    <n v="0"/>
    <n v="0"/>
    <n v="0"/>
    <n v="0"/>
    <n v="0"/>
    <n v="35792.03"/>
    <n v="0"/>
    <n v="0"/>
  </r>
  <r>
    <x v="662"/>
    <s v="Gomukh Bazidpur"/>
    <s v="vlc"/>
    <s v="Indirect"/>
    <n v="3001.3499999999995"/>
    <n v="131334.09"/>
    <n v="0"/>
    <n v="0"/>
    <n v="0"/>
    <n v="0"/>
    <n v="0"/>
    <n v="0"/>
    <n v="131334.09"/>
    <n v="0"/>
    <n v="0"/>
    <n v="0"/>
    <n v="0"/>
    <n v="0"/>
    <n v="0"/>
    <n v="0"/>
    <n v="0"/>
    <n v="131334.09"/>
    <n v="0"/>
    <n v="0"/>
  </r>
  <r>
    <x v="663"/>
    <s v="Gomukh Belsandi"/>
    <s v="vlc"/>
    <s v="Indirect"/>
    <n v="607.4"/>
    <n v="25936.09"/>
    <n v="0"/>
    <n v="0"/>
    <n v="0"/>
    <n v="0"/>
    <n v="0"/>
    <n v="0"/>
    <n v="25936.09"/>
    <n v="0"/>
    <n v="0"/>
    <n v="0"/>
    <n v="0"/>
    <n v="0"/>
    <n v="0"/>
    <n v="0"/>
    <n v="0"/>
    <n v="25936.09"/>
    <n v="0"/>
    <n v="0"/>
  </r>
  <r>
    <x v="664"/>
    <s v="Belsandi"/>
    <s v="vlc"/>
    <s v="Indirect"/>
    <n v="314.14999999999998"/>
    <n v="13822.469999999998"/>
    <n v="0"/>
    <n v="0"/>
    <n v="0"/>
    <n v="0"/>
    <n v="0"/>
    <n v="0"/>
    <n v="13822.469999999998"/>
    <n v="0"/>
    <n v="0"/>
    <n v="0"/>
    <n v="0"/>
    <n v="0"/>
    <n v="0"/>
    <n v="0"/>
    <n v="0"/>
    <n v="13822.469999999998"/>
    <n v="0"/>
    <n v="0"/>
  </r>
  <r>
    <x v="665"/>
    <s v="Gomukh Belsandi East"/>
    <s v="vlc"/>
    <s v="Indirect"/>
    <n v="415.34999999999997"/>
    <n v="23818.23"/>
    <n v="0"/>
    <n v="0"/>
    <n v="0"/>
    <n v="0"/>
    <n v="0"/>
    <n v="0"/>
    <n v="23818.23"/>
    <n v="0"/>
    <n v="0"/>
    <n v="0"/>
    <n v="0"/>
    <n v="0"/>
    <n v="0"/>
    <n v="0"/>
    <n v="0"/>
    <n v="23818.23"/>
    <n v="0"/>
    <n v="0"/>
  </r>
  <r>
    <x v="666"/>
    <s v="Gomukh Belsandi West Tola"/>
    <s v="vlc"/>
    <s v="Indirect"/>
    <n v="325.44999999999993"/>
    <n v="13453.59"/>
    <n v="0"/>
    <n v="0"/>
    <n v="0"/>
    <n v="0"/>
    <n v="0"/>
    <n v="0"/>
    <n v="13453.59"/>
    <n v="0"/>
    <n v="0"/>
    <n v="0"/>
    <n v="0"/>
    <n v="0"/>
    <n v="0"/>
    <n v="0"/>
    <n v="0"/>
    <n v="13453.59"/>
    <n v="0"/>
    <n v="0"/>
  </r>
  <r>
    <x v="667"/>
    <s v="Gomukh Gopalpur"/>
    <s v="vlc"/>
    <s v="Indirect"/>
    <n v="1909.3500000000001"/>
    <n v="82649.77"/>
    <n v="0"/>
    <n v="0"/>
    <n v="0"/>
    <n v="0"/>
    <n v="0"/>
    <n v="0"/>
    <n v="82649.77"/>
    <n v="0"/>
    <n v="0"/>
    <n v="0"/>
    <n v="1550"/>
    <n v="0"/>
    <n v="0"/>
    <n v="0"/>
    <n v="0"/>
    <n v="81099.77"/>
    <n v="0"/>
    <n v="0"/>
  </r>
  <r>
    <x v="668"/>
    <s v="Gomukh Bharav"/>
    <s v="MPG"/>
    <s v="Direct"/>
    <n v="529.55000000000018"/>
    <n v="24579.579999999994"/>
    <n v="527.52999999999986"/>
    <n v="23694.23"/>
    <n v="14.12"/>
    <n v="852.70999999999992"/>
    <n v="541.64999999999986"/>
    <n v="24546.94"/>
    <n v="24546.94"/>
    <n v="0"/>
    <n v="852.70999999999992"/>
    <n v="0"/>
    <n v="1427"/>
    <n v="0"/>
    <n v="0"/>
    <n v="22267"/>
    <n v="0"/>
    <n v="0"/>
    <n v="33"/>
    <n v="0"/>
  </r>
  <r>
    <x v="669"/>
    <s v="Gomukh Harpur"/>
    <s v="MPG"/>
    <s v="Direct"/>
    <n v="853.6500000000002"/>
    <n v="38044.080000000009"/>
    <n v="841.43"/>
    <n v="37192.05999999999"/>
    <n v="16.189999999999998"/>
    <n v="756.79"/>
    <n v="857.61999999999989"/>
    <n v="37948.849999999991"/>
    <n v="37948.849999999991"/>
    <n v="0"/>
    <n v="756.79"/>
    <n v="0"/>
    <n v="0"/>
    <n v="0"/>
    <n v="0"/>
    <n v="37192"/>
    <n v="0"/>
    <n v="0"/>
    <n v="95"/>
    <n v="0"/>
  </r>
  <r>
    <x v="670"/>
    <s v="Gomukh Fulhatta"/>
    <s v="MPG"/>
    <s v="Direct"/>
    <n v="1505.6999999999998"/>
    <n v="77153.86"/>
    <n v="1504.27"/>
    <n v="77150.16"/>
    <n v="0"/>
    <n v="0"/>
    <n v="1504.27"/>
    <n v="77150.16"/>
    <n v="77150.16"/>
    <n v="0"/>
    <n v="0"/>
    <n v="0"/>
    <n v="0"/>
    <n v="0"/>
    <n v="0"/>
    <n v="77151"/>
    <n v="0"/>
    <n v="0"/>
    <n v="3"/>
    <n v="0"/>
  </r>
  <r>
    <x v="671"/>
    <s v="Gomukh Birauli Khurd"/>
    <s v="MPG"/>
    <s v="Direct"/>
    <n v="732.7"/>
    <n v="35556.44"/>
    <n v="737.15000000000009"/>
    <n v="34515.31"/>
    <n v="15.88"/>
    <n v="710.62000000000012"/>
    <n v="753.03000000000009"/>
    <n v="35225.93"/>
    <n v="35225.93"/>
    <n v="0"/>
    <n v="710.62000000000012"/>
    <n v="0"/>
    <n v="0"/>
    <n v="0"/>
    <n v="0"/>
    <n v="34517"/>
    <n v="0"/>
    <n v="0"/>
    <n v="329"/>
    <n v="0"/>
  </r>
  <r>
    <x v="672"/>
    <s v="Gomukh Bedauliya"/>
    <s v="vlc"/>
    <s v="Indirect"/>
    <n v="619.74999999999989"/>
    <n v="24311.61"/>
    <n v="0"/>
    <n v="0"/>
    <n v="0"/>
    <n v="0"/>
    <n v="0"/>
    <n v="0"/>
    <n v="24311.61"/>
    <n v="0"/>
    <n v="0"/>
    <n v="0"/>
    <n v="0"/>
    <n v="0"/>
    <n v="0"/>
    <n v="0"/>
    <n v="0"/>
    <n v="24311.61"/>
    <n v="0"/>
    <n v="0"/>
  </r>
  <r>
    <x v="673"/>
    <s v="Gomukh Khanua"/>
    <s v="MPG"/>
    <s v="Direct"/>
    <n v="451.2"/>
    <n v="21105.79"/>
    <n v="443.16999999999996"/>
    <n v="20081.139999999992"/>
    <n v="21.890000000000004"/>
    <n v="1008.42"/>
    <n v="465.05999999999995"/>
    <n v="21089.55999999999"/>
    <n v="21089.55999999999"/>
    <n v="0"/>
    <n v="1008.42"/>
    <n v="0"/>
    <n v="227"/>
    <n v="0"/>
    <n v="0"/>
    <n v="19853"/>
    <n v="0"/>
    <n v="0"/>
    <n v="17"/>
    <n v="0"/>
  </r>
  <r>
    <x v="674"/>
    <s v="Gomukh Punas"/>
    <s v="MPG"/>
    <s v="Direct"/>
    <n v="1125.3"/>
    <n v="50503.56"/>
    <n v="1120.3999999999996"/>
    <n v="49821.55"/>
    <n v="14.95"/>
    <n v="669.1099999999999"/>
    <n v="1135.3499999999997"/>
    <n v="50490.66"/>
    <n v="50490.66"/>
    <n v="0"/>
    <n v="669.1099999999999"/>
    <n v="0"/>
    <n v="0"/>
    <n v="0"/>
    <n v="0"/>
    <n v="49821"/>
    <n v="0"/>
    <n v="0"/>
    <n v="13"/>
    <n v="0"/>
  </r>
  <r>
    <x v="675"/>
    <s v="Gomukh Loharkha"/>
    <s v="MPG"/>
    <s v="Direct"/>
    <n v="246.4"/>
    <n v="12834.32"/>
    <n v="237.38"/>
    <n v="12572.3"/>
    <n v="0.52"/>
    <n v="19.54"/>
    <n v="237.9"/>
    <n v="12591.84"/>
    <n v="12591.84"/>
    <n v="0"/>
    <n v="19.54"/>
    <n v="0"/>
    <n v="0"/>
    <n v="0"/>
    <n v="0"/>
    <n v="12572"/>
    <n v="0"/>
    <n v="0"/>
    <n v="243"/>
    <n v="0"/>
  </r>
  <r>
    <x v="676"/>
    <s v="Gomukh Dighra"/>
    <s v="MPG"/>
    <s v="Direct"/>
    <n v="359.95000000000005"/>
    <n v="12769.2"/>
    <n v="336.65999999999997"/>
    <n v="12737.74"/>
    <n v="0.18"/>
    <n v="6.18"/>
    <n v="336.84"/>
    <n v="12743.92"/>
    <n v="12743.92"/>
    <n v="0"/>
    <n v="6.18"/>
    <n v="0"/>
    <n v="0"/>
    <n v="0"/>
    <n v="0"/>
    <n v="12739"/>
    <n v="0"/>
    <n v="0"/>
    <n v="24"/>
    <n v="0"/>
  </r>
  <r>
    <x v="677"/>
    <s v="Basuwari"/>
    <s v="MPG"/>
    <s v="Direct"/>
    <n v="303.89999999999998"/>
    <n v="12182.039999999999"/>
    <n v="299.25000000000006"/>
    <n v="11895.37"/>
    <n v="5.8800000000000008"/>
    <n v="271.73999999999995"/>
    <n v="305.13000000000005"/>
    <n v="12167.11"/>
    <n v="12167.11"/>
    <n v="0"/>
    <n v="271.73999999999995"/>
    <n v="0"/>
    <n v="0"/>
    <n v="0"/>
    <n v="0"/>
    <n v="11896"/>
    <n v="0"/>
    <n v="0"/>
    <n v="14"/>
    <n v="0"/>
  </r>
  <r>
    <x v="678"/>
    <s v="Belsandi 3"/>
    <s v="vlc"/>
    <s v="Indirect"/>
    <n v="1453"/>
    <n v="57866.42"/>
    <n v="0"/>
    <n v="0"/>
    <n v="0"/>
    <n v="0"/>
    <n v="0"/>
    <n v="0"/>
    <n v="57866.42"/>
    <n v="0"/>
    <n v="0"/>
    <n v="0"/>
    <n v="0"/>
    <n v="0"/>
    <n v="0"/>
    <n v="0"/>
    <n v="0"/>
    <n v="57866.42"/>
    <n v="0"/>
    <n v="0"/>
  </r>
  <r>
    <x v="679"/>
    <s v="Gomukh Bhagwanpur"/>
    <s v="vlc"/>
    <s v="Indirect"/>
    <n v="328.55"/>
    <n v="15773.91"/>
    <n v="0"/>
    <n v="0"/>
    <n v="0"/>
    <n v="0"/>
    <n v="0"/>
    <n v="0"/>
    <n v="15773.91"/>
    <n v="0"/>
    <n v="0"/>
    <n v="0"/>
    <n v="0"/>
    <n v="0"/>
    <n v="0"/>
    <n v="0"/>
    <n v="0"/>
    <n v="15773.91"/>
    <n v="0"/>
    <n v="0"/>
  </r>
  <r>
    <x v="680"/>
    <s v="Gomukh Balaha East"/>
    <s v="vlc"/>
    <s v="Indirect"/>
    <n v="218.85000000000002"/>
    <n v="10611.81"/>
    <n v="0"/>
    <n v="0"/>
    <n v="0"/>
    <n v="0"/>
    <n v="0"/>
    <n v="0"/>
    <n v="10611.81"/>
    <n v="0"/>
    <n v="0"/>
    <n v="0"/>
    <n v="0"/>
    <n v="0"/>
    <n v="0"/>
    <n v="0"/>
    <n v="0"/>
    <n v="10611.81"/>
    <n v="0"/>
    <n v="0"/>
  </r>
  <r>
    <x v="681"/>
    <s v="GOMUKH HARPUR W-13"/>
    <s v="MPG"/>
    <s v="Direct"/>
    <n v="1540.5"/>
    <n v="63102.239999999998"/>
    <n v="1524.6799999999998"/>
    <n v="62304.489999999983"/>
    <n v="19.260000000000002"/>
    <n v="786.2"/>
    <n v="1543.9399999999998"/>
    <n v="63090.689999999981"/>
    <n v="63090.689999999981"/>
    <n v="0"/>
    <n v="786.2"/>
    <n v="0"/>
    <n v="0"/>
    <n v="0"/>
    <n v="0"/>
    <n v="62301"/>
    <n v="0"/>
    <n v="0"/>
    <n v="15"/>
    <n v="0"/>
  </r>
  <r>
    <x v="682"/>
    <s v="GOMUKH MILKI"/>
    <s v="vlc"/>
    <s v="Indirect"/>
    <n v="66.75"/>
    <n v="3058.1400000000003"/>
    <n v="0"/>
    <n v="0"/>
    <n v="0"/>
    <n v="0"/>
    <n v="0"/>
    <n v="0"/>
    <n v="3058.1400000000003"/>
    <n v="0"/>
    <n v="0"/>
    <n v="0"/>
    <n v="0"/>
    <n v="0"/>
    <n v="0"/>
    <n v="0"/>
    <n v="0"/>
    <n v="3058.1400000000003"/>
    <n v="0"/>
    <n v="0"/>
  </r>
  <r>
    <x v="683"/>
    <s v="Gomukh Ratwara"/>
    <s v="MPG"/>
    <s v="Direct"/>
    <n v="156.05000000000001"/>
    <n v="5841.24"/>
    <n v="158.18"/>
    <n v="5830.3099999999995"/>
    <n v="0"/>
    <n v="0"/>
    <n v="158.18"/>
    <n v="5830.3099999999995"/>
    <n v="5830.3099999999995"/>
    <n v="0"/>
    <n v="0"/>
    <n v="0"/>
    <n v="0"/>
    <n v="500"/>
    <n v="0"/>
    <n v="5330"/>
    <n v="0"/>
    <n v="0"/>
    <n v="11"/>
    <s v="Release2"/>
  </r>
  <r>
    <x v="684"/>
    <s v="Gomukh Fulhara"/>
    <s v="vlc"/>
    <s v="Indirect"/>
    <n v="2185.1000000000004"/>
    <n v="101215.29000000001"/>
    <n v="0"/>
    <n v="0"/>
    <n v="0"/>
    <n v="0"/>
    <n v="0"/>
    <n v="0"/>
    <n v="101215.29000000001"/>
    <n v="0"/>
    <n v="0"/>
    <n v="0"/>
    <n v="0"/>
    <n v="0"/>
    <n v="0"/>
    <n v="0"/>
    <n v="0"/>
    <n v="101215.29000000001"/>
    <n v="0"/>
    <n v="0"/>
  </r>
  <r>
    <x v="685"/>
    <s v="Gomukh Ranitola"/>
    <s v="vlc"/>
    <s v="Indirect"/>
    <n v="1081.0000000000002"/>
    <n v="45785.06"/>
    <n v="0"/>
    <n v="0"/>
    <n v="0"/>
    <n v="0"/>
    <n v="0"/>
    <n v="0"/>
    <n v="45785.06"/>
    <n v="0"/>
    <n v="0"/>
    <n v="0"/>
    <n v="0"/>
    <n v="0"/>
    <n v="0"/>
    <n v="0"/>
    <n v="0"/>
    <n v="45785.06"/>
    <n v="0"/>
    <n v="0"/>
  </r>
  <r>
    <x v="686"/>
    <s v="Gomukh Malinagar East"/>
    <s v="MPG"/>
    <s v="Direct"/>
    <n v="1058.5999999999999"/>
    <n v="44919.31"/>
    <n v="1054.98"/>
    <n v="44374.820000000007"/>
    <n v="5.83"/>
    <n v="294.5"/>
    <n v="1060.81"/>
    <n v="44669.320000000007"/>
    <n v="44669.320000000007"/>
    <n v="0"/>
    <n v="294.5"/>
    <n v="0"/>
    <n v="0"/>
    <n v="0"/>
    <n v="0"/>
    <n v="44375"/>
    <n v="0"/>
    <n v="0"/>
    <n v="250"/>
    <n v="0"/>
  </r>
  <r>
    <x v="687"/>
    <s v="GOMUKH Singhiya Ward 11"/>
    <s v="vlc"/>
    <s v="Indirect"/>
    <n v="644.20000000000005"/>
    <n v="30619.01"/>
    <n v="0"/>
    <n v="0"/>
    <n v="0"/>
    <n v="0"/>
    <n v="0"/>
    <n v="0"/>
    <n v="30619.01"/>
    <n v="0"/>
    <n v="0"/>
    <n v="0"/>
    <n v="3100"/>
    <n v="0"/>
    <n v="0"/>
    <n v="0"/>
    <n v="0"/>
    <n v="27519.01"/>
    <n v="0"/>
    <n v="0"/>
  </r>
  <r>
    <x v="688"/>
    <s v="GOMUKH MANIYARPUR"/>
    <s v="MPG"/>
    <s v="Direct"/>
    <n v="1157.2999999999997"/>
    <n v="50625.80000000001"/>
    <n v="1157.19"/>
    <n v="49880.420000000013"/>
    <n v="17.05"/>
    <n v="739.09"/>
    <n v="1174.24"/>
    <n v="50619.510000000009"/>
    <n v="50619.510000000009"/>
    <n v="0"/>
    <n v="739.09"/>
    <n v="0"/>
    <n v="5816"/>
    <n v="0"/>
    <n v="0"/>
    <n v="44065"/>
    <n v="0"/>
    <n v="0"/>
    <n v="6"/>
    <n v="0"/>
  </r>
  <r>
    <x v="689"/>
    <s v="GOMUKH DIGHRA W-6"/>
    <s v="MPG"/>
    <s v="Direct"/>
    <n v="1052.8499999999999"/>
    <n v="41416.290000000008"/>
    <n v="1046.9299999999998"/>
    <n v="40783.360000000001"/>
    <n v="10.87"/>
    <n v="446.71999999999997"/>
    <n v="1057.7999999999997"/>
    <n v="41230.080000000002"/>
    <n v="41230.080000000002"/>
    <n v="0"/>
    <n v="446.71999999999997"/>
    <n v="0"/>
    <n v="9184"/>
    <n v="0"/>
    <n v="0"/>
    <n v="31599"/>
    <n v="0"/>
    <n v="0"/>
    <n v="187"/>
    <s v="Release2"/>
  </r>
  <r>
    <x v="690"/>
    <s v="GOMUKH BANDRA W-6"/>
    <s v="MPG"/>
    <s v="Direct"/>
    <n v="534.15000000000009"/>
    <n v="23644.539999999997"/>
    <n v="551.53"/>
    <n v="23403.52"/>
    <n v="5.43"/>
    <n v="232.97999999999996"/>
    <n v="556.95999999999992"/>
    <n v="23636.5"/>
    <n v="23636.5"/>
    <n v="0"/>
    <n v="232.97999999999996"/>
    <n v="0"/>
    <n v="0"/>
    <n v="0"/>
    <n v="0"/>
    <n v="23402"/>
    <n v="0"/>
    <n v="0"/>
    <n v="10"/>
    <n v="0"/>
  </r>
  <r>
    <x v="691"/>
    <s v="BELSANDI W-9"/>
    <s v="vlc"/>
    <s v="Indirect"/>
    <n v="265.14999999999998"/>
    <n v="11147.16"/>
    <n v="0"/>
    <n v="0"/>
    <n v="0"/>
    <n v="0"/>
    <n v="0"/>
    <n v="0"/>
    <n v="11147.16"/>
    <n v="0"/>
    <n v="0"/>
    <n v="0"/>
    <n v="0"/>
    <n v="0"/>
    <n v="0"/>
    <n v="0"/>
    <n v="0"/>
    <n v="11147.16"/>
    <n v="0"/>
    <n v="0"/>
  </r>
  <r>
    <x v="692"/>
    <s v="GOMUKH PARAN 2"/>
    <s v="MPG"/>
    <s v="Direct"/>
    <n v="240.45000000000002"/>
    <n v="12363.449999999995"/>
    <n v="244.82000000000002"/>
    <n v="12048.080000000002"/>
    <n v="5.58"/>
    <n v="312.7000000000001"/>
    <n v="250.40000000000003"/>
    <n v="12360.780000000002"/>
    <n v="12360.780000000002"/>
    <n v="0"/>
    <n v="312.7000000000001"/>
    <n v="0"/>
    <n v="0"/>
    <n v="500"/>
    <n v="0"/>
    <n v="11547"/>
    <n v="0"/>
    <n v="0"/>
    <n v="4"/>
    <n v="0"/>
  </r>
  <r>
    <x v="693"/>
    <s v="GOMUKH KHARAGPUR"/>
    <s v="MPG"/>
    <s v="Direct"/>
    <n v="378.64999999999981"/>
    <n v="17774.439999999995"/>
    <n v="375.43"/>
    <n v="17771.079999999998"/>
    <n v="0"/>
    <n v="0"/>
    <n v="375.43"/>
    <n v="17771.079999999998"/>
    <n v="17771.079999999998"/>
    <n v="0"/>
    <n v="0"/>
    <n v="0"/>
    <n v="0"/>
    <n v="0"/>
    <n v="0"/>
    <n v="17771"/>
    <n v="0"/>
    <n v="0"/>
    <n v="3"/>
    <n v="0"/>
  </r>
  <r>
    <x v="694"/>
    <s v="KAMARGAMA"/>
    <s v="vlc"/>
    <s v="Indirect"/>
    <n v="476.4"/>
    <n v="28647.61"/>
    <n v="0"/>
    <n v="0"/>
    <n v="0"/>
    <n v="0"/>
    <n v="0"/>
    <n v="0"/>
    <n v="28647.61"/>
    <n v="0"/>
    <n v="0"/>
    <n v="0"/>
    <n v="0"/>
    <n v="0"/>
    <n v="0"/>
    <n v="0"/>
    <n v="0"/>
    <n v="28647.61"/>
    <n v="0"/>
    <n v="0"/>
  </r>
  <r>
    <x v="695"/>
    <s v="GOMUKH BALAHA W-9"/>
    <s v="MPG"/>
    <s v="Direct"/>
    <n v="740.6"/>
    <n v="31580.120000000003"/>
    <n v="727.69"/>
    <n v="30968.549999999996"/>
    <n v="14.28"/>
    <n v="591.39"/>
    <n v="741.97"/>
    <n v="31559.939999999995"/>
    <n v="31559.939999999995"/>
    <n v="0"/>
    <n v="591.39"/>
    <n v="0"/>
    <n v="750"/>
    <n v="0"/>
    <n v="0"/>
    <n v="30217"/>
    <n v="0"/>
    <n v="0"/>
    <n v="22"/>
    <n v="0"/>
  </r>
  <r>
    <x v="696"/>
    <s v="Gomukh NAMAPUR East"/>
    <s v="vlc"/>
    <s v="Indirect"/>
    <n v="36.1"/>
    <n v="1605.73"/>
    <n v="0"/>
    <n v="0"/>
    <n v="0"/>
    <n v="0"/>
    <n v="0"/>
    <n v="0"/>
    <n v="1605.73"/>
    <n v="0"/>
    <n v="0"/>
    <n v="0"/>
    <n v="0"/>
    <n v="0"/>
    <n v="0"/>
    <n v="0"/>
    <n v="0"/>
    <n v="1605.73"/>
    <n v="0"/>
    <n v="0"/>
  </r>
  <r>
    <x v="697"/>
    <s v="GOMUKH Madanpur W-3"/>
    <s v="MPG"/>
    <s v="Direct"/>
    <n v="2037.9"/>
    <n v="97853.37000000001"/>
    <n v="2060.6099999999997"/>
    <n v="96627.6"/>
    <n v="26.25"/>
    <n v="1206.4399999999998"/>
    <n v="2086.8599999999997"/>
    <n v="97834.040000000008"/>
    <n v="97834.040000000008"/>
    <n v="0"/>
    <n v="1206.4399999999998"/>
    <n v="0"/>
    <n v="245"/>
    <n v="0"/>
    <n v="0"/>
    <n v="96381"/>
    <n v="0"/>
    <n v="0"/>
    <n v="21"/>
    <n v="0"/>
  </r>
  <r>
    <x v="698"/>
    <s v="Gomukh Namapur East (08)"/>
    <s v="vlc"/>
    <s v="Indirect"/>
    <n v="572.70000000000005"/>
    <n v="23373.74"/>
    <n v="0"/>
    <n v="0"/>
    <n v="0"/>
    <n v="0"/>
    <n v="0"/>
    <n v="0"/>
    <n v="23373.74"/>
    <n v="0"/>
    <n v="0"/>
    <n v="0"/>
    <n v="0"/>
    <n v="0"/>
    <n v="0"/>
    <n v="0"/>
    <n v="0"/>
    <n v="23373.74"/>
    <n v="0"/>
    <n v="0"/>
  </r>
  <r>
    <x v="699"/>
    <s v="GOMUKH Kalaunjar"/>
    <s v="MPG"/>
    <s v="Direct"/>
    <n v="675.69999999999993"/>
    <n v="28915.43"/>
    <n v="668.41"/>
    <n v="27475.530000000002"/>
    <n v="32.01"/>
    <n v="1424.04"/>
    <n v="700.42"/>
    <n v="28899.570000000003"/>
    <n v="28899.570000000003"/>
    <n v="0"/>
    <n v="1424.04"/>
    <n v="0"/>
    <n v="0"/>
    <n v="0"/>
    <n v="0"/>
    <n v="27477"/>
    <n v="0"/>
    <n v="0"/>
    <n v="14"/>
    <n v="0"/>
  </r>
  <r>
    <x v="700"/>
    <s v="Jitwariya W-11"/>
    <s v="vlc"/>
    <s v="Indirect"/>
    <n v="44.05"/>
    <n v="2034.7199999999998"/>
    <n v="0"/>
    <n v="0"/>
    <n v="0"/>
    <n v="0"/>
    <n v="0"/>
    <n v="0"/>
    <n v="2034.7199999999998"/>
    <n v="0"/>
    <n v="0"/>
    <n v="0"/>
    <n v="0"/>
    <n v="0"/>
    <n v="0"/>
    <n v="0"/>
    <n v="0"/>
    <n v="2034.7199999999998"/>
    <n v="0"/>
    <n v="0"/>
  </r>
  <r>
    <x v="701"/>
    <s v="Pastara Lakshman"/>
    <s v="vlc"/>
    <s v="Indirect"/>
    <n v="124.79999999999998"/>
    <n v="3960.4300000000003"/>
    <n v="0"/>
    <n v="0"/>
    <n v="0"/>
    <n v="0"/>
    <n v="0"/>
    <n v="0"/>
    <n v="3960.4300000000003"/>
    <n v="0"/>
    <n v="0"/>
    <n v="0"/>
    <n v="0"/>
    <n v="0"/>
    <n v="0"/>
    <n v="0"/>
    <n v="0"/>
    <n v="3960.4300000000003"/>
    <n v="0"/>
    <n v="0"/>
  </r>
  <r>
    <x v="702"/>
    <s v="GOMUKH DADHIYA-2"/>
    <s v="MPG"/>
    <s v="Direct"/>
    <n v="1440.9"/>
    <n v="65496.4"/>
    <n v="1453.5899999999997"/>
    <n v="64291.069999999992"/>
    <n v="13.620000000000001"/>
    <n v="684.40000000000009"/>
    <n v="1467.2099999999996"/>
    <n v="64975.469999999994"/>
    <n v="64975.469999999994"/>
    <n v="0"/>
    <n v="684.40000000000009"/>
    <n v="0"/>
    <n v="0"/>
    <n v="0"/>
    <n v="0"/>
    <n v="64290"/>
    <n v="0"/>
    <n v="0"/>
    <n v="522"/>
    <n v="0"/>
  </r>
  <r>
    <x v="703"/>
    <s v="GOMUKH PREMNAGAR"/>
    <s v="MPG"/>
    <s v="Direct"/>
    <n v="1247.9000000000003"/>
    <n v="53714.970000000016"/>
    <n v="1265.0700000000002"/>
    <n v="53162.439999999995"/>
    <n v="13.24"/>
    <n v="533.68000000000006"/>
    <n v="1278.3100000000002"/>
    <n v="53696.119999999995"/>
    <n v="53696.119999999995"/>
    <n v="0"/>
    <n v="533.68000000000006"/>
    <n v="0"/>
    <n v="1166"/>
    <n v="0"/>
    <n v="0"/>
    <n v="51998"/>
    <n v="0"/>
    <n v="0"/>
    <n v="17"/>
    <n v="0"/>
  </r>
  <r>
    <x v="704"/>
    <s v="GOMUKH JITWARIYA W-6"/>
    <s v="MPG"/>
    <s v="Direct"/>
    <n v="2259.0999999999995"/>
    <n v="91577.579999999987"/>
    <n v="2241.41"/>
    <n v="90763.449999999968"/>
    <n v="19.350000000000001"/>
    <n v="810.70999999999981"/>
    <n v="2260.7599999999998"/>
    <n v="91574.159999999974"/>
    <n v="91574.159999999974"/>
    <n v="0"/>
    <n v="810.70999999999981"/>
    <n v="0"/>
    <n v="3507"/>
    <n v="0"/>
    <n v="0"/>
    <n v="87254"/>
    <n v="0"/>
    <n v="0"/>
    <n v="6"/>
    <n v="0"/>
  </r>
  <r>
    <x v="705"/>
    <s v="GOMUKH SUSTA"/>
    <s v="MPG"/>
    <s v="Direct"/>
    <n v="778.99999999999989"/>
    <n v="33778.47"/>
    <n v="790.44999999999982"/>
    <n v="33108.659999999996"/>
    <n v="10"/>
    <n v="612.6"/>
    <n v="800.44999999999982"/>
    <n v="33721.259999999995"/>
    <n v="33721.259999999995"/>
    <n v="0"/>
    <n v="612.6"/>
    <n v="0"/>
    <n v="0"/>
    <n v="0"/>
    <n v="0"/>
    <n v="33109"/>
    <n v="0"/>
    <n v="0"/>
    <n v="57"/>
    <n v="0"/>
  </r>
  <r>
    <x v="706"/>
    <s v="DIH LAHI"/>
    <s v="vlc"/>
    <s v="Indirect"/>
    <n v="419.28"/>
    <n v="16052.350000000002"/>
    <n v="0"/>
    <n v="0"/>
    <n v="0"/>
    <n v="0"/>
    <n v="0"/>
    <n v="0"/>
    <n v="16052.350000000002"/>
    <n v="0"/>
    <n v="0"/>
    <n v="0"/>
    <n v="0"/>
    <n v="0"/>
    <n v="0"/>
    <n v="0"/>
    <n v="0"/>
    <n v="16052.350000000002"/>
    <n v="0"/>
    <n v="0"/>
  </r>
  <r>
    <x v="707"/>
    <s v="BHATGAMA W-5"/>
    <s v="vlc"/>
    <s v="Indirect"/>
    <n v="191.82999999999998"/>
    <n v="7162.18"/>
    <n v="0"/>
    <n v="0"/>
    <n v="0"/>
    <n v="0"/>
    <n v="0"/>
    <n v="0"/>
    <n v="7162.18"/>
    <n v="0"/>
    <n v="0"/>
    <n v="0"/>
    <n v="0"/>
    <n v="0"/>
    <n v="0"/>
    <n v="0"/>
    <n v="0"/>
    <n v="7162.18"/>
    <n v="0"/>
    <n v="0"/>
  </r>
  <r>
    <x v="708"/>
    <s v="GOMUKH TOKE"/>
    <s v="MPG"/>
    <s v="Direct"/>
    <n v="147.74999999999997"/>
    <n v="5883.0399999999991"/>
    <n v="146.24"/>
    <n v="5879.1"/>
    <n v="0"/>
    <n v="0"/>
    <n v="146.24"/>
    <n v="5879.1"/>
    <n v="5879.1"/>
    <n v="0"/>
    <n v="0"/>
    <n v="0"/>
    <n v="0"/>
    <n v="0"/>
    <n v="0"/>
    <n v="5879"/>
    <n v="0"/>
    <n v="0"/>
    <n v="4"/>
    <n v="0"/>
  </r>
  <r>
    <x v="709"/>
    <s v="GOMUKH SHIVNAGAR"/>
    <s v="MPG"/>
    <s v="Direct"/>
    <n v="1026.1000000000001"/>
    <n v="42739.399999999994"/>
    <n v="831.39999999999975"/>
    <n v="33265.119999999995"/>
    <n v="187.3"/>
    <n v="9228.24"/>
    <n v="1018.6999999999998"/>
    <n v="42493.359999999993"/>
    <n v="42493.359999999993"/>
    <n v="0"/>
    <n v="0"/>
    <n v="0"/>
    <n v="4200"/>
    <n v="0"/>
    <n v="0"/>
    <n v="29065"/>
    <n v="9227"/>
    <n v="0"/>
    <n v="247"/>
    <n v="0"/>
  </r>
  <r>
    <x v="710"/>
    <s v="GOMUKH BAKHITIYARPUR"/>
    <s v="MPG"/>
    <s v="Direct"/>
    <n v="1140.3999999999999"/>
    <n v="52102.259999999995"/>
    <n v="1131.0999999999999"/>
    <n v="51217.169999999991"/>
    <n v="19.5"/>
    <n v="864.74"/>
    <n v="1150.5999999999999"/>
    <n v="52081.909999999989"/>
    <n v="52081.909999999989"/>
    <n v="0"/>
    <n v="864.74"/>
    <n v="0"/>
    <n v="6160"/>
    <n v="0"/>
    <n v="0"/>
    <n v="45056"/>
    <n v="0"/>
    <n v="0"/>
    <n v="22"/>
    <n v="0"/>
  </r>
  <r>
    <x v="711"/>
    <s v="Gomukh Bhagwanpur East "/>
    <s v="vlc"/>
    <s v="Indirect"/>
    <n v="504.96"/>
    <n v="19339.96"/>
    <n v="0"/>
    <n v="0"/>
    <n v="0"/>
    <n v="0"/>
    <n v="0"/>
    <n v="0"/>
    <n v="19339.96"/>
    <n v="0"/>
    <n v="0"/>
    <n v="0"/>
    <n v="0"/>
    <n v="0"/>
    <n v="0"/>
    <n v="0"/>
    <n v="0"/>
    <n v="19339.96"/>
    <n v="0"/>
    <n v="0"/>
  </r>
  <r>
    <x v="712"/>
    <s v="GOMUKH BHARJA"/>
    <s v="MPG"/>
    <s v="Direct"/>
    <n v="1607.0500000000002"/>
    <n v="82137.150000000009"/>
    <n v="1635.8999999999999"/>
    <n v="81656.380000000019"/>
    <n v="8"/>
    <n v="436.16"/>
    <n v="1643.8999999999999"/>
    <n v="82092.540000000023"/>
    <n v="82092.540000000023"/>
    <n v="0"/>
    <n v="436.16"/>
    <n v="0"/>
    <n v="5900"/>
    <n v="0"/>
    <n v="0"/>
    <n v="75758"/>
    <n v="0"/>
    <n v="0"/>
    <n v="43"/>
    <n v="0"/>
  </r>
  <r>
    <x v="713"/>
    <s v="GOMUKH NAWABGANJ"/>
    <s v="MPG"/>
    <s v="Direct"/>
    <n v="781.7"/>
    <n v="32375.35"/>
    <n v="774.19999999999982"/>
    <n v="32006.060000000009"/>
    <n v="8.6999999999999993"/>
    <n v="364.93000000000006"/>
    <n v="782.89999999999986"/>
    <n v="32370.990000000009"/>
    <n v="32370.990000000009"/>
    <n v="0"/>
    <n v="364.93000000000006"/>
    <n v="0"/>
    <n v="331"/>
    <n v="0"/>
    <n v="0"/>
    <n v="31676"/>
    <n v="0"/>
    <n v="0"/>
    <n v="3"/>
    <n v="0"/>
  </r>
  <r>
    <x v="714"/>
    <s v="GOMUKH CHAKKI"/>
    <s v="MPG"/>
    <s v="Direct"/>
    <n v="176.44999999999996"/>
    <n v="7589.95"/>
    <n v="192.20000000000002"/>
    <n v="7523.8100000000013"/>
    <n v="1.4"/>
    <n v="55.86"/>
    <n v="193.60000000000002"/>
    <n v="7579.670000000001"/>
    <n v="7579.670000000001"/>
    <n v="0"/>
    <n v="55.86"/>
    <n v="0"/>
    <n v="0"/>
    <n v="0"/>
    <n v="0"/>
    <n v="7523"/>
    <n v="0"/>
    <n v="0"/>
    <n v="11"/>
    <n v="0"/>
  </r>
  <r>
    <x v="715"/>
    <s v="GOMUKH LAKSHMAN NAGAR"/>
    <s v="MPG"/>
    <s v="Direct"/>
    <n v="544.29999999999995"/>
    <n v="23356.039999999994"/>
    <n v="558.39999999999986"/>
    <n v="23140.54"/>
    <n v="0"/>
    <n v="0"/>
    <n v="558.39999999999986"/>
    <n v="23140.54"/>
    <n v="23140.54"/>
    <n v="0"/>
    <n v="0"/>
    <n v="0"/>
    <n v="603"/>
    <n v="0"/>
    <n v="0"/>
    <n v="22538"/>
    <n v="0"/>
    <n v="0"/>
    <n v="215"/>
    <n v="0"/>
  </r>
  <r>
    <x v="716"/>
    <s v="GOMUKH KOTHIYA"/>
    <s v="MPG"/>
    <s v="Direct"/>
    <n v="108.35000000000001"/>
    <n v="4793.6900000000005"/>
    <n v="105.89999999999999"/>
    <n v="4454.4800000000005"/>
    <n v="1.2"/>
    <n v="52.16"/>
    <n v="107.1"/>
    <n v="4506.6400000000003"/>
    <n v="4506.6400000000003"/>
    <n v="0"/>
    <n v="52.16"/>
    <n v="0"/>
    <n v="0"/>
    <n v="500"/>
    <n v="0"/>
    <n v="3954"/>
    <n v="0"/>
    <n v="0"/>
    <n v="288"/>
    <n v="0"/>
  </r>
  <r>
    <x v="717"/>
    <s v="GOMUKH JHAHURI"/>
    <s v="MPG"/>
    <s v="Direct"/>
    <n v="2676.2500000000005"/>
    <n v="114232.66999999998"/>
    <n v="2650.3"/>
    <n v="111469.56999999996"/>
    <n v="51.8"/>
    <n v="2399.2799999999997"/>
    <n v="2702.1000000000004"/>
    <n v="113868.84999999996"/>
    <n v="113868.84999999996"/>
    <n v="0"/>
    <n v="2399.2799999999997"/>
    <n v="0"/>
    <n v="28089"/>
    <n v="0"/>
    <n v="0"/>
    <n v="83380"/>
    <n v="0"/>
    <n v="0"/>
    <n v="364"/>
    <n v="0"/>
  </r>
  <r>
    <x v="718"/>
    <s v="GOMUKH Keotsa"/>
    <s v="MPG"/>
    <s v="Direct"/>
    <n v="669.94999999999993"/>
    <n v="29530.33"/>
    <n v="545.35"/>
    <n v="24103.75"/>
    <n v="127.36"/>
    <n v="5067.53"/>
    <n v="672.71"/>
    <n v="29171.279999999999"/>
    <n v="29171.279999999999"/>
    <n v="0"/>
    <n v="1130.6799999999998"/>
    <n v="0"/>
    <n v="0"/>
    <n v="0"/>
    <n v="0"/>
    <n v="24102"/>
    <n v="3937"/>
    <n v="0"/>
    <n v="361"/>
    <n v="0"/>
  </r>
  <r>
    <x v="719"/>
    <s v="Gomukh NAMAPUR East"/>
    <s v="vlc"/>
    <s v="Indirect"/>
    <n v="579.35"/>
    <n v="35888.020000000004"/>
    <n v="0"/>
    <n v="0"/>
    <n v="0"/>
    <n v="0"/>
    <n v="0"/>
    <n v="0"/>
    <n v="35888.020000000004"/>
    <n v="0"/>
    <n v="0"/>
    <n v="0"/>
    <n v="0"/>
    <n v="0"/>
    <n v="0"/>
    <n v="0"/>
    <n v="0"/>
    <n v="35888.020000000004"/>
    <n v="0"/>
    <n v="0"/>
  </r>
  <r>
    <x v="720"/>
    <s v="GOMUKH Waini"/>
    <s v="MPG"/>
    <s v="Direct"/>
    <n v="390.1"/>
    <n v="16276.36"/>
    <n v="382.42"/>
    <n v="15682.43"/>
    <n v="8.34"/>
    <n v="338.47999999999996"/>
    <n v="390.76"/>
    <n v="16020.91"/>
    <n v="16020.91"/>
    <n v="0"/>
    <n v="338.47999999999996"/>
    <n v="0"/>
    <n v="0"/>
    <n v="0"/>
    <n v="0"/>
    <n v="15683"/>
    <n v="0"/>
    <n v="0"/>
    <n v="255"/>
    <n v="0"/>
  </r>
  <r>
    <x v="721"/>
    <s v="GOMUKH SAKARI"/>
    <s v="MPG"/>
    <s v="Direct"/>
    <n v="1669.3000000000002"/>
    <n v="73541.01999999999"/>
    <n v="1659.7900000000002"/>
    <n v="72857.16"/>
    <n v="14.969999999999999"/>
    <n v="669.35000000000014"/>
    <n v="1674.7600000000002"/>
    <n v="73526.510000000009"/>
    <n v="73526.510000000009"/>
    <n v="0"/>
    <n v="669.35000000000014"/>
    <n v="0"/>
    <n v="16733"/>
    <n v="0"/>
    <n v="0"/>
    <n v="56122"/>
    <n v="0"/>
    <n v="0"/>
    <n v="17"/>
    <n v="0"/>
  </r>
  <r>
    <x v="722"/>
    <s v="GOMUKH DHOBGAMA"/>
    <s v="MPG"/>
    <s v="Direct"/>
    <n v="768.94999999999993"/>
    <n v="31699.58"/>
    <n v="757.38"/>
    <n v="30822.579999999998"/>
    <n v="16.39"/>
    <n v="699.4799999999999"/>
    <n v="773.77"/>
    <n v="31522.059999999998"/>
    <n v="31522.059999999998"/>
    <n v="0"/>
    <n v="699.4799999999999"/>
    <n v="0"/>
    <n v="0"/>
    <n v="0"/>
    <n v="0"/>
    <n v="30824"/>
    <n v="0"/>
    <n v="0"/>
    <n v="176"/>
    <n v="0"/>
  </r>
  <r>
    <x v="723"/>
    <s v="GOMUKH BHUSKOUL"/>
    <s v="MPG"/>
    <s v="Direct"/>
    <n v="505.54999999999995"/>
    <n v="20186.849999999999"/>
    <n v="508.16"/>
    <n v="19708.580000000002"/>
    <n v="11.829999999999997"/>
    <n v="472.7"/>
    <n v="519.99"/>
    <n v="20181.280000000002"/>
    <n v="20181.280000000002"/>
    <n v="0"/>
    <n v="472.7"/>
    <n v="0"/>
    <n v="0"/>
    <n v="0"/>
    <n v="0"/>
    <n v="19708"/>
    <n v="0"/>
    <n v="0"/>
    <n v="6"/>
    <n v="0"/>
  </r>
  <r>
    <x v="724"/>
    <s v="GOMUKH BIRSINGHPUR"/>
    <s v="MPG"/>
    <s v="Direct"/>
    <n v="395.25"/>
    <n v="16053.420000000002"/>
    <n v="397.20999999999992"/>
    <n v="15854.339999999997"/>
    <n v="0"/>
    <n v="0"/>
    <n v="397.20999999999992"/>
    <n v="15854.339999999997"/>
    <n v="15854.339999999997"/>
    <n v="0"/>
    <n v="0"/>
    <n v="0"/>
    <n v="0"/>
    <n v="0"/>
    <n v="0"/>
    <n v="15855"/>
    <n v="0"/>
    <n v="0"/>
    <n v="198"/>
    <n v="0"/>
  </r>
  <r>
    <x v="725"/>
    <s v="GOMUKH GHOSRAWAN"/>
    <s v="MPG"/>
    <s v="Direct"/>
    <n v="455.8"/>
    <n v="18228.299999999996"/>
    <n v="444.72"/>
    <n v="18125.05"/>
    <n v="2.620000000000001"/>
    <n v="99.87"/>
    <n v="447.34000000000003"/>
    <n v="18224.919999999998"/>
    <n v="18224.919999999998"/>
    <n v="0"/>
    <n v="99.87"/>
    <n v="0"/>
    <n v="3330.2"/>
    <n v="0"/>
    <n v="0"/>
    <n v="14795"/>
    <n v="0"/>
    <n v="0"/>
    <n v="3"/>
    <n v="0"/>
  </r>
  <r>
    <x v="726"/>
    <s v="GOMUKH BANDRA W-9"/>
    <s v="MPG"/>
    <s v="Direct"/>
    <n v="377.34999999999997"/>
    <n v="17068.37"/>
    <n v="372.06"/>
    <n v="16914.580000000002"/>
    <n v="3.28"/>
    <n v="150.07"/>
    <n v="375.34"/>
    <n v="17064.650000000001"/>
    <n v="17064.650000000001"/>
    <n v="0"/>
    <n v="150.07"/>
    <n v="0"/>
    <n v="0"/>
    <n v="0"/>
    <n v="0"/>
    <n v="16916"/>
    <n v="0"/>
    <n v="0"/>
    <n v="2"/>
    <n v="0"/>
  </r>
  <r>
    <x v="727"/>
    <s v="AMI Dairy"/>
    <s v="vlc"/>
    <s v="Indirect"/>
    <n v="702.59999999999991"/>
    <n v="27888.880000000001"/>
    <n v="0"/>
    <n v="0"/>
    <n v="0"/>
    <n v="0"/>
    <n v="0"/>
    <n v="0"/>
    <n v="27888.880000000001"/>
    <n v="0"/>
    <n v="0"/>
    <n v="0"/>
    <n v="0"/>
    <n v="0"/>
    <n v="0"/>
    <n v="0"/>
    <n v="0"/>
    <n v="27888.880000000001"/>
    <n v="0"/>
    <n v="0"/>
  </r>
  <r>
    <x v="728"/>
    <s v="GOMUKH ANANDPUR PARAS 2"/>
    <s v="MPG"/>
    <s v="Direct"/>
    <n v="2763.6"/>
    <n v="116781.21"/>
    <n v="2763.6"/>
    <n v="116781.21000000002"/>
    <n v="0"/>
    <n v="0"/>
    <n v="2763.6"/>
    <n v="116781.21000000002"/>
    <n v="116781.21"/>
    <n v="0"/>
    <n v="0"/>
    <n v="0"/>
    <n v="0"/>
    <n v="0"/>
    <n v="0"/>
    <n v="116781"/>
    <n v="0"/>
    <n v="0"/>
    <n v="0"/>
    <n v="0"/>
  </r>
  <r>
    <x v="729"/>
    <s v="GOMUKH GADBANNI"/>
    <s v="MPG"/>
    <s v="Direct"/>
    <n v="298.09999999999997"/>
    <n v="13264.36"/>
    <n v="321.57"/>
    <n v="13587.09"/>
    <n v="0"/>
    <n v="0"/>
    <n v="321.57"/>
    <n v="13587.09"/>
    <n v="13264.36"/>
    <n v="0"/>
    <n v="0"/>
    <n v="322.72999999999956"/>
    <n v="1376"/>
    <n v="0"/>
    <n v="0"/>
    <n v="11888"/>
    <n v="0"/>
    <n v="0"/>
    <n v="0"/>
    <s v="Release5"/>
  </r>
  <r>
    <x v="730"/>
    <s v="GOMUKH PARRI"/>
    <s v="MPG"/>
    <s v="Direct"/>
    <n v="96.800000000000011"/>
    <n v="4378.55"/>
    <n v="107.36000000000001"/>
    <n v="5105.49"/>
    <n v="0"/>
    <n v="0"/>
    <n v="107.36000000000001"/>
    <n v="5105.49"/>
    <n v="4378.55"/>
    <n v="0"/>
    <n v="0"/>
    <n v="726.9399999999996"/>
    <n v="0"/>
    <n v="500"/>
    <n v="0"/>
    <n v="3879"/>
    <n v="0"/>
    <n v="0"/>
    <n v="0"/>
    <s v="Release5"/>
  </r>
  <r>
    <x v="731"/>
    <s v="GOMUKH BHIKHARI GHAT"/>
    <s v="MPG"/>
    <s v="Direct"/>
    <n v="1114"/>
    <n v="48321.97"/>
    <n v="1128.2300000000002"/>
    <n v="48858.630000000005"/>
    <n v="0"/>
    <n v="0"/>
    <n v="1128.2300000000002"/>
    <n v="48858.630000000005"/>
    <n v="48321.97"/>
    <n v="0"/>
    <n v="0"/>
    <n v="536.66000000000349"/>
    <n v="0"/>
    <n v="0"/>
    <n v="0"/>
    <n v="48322"/>
    <n v="0"/>
    <n v="0"/>
    <n v="0"/>
    <n v="0"/>
  </r>
  <r>
    <x v="732"/>
    <s v="Vikash Kumar"/>
    <s v="vlc"/>
    <s v="Indirect"/>
    <n v="2191.2999999999997"/>
    <n v="91661.37000000001"/>
    <n v="0"/>
    <n v="0"/>
    <n v="0"/>
    <n v="0"/>
    <n v="0"/>
    <n v="0"/>
    <n v="91661.37000000001"/>
    <n v="0"/>
    <n v="0"/>
    <n v="0"/>
    <n v="0"/>
    <n v="0"/>
    <n v="0"/>
    <n v="0"/>
    <n v="0"/>
    <n v="91661.37000000001"/>
    <n v="0"/>
    <n v="0"/>
  </r>
  <r>
    <x v="733"/>
    <s v="Rajkishore Yadav"/>
    <s v="vlc"/>
    <s v="Indirect"/>
    <n v="164.20000000000002"/>
    <n v="6064.97"/>
    <n v="0"/>
    <n v="0"/>
    <n v="0"/>
    <n v="0"/>
    <n v="0"/>
    <n v="0"/>
    <n v="6064.97"/>
    <n v="0"/>
    <n v="0"/>
    <n v="0"/>
    <n v="0"/>
    <n v="0"/>
    <n v="0"/>
    <n v="0"/>
    <n v="0"/>
    <n v="6064.97"/>
    <n v="0"/>
    <n v="0"/>
  </r>
  <r>
    <x v="734"/>
    <s v="BHADAS VLC"/>
    <s v="vlc"/>
    <s v="Indirect"/>
    <n v="59.699999999999996"/>
    <n v="3030.2499999999995"/>
    <n v="0"/>
    <n v="0"/>
    <n v="0"/>
    <n v="0"/>
    <n v="0"/>
    <n v="0"/>
    <n v="3030.2499999999995"/>
    <n v="0"/>
    <n v="0"/>
    <n v="0"/>
    <n v="0"/>
    <n v="0"/>
    <n v="0"/>
    <n v="0"/>
    <n v="0"/>
    <n v="3030.2499999999995"/>
    <n v="0"/>
    <n v="0"/>
  </r>
  <r>
    <x v="735"/>
    <s v="GOMUKH BENHER"/>
    <s v="MPG"/>
    <s v="Direct"/>
    <n v="424.7"/>
    <n v="24427.359999999997"/>
    <n v="432.95999999999992"/>
    <n v="24294.05"/>
    <n v="3.100000000000001"/>
    <n v="157.34999999999997"/>
    <n v="436.05999999999995"/>
    <n v="24451.399999999998"/>
    <n v="24427.359999999997"/>
    <n v="0"/>
    <n v="157.34999999999997"/>
    <n v="24.040000000000873"/>
    <n v="0"/>
    <n v="0"/>
    <n v="0"/>
    <n v="24270"/>
    <n v="0"/>
    <n v="0"/>
    <n v="0"/>
    <n v="0"/>
  </r>
  <r>
    <x v="736"/>
    <s v="GOMUKH LADORA"/>
    <s v="MPG"/>
    <s v="Direct"/>
    <n v="735.1"/>
    <n v="28918.39"/>
    <n v="735.04"/>
    <n v="29059.62"/>
    <n v="0"/>
    <n v="0"/>
    <n v="735.04"/>
    <n v="29059.62"/>
    <n v="28918.39"/>
    <n v="0"/>
    <n v="0"/>
    <n v="141.22999999999956"/>
    <n v="0"/>
    <n v="0"/>
    <n v="0"/>
    <n v="28918"/>
    <n v="0"/>
    <n v="0"/>
    <n v="0"/>
    <n v="0"/>
  </r>
  <r>
    <x v="737"/>
    <s v="GOMUKH SAHSI"/>
    <s v="MPG"/>
    <s v="Direct"/>
    <n v="349.1"/>
    <n v="15573.95"/>
    <n v="373.53"/>
    <n v="15592.55"/>
    <n v="0"/>
    <n v="0"/>
    <n v="373.53"/>
    <n v="15592.55"/>
    <n v="15573.95"/>
    <n v="0"/>
    <n v="0"/>
    <n v="18.599999999998545"/>
    <n v="0"/>
    <n v="500"/>
    <n v="0"/>
    <n v="15074"/>
    <n v="0"/>
    <n v="0"/>
    <n v="0"/>
    <n v="0"/>
  </r>
  <r>
    <x v="738"/>
    <s v="Gomukh Chikni"/>
    <s v="MPG"/>
    <s v="Direct"/>
    <n v="116.10000000000001"/>
    <n v="3804.8199999999993"/>
    <n v="121.05"/>
    <n v="4233.0599999999995"/>
    <n v="0"/>
    <n v="0"/>
    <n v="121.05"/>
    <n v="4233.0599999999995"/>
    <n v="3804.8199999999993"/>
    <n v="0"/>
    <n v="0"/>
    <n v="428.24000000000024"/>
    <n v="0"/>
    <n v="500"/>
    <n v="0"/>
    <n v="3305"/>
    <n v="0"/>
    <n v="0"/>
    <n v="0"/>
    <s v="Release4"/>
  </r>
  <r>
    <x v="739"/>
    <s v="GOMUKH BUDWA"/>
    <s v="MPG"/>
    <s v="Direct"/>
    <n v="75.7"/>
    <n v="3084.6"/>
    <n v="85.33"/>
    <n v="3432.8300000000004"/>
    <n v="0"/>
    <n v="0"/>
    <n v="85.33"/>
    <n v="3432.8300000000004"/>
    <n v="3084.6"/>
    <n v="0"/>
    <n v="0"/>
    <n v="348.23000000000047"/>
    <n v="0"/>
    <n v="500"/>
    <n v="0"/>
    <n v="2585"/>
    <n v="0"/>
    <n v="0"/>
    <n v="0"/>
    <s v="Release5"/>
  </r>
  <r>
    <x v="740"/>
    <s v="GOMUKH GANGIYA"/>
    <s v="MPG"/>
    <s v="Indirect"/>
    <n v="725.19999999999993"/>
    <n v="25387.61"/>
    <n v="0"/>
    <n v="0"/>
    <n v="0"/>
    <n v="0"/>
    <n v="0"/>
    <n v="0"/>
    <n v="25387.61"/>
    <n v="0"/>
    <n v="0"/>
    <n v="0"/>
    <n v="0"/>
    <n v="0"/>
    <n v="0"/>
    <n v="0"/>
    <n v="0"/>
    <n v="25387.61"/>
    <n v="0"/>
    <n v="0"/>
  </r>
  <r>
    <x v="741"/>
    <s v="GOMUKH AMBA ICHARUA"/>
    <s v="MPG"/>
    <s v="Direct"/>
    <n v="516.99999999999989"/>
    <n v="20870.269999999997"/>
    <n v="97.320000000000007"/>
    <n v="4333.2700000000004"/>
    <n v="465.16000000000008"/>
    <n v="20156.559999999998"/>
    <n v="562.48000000000013"/>
    <n v="24489.829999999998"/>
    <n v="20870.269999999997"/>
    <n v="0"/>
    <n v="0"/>
    <n v="3619.5600000000013"/>
    <n v="0"/>
    <n v="0"/>
    <n v="0"/>
    <n v="713"/>
    <n v="20157"/>
    <n v="0"/>
    <n v="0"/>
    <n v="0"/>
  </r>
  <r>
    <x v="742"/>
    <s v="RAJAURA VLC"/>
    <s v="vlc"/>
    <s v="Indirect"/>
    <n v="984.2"/>
    <n v="38014.31"/>
    <n v="0"/>
    <n v="0"/>
    <n v="0"/>
    <n v="0"/>
    <n v="0"/>
    <n v="0"/>
    <n v="38014.31"/>
    <n v="0"/>
    <n v="0"/>
    <n v="0"/>
    <n v="0"/>
    <n v="0"/>
    <n v="0"/>
    <n v="0"/>
    <n v="0"/>
    <n v="38014.31"/>
    <n v="0"/>
    <n v="0"/>
  </r>
  <r>
    <x v="743"/>
    <s v="GOMUKH JWALAPUR"/>
    <s v="MPG"/>
    <s v="Direct"/>
    <n v="202.6"/>
    <n v="7491.97"/>
    <n v="350"/>
    <n v="14881.5"/>
    <n v="0"/>
    <n v="0"/>
    <n v="350"/>
    <n v="14881.5"/>
    <n v="7491.97"/>
    <n v="0"/>
    <n v="0"/>
    <n v="7389.53"/>
    <n v="0"/>
    <n v="500"/>
    <n v="0"/>
    <n v="6992"/>
    <n v="0"/>
    <n v="0"/>
    <n v="0"/>
    <n v="0"/>
  </r>
  <r>
    <x v="744"/>
    <s v="VLC Dhushmuri Bishanpur"/>
    <s v="vlc"/>
    <s v="Indirect"/>
    <n v="378.29999999999995"/>
    <n v="12732.95"/>
    <n v="0"/>
    <n v="0"/>
    <n v="0"/>
    <n v="0"/>
    <n v="0"/>
    <n v="0"/>
    <n v="12732.95"/>
    <n v="0"/>
    <n v="0"/>
    <n v="0"/>
    <n v="0"/>
    <n v="0"/>
    <n v="0"/>
    <n v="0"/>
    <n v="0"/>
    <n v="12732.95"/>
    <n v="0"/>
    <n v="0"/>
  </r>
  <r>
    <x v="745"/>
    <s v="VLC Govindpur"/>
    <s v="vlc"/>
    <s v="Indirect"/>
    <n v="583.09999999999991"/>
    <n v="22518.500000000004"/>
    <n v="0"/>
    <n v="0"/>
    <n v="0"/>
    <n v="0"/>
    <n v="0"/>
    <n v="0"/>
    <n v="22518.500000000004"/>
    <n v="0"/>
    <n v="0"/>
    <n v="0"/>
    <n v="0"/>
    <n v="0"/>
    <n v="0"/>
    <n v="0"/>
    <n v="0"/>
    <n v="22518.500000000004"/>
    <n v="0"/>
    <n v="0"/>
  </r>
  <r>
    <x v="746"/>
    <s v="Gomukh Darhi Mor"/>
    <s v="MPG"/>
    <s v="Indirect"/>
    <n v="96.300000000000011"/>
    <n v="3780.13"/>
    <n v="0"/>
    <n v="0"/>
    <n v="0"/>
    <n v="0"/>
    <n v="0"/>
    <n v="0"/>
    <n v="3780.13"/>
    <n v="0"/>
    <n v="0"/>
    <n v="0"/>
    <n v="0"/>
    <n v="0"/>
    <n v="0"/>
    <n v="0"/>
    <n v="0"/>
    <n v="3780.13"/>
    <n v="0"/>
    <n v="0"/>
  </r>
  <r>
    <x v="747"/>
    <s v="Gomukh Balaur"/>
    <s v="MPG"/>
    <s v="Direct"/>
    <n v="1453.9000000000003"/>
    <n v="77742.48"/>
    <n v="1323"/>
    <n v="77936.22"/>
    <n v="0"/>
    <n v="0"/>
    <n v="1323"/>
    <n v="77936.22"/>
    <n v="77742.48"/>
    <n v="0"/>
    <n v="0"/>
    <n v="193.74000000000524"/>
    <n v="0"/>
    <n v="0"/>
    <n v="0"/>
    <n v="77742"/>
    <n v="0"/>
    <n v="0"/>
    <n v="0"/>
    <n v="0"/>
  </r>
  <r>
    <x v="748"/>
    <s v="Gomukh Usri"/>
    <s v="MPG"/>
    <s v="Direct"/>
    <n v="52.300000000000004"/>
    <n v="2428.23"/>
    <n v="57.01"/>
    <n v="2463.4499999999998"/>
    <n v="0"/>
    <n v="0"/>
    <n v="57.01"/>
    <n v="2463.4499999999998"/>
    <n v="2428.23"/>
    <n v="0"/>
    <n v="0"/>
    <n v="35.2199999999998"/>
    <n v="0"/>
    <n v="0"/>
    <n v="0"/>
    <n v="2428"/>
    <n v="0"/>
    <n v="0"/>
    <n v="0"/>
    <n v="0"/>
  </r>
  <r>
    <x v="749"/>
    <s v="Gomukh Hathwan - 2"/>
    <s v="MPG"/>
    <s v="Direct"/>
    <n v="235.9"/>
    <n v="9960.18"/>
    <n v="261"/>
    <n v="10001.01"/>
    <n v="0"/>
    <n v="0"/>
    <n v="261"/>
    <n v="10001.01"/>
    <n v="9960.18"/>
    <n v="0"/>
    <n v="0"/>
    <n v="40.829999999999927"/>
    <n v="0"/>
    <n v="0"/>
    <n v="0"/>
    <n v="9960"/>
    <n v="0"/>
    <n v="0"/>
    <n v="0"/>
    <n v="0"/>
  </r>
  <r>
    <x v="750"/>
    <s v="VLC Sunil Khas"/>
    <s v="vlc"/>
    <s v="Indirect"/>
    <n v="809.60000000000014"/>
    <n v="36399.879999999997"/>
    <n v="0"/>
    <n v="0"/>
    <n v="0"/>
    <n v="0"/>
    <n v="0"/>
    <n v="0"/>
    <n v="36399.879999999997"/>
    <n v="0"/>
    <n v="0"/>
    <n v="0"/>
    <n v="0"/>
    <n v="0"/>
    <n v="0"/>
    <n v="0"/>
    <n v="0"/>
    <n v="36399.879999999997"/>
    <n v="0"/>
    <n v="0"/>
  </r>
  <r>
    <x v="751"/>
    <s v="Gomukh Hathwan "/>
    <s v="MPG"/>
    <s v="Direct"/>
    <n v="576.5"/>
    <n v="24033.43"/>
    <n v="609.13"/>
    <n v="29777.260000000002"/>
    <n v="0"/>
    <n v="0"/>
    <n v="609.13"/>
    <n v="29777.260000000002"/>
    <n v="24033.43"/>
    <n v="0"/>
    <n v="0"/>
    <n v="5743.8300000000017"/>
    <n v="350"/>
    <n v="0"/>
    <n v="0"/>
    <n v="23683"/>
    <n v="0"/>
    <n v="0"/>
    <n v="0"/>
    <s v="Release1"/>
  </r>
  <r>
    <x v="752"/>
    <s v="Gomukh Bekhari Ghat-2"/>
    <s v="MPG"/>
    <s v="Direct"/>
    <n v="95.8"/>
    <n v="3440.7400000000002"/>
    <n v="130.72"/>
    <n v="4117.68"/>
    <n v="0"/>
    <n v="0"/>
    <n v="130.72"/>
    <n v="4117.68"/>
    <n v="3440.7400000000002"/>
    <n v="0"/>
    <n v="0"/>
    <n v="676.94"/>
    <n v="0"/>
    <n v="0"/>
    <n v="0"/>
    <n v="3441"/>
    <n v="0"/>
    <n v="0"/>
    <n v="0"/>
    <n v="0"/>
  </r>
  <r>
    <x v="753"/>
    <s v="Gomukh Rahul VLC"/>
    <s v="vlc"/>
    <s v="Indirect"/>
    <n v="1175.9000000000001"/>
    <n v="52657.279999999992"/>
    <n v="0"/>
    <n v="0"/>
    <n v="0"/>
    <n v="0"/>
    <n v="0"/>
    <n v="0"/>
    <n v="52657.279999999992"/>
    <n v="0"/>
    <n v="0"/>
    <n v="0"/>
    <n v="0"/>
    <n v="0"/>
    <n v="0"/>
    <n v="0"/>
    <n v="0"/>
    <n v="52657.279999999992"/>
    <n v="0"/>
    <n v="0"/>
  </r>
  <r>
    <x v="754"/>
    <s v="Gomukh Sachin VLC"/>
    <s v="vlc"/>
    <s v="Indirect"/>
    <n v="508.8"/>
    <n v="20192.02"/>
    <n v="0"/>
    <n v="0"/>
    <n v="0"/>
    <n v="0"/>
    <n v="0"/>
    <n v="0"/>
    <n v="20192.02"/>
    <n v="0"/>
    <n v="0"/>
    <n v="0"/>
    <n v="0"/>
    <n v="0"/>
    <n v="0"/>
    <n v="0"/>
    <n v="0"/>
    <n v="20192.02"/>
    <n v="0"/>
    <n v="0"/>
  </r>
  <r>
    <x v="755"/>
    <s v="Gomukh Khutauna"/>
    <s v="MPG"/>
    <s v="Direct"/>
    <n v="294.80000000000007"/>
    <n v="10558.05"/>
    <n v="558.02"/>
    <n v="21397.88"/>
    <n v="0"/>
    <n v="0"/>
    <n v="558.02"/>
    <n v="21397.88"/>
    <n v="10558.05"/>
    <n v="0"/>
    <n v="0"/>
    <n v="10839.830000000002"/>
    <n v="0"/>
    <n v="0"/>
    <n v="0"/>
    <n v="10558"/>
    <n v="0"/>
    <n v="0"/>
    <n v="0"/>
    <n v="0"/>
  </r>
  <r>
    <x v="756"/>
    <s v="Gomukh Bathnaha VLC"/>
    <s v="vlc"/>
    <s v="Indirect"/>
    <n v="477.8"/>
    <n v="17984.82"/>
    <n v="0"/>
    <n v="0"/>
    <n v="0"/>
    <n v="0"/>
    <n v="0"/>
    <n v="0"/>
    <n v="17984.82"/>
    <n v="0"/>
    <n v="0"/>
    <n v="0"/>
    <n v="0"/>
    <n v="0"/>
    <n v="0"/>
    <n v="0"/>
    <n v="0"/>
    <n v="17984.82"/>
    <n v="0"/>
    <n v="0"/>
  </r>
  <r>
    <x v="757"/>
    <s v="Balahpur-Anil Yadav"/>
    <s v="vlc"/>
    <s v="Indirect"/>
    <n v="22494.9"/>
    <n v="828880.33"/>
    <n v="0"/>
    <n v="0"/>
    <n v="0"/>
    <n v="0"/>
    <n v="0"/>
    <n v="0"/>
    <n v="828880.33"/>
    <n v="0"/>
    <n v="0"/>
    <n v="0"/>
    <n v="0"/>
    <n v="0"/>
    <n v="0"/>
    <n v="0"/>
    <n v="0"/>
    <n v="828880.33"/>
    <n v="0"/>
    <n v="0"/>
  </r>
  <r>
    <x v="758"/>
    <s v="Bagdobh"/>
    <s v="vlc"/>
    <s v="Indirect"/>
    <n v="167.70000000000002"/>
    <n v="6456.630000000001"/>
    <n v="0"/>
    <n v="0"/>
    <n v="0"/>
    <n v="0"/>
    <n v="0"/>
    <n v="0"/>
    <n v="6456.630000000001"/>
    <n v="0"/>
    <n v="0"/>
    <n v="0"/>
    <n v="0"/>
    <n v="0"/>
    <n v="0"/>
    <n v="0"/>
    <n v="0"/>
    <n v="6456.630000000001"/>
    <n v="0"/>
    <n v="0"/>
  </r>
  <r>
    <x v="759"/>
    <s v="Gomukh Matihani"/>
    <s v="MPG"/>
    <s v="Direct"/>
    <n v="246.5"/>
    <n v="10088.74"/>
    <n v="218.8"/>
    <n v="8815.7699999999986"/>
    <n v="31.200000000000003"/>
    <n v="1284.4500000000003"/>
    <n v="250"/>
    <n v="10100.219999999999"/>
    <n v="10088.74"/>
    <n v="0"/>
    <n v="1284.4500000000003"/>
    <n v="11.479999999999563"/>
    <n v="0"/>
    <n v="0"/>
    <n v="0"/>
    <n v="8804"/>
    <n v="0"/>
    <n v="0"/>
    <n v="0"/>
    <n v="0"/>
  </r>
  <r>
    <x v="760"/>
    <s v="Jalalpur"/>
    <s v="vlc"/>
    <s v="Indirect"/>
    <n v="1714.6000000000001"/>
    <n v="59844.44"/>
    <n v="0"/>
    <n v="0"/>
    <n v="0"/>
    <n v="0"/>
    <n v="0"/>
    <n v="0"/>
    <n v="59844.44"/>
    <n v="0"/>
    <n v="0"/>
    <n v="0"/>
    <n v="0"/>
    <n v="0"/>
    <n v="0"/>
    <n v="0"/>
    <n v="0"/>
    <n v="59844.44"/>
    <n v="0"/>
    <n v="0"/>
  </r>
  <r>
    <x v="761"/>
    <s v="Saidpur"/>
    <s v="vlc"/>
    <s v="Indirect"/>
    <n v="97.4"/>
    <n v="3500.89"/>
    <n v="0"/>
    <n v="0"/>
    <n v="0"/>
    <n v="0"/>
    <n v="0"/>
    <n v="0"/>
    <n v="3500.89"/>
    <n v="0"/>
    <n v="0"/>
    <n v="0"/>
    <n v="0"/>
    <n v="0"/>
    <n v="0"/>
    <n v="0"/>
    <n v="0"/>
    <n v="3500.89"/>
    <n v="0"/>
    <n v="0"/>
  </r>
  <r>
    <x v="762"/>
    <s v="Chak"/>
    <s v="vlc"/>
    <s v="Indirect"/>
    <n v="1348.8"/>
    <n v="52154.54"/>
    <n v="0"/>
    <n v="0"/>
    <n v="0"/>
    <n v="0"/>
    <n v="0"/>
    <n v="0"/>
    <n v="52154.54"/>
    <n v="0"/>
    <n v="0"/>
    <n v="0"/>
    <n v="0"/>
    <n v="0"/>
    <n v="0"/>
    <n v="0"/>
    <n v="0"/>
    <n v="52154.54"/>
    <n v="0"/>
    <n v="0"/>
  </r>
  <r>
    <x v="763"/>
    <s v="Manmana Dhala"/>
    <s v="MPG"/>
    <s v="Direct"/>
    <n v="326.09999999999997"/>
    <n v="13935.79"/>
    <n v="321.75000000000006"/>
    <n v="13806.439999999999"/>
    <n v="3.87"/>
    <n v="175.06"/>
    <n v="325.62000000000006"/>
    <n v="13981.499999999998"/>
    <n v="13935.79"/>
    <n v="0"/>
    <n v="175.06"/>
    <n v="45.709999999997308"/>
    <n v="0"/>
    <n v="0"/>
    <n v="0"/>
    <n v="13761"/>
    <n v="0"/>
    <n v="0"/>
    <n v="0"/>
    <n v="0"/>
  </r>
  <r>
    <x v="764"/>
    <s v="Mahendarpur 2"/>
    <s v="MPG"/>
    <s v="Direct"/>
    <n v="302.49999999999994"/>
    <n v="12164.789999999997"/>
    <n v="300.90999999999997"/>
    <n v="12644.61"/>
    <n v="1.71"/>
    <n v="69.47"/>
    <n v="302.61999999999995"/>
    <n v="12714.08"/>
    <n v="12164.789999999997"/>
    <n v="0"/>
    <n v="69.47"/>
    <n v="549.29000000000269"/>
    <n v="0"/>
    <n v="0"/>
    <n v="0"/>
    <n v="12095"/>
    <n v="0"/>
    <n v="0"/>
    <n v="0"/>
    <n v="0"/>
  </r>
  <r>
    <x v="765"/>
    <s v="Gomukh Chautham(Mithun Kumar VLC)"/>
    <s v="vlc"/>
    <s v="Indirect"/>
    <n v="579.79999999999995"/>
    <n v="23473.09"/>
    <n v="0"/>
    <n v="0"/>
    <n v="0"/>
    <n v="0"/>
    <n v="0"/>
    <n v="0"/>
    <n v="23473.09"/>
    <n v="0"/>
    <n v="0"/>
    <n v="0"/>
    <n v="23473"/>
    <n v="0"/>
    <n v="0"/>
    <n v="0"/>
    <n v="0"/>
    <n v="9.0000000000145519E-2"/>
    <n v="0"/>
    <n v="0"/>
  </r>
  <r>
    <x v="766"/>
    <s v="Gomukh Pansalwa"/>
    <s v="vlc"/>
    <s v="Indirect"/>
    <n v="305.12"/>
    <n v="10905.8"/>
    <n v="0"/>
    <n v="0"/>
    <n v="0"/>
    <n v="0"/>
    <n v="0"/>
    <n v="0"/>
    <n v="10905.8"/>
    <n v="0"/>
    <n v="0"/>
    <n v="0"/>
    <n v="0"/>
    <n v="0"/>
    <n v="0"/>
    <n v="0"/>
    <n v="0"/>
    <n v="10905.8"/>
    <n v="0"/>
    <n v="0"/>
  </r>
  <r>
    <x v="767"/>
    <s v="Gomukh Nawada"/>
    <s v="MPG"/>
    <s v="Direct"/>
    <n v="910.68000000000018"/>
    <n v="32443.629999999997"/>
    <n v="910.68000000000006"/>
    <n v="32590.52"/>
    <n v="0"/>
    <n v="0"/>
    <n v="910.68000000000006"/>
    <n v="32590.52"/>
    <n v="32443.629999999997"/>
    <n v="0"/>
    <n v="0"/>
    <n v="146.89000000000306"/>
    <n v="0"/>
    <n v="0"/>
    <n v="0"/>
    <n v="32444"/>
    <n v="0"/>
    <n v="0"/>
    <n v="0"/>
    <n v="0"/>
  </r>
  <r>
    <x v="768"/>
    <s v="Gomukh Yadav Tol Kanauli"/>
    <s v="MPG"/>
    <s v="Direct"/>
    <n v="1823.6200000000003"/>
    <n v="76007.05"/>
    <n v="21.049999999999997"/>
    <n v="888.43999999999994"/>
    <n v="2089"/>
    <n v="88209.12"/>
    <n v="2110.0500000000002"/>
    <n v="89097.56"/>
    <n v="76007.05"/>
    <n v="0"/>
    <n v="0"/>
    <n v="13090.509999999995"/>
    <n v="0"/>
    <n v="0"/>
    <n v="0"/>
    <n v="0"/>
    <n v="76007"/>
    <n v="0"/>
    <n v="0"/>
    <s v="Release3"/>
  </r>
  <r>
    <x v="769"/>
    <s v="Gomukh Hardia"/>
    <s v="MPG"/>
    <s v="Direct"/>
    <n v="199.51999999999998"/>
    <n v="8211.5300000000007"/>
    <n v="270.92"/>
    <n v="11279.27"/>
    <n v="0"/>
    <n v="0"/>
    <n v="270.92"/>
    <n v="11279.27"/>
    <n v="8211.5300000000007"/>
    <n v="0"/>
    <n v="0"/>
    <n v="3067.74"/>
    <n v="0"/>
    <n v="500"/>
    <n v="0"/>
    <n v="7712"/>
    <n v="0"/>
    <n v="0"/>
    <n v="0"/>
    <n v="0"/>
  </r>
  <r>
    <x v="770"/>
    <s v="Gomukh Ashatol Paharpur"/>
    <s v="MPG"/>
    <s v="Direct"/>
    <n v="1940.2999999999995"/>
    <n v="77455.510000000009"/>
    <n v="1949.7099999999998"/>
    <n v="80148.39"/>
    <n v="0"/>
    <n v="0"/>
    <n v="1949.7099999999998"/>
    <n v="80148.39"/>
    <n v="77455.510000000009"/>
    <n v="0"/>
    <n v="0"/>
    <n v="2692.8799999999901"/>
    <n v="0"/>
    <n v="0"/>
    <n v="0"/>
    <n v="77456"/>
    <n v="0"/>
    <n v="0"/>
    <n v="0"/>
    <n v="0"/>
  </r>
  <r>
    <x v="771"/>
    <s v="Gomukh Kharawa"/>
    <s v="MPG"/>
    <s v="Direct"/>
    <n v="1449.18"/>
    <n v="59195.460000000006"/>
    <n v="1448.7200000000003"/>
    <n v="58681.889999999992"/>
    <n v="3.83"/>
    <n v="269.69"/>
    <n v="1452.5500000000002"/>
    <n v="58951.579999999994"/>
    <n v="58951.579999999994"/>
    <n v="0"/>
    <n v="0"/>
    <n v="0"/>
    <n v="0"/>
    <n v="0"/>
    <n v="0"/>
    <n v="58682"/>
    <n v="270"/>
    <n v="0"/>
    <n v="243"/>
    <n v="0"/>
  </r>
  <r>
    <x v="772"/>
    <s v="Gomukh Patel Nagar"/>
    <s v="vlc"/>
    <s v="Indirect"/>
    <n v="559.42000000000007"/>
    <n v="21382.91"/>
    <n v="0"/>
    <n v="0"/>
    <n v="0"/>
    <n v="0"/>
    <n v="0"/>
    <n v="0"/>
    <n v="21382.91"/>
    <n v="0"/>
    <n v="0"/>
    <n v="0"/>
    <n v="0"/>
    <n v="0"/>
    <n v="0"/>
    <n v="0"/>
    <n v="0"/>
    <n v="21382.91"/>
    <n v="0"/>
    <n v="0"/>
  </r>
  <r>
    <x v="773"/>
    <s v="Gomukh Pachout"/>
    <s v="MPG"/>
    <s v="Direct"/>
    <n v="879.12000000000012"/>
    <n v="32775"/>
    <n v="1200.3499999999999"/>
    <n v="45750.590000000004"/>
    <n v="0"/>
    <n v="0"/>
    <n v="1200.3499999999999"/>
    <n v="45750.590000000004"/>
    <n v="32775"/>
    <n v="0"/>
    <n v="0"/>
    <n v="12975.590000000004"/>
    <n v="0"/>
    <n v="0"/>
    <n v="0"/>
    <n v="32775"/>
    <n v="0"/>
    <n v="0"/>
    <n v="0"/>
    <n v="0"/>
  </r>
  <r>
    <x v="774"/>
    <s v="Gomukh Telihar"/>
    <s v="MPG"/>
    <s v="Direct"/>
    <n v="947.88000000000011"/>
    <n v="37597.73000000001"/>
    <n v="949.32999999999993"/>
    <n v="38101"/>
    <n v="0"/>
    <n v="0"/>
    <n v="949.32999999999993"/>
    <n v="38101"/>
    <n v="37597.73000000001"/>
    <n v="0"/>
    <n v="0"/>
    <n v="503.26999999998952"/>
    <n v="3711"/>
    <n v="0"/>
    <n v="0"/>
    <n v="33887"/>
    <n v="0"/>
    <n v="0"/>
    <n v="0"/>
    <s v="Release1"/>
  </r>
  <r>
    <x v="775"/>
    <s v="Gomukh Pansalba Ward No 05"/>
    <s v="MPG"/>
    <s v="Indirect"/>
    <n v="1539.64"/>
    <n v="57676.310000000012"/>
    <n v="0"/>
    <n v="0"/>
    <n v="0"/>
    <n v="0"/>
    <n v="0"/>
    <n v="0"/>
    <n v="57676.310000000012"/>
    <n v="0"/>
    <n v="0"/>
    <n v="0"/>
    <n v="8100"/>
    <n v="0"/>
    <n v="0"/>
    <n v="0"/>
    <n v="0"/>
    <n v="49576.310000000012"/>
    <n v="0"/>
    <n v="0"/>
  </r>
  <r>
    <x v="776"/>
    <s v="Gomukh Paharpur Jilebya "/>
    <s v="MPG"/>
    <s v="Direct"/>
    <n v="2239.42"/>
    <n v="95111.35"/>
    <n v="2253.3200000000002"/>
    <n v="96057.430000000008"/>
    <n v="0"/>
    <n v="0"/>
    <n v="2253.3200000000002"/>
    <n v="96057.430000000008"/>
    <n v="95111.35"/>
    <n v="0"/>
    <n v="0"/>
    <n v="946.08000000000175"/>
    <n v="0"/>
    <n v="0"/>
    <n v="0"/>
    <n v="95111"/>
    <n v="0"/>
    <n v="0"/>
    <n v="0"/>
    <n v="0"/>
  </r>
  <r>
    <x v="777"/>
    <s v="Gomukh Debka Vlc"/>
    <s v="vlc"/>
    <s v="Indirect"/>
    <n v="78.720000000000013"/>
    <n v="3328.0499999999997"/>
    <n v="0"/>
    <n v="0"/>
    <n v="0"/>
    <n v="0"/>
    <n v="0"/>
    <n v="0"/>
    <n v="3328.0499999999997"/>
    <n v="0"/>
    <n v="0"/>
    <n v="0"/>
    <n v="0"/>
    <n v="0"/>
    <n v="0"/>
    <n v="0"/>
    <n v="0"/>
    <n v="3328.0499999999997"/>
    <n v="0"/>
    <n v="0"/>
  </r>
  <r>
    <x v="778"/>
    <s v="Gomukh Azad Nagar"/>
    <s v="MPG"/>
    <s v="Direct"/>
    <n v="980.92000000000007"/>
    <n v="38389.89"/>
    <n v="989.43999999999994"/>
    <n v="39591.050000000003"/>
    <n v="0"/>
    <n v="0"/>
    <n v="989.43999999999994"/>
    <n v="39591.050000000003"/>
    <n v="38389.89"/>
    <n v="0"/>
    <n v="0"/>
    <n v="1201.1600000000035"/>
    <n v="0"/>
    <n v="0"/>
    <n v="0"/>
    <n v="38390"/>
    <n v="0"/>
    <n v="0"/>
    <n v="0"/>
    <n v="0"/>
  </r>
  <r>
    <x v="779"/>
    <s v="Gomukh Uttari Hardia"/>
    <s v="MPG"/>
    <s v="Direct"/>
    <n v="399.12000000000006"/>
    <n v="19097.819999999996"/>
    <n v="407"/>
    <n v="19430.34"/>
    <n v="0"/>
    <n v="0"/>
    <n v="407"/>
    <n v="19430.34"/>
    <n v="19097.819999999996"/>
    <n v="0"/>
    <n v="0"/>
    <n v="332.52000000000407"/>
    <n v="0"/>
    <n v="0"/>
    <n v="0"/>
    <n v="19098"/>
    <n v="0"/>
    <n v="0"/>
    <n v="0"/>
    <n v="0"/>
  </r>
  <r>
    <x v="780"/>
    <s v="Gomukh Nirpur Keshv Nagar"/>
    <s v="MPG"/>
    <s v="Direct"/>
    <n v="581.11999999999989"/>
    <n v="22700.570000000003"/>
    <n v="581.41999999999996"/>
    <n v="22712.620000000003"/>
    <n v="0"/>
    <n v="0"/>
    <n v="581.41999999999996"/>
    <n v="22712.620000000003"/>
    <n v="22700.570000000003"/>
    <n v="0"/>
    <n v="0"/>
    <n v="12.049999999999272"/>
    <n v="0"/>
    <n v="0"/>
    <n v="0"/>
    <n v="22701"/>
    <n v="0"/>
    <n v="0"/>
    <n v="0"/>
    <n v="0"/>
  </r>
  <r>
    <x v="781"/>
    <s v="Gomukh Thuthi Vlc"/>
    <s v="vlc"/>
    <s v="Indirect"/>
    <n v="253.91999999999996"/>
    <n v="10780.81"/>
    <n v="0"/>
    <n v="0"/>
    <n v="0"/>
    <n v="0"/>
    <n v="0"/>
    <n v="0"/>
    <n v="10780.81"/>
    <n v="0"/>
    <n v="0"/>
    <n v="0"/>
    <n v="0"/>
    <n v="0"/>
    <n v="0"/>
    <n v="0"/>
    <n v="0"/>
    <n v="10780.81"/>
    <n v="0"/>
    <n v="0"/>
  </r>
  <r>
    <x v="782"/>
    <s v="Gomukh Nawadai Vlc"/>
    <s v="vlc"/>
    <s v="Indirect"/>
    <n v="243.02"/>
    <n v="8451.89"/>
    <n v="0"/>
    <n v="0"/>
    <n v="0"/>
    <n v="0"/>
    <n v="0"/>
    <n v="0"/>
    <n v="8451.89"/>
    <n v="0"/>
    <n v="0"/>
    <n v="0"/>
    <n v="0"/>
    <n v="0"/>
    <n v="0"/>
    <n v="0"/>
    <n v="0"/>
    <n v="8451.89"/>
    <n v="0"/>
    <n v="0"/>
  </r>
  <r>
    <x v="783"/>
    <s v="Gomukh Kharra Basa"/>
    <s v="MPG"/>
    <s v="Direct"/>
    <n v="401.48"/>
    <n v="14223.34"/>
    <n v="408.3"/>
    <n v="13879.839999999998"/>
    <n v="0"/>
    <n v="0"/>
    <n v="408.3"/>
    <n v="13879.839999999998"/>
    <n v="13879.839999999998"/>
    <n v="0"/>
    <n v="0"/>
    <n v="0"/>
    <n v="0"/>
    <n v="0"/>
    <n v="0"/>
    <n v="13880"/>
    <n v="0"/>
    <n v="0"/>
    <n v="343"/>
    <n v="0"/>
  </r>
  <r>
    <x v="784"/>
    <s v="Gomukh Bangalia"/>
    <s v="MPG"/>
    <s v="Direct"/>
    <n v="557.78000000000009"/>
    <n v="28468.649999999998"/>
    <n v="564.67999999999995"/>
    <n v="28510.25"/>
    <n v="0"/>
    <n v="0"/>
    <n v="564.67999999999995"/>
    <n v="28510.25"/>
    <n v="28468.649999999998"/>
    <n v="0"/>
    <n v="0"/>
    <n v="41.600000000002183"/>
    <n v="0"/>
    <n v="0"/>
    <n v="0"/>
    <n v="28469"/>
    <n v="0"/>
    <n v="0"/>
    <n v="0"/>
    <n v="0"/>
  </r>
  <r>
    <x v="785"/>
    <s v="Gomukh Soharba Purvi"/>
    <s v="MPG"/>
    <s v="Direct"/>
    <n v="324.02"/>
    <n v="12824.080000000002"/>
    <n v="511.09999999999985"/>
    <n v="20644.220000000012"/>
    <n v="0"/>
    <n v="0"/>
    <n v="511.09999999999985"/>
    <n v="20644.220000000012"/>
    <n v="12824.080000000002"/>
    <n v="0"/>
    <n v="0"/>
    <n v="7820.1400000000103"/>
    <n v="0"/>
    <n v="0"/>
    <n v="0"/>
    <n v="12824"/>
    <n v="0"/>
    <n v="0"/>
    <n v="0"/>
    <n v="0"/>
  </r>
  <r>
    <x v="786"/>
    <s v="Gommukh Khushbu Kumari Vlc"/>
    <s v="vlc"/>
    <s v="Indirect"/>
    <n v="401.44"/>
    <n v="13394.710000000001"/>
    <n v="0"/>
    <n v="0"/>
    <n v="0"/>
    <n v="0"/>
    <n v="0"/>
    <n v="0"/>
    <n v="13394.710000000001"/>
    <n v="0"/>
    <n v="0"/>
    <n v="0"/>
    <n v="0"/>
    <n v="0"/>
    <n v="0"/>
    <n v="0"/>
    <n v="0"/>
    <n v="13394.710000000001"/>
    <n v="0"/>
    <n v="0"/>
  </r>
  <r>
    <x v="787"/>
    <s v="Gomukh Saraiya Wad -5 Vlc"/>
    <s v="vlc"/>
    <s v="Indirect"/>
    <n v="126.29999999999998"/>
    <n v="4963.8700000000008"/>
    <n v="0"/>
    <n v="0"/>
    <n v="0"/>
    <n v="0"/>
    <n v="0"/>
    <n v="0"/>
    <n v="4963.8700000000008"/>
    <n v="0"/>
    <n v="0"/>
    <n v="0"/>
    <n v="0"/>
    <n v="0"/>
    <n v="0"/>
    <n v="0"/>
    <n v="0"/>
    <n v="4963.8700000000008"/>
    <n v="0"/>
    <n v="0"/>
  </r>
  <r>
    <x v="788"/>
    <s v="Karian"/>
    <s v="MPG"/>
    <s v="Direct"/>
    <n v="57.6"/>
    <n v="2155.96"/>
    <n v="57.699999999999996"/>
    <n v="2162.1999999999998"/>
    <n v="0"/>
    <n v="0"/>
    <n v="57.699999999999996"/>
    <n v="2162.1999999999998"/>
    <n v="2155.96"/>
    <n v="0"/>
    <n v="0"/>
    <n v="6.2399999999997817"/>
    <n v="0"/>
    <n v="500"/>
    <n v="0"/>
    <n v="1656"/>
    <n v="0"/>
    <n v="0"/>
    <n v="0"/>
    <n v="0"/>
  </r>
  <r>
    <x v="789"/>
    <s v="Teghara"/>
    <s v="MPG"/>
    <s v="Direct"/>
    <n v="294.7000000000001"/>
    <n v="11580.119999999999"/>
    <n v="73.7"/>
    <n v="2806.99"/>
    <n v="220.7"/>
    <n v="8695"/>
    <n v="294.39999999999998"/>
    <n v="11501.99"/>
    <n v="11501.99"/>
    <n v="0"/>
    <n v="0"/>
    <n v="0"/>
    <n v="7750"/>
    <n v="500"/>
    <n v="0"/>
    <n v="2307"/>
    <n v="945"/>
    <n v="0"/>
    <n v="78"/>
    <s v="Release1"/>
  </r>
  <r>
    <x v="790"/>
    <s v="Basantpur"/>
    <s v="MPG"/>
    <s v="Direct"/>
    <n v="656.3"/>
    <n v="28415.899999999998"/>
    <n v="30"/>
    <n v="1327.4"/>
    <n v="626.40000000000009"/>
    <n v="27079.140000000003"/>
    <n v="656.40000000000009"/>
    <n v="28406.540000000005"/>
    <n v="28406.540000000005"/>
    <n v="0"/>
    <n v="0"/>
    <n v="0"/>
    <n v="7000"/>
    <n v="0"/>
    <n v="0"/>
    <n v="1327"/>
    <n v="20080"/>
    <n v="0"/>
    <n v="9"/>
    <s v="Release1"/>
  </r>
  <r>
    <x v="791"/>
    <s v="Chakoti"/>
    <s v="MPG"/>
    <s v="Direct"/>
    <n v="922.3"/>
    <n v="37134.409999999996"/>
    <n v="55"/>
    <n v="2278.6099999999997"/>
    <n v="867.30000000000007"/>
    <n v="34826.710000000006"/>
    <n v="922.30000000000007"/>
    <n v="37105.320000000007"/>
    <n v="37105.320000000007"/>
    <n v="0"/>
    <n v="554.56999999999994"/>
    <n v="0"/>
    <n v="0"/>
    <n v="0"/>
    <n v="0"/>
    <n v="2279"/>
    <n v="34271"/>
    <n v="0"/>
    <n v="30"/>
    <n v="0"/>
  </r>
  <r>
    <x v="792"/>
    <s v="Nathudawar"/>
    <s v="MPG"/>
    <s v="Direct"/>
    <n v="756"/>
    <n v="30304.279999999995"/>
    <n v="90.9"/>
    <n v="3719.6399999999994"/>
    <n v="664.7"/>
    <n v="26567.779999999992"/>
    <n v="755.6"/>
    <n v="30287.419999999991"/>
    <n v="30287.419999999991"/>
    <n v="0"/>
    <n v="0"/>
    <n v="0"/>
    <n v="10550"/>
    <n v="0"/>
    <n v="0"/>
    <n v="0"/>
    <n v="19738"/>
    <n v="0"/>
    <n v="16"/>
    <s v="Release1"/>
  </r>
  <r>
    <x v="793"/>
    <s v="Purnahi"/>
    <s v="vlc"/>
    <s v="Indirect"/>
    <n v="10.1"/>
    <n v="358.15"/>
    <n v="0"/>
    <n v="0"/>
    <n v="0"/>
    <n v="0"/>
    <n v="0"/>
    <n v="0"/>
    <n v="358.15"/>
    <n v="0"/>
    <n v="0"/>
    <n v="0"/>
    <n v="0"/>
    <n v="0"/>
    <n v="0"/>
    <n v="0"/>
    <n v="0"/>
    <n v="358.15"/>
    <n v="0"/>
    <n v="0"/>
  </r>
  <r>
    <x v="794"/>
    <s v="Baghopur "/>
    <s v="vlc"/>
    <s v="Indirect"/>
    <n v="1145.5"/>
    <n v="44224.22"/>
    <n v="0"/>
    <n v="0"/>
    <n v="0"/>
    <n v="0"/>
    <n v="0"/>
    <n v="0"/>
    <n v="44224.22"/>
    <n v="0"/>
    <n v="0"/>
    <n v="0"/>
    <n v="0"/>
    <n v="0"/>
    <n v="0"/>
    <n v="0"/>
    <n v="0"/>
    <n v="44224.22"/>
    <n v="0"/>
    <n v="0"/>
  </r>
  <r>
    <x v="795"/>
    <s v="Dewanpur"/>
    <s v="MPG"/>
    <s v="Direct"/>
    <n v="141.6"/>
    <n v="6862.9"/>
    <n v="13.1"/>
    <n v="544.44000000000005"/>
    <n v="126.1"/>
    <n v="6316.2599999999993"/>
    <n v="139.19999999999999"/>
    <n v="6860.6999999999989"/>
    <n v="6860.6999999999989"/>
    <n v="0"/>
    <n v="0"/>
    <n v="0"/>
    <n v="0"/>
    <n v="500"/>
    <n v="0"/>
    <n v="44"/>
    <n v="6315"/>
    <n v="0"/>
    <n v="4"/>
    <n v="0"/>
  </r>
  <r>
    <x v="796"/>
    <s v="Gohi"/>
    <s v="MPG"/>
    <s v="Direct"/>
    <n v="386.80000000000007"/>
    <n v="15193.619999999999"/>
    <n v="44"/>
    <n v="1728.5800000000006"/>
    <n v="342.8"/>
    <n v="13446.280000000002"/>
    <n v="386.8"/>
    <n v="15174.860000000002"/>
    <n v="15174.860000000002"/>
    <n v="0"/>
    <n v="328.98"/>
    <n v="0"/>
    <n v="0"/>
    <n v="0"/>
    <n v="0"/>
    <n v="1729"/>
    <n v="13118"/>
    <n v="0"/>
    <n v="18"/>
    <n v="0"/>
  </r>
  <r>
    <x v="797"/>
    <s v="Matua"/>
    <s v="MPG"/>
    <s v="Direct"/>
    <n v="527.6"/>
    <n v="23753.089999999997"/>
    <n v="114.89999999999999"/>
    <n v="4694.97"/>
    <n v="430.90000000000009"/>
    <n v="18677.98"/>
    <n v="545.80000000000007"/>
    <n v="23372.95"/>
    <n v="23372.95"/>
    <n v="0"/>
    <n v="130.20000000000002"/>
    <n v="0"/>
    <n v="0"/>
    <n v="0"/>
    <n v="0"/>
    <n v="4695"/>
    <n v="18549"/>
    <n v="0"/>
    <n v="379"/>
    <n v="0"/>
  </r>
  <r>
    <x v="798"/>
    <s v="Ratni Chouk"/>
    <s v="MPG"/>
    <s v="Direct"/>
    <n v="679.79999999999984"/>
    <n v="30940.71"/>
    <n v="679.8"/>
    <n v="30940.710000000006"/>
    <n v="0"/>
    <n v="0"/>
    <n v="679.8"/>
    <n v="30940.710000000006"/>
    <n v="30940.71"/>
    <n v="0"/>
    <n v="0"/>
    <n v="0"/>
    <n v="0"/>
    <n v="0"/>
    <n v="0"/>
    <n v="30941"/>
    <n v="0"/>
    <n v="0"/>
    <n v="0"/>
    <n v="0"/>
  </r>
  <r>
    <x v="799"/>
    <s v="Balahi 2"/>
    <s v="MPG"/>
    <s v="Direct"/>
    <n v="636.70000000000005"/>
    <n v="24318.890000000003"/>
    <n v="608.5"/>
    <n v="23663.37"/>
    <n v="17.5"/>
    <n v="670.23"/>
    <n v="626"/>
    <n v="24333.599999999999"/>
    <n v="24318.890000000003"/>
    <n v="0"/>
    <n v="20.92"/>
    <n v="14.709999999995489"/>
    <n v="0"/>
    <n v="0"/>
    <n v="0"/>
    <n v="23648"/>
    <n v="650"/>
    <n v="0"/>
    <n v="0"/>
    <n v="0"/>
  </r>
  <r>
    <x v="800"/>
    <s v="Chandauli"/>
    <s v="vlc"/>
    <s v="Indirect"/>
    <n v="217.20000000000002"/>
    <n v="9655.4500000000007"/>
    <n v="0"/>
    <n v="0"/>
    <n v="0"/>
    <n v="0"/>
    <n v="0"/>
    <n v="0"/>
    <n v="9655.4500000000007"/>
    <n v="0"/>
    <n v="0"/>
    <n v="0"/>
    <n v="0"/>
    <n v="0"/>
    <n v="0"/>
    <n v="0"/>
    <n v="0"/>
    <n v="9655.4500000000007"/>
    <n v="0"/>
    <n v="0"/>
  </r>
  <r>
    <x v="801"/>
    <s v="Gulabi Choak"/>
    <s v="vlc"/>
    <s v="Indirect"/>
    <n v="795.7"/>
    <n v="30994.93"/>
    <n v="0"/>
    <n v="0"/>
    <n v="0"/>
    <n v="0"/>
    <n v="0"/>
    <n v="0"/>
    <n v="30994.93"/>
    <n v="0"/>
    <n v="0"/>
    <n v="0"/>
    <n v="0"/>
    <n v="0"/>
    <n v="0"/>
    <n v="0"/>
    <n v="0"/>
    <n v="30994.93"/>
    <n v="0"/>
    <n v="0"/>
  </r>
  <r>
    <x v="802"/>
    <s v="Satmalpur"/>
    <s v="vlc"/>
    <s v="Indirect"/>
    <n v="1172.5"/>
    <n v="44748.57"/>
    <n v="0"/>
    <n v="0"/>
    <n v="0"/>
    <n v="0"/>
    <n v="0"/>
    <n v="0"/>
    <n v="44748.57"/>
    <n v="0"/>
    <n v="0"/>
    <n v="0"/>
    <n v="7750"/>
    <n v="0"/>
    <n v="0"/>
    <n v="0"/>
    <n v="0"/>
    <n v="36998.57"/>
    <n v="0"/>
    <n v="0"/>
  </r>
  <r>
    <x v="803"/>
    <s v="Chhatnesar 2"/>
    <s v="MPG"/>
    <s v="Direct"/>
    <n v="404.39999999999992"/>
    <n v="15765.519999999999"/>
    <n v="83.399999999999991"/>
    <n v="3012.2"/>
    <n v="328.6"/>
    <n v="12853.539999999999"/>
    <n v="412"/>
    <n v="15865.739999999998"/>
    <n v="15765.519999999999"/>
    <n v="0"/>
    <n v="0"/>
    <n v="100.21999999999935"/>
    <n v="0"/>
    <n v="0"/>
    <n v="0"/>
    <n v="2912"/>
    <n v="12854"/>
    <n v="0"/>
    <n v="0"/>
    <n v="0"/>
  </r>
  <r>
    <x v="804"/>
    <s v="Hajpurwa"/>
    <s v="MPG"/>
    <s v="Direct"/>
    <n v="204.20000000000002"/>
    <n v="8891.6500000000015"/>
    <n v="20"/>
    <n v="823"/>
    <n v="192.1"/>
    <n v="8069.5899999999992"/>
    <n v="212.1"/>
    <n v="8892.59"/>
    <n v="8891.6500000000015"/>
    <n v="0"/>
    <n v="0"/>
    <n v="0.93999999999869033"/>
    <n v="0"/>
    <n v="0"/>
    <n v="0"/>
    <n v="822"/>
    <n v="8070"/>
    <n v="0"/>
    <n v="0"/>
    <n v="0"/>
  </r>
  <r>
    <x v="805"/>
    <s v="Shekhopur"/>
    <s v="MPG"/>
    <s v="Direct"/>
    <n v="314.5"/>
    <n v="11359.73"/>
    <n v="14.5"/>
    <n v="525.25"/>
    <n v="300"/>
    <n v="10794.17"/>
    <n v="314.5"/>
    <n v="11319.42"/>
    <n v="11319.42"/>
    <n v="0"/>
    <n v="0"/>
    <n v="0"/>
    <n v="0"/>
    <n v="0"/>
    <n v="0"/>
    <n v="525"/>
    <n v="10794"/>
    <n v="0"/>
    <n v="41"/>
    <n v="0"/>
  </r>
  <r>
    <x v="806"/>
    <s v="Dharampur"/>
    <s v="MPG"/>
    <s v="Direct"/>
    <n v="125.00000000000001"/>
    <n v="5195.0999999999995"/>
    <n v="124.99999999999999"/>
    <n v="5059.6000000000004"/>
    <n v="0"/>
    <n v="0"/>
    <n v="124.99999999999999"/>
    <n v="5059.6000000000004"/>
    <n v="5059.6000000000004"/>
    <n v="0"/>
    <n v="0"/>
    <n v="0"/>
    <n v="0"/>
    <n v="500"/>
    <n v="0"/>
    <n v="4560"/>
    <n v="0"/>
    <n v="0"/>
    <n v="135"/>
    <n v="0"/>
  </r>
  <r>
    <x v="807"/>
    <s v="Pauriya 2"/>
    <s v="vlc"/>
    <s v="Indirect"/>
    <n v="241.4"/>
    <n v="10427.459999999999"/>
    <n v="0"/>
    <n v="0"/>
    <n v="0"/>
    <n v="0"/>
    <n v="0"/>
    <n v="0"/>
    <n v="10427.459999999999"/>
    <n v="0"/>
    <n v="0"/>
    <n v="0"/>
    <n v="0"/>
    <n v="0"/>
    <n v="0"/>
    <n v="0"/>
    <n v="0"/>
    <n v="10427.459999999999"/>
    <n v="0"/>
    <n v="0"/>
  </r>
  <r>
    <x v="808"/>
    <s v="Hajpurwa Pachim"/>
    <s v="MPG"/>
    <s v="Direct"/>
    <n v="278.8"/>
    <n v="12401.689999999999"/>
    <n v="277.60000000000002"/>
    <n v="12357.190000000002"/>
    <n v="0"/>
    <n v="0"/>
    <n v="277.60000000000002"/>
    <n v="12357.190000000002"/>
    <n v="12357.190000000002"/>
    <n v="0"/>
    <n v="0"/>
    <n v="0"/>
    <n v="0"/>
    <n v="0"/>
    <n v="0"/>
    <n v="12358"/>
    <n v="0"/>
    <n v="0"/>
    <n v="44"/>
    <n v="0"/>
  </r>
  <r>
    <x v="809"/>
    <s v="Almasnagar"/>
    <s v="vlc"/>
    <s v="Indirect"/>
    <n v="220.8"/>
    <n v="7986.2"/>
    <n v="0"/>
    <n v="0"/>
    <n v="0"/>
    <n v="0"/>
    <n v="0"/>
    <n v="0"/>
    <n v="7986.2"/>
    <n v="0"/>
    <n v="0"/>
    <n v="0"/>
    <n v="0"/>
    <n v="0"/>
    <n v="0"/>
    <n v="0"/>
    <n v="0"/>
    <n v="7986.2"/>
    <n v="0"/>
    <n v="0"/>
  </r>
  <r>
    <x v="810"/>
    <s v="Kadarchak"/>
    <s v="vlc"/>
    <s v="Indirect"/>
    <n v="58.6"/>
    <n v="2297.54"/>
    <n v="0"/>
    <n v="0"/>
    <n v="0"/>
    <n v="0"/>
    <n v="0"/>
    <n v="0"/>
    <n v="2297.54"/>
    <n v="0"/>
    <n v="0"/>
    <n v="0"/>
    <n v="0"/>
    <n v="0"/>
    <n v="0"/>
    <n v="0"/>
    <n v="0"/>
    <n v="2297.54"/>
    <n v="0"/>
    <n v="0"/>
  </r>
  <r>
    <x v="811"/>
    <s v="Rahua"/>
    <s v="MPG"/>
    <s v="Direct"/>
    <n v="174.9"/>
    <n v="6535.4299999999994"/>
    <n v="174.9"/>
    <n v="6525.53"/>
    <n v="0"/>
    <n v="0"/>
    <n v="174.9"/>
    <n v="6525.53"/>
    <n v="6525.53"/>
    <n v="0"/>
    <n v="0"/>
    <n v="0"/>
    <n v="0"/>
    <n v="0"/>
    <n v="0"/>
    <n v="6526"/>
    <n v="0"/>
    <n v="0"/>
    <n v="9"/>
    <n v="0"/>
  </r>
  <r>
    <x v="812"/>
    <s v="Dagrua"/>
    <s v="MPG"/>
    <s v="Direct"/>
    <n v="104.89999999999999"/>
    <n v="5170.9099999999989"/>
    <n v="104.90000000000002"/>
    <n v="5175.2500000000009"/>
    <n v="0"/>
    <n v="0"/>
    <n v="104.90000000000002"/>
    <n v="5175.2500000000009"/>
    <n v="5170.9099999999989"/>
    <n v="0"/>
    <n v="0"/>
    <n v="4.3400000000019645"/>
    <n v="0"/>
    <n v="0"/>
    <n v="0"/>
    <n v="5171"/>
    <n v="0"/>
    <n v="0"/>
    <n v="0"/>
    <n v="0"/>
  </r>
  <r>
    <x v="813"/>
    <s v="Buzurgdoar"/>
    <s v="MPG"/>
    <s v="Direct"/>
    <n v="1003.5"/>
    <n v="40659.380000000005"/>
    <n v="994.09999999999991"/>
    <n v="40377.420000000006"/>
    <n v="0"/>
    <n v="0"/>
    <n v="994.09999999999991"/>
    <n v="40377.420000000006"/>
    <n v="40377.420000000006"/>
    <n v="0"/>
    <n v="0"/>
    <n v="0"/>
    <n v="14000"/>
    <n v="0"/>
    <n v="0"/>
    <n v="26376"/>
    <n v="0"/>
    <n v="0"/>
    <n v="283"/>
    <s v="Release1"/>
  </r>
  <r>
    <x v="814"/>
    <s v="Patpara"/>
    <s v="vlc"/>
    <s v="Indirect"/>
    <n v="515.70000000000005"/>
    <n v="18324.61"/>
    <n v="0"/>
    <n v="0"/>
    <n v="0"/>
    <n v="0"/>
    <n v="0"/>
    <n v="0"/>
    <n v="18324.61"/>
    <n v="0"/>
    <n v="0"/>
    <n v="0"/>
    <n v="0"/>
    <n v="0"/>
    <n v="0"/>
    <n v="0"/>
    <n v="0"/>
    <n v="18324.61"/>
    <n v="0"/>
    <n v="0"/>
  </r>
  <r>
    <x v="815"/>
    <s v="Kamopur"/>
    <s v="MPG"/>
    <s v="Direct"/>
    <n v="405.7"/>
    <n v="17492.879999999997"/>
    <n v="341.49999999999994"/>
    <n v="13846.32"/>
    <n v="64.099999999999994"/>
    <n v="3589.5899999999997"/>
    <n v="405.59999999999991"/>
    <n v="17435.91"/>
    <n v="17435.91"/>
    <n v="0"/>
    <n v="0"/>
    <n v="0"/>
    <n v="0"/>
    <n v="0"/>
    <n v="0"/>
    <n v="13847"/>
    <n v="3589"/>
    <n v="0"/>
    <n v="57"/>
    <n v="0"/>
  </r>
  <r>
    <x v="816"/>
    <s v="Kussaiya"/>
    <s v="MPG"/>
    <s v="Direct"/>
    <n v="418.40000000000003"/>
    <n v="18692.21"/>
    <n v="58.44"/>
    <n v="2299.5500000000002"/>
    <n v="359.6"/>
    <n v="16357.48"/>
    <n v="418.04"/>
    <n v="18657.03"/>
    <n v="18657.03"/>
    <n v="0"/>
    <n v="0"/>
    <n v="0"/>
    <n v="0"/>
    <n v="0"/>
    <n v="0"/>
    <n v="2300"/>
    <n v="16358"/>
    <n v="0"/>
    <n v="34"/>
    <n v="0"/>
  </r>
  <r>
    <x v="817"/>
    <s v="Jagdishpur"/>
    <s v="MPG"/>
    <s v="Direct"/>
    <n v="162.69999999999999"/>
    <n v="6101.5999999999995"/>
    <n v="163.79999999999998"/>
    <n v="5812.2700000000013"/>
    <n v="0"/>
    <n v="0"/>
    <n v="163.79999999999998"/>
    <n v="5812.2700000000013"/>
    <n v="5812.2700000000013"/>
    <n v="0"/>
    <n v="0"/>
    <n v="0"/>
    <n v="0"/>
    <n v="0"/>
    <n v="0"/>
    <n v="5812"/>
    <n v="0"/>
    <n v="0"/>
    <n v="290"/>
    <n v="0"/>
  </r>
  <r>
    <x v="818"/>
    <s v="Kanu Bisanpur"/>
    <s v="vlc"/>
    <s v="Indirect"/>
    <n v="123.29999999999998"/>
    <n v="4896.3599999999997"/>
    <n v="0"/>
    <n v="0"/>
    <n v="0"/>
    <n v="0"/>
    <n v="0"/>
    <n v="0"/>
    <n v="4896.3599999999997"/>
    <n v="0"/>
    <n v="0"/>
    <n v="0"/>
    <n v="0"/>
    <n v="0"/>
    <n v="0"/>
    <n v="0"/>
    <n v="0"/>
    <n v="4896.3599999999997"/>
    <n v="0"/>
    <n v="0"/>
  </r>
  <r>
    <x v="819"/>
    <s v="Raini 2"/>
    <s v="MPG"/>
    <s v="Direct"/>
    <n v="412.50000000000006"/>
    <n v="16826.75"/>
    <n v="60.2"/>
    <n v="2402.5800000000004"/>
    <n v="351.69999999999987"/>
    <n v="14390.260000000006"/>
    <n v="411.89999999999986"/>
    <n v="16792.840000000007"/>
    <n v="16792.840000000007"/>
    <n v="0"/>
    <n v="0"/>
    <n v="0"/>
    <n v="0"/>
    <n v="0"/>
    <n v="0"/>
    <n v="2403"/>
    <n v="14394"/>
    <n v="0"/>
    <n v="30"/>
    <n v="0"/>
  </r>
  <r>
    <x v="820"/>
    <s v="Babupur"/>
    <s v="vlc"/>
    <s v="Indirect"/>
    <n v="545.5"/>
    <n v="19928.919999999998"/>
    <n v="0"/>
    <n v="0"/>
    <n v="0"/>
    <n v="0"/>
    <n v="0"/>
    <n v="0"/>
    <n v="19928.919999999998"/>
    <n v="0"/>
    <n v="0"/>
    <n v="0"/>
    <n v="0"/>
    <n v="0"/>
    <n v="0"/>
    <n v="0"/>
    <n v="0"/>
    <n v="19928.919999999998"/>
    <n v="0"/>
    <n v="0"/>
  </r>
  <r>
    <x v="821"/>
    <s v="Rahua 2"/>
    <s v="vlc"/>
    <s v="Indirect"/>
    <n v="1193.7"/>
    <n v="51603.909999999996"/>
    <n v="0"/>
    <n v="0"/>
    <n v="0"/>
    <n v="0"/>
    <n v="0"/>
    <n v="0"/>
    <n v="51603.909999999996"/>
    <n v="0"/>
    <n v="0"/>
    <n v="0"/>
    <n v="0"/>
    <n v="0"/>
    <n v="0"/>
    <n v="0"/>
    <n v="0"/>
    <n v="51603.909999999996"/>
    <n v="0"/>
    <n v="0"/>
  </r>
  <r>
    <x v="822"/>
    <s v="Madhopur"/>
    <s v="vlc"/>
    <s v="Indirect"/>
    <n v="615.1"/>
    <n v="26571.61"/>
    <n v="0"/>
    <n v="0"/>
    <n v="0"/>
    <n v="0"/>
    <n v="0"/>
    <n v="0"/>
    <n v="26571.61"/>
    <n v="0"/>
    <n v="0"/>
    <n v="0"/>
    <n v="0"/>
    <n v="0"/>
    <n v="0"/>
    <n v="0"/>
    <n v="0"/>
    <n v="26571.61"/>
    <n v="0"/>
    <n v="0"/>
  </r>
  <r>
    <x v="823"/>
    <s v="Ekdara"/>
    <s v="vlc"/>
    <s v="Indirect"/>
    <n v="2750.8999999999996"/>
    <n v="102794.68"/>
    <n v="0"/>
    <n v="0"/>
    <n v="0"/>
    <n v="0"/>
    <n v="0"/>
    <n v="0"/>
    <n v="102794.68"/>
    <n v="0"/>
    <n v="0"/>
    <n v="0"/>
    <n v="0"/>
    <n v="0"/>
    <n v="0"/>
    <n v="0"/>
    <n v="0"/>
    <n v="102794.68"/>
    <n v="0"/>
    <n v="0"/>
  </r>
  <r>
    <x v="824"/>
    <s v="Khokasaha"/>
    <s v="vlc"/>
    <s v="Indirect"/>
    <n v="498.00000000000006"/>
    <n v="20064.840000000004"/>
    <n v="0"/>
    <n v="0"/>
    <n v="0"/>
    <n v="0"/>
    <n v="0"/>
    <n v="0"/>
    <n v="20064.840000000004"/>
    <n v="0"/>
    <n v="0"/>
    <n v="0"/>
    <n v="0"/>
    <n v="0"/>
    <n v="0"/>
    <n v="0"/>
    <n v="0"/>
    <n v="20064.840000000004"/>
    <n v="0"/>
    <n v="0"/>
  </r>
  <r>
    <x v="825"/>
    <s v="Madhopur 2"/>
    <s v="vlc"/>
    <s v="Indirect"/>
    <n v="1659.0000000000002"/>
    <n v="64312.009999999995"/>
    <n v="0"/>
    <n v="0"/>
    <n v="0"/>
    <n v="0"/>
    <n v="0"/>
    <n v="0"/>
    <n v="64312.009999999995"/>
    <n v="0"/>
    <n v="0"/>
    <n v="0"/>
    <n v="0"/>
    <n v="0"/>
    <n v="0"/>
    <n v="0"/>
    <n v="0"/>
    <n v="64312.009999999995"/>
    <n v="0"/>
    <n v="0"/>
  </r>
  <r>
    <x v="826"/>
    <s v="Kadarchak 2"/>
    <s v="vlc"/>
    <s v="Indirect"/>
    <n v="133.19999999999999"/>
    <n v="4874.9199999999992"/>
    <n v="0"/>
    <n v="0"/>
    <n v="0"/>
    <n v="0"/>
    <n v="0"/>
    <n v="0"/>
    <n v="4874.9199999999992"/>
    <n v="0"/>
    <n v="0"/>
    <n v="0"/>
    <n v="0"/>
    <n v="0"/>
    <n v="0"/>
    <n v="0"/>
    <n v="0"/>
    <n v="4874.9199999999992"/>
    <n v="0"/>
    <n v="0"/>
  </r>
  <r>
    <x v="827"/>
    <s v="Madhopur Dih"/>
    <s v="vlc"/>
    <s v="Indirect"/>
    <n v="603.29999999999995"/>
    <n v="25201.020000000004"/>
    <n v="0"/>
    <n v="0"/>
    <n v="0"/>
    <n v="0"/>
    <n v="0"/>
    <n v="0"/>
    <n v="25201.020000000004"/>
    <n v="0"/>
    <n v="0"/>
    <n v="0"/>
    <n v="0"/>
    <n v="0"/>
    <n v="0"/>
    <n v="0"/>
    <n v="0"/>
    <n v="25201.020000000004"/>
    <n v="0"/>
    <n v="0"/>
  </r>
  <r>
    <x v="828"/>
    <s v="Alampur"/>
    <s v="vlc"/>
    <s v="Indirect"/>
    <n v="35.9"/>
    <n v="1228.1400000000001"/>
    <n v="0"/>
    <n v="0"/>
    <n v="0"/>
    <n v="0"/>
    <n v="0"/>
    <n v="0"/>
    <n v="1228.1400000000001"/>
    <n v="0"/>
    <n v="0"/>
    <n v="0"/>
    <n v="0"/>
    <n v="0"/>
    <n v="0"/>
    <n v="0"/>
    <n v="0"/>
    <n v="1228.1400000000001"/>
    <n v="0"/>
    <n v="0"/>
  </r>
  <r>
    <x v="829"/>
    <s v="Satmalpur Pachim"/>
    <s v="vlc"/>
    <s v="Indirect"/>
    <n v="76.100000000000009"/>
    <n v="2872.3599999999997"/>
    <n v="0"/>
    <n v="0"/>
    <n v="0"/>
    <n v="0"/>
    <n v="0"/>
    <n v="0"/>
    <n v="2872.3599999999997"/>
    <n v="0"/>
    <n v="0"/>
    <n v="0"/>
    <n v="0"/>
    <n v="0"/>
    <n v="0"/>
    <n v="0"/>
    <n v="0"/>
    <n v="2872.3599999999997"/>
    <n v="0"/>
    <n v="0"/>
  </r>
  <r>
    <x v="830"/>
    <s v="Ganopur"/>
    <s v="vlc"/>
    <s v="Indirect"/>
    <n v="206.1"/>
    <n v="7870.0899999999992"/>
    <n v="0"/>
    <n v="0"/>
    <n v="0"/>
    <n v="0"/>
    <n v="0"/>
    <n v="0"/>
    <n v="7870.0899999999992"/>
    <n v="0"/>
    <n v="0"/>
    <n v="0"/>
    <n v="0"/>
    <n v="0"/>
    <n v="0"/>
    <n v="0"/>
    <n v="0"/>
    <n v="7870.0899999999992"/>
    <n v="0"/>
    <n v="0"/>
  </r>
  <r>
    <x v="831"/>
    <s v="Mahuli"/>
    <s v="MPG"/>
    <s v="Direct"/>
    <n v="451.03000000000009"/>
    <n v="19886.43"/>
    <n v="453.4"/>
    <n v="19965.120000000003"/>
    <n v="8.6"/>
    <n v="374.40999999999997"/>
    <n v="462"/>
    <n v="20339.530000000002"/>
    <n v="19886.43"/>
    <n v="0"/>
    <n v="374.40999999999997"/>
    <n v="453.10000000000218"/>
    <n v="1350"/>
    <n v="0"/>
    <n v="0"/>
    <n v="18162"/>
    <n v="0"/>
    <n v="0"/>
    <n v="0"/>
    <n v="0"/>
  </r>
  <r>
    <x v="832"/>
    <s v="Sakhwa Ghat"/>
    <s v="MPG"/>
    <s v="Direct"/>
    <n v="409.15"/>
    <n v="17880.509999999998"/>
    <n v="405.69999999999993"/>
    <n v="18655.82"/>
    <n v="5.5"/>
    <n v="246.46"/>
    <n v="411.19999999999993"/>
    <n v="18902.28"/>
    <n v="17880.509999999998"/>
    <n v="0"/>
    <n v="246.46"/>
    <n v="1021.7700000000004"/>
    <n v="0"/>
    <n v="0"/>
    <n v="0"/>
    <n v="17634"/>
    <n v="0"/>
    <n v="0"/>
    <n v="0"/>
    <n v="0"/>
  </r>
  <r>
    <x v="833"/>
    <s v="Patiya"/>
    <s v="MPG"/>
    <s v="Direct"/>
    <n v="282.65999999999997"/>
    <n v="11690.810000000001"/>
    <n v="217.29999999999995"/>
    <n v="8930.0599999999977"/>
    <n v="2.3000000000000003"/>
    <n v="92.449999999999989"/>
    <n v="219.59999999999997"/>
    <n v="9022.5099999999984"/>
    <n v="9022.5099999999984"/>
    <n v="0"/>
    <n v="92.449999999999989"/>
    <n v="0"/>
    <n v="0"/>
    <n v="0"/>
    <n v="0"/>
    <n v="8931"/>
    <n v="0"/>
    <n v="0"/>
    <n v="2667"/>
    <n v="0"/>
  </r>
  <r>
    <x v="834"/>
    <s v="Kasiya"/>
    <s v="MPG"/>
    <s v="Direct"/>
    <n v="600.05999999999995"/>
    <n v="24638.100000000006"/>
    <n v="592.6"/>
    <n v="25165.629999999997"/>
    <n v="9.3999999999999986"/>
    <n v="389.59"/>
    <n v="602"/>
    <n v="25555.219999999998"/>
    <n v="24638.100000000006"/>
    <n v="0"/>
    <n v="389.59"/>
    <n v="917.11999999999171"/>
    <n v="0"/>
    <n v="0"/>
    <n v="0"/>
    <n v="24249"/>
    <n v="0"/>
    <n v="0"/>
    <n v="0"/>
    <n v="0"/>
  </r>
  <r>
    <x v="835"/>
    <s v="Godah"/>
    <s v="MPG"/>
    <s v="Direct"/>
    <n v="454.33999999999992"/>
    <n v="20646.850000000002"/>
    <n v="520.4"/>
    <n v="23239.65"/>
    <n v="0"/>
    <n v="0"/>
    <n v="520.4"/>
    <n v="23239.65"/>
    <n v="20646.850000000002"/>
    <n v="0"/>
    <n v="0"/>
    <n v="2592.7999999999993"/>
    <n v="0"/>
    <n v="0"/>
    <n v="0"/>
    <n v="20647"/>
    <n v="0"/>
    <n v="0"/>
    <n v="0"/>
    <n v="0"/>
  </r>
  <r>
    <x v="836"/>
    <s v="Ballahpur"/>
    <s v="MPG"/>
    <s v="Direct"/>
    <n v="441.47999999999996"/>
    <n v="16689.37"/>
    <n v="443.59"/>
    <n v="18139.440000000002"/>
    <n v="0"/>
    <n v="0"/>
    <n v="443.59"/>
    <n v="18139.440000000002"/>
    <n v="16689.37"/>
    <n v="0"/>
    <n v="0"/>
    <n v="1450.0700000000033"/>
    <n v="0"/>
    <n v="500"/>
    <n v="0"/>
    <n v="16189"/>
    <n v="0"/>
    <n v="0"/>
    <n v="0"/>
    <n v="0"/>
  </r>
  <r>
    <x v="837"/>
    <s v="Laxmipur-VLC"/>
    <s v="vlc"/>
    <s v="Indirect"/>
    <n v="196.23999999999998"/>
    <n v="6916.0400000000009"/>
    <n v="0"/>
    <n v="0"/>
    <n v="0"/>
    <n v="0"/>
    <n v="0"/>
    <n v="0"/>
    <n v="6916.0400000000009"/>
    <n v="0"/>
    <n v="0"/>
    <n v="0"/>
    <n v="0"/>
    <n v="0"/>
    <n v="0"/>
    <n v="0"/>
    <n v="0"/>
    <n v="6916.0400000000009"/>
    <n v="0"/>
    <n v="0"/>
  </r>
  <r>
    <x v="838"/>
    <s v="Birpur"/>
    <s v="MPG"/>
    <s v="Direct"/>
    <n v="551.93999999999994"/>
    <n v="20585.569999999996"/>
    <n v="555.68000000000018"/>
    <n v="20882.419999999998"/>
    <n v="0"/>
    <n v="0"/>
    <n v="555.68000000000018"/>
    <n v="20882.419999999998"/>
    <n v="20585.569999999996"/>
    <n v="0"/>
    <n v="0"/>
    <n v="296.85000000000218"/>
    <n v="0"/>
    <n v="0"/>
    <n v="0"/>
    <n v="20586"/>
    <n v="0"/>
    <n v="0"/>
    <n v="0"/>
    <n v="0"/>
  </r>
  <r>
    <x v="839"/>
    <s v="Ahilwar"/>
    <s v="MPG"/>
    <s v="Direct"/>
    <n v="902.4899999999999"/>
    <n v="38303.03"/>
    <n v="507.1"/>
    <n v="22707.98"/>
    <n v="395"/>
    <n v="15203.109999999999"/>
    <n v="902.1"/>
    <n v="37911.089999999997"/>
    <n v="37911.089999999997"/>
    <n v="0"/>
    <n v="211.3"/>
    <n v="0"/>
    <n v="2700"/>
    <n v="0"/>
    <n v="0"/>
    <n v="20008"/>
    <n v="14991"/>
    <n v="0"/>
    <n v="393"/>
    <n v="0"/>
  </r>
  <r>
    <x v="840"/>
    <s v="Paridah"/>
    <s v="MPG"/>
    <s v="Direct"/>
    <n v="387.86"/>
    <n v="15018.8"/>
    <n v="488.20999999999992"/>
    <n v="19171.540000000005"/>
    <n v="3.01"/>
    <n v="117.18000000000002"/>
    <n v="491.21999999999991"/>
    <n v="19288.720000000005"/>
    <n v="15018.8"/>
    <n v="0"/>
    <n v="117.18000000000002"/>
    <n v="4269.9200000000055"/>
    <n v="0"/>
    <n v="500"/>
    <n v="0"/>
    <n v="14402"/>
    <n v="0"/>
    <n v="0"/>
    <n v="0"/>
    <s v="Release4"/>
  </r>
  <r>
    <x v="841"/>
    <s v="KOLAWARI"/>
    <s v="MPG"/>
    <s v="Direct"/>
    <n v="394.46000000000004"/>
    <n v="16090.349999999999"/>
    <n v="399.4"/>
    <n v="16821.48"/>
    <n v="0"/>
    <n v="0"/>
    <n v="399.4"/>
    <n v="16821.48"/>
    <n v="16090.349999999999"/>
    <n v="0"/>
    <n v="0"/>
    <n v="731.13000000000102"/>
    <n v="0"/>
    <n v="0"/>
    <n v="0"/>
    <n v="16090"/>
    <n v="0"/>
    <n v="0"/>
    <n v="0"/>
    <n v="0"/>
  </r>
  <r>
    <x v="842"/>
    <s v="MALDAH"/>
    <s v="vlc"/>
    <s v="Indirect"/>
    <n v="780.81"/>
    <n v="30921.31"/>
    <n v="0"/>
    <n v="0"/>
    <n v="0"/>
    <n v="0"/>
    <n v="0"/>
    <n v="0"/>
    <n v="30921.31"/>
    <n v="0"/>
    <n v="0"/>
    <n v="0"/>
    <n v="0"/>
    <n v="0"/>
    <n v="0"/>
    <n v="0"/>
    <n v="0"/>
    <n v="30921.31"/>
    <n v="0"/>
    <n v="0"/>
  </r>
  <r>
    <x v="843"/>
    <s v="KARANCHI"/>
    <s v="MPG"/>
    <s v="Direct"/>
    <n v="472.35"/>
    <n v="18578.830000000002"/>
    <n v="489.39999999999986"/>
    <n v="21706.949999999997"/>
    <n v="0"/>
    <n v="0"/>
    <n v="489.39999999999986"/>
    <n v="21706.949999999997"/>
    <n v="18578.830000000002"/>
    <n v="0"/>
    <n v="0"/>
    <n v="3128.1199999999953"/>
    <n v="0"/>
    <n v="0"/>
    <n v="0"/>
    <n v="18579"/>
    <n v="0"/>
    <n v="0"/>
    <n v="0"/>
    <s v="Release4"/>
  </r>
  <r>
    <x v="844"/>
    <s v="MARTHUA"/>
    <s v="MPG"/>
    <s v="Direct"/>
    <n v="711.54000000000008"/>
    <n v="31284.150000000005"/>
    <n v="793.46"/>
    <n v="36060.089999999989"/>
    <n v="0"/>
    <n v="0"/>
    <n v="793.46"/>
    <n v="36060.089999999989"/>
    <n v="31284.150000000005"/>
    <n v="0"/>
    <n v="0"/>
    <n v="4775.9399999999841"/>
    <n v="0"/>
    <n v="0"/>
    <n v="0"/>
    <n v="31284"/>
    <n v="0"/>
    <n v="0"/>
    <n v="0"/>
    <n v="0"/>
  </r>
  <r>
    <x v="845"/>
    <s v="GARHPURA "/>
    <s v="MPG"/>
    <s v="Direct"/>
    <n v="88.48"/>
    <n v="3116.72"/>
    <n v="89.899999999999991"/>
    <n v="3193.0499999999997"/>
    <n v="0"/>
    <n v="0"/>
    <n v="89.899999999999991"/>
    <n v="3193.0499999999997"/>
    <n v="3116.72"/>
    <n v="0"/>
    <n v="0"/>
    <n v="76.329999999999927"/>
    <n v="0"/>
    <n v="0"/>
    <n v="0"/>
    <n v="3117"/>
    <n v="0"/>
    <n v="0"/>
    <n v="0"/>
    <n v="0"/>
  </r>
  <r>
    <x v="846"/>
    <s v="KOKANI"/>
    <s v="MPG"/>
    <s v="Direct"/>
    <n v="153.13"/>
    <n v="5707.3300000000008"/>
    <n v="155.4"/>
    <n v="5834.0399999999991"/>
    <n v="0"/>
    <n v="0"/>
    <n v="155.4"/>
    <n v="5834.0399999999991"/>
    <n v="5707.3300000000008"/>
    <n v="0"/>
    <n v="0"/>
    <n v="126.70999999999822"/>
    <n v="0"/>
    <n v="0"/>
    <n v="0"/>
    <n v="5707"/>
    <n v="0"/>
    <n v="0"/>
    <n v="0"/>
    <n v="0"/>
  </r>
  <r>
    <x v="847"/>
    <s v="DURGAPUR "/>
    <s v="MPG"/>
    <s v="Direct"/>
    <n v="469.80000000000007"/>
    <n v="19382.489999999998"/>
    <n v="479.5"/>
    <n v="19782.250000000004"/>
    <n v="0"/>
    <n v="0"/>
    <n v="479.5"/>
    <n v="19782.250000000004"/>
    <n v="19382.489999999998"/>
    <n v="0"/>
    <n v="0"/>
    <n v="399.76000000000568"/>
    <n v="0"/>
    <n v="0"/>
    <n v="0"/>
    <n v="19382"/>
    <n v="0"/>
    <n v="0"/>
    <n v="0"/>
    <n v="0"/>
  </r>
  <r>
    <x v="848"/>
    <s v="Chandauli"/>
    <s v="MPG"/>
    <s v="Direct"/>
    <n v="211.48"/>
    <n v="9727.19"/>
    <n v="217.19999999999996"/>
    <n v="10292.380000000001"/>
    <n v="0"/>
    <n v="0"/>
    <n v="217.19999999999996"/>
    <n v="10292.380000000001"/>
    <n v="9727.19"/>
    <n v="0"/>
    <n v="0"/>
    <n v="565.19000000000051"/>
    <n v="0"/>
    <n v="0"/>
    <n v="0"/>
    <n v="9727"/>
    <n v="0"/>
    <n v="0"/>
    <n v="0"/>
    <s v="Release4"/>
  </r>
  <r>
    <x v="849"/>
    <s v="Girdharpur"/>
    <s v="MPG"/>
    <s v="Direct"/>
    <n v="94.210000000000008"/>
    <n v="3466.51"/>
    <n v="94.2"/>
    <n v="3523.7599999999998"/>
    <n v="0"/>
    <n v="0"/>
    <n v="94.2"/>
    <n v="3523.7599999999998"/>
    <n v="3466.51"/>
    <n v="0"/>
    <n v="0"/>
    <n v="57.249999999999545"/>
    <n v="0"/>
    <n v="0"/>
    <n v="0"/>
    <n v="3467"/>
    <n v="0"/>
    <n v="0"/>
    <n v="0"/>
    <n v="0"/>
  </r>
  <r>
    <x v="850"/>
    <s v="MISHRBIGHA"/>
    <s v="MPG"/>
    <s v="Direct"/>
    <n v="792.9000000000002"/>
    <n v="40370.780000000006"/>
    <n v="910.11000000000013"/>
    <n v="45891.09"/>
    <n v="0"/>
    <n v="0"/>
    <n v="910.11000000000013"/>
    <n v="45891.09"/>
    <n v="40370.780000000006"/>
    <n v="0"/>
    <n v="0"/>
    <n v="5520.3099999999904"/>
    <n v="0"/>
    <n v="0"/>
    <n v="0"/>
    <n v="40371"/>
    <n v="0"/>
    <n v="0"/>
    <n v="0"/>
    <n v="0"/>
  </r>
  <r>
    <x v="851"/>
    <s v="DIGHOI"/>
    <s v="MPG"/>
    <s v="Direct"/>
    <n v="122.69999999999999"/>
    <n v="7541.52"/>
    <n v="118.27"/>
    <n v="7304.34"/>
    <n v="0"/>
    <n v="0"/>
    <n v="118.27"/>
    <n v="7304.34"/>
    <n v="7304.34"/>
    <n v="0"/>
    <n v="0"/>
    <n v="0"/>
    <n v="0"/>
    <n v="500"/>
    <n v="0"/>
    <n v="6804"/>
    <n v="0"/>
    <n v="0"/>
    <n v="238"/>
    <n v="0"/>
  </r>
  <r>
    <x v="852"/>
    <s v="PRATAPUR"/>
    <s v="MPG"/>
    <s v="Direct"/>
    <n v="910.70000000000016"/>
    <n v="36079.680000000008"/>
    <n v="910.19999999999993"/>
    <n v="36059.519999999997"/>
    <n v="0"/>
    <n v="0"/>
    <n v="910.19999999999993"/>
    <n v="36059.519999999997"/>
    <n v="36059.519999999997"/>
    <n v="0"/>
    <n v="0"/>
    <n v="0"/>
    <n v="0"/>
    <n v="0"/>
    <n v="0"/>
    <n v="36060"/>
    <n v="0"/>
    <n v="0"/>
    <n v="20"/>
    <n v="0"/>
  </r>
  <r>
    <x v="853"/>
    <s v="GOPALPUR"/>
    <s v="MPG"/>
    <s v="Direct"/>
    <n v="1109.1999999999998"/>
    <n v="51933.830000000009"/>
    <n v="1190.6000000000001"/>
    <n v="54324.6"/>
    <n v="0"/>
    <n v="0"/>
    <n v="1190.6000000000001"/>
    <n v="54324.6"/>
    <n v="51933.830000000009"/>
    <n v="0"/>
    <n v="0"/>
    <n v="2390.7699999999895"/>
    <n v="0"/>
    <n v="0"/>
    <n v="0"/>
    <n v="51934"/>
    <n v="0"/>
    <n v="0"/>
    <n v="0"/>
    <n v="0"/>
  </r>
  <r>
    <x v="854"/>
    <s v="NARMDA"/>
    <s v="MPG"/>
    <s v="Direct"/>
    <n v="316.59999999999997"/>
    <n v="16121.649999999998"/>
    <n v="323.2"/>
    <n v="16115.87"/>
    <n v="0"/>
    <n v="0"/>
    <n v="323.2"/>
    <n v="16115.87"/>
    <n v="16115.87"/>
    <n v="0"/>
    <n v="0"/>
    <n v="0"/>
    <n v="0"/>
    <n v="0"/>
    <n v="0"/>
    <n v="16116"/>
    <n v="0"/>
    <n v="0"/>
    <n v="6"/>
    <n v="0"/>
  </r>
  <r>
    <x v="855"/>
    <s v="AMRATH"/>
    <s v="MPG"/>
    <s v="Direct"/>
    <n v="1475.8999999999999"/>
    <n v="78562.37000000001"/>
    <n v="1475.9"/>
    <n v="75261.5"/>
    <n v="0"/>
    <n v="0"/>
    <n v="1475.9"/>
    <n v="75261.5"/>
    <n v="75261.5"/>
    <n v="0"/>
    <n v="0"/>
    <n v="0"/>
    <n v="0"/>
    <n v="0"/>
    <n v="0"/>
    <n v="75262"/>
    <n v="0"/>
    <n v="0"/>
    <n v="3300"/>
    <n v="0"/>
  </r>
  <r>
    <x v="856"/>
    <s v="PUTERIA"/>
    <s v="MPG"/>
    <s v="Direct"/>
    <n v="647"/>
    <n v="27827.160000000003"/>
    <n v="536.73"/>
    <n v="22798.390000000003"/>
    <n v="0"/>
    <n v="0"/>
    <n v="536.73"/>
    <n v="22798.390000000003"/>
    <n v="22798.390000000003"/>
    <n v="0"/>
    <n v="0"/>
    <n v="0"/>
    <n v="0"/>
    <n v="0"/>
    <n v="0"/>
    <n v="22799"/>
    <n v="0"/>
    <n v="0"/>
    <n v="5028"/>
    <n v="0"/>
  </r>
  <r>
    <x v="857"/>
    <s v="LAKHAPUR"/>
    <s v="MPG"/>
    <s v="Direct"/>
    <n v="1071.2"/>
    <n v="47872.03"/>
    <n v="1071.1999999999998"/>
    <n v="47872.029999999984"/>
    <n v="0"/>
    <n v="0"/>
    <n v="1071.1999999999998"/>
    <n v="47872.029999999984"/>
    <n v="47872.029999999984"/>
    <n v="0"/>
    <n v="0"/>
    <n v="0"/>
    <n v="0"/>
    <n v="0"/>
    <n v="0"/>
    <n v="47872"/>
    <n v="0"/>
    <n v="0"/>
    <n v="0"/>
    <n v="0"/>
  </r>
  <r>
    <x v="858"/>
    <s v="BARIYARPUR"/>
    <s v="MPG"/>
    <s v="Direct"/>
    <n v="810.30000000000018"/>
    <n v="37021.589999999989"/>
    <n v="810.3"/>
    <n v="36048.520000000004"/>
    <n v="0"/>
    <n v="0"/>
    <n v="810.3"/>
    <n v="36048.520000000004"/>
    <n v="36048.520000000004"/>
    <n v="0"/>
    <n v="0"/>
    <n v="0"/>
    <n v="0"/>
    <n v="0"/>
    <n v="0"/>
    <n v="36049"/>
    <n v="0"/>
    <n v="0"/>
    <n v="973"/>
    <n v="0"/>
  </r>
  <r>
    <x v="859"/>
    <s v="BAGWANA"/>
    <s v="MPG"/>
    <s v="Direct"/>
    <n v="665.4"/>
    <n v="32623.17"/>
    <n v="731.40000000000009"/>
    <n v="34952.539999999994"/>
    <n v="0"/>
    <n v="0"/>
    <n v="731.40000000000009"/>
    <n v="34952.539999999994"/>
    <n v="32623.17"/>
    <n v="0"/>
    <n v="0"/>
    <n v="2329.3699999999953"/>
    <n v="0"/>
    <n v="0"/>
    <n v="0"/>
    <n v="32623"/>
    <n v="0"/>
    <n v="0"/>
    <n v="0"/>
    <n v="0"/>
  </r>
  <r>
    <x v="860"/>
    <s v="GOMUKH DAND"/>
    <s v="vlc"/>
    <s v="Indirect"/>
    <n v="429.40000000000003"/>
    <n v="20693.329999999998"/>
    <n v="0"/>
    <n v="0"/>
    <n v="0"/>
    <n v="0"/>
    <n v="0"/>
    <n v="0"/>
    <n v="20693.329999999998"/>
    <n v="0"/>
    <n v="0"/>
    <n v="0"/>
    <n v="0"/>
    <n v="0"/>
    <n v="0"/>
    <n v="0"/>
    <n v="0"/>
    <n v="20693.329999999998"/>
    <n v="0"/>
    <n v="0"/>
  </r>
  <r>
    <x v="861"/>
    <s v="Gomukh Ama"/>
    <s v="MPG"/>
    <s v="Direct"/>
    <n v="613.93000000000006"/>
    <n v="23155.140000000003"/>
    <n v="578.59"/>
    <n v="23140.660000000003"/>
    <n v="0"/>
    <n v="0"/>
    <n v="578.59"/>
    <n v="23140.660000000003"/>
    <n v="23140.660000000003"/>
    <n v="0"/>
    <n v="0"/>
    <n v="0"/>
    <n v="0"/>
    <n v="0"/>
    <n v="0"/>
    <n v="23141"/>
    <n v="0"/>
    <n v="0"/>
    <n v="14"/>
    <n v="0"/>
  </r>
  <r>
    <x v="862"/>
    <s v="Gomukh Pawat"/>
    <s v="MPG"/>
    <s v="Direct"/>
    <n v="179.20000000000002"/>
    <n v="7249.89"/>
    <n v="188.43999999999997"/>
    <n v="8589.93"/>
    <n v="0"/>
    <n v="0"/>
    <n v="188.43999999999997"/>
    <n v="8589.93"/>
    <n v="7249.89"/>
    <n v="0"/>
    <n v="0"/>
    <n v="1340.04"/>
    <n v="0"/>
    <n v="0"/>
    <n v="0"/>
    <n v="7250"/>
    <n v="0"/>
    <n v="0"/>
    <n v="0"/>
    <s v="Release3"/>
  </r>
  <r>
    <x v="863"/>
    <s v="Gomukh Barja"/>
    <s v="MPG"/>
    <s v="Direct"/>
    <n v="140.5"/>
    <n v="5432.72"/>
    <n v="142.56"/>
    <n v="5338.6099999999988"/>
    <n v="2.2600000000000002"/>
    <n v="79.77"/>
    <n v="144.82"/>
    <n v="5418.3799999999992"/>
    <n v="5418.3799999999992"/>
    <n v="0"/>
    <n v="79.77"/>
    <n v="0"/>
    <n v="0"/>
    <n v="0"/>
    <n v="0"/>
    <n v="5339"/>
    <n v="0"/>
    <n v="0"/>
    <n v="14"/>
    <n v="0"/>
  </r>
  <r>
    <x v="864"/>
    <s v="Gomukh Charghat"/>
    <s v="MPG"/>
    <s v="Direct"/>
    <n v="136.6"/>
    <n v="5845.3499999999995"/>
    <n v="143.52000000000004"/>
    <n v="5849.9500000000007"/>
    <n v="0"/>
    <n v="0"/>
    <n v="143.52000000000004"/>
    <n v="5849.9500000000007"/>
    <n v="5845.3499999999995"/>
    <n v="0"/>
    <n v="0"/>
    <n v="4.6000000000012733"/>
    <n v="0"/>
    <n v="0"/>
    <n v="0"/>
    <n v="5845"/>
    <n v="0"/>
    <n v="0"/>
    <n v="0"/>
    <n v="0"/>
  </r>
  <r>
    <x v="865"/>
    <s v="Gomukh Ramdihra"/>
    <s v="MPG"/>
    <s v="Direct"/>
    <n v="85.300000000000011"/>
    <n v="2999.4200000000005"/>
    <n v="85"/>
    <n v="2989.45"/>
    <n v="0"/>
    <n v="0"/>
    <n v="85"/>
    <n v="2989.45"/>
    <n v="2989.45"/>
    <n v="0"/>
    <n v="0"/>
    <n v="0"/>
    <n v="0"/>
    <n v="500"/>
    <n v="0"/>
    <n v="2489"/>
    <n v="0"/>
    <n v="0"/>
    <n v="10"/>
    <n v="0"/>
  </r>
  <r>
    <x v="866"/>
    <s v="Gomukh Bara"/>
    <s v="MPG"/>
    <s v="Direct"/>
    <n v="41.3"/>
    <n v="1526.0399999999997"/>
    <n v="43.58"/>
    <n v="1748.71"/>
    <n v="0"/>
    <n v="0"/>
    <n v="43.58"/>
    <n v="1748.71"/>
    <n v="1526.0399999999997"/>
    <n v="0"/>
    <n v="0"/>
    <n v="222.6700000000003"/>
    <n v="0"/>
    <n v="0"/>
    <n v="0"/>
    <n v="1526"/>
    <n v="0"/>
    <n v="0"/>
    <n v="0"/>
    <n v="0"/>
  </r>
  <r>
    <x v="867"/>
    <s v="Gumukh Khajuriya"/>
    <s v="MPG"/>
    <s v="Direct"/>
    <n v="358.20000000000005"/>
    <n v="13814.290000000003"/>
    <n v="404.01"/>
    <n v="15083.18"/>
    <n v="0"/>
    <n v="0"/>
    <n v="404.01"/>
    <n v="15083.18"/>
    <n v="13814.290000000003"/>
    <n v="0"/>
    <n v="0"/>
    <n v="1268.8899999999976"/>
    <n v="0"/>
    <n v="0"/>
    <n v="0"/>
    <n v="13814"/>
    <n v="0"/>
    <n v="0"/>
    <n v="0"/>
    <n v="0"/>
  </r>
  <r>
    <x v="868"/>
    <s v="GOMUKH BHATOLIYA"/>
    <s v="MPG"/>
    <s v="Direct"/>
    <n v="677.99999999999989"/>
    <n v="30775.719999999994"/>
    <n v="693.7"/>
    <n v="30902.289999999997"/>
    <n v="0.8"/>
    <n v="39.69"/>
    <n v="694.5"/>
    <n v="30941.979999999996"/>
    <n v="30775.719999999994"/>
    <n v="0"/>
    <n v="39.69"/>
    <n v="166.26000000000204"/>
    <n v="0"/>
    <n v="0"/>
    <n v="0"/>
    <n v="30736"/>
    <n v="0"/>
    <n v="0"/>
    <n v="0"/>
    <n v="0"/>
  </r>
  <r>
    <x v="869"/>
    <s v="GOMUKH CHEHRAKALA"/>
    <s v="MPG"/>
    <s v="Direct"/>
    <n v="303.70000000000005"/>
    <n v="13874.440000000002"/>
    <n v="324.29999999999995"/>
    <n v="15613.94"/>
    <n v="0"/>
    <n v="0"/>
    <n v="324.29999999999995"/>
    <n v="15613.94"/>
    <n v="13874.440000000002"/>
    <n v="0"/>
    <n v="0"/>
    <n v="1739.4999999999982"/>
    <n v="0"/>
    <n v="0"/>
    <n v="0"/>
    <n v="13874"/>
    <n v="0"/>
    <n v="0"/>
    <n v="0"/>
    <s v="Release3"/>
  </r>
  <r>
    <x v="870"/>
    <s v="GOMUKH KHAJECHAND"/>
    <s v="MPG"/>
    <s v="Direct"/>
    <n v="255.8"/>
    <n v="10180.999999999998"/>
    <n v="259"/>
    <n v="10421.119999999999"/>
    <n v="0"/>
    <n v="0"/>
    <n v="259"/>
    <n v="10421.119999999999"/>
    <n v="10180.999999999998"/>
    <n v="0"/>
    <n v="0"/>
    <n v="240.1200000000008"/>
    <n v="0"/>
    <n v="0"/>
    <n v="0"/>
    <n v="10181"/>
    <n v="0"/>
    <n v="0"/>
    <n v="0"/>
    <n v="0"/>
  </r>
  <r>
    <x v="871"/>
    <s v="GOMUKH SALEMPUR"/>
    <s v="MPG"/>
    <s v="Direct"/>
    <n v="350.2"/>
    <n v="15476.45"/>
    <n v="344.40000000000003"/>
    <n v="15639.17"/>
    <n v="7.8000000000000007"/>
    <n v="337.17000000000007"/>
    <n v="352.20000000000005"/>
    <n v="15976.34"/>
    <n v="15476.45"/>
    <n v="0"/>
    <n v="337.17000000000007"/>
    <n v="499.88999999999942"/>
    <n v="0"/>
    <n v="0"/>
    <n v="0"/>
    <n v="15139"/>
    <n v="0"/>
    <n v="0"/>
    <n v="0"/>
    <n v="0"/>
  </r>
  <r>
    <x v="872"/>
    <s v="Gomukh Paharpur"/>
    <s v="MPG"/>
    <s v="Direct"/>
    <n v="799.69999999999982"/>
    <n v="37268.949999999997"/>
    <n v="840"/>
    <n v="37735.490000000005"/>
    <n v="0"/>
    <n v="0"/>
    <n v="840"/>
    <n v="37735.490000000005"/>
    <n v="37268.949999999997"/>
    <n v="0"/>
    <n v="0"/>
    <n v="466.54000000000815"/>
    <n v="0"/>
    <n v="0"/>
    <n v="0"/>
    <n v="37269"/>
    <n v="0"/>
    <n v="0"/>
    <n v="0"/>
    <n v="0"/>
  </r>
  <r>
    <x v="873"/>
    <s v="GOMUKH PREMRAJ"/>
    <s v="MPG"/>
    <s v="Direct"/>
    <n v="400.8"/>
    <n v="19679.11"/>
    <n v="403.1"/>
    <n v="19456.98"/>
    <n v="0"/>
    <n v="0"/>
    <n v="403.1"/>
    <n v="19456.98"/>
    <n v="19456.98"/>
    <n v="0"/>
    <n v="0"/>
    <n v="0"/>
    <n v="0"/>
    <n v="0"/>
    <n v="0"/>
    <n v="19456"/>
    <n v="0"/>
    <n v="0"/>
    <n v="223"/>
    <n v="0"/>
  </r>
  <r>
    <x v="874"/>
    <s v="GOMUKH GANGATI"/>
    <s v="MPG"/>
    <s v="Direct"/>
    <n v="406"/>
    <n v="19735.05"/>
    <n v="421.50000000000006"/>
    <n v="19095.47"/>
    <n v="0"/>
    <n v="0"/>
    <n v="421.50000000000006"/>
    <n v="19095.47"/>
    <n v="19095.47"/>
    <n v="0"/>
    <n v="0"/>
    <n v="0"/>
    <n v="0"/>
    <n v="0"/>
    <n v="0"/>
    <n v="19096"/>
    <n v="0"/>
    <n v="0"/>
    <n v="639"/>
    <n v="0"/>
  </r>
  <r>
    <x v="875"/>
    <s v="GOMUKH Khanpatti"/>
    <s v="MPG"/>
    <s v="Direct"/>
    <n v="1221.9000000000003"/>
    <n v="56818.35"/>
    <n v="1232.8"/>
    <n v="56380.869999999995"/>
    <n v="12.599999999999998"/>
    <n v="562.64"/>
    <n v="1245.3999999999999"/>
    <n v="56943.509999999995"/>
    <n v="56818.35"/>
    <n v="0"/>
    <n v="562.64"/>
    <n v="125.15999999999622"/>
    <n v="2336"/>
    <n v="0"/>
    <n v="0"/>
    <n v="53920"/>
    <n v="0"/>
    <n v="0"/>
    <n v="0"/>
    <s v="Release1"/>
  </r>
  <r>
    <x v="876"/>
    <s v="GOMUKH Bhagwatpur"/>
    <s v="MPG"/>
    <s v="Direct"/>
    <n v="504.90000000000003"/>
    <n v="25349.68"/>
    <n v="531.1"/>
    <n v="25425.720000000005"/>
    <n v="0"/>
    <n v="0"/>
    <n v="531.1"/>
    <n v="25425.720000000005"/>
    <n v="25349.68"/>
    <n v="0"/>
    <n v="0"/>
    <n v="76.040000000004511"/>
    <n v="0"/>
    <n v="0"/>
    <n v="0"/>
    <n v="25350"/>
    <n v="0"/>
    <n v="0"/>
    <n v="0"/>
    <n v="0"/>
  </r>
  <r>
    <x v="877"/>
    <s v="GOMUKH JIRWARA"/>
    <s v="vlc"/>
    <s v="Indirect"/>
    <n v="287.79999999999995"/>
    <n v="11321.1"/>
    <n v="0"/>
    <n v="0"/>
    <n v="0"/>
    <n v="0"/>
    <n v="0"/>
    <n v="0"/>
    <n v="11321.1"/>
    <n v="0"/>
    <n v="0"/>
    <n v="0"/>
    <n v="0"/>
    <n v="0"/>
    <n v="0"/>
    <n v="0"/>
    <n v="0"/>
    <n v="11321.1"/>
    <n v="0"/>
    <n v="0"/>
  </r>
  <r>
    <x v="878"/>
    <s v="GOMUKH Karhatiya"/>
    <s v="vlc"/>
    <s v="Indirect"/>
    <n v="170.20000000000002"/>
    <n v="6109.5999999999985"/>
    <n v="0"/>
    <n v="0"/>
    <n v="0"/>
    <n v="0"/>
    <n v="0"/>
    <n v="0"/>
    <n v="6109.5999999999985"/>
    <n v="0"/>
    <n v="0"/>
    <n v="0"/>
    <n v="0"/>
    <n v="0"/>
    <n v="0"/>
    <n v="0"/>
    <n v="0"/>
    <n v="6109.5999999999985"/>
    <n v="0"/>
    <n v="0"/>
  </r>
  <r>
    <x v="879"/>
    <s v="GOMUKH Bheraukhara"/>
    <s v="MPG"/>
    <s v="Direct"/>
    <n v="179.9"/>
    <n v="7850.82"/>
    <n v="180.5"/>
    <n v="8108.4100000000008"/>
    <n v="0"/>
    <n v="0"/>
    <n v="180.5"/>
    <n v="8108.4100000000008"/>
    <n v="7850.82"/>
    <n v="0"/>
    <n v="0"/>
    <n v="257.59000000000106"/>
    <n v="0"/>
    <n v="0"/>
    <n v="0"/>
    <n v="7851"/>
    <n v="0"/>
    <n v="0"/>
    <n v="0"/>
    <s v="Release3"/>
  </r>
  <r>
    <x v="880"/>
    <s v="GOMUKH SUPOLTARIYA"/>
    <s v="MPG"/>
    <s v="Direct"/>
    <n v="487.9"/>
    <n v="22139.389999999996"/>
    <n v="433.59999999999997"/>
    <n v="19033.62"/>
    <n v="95"/>
    <n v="4306.55"/>
    <n v="528.59999999999991"/>
    <n v="23340.17"/>
    <n v="22139.389999999996"/>
    <n v="0"/>
    <n v="0"/>
    <n v="1200.7800000000025"/>
    <n v="201"/>
    <n v="0"/>
    <n v="0"/>
    <n v="17632"/>
    <n v="4306"/>
    <n v="0"/>
    <n v="0"/>
    <s v="Release1"/>
  </r>
  <r>
    <x v="881"/>
    <s v="GOMUKH Shravanapatti"/>
    <s v="MPG"/>
    <s v="Direct"/>
    <n v="97.800000000000026"/>
    <n v="5008"/>
    <n v="101.2"/>
    <n v="5410.5599999999995"/>
    <n v="0"/>
    <n v="0"/>
    <n v="101.2"/>
    <n v="5410.5599999999995"/>
    <n v="5008"/>
    <n v="0"/>
    <n v="0"/>
    <n v="402.55999999999949"/>
    <n v="0"/>
    <n v="0"/>
    <n v="0"/>
    <n v="5008"/>
    <n v="0"/>
    <n v="0"/>
    <n v="0"/>
    <n v="0"/>
  </r>
  <r>
    <x v="882"/>
    <s v="GOMUKH Jilwara"/>
    <s v="MPG"/>
    <s v="Direct"/>
    <n v="349.3"/>
    <n v="15116.710000000001"/>
    <n v="349.9"/>
    <n v="14847.090000000002"/>
    <n v="0"/>
    <n v="0"/>
    <n v="349.9"/>
    <n v="14847.090000000002"/>
    <n v="14847.090000000002"/>
    <n v="0"/>
    <n v="0"/>
    <n v="0"/>
    <n v="1400"/>
    <n v="0"/>
    <n v="0"/>
    <n v="13446"/>
    <n v="0"/>
    <n v="0"/>
    <n v="271"/>
    <s v="Release1"/>
  </r>
  <r>
    <x v="883"/>
    <s v="GOMUKH ABBUCHAK"/>
    <s v="MPG"/>
    <s v="Direct"/>
    <n v="194.50000000000003"/>
    <n v="10124.84"/>
    <n v="201.29999999999998"/>
    <n v="10324.199999999999"/>
    <n v="0"/>
    <n v="0"/>
    <n v="201.29999999999998"/>
    <n v="10324.199999999999"/>
    <n v="10124.84"/>
    <n v="0"/>
    <n v="0"/>
    <n v="199.35999999999876"/>
    <n v="0"/>
    <n v="0"/>
    <n v="0"/>
    <n v="10125"/>
    <n v="0"/>
    <n v="0"/>
    <n v="0"/>
    <n v="0"/>
  </r>
  <r>
    <x v="884"/>
    <s v="GOMUKH KAILA JALALPUR"/>
    <s v="MPG"/>
    <s v="Direct"/>
    <n v="335.2"/>
    <n v="13393.4"/>
    <n v="331.29999999999995"/>
    <n v="13239.73"/>
    <n v="5"/>
    <n v="188.02"/>
    <n v="336.29999999999995"/>
    <n v="13427.75"/>
    <n v="13393.4"/>
    <n v="0"/>
    <n v="188.02"/>
    <n v="34.350000000000364"/>
    <n v="0"/>
    <n v="0"/>
    <n v="0"/>
    <n v="13205"/>
    <n v="0"/>
    <n v="0"/>
    <n v="0"/>
    <s v="Release3"/>
  </r>
  <r>
    <x v="885"/>
    <s v="Gomukh Dumari"/>
    <s v="vlc"/>
    <s v="Indirect"/>
    <n v="14.6"/>
    <n v="580.95000000000005"/>
    <n v="0"/>
    <n v="0"/>
    <n v="0"/>
    <n v="0"/>
    <n v="0"/>
    <n v="0"/>
    <n v="580.95000000000005"/>
    <n v="0"/>
    <n v="0"/>
    <n v="0"/>
    <n v="0"/>
    <n v="0"/>
    <n v="0"/>
    <n v="0"/>
    <n v="0"/>
    <n v="580.95000000000005"/>
    <n v="0"/>
    <n v="0"/>
  </r>
  <r>
    <x v="886"/>
    <s v="Gomukh Jhitkahi East"/>
    <s v="MPG"/>
    <s v="Direct"/>
    <n v="155.1"/>
    <n v="8696.73"/>
    <n v="150.30000000000001"/>
    <n v="8614.75"/>
    <n v="0"/>
    <n v="0"/>
    <n v="150.30000000000001"/>
    <n v="8614.75"/>
    <n v="8614.75"/>
    <n v="0"/>
    <n v="0"/>
    <n v="0"/>
    <n v="0"/>
    <n v="0"/>
    <n v="0"/>
    <n v="8614"/>
    <n v="0"/>
    <n v="0"/>
    <n v="83"/>
    <n v="0"/>
  </r>
  <r>
    <x v="887"/>
    <s v="GOMUKH UPHRAUL"/>
    <s v="vlc"/>
    <s v="Indirect"/>
    <n v="1614.7000000000003"/>
    <n v="63420"/>
    <n v="0"/>
    <n v="0"/>
    <n v="0"/>
    <n v="0"/>
    <n v="0"/>
    <n v="0"/>
    <n v="63420"/>
    <n v="0"/>
    <n v="0"/>
    <n v="0"/>
    <n v="0"/>
    <n v="0"/>
    <n v="0"/>
    <n v="0"/>
    <n v="0"/>
    <n v="63420"/>
    <n v="0"/>
    <n v="0"/>
  </r>
  <r>
    <x v="888"/>
    <s v="GOMUKH SHERPUR"/>
    <s v="vlc"/>
    <s v="Indirect"/>
    <n v="233.10000000000002"/>
    <n v="9214.83"/>
    <n v="0"/>
    <n v="0"/>
    <n v="0"/>
    <n v="0"/>
    <n v="0"/>
    <n v="0"/>
    <n v="9214.83"/>
    <n v="0"/>
    <n v="0"/>
    <n v="0"/>
    <n v="0"/>
    <n v="0"/>
    <n v="0"/>
    <n v="0"/>
    <n v="0"/>
    <n v="9214.83"/>
    <n v="0"/>
    <n v="0"/>
  </r>
  <r>
    <x v="889"/>
    <s v="GOMUKH GARAHI"/>
    <s v="vlc"/>
    <s v="Indirect"/>
    <n v="441.3"/>
    <n v="14115.54"/>
    <n v="0"/>
    <n v="0"/>
    <n v="0"/>
    <n v="0"/>
    <n v="0"/>
    <n v="0"/>
    <n v="14115.54"/>
    <n v="0"/>
    <n v="0"/>
    <n v="0"/>
    <n v="0"/>
    <n v="0"/>
    <n v="0"/>
    <n v="0"/>
    <n v="0"/>
    <n v="14115.54"/>
    <n v="0"/>
    <n v="0"/>
  </r>
  <r>
    <x v="890"/>
    <s v="GOMUKH BAIKUNTHPUR"/>
    <s v="vlc"/>
    <s v="Indirect"/>
    <n v="306.7"/>
    <n v="11516.719999999998"/>
    <n v="0"/>
    <n v="0"/>
    <n v="0"/>
    <n v="0"/>
    <n v="0"/>
    <n v="0"/>
    <n v="11516.719999999998"/>
    <n v="0"/>
    <n v="0"/>
    <n v="0"/>
    <n v="0"/>
    <n v="0"/>
    <n v="0"/>
    <n v="0"/>
    <n v="0"/>
    <n v="11516.719999999998"/>
    <n v="0"/>
    <n v="0"/>
  </r>
  <r>
    <x v="891"/>
    <s v="GOMUKH BAHASHI"/>
    <s v="vlc"/>
    <s v="Indirect"/>
    <n v="781.1"/>
    <n v="30234.379999999997"/>
    <n v="0"/>
    <n v="0"/>
    <n v="0"/>
    <n v="0"/>
    <n v="0"/>
    <n v="0"/>
    <n v="30234.379999999997"/>
    <n v="0"/>
    <n v="0"/>
    <n v="0"/>
    <n v="0"/>
    <n v="0"/>
    <n v="0"/>
    <n v="0"/>
    <n v="0"/>
    <n v="30234.379999999997"/>
    <n v="0"/>
    <n v="0"/>
  </r>
  <r>
    <x v="892"/>
    <s v="GOMUKH RUSULPUR GANGATI"/>
    <s v="vlc"/>
    <s v="Indirect"/>
    <n v="19.299999999999997"/>
    <n v="733.58"/>
    <n v="0"/>
    <n v="0"/>
    <n v="0"/>
    <n v="0"/>
    <n v="0"/>
    <n v="0"/>
    <n v="733.58"/>
    <n v="0"/>
    <n v="0"/>
    <n v="0"/>
    <n v="0"/>
    <n v="0"/>
    <n v="0"/>
    <n v="0"/>
    <n v="0"/>
    <n v="733.58"/>
    <n v="0"/>
    <n v="0"/>
  </r>
  <r>
    <x v="893"/>
    <s v="GOMUKH KHARIKA"/>
    <s v="vlc"/>
    <s v="Indirect"/>
    <n v="801.19999999999993"/>
    <n v="31139.600000000006"/>
    <n v="0"/>
    <n v="0"/>
    <n v="0"/>
    <n v="0"/>
    <n v="0"/>
    <n v="0"/>
    <n v="31139.600000000006"/>
    <n v="0"/>
    <n v="0"/>
    <n v="0"/>
    <n v="0"/>
    <n v="0"/>
    <n v="0"/>
    <n v="0"/>
    <n v="0"/>
    <n v="31139.600000000006"/>
    <n v="0"/>
    <n v="0"/>
  </r>
  <r>
    <x v="894"/>
    <s v="GOMUKH KALYANPUR"/>
    <s v="vlc"/>
    <s v="Indirect"/>
    <n v="189.79999999999998"/>
    <n v="7422.95"/>
    <n v="0"/>
    <n v="0"/>
    <n v="0"/>
    <n v="0"/>
    <n v="0"/>
    <n v="0"/>
    <n v="7422.95"/>
    <n v="0"/>
    <n v="0"/>
    <n v="0"/>
    <n v="0"/>
    <n v="0"/>
    <n v="0"/>
    <n v="0"/>
    <n v="0"/>
    <n v="7422.95"/>
    <n v="0"/>
    <n v="0"/>
  </r>
  <r>
    <x v="895"/>
    <s v="GOMUKH SARMASTPUR"/>
    <s v="vlc"/>
    <s v="Indirect"/>
    <n v="69.8"/>
    <n v="2668.74"/>
    <n v="0"/>
    <n v="0"/>
    <n v="0"/>
    <n v="0"/>
    <n v="0"/>
    <n v="0"/>
    <n v="2668.74"/>
    <n v="0"/>
    <n v="0"/>
    <n v="0"/>
    <n v="0"/>
    <n v="0"/>
    <n v="0"/>
    <n v="0"/>
    <n v="0"/>
    <n v="2668.74"/>
    <n v="0"/>
    <n v="0"/>
  </r>
  <r>
    <x v="896"/>
    <s v="GOMUKH HARPUR RAJESH"/>
    <s v="vlc"/>
    <s v="Indirect"/>
    <n v="439.1"/>
    <n v="18176.39"/>
    <n v="0"/>
    <n v="0"/>
    <n v="0"/>
    <n v="0"/>
    <n v="0"/>
    <n v="0"/>
    <n v="18176.39"/>
    <n v="0"/>
    <n v="0"/>
    <n v="0"/>
    <n v="0"/>
    <n v="0"/>
    <n v="0"/>
    <n v="0"/>
    <n v="0"/>
    <n v="18176.39"/>
    <n v="0"/>
    <n v="0"/>
  </r>
  <r>
    <x v="897"/>
    <s v="GOMUKH SANICHAR HATT"/>
    <s v="vlc"/>
    <s v="Indirect"/>
    <n v="75.8"/>
    <n v="3051.04"/>
    <n v="0"/>
    <n v="0"/>
    <n v="0"/>
    <n v="0"/>
    <n v="0"/>
    <n v="0"/>
    <n v="3051.04"/>
    <n v="0"/>
    <n v="0"/>
    <n v="0"/>
    <n v="0"/>
    <n v="0"/>
    <n v="0"/>
    <n v="0"/>
    <n v="0"/>
    <n v="3051.04"/>
    <n v="0"/>
    <n v="0"/>
  </r>
  <r>
    <x v="898"/>
    <s v="GOMUKH SAHARIYA"/>
    <s v="vlc"/>
    <s v="Indirect"/>
    <n v="927.30000000000007"/>
    <n v="39201.679999999993"/>
    <n v="0"/>
    <n v="0"/>
    <n v="0"/>
    <n v="0"/>
    <n v="0"/>
    <n v="0"/>
    <n v="39201.679999999993"/>
    <n v="0"/>
    <n v="0"/>
    <n v="0"/>
    <n v="0"/>
    <n v="0"/>
    <n v="0"/>
    <n v="0"/>
    <n v="0"/>
    <n v="39201.679999999993"/>
    <n v="0"/>
    <n v="0"/>
  </r>
  <r>
    <x v="899"/>
    <s v="GOMUKH TAJPUR BUZURG"/>
    <s v="MPG"/>
    <s v="Direct"/>
    <n v="486"/>
    <n v="19592.939999999999"/>
    <n v="491.6"/>
    <n v="19674.660000000003"/>
    <n v="0"/>
    <n v="0"/>
    <n v="491.6"/>
    <n v="19674.660000000003"/>
    <n v="19592.939999999999"/>
    <n v="0"/>
    <n v="0"/>
    <n v="81.720000000004802"/>
    <n v="0"/>
    <n v="0"/>
    <n v="0"/>
    <n v="19593"/>
    <n v="0"/>
    <n v="0"/>
    <n v="0"/>
    <n v="0"/>
  </r>
  <r>
    <x v="900"/>
    <s v="GOMUKH PAITRAPUR"/>
    <s v="MPG"/>
    <s v="Direct"/>
    <n v="208.00000000000003"/>
    <n v="9955.9999999999964"/>
    <n v="187.5"/>
    <n v="8607.6800000000021"/>
    <n v="26.9"/>
    <n v="1634.9700000000003"/>
    <n v="214.4"/>
    <n v="10242.650000000001"/>
    <n v="9955.9999999999964"/>
    <n v="0"/>
    <n v="0"/>
    <n v="286.65000000000509"/>
    <n v="1400"/>
    <n v="0"/>
    <n v="0"/>
    <n v="6921"/>
    <n v="1635"/>
    <n v="0"/>
    <n v="0"/>
    <s v="Release1"/>
  </r>
  <r>
    <x v="901"/>
    <s v="GOMUKH JAI MATA DI MILK CENTER"/>
    <s v="vlc"/>
    <s v="Indirect"/>
    <n v="359.09999999999997"/>
    <n v="14510.97"/>
    <n v="0"/>
    <n v="0"/>
    <n v="0"/>
    <n v="0"/>
    <n v="0"/>
    <n v="0"/>
    <n v="14510.97"/>
    <n v="0"/>
    <n v="0"/>
    <n v="0"/>
    <n v="0"/>
    <n v="0"/>
    <n v="0"/>
    <n v="0"/>
    <n v="0"/>
    <n v="14510.97"/>
    <n v="0"/>
    <n v="0"/>
  </r>
  <r>
    <x v="902"/>
    <s v="GOMUKH NEW GANGAJAL"/>
    <s v="vlc"/>
    <s v="Indirect"/>
    <n v="252.7"/>
    <n v="9706.0700000000015"/>
    <n v="0"/>
    <n v="0"/>
    <n v="0"/>
    <n v="0"/>
    <n v="0"/>
    <n v="0"/>
    <n v="9706.0700000000015"/>
    <n v="0"/>
    <n v="0"/>
    <n v="0"/>
    <n v="0"/>
    <n v="0"/>
    <n v="0"/>
    <n v="0"/>
    <n v="0"/>
    <n v="9706.0700000000015"/>
    <n v="0"/>
    <n v="0"/>
  </r>
  <r>
    <x v="903"/>
    <s v="GOMUKH MANSURPUR HALAIYA"/>
    <s v="MPG"/>
    <s v="Direct"/>
    <n v="19.600000000000001"/>
    <n v="972.79"/>
    <n v="27"/>
    <n v="1356.0700000000002"/>
    <n v="0"/>
    <n v="0"/>
    <n v="27"/>
    <n v="1356.0700000000002"/>
    <n v="972.79"/>
    <n v="0"/>
    <n v="0"/>
    <n v="383.2800000000002"/>
    <n v="0"/>
    <n v="0"/>
    <n v="0"/>
    <n v="973"/>
    <n v="0"/>
    <n v="0"/>
    <n v="0"/>
    <n v="0"/>
  </r>
  <r>
    <x v="904"/>
    <s v="GOMUKH BAHJRANGI"/>
    <s v="vlc"/>
    <s v="Indirect"/>
    <n v="882.99999999999989"/>
    <n v="36329.39"/>
    <n v="0"/>
    <n v="0"/>
    <n v="0"/>
    <n v="0"/>
    <n v="0"/>
    <n v="0"/>
    <n v="36329.39"/>
    <n v="0"/>
    <n v="0"/>
    <n v="0"/>
    <n v="0"/>
    <n v="0"/>
    <n v="0"/>
    <n v="0"/>
    <n v="0"/>
    <n v="36329.39"/>
    <n v="0"/>
    <n v="0"/>
  </r>
  <r>
    <x v="905"/>
    <s v="Karua"/>
    <s v="MPG"/>
    <s v="Direct"/>
    <n v="198.10000000000002"/>
    <n v="8707.2999999999993"/>
    <n v="29.5"/>
    <n v="1285.29"/>
    <n v="170.89999999999998"/>
    <n v="7560.51"/>
    <n v="200.39999999999998"/>
    <n v="8845.7999999999993"/>
    <n v="8707.2999999999993"/>
    <n v="0"/>
    <n v="0"/>
    <n v="138.5"/>
    <n v="0"/>
    <n v="0"/>
    <n v="0"/>
    <n v="1147"/>
    <n v="7560"/>
    <n v="0"/>
    <n v="0"/>
    <n v="0"/>
  </r>
  <r>
    <x v="906"/>
    <s v="Erout"/>
    <s v="MPG"/>
    <s v="Direct"/>
    <n v="74.599999999999994"/>
    <n v="4457.6600000000008"/>
    <n v="75.099999999999994"/>
    <n v="4454.4799999999996"/>
    <n v="0"/>
    <n v="0"/>
    <n v="75.099999999999994"/>
    <n v="4454.4799999999996"/>
    <n v="4454.4799999999996"/>
    <n v="0"/>
    <n v="0"/>
    <n v="0"/>
    <n v="0"/>
    <n v="0"/>
    <n v="0"/>
    <n v="4456"/>
    <n v="0"/>
    <n v="0"/>
    <n v="2"/>
    <n v="0"/>
  </r>
  <r>
    <x v="907"/>
    <s v="Murli"/>
    <s v="MPG"/>
    <s v="Direct"/>
    <n v="257.60000000000002"/>
    <n v="10731.32"/>
    <n v="258.99999999999989"/>
    <n v="10806.030000000002"/>
    <n v="0"/>
    <n v="0"/>
    <n v="258.99999999999989"/>
    <n v="10806.030000000002"/>
    <n v="10731.32"/>
    <n v="0"/>
    <n v="0"/>
    <n v="74.710000000002765"/>
    <n v="0"/>
    <n v="0"/>
    <n v="0"/>
    <n v="10731"/>
    <n v="0"/>
    <n v="0"/>
    <n v="0"/>
    <n v="0"/>
  </r>
  <r>
    <x v="908"/>
    <s v="Raj Nagar"/>
    <s v="MPG"/>
    <s v="Direct"/>
    <n v="15.1"/>
    <n v="852.24"/>
    <n v="15.1"/>
    <n v="852.24"/>
    <n v="0"/>
    <n v="0"/>
    <n v="15.1"/>
    <n v="852.24"/>
    <n v="852.24"/>
    <n v="0"/>
    <n v="0"/>
    <n v="0"/>
    <n v="0"/>
    <n v="0"/>
    <n v="0"/>
    <n v="852"/>
    <n v="0"/>
    <n v="0"/>
    <n v="0"/>
    <n v="0"/>
  </r>
  <r>
    <x v="909"/>
    <s v="Nauapokhar"/>
    <s v="MPG"/>
    <s v="Direct"/>
    <n v="1432.3999999999999"/>
    <n v="56551.209999999985"/>
    <n v="1271.4000000000001"/>
    <n v="56451.380000000005"/>
    <n v="1.0999999999999999"/>
    <n v="54.5"/>
    <n v="1272.5"/>
    <n v="56505.880000000005"/>
    <n v="56505.880000000005"/>
    <n v="0"/>
    <n v="54.5"/>
    <n v="0"/>
    <n v="0"/>
    <n v="0"/>
    <n v="0"/>
    <n v="56452"/>
    <n v="0"/>
    <n v="0"/>
    <n v="45"/>
    <n v="0"/>
  </r>
  <r>
    <x v="910"/>
    <s v="Erout 2"/>
    <s v="vlc"/>
    <s v="Indirect"/>
    <n v="488.6"/>
    <n v="19248.32"/>
    <n v="0"/>
    <n v="0"/>
    <n v="0"/>
    <n v="0"/>
    <n v="0"/>
    <n v="0"/>
    <n v="19248.32"/>
    <n v="0"/>
    <n v="0"/>
    <n v="0"/>
    <n v="0"/>
    <n v="0"/>
    <n v="0"/>
    <n v="0"/>
    <n v="0"/>
    <n v="19248.32"/>
    <n v="0"/>
    <n v="0"/>
  </r>
  <r>
    <x v="911"/>
    <s v="Parsuram"/>
    <s v="vlc"/>
    <s v="Indirect"/>
    <n v="126"/>
    <n v="3724.3"/>
    <n v="0"/>
    <n v="0"/>
    <n v="0"/>
    <n v="0"/>
    <n v="0"/>
    <n v="0"/>
    <n v="3724.3"/>
    <n v="0"/>
    <n v="0"/>
    <n v="0"/>
    <n v="0"/>
    <n v="0"/>
    <n v="0"/>
    <n v="0"/>
    <n v="0"/>
    <n v="3724.3"/>
    <n v="0"/>
    <n v="0"/>
  </r>
  <r>
    <x v="912"/>
    <s v="Gudarghat"/>
    <s v="vlc"/>
    <s v="Indirect"/>
    <n v="163.30000000000001"/>
    <n v="6193.33"/>
    <n v="0"/>
    <n v="0"/>
    <n v="0"/>
    <n v="0"/>
    <n v="0"/>
    <n v="0"/>
    <n v="6193.33"/>
    <n v="0"/>
    <n v="0"/>
    <n v="0"/>
    <n v="0"/>
    <n v="0"/>
    <n v="0"/>
    <n v="0"/>
    <n v="0"/>
    <n v="6193.33"/>
    <n v="0"/>
    <n v="0"/>
  </r>
  <r>
    <x v="913"/>
    <s v="Sedukha"/>
    <s v="MPG"/>
    <s v="Direct"/>
    <n v="378.00000000000006"/>
    <n v="14355.070000000003"/>
    <n v="350.70000000000005"/>
    <n v="14058.9"/>
    <n v="8"/>
    <n v="301.06"/>
    <n v="358.70000000000005"/>
    <n v="14359.96"/>
    <n v="14355.070000000003"/>
    <n v="0"/>
    <n v="301.06"/>
    <n v="4.8899999999957799"/>
    <n v="0"/>
    <n v="0"/>
    <n v="0"/>
    <n v="14054"/>
    <n v="0"/>
    <n v="0"/>
    <n v="0"/>
    <n v="0"/>
  </r>
  <r>
    <x v="914"/>
    <s v="Madhuban 2"/>
    <s v="vlc"/>
    <s v="Indirect"/>
    <n v="403.50000000000006"/>
    <n v="14965.410000000002"/>
    <n v="0"/>
    <n v="0"/>
    <n v="0"/>
    <n v="0"/>
    <n v="0"/>
    <n v="0"/>
    <n v="14965.410000000002"/>
    <n v="0"/>
    <n v="0"/>
    <n v="0"/>
    <n v="0"/>
    <n v="0"/>
    <n v="0"/>
    <n v="0"/>
    <n v="0"/>
    <n v="14965.410000000002"/>
    <n v="0"/>
    <n v="0"/>
  </r>
  <r>
    <x v="915"/>
    <s v="Yadav Jee"/>
    <s v="vlc"/>
    <s v="Indirect"/>
    <n v="172"/>
    <n v="6339.18"/>
    <n v="0"/>
    <n v="0"/>
    <n v="0"/>
    <n v="0"/>
    <n v="0"/>
    <n v="0"/>
    <n v="6339.18"/>
    <n v="0"/>
    <n v="0"/>
    <n v="0"/>
    <n v="0"/>
    <n v="0"/>
    <n v="0"/>
    <n v="0"/>
    <n v="0"/>
    <n v="6339.18"/>
    <n v="0"/>
    <n v="0"/>
  </r>
  <r>
    <x v="916"/>
    <s v="Durgaashtan 2"/>
    <s v="vlc"/>
    <s v="Indirect"/>
    <n v="1170.0999999999999"/>
    <n v="41355.67"/>
    <n v="0"/>
    <n v="0"/>
    <n v="0"/>
    <n v="0"/>
    <n v="0"/>
    <n v="0"/>
    <n v="41355.67"/>
    <n v="0"/>
    <n v="0"/>
    <n v="0"/>
    <n v="0"/>
    <n v="0"/>
    <n v="0"/>
    <n v="0"/>
    <n v="0"/>
    <n v="41355.67"/>
    <n v="0"/>
    <n v="0"/>
  </r>
  <r>
    <x v="917"/>
    <s v="Durgaashtan "/>
    <s v="vlc"/>
    <s v="Indirect"/>
    <n v="1002.8"/>
    <n v="37400.410000000003"/>
    <n v="0"/>
    <n v="0"/>
    <n v="0"/>
    <n v="0"/>
    <n v="0"/>
    <n v="0"/>
    <n v="37400.410000000003"/>
    <n v="0"/>
    <n v="0"/>
    <n v="0"/>
    <n v="0"/>
    <n v="0"/>
    <n v="0"/>
    <n v="0"/>
    <n v="0"/>
    <n v="37400.410000000003"/>
    <n v="0"/>
    <n v="0"/>
  </r>
  <r>
    <x v="918"/>
    <s v="Motipur"/>
    <s v="vlc"/>
    <s v="Indirect"/>
    <n v="387.2"/>
    <n v="13245.580000000002"/>
    <n v="0"/>
    <n v="0"/>
    <n v="0"/>
    <n v="0"/>
    <n v="0"/>
    <n v="0"/>
    <n v="13245.580000000002"/>
    <n v="0"/>
    <n v="0"/>
    <n v="0"/>
    <n v="0"/>
    <n v="0"/>
    <n v="0"/>
    <n v="0"/>
    <n v="0"/>
    <n v="13245.580000000002"/>
    <n v="0"/>
    <n v="0"/>
  </r>
  <r>
    <x v="919"/>
    <s v="Haripur"/>
    <s v="MPG"/>
    <s v="Direct"/>
    <n v="149.79999999999998"/>
    <n v="5941.93"/>
    <n v="149.80000000000001"/>
    <n v="5975.52"/>
    <n v="0"/>
    <n v="0"/>
    <n v="149.80000000000001"/>
    <n v="5975.52"/>
    <n v="5941.93"/>
    <n v="0"/>
    <n v="0"/>
    <n v="33.590000000000146"/>
    <n v="0"/>
    <n v="0"/>
    <n v="0"/>
    <n v="5942"/>
    <n v="0"/>
    <n v="0"/>
    <n v="0"/>
    <n v="0"/>
  </r>
  <r>
    <x v="920"/>
    <s v="Jakhar"/>
    <s v="MPG"/>
    <s v="Indirect"/>
    <n v="248.5"/>
    <n v="8176.1200000000008"/>
    <n v="0"/>
    <n v="0"/>
    <n v="0"/>
    <n v="0"/>
    <n v="0"/>
    <n v="0"/>
    <n v="8176.1200000000008"/>
    <n v="0"/>
    <n v="0"/>
    <n v="0"/>
    <n v="0"/>
    <n v="0"/>
    <n v="0"/>
    <n v="0"/>
    <n v="0"/>
    <n v="8176.1200000000008"/>
    <n v="0"/>
    <n v="0"/>
  </r>
  <r>
    <x v="921"/>
    <s v="Dhattha"/>
    <s v="vlc"/>
    <s v="Indirect"/>
    <n v="204.9"/>
    <n v="6907.0300000000007"/>
    <n v="0"/>
    <n v="0"/>
    <n v="0"/>
    <n v="0"/>
    <n v="0"/>
    <n v="0"/>
    <n v="6907.0300000000007"/>
    <n v="0"/>
    <n v="0"/>
    <n v="0"/>
    <n v="0"/>
    <n v="0"/>
    <n v="0"/>
    <n v="0"/>
    <n v="0"/>
    <n v="6907.0300000000007"/>
    <n v="0"/>
    <n v="0"/>
  </r>
  <r>
    <x v="922"/>
    <s v="Jandaha"/>
    <s v="vlc"/>
    <s v="Indirect"/>
    <n v="29.299999999999997"/>
    <n v="1123.3699999999999"/>
    <n v="0"/>
    <n v="0"/>
    <n v="0"/>
    <n v="0"/>
    <n v="0"/>
    <n v="0"/>
    <n v="1123.3699999999999"/>
    <n v="0"/>
    <n v="0"/>
    <n v="0"/>
    <n v="0"/>
    <n v="0"/>
    <n v="0"/>
    <n v="0"/>
    <n v="0"/>
    <n v="1123.3699999999999"/>
    <n v="0"/>
    <n v="0"/>
  </r>
  <r>
    <x v="923"/>
    <s v="Bhoraha"/>
    <s v="vlc"/>
    <s v="Indirect"/>
    <n v="148.29999999999995"/>
    <n v="6334.4599999999991"/>
    <n v="0"/>
    <n v="0"/>
    <n v="0"/>
    <n v="0"/>
    <n v="0"/>
    <n v="0"/>
    <n v="6334.4599999999991"/>
    <n v="0"/>
    <n v="0"/>
    <n v="0"/>
    <n v="0"/>
    <n v="0"/>
    <n v="0"/>
    <n v="0"/>
    <n v="0"/>
    <n v="6334.4599999999991"/>
    <n v="0"/>
    <n v="0"/>
  </r>
  <r>
    <x v="924"/>
    <s v="Shivnagar"/>
    <s v="vlc"/>
    <s v="Indirect"/>
    <n v="234"/>
    <n v="7664.64"/>
    <n v="0"/>
    <n v="0"/>
    <n v="0"/>
    <n v="0"/>
    <n v="0"/>
    <n v="0"/>
    <n v="7664.64"/>
    <n v="0"/>
    <n v="0"/>
    <n v="0"/>
    <n v="0"/>
    <n v="0"/>
    <n v="0"/>
    <n v="0"/>
    <n v="0"/>
    <n v="7664.64"/>
    <n v="0"/>
    <n v="0"/>
  </r>
  <r>
    <x v="925"/>
    <s v="Baritha"/>
    <s v="vlc"/>
    <s v="Indirect"/>
    <n v="870.00000000000011"/>
    <n v="28830.590000000004"/>
    <n v="0"/>
    <n v="0"/>
    <n v="0"/>
    <n v="0"/>
    <n v="0"/>
    <n v="0"/>
    <n v="28830.590000000004"/>
    <n v="0"/>
    <n v="0"/>
    <n v="0"/>
    <n v="0"/>
    <n v="0"/>
    <n v="0"/>
    <n v="0"/>
    <n v="0"/>
    <n v="28830.590000000004"/>
    <n v="0"/>
    <n v="0"/>
  </r>
  <r>
    <x v="926"/>
    <s v="Tolapur Erout"/>
    <s v="vlc"/>
    <s v="Indirect"/>
    <n v="421.89999999999992"/>
    <n v="13375.99"/>
    <n v="0"/>
    <n v="0"/>
    <n v="0"/>
    <n v="0"/>
    <n v="0"/>
    <n v="0"/>
    <n v="13375.99"/>
    <n v="0"/>
    <n v="0"/>
    <n v="0"/>
    <n v="0"/>
    <n v="0"/>
    <n v="0"/>
    <n v="0"/>
    <n v="0"/>
    <n v="13375.99"/>
    <n v="0"/>
    <n v="0"/>
  </r>
  <r>
    <x v="927"/>
    <s v="Sunil Erout"/>
    <s v="vlc"/>
    <s v="Indirect"/>
    <n v="59.6"/>
    <n v="1887.8799999999999"/>
    <n v="0"/>
    <n v="0"/>
    <n v="0"/>
    <n v="0"/>
    <n v="0"/>
    <n v="0"/>
    <n v="1887.8799999999999"/>
    <n v="0"/>
    <n v="0"/>
    <n v="0"/>
    <n v="0"/>
    <n v="0"/>
    <n v="0"/>
    <n v="0"/>
    <n v="0"/>
    <n v="1887.8799999999999"/>
    <n v="0"/>
    <n v="0"/>
  </r>
  <r>
    <x v="928"/>
    <s v="DUMRA "/>
    <s v="MPG"/>
    <s v="Direct"/>
    <n v="1159"/>
    <n v="48056.6"/>
    <n v="1163.1000000000004"/>
    <n v="46995.029999999992"/>
    <n v="0"/>
    <n v="0"/>
    <n v="1163.1000000000004"/>
    <n v="46995.029999999992"/>
    <n v="46995.029999999992"/>
    <n v="0"/>
    <n v="0"/>
    <n v="0"/>
    <n v="0"/>
    <n v="0"/>
    <n v="0"/>
    <n v="46995"/>
    <n v="0"/>
    <n v="0"/>
    <n v="1062"/>
    <n v="0"/>
  </r>
  <r>
    <x v="929"/>
    <s v="BALHA"/>
    <s v="MPG"/>
    <s v="Direct"/>
    <n v="1664.02"/>
    <n v="73573.78"/>
    <n v="1671.4999999999995"/>
    <n v="72830.150000000023"/>
    <n v="16.799999999999997"/>
    <n v="735.20999999999981"/>
    <n v="1688.2999999999995"/>
    <n v="73565.36000000003"/>
    <n v="73565.36000000003"/>
    <n v="0"/>
    <n v="735.20999999999981"/>
    <n v="0"/>
    <n v="0"/>
    <n v="0"/>
    <n v="0"/>
    <n v="72829"/>
    <n v="0"/>
    <n v="0"/>
    <n v="10"/>
    <n v="0"/>
  </r>
  <r>
    <x v="930"/>
    <s v="BARA"/>
    <s v="MPG"/>
    <s v="Direct"/>
    <n v="148.31"/>
    <n v="6324.12"/>
    <n v="146.5"/>
    <n v="6246.0700000000006"/>
    <n v="1.2"/>
    <n v="51.809999999999995"/>
    <n v="147.69999999999999"/>
    <n v="6297.880000000001"/>
    <n v="6297.880000000001"/>
    <n v="0"/>
    <n v="51.809999999999995"/>
    <n v="0"/>
    <n v="0"/>
    <n v="0"/>
    <n v="0"/>
    <n v="6246"/>
    <n v="0"/>
    <n v="0"/>
    <n v="26"/>
    <n v="0"/>
  </r>
  <r>
    <x v="931"/>
    <s v="KABILASHI"/>
    <s v="MPG"/>
    <s v="Direct"/>
    <n v="246.49999999999997"/>
    <n v="12213.829999999998"/>
    <n v="252.70000000000002"/>
    <n v="12805.219999999998"/>
    <n v="6.1"/>
    <n v="347.09999999999997"/>
    <n v="258.8"/>
    <n v="13152.319999999998"/>
    <n v="12213.829999999998"/>
    <n v="0"/>
    <n v="347.09999999999997"/>
    <n v="938.48999999999978"/>
    <n v="0"/>
    <n v="0"/>
    <n v="0"/>
    <n v="11867"/>
    <n v="0"/>
    <n v="0"/>
    <n v="0"/>
    <n v="0"/>
  </r>
  <r>
    <x v="932"/>
    <s v="SULTANPUR"/>
    <s v="vlc"/>
    <s v="Indirect"/>
    <n v="159.14000000000001"/>
    <n v="7315.6600000000008"/>
    <n v="0"/>
    <n v="0"/>
    <n v="0"/>
    <n v="0"/>
    <n v="0"/>
    <n v="0"/>
    <n v="7315.6600000000008"/>
    <n v="0"/>
    <n v="0"/>
    <n v="0"/>
    <n v="0"/>
    <n v="0"/>
    <n v="0"/>
    <n v="0"/>
    <n v="0"/>
    <n v="7315.6600000000008"/>
    <n v="0"/>
    <n v="0"/>
  </r>
  <r>
    <x v="933"/>
    <s v="BHUSNA"/>
    <s v="MPG"/>
    <s v="Direct"/>
    <n v="149.67999999999998"/>
    <n v="6505.54"/>
    <n v="149.10000000000002"/>
    <n v="6477.43"/>
    <n v="0"/>
    <n v="0"/>
    <n v="149.10000000000002"/>
    <n v="6477.43"/>
    <n v="6477.43"/>
    <n v="0"/>
    <n v="0"/>
    <n v="0"/>
    <n v="0"/>
    <n v="0"/>
    <n v="0"/>
    <n v="6477"/>
    <n v="0"/>
    <n v="0"/>
    <n v="29"/>
    <n v="0"/>
  </r>
  <r>
    <x v="934"/>
    <s v="SUKUMARPUR"/>
    <s v="MPG"/>
    <s v="Direct"/>
    <n v="242.95000000000002"/>
    <n v="12056.23"/>
    <n v="240.29999999999995"/>
    <n v="11924.63"/>
    <n v="0"/>
    <n v="0"/>
    <n v="240.29999999999995"/>
    <n v="11924.63"/>
    <n v="11924.63"/>
    <n v="0"/>
    <n v="0"/>
    <n v="0"/>
    <n v="0"/>
    <n v="0"/>
    <n v="0"/>
    <n v="11925"/>
    <n v="0"/>
    <n v="0"/>
    <n v="131"/>
    <n v="0"/>
  </r>
  <r>
    <x v="935"/>
    <s v="SISAUNA VLC"/>
    <s v="vlc"/>
    <s v="Indirect"/>
    <n v="281"/>
    <n v="11424.529999999999"/>
    <n v="0"/>
    <n v="0"/>
    <n v="0"/>
    <n v="0"/>
    <n v="0"/>
    <n v="0"/>
    <n v="11424.529999999999"/>
    <n v="0"/>
    <n v="0"/>
    <n v="0"/>
    <n v="0"/>
    <n v="0"/>
    <n v="0"/>
    <n v="0"/>
    <n v="0"/>
    <n v="11424.529999999999"/>
    <n v="0"/>
    <n v="0"/>
  </r>
  <r>
    <x v="936"/>
    <s v="Aditya Bishwas "/>
    <s v="vlc"/>
    <s v="Indirect"/>
    <n v="222.17000000000002"/>
    <n v="10771.500000000002"/>
    <n v="0"/>
    <n v="0"/>
    <n v="0"/>
    <n v="0"/>
    <n v="0"/>
    <n v="0"/>
    <n v="10771.500000000002"/>
    <n v="0"/>
    <n v="0"/>
    <n v="0"/>
    <n v="0"/>
    <n v="0"/>
    <n v="0"/>
    <n v="0"/>
    <n v="0"/>
    <n v="10771.500000000002"/>
    <n v="0"/>
    <n v="0"/>
  </r>
  <r>
    <x v="937"/>
    <s v="Gomukh Vijaiya"/>
    <s v="MPG"/>
    <s v="Direct"/>
    <n v="334.70000000000005"/>
    <n v="13641.85"/>
    <n v="333.69999999999993"/>
    <n v="14517.5"/>
    <n v="0"/>
    <n v="0"/>
    <n v="333.69999999999993"/>
    <n v="14517.5"/>
    <n v="13641.85"/>
    <n v="0"/>
    <n v="0"/>
    <n v="875.64999999999964"/>
    <n v="0"/>
    <n v="0"/>
    <n v="0"/>
    <n v="13642"/>
    <n v="0"/>
    <n v="0"/>
    <n v="0"/>
    <n v="0"/>
  </r>
  <r>
    <x v="938"/>
    <s v="Gomukh Gangauli"/>
    <s v="MPG"/>
    <s v="Direct"/>
    <n v="1157.5"/>
    <n v="48374.189999999995"/>
    <n v="1169.3"/>
    <n v="49125.63"/>
    <n v="0"/>
    <n v="0"/>
    <n v="1169.3"/>
    <n v="49125.63"/>
    <n v="48374.189999999995"/>
    <n v="0"/>
    <n v="0"/>
    <n v="751.44000000000233"/>
    <n v="0"/>
    <n v="0"/>
    <n v="0"/>
    <n v="48374"/>
    <n v="0"/>
    <n v="0"/>
    <n v="0"/>
    <n v="0"/>
  </r>
  <r>
    <x v="939"/>
    <s v="Gomukh KARRAKH"/>
    <s v="MPG"/>
    <s v="Direct"/>
    <n v="600.19999999999993"/>
    <n v="23296.390000000003"/>
    <n v="356.90000000000009"/>
    <n v="14667.759999999997"/>
    <n v="248.60000000000002"/>
    <n v="9653.7099999999991"/>
    <n v="605.50000000000011"/>
    <n v="24321.469999999994"/>
    <n v="23296.390000000003"/>
    <n v="0"/>
    <n v="0"/>
    <n v="1025.0799999999908"/>
    <n v="0"/>
    <n v="0"/>
    <n v="0"/>
    <n v="13642"/>
    <n v="9654"/>
    <n v="0"/>
    <n v="0"/>
    <n v="0"/>
  </r>
  <r>
    <x v="940"/>
    <s v="HAWASPUR"/>
    <s v="vlc"/>
    <s v="Indirect"/>
    <n v="14.7"/>
    <n v="563.65000000000009"/>
    <n v="0"/>
    <n v="0"/>
    <n v="0"/>
    <n v="0"/>
    <n v="0"/>
    <n v="0"/>
    <n v="563.65000000000009"/>
    <n v="0"/>
    <n v="0"/>
    <n v="0"/>
    <n v="0"/>
    <n v="0"/>
    <n v="0"/>
    <n v="0"/>
    <n v="0"/>
    <n v="563.65000000000009"/>
    <n v="0"/>
    <n v="0"/>
  </r>
  <r>
    <x v="941"/>
    <s v="Gomukh Manda"/>
    <s v="MPG"/>
    <s v="Direct"/>
    <n v="611.80000000000007"/>
    <n v="24516.680000000004"/>
    <n v="602.6"/>
    <n v="25384.97"/>
    <n v="0"/>
    <n v="0"/>
    <n v="602.6"/>
    <n v="25384.97"/>
    <n v="24516.680000000004"/>
    <n v="0"/>
    <n v="0"/>
    <n v="868.28999999999724"/>
    <n v="0"/>
    <n v="0"/>
    <n v="0"/>
    <n v="24517"/>
    <n v="0"/>
    <n v="0"/>
    <n v="0"/>
    <n v="0"/>
  </r>
  <r>
    <x v="942"/>
    <s v="Gomukh NAVTOL"/>
    <s v="MPG"/>
    <s v="Direct"/>
    <n v="326.7"/>
    <n v="12342.320000000002"/>
    <n v="343.99999999999994"/>
    <n v="12272.869999999999"/>
    <n v="0"/>
    <n v="0"/>
    <n v="343.99999999999994"/>
    <n v="12272.869999999999"/>
    <n v="12272.869999999999"/>
    <n v="0"/>
    <n v="0"/>
    <n v="0"/>
    <n v="0"/>
    <n v="0"/>
    <n v="0"/>
    <n v="12273"/>
    <n v="0"/>
    <n v="0"/>
    <n v="69"/>
    <n v="0"/>
  </r>
  <r>
    <x v="943"/>
    <s v="Gomukh BACHHWARA"/>
    <s v="MPG"/>
    <s v="Direct"/>
    <n v="165.1"/>
    <n v="6183.41"/>
    <n v="206.39999999999998"/>
    <n v="6855.82"/>
    <n v="0"/>
    <n v="0"/>
    <n v="206.39999999999998"/>
    <n v="6855.82"/>
    <n v="6183.41"/>
    <n v="0"/>
    <n v="0"/>
    <n v="672.40999999999985"/>
    <n v="0"/>
    <n v="0"/>
    <n v="0"/>
    <n v="6183"/>
    <n v="0"/>
    <n v="0"/>
    <n v="0"/>
    <n v="0"/>
  </r>
  <r>
    <x v="944"/>
    <s v="Gomukh KASTOLI"/>
    <s v="MPG"/>
    <s v="Direct"/>
    <n v="238.79999999999998"/>
    <n v="9090.7599999999984"/>
    <n v="113.50000000000003"/>
    <n v="4493.59"/>
    <n v="129.89999999999998"/>
    <n v="4673.2900000000009"/>
    <n v="243.4"/>
    <n v="9166.880000000001"/>
    <n v="9090.7599999999984"/>
    <n v="0"/>
    <n v="0"/>
    <n v="76.120000000002619"/>
    <n v="0"/>
    <n v="0"/>
    <n v="0"/>
    <n v="4418"/>
    <n v="4673"/>
    <n v="0"/>
    <n v="0"/>
    <n v="0"/>
  </r>
  <r>
    <x v="945"/>
    <s v="GANPATI DAIRY"/>
    <s v="vlc"/>
    <s v="Indirect"/>
    <n v="798.70000000000027"/>
    <n v="32076.66"/>
    <n v="0"/>
    <n v="0"/>
    <n v="0"/>
    <n v="0"/>
    <n v="0"/>
    <n v="0"/>
    <n v="32076.66"/>
    <n v="0"/>
    <n v="0"/>
    <n v="0"/>
    <n v="0"/>
    <n v="0"/>
    <n v="0"/>
    <n v="0"/>
    <n v="0"/>
    <n v="32076.66"/>
    <n v="0"/>
    <n v="0"/>
  </r>
  <r>
    <x v="946"/>
    <s v="GOMUKH CHATAUNA W-2"/>
    <s v="MPG"/>
    <s v="Direct"/>
    <n v="623.15"/>
    <n v="32721.929999999997"/>
    <n v="622.29999999999995"/>
    <n v="33179.229999999996"/>
    <n v="0"/>
    <n v="0"/>
    <n v="622.29999999999995"/>
    <n v="33179.229999999996"/>
    <n v="32721.929999999997"/>
    <n v="0"/>
    <n v="0"/>
    <n v="457.29999999999927"/>
    <n v="0"/>
    <n v="0"/>
    <n v="0"/>
    <n v="32722"/>
    <n v="0"/>
    <n v="0"/>
    <n v="0"/>
    <n v="0"/>
  </r>
  <r>
    <x v="947"/>
    <s v="GOMUKH TEERA JATMALPUR"/>
    <s v="MPG"/>
    <s v="Direct"/>
    <n v="364.25999999999993"/>
    <n v="16446.93"/>
    <n v="355.9"/>
    <n v="16352.96"/>
    <n v="8.7999999999999989"/>
    <n v="390.9"/>
    <n v="364.7"/>
    <n v="16743.86"/>
    <n v="16446.93"/>
    <n v="0"/>
    <n v="390.9"/>
    <n v="296.93000000000029"/>
    <n v="0"/>
    <n v="0"/>
    <n v="0"/>
    <n v="16056"/>
    <n v="0"/>
    <n v="0"/>
    <n v="0"/>
    <n v="0"/>
  </r>
  <r>
    <x v="948"/>
    <s v="GOMUKH GOBARSITTHA"/>
    <s v="MPG"/>
    <s v="Direct"/>
    <n v="597.05999999999995"/>
    <n v="25494.799999999999"/>
    <n v="584.09999999999991"/>
    <n v="25343.980000000003"/>
    <n v="9.6"/>
    <n v="416.19"/>
    <n v="593.69999999999993"/>
    <n v="25760.170000000002"/>
    <n v="25494.799999999999"/>
    <n v="0"/>
    <n v="416.19"/>
    <n v="265.37000000000262"/>
    <n v="0"/>
    <n v="0"/>
    <n v="0"/>
    <n v="25079"/>
    <n v="0"/>
    <n v="0"/>
    <n v="0"/>
    <n v="0"/>
  </r>
  <r>
    <x v="949"/>
    <s v="GOMUKH UGHRA"/>
    <s v="MPG"/>
    <s v="Direct"/>
    <n v="565.79000000000008"/>
    <n v="27046.829999999998"/>
    <n v="552.6"/>
    <n v="28029.609999999997"/>
    <n v="7.1000000000000014"/>
    <n v="401.99999999999994"/>
    <n v="559.70000000000005"/>
    <n v="28431.609999999997"/>
    <n v="27046.829999999998"/>
    <n v="0"/>
    <n v="401.99999999999994"/>
    <n v="1384.7799999999988"/>
    <n v="0"/>
    <n v="0"/>
    <n v="0"/>
    <n v="26645"/>
    <n v="0"/>
    <n v="0"/>
    <n v="0"/>
    <n v="0"/>
  </r>
  <r>
    <x v="950"/>
    <s v="GOMUKH BALUAHA"/>
    <s v="MPG"/>
    <s v="Direct"/>
    <n v="314.50999999999993"/>
    <n v="14028.900000000001"/>
    <n v="301.7"/>
    <n v="11927.84"/>
    <n v="6.2000000000000011"/>
    <n v="242.89999999999998"/>
    <n v="307.89999999999998"/>
    <n v="12170.74"/>
    <n v="12170.74"/>
    <n v="0"/>
    <n v="242.89999999999998"/>
    <n v="0"/>
    <n v="0"/>
    <n v="0"/>
    <n v="0"/>
    <n v="11929"/>
    <n v="0"/>
    <n v="0"/>
    <n v="1857"/>
    <n v="0"/>
  </r>
  <r>
    <x v="951"/>
    <s v="GOMUKH DHAB WEST"/>
    <s v="vlc"/>
    <s v="Indirect"/>
    <n v="138.72999999999999"/>
    <n v="5295.85"/>
    <n v="0"/>
    <n v="0"/>
    <n v="0"/>
    <n v="0"/>
    <n v="0"/>
    <n v="0"/>
    <n v="5295.85"/>
    <n v="0"/>
    <n v="0"/>
    <n v="0"/>
    <n v="0"/>
    <n v="0"/>
    <n v="0"/>
    <n v="0"/>
    <n v="0"/>
    <n v="5295.85"/>
    <n v="0"/>
    <n v="0"/>
  </r>
  <r>
    <x v="952"/>
    <s v="GOMUKH HAYAGHAT WEST"/>
    <s v="vlc"/>
    <s v="Indirect"/>
    <n v="1835.47"/>
    <n v="71624.039999999994"/>
    <n v="0"/>
    <n v="0"/>
    <n v="0"/>
    <n v="0"/>
    <n v="0"/>
    <n v="0"/>
    <n v="71624.039999999994"/>
    <n v="0"/>
    <n v="0"/>
    <n v="0"/>
    <n v="0"/>
    <n v="0"/>
    <n v="0"/>
    <n v="0"/>
    <n v="0"/>
    <n v="71624.039999999994"/>
    <n v="0"/>
    <n v="0"/>
  </r>
  <r>
    <x v="953"/>
    <s v="GOMUKH GHOGHARAHA"/>
    <s v="vlc"/>
    <s v="Indirect"/>
    <n v="1033.8600000000001"/>
    <n v="43334.45"/>
    <n v="0"/>
    <n v="0"/>
    <n v="0"/>
    <n v="0"/>
    <n v="0"/>
    <n v="0"/>
    <n v="43334.45"/>
    <n v="0"/>
    <n v="0"/>
    <n v="0"/>
    <n v="0"/>
    <n v="0"/>
    <n v="0"/>
    <n v="0"/>
    <n v="0"/>
    <n v="43334.45"/>
    <n v="0"/>
    <n v="0"/>
  </r>
  <r>
    <x v="954"/>
    <s v="Gomukh Jatmalpur Dhab"/>
    <s v="vlc"/>
    <s v="Indirect"/>
    <n v="9.01"/>
    <n v="626.47"/>
    <n v="0"/>
    <n v="0"/>
    <n v="0"/>
    <n v="0"/>
    <n v="0"/>
    <n v="0"/>
    <n v="626.47"/>
    <n v="0"/>
    <n v="0"/>
    <n v="0"/>
    <n v="0"/>
    <n v="0"/>
    <n v="0"/>
    <n v="0"/>
    <n v="0"/>
    <n v="626.47"/>
    <n v="0"/>
    <n v="0"/>
  </r>
  <r>
    <x v="955"/>
    <s v="GOMUKH MORWARA"/>
    <s v="MPG"/>
    <s v="Direct"/>
    <n v="270.54999999999995"/>
    <n v="11245.740000000002"/>
    <n v="269.64"/>
    <n v="11284.739999999998"/>
    <n v="0"/>
    <n v="0"/>
    <n v="269.64"/>
    <n v="11284.739999999998"/>
    <n v="11245.740000000002"/>
    <n v="0"/>
    <n v="0"/>
    <n v="38.999999999996362"/>
    <n v="0"/>
    <n v="0"/>
    <n v="0"/>
    <n v="11246"/>
    <n v="0"/>
    <n v="0"/>
    <n v="0"/>
    <n v="0"/>
  </r>
  <r>
    <x v="956"/>
    <s v="GOMUKH NIYAMCHAKHAIDAR"/>
    <s v="vlc"/>
    <s v="Indirect"/>
    <n v="960.2600000000001"/>
    <n v="40389.970000000016"/>
    <n v="0"/>
    <n v="0"/>
    <n v="0"/>
    <n v="0"/>
    <n v="0"/>
    <n v="0"/>
    <n v="40389.970000000016"/>
    <n v="0"/>
    <n v="0"/>
    <n v="0"/>
    <n v="0"/>
    <n v="0"/>
    <n v="0"/>
    <n v="0"/>
    <n v="0"/>
    <n v="40389.970000000016"/>
    <n v="0"/>
    <n v="0"/>
  </r>
  <r>
    <x v="957"/>
    <s v="GOMUKH JATMAPUR WARD 1"/>
    <s v="vlc"/>
    <s v="Indirect"/>
    <n v="694.93999999999994"/>
    <n v="27229.98"/>
    <n v="0"/>
    <n v="0"/>
    <n v="0"/>
    <n v="0"/>
    <n v="0"/>
    <n v="0"/>
    <n v="27229.98"/>
    <n v="0"/>
    <n v="0"/>
    <n v="0"/>
    <n v="0"/>
    <n v="0"/>
    <n v="0"/>
    <n v="0"/>
    <n v="0"/>
    <n v="27229.98"/>
    <n v="0"/>
    <n v="0"/>
  </r>
  <r>
    <x v="958"/>
    <s v="GOMUKH JATMALPUR"/>
    <s v="MPG"/>
    <s v="Direct"/>
    <n v="220.15999999999997"/>
    <n v="9449.4699999999975"/>
    <n v="212.6"/>
    <n v="9218.7000000000007"/>
    <n v="6.0999999999999988"/>
    <n v="258.27"/>
    <n v="218.7"/>
    <n v="9476.9700000000012"/>
    <n v="9449.4699999999975"/>
    <n v="0"/>
    <n v="258.27"/>
    <n v="27.500000000003638"/>
    <n v="0"/>
    <n v="0"/>
    <n v="0"/>
    <n v="9191"/>
    <n v="0"/>
    <n v="0"/>
    <n v="0"/>
    <n v="0"/>
  </r>
  <r>
    <x v="959"/>
    <s v="GOMUKH PURUSHOTTAMPUR WEST"/>
    <s v="vlc"/>
    <s v="Indirect"/>
    <n v="32.21"/>
    <n v="1231.3900000000001"/>
    <n v="0"/>
    <n v="0"/>
    <n v="0"/>
    <n v="0"/>
    <n v="0"/>
    <n v="0"/>
    <n v="1231.3900000000001"/>
    <n v="0"/>
    <n v="0"/>
    <n v="0"/>
    <n v="0"/>
    <n v="0"/>
    <n v="0"/>
    <n v="0"/>
    <n v="0"/>
    <n v="1231.3900000000001"/>
    <n v="0"/>
    <n v="0"/>
  </r>
  <r>
    <x v="960"/>
    <s v="Gomukh Barhetta"/>
    <s v="vlc"/>
    <s v="Indirect"/>
    <n v="1212.18"/>
    <n v="47684.35"/>
    <n v="0"/>
    <n v="0"/>
    <n v="0"/>
    <n v="0"/>
    <n v="0"/>
    <n v="0"/>
    <n v="47684.35"/>
    <n v="0"/>
    <n v="0"/>
    <n v="0"/>
    <n v="0"/>
    <n v="0"/>
    <n v="0"/>
    <n v="0"/>
    <n v="0"/>
    <n v="47684.35"/>
    <n v="0"/>
    <n v="0"/>
  </r>
  <r>
    <x v="961"/>
    <s v="GOMUKH BHADOGHAT"/>
    <s v="vlc"/>
    <s v="Indirect"/>
    <n v="7863.66"/>
    <n v="322045.0199999999"/>
    <n v="0"/>
    <n v="0"/>
    <n v="0"/>
    <n v="0"/>
    <n v="0"/>
    <n v="0"/>
    <n v="322045.0199999999"/>
    <n v="0"/>
    <n v="0"/>
    <n v="0"/>
    <n v="0"/>
    <n v="0"/>
    <n v="0"/>
    <n v="0"/>
    <n v="0"/>
    <n v="322045.0199999999"/>
    <n v="0"/>
    <n v="0"/>
  </r>
  <r>
    <x v="962"/>
    <s v="GOMUKH BALUAHA"/>
    <s v="vlc"/>
    <s v="Indirect"/>
    <n v="113.28999999999999"/>
    <n v="4308.62"/>
    <n v="0"/>
    <n v="0"/>
    <n v="0"/>
    <n v="0"/>
    <n v="0"/>
    <n v="0"/>
    <n v="4308.62"/>
    <n v="0"/>
    <n v="0"/>
    <n v="0"/>
    <n v="0"/>
    <n v="0"/>
    <n v="0"/>
    <n v="0"/>
    <n v="0"/>
    <n v="4308.62"/>
    <n v="0"/>
    <n v="0"/>
  </r>
  <r>
    <x v="963"/>
    <s v="GOMUKH CHHATAUNA W-1"/>
    <s v="MPG"/>
    <s v="Direct"/>
    <n v="444.27999999999992"/>
    <n v="22532.09"/>
    <n v="442.8"/>
    <n v="22880.499999999996"/>
    <n v="0"/>
    <n v="0"/>
    <n v="442.8"/>
    <n v="22880.499999999996"/>
    <n v="22532.09"/>
    <n v="0"/>
    <n v="0"/>
    <n v="348.40999999999622"/>
    <n v="0"/>
    <n v="0"/>
    <n v="0"/>
    <n v="22532"/>
    <n v="0"/>
    <n v="0"/>
    <n v="0"/>
    <n v="0"/>
  </r>
  <r>
    <x v="964"/>
    <s v="GOMUKH MORWARA"/>
    <s v="vlc"/>
    <s v="Indirect"/>
    <n v="100.44"/>
    <n v="4087.57"/>
    <n v="0"/>
    <n v="0"/>
    <n v="0"/>
    <n v="0"/>
    <n v="0"/>
    <n v="0"/>
    <n v="4087.57"/>
    <n v="0"/>
    <n v="0"/>
    <n v="0"/>
    <n v="0"/>
    <n v="0"/>
    <n v="0"/>
    <n v="0"/>
    <n v="0"/>
    <n v="4087.57"/>
    <n v="0"/>
    <n v="0"/>
  </r>
  <r>
    <x v="0"/>
    <s v="Gomukh Kumbhi"/>
    <s v="MPG"/>
    <s v="Direct"/>
    <n v="586.80000000000007"/>
    <n v="22285.370000000003"/>
    <n v="584.3599999999999"/>
    <n v="22655.009999999995"/>
    <n v="1.51"/>
    <n v="57.649999999999991"/>
    <n v="585.86999999999989"/>
    <n v="22712.659999999996"/>
    <n v="22285.370000000003"/>
    <n v="0"/>
    <n v="57.649999999999991"/>
    <n v="427.2899999999936"/>
    <n v="0"/>
    <n v="0"/>
    <n v="0"/>
    <n v="22228"/>
    <n v="0"/>
    <n v="0"/>
    <n v="0"/>
    <n v="0"/>
  </r>
  <r>
    <x v="1"/>
    <s v="Gomukh Jagdar                                                                                       "/>
    <s v="MPG"/>
    <s v="Direct"/>
    <n v="918.8"/>
    <n v="35343.799999999996"/>
    <n v="913.46000000000015"/>
    <n v="35516.58"/>
    <n v="10.040000000000001"/>
    <n v="374.07000000000005"/>
    <n v="923.50000000000011"/>
    <n v="35890.65"/>
    <n v="35343.799999999996"/>
    <n v="0"/>
    <n v="374.07000000000005"/>
    <n v="546.85000000000582"/>
    <n v="0"/>
    <n v="0"/>
    <n v="0"/>
    <n v="34970"/>
    <n v="0"/>
    <n v="0"/>
    <n v="0"/>
    <s v="Release2"/>
  </r>
  <r>
    <x v="2"/>
    <s v="Gomukh Goriyari"/>
    <s v="MPG"/>
    <s v="Direct"/>
    <n v="847.96000000000015"/>
    <n v="33003.94"/>
    <n v="722.8"/>
    <n v="28136.960000000003"/>
    <n v="124.89999999999999"/>
    <n v="4856.87"/>
    <n v="847.69999999999993"/>
    <n v="32993.83"/>
    <n v="32993.83"/>
    <n v="0"/>
    <n v="136.66"/>
    <n v="0"/>
    <n v="0"/>
    <n v="0"/>
    <n v="0"/>
    <n v="28136"/>
    <n v="4720"/>
    <n v="0"/>
    <n v="11"/>
    <n v="0"/>
  </r>
  <r>
    <x v="3"/>
    <s v="Gomukh Kanausi"/>
    <s v="MPG"/>
    <s v="Direct"/>
    <n v="303.73"/>
    <n v="12225.620000000003"/>
    <n v="262.2"/>
    <n v="10592.02"/>
    <n v="40.900000000000006"/>
    <n v="1632.28"/>
    <n v="303.10000000000002"/>
    <n v="12224.300000000001"/>
    <n v="12224.300000000001"/>
    <n v="0"/>
    <n v="194.6"/>
    <n v="0"/>
    <n v="0"/>
    <n v="0"/>
    <n v="0"/>
    <n v="10592"/>
    <n v="1438"/>
    <n v="0"/>
    <n v="1"/>
    <n v="0"/>
  </r>
  <r>
    <x v="4"/>
    <s v="Mohanpur - Chandan"/>
    <s v="vlc"/>
    <s v="Indirect"/>
    <n v="40.5"/>
    <n v="1655.24"/>
    <n v="0"/>
    <n v="0"/>
    <n v="0"/>
    <n v="0"/>
    <n v="0"/>
    <n v="0"/>
    <n v="1655.24"/>
    <n v="0"/>
    <n v="0"/>
    <n v="0"/>
    <n v="0"/>
    <n v="0"/>
    <n v="0"/>
    <n v="0"/>
    <n v="0"/>
    <n v="1655.24"/>
    <n v="0"/>
    <n v="0"/>
  </r>
  <r>
    <x v="965"/>
    <s v="Birpur-2 - Pankaj"/>
    <s v="vlc"/>
    <s v="Indirect"/>
    <n v="616.5"/>
    <n v="24794.570000000003"/>
    <n v="0"/>
    <n v="0"/>
    <n v="0"/>
    <n v="0"/>
    <n v="0"/>
    <n v="0"/>
    <n v="24794.570000000003"/>
    <n v="0"/>
    <n v="0"/>
    <n v="0"/>
    <n v="0"/>
    <n v="0"/>
    <n v="0"/>
    <n v="0"/>
    <n v="0"/>
    <n v="24794.570000000003"/>
    <n v="0"/>
    <n v="0"/>
  </r>
  <r>
    <x v="5"/>
    <s v="Ekamba - Ashutosh"/>
    <s v="MPG"/>
    <s v="Indirect"/>
    <n v="1195.96"/>
    <n v="51945.509999999987"/>
    <n v="0"/>
    <n v="0"/>
    <n v="0"/>
    <n v="0"/>
    <n v="0"/>
    <n v="0"/>
    <n v="51945.509999999987"/>
    <n v="0"/>
    <n v="0"/>
    <n v="0"/>
    <n v="0"/>
    <n v="0"/>
    <n v="0"/>
    <n v="0"/>
    <n v="0"/>
    <n v="51945.509999999987"/>
    <n v="0"/>
    <n v="0"/>
  </r>
  <r>
    <x v="6"/>
    <s v="GOMUKH BIRPUR PASCHIM                                                                               "/>
    <s v="MPG"/>
    <s v="Direct"/>
    <n v="98.7"/>
    <n v="4118.6000000000004"/>
    <n v="96.199999999999989"/>
    <n v="3988.55"/>
    <n v="0.5"/>
    <n v="17.399999999999999"/>
    <n v="96.699999999999989"/>
    <n v="4005.9500000000003"/>
    <n v="4005.9500000000003"/>
    <n v="0"/>
    <n v="0"/>
    <n v="0"/>
    <n v="0"/>
    <n v="500"/>
    <n v="0"/>
    <n v="3488"/>
    <n v="15"/>
    <n v="0"/>
    <n v="116"/>
    <n v="0"/>
  </r>
  <r>
    <x v="7"/>
    <s v="Manish Dairy                                                                                        "/>
    <s v="vlc"/>
    <s v="Indirect"/>
    <n v="9854"/>
    <n v="366803.14"/>
    <n v="0"/>
    <n v="0"/>
    <n v="0"/>
    <n v="0"/>
    <n v="0"/>
    <n v="0"/>
    <n v="366803.14"/>
    <n v="0"/>
    <n v="0"/>
    <n v="0"/>
    <n v="0"/>
    <n v="0"/>
    <n v="0"/>
    <n v="0"/>
    <n v="0"/>
    <n v="366803.14"/>
    <n v="0"/>
    <n v="0"/>
  </r>
  <r>
    <x v="8"/>
    <s v="Gomukh Bhith-02"/>
    <s v="MPG"/>
    <s v="Direct"/>
    <n v="827.9"/>
    <n v="36552.65"/>
    <n v="354.1"/>
    <n v="16186.910000000002"/>
    <n v="535.65"/>
    <n v="24117.280000000002"/>
    <n v="889.75"/>
    <n v="40304.19"/>
    <n v="36552.65"/>
    <n v="0"/>
    <n v="0"/>
    <n v="3751.5400000000009"/>
    <n v="0"/>
    <n v="0"/>
    <n v="0"/>
    <n v="12436"/>
    <n v="24117"/>
    <n v="0"/>
    <n v="0"/>
    <n v="0"/>
  </r>
  <r>
    <x v="966"/>
    <s v="Chandan Dairy"/>
    <s v="vlc"/>
    <s v="Indirect"/>
    <n v="110.86"/>
    <n v="4485.21"/>
    <n v="0"/>
    <n v="0"/>
    <n v="0"/>
    <n v="0"/>
    <n v="0"/>
    <n v="0"/>
    <n v="4485.21"/>
    <n v="0"/>
    <n v="0"/>
    <n v="0"/>
    <n v="0"/>
    <n v="0"/>
    <n v="0"/>
    <n v="0"/>
    <n v="0"/>
    <n v="4485.21"/>
    <n v="0"/>
    <n v="0"/>
  </r>
  <r>
    <x v="9"/>
    <s v="Gomukh Sharmatola Sahuri"/>
    <s v="MPG"/>
    <s v="Direct"/>
    <n v="1148.2"/>
    <n v="44569.48"/>
    <n v="1110.52"/>
    <n v="42654.130000000005"/>
    <n v="43.22"/>
    <n v="1609.41"/>
    <n v="1153.74"/>
    <n v="44263.540000000008"/>
    <n v="44263.540000000008"/>
    <n v="0"/>
    <n v="0"/>
    <n v="0"/>
    <n v="0"/>
    <n v="0"/>
    <n v="0"/>
    <n v="42654"/>
    <n v="1609"/>
    <n v="0"/>
    <n v="306"/>
    <n v="0"/>
  </r>
  <r>
    <x v="10"/>
    <s v="Sangat- Sanjeev Kumar"/>
    <s v="vlc"/>
    <s v="Indirect"/>
    <n v="301.89999999999998"/>
    <n v="10122.749999999998"/>
    <n v="0"/>
    <n v="0"/>
    <n v="0"/>
    <n v="0"/>
    <n v="0"/>
    <n v="0"/>
    <n v="10122.749999999998"/>
    <n v="0"/>
    <n v="0"/>
    <n v="0"/>
    <n v="0"/>
    <n v="0"/>
    <n v="0"/>
    <n v="0"/>
    <n v="0"/>
    <n v="10122.749999999998"/>
    <n v="0"/>
    <n v="0"/>
  </r>
  <r>
    <x v="11"/>
    <s v="Gomukh Garhi Bisanpur"/>
    <s v="MPG"/>
    <s v="Direct"/>
    <n v="51.65"/>
    <n v="2368.3599999999997"/>
    <n v="80.650000000000006"/>
    <n v="4363.59"/>
    <n v="1.66"/>
    <n v="93.92"/>
    <n v="82.31"/>
    <n v="4457.51"/>
    <n v="2368.3599999999997"/>
    <n v="0"/>
    <n v="93.92"/>
    <n v="2089.1500000000005"/>
    <n v="0"/>
    <n v="500"/>
    <n v="0"/>
    <n v="1774"/>
    <n v="0"/>
    <n v="0"/>
    <n v="0"/>
    <s v="Release3"/>
  </r>
  <r>
    <x v="13"/>
    <s v="Gomukh Barkurwa"/>
    <s v="MPG"/>
    <s v="Direct"/>
    <n v="472.12999999999988"/>
    <n v="20157.509999999998"/>
    <n v="465.95999999999992"/>
    <n v="20116.879999999997"/>
    <n v="6.7600000000000007"/>
    <n v="317.22000000000003"/>
    <n v="472.71999999999991"/>
    <n v="20434.099999999999"/>
    <n v="20157.509999999998"/>
    <n v="0"/>
    <n v="0"/>
    <n v="276.59000000000015"/>
    <n v="0"/>
    <n v="0"/>
    <n v="0"/>
    <n v="19841"/>
    <n v="317"/>
    <n v="0"/>
    <n v="0"/>
    <n v="0"/>
  </r>
  <r>
    <x v="14"/>
    <s v="Kamla- Amarjeet"/>
    <s v="vlc"/>
    <s v="Indirect"/>
    <n v="831.59999999999991"/>
    <n v="26612.670000000002"/>
    <n v="0"/>
    <n v="0"/>
    <n v="0"/>
    <n v="0"/>
    <n v="0"/>
    <n v="0"/>
    <n v="26612.670000000002"/>
    <n v="0"/>
    <n v="0"/>
    <n v="0"/>
    <n v="0"/>
    <n v="0"/>
    <n v="0"/>
    <n v="0"/>
    <n v="0"/>
    <n v="26612.670000000002"/>
    <n v="0"/>
    <n v="0"/>
  </r>
  <r>
    <x v="15"/>
    <s v="Gomukh Goha-02"/>
    <s v="MPG"/>
    <s v="Direct"/>
    <n v="272.18"/>
    <n v="11989.010000000002"/>
    <n v="266.40000000000003"/>
    <n v="11556.37"/>
    <n v="5"/>
    <n v="195.3"/>
    <n v="271.40000000000003"/>
    <n v="11751.67"/>
    <n v="11751.67"/>
    <n v="0"/>
    <n v="195.3"/>
    <n v="0"/>
    <n v="0"/>
    <n v="0"/>
    <n v="0"/>
    <n v="11557"/>
    <n v="0"/>
    <n v="0"/>
    <n v="237"/>
    <n v="0"/>
  </r>
  <r>
    <x v="16"/>
    <s v="Gomukh Cheria Bariarpur"/>
    <s v="MPG"/>
    <s v="Direct"/>
    <n v="1264.3"/>
    <n v="48884.82"/>
    <n v="1253.3800000000003"/>
    <n v="53073.66"/>
    <n v="2.9900000000000011"/>
    <n v="118.86999999999999"/>
    <n v="1256.3700000000003"/>
    <n v="53192.530000000006"/>
    <n v="48884.82"/>
    <n v="0"/>
    <n v="118.86999999999999"/>
    <n v="4307.7100000000064"/>
    <n v="0"/>
    <n v="0"/>
    <n v="0"/>
    <n v="48766"/>
    <n v="0"/>
    <n v="0"/>
    <n v="0"/>
    <n v="0"/>
  </r>
  <r>
    <x v="17"/>
    <s v="Gomukh Bagraha-01"/>
    <s v="MPG"/>
    <s v="Direct"/>
    <n v="161.07"/>
    <n v="6705.7300000000005"/>
    <n v="157.1"/>
    <n v="6496.79"/>
    <n v="4.5"/>
    <n v="175.14"/>
    <n v="161.6"/>
    <n v="6671.93"/>
    <n v="6671.93"/>
    <n v="0"/>
    <n v="175.14"/>
    <n v="0"/>
    <n v="0"/>
    <n v="500"/>
    <n v="0"/>
    <n v="5997"/>
    <n v="0"/>
    <n v="0"/>
    <n v="34"/>
    <n v="0"/>
  </r>
  <r>
    <x v="18"/>
    <s v="Gomukh Pirauna"/>
    <s v="MPG"/>
    <s v="Direct"/>
    <n v="269.39999999999998"/>
    <n v="9647.2999999999993"/>
    <n v="281.64"/>
    <n v="10012.44"/>
    <n v="0.2"/>
    <n v="7.12"/>
    <n v="281.83999999999997"/>
    <n v="10019.560000000001"/>
    <n v="9647.2999999999993"/>
    <n v="0"/>
    <n v="7.12"/>
    <n v="372.26000000000204"/>
    <n v="0"/>
    <n v="500"/>
    <n v="0"/>
    <n v="9140"/>
    <n v="0"/>
    <n v="0"/>
    <n v="0"/>
    <n v="0"/>
  </r>
  <r>
    <x v="19"/>
    <s v="Parra- Nagendra Kumar"/>
    <s v="vlc"/>
    <s v="Indirect"/>
    <n v="283.09999999999997"/>
    <n v="9743.9999999999964"/>
    <n v="0"/>
    <n v="0"/>
    <n v="0"/>
    <n v="0"/>
    <n v="0"/>
    <n v="0"/>
    <n v="9743.9999999999964"/>
    <n v="0"/>
    <n v="0"/>
    <n v="0"/>
    <n v="0"/>
    <n v="0"/>
    <n v="0"/>
    <n v="0"/>
    <n v="0"/>
    <n v="9743.9999999999964"/>
    <n v="0"/>
    <n v="0"/>
  </r>
  <r>
    <x v="20"/>
    <s v="Gomukh Basahi"/>
    <s v="MPG"/>
    <s v="Direct"/>
    <n v="882.99999999999989"/>
    <n v="35754"/>
    <n v="888.65000000000009"/>
    <n v="37717.249999999993"/>
    <n v="3.3699999999999997"/>
    <n v="140.14999999999998"/>
    <n v="892.0200000000001"/>
    <n v="37857.399999999994"/>
    <n v="35754"/>
    <n v="0"/>
    <n v="140.14999999999998"/>
    <n v="2103.3999999999942"/>
    <n v="0"/>
    <n v="0"/>
    <n v="0"/>
    <n v="35614"/>
    <n v="0"/>
    <n v="0"/>
    <n v="0"/>
    <n v="0"/>
  </r>
  <r>
    <x v="21"/>
    <s v="Gomukh Sawantpur"/>
    <s v="MPG"/>
    <s v="Direct"/>
    <n v="1391"/>
    <n v="52977.84"/>
    <n v="1368.03"/>
    <n v="52543.359999999993"/>
    <n v="0.87"/>
    <n v="34.92"/>
    <n v="1368.8999999999999"/>
    <n v="52578.279999999992"/>
    <n v="52578.279999999992"/>
    <n v="0"/>
    <n v="34.92"/>
    <n v="0"/>
    <n v="0"/>
    <n v="0"/>
    <n v="0"/>
    <n v="52544"/>
    <n v="0"/>
    <n v="0"/>
    <n v="399"/>
    <n v="0"/>
  </r>
  <r>
    <x v="22"/>
    <s v="Maida- Ram Kumar"/>
    <s v="vlc"/>
    <s v="Indirect"/>
    <n v="243.00000000000003"/>
    <n v="9893.5499999999993"/>
    <n v="0"/>
    <n v="0"/>
    <n v="0"/>
    <n v="0"/>
    <n v="0"/>
    <n v="0"/>
    <n v="9893.5499999999993"/>
    <n v="0"/>
    <n v="0"/>
    <n v="0"/>
    <n v="0"/>
    <n v="0"/>
    <n v="0"/>
    <n v="0"/>
    <n v="0"/>
    <n v="9893.5499999999993"/>
    <n v="0"/>
    <n v="0"/>
  </r>
  <r>
    <x v="23"/>
    <s v="Gomukh Aure Bikrampur"/>
    <s v="MPG"/>
    <s v="Direct"/>
    <n v="934"/>
    <n v="40684.32"/>
    <n v="1182.1000000000004"/>
    <n v="51358.82"/>
    <n v="0"/>
    <n v="0"/>
    <n v="1182.1000000000004"/>
    <n v="51358.82"/>
    <n v="40684.32"/>
    <n v="0"/>
    <n v="0"/>
    <n v="10674.5"/>
    <n v="0"/>
    <n v="0"/>
    <n v="0"/>
    <n v="40684"/>
    <n v="0"/>
    <n v="0"/>
    <n v="0"/>
    <n v="0"/>
  </r>
  <r>
    <x v="24"/>
    <s v="Manjhaul- Gulshan Kumar"/>
    <s v="vlc"/>
    <s v="Indirect"/>
    <n v="1104.5999999999999"/>
    <n v="45043.31"/>
    <n v="0"/>
    <n v="0"/>
    <n v="0"/>
    <n v="0"/>
    <n v="0"/>
    <n v="0"/>
    <n v="45043.31"/>
    <n v="0"/>
    <n v="0"/>
    <n v="0"/>
    <n v="0"/>
    <n v="0"/>
    <n v="0"/>
    <n v="0"/>
    <n v="0"/>
    <n v="45043.31"/>
    <n v="0"/>
    <n v="0"/>
  </r>
  <r>
    <x v="25"/>
    <s v="Khaira Manjhaul"/>
    <s v="vlc"/>
    <s v="Indirect"/>
    <n v="446.4"/>
    <n v="16600.63"/>
    <n v="0"/>
    <n v="0"/>
    <n v="0"/>
    <n v="0"/>
    <n v="0"/>
    <n v="0"/>
    <n v="16600.63"/>
    <n v="0"/>
    <n v="0"/>
    <n v="0"/>
    <n v="0"/>
    <n v="0"/>
    <n v="0"/>
    <n v="0"/>
    <n v="0"/>
    <n v="16600.63"/>
    <n v="0"/>
    <n v="0"/>
  </r>
  <r>
    <x v="26"/>
    <s v="Mehda Shahpur"/>
    <s v="vlc"/>
    <s v="Indirect"/>
    <n v="870.3"/>
    <n v="29950.550000000003"/>
    <n v="0"/>
    <n v="0"/>
    <n v="0"/>
    <n v="0"/>
    <n v="0"/>
    <n v="0"/>
    <n v="29950.550000000003"/>
    <n v="0"/>
    <n v="0"/>
    <n v="0"/>
    <n v="0"/>
    <n v="0"/>
    <n v="0"/>
    <n v="0"/>
    <n v="0"/>
    <n v="29950.550000000003"/>
    <n v="0"/>
    <n v="0"/>
  </r>
  <r>
    <x v="27"/>
    <s v="Shri Bhairav Laxmipur"/>
    <s v="MPG"/>
    <s v="Direct"/>
    <n v="222.6"/>
    <n v="10174.129999999999"/>
    <n v="237.85000000000002"/>
    <n v="10854.42"/>
    <n v="0"/>
    <n v="0"/>
    <n v="237.85000000000002"/>
    <n v="10854.42"/>
    <n v="10174.129999999999"/>
    <n v="0"/>
    <n v="0"/>
    <n v="680.29000000000087"/>
    <n v="0"/>
    <n v="0"/>
    <n v="0"/>
    <n v="10174"/>
    <n v="0"/>
    <n v="0"/>
    <n v="0"/>
    <s v="Release3"/>
  </r>
  <r>
    <x v="28"/>
    <s v="Goapalpur"/>
    <s v="MPG"/>
    <s v="Direct"/>
    <n v="18.3"/>
    <n v="700.98"/>
    <n v="18.36"/>
    <n v="711.2600000000001"/>
    <n v="0"/>
    <n v="0"/>
    <n v="18.36"/>
    <n v="711.2600000000001"/>
    <n v="700.98"/>
    <n v="0"/>
    <n v="0"/>
    <n v="10.280000000000086"/>
    <n v="0"/>
    <n v="500"/>
    <n v="0"/>
    <n v="201"/>
    <n v="0"/>
    <n v="0"/>
    <n v="0"/>
    <s v="Release3"/>
  </r>
  <r>
    <x v="29"/>
    <s v="Gomukh Akaha"/>
    <s v="MPG"/>
    <s v="Direct"/>
    <n v="239.4"/>
    <n v="7954.92"/>
    <n v="237.89999999999998"/>
    <n v="7954.9099999999989"/>
    <n v="0"/>
    <n v="0"/>
    <n v="237.89999999999998"/>
    <n v="7954.9099999999989"/>
    <n v="7954.9099999999989"/>
    <n v="0"/>
    <n v="0"/>
    <n v="0"/>
    <n v="0"/>
    <n v="0"/>
    <n v="0"/>
    <n v="7952"/>
    <n v="0"/>
    <n v="0"/>
    <n v="3"/>
    <n v="0"/>
  </r>
  <r>
    <x v="30"/>
    <s v="Gomukh Rajakpur"/>
    <s v="MPG"/>
    <s v="Direct"/>
    <n v="96.499999999999986"/>
    <n v="3398.9700000000007"/>
    <n v="104.07000000000001"/>
    <n v="3290.87"/>
    <n v="0"/>
    <n v="0"/>
    <n v="104.07000000000001"/>
    <n v="3290.87"/>
    <n v="3290.87"/>
    <n v="0"/>
    <n v="0"/>
    <n v="0"/>
    <n v="0"/>
    <n v="0"/>
    <n v="0"/>
    <n v="3291"/>
    <n v="0"/>
    <n v="0"/>
    <n v="108"/>
    <n v="0"/>
  </r>
  <r>
    <x v="31"/>
    <s v="Gomukh Mohanpur"/>
    <s v="MPG"/>
    <s v="Direct"/>
    <n v="177.79999999999998"/>
    <n v="6896.3899999999994"/>
    <n v="175.39000000000001"/>
    <n v="7413.75"/>
    <n v="1.31"/>
    <n v="50.84"/>
    <n v="176.70000000000002"/>
    <n v="7464.59"/>
    <n v="6896.3899999999994"/>
    <n v="0"/>
    <n v="50.84"/>
    <n v="568.20000000000073"/>
    <n v="0"/>
    <n v="0"/>
    <n v="0"/>
    <n v="6846"/>
    <n v="0"/>
    <n v="0"/>
    <n v="0"/>
    <n v="0"/>
  </r>
  <r>
    <x v="32"/>
    <s v="Gomukh Chakka"/>
    <s v="MPG"/>
    <s v="Direct"/>
    <n v="136.29999999999998"/>
    <n v="5645.96"/>
    <n v="138.01999999999998"/>
    <n v="5813.0499999999993"/>
    <n v="0"/>
    <n v="0"/>
    <n v="138.01999999999998"/>
    <n v="5813.0499999999993"/>
    <n v="5645.96"/>
    <n v="0"/>
    <n v="0"/>
    <n v="167.08999999999924"/>
    <n v="0"/>
    <n v="0"/>
    <n v="0"/>
    <n v="5646"/>
    <n v="0"/>
    <n v="0"/>
    <n v="0"/>
    <n v="0"/>
  </r>
  <r>
    <x v="33"/>
    <s v="Gamharia"/>
    <s v="vlc"/>
    <s v="Indirect"/>
    <n v="94.3"/>
    <n v="3860.8499999999995"/>
    <n v="0"/>
    <n v="0"/>
    <n v="0"/>
    <n v="0"/>
    <n v="0"/>
    <n v="0"/>
    <n v="3860.8499999999995"/>
    <n v="0"/>
    <n v="0"/>
    <n v="0"/>
    <n v="0"/>
    <n v="0"/>
    <n v="0"/>
    <n v="0"/>
    <n v="0"/>
    <n v="3860.8499999999995"/>
    <n v="0"/>
    <n v="0"/>
  </r>
  <r>
    <x v="34"/>
    <s v="Gomukh Meghaul-02"/>
    <s v="MPG"/>
    <s v="Direct"/>
    <n v="376.8"/>
    <n v="16054.819999999998"/>
    <n v="373.37"/>
    <n v="16176.899999999998"/>
    <n v="5.38"/>
    <n v="223.53000000000003"/>
    <n v="378.75"/>
    <n v="16400.429999999997"/>
    <n v="16054.819999999998"/>
    <n v="0"/>
    <n v="223.53000000000003"/>
    <n v="345.60999999999876"/>
    <n v="0"/>
    <n v="0"/>
    <n v="0"/>
    <n v="15831"/>
    <n v="0"/>
    <n v="0"/>
    <n v="0"/>
    <n v="0"/>
  </r>
  <r>
    <x v="35"/>
    <s v="Gomukh Meida"/>
    <s v="MPG"/>
    <s v="Direct"/>
    <n v="268.20000000000005"/>
    <n v="10429.429999999998"/>
    <n v="266.7000000000001"/>
    <n v="10364.839999999998"/>
    <n v="0"/>
    <n v="0"/>
    <n v="266.7000000000001"/>
    <n v="10364.839999999998"/>
    <n v="10364.839999999998"/>
    <n v="0"/>
    <n v="0"/>
    <n v="0"/>
    <n v="0"/>
    <n v="0"/>
    <n v="0"/>
    <n v="10362"/>
    <n v="0"/>
    <n v="0"/>
    <n v="67"/>
    <n v="0"/>
  </r>
  <r>
    <x v="36"/>
    <s v="PIPARIYA DIH -2"/>
    <s v="MPG"/>
    <s v="Direct"/>
    <n v="2298.0000000000005"/>
    <n v="107651.41999999997"/>
    <n v="1400.9"/>
    <n v="66014.930000000008"/>
    <n v="897"/>
    <n v="42245.610000000008"/>
    <n v="2297.9"/>
    <n v="108260.54000000001"/>
    <n v="107651.41999999997"/>
    <n v="0"/>
    <n v="1055.5200000000002"/>
    <n v="609.120000000039"/>
    <n v="0"/>
    <n v="0"/>
    <n v="0"/>
    <n v="65406"/>
    <n v="41190"/>
    <n v="0"/>
    <n v="0"/>
    <n v="0"/>
  </r>
  <r>
    <x v="37"/>
    <s v="LAL DIYARA -1"/>
    <s v="MPG"/>
    <s v="Direct"/>
    <n v="577.00000000000011"/>
    <n v="23470.170000000002"/>
    <n v="576.4"/>
    <n v="23621.26"/>
    <n v="0"/>
    <n v="0"/>
    <n v="576.4"/>
    <n v="23621.26"/>
    <n v="23470.170000000002"/>
    <n v="0"/>
    <n v="0"/>
    <n v="151.08999999999651"/>
    <n v="0"/>
    <n v="0"/>
    <n v="0"/>
    <n v="23470"/>
    <n v="0"/>
    <n v="0"/>
    <n v="0"/>
    <n v="0"/>
  </r>
  <r>
    <x v="38"/>
    <s v="GANGA KINARE KHUTHA"/>
    <s v="vlc"/>
    <s v="Indirect"/>
    <n v="175.4"/>
    <n v="6932.1100000000006"/>
    <n v="0"/>
    <n v="0"/>
    <n v="0"/>
    <n v="0"/>
    <n v="0"/>
    <n v="0"/>
    <n v="6932.1100000000006"/>
    <n v="0"/>
    <n v="0"/>
    <n v="0"/>
    <n v="0"/>
    <n v="0"/>
    <n v="0"/>
    <n v="0"/>
    <n v="0"/>
    <n v="6932.1100000000006"/>
    <n v="0"/>
    <n v="0"/>
  </r>
  <r>
    <x v="39"/>
    <s v="Gomukh ID Khutaha Ganga"/>
    <s v="vlc"/>
    <s v="Indirect"/>
    <n v="118.6"/>
    <n v="4452.04"/>
    <n v="0"/>
    <n v="0"/>
    <n v="0"/>
    <n v="0"/>
    <n v="0"/>
    <n v="0"/>
    <n v="4452.04"/>
    <n v="0"/>
    <n v="0"/>
    <n v="0"/>
    <n v="0"/>
    <n v="0"/>
    <n v="0"/>
    <n v="0"/>
    <n v="0"/>
    <n v="4452.04"/>
    <n v="0"/>
    <n v="0"/>
  </r>
  <r>
    <x v="40"/>
    <s v="Gomukh ID Khutaha Dhih"/>
    <s v="vlc"/>
    <s v="Indirect"/>
    <n v="1791.1000000000001"/>
    <n v="75586.819999999992"/>
    <n v="0"/>
    <n v="0"/>
    <n v="0"/>
    <n v="0"/>
    <n v="0"/>
    <n v="0"/>
    <n v="75586.819999999992"/>
    <n v="0"/>
    <n v="0"/>
    <n v="0"/>
    <n v="0"/>
    <n v="0"/>
    <n v="0"/>
    <n v="0"/>
    <n v="0"/>
    <n v="75586.819999999992"/>
    <n v="0"/>
    <n v="0"/>
  </r>
  <r>
    <x v="41"/>
    <s v="GOMUKH RAHATPUR"/>
    <s v="MPG"/>
    <s v="Direct"/>
    <n v="136.1"/>
    <n v="5682.79"/>
    <n v="136.10000000000002"/>
    <n v="5683.75"/>
    <n v="0.5"/>
    <n v="20.170000000000002"/>
    <n v="136.60000000000002"/>
    <n v="5703.92"/>
    <n v="5682.79"/>
    <n v="0"/>
    <n v="20.170000000000002"/>
    <n v="21.130000000000109"/>
    <n v="0"/>
    <n v="0"/>
    <n v="0"/>
    <n v="5663"/>
    <n v="0"/>
    <n v="0"/>
    <n v="0"/>
    <n v="0"/>
  </r>
  <r>
    <x v="42"/>
    <s v="Vikash Kumar"/>
    <s v="vlc"/>
    <s v="Indirect"/>
    <n v="1563.9"/>
    <n v="61483.890000000007"/>
    <n v="0"/>
    <n v="0"/>
    <n v="0"/>
    <n v="0"/>
    <n v="0"/>
    <n v="0"/>
    <n v="61483.890000000007"/>
    <n v="0"/>
    <n v="0"/>
    <n v="0"/>
    <n v="0"/>
    <n v="0"/>
    <n v="0"/>
    <n v="0"/>
    <n v="0"/>
    <n v="61483.890000000007"/>
    <n v="0"/>
    <n v="0"/>
  </r>
  <r>
    <x v="43"/>
    <s v="GOMUKH  LALDIYARA TIRASHI                                                                           "/>
    <s v="vlc"/>
    <s v="Indirect"/>
    <n v="31364.099999999995"/>
    <n v="1275241.2499999998"/>
    <n v="0"/>
    <n v="0"/>
    <n v="0"/>
    <n v="0"/>
    <n v="0"/>
    <n v="0"/>
    <n v="1275241.2499999998"/>
    <n v="0"/>
    <n v="0"/>
    <n v="0"/>
    <n v="0"/>
    <n v="0"/>
    <n v="0"/>
    <n v="0"/>
    <n v="0"/>
    <n v="1275241.2499999998"/>
    <n v="0"/>
    <n v="0"/>
  </r>
  <r>
    <x v="44"/>
    <s v="GOMUKH  LALDIYARA PURBI"/>
    <s v="vlc"/>
    <s v="Indirect"/>
    <n v="31350.099999999995"/>
    <n v="1274667.1099999999"/>
    <n v="0"/>
    <n v="0"/>
    <n v="0"/>
    <n v="0"/>
    <n v="0"/>
    <n v="0"/>
    <n v="1274667.1099999999"/>
    <n v="0"/>
    <n v="0"/>
    <n v="0"/>
    <n v="0"/>
    <n v="0"/>
    <n v="0"/>
    <n v="0"/>
    <n v="0"/>
    <n v="1274667.1099999999"/>
    <n v="0"/>
    <n v="0"/>
  </r>
  <r>
    <x v="45"/>
    <s v="GOMUKH RAMCHANDARPUR II"/>
    <s v="MPG"/>
    <s v="Direct"/>
    <n v="3535.4"/>
    <n v="150295.38999999998"/>
    <n v="3860.9000000000005"/>
    <n v="148475.63999999998"/>
    <n v="31.900000000000006"/>
    <n v="1463.26"/>
    <n v="3892.8000000000006"/>
    <n v="149938.9"/>
    <n v="149938.9"/>
    <n v="0"/>
    <n v="1463.26"/>
    <n v="0"/>
    <n v="0"/>
    <n v="0"/>
    <n v="0"/>
    <n v="148477"/>
    <n v="0"/>
    <n v="0"/>
    <n v="355"/>
    <n v="0"/>
  </r>
  <r>
    <x v="46"/>
    <s v="MOHANPUR"/>
    <s v="MPG"/>
    <s v="Direct"/>
    <n v="3895.1"/>
    <n v="167954.55999999997"/>
    <n v="3724.2"/>
    <n v="160116.81"/>
    <n v="248.60000000000002"/>
    <n v="10448.799999999999"/>
    <n v="3972.7999999999997"/>
    <n v="170565.61"/>
    <n v="167954.55999999997"/>
    <n v="0"/>
    <n v="1858.7299999999998"/>
    <n v="2611.0500000000175"/>
    <n v="0"/>
    <n v="0"/>
    <n v="0"/>
    <n v="157505"/>
    <n v="8591"/>
    <n v="0"/>
    <n v="0"/>
    <n v="0"/>
  </r>
  <r>
    <x v="47"/>
    <s v="Juwas"/>
    <s v="MPG"/>
    <s v="Direct"/>
    <n v="969.8"/>
    <n v="39147.519999999997"/>
    <n v="952.50000000000023"/>
    <n v="36988.970000000008"/>
    <n v="9.2999999999999989"/>
    <n v="352.96"/>
    <n v="961.80000000000018"/>
    <n v="37341.930000000008"/>
    <n v="37341.930000000008"/>
    <n v="0"/>
    <n v="352.96"/>
    <n v="0"/>
    <n v="0"/>
    <n v="0"/>
    <n v="0"/>
    <n v="36991"/>
    <n v="0"/>
    <n v="0"/>
    <n v="1804"/>
    <n v="0"/>
  </r>
  <r>
    <x v="48"/>
    <s v="Morwariya"/>
    <s v="MPG"/>
    <s v="Direct"/>
    <n v="2723.7"/>
    <n v="113229.84000000003"/>
    <n v="2688.5499999999993"/>
    <n v="112580.37000000004"/>
    <n v="0"/>
    <n v="0"/>
    <n v="2688.5499999999993"/>
    <n v="112580.37000000004"/>
    <n v="112580.37000000004"/>
    <n v="0"/>
    <n v="0"/>
    <n v="0"/>
    <n v="0"/>
    <n v="0"/>
    <n v="0"/>
    <n v="112579"/>
    <n v="0"/>
    <n v="0"/>
    <n v="651"/>
    <n v="0"/>
  </r>
  <r>
    <x v="49"/>
    <s v="Dumri 2"/>
    <s v="MPG"/>
    <s v="Direct"/>
    <n v="960.90000000000009"/>
    <n v="40049.220000000008"/>
    <n v="949.26"/>
    <n v="39065.53"/>
    <n v="10.93"/>
    <n v="456.15999999999997"/>
    <n v="960.18999999999994"/>
    <n v="39521.69"/>
    <n v="39521.69"/>
    <n v="0"/>
    <n v="456.15999999999997"/>
    <n v="0"/>
    <n v="0"/>
    <n v="0"/>
    <n v="0"/>
    <n v="39065"/>
    <n v="0"/>
    <n v="0"/>
    <n v="528"/>
    <n v="0"/>
  </r>
  <r>
    <x v="50"/>
    <s v="Gomukh Jhakhaur"/>
    <s v="MPG"/>
    <s v="Direct"/>
    <n v="505.00000000000006"/>
    <n v="20882.550000000003"/>
    <n v="516"/>
    <n v="21085.960000000003"/>
    <n v="1.1100000000000001"/>
    <n v="45.31"/>
    <n v="517.11"/>
    <n v="21131.270000000004"/>
    <n v="20882.550000000003"/>
    <n v="0"/>
    <n v="45.31"/>
    <n v="248.72000000000116"/>
    <n v="0"/>
    <n v="0"/>
    <n v="0"/>
    <n v="20837"/>
    <n v="0"/>
    <n v="0"/>
    <n v="0"/>
    <n v="0"/>
  </r>
  <r>
    <x v="51"/>
    <s v="Gomukh Repura"/>
    <s v="MPG"/>
    <s v="Direct"/>
    <n v="688.5"/>
    <n v="29534.61"/>
    <n v="687.40000000000009"/>
    <n v="29212.84"/>
    <n v="0"/>
    <n v="0"/>
    <n v="687.40000000000009"/>
    <n v="29212.84"/>
    <n v="29212.84"/>
    <n v="0"/>
    <n v="0"/>
    <n v="0"/>
    <n v="0"/>
    <n v="0"/>
    <n v="0"/>
    <n v="29213"/>
    <n v="0"/>
    <n v="0"/>
    <n v="322"/>
    <n v="0"/>
  </r>
  <r>
    <x v="52"/>
    <s v="Gomukh Virupur"/>
    <s v="MPG"/>
    <s v="Direct"/>
    <n v="346.40000000000003"/>
    <n v="14330.609999999999"/>
    <n v="343.84000000000003"/>
    <n v="15133.329999999998"/>
    <n v="1.66"/>
    <n v="69.2"/>
    <n v="345.50000000000006"/>
    <n v="15202.529999999999"/>
    <n v="14330.609999999999"/>
    <n v="0"/>
    <n v="69.2"/>
    <n v="871.92000000000007"/>
    <n v="0"/>
    <n v="0"/>
    <n v="0"/>
    <n v="14261"/>
    <n v="0"/>
    <n v="0"/>
    <n v="0"/>
    <s v="Release3"/>
  </r>
  <r>
    <x v="53"/>
    <s v="Gomukh Diyarapipariya                                                                               "/>
    <s v="MPG"/>
    <s v="Direct"/>
    <n v="1361.9"/>
    <n v="61715.89"/>
    <n v="1350.28"/>
    <n v="59790.780000000006"/>
    <n v="13.61"/>
    <n v="636.67999999999995"/>
    <n v="1363.8899999999999"/>
    <n v="60427.460000000006"/>
    <n v="60427.460000000006"/>
    <n v="0"/>
    <n v="636.67999999999995"/>
    <n v="0"/>
    <n v="0"/>
    <n v="0"/>
    <n v="0"/>
    <n v="59793"/>
    <n v="0"/>
    <n v="0"/>
    <n v="1286"/>
    <n v="0"/>
  </r>
  <r>
    <x v="54"/>
    <s v="TAJPUR"/>
    <s v="MPG"/>
    <s v="Direct"/>
    <n v="931.8"/>
    <n v="42203.069999999992"/>
    <n v="916.00000000000011"/>
    <n v="39261.81"/>
    <n v="10.27"/>
    <n v="396.58000000000004"/>
    <n v="926.2700000000001"/>
    <n v="39658.39"/>
    <n v="39658.39"/>
    <n v="0"/>
    <n v="396.58000000000004"/>
    <n v="0"/>
    <n v="0"/>
    <n v="0"/>
    <n v="0"/>
    <n v="39261"/>
    <n v="0"/>
    <n v="0"/>
    <n v="2545"/>
    <n v="0"/>
  </r>
  <r>
    <x v="55"/>
    <s v="PATHUA"/>
    <s v="MPG"/>
    <s v="Direct"/>
    <n v="1572"/>
    <n v="68344.359999999986"/>
    <n v="1496.8999999999999"/>
    <n v="65342.020000000004"/>
    <n v="54.800000000000004"/>
    <n v="2372.4799999999996"/>
    <n v="1551.6999999999998"/>
    <n v="67714.5"/>
    <n v="67714.5"/>
    <n v="0"/>
    <n v="2030.0499999999997"/>
    <n v="0"/>
    <n v="0"/>
    <n v="0"/>
    <n v="0"/>
    <n v="65342"/>
    <n v="342"/>
    <n v="0"/>
    <n v="630"/>
    <n v="0"/>
  </r>
  <r>
    <x v="56"/>
    <s v="LODIYA"/>
    <s v="MPG"/>
    <s v="Direct"/>
    <n v="616.90000000000009"/>
    <n v="26696.03"/>
    <n v="611.44000000000005"/>
    <n v="25416.390000000003"/>
    <n v="5.87"/>
    <n v="247.23"/>
    <n v="617.31000000000006"/>
    <n v="25663.620000000003"/>
    <n v="25663.620000000003"/>
    <n v="0"/>
    <n v="247.23"/>
    <n v="0"/>
    <n v="0"/>
    <n v="0"/>
    <n v="0"/>
    <n v="25417"/>
    <n v="0"/>
    <n v="0"/>
    <n v="1032"/>
    <n v="0"/>
  </r>
  <r>
    <x v="57"/>
    <s v="ADARSH LAXMIPUR-3"/>
    <s v="MPG"/>
    <s v="Direct"/>
    <n v="237.5"/>
    <n v="12307.390000000001"/>
    <n v="235.56"/>
    <n v="11965.17"/>
    <n v="2.4700000000000002"/>
    <n v="106.51"/>
    <n v="238.03"/>
    <n v="12071.68"/>
    <n v="12071.68"/>
    <n v="0"/>
    <n v="106.51"/>
    <n v="0"/>
    <n v="0"/>
    <n v="500"/>
    <n v="0"/>
    <n v="11465"/>
    <n v="0"/>
    <n v="0"/>
    <n v="236"/>
    <n v="0"/>
  </r>
  <r>
    <x v="58"/>
    <s v="BHANPUR"/>
    <s v="MPG"/>
    <s v="Direct"/>
    <n v="726.2"/>
    <n v="27782.2"/>
    <n v="726.2"/>
    <n v="27791.010000000002"/>
    <n v="0"/>
    <n v="0"/>
    <n v="726.2"/>
    <n v="27791.010000000002"/>
    <n v="27782.2"/>
    <n v="0"/>
    <n v="0"/>
    <n v="8.8100000000013097"/>
    <n v="0"/>
    <n v="0"/>
    <n v="0"/>
    <n v="27782"/>
    <n v="0"/>
    <n v="0"/>
    <n v="0"/>
    <n v="0"/>
  </r>
  <r>
    <x v="59"/>
    <s v="Karari Pipariya 2"/>
    <s v="MPG"/>
    <s v="Direct"/>
    <n v="830.6"/>
    <n v="37268.33"/>
    <n v="824.8399999999998"/>
    <n v="37295.840000000004"/>
    <n v="12.770000000000001"/>
    <n v="553.54999999999995"/>
    <n v="837.60999999999979"/>
    <n v="37849.390000000007"/>
    <n v="37268.33"/>
    <n v="0"/>
    <n v="553.54999999999995"/>
    <n v="581.06000000000495"/>
    <n v="0"/>
    <n v="0"/>
    <n v="0"/>
    <n v="36715"/>
    <n v="0"/>
    <n v="0"/>
    <n v="0"/>
    <n v="0"/>
  </r>
  <r>
    <x v="60"/>
    <s v="DIYARA PIPARIYA-THANA                                                                               "/>
    <s v="MPG"/>
    <s v="Direct"/>
    <n v="1342.3000000000002"/>
    <n v="61456.61"/>
    <n v="1312.9199999999996"/>
    <n v="58436.869999999988"/>
    <n v="23.28"/>
    <n v="1166.4900000000002"/>
    <n v="1336.1999999999996"/>
    <n v="59603.359999999986"/>
    <n v="59603.359999999986"/>
    <n v="0"/>
    <n v="1166.4900000000002"/>
    <n v="0"/>
    <n v="0"/>
    <n v="0"/>
    <n v="0"/>
    <n v="58438"/>
    <n v="0"/>
    <n v="0"/>
    <n v="1852"/>
    <n v="0"/>
  </r>
  <r>
    <x v="61"/>
    <s v="SRI RAM SINGH(VLC)"/>
    <s v="vlc"/>
    <s v="Indirect"/>
    <n v="3319.7999999999997"/>
    <n v="142189.43"/>
    <n v="0"/>
    <n v="0"/>
    <n v="0"/>
    <n v="0"/>
    <n v="0"/>
    <n v="0"/>
    <n v="142189.43"/>
    <n v="0"/>
    <n v="0"/>
    <n v="0"/>
    <n v="0"/>
    <n v="0"/>
    <n v="0"/>
    <n v="0"/>
    <n v="0"/>
    <n v="142189.43"/>
    <n v="0"/>
    <n v="0"/>
  </r>
  <r>
    <x v="62"/>
    <s v="GADHTOLA"/>
    <s v="MPG"/>
    <s v="Direct"/>
    <n v="1422"/>
    <n v="66762.259999999995"/>
    <n v="1456.9899999999998"/>
    <n v="66397.33"/>
    <n v="6.1000000000000005"/>
    <n v="262.66000000000003"/>
    <n v="1463.0899999999997"/>
    <n v="66659.990000000005"/>
    <n v="66659.990000000005"/>
    <n v="0"/>
    <n v="262.66000000000003"/>
    <n v="0"/>
    <n v="0"/>
    <n v="0"/>
    <n v="0"/>
    <n v="66398"/>
    <n v="0"/>
    <n v="0"/>
    <n v="102"/>
    <n v="0"/>
  </r>
  <r>
    <x v="63"/>
    <s v="Chetan Tola - Ravi"/>
    <s v="vlc"/>
    <s v="Indirect"/>
    <n v="742.50000000000011"/>
    <n v="44032.959999999999"/>
    <n v="0"/>
    <n v="0"/>
    <n v="0"/>
    <n v="0"/>
    <n v="0"/>
    <n v="0"/>
    <n v="44032.959999999999"/>
    <n v="0"/>
    <n v="0"/>
    <n v="0"/>
    <n v="0"/>
    <n v="0"/>
    <n v="0"/>
    <n v="0"/>
    <n v="0"/>
    <n v="44032.959999999999"/>
    <n v="0"/>
    <n v="0"/>
  </r>
  <r>
    <x v="64"/>
    <s v="Diyara-Pipariya-Utri - Chandan"/>
    <s v="vlc"/>
    <s v="Indirect"/>
    <n v="1907.2"/>
    <n v="82741.310000000012"/>
    <n v="0"/>
    <n v="0"/>
    <n v="0"/>
    <n v="0"/>
    <n v="0"/>
    <n v="0"/>
    <n v="82741.310000000012"/>
    <n v="0"/>
    <n v="0"/>
    <n v="0"/>
    <n v="0"/>
    <n v="0"/>
    <n v="0"/>
    <n v="0"/>
    <n v="0"/>
    <n v="82741.310000000012"/>
    <n v="0"/>
    <n v="0"/>
  </r>
  <r>
    <x v="967"/>
    <s v="Chetan Tola-Dakshin - Hari Om"/>
    <s v="vlc"/>
    <s v="Indirect"/>
    <n v="110.6"/>
    <n v="6242.26"/>
    <n v="0"/>
    <n v="0"/>
    <n v="0"/>
    <n v="0"/>
    <n v="0"/>
    <n v="0"/>
    <n v="6242.26"/>
    <n v="0"/>
    <n v="0"/>
    <n v="0"/>
    <n v="0"/>
    <n v="0"/>
    <n v="0"/>
    <n v="0"/>
    <n v="0"/>
    <n v="6242.26"/>
    <n v="0"/>
    <n v="0"/>
  </r>
  <r>
    <x v="65"/>
    <s v="KANHARPUR-2"/>
    <s v="MPG"/>
    <s v="Direct"/>
    <n v="2687.2000000000007"/>
    <n v="128346.85000000003"/>
    <n v="2494.29"/>
    <n v="118990.67000000001"/>
    <n v="206.43"/>
    <n v="9193.07"/>
    <n v="2700.72"/>
    <n v="128183.74000000002"/>
    <n v="128183.74000000002"/>
    <n v="0"/>
    <n v="1729.54"/>
    <n v="0"/>
    <n v="0"/>
    <n v="0"/>
    <n v="0"/>
    <n v="118991"/>
    <n v="7464"/>
    <n v="0"/>
    <n v="162"/>
    <n v="0"/>
  </r>
  <r>
    <x v="66"/>
    <s v="BASAUNA"/>
    <s v="MPG"/>
    <s v="Direct"/>
    <n v="710.80000000000007"/>
    <n v="29683.9"/>
    <n v="509.57000000000011"/>
    <n v="22434.800000000003"/>
    <n v="179.92000000000002"/>
    <n v="6967.38"/>
    <n v="689.49000000000012"/>
    <n v="29402.180000000004"/>
    <n v="29402.180000000004"/>
    <n v="0"/>
    <n v="213.10000000000002"/>
    <n v="0"/>
    <n v="0"/>
    <n v="0"/>
    <n v="0"/>
    <n v="22436"/>
    <n v="6754"/>
    <n v="0"/>
    <n v="281"/>
    <n v="0"/>
  </r>
  <r>
    <x v="67"/>
    <s v="GANGA-SARAI"/>
    <s v="MPG"/>
    <s v="Direct"/>
    <n v="1198.3"/>
    <n v="52631.020000000004"/>
    <n v="896.83999999999992"/>
    <n v="37420.5"/>
    <n v="344.32000000000005"/>
    <n v="14911.33"/>
    <n v="1241.1599999999999"/>
    <n v="52331.83"/>
    <n v="52331.83"/>
    <n v="0"/>
    <n v="418.15"/>
    <n v="0"/>
    <n v="0"/>
    <n v="0"/>
    <n v="0"/>
    <n v="37419"/>
    <n v="14493"/>
    <n v="0"/>
    <n v="301"/>
    <n v="0"/>
  </r>
  <r>
    <x v="68"/>
    <s v="GOVIND-BIGHA                                                                                        "/>
    <s v="MPG"/>
    <s v="Direct"/>
    <n v="232.5"/>
    <n v="9927.2100000000009"/>
    <n v="233.83"/>
    <n v="10050.74"/>
    <n v="3.52"/>
    <n v="150.03"/>
    <n v="237.35000000000002"/>
    <n v="10200.77"/>
    <n v="9927.2100000000009"/>
    <n v="0"/>
    <n v="150.03"/>
    <n v="273.55999999999949"/>
    <n v="0"/>
    <n v="0"/>
    <n v="0"/>
    <n v="9777"/>
    <n v="0"/>
    <n v="0"/>
    <n v="0"/>
    <n v="0"/>
  </r>
  <r>
    <x v="69"/>
    <s v="MALPUR                                                                                              "/>
    <s v="MPG"/>
    <s v="Direct"/>
    <n v="983.89999999999986"/>
    <n v="45712.78"/>
    <n v="480.19000000000011"/>
    <n v="25033.79"/>
    <n v="551.94999999999993"/>
    <n v="23971.520000000004"/>
    <n v="1032.1400000000001"/>
    <n v="49005.310000000005"/>
    <n v="45712.78"/>
    <n v="0"/>
    <n v="292.87"/>
    <n v="3292.5300000000061"/>
    <n v="0"/>
    <n v="0"/>
    <n v="0"/>
    <n v="21741"/>
    <n v="23679"/>
    <n v="0"/>
    <n v="0"/>
    <n v="0"/>
  </r>
  <r>
    <x v="70"/>
    <s v="Gomukh Hasanpur"/>
    <s v="vlc"/>
    <s v="Indirect"/>
    <n v="1064.2"/>
    <n v="44909.299999999981"/>
    <n v="0"/>
    <n v="0"/>
    <n v="0"/>
    <n v="0"/>
    <n v="0"/>
    <n v="0"/>
    <n v="44909.299999999981"/>
    <n v="0"/>
    <n v="0"/>
    <n v="0"/>
    <n v="0"/>
    <n v="0"/>
    <n v="0"/>
    <n v="0"/>
    <n v="0"/>
    <n v="44909.299999999981"/>
    <n v="0"/>
    <n v="0"/>
  </r>
  <r>
    <x v="71"/>
    <s v="ADARSH LAXMIPUR-2"/>
    <s v="vlc"/>
    <s v="Indirect"/>
    <n v="1294.3999999999999"/>
    <n v="53787.579999999994"/>
    <n v="0"/>
    <n v="0"/>
    <n v="0"/>
    <n v="0"/>
    <n v="0"/>
    <n v="0"/>
    <n v="53787.579999999994"/>
    <n v="0"/>
    <n v="0"/>
    <n v="0"/>
    <n v="0"/>
    <n v="0"/>
    <n v="0"/>
    <n v="0"/>
    <n v="0"/>
    <n v="0"/>
    <n v="53788"/>
    <s v="Yes"/>
  </r>
  <r>
    <x v="72"/>
    <s v="SABIKPUR"/>
    <s v="MPG"/>
    <s v="Direct"/>
    <n v="1488.2"/>
    <n v="64820.509999999995"/>
    <n v="1569.82"/>
    <n v="70151.45"/>
    <n v="0"/>
    <n v="0"/>
    <n v="1569.82"/>
    <n v="70151.45"/>
    <n v="64820.509999999995"/>
    <n v="0"/>
    <n v="0"/>
    <n v="5330.9400000000023"/>
    <n v="0"/>
    <n v="0"/>
    <n v="0"/>
    <n v="64821"/>
    <n v="0"/>
    <n v="0"/>
    <n v="0"/>
    <n v="0"/>
  </r>
  <r>
    <x v="73"/>
    <s v="CHETAN-TOLA-KHUTHA"/>
    <s v="MPG"/>
    <s v="Direct"/>
    <n v="201.4"/>
    <n v="8488.0899999999983"/>
    <n v="344.62"/>
    <n v="14053.330000000002"/>
    <n v="0.04"/>
    <n v="1.76"/>
    <n v="344.66"/>
    <n v="14055.090000000002"/>
    <n v="8488.0899999999983"/>
    <n v="0"/>
    <n v="1.76"/>
    <n v="5567.0000000000036"/>
    <n v="0"/>
    <n v="500"/>
    <n v="0"/>
    <n v="7986"/>
    <n v="0"/>
    <n v="0"/>
    <n v="0"/>
    <n v="0"/>
  </r>
  <r>
    <x v="74"/>
    <s v="LAXMIPUR"/>
    <s v="MPG"/>
    <s v="Direct"/>
    <n v="769.20000000000016"/>
    <n v="30744.489999999998"/>
    <n v="765.6"/>
    <n v="35119.14"/>
    <n v="0"/>
    <n v="0"/>
    <n v="765.6"/>
    <n v="35119.14"/>
    <n v="30744.489999999998"/>
    <n v="0"/>
    <n v="0"/>
    <n v="4374.6500000000015"/>
    <n v="0"/>
    <n v="0"/>
    <n v="0"/>
    <n v="30744"/>
    <n v="0"/>
    <n v="0"/>
    <n v="0"/>
    <s v="Release3"/>
  </r>
  <r>
    <x v="75"/>
    <s v="REHUA RK"/>
    <s v="vlc"/>
    <s v="Indirect"/>
    <n v="1129.1999999999998"/>
    <n v="44550.270000000004"/>
    <n v="0"/>
    <n v="0"/>
    <n v="0"/>
    <n v="0"/>
    <n v="0"/>
    <n v="0"/>
    <n v="44550.270000000004"/>
    <n v="0"/>
    <n v="0"/>
    <n v="0"/>
    <n v="0"/>
    <n v="0"/>
    <n v="0"/>
    <n v="0"/>
    <n v="0"/>
    <n v="44550.270000000004"/>
    <n v="0"/>
    <n v="0"/>
  </r>
  <r>
    <x v="76"/>
    <s v="RAMNAGAR"/>
    <s v="MPG"/>
    <s v="Direct"/>
    <n v="233"/>
    <n v="10699.43"/>
    <n v="241.77"/>
    <n v="11419.95"/>
    <n v="0"/>
    <n v="0"/>
    <n v="241.77"/>
    <n v="11419.95"/>
    <n v="10699.43"/>
    <n v="0"/>
    <n v="0"/>
    <n v="720.52000000000044"/>
    <n v="0"/>
    <n v="0"/>
    <n v="0"/>
    <n v="10699"/>
    <n v="0"/>
    <n v="0"/>
    <n v="0"/>
    <s v="Release3"/>
  </r>
  <r>
    <x v="77"/>
    <s v="BANSIPUR"/>
    <s v="MPG"/>
    <s v="Direct"/>
    <n v="301.39999999999998"/>
    <n v="15171.849999999999"/>
    <n v="301.39999999999998"/>
    <n v="15191.850000000002"/>
    <n v="0"/>
    <n v="0"/>
    <n v="301.39999999999998"/>
    <n v="15191.850000000002"/>
    <n v="15171.849999999999"/>
    <n v="0"/>
    <n v="0"/>
    <n v="20.000000000003638"/>
    <n v="0"/>
    <n v="500"/>
    <n v="0"/>
    <n v="14672"/>
    <n v="0"/>
    <n v="0"/>
    <n v="0"/>
    <n v="0"/>
  </r>
  <r>
    <x v="78"/>
    <s v="GODIH"/>
    <s v="MPG"/>
    <s v="Direct"/>
    <n v="567.30000000000007"/>
    <n v="25026.57"/>
    <n v="566.96"/>
    <n v="32405.119999999999"/>
    <n v="0"/>
    <n v="0"/>
    <n v="566.96"/>
    <n v="32405.119999999999"/>
    <n v="25026.57"/>
    <n v="0"/>
    <n v="0"/>
    <n v="7378.5499999999993"/>
    <n v="0"/>
    <n v="0"/>
    <n v="0"/>
    <n v="25027"/>
    <n v="0"/>
    <n v="0"/>
    <n v="0"/>
    <n v="0"/>
  </r>
  <r>
    <x v="79"/>
    <s v="SINGARPUR"/>
    <s v="MPG"/>
    <s v="Direct"/>
    <n v="146.9"/>
    <n v="6555.1400000000012"/>
    <n v="146.61999999999998"/>
    <n v="7282.55"/>
    <n v="0"/>
    <n v="0"/>
    <n v="146.61999999999998"/>
    <n v="7282.55"/>
    <n v="6555.1400000000012"/>
    <n v="0"/>
    <n v="0"/>
    <n v="727.40999999999894"/>
    <n v="0"/>
    <n v="500"/>
    <n v="0"/>
    <n v="6055"/>
    <n v="0"/>
    <n v="0"/>
    <n v="0"/>
    <n v="0"/>
  </r>
  <r>
    <x v="80"/>
    <s v="G WOLIPUR"/>
    <s v="MPG"/>
    <s v="Indirect"/>
    <n v="2188.1999999999998"/>
    <n v="92601.700000000012"/>
    <n v="0"/>
    <n v="0"/>
    <n v="0"/>
    <n v="0"/>
    <n v="0"/>
    <n v="0"/>
    <n v="92601.700000000012"/>
    <n v="0"/>
    <n v="0"/>
    <n v="0"/>
    <n v="0"/>
    <n v="0"/>
    <n v="0"/>
    <n v="0"/>
    <n v="0"/>
    <n v="92601.700000000012"/>
    <n v="0"/>
    <n v="0"/>
  </r>
  <r>
    <x v="81"/>
    <s v="REHUA 3"/>
    <s v="MPG"/>
    <s v="Indirect"/>
    <n v="1663.5999999999997"/>
    <n v="71853.179999999978"/>
    <n v="0"/>
    <n v="0"/>
    <n v="0"/>
    <n v="0"/>
    <n v="0"/>
    <n v="0"/>
    <n v="71853.179999999978"/>
    <n v="0"/>
    <n v="0"/>
    <n v="0"/>
    <n v="0"/>
    <n v="0"/>
    <n v="0"/>
    <n v="0"/>
    <n v="0"/>
    <n v="71853.179999999978"/>
    <n v="0"/>
    <n v="0"/>
  </r>
  <r>
    <x v="82"/>
    <s v="BICHWAY"/>
    <s v="MPG"/>
    <s v="Direct"/>
    <n v="588.59999999999991"/>
    <n v="23408.129999999997"/>
    <n v="589.79999999999995"/>
    <n v="24923.8"/>
    <n v="0"/>
    <n v="0"/>
    <n v="589.79999999999995"/>
    <n v="24923.8"/>
    <n v="23408.129999999997"/>
    <n v="0"/>
    <n v="0"/>
    <n v="1515.6700000000019"/>
    <n v="0"/>
    <n v="0"/>
    <n v="0"/>
    <n v="23408"/>
    <n v="0"/>
    <n v="0"/>
    <n v="0"/>
    <n v="0"/>
  </r>
  <r>
    <x v="83"/>
    <s v="MANOHARPUR"/>
    <s v="MPG"/>
    <s v="Direct"/>
    <n v="611.40000000000009"/>
    <n v="25937.98"/>
    <n v="143.38"/>
    <n v="5690.52"/>
    <n v="469.97"/>
    <n v="18951.050000000003"/>
    <n v="613.35"/>
    <n v="24641.570000000003"/>
    <n v="24641.570000000003"/>
    <n v="0"/>
    <n v="0"/>
    <n v="0"/>
    <n v="0"/>
    <n v="0"/>
    <n v="0"/>
    <n v="5691"/>
    <n v="18953"/>
    <n v="0"/>
    <n v="1294"/>
    <n v="0"/>
  </r>
  <r>
    <x v="84"/>
    <s v="HIRDANBIGHA"/>
    <s v="MPG"/>
    <s v="Direct"/>
    <n v="744.39999999999986"/>
    <n v="31546.06"/>
    <n v="760.48999999999978"/>
    <n v="30856.18"/>
    <n v="0"/>
    <n v="0"/>
    <n v="760.48999999999978"/>
    <n v="30856.18"/>
    <n v="30856.18"/>
    <n v="0"/>
    <n v="0"/>
    <n v="0"/>
    <n v="0"/>
    <n v="0"/>
    <n v="0"/>
    <n v="30856"/>
    <n v="0"/>
    <n v="0"/>
    <n v="690"/>
    <n v="0"/>
  </r>
  <r>
    <x v="85"/>
    <s v="KHUTAHA DIH C"/>
    <s v="MPG"/>
    <s v="Direct"/>
    <n v="285.8"/>
    <n v="11502.990000000002"/>
    <n v="284.6099999999999"/>
    <n v="11860.199999999997"/>
    <n v="0"/>
    <n v="0"/>
    <n v="284.6099999999999"/>
    <n v="11860.199999999997"/>
    <n v="11502.990000000002"/>
    <n v="0"/>
    <n v="0"/>
    <n v="357.20999999999549"/>
    <n v="0"/>
    <n v="0"/>
    <n v="0"/>
    <n v="11503"/>
    <n v="0"/>
    <n v="0"/>
    <n v="0"/>
    <n v="0"/>
  </r>
  <r>
    <x v="86"/>
    <s v="MOHANPUR"/>
    <s v="vlc"/>
    <s v="Indirect"/>
    <n v="537.5"/>
    <n v="22637.35"/>
    <n v="0"/>
    <n v="0"/>
    <n v="0"/>
    <n v="0"/>
    <n v="0"/>
    <n v="0"/>
    <n v="22637.35"/>
    <n v="0"/>
    <n v="0"/>
    <n v="0"/>
    <n v="0"/>
    <n v="0"/>
    <n v="0"/>
    <n v="0"/>
    <n v="0"/>
    <n v="22637.35"/>
    <n v="0"/>
    <n v="0"/>
  </r>
  <r>
    <x v="87"/>
    <s v="CHATMADIH"/>
    <s v="MPG"/>
    <s v="Direct"/>
    <n v="1841.4"/>
    <n v="90312.349999999977"/>
    <n v="1821.9999999999993"/>
    <n v="88528.35"/>
    <n v="28.8"/>
    <n v="2097.6499999999996"/>
    <n v="1850.7999999999993"/>
    <n v="90626"/>
    <n v="90312.349999999977"/>
    <n v="0"/>
    <n v="2097.6499999999996"/>
    <n v="313.65000000002328"/>
    <n v="0"/>
    <n v="0"/>
    <n v="0"/>
    <n v="88215"/>
    <n v="0"/>
    <n v="0"/>
    <n v="0"/>
    <n v="0"/>
  </r>
  <r>
    <x v="88"/>
    <s v="SIYADIH"/>
    <s v="vlc"/>
    <s v="Indirect"/>
    <n v="802.25000000000011"/>
    <n v="23901.95"/>
    <n v="0"/>
    <n v="0"/>
    <n v="0"/>
    <n v="0"/>
    <n v="0"/>
    <n v="0"/>
    <n v="23901.95"/>
    <n v="0"/>
    <n v="0"/>
    <n v="0"/>
    <n v="0"/>
    <n v="0"/>
    <n v="0"/>
    <n v="0"/>
    <n v="0"/>
    <n v="23901.95"/>
    <n v="0"/>
    <n v="0"/>
  </r>
  <r>
    <x v="89"/>
    <s v="Gomukh ID Laldiyara"/>
    <s v="vlc"/>
    <s v="Indirect"/>
    <n v="16526.099999999999"/>
    <n v="694071.55999999982"/>
    <n v="0"/>
    <n v="0"/>
    <n v="0"/>
    <n v="0"/>
    <n v="0"/>
    <n v="0"/>
    <n v="694071.55999999982"/>
    <n v="0"/>
    <n v="0"/>
    <n v="0"/>
    <n v="0"/>
    <n v="0"/>
    <n v="0"/>
    <n v="0"/>
    <n v="0"/>
    <n v="694071.55999999982"/>
    <n v="0"/>
    <n v="0"/>
  </r>
  <r>
    <x v="90"/>
    <s v="KATHNI"/>
    <s v="MPG"/>
    <s v="Direct"/>
    <n v="214.3"/>
    <n v="7595.98"/>
    <n v="269.39999999999998"/>
    <n v="10289.929999999998"/>
    <n v="0"/>
    <n v="0"/>
    <n v="269.39999999999998"/>
    <n v="10289.929999999998"/>
    <n v="7595.98"/>
    <n v="0"/>
    <n v="0"/>
    <n v="2693.9499999999989"/>
    <n v="0"/>
    <n v="0"/>
    <n v="0"/>
    <n v="7596"/>
    <n v="0"/>
    <n v="0"/>
    <n v="0"/>
    <n v="0"/>
  </r>
  <r>
    <x v="91"/>
    <s v="DEVDHA GOMUKH MPG"/>
    <s v="MPG"/>
    <s v="Direct"/>
    <n v="1504.6"/>
    <n v="63998.63"/>
    <n v="1476.2"/>
    <n v="62698.659999999989"/>
    <n v="6.9"/>
    <n v="295.53999999999996"/>
    <n v="1483.1000000000001"/>
    <n v="62994.19999999999"/>
    <n v="62994.19999999999"/>
    <n v="0"/>
    <n v="295.53999999999996"/>
    <n v="0"/>
    <n v="0"/>
    <n v="0"/>
    <n v="0"/>
    <n v="62702"/>
    <n v="0"/>
    <n v="0"/>
    <n v="1001"/>
    <n v="0"/>
  </r>
  <r>
    <x v="92"/>
    <s v="KASBA(MANGOAN)"/>
    <s v="vlc"/>
    <s v="Indirect"/>
    <n v="171.3"/>
    <n v="7188.99"/>
    <n v="0"/>
    <n v="0"/>
    <n v="0"/>
    <n v="0"/>
    <n v="0"/>
    <n v="0"/>
    <n v="7188.99"/>
    <n v="0"/>
    <n v="0"/>
    <n v="0"/>
    <n v="0"/>
    <n v="0"/>
    <n v="0"/>
    <n v="0"/>
    <n v="0"/>
    <n v="7188.99"/>
    <n v="0"/>
    <n v="0"/>
  </r>
  <r>
    <x v="93"/>
    <s v="LOHRA"/>
    <s v="MPG"/>
    <s v="Direct"/>
    <n v="681.19999999999993"/>
    <n v="37356.89"/>
    <n v="645.75999999999988"/>
    <n v="37136.200000000004"/>
    <n v="17.739999999999998"/>
    <n v="986.4000000000002"/>
    <n v="663.49999999999989"/>
    <n v="38122.600000000006"/>
    <n v="37356.89"/>
    <n v="0"/>
    <n v="986.4000000000002"/>
    <n v="765.7100000000064"/>
    <n v="0"/>
    <n v="0"/>
    <n v="0"/>
    <n v="36370"/>
    <n v="0"/>
    <n v="0"/>
    <n v="0"/>
    <n v="0"/>
  </r>
  <r>
    <x v="94"/>
    <s v="KAMATPUR"/>
    <s v="MPG"/>
    <s v="Direct"/>
    <n v="206.7"/>
    <n v="8120.51"/>
    <n v="0"/>
    <n v="0"/>
    <n v="0"/>
    <n v="0"/>
    <n v="0"/>
    <n v="0"/>
    <n v="0"/>
    <n v="0"/>
    <n v="0"/>
    <n v="0"/>
    <n v="0"/>
    <n v="0"/>
    <n v="0"/>
    <n v="0"/>
    <n v="0"/>
    <n v="0"/>
    <n v="8121"/>
    <n v="0"/>
  </r>
  <r>
    <x v="95"/>
    <s v="GIRDHARA"/>
    <s v="MPG"/>
    <s v="Direct"/>
    <n v="1346.05"/>
    <n v="59696.129999999976"/>
    <n v="224.97"/>
    <n v="11700.300000000001"/>
    <n v="1127.21"/>
    <n v="49706.26"/>
    <n v="1352.18"/>
    <n v="61406.560000000005"/>
    <n v="59696.129999999976"/>
    <n v="0"/>
    <n v="367.24"/>
    <n v="1710.4300000000294"/>
    <n v="0"/>
    <n v="0"/>
    <n v="0"/>
    <n v="9990"/>
    <n v="49339"/>
    <n v="0"/>
    <n v="0"/>
    <n v="0"/>
  </r>
  <r>
    <x v="96"/>
    <s v="RATNI"/>
    <s v="MPG"/>
    <s v="Direct"/>
    <n v="1434.55"/>
    <n v="76499.87000000001"/>
    <n v="1420.5799999999997"/>
    <n v="74606.66"/>
    <n v="36.339999999999996"/>
    <n v="1966.8699999999994"/>
    <n v="1456.9199999999996"/>
    <n v="76573.53"/>
    <n v="76499.87000000001"/>
    <n v="0"/>
    <n v="1966.8699999999994"/>
    <n v="73.659999999988941"/>
    <n v="0"/>
    <n v="0"/>
    <n v="0"/>
    <n v="74533"/>
    <n v="0"/>
    <n v="0"/>
    <n v="0"/>
    <n v="0"/>
  </r>
  <r>
    <x v="97"/>
    <s v="DHAPARI"/>
    <s v="MPG"/>
    <s v="Direct"/>
    <n v="703.55000000000007"/>
    <n v="29662.989999999998"/>
    <n v="676.43"/>
    <n v="30403.219999999998"/>
    <n v="24.840000000000003"/>
    <n v="1048.9699999999998"/>
    <n v="701.27"/>
    <n v="31452.19"/>
    <n v="29662.989999999998"/>
    <n v="0"/>
    <n v="1048.9699999999998"/>
    <n v="1789.2000000000007"/>
    <n v="0"/>
    <n v="0"/>
    <n v="0"/>
    <n v="28614"/>
    <n v="0"/>
    <n v="0"/>
    <n v="0"/>
    <s v="Release3"/>
  </r>
  <r>
    <x v="98"/>
    <s v="KHARUI"/>
    <s v="MPG"/>
    <s v="Direct"/>
    <n v="418.89999999999992"/>
    <n v="18600.870000000003"/>
    <n v="397.9"/>
    <n v="18096.66"/>
    <n v="17.5"/>
    <n v="1157.6999999999998"/>
    <n v="415.4"/>
    <n v="19254.36"/>
    <n v="18600.870000000003"/>
    <n v="0"/>
    <n v="1157.6999999999998"/>
    <n v="653.48999999999796"/>
    <n v="0"/>
    <n v="0"/>
    <n v="0"/>
    <n v="17443"/>
    <n v="0"/>
    <n v="0"/>
    <n v="0"/>
    <n v="0"/>
  </r>
  <r>
    <x v="99"/>
    <s v="KHAIRA"/>
    <s v="MPG"/>
    <s v="Direct"/>
    <n v="574.45000000000005"/>
    <n v="23642.300000000003"/>
    <n v="622.78000000000009"/>
    <n v="26947.33"/>
    <n v="23.23"/>
    <n v="994.5"/>
    <n v="646.0100000000001"/>
    <n v="27941.83"/>
    <n v="23642.300000000003"/>
    <n v="0"/>
    <n v="994.5"/>
    <n v="4299.5299999999988"/>
    <n v="0"/>
    <n v="0"/>
    <n v="0"/>
    <n v="22648"/>
    <n v="0"/>
    <n v="0"/>
    <n v="0"/>
    <n v="0"/>
  </r>
  <r>
    <x v="100"/>
    <s v="SISUA"/>
    <s v="MPG"/>
    <s v="Direct"/>
    <n v="1659.7"/>
    <n v="68862.989999999991"/>
    <n v="1522.3"/>
    <n v="64348.639999999999"/>
    <n v="168.63"/>
    <n v="6765.18"/>
    <n v="1690.9299999999998"/>
    <n v="71113.820000000007"/>
    <n v="68862.989999999991"/>
    <n v="0"/>
    <n v="624.56000000000006"/>
    <n v="2250.8300000000163"/>
    <n v="0"/>
    <n v="0"/>
    <n v="0"/>
    <n v="62098"/>
    <n v="6140"/>
    <n v="0"/>
    <n v="0"/>
    <n v="0"/>
  </r>
  <r>
    <x v="101"/>
    <s v="BISAI"/>
    <s v="MPG"/>
    <s v="Direct"/>
    <n v="446.90000000000003"/>
    <n v="18715.669999999998"/>
    <n v="430.37000000000012"/>
    <n v="18374.439999999999"/>
    <n v="12.08"/>
    <n v="526.04999999999995"/>
    <n v="442.4500000000001"/>
    <n v="18900.489999999998"/>
    <n v="18715.669999999998"/>
    <n v="0"/>
    <n v="526.04999999999995"/>
    <n v="184.81999999999971"/>
    <n v="0"/>
    <n v="0"/>
    <n v="0"/>
    <n v="18190"/>
    <n v="0"/>
    <n v="0"/>
    <n v="0"/>
    <n v="0"/>
  </r>
  <r>
    <x v="102"/>
    <s v="SAJUA-1"/>
    <s v="MPG"/>
    <s v="Direct"/>
    <n v="839.69999999999982"/>
    <n v="33398.350000000006"/>
    <n v="846.95"/>
    <n v="33601.789999999994"/>
    <n v="8.5499999999999989"/>
    <n v="342.76000000000005"/>
    <n v="855.5"/>
    <n v="33944.549999999996"/>
    <n v="33398.350000000006"/>
    <n v="0"/>
    <n v="342.76000000000005"/>
    <n v="546.19999999998981"/>
    <n v="0"/>
    <n v="0"/>
    <n v="0"/>
    <n v="33056"/>
    <n v="0"/>
    <n v="0"/>
    <n v="0"/>
    <n v="0"/>
  </r>
  <r>
    <x v="103"/>
    <s v="SAJUA-2"/>
    <s v="MPG"/>
    <s v="Direct"/>
    <n v="1434.8"/>
    <n v="58830.22"/>
    <n v="1426.9800000000002"/>
    <n v="59852.12"/>
    <n v="15.18"/>
    <n v="1158.4299999999998"/>
    <n v="1442.1600000000003"/>
    <n v="61010.55"/>
    <n v="58830.22"/>
    <n v="0"/>
    <n v="1158.4299999999998"/>
    <n v="2180.3300000000017"/>
    <n v="0"/>
    <n v="0"/>
    <n v="0"/>
    <n v="57672"/>
    <n v="0"/>
    <n v="0"/>
    <n v="0"/>
    <s v="Release3"/>
  </r>
  <r>
    <x v="104"/>
    <s v="CHORGAUN"/>
    <s v="MPG"/>
    <s v="Direct"/>
    <n v="1088.2500000000002"/>
    <n v="42130.080000000002"/>
    <n v="1025.2000000000003"/>
    <n v="40365.400000000009"/>
    <n v="28.099999999999998"/>
    <n v="1161.3"/>
    <n v="1053.3000000000002"/>
    <n v="41526.700000000012"/>
    <n v="41526.700000000012"/>
    <n v="0"/>
    <n v="1161.3"/>
    <n v="0"/>
    <n v="0"/>
    <n v="0"/>
    <n v="0"/>
    <n v="40369"/>
    <n v="0"/>
    <n v="0"/>
    <n v="600"/>
    <n v="0"/>
  </r>
  <r>
    <x v="105"/>
    <s v="PADARATHPUR"/>
    <s v="MPG"/>
    <s v="Direct"/>
    <n v="1232.3"/>
    <n v="51909.81"/>
    <n v="1208.6000000000001"/>
    <n v="52150.049999999996"/>
    <n v="22.5"/>
    <n v="895.78000000000009"/>
    <n v="1231.1000000000001"/>
    <n v="53045.829999999994"/>
    <n v="51909.81"/>
    <n v="0"/>
    <n v="895.78000000000009"/>
    <n v="1136.0199999999968"/>
    <n v="0"/>
    <n v="0"/>
    <n v="0"/>
    <n v="51014"/>
    <n v="0"/>
    <n v="0"/>
    <n v="0"/>
    <n v="0"/>
  </r>
  <r>
    <x v="968"/>
    <s v="MACHIDIH"/>
    <s v="MPG"/>
    <s v="Direct"/>
    <n v="174.29999999999995"/>
    <n v="8049.829999999999"/>
    <n v="185"/>
    <n v="8075.25"/>
    <n v="0"/>
    <n v="0"/>
    <n v="185"/>
    <n v="8075.25"/>
    <n v="8049.829999999999"/>
    <n v="0"/>
    <n v="0"/>
    <n v="25.420000000000982"/>
    <n v="0"/>
    <n v="0"/>
    <n v="0"/>
    <n v="8050"/>
    <n v="0"/>
    <n v="0"/>
    <n v="0"/>
    <n v="0"/>
  </r>
  <r>
    <x v="106"/>
    <s v="BADARKHA"/>
    <s v="MPG"/>
    <s v="Direct"/>
    <n v="846.54999999999984"/>
    <n v="32891.660000000003"/>
    <n v="866.96"/>
    <n v="33510.730000000003"/>
    <n v="0"/>
    <n v="0"/>
    <n v="866.96"/>
    <n v="33510.730000000003"/>
    <n v="32891.660000000003"/>
    <n v="0"/>
    <n v="0"/>
    <n v="619.06999999999971"/>
    <n v="0"/>
    <n v="0"/>
    <n v="0"/>
    <n v="32892"/>
    <n v="0"/>
    <n v="0"/>
    <n v="0"/>
    <n v="0"/>
  </r>
  <r>
    <x v="107"/>
    <s v="MAHDMADPUR                                                                                          "/>
    <s v="MPG"/>
    <s v="Direct"/>
    <n v="1369.9"/>
    <n v="51056.239999999991"/>
    <n v="1344"/>
    <n v="50313.77"/>
    <n v="0"/>
    <n v="0"/>
    <n v="1344"/>
    <n v="50313.77"/>
    <n v="50313.77"/>
    <n v="0"/>
    <n v="0"/>
    <n v="0"/>
    <n v="0"/>
    <n v="0"/>
    <n v="0"/>
    <n v="50313"/>
    <n v="0"/>
    <n v="0"/>
    <n v="743"/>
    <s v="Release1"/>
  </r>
  <r>
    <x v="108"/>
    <s v="MUSKIPUR                                                                                            "/>
    <s v="MPG"/>
    <s v="Direct"/>
    <n v="1268.0499999999997"/>
    <n v="55435.680000000015"/>
    <n v="1244.5699999999997"/>
    <n v="52968.92"/>
    <n v="0"/>
    <n v="0"/>
    <n v="1244.5699999999997"/>
    <n v="52968.92"/>
    <n v="52968.92"/>
    <n v="0"/>
    <n v="0"/>
    <n v="0"/>
    <n v="0"/>
    <n v="0"/>
    <n v="0"/>
    <n v="52969"/>
    <n v="0"/>
    <n v="0"/>
    <n v="2467"/>
    <n v="0"/>
  </r>
  <r>
    <x v="109"/>
    <s v="NAYAGAUN                                                                                            "/>
    <s v="MPG"/>
    <s v="Direct"/>
    <n v="734.25"/>
    <n v="30693.889999999996"/>
    <n v="725.73999999999978"/>
    <n v="30203.750000000004"/>
    <n v="3.54"/>
    <n v="149.57000000000002"/>
    <n v="729.27999999999975"/>
    <n v="30353.320000000003"/>
    <n v="30353.320000000003"/>
    <n v="0"/>
    <n v="149.57000000000002"/>
    <n v="0"/>
    <n v="0"/>
    <n v="0"/>
    <n v="0"/>
    <n v="30204"/>
    <n v="0"/>
    <n v="0"/>
    <n v="340"/>
    <n v="0"/>
  </r>
  <r>
    <x v="110"/>
    <s v="LAUNA                                                                                               "/>
    <s v="MPG"/>
    <s v="Direct"/>
    <n v="1538.2"/>
    <n v="59166.78"/>
    <n v="1557.8500000000001"/>
    <n v="60550.439999999988"/>
    <n v="16.79"/>
    <n v="642.54999999999995"/>
    <n v="1574.64"/>
    <n v="61192.989999999991"/>
    <n v="59166.78"/>
    <n v="0"/>
    <n v="642.54999999999995"/>
    <n v="2026.2099999999919"/>
    <n v="13500"/>
    <n v="0"/>
    <n v="0"/>
    <n v="45024"/>
    <n v="0"/>
    <n v="0"/>
    <n v="0"/>
    <s v="Release1"/>
  </r>
  <r>
    <x v="111"/>
    <s v="DULHAR"/>
    <s v="MPG"/>
    <s v="Direct"/>
    <n v="584.75"/>
    <n v="24862.329999999998"/>
    <n v="588.8599999999999"/>
    <n v="30175.19"/>
    <n v="0"/>
    <n v="0"/>
    <n v="588.8599999999999"/>
    <n v="30175.19"/>
    <n v="24862.329999999998"/>
    <n v="0"/>
    <n v="0"/>
    <n v="5312.8600000000006"/>
    <n v="0"/>
    <n v="0"/>
    <n v="0"/>
    <n v="24862"/>
    <n v="0"/>
    <n v="0"/>
    <n v="0"/>
    <s v="Release3"/>
  </r>
  <r>
    <x v="112"/>
    <s v="Ghorpithiya - Vikas"/>
    <s v="vlc"/>
    <s v="Indirect"/>
    <n v="365.4"/>
    <n v="16497.68"/>
    <n v="0"/>
    <n v="0"/>
    <n v="0"/>
    <n v="0"/>
    <n v="0"/>
    <n v="0"/>
    <n v="16497.68"/>
    <n v="0"/>
    <n v="0"/>
    <n v="0"/>
    <n v="0"/>
    <n v="0"/>
    <n v="0"/>
    <n v="0"/>
    <n v="0"/>
    <n v="16497.68"/>
    <n v="0"/>
    <n v="0"/>
  </r>
  <r>
    <x v="113"/>
    <s v="Akbarnagar - Rakhi"/>
    <s v="vlc"/>
    <s v="Indirect"/>
    <n v="1137.8"/>
    <n v="45751.380000000005"/>
    <n v="0"/>
    <n v="0"/>
    <n v="0"/>
    <n v="0"/>
    <n v="0"/>
    <n v="0"/>
    <n v="45751.380000000005"/>
    <n v="0"/>
    <n v="0"/>
    <n v="0"/>
    <n v="0"/>
    <n v="0"/>
    <n v="0"/>
    <n v="0"/>
    <n v="0"/>
    <n v="45751.380000000005"/>
    <n v="0"/>
    <n v="0"/>
  </r>
  <r>
    <x v="969"/>
    <s v="Maheshi - Chamcham"/>
    <s v="vlc"/>
    <s v="Indirect"/>
    <n v="506.6"/>
    <n v="21430.95"/>
    <n v="0"/>
    <n v="0"/>
    <n v="0"/>
    <n v="0"/>
    <n v="0"/>
    <n v="0"/>
    <n v="21430.95"/>
    <n v="0"/>
    <n v="0"/>
    <n v="0"/>
    <n v="0"/>
    <n v="0"/>
    <n v="0"/>
    <n v="0"/>
    <n v="0"/>
    <n v="21430.95"/>
    <n v="0"/>
    <n v="0"/>
  </r>
  <r>
    <x v="114"/>
    <s v="Ghorpithiya - Dheeraj"/>
    <s v="vlc"/>
    <s v="Indirect"/>
    <n v="15695.1"/>
    <n v="659591.50999999989"/>
    <n v="0"/>
    <n v="0"/>
    <n v="0"/>
    <n v="0"/>
    <n v="0"/>
    <n v="0"/>
    <n v="659591.50999999989"/>
    <n v="0"/>
    <n v="0"/>
    <n v="0"/>
    <n v="0"/>
    <n v="0"/>
    <n v="0"/>
    <n v="0"/>
    <n v="0"/>
    <n v="659591.50999999989"/>
    <n v="0"/>
    <n v="0"/>
  </r>
  <r>
    <x v="115"/>
    <s v="Asarganj Chhotki Tola - Akash"/>
    <s v="vlc"/>
    <s v="Indirect"/>
    <n v="15695.1"/>
    <n v="659591.50999999989"/>
    <n v="0"/>
    <n v="0"/>
    <n v="0"/>
    <n v="0"/>
    <n v="0"/>
    <n v="0"/>
    <n v="659591.50999999989"/>
    <n v="0"/>
    <n v="0"/>
    <n v="0"/>
    <n v="0"/>
    <n v="0"/>
    <n v="0"/>
    <n v="0"/>
    <n v="0"/>
    <n v="659591.50999999989"/>
    <n v="0"/>
    <n v="0"/>
  </r>
  <r>
    <x v="116"/>
    <s v="Manikpur - Golu"/>
    <s v="vlc"/>
    <s v="Indirect"/>
    <n v="726.35"/>
    <n v="30118.809999999998"/>
    <n v="0"/>
    <n v="0"/>
    <n v="0"/>
    <n v="0"/>
    <n v="0"/>
    <n v="0"/>
    <n v="30118.809999999998"/>
    <n v="0"/>
    <n v="0"/>
    <n v="0"/>
    <n v="0"/>
    <n v="0"/>
    <n v="0"/>
    <n v="0"/>
    <n v="0"/>
    <n v="30118.809999999998"/>
    <n v="0"/>
    <n v="0"/>
  </r>
  <r>
    <x v="117"/>
    <s v="Rangaon - Jayram"/>
    <s v="vlc"/>
    <s v="Indirect"/>
    <n v="506.6"/>
    <n v="21430.95"/>
    <n v="0"/>
    <n v="0"/>
    <n v="0"/>
    <n v="0"/>
    <n v="0"/>
    <n v="0"/>
    <n v="21430.95"/>
    <n v="0"/>
    <n v="0"/>
    <n v="0"/>
    <n v="0"/>
    <n v="0"/>
    <n v="0"/>
    <n v="0"/>
    <n v="0"/>
    <n v="21430.95"/>
    <n v="0"/>
    <n v="0"/>
  </r>
  <r>
    <x v="970"/>
    <s v="Karso - Aparajita"/>
    <s v="vlc"/>
    <s v="Indirect"/>
    <n v="506.6"/>
    <n v="21430.95"/>
    <n v="0"/>
    <n v="0"/>
    <n v="0"/>
    <n v="0"/>
    <n v="0"/>
    <n v="0"/>
    <n v="21430.95"/>
    <n v="0"/>
    <n v="0"/>
    <n v="0"/>
    <n v="0"/>
    <n v="0"/>
    <n v="0"/>
    <n v="0"/>
    <n v="0"/>
    <n v="21430.95"/>
    <n v="0"/>
    <n v="0"/>
  </r>
  <r>
    <x v="971"/>
    <s v="Unchagaon - Niraj"/>
    <s v="vlc"/>
    <s v="Indirect"/>
    <n v="506.6"/>
    <n v="21430.95"/>
    <n v="0"/>
    <n v="0"/>
    <n v="0"/>
    <n v="0"/>
    <n v="0"/>
    <n v="0"/>
    <n v="21430.95"/>
    <n v="0"/>
    <n v="0"/>
    <n v="0"/>
    <n v="0"/>
    <n v="0"/>
    <n v="0"/>
    <n v="0"/>
    <n v="0"/>
    <n v="21430.95"/>
    <n v="0"/>
    <n v="0"/>
  </r>
  <r>
    <x v="118"/>
    <s v="PAIN"/>
    <s v="MPG"/>
    <s v="Direct"/>
    <n v="622.29999999999995"/>
    <n v="22693.389999999996"/>
    <n v="605.45999999999992"/>
    <n v="24615.37"/>
    <n v="2.7300000000000004"/>
    <n v="112.44999999999999"/>
    <n v="608.18999999999994"/>
    <n v="24727.82"/>
    <n v="22693.389999999996"/>
    <n v="0"/>
    <n v="112.44999999999999"/>
    <n v="2034.4300000000039"/>
    <n v="0"/>
    <n v="0"/>
    <n v="0"/>
    <n v="22581"/>
    <n v="0"/>
    <n v="0"/>
    <n v="0"/>
    <n v="0"/>
  </r>
  <r>
    <x v="119"/>
    <s v="MOTICHAK"/>
    <s v="MPG"/>
    <s v="Direct"/>
    <n v="3744.5000000000005"/>
    <n v="140783.65000000002"/>
    <n v="3671.6299999999992"/>
    <n v="139253.05999999997"/>
    <n v="82.81"/>
    <n v="3120.28"/>
    <n v="3754.4399999999991"/>
    <n v="142373.33999999997"/>
    <n v="140783.65000000002"/>
    <n v="0"/>
    <n v="3120.28"/>
    <n v="1589.6899999999441"/>
    <n v="0"/>
    <n v="0"/>
    <n v="0"/>
    <n v="137663"/>
    <n v="0"/>
    <n v="0"/>
    <n v="0"/>
    <n v="0"/>
  </r>
  <r>
    <x v="120"/>
    <s v="MIRATTHI"/>
    <s v="MPG"/>
    <s v="Direct"/>
    <n v="228.45000000000002"/>
    <n v="8975.42"/>
    <n v="225.09999999999997"/>
    <n v="8386.91"/>
    <n v="3.15"/>
    <n v="117.69"/>
    <n v="228.24999999999997"/>
    <n v="8504.6"/>
    <n v="8504.6"/>
    <n v="0"/>
    <n v="117.69"/>
    <n v="0"/>
    <n v="0"/>
    <n v="0"/>
    <n v="0"/>
    <n v="8387"/>
    <n v="0"/>
    <n v="0"/>
    <n v="471"/>
    <n v="0"/>
  </r>
  <r>
    <x v="121"/>
    <s v="DAULATPUR"/>
    <s v="MPG"/>
    <s v="Direct"/>
    <n v="239.45"/>
    <n v="10394.400000000001"/>
    <n v="230.61999999999995"/>
    <n v="10246.94"/>
    <n v="2.65"/>
    <n v="117.33"/>
    <n v="233.26999999999995"/>
    <n v="10364.27"/>
    <n v="10364.27"/>
    <n v="0"/>
    <n v="117.33"/>
    <n v="0"/>
    <n v="0"/>
    <n v="0"/>
    <n v="0"/>
    <n v="10248"/>
    <n v="0"/>
    <n v="0"/>
    <n v="29"/>
    <n v="0"/>
  </r>
  <r>
    <x v="122"/>
    <s v="MOHADDIPUR"/>
    <s v="MPG"/>
    <s v="Direct"/>
    <n v="255.30000000000004"/>
    <n v="9157.02"/>
    <n v="360"/>
    <n v="17332.900000000001"/>
    <n v="0"/>
    <n v="0"/>
    <n v="360"/>
    <n v="17332.900000000001"/>
    <n v="9157.02"/>
    <n v="0"/>
    <n v="0"/>
    <n v="8175.880000000001"/>
    <n v="0"/>
    <n v="500"/>
    <n v="0"/>
    <n v="8657"/>
    <n v="0"/>
    <n v="0"/>
    <n v="0"/>
    <s v="Release3"/>
  </r>
  <r>
    <x v="123"/>
    <s v="JHAJHA"/>
    <s v="MPG"/>
    <s v="Direct"/>
    <n v="730.05"/>
    <n v="31375.55"/>
    <n v="724.65999999999985"/>
    <n v="33682"/>
    <n v="0"/>
    <n v="0"/>
    <n v="724.65999999999985"/>
    <n v="33682"/>
    <n v="31375.55"/>
    <n v="0"/>
    <n v="0"/>
    <n v="2306.4500000000007"/>
    <n v="0"/>
    <n v="0"/>
    <n v="0"/>
    <n v="31376"/>
    <n v="0"/>
    <n v="0"/>
    <n v="0"/>
    <n v="0"/>
  </r>
  <r>
    <x v="124"/>
    <s v="KAMARDUH"/>
    <s v="MPG"/>
    <s v="Direct"/>
    <n v="682.3"/>
    <n v="24325.499999999996"/>
    <n v="682.19999999999993"/>
    <n v="24321.67"/>
    <n v="7"/>
    <n v="248.89999999999998"/>
    <n v="689.19999999999993"/>
    <n v="24570.57"/>
    <n v="24325.499999999996"/>
    <n v="0"/>
    <n v="248.89999999999998"/>
    <n v="245.07000000000335"/>
    <n v="0"/>
    <n v="0"/>
    <n v="0"/>
    <n v="24077"/>
    <n v="0"/>
    <n v="0"/>
    <n v="0"/>
    <n v="0"/>
  </r>
  <r>
    <x v="125"/>
    <s v="BARSABAD"/>
    <s v="MPG"/>
    <s v="Direct"/>
    <n v="389.00000000000006"/>
    <n v="15527.929999999998"/>
    <n v="373.95"/>
    <n v="13681.8"/>
    <n v="7.32"/>
    <n v="279.40999999999997"/>
    <n v="381.27"/>
    <n v="13961.21"/>
    <n v="13961.21"/>
    <n v="0"/>
    <n v="279.40999999999997"/>
    <n v="0"/>
    <n v="0"/>
    <n v="0"/>
    <n v="0"/>
    <n v="13680"/>
    <n v="0"/>
    <n v="0"/>
    <n v="1569"/>
    <n v="0"/>
  </r>
  <r>
    <x v="126"/>
    <s v="GONAI"/>
    <s v="MPG"/>
    <s v="Direct"/>
    <n v="1776.6"/>
    <n v="74735.009999999995"/>
    <n v="1878.9799999999996"/>
    <n v="78775.030000000013"/>
    <n v="11.2"/>
    <n v="485.87"/>
    <n v="1890.1799999999996"/>
    <n v="79260.900000000009"/>
    <n v="74735.009999999995"/>
    <n v="0"/>
    <n v="485.87"/>
    <n v="4525.890000000014"/>
    <n v="0"/>
    <n v="0"/>
    <n v="0"/>
    <n v="74249"/>
    <n v="0"/>
    <n v="0"/>
    <n v="0"/>
    <n v="0"/>
  </r>
  <r>
    <x v="127"/>
    <s v="SHIKARITOLA"/>
    <s v="MPG"/>
    <s v="Direct"/>
    <n v="1242.0999999999999"/>
    <n v="50757.16"/>
    <n v="1236.3000000000002"/>
    <n v="54960.070000000007"/>
    <n v="0"/>
    <n v="0"/>
    <n v="1236.3000000000002"/>
    <n v="54960.070000000007"/>
    <n v="50757.16"/>
    <n v="0"/>
    <n v="0"/>
    <n v="4202.9100000000035"/>
    <n v="22500"/>
    <n v="0"/>
    <n v="0"/>
    <n v="28257"/>
    <n v="0"/>
    <n v="0"/>
    <n v="0"/>
    <s v="Release1"/>
  </r>
  <r>
    <x v="128"/>
    <s v="BAIKUNTHPUR"/>
    <s v="MPG"/>
    <s v="Direct"/>
    <n v="357.5"/>
    <n v="13845.570000000003"/>
    <n v="390.36"/>
    <n v="14218.55"/>
    <n v="3.6099999999999985"/>
    <n v="132.13999999999999"/>
    <n v="393.97"/>
    <n v="14350.689999999999"/>
    <n v="13845.570000000003"/>
    <n v="0"/>
    <n v="132.13999999999999"/>
    <n v="505.11999999999534"/>
    <n v="0"/>
    <n v="500"/>
    <n v="0"/>
    <n v="13213"/>
    <n v="0"/>
    <n v="0"/>
    <n v="0"/>
    <n v="0"/>
  </r>
  <r>
    <x v="129"/>
    <s v="KAITHA"/>
    <s v="MPG"/>
    <s v="Direct"/>
    <n v="3584.9999999999995"/>
    <n v="156041.21"/>
    <n v="2277.7399999999998"/>
    <n v="104649.19999999998"/>
    <n v="1336.53"/>
    <n v="55371.73"/>
    <n v="3614.2699999999995"/>
    <n v="160020.93"/>
    <n v="156041.21"/>
    <n v="0"/>
    <n v="861.18999999999994"/>
    <n v="3979.7200000000012"/>
    <n v="0"/>
    <n v="0"/>
    <n v="0"/>
    <n v="100671"/>
    <n v="54509"/>
    <n v="0"/>
    <n v="0"/>
    <n v="0"/>
  </r>
  <r>
    <x v="130"/>
    <s v="DORAI"/>
    <s v="MPG"/>
    <s v="Direct"/>
    <n v="1103.8499999999999"/>
    <n v="40216.569999999992"/>
    <n v="1200.3099999999997"/>
    <n v="49635.629999999983"/>
    <n v="40.550000000000004"/>
    <n v="2094.7600000000002"/>
    <n v="1240.8599999999997"/>
    <n v="51730.389999999985"/>
    <n v="40216.569999999992"/>
    <n v="0"/>
    <n v="2094.7600000000002"/>
    <n v="11513.819999999992"/>
    <n v="0"/>
    <n v="0"/>
    <n v="0"/>
    <n v="38122"/>
    <n v="0"/>
    <n v="0"/>
    <n v="0"/>
    <n v="0"/>
  </r>
  <r>
    <x v="131"/>
    <s v="RAGHUNATHPUR"/>
    <s v="MPG"/>
    <s v="Indirect"/>
    <n v="1115.2"/>
    <n v="39376.060000000005"/>
    <n v="0"/>
    <n v="0"/>
    <n v="0"/>
    <n v="0"/>
    <n v="0"/>
    <n v="0"/>
    <n v="39376.060000000005"/>
    <n v="0"/>
    <n v="0"/>
    <n v="0"/>
    <n v="0"/>
    <n v="0"/>
    <n v="0"/>
    <n v="0"/>
    <n v="0"/>
    <n v="39376.060000000005"/>
    <n v="0"/>
    <n v="0"/>
  </r>
  <r>
    <x v="132"/>
    <s v="BANGAMA"/>
    <s v="MPG"/>
    <s v="Direct"/>
    <n v="677.25"/>
    <n v="28879.840000000004"/>
    <n v="682.8"/>
    <n v="30751.940000000002"/>
    <n v="13.600000000000001"/>
    <n v="615.39999999999986"/>
    <n v="696.4"/>
    <n v="31367.340000000004"/>
    <n v="28879.840000000004"/>
    <n v="0"/>
    <n v="615.39999999999986"/>
    <n v="2487.5"/>
    <n v="0"/>
    <n v="0"/>
    <n v="0"/>
    <n v="28264"/>
    <n v="0"/>
    <n v="0"/>
    <n v="0"/>
    <n v="0"/>
  </r>
  <r>
    <x v="133"/>
    <s v="KORIYA"/>
    <s v="MPG"/>
    <s v="Direct"/>
    <n v="215.7"/>
    <n v="9438.6299999999992"/>
    <n v="219.29999999999998"/>
    <n v="9608.9599999999991"/>
    <n v="0"/>
    <n v="0"/>
    <n v="219.29999999999998"/>
    <n v="9608.9599999999991"/>
    <n v="9438.6299999999992"/>
    <n v="0"/>
    <n v="0"/>
    <n v="170.32999999999993"/>
    <n v="0"/>
    <n v="500"/>
    <n v="0"/>
    <n v="8939"/>
    <n v="0"/>
    <n v="0"/>
    <n v="0"/>
    <n v="0"/>
  </r>
  <r>
    <x v="134"/>
    <s v="HARLACHAK"/>
    <s v="MPG"/>
    <s v="Direct"/>
    <n v="1300.7"/>
    <n v="53118.49"/>
    <n v="1273.04"/>
    <n v="53223.740000000013"/>
    <n v="14.1"/>
    <n v="596.53"/>
    <n v="1287.1399999999999"/>
    <n v="53820.270000000011"/>
    <n v="53118.49"/>
    <n v="0"/>
    <n v="596.53"/>
    <n v="701.78000000001339"/>
    <n v="0"/>
    <n v="0"/>
    <n v="0"/>
    <n v="52522"/>
    <n v="0"/>
    <n v="0"/>
    <n v="0"/>
    <n v="0"/>
  </r>
  <r>
    <x v="135"/>
    <s v="Jangle Jhakra"/>
    <s v="MPG"/>
    <s v="Direct"/>
    <n v="1959.9"/>
    <n v="82320.029999999984"/>
    <n v="2058.73"/>
    <n v="89252.239999999991"/>
    <n v="14.57"/>
    <n v="573.77"/>
    <n v="2073.3000000000002"/>
    <n v="89826.01"/>
    <n v="82320.029999999984"/>
    <n v="0"/>
    <n v="573.77"/>
    <n v="7505.9800000000105"/>
    <n v="0"/>
    <n v="0"/>
    <n v="0"/>
    <n v="81746"/>
    <n v="0"/>
    <n v="0"/>
    <n v="0"/>
    <n v="0"/>
  </r>
  <r>
    <x v="136"/>
    <s v="KATAHRA"/>
    <s v="MPG"/>
    <s v="Direct"/>
    <n v="501.75"/>
    <n v="22351.79"/>
    <n v="505.14"/>
    <n v="23375.96"/>
    <n v="0"/>
    <n v="0"/>
    <n v="505.14"/>
    <n v="23375.96"/>
    <n v="22351.79"/>
    <n v="0"/>
    <n v="0"/>
    <n v="1024.1699999999983"/>
    <n v="0"/>
    <n v="0"/>
    <n v="0"/>
    <n v="22352"/>
    <n v="0"/>
    <n v="0"/>
    <n v="0"/>
    <n v="0"/>
  </r>
  <r>
    <x v="137"/>
    <s v="KARHARIA V"/>
    <s v="vlc"/>
    <s v="Indirect"/>
    <n v="156.25"/>
    <n v="5794.07"/>
    <n v="0"/>
    <n v="0"/>
    <n v="0"/>
    <n v="0"/>
    <n v="0"/>
    <n v="0"/>
    <n v="5794.07"/>
    <n v="0"/>
    <n v="0"/>
    <n v="0"/>
    <n v="0"/>
    <n v="0"/>
    <n v="0"/>
    <n v="0"/>
    <n v="0"/>
    <n v="5794.07"/>
    <n v="0"/>
    <n v="0"/>
  </r>
  <r>
    <x v="138"/>
    <s v="BALADEV ITAHARI"/>
    <s v="MPG"/>
    <s v="Direct"/>
    <n v="746.84999999999991"/>
    <n v="35228.07"/>
    <n v="743.68"/>
    <n v="37235.06"/>
    <n v="0"/>
    <n v="0"/>
    <n v="743.68"/>
    <n v="37235.06"/>
    <n v="35228.07"/>
    <n v="0"/>
    <n v="0"/>
    <n v="2006.989999999998"/>
    <n v="0"/>
    <n v="0"/>
    <n v="0"/>
    <n v="35228"/>
    <n v="0"/>
    <n v="0"/>
    <n v="0"/>
    <n v="0"/>
  </r>
  <r>
    <x v="139"/>
    <s v="PAHALANPUR"/>
    <s v="MPG"/>
    <s v="Direct"/>
    <n v="926.00000000000011"/>
    <n v="38135.96"/>
    <n v="923.16999999999985"/>
    <n v="35943.79"/>
    <n v="0"/>
    <n v="0"/>
    <n v="923.16999999999985"/>
    <n v="35943.79"/>
    <n v="35943.79"/>
    <n v="0"/>
    <n v="0"/>
    <n v="0"/>
    <n v="0"/>
    <n v="0"/>
    <n v="0"/>
    <n v="35943"/>
    <n v="0"/>
    <n v="0"/>
    <n v="2193"/>
    <n v="0"/>
  </r>
  <r>
    <x v="140"/>
    <s v="RAMBRAN YADAV"/>
    <s v="MPG"/>
    <s v="Direct"/>
    <n v="619.65"/>
    <n v="25572.890000000007"/>
    <n v="614.30999999999995"/>
    <n v="25396.860000000004"/>
    <n v="0"/>
    <n v="0"/>
    <n v="614.30999999999995"/>
    <n v="25396.860000000004"/>
    <n v="25396.860000000004"/>
    <n v="0"/>
    <n v="0"/>
    <n v="0"/>
    <n v="0"/>
    <n v="0"/>
    <n v="0"/>
    <n v="25397"/>
    <n v="0"/>
    <n v="0"/>
    <n v="176"/>
    <n v="0"/>
  </r>
  <r>
    <x v="141"/>
    <s v="Gomukh Beldra"/>
    <s v="MPG"/>
    <s v="Direct"/>
    <n v="358.2"/>
    <n v="14977.17"/>
    <n v="347.47"/>
    <n v="15537.039999999999"/>
    <n v="0"/>
    <n v="0"/>
    <n v="347.47"/>
    <n v="15537.039999999999"/>
    <n v="14977.17"/>
    <n v="0"/>
    <n v="0"/>
    <n v="559.86999999999898"/>
    <n v="0"/>
    <n v="0"/>
    <n v="0"/>
    <n v="14977"/>
    <n v="0"/>
    <n v="0"/>
    <n v="0"/>
    <n v="0"/>
  </r>
  <r>
    <x v="142"/>
    <s v="Gomukh Chandanpura"/>
    <s v="MPG"/>
    <s v="Direct"/>
    <n v="1153.5"/>
    <n v="54283.710000000006"/>
    <n v="1144.3899999999996"/>
    <n v="57040.03"/>
    <n v="0"/>
    <n v="0"/>
    <n v="1144.3899999999996"/>
    <n v="57040.03"/>
    <n v="54283.710000000006"/>
    <n v="0"/>
    <n v="0"/>
    <n v="2756.3199999999924"/>
    <n v="0"/>
    <n v="0"/>
    <n v="0"/>
    <n v="54284"/>
    <n v="0"/>
    <n v="0"/>
    <n v="0"/>
    <n v="0"/>
  </r>
  <r>
    <x v="143"/>
    <s v="DARIYAPUR R"/>
    <s v="MPG"/>
    <s v="Direct"/>
    <n v="465.5"/>
    <n v="24432.35"/>
    <n v="499.31999999999994"/>
    <n v="29648.100000000002"/>
    <n v="0"/>
    <n v="0"/>
    <n v="499.31999999999994"/>
    <n v="29648.100000000002"/>
    <n v="24432.35"/>
    <n v="0"/>
    <n v="0"/>
    <n v="5215.7500000000036"/>
    <n v="0"/>
    <n v="0"/>
    <n v="0"/>
    <n v="24432"/>
    <n v="0"/>
    <n v="0"/>
    <n v="0"/>
    <n v="0"/>
  </r>
  <r>
    <x v="144"/>
    <s v="MUZAFFARGANJ"/>
    <s v="MPG"/>
    <s v="Direct"/>
    <n v="437.3"/>
    <n v="16462.830000000002"/>
    <n v="407.2"/>
    <n v="15117.85"/>
    <n v="0"/>
    <n v="0"/>
    <n v="407.2"/>
    <n v="15117.85"/>
    <n v="15117.85"/>
    <n v="0"/>
    <n v="0"/>
    <n v="0"/>
    <n v="0"/>
    <n v="0"/>
    <n v="0"/>
    <n v="15118"/>
    <n v="0"/>
    <n v="0"/>
    <n v="1345"/>
    <n v="0"/>
  </r>
  <r>
    <x v="145"/>
    <s v="SARHA"/>
    <s v="MPG"/>
    <s v="Direct"/>
    <n v="1006.6999999999999"/>
    <n v="52231.699999999983"/>
    <n v="1073.3499999999999"/>
    <n v="55901.020000000004"/>
    <n v="0"/>
    <n v="0"/>
    <n v="1073.3499999999999"/>
    <n v="55901.020000000004"/>
    <n v="52231.699999999983"/>
    <n v="0"/>
    <n v="0"/>
    <n v="3669.3200000000215"/>
    <n v="0"/>
    <n v="0"/>
    <n v="0"/>
    <n v="52232"/>
    <n v="0"/>
    <n v="0"/>
    <n v="0"/>
    <n v="0"/>
  </r>
  <r>
    <x v="146"/>
    <s v="KUSUMBHA"/>
    <s v="MPG"/>
    <s v="Direct"/>
    <n v="595.35"/>
    <n v="25844.98"/>
    <n v="570.86"/>
    <n v="25254.160000000003"/>
    <n v="0"/>
    <n v="0"/>
    <n v="570.86"/>
    <n v="25254.160000000003"/>
    <n v="25254.160000000003"/>
    <n v="0"/>
    <n v="0"/>
    <n v="0"/>
    <n v="0"/>
    <n v="0"/>
    <n v="0"/>
    <n v="25254"/>
    <n v="0"/>
    <n v="0"/>
    <n v="591"/>
    <n v="0"/>
  </r>
  <r>
    <x v="147"/>
    <s v="MANO"/>
    <s v="vlc"/>
    <s v="Indirect"/>
    <n v="1295.8"/>
    <n v="55273.250000000007"/>
    <n v="0"/>
    <n v="0"/>
    <n v="0"/>
    <n v="0"/>
    <n v="0"/>
    <n v="0"/>
    <n v="55273.250000000007"/>
    <n v="0"/>
    <n v="0"/>
    <n v="0"/>
    <n v="0"/>
    <n v="0"/>
    <n v="0"/>
    <n v="0"/>
    <n v="0"/>
    <n v="55273.250000000007"/>
    <n v="0"/>
    <n v="0"/>
  </r>
  <r>
    <x v="148"/>
    <s v="PURANI SALEMPUR"/>
    <s v="vlc"/>
    <s v="Indirect"/>
    <n v="1635.7999999999997"/>
    <n v="66516.83"/>
    <n v="0"/>
    <n v="0"/>
    <n v="0"/>
    <n v="0"/>
    <n v="0"/>
    <n v="0"/>
    <n v="66516.83"/>
    <n v="0"/>
    <n v="0"/>
    <n v="0"/>
    <n v="0"/>
    <n v="0"/>
    <n v="0"/>
    <n v="0"/>
    <n v="0"/>
    <n v="66516.83"/>
    <n v="0"/>
    <n v="0"/>
  </r>
  <r>
    <x v="149"/>
    <s v="DHANDHHA"/>
    <s v="MPG"/>
    <s v="Indirect"/>
    <n v="2460.5000000000005"/>
    <n v="100402.25"/>
    <n v="0"/>
    <n v="0"/>
    <n v="0"/>
    <n v="0"/>
    <n v="0"/>
    <n v="0"/>
    <n v="100402.25"/>
    <n v="0"/>
    <n v="0"/>
    <n v="0"/>
    <n v="0"/>
    <n v="0"/>
    <n v="0"/>
    <n v="0"/>
    <n v="0"/>
    <n v="100402.25"/>
    <n v="0"/>
    <n v="0"/>
  </r>
  <r>
    <x v="150"/>
    <s v="CHALISH"/>
    <s v="vlc"/>
    <s v="Indirect"/>
    <n v="853.59999999999991"/>
    <n v="35592.26"/>
    <n v="0"/>
    <n v="0"/>
    <n v="0"/>
    <n v="0"/>
    <n v="0"/>
    <n v="0"/>
    <n v="35592.26"/>
    <n v="0"/>
    <n v="0"/>
    <n v="0"/>
    <n v="0"/>
    <n v="0"/>
    <n v="0"/>
    <n v="0"/>
    <n v="0"/>
    <n v="35592.26"/>
    <n v="0"/>
    <n v="0"/>
  </r>
  <r>
    <x v="151"/>
    <s v="MAA BHAGWATI"/>
    <s v="vlc"/>
    <s v="Indirect"/>
    <n v="611.20000000000005"/>
    <n v="23110.78"/>
    <n v="0"/>
    <n v="0"/>
    <n v="0"/>
    <n v="0"/>
    <n v="0"/>
    <n v="0"/>
    <n v="23110.78"/>
    <n v="0"/>
    <n v="0"/>
    <n v="0"/>
    <n v="0"/>
    <n v="0"/>
    <n v="0"/>
    <n v="0"/>
    <n v="0"/>
    <n v="23110.78"/>
    <n v="0"/>
    <n v="0"/>
  </r>
  <r>
    <x v="152"/>
    <s v="MAIDINICHOKI"/>
    <s v="vlc"/>
    <s v="Indirect"/>
    <n v="388.4"/>
    <n v="15647.960000000001"/>
    <n v="0"/>
    <n v="0"/>
    <n v="0"/>
    <n v="0"/>
    <n v="0"/>
    <n v="0"/>
    <n v="15647.960000000001"/>
    <n v="0"/>
    <n v="0"/>
    <n v="0"/>
    <n v="0"/>
    <n v="0"/>
    <n v="0"/>
    <n v="0"/>
    <n v="0"/>
    <n v="15647.960000000001"/>
    <n v="0"/>
    <n v="0"/>
  </r>
  <r>
    <x v="153"/>
    <s v="GOMUKH JAJWARA"/>
    <s v="vlc"/>
    <s v="Indirect"/>
    <n v="1382.8999999999999"/>
    <n v="61002.12"/>
    <n v="0"/>
    <n v="0"/>
    <n v="0"/>
    <n v="0"/>
    <n v="0"/>
    <n v="0"/>
    <n v="61002.12"/>
    <n v="0"/>
    <n v="0"/>
    <n v="0"/>
    <n v="0"/>
    <n v="0"/>
    <n v="0"/>
    <n v="0"/>
    <n v="0"/>
    <n v="61002.12"/>
    <n v="0"/>
    <n v="0"/>
  </r>
  <r>
    <x v="154"/>
    <s v="Gomukh ID Sonvarsha"/>
    <s v="vlc"/>
    <s v="Indirect"/>
    <n v="2076.1999999999998"/>
    <n v="88969.170000000013"/>
    <n v="0"/>
    <n v="0"/>
    <n v="0"/>
    <n v="0"/>
    <n v="0"/>
    <n v="0"/>
    <n v="88969.170000000013"/>
    <n v="0"/>
    <n v="0"/>
    <n v="0"/>
    <n v="0"/>
    <n v="0"/>
    <n v="0"/>
    <n v="0"/>
    <n v="0"/>
    <n v="88969.170000000013"/>
    <n v="0"/>
    <n v="0"/>
  </r>
  <r>
    <x v="155"/>
    <s v="BALHAPUR"/>
    <s v="MPG"/>
    <s v="Direct"/>
    <n v="523.79999999999995"/>
    <n v="26366.620000000003"/>
    <n v="521.55000000000007"/>
    <n v="25455.09"/>
    <n v="10.439999999999998"/>
    <n v="508.31"/>
    <n v="531.99"/>
    <n v="25963.4"/>
    <n v="25963.4"/>
    <n v="0"/>
    <n v="508.31"/>
    <n v="0"/>
    <n v="0"/>
    <n v="0"/>
    <n v="0"/>
    <n v="25455"/>
    <n v="0"/>
    <n v="0"/>
    <n v="403"/>
    <n v="0"/>
  </r>
  <r>
    <x v="156"/>
    <s v="Gomukh ID Husaina"/>
    <s v="vlc"/>
    <s v="Indirect"/>
    <n v="168"/>
    <n v="6871.88"/>
    <n v="0"/>
    <n v="0"/>
    <n v="0"/>
    <n v="0"/>
    <n v="0"/>
    <n v="0"/>
    <n v="6871.88"/>
    <n v="0"/>
    <n v="0"/>
    <n v="0"/>
    <n v="0"/>
    <n v="0"/>
    <n v="0"/>
    <n v="0"/>
    <n v="0"/>
    <n v="6871.88"/>
    <n v="0"/>
    <n v="0"/>
  </r>
  <r>
    <x v="157"/>
    <s v="Gomukh ID Prarotol"/>
    <s v="vlc"/>
    <s v="Indirect"/>
    <n v="153.6"/>
    <n v="6973.43"/>
    <n v="0"/>
    <n v="0"/>
    <n v="0"/>
    <n v="0"/>
    <n v="0"/>
    <n v="0"/>
    <n v="6973.43"/>
    <n v="0"/>
    <n v="0"/>
    <n v="0"/>
    <n v="0"/>
    <n v="0"/>
    <n v="0"/>
    <n v="0"/>
    <n v="0"/>
    <n v="6973.43"/>
    <n v="0"/>
    <n v="0"/>
  </r>
  <r>
    <x v="158"/>
    <s v="MAA SARDE"/>
    <s v="vlc"/>
    <s v="Indirect"/>
    <n v="1307"/>
    <n v="50749.900000000009"/>
    <n v="0"/>
    <n v="0"/>
    <n v="0"/>
    <n v="0"/>
    <n v="0"/>
    <n v="0"/>
    <n v="50749.900000000009"/>
    <n v="0"/>
    <n v="0"/>
    <n v="0"/>
    <n v="0"/>
    <n v="0"/>
    <n v="0"/>
    <n v="0"/>
    <n v="0"/>
    <n v="50749.900000000009"/>
    <n v="0"/>
    <n v="0"/>
  </r>
  <r>
    <x v="159"/>
    <s v="PURANI DIH"/>
    <s v="vlc"/>
    <s v="Indirect"/>
    <n v="2278.3000000000006"/>
    <n v="101323.78000000001"/>
    <n v="0"/>
    <n v="0"/>
    <n v="0"/>
    <n v="0"/>
    <n v="0"/>
    <n v="0"/>
    <n v="101323.78000000001"/>
    <n v="0"/>
    <n v="0"/>
    <n v="0"/>
    <n v="14000"/>
    <n v="0"/>
    <n v="0"/>
    <n v="0"/>
    <n v="0"/>
    <n v="87323.780000000013"/>
    <n v="0"/>
    <n v="0"/>
  </r>
  <r>
    <x v="160"/>
    <s v="Farda Ravi Tola"/>
    <s v="MPG"/>
    <s v="Direct"/>
    <n v="969.30000000000007"/>
    <n v="37804.29"/>
    <n v="531.29999999999995"/>
    <n v="21443.47"/>
    <n v="492.80000000000007"/>
    <n v="19526.740000000002"/>
    <n v="1024.0999999999999"/>
    <n v="40970.210000000006"/>
    <n v="37804.29"/>
    <n v="0"/>
    <n v="598.37999999999988"/>
    <n v="3165.9200000000055"/>
    <n v="8894"/>
    <n v="0"/>
    <n v="0"/>
    <n v="18278"/>
    <n v="10033"/>
    <n v="0"/>
    <n v="1"/>
    <s v="Release1"/>
  </r>
  <r>
    <x v="161"/>
    <s v="Gomukh Puranidih 2"/>
    <s v="MPG"/>
    <s v="Indirect"/>
    <n v="154.19999999999999"/>
    <n v="6912.829999999999"/>
    <n v="0"/>
    <n v="0"/>
    <n v="0"/>
    <n v="0"/>
    <n v="0"/>
    <n v="0"/>
    <n v="6912.829999999999"/>
    <n v="0"/>
    <n v="0"/>
    <n v="0"/>
    <n v="0"/>
    <n v="0"/>
    <n v="0"/>
    <n v="0"/>
    <n v="0"/>
    <n v="6912.829999999999"/>
    <n v="0"/>
    <n v="0"/>
  </r>
  <r>
    <x v="162"/>
    <s v="Gomukh Arma"/>
    <s v="MPG"/>
    <s v="Direct"/>
    <n v="954.80000000000007"/>
    <n v="52723.869999999995"/>
    <n v="664.65"/>
    <n v="37032.49"/>
    <n v="293.79999999999995"/>
    <n v="15477.369999999999"/>
    <n v="958.44999999999993"/>
    <n v="52509.86"/>
    <n v="52509.86"/>
    <n v="0"/>
    <n v="0"/>
    <n v="0"/>
    <n v="0"/>
    <n v="0"/>
    <n v="0"/>
    <n v="37033"/>
    <n v="15478"/>
    <n v="0"/>
    <n v="213"/>
    <n v="0"/>
  </r>
  <r>
    <x v="163"/>
    <s v="Singhchak"/>
    <s v="MPG"/>
    <s v="Direct"/>
    <n v="1715.4"/>
    <n v="76645.969999999987"/>
    <n v="1698.7399999999996"/>
    <n v="76860.049999999988"/>
    <n v="25.72"/>
    <n v="1152.2299999999998"/>
    <n v="1724.4599999999996"/>
    <n v="78012.279999999984"/>
    <n v="76645.969999999987"/>
    <n v="0"/>
    <n v="1152.2299999999998"/>
    <n v="1366.3099999999977"/>
    <n v="0"/>
    <n v="0"/>
    <n v="0"/>
    <n v="75494"/>
    <n v="0"/>
    <n v="0"/>
    <n v="0"/>
    <n v="0"/>
  </r>
  <r>
    <x v="164"/>
    <s v="MAHA-LAXMI"/>
    <s v="vlc"/>
    <s v="Indirect"/>
    <n v="357.4"/>
    <n v="13804.1"/>
    <n v="0"/>
    <n v="0"/>
    <n v="0"/>
    <n v="0"/>
    <n v="0"/>
    <n v="0"/>
    <n v="13804.1"/>
    <n v="0"/>
    <n v="0"/>
    <n v="0"/>
    <n v="0"/>
    <n v="0"/>
    <n v="0"/>
    <n v="0"/>
    <n v="0"/>
    <n v="13804.1"/>
    <n v="0"/>
    <n v="0"/>
  </r>
  <r>
    <x v="165"/>
    <s v="PAWAI"/>
    <s v="MPG"/>
    <s v="Direct"/>
    <n v="2634.099999999999"/>
    <n v="134034.12000000002"/>
    <n v="2180.3100000000004"/>
    <n v="110203.48"/>
    <n v="477.98"/>
    <n v="23920.410000000003"/>
    <n v="2658.2900000000004"/>
    <n v="134123.89000000001"/>
    <n v="134034.12000000002"/>
    <n v="0"/>
    <n v="1246.79"/>
    <n v="89.769999999989523"/>
    <n v="0"/>
    <n v="0"/>
    <n v="0"/>
    <n v="110113"/>
    <n v="22674"/>
    <n v="0"/>
    <n v="0"/>
    <n v="0"/>
  </r>
  <r>
    <x v="166"/>
    <s v="LAKHOCHAK                                                                                           "/>
    <s v="MPG"/>
    <s v="Direct"/>
    <n v="488.09999999999997"/>
    <n v="20762.120000000003"/>
    <n v="496.77"/>
    <n v="22755.02"/>
    <n v="0"/>
    <n v="0"/>
    <n v="496.77"/>
    <n v="22755.02"/>
    <n v="20762.120000000003"/>
    <n v="0"/>
    <n v="0"/>
    <n v="1992.8999999999978"/>
    <n v="4228"/>
    <n v="0"/>
    <n v="0"/>
    <n v="16534"/>
    <n v="0"/>
    <n v="0"/>
    <n v="0"/>
    <s v="Release1"/>
  </r>
  <r>
    <x v="167"/>
    <s v="BATTA RAMPUR                                                                                        "/>
    <s v="MPG"/>
    <s v="Direct"/>
    <n v="3662.0000000000005"/>
    <n v="196456.95999999999"/>
    <n v="3752.2199999999993"/>
    <n v="200243.37"/>
    <n v="33.79"/>
    <n v="2267.86"/>
    <n v="3786.0099999999993"/>
    <n v="202511.22999999998"/>
    <n v="196456.95999999999"/>
    <n v="0"/>
    <n v="2267.86"/>
    <n v="6054.2699999999895"/>
    <n v="15000"/>
    <n v="0"/>
    <n v="0"/>
    <n v="179189"/>
    <n v="0"/>
    <n v="0"/>
    <n v="0"/>
    <s v="Release1"/>
  </r>
  <r>
    <x v="168"/>
    <s v="URAIN"/>
    <s v="MPG"/>
    <s v="Direct"/>
    <n v="912.5"/>
    <n v="47769.38"/>
    <n v="660.18999999999994"/>
    <n v="37697.69999999999"/>
    <n v="2161.1000000000004"/>
    <n v="119790.95"/>
    <n v="2821.2900000000004"/>
    <n v="157488.65"/>
    <n v="47769.38"/>
    <n v="0"/>
    <n v="0"/>
    <n v="109719.26999999999"/>
    <n v="0"/>
    <n v="0"/>
    <n v="0"/>
    <n v="2080"/>
    <n v="45689"/>
    <n v="0"/>
    <n v="0"/>
    <s v="Release3"/>
  </r>
  <r>
    <x v="169"/>
    <s v="RANDHIR KUMAR(VLC)"/>
    <s v="vlc"/>
    <s v="Indirect"/>
    <n v="225.40000000000003"/>
    <n v="9805"/>
    <n v="0"/>
    <n v="0"/>
    <n v="0"/>
    <n v="0"/>
    <n v="0"/>
    <n v="0"/>
    <n v="9805"/>
    <n v="0"/>
    <n v="0"/>
    <n v="0"/>
    <n v="0"/>
    <n v="0"/>
    <n v="0"/>
    <n v="0"/>
    <n v="0"/>
    <n v="9805"/>
    <n v="0"/>
    <n v="0"/>
  </r>
  <r>
    <x v="972"/>
    <s v="Abgil-2 - Sheshnath"/>
    <s v="vlc"/>
    <s v="Indirect"/>
    <n v="127.2"/>
    <n v="5463.35"/>
    <n v="0"/>
    <n v="0"/>
    <n v="0"/>
    <n v="0"/>
    <n v="0"/>
    <n v="0"/>
    <n v="5463.35"/>
    <n v="0"/>
    <n v="0"/>
    <n v="0"/>
    <n v="0"/>
    <n v="0"/>
    <n v="0"/>
    <n v="0"/>
    <n v="0"/>
    <n v="5463.35"/>
    <n v="0"/>
    <n v="0"/>
  </r>
  <r>
    <x v="170"/>
    <s v="MALIYA"/>
    <s v="MPG"/>
    <s v="Direct"/>
    <n v="714.89999999999986"/>
    <n v="34083.539999999994"/>
    <n v="721.61"/>
    <n v="34031.490000000013"/>
    <n v="8.41"/>
    <n v="484.42"/>
    <n v="730.02"/>
    <n v="34515.910000000011"/>
    <n v="34083.539999999994"/>
    <n v="0"/>
    <n v="484.42"/>
    <n v="432.37000000001717"/>
    <n v="0"/>
    <n v="0"/>
    <n v="0"/>
    <n v="33599"/>
    <n v="0"/>
    <n v="0"/>
    <n v="0"/>
    <n v="0"/>
  </r>
  <r>
    <x v="171"/>
    <s v="MAHULIYA"/>
    <s v="MPG"/>
    <s v="Direct"/>
    <n v="715.4"/>
    <n v="34889.35"/>
    <n v="696.25"/>
    <n v="32323.799999999996"/>
    <n v="10.45"/>
    <n v="478.09"/>
    <n v="706.7"/>
    <n v="32801.889999999992"/>
    <n v="32801.889999999992"/>
    <n v="0"/>
    <n v="478.09"/>
    <n v="0"/>
    <n v="0"/>
    <n v="0"/>
    <n v="0"/>
    <n v="32325"/>
    <n v="0"/>
    <n v="0"/>
    <n v="2086"/>
    <n v="0"/>
  </r>
  <r>
    <x v="172"/>
    <s v="ABGIL RAMPUR"/>
    <s v="vlc"/>
    <s v="Indirect"/>
    <n v="69.900000000000006"/>
    <n v="2768.7200000000003"/>
    <n v="0"/>
    <n v="0"/>
    <n v="0"/>
    <n v="0"/>
    <n v="0"/>
    <n v="0"/>
    <n v="2768.7200000000003"/>
    <n v="0"/>
    <n v="0"/>
    <n v="0"/>
    <n v="0"/>
    <n v="0"/>
    <n v="0"/>
    <n v="0"/>
    <n v="0"/>
    <n v="2768.7200000000003"/>
    <n v="0"/>
    <n v="0"/>
  </r>
  <r>
    <x v="173"/>
    <s v="RUPESH KUMAR"/>
    <s v="vlc"/>
    <s v="Indirect"/>
    <n v="104.7"/>
    <n v="4052.68"/>
    <n v="0"/>
    <n v="0"/>
    <n v="0"/>
    <n v="0"/>
    <n v="0"/>
    <n v="0"/>
    <n v="4052.68"/>
    <n v="0"/>
    <n v="0"/>
    <n v="0"/>
    <n v="0"/>
    <n v="0"/>
    <n v="0"/>
    <n v="0"/>
    <n v="0"/>
    <n v="4052.68"/>
    <n v="0"/>
    <n v="0"/>
  </r>
  <r>
    <x v="174"/>
    <s v="ABGIL HUSSAINA-2                                                                                    "/>
    <s v="MPG"/>
    <s v="Direct"/>
    <n v="458.2"/>
    <n v="18214.270000000004"/>
    <n v="260.45000000000005"/>
    <n v="10621.33"/>
    <n v="201.07000000000002"/>
    <n v="8224.1500000000015"/>
    <n v="461.5200000000001"/>
    <n v="18845.480000000003"/>
    <n v="18214.270000000004"/>
    <n v="0"/>
    <n v="168.22000000000003"/>
    <n v="631.20999999999913"/>
    <n v="0"/>
    <n v="0"/>
    <n v="0"/>
    <n v="9990"/>
    <n v="8056"/>
    <n v="0"/>
    <n v="0"/>
    <n v="0"/>
  </r>
  <r>
    <x v="175"/>
    <s v="Manish Kumar                                                                                        "/>
    <s v="vlc"/>
    <s v="Indirect"/>
    <n v="167.3"/>
    <n v="6537.3700000000008"/>
    <n v="0"/>
    <n v="0"/>
    <n v="0"/>
    <n v="0"/>
    <n v="0"/>
    <n v="0"/>
    <n v="6537.3700000000008"/>
    <n v="0"/>
    <n v="0"/>
    <n v="0"/>
    <n v="0"/>
    <n v="0"/>
    <n v="0"/>
    <n v="0"/>
    <n v="0"/>
    <n v="6537.3700000000008"/>
    <n v="0"/>
    <n v="0"/>
  </r>
  <r>
    <x v="176"/>
    <s v="AKHA-KURHA"/>
    <s v="vlc"/>
    <s v="Indirect"/>
    <n v="313.50000000000006"/>
    <n v="13339.880000000001"/>
    <n v="0"/>
    <n v="0"/>
    <n v="0"/>
    <n v="0"/>
    <n v="0"/>
    <n v="0"/>
    <n v="13339.880000000001"/>
    <n v="0"/>
    <n v="0"/>
    <n v="0"/>
    <n v="0"/>
    <n v="0"/>
    <n v="0"/>
    <n v="0"/>
    <n v="0"/>
    <n v="13339.880000000001"/>
    <n v="0"/>
    <n v="0"/>
  </r>
  <r>
    <x v="177"/>
    <s v="BHANDAR"/>
    <s v="MPG"/>
    <s v="Direct"/>
    <n v="296"/>
    <n v="14306.16"/>
    <n v="296"/>
    <n v="14306.16"/>
    <n v="0"/>
    <n v="0"/>
    <n v="296"/>
    <n v="14306.16"/>
    <n v="14306.16"/>
    <n v="0"/>
    <n v="0"/>
    <n v="0"/>
    <n v="0"/>
    <n v="0"/>
    <n v="0"/>
    <n v="14306"/>
    <n v="0"/>
    <n v="0"/>
    <n v="0"/>
    <n v="0"/>
  </r>
  <r>
    <x v="178"/>
    <s v="BASMATIYA"/>
    <s v="MPG"/>
    <s v="Direct"/>
    <n v="394.5"/>
    <n v="18028.509999999998"/>
    <n v="380.8"/>
    <n v="18006.13"/>
    <n v="6.49"/>
    <n v="295.41000000000003"/>
    <n v="387.29"/>
    <n v="18301.54"/>
    <n v="18028.509999999998"/>
    <n v="0"/>
    <n v="295.41000000000003"/>
    <n v="273.03000000000247"/>
    <n v="3500"/>
    <n v="0"/>
    <n v="0"/>
    <n v="14233"/>
    <n v="0"/>
    <n v="0"/>
    <n v="0"/>
    <s v="Release1"/>
  </r>
  <r>
    <x v="179"/>
    <s v="AKHA KURHA"/>
    <s v="MPG"/>
    <s v="Direct"/>
    <n v="397.5"/>
    <n v="16796.240000000002"/>
    <n v="397.49999999999994"/>
    <n v="16781.830000000002"/>
    <n v="0"/>
    <n v="0"/>
    <n v="397.49999999999994"/>
    <n v="16781.830000000002"/>
    <n v="16781.830000000002"/>
    <n v="0"/>
    <n v="0"/>
    <n v="0"/>
    <n v="0"/>
    <n v="0"/>
    <n v="0"/>
    <n v="16782"/>
    <n v="0"/>
    <n v="0"/>
    <n v="14"/>
    <n v="0"/>
  </r>
  <r>
    <x v="180"/>
    <s v="TILATHI"/>
    <s v="MPG"/>
    <s v="Direct"/>
    <n v="1524.0000000000002"/>
    <n v="66211.67"/>
    <n v="1374.32"/>
    <n v="56274.530000000013"/>
    <n v="195.04000000000002"/>
    <n v="8954.4500000000007"/>
    <n v="1569.36"/>
    <n v="65228.98000000001"/>
    <n v="65228.98000000001"/>
    <n v="0"/>
    <n v="819.31000000000006"/>
    <n v="0"/>
    <n v="0"/>
    <n v="0"/>
    <n v="0"/>
    <n v="56279"/>
    <n v="8134"/>
    <n v="0"/>
    <n v="979"/>
    <n v="0"/>
  </r>
  <r>
    <x v="181"/>
    <s v="GOMUKH WESTOL"/>
    <s v="vlc"/>
    <s v="Indirect"/>
    <n v="2343.4"/>
    <n v="94597.73000000001"/>
    <n v="0"/>
    <n v="0"/>
    <n v="0"/>
    <n v="0"/>
    <n v="0"/>
    <n v="0"/>
    <n v="94597.73000000001"/>
    <n v="0"/>
    <n v="0"/>
    <n v="0"/>
    <n v="0"/>
    <n v="0"/>
    <n v="0"/>
    <n v="0"/>
    <n v="0"/>
    <n v="94597.73000000001"/>
    <n v="0"/>
    <n v="0"/>
  </r>
  <r>
    <x v="182"/>
    <s v="GOMUKH NAWTOLIYA(OM PRAKASH)"/>
    <s v="vlc"/>
    <s v="Indirect"/>
    <n v="253.4"/>
    <n v="9067.86"/>
    <n v="0"/>
    <n v="0"/>
    <n v="0"/>
    <n v="0"/>
    <n v="0"/>
    <n v="0"/>
    <n v="9067.86"/>
    <n v="0"/>
    <n v="0"/>
    <n v="0"/>
    <n v="0"/>
    <n v="0"/>
    <n v="0"/>
    <n v="0"/>
    <n v="0"/>
    <n v="9067.86"/>
    <n v="0"/>
    <n v="0"/>
  </r>
  <r>
    <x v="183"/>
    <s v="SANGRAMPUR"/>
    <s v="MPG"/>
    <s v="Direct"/>
    <n v="659.59999999999991"/>
    <n v="32091.460000000003"/>
    <n v="659.6"/>
    <n v="32124.92"/>
    <n v="0"/>
    <n v="0"/>
    <n v="659.6"/>
    <n v="32124.92"/>
    <n v="32091.460000000003"/>
    <n v="0"/>
    <n v="0"/>
    <n v="33.459999999995489"/>
    <n v="0"/>
    <n v="0"/>
    <n v="0"/>
    <n v="32091"/>
    <n v="0"/>
    <n v="0"/>
    <n v="0"/>
    <n v="0"/>
  </r>
  <r>
    <x v="184"/>
    <s v="GOMUKH CHASMASKAN"/>
    <s v="vlc"/>
    <s v="Indirect"/>
    <n v="1107.4999999999998"/>
    <n v="43506.02"/>
    <n v="0"/>
    <n v="0"/>
    <n v="0"/>
    <n v="0"/>
    <n v="0"/>
    <n v="0"/>
    <n v="43506.02"/>
    <n v="0"/>
    <n v="0"/>
    <n v="0"/>
    <n v="0"/>
    <n v="0"/>
    <n v="0"/>
    <n v="0"/>
    <n v="0"/>
    <n v="43506.02"/>
    <n v="0"/>
    <n v="0"/>
  </r>
  <r>
    <x v="973"/>
    <s v="GOMUKH KAJITOLA"/>
    <s v="vlc"/>
    <s v="Indirect"/>
    <n v="1312.7999999999997"/>
    <n v="53514.18"/>
    <n v="0"/>
    <n v="0"/>
    <n v="0"/>
    <n v="0"/>
    <n v="0"/>
    <n v="0"/>
    <n v="53514.18"/>
    <n v="0"/>
    <n v="0"/>
    <n v="0"/>
    <n v="0"/>
    <n v="0"/>
    <n v="0"/>
    <n v="0"/>
    <n v="0"/>
    <n v="53514.18"/>
    <n v="0"/>
    <n v="0"/>
  </r>
  <r>
    <x v="185"/>
    <s v="RAMDEV TOLA"/>
    <s v="MPG"/>
    <s v="Direct"/>
    <n v="1439.1"/>
    <n v="68412.75"/>
    <n v="1052.9599999999998"/>
    <n v="52358.04"/>
    <n v="403.41"/>
    <n v="16619.25"/>
    <n v="1456.37"/>
    <n v="68977.290000000008"/>
    <n v="68412.75"/>
    <n v="0"/>
    <n v="438.97000000000008"/>
    <n v="564.54000000000815"/>
    <n v="2700"/>
    <n v="0"/>
    <n v="0"/>
    <n v="51794"/>
    <n v="13480"/>
    <n v="0"/>
    <n v="0"/>
    <s v="Release1"/>
  </r>
  <r>
    <x v="186"/>
    <s v="GOMUKH KATEHAR"/>
    <s v="vlc"/>
    <s v="Indirect"/>
    <n v="1569.6"/>
    <n v="56422.23"/>
    <n v="0"/>
    <n v="0"/>
    <n v="0"/>
    <n v="0"/>
    <n v="0"/>
    <n v="0"/>
    <n v="56422.23"/>
    <n v="0"/>
    <n v="0"/>
    <n v="0"/>
    <n v="0"/>
    <n v="0"/>
    <n v="0"/>
    <n v="0"/>
    <n v="0"/>
    <n v="56422.23"/>
    <n v="0"/>
    <n v="0"/>
  </r>
  <r>
    <x v="187"/>
    <s v="PIPARPATI"/>
    <s v="MPG"/>
    <s v="Direct"/>
    <n v="716.49999999999989"/>
    <n v="36191.89"/>
    <n v="706.84"/>
    <n v="37210.880000000012"/>
    <n v="8.2099999999999991"/>
    <n v="361.62000000000006"/>
    <n v="715.05000000000007"/>
    <n v="37572.500000000015"/>
    <n v="36191.89"/>
    <n v="0"/>
    <n v="361.62000000000006"/>
    <n v="1380.6100000000151"/>
    <n v="0"/>
    <n v="0"/>
    <n v="0"/>
    <n v="35830"/>
    <n v="0"/>
    <n v="0"/>
    <n v="0"/>
    <n v="0"/>
  </r>
  <r>
    <x v="188"/>
    <s v="GOMUKH JAGMAGLA"/>
    <s v="vlc"/>
    <s v="Indirect"/>
    <n v="1073.8"/>
    <n v="43373.729999999996"/>
    <n v="0"/>
    <n v="0"/>
    <n v="0"/>
    <n v="0"/>
    <n v="0"/>
    <n v="0"/>
    <n v="43373.729999999996"/>
    <n v="0"/>
    <n v="0"/>
    <n v="0"/>
    <n v="0"/>
    <n v="0"/>
    <n v="0"/>
    <n v="0"/>
    <n v="0"/>
    <n v="43373.729999999996"/>
    <n v="0"/>
    <n v="0"/>
  </r>
  <r>
    <x v="189"/>
    <s v="ORABAGICHA"/>
    <s v="MPG"/>
    <s v="Direct"/>
    <n v="486.5"/>
    <n v="20480.000000000004"/>
    <n v="436.10000000000008"/>
    <n v="18282.73"/>
    <n v="42.099999999999994"/>
    <n v="1760.28"/>
    <n v="478.20000000000005"/>
    <n v="20043.009999999998"/>
    <n v="20043.009999999998"/>
    <n v="0"/>
    <n v="12.26"/>
    <n v="0"/>
    <n v="0"/>
    <n v="500"/>
    <n v="0"/>
    <n v="17783"/>
    <n v="1748"/>
    <n v="0"/>
    <n v="437"/>
    <n v="0"/>
  </r>
  <r>
    <x v="190"/>
    <s v="KHAJURIYA"/>
    <s v="MPG"/>
    <s v="Direct"/>
    <n v="457.5"/>
    <n v="19915.64"/>
    <n v="441.51000000000005"/>
    <n v="20108.659999999996"/>
    <n v="0"/>
    <n v="0"/>
    <n v="441.51000000000005"/>
    <n v="20108.659999999996"/>
    <n v="19915.64"/>
    <n v="0"/>
    <n v="0"/>
    <n v="193.0199999999968"/>
    <n v="0"/>
    <n v="0"/>
    <n v="0"/>
    <n v="19916"/>
    <n v="0"/>
    <n v="0"/>
    <n v="0"/>
    <s v="Release3"/>
  </r>
  <r>
    <x v="191"/>
    <s v="NAYA SALEMPUR"/>
    <s v="vlc"/>
    <s v="Indirect"/>
    <n v="906.5"/>
    <n v="36661.65"/>
    <n v="0"/>
    <n v="0"/>
    <n v="0"/>
    <n v="0"/>
    <n v="0"/>
    <n v="0"/>
    <n v="36661.65"/>
    <n v="0"/>
    <n v="0"/>
    <n v="0"/>
    <n v="0"/>
    <n v="0"/>
    <n v="0"/>
    <n v="0"/>
    <n v="0"/>
    <n v="36661.65"/>
    <n v="0"/>
    <n v="0"/>
  </r>
  <r>
    <x v="192"/>
    <s v="MANO 2"/>
    <s v="MPG"/>
    <s v="Direct"/>
    <n v="313.89999999999998"/>
    <n v="14192.88"/>
    <n v="313.89999999999992"/>
    <n v="14192.89"/>
    <n v="0"/>
    <n v="0"/>
    <n v="313.89999999999992"/>
    <n v="14192.89"/>
    <n v="14192.88"/>
    <n v="0"/>
    <n v="0"/>
    <n v="1.0000000000218279E-2"/>
    <n v="0"/>
    <n v="0"/>
    <n v="0"/>
    <n v="14193"/>
    <n v="0"/>
    <n v="0"/>
    <n v="0"/>
    <n v="0"/>
  </r>
  <r>
    <x v="193"/>
    <s v="Champanagar"/>
    <s v="MPG"/>
    <s v="Direct"/>
    <n v="545.69999999999993"/>
    <n v="28442.339999999997"/>
    <n v="588.68000000000006"/>
    <n v="30838.190000000002"/>
    <n v="0"/>
    <n v="0"/>
    <n v="588.68000000000006"/>
    <n v="30838.190000000002"/>
    <n v="28442.339999999997"/>
    <n v="0"/>
    <n v="0"/>
    <n v="2395.8500000000058"/>
    <n v="0"/>
    <n v="500"/>
    <n v="0"/>
    <n v="27942"/>
    <n v="0"/>
    <n v="0"/>
    <n v="0"/>
    <n v="0"/>
  </r>
  <r>
    <x v="194"/>
    <s v="LOSDHANI"/>
    <s v="MPG"/>
    <s v="Direct"/>
    <n v="122"/>
    <n v="4559.6200000000008"/>
    <n v="121.60000000000001"/>
    <n v="4669.67"/>
    <n v="1.4"/>
    <n v="55.59"/>
    <n v="123.00000000000001"/>
    <n v="4725.26"/>
    <n v="4559.6200000000008"/>
    <n v="0"/>
    <n v="55.59"/>
    <n v="165.63999999999942"/>
    <n v="0"/>
    <n v="0"/>
    <n v="0"/>
    <n v="4504"/>
    <n v="0"/>
    <n v="0"/>
    <n v="0"/>
    <n v="0"/>
  </r>
  <r>
    <x v="195"/>
    <s v="GOMUKH BAGALWA"/>
    <s v="MPG"/>
    <s v="Direct"/>
    <n v="147"/>
    <n v="9057.380000000001"/>
    <n v="26.740000000000002"/>
    <n v="1451.75"/>
    <n v="140.94"/>
    <n v="9356.34"/>
    <n v="167.68"/>
    <n v="10808.09"/>
    <n v="9057.380000000001"/>
    <n v="0"/>
    <n v="0"/>
    <n v="1750.7099999999991"/>
    <n v="0"/>
    <n v="0"/>
    <n v="0"/>
    <n v="0"/>
    <n v="9057"/>
    <n v="0"/>
    <n v="0"/>
    <s v="Release3"/>
  </r>
  <r>
    <x v="196"/>
    <s v="GOMUKH BHITAKITA"/>
    <s v="vlc"/>
    <s v="Indirect"/>
    <n v="64.8"/>
    <n v="2521.2799999999997"/>
    <n v="0"/>
    <n v="0"/>
    <n v="0"/>
    <n v="0"/>
    <n v="0"/>
    <n v="0"/>
    <n v="2521.2799999999997"/>
    <n v="0"/>
    <n v="0"/>
    <n v="0"/>
    <n v="0"/>
    <n v="0"/>
    <n v="0"/>
    <n v="0"/>
    <n v="0"/>
    <n v="2521.2799999999997"/>
    <n v="0"/>
    <n v="0"/>
  </r>
  <r>
    <x v="197"/>
    <s v="GOMUKH OJONTOLA"/>
    <s v="vlc"/>
    <s v="Indirect"/>
    <n v="137"/>
    <n v="5616.99"/>
    <n v="0"/>
    <n v="0"/>
    <n v="0"/>
    <n v="0"/>
    <n v="0"/>
    <n v="0"/>
    <n v="5616.99"/>
    <n v="0"/>
    <n v="0"/>
    <n v="0"/>
    <n v="0"/>
    <n v="0"/>
    <n v="0"/>
    <n v="0"/>
    <n v="0"/>
    <n v="5616.99"/>
    <n v="0"/>
    <n v="0"/>
  </r>
  <r>
    <x v="198"/>
    <s v="KHUDDIBAN SHIVNAGAR"/>
    <s v="MPG"/>
    <s v="Direct"/>
    <n v="1004.0999999999999"/>
    <n v="35914.630000000005"/>
    <n v="527.20000000000005"/>
    <n v="18960.46"/>
    <n v="498.9"/>
    <n v="18463.330000000002"/>
    <n v="1026.0999999999999"/>
    <n v="37423.79"/>
    <n v="35914.630000000005"/>
    <n v="0"/>
    <n v="0"/>
    <n v="1509.1599999999962"/>
    <n v="0"/>
    <n v="0"/>
    <n v="0"/>
    <n v="17451"/>
    <n v="18464"/>
    <n v="0"/>
    <n v="0"/>
    <n v="0"/>
  </r>
  <r>
    <x v="199"/>
    <s v="BARIYARPUR"/>
    <s v="MPG"/>
    <s v="Direct"/>
    <n v="522.10000000000014"/>
    <n v="22775.160000000007"/>
    <n v="330.1"/>
    <n v="14974.4"/>
    <n v="206.70000000000002"/>
    <n v="8569.0600000000013"/>
    <n v="536.80000000000007"/>
    <n v="23543.46"/>
    <n v="22775.160000000007"/>
    <n v="0"/>
    <n v="136.30000000000001"/>
    <n v="768.299999999992"/>
    <n v="0"/>
    <n v="0"/>
    <n v="0"/>
    <n v="14205"/>
    <n v="8434"/>
    <n v="0"/>
    <n v="0"/>
    <n v="0"/>
  </r>
  <r>
    <x v="200"/>
    <s v="MASUDAN"/>
    <s v="MPG"/>
    <s v="Direct"/>
    <n v="2000.1000000000001"/>
    <n v="90538.890000000043"/>
    <n v="1420.41"/>
    <n v="67499"/>
    <n v="570.79999999999995"/>
    <n v="28554.43"/>
    <n v="1991.21"/>
    <n v="96053.43"/>
    <n v="90538.890000000043"/>
    <n v="0"/>
    <n v="0"/>
    <n v="5514.5399999999499"/>
    <n v="0"/>
    <n v="0"/>
    <n v="0"/>
    <n v="61985"/>
    <n v="28554"/>
    <n v="0"/>
    <n v="0"/>
    <n v="0"/>
  </r>
  <r>
    <x v="201"/>
    <s v="GOMUKH BOHLA"/>
    <s v="vlc"/>
    <s v="Indirect"/>
    <n v="871.69999999999993"/>
    <n v="33882.799999999996"/>
    <n v="0"/>
    <n v="0"/>
    <n v="0"/>
    <n v="0"/>
    <n v="0"/>
    <n v="0"/>
    <n v="33882.799999999996"/>
    <n v="0"/>
    <n v="0"/>
    <n v="0"/>
    <n v="0"/>
    <n v="0"/>
    <n v="0"/>
    <n v="0"/>
    <n v="0"/>
    <n v="33882.799999999996"/>
    <n v="0"/>
    <n v="0"/>
  </r>
  <r>
    <x v="974"/>
    <s v="TOTAHA"/>
    <s v="vlc"/>
    <s v="Direct"/>
    <n v="365.8"/>
    <n v="15538.160000000002"/>
    <n v="305.77999999999997"/>
    <n v="12517.829999999998"/>
    <n v="63.629999999999995"/>
    <n v="2441.6400000000003"/>
    <n v="369.40999999999997"/>
    <n v="14959.469999999998"/>
    <n v="14959.469999999998"/>
    <n v="0"/>
    <n v="0"/>
    <n v="0"/>
    <n v="0"/>
    <n v="0"/>
    <n v="0"/>
    <n v="12518"/>
    <n v="2441"/>
    <n v="0"/>
    <n v="579"/>
    <n v="0"/>
  </r>
  <r>
    <x v="202"/>
    <s v="GOMUKH RAMPUR"/>
    <s v="vlc"/>
    <s v="Indirect"/>
    <n v="818.59999999999991"/>
    <n v="28914.679999999997"/>
    <n v="0"/>
    <n v="0"/>
    <n v="0"/>
    <n v="0"/>
    <n v="0"/>
    <n v="0"/>
    <n v="28914.679999999997"/>
    <n v="0"/>
    <n v="0"/>
    <n v="0"/>
    <n v="0"/>
    <n v="0"/>
    <n v="0"/>
    <n v="0"/>
    <n v="0"/>
    <n v="28914.679999999997"/>
    <n v="0"/>
    <n v="0"/>
  </r>
  <r>
    <x v="203"/>
    <s v="Gomukh ID Araria"/>
    <s v="vlc"/>
    <s v="Indirect"/>
    <n v="4740.2"/>
    <n v="186073.28999999998"/>
    <n v="0"/>
    <n v="0"/>
    <n v="0"/>
    <n v="0"/>
    <n v="0"/>
    <n v="0"/>
    <n v="186073.28999999998"/>
    <n v="0"/>
    <n v="0"/>
    <n v="0"/>
    <n v="0"/>
    <n v="0"/>
    <n v="0"/>
    <n v="0"/>
    <n v="0"/>
    <n v="186073.28999999998"/>
    <n v="0"/>
    <n v="0"/>
  </r>
  <r>
    <x v="204"/>
    <s v="Gomukh ID Chaidha"/>
    <s v="vlc"/>
    <s v="Indirect"/>
    <n v="933.89999999999986"/>
    <n v="32172.020000000004"/>
    <n v="0"/>
    <n v="0"/>
    <n v="0"/>
    <n v="0"/>
    <n v="0"/>
    <n v="0"/>
    <n v="32172.020000000004"/>
    <n v="0"/>
    <n v="0"/>
    <n v="0"/>
    <n v="13500"/>
    <n v="0"/>
    <n v="0"/>
    <n v="0"/>
    <n v="0"/>
    <n v="18672.020000000004"/>
    <n v="0"/>
    <n v="0"/>
  </r>
  <r>
    <x v="205"/>
    <s v="Gomukh ID Pakrail"/>
    <s v="MPG"/>
    <s v="Indirect"/>
    <n v="160.57999999999998"/>
    <n v="5510.48"/>
    <n v="0"/>
    <n v="0"/>
    <n v="0"/>
    <n v="0"/>
    <n v="0"/>
    <n v="0"/>
    <n v="5510.48"/>
    <n v="0"/>
    <n v="0"/>
    <n v="0"/>
    <n v="0"/>
    <n v="0"/>
    <n v="0"/>
    <n v="0"/>
    <n v="0"/>
    <n v="5510.48"/>
    <n v="0"/>
    <n v="0"/>
  </r>
  <r>
    <x v="206"/>
    <s v="Gomukh ID Pipra"/>
    <s v="MPG"/>
    <s v="Indirect"/>
    <n v="269.66000000000003"/>
    <n v="9435.67"/>
    <n v="0"/>
    <n v="0"/>
    <n v="0"/>
    <n v="0"/>
    <n v="0"/>
    <n v="0"/>
    <n v="9435.67"/>
    <n v="0"/>
    <n v="0"/>
    <n v="0"/>
    <n v="0"/>
    <n v="0"/>
    <n v="0"/>
    <n v="0"/>
    <n v="0"/>
    <n v="9435.67"/>
    <n v="0"/>
    <n v="0"/>
  </r>
  <r>
    <x v="207"/>
    <s v="Gomukh Fatepur                                                                                      "/>
    <s v="MPG"/>
    <s v="Direct"/>
    <n v="213.10000000000002"/>
    <n v="8680.6999999999989"/>
    <n v="186.92000000000002"/>
    <n v="7552.07"/>
    <n v="26.18"/>
    <n v="1058.8"/>
    <n v="213.10000000000002"/>
    <n v="8610.869999999999"/>
    <n v="8610.869999999999"/>
    <n v="0"/>
    <n v="154.86000000000001"/>
    <n v="0"/>
    <n v="0"/>
    <n v="0"/>
    <n v="0"/>
    <n v="7552"/>
    <n v="904"/>
    <n v="0"/>
    <n v="70"/>
    <n v="0"/>
  </r>
  <r>
    <x v="208"/>
    <s v="Gomukh Gauchhari"/>
    <s v="MPG"/>
    <s v="Direct"/>
    <n v="177.49999999999997"/>
    <n v="7404.4699999999993"/>
    <n v="176.7"/>
    <n v="7341.96"/>
    <n v="1.3200000000000003"/>
    <n v="55.099999999999994"/>
    <n v="178.01999999999998"/>
    <n v="7397.06"/>
    <n v="7397.06"/>
    <n v="0"/>
    <n v="55.099999999999994"/>
    <n v="0"/>
    <n v="0"/>
    <n v="0"/>
    <n v="0"/>
    <n v="7343"/>
    <n v="0"/>
    <n v="0"/>
    <n v="6"/>
    <n v="0"/>
  </r>
  <r>
    <x v="209"/>
    <s v="Gomukh Arariya Karjaniya"/>
    <s v="vlc"/>
    <s v="Indirect"/>
    <n v="11954.2"/>
    <n v="473209.06000000006"/>
    <n v="0"/>
    <n v="0"/>
    <n v="0"/>
    <n v="0"/>
    <n v="0"/>
    <n v="0"/>
    <n v="473209.06000000006"/>
    <n v="0"/>
    <n v="0"/>
    <n v="0"/>
    <n v="0"/>
    <n v="0"/>
    <n v="0"/>
    <n v="0"/>
    <n v="0"/>
    <n v="473209.06000000006"/>
    <n v="0"/>
    <n v="0"/>
  </r>
  <r>
    <x v="210"/>
    <s v="Gomukh Aariya Dummer Kothi"/>
    <s v="vlc"/>
    <s v="Indirect"/>
    <n v="6873.8000000000011"/>
    <n v="267196.21999999997"/>
    <n v="0"/>
    <n v="0"/>
    <n v="0"/>
    <n v="0"/>
    <n v="0"/>
    <n v="0"/>
    <n v="267196.21999999997"/>
    <n v="0"/>
    <n v="0"/>
    <n v="0"/>
    <n v="0"/>
    <n v="0"/>
    <n v="0"/>
    <n v="0"/>
    <n v="0"/>
    <n v="267196.21999999997"/>
    <n v="0"/>
    <n v="0"/>
  </r>
  <r>
    <x v="211"/>
    <s v="Gomukh Balha"/>
    <s v="vlc"/>
    <s v="Indirect"/>
    <n v="5898.6"/>
    <n v="223941.18000000002"/>
    <n v="0"/>
    <n v="0"/>
    <n v="0"/>
    <n v="0"/>
    <n v="0"/>
    <n v="0"/>
    <n v="223941.18000000002"/>
    <n v="0"/>
    <n v="0"/>
    <n v="0"/>
    <n v="0"/>
    <n v="0"/>
    <n v="0"/>
    <n v="0"/>
    <n v="0"/>
    <n v="223941.18000000002"/>
    <n v="0"/>
    <n v="0"/>
  </r>
  <r>
    <x v="212"/>
    <s v="Haripur - Sanjay"/>
    <s v="vlc"/>
    <s v="Indirect"/>
    <n v="779.4"/>
    <n v="30214.720000000005"/>
    <n v="0"/>
    <n v="0"/>
    <n v="0"/>
    <n v="0"/>
    <n v="0"/>
    <n v="0"/>
    <n v="30214.720000000005"/>
    <n v="0"/>
    <n v="0"/>
    <n v="0"/>
    <n v="0"/>
    <n v="0"/>
    <n v="0"/>
    <n v="0"/>
    <n v="0"/>
    <n v="30214.720000000005"/>
    <n v="0"/>
    <n v="0"/>
  </r>
  <r>
    <x v="213"/>
    <s v="Araria - Ankesh"/>
    <s v="vlc"/>
    <s v="Indirect"/>
    <n v="4131.3999999999996"/>
    <n v="158835.52999999997"/>
    <n v="0"/>
    <n v="0"/>
    <n v="0"/>
    <n v="0"/>
    <n v="0"/>
    <n v="0"/>
    <n v="158835.52999999997"/>
    <n v="0"/>
    <n v="0"/>
    <n v="0"/>
    <n v="0"/>
    <n v="0"/>
    <n v="0"/>
    <n v="0"/>
    <n v="0"/>
    <n v="158835.52999999997"/>
    <n v="0"/>
    <n v="0"/>
  </r>
  <r>
    <x v="214"/>
    <s v="Gomukh Kabela                                                                                       "/>
    <s v="MPG"/>
    <s v="Direct"/>
    <n v="489"/>
    <n v="25835.62"/>
    <n v="489"/>
    <n v="25206.42"/>
    <n v="0"/>
    <n v="0"/>
    <n v="489"/>
    <n v="25206.42"/>
    <n v="25206.42"/>
    <n v="0"/>
    <n v="0"/>
    <n v="0"/>
    <n v="0"/>
    <n v="0"/>
    <n v="0"/>
    <n v="25207"/>
    <n v="0"/>
    <n v="0"/>
    <n v="629"/>
    <n v="0"/>
  </r>
  <r>
    <x v="975"/>
    <s v="Gomukh Navlolya                                                                                     "/>
    <s v="MPG"/>
    <s v="Indirect"/>
    <n v="19.899999999999999"/>
    <n v="998.18"/>
    <n v="0"/>
    <n v="0"/>
    <n v="0"/>
    <n v="0"/>
    <n v="0"/>
    <n v="0"/>
    <n v="998.18"/>
    <n v="0"/>
    <n v="0"/>
    <n v="0"/>
    <n v="0"/>
    <n v="0"/>
    <n v="0"/>
    <n v="0"/>
    <n v="0"/>
    <n v="998.18"/>
    <n v="0"/>
    <n v="0"/>
  </r>
  <r>
    <x v="215"/>
    <s v="Gomukh Malpa Uttari                                                                                 "/>
    <s v="vlc"/>
    <s v="Indirect"/>
    <n v="130.18"/>
    <n v="4599.5999999999995"/>
    <n v="0"/>
    <n v="0"/>
    <n v="0"/>
    <n v="0"/>
    <n v="0"/>
    <n v="0"/>
    <n v="4599.5999999999995"/>
    <n v="0"/>
    <n v="0"/>
    <n v="0"/>
    <n v="0"/>
    <n v="0"/>
    <n v="0"/>
    <n v="0"/>
    <n v="0"/>
    <n v="4599.5999999999995"/>
    <n v="0"/>
    <n v="0"/>
  </r>
  <r>
    <x v="216"/>
    <s v="Gomukh Sapha"/>
    <s v="MPG"/>
    <s v="Direct"/>
    <n v="193.59999999999997"/>
    <n v="7936.1100000000006"/>
    <n v="193.6"/>
    <n v="7966.64"/>
    <n v="0"/>
    <n v="0"/>
    <n v="193.6"/>
    <n v="7966.64"/>
    <n v="7936.1100000000006"/>
    <n v="0"/>
    <n v="0"/>
    <n v="30.529999999999745"/>
    <n v="0"/>
    <n v="0"/>
    <n v="0"/>
    <n v="7936"/>
    <n v="0"/>
    <n v="0"/>
    <n v="0"/>
    <n v="0"/>
  </r>
  <r>
    <x v="217"/>
    <s v="Araria"/>
    <s v="vlc"/>
    <s v="Indirect"/>
    <n v="14258.600000000002"/>
    <n v="564637.75999999989"/>
    <n v="0"/>
    <n v="0"/>
    <n v="0"/>
    <n v="0"/>
    <n v="0"/>
    <n v="0"/>
    <n v="564637.75999999989"/>
    <n v="0"/>
    <n v="0"/>
    <n v="0"/>
    <n v="0"/>
    <n v="0"/>
    <n v="0"/>
    <n v="0"/>
    <n v="0"/>
    <n v="564637.75999999989"/>
    <n v="0"/>
    <n v="0"/>
  </r>
  <r>
    <x v="218"/>
    <s v="Gomukh Gauchhari"/>
    <s v="MPG"/>
    <s v="Direct"/>
    <n v="30.3"/>
    <n v="1154.43"/>
    <n v="30.3"/>
    <n v="1183.52"/>
    <n v="0"/>
    <n v="0"/>
    <n v="30.3"/>
    <n v="1183.52"/>
    <n v="1154.43"/>
    <n v="0"/>
    <n v="0"/>
    <n v="29.089999999999918"/>
    <n v="0"/>
    <n v="0"/>
    <n v="0"/>
    <n v="1154"/>
    <n v="0"/>
    <n v="0"/>
    <n v="0"/>
    <n v="0"/>
  </r>
  <r>
    <x v="219"/>
    <s v="Telouch"/>
    <s v="MPG"/>
    <s v="Direct"/>
    <n v="1678.12"/>
    <n v="66635.739999999991"/>
    <n v="1759.36"/>
    <n v="71915.47"/>
    <n v="5.6000000000000005"/>
    <n v="203.99"/>
    <n v="1764.9599999999998"/>
    <n v="72119.460000000006"/>
    <n v="66635.739999999991"/>
    <n v="0"/>
    <n v="203.99"/>
    <n v="5483.7200000000157"/>
    <n v="0"/>
    <n v="0"/>
    <n v="0"/>
    <n v="66432"/>
    <n v="0"/>
    <n v="0"/>
    <n v="0"/>
    <n v="0"/>
  </r>
  <r>
    <x v="220"/>
    <s v="Gomukh Jhangara B"/>
    <s v="MPG"/>
    <s v="Direct"/>
    <n v="1645.8000000000002"/>
    <n v="66806.73"/>
    <n v="1663.4599999999998"/>
    <n v="69750.289999999994"/>
    <n v="0"/>
    <n v="0"/>
    <n v="1663.4599999999998"/>
    <n v="69750.289999999994"/>
    <n v="66806.73"/>
    <n v="0"/>
    <n v="0"/>
    <n v="2943.5599999999977"/>
    <n v="0"/>
    <n v="0"/>
    <n v="0"/>
    <n v="66807"/>
    <n v="0"/>
    <n v="0"/>
    <n v="0"/>
    <n v="0"/>
  </r>
  <r>
    <x v="221"/>
    <s v="Gomukh Saraiya"/>
    <s v="MPG"/>
    <s v="Direct"/>
    <n v="245.39999999999998"/>
    <n v="9101.91"/>
    <n v="257.54000000000002"/>
    <n v="11065.34"/>
    <n v="0"/>
    <n v="0"/>
    <n v="257.54000000000002"/>
    <n v="11065.34"/>
    <n v="9101.91"/>
    <n v="0"/>
    <n v="0"/>
    <n v="1963.4300000000003"/>
    <n v="0"/>
    <n v="0"/>
    <n v="0"/>
    <n v="9102"/>
    <n v="0"/>
    <n v="0"/>
    <n v="0"/>
    <s v="Release3"/>
  </r>
  <r>
    <x v="222"/>
    <s v=" Gomukh Nauranga"/>
    <s v="vlc"/>
    <s v="Indirect"/>
    <n v="183.71999999999997"/>
    <n v="7814.01"/>
    <n v="0"/>
    <n v="0"/>
    <n v="0"/>
    <n v="0"/>
    <n v="0"/>
    <n v="0"/>
    <n v="7814.01"/>
    <n v="0"/>
    <n v="0"/>
    <n v="0"/>
    <n v="0"/>
    <n v="0"/>
    <n v="0"/>
    <n v="0"/>
    <n v="0"/>
    <n v="7814.01"/>
    <n v="0"/>
    <n v="0"/>
  </r>
  <r>
    <x v="223"/>
    <s v="Gomukh Malpa Dhutauli VLC"/>
    <s v="vlc"/>
    <s v="Indirect"/>
    <n v="165.26"/>
    <n v="5666.2000000000007"/>
    <n v="0"/>
    <n v="0"/>
    <n v="0"/>
    <n v="0"/>
    <n v="0"/>
    <n v="0"/>
    <n v="5666.2000000000007"/>
    <n v="0"/>
    <n v="0"/>
    <n v="0"/>
    <n v="0"/>
    <n v="0"/>
    <n v="0"/>
    <n v="0"/>
    <n v="0"/>
    <n v="5666.2000000000007"/>
    <n v="0"/>
    <n v="0"/>
  </r>
  <r>
    <x v="224"/>
    <s v="Gomukh Pakrail Vijay Nagar VLC"/>
    <s v="vlc"/>
    <s v="Indirect"/>
    <n v="480.21999999999997"/>
    <n v="18927.22"/>
    <n v="0"/>
    <n v="0"/>
    <n v="0"/>
    <n v="0"/>
    <n v="0"/>
    <n v="0"/>
    <n v="18927.22"/>
    <n v="0"/>
    <n v="0"/>
    <n v="0"/>
    <n v="0"/>
    <n v="0"/>
    <n v="0"/>
    <n v="0"/>
    <n v="0"/>
    <n v="18927.22"/>
    <n v="0"/>
    <n v="0"/>
  </r>
  <r>
    <x v="225"/>
    <s v="Gomukh Pakrail Shirnia VLC"/>
    <s v="vlc"/>
    <s v="Indirect"/>
    <n v="152.19999999999999"/>
    <n v="5880.23"/>
    <n v="0"/>
    <n v="0"/>
    <n v="0"/>
    <n v="0"/>
    <n v="0"/>
    <n v="0"/>
    <n v="5880.23"/>
    <n v="0"/>
    <n v="0"/>
    <n v="0"/>
    <n v="0"/>
    <n v="0"/>
    <n v="0"/>
    <n v="0"/>
    <n v="0"/>
    <n v="5880.23"/>
    <n v="0"/>
    <n v="0"/>
  </r>
  <r>
    <x v="226"/>
    <s v="Gomukh Godhiyasi Nayagow VLC"/>
    <s v="vlc"/>
    <s v="Indirect"/>
    <n v="345.3"/>
    <n v="13156.59"/>
    <n v="0"/>
    <n v="0"/>
    <n v="0"/>
    <n v="0"/>
    <n v="0"/>
    <n v="0"/>
    <n v="13156.59"/>
    <n v="0"/>
    <n v="0"/>
    <n v="0"/>
    <n v="0"/>
    <n v="0"/>
    <n v="0"/>
    <n v="0"/>
    <n v="0"/>
    <n v="13156.59"/>
    <n v="0"/>
    <n v="0"/>
  </r>
  <r>
    <x v="227"/>
    <s v="Gomukh Bandehra Purbi"/>
    <s v="MPG"/>
    <s v="Direct"/>
    <n v="341.79999999999995"/>
    <n v="14026.690000000002"/>
    <n v="341"/>
    <n v="14187.66"/>
    <n v="0"/>
    <n v="0"/>
    <n v="341"/>
    <n v="14187.66"/>
    <n v="14026.690000000002"/>
    <n v="0"/>
    <n v="0"/>
    <n v="160.96999999999753"/>
    <n v="6750"/>
    <n v="0"/>
    <n v="0"/>
    <n v="7277"/>
    <n v="0"/>
    <n v="0"/>
    <n v="0"/>
    <n v="0"/>
  </r>
  <r>
    <x v="228"/>
    <s v="Gomukh Tila Tol"/>
    <s v="MPG"/>
    <s v="Direct"/>
    <n v="679.56"/>
    <n v="28372.559999999998"/>
    <n v="660.18000000000006"/>
    <n v="27462.89"/>
    <n v="28.560000000000006"/>
    <n v="1217.1899999999998"/>
    <n v="688.74000000000012"/>
    <n v="28680.079999999998"/>
    <n v="28372.559999999998"/>
    <n v="0"/>
    <n v="1217.1899999999998"/>
    <n v="307.52000000000044"/>
    <n v="0"/>
    <n v="0"/>
    <n v="0"/>
    <n v="27155"/>
    <n v="0"/>
    <n v="0"/>
    <n v="0"/>
    <n v="0"/>
  </r>
  <r>
    <x v="229"/>
    <s v="Gomukh Gulshan Kumar VLC"/>
    <s v="vlc"/>
    <s v="Indirect"/>
    <n v="1570.8"/>
    <n v="62102.310000000005"/>
    <n v="0"/>
    <n v="0"/>
    <n v="0"/>
    <n v="0"/>
    <n v="0"/>
    <n v="0"/>
    <n v="62102.310000000005"/>
    <n v="0"/>
    <n v="0"/>
    <n v="0"/>
    <n v="0"/>
    <n v="0"/>
    <n v="0"/>
    <n v="0"/>
    <n v="0"/>
    <n v="62102.310000000005"/>
    <n v="0"/>
    <n v="0"/>
  </r>
  <r>
    <x v="230"/>
    <s v="Gomukh Gogri VLC"/>
    <s v="vlc"/>
    <s v="Indirect"/>
    <n v="329.90000000000003"/>
    <n v="12064.61"/>
    <n v="0"/>
    <n v="0"/>
    <n v="0"/>
    <n v="0"/>
    <n v="0"/>
    <n v="0"/>
    <n v="12064.61"/>
    <n v="0"/>
    <n v="0"/>
    <n v="0"/>
    <n v="0"/>
    <n v="0"/>
    <n v="0"/>
    <n v="0"/>
    <n v="0"/>
    <n v="12064.61"/>
    <n v="0"/>
    <n v="0"/>
  </r>
  <r>
    <x v="231"/>
    <s v="Gomukh Bari Chak Gogri"/>
    <s v="MPG"/>
    <s v="Direct"/>
    <n v="361.09999999999997"/>
    <n v="12288.710000000001"/>
    <n v="361.1"/>
    <n v="12461.56"/>
    <n v="0"/>
    <n v="0"/>
    <n v="361.1"/>
    <n v="12461.56"/>
    <n v="12288.710000000001"/>
    <n v="0"/>
    <n v="0"/>
    <n v="172.84999999999854"/>
    <n v="0"/>
    <n v="500"/>
    <n v="0"/>
    <n v="11789"/>
    <n v="0"/>
    <n v="0"/>
    <n v="0"/>
    <n v="0"/>
  </r>
  <r>
    <x v="232"/>
    <s v="Gomukh Khatha"/>
    <s v="MPG"/>
    <s v="Direct"/>
    <n v="890.5"/>
    <n v="33150.97"/>
    <n v="890.5"/>
    <n v="33545.14"/>
    <n v="0"/>
    <n v="0"/>
    <n v="890.5"/>
    <n v="33545.14"/>
    <n v="33150.97"/>
    <n v="0"/>
    <n v="0"/>
    <n v="394.16999999999825"/>
    <n v="0"/>
    <n v="0"/>
    <n v="0"/>
    <n v="33151"/>
    <n v="0"/>
    <n v="0"/>
    <n v="0"/>
    <n v="0"/>
  </r>
  <r>
    <x v="233"/>
    <s v="Gomukh Shailesh Yadav Vlc"/>
    <s v="vlc"/>
    <s v="Indirect"/>
    <n v="169.29999999999998"/>
    <n v="8197.58"/>
    <n v="0"/>
    <n v="0"/>
    <n v="0"/>
    <n v="0"/>
    <n v="0"/>
    <n v="0"/>
    <n v="8197.58"/>
    <n v="0"/>
    <n v="0"/>
    <n v="0"/>
    <n v="0"/>
    <n v="0"/>
    <n v="0"/>
    <n v="0"/>
    <n v="0"/>
    <n v="8197.58"/>
    <n v="0"/>
    <n v="0"/>
  </r>
  <r>
    <x v="234"/>
    <s v="Chak Punervas"/>
    <s v="vlc"/>
    <s v="Indirect"/>
    <n v="623.9"/>
    <n v="23956.62"/>
    <n v="0"/>
    <n v="0"/>
    <n v="0"/>
    <n v="0"/>
    <n v="0"/>
    <n v="0"/>
    <n v="23956.62"/>
    <n v="0"/>
    <n v="0"/>
    <n v="0"/>
    <n v="0"/>
    <n v="0"/>
    <n v="0"/>
    <n v="0"/>
    <n v="0"/>
    <n v="23956.62"/>
    <n v="0"/>
    <n v="0"/>
  </r>
  <r>
    <x v="235"/>
    <s v="Labherchak"/>
    <s v="MPG"/>
    <s v="Indirect"/>
    <n v="301.59999999999997"/>
    <n v="11342.439999999999"/>
    <n v="0"/>
    <n v="0"/>
    <n v="0"/>
    <n v="0"/>
    <n v="0"/>
    <n v="0"/>
    <n v="11342.439999999999"/>
    <n v="0"/>
    <n v="0"/>
    <n v="0"/>
    <n v="0"/>
    <n v="0"/>
    <n v="0"/>
    <n v="0"/>
    <n v="0"/>
    <n v="11342.439999999999"/>
    <n v="0"/>
    <n v="0"/>
  </r>
  <r>
    <x v="236"/>
    <s v="Paspura"/>
    <s v="vlc"/>
    <s v="Indirect"/>
    <n v="27.699999999999996"/>
    <n v="902.93999999999994"/>
    <n v="0"/>
    <n v="0"/>
    <n v="0"/>
    <n v="0"/>
    <n v="0"/>
    <n v="0"/>
    <n v="902.93999999999994"/>
    <n v="0"/>
    <n v="0"/>
    <n v="0"/>
    <n v="0"/>
    <n v="0"/>
    <n v="0"/>
    <n v="0"/>
    <n v="0"/>
    <n v="902.93999999999994"/>
    <n v="0"/>
    <n v="0"/>
  </r>
  <r>
    <x v="237"/>
    <s v="Gomukh Godhna"/>
    <s v="vlc"/>
    <s v="Indirect"/>
    <n v="13.65"/>
    <n v="489.48"/>
    <n v="0"/>
    <n v="0"/>
    <n v="0"/>
    <n v="0"/>
    <n v="0"/>
    <n v="0"/>
    <n v="489.48"/>
    <n v="0"/>
    <n v="0"/>
    <n v="0"/>
    <n v="0"/>
    <n v="0"/>
    <n v="0"/>
    <n v="0"/>
    <n v="0"/>
    <n v="489.48"/>
    <n v="0"/>
    <n v="0"/>
  </r>
  <r>
    <x v="238"/>
    <s v="Gomukh Sihma 2"/>
    <s v="vlc"/>
    <s v="Indirect"/>
    <n v="368.4"/>
    <n v="13260.48"/>
    <n v="0"/>
    <n v="0"/>
    <n v="0"/>
    <n v="0"/>
    <n v="0"/>
    <n v="0"/>
    <n v="13260.48"/>
    <n v="0"/>
    <n v="0"/>
    <n v="0"/>
    <n v="0"/>
    <n v="0"/>
    <n v="0"/>
    <n v="0"/>
    <n v="0"/>
    <n v="13260.48"/>
    <n v="0"/>
    <n v="0"/>
  </r>
  <r>
    <x v="239"/>
    <s v="Gomukh ID Marsaito"/>
    <s v="vlc"/>
    <s v="Indirect"/>
    <n v="719"/>
    <n v="25714.54"/>
    <n v="0"/>
    <n v="0"/>
    <n v="0"/>
    <n v="0"/>
    <n v="0"/>
    <n v="0"/>
    <n v="25714.54"/>
    <n v="0"/>
    <n v="0"/>
    <n v="0"/>
    <n v="0"/>
    <n v="0"/>
    <n v="0"/>
    <n v="0"/>
    <n v="0"/>
    <n v="25714.54"/>
    <n v="0"/>
    <n v="0"/>
  </r>
  <r>
    <x v="240"/>
    <s v="Gomukh ID Akashpur-2"/>
    <s v="vlc"/>
    <s v="Indirect"/>
    <n v="813.75"/>
    <n v="31102.399999999998"/>
    <n v="0"/>
    <n v="0"/>
    <n v="0"/>
    <n v="0"/>
    <n v="0"/>
    <n v="0"/>
    <n v="31102.399999999998"/>
    <n v="0"/>
    <n v="0"/>
    <n v="0"/>
    <n v="0"/>
    <n v="0"/>
    <n v="0"/>
    <n v="0"/>
    <n v="0"/>
    <n v="31102.399999999998"/>
    <n v="0"/>
    <n v="0"/>
  </r>
  <r>
    <x v="241"/>
    <s v="Gomukh ID Akashpur"/>
    <s v="vlc"/>
    <s v="Indirect"/>
    <n v="423.65000000000003"/>
    <n v="17074.84"/>
    <n v="0"/>
    <n v="0"/>
    <n v="0"/>
    <n v="0"/>
    <n v="0"/>
    <n v="0"/>
    <n v="17074.84"/>
    <n v="0"/>
    <n v="0"/>
    <n v="0"/>
    <n v="0"/>
    <n v="0"/>
    <n v="0"/>
    <n v="0"/>
    <n v="0"/>
    <n v="17074.84"/>
    <n v="0"/>
    <n v="0"/>
  </r>
  <r>
    <x v="242"/>
    <s v="Gomukh ID Rachiyahi"/>
    <s v="vlc"/>
    <s v="Indirect"/>
    <n v="674.85"/>
    <n v="27723.909999999996"/>
    <n v="0"/>
    <n v="0"/>
    <n v="0"/>
    <n v="0"/>
    <n v="0"/>
    <n v="0"/>
    <n v="27723.909999999996"/>
    <n v="0"/>
    <n v="0"/>
    <n v="0"/>
    <n v="0"/>
    <n v="0"/>
    <n v="0"/>
    <n v="0"/>
    <n v="0"/>
    <n v="27723.909999999996"/>
    <n v="0"/>
    <n v="0"/>
  </r>
  <r>
    <x v="243"/>
    <s v="GomukhBariyahi Chanan"/>
    <s v="MPG"/>
    <s v="Direct"/>
    <n v="1000.6499999999999"/>
    <n v="37165.360000000001"/>
    <n v="1015.5"/>
    <n v="38300.31"/>
    <n v="2.3000000000000003"/>
    <n v="82.940000000000012"/>
    <n v="1017.8"/>
    <n v="38383.25"/>
    <n v="37165.360000000001"/>
    <n v="0"/>
    <n v="82.940000000000012"/>
    <n v="1217.8899999999994"/>
    <n v="0"/>
    <n v="0"/>
    <n v="0"/>
    <n v="37082"/>
    <n v="0"/>
    <n v="0"/>
    <n v="0"/>
    <n v="0"/>
  </r>
  <r>
    <x v="244"/>
    <s v="GomukhGehuni"/>
    <s v="MPG"/>
    <s v="Direct"/>
    <n v="117.24999999999999"/>
    <n v="4390.2999999999993"/>
    <n v="117"/>
    <n v="4382.6100000000006"/>
    <n v="0.7"/>
    <n v="24.06"/>
    <n v="117.7"/>
    <n v="4406.670000000001"/>
    <n v="4390.2999999999993"/>
    <n v="0"/>
    <n v="24.06"/>
    <n v="16.37000000000171"/>
    <n v="0"/>
    <n v="500"/>
    <n v="0"/>
    <n v="3866"/>
    <n v="0"/>
    <n v="0"/>
    <n v="0"/>
    <n v="0"/>
  </r>
  <r>
    <x v="245"/>
    <s v="Gomukh Bakhatpur"/>
    <s v="MPG"/>
    <s v="Direct"/>
    <n v="207.35000000000002"/>
    <n v="9307.2199999999993"/>
    <n v="206.54"/>
    <n v="9208.2800000000025"/>
    <n v="3.44"/>
    <n v="147.34"/>
    <n v="209.98"/>
    <n v="9355.6200000000026"/>
    <n v="9307.2199999999993"/>
    <n v="0"/>
    <n v="147.34"/>
    <n v="48.400000000003274"/>
    <n v="0"/>
    <n v="0"/>
    <n v="0"/>
    <n v="9160"/>
    <n v="0"/>
    <n v="0"/>
    <n v="0"/>
    <n v="0"/>
  </r>
  <r>
    <x v="246"/>
    <s v="Ananaya Dairy"/>
    <s v="vlc"/>
    <s v="Indirect"/>
    <n v="3656.6"/>
    <n v="145726.48000000001"/>
    <n v="0"/>
    <n v="0"/>
    <n v="0"/>
    <n v="0"/>
    <n v="0"/>
    <n v="0"/>
    <n v="145726.48000000001"/>
    <n v="0"/>
    <n v="0"/>
    <n v="0"/>
    <n v="0"/>
    <n v="0"/>
    <n v="0"/>
    <n v="0"/>
    <n v="0"/>
    <n v="145726.48000000001"/>
    <n v="0"/>
    <n v="0"/>
  </r>
  <r>
    <x v="247"/>
    <s v="Gomukh Bishanpur"/>
    <s v="MPG"/>
    <s v="Direct"/>
    <n v="769.74999999999989"/>
    <n v="28216.62"/>
    <n v="812.55999999999983"/>
    <n v="30759.509999999995"/>
    <n v="7.1499999999999995"/>
    <n v="268.19"/>
    <n v="819.70999999999981"/>
    <n v="31027.699999999993"/>
    <n v="28216.62"/>
    <n v="0"/>
    <n v="268.19"/>
    <n v="2811.0799999999945"/>
    <n v="0"/>
    <n v="0"/>
    <n v="0"/>
    <n v="27948"/>
    <n v="0"/>
    <n v="0"/>
    <n v="0"/>
    <s v="Release3"/>
  </r>
  <r>
    <x v="248"/>
    <s v="GOMUKH BEGAMSARAI"/>
    <s v="MPG"/>
    <s v="Direct"/>
    <n v="176.14999999999998"/>
    <n v="7886.24"/>
    <n v="203.91"/>
    <n v="9292.2799999999988"/>
    <n v="133.51"/>
    <n v="6031.11"/>
    <n v="337.41999999999996"/>
    <n v="15323.39"/>
    <n v="7886.24"/>
    <n v="0"/>
    <n v="180.23000000000002"/>
    <n v="7437.15"/>
    <n v="0"/>
    <n v="0"/>
    <n v="0"/>
    <n v="1856"/>
    <n v="5850"/>
    <n v="0"/>
    <n v="0"/>
    <n v="0"/>
  </r>
  <r>
    <x v="249"/>
    <s v="Bariyahi - Ramvaran"/>
    <s v="vlc"/>
    <s v="Indirect"/>
    <n v="67.2"/>
    <n v="2902.29"/>
    <n v="0"/>
    <n v="0"/>
    <n v="0"/>
    <n v="0"/>
    <n v="0"/>
    <n v="0"/>
    <n v="2902.29"/>
    <n v="0"/>
    <n v="0"/>
    <n v="0"/>
    <n v="0"/>
    <n v="0"/>
    <n v="0"/>
    <n v="0"/>
    <n v="0"/>
    <n v="2902.29"/>
    <n v="0"/>
    <n v="0"/>
  </r>
  <r>
    <x v="250"/>
    <s v="Hasanpur - Abhijeet"/>
    <s v="vlc"/>
    <s v="Indirect"/>
    <n v="8689.6000000000022"/>
    <n v="328994.44999999995"/>
    <n v="0"/>
    <n v="0"/>
    <n v="0"/>
    <n v="0"/>
    <n v="0"/>
    <n v="0"/>
    <n v="328994.44999999995"/>
    <n v="0"/>
    <n v="0"/>
    <n v="0"/>
    <n v="0"/>
    <n v="0"/>
    <n v="0"/>
    <n v="0"/>
    <n v="0"/>
    <n v="328994.44999999995"/>
    <n v="0"/>
    <n v="0"/>
  </r>
  <r>
    <x v="251"/>
    <s v="Adharpur - Manish"/>
    <s v="vlc"/>
    <s v="Indirect"/>
    <n v="940.05000000000007"/>
    <n v="37909.279999999999"/>
    <n v="0"/>
    <n v="0"/>
    <n v="0"/>
    <n v="0"/>
    <n v="0"/>
    <n v="0"/>
    <n v="37909.279999999999"/>
    <n v="0"/>
    <n v="0"/>
    <n v="0"/>
    <n v="0"/>
    <n v="0"/>
    <n v="0"/>
    <n v="0"/>
    <n v="0"/>
    <n v="37909.279999999999"/>
    <n v="0"/>
    <n v="0"/>
  </r>
  <r>
    <x v="252"/>
    <s v="Rani - Surender"/>
    <s v="vlc"/>
    <s v="Indirect"/>
    <n v="273.54999999999995"/>
    <n v="10876.47"/>
    <n v="0"/>
    <n v="0"/>
    <n v="0"/>
    <n v="0"/>
    <n v="0"/>
    <n v="0"/>
    <n v="10876.47"/>
    <n v="0"/>
    <n v="0"/>
    <n v="0"/>
    <n v="0"/>
    <n v="0"/>
    <n v="0"/>
    <n v="0"/>
    <n v="0"/>
    <n v="10876.47"/>
    <n v="0"/>
    <n v="0"/>
  </r>
  <r>
    <x v="253"/>
    <s v="GOMUKH RANI 3"/>
    <s v="MPG"/>
    <s v="Direct"/>
    <n v="424.75000000000006"/>
    <n v="19249.21"/>
    <n v="379.15"/>
    <n v="17869.68"/>
    <n v="50.37"/>
    <n v="2161.7799999999997"/>
    <n v="429.52"/>
    <n v="20031.46"/>
    <n v="19249.21"/>
    <n v="0"/>
    <n v="131.84"/>
    <n v="782.25"/>
    <n v="0"/>
    <n v="500"/>
    <n v="0"/>
    <n v="16587"/>
    <n v="2030"/>
    <n v="0"/>
    <n v="0"/>
    <n v="0"/>
  </r>
  <r>
    <x v="254"/>
    <s v="GOMUKH NONPUR"/>
    <s v="MPG"/>
    <s v="Direct"/>
    <n v="447.2"/>
    <n v="17689.21"/>
    <n v="444.98"/>
    <n v="17864.069999999996"/>
    <n v="1.3400000000000003"/>
    <n v="53.67"/>
    <n v="446.32"/>
    <n v="17917.739999999994"/>
    <n v="17689.21"/>
    <n v="0"/>
    <n v="53.67"/>
    <n v="228.5299999999952"/>
    <n v="0"/>
    <n v="0"/>
    <n v="0"/>
    <n v="17636"/>
    <n v="0"/>
    <n v="0"/>
    <n v="0"/>
    <n v="0"/>
  </r>
  <r>
    <x v="255"/>
    <s v="GOMUKH FATEHA"/>
    <s v="MPG"/>
    <s v="Direct"/>
    <n v="52.8"/>
    <n v="2003.09"/>
    <n v="54.28"/>
    <n v="2124.9499999999998"/>
    <n v="0"/>
    <n v="0"/>
    <n v="54.28"/>
    <n v="2124.9499999999998"/>
    <n v="2003.09"/>
    <n v="0"/>
    <n v="0"/>
    <n v="121.8599999999999"/>
    <n v="0"/>
    <n v="0"/>
    <n v="0"/>
    <n v="2003"/>
    <n v="0"/>
    <n v="0"/>
    <n v="0"/>
    <n v="0"/>
  </r>
  <r>
    <x v="256"/>
    <s v="Bablu Singh"/>
    <s v="vlc"/>
    <s v="Indirect"/>
    <n v="1201.9499999999998"/>
    <n v="44843.42"/>
    <n v="0"/>
    <n v="0"/>
    <n v="0"/>
    <n v="0"/>
    <n v="0"/>
    <n v="0"/>
    <n v="44843.42"/>
    <n v="0"/>
    <n v="0"/>
    <n v="0"/>
    <n v="0"/>
    <n v="0"/>
    <n v="0"/>
    <n v="0"/>
    <n v="0"/>
    <n v="44843.42"/>
    <n v="0"/>
    <n v="0"/>
  </r>
  <r>
    <x v="257"/>
    <s v="Gomukh Rani                                                                                         "/>
    <s v="MPG"/>
    <s v="Direct"/>
    <n v="749"/>
    <n v="28453.64"/>
    <n v="358.15000000000003"/>
    <n v="15316.36"/>
    <n v="401.8"/>
    <n v="17430.080000000002"/>
    <n v="759.95"/>
    <n v="32746.440000000002"/>
    <n v="28453.64"/>
    <n v="0"/>
    <n v="0"/>
    <n v="4292.8000000000029"/>
    <n v="0"/>
    <n v="0"/>
    <n v="0"/>
    <n v="11023"/>
    <n v="17431"/>
    <n v="0"/>
    <n v="0"/>
    <n v="0"/>
  </r>
  <r>
    <x v="258"/>
    <s v="GOMUKH ROOPNAGAR"/>
    <s v="vlc"/>
    <s v="Direct"/>
    <n v="213.79999999999998"/>
    <n v="7686.9"/>
    <n v="213.5"/>
    <n v="7675.9"/>
    <n v="0"/>
    <n v="0"/>
    <n v="213.5"/>
    <n v="7675.9"/>
    <n v="7675.9"/>
    <n v="0"/>
    <n v="0"/>
    <n v="0"/>
    <n v="0"/>
    <n v="0"/>
    <n v="0"/>
    <n v="7676"/>
    <n v="0"/>
    <n v="0"/>
    <n v="11"/>
    <n v="0"/>
  </r>
  <r>
    <x v="259"/>
    <s v="GOMUKH HADIPUR"/>
    <s v="MPG"/>
    <s v="Direct"/>
    <n v="381.85"/>
    <n v="14920.05"/>
    <n v="368.48999999999995"/>
    <n v="14775.48"/>
    <n v="28.680000000000007"/>
    <n v="1151.98"/>
    <n v="397.16999999999996"/>
    <n v="15927.46"/>
    <n v="14920.05"/>
    <n v="0"/>
    <n v="1151.98"/>
    <n v="1007.4099999999999"/>
    <n v="0"/>
    <n v="500"/>
    <n v="0"/>
    <n v="13268"/>
    <n v="0"/>
    <n v="0"/>
    <n v="0"/>
    <n v="0"/>
  </r>
  <r>
    <x v="260"/>
    <s v="Gomukh Harichak"/>
    <s v="MPG"/>
    <s v="Direct"/>
    <n v="124.65000000000002"/>
    <n v="5271.96"/>
    <n v="130.16999999999999"/>
    <n v="5194.6100000000006"/>
    <n v="0"/>
    <n v="0"/>
    <n v="130.16999999999999"/>
    <n v="5194.6100000000006"/>
    <n v="5194.6100000000006"/>
    <n v="0"/>
    <n v="0"/>
    <n v="0"/>
    <n v="0"/>
    <n v="500"/>
    <n v="0"/>
    <n v="4694"/>
    <n v="0"/>
    <n v="0"/>
    <n v="78"/>
    <n v="0"/>
  </r>
  <r>
    <x v="261"/>
    <s v="PAWAN RAY"/>
    <s v="vlc"/>
    <s v="Indirect"/>
    <n v="1736.1"/>
    <n v="70213.989999999991"/>
    <n v="0"/>
    <n v="0"/>
    <n v="0"/>
    <n v="0"/>
    <n v="0"/>
    <n v="0"/>
    <n v="70213.989999999991"/>
    <n v="0"/>
    <n v="0"/>
    <n v="0"/>
    <n v="0"/>
    <n v="0"/>
    <n v="0"/>
    <n v="0"/>
    <n v="0"/>
    <n v="70213.989999999991"/>
    <n v="0"/>
    <n v="0"/>
  </r>
  <r>
    <x v="262"/>
    <s v="RAJ BHARDWAJ"/>
    <s v="vlc"/>
    <s v="Indirect"/>
    <n v="285.79999999999995"/>
    <n v="10495.199999999997"/>
    <n v="0"/>
    <n v="0"/>
    <n v="0"/>
    <n v="0"/>
    <n v="0"/>
    <n v="0"/>
    <n v="10495.199999999997"/>
    <n v="0"/>
    <n v="0"/>
    <n v="0"/>
    <n v="0"/>
    <n v="0"/>
    <n v="0"/>
    <n v="0"/>
    <n v="0"/>
    <n v="10495.199999999997"/>
    <n v="0"/>
    <n v="0"/>
  </r>
  <r>
    <x v="263"/>
    <s v="Gomukh Amarpur"/>
    <s v="MPG"/>
    <s v="Direct"/>
    <n v="270.7"/>
    <n v="10213.19"/>
    <n v="288.06"/>
    <n v="10390.49"/>
    <n v="0.85000000000000009"/>
    <n v="30.82"/>
    <n v="288.91000000000003"/>
    <n v="10421.31"/>
    <n v="10213.19"/>
    <n v="0"/>
    <n v="30.82"/>
    <n v="208.11999999999898"/>
    <n v="0"/>
    <n v="0"/>
    <n v="0"/>
    <n v="10182"/>
    <n v="0"/>
    <n v="0"/>
    <n v="0"/>
    <n v="0"/>
  </r>
  <r>
    <x v="264"/>
    <s v="Prashant Kumar"/>
    <s v="vlc"/>
    <s v="Indirect"/>
    <n v="78.599999999999994"/>
    <n v="3012.54"/>
    <n v="0"/>
    <n v="0"/>
    <n v="0"/>
    <n v="0"/>
    <n v="0"/>
    <n v="0"/>
    <n v="3012.54"/>
    <n v="0"/>
    <n v="0"/>
    <n v="0"/>
    <n v="0"/>
    <n v="0"/>
    <n v="0"/>
    <n v="0"/>
    <n v="0"/>
    <n v="3012.54"/>
    <n v="0"/>
    <n v="0"/>
  </r>
  <r>
    <x v="266"/>
    <s v="CHANDAN YADAV"/>
    <s v="vlc"/>
    <s v="Indirect"/>
    <n v="433.90000000000009"/>
    <n v="15986.56"/>
    <n v="0"/>
    <n v="0"/>
    <n v="0"/>
    <n v="0"/>
    <n v="0"/>
    <n v="0"/>
    <n v="15986.56"/>
    <n v="0"/>
    <n v="0"/>
    <n v="0"/>
    <n v="0"/>
    <n v="0"/>
    <n v="0"/>
    <n v="0"/>
    <n v="0"/>
    <n v="15986.56"/>
    <n v="0"/>
    <n v="0"/>
  </r>
  <r>
    <x v="976"/>
    <s v="DINESH YADAV"/>
    <s v="vlc"/>
    <s v="Indirect"/>
    <n v="63.2"/>
    <n v="2541.4700000000003"/>
    <n v="0"/>
    <n v="0"/>
    <n v="0"/>
    <n v="0"/>
    <n v="0"/>
    <n v="0"/>
    <n v="2541.4700000000003"/>
    <n v="0"/>
    <n v="0"/>
    <n v="0"/>
    <n v="0"/>
    <n v="0"/>
    <n v="0"/>
    <n v="0"/>
    <n v="0"/>
    <n v="2541.4700000000003"/>
    <n v="0"/>
    <n v="0"/>
  </r>
  <r>
    <x v="267"/>
    <s v="ANITA DEVI"/>
    <s v="vlc"/>
    <s v="Indirect"/>
    <n v="314.3"/>
    <n v="11070.99"/>
    <n v="0"/>
    <n v="0"/>
    <n v="0"/>
    <n v="0"/>
    <n v="0"/>
    <n v="0"/>
    <n v="11070.99"/>
    <n v="0"/>
    <n v="0"/>
    <n v="0"/>
    <n v="0"/>
    <n v="0"/>
    <n v="0"/>
    <n v="0"/>
    <n v="0"/>
    <n v="11070.99"/>
    <n v="0"/>
    <n v="0"/>
  </r>
  <r>
    <x v="268"/>
    <s v="GOMUKH FATEHA SALEMPUR"/>
    <s v="MPG"/>
    <s v="Direct"/>
    <n v="211.25"/>
    <n v="8247.58"/>
    <n v="226.9"/>
    <n v="8848.7000000000007"/>
    <n v="6"/>
    <n v="235.78"/>
    <n v="232.9"/>
    <n v="9084.4800000000014"/>
    <n v="8247.58"/>
    <n v="0"/>
    <n v="235.78"/>
    <n v="836.90000000000146"/>
    <n v="0"/>
    <n v="500"/>
    <n v="0"/>
    <n v="7512"/>
    <n v="0"/>
    <n v="0"/>
    <n v="0"/>
    <n v="0"/>
  </r>
  <r>
    <x v="269"/>
    <s v="GOMUKH GEHUNI 2"/>
    <s v="MPG"/>
    <s v="Direct"/>
    <n v="543.90000000000009"/>
    <n v="21855.26"/>
    <n v="546.28"/>
    <n v="21639.710000000003"/>
    <n v="0.69000000000000006"/>
    <n v="27.970000000000002"/>
    <n v="546.97"/>
    <n v="21667.680000000004"/>
    <n v="21667.680000000004"/>
    <n v="0"/>
    <n v="27.970000000000002"/>
    <n v="0"/>
    <n v="0"/>
    <n v="0"/>
    <n v="0"/>
    <n v="21639"/>
    <n v="0"/>
    <n v="0"/>
    <n v="188"/>
    <n v="0"/>
  </r>
  <r>
    <x v="270"/>
    <s v="GOMUKH MALHIPUR"/>
    <s v="MPG"/>
    <s v="Direct"/>
    <n v="541.30000000000007"/>
    <n v="18119.190000000002"/>
    <n v="546"/>
    <n v="17080.39"/>
    <n v="2.8000000000000003"/>
    <n v="86.61999999999999"/>
    <n v="548.79999999999995"/>
    <n v="17167.009999999998"/>
    <n v="17167.009999999998"/>
    <n v="0"/>
    <n v="86.61999999999999"/>
    <n v="0"/>
    <n v="0"/>
    <n v="0"/>
    <n v="0"/>
    <n v="17080"/>
    <n v="0"/>
    <n v="0"/>
    <n v="953"/>
    <n v="0"/>
  </r>
  <r>
    <x v="271"/>
    <s v="Rasalpur - Durgesh Kumar"/>
    <s v="vlc"/>
    <s v="Indirect"/>
    <n v="143.04999999999998"/>
    <n v="5290.8499999999995"/>
    <n v="0"/>
    <n v="0"/>
    <n v="0"/>
    <n v="0"/>
    <n v="0"/>
    <n v="0"/>
    <n v="5290.8499999999995"/>
    <n v="0"/>
    <n v="0"/>
    <n v="0"/>
    <n v="0"/>
    <n v="0"/>
    <n v="0"/>
    <n v="0"/>
    <n v="0"/>
    <n v="5290.8499999999995"/>
    <n v="0"/>
    <n v="0"/>
  </r>
  <r>
    <x v="272"/>
    <s v="Barauni Bariyarpur"/>
    <s v="MPG"/>
    <s v="Direct"/>
    <n v="397.6"/>
    <n v="14479.759999999998"/>
    <n v="397.2"/>
    <n v="14632.85"/>
    <n v="0"/>
    <n v="0"/>
    <n v="397.2"/>
    <n v="14632.85"/>
    <n v="14479.759999999998"/>
    <n v="0"/>
    <n v="0"/>
    <n v="153.09000000000196"/>
    <n v="0"/>
    <n v="0"/>
    <n v="0"/>
    <n v="14480"/>
    <n v="0"/>
    <n v="0"/>
    <n v="0"/>
    <n v="0"/>
  </r>
  <r>
    <x v="274"/>
    <s v="Fateha - Anil Yadav"/>
    <s v="vlc"/>
    <s v="Indirect"/>
    <n v="177.94999999999996"/>
    <n v="6852.09"/>
    <n v="0"/>
    <n v="0"/>
    <n v="0"/>
    <n v="0"/>
    <n v="0"/>
    <n v="0"/>
    <n v="6852.09"/>
    <n v="0"/>
    <n v="0"/>
    <n v="0"/>
    <n v="0"/>
    <n v="0"/>
    <n v="0"/>
    <n v="0"/>
    <n v="0"/>
    <n v="6852.09"/>
    <n v="0"/>
    <n v="0"/>
  </r>
  <r>
    <x v="275"/>
    <s v="Bihat - Chakballi"/>
    <s v="MPG"/>
    <s v="Direct"/>
    <n v="335.3"/>
    <n v="11878.36"/>
    <n v="335"/>
    <n v="11738.4"/>
    <n v="0"/>
    <n v="0"/>
    <n v="335"/>
    <n v="11738.4"/>
    <n v="11738.4"/>
    <n v="0"/>
    <n v="0"/>
    <n v="0"/>
    <n v="0"/>
    <n v="0"/>
    <n v="0"/>
    <n v="11738"/>
    <n v="0"/>
    <n v="0"/>
    <n v="140"/>
    <n v="0"/>
  </r>
  <r>
    <x v="276"/>
    <s v="Sibutol- Naya Tola"/>
    <s v="MPG"/>
    <s v="Direct"/>
    <n v="15.4"/>
    <n v="567.62"/>
    <n v="15.4"/>
    <n v="565.33000000000004"/>
    <n v="0"/>
    <n v="0"/>
    <n v="15.4"/>
    <n v="565.33000000000004"/>
    <n v="565.33000000000004"/>
    <n v="0"/>
    <n v="0"/>
    <n v="0"/>
    <n v="0"/>
    <n v="500"/>
    <n v="0"/>
    <n v="65"/>
    <n v="0"/>
    <n v="0"/>
    <n v="3"/>
    <n v="0"/>
  </r>
  <r>
    <x v="277"/>
    <s v="Rasalpur"/>
    <s v="vlc"/>
    <s v="Indirect"/>
    <n v="1068.45"/>
    <n v="39153.24"/>
    <n v="0"/>
    <n v="0"/>
    <n v="0"/>
    <n v="0"/>
    <n v="0"/>
    <n v="0"/>
    <n v="39153.24"/>
    <n v="0"/>
    <n v="0"/>
    <n v="0"/>
    <n v="0"/>
    <n v="0"/>
    <n v="0"/>
    <n v="0"/>
    <n v="0"/>
    <n v="39153.24"/>
    <n v="0"/>
    <n v="0"/>
  </r>
  <r>
    <x v="278"/>
    <s v="Samsa"/>
    <s v="vlc"/>
    <s v="Indirect"/>
    <n v="1138.5"/>
    <n v="47609.679999999993"/>
    <n v="0"/>
    <n v="0"/>
    <n v="0"/>
    <n v="0"/>
    <n v="0"/>
    <n v="0"/>
    <n v="47609.679999999993"/>
    <n v="0"/>
    <n v="0"/>
    <n v="0"/>
    <n v="0"/>
    <n v="0"/>
    <n v="0"/>
    <n v="0"/>
    <n v="0"/>
    <n v="47609.679999999993"/>
    <n v="0"/>
    <n v="0"/>
  </r>
  <r>
    <x v="279"/>
    <s v="Dahiya"/>
    <s v="vlc"/>
    <s v="Indirect"/>
    <n v="396.45"/>
    <n v="14385.559999999998"/>
    <n v="0"/>
    <n v="0"/>
    <n v="0"/>
    <n v="0"/>
    <n v="0"/>
    <n v="0"/>
    <n v="14385.559999999998"/>
    <n v="0"/>
    <n v="0"/>
    <n v="0"/>
    <n v="0"/>
    <n v="0"/>
    <n v="0"/>
    <n v="0"/>
    <n v="0"/>
    <n v="14385.559999999998"/>
    <n v="0"/>
    <n v="0"/>
  </r>
  <r>
    <x v="280"/>
    <s v="Gaura"/>
    <s v="MPG"/>
    <s v="Direct"/>
    <n v="376.04999999999995"/>
    <n v="14027.56"/>
    <n v="376"/>
    <n v="13953.36"/>
    <n v="0"/>
    <n v="0"/>
    <n v="376"/>
    <n v="13953.36"/>
    <n v="13953.36"/>
    <n v="0"/>
    <n v="0"/>
    <n v="0"/>
    <n v="0"/>
    <n v="0"/>
    <n v="0"/>
    <n v="13953"/>
    <n v="0"/>
    <n v="0"/>
    <n v="75"/>
    <n v="0"/>
  </r>
  <r>
    <x v="281"/>
    <s v="Mukhtiyarpur"/>
    <s v="MPG"/>
    <s v="Direct"/>
    <n v="62.85"/>
    <n v="2165.8700000000003"/>
    <n v="122.53"/>
    <n v="4079.9300000000003"/>
    <n v="0"/>
    <n v="0"/>
    <n v="122.53"/>
    <n v="4079.9300000000003"/>
    <n v="2165.8700000000003"/>
    <n v="0"/>
    <n v="0"/>
    <n v="1914.06"/>
    <n v="0"/>
    <n v="0"/>
    <n v="0"/>
    <n v="2166"/>
    <n v="0"/>
    <n v="0"/>
    <n v="0"/>
    <n v="0"/>
  </r>
  <r>
    <x v="282"/>
    <s v="Gomukh Rudauli-02"/>
    <s v="MPG"/>
    <s v="Direct"/>
    <n v="576.54999999999995"/>
    <n v="22749.32"/>
    <n v="517.21999999999991"/>
    <n v="19985.879999999997"/>
    <n v="69.149999999999991"/>
    <n v="2605.21"/>
    <n v="586.36999999999989"/>
    <n v="22591.089999999997"/>
    <n v="22591.089999999997"/>
    <n v="0"/>
    <n v="0"/>
    <n v="0"/>
    <n v="0"/>
    <n v="0"/>
    <n v="0"/>
    <n v="19987"/>
    <n v="2605"/>
    <n v="0"/>
    <n v="157"/>
    <n v="0"/>
  </r>
  <r>
    <x v="283"/>
    <s v="Gomukh Puranatol Raichiahi"/>
    <s v="MPG"/>
    <s v="Direct"/>
    <n v="635.54999999999995"/>
    <n v="24750.180000000004"/>
    <n v="635"/>
    <n v="24447.5"/>
    <n v="0"/>
    <n v="0"/>
    <n v="635"/>
    <n v="24447.5"/>
    <n v="24447.5"/>
    <n v="0"/>
    <n v="0"/>
    <n v="0"/>
    <n v="0"/>
    <n v="0"/>
    <n v="0"/>
    <n v="24448"/>
    <n v="0"/>
    <n v="0"/>
    <n v="302"/>
    <n v="0"/>
  </r>
  <r>
    <x v="284"/>
    <s v="Bihat-Gududaspur"/>
    <s v="MPG"/>
    <s v="Direct"/>
    <n v="314.55"/>
    <n v="12687.550000000001"/>
    <n v="314"/>
    <n v="12525.46"/>
    <n v="0"/>
    <n v="0"/>
    <n v="314"/>
    <n v="12525.46"/>
    <n v="12525.46"/>
    <n v="0"/>
    <n v="0"/>
    <n v="0"/>
    <n v="0"/>
    <n v="0"/>
    <n v="0"/>
    <n v="12525"/>
    <n v="0"/>
    <n v="0"/>
    <n v="163"/>
    <n v="0"/>
  </r>
  <r>
    <x v="285"/>
    <s v="Labharchak-2"/>
    <s v="MPG"/>
    <s v="Direct"/>
    <n v="198.04999999999998"/>
    <n v="7447.4999999999991"/>
    <n v="198"/>
    <n v="7458.66"/>
    <n v="0"/>
    <n v="0"/>
    <n v="198"/>
    <n v="7458.66"/>
    <n v="7447.4999999999991"/>
    <n v="0"/>
    <n v="0"/>
    <n v="11.160000000000764"/>
    <n v="0"/>
    <n v="0"/>
    <n v="0"/>
    <n v="7447"/>
    <n v="0"/>
    <n v="0"/>
    <n v="0"/>
    <n v="0"/>
  </r>
  <r>
    <x v="286"/>
    <s v="Shamar Kasha"/>
    <s v="MPG"/>
    <s v="Indirect"/>
    <n v="236.49999999999997"/>
    <n v="9252.9"/>
    <n v="0"/>
    <n v="0"/>
    <n v="0"/>
    <n v="0"/>
    <n v="0"/>
    <n v="0"/>
    <n v="9252.9"/>
    <n v="0"/>
    <n v="0"/>
    <n v="0"/>
    <n v="0"/>
    <n v="0"/>
    <n v="0"/>
    <n v="0"/>
    <n v="0"/>
    <n v="9252.9"/>
    <n v="0"/>
    <n v="0"/>
  </r>
  <r>
    <x v="287"/>
    <s v="POHE"/>
    <s v="MPG"/>
    <s v="Indirect"/>
    <n v="738.5"/>
    <n v="31689.480000000007"/>
    <n v="0"/>
    <n v="0"/>
    <n v="0"/>
    <n v="0"/>
    <n v="0"/>
    <n v="0"/>
    <n v="31689.480000000007"/>
    <n v="0"/>
    <n v="0"/>
    <n v="0"/>
    <n v="0"/>
    <n v="0"/>
    <n v="0"/>
    <n v="0"/>
    <n v="0"/>
    <n v="31689.480000000007"/>
    <n v="0"/>
    <n v="0"/>
  </r>
  <r>
    <x v="288"/>
    <s v="AURO"/>
    <s v="MPG"/>
    <s v="Direct"/>
    <n v="1748.3999999999996"/>
    <n v="76410.930000000008"/>
    <n v="1316.8899999999996"/>
    <n v="57398.2"/>
    <n v="420.83000000000004"/>
    <n v="18034.07"/>
    <n v="1737.7199999999998"/>
    <n v="75432.26999999999"/>
    <n v="75432.26999999999"/>
    <n v="0"/>
    <n v="592.62000000000012"/>
    <n v="0"/>
    <n v="0"/>
    <n v="0"/>
    <n v="0"/>
    <n v="57399"/>
    <n v="17442"/>
    <n v="0"/>
    <n v="977"/>
    <n v="0"/>
  </r>
  <r>
    <x v="289"/>
    <s v="PARSHAMA"/>
    <s v="MPG"/>
    <s v="Direct"/>
    <n v="68.5"/>
    <n v="2422.6000000000004"/>
    <n v="68.2"/>
    <n v="2510.38"/>
    <n v="0.7"/>
    <n v="25.550000000000004"/>
    <n v="68.900000000000006"/>
    <n v="2535.9300000000003"/>
    <n v="2422.6000000000004"/>
    <n v="0"/>
    <n v="25.550000000000004"/>
    <n v="113.32999999999993"/>
    <n v="0"/>
    <n v="0"/>
    <n v="0"/>
    <n v="2397"/>
    <n v="0"/>
    <n v="0"/>
    <n v="0"/>
    <n v="0"/>
  </r>
  <r>
    <x v="290"/>
    <s v="PRATAPUR 2"/>
    <s v="MPG"/>
    <s v="Indirect"/>
    <n v="83.600000000000009"/>
    <n v="3680.11"/>
    <n v="0"/>
    <n v="0"/>
    <n v="0"/>
    <n v="0"/>
    <n v="0"/>
    <n v="0"/>
    <n v="3680.11"/>
    <n v="0"/>
    <n v="0"/>
    <n v="0"/>
    <n v="0"/>
    <n v="0"/>
    <n v="0"/>
    <n v="0"/>
    <n v="0"/>
    <n v="3680.11"/>
    <n v="0"/>
    <n v="0"/>
  </r>
  <r>
    <x v="291"/>
    <s v="BALLOPUR"/>
    <s v="MPG"/>
    <s v="Direct"/>
    <n v="1510.6999999999998"/>
    <n v="64892.739999999991"/>
    <n v="1513.8999999999999"/>
    <n v="68802.58"/>
    <n v="0"/>
    <n v="0"/>
    <n v="1513.8999999999999"/>
    <n v="68802.58"/>
    <n v="64892.739999999991"/>
    <n v="0"/>
    <n v="0"/>
    <n v="3909.8400000000111"/>
    <n v="0"/>
    <n v="0"/>
    <n v="0"/>
    <n v="64893"/>
    <n v="0"/>
    <n v="0"/>
    <n v="0"/>
    <n v="0"/>
  </r>
  <r>
    <x v="292"/>
    <s v="KHAIRMA"/>
    <s v="MPG"/>
    <s v="Direct"/>
    <n v="623.50000000000011"/>
    <n v="23090.7"/>
    <n v="695.2"/>
    <n v="28384.48"/>
    <n v="1.8"/>
    <n v="68.960000000000008"/>
    <n v="697"/>
    <n v="28453.439999999999"/>
    <n v="23090.7"/>
    <n v="0"/>
    <n v="68.960000000000008"/>
    <n v="5362.739999999998"/>
    <n v="0"/>
    <n v="0"/>
    <n v="0"/>
    <n v="23022"/>
    <n v="0"/>
    <n v="0"/>
    <n v="0"/>
    <n v="0"/>
  </r>
  <r>
    <x v="293"/>
    <s v="MAHASONI"/>
    <s v="MPG"/>
    <s v="Direct"/>
    <n v="889.09999999999991"/>
    <n v="36371.299999999996"/>
    <n v="910.0999999999998"/>
    <n v="35894.06"/>
    <n v="13.200000000000001"/>
    <n v="513.8900000000001"/>
    <n v="923.29999999999984"/>
    <n v="36407.949999999997"/>
    <n v="36371.299999999996"/>
    <n v="0"/>
    <n v="513.8900000000001"/>
    <n v="36.650000000001455"/>
    <n v="0"/>
    <n v="0"/>
    <n v="0"/>
    <n v="35857"/>
    <n v="0"/>
    <n v="0"/>
    <n v="0"/>
    <n v="0"/>
  </r>
  <r>
    <x v="294"/>
    <s v="SONDHI"/>
    <s v="MPG"/>
    <s v="Direct"/>
    <n v="639.60000000000014"/>
    <n v="25519.910000000007"/>
    <n v="656.39999999999986"/>
    <n v="26408.68"/>
    <n v="4.4999999999999991"/>
    <n v="189.96"/>
    <n v="660.89999999999986"/>
    <n v="26598.639999999999"/>
    <n v="25519.910000000007"/>
    <n v="0"/>
    <n v="189.96"/>
    <n v="1078.7299999999923"/>
    <n v="0"/>
    <n v="0"/>
    <n v="0"/>
    <n v="25330"/>
    <n v="0"/>
    <n v="0"/>
    <n v="0"/>
    <n v="0"/>
  </r>
  <r>
    <x v="295"/>
    <s v="BELDARAYA"/>
    <s v="vlc"/>
    <s v="Indirect"/>
    <n v="750"/>
    <n v="28864"/>
    <n v="0"/>
    <n v="0"/>
    <n v="0"/>
    <n v="0"/>
    <n v="0"/>
    <n v="0"/>
    <n v="28864"/>
    <n v="0"/>
    <n v="0"/>
    <n v="0"/>
    <n v="0"/>
    <n v="0"/>
    <n v="0"/>
    <n v="0"/>
    <n v="0"/>
    <n v="28864"/>
    <n v="0"/>
    <n v="0"/>
  </r>
  <r>
    <x v="296"/>
    <s v="Gomukh ID Aure-2"/>
    <s v="vlc"/>
    <s v="Indirect"/>
    <n v="1000"/>
    <n v="38552"/>
    <n v="0"/>
    <n v="0"/>
    <n v="0"/>
    <n v="0"/>
    <n v="0"/>
    <n v="0"/>
    <n v="38552"/>
    <n v="0"/>
    <n v="0"/>
    <n v="0"/>
    <n v="0"/>
    <n v="0"/>
    <n v="0"/>
    <n v="0"/>
    <n v="0"/>
    <n v="38552"/>
    <n v="0"/>
    <n v="0"/>
  </r>
  <r>
    <x v="297"/>
    <s v="Gomukh Karma"/>
    <s v="vlc"/>
    <s v="Indirect"/>
    <n v="765.3"/>
    <n v="32719.920000000002"/>
    <n v="0"/>
    <n v="0"/>
    <n v="0"/>
    <n v="0"/>
    <n v="0"/>
    <n v="0"/>
    <n v="32719.920000000002"/>
    <n v="0"/>
    <n v="0"/>
    <n v="0"/>
    <n v="0"/>
    <n v="0"/>
    <n v="0"/>
    <n v="0"/>
    <n v="0"/>
    <n v="32719.920000000002"/>
    <n v="0"/>
    <n v="0"/>
  </r>
  <r>
    <x v="298"/>
    <s v="GOMUKH UKSI"/>
    <s v="MPG"/>
    <s v="Indirect"/>
    <n v="606.20000000000005"/>
    <n v="26853.040000000001"/>
    <n v="0"/>
    <n v="0"/>
    <n v="0"/>
    <n v="0"/>
    <n v="0"/>
    <n v="0"/>
    <n v="26853.040000000001"/>
    <n v="0"/>
    <n v="0"/>
    <n v="0"/>
    <n v="0"/>
    <n v="0"/>
    <n v="0"/>
    <n v="0"/>
    <n v="0"/>
    <n v="26853.040000000001"/>
    <n v="0"/>
    <n v="0"/>
  </r>
  <r>
    <x v="299"/>
    <s v="Gomukh ID Halsi"/>
    <s v="vlc"/>
    <s v="Indirect"/>
    <n v="5463.8000000000011"/>
    <n v="204460.89"/>
    <n v="0"/>
    <n v="0"/>
    <n v="0"/>
    <n v="0"/>
    <n v="0"/>
    <n v="0"/>
    <n v="204460.89"/>
    <n v="0"/>
    <n v="0"/>
    <n v="0"/>
    <n v="0"/>
    <n v="0"/>
    <n v="0"/>
    <n v="0"/>
    <n v="0"/>
    <n v="204460.89"/>
    <n v="0"/>
    <n v="0"/>
  </r>
  <r>
    <x v="300"/>
    <s v="Gomukh ID Lalpur"/>
    <s v="vlc"/>
    <s v="Indirect"/>
    <n v="600.40000000000009"/>
    <n v="23977.159999999996"/>
    <n v="0"/>
    <n v="0"/>
    <n v="0"/>
    <n v="0"/>
    <n v="0"/>
    <n v="0"/>
    <n v="23977.159999999996"/>
    <n v="0"/>
    <n v="0"/>
    <n v="0"/>
    <n v="0"/>
    <n v="0"/>
    <n v="0"/>
    <n v="0"/>
    <n v="0"/>
    <n v="23977.159999999996"/>
    <n v="0"/>
    <n v="0"/>
  </r>
  <r>
    <x v="301"/>
    <s v="KHURIYARI"/>
    <s v="MPG"/>
    <s v="Direct"/>
    <n v="1501.4999999999998"/>
    <n v="70184.23"/>
    <n v="1583.1000000000004"/>
    <n v="75713.77"/>
    <n v="1.6999999999999997"/>
    <n v="77.34"/>
    <n v="1584.8000000000004"/>
    <n v="75791.11"/>
    <n v="70184.23"/>
    <n v="0"/>
    <n v="77.34"/>
    <n v="5606.8800000000047"/>
    <n v="0"/>
    <n v="0"/>
    <n v="0"/>
    <n v="70107"/>
    <n v="0"/>
    <n v="0"/>
    <n v="0"/>
    <n v="0"/>
  </r>
  <r>
    <x v="302"/>
    <s v="BISANPUR"/>
    <s v="MPG"/>
    <s v="Indirect"/>
    <n v="483.29999999999995"/>
    <n v="19918.25"/>
    <n v="0"/>
    <n v="0"/>
    <n v="0"/>
    <n v="0"/>
    <n v="0"/>
    <n v="0"/>
    <n v="19918.25"/>
    <n v="0"/>
    <n v="0"/>
    <n v="0"/>
    <n v="0"/>
    <n v="0"/>
    <n v="0"/>
    <n v="0"/>
    <n v="0"/>
    <n v="19918.25"/>
    <n v="0"/>
    <n v="0"/>
  </r>
  <r>
    <x v="303"/>
    <s v="BEHRAMA"/>
    <s v="MPG"/>
    <s v="Indirect"/>
    <n v="162.20000000000002"/>
    <n v="6482.42"/>
    <n v="0"/>
    <n v="0"/>
    <n v="0"/>
    <n v="0"/>
    <n v="0"/>
    <n v="0"/>
    <n v="6482.42"/>
    <n v="0"/>
    <n v="0"/>
    <n v="0"/>
    <n v="0"/>
    <n v="0"/>
    <n v="0"/>
    <n v="0"/>
    <n v="0"/>
    <n v="6482.42"/>
    <n v="0"/>
    <n v="0"/>
  </r>
  <r>
    <x v="304"/>
    <s v="Gomukh ID Mathurapur"/>
    <s v="vlc"/>
    <s v="Indirect"/>
    <n v="461.9"/>
    <n v="17868.82"/>
    <n v="0"/>
    <n v="0"/>
    <n v="0"/>
    <n v="0"/>
    <n v="0"/>
    <n v="0"/>
    <n v="17868.82"/>
    <n v="0"/>
    <n v="0"/>
    <n v="0"/>
    <n v="0"/>
    <n v="0"/>
    <n v="0"/>
    <n v="0"/>
    <n v="0"/>
    <n v="17868.82"/>
    <n v="0"/>
    <n v="0"/>
  </r>
  <r>
    <x v="305"/>
    <s v="Gomukh ID Kurha Dih"/>
    <s v="vlc"/>
    <s v="Indirect"/>
    <n v="1871.6"/>
    <n v="81154.809999999983"/>
    <n v="0"/>
    <n v="0"/>
    <n v="0"/>
    <n v="0"/>
    <n v="0"/>
    <n v="0"/>
    <n v="81154.809999999983"/>
    <n v="0"/>
    <n v="0"/>
    <n v="0"/>
    <n v="0"/>
    <n v="0"/>
    <n v="0"/>
    <n v="0"/>
    <n v="0"/>
    <n v="81154.809999999983"/>
    <n v="0"/>
    <n v="0"/>
  </r>
  <r>
    <x v="306"/>
    <s v="RAMNAGAR"/>
    <s v="MPG"/>
    <s v="Direct"/>
    <n v="851.2"/>
    <n v="38492.99"/>
    <n v="884.04999999999984"/>
    <n v="38285.999999999993"/>
    <n v="6.11"/>
    <n v="225.09"/>
    <n v="890.15999999999985"/>
    <n v="38511.089999999989"/>
    <n v="38492.99"/>
    <n v="0"/>
    <n v="225.09"/>
    <n v="18.099999999991269"/>
    <n v="0"/>
    <n v="0"/>
    <n v="0"/>
    <n v="38268"/>
    <n v="0"/>
    <n v="0"/>
    <n v="0"/>
    <n v="0"/>
  </r>
  <r>
    <x v="307"/>
    <s v="SANDH MAAF 2"/>
    <s v="MPG"/>
    <s v="Direct"/>
    <n v="1078.9000000000001"/>
    <n v="50211.53"/>
    <n v="1074.01"/>
    <n v="51075.169999999991"/>
    <n v="4.04"/>
    <n v="189.43999999999997"/>
    <n v="1078.05"/>
    <n v="51264.609999999993"/>
    <n v="50211.53"/>
    <n v="0"/>
    <n v="189.43999999999997"/>
    <n v="1053.0799999999945"/>
    <n v="0"/>
    <n v="0"/>
    <n v="0"/>
    <n v="50022"/>
    <n v="0"/>
    <n v="0"/>
    <n v="0"/>
    <n v="0"/>
  </r>
  <r>
    <x v="308"/>
    <s v="TAAL-SHAHARSHA                                                                                      "/>
    <s v="MPG"/>
    <s v="Direct"/>
    <n v="1736.3999999999996"/>
    <n v="78014.69"/>
    <n v="1729.8600000000001"/>
    <n v="76838.530000000013"/>
    <n v="12.379999999999999"/>
    <n v="552.13"/>
    <n v="1742.2400000000002"/>
    <n v="77390.660000000018"/>
    <n v="77390.660000000018"/>
    <n v="0"/>
    <n v="552.13"/>
    <n v="0"/>
    <n v="0"/>
    <n v="0"/>
    <n v="0"/>
    <n v="76838"/>
    <n v="0"/>
    <n v="0"/>
    <n v="625"/>
    <n v="0"/>
  </r>
  <r>
    <x v="309"/>
    <s v="Dhira"/>
    <s v="MPG"/>
    <s v="Direct"/>
    <n v="748.4"/>
    <n v="38458.780000000006"/>
    <n v="537.19999999999993"/>
    <n v="27475.059999999994"/>
    <n v="221.64999999999998"/>
    <n v="13466.76"/>
    <n v="758.84999999999991"/>
    <n v="40941.819999999992"/>
    <n v="38458.780000000006"/>
    <n v="0"/>
    <n v="294.25"/>
    <n v="2483.0399999999863"/>
    <n v="0"/>
    <n v="0"/>
    <n v="0"/>
    <n v="24992"/>
    <n v="13173"/>
    <n v="0"/>
    <n v="0"/>
    <s v="Release3"/>
  </r>
  <r>
    <x v="310"/>
    <s v="SHARMA"/>
    <s v="vlc"/>
    <s v="Direct"/>
    <n v="227.5"/>
    <n v="9431.5699999999979"/>
    <n v="210.28999999999994"/>
    <n v="8320.25"/>
    <n v="0"/>
    <n v="0"/>
    <n v="210.28999999999994"/>
    <n v="8320.25"/>
    <n v="8320.25"/>
    <n v="0"/>
    <n v="0"/>
    <n v="0"/>
    <n v="0"/>
    <n v="0"/>
    <n v="0"/>
    <n v="8321"/>
    <n v="0"/>
    <n v="0"/>
    <n v="1111"/>
    <n v="0"/>
  </r>
  <r>
    <x v="311"/>
    <s v="AZADNAGAR(VLC)"/>
    <s v="vlc"/>
    <s v="Indirect"/>
    <n v="375.1"/>
    <n v="9570.75"/>
    <n v="0"/>
    <n v="0"/>
    <n v="0"/>
    <n v="0"/>
    <n v="0"/>
    <n v="0"/>
    <n v="9570.75"/>
    <n v="0"/>
    <n v="0"/>
    <n v="0"/>
    <n v="0"/>
    <n v="0"/>
    <n v="0"/>
    <n v="0"/>
    <n v="0"/>
    <n v="9570.75"/>
    <n v="0"/>
    <n v="0"/>
  </r>
  <r>
    <x v="312"/>
    <s v="REWAI"/>
    <s v="MPG"/>
    <s v="Direct"/>
    <n v="983.40000000000009"/>
    <n v="43907.229999999996"/>
    <n v="994.62"/>
    <n v="45693.8"/>
    <n v="2.41"/>
    <n v="108.78"/>
    <n v="997.03"/>
    <n v="45802.58"/>
    <n v="43907.229999999996"/>
    <n v="0"/>
    <n v="108.78"/>
    <n v="1895.3500000000058"/>
    <n v="0"/>
    <n v="0"/>
    <n v="0"/>
    <n v="43798"/>
    <n v="0"/>
    <n v="0"/>
    <n v="0"/>
    <n v="0"/>
  </r>
  <r>
    <x v="313"/>
    <s v="MANJOS"/>
    <s v="MPG"/>
    <s v="Direct"/>
    <n v="123.9"/>
    <n v="5271.29"/>
    <n v="124.1"/>
    <n v="5245.0999999999995"/>
    <n v="0"/>
    <n v="0"/>
    <n v="124.1"/>
    <n v="5245.0999999999995"/>
    <n v="5245.0999999999995"/>
    <n v="0"/>
    <n v="0"/>
    <n v="0"/>
    <n v="0"/>
    <n v="0"/>
    <n v="0"/>
    <n v="5245"/>
    <n v="0"/>
    <n v="0"/>
    <n v="26"/>
    <n v="0"/>
  </r>
  <r>
    <x v="314"/>
    <s v="RATA"/>
    <s v="MPG"/>
    <s v="Direct"/>
    <n v="603.4"/>
    <n v="28712.48"/>
    <n v="619.44000000000005"/>
    <n v="30447.350000000006"/>
    <n v="0"/>
    <n v="0"/>
    <n v="619.44000000000005"/>
    <n v="30447.350000000006"/>
    <n v="28712.48"/>
    <n v="0"/>
    <n v="0"/>
    <n v="1734.8700000000063"/>
    <n v="0"/>
    <n v="0"/>
    <n v="0"/>
    <n v="28712"/>
    <n v="0"/>
    <n v="0"/>
    <n v="0"/>
    <n v="0"/>
  </r>
  <r>
    <x v="315"/>
    <s v="BARUI"/>
    <s v="MPG"/>
    <s v="Direct"/>
    <n v="309.2"/>
    <n v="14159.680000000002"/>
    <n v="315.90000000000003"/>
    <n v="14293.470000000001"/>
    <n v="6.6000000000000005"/>
    <n v="295.31"/>
    <n v="322.50000000000006"/>
    <n v="14588.78"/>
    <n v="14159.680000000002"/>
    <n v="0"/>
    <n v="295.31"/>
    <n v="429.09999999999854"/>
    <n v="0"/>
    <n v="0"/>
    <n v="0"/>
    <n v="13864"/>
    <n v="0"/>
    <n v="0"/>
    <n v="0"/>
    <n v="0"/>
  </r>
  <r>
    <x v="316"/>
    <s v="LAHUARA                                                                                             "/>
    <s v="MPG"/>
    <s v="Direct"/>
    <n v="815.2"/>
    <n v="44274.780000000006"/>
    <n v="809.96"/>
    <n v="46831.46"/>
    <n v="6.2600000000000016"/>
    <n v="379.68000000000006"/>
    <n v="816.22"/>
    <n v="47211.14"/>
    <n v="44274.780000000006"/>
    <n v="0"/>
    <n v="379.68000000000006"/>
    <n v="2936.3599999999933"/>
    <n v="0"/>
    <n v="0"/>
    <n v="0"/>
    <n v="43895"/>
    <n v="0"/>
    <n v="0"/>
    <n v="0"/>
    <n v="0"/>
  </r>
  <r>
    <x v="317"/>
    <s v="RAMDIH Ajit Kumar"/>
    <s v="vlc"/>
    <s v="Indirect"/>
    <n v="360.69999999999993"/>
    <n v="13542.22"/>
    <n v="0"/>
    <n v="0"/>
    <n v="0"/>
    <n v="0"/>
    <n v="0"/>
    <n v="0"/>
    <n v="13542.22"/>
    <n v="0"/>
    <n v="0"/>
    <n v="0"/>
    <n v="0"/>
    <n v="0"/>
    <n v="0"/>
    <n v="0"/>
    <n v="0"/>
    <n v="13542.22"/>
    <n v="0"/>
    <n v="0"/>
  </r>
  <r>
    <x v="318"/>
    <s v="NARAYANPUR"/>
    <s v="MPG"/>
    <s v="Direct"/>
    <n v="346.8"/>
    <n v="15308.07"/>
    <n v="434.1"/>
    <n v="18879.75"/>
    <n v="1.59"/>
    <n v="70.94"/>
    <n v="435.69"/>
    <n v="18950.689999999999"/>
    <n v="15308.07"/>
    <n v="0"/>
    <n v="70.94"/>
    <n v="3642.619999999999"/>
    <n v="0"/>
    <n v="0"/>
    <n v="0"/>
    <n v="15237"/>
    <n v="0"/>
    <n v="0"/>
    <n v="0"/>
    <n v="0"/>
  </r>
  <r>
    <x v="319"/>
    <s v="NAWKADIH"/>
    <s v="MPG"/>
    <s v="Direct"/>
    <n v="876.30000000000007"/>
    <n v="39920.740000000005"/>
    <n v="844.4"/>
    <n v="42139.070000000007"/>
    <n v="0"/>
    <n v="0"/>
    <n v="844.4"/>
    <n v="42139.070000000007"/>
    <n v="39920.740000000005"/>
    <n v="0"/>
    <n v="0"/>
    <n v="2218.3300000000017"/>
    <n v="0"/>
    <n v="0"/>
    <n v="0"/>
    <n v="39921"/>
    <n v="0"/>
    <n v="0"/>
    <n v="0"/>
    <n v="0"/>
  </r>
  <r>
    <x v="320"/>
    <s v="CHOTAHA"/>
    <s v="MPG"/>
    <s v="Direct"/>
    <n v="303.50000000000006"/>
    <n v="14024.25"/>
    <n v="487.36"/>
    <n v="37376.680000000008"/>
    <n v="0"/>
    <n v="0"/>
    <n v="487.36"/>
    <n v="37376.680000000008"/>
    <n v="14024.25"/>
    <n v="0"/>
    <n v="0"/>
    <n v="23352.430000000008"/>
    <n v="0"/>
    <n v="0"/>
    <n v="0"/>
    <n v="14024"/>
    <n v="0"/>
    <n v="0"/>
    <n v="0"/>
    <n v="0"/>
  </r>
  <r>
    <x v="321"/>
    <s v="KHARAGWADA "/>
    <s v="MPG"/>
    <s v="Direct"/>
    <n v="214.30000000000004"/>
    <n v="10357.869999999999"/>
    <n v="214.6"/>
    <n v="10370.89"/>
    <n v="0"/>
    <n v="0"/>
    <n v="214.6"/>
    <n v="10370.89"/>
    <n v="10357.869999999999"/>
    <n v="0"/>
    <n v="0"/>
    <n v="13.020000000000437"/>
    <n v="0"/>
    <n v="500"/>
    <n v="0"/>
    <n v="9858"/>
    <n v="0"/>
    <n v="0"/>
    <n v="0"/>
    <n v="0"/>
  </r>
  <r>
    <x v="322"/>
    <s v="UFFAPUR"/>
    <s v="MPG"/>
    <s v="Direct"/>
    <n v="263.20000000000005"/>
    <n v="12031.519999999999"/>
    <n v="274.19000000000005"/>
    <n v="12626.68"/>
    <n v="0"/>
    <n v="0"/>
    <n v="274.19000000000005"/>
    <n v="12626.68"/>
    <n v="12031.519999999999"/>
    <n v="0"/>
    <n v="0"/>
    <n v="595.16000000000167"/>
    <n v="0"/>
    <n v="500"/>
    <n v="0"/>
    <n v="11532"/>
    <n v="0"/>
    <n v="0"/>
    <n v="0"/>
    <n v="0"/>
  </r>
  <r>
    <x v="323"/>
    <s v="BIHRAURA"/>
    <s v="MPG"/>
    <s v="Direct"/>
    <n v="195.1"/>
    <n v="10760.570000000002"/>
    <n v="204"/>
    <n v="11372.77"/>
    <n v="0"/>
    <n v="0"/>
    <n v="204"/>
    <n v="11372.77"/>
    <n v="10760.570000000002"/>
    <n v="0"/>
    <n v="0"/>
    <n v="612.19999999999891"/>
    <n v="0"/>
    <n v="500"/>
    <n v="0"/>
    <n v="10261"/>
    <n v="0"/>
    <n v="0"/>
    <n v="0"/>
    <n v="0"/>
  </r>
  <r>
    <x v="324"/>
    <s v="SHIJHORI"/>
    <s v="MPG"/>
    <s v="Direct"/>
    <n v="450.9"/>
    <n v="21932.789999999997"/>
    <n v="450.90000000000009"/>
    <n v="21936.070000000003"/>
    <n v="0"/>
    <n v="0"/>
    <n v="450.90000000000009"/>
    <n v="21936.070000000003"/>
    <n v="21932.789999999997"/>
    <n v="0"/>
    <n v="0"/>
    <n v="3.2800000000061118"/>
    <n v="0"/>
    <n v="0"/>
    <n v="0"/>
    <n v="21933"/>
    <n v="0"/>
    <n v="0"/>
    <n v="0"/>
    <n v="0"/>
  </r>
  <r>
    <x v="325"/>
    <s v="RAM PRAVESH YADAV"/>
    <s v="MPG"/>
    <s v="Direct"/>
    <n v="711.79999999999984"/>
    <n v="30107.22"/>
    <n v="714.9"/>
    <n v="32216.01"/>
    <n v="0"/>
    <n v="0"/>
    <n v="714.9"/>
    <n v="32216.01"/>
    <n v="30107.22"/>
    <n v="0"/>
    <n v="0"/>
    <n v="2108.7899999999972"/>
    <n v="0"/>
    <n v="0"/>
    <n v="0"/>
    <n v="30107"/>
    <n v="0"/>
    <n v="0"/>
    <n v="0"/>
    <n v="0"/>
  </r>
  <r>
    <x v="326"/>
    <s v="MAHMADPUR VL"/>
    <s v="vlc"/>
    <s v="Indirect"/>
    <n v="918.4"/>
    <n v="41669.94999999999"/>
    <n v="0"/>
    <n v="0"/>
    <n v="0"/>
    <n v="0"/>
    <n v="0"/>
    <n v="0"/>
    <n v="41669.94999999999"/>
    <n v="0"/>
    <n v="0"/>
    <n v="0"/>
    <n v="0"/>
    <n v="0"/>
    <n v="0"/>
    <n v="0"/>
    <n v="0"/>
    <n v="41669.94999999999"/>
    <n v="0"/>
    <n v="0"/>
  </r>
  <r>
    <x v="327"/>
    <s v="BOUDHNAGAR"/>
    <s v="MPG"/>
    <s v="Direct"/>
    <n v="394.90000000000003"/>
    <n v="15577.480000000005"/>
    <n v="393.29"/>
    <n v="15377.18"/>
    <n v="0"/>
    <n v="0"/>
    <n v="393.29"/>
    <n v="15377.18"/>
    <n v="15377.18"/>
    <n v="0"/>
    <n v="0"/>
    <n v="0"/>
    <n v="0"/>
    <n v="0"/>
    <n v="0"/>
    <n v="15377"/>
    <n v="0"/>
    <n v="0"/>
    <n v="200"/>
    <n v="0"/>
  </r>
  <r>
    <x v="328"/>
    <s v="MOHADDINGAR"/>
    <s v="MPG"/>
    <s v="Direct"/>
    <n v="380.30000000000007"/>
    <n v="16097.48"/>
    <n v="433.9"/>
    <n v="18378.960000000003"/>
    <n v="0"/>
    <n v="0"/>
    <n v="433.9"/>
    <n v="18378.960000000003"/>
    <n v="16097.48"/>
    <n v="0"/>
    <n v="0"/>
    <n v="2281.4800000000032"/>
    <n v="0"/>
    <n v="0"/>
    <n v="0"/>
    <n v="16097"/>
    <n v="0"/>
    <n v="0"/>
    <n v="0"/>
    <n v="0"/>
  </r>
  <r>
    <x v="329"/>
    <s v="PACHAUTA"/>
    <s v="MPG"/>
    <s v="Direct"/>
    <n v="533.29999999999995"/>
    <n v="21343.35"/>
    <n v="574.80000000000018"/>
    <n v="25379.540000000005"/>
    <n v="0"/>
    <n v="0"/>
    <n v="574.80000000000018"/>
    <n v="25379.540000000005"/>
    <n v="21343.35"/>
    <n v="0"/>
    <n v="0"/>
    <n v="4036.190000000006"/>
    <n v="0"/>
    <n v="0"/>
    <n v="0"/>
    <n v="21343"/>
    <n v="0"/>
    <n v="0"/>
    <n v="0"/>
    <n v="0"/>
  </r>
  <r>
    <x v="330"/>
    <s v="Gomukh Champa"/>
    <s v="vlc"/>
    <s v="Indirect"/>
    <n v="8000"/>
    <n v="328200"/>
    <n v="0"/>
    <n v="0"/>
    <n v="0"/>
    <n v="0"/>
    <n v="0"/>
    <n v="0"/>
    <n v="328200"/>
    <n v="0"/>
    <n v="0"/>
    <n v="0"/>
    <n v="0"/>
    <n v="0"/>
    <n v="0"/>
    <n v="0"/>
    <n v="0"/>
    <n v="328200"/>
    <n v="0"/>
    <n v="0"/>
  </r>
  <r>
    <x v="331"/>
    <s v="GOMUKH DAKRA"/>
    <s v="vlc"/>
    <s v="Indirect"/>
    <n v="8000"/>
    <n v="327085"/>
    <n v="0"/>
    <n v="0"/>
    <n v="0"/>
    <n v="0"/>
    <n v="0"/>
    <n v="0"/>
    <n v="327085"/>
    <n v="0"/>
    <n v="0"/>
    <n v="0"/>
    <n v="0"/>
    <n v="0"/>
    <n v="0"/>
    <n v="0"/>
    <n v="0"/>
    <n v="327085"/>
    <n v="0"/>
    <n v="0"/>
  </r>
  <r>
    <x v="332"/>
    <s v="TIYAY"/>
    <s v="MPG"/>
    <s v="Direct"/>
    <n v="299.7"/>
    <n v="10654.58"/>
    <n v="329.90000000000003"/>
    <n v="11810.979999999998"/>
    <n v="0"/>
    <n v="0"/>
    <n v="329.90000000000003"/>
    <n v="11810.979999999998"/>
    <n v="10654.58"/>
    <n v="0"/>
    <n v="0"/>
    <n v="1156.3999999999978"/>
    <n v="0"/>
    <n v="0"/>
    <n v="0"/>
    <n v="10655"/>
    <n v="0"/>
    <n v="0"/>
    <n v="0"/>
    <n v="0"/>
  </r>
  <r>
    <x v="333"/>
    <s v="BILLO 2"/>
    <s v="MPG"/>
    <s v="Direct"/>
    <n v="288.10000000000002"/>
    <n v="11235.06"/>
    <n v="288.40000000000003"/>
    <n v="11281.460000000003"/>
    <n v="0"/>
    <n v="0"/>
    <n v="288.40000000000003"/>
    <n v="11281.460000000003"/>
    <n v="11235.06"/>
    <n v="0"/>
    <n v="0"/>
    <n v="46.400000000003274"/>
    <n v="0"/>
    <n v="0"/>
    <n v="0"/>
    <n v="11235"/>
    <n v="0"/>
    <n v="0"/>
    <n v="0"/>
    <n v="0"/>
  </r>
  <r>
    <x v="334"/>
    <s v="NAWADIH 2"/>
    <s v="MPG"/>
    <s v="Direct"/>
    <n v="565.1"/>
    <n v="29059.620000000006"/>
    <n v="470.79999999999995"/>
    <n v="24634.93"/>
    <n v="94.9"/>
    <n v="4451.6500000000005"/>
    <n v="565.69999999999993"/>
    <n v="29086.58"/>
    <n v="29059.620000000006"/>
    <n v="0"/>
    <n v="0"/>
    <n v="26.959999999995489"/>
    <n v="0"/>
    <n v="0"/>
    <n v="0"/>
    <n v="24608"/>
    <n v="4452"/>
    <n v="0"/>
    <n v="0"/>
    <n v="0"/>
  </r>
  <r>
    <x v="335"/>
    <s v="Vishan Pur"/>
    <s v="MPG"/>
    <s v="Direct"/>
    <n v="876.60000000000014"/>
    <n v="35774.82"/>
    <n v="891.92"/>
    <n v="36941.11"/>
    <n v="3.0300000000000002"/>
    <n v="130.26"/>
    <n v="894.94999999999993"/>
    <n v="37071.370000000003"/>
    <n v="35774.82"/>
    <n v="0"/>
    <n v="130.26"/>
    <n v="1296.5500000000029"/>
    <n v="0"/>
    <n v="0"/>
    <n v="0"/>
    <n v="35645"/>
    <n v="0"/>
    <n v="0"/>
    <n v="0"/>
    <n v="0"/>
  </r>
  <r>
    <x v="336"/>
    <s v="Gomukh Madhawpur"/>
    <s v="MPG"/>
    <s v="Direct"/>
    <n v="1817.6999999999998"/>
    <n v="77463.86"/>
    <n v="1836.6"/>
    <n v="82800.100000000006"/>
    <n v="6.9"/>
    <n v="339.46999999999997"/>
    <n v="1843.5"/>
    <n v="83139.570000000007"/>
    <n v="77463.86"/>
    <n v="0"/>
    <n v="339.46999999999997"/>
    <n v="5675.7100000000064"/>
    <n v="13500"/>
    <n v="0"/>
    <n v="0"/>
    <n v="63624"/>
    <n v="0"/>
    <n v="0"/>
    <n v="0"/>
    <n v="0"/>
  </r>
  <r>
    <x v="337"/>
    <s v="Gomukh Muradpur"/>
    <s v="vlc"/>
    <s v="Indirect"/>
    <n v="104.60000000000001"/>
    <n v="4106.37"/>
    <n v="0"/>
    <n v="0"/>
    <n v="0"/>
    <n v="0"/>
    <n v="0"/>
    <n v="0"/>
    <n v="4106.37"/>
    <n v="0"/>
    <n v="0"/>
    <n v="0"/>
    <n v="0"/>
    <n v="0"/>
    <n v="0"/>
    <n v="0"/>
    <n v="0"/>
    <n v="4106.37"/>
    <n v="0"/>
    <n v="0"/>
  </r>
  <r>
    <x v="338"/>
    <s v="Gomukh Kanhaiyachak Pachhim"/>
    <s v="MPG"/>
    <s v="Direct"/>
    <n v="1418.6000000000001"/>
    <n v="56654.979999999996"/>
    <n v="1455.45"/>
    <n v="62721.57"/>
    <n v="0"/>
    <n v="0"/>
    <n v="1455.45"/>
    <n v="62721.57"/>
    <n v="56654.979999999996"/>
    <n v="0"/>
    <n v="0"/>
    <n v="6066.5900000000038"/>
    <n v="0"/>
    <n v="0"/>
    <n v="0"/>
    <n v="56655"/>
    <n v="0"/>
    <n v="0"/>
    <n v="0"/>
    <n v="0"/>
  </r>
  <r>
    <x v="339"/>
    <s v="Gomukh Srirampur Thuthi"/>
    <s v="MPG"/>
    <s v="Direct"/>
    <n v="399.6"/>
    <n v="16723.649999999994"/>
    <n v="411.01000000000005"/>
    <n v="17010.5"/>
    <n v="0"/>
    <n v="0"/>
    <n v="411.01000000000005"/>
    <n v="17010.5"/>
    <n v="16723.649999999994"/>
    <n v="0"/>
    <n v="0"/>
    <n v="286.85000000000582"/>
    <n v="0"/>
    <n v="0"/>
    <n v="0"/>
    <n v="16724"/>
    <n v="0"/>
    <n v="0"/>
    <n v="0"/>
    <s v="Release3"/>
  </r>
  <r>
    <x v="340"/>
    <s v="Gomukh Dumariya Bujurg Madhay"/>
    <s v="MPG"/>
    <s v="Direct"/>
    <n v="271.70000000000005"/>
    <n v="11689.539999999999"/>
    <n v="66.2"/>
    <n v="2806.88"/>
    <n v="210"/>
    <n v="9078.2999999999993"/>
    <n v="276.2"/>
    <n v="11885.18"/>
    <n v="11689.539999999999"/>
    <n v="0"/>
    <n v="9078.2999999999993"/>
    <n v="195.64000000000124"/>
    <n v="0"/>
    <n v="0"/>
    <n v="0"/>
    <n v="2611"/>
    <n v="0"/>
    <n v="0"/>
    <n v="0"/>
    <s v="Release3"/>
  </r>
  <r>
    <x v="341"/>
    <s v="Gomukh Bandahera                                                                                    "/>
    <s v="MPG"/>
    <s v="Direct"/>
    <n v="533.59999999999991"/>
    <n v="22506.18"/>
    <n v="532.6"/>
    <n v="22498.53"/>
    <n v="1.3"/>
    <n v="55.730000000000004"/>
    <n v="533.9"/>
    <n v="22554.26"/>
    <n v="22506.18"/>
    <n v="0"/>
    <n v="55.730000000000004"/>
    <n v="48.079999999998108"/>
    <n v="0"/>
    <n v="0"/>
    <n v="0"/>
    <n v="22450"/>
    <n v="0"/>
    <n v="0"/>
    <n v="0"/>
    <n v="0"/>
  </r>
  <r>
    <x v="342"/>
    <s v="Gomukh Badi Lagar-1 Kiran"/>
    <s v="vlc"/>
    <s v="Indirect"/>
    <n v="899.7"/>
    <n v="39901.170000000006"/>
    <n v="0"/>
    <n v="0"/>
    <n v="0"/>
    <n v="0"/>
    <n v="0"/>
    <n v="0"/>
    <n v="39901.170000000006"/>
    <n v="0"/>
    <n v="0"/>
    <n v="0"/>
    <n v="0"/>
    <n v="0"/>
    <n v="0"/>
    <n v="0"/>
    <n v="0"/>
    <n v="39901.170000000006"/>
    <n v="0"/>
    <n v="0"/>
  </r>
  <r>
    <x v="343"/>
    <s v="Gomukh Muradpur Deepak"/>
    <s v="vlc"/>
    <s v="Indirect"/>
    <n v="406.9"/>
    <n v="14124.920000000002"/>
    <n v="0"/>
    <n v="0"/>
    <n v="0"/>
    <n v="0"/>
    <n v="0"/>
    <n v="0"/>
    <n v="14124.920000000002"/>
    <n v="0"/>
    <n v="0"/>
    <n v="0"/>
    <n v="0"/>
    <n v="0"/>
    <n v="0"/>
    <n v="0"/>
    <n v="0"/>
    <n v="14124.920000000002"/>
    <n v="0"/>
    <n v="0"/>
  </r>
  <r>
    <x v="344"/>
    <s v="Gomukh Basudevpur"/>
    <s v="vlc"/>
    <s v="Indirect"/>
    <n v="126.10000000000001"/>
    <n v="4912.0200000000004"/>
    <n v="0"/>
    <n v="0"/>
    <n v="0"/>
    <n v="0"/>
    <n v="0"/>
    <n v="0"/>
    <n v="4912.0200000000004"/>
    <n v="0"/>
    <n v="0"/>
    <n v="0"/>
    <n v="0"/>
    <n v="0"/>
    <n v="0"/>
    <n v="0"/>
    <n v="0"/>
    <n v="4912.0200000000004"/>
    <n v="0"/>
    <n v="0"/>
  </r>
  <r>
    <x v="345"/>
    <s v="Gomukh Fudkichak"/>
    <s v="MPG"/>
    <s v="Direct"/>
    <n v="518.29999999999995"/>
    <n v="24712.57"/>
    <n v="545"/>
    <n v="28973.620000000003"/>
    <n v="0"/>
    <n v="0"/>
    <n v="545"/>
    <n v="28973.620000000003"/>
    <n v="24712.57"/>
    <n v="0"/>
    <n v="0"/>
    <n v="4261.0500000000029"/>
    <n v="0"/>
    <n v="500"/>
    <n v="0"/>
    <n v="24213"/>
    <n v="0"/>
    <n v="0"/>
    <n v="0"/>
    <n v="0"/>
  </r>
  <r>
    <x v="346"/>
    <s v="Gomukh Tehay"/>
    <s v="MPG"/>
    <s v="Direct"/>
    <n v="206.3"/>
    <n v="9829.61"/>
    <n v="333.4"/>
    <n v="16396.740000000002"/>
    <n v="0"/>
    <n v="0"/>
    <n v="333.4"/>
    <n v="16396.740000000002"/>
    <n v="9829.61"/>
    <n v="0"/>
    <n v="0"/>
    <n v="6567.130000000001"/>
    <n v="0"/>
    <n v="500"/>
    <n v="0"/>
    <n v="9330"/>
    <n v="0"/>
    <n v="0"/>
    <n v="0"/>
    <n v="0"/>
  </r>
  <r>
    <x v="347"/>
    <s v="Gomukh Buddhnagar"/>
    <s v="vlc"/>
    <s v="Indirect"/>
    <n v="990.8"/>
    <n v="38659.29"/>
    <n v="0"/>
    <n v="0"/>
    <n v="0"/>
    <n v="0"/>
    <n v="0"/>
    <n v="0"/>
    <n v="38659.29"/>
    <n v="0"/>
    <n v="0"/>
    <n v="0"/>
    <n v="0"/>
    <n v="0"/>
    <n v="0"/>
    <n v="0"/>
    <n v="0"/>
    <n v="38659.29"/>
    <n v="0"/>
    <n v="0"/>
  </r>
  <r>
    <x v="348"/>
    <s v="Gomukh Krochaka Dudhela"/>
    <s v="MPG"/>
    <s v="Direct"/>
    <n v="1711.8999999999996"/>
    <n v="64158.11"/>
    <n v="1715.43"/>
    <n v="65783.760000000009"/>
    <n v="4.4400000000000004"/>
    <n v="171.11"/>
    <n v="1719.8700000000001"/>
    <n v="65954.87000000001"/>
    <n v="64158.11"/>
    <n v="0"/>
    <n v="171.11"/>
    <n v="1796.7600000000093"/>
    <n v="0"/>
    <n v="0"/>
    <n v="0"/>
    <n v="63987"/>
    <n v="0"/>
    <n v="0"/>
    <n v="0"/>
    <n v="0"/>
  </r>
  <r>
    <x v="349"/>
    <s v="Gomukh Govind Pur"/>
    <s v="MPG"/>
    <s v="Direct"/>
    <n v="971.30000000000007"/>
    <n v="37439.569999999992"/>
    <n v="971.3"/>
    <n v="37395.050000000003"/>
    <n v="0"/>
    <n v="0"/>
    <n v="971.3"/>
    <n v="37395.050000000003"/>
    <n v="37395.050000000003"/>
    <n v="0"/>
    <n v="0"/>
    <n v="0"/>
    <n v="0"/>
    <n v="0"/>
    <n v="0"/>
    <n v="37395"/>
    <n v="0"/>
    <n v="0"/>
    <n v="45"/>
    <n v="0"/>
  </r>
  <r>
    <x v="350"/>
    <s v="Gomukh Sondiha"/>
    <s v="MPG"/>
    <s v="Direct"/>
    <n v="1826.7"/>
    <n v="71184.42"/>
    <n v="2063.6999999999998"/>
    <n v="81769.179999999993"/>
    <n v="0"/>
    <n v="0"/>
    <n v="2063.6999999999998"/>
    <n v="81769.179999999993"/>
    <n v="71184.42"/>
    <n v="0"/>
    <n v="0"/>
    <n v="10584.759999999995"/>
    <n v="0"/>
    <n v="0"/>
    <n v="0"/>
    <n v="71184"/>
    <n v="0"/>
    <n v="0"/>
    <n v="0"/>
    <n v="0"/>
  </r>
  <r>
    <x v="351"/>
    <s v="Gomukh Thebhay B"/>
    <s v="MPG"/>
    <s v="Direct"/>
    <n v="340.40000000000003"/>
    <n v="15276.92"/>
    <n v="499.84"/>
    <n v="21429.000000000004"/>
    <n v="3.0700000000000003"/>
    <n v="130.86999999999998"/>
    <n v="502.90999999999997"/>
    <n v="21559.870000000003"/>
    <n v="15276.92"/>
    <n v="0"/>
    <n v="130.86999999999998"/>
    <n v="6282.9500000000025"/>
    <n v="0"/>
    <n v="0"/>
    <n v="0"/>
    <n v="15146"/>
    <n v="0"/>
    <n v="0"/>
    <n v="0"/>
    <n v="0"/>
  </r>
  <r>
    <x v="977"/>
    <s v="Gomukh Rahempur"/>
    <s v="vlc"/>
    <s v="Indirect"/>
    <n v="1042.5"/>
    <n v="50229"/>
    <n v="0"/>
    <n v="0"/>
    <n v="0"/>
    <n v="0"/>
    <n v="0"/>
    <n v="0"/>
    <n v="50229"/>
    <n v="0"/>
    <n v="0"/>
    <n v="0"/>
    <n v="0"/>
    <n v="0"/>
    <n v="0"/>
    <n v="0"/>
    <n v="0"/>
    <n v="50229"/>
    <n v="0"/>
    <n v="0"/>
  </r>
  <r>
    <x v="352"/>
    <s v="Gomukh Baisa"/>
    <s v="MPG"/>
    <s v="Direct"/>
    <n v="217.4"/>
    <n v="8483.19"/>
    <n v="216.70000000000002"/>
    <n v="8440.2100000000009"/>
    <n v="0.30000000000000004"/>
    <n v="11.59"/>
    <n v="217.00000000000003"/>
    <n v="8451.8000000000011"/>
    <n v="8451.8000000000011"/>
    <n v="0"/>
    <n v="11.59"/>
    <n v="0"/>
    <n v="2024"/>
    <n v="0"/>
    <n v="0"/>
    <n v="6417"/>
    <n v="0"/>
    <n v="0"/>
    <n v="31"/>
    <n v="0"/>
  </r>
  <r>
    <x v="353"/>
    <s v="Gomukh Khutha VLC"/>
    <s v="vlc"/>
    <s v="Indirect"/>
    <n v="9225.2000000000007"/>
    <n v="382501.74000000005"/>
    <n v="0"/>
    <n v="0"/>
    <n v="0"/>
    <n v="0"/>
    <n v="0"/>
    <n v="0"/>
    <n v="382501.74000000005"/>
    <n v="0"/>
    <n v="0"/>
    <n v="0"/>
    <n v="0"/>
    <n v="0"/>
    <n v="0"/>
    <n v="0"/>
    <n v="0"/>
    <n v="382501.74000000005"/>
    <n v="0"/>
    <n v="0"/>
  </r>
  <r>
    <x v="354"/>
    <s v="Gomukh Kabela Vlc"/>
    <s v="vlc"/>
    <s v="Indirect"/>
    <n v="1206.3000000000002"/>
    <n v="47119.570000000007"/>
    <n v="0"/>
    <n v="0"/>
    <n v="0"/>
    <n v="0"/>
    <n v="0"/>
    <n v="0"/>
    <n v="47119.570000000007"/>
    <n v="0"/>
    <n v="0"/>
    <n v="0"/>
    <n v="0"/>
    <n v="0"/>
    <n v="0"/>
    <n v="0"/>
    <n v="0"/>
    <n v="47119.570000000007"/>
    <n v="0"/>
    <n v="0"/>
  </r>
  <r>
    <x v="355"/>
    <s v="Gomukh Lagar Wad-13 Vlc"/>
    <s v="vlc"/>
    <s v="Indirect"/>
    <n v="709.59999999999991"/>
    <n v="33267.08"/>
    <n v="0"/>
    <n v="0"/>
    <n v="0"/>
    <n v="0"/>
    <n v="0"/>
    <n v="0"/>
    <n v="33267.08"/>
    <n v="0"/>
    <n v="0"/>
    <n v="0"/>
    <n v="0"/>
    <n v="0"/>
    <n v="0"/>
    <n v="0"/>
    <n v="0"/>
    <n v="33267.08"/>
    <n v="0"/>
    <n v="0"/>
  </r>
  <r>
    <x v="356"/>
    <s v="Gomukh Manish Vlc"/>
    <s v="vlc"/>
    <s v="Indirect"/>
    <n v="2709.7"/>
    <n v="140982.76"/>
    <n v="0"/>
    <n v="0"/>
    <n v="0"/>
    <n v="0"/>
    <n v="0"/>
    <n v="0"/>
    <n v="140982.76"/>
    <n v="0"/>
    <n v="0"/>
    <n v="0"/>
    <n v="0"/>
    <n v="0"/>
    <n v="0"/>
    <n v="0"/>
    <n v="0"/>
    <n v="140982.76"/>
    <n v="0"/>
    <n v="0"/>
  </r>
  <r>
    <x v="357"/>
    <s v="Gomukh Parbatta Vlc"/>
    <s v="vlc"/>
    <s v="Indirect"/>
    <n v="4760.3"/>
    <n v="240561.53"/>
    <n v="0"/>
    <n v="0"/>
    <n v="0"/>
    <n v="0"/>
    <n v="0"/>
    <n v="0"/>
    <n v="240561.53"/>
    <n v="0"/>
    <n v="0"/>
    <n v="0"/>
    <n v="0"/>
    <n v="0"/>
    <n v="0"/>
    <n v="0"/>
    <n v="0"/>
    <n v="240561.53"/>
    <n v="0"/>
    <n v="0"/>
  </r>
  <r>
    <x v="358"/>
    <s v="Gomukh Mahendrapur"/>
    <s v="MPG"/>
    <s v="Direct"/>
    <n v="2078.4"/>
    <n v="86264.43"/>
    <n v="1992.4"/>
    <n v="86172.989999999962"/>
    <n v="42"/>
    <n v="1823.1600000000005"/>
    <n v="2034.4"/>
    <n v="87996.149999999965"/>
    <n v="86264.43"/>
    <n v="0"/>
    <n v="1823.1600000000005"/>
    <n v="1731.7199999999721"/>
    <n v="0"/>
    <n v="0"/>
    <n v="0"/>
    <n v="84441"/>
    <n v="0"/>
    <n v="0"/>
    <n v="0"/>
    <n v="0"/>
  </r>
  <r>
    <x v="359"/>
    <s v="Gomukh Balahpur"/>
    <s v="vlc"/>
    <s v="Direct"/>
    <n v="606.69999999999993"/>
    <n v="23469.760000000006"/>
    <n v="654.79999999999995"/>
    <n v="25447.14"/>
    <n v="0"/>
    <n v="0"/>
    <n v="654.79999999999995"/>
    <n v="25447.14"/>
    <n v="23469.760000000006"/>
    <n v="0"/>
    <n v="0"/>
    <n v="1977.3799999999937"/>
    <n v="0"/>
    <n v="0"/>
    <n v="0"/>
    <n v="23470"/>
    <n v="0"/>
    <n v="0"/>
    <n v="0"/>
    <n v="0"/>
  </r>
  <r>
    <x v="360"/>
    <s v="Gomukh Danauli"/>
    <s v="MPG"/>
    <s v="Direct"/>
    <n v="536.20000000000005"/>
    <n v="20551.030000000002"/>
    <n v="536.5"/>
    <n v="20631.399999999998"/>
    <n v="0.99999999999999989"/>
    <n v="38.590000000000003"/>
    <n v="537.5"/>
    <n v="20669.989999999998"/>
    <n v="20551.030000000002"/>
    <n v="0"/>
    <n v="38.590000000000003"/>
    <n v="118.95999999999549"/>
    <n v="0"/>
    <n v="0"/>
    <n v="0"/>
    <n v="20512"/>
    <n v="0"/>
    <n v="0"/>
    <n v="0"/>
    <n v="0"/>
  </r>
  <r>
    <x v="361"/>
    <s v="NAYAGAW"/>
    <s v="MPG"/>
    <s v="Direct"/>
    <n v="3538.9999999999995"/>
    <n v="150551.14000000001"/>
    <n v="3511.5099999999998"/>
    <n v="149622.56999999998"/>
    <n v="29.2"/>
    <n v="1899.7300000000005"/>
    <n v="3540.7099999999996"/>
    <n v="151522.29999999999"/>
    <n v="150551.14000000001"/>
    <n v="0"/>
    <n v="1899.7300000000005"/>
    <n v="971.15999999997439"/>
    <n v="0"/>
    <n v="0"/>
    <n v="0"/>
    <n v="148651"/>
    <n v="0"/>
    <n v="0"/>
    <n v="0"/>
    <n v="0"/>
  </r>
  <r>
    <x v="362"/>
    <s v="Dandari"/>
    <s v="MPG"/>
    <s v="Direct"/>
    <n v="383.29999999999995"/>
    <n v="14482.990000000003"/>
    <n v="380.59999999999997"/>
    <n v="14524.259999999998"/>
    <n v="2.6"/>
    <n v="99.060000000000016"/>
    <n v="383.2"/>
    <n v="14623.319999999998"/>
    <n v="14482.990000000003"/>
    <n v="0"/>
    <n v="99.060000000000016"/>
    <n v="140.32999999999447"/>
    <n v="0"/>
    <n v="0"/>
    <n v="0"/>
    <n v="14384"/>
    <n v="0"/>
    <n v="0"/>
    <n v="0"/>
    <n v="0"/>
  </r>
  <r>
    <x v="363"/>
    <s v="Rahimpur Pachkhutti"/>
    <s v="MPG"/>
    <s v="Indirect"/>
    <n v="8703"/>
    <n v="349268.81"/>
    <n v="0"/>
    <n v="0"/>
    <n v="0"/>
    <n v="0"/>
    <n v="0"/>
    <n v="0"/>
    <n v="349268.81"/>
    <n v="0"/>
    <n v="0"/>
    <n v="0"/>
    <n v="0"/>
    <n v="0"/>
    <n v="0"/>
    <n v="0"/>
    <n v="0"/>
    <n v="349268.81"/>
    <n v="0"/>
    <n v="0"/>
  </r>
  <r>
    <x v="364"/>
    <s v="Gomukh Mohanpur                                                                                     "/>
    <s v="MPG"/>
    <s v="Direct"/>
    <n v="956.59999999999991"/>
    <n v="36467.879999999997"/>
    <n v="958"/>
    <n v="37047.75"/>
    <n v="1.2"/>
    <n v="46.2"/>
    <n v="959.2"/>
    <n v="37093.949999999997"/>
    <n v="36467.879999999997"/>
    <n v="0"/>
    <n v="46.2"/>
    <n v="626.06999999999971"/>
    <n v="1350"/>
    <n v="0"/>
    <n v="0"/>
    <n v="35072"/>
    <n v="0"/>
    <n v="0"/>
    <n v="0"/>
    <n v="0"/>
  </r>
  <r>
    <x v="365"/>
    <s v="Gomukh Raghunathpur"/>
    <s v="MPG"/>
    <s v="Direct"/>
    <n v="1233.8000000000004"/>
    <n v="55381.580000000009"/>
    <n v="1213.5999999999997"/>
    <n v="53556.210000000014"/>
    <n v="40.700000000000003"/>
    <n v="1700.0500000000002"/>
    <n v="1254.2999999999997"/>
    <n v="55256.260000000017"/>
    <n v="55256.260000000017"/>
    <n v="0"/>
    <n v="1700.0500000000002"/>
    <n v="0"/>
    <n v="0"/>
    <n v="0"/>
    <n v="0"/>
    <n v="53556"/>
    <n v="0"/>
    <n v="0"/>
    <n v="126"/>
    <n v="0"/>
  </r>
  <r>
    <x v="366"/>
    <s v="Gomukh Chhitraur"/>
    <s v="MPG"/>
    <s v="Direct"/>
    <n v="662.80000000000007"/>
    <n v="28897.78"/>
    <n v="688.79"/>
    <n v="29437.940000000002"/>
    <n v="0"/>
    <n v="0"/>
    <n v="688.79"/>
    <n v="29437.940000000002"/>
    <n v="28897.78"/>
    <n v="0"/>
    <n v="0"/>
    <n v="540.16000000000349"/>
    <n v="0"/>
    <n v="0"/>
    <n v="0"/>
    <n v="28898"/>
    <n v="0"/>
    <n v="0"/>
    <n v="0"/>
    <n v="0"/>
  </r>
  <r>
    <x v="367"/>
    <s v="Gomukh Khorampur Chakaur"/>
    <s v="MPG"/>
    <s v="Direct"/>
    <n v="611.4"/>
    <n v="25608.06"/>
    <n v="608.6"/>
    <n v="25628.53"/>
    <n v="3.5"/>
    <n v="147.99"/>
    <n v="612.1"/>
    <n v="25776.52"/>
    <n v="25608.06"/>
    <n v="0"/>
    <n v="147.99"/>
    <n v="168.45999999999913"/>
    <n v="0"/>
    <n v="0"/>
    <n v="0"/>
    <n v="25460"/>
    <n v="0"/>
    <n v="0"/>
    <n v="0"/>
    <n v="0"/>
  </r>
  <r>
    <x v="368"/>
    <s v="GOMUKH Mathar"/>
    <s v="MPG"/>
    <s v="Direct"/>
    <n v="125.39999999999999"/>
    <n v="5432.11"/>
    <n v="130.77000000000001"/>
    <n v="5962.51"/>
    <n v="1.48"/>
    <n v="66.279999999999987"/>
    <n v="132.25"/>
    <n v="6028.79"/>
    <n v="5432.11"/>
    <n v="0"/>
    <n v="66.279999999999987"/>
    <n v="596.68000000000029"/>
    <n v="0"/>
    <n v="0"/>
    <n v="0"/>
    <n v="5366"/>
    <n v="0"/>
    <n v="0"/>
    <n v="0"/>
    <s v="Release3"/>
  </r>
  <r>
    <x v="369"/>
    <s v="Gomukh Kumar Chakki"/>
    <s v="MPG"/>
    <s v="Direct"/>
    <n v="118.2"/>
    <n v="4575.6200000000008"/>
    <n v="117.4"/>
    <n v="4453.87"/>
    <n v="0.60000000000000009"/>
    <n v="22.91"/>
    <n v="118"/>
    <n v="4476.78"/>
    <n v="4476.78"/>
    <n v="0"/>
    <n v="22.91"/>
    <n v="0"/>
    <n v="0"/>
    <n v="500"/>
    <n v="0"/>
    <n v="3954"/>
    <n v="0"/>
    <n v="0"/>
    <n v="99"/>
    <n v="0"/>
  </r>
  <r>
    <x v="370"/>
    <s v="Gomukh Sonapur"/>
    <s v="vlc"/>
    <s v="Indirect"/>
    <n v="513.20000000000005"/>
    <n v="20507.04"/>
    <n v="0"/>
    <n v="0"/>
    <n v="0"/>
    <n v="0"/>
    <n v="0"/>
    <n v="0"/>
    <n v="20507.04"/>
    <n v="0"/>
    <n v="0"/>
    <n v="0"/>
    <n v="0"/>
    <n v="0"/>
    <n v="0"/>
    <n v="0"/>
    <n v="0"/>
    <n v="20507.04"/>
    <n v="0"/>
    <n v="0"/>
  </r>
  <r>
    <x v="371"/>
    <s v="Gomukh Barkhandi 2"/>
    <s v="MPG"/>
    <s v="Indirect"/>
    <n v="1461"/>
    <n v="63438.160000000011"/>
    <n v="0"/>
    <n v="0"/>
    <n v="0"/>
    <n v="0"/>
    <n v="0"/>
    <n v="0"/>
    <n v="63438.160000000011"/>
    <n v="0"/>
    <n v="0"/>
    <n v="0"/>
    <n v="0"/>
    <n v="0"/>
    <n v="0"/>
    <n v="0"/>
    <n v="0"/>
    <n v="63438.160000000011"/>
    <n v="0"/>
    <n v="0"/>
  </r>
  <r>
    <x v="372"/>
    <s v="Gomukh Kalyanpur                                                                                    "/>
    <s v="MPG"/>
    <s v="Direct"/>
    <n v="818.40000000000009"/>
    <n v="31875.93"/>
    <n v="822.10000000000014"/>
    <n v="32977.699999999997"/>
    <n v="3.9999999999999996"/>
    <n v="159.68"/>
    <n v="826.10000000000014"/>
    <n v="33137.379999999997"/>
    <n v="31875.93"/>
    <n v="0"/>
    <n v="159.68"/>
    <n v="1261.4499999999971"/>
    <n v="0"/>
    <n v="0"/>
    <n v="0"/>
    <n v="31716"/>
    <n v="0"/>
    <n v="0"/>
    <n v="0"/>
    <n v="0"/>
  </r>
  <r>
    <x v="373"/>
    <s v="Gomukh Fatehpur                                                                                     "/>
    <s v="MPG"/>
    <s v="Direct"/>
    <n v="1103.6000000000001"/>
    <n v="50601.41"/>
    <n v="1113"/>
    <n v="50897.49"/>
    <n v="0"/>
    <n v="0"/>
    <n v="1113"/>
    <n v="50897.49"/>
    <n v="50601.41"/>
    <n v="0"/>
    <n v="0"/>
    <n v="296.07999999999447"/>
    <n v="1350"/>
    <n v="0"/>
    <n v="0"/>
    <n v="49251"/>
    <n v="0"/>
    <n v="0"/>
    <n v="0"/>
    <n v="0"/>
  </r>
  <r>
    <x v="374"/>
    <s v="GOMUKH KATAHRI"/>
    <s v="MPG"/>
    <s v="Direct"/>
    <n v="349.9"/>
    <n v="15102.249999999998"/>
    <n v="348.3"/>
    <n v="14993.080000000002"/>
    <n v="1.5999999999999999"/>
    <n v="69.42"/>
    <n v="349.90000000000003"/>
    <n v="15062.500000000002"/>
    <n v="15062.500000000002"/>
    <n v="0"/>
    <n v="69.42"/>
    <n v="0"/>
    <n v="0"/>
    <n v="500"/>
    <n v="0"/>
    <n v="14493"/>
    <n v="0"/>
    <n v="0"/>
    <n v="40"/>
    <n v="0"/>
  </r>
  <r>
    <x v="375"/>
    <s v="GOMUKH Mathar Ward 10"/>
    <s v="MPG"/>
    <s v="Direct"/>
    <n v="881.4"/>
    <n v="40375.43"/>
    <n v="715"/>
    <n v="32773.9"/>
    <n v="180"/>
    <n v="8230.35"/>
    <n v="895"/>
    <n v="41004.25"/>
    <n v="40375.43"/>
    <n v="0"/>
    <n v="0"/>
    <n v="628.81999999999971"/>
    <n v="0"/>
    <n v="0"/>
    <n v="0"/>
    <n v="32145"/>
    <n v="8230"/>
    <n v="0"/>
    <n v="0"/>
    <n v="0"/>
  </r>
  <r>
    <x v="376"/>
    <s v="GOMUKH Tartor 2"/>
    <s v="vlc"/>
    <s v="Direct"/>
    <n v="257.3"/>
    <n v="11458.01"/>
    <n v="257"/>
    <n v="11431.36"/>
    <n v="0"/>
    <n v="0"/>
    <n v="257"/>
    <n v="11431.36"/>
    <n v="11431.36"/>
    <n v="0"/>
    <n v="0"/>
    <n v="0"/>
    <n v="0"/>
    <n v="0"/>
    <n v="0"/>
    <n v="11431"/>
    <n v="0"/>
    <n v="0"/>
    <n v="27"/>
    <n v="0"/>
  </r>
  <r>
    <x v="377"/>
    <s v="Gomukh Chaidha"/>
    <s v="MPG"/>
    <s v="Direct"/>
    <n v="762.49999999999989"/>
    <n v="30414.44"/>
    <n v="756.4"/>
    <n v="29771.56"/>
    <n v="3.36"/>
    <n v="138.25000000000003"/>
    <n v="759.76"/>
    <n v="29909.81"/>
    <n v="29909.81"/>
    <n v="0"/>
    <n v="138.25000000000003"/>
    <n v="0"/>
    <n v="4426"/>
    <n v="0"/>
    <n v="0"/>
    <n v="25347"/>
    <n v="0"/>
    <n v="0"/>
    <n v="503"/>
    <s v="Release1"/>
  </r>
  <r>
    <x v="378"/>
    <s v="Gomukh Bakiya"/>
    <s v="MPG"/>
    <s v="Direct"/>
    <n v="911.69999999999993"/>
    <n v="38518.28"/>
    <n v="909.34000000000026"/>
    <n v="38899.520000000004"/>
    <n v="6.16"/>
    <n v="251.24"/>
    <n v="915.50000000000023"/>
    <n v="39150.76"/>
    <n v="38518.28"/>
    <n v="0"/>
    <n v="251.24"/>
    <n v="632.4800000000032"/>
    <n v="0"/>
    <n v="0"/>
    <n v="0"/>
    <n v="38267"/>
    <n v="0"/>
    <n v="0"/>
    <n v="0"/>
    <n v="0"/>
  </r>
  <r>
    <x v="379"/>
    <s v="Gomukh Sadpur"/>
    <s v="MPG"/>
    <s v="Direct"/>
    <n v="282.89999999999998"/>
    <n v="10188.460000000001"/>
    <n v="360.6"/>
    <n v="14156.36"/>
    <n v="0"/>
    <n v="0"/>
    <n v="360.6"/>
    <n v="14156.36"/>
    <n v="10188.460000000001"/>
    <n v="0"/>
    <n v="0"/>
    <n v="3967.8999999999996"/>
    <n v="0"/>
    <n v="500"/>
    <n v="0"/>
    <n v="9688"/>
    <n v="0"/>
    <n v="0"/>
    <n v="0"/>
    <n v="0"/>
  </r>
  <r>
    <x v="380"/>
    <s v="GOMUKH Nista Tol"/>
    <s v="MPG"/>
    <s v="Direct"/>
    <n v="287.39999999999998"/>
    <n v="10589.32"/>
    <n v="285.45000000000005"/>
    <n v="10701.89"/>
    <n v="0"/>
    <n v="0"/>
    <n v="285.45000000000005"/>
    <n v="10701.89"/>
    <n v="10589.32"/>
    <n v="0"/>
    <n v="0"/>
    <n v="112.56999999999971"/>
    <n v="0"/>
    <n v="500"/>
    <n v="0"/>
    <n v="10089"/>
    <n v="0"/>
    <n v="0"/>
    <n v="0"/>
    <n v="0"/>
  </r>
  <r>
    <x v="381"/>
    <s v="GOMUKH SRINAGAR"/>
    <s v="MPG"/>
    <s v="Direct"/>
    <n v="2068.1"/>
    <n v="86624.550000000017"/>
    <n v="1470.5200000000002"/>
    <n v="67421.510000000009"/>
    <n v="628.56000000000006"/>
    <n v="27831.21"/>
    <n v="2099.0800000000004"/>
    <n v="95252.72"/>
    <n v="86624.550000000017"/>
    <n v="0"/>
    <n v="273.74"/>
    <n v="8628.1699999999837"/>
    <n v="0"/>
    <n v="0"/>
    <n v="0"/>
    <n v="58794"/>
    <n v="27557"/>
    <n v="0"/>
    <n v="0"/>
    <n v="0"/>
  </r>
  <r>
    <x v="382"/>
    <s v="GOMUKH THATHA"/>
    <s v="vlc"/>
    <s v="Direct"/>
    <n v="246.30000000000004"/>
    <n v="9235.18"/>
    <n v="246"/>
    <n v="9266.82"/>
    <n v="0"/>
    <n v="0"/>
    <n v="246"/>
    <n v="9266.82"/>
    <n v="9235.18"/>
    <n v="0"/>
    <n v="0"/>
    <n v="31.639999999999418"/>
    <n v="0"/>
    <n v="0"/>
    <n v="0"/>
    <n v="9235"/>
    <n v="0"/>
    <n v="0"/>
    <n v="0"/>
    <n v="0"/>
  </r>
  <r>
    <x v="384"/>
    <s v="GOMUKH SANHA NAYATOLA"/>
    <s v="MPG"/>
    <s v="Direct"/>
    <n v="232.50000000000003"/>
    <n v="9048.1799999999985"/>
    <n v="232"/>
    <n v="9449.36"/>
    <n v="0"/>
    <n v="0"/>
    <n v="232"/>
    <n v="9449.36"/>
    <n v="9048.1799999999985"/>
    <n v="0"/>
    <n v="0"/>
    <n v="401.18000000000211"/>
    <n v="0"/>
    <n v="0"/>
    <n v="0"/>
    <n v="9048"/>
    <n v="0"/>
    <n v="0"/>
    <n v="0"/>
    <n v="0"/>
  </r>
  <r>
    <x v="385"/>
    <s v="Gomukh Durgapur"/>
    <s v="MPG"/>
    <s v="Direct"/>
    <n v="469.1"/>
    <n v="19722.48"/>
    <n v="486.1"/>
    <n v="21017.08"/>
    <n v="1.8"/>
    <n v="77.28"/>
    <n v="487.90000000000003"/>
    <n v="21094.36"/>
    <n v="19722.48"/>
    <n v="0"/>
    <n v="77.28"/>
    <n v="1371.880000000001"/>
    <n v="3486.8"/>
    <n v="0"/>
    <n v="0"/>
    <n v="16158"/>
    <n v="0"/>
    <n v="0"/>
    <n v="0"/>
    <n v="0"/>
  </r>
  <r>
    <x v="386"/>
    <s v="Gomukh Koniya"/>
    <s v="MPG"/>
    <s v="Direct"/>
    <n v="474.59999999999997"/>
    <n v="18734.530000000002"/>
    <n v="476.09999999999997"/>
    <n v="19219.55"/>
    <n v="14"/>
    <n v="564.84"/>
    <n v="490.09999999999997"/>
    <n v="19784.39"/>
    <n v="18734.530000000002"/>
    <n v="0"/>
    <n v="564.84"/>
    <n v="1049.8599999999969"/>
    <n v="0"/>
    <n v="0"/>
    <n v="0"/>
    <n v="18170"/>
    <n v="0"/>
    <n v="0"/>
    <n v="0"/>
    <n v="0"/>
  </r>
  <r>
    <x v="387"/>
    <s v="GOMUKH ROHUA"/>
    <s v="MPG"/>
    <s v="Direct"/>
    <n v="409.90000000000003"/>
    <n v="16408.18"/>
    <n v="404.09999999999997"/>
    <n v="16083.280000000002"/>
    <n v="6.05"/>
    <n v="239.91"/>
    <n v="410.15"/>
    <n v="16323.190000000002"/>
    <n v="16323.190000000002"/>
    <n v="0"/>
    <n v="239.91"/>
    <n v="0"/>
    <n v="0"/>
    <n v="0"/>
    <n v="0"/>
    <n v="16083"/>
    <n v="0"/>
    <n v="0"/>
    <n v="85"/>
    <n v="0"/>
  </r>
  <r>
    <x v="388"/>
    <s v="GOMUKH LAXMIPUR"/>
    <s v="MPG"/>
    <s v="Direct"/>
    <n v="372.1"/>
    <n v="17115.03"/>
    <n v="379.26"/>
    <n v="18412.32"/>
    <n v="6.3900000000000006"/>
    <n v="291.19"/>
    <n v="385.65"/>
    <n v="18703.509999999998"/>
    <n v="17115.03"/>
    <n v="0"/>
    <n v="291.19"/>
    <n v="1588.4799999999996"/>
    <n v="0"/>
    <n v="0"/>
    <n v="0"/>
    <n v="16824"/>
    <n v="0"/>
    <n v="0"/>
    <n v="0"/>
    <n v="0"/>
  </r>
  <r>
    <x v="389"/>
    <s v="GOMUKH CHATAR"/>
    <s v="MPG"/>
    <s v="Direct"/>
    <n v="155.70000000000002"/>
    <n v="5819.52"/>
    <n v="170"/>
    <n v="6957"/>
    <n v="7.6"/>
    <n v="294.76"/>
    <n v="177.6"/>
    <n v="7251.76"/>
    <n v="5819.52"/>
    <n v="0"/>
    <n v="0"/>
    <n v="1432.2399999999998"/>
    <n v="5026"/>
    <n v="500"/>
    <n v="0"/>
    <n v="0"/>
    <n v="294"/>
    <n v="0"/>
    <n v="0"/>
    <s v="Release1"/>
  </r>
  <r>
    <x v="390"/>
    <s v="GOMUKH BATHNAMA"/>
    <s v="MPG"/>
    <s v="Direct"/>
    <n v="3727.8999999999996"/>
    <n v="151973.16999999998"/>
    <n v="3630.2"/>
    <n v="152153.91"/>
    <n v="0"/>
    <n v="0"/>
    <n v="3630.2"/>
    <n v="152153.91"/>
    <n v="151973.16999999998"/>
    <n v="0"/>
    <n v="0"/>
    <n v="180.74000000001979"/>
    <n v="3707"/>
    <n v="0"/>
    <n v="0"/>
    <n v="148266"/>
    <n v="0"/>
    <n v="0"/>
    <n v="0"/>
    <n v="0"/>
  </r>
  <r>
    <x v="391"/>
    <s v="GOMUKH TILAK NAGAR"/>
    <s v="MPG"/>
    <s v="Direct"/>
    <n v="268.10000000000002"/>
    <n v="12288.979999999998"/>
    <n v="263.19"/>
    <n v="14706.74"/>
    <n v="0"/>
    <n v="0"/>
    <n v="263.19"/>
    <n v="14706.74"/>
    <n v="12288.979999999998"/>
    <n v="0"/>
    <n v="0"/>
    <n v="2417.760000000002"/>
    <n v="7000"/>
    <n v="0"/>
    <n v="0"/>
    <n v="6448"/>
    <n v="0"/>
    <n v="0"/>
    <n v="-1159"/>
    <s v="Release2"/>
  </r>
  <r>
    <x v="392"/>
    <s v="Gomukh Rahimpur Dakshin"/>
    <s v="MPG"/>
    <s v="Direct"/>
    <n v="7237.4999999999982"/>
    <n v="294899.38"/>
    <n v="1258.82"/>
    <n v="52765.009999999987"/>
    <n v="5976.380000000001"/>
    <n v="243021.58000000007"/>
    <n v="7235.2000000000007"/>
    <n v="295786.59000000008"/>
    <n v="294899.38"/>
    <n v="0"/>
    <n v="623.30999999999995"/>
    <n v="887.21000000007916"/>
    <n v="0"/>
    <n v="0"/>
    <n v="0"/>
    <n v="51878"/>
    <n v="242398"/>
    <n v="0"/>
    <n v="0"/>
    <n v="0"/>
  </r>
  <r>
    <x v="393"/>
    <s v="GOMUKH MORKAHI"/>
    <s v="MPG"/>
    <s v="Direct"/>
    <n v="797"/>
    <n v="31278.44"/>
    <n v="791.13000000000011"/>
    <n v="31192.39"/>
    <n v="1.4100000000000004"/>
    <n v="55.800000000000011"/>
    <n v="792.54000000000008"/>
    <n v="31248.19"/>
    <n v="31248.19"/>
    <n v="0"/>
    <n v="55.800000000000011"/>
    <n v="0"/>
    <n v="0"/>
    <n v="0"/>
    <n v="0"/>
    <n v="31193"/>
    <n v="0"/>
    <n v="0"/>
    <n v="30"/>
    <n v="0"/>
  </r>
  <r>
    <x v="394"/>
    <s v="GOMUKH HANSPUR"/>
    <s v="MPG"/>
    <s v="Direct"/>
    <n v="65.199999999999989"/>
    <n v="2796.13"/>
    <n v="65.300000000000011"/>
    <n v="2807.0600000000004"/>
    <n v="0"/>
    <n v="0"/>
    <n v="65.300000000000011"/>
    <n v="2807.0600000000004"/>
    <n v="2796.13"/>
    <n v="0"/>
    <n v="0"/>
    <n v="10.930000000000291"/>
    <n v="0"/>
    <n v="500"/>
    <n v="0"/>
    <n v="2296"/>
    <n v="0"/>
    <n v="0"/>
    <n v="0"/>
    <n v="0"/>
  </r>
  <r>
    <x v="395"/>
    <s v="GOMUKH NAYAGAON 2"/>
    <s v="MPG"/>
    <s v="Direct"/>
    <n v="117.30000000000001"/>
    <n v="6113.53"/>
    <n v="119.42"/>
    <n v="6284.2800000000007"/>
    <n v="6.1800000000000006"/>
    <n v="346.89999999999992"/>
    <n v="125.60000000000001"/>
    <n v="6631.18"/>
    <n v="6113.53"/>
    <n v="0"/>
    <n v="346.89999999999992"/>
    <n v="517.65000000000055"/>
    <n v="0"/>
    <n v="0"/>
    <n v="0"/>
    <n v="5767"/>
    <n v="0"/>
    <n v="0"/>
    <n v="0"/>
    <n v="0"/>
  </r>
  <r>
    <x v="978"/>
    <s v="GOMUKH ALOLI"/>
    <s v="MPG"/>
    <s v="Direct"/>
    <n v="57.2"/>
    <n v="2110.6999999999998"/>
    <n v="57.02"/>
    <n v="2464.9699999999998"/>
    <n v="0"/>
    <n v="0"/>
    <n v="57.02"/>
    <n v="2464.9699999999998"/>
    <n v="2110.6999999999998"/>
    <n v="0"/>
    <n v="0"/>
    <n v="354.27"/>
    <n v="0"/>
    <n v="500"/>
    <n v="0"/>
    <n v="1611"/>
    <n v="0"/>
    <n v="0"/>
    <n v="0"/>
    <n v="0"/>
  </r>
  <r>
    <x v="396"/>
    <s v="GOMUKH LABHGAON"/>
    <s v="MPG"/>
    <s v="Direct"/>
    <n v="267.39999999999998"/>
    <n v="11076.939999999999"/>
    <n v="286.67"/>
    <n v="11466.449999999999"/>
    <n v="0"/>
    <n v="0"/>
    <n v="286.67"/>
    <n v="11466.449999999999"/>
    <n v="11076.939999999999"/>
    <n v="0"/>
    <n v="0"/>
    <n v="389.51000000000022"/>
    <n v="0"/>
    <n v="0"/>
    <n v="0"/>
    <n v="11077"/>
    <n v="0"/>
    <n v="0"/>
    <n v="0"/>
    <n v="0"/>
  </r>
  <r>
    <x v="397"/>
    <s v="GOMUKH CHANDPURA"/>
    <s v="MPG"/>
    <s v="Direct"/>
    <n v="737.99999999999989"/>
    <n v="27981.119999999999"/>
    <n v="391.20000000000005"/>
    <n v="14867.17"/>
    <n v="346.5"/>
    <n v="13111.84"/>
    <n v="737.7"/>
    <n v="27979.010000000002"/>
    <n v="27979.010000000002"/>
    <n v="0"/>
    <n v="0"/>
    <n v="0"/>
    <n v="0"/>
    <n v="0"/>
    <n v="0"/>
    <n v="14867"/>
    <n v="13111"/>
    <n v="0"/>
    <n v="3"/>
    <n v="0"/>
  </r>
  <r>
    <x v="398"/>
    <s v="GOMUKH BADIL TOL"/>
    <s v="MPG"/>
    <s v="Direct"/>
    <n v="442.79999999999995"/>
    <n v="18244.34"/>
    <n v="197.28"/>
    <n v="8544.82"/>
    <n v="255.98999999999998"/>
    <n v="9719.0300000000007"/>
    <n v="453.27"/>
    <n v="18263.849999999999"/>
    <n v="18244.34"/>
    <n v="0"/>
    <n v="522.46"/>
    <n v="19.509999999998399"/>
    <n v="0"/>
    <n v="0"/>
    <n v="0"/>
    <n v="8525"/>
    <n v="9197"/>
    <n v="0"/>
    <n v="0"/>
    <n v="0"/>
  </r>
  <r>
    <x v="399"/>
    <s v="GOMUKH TRIBHUVAN TOLA"/>
    <s v="MPG"/>
    <s v="Direct"/>
    <n v="391.5"/>
    <n v="14835.099999999999"/>
    <n v="406.20999999999992"/>
    <n v="14843.49"/>
    <n v="0"/>
    <n v="0"/>
    <n v="406.20999999999992"/>
    <n v="14843.49"/>
    <n v="14835.099999999999"/>
    <n v="0"/>
    <n v="0"/>
    <n v="8.3900000000012369"/>
    <n v="0"/>
    <n v="0"/>
    <n v="0"/>
    <n v="14835"/>
    <n v="0"/>
    <n v="0"/>
    <n v="0"/>
    <n v="0"/>
  </r>
  <r>
    <x v="400"/>
    <s v="GOMUKH SANTOSHPUL"/>
    <s v="MPG"/>
    <s v="Direct"/>
    <n v="991.19999999999982"/>
    <n v="47054.69"/>
    <n v="30.299999999999997"/>
    <n v="1429.8600000000001"/>
    <n v="961"/>
    <n v="45630.03"/>
    <n v="991.3"/>
    <n v="47059.89"/>
    <n v="47054.69"/>
    <n v="0"/>
    <n v="0"/>
    <n v="5.1999999999970896"/>
    <n v="0"/>
    <n v="0"/>
    <n v="0"/>
    <n v="1423"/>
    <n v="45632"/>
    <n v="0"/>
    <n v="0"/>
    <n v="0"/>
  </r>
  <r>
    <x v="401"/>
    <s v="GOMUKH AHUNA"/>
    <s v="MPG"/>
    <s v="Direct"/>
    <n v="346.40000000000003"/>
    <n v="13364.28"/>
    <n v="347.23999999999995"/>
    <n v="13407.119999999997"/>
    <n v="0"/>
    <n v="0"/>
    <n v="347.23999999999995"/>
    <n v="13407.119999999997"/>
    <n v="13364.28"/>
    <n v="0"/>
    <n v="0"/>
    <n v="42.839999999996508"/>
    <n v="0"/>
    <n v="0"/>
    <n v="0"/>
    <n v="13364"/>
    <n v="0"/>
    <n v="0"/>
    <n v="0"/>
    <n v="0"/>
  </r>
  <r>
    <x v="402"/>
    <s v="GOMUKH SHADIPUR"/>
    <s v="MPG"/>
    <s v="Direct"/>
    <n v="942.39999999999986"/>
    <n v="39749.79"/>
    <n v="963.73000000000025"/>
    <n v="40293.429999999993"/>
    <n v="11.14"/>
    <n v="441.09999999999997"/>
    <n v="974.87000000000023"/>
    <n v="40734.529999999992"/>
    <n v="39749.79"/>
    <n v="0"/>
    <n v="441.09999999999997"/>
    <n v="984.73999999999069"/>
    <n v="0"/>
    <n v="0"/>
    <n v="0"/>
    <n v="39309"/>
    <n v="0"/>
    <n v="0"/>
    <n v="0"/>
    <n v="0"/>
  </r>
  <r>
    <x v="403"/>
    <s v="GOMUKH ASHRAPHA DIYARA"/>
    <s v="MPG"/>
    <s v="Direct"/>
    <n v="1144.1999999999998"/>
    <n v="49419.62000000001"/>
    <n v="1134.9899999999998"/>
    <n v="48480.92"/>
    <n v="9.1700000000000017"/>
    <n v="365.34000000000003"/>
    <n v="1144.1599999999999"/>
    <n v="48846.259999999995"/>
    <n v="48846.259999999995"/>
    <n v="0"/>
    <n v="365.34000000000003"/>
    <n v="0"/>
    <n v="0"/>
    <n v="0"/>
    <n v="0"/>
    <n v="48481"/>
    <n v="0"/>
    <n v="0"/>
    <n v="573"/>
    <n v="0"/>
  </r>
  <r>
    <x v="404"/>
    <s v="GOMUKH MANIAPPA"/>
    <s v="MPG"/>
    <s v="Direct"/>
    <n v="518.80000000000007"/>
    <n v="21239.31"/>
    <n v="515.01"/>
    <n v="21152.95"/>
    <n v="3.33"/>
    <n v="128.16999999999999"/>
    <n v="518.34"/>
    <n v="21281.119999999999"/>
    <n v="21239.31"/>
    <n v="0"/>
    <n v="128.16999999999999"/>
    <n v="41.809999999997672"/>
    <n v="0"/>
    <n v="0"/>
    <n v="0"/>
    <n v="21111"/>
    <n v="0"/>
    <n v="0"/>
    <n v="0"/>
    <n v="0"/>
  </r>
  <r>
    <x v="405"/>
    <s v="GOMUKH D SANJHAUTI"/>
    <s v="MPG"/>
    <s v="Direct"/>
    <n v="795.2"/>
    <n v="30165.08"/>
    <n v="790.2"/>
    <n v="33296.629999999997"/>
    <n v="0"/>
    <n v="0"/>
    <n v="790.2"/>
    <n v="33296.629999999997"/>
    <n v="30165.08"/>
    <n v="0"/>
    <n v="0"/>
    <n v="3131.5499999999956"/>
    <n v="0"/>
    <n v="0"/>
    <n v="0"/>
    <n v="30165"/>
    <n v="0"/>
    <n v="0"/>
    <n v="0"/>
    <n v="0"/>
  </r>
  <r>
    <x v="406"/>
    <s v="GOMUKH DHUSMURI BISHANPUR"/>
    <s v="MPG"/>
    <s v="Direct"/>
    <n v="355.9"/>
    <n v="14404.990000000002"/>
    <n v="367.64"/>
    <n v="15159.36"/>
    <n v="19.740000000000002"/>
    <n v="795.58"/>
    <n v="387.38"/>
    <n v="15954.94"/>
    <n v="14404.990000000002"/>
    <n v="0"/>
    <n v="0"/>
    <n v="1549.9499999999989"/>
    <n v="0"/>
    <n v="500"/>
    <n v="0"/>
    <n v="13109"/>
    <n v="796"/>
    <n v="0"/>
    <n v="0"/>
    <n v="0"/>
  </r>
  <r>
    <x v="407"/>
    <s v="GOMUKH ANANDPUR PARAS"/>
    <s v="MPG"/>
    <s v="Direct"/>
    <n v="2858.8"/>
    <n v="108702.20000000001"/>
    <n v="2856.2999999999997"/>
    <n v="108602.8"/>
    <n v="0"/>
    <n v="0"/>
    <n v="2856.2999999999997"/>
    <n v="108602.8"/>
    <n v="108602.8"/>
    <n v="0"/>
    <n v="0"/>
    <n v="0"/>
    <n v="0"/>
    <n v="0"/>
    <n v="0"/>
    <n v="108603"/>
    <n v="0"/>
    <n v="0"/>
    <n v="99"/>
    <n v="0"/>
  </r>
  <r>
    <x v="408"/>
    <s v="Gomukh Bishanpur"/>
    <s v="MPG"/>
    <s v="Direct"/>
    <n v="302.2"/>
    <n v="12850.630000000003"/>
    <n v="306.42"/>
    <n v="12700.34"/>
    <n v="4.3499999999999996"/>
    <n v="180.64999999999995"/>
    <n v="310.77000000000004"/>
    <n v="12880.99"/>
    <n v="12850.630000000003"/>
    <n v="0"/>
    <n v="180.64999999999995"/>
    <n v="30.359999999996944"/>
    <n v="0"/>
    <n v="0"/>
    <n v="0"/>
    <n v="12670"/>
    <n v="0"/>
    <n v="0"/>
    <n v="0"/>
    <n v="0"/>
  </r>
  <r>
    <x v="409"/>
    <s v="GOMUKH BISHANPUR 2"/>
    <s v="MPG"/>
    <s v="Direct"/>
    <n v="612.6"/>
    <n v="24091.69"/>
    <n v="552.82000000000005"/>
    <n v="21268.050000000003"/>
    <n v="64.040000000000006"/>
    <n v="2930.2099999999996"/>
    <n v="616.86"/>
    <n v="24198.260000000002"/>
    <n v="24091.69"/>
    <n v="0"/>
    <n v="0"/>
    <n v="106.57000000000335"/>
    <n v="0"/>
    <n v="0"/>
    <n v="0"/>
    <n v="21162"/>
    <n v="2930"/>
    <n v="0"/>
    <n v="0"/>
    <s v="Release3"/>
  </r>
  <r>
    <x v="410"/>
    <s v="GOMUKH GHAMARIYA"/>
    <s v="MPG"/>
    <s v="Direct"/>
    <n v="105.10000000000001"/>
    <n v="5707.7400000000007"/>
    <n v="133.37"/>
    <n v="6690.82"/>
    <n v="1.4500000000000002"/>
    <n v="78.960000000000008"/>
    <n v="134.82"/>
    <n v="6769.78"/>
    <n v="5707.7400000000007"/>
    <n v="0"/>
    <n v="78.960000000000008"/>
    <n v="1062.0399999999991"/>
    <n v="0"/>
    <n v="0"/>
    <n v="0"/>
    <n v="5629"/>
    <n v="0"/>
    <n v="0"/>
    <n v="0"/>
    <n v="0"/>
  </r>
  <r>
    <x v="411"/>
    <s v="GOMUKH MEGHAUMA"/>
    <s v="MPG"/>
    <s v="Direct"/>
    <n v="763.4"/>
    <n v="31634.739999999998"/>
    <n v="746.8499999999998"/>
    <n v="31425.06"/>
    <n v="9.1399999999999988"/>
    <n v="388.09"/>
    <n v="755.98999999999978"/>
    <n v="31813.15"/>
    <n v="31634.739999999998"/>
    <n v="0"/>
    <n v="388.09"/>
    <n v="178.41000000000349"/>
    <n v="0"/>
    <n v="0"/>
    <n v="0"/>
    <n v="31247"/>
    <n v="0"/>
    <n v="0"/>
    <n v="0"/>
    <n v="0"/>
  </r>
  <r>
    <x v="412"/>
    <s v="GOMUKH AURA"/>
    <s v="MPG"/>
    <s v="Direct"/>
    <n v="705.2"/>
    <n v="27385.760000000006"/>
    <n v="717.14"/>
    <n v="29312.510000000006"/>
    <n v="0"/>
    <n v="0"/>
    <n v="717.14"/>
    <n v="29312.510000000006"/>
    <n v="27385.760000000006"/>
    <n v="0"/>
    <n v="0"/>
    <n v="1926.75"/>
    <n v="0"/>
    <n v="0"/>
    <n v="0"/>
    <n v="27386"/>
    <n v="0"/>
    <n v="0"/>
    <n v="0"/>
    <n v="0"/>
  </r>
  <r>
    <x v="413"/>
    <s v="GOMUKH BEHORBA"/>
    <s v="MPG"/>
    <s v="Direct"/>
    <n v="722.2"/>
    <n v="27902.120000000003"/>
    <n v="802.15000000000009"/>
    <n v="31160.23"/>
    <n v="0"/>
    <n v="0"/>
    <n v="802.15000000000009"/>
    <n v="31160.23"/>
    <n v="27902.120000000003"/>
    <n v="0"/>
    <n v="0"/>
    <n v="3258.1099999999969"/>
    <n v="6149"/>
    <n v="0"/>
    <n v="0"/>
    <n v="21753"/>
    <n v="0"/>
    <n v="0"/>
    <n v="0"/>
    <n v="0"/>
  </r>
  <r>
    <x v="414"/>
    <s v="GOMUKH SAIDPUR SAMASTIPUR"/>
    <s v="MPG"/>
    <s v="Direct"/>
    <n v="1520.5"/>
    <n v="61630.33"/>
    <n v="1479.6"/>
    <n v="60147.740000000005"/>
    <n v="41"/>
    <n v="1624.42"/>
    <n v="1520.6"/>
    <n v="61772.160000000003"/>
    <n v="61630.33"/>
    <n v="0"/>
    <n v="1624.42"/>
    <n v="141.83000000000175"/>
    <n v="0"/>
    <n v="0"/>
    <n v="0"/>
    <n v="60006"/>
    <n v="0"/>
    <n v="0"/>
    <n v="0"/>
    <n v="0"/>
  </r>
  <r>
    <x v="415"/>
    <s v="GOMUKH PHULTAURA"/>
    <s v="MPG"/>
    <s v="Direct"/>
    <n v="651.5"/>
    <n v="26189.040000000001"/>
    <n v="163.82"/>
    <n v="7312.46"/>
    <n v="491.27"/>
    <n v="20327.650000000001"/>
    <n v="655.08999999999992"/>
    <n v="27640.11"/>
    <n v="26189.040000000001"/>
    <n v="0"/>
    <n v="0"/>
    <n v="1451.0699999999997"/>
    <n v="11461"/>
    <n v="0"/>
    <n v="0"/>
    <n v="0"/>
    <n v="14728"/>
    <n v="0"/>
    <n v="0"/>
    <n v="0"/>
  </r>
  <r>
    <x v="416"/>
    <s v="Jangli Tol Vlc "/>
    <s v="vlc"/>
    <s v="Indirect"/>
    <n v="2684.0000000000005"/>
    <n v="110226.79000000001"/>
    <n v="0"/>
    <n v="0"/>
    <n v="0"/>
    <n v="0"/>
    <n v="0"/>
    <n v="0"/>
    <n v="110226.79000000001"/>
    <n v="0"/>
    <n v="0"/>
    <n v="0"/>
    <n v="1350"/>
    <n v="0"/>
    <n v="0"/>
    <n v="0"/>
    <n v="0"/>
    <n v="108876.79000000001"/>
    <n v="0"/>
    <n v="0"/>
  </r>
  <r>
    <x v="417"/>
    <s v="DILKHUSH KUMAR "/>
    <s v="vlc"/>
    <s v="Indirect"/>
    <n v="395.6"/>
    <n v="15489.96"/>
    <n v="0"/>
    <n v="0"/>
    <n v="0"/>
    <n v="0"/>
    <n v="0"/>
    <n v="0"/>
    <n v="15489.96"/>
    <n v="0"/>
    <n v="0"/>
    <n v="0"/>
    <n v="0"/>
    <n v="0"/>
    <n v="0"/>
    <n v="0"/>
    <n v="0"/>
    <n v="15489.96"/>
    <n v="0"/>
    <n v="0"/>
  </r>
  <r>
    <x v="418"/>
    <s v="GOMUKH CHOWKI 2"/>
    <s v="MPG"/>
    <s v="Direct"/>
    <n v="6716.7"/>
    <n v="262952.64999999997"/>
    <n v="5513.9600000000028"/>
    <n v="215567.13"/>
    <n v="1199.46"/>
    <n v="48378.750000000007"/>
    <n v="6713.4200000000028"/>
    <n v="263945.88"/>
    <n v="262952.64999999997"/>
    <n v="0"/>
    <n v="0"/>
    <n v="993.23000000003958"/>
    <n v="0"/>
    <n v="0"/>
    <n v="0"/>
    <n v="214576"/>
    <n v="48377"/>
    <n v="0"/>
    <n v="0"/>
    <n v="0"/>
  </r>
  <r>
    <x v="419"/>
    <s v="GOMUKH MOHABA"/>
    <s v="MPG"/>
    <s v="Direct"/>
    <n v="1947"/>
    <n v="76705.58"/>
    <n v="841.2"/>
    <n v="33134.89"/>
    <n v="1105.8000000000002"/>
    <n v="43580.01"/>
    <n v="1947.0000000000002"/>
    <n v="76714.899999999994"/>
    <n v="76705.58"/>
    <n v="0"/>
    <n v="165.52000000000004"/>
    <n v="9.319999999992433"/>
    <n v="0"/>
    <n v="0"/>
    <n v="0"/>
    <n v="33125"/>
    <n v="43415"/>
    <n v="0"/>
    <n v="0"/>
    <n v="0"/>
  </r>
  <r>
    <x v="420"/>
    <s v="SANHA VLC"/>
    <s v="vlc"/>
    <s v="Indirect"/>
    <n v="470.90000000000009"/>
    <n v="17249.579999999998"/>
    <n v="0"/>
    <n v="0"/>
    <n v="0"/>
    <n v="0"/>
    <n v="0"/>
    <n v="0"/>
    <n v="17249.579999999998"/>
    <n v="0"/>
    <n v="0"/>
    <n v="0"/>
    <n v="0"/>
    <n v="0"/>
    <n v="0"/>
    <n v="0"/>
    <n v="0"/>
    <n v="17249.579999999998"/>
    <n v="0"/>
    <n v="0"/>
  </r>
  <r>
    <x v="421"/>
    <s v="MOHANPUR VLC"/>
    <s v="vlc"/>
    <s v="Indirect"/>
    <n v="797.40000000000009"/>
    <n v="29547.03"/>
    <n v="0"/>
    <n v="0"/>
    <n v="0"/>
    <n v="0"/>
    <n v="0"/>
    <n v="0"/>
    <n v="29547.03"/>
    <n v="0"/>
    <n v="0"/>
    <n v="0"/>
    <n v="1350.03"/>
    <n v="0"/>
    <n v="0"/>
    <n v="0"/>
    <n v="0"/>
    <n v="28197"/>
    <n v="0"/>
    <n v="0"/>
  </r>
  <r>
    <x v="422"/>
    <s v="GOMUKH JANGLITOL"/>
    <s v="MPG"/>
    <s v="Direct"/>
    <n v="238.10000000000002"/>
    <n v="9510.39"/>
    <n v="238"/>
    <n v="9748.16"/>
    <n v="0"/>
    <n v="0"/>
    <n v="238"/>
    <n v="9748.16"/>
    <n v="9510.39"/>
    <n v="0"/>
    <n v="0"/>
    <n v="237.77000000000044"/>
    <n v="0"/>
    <n v="0"/>
    <n v="0"/>
    <n v="9510"/>
    <n v="0"/>
    <n v="0"/>
    <n v="0"/>
    <n v="0"/>
  </r>
  <r>
    <x v="423"/>
    <s v="Hiratol VLC"/>
    <s v="vlc"/>
    <s v="Indirect"/>
    <n v="21"/>
    <n v="800.31"/>
    <n v="0"/>
    <n v="0"/>
    <n v="0"/>
    <n v="0"/>
    <n v="0"/>
    <n v="0"/>
    <n v="800.31"/>
    <n v="0"/>
    <n v="0"/>
    <n v="0"/>
    <n v="0"/>
    <n v="0"/>
    <n v="0"/>
    <n v="0"/>
    <n v="0"/>
    <n v="800.31"/>
    <n v="0"/>
    <n v="0"/>
  </r>
  <r>
    <x v="424"/>
    <s v="GOMUKH BARBIGHI"/>
    <s v="MPG"/>
    <s v="Direct"/>
    <n v="1636.9999999999998"/>
    <n v="62235.45"/>
    <n v="1637.1"/>
    <n v="64228.590000000004"/>
    <n v="2.2000000000000002"/>
    <n v="85.92"/>
    <n v="1639.3"/>
    <n v="64314.51"/>
    <n v="62235.45"/>
    <n v="0"/>
    <n v="85.92"/>
    <n v="2079.0600000000049"/>
    <n v="10800"/>
    <n v="0"/>
    <n v="0"/>
    <n v="51350"/>
    <n v="0"/>
    <n v="0"/>
    <n v="0"/>
    <n v="0"/>
  </r>
  <r>
    <x v="425"/>
    <s v="Dandari-2"/>
    <s v="MPG"/>
    <s v="Direct"/>
    <n v="232.6"/>
    <n v="8915.77"/>
    <n v="232"/>
    <n v="8836.8799999999992"/>
    <n v="0"/>
    <n v="0"/>
    <n v="232"/>
    <n v="8836.8799999999992"/>
    <n v="8836.8799999999992"/>
    <n v="0"/>
    <n v="0"/>
    <n v="0"/>
    <n v="0"/>
    <n v="0"/>
    <n v="0"/>
    <n v="8837"/>
    <n v="0"/>
    <n v="0"/>
    <n v="79"/>
    <n v="0"/>
  </r>
  <r>
    <x v="426"/>
    <s v="Barkhanditol"/>
    <s v="vlc"/>
    <s v="Indirect"/>
    <n v="1193.1000000000001"/>
    <n v="52235.51"/>
    <n v="0"/>
    <n v="0"/>
    <n v="0"/>
    <n v="0"/>
    <n v="0"/>
    <n v="0"/>
    <n v="52235.51"/>
    <n v="0"/>
    <n v="0"/>
    <n v="0"/>
    <n v="0"/>
    <n v="0"/>
    <n v="0"/>
    <n v="0"/>
    <n v="0"/>
    <n v="52235.51"/>
    <n v="0"/>
    <n v="0"/>
  </r>
  <r>
    <x v="427"/>
    <s v="Chauki-VLC"/>
    <s v="vlc"/>
    <s v="Indirect"/>
    <n v="551.20000000000005"/>
    <n v="23708.479999999996"/>
    <n v="0"/>
    <n v="0"/>
    <n v="0"/>
    <n v="0"/>
    <n v="0"/>
    <n v="0"/>
    <n v="23708.479999999996"/>
    <n v="0"/>
    <n v="0"/>
    <n v="0"/>
    <n v="0"/>
    <n v="0"/>
    <n v="0"/>
    <n v="0"/>
    <n v="0"/>
    <n v="23708.479999999996"/>
    <n v="0"/>
    <n v="0"/>
  </r>
  <r>
    <x v="428"/>
    <s v="Hardia"/>
    <s v="MPG"/>
    <s v="Direct"/>
    <n v="690.5"/>
    <n v="30648.240000000002"/>
    <n v="687.4"/>
    <n v="30833.84"/>
    <n v="2.7"/>
    <n v="133.03"/>
    <n v="690.1"/>
    <n v="30966.87"/>
    <n v="30648.240000000002"/>
    <n v="0"/>
    <n v="133.03"/>
    <n v="318.62999999999738"/>
    <n v="0"/>
    <n v="0"/>
    <n v="0"/>
    <n v="30515"/>
    <n v="0"/>
    <n v="0"/>
    <n v="0"/>
    <n v="0"/>
  </r>
  <r>
    <x v="429"/>
    <s v="Pachveer"/>
    <s v="vlc"/>
    <s v="Indirect"/>
    <n v="16692.399999999998"/>
    <n v="662024.19999999995"/>
    <n v="0"/>
    <n v="0"/>
    <n v="0"/>
    <n v="0"/>
    <n v="0"/>
    <n v="0"/>
    <n v="662024.19999999995"/>
    <n v="0"/>
    <n v="0"/>
    <n v="0"/>
    <n v="0"/>
    <n v="0"/>
    <n v="0"/>
    <n v="0"/>
    <n v="0"/>
    <n v="662024.19999999995"/>
    <n v="0"/>
    <n v="0"/>
  </r>
  <r>
    <x v="979"/>
    <s v="Barkhaditol-3"/>
    <s v="vlc"/>
    <s v="Indirect"/>
    <n v="164.9"/>
    <n v="6931.91"/>
    <n v="0"/>
    <n v="0"/>
    <n v="0"/>
    <n v="0"/>
    <n v="0"/>
    <n v="0"/>
    <n v="6931.91"/>
    <n v="0"/>
    <n v="0"/>
    <n v="0"/>
    <n v="0"/>
    <n v="0"/>
    <n v="0"/>
    <n v="0"/>
    <n v="0"/>
    <n v="6931.91"/>
    <n v="0"/>
    <n v="0"/>
  </r>
  <r>
    <x v="430"/>
    <s v="Mathar-3"/>
    <s v="vlc"/>
    <s v="Indirect"/>
    <n v="3200.5999999999995"/>
    <n v="133771.85999999999"/>
    <n v="0"/>
    <n v="0"/>
    <n v="0"/>
    <n v="0"/>
    <n v="0"/>
    <n v="0"/>
    <n v="133771.85999999999"/>
    <n v="0"/>
    <n v="0"/>
    <n v="0"/>
    <n v="1350"/>
    <n v="0"/>
    <n v="0"/>
    <n v="0"/>
    <n v="0"/>
    <n v="132421.85999999999"/>
    <n v="0"/>
    <n v="0"/>
  </r>
  <r>
    <x v="431"/>
    <s v="Ahoghat"/>
    <s v="vlc"/>
    <s v="Direct"/>
    <n v="613.29999999999995"/>
    <n v="27331.400000000005"/>
    <n v="0"/>
    <n v="0"/>
    <n v="0"/>
    <n v="0"/>
    <n v="0"/>
    <n v="0"/>
    <n v="0"/>
    <n v="0"/>
    <n v="0"/>
    <n v="0"/>
    <n v="0"/>
    <n v="0"/>
    <n v="0"/>
    <n v="0"/>
    <n v="0"/>
    <n v="27331"/>
    <n v="0"/>
    <n v="0"/>
  </r>
  <r>
    <x v="432"/>
    <s v="Mathar-4"/>
    <s v="vlc"/>
    <s v="Indirect"/>
    <n v="320"/>
    <n v="13176.930000000002"/>
    <n v="0"/>
    <n v="0"/>
    <n v="0"/>
    <n v="0"/>
    <n v="0"/>
    <n v="0"/>
    <n v="13176.930000000002"/>
    <n v="0"/>
    <n v="0"/>
    <n v="0"/>
    <n v="0"/>
    <n v="0"/>
    <n v="0"/>
    <n v="0"/>
    <n v="0"/>
    <n v="13176.930000000002"/>
    <n v="0"/>
    <n v="0"/>
  </r>
  <r>
    <x v="433"/>
    <s v="Sadpur-2"/>
    <s v="vlc"/>
    <s v="Direct"/>
    <n v="810.00000000000011"/>
    <n v="30906.41"/>
    <n v="810"/>
    <n v="30852.9"/>
    <n v="0"/>
    <n v="0"/>
    <n v="810"/>
    <n v="30852.9"/>
    <n v="30852.9"/>
    <n v="0"/>
    <n v="0"/>
    <n v="0"/>
    <n v="0"/>
    <n v="0"/>
    <n v="0"/>
    <n v="30853"/>
    <n v="0"/>
    <n v="0"/>
    <n v="53"/>
    <n v="0"/>
  </r>
  <r>
    <x v="434"/>
    <s v="Phulmalik"/>
    <s v="vlc"/>
    <s v="Indirect"/>
    <n v="164.6"/>
    <n v="6120.43"/>
    <n v="0"/>
    <n v="0"/>
    <n v="0"/>
    <n v="0"/>
    <n v="0"/>
    <n v="0"/>
    <n v="6120.43"/>
    <n v="0"/>
    <n v="0"/>
    <n v="0"/>
    <n v="0"/>
    <n v="0"/>
    <n v="0"/>
    <n v="0"/>
    <n v="0"/>
    <n v="6120.43"/>
    <n v="0"/>
    <n v="0"/>
  </r>
  <r>
    <x v="435"/>
    <s v="Baliya"/>
    <s v="vlc"/>
    <s v="Indirect"/>
    <n v="6454.9"/>
    <n v="254795.43000000002"/>
    <n v="0"/>
    <n v="0"/>
    <n v="0"/>
    <n v="0"/>
    <n v="0"/>
    <n v="0"/>
    <n v="254795.43000000002"/>
    <n v="0"/>
    <n v="0"/>
    <n v="0"/>
    <n v="0"/>
    <n v="0"/>
    <n v="0"/>
    <n v="0"/>
    <n v="0"/>
    <n v="254795.43000000002"/>
    <n v="0"/>
    <n v="0"/>
  </r>
  <r>
    <x v="436"/>
    <s v="GOMUKH SUBHANPUR"/>
    <s v="MPG"/>
    <s v="Indirect"/>
    <n v="231.15000000000003"/>
    <n v="9063.0500000000011"/>
    <n v="0"/>
    <n v="0"/>
    <n v="0"/>
    <n v="0"/>
    <n v="0"/>
    <n v="0"/>
    <n v="9063.0500000000011"/>
    <n v="0"/>
    <n v="0"/>
    <n v="0"/>
    <n v="0"/>
    <n v="0"/>
    <n v="0"/>
    <n v="0"/>
    <n v="0"/>
    <n v="9063.0500000000011"/>
    <n v="0"/>
    <n v="0"/>
  </r>
  <r>
    <x v="437"/>
    <s v="GOMUKH  BHAJANGAMA"/>
    <s v="MPG"/>
    <s v="Indirect"/>
    <n v="466.95000000000005"/>
    <n v="18663.239999999998"/>
    <n v="0"/>
    <n v="0"/>
    <n v="0"/>
    <n v="0"/>
    <n v="0"/>
    <n v="0"/>
    <n v="18663.239999999998"/>
    <n v="0"/>
    <n v="0"/>
    <n v="0"/>
    <n v="0"/>
    <n v="0"/>
    <n v="0"/>
    <n v="0"/>
    <n v="0"/>
    <n v="18663.239999999998"/>
    <n v="0"/>
    <n v="0"/>
  </r>
  <r>
    <x v="438"/>
    <s v="Gomukh Basadhiya Kurni"/>
    <s v="MPG"/>
    <s v="Direct"/>
    <n v="544.44999999999993"/>
    <n v="21051.5"/>
    <n v="533.9"/>
    <n v="21051.440000000002"/>
    <n v="0"/>
    <n v="0"/>
    <n v="533.9"/>
    <n v="21051.440000000002"/>
    <n v="21051.440000000002"/>
    <n v="0"/>
    <n v="0"/>
    <n v="0"/>
    <n v="0"/>
    <n v="0"/>
    <n v="0"/>
    <n v="21051"/>
    <n v="0"/>
    <n v="0"/>
    <n v="1"/>
    <n v="0"/>
  </r>
  <r>
    <x v="439"/>
    <s v="KHAJURI"/>
    <s v="MPG"/>
    <s v="Direct"/>
    <n v="389.05000000000007"/>
    <n v="14720.180000000002"/>
    <n v="234.05000000000004"/>
    <n v="9436.5"/>
    <n v="133.9"/>
    <n v="5258.43"/>
    <n v="367.95000000000005"/>
    <n v="14694.93"/>
    <n v="14694.93"/>
    <n v="0"/>
    <n v="181.85000000000002"/>
    <n v="0"/>
    <n v="0"/>
    <n v="0"/>
    <n v="0"/>
    <n v="9436"/>
    <n v="5076"/>
    <n v="0"/>
    <n v="26"/>
    <n v="0"/>
  </r>
  <r>
    <x v="440"/>
    <s v="ARMAULI-2"/>
    <s v="MPG"/>
    <s v="Direct"/>
    <n v="1155.25"/>
    <n v="47396.600000000006"/>
    <n v="1150.71"/>
    <n v="46787.85000000002"/>
    <n v="14.400000000000002"/>
    <n v="587.4899999999999"/>
    <n v="1165.1100000000001"/>
    <n v="47375.340000000018"/>
    <n v="47375.340000000018"/>
    <n v="0"/>
    <n v="587.4899999999999"/>
    <n v="0"/>
    <n v="6213"/>
    <n v="0"/>
    <n v="0"/>
    <n v="40576"/>
    <n v="0"/>
    <n v="0"/>
    <n v="20"/>
    <n v="0"/>
  </r>
  <r>
    <x v="441"/>
    <s v="MUSAPUR - 2"/>
    <s v="MPG"/>
    <s v="Indirect"/>
    <n v="59.7"/>
    <n v="2055.08"/>
    <n v="0"/>
    <n v="0"/>
    <n v="0"/>
    <n v="0"/>
    <n v="0"/>
    <n v="0"/>
    <n v="2055.08"/>
    <n v="0"/>
    <n v="0"/>
    <n v="0"/>
    <n v="0"/>
    <n v="0"/>
    <n v="0"/>
    <n v="0"/>
    <n v="0"/>
    <n v="2055.08"/>
    <n v="0"/>
    <n v="0"/>
  </r>
  <r>
    <x v="442"/>
    <s v="Janganath Pur"/>
    <s v="MPG"/>
    <s v="Indirect"/>
    <n v="2022.5500000000006"/>
    <n v="86165.680000000022"/>
    <n v="0"/>
    <n v="0"/>
    <n v="0"/>
    <n v="0"/>
    <n v="0"/>
    <n v="0"/>
    <n v="86165.680000000022"/>
    <n v="0"/>
    <n v="0"/>
    <n v="0"/>
    <n v="0"/>
    <n v="0"/>
    <n v="0"/>
    <n v="0"/>
    <n v="0"/>
    <n v="86165.680000000022"/>
    <n v="0"/>
    <n v="0"/>
  </r>
  <r>
    <x v="443"/>
    <s v="Nagargama"/>
    <s v="MPG"/>
    <s v="Indirect"/>
    <n v="389.20000000000005"/>
    <n v="15908.85"/>
    <n v="0"/>
    <n v="0"/>
    <n v="0"/>
    <n v="0"/>
    <n v="0"/>
    <n v="0"/>
    <n v="15908.85"/>
    <n v="0"/>
    <n v="0"/>
    <n v="0"/>
    <n v="0"/>
    <n v="0"/>
    <n v="0"/>
    <n v="0"/>
    <n v="0"/>
    <n v="15908.85"/>
    <n v="0"/>
    <n v="0"/>
  </r>
  <r>
    <x v="444"/>
    <s v="Sato Ghachchhi"/>
    <s v="MPG"/>
    <s v="Direct"/>
    <n v="665.2"/>
    <n v="31831.600000000002"/>
    <n v="660.8"/>
    <n v="31291.420000000002"/>
    <n v="11.700000000000001"/>
    <n v="537.29"/>
    <n v="672.5"/>
    <n v="31828.710000000003"/>
    <n v="31828.710000000003"/>
    <n v="0"/>
    <n v="537.29"/>
    <n v="0"/>
    <n v="0"/>
    <n v="0"/>
    <n v="0"/>
    <n v="31292"/>
    <n v="0"/>
    <n v="0"/>
    <n v="2"/>
    <n v="0"/>
  </r>
  <r>
    <x v="445"/>
    <s v="Bhatgama"/>
    <s v="MPG"/>
    <s v="Indirect"/>
    <n v="469.85000000000008"/>
    <n v="16687.479999999996"/>
    <n v="0"/>
    <n v="0"/>
    <n v="0"/>
    <n v="0"/>
    <n v="0"/>
    <n v="0"/>
    <n v="16687.479999999996"/>
    <n v="0"/>
    <n v="0"/>
    <n v="0"/>
    <n v="2800"/>
    <n v="0"/>
    <n v="0"/>
    <n v="0"/>
    <n v="0"/>
    <n v="13887.479999999996"/>
    <n v="0"/>
    <n v="0"/>
  </r>
  <r>
    <x v="446"/>
    <s v="Borna Rasalpur"/>
    <s v="MPG"/>
    <s v="Direct"/>
    <n v="1104"/>
    <n v="47052.039999999994"/>
    <n v="326.89999999999998"/>
    <n v="16821.899999999998"/>
    <n v="705"/>
    <n v="30228.009999999991"/>
    <n v="1031.9000000000001"/>
    <n v="47049.909999999989"/>
    <n v="47049.909999999989"/>
    <n v="0"/>
    <n v="0"/>
    <n v="0"/>
    <n v="0"/>
    <n v="0"/>
    <n v="0"/>
    <n v="16822"/>
    <n v="30228"/>
    <n v="0"/>
    <n v="2"/>
    <n v="0"/>
  </r>
  <r>
    <x v="447"/>
    <s v="Rasalpur"/>
    <s v="MPG"/>
    <s v="Direct"/>
    <n v="1151"/>
    <n v="43772.82"/>
    <n v="940.63"/>
    <n v="35592.9"/>
    <n v="212"/>
    <n v="8178.9"/>
    <n v="1152.6300000000001"/>
    <n v="43771.8"/>
    <n v="43771.8"/>
    <n v="0"/>
    <n v="0"/>
    <n v="0"/>
    <n v="1400"/>
    <n v="0"/>
    <n v="0"/>
    <n v="34192"/>
    <n v="8178"/>
    <n v="0"/>
    <n v="3"/>
    <n v="0"/>
  </r>
  <r>
    <x v="448"/>
    <s v="Narahan"/>
    <s v="MPG"/>
    <s v="Direct"/>
    <n v="194.8"/>
    <n v="7075.74"/>
    <n v="193.70000000000005"/>
    <n v="7006.99"/>
    <n v="1.8399999999999996"/>
    <n v="67.260000000000005"/>
    <n v="195.54000000000005"/>
    <n v="7074.25"/>
    <n v="7074.25"/>
    <n v="0"/>
    <n v="67.260000000000005"/>
    <n v="0"/>
    <n v="0"/>
    <n v="0"/>
    <n v="0"/>
    <n v="7008"/>
    <n v="0"/>
    <n v="0"/>
    <n v="0"/>
    <n v="0"/>
  </r>
  <r>
    <x v="449"/>
    <s v="Gomukh Dumduma"/>
    <s v="MPG"/>
    <s v="Direct"/>
    <n v="470.4"/>
    <n v="18861.8"/>
    <n v="460.2"/>
    <n v="18470.21"/>
    <n v="10.199999999999999"/>
    <n v="379.09"/>
    <n v="470.4"/>
    <n v="18849.3"/>
    <n v="18849.3"/>
    <n v="0"/>
    <n v="0"/>
    <n v="0"/>
    <n v="0"/>
    <n v="0"/>
    <n v="0"/>
    <n v="18469"/>
    <n v="379"/>
    <n v="0"/>
    <n v="14"/>
    <n v="0"/>
  </r>
  <r>
    <x v="450"/>
    <s v="SUPOL"/>
    <s v="MPG"/>
    <s v="Direct"/>
    <n v="446.60000000000008"/>
    <n v="19301.219999999998"/>
    <n v="407.55"/>
    <n v="17789.560000000001"/>
    <n v="34.6"/>
    <n v="1510.29"/>
    <n v="442.15000000000003"/>
    <n v="19299.850000000002"/>
    <n v="19299.850000000002"/>
    <n v="0"/>
    <n v="419.04"/>
    <n v="0"/>
    <n v="0"/>
    <n v="0"/>
    <n v="0"/>
    <n v="17789"/>
    <n v="1091"/>
    <n v="0"/>
    <n v="2"/>
    <n v="0"/>
  </r>
  <r>
    <x v="451"/>
    <s v="BHUSARAI"/>
    <s v="MPG"/>
    <s v="Direct"/>
    <n v="250.35"/>
    <n v="10534.78"/>
    <n v="132.97999999999999"/>
    <n v="5832.92"/>
    <n v="106.94999999999999"/>
    <n v="4700.55"/>
    <n v="239.92999999999998"/>
    <n v="10533.470000000001"/>
    <n v="10533.470000000001"/>
    <n v="0"/>
    <n v="153.53000000000003"/>
    <n v="0"/>
    <n v="0"/>
    <n v="0"/>
    <n v="0"/>
    <n v="5833"/>
    <n v="4547"/>
    <n v="0"/>
    <n v="1"/>
    <n v="0"/>
  </r>
  <r>
    <x v="452"/>
    <s v="Gomukha Jounapur"/>
    <s v="MPG"/>
    <s v="Indirect"/>
    <n v="170.64999999999998"/>
    <n v="7942.7300000000005"/>
    <n v="0"/>
    <n v="0"/>
    <n v="0"/>
    <n v="0"/>
    <n v="0"/>
    <n v="0"/>
    <n v="7942.7300000000005"/>
    <n v="0"/>
    <n v="0"/>
    <n v="0"/>
    <n v="0"/>
    <n v="0"/>
    <n v="0"/>
    <n v="0"/>
    <n v="0"/>
    <n v="7942.7300000000005"/>
    <n v="0"/>
    <n v="0"/>
  </r>
  <r>
    <x v="453"/>
    <s v="Patailliya"/>
    <s v="MPG"/>
    <s v="Indirect"/>
    <n v="246.60000000000002"/>
    <n v="9502.7199999999993"/>
    <n v="0"/>
    <n v="0"/>
    <n v="0"/>
    <n v="0"/>
    <n v="0"/>
    <n v="0"/>
    <n v="9502.7199999999993"/>
    <n v="0"/>
    <n v="0"/>
    <n v="0"/>
    <n v="1400"/>
    <n v="0"/>
    <n v="0"/>
    <n v="0"/>
    <n v="0"/>
    <n v="8102.7199999999993"/>
    <n v="0"/>
    <n v="0"/>
  </r>
  <r>
    <x v="454"/>
    <s v="Badiya"/>
    <s v="MPG"/>
    <s v="Indirect"/>
    <n v="173.35000000000002"/>
    <n v="6077.3899999999994"/>
    <n v="0"/>
    <n v="0"/>
    <n v="0"/>
    <n v="0"/>
    <n v="0"/>
    <n v="0"/>
    <n v="6077.3899999999994"/>
    <n v="0"/>
    <n v="0"/>
    <n v="0"/>
    <n v="0"/>
    <n v="0"/>
    <n v="0"/>
    <n v="0"/>
    <n v="0"/>
    <n v="6077.3899999999994"/>
    <n v="0"/>
    <n v="0"/>
  </r>
  <r>
    <x v="455"/>
    <s v="Gomukh Tabhka"/>
    <s v="MPG"/>
    <s v="Direct"/>
    <n v="2482.6500000000005"/>
    <n v="104464.04999999999"/>
    <n v="1579.25"/>
    <n v="71345.53"/>
    <n v="784.89"/>
    <n v="33116.18"/>
    <n v="2364.14"/>
    <n v="104461.70999999999"/>
    <n v="104461.70999999999"/>
    <n v="0"/>
    <n v="739.67"/>
    <n v="0"/>
    <n v="0"/>
    <n v="0"/>
    <n v="0"/>
    <n v="71346"/>
    <n v="32375"/>
    <n v="0"/>
    <n v="3"/>
    <n v="0"/>
  </r>
  <r>
    <x v="456"/>
    <s v="Ghato"/>
    <s v="MPG"/>
    <s v="Indirect"/>
    <n v="46.7"/>
    <n v="1659.43"/>
    <n v="0"/>
    <n v="0"/>
    <n v="0"/>
    <n v="0"/>
    <n v="0"/>
    <n v="0"/>
    <n v="1659.43"/>
    <n v="0"/>
    <n v="0"/>
    <n v="0"/>
    <n v="0"/>
    <n v="0"/>
    <n v="0"/>
    <n v="0"/>
    <n v="0"/>
    <n v="1659.43"/>
    <n v="0"/>
    <n v="0"/>
  </r>
  <r>
    <x v="457"/>
    <s v="RAMNATHPUR                                                                                          "/>
    <s v="MPG"/>
    <s v="Direct"/>
    <n v="630.90000000000009"/>
    <n v="24652.310000000005"/>
    <n v="430.84000000000003"/>
    <n v="16951.79"/>
    <n v="199.82"/>
    <n v="7697.6399999999994"/>
    <n v="630.66000000000008"/>
    <n v="24649.43"/>
    <n v="24649.43"/>
    <n v="0"/>
    <n v="203.9"/>
    <n v="0"/>
    <n v="0"/>
    <n v="0"/>
    <n v="0"/>
    <n v="16952"/>
    <n v="7494"/>
    <n v="0"/>
    <n v="2"/>
    <n v="0"/>
  </r>
  <r>
    <x v="458"/>
    <s v="DESUA"/>
    <s v="MPG"/>
    <s v="Direct"/>
    <n v="488.74999999999994"/>
    <n v="20368.099999999999"/>
    <n v="264.05"/>
    <n v="11511.859999999999"/>
    <n v="197.89999999999998"/>
    <n v="8849.8100000000013"/>
    <n v="461.95"/>
    <n v="20361.669999999998"/>
    <n v="20361.669999999998"/>
    <n v="0"/>
    <n v="111.00999999999999"/>
    <n v="0"/>
    <n v="0"/>
    <n v="0"/>
    <n v="0"/>
    <n v="11512"/>
    <n v="8738"/>
    <n v="0"/>
    <n v="7"/>
    <n v="0"/>
  </r>
  <r>
    <x v="459"/>
    <s v="Matior"/>
    <s v="MPG"/>
    <s v="Direct"/>
    <n v="209.8"/>
    <n v="8244.7899999999991"/>
    <n v="88.640000000000015"/>
    <n v="3469.65"/>
    <n v="127.74"/>
    <n v="4770.7699999999995"/>
    <n v="216.38"/>
    <n v="8240.42"/>
    <n v="8240.42"/>
    <n v="0"/>
    <n v="0"/>
    <n v="0"/>
    <n v="0"/>
    <n v="0"/>
    <n v="0"/>
    <n v="3470"/>
    <n v="4771"/>
    <n v="0"/>
    <n v="4"/>
    <n v="0"/>
  </r>
  <r>
    <x v="460"/>
    <s v="TELGAMA"/>
    <s v="MPG"/>
    <s v="Indirect"/>
    <n v="355.05000000000007"/>
    <n v="15839.390000000003"/>
    <n v="0"/>
    <n v="0"/>
    <n v="0"/>
    <n v="0"/>
    <n v="0"/>
    <n v="0"/>
    <n v="15839.390000000003"/>
    <n v="0"/>
    <n v="0"/>
    <n v="0"/>
    <n v="0"/>
    <n v="0"/>
    <n v="0"/>
    <n v="0"/>
    <n v="0"/>
    <n v="15839.390000000003"/>
    <n v="0"/>
    <n v="0"/>
  </r>
  <r>
    <x v="461"/>
    <s v="GOMUKH TATARPUR"/>
    <s v="MPG"/>
    <s v="Direct"/>
    <n v="196.20000000000002"/>
    <n v="9622.67"/>
    <n v="191.20000000000002"/>
    <n v="9349.5399999999991"/>
    <n v="6.2"/>
    <n v="254.33"/>
    <n v="197.4"/>
    <n v="9603.869999999999"/>
    <n v="9603.869999999999"/>
    <n v="0"/>
    <n v="0"/>
    <n v="0"/>
    <n v="0"/>
    <n v="500"/>
    <n v="0"/>
    <n v="8850"/>
    <n v="254"/>
    <n v="0"/>
    <n v="19"/>
    <n v="0"/>
  </r>
  <r>
    <x v="462"/>
    <s v="Gomukh Ghataho"/>
    <s v="MPG"/>
    <s v="Direct"/>
    <n v="2284.3500000000004"/>
    <n v="90904.66"/>
    <n v="1693.8999999999996"/>
    <n v="67090.159999999989"/>
    <n v="582"/>
    <n v="23795.670000000002"/>
    <n v="2275.8999999999996"/>
    <n v="90885.829999999987"/>
    <n v="90885.829999999987"/>
    <n v="0"/>
    <n v="729.28000000000009"/>
    <n v="0"/>
    <n v="0"/>
    <n v="0"/>
    <n v="0"/>
    <n v="67089"/>
    <n v="23065"/>
    <n v="0"/>
    <n v="21"/>
    <n v="0"/>
  </r>
  <r>
    <x v="463"/>
    <s v="Kacha - Amarjeet"/>
    <s v="vlc"/>
    <s v="Indirect"/>
    <n v="366.84999999999997"/>
    <n v="16689.34"/>
    <n v="0"/>
    <n v="0"/>
    <n v="0"/>
    <n v="0"/>
    <n v="0"/>
    <n v="0"/>
    <n v="16689.34"/>
    <n v="0"/>
    <n v="0"/>
    <n v="0"/>
    <n v="3100"/>
    <n v="0"/>
    <n v="0"/>
    <n v="0"/>
    <n v="0"/>
    <n v="13589.34"/>
    <n v="0"/>
    <n v="0"/>
  </r>
  <r>
    <x v="464"/>
    <s v="Simri - Suman"/>
    <s v="vlc"/>
    <s v="Indirect"/>
    <n v="6394"/>
    <n v="246779.08000000002"/>
    <n v="0"/>
    <n v="0"/>
    <n v="0"/>
    <n v="0"/>
    <n v="0"/>
    <n v="0"/>
    <n v="246779.08000000002"/>
    <n v="0"/>
    <n v="0"/>
    <n v="0"/>
    <n v="0"/>
    <n v="0"/>
    <n v="0"/>
    <n v="0"/>
    <n v="0"/>
    <n v="246779.08000000002"/>
    <n v="0"/>
    <n v="0"/>
  </r>
  <r>
    <x v="465"/>
    <s v="Narenpur"/>
    <s v="MPG"/>
    <s v="Direct"/>
    <n v="229.60000000000002"/>
    <n v="10018.330000000002"/>
    <n v="56.71"/>
    <n v="2367.54"/>
    <n v="161.37"/>
    <n v="7646.47"/>
    <n v="218.08"/>
    <n v="10014.01"/>
    <n v="10014.01"/>
    <n v="0"/>
    <n v="0"/>
    <n v="0"/>
    <n v="0"/>
    <n v="0"/>
    <n v="0"/>
    <n v="2367"/>
    <n v="7646"/>
    <n v="0"/>
    <n v="5"/>
    <n v="0"/>
  </r>
  <r>
    <x v="466"/>
    <s v="Mordiba"/>
    <s v="MPG"/>
    <s v="Direct"/>
    <n v="1653.8"/>
    <n v="65749.330000000016"/>
    <n v="925.79"/>
    <n v="37814.949999999997"/>
    <n v="704.46999999999991"/>
    <n v="27931.429999999993"/>
    <n v="1630.2599999999998"/>
    <n v="65746.37999999999"/>
    <n v="65746.37999999999"/>
    <n v="0"/>
    <n v="247.63"/>
    <n v="0"/>
    <n v="0"/>
    <n v="0"/>
    <n v="0"/>
    <n v="37815"/>
    <n v="27687"/>
    <n v="0"/>
    <n v="0"/>
    <n v="0"/>
  </r>
  <r>
    <x v="467"/>
    <s v="Jagdispur"/>
    <s v="MPG"/>
    <s v="Direct"/>
    <n v="192.54999999999998"/>
    <n v="7572.3899999999985"/>
    <n v="202.06"/>
    <n v="7569.0499999999993"/>
    <n v="0"/>
    <n v="0"/>
    <n v="202.06"/>
    <n v="7569.0499999999993"/>
    <n v="7569.0499999999993"/>
    <n v="0"/>
    <n v="0"/>
    <n v="0"/>
    <n v="0"/>
    <n v="0"/>
    <n v="0"/>
    <n v="7569"/>
    <n v="0"/>
    <n v="0"/>
    <n v="3"/>
    <n v="0"/>
  </r>
  <r>
    <x v="468"/>
    <s v="Chaklal Sahi_Vikrant"/>
    <s v="vlc"/>
    <s v="Indirect"/>
    <n v="3323.55"/>
    <n v="128275.28"/>
    <n v="0"/>
    <n v="0"/>
    <n v="0"/>
    <n v="0"/>
    <n v="0"/>
    <n v="0"/>
    <n v="128275.28"/>
    <n v="0"/>
    <n v="0"/>
    <n v="0"/>
    <n v="0"/>
    <n v="0"/>
    <n v="0"/>
    <n v="0"/>
    <n v="0"/>
    <n v="128275.28"/>
    <n v="0"/>
    <n v="0"/>
  </r>
  <r>
    <x v="469"/>
    <s v="Piparpaati"/>
    <s v="vlc"/>
    <s v="Indirect"/>
    <n v="7.5"/>
    <n v="267.89999999999998"/>
    <n v="0"/>
    <n v="0"/>
    <n v="0"/>
    <n v="0"/>
    <n v="0"/>
    <n v="0"/>
    <n v="267.89999999999998"/>
    <n v="0"/>
    <n v="0"/>
    <n v="0"/>
    <n v="0"/>
    <n v="0"/>
    <n v="0"/>
    <n v="0"/>
    <n v="0"/>
    <n v="267.89999999999998"/>
    <n v="0"/>
    <n v="0"/>
  </r>
  <r>
    <x v="470"/>
    <s v="Sarhad-Subodh"/>
    <s v="vlc"/>
    <s v="Indirect"/>
    <n v="420.45"/>
    <n v="15202.42"/>
    <n v="0"/>
    <n v="0"/>
    <n v="0"/>
    <n v="0"/>
    <n v="0"/>
    <n v="0"/>
    <n v="15202.42"/>
    <n v="0"/>
    <n v="0"/>
    <n v="0"/>
    <n v="0"/>
    <n v="0"/>
    <n v="0"/>
    <n v="0"/>
    <n v="0"/>
    <n v="15202.42"/>
    <n v="0"/>
    <n v="0"/>
  </r>
  <r>
    <x v="471"/>
    <s v="Suratpur"/>
    <s v="MPG"/>
    <s v="Direct"/>
    <n v="990.99999999999989"/>
    <n v="39062.939999999995"/>
    <n v="211.14000000000001"/>
    <n v="8338.7000000000007"/>
    <n v="783.66"/>
    <n v="30719.66"/>
    <n v="994.8"/>
    <n v="39058.36"/>
    <n v="39058.36"/>
    <n v="0"/>
    <n v="75.97"/>
    <n v="0"/>
    <n v="0"/>
    <n v="0"/>
    <n v="0"/>
    <n v="8339"/>
    <n v="30643"/>
    <n v="0"/>
    <n v="5"/>
    <n v="0"/>
  </r>
  <r>
    <x v="472"/>
    <s v="Beri"/>
    <s v="MPG"/>
    <s v="Direct"/>
    <n v="450.59999999999997"/>
    <n v="18498.5"/>
    <n v="435.34999999999997"/>
    <n v="17622.240000000002"/>
    <n v="23.8"/>
    <n v="873.4899999999999"/>
    <n v="459.15"/>
    <n v="18495.730000000003"/>
    <n v="18495.730000000003"/>
    <n v="0"/>
    <n v="0"/>
    <n v="0"/>
    <n v="16204"/>
    <n v="0"/>
    <n v="0"/>
    <n v="1418"/>
    <n v="874"/>
    <n v="0"/>
    <n v="3"/>
    <n v="0"/>
  </r>
  <r>
    <x v="473"/>
    <s v="Mahmmadipur"/>
    <s v="MPG"/>
    <s v="Direct"/>
    <n v="2419.3000000000002"/>
    <n v="122019.63"/>
    <n v="705.74000000000012"/>
    <n v="38581.870000000003"/>
    <n v="1555.8799999999997"/>
    <n v="83435.66"/>
    <n v="2261.62"/>
    <n v="122017.53"/>
    <n v="122017.53"/>
    <n v="0"/>
    <n v="0"/>
    <n v="0"/>
    <n v="0"/>
    <n v="0"/>
    <n v="0"/>
    <n v="38582"/>
    <n v="83437"/>
    <n v="0"/>
    <n v="1"/>
    <n v="0"/>
  </r>
  <r>
    <x v="475"/>
    <s v="Mithilanchal Dairy Products"/>
    <s v="vlc"/>
    <s v="Indirect"/>
    <n v="5780.58"/>
    <n v="245906.85000000003"/>
    <n v="0"/>
    <n v="0"/>
    <n v="0"/>
    <n v="0"/>
    <n v="0"/>
    <n v="0"/>
    <n v="245906.85000000003"/>
    <n v="0"/>
    <n v="0"/>
    <n v="0"/>
    <n v="0"/>
    <n v="0"/>
    <n v="0"/>
    <n v="0"/>
    <n v="0"/>
    <n v="245906.85000000003"/>
    <n v="0"/>
    <n v="0"/>
  </r>
  <r>
    <x v="476"/>
    <s v="Gomukh Jhaura Tabhka"/>
    <s v="MPG"/>
    <s v="Direct"/>
    <n v="702.1"/>
    <n v="27533.26"/>
    <n v="652.62"/>
    <n v="27291.190000000002"/>
    <n v="6.099999999999997"/>
    <n v="240.65999999999997"/>
    <n v="658.72"/>
    <n v="27531.850000000002"/>
    <n v="27531.850000000002"/>
    <n v="0"/>
    <n v="58.640000000000008"/>
    <n v="0"/>
    <n v="2800"/>
    <n v="0"/>
    <n v="0"/>
    <n v="24490"/>
    <n v="185"/>
    <n v="0"/>
    <n v="0"/>
    <n v="0"/>
  </r>
  <r>
    <x v="477"/>
    <s v="Gomukh Mohanpur"/>
    <s v="MPG"/>
    <s v="Direct"/>
    <n v="425.05"/>
    <n v="16456.78"/>
    <n v="116.35"/>
    <n v="4388.92"/>
    <n v="308.99"/>
    <n v="12015"/>
    <n v="425.34000000000003"/>
    <n v="16403.919999999998"/>
    <n v="16403.919999999998"/>
    <n v="0"/>
    <n v="306.97000000000003"/>
    <n v="0"/>
    <n v="0"/>
    <n v="0"/>
    <n v="0"/>
    <n v="4389"/>
    <n v="11709"/>
    <n v="0"/>
    <n v="52"/>
    <n v="0"/>
  </r>
  <r>
    <x v="478"/>
    <s v="Gomukh Bochaha"/>
    <s v="MPG"/>
    <s v="Direct"/>
    <n v="1220.0500000000002"/>
    <n v="54093.34"/>
    <n v="205.54"/>
    <n v="8786.73"/>
    <n v="1035.0700000000002"/>
    <n v="45304.740000000005"/>
    <n v="1240.6100000000001"/>
    <n v="54091.47"/>
    <n v="54091.47"/>
    <n v="0"/>
    <n v="0"/>
    <n v="0"/>
    <n v="0"/>
    <n v="0"/>
    <n v="0"/>
    <n v="8786"/>
    <n v="45304"/>
    <n v="0"/>
    <n v="3"/>
    <n v="0"/>
  </r>
  <r>
    <x v="479"/>
    <s v="Gomukh Terganj"/>
    <s v="MPG"/>
    <s v="Direct"/>
    <n v="233.59999999999997"/>
    <n v="9587.41"/>
    <n v="147.61000000000001"/>
    <n v="6266.29"/>
    <n v="94.7"/>
    <n v="3824.4300000000003"/>
    <n v="242.31"/>
    <n v="10090.720000000001"/>
    <n v="9587.41"/>
    <n v="0"/>
    <n v="0"/>
    <n v="503.31000000000131"/>
    <n v="0"/>
    <n v="500"/>
    <n v="0"/>
    <n v="5263"/>
    <n v="3824"/>
    <n v="0"/>
    <n v="0"/>
    <n v="0"/>
  </r>
  <r>
    <x v="480"/>
    <s v="Gomukh Chapra"/>
    <s v="vlc"/>
    <s v="Indirect"/>
    <n v="1161.5999999999999"/>
    <n v="47523.689999999995"/>
    <n v="0"/>
    <n v="0"/>
    <n v="0"/>
    <n v="0"/>
    <n v="0"/>
    <n v="0"/>
    <n v="47523.689999999995"/>
    <n v="0"/>
    <n v="0"/>
    <n v="0"/>
    <n v="0"/>
    <n v="0"/>
    <n v="0"/>
    <n v="0"/>
    <n v="0"/>
    <n v="47523.689999999995"/>
    <n v="0"/>
    <n v="0"/>
  </r>
  <r>
    <x v="481"/>
    <s v="GOMUKH Chiranjipur"/>
    <s v="vlc"/>
    <s v="Indirect"/>
    <n v="10232"/>
    <n v="411308.54000000004"/>
    <n v="0"/>
    <n v="0"/>
    <n v="0"/>
    <n v="0"/>
    <n v="0"/>
    <n v="0"/>
    <n v="411308.54000000004"/>
    <n v="0"/>
    <n v="0"/>
    <n v="0"/>
    <n v="0"/>
    <n v="0"/>
    <n v="0"/>
    <n v="0"/>
    <n v="0"/>
    <n v="411308.54000000004"/>
    <n v="0"/>
    <n v="0"/>
  </r>
  <r>
    <x v="482"/>
    <s v="Gomukh Sahu Tol"/>
    <s v="vlc"/>
    <s v="Indirect"/>
    <n v="1562.4"/>
    <n v="62505.51"/>
    <n v="0"/>
    <n v="0"/>
    <n v="0"/>
    <n v="0"/>
    <n v="0"/>
    <n v="0"/>
    <n v="62505.51"/>
    <n v="0"/>
    <n v="0"/>
    <n v="0"/>
    <n v="0"/>
    <n v="0"/>
    <n v="0"/>
    <n v="0"/>
    <n v="0"/>
    <n v="62505.51"/>
    <n v="0"/>
    <n v="0"/>
  </r>
  <r>
    <x v="483"/>
    <s v="Gomukh Mordiwa East"/>
    <s v="MPG"/>
    <s v="Direct"/>
    <n v="1064.6000000000001"/>
    <n v="42279.12999999999"/>
    <n v="204.09"/>
    <n v="8237.67"/>
    <n v="856.72000000000014"/>
    <n v="34039.860000000008"/>
    <n v="1060.8100000000002"/>
    <n v="42277.530000000006"/>
    <n v="42277.530000000006"/>
    <n v="0"/>
    <n v="311.36"/>
    <n v="0"/>
    <n v="2800"/>
    <n v="0"/>
    <n v="0"/>
    <n v="5437"/>
    <n v="33730"/>
    <n v="0"/>
    <n v="1"/>
    <n v="0"/>
  </r>
  <r>
    <x v="484"/>
    <s v="Gomukh Belamegh"/>
    <s v="vlc"/>
    <s v="Indirect"/>
    <n v="1840"/>
    <n v="69617.7"/>
    <n v="0"/>
    <n v="0"/>
    <n v="0"/>
    <n v="0"/>
    <n v="0"/>
    <n v="0"/>
    <n v="69617.7"/>
    <n v="0"/>
    <n v="0"/>
    <n v="0"/>
    <n v="0"/>
    <n v="0"/>
    <n v="0"/>
    <n v="0"/>
    <n v="0"/>
    <n v="69617.7"/>
    <n v="0"/>
    <n v="0"/>
  </r>
  <r>
    <x v="485"/>
    <s v="Gomukh Ramaiya"/>
    <s v="MPG"/>
    <s v="Direct"/>
    <n v="810.60000000000014"/>
    <n v="32635.809999999998"/>
    <n v="793.69999999999993"/>
    <n v="31977.809999999998"/>
    <n v="16.8"/>
    <n v="620.6099999999999"/>
    <n v="810.49999999999989"/>
    <n v="32598.42"/>
    <n v="32598.42"/>
    <n v="0"/>
    <n v="0"/>
    <n v="0"/>
    <n v="0"/>
    <n v="0"/>
    <n v="0"/>
    <n v="31978"/>
    <n v="620"/>
    <n v="0"/>
    <n v="38"/>
    <n v="0"/>
  </r>
  <r>
    <x v="486"/>
    <s v="GOMUKH MANIKA EAST"/>
    <s v="MPG"/>
    <s v="Direct"/>
    <n v="636.45000000000005"/>
    <n v="24361.75"/>
    <n v="381.82"/>
    <n v="15783.93"/>
    <n v="203.7"/>
    <n v="8578.1700000000019"/>
    <n v="585.52"/>
    <n v="24362.100000000002"/>
    <n v="24361.75"/>
    <n v="0"/>
    <n v="0"/>
    <n v="0.35000000000218279"/>
    <n v="0"/>
    <n v="0"/>
    <n v="0"/>
    <n v="15783"/>
    <n v="8579"/>
    <n v="0"/>
    <n v="0"/>
    <n v="0"/>
  </r>
  <r>
    <x v="487"/>
    <s v="IMADPUR"/>
    <s v="vlc"/>
    <s v="Indirect"/>
    <n v="1374.8000000000002"/>
    <n v="51226.01999999999"/>
    <n v="0"/>
    <n v="0"/>
    <n v="0"/>
    <n v="0"/>
    <n v="0"/>
    <n v="0"/>
    <n v="51226.01999999999"/>
    <n v="0"/>
    <n v="0"/>
    <n v="0"/>
    <n v="0"/>
    <n v="0"/>
    <n v="0"/>
    <n v="0"/>
    <n v="0"/>
    <n v="51226.01999999999"/>
    <n v="0"/>
    <n v="0"/>
  </r>
  <r>
    <x v="488"/>
    <s v="GOMUKH Kisanpur Tabhka"/>
    <s v="MPG"/>
    <s v="Direct"/>
    <n v="1078.4000000000001"/>
    <n v="43505.01"/>
    <n v="148.34000000000003"/>
    <n v="5955.89"/>
    <n v="929.7"/>
    <n v="37547.340000000004"/>
    <n v="1078.04"/>
    <n v="43503.23"/>
    <n v="43503.23"/>
    <n v="0"/>
    <n v="0"/>
    <n v="0"/>
    <n v="0"/>
    <n v="0"/>
    <n v="0"/>
    <n v="5956"/>
    <n v="37547"/>
    <n v="0"/>
    <n v="2"/>
    <n v="0"/>
  </r>
  <r>
    <x v="489"/>
    <s v="GOMUKH BIBHUTIPUR"/>
    <s v="MPG"/>
    <s v="Direct"/>
    <n v="92.75"/>
    <n v="3677.2400000000002"/>
    <n v="93.91"/>
    <n v="3618.09"/>
    <n v="0"/>
    <n v="0"/>
    <n v="93.91"/>
    <n v="3618.09"/>
    <n v="3618.09"/>
    <n v="0"/>
    <n v="0"/>
    <n v="0"/>
    <n v="0"/>
    <n v="500"/>
    <n v="0"/>
    <n v="3118"/>
    <n v="0"/>
    <n v="0"/>
    <n v="59"/>
    <n v="0"/>
  </r>
  <r>
    <x v="490"/>
    <s v="GOMUKH PATHAKTOL"/>
    <s v="MPG"/>
    <s v="Direct"/>
    <n v="182.65"/>
    <n v="7662.84"/>
    <n v="124.10000000000001"/>
    <n v="5213.4399999999996"/>
    <n v="66.300000000000011"/>
    <n v="2445.5299999999997"/>
    <n v="190.40000000000003"/>
    <n v="7658.9699999999993"/>
    <n v="7658.9699999999993"/>
    <n v="0"/>
    <n v="0"/>
    <n v="0"/>
    <n v="0"/>
    <n v="500"/>
    <n v="0"/>
    <n v="4713"/>
    <n v="2446"/>
    <n v="0"/>
    <n v="4"/>
    <n v="0"/>
  </r>
  <r>
    <x v="491"/>
    <s v="Gomukh Musapur West"/>
    <s v="vlc"/>
    <s v="Indirect"/>
    <n v="1725.9"/>
    <n v="66496.289999999994"/>
    <n v="0"/>
    <n v="0"/>
    <n v="0"/>
    <n v="0"/>
    <n v="0"/>
    <n v="0"/>
    <n v="66496.289999999994"/>
    <n v="0"/>
    <n v="0"/>
    <n v="0"/>
    <n v="0"/>
    <n v="0"/>
    <n v="0"/>
    <n v="0"/>
    <n v="0"/>
    <n v="66496.289999999994"/>
    <n v="0"/>
    <n v="0"/>
  </r>
  <r>
    <x v="492"/>
    <s v="GOMUKH DADHIYA RAMKRISHANPUR"/>
    <s v="MPG"/>
    <s v="Direct"/>
    <n v="1378.2000000000005"/>
    <n v="59559.659999999989"/>
    <n v="346.8"/>
    <n v="13795.53"/>
    <n v="1056.3000000000002"/>
    <n v="45751.34"/>
    <n v="1403.1000000000001"/>
    <n v="59546.869999999995"/>
    <n v="59546.869999999995"/>
    <n v="0"/>
    <n v="1767.5800000000002"/>
    <n v="0"/>
    <n v="1066.5"/>
    <n v="0"/>
    <n v="0"/>
    <n v="13795"/>
    <n v="42919"/>
    <n v="0"/>
    <n v="12"/>
    <n v="0"/>
  </r>
  <r>
    <x v="493"/>
    <s v="Gomukh Simri Ward 4"/>
    <s v="vlc"/>
    <s v="Indirect"/>
    <n v="500"/>
    <n v="19390"/>
    <n v="0"/>
    <n v="0"/>
    <n v="0"/>
    <n v="0"/>
    <n v="0"/>
    <n v="0"/>
    <n v="19390"/>
    <n v="0"/>
    <n v="0"/>
    <n v="0"/>
    <n v="0"/>
    <n v="0"/>
    <n v="0"/>
    <n v="0"/>
    <n v="0"/>
    <n v="19390"/>
    <n v="0"/>
    <n v="0"/>
  </r>
  <r>
    <x v="494"/>
    <s v="GOMUKH BALTHARA"/>
    <s v="MPG"/>
    <s v="Direct"/>
    <n v="409"/>
    <n v="17149.370000000003"/>
    <n v="102.03"/>
    <n v="4329.0999999999995"/>
    <n v="307.87"/>
    <n v="12795.420000000002"/>
    <n v="409.9"/>
    <n v="17124.52"/>
    <n v="17124.52"/>
    <n v="0"/>
    <n v="0"/>
    <n v="0"/>
    <n v="208"/>
    <n v="0"/>
    <n v="0"/>
    <n v="4121"/>
    <n v="12796"/>
    <n v="0"/>
    <n v="24"/>
    <n v="0"/>
  </r>
  <r>
    <x v="495"/>
    <s v="GOMUKH BHASINGPUR"/>
    <s v="MPG"/>
    <s v="Direct"/>
    <n v="1204.2000000000003"/>
    <n v="51717.750000000007"/>
    <n v="697.26"/>
    <n v="29820"/>
    <n v="506.51"/>
    <n v="21892.969999999998"/>
    <n v="1203.77"/>
    <n v="51712.97"/>
    <n v="51712.97"/>
    <n v="0"/>
    <n v="0"/>
    <n v="0"/>
    <n v="7000"/>
    <n v="0"/>
    <n v="0"/>
    <n v="22820"/>
    <n v="21893"/>
    <n v="0"/>
    <n v="5"/>
    <n v="0"/>
  </r>
  <r>
    <x v="496"/>
    <s v="GOMUKH Chakhale Dad"/>
    <s v="MPG"/>
    <s v="Direct"/>
    <n v="972.30000000000007"/>
    <n v="38148.239999999998"/>
    <n v="593.63999999999987"/>
    <n v="24153.360000000001"/>
    <n v="365.40999999999997"/>
    <n v="13994.48"/>
    <n v="959.04999999999984"/>
    <n v="38147.839999999997"/>
    <n v="38147.839999999997"/>
    <n v="0"/>
    <n v="153.36000000000001"/>
    <n v="0"/>
    <n v="0"/>
    <n v="0"/>
    <n v="0"/>
    <n v="24154"/>
    <n v="13841"/>
    <n v="0"/>
    <n v="0"/>
    <n v="0"/>
  </r>
  <r>
    <x v="497"/>
    <s v="Gomukh Simri"/>
    <s v="vlc"/>
    <s v="Indirect"/>
    <n v="980.55000000000007"/>
    <n v="40176.82"/>
    <n v="0"/>
    <n v="0"/>
    <n v="0"/>
    <n v="0"/>
    <n v="0"/>
    <n v="0"/>
    <n v="40176.82"/>
    <n v="0"/>
    <n v="0"/>
    <n v="0"/>
    <n v="0"/>
    <n v="0"/>
    <n v="0"/>
    <n v="0"/>
    <n v="0"/>
    <n v="40176.82"/>
    <n v="0"/>
    <n v="0"/>
  </r>
  <r>
    <x v="498"/>
    <s v="GOMUKH BANGHARH KISHANPUR"/>
    <s v="MPG"/>
    <s v="Direct"/>
    <n v="710.00000000000011"/>
    <n v="26537.71"/>
    <n v="145.22"/>
    <n v="5310.3200000000006"/>
    <n v="623.1"/>
    <n v="23247.030000000002"/>
    <n v="768.32"/>
    <n v="28557.350000000002"/>
    <n v="26537.71"/>
    <n v="0"/>
    <n v="83.759999999999991"/>
    <n v="2019.6400000000031"/>
    <n v="0"/>
    <n v="0"/>
    <n v="0"/>
    <n v="3290"/>
    <n v="23164"/>
    <n v="0"/>
    <n v="0"/>
    <n v="0"/>
  </r>
  <r>
    <x v="499"/>
    <s v="Gomukh Serpur Narsari"/>
    <s v="vlc"/>
    <s v="Indirect"/>
    <n v="195.5"/>
    <n v="6898.59"/>
    <n v="0"/>
    <n v="0"/>
    <n v="0"/>
    <n v="0"/>
    <n v="0"/>
    <n v="0"/>
    <n v="6898.59"/>
    <n v="0"/>
    <n v="0"/>
    <n v="0"/>
    <n v="0"/>
    <n v="0"/>
    <n v="0"/>
    <n v="0"/>
    <n v="0"/>
    <n v="6898.59"/>
    <n v="0"/>
    <n v="0"/>
  </r>
  <r>
    <x v="500"/>
    <s v="PARORIYA"/>
    <s v="MPG"/>
    <s v="Direct"/>
    <n v="114.10000000000001"/>
    <n v="3704.16"/>
    <n v="113.03"/>
    <n v="3653.38"/>
    <n v="1.1000000000000001"/>
    <n v="33.380000000000003"/>
    <n v="114.13"/>
    <n v="3686.76"/>
    <n v="3686.76"/>
    <n v="0"/>
    <n v="33.380000000000003"/>
    <n v="0"/>
    <n v="0"/>
    <n v="0"/>
    <n v="0"/>
    <n v="3654"/>
    <n v="0"/>
    <n v="0"/>
    <n v="17"/>
    <n v="0"/>
  </r>
  <r>
    <x v="501"/>
    <s v="JHAKHRA"/>
    <s v="MPG"/>
    <s v="Indirect"/>
    <n v="38.900000000000006"/>
    <n v="1376.89"/>
    <n v="0"/>
    <n v="0"/>
    <n v="0"/>
    <n v="0"/>
    <n v="0"/>
    <n v="0"/>
    <n v="1376.89"/>
    <n v="0"/>
    <n v="0"/>
    <n v="0"/>
    <n v="1377"/>
    <n v="0"/>
    <n v="0"/>
    <n v="0"/>
    <n v="0"/>
    <n v="-0.10999999999989996"/>
    <n v="0"/>
    <n v="0"/>
  </r>
  <r>
    <x v="502"/>
    <s v="GOMUKH ANDAHA"/>
    <s v="MPG"/>
    <s v="Direct"/>
    <n v="545.59999999999991"/>
    <n v="21084.700000000004"/>
    <n v="556.78"/>
    <n v="21054.25"/>
    <n v="0"/>
    <n v="0"/>
    <n v="556.78"/>
    <n v="21054.25"/>
    <n v="21054.25"/>
    <n v="0"/>
    <n v="0"/>
    <n v="0"/>
    <n v="884"/>
    <n v="0"/>
    <n v="0"/>
    <n v="20169"/>
    <n v="0"/>
    <n v="0"/>
    <n v="32"/>
    <n v="0"/>
  </r>
  <r>
    <x v="503"/>
    <s v="Gomukha Rohua"/>
    <s v="MPG"/>
    <s v="Direct"/>
    <n v="362.19999999999993"/>
    <n v="14373.220000000001"/>
    <n v="309.77000000000004"/>
    <n v="13273.2"/>
    <n v="18.649999999999999"/>
    <n v="768.75"/>
    <n v="328.42"/>
    <n v="14041.95"/>
    <n v="14041.95"/>
    <n v="0"/>
    <n v="152.64000000000001"/>
    <n v="0"/>
    <n v="0"/>
    <n v="0"/>
    <n v="0"/>
    <n v="13274"/>
    <n v="616"/>
    <n v="0"/>
    <n v="331"/>
    <n v="0"/>
  </r>
  <r>
    <x v="504"/>
    <s v="Gomukha Arniya Ganj"/>
    <s v="MPG"/>
    <s v="Direct"/>
    <n v="3104.2999999999997"/>
    <n v="117323.11999999997"/>
    <n v="1640.8999999999999"/>
    <n v="62935.110000000008"/>
    <n v="1440.7000000000005"/>
    <n v="54375.73"/>
    <n v="3081.6000000000004"/>
    <n v="117310.84000000001"/>
    <n v="117310.84000000001"/>
    <n v="0"/>
    <n v="1378.71"/>
    <n v="0"/>
    <n v="0"/>
    <n v="0"/>
    <n v="0"/>
    <n v="62937"/>
    <n v="52996"/>
    <n v="0"/>
    <n v="11"/>
    <n v="0"/>
  </r>
  <r>
    <x v="505"/>
    <s v="Gomukha Vishanupatti II"/>
    <s v="MPG"/>
    <s v="Indirect"/>
    <n v="734.50000000000011"/>
    <n v="27103.48"/>
    <n v="0"/>
    <n v="0"/>
    <n v="0"/>
    <n v="0"/>
    <n v="0"/>
    <n v="0"/>
    <n v="27103.48"/>
    <n v="0"/>
    <n v="0"/>
    <n v="0"/>
    <n v="2800"/>
    <n v="0"/>
    <n v="0"/>
    <n v="0"/>
    <n v="0"/>
    <n v="24303.48"/>
    <n v="0"/>
    <n v="0"/>
  </r>
  <r>
    <x v="506"/>
    <s v="Gomukh Khesarhiya"/>
    <s v="MPG"/>
    <s v="Indirect"/>
    <n v="260.89999999999998"/>
    <n v="10700.39"/>
    <n v="0"/>
    <n v="0"/>
    <n v="0"/>
    <n v="0"/>
    <n v="0"/>
    <n v="0"/>
    <n v="10700.39"/>
    <n v="0"/>
    <n v="0"/>
    <n v="0"/>
    <n v="0"/>
    <n v="0"/>
    <n v="0"/>
    <n v="0"/>
    <n v="0"/>
    <n v="10700.39"/>
    <n v="0"/>
    <n v="0"/>
  </r>
  <r>
    <x v="507"/>
    <s v="Harsingpur"/>
    <s v="MPG"/>
    <s v="Indirect"/>
    <n v="433.79999999999995"/>
    <n v="15183.59"/>
    <n v="0"/>
    <n v="0"/>
    <n v="0"/>
    <n v="0"/>
    <n v="0"/>
    <n v="0"/>
    <n v="15183.59"/>
    <n v="0"/>
    <n v="0"/>
    <n v="0"/>
    <n v="0"/>
    <n v="0"/>
    <n v="0"/>
    <n v="0"/>
    <n v="0"/>
    <n v="15183.59"/>
    <n v="0"/>
    <n v="0"/>
  </r>
  <r>
    <x v="508"/>
    <s v="Gomukh ID Mahathi"/>
    <s v="vlc"/>
    <s v="Indirect"/>
    <n v="635.70000000000005"/>
    <n v="25719.47"/>
    <n v="0"/>
    <n v="0"/>
    <n v="0"/>
    <n v="0"/>
    <n v="0"/>
    <n v="0"/>
    <n v="25719.47"/>
    <n v="0"/>
    <n v="0"/>
    <n v="0"/>
    <n v="264"/>
    <n v="0"/>
    <n v="0"/>
    <n v="0"/>
    <n v="0"/>
    <n v="25455.47"/>
    <n v="0"/>
    <n v="0"/>
  </r>
  <r>
    <x v="509"/>
    <s v="MURTUJAPUR"/>
    <s v="MPG"/>
    <s v="Indirect"/>
    <n v="395.40000000000003"/>
    <n v="16563.810000000001"/>
    <n v="0"/>
    <n v="0"/>
    <n v="0"/>
    <n v="0"/>
    <n v="0"/>
    <n v="0"/>
    <n v="16563.810000000001"/>
    <n v="0"/>
    <n v="0"/>
    <n v="0"/>
    <n v="0"/>
    <n v="0"/>
    <n v="0"/>
    <n v="0"/>
    <n v="0"/>
    <n v="16563.810000000001"/>
    <n v="0"/>
    <n v="0"/>
  </r>
  <r>
    <x v="510"/>
    <s v="Rasalpur"/>
    <s v="MPG"/>
    <s v="Direct"/>
    <n v="190.2"/>
    <n v="7893.4400000000005"/>
    <n v="50.27"/>
    <n v="2419.8900000000003"/>
    <n v="128.37"/>
    <n v="5468.33"/>
    <n v="178.64000000000001"/>
    <n v="7888.22"/>
    <n v="7888.22"/>
    <n v="0"/>
    <n v="72.06"/>
    <n v="0"/>
    <n v="0"/>
    <n v="500"/>
    <n v="0"/>
    <n v="1920"/>
    <n v="5396"/>
    <n v="0"/>
    <n v="5"/>
    <n v="0"/>
  </r>
  <r>
    <x v="511"/>
    <s v="Gomukh VISHNUPATTI"/>
    <s v="MPG"/>
    <s v="Indirect"/>
    <n v="87.2"/>
    <n v="3368.5199999999995"/>
    <n v="0"/>
    <n v="0"/>
    <n v="0"/>
    <n v="0"/>
    <n v="0"/>
    <n v="0"/>
    <n v="3368.5199999999995"/>
    <n v="0"/>
    <n v="0"/>
    <n v="0"/>
    <n v="0"/>
    <n v="0"/>
    <n v="0"/>
    <n v="0"/>
    <n v="0"/>
    <n v="3368.5199999999995"/>
    <n v="0"/>
    <n v="0"/>
  </r>
  <r>
    <x v="512"/>
    <s v="Chhuchhipur                                                                                         "/>
    <s v="MPG"/>
    <s v="Direct"/>
    <n v="342.99999999999994"/>
    <n v="11586.620000000003"/>
    <n v="282.39999999999998"/>
    <n v="9882.6999999999971"/>
    <n v="53.8"/>
    <n v="1674.6000000000001"/>
    <n v="336.2"/>
    <n v="11557.299999999997"/>
    <n v="11557.299999999997"/>
    <n v="0"/>
    <n v="0"/>
    <n v="0"/>
    <n v="1400"/>
    <n v="0"/>
    <n v="0"/>
    <n v="8482"/>
    <n v="1675"/>
    <n v="0"/>
    <n v="30"/>
    <n v="0"/>
  </r>
  <r>
    <x v="513"/>
    <s v="Gomukh ID Sararanjan"/>
    <s v="vlc"/>
    <s v="Indirect"/>
    <n v="130.1"/>
    <n v="4528.34"/>
    <n v="0"/>
    <n v="0"/>
    <n v="0"/>
    <n v="0"/>
    <n v="0"/>
    <n v="0"/>
    <n v="4528.34"/>
    <n v="0"/>
    <n v="0"/>
    <n v="0"/>
    <n v="3339"/>
    <n v="0"/>
    <n v="0"/>
    <n v="0"/>
    <n v="0"/>
    <n v="1189.3400000000001"/>
    <n v="0"/>
    <n v="0"/>
  </r>
  <r>
    <x v="514"/>
    <s v="Gomukh Soharthi Purvi Tola                                                                          "/>
    <s v="MPG"/>
    <s v="Direct"/>
    <n v="71.2"/>
    <n v="3062.07"/>
    <n v="58.000000000000007"/>
    <n v="2574.7199999999998"/>
    <n v="9"/>
    <n v="320.64"/>
    <n v="67"/>
    <n v="2895.3599999999997"/>
    <n v="2895.3599999999997"/>
    <n v="0"/>
    <n v="0"/>
    <n v="0"/>
    <n v="0"/>
    <n v="500"/>
    <n v="0"/>
    <n v="2075"/>
    <n v="321"/>
    <n v="0"/>
    <n v="166"/>
    <n v="0"/>
  </r>
  <r>
    <x v="515"/>
    <s v="Birnama"/>
    <s v="vlc"/>
    <s v="Indirect"/>
    <n v="1044.9000000000001"/>
    <n v="28086.920000000002"/>
    <n v="0"/>
    <n v="0"/>
    <n v="0"/>
    <n v="0"/>
    <n v="0"/>
    <n v="0"/>
    <n v="28086.920000000002"/>
    <n v="0"/>
    <n v="0"/>
    <n v="0"/>
    <n v="0"/>
    <n v="0"/>
    <n v="0"/>
    <n v="0"/>
    <n v="0"/>
    <n v="28086.920000000002"/>
    <n v="0"/>
    <n v="0"/>
  </r>
  <r>
    <x v="516"/>
    <s v="Maraie - Rubi"/>
    <s v="vlc"/>
    <s v="Indirect"/>
    <n v="26.799999999999997"/>
    <n v="947.78"/>
    <n v="0"/>
    <n v="0"/>
    <n v="0"/>
    <n v="0"/>
    <n v="0"/>
    <n v="0"/>
    <n v="947.78"/>
    <n v="0"/>
    <n v="0"/>
    <n v="0"/>
    <n v="259"/>
    <n v="0"/>
    <n v="0"/>
    <n v="0"/>
    <n v="0"/>
    <n v="688.78"/>
    <n v="0"/>
    <n v="0"/>
  </r>
  <r>
    <x v="517"/>
    <s v="Arniya East Tola - Seema"/>
    <s v="vlc"/>
    <s v="Indirect"/>
    <n v="11.4"/>
    <n v="437.53"/>
    <n v="0"/>
    <n v="0"/>
    <n v="0"/>
    <n v="0"/>
    <n v="0"/>
    <n v="0"/>
    <n v="437.53"/>
    <n v="0"/>
    <n v="0"/>
    <n v="0"/>
    <n v="0"/>
    <n v="0"/>
    <n v="0"/>
    <n v="0"/>
    <n v="0"/>
    <n v="437.53"/>
    <n v="0"/>
    <n v="0"/>
  </r>
  <r>
    <x v="518"/>
    <s v="Lakshmipur Western Tol - Rajeev"/>
    <s v="MPG"/>
    <s v="Indirect"/>
    <n v="2628.0000000000005"/>
    <n v="118932.94000000002"/>
    <n v="0"/>
    <n v="0"/>
    <n v="0"/>
    <n v="0"/>
    <n v="0"/>
    <n v="0"/>
    <n v="118932.94000000002"/>
    <n v="0"/>
    <n v="0"/>
    <n v="0"/>
    <n v="0"/>
    <n v="0"/>
    <n v="0"/>
    <n v="0"/>
    <n v="0"/>
    <n v="118932.94000000002"/>
    <n v="0"/>
    <n v="0"/>
  </r>
  <r>
    <x v="519"/>
    <s v="Jahangipur Salkhanni"/>
    <s v="MPG"/>
    <s v="Direct"/>
    <n v="330.10000000000008"/>
    <n v="14772.390000000001"/>
    <n v="275.91999999999996"/>
    <n v="12815.05"/>
    <n v="26.76"/>
    <n v="1817.79"/>
    <n v="302.67999999999995"/>
    <n v="14632.84"/>
    <n v="14632.84"/>
    <n v="0"/>
    <n v="0"/>
    <n v="0"/>
    <n v="1809"/>
    <n v="0"/>
    <n v="0"/>
    <n v="11006"/>
    <n v="1818"/>
    <n v="0"/>
    <n v="139"/>
    <n v="0"/>
  </r>
  <r>
    <x v="520"/>
    <s v="Sekhpura"/>
    <s v="MPG"/>
    <s v="Direct"/>
    <n v="256.89999999999998"/>
    <n v="9829.9700000000012"/>
    <n v="253.36999999999995"/>
    <n v="9748.61"/>
    <n v="1.7899999999999998"/>
    <n v="65.94"/>
    <n v="255.15999999999994"/>
    <n v="9814.5500000000011"/>
    <n v="9814.5500000000011"/>
    <n v="0"/>
    <n v="65.94"/>
    <n v="0"/>
    <n v="0"/>
    <n v="0"/>
    <n v="0"/>
    <n v="9749"/>
    <n v="0"/>
    <n v="0"/>
    <n v="15"/>
    <n v="0"/>
  </r>
  <r>
    <x v="521"/>
    <s v="Songar"/>
    <s v="MPG"/>
    <s v="Direct"/>
    <n v="1160.9000000000001"/>
    <n v="42077.99"/>
    <n v="834.42"/>
    <n v="30731.809999999998"/>
    <n v="324.32"/>
    <n v="11319.18"/>
    <n v="1158.74"/>
    <n v="42050.99"/>
    <n v="42050.99"/>
    <n v="0"/>
    <n v="493.14"/>
    <n v="0"/>
    <n v="316"/>
    <n v="0"/>
    <n v="0"/>
    <n v="30415"/>
    <n v="10827"/>
    <n v="0"/>
    <n v="27"/>
    <n v="0"/>
  </r>
  <r>
    <x v="522"/>
    <s v="Rampur Maheshpur"/>
    <s v="MPG"/>
    <s v="Direct"/>
    <n v="804.59999999999991"/>
    <n v="32665.889999999996"/>
    <n v="320.71999999999997"/>
    <n v="13780.73"/>
    <n v="484.90999999999997"/>
    <n v="18869.009999999998"/>
    <n v="805.62999999999988"/>
    <n v="32649.739999999998"/>
    <n v="32649.739999999998"/>
    <n v="0"/>
    <n v="152.37"/>
    <n v="0"/>
    <n v="1238"/>
    <n v="0"/>
    <n v="0"/>
    <n v="12544"/>
    <n v="18716"/>
    <n v="0"/>
    <n v="16"/>
    <s v="Release1"/>
  </r>
  <r>
    <x v="523"/>
    <s v="Godhiyari"/>
    <s v="vlc"/>
    <s v="Indirect"/>
    <n v="1344.7"/>
    <n v="44725.66"/>
    <n v="0"/>
    <n v="0"/>
    <n v="0"/>
    <n v="0"/>
    <n v="0"/>
    <n v="0"/>
    <n v="44725.66"/>
    <n v="0"/>
    <n v="0"/>
    <n v="0"/>
    <n v="0"/>
    <n v="0"/>
    <n v="0"/>
    <n v="0"/>
    <n v="0"/>
    <n v="44725.66"/>
    <n v="0"/>
    <n v="0"/>
  </r>
  <r>
    <x v="524"/>
    <s v="Hussainipur Gobindpur"/>
    <s v="vlc"/>
    <s v="Indirect"/>
    <n v="274.10000000000002"/>
    <n v="11453.710000000001"/>
    <n v="0"/>
    <n v="0"/>
    <n v="0"/>
    <n v="0"/>
    <n v="0"/>
    <n v="0"/>
    <n v="11453.710000000001"/>
    <n v="0"/>
    <n v="0"/>
    <n v="0"/>
    <n v="0"/>
    <n v="0"/>
    <n v="0"/>
    <n v="0"/>
    <n v="0"/>
    <n v="11453.710000000001"/>
    <n v="0"/>
    <n v="0"/>
  </r>
  <r>
    <x v="525"/>
    <s v="Jhakhra-Rambilash"/>
    <s v="vlc"/>
    <s v="Indirect"/>
    <n v="530.6"/>
    <n v="21093.58"/>
    <n v="0"/>
    <n v="0"/>
    <n v="0"/>
    <n v="0"/>
    <n v="0"/>
    <n v="0"/>
    <n v="21093.58"/>
    <n v="0"/>
    <n v="0"/>
    <n v="0"/>
    <n v="0"/>
    <n v="0"/>
    <n v="0"/>
    <n v="0"/>
    <n v="0"/>
    <n v="21093.58"/>
    <n v="0"/>
    <n v="0"/>
  </r>
  <r>
    <x v="526"/>
    <s v="Dagarua"/>
    <s v="MPG"/>
    <s v="Direct"/>
    <n v="658.09999999999991"/>
    <n v="24850.499999999996"/>
    <n v="353.32000000000005"/>
    <n v="12981.849999999999"/>
    <n v="311.02000000000004"/>
    <n v="11873.440000000002"/>
    <n v="664.34000000000015"/>
    <n v="24855.29"/>
    <n v="24850.499999999996"/>
    <n v="0"/>
    <n v="0"/>
    <n v="4.7900000000045111"/>
    <n v="3100"/>
    <n v="0"/>
    <n v="0"/>
    <n v="9876"/>
    <n v="11874"/>
    <n v="0"/>
    <n v="0"/>
    <n v="0"/>
  </r>
  <r>
    <x v="527"/>
    <s v="Chakmilki"/>
    <s v="MPG"/>
    <s v="Direct"/>
    <n v="206.2"/>
    <n v="7827.15"/>
    <n v="98.960000000000008"/>
    <n v="3697.0299999999993"/>
    <n v="104.91999999999999"/>
    <n v="3850.66"/>
    <n v="203.88"/>
    <n v="7547.6899999999987"/>
    <n v="7547.6899999999987"/>
    <n v="0"/>
    <n v="99.92"/>
    <n v="0"/>
    <n v="0"/>
    <n v="0"/>
    <n v="0"/>
    <n v="3697"/>
    <n v="3750"/>
    <n v="0"/>
    <n v="280"/>
    <n v="0"/>
  </r>
  <r>
    <x v="528"/>
    <s v="Gomukh Akaha"/>
    <s v="MPG"/>
    <s v="Direct"/>
    <n v="393.49999999999994"/>
    <n v="14463.660000000002"/>
    <n v="320.04000000000002"/>
    <n v="11578.470000000001"/>
    <n v="75.429999999999993"/>
    <n v="2881.8"/>
    <n v="395.47"/>
    <n v="14460.27"/>
    <n v="14460.27"/>
    <n v="0"/>
    <n v="34.090000000000003"/>
    <n v="0"/>
    <n v="0"/>
    <n v="500"/>
    <n v="0"/>
    <n v="11079"/>
    <n v="2847"/>
    <n v="0"/>
    <n v="4"/>
    <n v="0"/>
  </r>
  <r>
    <x v="529"/>
    <s v="Nauachak-Pankaj"/>
    <s v="vlc"/>
    <s v="Indirect"/>
    <n v="21.400000000000002"/>
    <n v="779.33999999999992"/>
    <n v="0"/>
    <n v="0"/>
    <n v="0"/>
    <n v="0"/>
    <n v="0"/>
    <n v="0"/>
    <n v="779.33999999999992"/>
    <n v="0"/>
    <n v="0"/>
    <n v="0"/>
    <n v="0"/>
    <n v="0"/>
    <n v="0"/>
    <n v="0"/>
    <n v="0"/>
    <n v="779.33999999999992"/>
    <n v="0"/>
    <n v="0"/>
  </r>
  <r>
    <x v="530"/>
    <s v="Jitwarpur-Manisha"/>
    <s v="vlc"/>
    <s v="Indirect"/>
    <n v="35.9"/>
    <n v="1332.69"/>
    <n v="0"/>
    <n v="0"/>
    <n v="0"/>
    <n v="0"/>
    <n v="0"/>
    <n v="0"/>
    <n v="1332.69"/>
    <n v="0"/>
    <n v="0"/>
    <n v="0"/>
    <n v="1333"/>
    <n v="0"/>
    <n v="0"/>
    <n v="0"/>
    <n v="0"/>
    <n v="-0.30999999999994543"/>
    <n v="0"/>
    <n v="0"/>
  </r>
  <r>
    <x v="531"/>
    <s v="Gomukh Sirdulpur 2"/>
    <s v="vlc"/>
    <s v="Indirect"/>
    <n v="1203.5999999999999"/>
    <n v="39299.94000000001"/>
    <n v="0"/>
    <n v="0"/>
    <n v="0"/>
    <n v="0"/>
    <n v="0"/>
    <n v="0"/>
    <n v="39299.94000000001"/>
    <n v="0"/>
    <n v="0"/>
    <n v="0"/>
    <n v="0"/>
    <n v="0"/>
    <n v="0"/>
    <n v="0"/>
    <n v="0"/>
    <n v="39299.94000000001"/>
    <n v="0"/>
    <n v="0"/>
  </r>
  <r>
    <x v="532"/>
    <s v="Gomukh Patepur"/>
    <s v="vlc"/>
    <s v="Indirect"/>
    <n v="367.5"/>
    <n v="12695.57"/>
    <n v="0"/>
    <n v="0"/>
    <n v="0"/>
    <n v="0"/>
    <n v="0"/>
    <n v="0"/>
    <n v="12695.57"/>
    <n v="0"/>
    <n v="0"/>
    <n v="0"/>
    <n v="518"/>
    <n v="0"/>
    <n v="0"/>
    <n v="0"/>
    <n v="0"/>
    <n v="12177.57"/>
    <n v="0"/>
    <n v="0"/>
  </r>
  <r>
    <x v="980"/>
    <s v="Gomukh Akowahi Purvi Tol"/>
    <s v="MPG"/>
    <s v="Direct"/>
    <n v="7.1"/>
    <n v="302.10000000000002"/>
    <n v="0"/>
    <n v="0"/>
    <n v="0"/>
    <n v="0"/>
    <n v="0"/>
    <n v="0"/>
    <n v="0"/>
    <n v="0"/>
    <n v="0"/>
    <n v="0"/>
    <n v="0"/>
    <n v="0"/>
    <n v="0"/>
    <n v="0"/>
    <n v="0"/>
    <n v="0"/>
    <n v="302"/>
    <n v="0"/>
  </r>
  <r>
    <x v="533"/>
    <s v="Gomukh Sherpur Narsari East"/>
    <s v="MPG"/>
    <s v="Direct"/>
    <n v="247.90000000000003"/>
    <n v="10704.23"/>
    <n v="194.72000000000003"/>
    <n v="7814.6299999999992"/>
    <n v="54.839999999999996"/>
    <n v="2886.2299999999996"/>
    <n v="249.56000000000003"/>
    <n v="10700.859999999999"/>
    <n v="10700.859999999999"/>
    <n v="0"/>
    <n v="164.63"/>
    <n v="0"/>
    <n v="0"/>
    <n v="0"/>
    <n v="0"/>
    <n v="7815"/>
    <n v="2723"/>
    <n v="0"/>
    <n v="2"/>
    <n v="0"/>
  </r>
  <r>
    <x v="534"/>
    <s v="Gomukh Karhatti"/>
    <s v="MPG"/>
    <s v="Direct"/>
    <n v="83.5"/>
    <n v="2802.71"/>
    <n v="60.600000000000009"/>
    <n v="2078.73"/>
    <n v="19.299999999999997"/>
    <n v="709.5"/>
    <n v="79.900000000000006"/>
    <n v="2788.23"/>
    <n v="2788.23"/>
    <n v="0"/>
    <n v="0"/>
    <n v="0"/>
    <n v="0"/>
    <n v="500"/>
    <n v="0"/>
    <n v="1579"/>
    <n v="710"/>
    <n v="0"/>
    <n v="14"/>
    <n v="0"/>
  </r>
  <r>
    <x v="535"/>
    <s v="Gomukh Gaopur Bhagwatpur"/>
    <s v="MPG"/>
    <s v="Direct"/>
    <n v="229.9"/>
    <n v="12095.58"/>
    <n v="227.20999999999998"/>
    <n v="12073.419999999998"/>
    <n v="0.1"/>
    <n v="3.81"/>
    <n v="227.30999999999997"/>
    <n v="12077.229999999998"/>
    <n v="12077.229999999998"/>
    <n v="0"/>
    <n v="3.81"/>
    <n v="0"/>
    <n v="0"/>
    <n v="0"/>
    <n v="0"/>
    <n v="12074"/>
    <n v="0"/>
    <n v="0"/>
    <n v="18"/>
    <n v="0"/>
  </r>
  <r>
    <x v="536"/>
    <s v="Gomukh Rajwara"/>
    <s v="MPG"/>
    <s v="Direct"/>
    <n v="84.21"/>
    <n v="3363.5099999999998"/>
    <n v="85.38"/>
    <n v="3349.9100000000003"/>
    <n v="0.2"/>
    <n v="6.95"/>
    <n v="85.58"/>
    <n v="3356.86"/>
    <n v="3356.86"/>
    <n v="0"/>
    <n v="6.95"/>
    <n v="0"/>
    <n v="0"/>
    <n v="500"/>
    <n v="0"/>
    <n v="2849"/>
    <n v="0"/>
    <n v="0"/>
    <n v="8"/>
    <n v="0"/>
  </r>
  <r>
    <x v="537"/>
    <s v="Gomukh Karhatiya Bujurg"/>
    <s v="vlc"/>
    <s v="Indirect"/>
    <n v="293.2"/>
    <n v="11845.63"/>
    <n v="0"/>
    <n v="0"/>
    <n v="0"/>
    <n v="0"/>
    <n v="0"/>
    <n v="0"/>
    <n v="11845.63"/>
    <n v="0"/>
    <n v="0"/>
    <n v="0"/>
    <n v="0"/>
    <n v="0"/>
    <n v="0"/>
    <n v="0"/>
    <n v="0"/>
    <n v="11845.63"/>
    <n v="0"/>
    <n v="0"/>
  </r>
  <r>
    <x v="538"/>
    <s v="GOMUKH NIKASPUR"/>
    <s v="vlc"/>
    <s v="Indirect"/>
    <n v="192.3"/>
    <n v="6534.2799999999988"/>
    <n v="0"/>
    <n v="0"/>
    <n v="0"/>
    <n v="0"/>
    <n v="0"/>
    <n v="0"/>
    <n v="6534.2799999999988"/>
    <n v="0"/>
    <n v="0"/>
    <n v="0"/>
    <n v="0"/>
    <n v="0"/>
    <n v="0"/>
    <n v="0"/>
    <n v="0"/>
    <n v="6534.2799999999988"/>
    <n v="0"/>
    <n v="0"/>
  </r>
  <r>
    <x v="539"/>
    <s v="Gomukh Morwa Mohanpur"/>
    <s v="vlc"/>
    <s v="Indirect"/>
    <n v="251.49999999999997"/>
    <n v="10263.529999999999"/>
    <n v="0"/>
    <n v="0"/>
    <n v="0"/>
    <n v="0"/>
    <n v="0"/>
    <n v="0"/>
    <n v="10263.529999999999"/>
    <n v="0"/>
    <n v="0"/>
    <n v="0"/>
    <n v="0"/>
    <n v="0"/>
    <n v="0"/>
    <n v="0"/>
    <n v="0"/>
    <n v="10263.529999999999"/>
    <n v="0"/>
    <n v="0"/>
  </r>
  <r>
    <x v="981"/>
    <s v="Gomukh Gangapur East"/>
    <s v="vlc"/>
    <s v="Indirect"/>
    <n v="500"/>
    <n v="15380"/>
    <n v="0"/>
    <n v="0"/>
    <n v="0"/>
    <n v="0"/>
    <n v="0"/>
    <n v="0"/>
    <n v="15380"/>
    <n v="0"/>
    <n v="0"/>
    <n v="0"/>
    <n v="0"/>
    <n v="0"/>
    <n v="0"/>
    <n v="0"/>
    <n v="0"/>
    <n v="15380"/>
    <n v="0"/>
    <n v="0"/>
  </r>
  <r>
    <x v="540"/>
    <s v="GOMUKH Laguniya"/>
    <s v="vlc"/>
    <s v="Indirect"/>
    <n v="38"/>
    <n v="1478.96"/>
    <n v="0"/>
    <n v="0"/>
    <n v="0"/>
    <n v="0"/>
    <n v="0"/>
    <n v="0"/>
    <n v="1478.96"/>
    <n v="0"/>
    <n v="0"/>
    <n v="0"/>
    <n v="0"/>
    <n v="0"/>
    <n v="0"/>
    <n v="0"/>
    <n v="0"/>
    <n v="1478.96"/>
    <n v="0"/>
    <n v="0"/>
  </r>
  <r>
    <x v="541"/>
    <s v="GOMUKH MAHINDWARA"/>
    <s v="vlc"/>
    <s v="Indirect"/>
    <n v="383.7000000000001"/>
    <n v="15277.080000000002"/>
    <n v="0"/>
    <n v="0"/>
    <n v="0"/>
    <n v="0"/>
    <n v="0"/>
    <n v="0"/>
    <n v="15277.080000000002"/>
    <n v="0"/>
    <n v="0"/>
    <n v="0"/>
    <n v="0"/>
    <n v="0"/>
    <n v="0"/>
    <n v="0"/>
    <n v="0"/>
    <n v="15277.080000000002"/>
    <n v="0"/>
    <n v="0"/>
  </r>
  <r>
    <x v="542"/>
    <s v="GOMUKH MISHRAULIA"/>
    <s v="MPG"/>
    <s v="Direct"/>
    <n v="470.59999999999997"/>
    <n v="21557.819999999996"/>
    <n v="459.29999999999995"/>
    <n v="21530.440000000002"/>
    <n v="0"/>
    <n v="0"/>
    <n v="459.29999999999995"/>
    <n v="21530.440000000002"/>
    <n v="21530.440000000002"/>
    <n v="0"/>
    <n v="0"/>
    <n v="0"/>
    <n v="0"/>
    <n v="0"/>
    <n v="0"/>
    <n v="21530"/>
    <n v="0"/>
    <n v="0"/>
    <n v="28"/>
    <n v="0"/>
  </r>
  <r>
    <x v="543"/>
    <s v="GOMUKH Bhagwatpur East"/>
    <s v="vlc"/>
    <s v="Direct"/>
    <n v="300.5"/>
    <n v="9170.9499999999989"/>
    <n v="300.2"/>
    <n v="9153.64"/>
    <n v="0"/>
    <n v="0"/>
    <n v="300.2"/>
    <n v="9153.64"/>
    <n v="9153.64"/>
    <n v="0"/>
    <n v="0"/>
    <n v="0"/>
    <n v="0"/>
    <n v="0"/>
    <n v="0"/>
    <n v="9154"/>
    <n v="0"/>
    <n v="0"/>
    <n v="17"/>
    <n v="0"/>
  </r>
  <r>
    <x v="544"/>
    <s v="Gomukh Rupauli Buzurg"/>
    <s v="vlc"/>
    <s v="Indirect"/>
    <n v="11007"/>
    <n v="392155.43"/>
    <n v="0"/>
    <n v="0"/>
    <n v="0"/>
    <n v="0"/>
    <n v="0"/>
    <n v="0"/>
    <n v="392155.43"/>
    <n v="0"/>
    <n v="0"/>
    <n v="0"/>
    <n v="0"/>
    <n v="0"/>
    <n v="0"/>
    <n v="0"/>
    <n v="0"/>
    <n v="392155.43"/>
    <n v="0"/>
    <n v="0"/>
  </r>
  <r>
    <x v="545"/>
    <s v="GOMUKH BAKHRI"/>
    <s v="vlc"/>
    <s v="Indirect"/>
    <n v="91"/>
    <n v="3724.8900000000003"/>
    <n v="0"/>
    <n v="0"/>
    <n v="0"/>
    <n v="0"/>
    <n v="0"/>
    <n v="0"/>
    <n v="3724.8900000000003"/>
    <n v="0"/>
    <n v="0"/>
    <n v="0"/>
    <n v="0"/>
    <n v="0"/>
    <n v="0"/>
    <n v="0"/>
    <n v="0"/>
    <n v="3724.8900000000003"/>
    <n v="0"/>
    <n v="0"/>
  </r>
  <r>
    <x v="546"/>
    <s v="GOMUKH KAMTAUL"/>
    <s v="MPG"/>
    <s v="Direct"/>
    <n v="465.8"/>
    <n v="19199.12"/>
    <n v="460.32"/>
    <n v="18888.05"/>
    <n v="6.11"/>
    <n v="278.12"/>
    <n v="466.43"/>
    <n v="19166.169999999998"/>
    <n v="19166.169999999998"/>
    <n v="0"/>
    <n v="278.12"/>
    <n v="0"/>
    <n v="0"/>
    <n v="0"/>
    <n v="0"/>
    <n v="18887"/>
    <n v="0"/>
    <n v="0"/>
    <n v="34"/>
    <n v="0"/>
  </r>
  <r>
    <x v="547"/>
    <s v="GOMUKH MIRJAPUR NISFI"/>
    <s v="vlc"/>
    <s v="Indirect"/>
    <n v="466.1"/>
    <n v="16316.439999999999"/>
    <n v="0"/>
    <n v="0"/>
    <n v="0"/>
    <n v="0"/>
    <n v="0"/>
    <n v="0"/>
    <n v="16316.439999999999"/>
    <n v="0"/>
    <n v="0"/>
    <n v="0"/>
    <n v="0"/>
    <n v="0"/>
    <n v="0"/>
    <n v="0"/>
    <n v="0"/>
    <n v="16316.439999999999"/>
    <n v="0"/>
    <n v="0"/>
  </r>
  <r>
    <x v="548"/>
    <s v="Dumri Purvi Tola"/>
    <s v="MPG"/>
    <s v="Direct"/>
    <n v="631.30000000000007"/>
    <n v="21622.350000000002"/>
    <n v="432.09999999999997"/>
    <n v="21437.439999999999"/>
    <n v="0"/>
    <n v="0"/>
    <n v="432.09999999999997"/>
    <n v="21437.439999999999"/>
    <n v="21437.439999999999"/>
    <n v="0"/>
    <n v="0"/>
    <n v="0"/>
    <n v="6650"/>
    <n v="0"/>
    <n v="0"/>
    <n v="14788"/>
    <n v="0"/>
    <n v="0"/>
    <n v="184"/>
    <n v="0"/>
  </r>
  <r>
    <x v="549"/>
    <s v="Simri"/>
    <s v="MPG"/>
    <s v="Direct"/>
    <n v="767.5"/>
    <n v="28881.05"/>
    <n v="789.93999999999994"/>
    <n v="30509.11"/>
    <n v="0"/>
    <n v="0"/>
    <n v="789.93999999999994"/>
    <n v="30509.11"/>
    <n v="28881.05"/>
    <n v="0"/>
    <n v="0"/>
    <n v="1628.0600000000013"/>
    <n v="0"/>
    <n v="0"/>
    <n v="0"/>
    <n v="28881"/>
    <n v="0"/>
    <n v="0"/>
    <n v="0"/>
    <n v="0"/>
  </r>
  <r>
    <x v="550"/>
    <s v="Sahiyar"/>
    <s v="MPG"/>
    <s v="Direct"/>
    <n v="1107"/>
    <n v="46127.85"/>
    <n v="1002.3999999999999"/>
    <n v="44775.290000000008"/>
    <n v="31"/>
    <n v="1301.1799999999998"/>
    <n v="1033.3999999999999"/>
    <n v="46076.470000000008"/>
    <n v="46076.470000000008"/>
    <n v="0"/>
    <n v="1301.1799999999998"/>
    <n v="0"/>
    <n v="0"/>
    <n v="0"/>
    <n v="0"/>
    <n v="44775"/>
    <n v="0"/>
    <n v="0"/>
    <n v="52"/>
    <n v="0"/>
  </r>
  <r>
    <x v="551"/>
    <s v="ENGLISH DUBAULI"/>
    <s v="MPG"/>
    <s v="Direct"/>
    <n v="742.7"/>
    <n v="27601.809999999998"/>
    <n v="726.13000000000011"/>
    <n v="29479.489999999994"/>
    <n v="27.259999999999998"/>
    <n v="1465.99"/>
    <n v="753.3900000000001"/>
    <n v="30945.479999999996"/>
    <n v="27601.809999999998"/>
    <n v="0"/>
    <n v="1465.99"/>
    <n v="3343.6699999999983"/>
    <n v="0"/>
    <n v="0"/>
    <n v="0"/>
    <n v="26136"/>
    <n v="0"/>
    <n v="0"/>
    <n v="0"/>
    <s v="Release1"/>
  </r>
  <r>
    <x v="552"/>
    <s v="Ramo Bariya"/>
    <s v="MPG"/>
    <s v="Direct"/>
    <n v="588.00000000000011"/>
    <n v="22769.679999999997"/>
    <n v="596.43999999999994"/>
    <n v="22318.11"/>
    <n v="10.7"/>
    <n v="449.61"/>
    <n v="607.14"/>
    <n v="22767.72"/>
    <n v="22767.72"/>
    <n v="0"/>
    <n v="449.61"/>
    <n v="0"/>
    <n v="0"/>
    <n v="0"/>
    <n v="0"/>
    <n v="22319"/>
    <n v="0"/>
    <n v="0"/>
    <n v="1"/>
    <n v="0"/>
  </r>
  <r>
    <x v="553"/>
    <s v="HITAN PARARI"/>
    <s v="MPG"/>
    <s v="Direct"/>
    <n v="1238.0999999999999"/>
    <n v="51676.960000000006"/>
    <n v="1240.4099999999999"/>
    <n v="53931.130000000005"/>
    <n v="0"/>
    <n v="0"/>
    <n v="1240.4099999999999"/>
    <n v="53931.130000000005"/>
    <n v="51676.960000000006"/>
    <n v="0"/>
    <n v="0"/>
    <n v="2254.1699999999983"/>
    <n v="0"/>
    <n v="0"/>
    <n v="0"/>
    <n v="51677"/>
    <n v="0"/>
    <n v="0"/>
    <n v="0"/>
    <n v="0"/>
  </r>
  <r>
    <x v="554"/>
    <s v="DULLAHPUR2"/>
    <s v="MPG"/>
    <s v="Direct"/>
    <n v="204.79999999999998"/>
    <n v="6458.4099999999989"/>
    <n v="206"/>
    <n v="6423.08"/>
    <n v="0"/>
    <n v="0"/>
    <n v="206"/>
    <n v="6423.08"/>
    <n v="6423.08"/>
    <n v="0"/>
    <n v="0"/>
    <n v="0"/>
    <n v="0"/>
    <n v="0"/>
    <n v="0"/>
    <n v="6423"/>
    <n v="0"/>
    <n v="0"/>
    <n v="35"/>
    <s v="Release1"/>
  </r>
  <r>
    <x v="555"/>
    <s v="Gangauli"/>
    <s v="MPG"/>
    <s v="Direct"/>
    <n v="1301.0999999999997"/>
    <n v="57961.09"/>
    <n v="1295.9100000000001"/>
    <n v="59239.150000000009"/>
    <n v="7.02"/>
    <n v="271.33"/>
    <n v="1302.93"/>
    <n v="59510.48000000001"/>
    <n v="57961.09"/>
    <n v="0"/>
    <n v="271.33"/>
    <n v="1549.390000000014"/>
    <n v="0"/>
    <n v="0"/>
    <n v="0"/>
    <n v="57690"/>
    <n v="0"/>
    <n v="0"/>
    <n v="0"/>
    <s v="Release1"/>
  </r>
  <r>
    <x v="556"/>
    <s v="MATHURA DERA"/>
    <s v="MPG"/>
    <s v="Direct"/>
    <n v="1902.4999999999998"/>
    <n v="76368.639999999999"/>
    <n v="2059.4"/>
    <n v="76175.97"/>
    <n v="4"/>
    <n v="136.24"/>
    <n v="2063.4"/>
    <n v="76312.210000000006"/>
    <n v="76312.210000000006"/>
    <n v="0"/>
    <n v="136.24"/>
    <n v="0"/>
    <n v="0"/>
    <n v="0"/>
    <n v="0"/>
    <n v="76176"/>
    <n v="0"/>
    <n v="0"/>
    <n v="56"/>
    <n v="0"/>
  </r>
  <r>
    <x v="557"/>
    <s v="NANDAN"/>
    <s v="MPG"/>
    <s v="Direct"/>
    <n v="326.39999999999998"/>
    <n v="16478.599999999999"/>
    <n v="328"/>
    <n v="16445.919999999998"/>
    <n v="0"/>
    <n v="0"/>
    <n v="328"/>
    <n v="16445.919999999998"/>
    <n v="16445.919999999998"/>
    <n v="0"/>
    <n v="0"/>
    <n v="0"/>
    <n v="6650"/>
    <n v="0"/>
    <n v="0"/>
    <n v="9796"/>
    <n v="0"/>
    <n v="0"/>
    <n v="33"/>
    <n v="0"/>
  </r>
  <r>
    <x v="558"/>
    <s v="RAJAPUR"/>
    <s v="MPG"/>
    <s v="Direct"/>
    <n v="69.3"/>
    <n v="2563.3700000000003"/>
    <n v="68.599999999999994"/>
    <n v="2558.11"/>
    <n v="0"/>
    <n v="0"/>
    <n v="68.599999999999994"/>
    <n v="2558.11"/>
    <n v="2558.11"/>
    <n v="0"/>
    <n v="0"/>
    <n v="0"/>
    <n v="0"/>
    <n v="500"/>
    <n v="0"/>
    <n v="2058"/>
    <n v="0"/>
    <n v="0"/>
    <n v="5"/>
    <n v="0"/>
  </r>
  <r>
    <x v="559"/>
    <s v="HEMDAPUR"/>
    <s v="MPG"/>
    <s v="Direct"/>
    <n v="576.6"/>
    <n v="21550.119999999995"/>
    <n v="549.9"/>
    <n v="21529.86"/>
    <n v="0"/>
    <n v="0"/>
    <n v="549.9"/>
    <n v="21529.86"/>
    <n v="21529.86"/>
    <n v="0"/>
    <n v="0"/>
    <n v="0"/>
    <n v="0"/>
    <n v="0"/>
    <n v="0"/>
    <n v="21530"/>
    <n v="0"/>
    <n v="0"/>
    <n v="20"/>
    <n v="0"/>
  </r>
  <r>
    <x v="560"/>
    <s v="Chaugain"/>
    <s v="MPG"/>
    <s v="Direct"/>
    <n v="393.09999999999997"/>
    <n v="14365.400000000001"/>
    <n v="389.9"/>
    <n v="14363.92"/>
    <n v="0"/>
    <n v="0"/>
    <n v="389.9"/>
    <n v="14363.92"/>
    <n v="14363.92"/>
    <n v="0"/>
    <n v="0"/>
    <n v="0"/>
    <n v="0"/>
    <n v="500"/>
    <n v="0"/>
    <n v="13864"/>
    <n v="0"/>
    <n v="0"/>
    <n v="1"/>
    <n v="0"/>
  </r>
  <r>
    <x v="561"/>
    <s v="Akalupur"/>
    <s v="MPG"/>
    <s v="Direct"/>
    <n v="37.200000000000003"/>
    <n v="1525.48"/>
    <n v="38"/>
    <n v="1510.8799999999999"/>
    <n v="0"/>
    <n v="0"/>
    <n v="38"/>
    <n v="1510.8799999999999"/>
    <n v="1510.8799999999999"/>
    <n v="0"/>
    <n v="0"/>
    <n v="0"/>
    <n v="0"/>
    <n v="0"/>
    <n v="0"/>
    <n v="1511"/>
    <n v="0"/>
    <n v="0"/>
    <n v="14"/>
    <n v="0"/>
  </r>
  <r>
    <x v="562"/>
    <s v="Chhotka Sihanpura"/>
    <s v="MPG"/>
    <s v="Direct"/>
    <n v="394.8"/>
    <n v="14635.49"/>
    <n v="397.9"/>
    <n v="16006.45"/>
    <n v="4.7"/>
    <n v="176.55"/>
    <n v="402.59999999999997"/>
    <n v="16183"/>
    <n v="14635.49"/>
    <n v="0"/>
    <n v="176.55"/>
    <n v="1547.5100000000002"/>
    <n v="0"/>
    <n v="0"/>
    <n v="0"/>
    <n v="14459"/>
    <n v="0"/>
    <n v="0"/>
    <n v="0"/>
    <n v="0"/>
  </r>
  <r>
    <x v="563"/>
    <s v="Dharauli"/>
    <s v="MPG"/>
    <s v="Direct"/>
    <n v="279.3"/>
    <n v="11136.810000000001"/>
    <n v="279.59999999999997"/>
    <n v="10915.12"/>
    <n v="4.9000000000000004"/>
    <n v="188.34"/>
    <n v="284.49999999999994"/>
    <n v="11103.460000000001"/>
    <n v="11103.460000000001"/>
    <n v="0"/>
    <n v="188.34"/>
    <n v="0"/>
    <n v="0"/>
    <n v="0"/>
    <n v="0"/>
    <n v="10915"/>
    <n v="0"/>
    <n v="0"/>
    <n v="33"/>
    <n v="0"/>
  </r>
  <r>
    <x v="564"/>
    <s v="Ramopatti"/>
    <s v="MPG"/>
    <s v="Direct"/>
    <n v="313.20000000000005"/>
    <n v="12361.24"/>
    <n v="315"/>
    <n v="12351.15"/>
    <n v="0"/>
    <n v="0"/>
    <n v="315"/>
    <n v="12351.15"/>
    <n v="12351.15"/>
    <n v="0"/>
    <n v="0"/>
    <n v="0"/>
    <n v="0"/>
    <n v="500"/>
    <n v="0"/>
    <n v="11851"/>
    <n v="0"/>
    <n v="0"/>
    <n v="10"/>
    <n v="0"/>
  </r>
  <r>
    <x v="565"/>
    <s v="Kaithi"/>
    <s v="MPG"/>
    <s v="Direct"/>
    <n v="176.5"/>
    <n v="6858.31"/>
    <n v="177"/>
    <n v="6814.5"/>
    <n v="0"/>
    <n v="0"/>
    <n v="177"/>
    <n v="6814.5"/>
    <n v="6814.5"/>
    <n v="0"/>
    <n v="0"/>
    <n v="0"/>
    <n v="0"/>
    <n v="500"/>
    <n v="0"/>
    <n v="6315"/>
    <n v="0"/>
    <n v="0"/>
    <n v="43"/>
    <n v="0"/>
  </r>
  <r>
    <x v="566"/>
    <s v="Rangi Dera"/>
    <s v="MPG"/>
    <s v="Direct"/>
    <n v="149.5"/>
    <n v="5915.1200000000008"/>
    <n v="150.69999999999999"/>
    <n v="5907.4400000000005"/>
    <n v="0"/>
    <n v="0"/>
    <n v="150.69999999999999"/>
    <n v="5907.4400000000005"/>
    <n v="5907.4400000000005"/>
    <n v="0"/>
    <n v="0"/>
    <n v="0"/>
    <n v="0"/>
    <n v="0"/>
    <n v="0"/>
    <n v="5907"/>
    <n v="0"/>
    <n v="0"/>
    <n v="8"/>
    <n v="0"/>
  </r>
  <r>
    <x v="567"/>
    <s v="Dubki"/>
    <s v="MPG"/>
    <s v="Direct"/>
    <n v="566.1"/>
    <n v="28037.349999999995"/>
    <n v="639.54999999999995"/>
    <n v="32593.819999999996"/>
    <n v="1.8699999999999997"/>
    <n v="81.249999999999986"/>
    <n v="641.41999999999996"/>
    <n v="32675.069999999996"/>
    <n v="28037.349999999995"/>
    <n v="0"/>
    <n v="81.249999999999986"/>
    <n v="4637.7200000000012"/>
    <n v="0"/>
    <n v="0"/>
    <n v="0"/>
    <n v="27956"/>
    <n v="0"/>
    <n v="0"/>
    <n v="0"/>
    <n v="0"/>
  </r>
  <r>
    <x v="568"/>
    <s v="Sonvarsa"/>
    <s v="MPG"/>
    <s v="Direct"/>
    <n v="311.60000000000002"/>
    <n v="12403.179999999998"/>
    <n v="315.69000000000005"/>
    <n v="12672.9"/>
    <n v="0"/>
    <n v="0"/>
    <n v="315.69000000000005"/>
    <n v="12672.9"/>
    <n v="12403.179999999998"/>
    <n v="0"/>
    <n v="0"/>
    <n v="269.72000000000116"/>
    <n v="0"/>
    <n v="0"/>
    <n v="0"/>
    <n v="12403"/>
    <n v="0"/>
    <n v="0"/>
    <n v="0"/>
    <n v="0"/>
  </r>
  <r>
    <x v="569"/>
    <s v="Soan"/>
    <s v="MPG"/>
    <s v="Direct"/>
    <n v="371.00000000000006"/>
    <n v="16454.859999999997"/>
    <n v="382.86999999999995"/>
    <n v="16283.480000000003"/>
    <n v="3.6500000000000008"/>
    <n v="154.71"/>
    <n v="386.51999999999992"/>
    <n v="16438.190000000002"/>
    <n v="16438.190000000002"/>
    <n v="0"/>
    <n v="154.71"/>
    <n v="0"/>
    <n v="0"/>
    <n v="0"/>
    <n v="0"/>
    <n v="16283"/>
    <n v="0"/>
    <n v="0"/>
    <n v="17"/>
    <n v="0"/>
  </r>
  <r>
    <x v="570"/>
    <s v="PURANA BHOJPUR                                                                                      "/>
    <s v="MPG"/>
    <s v="Direct"/>
    <n v="222.70000000000002"/>
    <n v="8696.8900000000012"/>
    <n v="223"/>
    <n v="8679.16"/>
    <n v="0"/>
    <n v="0"/>
    <n v="223"/>
    <n v="8679.16"/>
    <n v="8679.16"/>
    <n v="0"/>
    <n v="0"/>
    <n v="0"/>
    <n v="0"/>
    <n v="0"/>
    <n v="0"/>
    <n v="8679"/>
    <n v="0"/>
    <n v="0"/>
    <n v="18"/>
    <n v="0"/>
  </r>
  <r>
    <x v="571"/>
    <s v="Gomukh Kant"/>
    <s v="MPG"/>
    <s v="Direct"/>
    <n v="185.4"/>
    <n v="9020.11"/>
    <n v="211.3"/>
    <n v="11858.42"/>
    <n v="0.9"/>
    <n v="55.88"/>
    <n v="212.20000000000002"/>
    <n v="11914.3"/>
    <n v="9020.11"/>
    <n v="0"/>
    <n v="55.88"/>
    <n v="2894.1899999999987"/>
    <n v="0"/>
    <n v="500"/>
    <n v="0"/>
    <n v="8464"/>
    <n v="0"/>
    <n v="0"/>
    <n v="0"/>
    <n v="0"/>
  </r>
  <r>
    <x v="572"/>
    <s v="Gomukh Naat"/>
    <s v="MPG"/>
    <s v="Direct"/>
    <n v="565.39999999999986"/>
    <n v="21265.430000000004"/>
    <n v="591.87999999999988"/>
    <n v="23699.55"/>
    <n v="0"/>
    <n v="0"/>
    <n v="591.87999999999988"/>
    <n v="23699.55"/>
    <n v="21265.430000000004"/>
    <n v="0"/>
    <n v="0"/>
    <n v="2434.1199999999953"/>
    <n v="0"/>
    <n v="0"/>
    <n v="0"/>
    <n v="21265"/>
    <n v="0"/>
    <n v="0"/>
    <n v="0"/>
    <n v="0"/>
  </r>
  <r>
    <x v="573"/>
    <s v="Gomukh Raghunathpur"/>
    <s v="MPG"/>
    <s v="Direct"/>
    <n v="388.03999999999996"/>
    <n v="15666.359999999999"/>
    <n v="389.4"/>
    <n v="15631.919999999998"/>
    <n v="0"/>
    <n v="0"/>
    <n v="389.4"/>
    <n v="15631.919999999998"/>
    <n v="15631.919999999998"/>
    <n v="0"/>
    <n v="0"/>
    <n v="0"/>
    <n v="0"/>
    <n v="0"/>
    <n v="0"/>
    <n v="15632"/>
    <n v="0"/>
    <n v="0"/>
    <n v="34"/>
    <n v="0"/>
  </r>
  <r>
    <x v="574"/>
    <s v="Gomukh Tilakraika Hata 1 - Manoj"/>
    <s v="vlc"/>
    <s v="Indirect"/>
    <n v="1522.7"/>
    <n v="53524.78"/>
    <n v="0"/>
    <n v="0"/>
    <n v="0"/>
    <n v="0"/>
    <n v="0"/>
    <n v="0"/>
    <n v="53524.78"/>
    <n v="0"/>
    <n v="0"/>
    <n v="0"/>
    <n v="0"/>
    <n v="0"/>
    <n v="0"/>
    <n v="0"/>
    <n v="0"/>
    <n v="53524.78"/>
    <n v="0"/>
    <n v="0"/>
  </r>
  <r>
    <x v="575"/>
    <s v="Gomukh Murar"/>
    <s v="MPG"/>
    <s v="Direct"/>
    <n v="1207.92"/>
    <n v="49678.58"/>
    <n v="546.59999999999991"/>
    <n v="22756.590000000004"/>
    <n v="812.9"/>
    <n v="38581.19"/>
    <n v="1359.5"/>
    <n v="61337.780000000006"/>
    <n v="49678.58"/>
    <n v="0"/>
    <n v="355.06999999999994"/>
    <n v="11659.200000000004"/>
    <n v="0"/>
    <n v="0"/>
    <n v="0"/>
    <n v="11096"/>
    <n v="38228"/>
    <n v="0"/>
    <n v="0"/>
    <n v="0"/>
  </r>
  <r>
    <x v="576"/>
    <s v="Gomukh Churamanpur                                                                                  "/>
    <s v="MPG"/>
    <s v="Direct"/>
    <n v="187.2"/>
    <n v="7582.41"/>
    <n v="186.7"/>
    <n v="7578.15"/>
    <n v="0"/>
    <n v="0"/>
    <n v="186.7"/>
    <n v="7578.15"/>
    <n v="7578.15"/>
    <n v="0"/>
    <n v="0"/>
    <n v="0"/>
    <n v="0"/>
    <n v="0"/>
    <n v="0"/>
    <n v="7578"/>
    <n v="0"/>
    <n v="0"/>
    <n v="4"/>
    <n v="0"/>
  </r>
  <r>
    <x v="577"/>
    <s v="Gomukh Ekauni Karuwaj"/>
    <s v="MPG"/>
    <s v="Direct"/>
    <n v="16.100000000000001"/>
    <n v="572.27"/>
    <n v="6"/>
    <n v="208.5"/>
    <n v="9.6999999999999993"/>
    <n v="341.90999999999997"/>
    <n v="15.7"/>
    <n v="550.41"/>
    <n v="550.41"/>
    <n v="0"/>
    <n v="0"/>
    <n v="0"/>
    <n v="0"/>
    <n v="500"/>
    <n v="0"/>
    <n v="1"/>
    <n v="50"/>
    <n v="0"/>
    <n v="21"/>
    <s v="Release1"/>
  </r>
  <r>
    <x v="578"/>
    <s v="Kulharia Agriculture Producer Company Limited"/>
    <s v="MPG"/>
    <s v="Direct"/>
    <n v="1139.5"/>
    <n v="47088.69"/>
    <n v="1128.1299999999999"/>
    <n v="46190.770000000004"/>
    <n v="11.42"/>
    <n v="460.86"/>
    <n v="1139.55"/>
    <n v="46651.630000000005"/>
    <n v="46651.630000000005"/>
    <n v="0"/>
    <n v="460.86"/>
    <n v="0"/>
    <n v="26600"/>
    <n v="0"/>
    <n v="0"/>
    <n v="19591"/>
    <n v="0"/>
    <n v="0"/>
    <n v="437"/>
    <n v="0"/>
  </r>
  <r>
    <x v="579"/>
    <s v="Gomukh Dhakaich"/>
    <s v="MPG"/>
    <s v="Direct"/>
    <n v="240.2"/>
    <n v="9480.14"/>
    <n v="242.78999999999996"/>
    <n v="9308.36"/>
    <n v="0"/>
    <n v="0"/>
    <n v="242.78999999999996"/>
    <n v="9308.36"/>
    <n v="9308.36"/>
    <n v="0"/>
    <n v="0"/>
    <n v="0"/>
    <n v="0"/>
    <n v="0"/>
    <n v="0"/>
    <n v="9307"/>
    <n v="0"/>
    <n v="0"/>
    <n v="173"/>
    <n v="0"/>
  </r>
  <r>
    <x v="580"/>
    <s v="Gomukh Kajipura Chandan"/>
    <s v="vlc"/>
    <s v="Indirect"/>
    <n v="742.80000000000007"/>
    <n v="28302.11"/>
    <n v="0"/>
    <n v="0"/>
    <n v="0"/>
    <n v="0"/>
    <n v="0"/>
    <n v="0"/>
    <n v="28302.11"/>
    <n v="0"/>
    <n v="0"/>
    <n v="0"/>
    <n v="0"/>
    <n v="0"/>
    <n v="0"/>
    <n v="0"/>
    <n v="0"/>
    <n v="28302.11"/>
    <n v="0"/>
    <n v="0"/>
  </r>
  <r>
    <x v="982"/>
    <s v="Gomukh Keshopur Surendra"/>
    <s v="vlc"/>
    <s v="Indirect"/>
    <n v="108"/>
    <n v="3557.52"/>
    <n v="0"/>
    <n v="0"/>
    <n v="0"/>
    <n v="0"/>
    <n v="0"/>
    <n v="0"/>
    <n v="3557.52"/>
    <n v="0"/>
    <n v="0"/>
    <n v="0"/>
    <n v="0"/>
    <n v="0"/>
    <n v="0"/>
    <n v="0"/>
    <n v="0"/>
    <n v="3557.52"/>
    <n v="0"/>
    <n v="0"/>
  </r>
  <r>
    <x v="581"/>
    <s v="Gomukh Sikraul Lakh"/>
    <s v="MPG"/>
    <s v="Direct"/>
    <n v="517.80000000000007"/>
    <n v="21575.040000000001"/>
    <n v="511.5"/>
    <n v="21273.54"/>
    <n v="5.9399999999999995"/>
    <n v="238.74"/>
    <n v="517.44000000000005"/>
    <n v="21512.280000000002"/>
    <n v="21512.280000000002"/>
    <n v="0"/>
    <n v="238.74"/>
    <n v="0"/>
    <n v="0"/>
    <n v="0"/>
    <n v="0"/>
    <n v="21274"/>
    <n v="0"/>
    <n v="0"/>
    <n v="62"/>
    <n v="0"/>
  </r>
  <r>
    <x v="582"/>
    <s v="Gomukh Dafadihari"/>
    <s v="MPG"/>
    <s v="Direct"/>
    <n v="221.79999999999998"/>
    <n v="7931.68"/>
    <n v="219.7"/>
    <n v="8258.9499999999989"/>
    <n v="1.6999999999999997"/>
    <n v="70.640000000000015"/>
    <n v="221.39999999999998"/>
    <n v="8329.5899999999983"/>
    <n v="7931.68"/>
    <n v="0"/>
    <n v="70.640000000000015"/>
    <n v="397.90999999999804"/>
    <n v="0"/>
    <n v="0"/>
    <n v="0"/>
    <n v="7861"/>
    <n v="0"/>
    <n v="0"/>
    <n v="0"/>
    <s v="Release1"/>
  </r>
  <r>
    <x v="583"/>
    <s v="Gomukh Paharpur"/>
    <s v="MPG"/>
    <s v="Direct"/>
    <n v="119.2"/>
    <n v="4511.8300000000008"/>
    <n v="117"/>
    <n v="4504.5"/>
    <n v="0"/>
    <n v="0"/>
    <n v="117"/>
    <n v="4504.5"/>
    <n v="4504.5"/>
    <n v="0"/>
    <n v="0"/>
    <n v="0"/>
    <n v="0"/>
    <n v="500"/>
    <n v="0"/>
    <n v="4005"/>
    <n v="0"/>
    <n v="0"/>
    <n v="7"/>
    <n v="0"/>
  </r>
  <r>
    <x v="584"/>
    <s v="Gomukh Basaon Kalan"/>
    <s v="MPG"/>
    <s v="Direct"/>
    <n v="42"/>
    <n v="1555.8700000000001"/>
    <n v="41.9"/>
    <n v="1554.91"/>
    <n v="0"/>
    <n v="0"/>
    <n v="41.9"/>
    <n v="1554.91"/>
    <n v="1554.91"/>
    <n v="0"/>
    <n v="0"/>
    <n v="0"/>
    <n v="0"/>
    <n v="0"/>
    <n v="0"/>
    <n v="1555"/>
    <n v="0"/>
    <n v="0"/>
    <n v="1"/>
    <n v="0"/>
  </r>
  <r>
    <x v="585"/>
    <s v="Gomukh Mangolpur"/>
    <s v="MPG"/>
    <s v="Direct"/>
    <n v="352.20000000000005"/>
    <n v="12215.990000000002"/>
    <n v="348.8"/>
    <n v="12190"/>
    <n v="5.5000000000000009"/>
    <n v="193.17"/>
    <n v="354.3"/>
    <n v="12383.17"/>
    <n v="12215.990000000002"/>
    <n v="0"/>
    <n v="193.17"/>
    <n v="167.17999999999847"/>
    <n v="0"/>
    <n v="0"/>
    <n v="0"/>
    <n v="12023"/>
    <n v="0"/>
    <n v="0"/>
    <n v="0"/>
    <n v="0"/>
  </r>
  <r>
    <x v="586"/>
    <s v="Gomukh Dhanipur"/>
    <s v="MPG"/>
    <s v="Direct"/>
    <n v="349.5"/>
    <n v="14393.59"/>
    <n v="353.01000000000005"/>
    <n v="15776.239999999998"/>
    <n v="0"/>
    <n v="0"/>
    <n v="353.01000000000005"/>
    <n v="15776.239999999998"/>
    <n v="14393.59"/>
    <n v="0"/>
    <n v="0"/>
    <n v="1382.6499999999978"/>
    <n v="0"/>
    <n v="0"/>
    <n v="0"/>
    <n v="14394"/>
    <n v="0"/>
    <n v="0"/>
    <n v="0"/>
    <n v="0"/>
  </r>
  <r>
    <x v="587"/>
    <s v="Gomukh Rakshanagar_tola"/>
    <s v="MPG"/>
    <s v="Direct"/>
    <n v="570.4"/>
    <n v="24298.28"/>
    <n v="595.29999999999995"/>
    <n v="27317.01"/>
    <n v="0"/>
    <n v="0"/>
    <n v="595.29999999999995"/>
    <n v="27317.01"/>
    <n v="24298.28"/>
    <n v="0"/>
    <n v="0"/>
    <n v="3018.7299999999996"/>
    <n v="0"/>
    <n v="0"/>
    <n v="0"/>
    <n v="24298"/>
    <n v="0"/>
    <n v="0"/>
    <n v="0"/>
    <n v="0"/>
  </r>
  <r>
    <x v="588"/>
    <s v="Gomukh Nadaon"/>
    <s v="MPG"/>
    <s v="Direct"/>
    <n v="305.5"/>
    <n v="9382.81"/>
    <n v="225.79999999999998"/>
    <n v="9379.8799999999992"/>
    <n v="0"/>
    <n v="0"/>
    <n v="225.79999999999998"/>
    <n v="9379.8799999999992"/>
    <n v="9379.8799999999992"/>
    <n v="0"/>
    <n v="0"/>
    <n v="0"/>
    <n v="0"/>
    <n v="500"/>
    <n v="0"/>
    <n v="8880"/>
    <n v="0"/>
    <n v="0"/>
    <n v="3"/>
    <n v="0"/>
  </r>
  <r>
    <x v="589"/>
    <s v="Gomukh Mathuradera Upendra "/>
    <s v="vlc"/>
    <s v="Indirect"/>
    <n v="473.2"/>
    <n v="19784.810000000005"/>
    <n v="0"/>
    <n v="0"/>
    <n v="0"/>
    <n v="0"/>
    <n v="0"/>
    <n v="0"/>
    <n v="19784.810000000005"/>
    <n v="0"/>
    <n v="0"/>
    <n v="0"/>
    <n v="0"/>
    <n v="0"/>
    <n v="0"/>
    <n v="0"/>
    <n v="0"/>
    <n v="19784.810000000005"/>
    <n v="0"/>
    <n v="0"/>
  </r>
  <r>
    <x v="590"/>
    <s v="Gomukh Bramhpur"/>
    <s v="MPG"/>
    <s v="Direct"/>
    <n v="146.70000000000002"/>
    <n v="4803.12"/>
    <n v="205.06"/>
    <n v="7978.1299999999992"/>
    <n v="0"/>
    <n v="0"/>
    <n v="205.06"/>
    <n v="7978.1299999999992"/>
    <n v="4803.12"/>
    <n v="0"/>
    <n v="0"/>
    <n v="3175.0099999999993"/>
    <n v="0"/>
    <n v="500"/>
    <n v="0"/>
    <n v="4303"/>
    <n v="0"/>
    <n v="0"/>
    <n v="0"/>
    <n v="0"/>
  </r>
  <r>
    <x v="591"/>
    <s v="Gomukh Mashariya"/>
    <s v="MPG"/>
    <s v="Direct"/>
    <n v="660.7"/>
    <n v="25516.09"/>
    <n v="395.70000000000005"/>
    <n v="16508.730000000003"/>
    <n v="227.14"/>
    <n v="8971.51"/>
    <n v="622.84"/>
    <n v="25480.240000000005"/>
    <n v="25480.240000000005"/>
    <n v="0"/>
    <n v="900.15000000000009"/>
    <n v="0"/>
    <n v="0"/>
    <n v="0"/>
    <n v="0"/>
    <n v="16509"/>
    <n v="8071"/>
    <n v="0"/>
    <n v="36"/>
    <n v="0"/>
  </r>
  <r>
    <x v="592"/>
    <s v="Gomukh Basawkala Sudhir Kumar"/>
    <s v="vlc"/>
    <s v="Indirect"/>
    <n v="239.1"/>
    <n v="9448.130000000001"/>
    <n v="0"/>
    <n v="0"/>
    <n v="0"/>
    <n v="0"/>
    <n v="0"/>
    <n v="0"/>
    <n v="9448.130000000001"/>
    <n v="0"/>
    <n v="0"/>
    <n v="0"/>
    <n v="0"/>
    <n v="0"/>
    <n v="0"/>
    <n v="0"/>
    <n v="0"/>
    <n v="9448.130000000001"/>
    <n v="0"/>
    <n v="0"/>
  </r>
  <r>
    <x v="593"/>
    <s v="Gomukh KritSagar"/>
    <s v="MPG"/>
    <s v="Direct"/>
    <n v="349.3"/>
    <n v="17092.25"/>
    <n v="349"/>
    <n v="17031.2"/>
    <n v="0"/>
    <n v="0"/>
    <n v="349"/>
    <n v="17031.2"/>
    <n v="17031.2"/>
    <n v="0"/>
    <n v="0"/>
    <n v="0"/>
    <n v="0"/>
    <n v="0"/>
    <n v="0"/>
    <n v="17031"/>
    <n v="0"/>
    <n v="0"/>
    <n v="61"/>
    <n v="0"/>
  </r>
  <r>
    <x v="594"/>
    <s v="Gomukh Navdera Jaipraksh"/>
    <s v="vlc"/>
    <s v="Indirect"/>
    <n v="2230.5"/>
    <n v="85998.750000000015"/>
    <n v="0"/>
    <n v="0"/>
    <n v="0"/>
    <n v="0"/>
    <n v="0"/>
    <n v="0"/>
    <n v="85998.750000000015"/>
    <n v="0"/>
    <n v="0"/>
    <n v="0"/>
    <n v="0"/>
    <n v="0"/>
    <n v="0"/>
    <n v="0"/>
    <n v="0"/>
    <n v="85998.750000000015"/>
    <n v="0"/>
    <n v="0"/>
  </r>
  <r>
    <x v="595"/>
    <s v="Gomukh Ataon"/>
    <s v="MPG"/>
    <s v="Direct"/>
    <n v="365.40000000000003"/>
    <n v="16301.179999999998"/>
    <n v="381.09999999999997"/>
    <n v="17851.419999999998"/>
    <n v="0"/>
    <n v="0"/>
    <n v="381.09999999999997"/>
    <n v="17851.419999999998"/>
    <n v="16301.179999999998"/>
    <n v="0"/>
    <n v="0"/>
    <n v="1550.2399999999998"/>
    <n v="0"/>
    <n v="0"/>
    <n v="0"/>
    <n v="16301"/>
    <n v="0"/>
    <n v="0"/>
    <n v="0"/>
    <s v="Release1"/>
  </r>
  <r>
    <x v="596"/>
    <s v="Gumukh Gayghat"/>
    <s v="MPG"/>
    <s v="Direct"/>
    <n v="854.5"/>
    <n v="31654.29"/>
    <n v="862.45"/>
    <n v="37421.56"/>
    <n v="0"/>
    <n v="0"/>
    <n v="862.45"/>
    <n v="37421.56"/>
    <n v="31654.29"/>
    <n v="0"/>
    <n v="0"/>
    <n v="5767.2699999999968"/>
    <n v="0"/>
    <n v="0"/>
    <n v="0"/>
    <n v="31654"/>
    <n v="0"/>
    <n v="0"/>
    <n v="0"/>
    <s v="Release1"/>
  </r>
  <r>
    <x v="597"/>
    <s v="Gomukh Chakki Janardan Yadav"/>
    <s v="vlc"/>
    <s v="Indirect"/>
    <n v="66.099999999999994"/>
    <n v="2455.48"/>
    <n v="0"/>
    <n v="0"/>
    <n v="0"/>
    <n v="0"/>
    <n v="0"/>
    <n v="0"/>
    <n v="2455.48"/>
    <n v="0"/>
    <n v="0"/>
    <n v="0"/>
    <n v="0"/>
    <n v="0"/>
    <n v="0"/>
    <n v="0"/>
    <n v="0"/>
    <n v="2455.48"/>
    <n v="0"/>
    <n v="0"/>
  </r>
  <r>
    <x v="598"/>
    <s v="Gomukh Rajpur"/>
    <s v="MPG"/>
    <s v="Direct"/>
    <n v="1099.2"/>
    <n v="46947.439999999995"/>
    <n v="1077.93"/>
    <n v="46369.34"/>
    <n v="11.38"/>
    <n v="500.26999999999992"/>
    <n v="1089.3100000000002"/>
    <n v="46869.609999999993"/>
    <n v="46869.609999999993"/>
    <n v="0"/>
    <n v="500.26999999999992"/>
    <n v="0"/>
    <n v="0"/>
    <n v="0"/>
    <n v="0"/>
    <n v="46368"/>
    <n v="0"/>
    <n v="0"/>
    <n v="79"/>
    <n v="0"/>
  </r>
  <r>
    <x v="599"/>
    <s v="Gomukh Gangauli Dubha"/>
    <s v="MPG"/>
    <s v="Direct"/>
    <n v="176.59999999999997"/>
    <n v="7384.0800000000008"/>
    <n v="183.1"/>
    <n v="7280.5700000000006"/>
    <n v="3.0999999999999996"/>
    <n v="132.06"/>
    <n v="186.2"/>
    <n v="7412.630000000001"/>
    <n v="7384.0800000000008"/>
    <n v="0"/>
    <n v="132.06"/>
    <n v="28.550000000000182"/>
    <n v="0"/>
    <n v="0"/>
    <n v="0"/>
    <n v="7252"/>
    <n v="0"/>
    <n v="0"/>
    <n v="0"/>
    <n v="0"/>
  </r>
  <r>
    <x v="600"/>
    <s v="Gomukh Jagdishpur"/>
    <s v="MPG"/>
    <s v="Direct"/>
    <n v="511.40000000000009"/>
    <n v="17903.12"/>
    <n v="509"/>
    <n v="17901.53"/>
    <n v="0"/>
    <n v="0"/>
    <n v="509"/>
    <n v="17901.53"/>
    <n v="17901.53"/>
    <n v="0"/>
    <n v="0"/>
    <n v="0"/>
    <n v="6650"/>
    <n v="0"/>
    <n v="0"/>
    <n v="11252"/>
    <n v="0"/>
    <n v="0"/>
    <n v="1"/>
    <n v="0"/>
  </r>
  <r>
    <x v="601"/>
    <s v="Gumukk JP Dera"/>
    <s v="vlc"/>
    <s v="Indirect"/>
    <n v="464.99999999999994"/>
    <n v="18471.699999999997"/>
    <n v="0"/>
    <n v="0"/>
    <n v="0"/>
    <n v="0"/>
    <n v="0"/>
    <n v="0"/>
    <n v="18471.699999999997"/>
    <n v="0"/>
    <n v="0"/>
    <n v="0"/>
    <n v="0"/>
    <n v="0"/>
    <n v="0"/>
    <n v="0"/>
    <n v="0"/>
    <n v="18471.699999999997"/>
    <n v="0"/>
    <n v="0"/>
  </r>
  <r>
    <x v="602"/>
    <s v="Gumukh Orap Khurd"/>
    <s v="MPG"/>
    <s v="Direct"/>
    <n v="410.5"/>
    <n v="16354.609999999997"/>
    <n v="420.56999999999994"/>
    <n v="16368.740000000005"/>
    <n v="0"/>
    <n v="0"/>
    <n v="420.56999999999994"/>
    <n v="16368.740000000005"/>
    <n v="16354.609999999997"/>
    <n v="0"/>
    <n v="0"/>
    <n v="14.130000000008295"/>
    <n v="0"/>
    <n v="0"/>
    <n v="0"/>
    <n v="16355"/>
    <n v="0"/>
    <n v="0"/>
    <n v="0"/>
    <n v="0"/>
  </r>
  <r>
    <x v="603"/>
    <s v="Gomukh Daunpura Manendra"/>
    <s v="vlc"/>
    <s v="Indirect"/>
    <n v="416.10000000000008"/>
    <n v="16381.399999999998"/>
    <n v="0"/>
    <n v="0"/>
    <n v="0"/>
    <n v="0"/>
    <n v="0"/>
    <n v="0"/>
    <n v="16381.399999999998"/>
    <n v="0"/>
    <n v="0"/>
    <n v="0"/>
    <n v="0"/>
    <n v="0"/>
    <n v="0"/>
    <n v="0"/>
    <n v="0"/>
    <n v="16381.399999999998"/>
    <n v="0"/>
    <n v="0"/>
  </r>
  <r>
    <x v="604"/>
    <s v="Gumukh Mathiyapur"/>
    <s v="MPG"/>
    <s v="Direct"/>
    <n v="192.1"/>
    <n v="8021.48"/>
    <n v="192.3"/>
    <n v="8018.91"/>
    <n v="0"/>
    <n v="0"/>
    <n v="192.3"/>
    <n v="8018.91"/>
    <n v="8018.91"/>
    <n v="0"/>
    <n v="0"/>
    <n v="0"/>
    <n v="0"/>
    <n v="0"/>
    <n v="0"/>
    <n v="8019"/>
    <n v="0"/>
    <n v="0"/>
    <n v="2"/>
    <n v="0"/>
  </r>
  <r>
    <x v="605"/>
    <s v="Gomukh Raghunathpur Dasrath"/>
    <s v="vlc"/>
    <s v="Indirect"/>
    <n v="875.59999999999991"/>
    <n v="36649.94"/>
    <n v="0"/>
    <n v="0"/>
    <n v="0"/>
    <n v="0"/>
    <n v="0"/>
    <n v="0"/>
    <n v="36649.94"/>
    <n v="0"/>
    <n v="0"/>
    <n v="0"/>
    <n v="0"/>
    <n v="0"/>
    <n v="0"/>
    <n v="0"/>
    <n v="0"/>
    <n v="36649.94"/>
    <n v="0"/>
    <n v="0"/>
  </r>
  <r>
    <x v="606"/>
    <s v="Gomukh Lakshman Dera Raja"/>
    <s v="vlc"/>
    <s v="Indirect"/>
    <n v="145.90000000000003"/>
    <n v="5234.0399999999991"/>
    <n v="0"/>
    <n v="0"/>
    <n v="0"/>
    <n v="0"/>
    <n v="0"/>
    <n v="0"/>
    <n v="5234.0399999999991"/>
    <n v="0"/>
    <n v="0"/>
    <n v="0"/>
    <n v="0"/>
    <n v="0"/>
    <n v="0"/>
    <n v="0"/>
    <n v="0"/>
    <n v="5234.0399999999991"/>
    <n v="0"/>
    <n v="0"/>
  </r>
  <r>
    <x v="607"/>
    <s v="Sohan Narayan Farmer Dairy Producer Company Ltd"/>
    <s v="vlc"/>
    <s v="Indirect"/>
    <n v="2937.6"/>
    <n v="108518.93000000001"/>
    <n v="0"/>
    <n v="0"/>
    <n v="0"/>
    <n v="0"/>
    <n v="0"/>
    <n v="0"/>
    <n v="108518.93000000001"/>
    <n v="0"/>
    <n v="0"/>
    <n v="0"/>
    <n v="0"/>
    <n v="0"/>
    <n v="0"/>
    <n v="0"/>
    <n v="0"/>
    <n v="108518.93000000001"/>
    <n v="0"/>
    <n v="0"/>
  </r>
  <r>
    <x v="608"/>
    <s v="Gomukh Arion Govind "/>
    <s v="vlc"/>
    <s v="Indirect"/>
    <n v="99.8"/>
    <n v="4140.12"/>
    <n v="0"/>
    <n v="0"/>
    <n v="0"/>
    <n v="0"/>
    <n v="0"/>
    <n v="0"/>
    <n v="4140.12"/>
    <n v="0"/>
    <n v="0"/>
    <n v="0"/>
    <n v="0"/>
    <n v="0"/>
    <n v="0"/>
    <n v="0"/>
    <n v="0"/>
    <n v="4140.12"/>
    <n v="0"/>
    <n v="0"/>
  </r>
  <r>
    <x v="609"/>
    <s v="Gumukh Basawkala Dahpura Tola"/>
    <s v="MPG"/>
    <s v="Direct"/>
    <n v="797.00000000000011"/>
    <n v="32808.650000000009"/>
    <n v="795.03"/>
    <n v="32803.839999999997"/>
    <n v="0"/>
    <n v="0"/>
    <n v="795.03"/>
    <n v="32803.839999999997"/>
    <n v="32803.839999999997"/>
    <n v="0"/>
    <n v="0"/>
    <n v="0"/>
    <n v="0"/>
    <n v="0"/>
    <n v="0"/>
    <n v="32804"/>
    <n v="0"/>
    <n v="0"/>
    <n v="5"/>
    <n v="0"/>
  </r>
  <r>
    <x v="610"/>
    <s v="GomukhSimari Bakulha Patti"/>
    <s v="vlc"/>
    <s v="Indirect"/>
    <n v="322.7"/>
    <n v="11543.220000000001"/>
    <n v="0"/>
    <n v="0"/>
    <n v="0"/>
    <n v="0"/>
    <n v="0"/>
    <n v="0"/>
    <n v="11543.220000000001"/>
    <n v="0"/>
    <n v="0"/>
    <n v="0"/>
    <n v="0"/>
    <n v="0"/>
    <n v="0"/>
    <n v="0"/>
    <n v="0"/>
    <n v="11543.220000000001"/>
    <n v="0"/>
    <n v="0"/>
  </r>
  <r>
    <x v="611"/>
    <s v="Gomukh Baijnathpur"/>
    <s v="MPG"/>
    <s v="Direct"/>
    <n v="963.10000000000014"/>
    <n v="39472.730000000003"/>
    <n v="963.12"/>
    <n v="40183.719999999994"/>
    <n v="0"/>
    <n v="0"/>
    <n v="963.12"/>
    <n v="40183.719999999994"/>
    <n v="39472.730000000003"/>
    <n v="0"/>
    <n v="0"/>
    <n v="710.98999999999069"/>
    <n v="0"/>
    <n v="0"/>
    <n v="0"/>
    <n v="39473"/>
    <n v="0"/>
    <n v="0"/>
    <n v="0"/>
    <n v="0"/>
  </r>
  <r>
    <x v="613"/>
    <s v="Gaachhi Tola"/>
    <s v="MPG"/>
    <s v="Indirect"/>
    <n v="724.1"/>
    <n v="30035.900000000005"/>
    <n v="0"/>
    <n v="0"/>
    <n v="0"/>
    <n v="0"/>
    <n v="0"/>
    <n v="0"/>
    <n v="30035.900000000005"/>
    <n v="0"/>
    <n v="0"/>
    <n v="0"/>
    <n v="0"/>
    <n v="0"/>
    <n v="0"/>
    <n v="0"/>
    <n v="0"/>
    <n v="30035.900000000005"/>
    <n v="0"/>
    <n v="0"/>
  </r>
  <r>
    <x v="983"/>
    <s v="SHIVNAR-2"/>
    <s v="MPG"/>
    <s v="Direct"/>
    <n v="472.5"/>
    <n v="19178.78"/>
    <n v="472.5"/>
    <n v="19178.78"/>
    <n v="0"/>
    <n v="0"/>
    <n v="472.5"/>
    <n v="19178.78"/>
    <n v="19178.78"/>
    <n v="0"/>
    <n v="0"/>
    <n v="0"/>
    <n v="0"/>
    <n v="0"/>
    <n v="0"/>
    <n v="19179"/>
    <n v="0"/>
    <n v="0"/>
    <n v="0"/>
    <n v="0"/>
  </r>
  <r>
    <x v="614"/>
    <s v="KUMARPUIR KATHARA"/>
    <s v="MPG"/>
    <s v="Direct"/>
    <n v="2246.0499999999997"/>
    <n v="86984.38"/>
    <n v="2332.2000000000007"/>
    <n v="85503.549999999988"/>
    <n v="28.499999999999996"/>
    <n v="1502.03"/>
    <n v="2360.7000000000007"/>
    <n v="87005.579999999987"/>
    <n v="86984.38"/>
    <n v="0"/>
    <n v="1502.03"/>
    <n v="21.199999999982538"/>
    <n v="0"/>
    <n v="0"/>
    <n v="0"/>
    <n v="85482"/>
    <n v="0"/>
    <n v="0"/>
    <n v="0"/>
    <n v="0"/>
  </r>
  <r>
    <x v="615"/>
    <s v="KUDHIYA MPG"/>
    <s v="MPG"/>
    <s v="Direct"/>
    <n v="1181.1000000000001"/>
    <n v="52772.36"/>
    <n v="1171.5"/>
    <n v="52408.320000000007"/>
    <n v="13.9"/>
    <n v="616.28"/>
    <n v="1185.4000000000001"/>
    <n v="53024.600000000006"/>
    <n v="52772.36"/>
    <n v="0"/>
    <n v="616.28"/>
    <n v="252.24000000000524"/>
    <n v="0"/>
    <n v="0"/>
    <n v="0"/>
    <n v="52156"/>
    <n v="0"/>
    <n v="0"/>
    <n v="0"/>
    <n v="0"/>
  </r>
  <r>
    <x v="616"/>
    <s v="SHAHJADPUR MPG"/>
    <s v="MPG"/>
    <s v="Direct"/>
    <n v="1577.45"/>
    <n v="59995.89"/>
    <n v="1573.9"/>
    <n v="68381.36"/>
    <n v="9.5999999999999979"/>
    <n v="413.82"/>
    <n v="1583.5"/>
    <n v="68795.180000000008"/>
    <n v="59995.89"/>
    <n v="0"/>
    <n v="413.82"/>
    <n v="8799.2900000000081"/>
    <n v="1250"/>
    <n v="0"/>
    <n v="0"/>
    <n v="58332"/>
    <n v="0"/>
    <n v="0"/>
    <n v="0"/>
    <s v="Release1"/>
  </r>
  <r>
    <x v="617"/>
    <s v="FARDA - 3"/>
    <s v="MPG"/>
    <s v="Direct"/>
    <n v="2369.6"/>
    <n v="87731.780000000013"/>
    <n v="238.19999999999996"/>
    <n v="8850.74"/>
    <n v="2204.6999999999998"/>
    <n v="83416.69"/>
    <n v="2442.8999999999996"/>
    <n v="92267.430000000008"/>
    <n v="87731.780000000013"/>
    <n v="0"/>
    <n v="335.37999999999994"/>
    <n v="4535.6499999999942"/>
    <n v="0"/>
    <n v="0"/>
    <n v="0"/>
    <n v="4314"/>
    <n v="83082"/>
    <n v="0"/>
    <n v="0"/>
    <n v="0"/>
  </r>
  <r>
    <x v="618"/>
    <s v="CHANDANPURA"/>
    <s v="MPG"/>
    <s v="Indirect"/>
    <n v="1282.3999999999999"/>
    <n v="54498.71"/>
    <n v="0"/>
    <n v="0"/>
    <n v="0"/>
    <n v="0"/>
    <n v="0"/>
    <n v="0"/>
    <n v="54498.71"/>
    <n v="0"/>
    <n v="0"/>
    <n v="0"/>
    <n v="0"/>
    <n v="0"/>
    <n v="0"/>
    <n v="0"/>
    <n v="0"/>
    <n v="54498.71"/>
    <n v="0"/>
    <n v="0"/>
  </r>
  <r>
    <x v="619"/>
    <s v="MANIKPUR"/>
    <s v="MPG"/>
    <s v="Direct"/>
    <n v="886.19999999999993"/>
    <n v="37641.94"/>
    <n v="0"/>
    <n v="0"/>
    <n v="991.2"/>
    <n v="41834.570000000022"/>
    <n v="991.2"/>
    <n v="41834.570000000022"/>
    <n v="37641.94"/>
    <n v="0"/>
    <n v="261.29000000000002"/>
    <n v="4192.6300000000192"/>
    <n v="0"/>
    <n v="0"/>
    <n v="0"/>
    <n v="0"/>
    <n v="37381"/>
    <n v="0"/>
    <n v="0"/>
    <s v="Release3"/>
  </r>
  <r>
    <x v="620"/>
    <s v="JAKARPURA"/>
    <s v="MPG"/>
    <s v="Indirect"/>
    <n v="1782.6000000000001"/>
    <n v="71616.310000000012"/>
    <n v="0"/>
    <n v="0"/>
    <n v="0"/>
    <n v="0"/>
    <n v="0"/>
    <n v="0"/>
    <n v="71616.310000000012"/>
    <n v="0"/>
    <n v="0"/>
    <n v="0"/>
    <n v="0"/>
    <n v="0"/>
    <n v="0"/>
    <n v="0"/>
    <n v="0"/>
    <n v="71616.310000000012"/>
    <n v="0"/>
    <n v="0"/>
  </r>
  <r>
    <x v="621"/>
    <s v="KISHANPUR"/>
    <s v="MPG"/>
    <s v="Indirect"/>
    <n v="3131.2000000000003"/>
    <n v="124105.26000000001"/>
    <n v="0"/>
    <n v="0"/>
    <n v="0"/>
    <n v="0"/>
    <n v="0"/>
    <n v="0"/>
    <n v="124105.26000000001"/>
    <n v="0"/>
    <n v="0"/>
    <n v="0"/>
    <n v="0"/>
    <n v="0"/>
    <n v="0"/>
    <n v="0"/>
    <n v="0"/>
    <n v="124105.26000000001"/>
    <n v="0"/>
    <n v="0"/>
  </r>
  <r>
    <x v="622"/>
    <s v="NANDPUR"/>
    <s v="MPG"/>
    <s v="Indirect"/>
    <n v="1456"/>
    <n v="56729.639999999992"/>
    <n v="0"/>
    <n v="0"/>
    <n v="0"/>
    <n v="0"/>
    <n v="0"/>
    <n v="0"/>
    <n v="56729.639999999992"/>
    <n v="0"/>
    <n v="0"/>
    <n v="0"/>
    <n v="0"/>
    <n v="0"/>
    <n v="0"/>
    <n v="0"/>
    <n v="0"/>
    <n v="56729.639999999992"/>
    <n v="0"/>
    <n v="0"/>
  </r>
  <r>
    <x v="623"/>
    <s v="NOWAGADHI"/>
    <s v="MPG"/>
    <s v="Direct"/>
    <n v="1718.3000000000002"/>
    <n v="67513.290000000008"/>
    <n v="1832.4"/>
    <n v="70285.77"/>
    <n v="19.100000000000001"/>
    <n v="674.42"/>
    <n v="1851.5"/>
    <n v="70960.19"/>
    <n v="67513.290000000008"/>
    <n v="0"/>
    <n v="674.42"/>
    <n v="3446.8999999999942"/>
    <n v="0"/>
    <n v="0"/>
    <n v="0"/>
    <n v="66839"/>
    <n v="0"/>
    <n v="0"/>
    <n v="0"/>
    <n v="0"/>
  </r>
  <r>
    <x v="624"/>
    <s v="MAHADAT PUR 2"/>
    <s v="MPG"/>
    <s v="Direct"/>
    <n v="2406.2000000000003"/>
    <n v="93233.340000000011"/>
    <n v="2365.4"/>
    <n v="91689.170000000013"/>
    <n v="40.799999999999997"/>
    <n v="1544.17"/>
    <n v="2406.2000000000003"/>
    <n v="93233.340000000011"/>
    <n v="93233.340000000011"/>
    <n v="0"/>
    <n v="1544.17"/>
    <n v="0"/>
    <n v="0"/>
    <n v="0"/>
    <n v="0"/>
    <n v="91689"/>
    <n v="0"/>
    <n v="0"/>
    <n v="0"/>
    <n v="0"/>
  </r>
  <r>
    <x v="625"/>
    <s v="SONBARSHA 1"/>
    <s v="MPG"/>
    <s v="Direct"/>
    <n v="708"/>
    <n v="25437.86"/>
    <n v="624"/>
    <n v="22382.329999999998"/>
    <n v="85"/>
    <n v="3091.9500000000003"/>
    <n v="709"/>
    <n v="25474.28"/>
    <n v="25437.86"/>
    <n v="0"/>
    <n v="178.35000000000002"/>
    <n v="36.419999999998254"/>
    <n v="0"/>
    <n v="0"/>
    <n v="0"/>
    <n v="22348"/>
    <n v="2912"/>
    <n v="0"/>
    <n v="0"/>
    <n v="0"/>
  </r>
  <r>
    <x v="626"/>
    <s v="GANOUL"/>
    <s v="vlc"/>
    <s v="Indirect"/>
    <n v="496"/>
    <n v="17967.3"/>
    <n v="400"/>
    <n v="14484"/>
    <n v="0"/>
    <n v="0"/>
    <n v="400"/>
    <n v="14484"/>
    <n v="17967.3"/>
    <n v="0"/>
    <n v="28.97"/>
    <n v="0"/>
    <n v="0"/>
    <n v="0"/>
    <n v="0"/>
    <n v="0"/>
    <n v="0"/>
    <n v="17938.329999999998"/>
    <n v="0"/>
    <n v="0"/>
  </r>
  <r>
    <x v="627"/>
    <s v="Gauripur"/>
    <s v="MPG"/>
    <s v="Direct"/>
    <n v="1599"/>
    <n v="55565.25"/>
    <n v="1438"/>
    <n v="49969.24"/>
    <n v="161"/>
    <n v="5594.75"/>
    <n v="1599"/>
    <n v="55563.99"/>
    <n v="55563.99"/>
    <n v="0"/>
    <n v="243.25"/>
    <n v="0"/>
    <n v="0"/>
    <n v="0"/>
    <n v="0"/>
    <n v="49970"/>
    <n v="5352"/>
    <n v="0"/>
    <n v="0"/>
    <n v="0"/>
  </r>
  <r>
    <x v="628"/>
    <s v="Bhramarpur"/>
    <s v="MPG"/>
    <s v="Direct"/>
    <n v="3584"/>
    <n v="122366.6"/>
    <n v="646"/>
    <n v="21981.1"/>
    <n v="2944"/>
    <n v="100590.2"/>
    <n v="3590"/>
    <n v="122571.29999999999"/>
    <n v="122366.6"/>
    <n v="0"/>
    <n v="204.7"/>
    <n v="204.69999999998254"/>
    <n v="0"/>
    <n v="0"/>
    <n v="0"/>
    <n v="21777"/>
    <n v="100385"/>
    <n v="0"/>
    <n v="0"/>
    <n v="0"/>
  </r>
  <r>
    <x v="629"/>
    <s v="Gomukh Bariyarpur"/>
    <s v="MPG"/>
    <s v="Direct"/>
    <n v="453.30000000000007"/>
    <n v="17663.100000000002"/>
    <n v="453"/>
    <n v="17630.759999999998"/>
    <n v="0"/>
    <n v="0"/>
    <n v="453"/>
    <n v="17630.759999999998"/>
    <n v="17630.759999999998"/>
    <n v="0"/>
    <n v="0"/>
    <n v="0"/>
    <n v="1350"/>
    <n v="0"/>
    <n v="0"/>
    <n v="16281"/>
    <n v="0"/>
    <n v="0"/>
    <n v="32"/>
    <n v="0"/>
  </r>
  <r>
    <x v="630"/>
    <s v="Gomukh Sadananpur"/>
    <s v="MPG"/>
    <s v="Direct"/>
    <n v="110.3"/>
    <n v="3766.2799999999997"/>
    <n v="120.99999999999999"/>
    <n v="4600.2699999999995"/>
    <n v="0"/>
    <n v="0"/>
    <n v="120.99999999999999"/>
    <n v="4600.2699999999995"/>
    <n v="3766.2799999999997"/>
    <n v="0"/>
    <n v="0"/>
    <n v="833.98999999999978"/>
    <n v="0"/>
    <n v="0"/>
    <n v="0"/>
    <n v="3766"/>
    <n v="0"/>
    <n v="0"/>
    <n v="0"/>
    <s v="Release3"/>
  </r>
  <r>
    <x v="631"/>
    <s v="TILAKPUR  2"/>
    <s v="MPG"/>
    <s v="Direct"/>
    <n v="584.6"/>
    <n v="20502.129999999997"/>
    <n v="585.50000000000011"/>
    <n v="21684.38"/>
    <n v="1.6"/>
    <n v="59.199999999999996"/>
    <n v="587.10000000000014"/>
    <n v="21743.58"/>
    <n v="20502.129999999997"/>
    <n v="0"/>
    <n v="59.199999999999996"/>
    <n v="1241.4500000000044"/>
    <n v="0"/>
    <n v="0"/>
    <n v="0"/>
    <n v="20443"/>
    <n v="0"/>
    <n v="0"/>
    <n v="0"/>
    <n v="0"/>
  </r>
  <r>
    <x v="632"/>
    <s v="TILAKPUR"/>
    <s v="MPG"/>
    <s v="Direct"/>
    <n v="793.75"/>
    <n v="25717.849999999995"/>
    <n v="790.59999999999991"/>
    <n v="26771.58"/>
    <n v="3.8"/>
    <n v="133.12"/>
    <n v="794.39999999999986"/>
    <n v="26904.7"/>
    <n v="25717.849999999995"/>
    <n v="0"/>
    <n v="61.94"/>
    <n v="1186.8500000000058"/>
    <n v="0"/>
    <n v="0"/>
    <n v="0"/>
    <n v="25585"/>
    <n v="71"/>
    <n v="0"/>
    <n v="0"/>
    <n v="0"/>
  </r>
  <r>
    <x v="633"/>
    <s v="Prasharpur Kadwa Gomukh"/>
    <s v="MPG"/>
    <s v="Direct"/>
    <n v="346.8"/>
    <n v="13106.91"/>
    <n v="345.84999999999997"/>
    <n v="13278.22"/>
    <n v="3.0999999999999996"/>
    <n v="118.35"/>
    <n v="348.95"/>
    <n v="13396.57"/>
    <n v="13106.91"/>
    <n v="0"/>
    <n v="118.35"/>
    <n v="289.65999999999985"/>
    <n v="0"/>
    <n v="0"/>
    <n v="0"/>
    <n v="12989"/>
    <n v="0"/>
    <n v="0"/>
    <n v="0"/>
    <n v="0"/>
  </r>
  <r>
    <x v="634"/>
    <s v="Borwa Tola Gomukh"/>
    <s v="MPG"/>
    <s v="Indirect"/>
    <n v="530.6"/>
    <n v="18198.36"/>
    <n v="532.70000000000005"/>
    <n v="18477.339999999997"/>
    <n v="0"/>
    <n v="0"/>
    <n v="532.70000000000005"/>
    <n v="18477.339999999997"/>
    <n v="18198.36"/>
    <n v="0"/>
    <n v="0"/>
    <n v="278.97999999999593"/>
    <n v="0"/>
    <n v="0"/>
    <n v="0"/>
    <n v="0"/>
    <n v="0"/>
    <n v="18198.36"/>
    <n v="0"/>
    <n v="0"/>
  </r>
  <r>
    <x v="635"/>
    <s v="Sheela Devi"/>
    <s v="MPG"/>
    <s v="Indirect"/>
    <n v="2024"/>
    <n v="60479.14"/>
    <n v="0"/>
    <n v="0"/>
    <n v="0"/>
    <n v="0"/>
    <n v="0"/>
    <n v="0"/>
    <n v="60479.14"/>
    <n v="0"/>
    <n v="0"/>
    <n v="0"/>
    <n v="0"/>
    <n v="0"/>
    <n v="0"/>
    <n v="0"/>
    <n v="0"/>
    <n v="60479.14"/>
    <n v="0"/>
    <n v="0"/>
  </r>
  <r>
    <x v="636"/>
    <s v="Gomukh Vijay Lalganj"/>
    <s v="MPG"/>
    <s v="Direct"/>
    <n v="394.9"/>
    <n v="16001.499999999998"/>
    <n v="397.6"/>
    <n v="16416.510000000002"/>
    <n v="1.4000000000000001"/>
    <n v="57.4"/>
    <n v="399"/>
    <n v="16473.910000000003"/>
    <n v="16001.499999999998"/>
    <n v="0"/>
    <n v="57.4"/>
    <n v="472.41000000000531"/>
    <n v="0"/>
    <n v="0"/>
    <n v="0"/>
    <n v="15944"/>
    <n v="0"/>
    <n v="0"/>
    <n v="0"/>
    <n v="0"/>
  </r>
  <r>
    <x v="637"/>
    <s v="Gomukh Sarswati Nagar Nakdahri"/>
    <s v="MPG"/>
    <s v="Direct"/>
    <n v="459.30000000000007"/>
    <n v="18713.72"/>
    <n v="274.08999999999997"/>
    <n v="11315.99"/>
    <n v="204.64000000000001"/>
    <n v="8527.57"/>
    <n v="478.73"/>
    <n v="19843.559999999998"/>
    <n v="18713.72"/>
    <n v="0"/>
    <n v="120.13000000000001"/>
    <n v="1129.8399999999965"/>
    <n v="0"/>
    <n v="0"/>
    <n v="0"/>
    <n v="10187"/>
    <n v="8407"/>
    <n v="0"/>
    <n v="0"/>
    <n v="0"/>
  </r>
  <r>
    <x v="638"/>
    <s v="Dhobina Basa"/>
    <s v="MPG"/>
    <s v="Direct"/>
    <n v="580.00000000000011"/>
    <n v="22651.1"/>
    <n v="242.39999999999998"/>
    <n v="10580.77"/>
    <n v="251.79999999999998"/>
    <n v="10991.140000000001"/>
    <n v="494.19999999999993"/>
    <n v="21571.910000000003"/>
    <n v="21571.910000000003"/>
    <n v="0"/>
    <n v="43.699999999999996"/>
    <n v="0"/>
    <n v="0"/>
    <n v="0"/>
    <n v="0"/>
    <n v="10581"/>
    <n v="10947"/>
    <n v="0"/>
    <n v="1079"/>
    <n v="0"/>
  </r>
  <r>
    <x v="639"/>
    <s v="Gomukh Shreepur Madhay"/>
    <s v="MPG"/>
    <s v="Direct"/>
    <n v="1841.9999999999995"/>
    <n v="73318.360000000015"/>
    <n v="1380"/>
    <n v="55737.25"/>
    <n v="334.7"/>
    <n v="13489.550000000001"/>
    <n v="1714.7"/>
    <n v="69226.8"/>
    <n v="69226.8"/>
    <n v="0"/>
    <n v="2735.04"/>
    <n v="0"/>
    <n v="0"/>
    <n v="0"/>
    <n v="0"/>
    <n v="55737"/>
    <n v="10755"/>
    <n v="0"/>
    <n v="4091"/>
    <n v="0"/>
  </r>
  <r>
    <x v="640"/>
    <s v="Gomukh Dhoriya Dadpur -VLC"/>
    <s v="vlc"/>
    <s v="Indirect"/>
    <n v="878.8"/>
    <n v="32463.910000000003"/>
    <n v="0"/>
    <n v="0"/>
    <n v="0"/>
    <n v="0"/>
    <n v="0"/>
    <n v="0"/>
    <n v="32463.910000000003"/>
    <n v="0"/>
    <n v="0"/>
    <n v="0"/>
    <n v="0"/>
    <n v="0"/>
    <n v="0"/>
    <n v="0"/>
    <n v="0"/>
    <n v="32463.910000000003"/>
    <n v="0"/>
    <n v="0"/>
  </r>
  <r>
    <x v="641"/>
    <s v="Gomukh Mohanpur  VLC"/>
    <s v="vlc"/>
    <s v="Indirect"/>
    <n v="148.19999999999999"/>
    <n v="5308.7199999999993"/>
    <n v="0"/>
    <n v="0"/>
    <n v="0"/>
    <n v="0"/>
    <n v="0"/>
    <n v="0"/>
    <n v="5308.7199999999993"/>
    <n v="0"/>
    <n v="0"/>
    <n v="0"/>
    <n v="0"/>
    <n v="0"/>
    <n v="0"/>
    <n v="0"/>
    <n v="0"/>
    <n v="5308.7199999999993"/>
    <n v="0"/>
    <n v="0"/>
  </r>
  <r>
    <x v="642"/>
    <s v="Gomukh Abhirampur VLC"/>
    <s v="vlc"/>
    <s v="Indirect"/>
    <n v="301.10000000000002"/>
    <n v="12430.210000000001"/>
    <n v="0"/>
    <n v="0"/>
    <n v="0"/>
    <n v="0"/>
    <n v="0"/>
    <n v="0"/>
    <n v="12430.210000000001"/>
    <n v="0"/>
    <n v="0"/>
    <n v="0"/>
    <n v="0"/>
    <n v="0"/>
    <n v="0"/>
    <n v="0"/>
    <n v="0"/>
    <n v="12430.210000000001"/>
    <n v="0"/>
    <n v="0"/>
  </r>
  <r>
    <x v="643"/>
    <s v="KUNTHA M"/>
    <s v="MPG"/>
    <s v="Direct"/>
    <n v="747.75"/>
    <n v="28905.64"/>
    <n v="741.1"/>
    <n v="28906.649999999998"/>
    <n v="8.1"/>
    <n v="317.18"/>
    <n v="749.2"/>
    <n v="29223.829999999998"/>
    <n v="28905.64"/>
    <n v="0"/>
    <n v="317.18"/>
    <n v="318.18999999999869"/>
    <n v="0"/>
    <n v="0"/>
    <n v="0"/>
    <n v="28588"/>
    <n v="0"/>
    <n v="0"/>
    <n v="0"/>
    <n v="0"/>
  </r>
  <r>
    <x v="644"/>
    <s v="ARAK"/>
    <s v="MPG"/>
    <s v="Direct"/>
    <n v="2366.3999999999996"/>
    <n v="90530.439999999988"/>
    <n v="2348.1999999999998"/>
    <n v="91578.530000000028"/>
    <n v="13.2"/>
    <n v="706.79000000000008"/>
    <n v="2361.3999999999996"/>
    <n v="92285.320000000022"/>
    <n v="90530.439999999988"/>
    <n v="0"/>
    <n v="706.79000000000008"/>
    <n v="1754.8800000000338"/>
    <n v="0"/>
    <n v="0"/>
    <n v="0"/>
    <n v="89824"/>
    <n v="0"/>
    <n v="0"/>
    <n v="0"/>
    <n v="0"/>
  </r>
  <r>
    <x v="645"/>
    <s v="Diyaman"/>
    <s v="MPG"/>
    <s v="Direct"/>
    <n v="1073.3"/>
    <n v="45372.800000000003"/>
    <n v="1066.0499999999997"/>
    <n v="45287.26"/>
    <n v="5.99"/>
    <n v="256.38"/>
    <n v="1072.0399999999997"/>
    <n v="45543.64"/>
    <n v="45372.800000000003"/>
    <n v="0"/>
    <n v="256.38"/>
    <n v="170.83999999999651"/>
    <n v="0"/>
    <n v="0"/>
    <n v="0"/>
    <n v="45116"/>
    <n v="0"/>
    <n v="0"/>
    <n v="0"/>
    <n v="0"/>
  </r>
  <r>
    <x v="646"/>
    <s v="HENHA"/>
    <s v="MPG"/>
    <s v="Direct"/>
    <n v="2380.6"/>
    <n v="93302.45"/>
    <n v="2225.6999999999998"/>
    <n v="98140.34"/>
    <n v="20.599999999999994"/>
    <n v="1116.1399999999999"/>
    <n v="2246.2999999999997"/>
    <n v="99256.48"/>
    <n v="93302.45"/>
    <n v="0"/>
    <n v="1116.1399999999999"/>
    <n v="5954.0299999999988"/>
    <n v="0"/>
    <n v="0"/>
    <n v="0"/>
    <n v="92186"/>
    <n v="0"/>
    <n v="0"/>
    <n v="0"/>
    <n v="0"/>
  </r>
  <r>
    <x v="647"/>
    <s v="Suddh Dairy"/>
    <s v="vlc"/>
    <s v="Indirect"/>
    <n v="22605.3"/>
    <n v="848243.45"/>
    <n v="0"/>
    <n v="0"/>
    <n v="0"/>
    <n v="0"/>
    <n v="0"/>
    <n v="0"/>
    <n v="848243.45"/>
    <n v="0"/>
    <n v="0"/>
    <n v="0"/>
    <n v="0"/>
    <n v="0"/>
    <n v="0"/>
    <n v="0"/>
    <n v="0"/>
    <n v="848243.45"/>
    <n v="0"/>
    <n v="0"/>
  </r>
  <r>
    <x v="648"/>
    <s v="Anik Kumar"/>
    <s v="vlc"/>
    <s v="Indirect"/>
    <n v="5413"/>
    <n v="221937.43"/>
    <n v="0"/>
    <n v="0"/>
    <n v="0"/>
    <n v="0"/>
    <n v="0"/>
    <n v="0"/>
    <n v="221937.43"/>
    <n v="0"/>
    <n v="0"/>
    <n v="0"/>
    <n v="0"/>
    <n v="0"/>
    <n v="0"/>
    <n v="0"/>
    <n v="0"/>
    <n v="221937.43"/>
    <n v="0"/>
    <n v="0"/>
  </r>
  <r>
    <x v="649"/>
    <s v="Nand Kishor Kumar"/>
    <s v="MPG"/>
    <s v="Indirect"/>
    <n v="8130"/>
    <n v="258279"/>
    <n v="0"/>
    <n v="0"/>
    <n v="0"/>
    <n v="0"/>
    <n v="0"/>
    <n v="0"/>
    <n v="258279"/>
    <n v="0"/>
    <n v="0"/>
    <n v="0"/>
    <n v="0"/>
    <n v="0"/>
    <n v="0"/>
    <n v="0"/>
    <n v="0"/>
    <n v="258279"/>
    <n v="0"/>
    <n v="0"/>
  </r>
  <r>
    <x v="650"/>
    <s v="Gomukh CHANDAULI"/>
    <s v="MPG"/>
    <s v="Direct"/>
    <n v="1492.4499999999998"/>
    <n v="63489.220000000016"/>
    <n v="1488.36"/>
    <n v="62561.700000000004"/>
    <n v="21.160000000000004"/>
    <n v="915.5"/>
    <n v="1509.52"/>
    <n v="63477.200000000004"/>
    <n v="63477.200000000004"/>
    <n v="0"/>
    <n v="915.5"/>
    <n v="0"/>
    <n v="0"/>
    <n v="0"/>
    <n v="0"/>
    <n v="62561"/>
    <n v="0"/>
    <n v="0"/>
    <n v="13"/>
    <n v="0"/>
  </r>
  <r>
    <x v="651"/>
    <s v="GOMUKH HATHA"/>
    <s v="MPG"/>
    <s v="Direct"/>
    <n v="1768.75"/>
    <n v="71505.039999999994"/>
    <n v="1761.78"/>
    <n v="70520.280000000013"/>
    <n v="23.650000000000002"/>
    <n v="971.66"/>
    <n v="1785.43"/>
    <n v="71491.940000000017"/>
    <n v="71491.940000000017"/>
    <n v="0"/>
    <n v="971.66"/>
    <n v="0"/>
    <n v="13553"/>
    <n v="0"/>
    <n v="0"/>
    <n v="56969"/>
    <n v="0"/>
    <n v="0"/>
    <n v="11"/>
    <n v="0"/>
  </r>
  <r>
    <x v="652"/>
    <s v="GOMUKH VADEYA"/>
    <s v="MPG"/>
    <s v="Direct"/>
    <n v="799.69999999999993"/>
    <n v="35017.81"/>
    <n v="771.96000000000026"/>
    <n v="34725.760000000002"/>
    <n v="6.4"/>
    <n v="287.61"/>
    <n v="778.36000000000024"/>
    <n v="35013.370000000003"/>
    <n v="35013.370000000003"/>
    <n v="0"/>
    <n v="287.61"/>
    <n v="0"/>
    <n v="0"/>
    <n v="0"/>
    <n v="0"/>
    <n v="34724"/>
    <n v="0"/>
    <n v="0"/>
    <n v="6"/>
    <n v="0"/>
  </r>
  <r>
    <x v="653"/>
    <s v="GOMUKH CHANDPURA"/>
    <s v="MPG"/>
    <s v="Direct"/>
    <n v="698.25000000000011"/>
    <n v="32757.260000000002"/>
    <n v="690.58"/>
    <n v="32217.829999999991"/>
    <n v="10.09"/>
    <n v="445.88"/>
    <n v="700.67000000000007"/>
    <n v="32663.709999999992"/>
    <n v="32663.709999999992"/>
    <n v="0"/>
    <n v="445.88"/>
    <n v="0"/>
    <n v="259"/>
    <n v="0"/>
    <n v="0"/>
    <n v="31961"/>
    <n v="0"/>
    <n v="0"/>
    <n v="91"/>
    <n v="0"/>
  </r>
  <r>
    <x v="654"/>
    <s v="GOMUKH BARGAMA"/>
    <s v="MPG"/>
    <s v="Direct"/>
    <n v="1214.1000000000001"/>
    <n v="55504.530000000006"/>
    <n v="1184.1799999999998"/>
    <n v="52604.69999999999"/>
    <n v="54.800000000000011"/>
    <n v="2888.3299999999995"/>
    <n v="1238.9799999999998"/>
    <n v="55493.029999999992"/>
    <n v="55493.029999999992"/>
    <n v="0"/>
    <n v="2888.3299999999995"/>
    <n v="0"/>
    <n v="0"/>
    <n v="0"/>
    <n v="0"/>
    <n v="52606"/>
    <n v="0"/>
    <n v="0"/>
    <n v="10"/>
    <n v="0"/>
  </r>
  <r>
    <x v="655"/>
    <s v="Gomukh Gograha Tola"/>
    <s v="MPG"/>
    <s v="Direct"/>
    <n v="471.00000000000006"/>
    <n v="20727.230000000003"/>
    <n v="451.6"/>
    <n v="20724.59"/>
    <n v="0"/>
    <n v="0"/>
    <n v="451.6"/>
    <n v="20724.59"/>
    <n v="20724.59"/>
    <n v="0"/>
    <n v="0"/>
    <n v="0"/>
    <n v="4378"/>
    <n v="0"/>
    <n v="0"/>
    <n v="16347"/>
    <n v="0"/>
    <n v="0"/>
    <n v="2"/>
    <n v="0"/>
  </r>
  <r>
    <x v="656"/>
    <s v="Gomukh Patsara"/>
    <s v="MPG"/>
    <s v="Direct"/>
    <n v="374"/>
    <n v="16998.05"/>
    <n v="370.44000000000005"/>
    <n v="16899.420000000002"/>
    <n v="2.2200000000000002"/>
    <n v="94.82"/>
    <n v="372.66000000000008"/>
    <n v="16994.240000000002"/>
    <n v="16994.240000000002"/>
    <n v="0"/>
    <n v="94.82"/>
    <n v="0"/>
    <n v="1400"/>
    <n v="0"/>
    <n v="0"/>
    <n v="15499"/>
    <n v="0"/>
    <n v="0"/>
    <n v="4"/>
    <n v="0"/>
  </r>
  <r>
    <x v="657"/>
    <s v="Gomukh Singhiya"/>
    <s v="vlc"/>
    <s v="Indirect"/>
    <n v="7932.0000000000009"/>
    <n v="326086.43"/>
    <n v="0"/>
    <n v="0"/>
    <n v="0"/>
    <n v="0"/>
    <n v="0"/>
    <n v="0"/>
    <n v="326086.43"/>
    <n v="0"/>
    <n v="0"/>
    <n v="0"/>
    <n v="0"/>
    <n v="0"/>
    <n v="0"/>
    <n v="0"/>
    <n v="0"/>
    <n v="326086.43"/>
    <n v="0"/>
    <n v="0"/>
  </r>
  <r>
    <x v="658"/>
    <s v="Gomukh BALHA "/>
    <s v="vlc"/>
    <s v="Indirect"/>
    <n v="3129.2999999999997"/>
    <n v="133135.13000000003"/>
    <n v="0"/>
    <n v="0"/>
    <n v="0"/>
    <n v="0"/>
    <n v="0"/>
    <n v="0"/>
    <n v="133135.13000000003"/>
    <n v="0"/>
    <n v="0"/>
    <n v="0"/>
    <n v="0"/>
    <n v="0"/>
    <n v="0"/>
    <n v="0"/>
    <n v="0"/>
    <n v="133135.13000000003"/>
    <n v="0"/>
    <n v="0"/>
  </r>
  <r>
    <x v="659"/>
    <s v="Gomukh Namapur 2"/>
    <s v="vlc"/>
    <s v="Indirect"/>
    <n v="1838.55"/>
    <n v="71703.13"/>
    <n v="0"/>
    <n v="0"/>
    <n v="0"/>
    <n v="0"/>
    <n v="0"/>
    <n v="0"/>
    <n v="71703.13"/>
    <n v="0"/>
    <n v="0"/>
    <n v="0"/>
    <n v="0"/>
    <n v="0"/>
    <n v="0"/>
    <n v="0"/>
    <n v="0"/>
    <n v="71703.13"/>
    <n v="0"/>
    <n v="0"/>
  </r>
  <r>
    <x v="660"/>
    <s v="Gomukh Madhopur"/>
    <s v="vlc"/>
    <s v="Indirect"/>
    <n v="630.15"/>
    <n v="25160.32"/>
    <n v="0"/>
    <n v="0"/>
    <n v="0"/>
    <n v="0"/>
    <n v="0"/>
    <n v="0"/>
    <n v="25160.32"/>
    <n v="0"/>
    <n v="0"/>
    <n v="0"/>
    <n v="7400"/>
    <n v="0"/>
    <n v="0"/>
    <n v="0"/>
    <n v="0"/>
    <n v="17760.32"/>
    <n v="0"/>
    <n v="0"/>
  </r>
  <r>
    <x v="661"/>
    <s v="Gomukh Kalyanpur East"/>
    <s v="vlc"/>
    <s v="Indirect"/>
    <n v="875.74999999999989"/>
    <n v="34865.829999999994"/>
    <n v="0"/>
    <n v="0"/>
    <n v="0"/>
    <n v="0"/>
    <n v="0"/>
    <n v="0"/>
    <n v="34865.829999999994"/>
    <n v="0"/>
    <n v="0"/>
    <n v="0"/>
    <n v="1300"/>
    <n v="0"/>
    <n v="0"/>
    <n v="0"/>
    <n v="0"/>
    <n v="33565.829999999994"/>
    <n v="0"/>
    <n v="0"/>
  </r>
  <r>
    <x v="662"/>
    <s v="Gomukh Bazidpur"/>
    <s v="vlc"/>
    <s v="Indirect"/>
    <n v="3242.8499999999995"/>
    <n v="142786.66"/>
    <n v="0"/>
    <n v="0"/>
    <n v="0"/>
    <n v="0"/>
    <n v="0"/>
    <n v="0"/>
    <n v="142786.66"/>
    <n v="0"/>
    <n v="0"/>
    <n v="0"/>
    <n v="0"/>
    <n v="0"/>
    <n v="0"/>
    <n v="0"/>
    <n v="0"/>
    <n v="142786.66"/>
    <n v="0"/>
    <n v="0"/>
  </r>
  <r>
    <x v="663"/>
    <s v="Gomukh Belsandi"/>
    <s v="vlc"/>
    <s v="Indirect"/>
    <n v="1157.8499999999999"/>
    <n v="47569.119999999995"/>
    <n v="0"/>
    <n v="0"/>
    <n v="0"/>
    <n v="0"/>
    <n v="0"/>
    <n v="0"/>
    <n v="47569.119999999995"/>
    <n v="0"/>
    <n v="0"/>
    <n v="0"/>
    <n v="0"/>
    <n v="0"/>
    <n v="0"/>
    <n v="0"/>
    <n v="0"/>
    <n v="47569.119999999995"/>
    <n v="0"/>
    <n v="0"/>
  </r>
  <r>
    <x v="984"/>
    <s v="Gomukh Namapur Ward 8"/>
    <s v="vlc"/>
    <s v="Indirect"/>
    <n v="1422.3000000000002"/>
    <n v="58403.81"/>
    <n v="0"/>
    <n v="0"/>
    <n v="0"/>
    <n v="0"/>
    <n v="0"/>
    <n v="0"/>
    <n v="58403.81"/>
    <n v="0"/>
    <n v="0"/>
    <n v="0"/>
    <n v="0"/>
    <n v="0"/>
    <n v="0"/>
    <n v="0"/>
    <n v="0"/>
    <n v="58403.81"/>
    <n v="0"/>
    <n v="0"/>
  </r>
  <r>
    <x v="664"/>
    <s v="Belsandi"/>
    <s v="vlc"/>
    <s v="Indirect"/>
    <n v="174.45"/>
    <n v="7775.3600000000006"/>
    <n v="0"/>
    <n v="0"/>
    <n v="0"/>
    <n v="0"/>
    <n v="0"/>
    <n v="0"/>
    <n v="7775.3600000000006"/>
    <n v="0"/>
    <n v="0"/>
    <n v="0"/>
    <n v="0"/>
    <n v="0"/>
    <n v="0"/>
    <n v="0"/>
    <n v="0"/>
    <n v="7775.3600000000006"/>
    <n v="0"/>
    <n v="0"/>
  </r>
  <r>
    <x v="665"/>
    <s v="Gomukh Belsandi East"/>
    <s v="vlc"/>
    <s v="Indirect"/>
    <n v="1308.3999999999999"/>
    <n v="57035.37000000001"/>
    <n v="0"/>
    <n v="0"/>
    <n v="0"/>
    <n v="0"/>
    <n v="0"/>
    <n v="0"/>
    <n v="57035.37000000001"/>
    <n v="0"/>
    <n v="0"/>
    <n v="0"/>
    <n v="0"/>
    <n v="0"/>
    <n v="0"/>
    <n v="0"/>
    <n v="0"/>
    <n v="57035.37000000001"/>
    <n v="0"/>
    <n v="0"/>
  </r>
  <r>
    <x v="666"/>
    <s v="Gomukh Belsandi West Tola"/>
    <s v="vlc"/>
    <s v="Indirect"/>
    <n v="306.79999999999995"/>
    <n v="12517.529999999999"/>
    <n v="0"/>
    <n v="0"/>
    <n v="0"/>
    <n v="0"/>
    <n v="0"/>
    <n v="0"/>
    <n v="12517.529999999999"/>
    <n v="0"/>
    <n v="0"/>
    <n v="0"/>
    <n v="0"/>
    <n v="0"/>
    <n v="0"/>
    <n v="0"/>
    <n v="0"/>
    <n v="12517.529999999999"/>
    <n v="0"/>
    <n v="0"/>
  </r>
  <r>
    <x v="667"/>
    <s v="Gomukh Gopalpur"/>
    <s v="vlc"/>
    <s v="Indirect"/>
    <n v="3429.2"/>
    <n v="143759.04999999999"/>
    <n v="0"/>
    <n v="0"/>
    <n v="0"/>
    <n v="0"/>
    <n v="0"/>
    <n v="0"/>
    <n v="143759.04999999999"/>
    <n v="0"/>
    <n v="0"/>
    <n v="0"/>
    <n v="0"/>
    <n v="0"/>
    <n v="0"/>
    <n v="0"/>
    <n v="0"/>
    <n v="143759.04999999999"/>
    <n v="0"/>
    <n v="0"/>
  </r>
  <r>
    <x v="668"/>
    <s v="Gomukh Bharav"/>
    <s v="MPG"/>
    <s v="Direct"/>
    <n v="504.95"/>
    <n v="23833.269999999997"/>
    <n v="505.12999999999994"/>
    <n v="23101.99"/>
    <n v="11.77"/>
    <n v="712.38999999999987"/>
    <n v="516.9"/>
    <n v="23814.38"/>
    <n v="23814.38"/>
    <n v="0"/>
    <n v="712.38999999999987"/>
    <n v="0"/>
    <n v="1364.3"/>
    <n v="0"/>
    <n v="0"/>
    <n v="21738"/>
    <n v="0"/>
    <n v="0"/>
    <n v="19"/>
    <n v="0"/>
  </r>
  <r>
    <x v="669"/>
    <s v="Gomukh Harpur"/>
    <s v="MPG"/>
    <s v="Direct"/>
    <n v="847.50000000000023"/>
    <n v="38144.85"/>
    <n v="840.29999999999973"/>
    <n v="37473.43"/>
    <n v="14.050000000000002"/>
    <n v="602.30999999999995"/>
    <n v="854.34999999999968"/>
    <n v="38075.74"/>
    <n v="38075.74"/>
    <n v="0"/>
    <n v="602.30999999999995"/>
    <n v="0"/>
    <n v="5411"/>
    <n v="0"/>
    <n v="0"/>
    <n v="32063"/>
    <n v="0"/>
    <n v="0"/>
    <n v="69"/>
    <n v="0"/>
  </r>
  <r>
    <x v="670"/>
    <s v="Gomukh Fulhatta"/>
    <s v="MPG"/>
    <s v="Direct"/>
    <n v="1662.2500000000002"/>
    <n v="84569.75"/>
    <n v="1643.57"/>
    <n v="84566.74000000002"/>
    <n v="0"/>
    <n v="0"/>
    <n v="1643.57"/>
    <n v="84566.74000000002"/>
    <n v="84566.74000000002"/>
    <n v="0"/>
    <n v="0"/>
    <n v="0"/>
    <n v="5361"/>
    <n v="0"/>
    <n v="0"/>
    <n v="79205"/>
    <n v="0"/>
    <n v="0"/>
    <n v="4"/>
    <n v="0"/>
  </r>
  <r>
    <x v="671"/>
    <s v="Gomukh Birauli Khurd"/>
    <s v="MPG"/>
    <s v="Direct"/>
    <n v="819.6"/>
    <n v="39376.650000000009"/>
    <n v="823.87"/>
    <n v="38064.26"/>
    <n v="15.370000000000001"/>
    <n v="682.42000000000007"/>
    <n v="839.24"/>
    <n v="38746.68"/>
    <n v="38746.68"/>
    <n v="0"/>
    <n v="682.42000000000007"/>
    <n v="0"/>
    <n v="0"/>
    <n v="0"/>
    <n v="0"/>
    <n v="38063"/>
    <n v="0"/>
    <n v="0"/>
    <n v="631"/>
    <n v="0"/>
  </r>
  <r>
    <x v="672"/>
    <s v="Gomukh Bedauliya"/>
    <s v="vlc"/>
    <s v="Indirect"/>
    <n v="932.05000000000007"/>
    <n v="37783.799999999996"/>
    <n v="0"/>
    <n v="0"/>
    <n v="0"/>
    <n v="0"/>
    <n v="0"/>
    <n v="0"/>
    <n v="37783.799999999996"/>
    <n v="0"/>
    <n v="0"/>
    <n v="0"/>
    <n v="0"/>
    <n v="0"/>
    <n v="0"/>
    <n v="0"/>
    <n v="0"/>
    <n v="37783.799999999996"/>
    <n v="0"/>
    <n v="0"/>
  </r>
  <r>
    <x v="673"/>
    <s v="Gomukh Khanua"/>
    <s v="MPG"/>
    <s v="Direct"/>
    <n v="511.6"/>
    <n v="25191.599999999995"/>
    <n v="515.61"/>
    <n v="23709.14"/>
    <n v="32.339999999999996"/>
    <n v="1432.44"/>
    <n v="547.95000000000005"/>
    <n v="25141.579999999998"/>
    <n v="25141.579999999998"/>
    <n v="0"/>
    <n v="1432.44"/>
    <n v="0"/>
    <n v="0"/>
    <n v="0"/>
    <n v="0"/>
    <n v="23710"/>
    <n v="0"/>
    <n v="0"/>
    <n v="49"/>
    <n v="0"/>
  </r>
  <r>
    <x v="674"/>
    <s v="Gomukh Punas"/>
    <s v="MPG"/>
    <s v="Direct"/>
    <n v="1364.65"/>
    <n v="64136.780000000013"/>
    <n v="1363.7300000000002"/>
    <n v="63368.330000000009"/>
    <n v="16.739999999999998"/>
    <n v="746.54000000000008"/>
    <n v="1380.4700000000003"/>
    <n v="64114.87000000001"/>
    <n v="64114.87000000001"/>
    <n v="0"/>
    <n v="746.54000000000008"/>
    <n v="0"/>
    <n v="0"/>
    <n v="0"/>
    <n v="0"/>
    <n v="63368"/>
    <n v="0"/>
    <n v="0"/>
    <n v="22"/>
    <n v="0"/>
  </r>
  <r>
    <x v="675"/>
    <s v="Gomukh Loharkha"/>
    <s v="MPG"/>
    <s v="Direct"/>
    <n v="313.2"/>
    <n v="15483.189999999997"/>
    <n v="290.46000000000004"/>
    <n v="15479.68"/>
    <n v="0"/>
    <n v="0"/>
    <n v="290.46000000000004"/>
    <n v="15479.68"/>
    <n v="15479.68"/>
    <n v="0"/>
    <n v="0"/>
    <n v="0"/>
    <n v="0"/>
    <n v="0"/>
    <n v="0"/>
    <n v="15479"/>
    <n v="0"/>
    <n v="0"/>
    <n v="4"/>
    <n v="0"/>
  </r>
  <r>
    <x v="676"/>
    <s v="Gomukh Dighra"/>
    <s v="MPG"/>
    <s v="Direct"/>
    <n v="357.69999999999993"/>
    <n v="12804.16"/>
    <n v="350.69000000000005"/>
    <n v="12720.39"/>
    <n v="2.1799999999999997"/>
    <n v="77.199999999999989"/>
    <n v="352.87000000000006"/>
    <n v="12797.59"/>
    <n v="12797.59"/>
    <n v="0"/>
    <n v="77.199999999999989"/>
    <n v="0"/>
    <n v="0"/>
    <n v="0"/>
    <n v="0"/>
    <n v="12721"/>
    <n v="0"/>
    <n v="0"/>
    <n v="6"/>
    <n v="0"/>
  </r>
  <r>
    <x v="677"/>
    <s v="Basuwari"/>
    <s v="MPG"/>
    <s v="Direct"/>
    <n v="295.14999999999998"/>
    <n v="11980.190000000002"/>
    <n v="290.91000000000003"/>
    <n v="11638.59"/>
    <n v="5.34"/>
    <n v="274.84999999999997"/>
    <n v="296.25"/>
    <n v="11913.44"/>
    <n v="11913.44"/>
    <n v="0"/>
    <n v="274.84999999999997"/>
    <n v="0"/>
    <n v="0"/>
    <n v="0"/>
    <n v="0"/>
    <n v="11639"/>
    <n v="0"/>
    <n v="0"/>
    <n v="66"/>
    <n v="0"/>
  </r>
  <r>
    <x v="678"/>
    <s v="Belsandi 3"/>
    <s v="vlc"/>
    <s v="Indirect"/>
    <n v="2084.4499999999998"/>
    <n v="81890.01999999999"/>
    <n v="0"/>
    <n v="0"/>
    <n v="0"/>
    <n v="0"/>
    <n v="0"/>
    <n v="0"/>
    <n v="81890.01999999999"/>
    <n v="0"/>
    <n v="0"/>
    <n v="0"/>
    <n v="0"/>
    <n v="0"/>
    <n v="0"/>
    <n v="0"/>
    <n v="0"/>
    <n v="81890.01999999999"/>
    <n v="0"/>
    <n v="0"/>
  </r>
  <r>
    <x v="679"/>
    <s v="Gomukh Bhagwanpur"/>
    <s v="vlc"/>
    <s v="Indirect"/>
    <n v="383.30000000000007"/>
    <n v="19372.89"/>
    <n v="0"/>
    <n v="0"/>
    <n v="0"/>
    <n v="0"/>
    <n v="0"/>
    <n v="0"/>
    <n v="19372.89"/>
    <n v="0"/>
    <n v="0"/>
    <n v="0"/>
    <n v="0"/>
    <n v="0"/>
    <n v="0"/>
    <n v="0"/>
    <n v="0"/>
    <n v="19372.89"/>
    <n v="0"/>
    <n v="0"/>
  </r>
  <r>
    <x v="985"/>
    <s v="Gomukh PARAN"/>
    <s v="vlc"/>
    <s v="Indirect"/>
    <n v="1241.0999999999999"/>
    <n v="49569.66"/>
    <n v="0"/>
    <n v="0"/>
    <n v="0"/>
    <n v="0"/>
    <n v="0"/>
    <n v="0"/>
    <n v="49569.66"/>
    <n v="0"/>
    <n v="0"/>
    <n v="0"/>
    <n v="0"/>
    <n v="0"/>
    <n v="0"/>
    <n v="0"/>
    <n v="0"/>
    <n v="49569.66"/>
    <n v="0"/>
    <n v="0"/>
  </r>
  <r>
    <x v="681"/>
    <s v="GOMUKH HARPUR W-13"/>
    <s v="MPG"/>
    <s v="Direct"/>
    <n v="1599"/>
    <n v="65873.280000000013"/>
    <n v="1551.9100000000005"/>
    <n v="64774.87999999999"/>
    <n v="26.67"/>
    <n v="1095.6799999999998"/>
    <n v="1578.5800000000006"/>
    <n v="65870.559999999983"/>
    <n v="65870.559999999983"/>
    <n v="0"/>
    <n v="1095.6799999999998"/>
    <n v="0"/>
    <n v="8016"/>
    <n v="0"/>
    <n v="0"/>
    <n v="56757"/>
    <n v="0"/>
    <n v="0"/>
    <n v="5"/>
    <n v="0"/>
  </r>
  <r>
    <x v="682"/>
    <s v="GOMUKH MILKI"/>
    <s v="vlc"/>
    <s v="Indirect"/>
    <n v="44.7"/>
    <n v="1942.17"/>
    <n v="0"/>
    <n v="0"/>
    <n v="0"/>
    <n v="0"/>
    <n v="0"/>
    <n v="0"/>
    <n v="1942.17"/>
    <n v="0"/>
    <n v="0"/>
    <n v="0"/>
    <n v="0"/>
    <n v="0"/>
    <n v="0"/>
    <n v="0"/>
    <n v="0"/>
    <n v="1942.17"/>
    <n v="0"/>
    <n v="0"/>
  </r>
  <r>
    <x v="683"/>
    <s v="Gomukh Ratwara"/>
    <s v="MPG"/>
    <s v="Direct"/>
    <n v="154.35"/>
    <n v="5442.7400000000007"/>
    <n v="158.38"/>
    <n v="5440.2800000000007"/>
    <n v="0"/>
    <n v="0"/>
    <n v="158.38"/>
    <n v="5440.2800000000007"/>
    <n v="5440.2800000000007"/>
    <n v="0"/>
    <n v="0"/>
    <n v="0"/>
    <n v="0"/>
    <n v="500"/>
    <n v="0"/>
    <n v="4941"/>
    <n v="0"/>
    <n v="0"/>
    <n v="2"/>
    <s v="Release1"/>
  </r>
  <r>
    <x v="684"/>
    <s v="Gomukh Fulhara"/>
    <s v="vlc"/>
    <s v="Indirect"/>
    <n v="2330.0499999999997"/>
    <n v="106226.40000000002"/>
    <n v="0"/>
    <n v="0"/>
    <n v="0"/>
    <n v="0"/>
    <n v="0"/>
    <n v="0"/>
    <n v="106226.40000000002"/>
    <n v="0"/>
    <n v="0"/>
    <n v="0"/>
    <n v="5600"/>
    <n v="0"/>
    <n v="0"/>
    <n v="0"/>
    <n v="0"/>
    <n v="100626.40000000002"/>
    <n v="0"/>
    <n v="0"/>
  </r>
  <r>
    <x v="685"/>
    <s v="Gomukh Ranitola"/>
    <s v="vlc"/>
    <s v="Indirect"/>
    <n v="643.50000000000011"/>
    <n v="29106.330000000005"/>
    <n v="0"/>
    <n v="0"/>
    <n v="0"/>
    <n v="0"/>
    <n v="0"/>
    <n v="0"/>
    <n v="29106.330000000005"/>
    <n v="0"/>
    <n v="0"/>
    <n v="0"/>
    <n v="0"/>
    <n v="0"/>
    <n v="0"/>
    <n v="0"/>
    <n v="0"/>
    <n v="29106.330000000005"/>
    <n v="0"/>
    <n v="0"/>
  </r>
  <r>
    <x v="686"/>
    <s v="Gomukh Malinagar East"/>
    <s v="MPG"/>
    <s v="Direct"/>
    <n v="1110.4500000000003"/>
    <n v="47942.090000000011"/>
    <n v="1107.4200000000003"/>
    <n v="47654.42"/>
    <n v="6.03"/>
    <n v="285.62999999999994"/>
    <n v="1113.4500000000003"/>
    <n v="47940.049999999996"/>
    <n v="47940.049999999996"/>
    <n v="0"/>
    <n v="285.62999999999994"/>
    <n v="0"/>
    <n v="0"/>
    <n v="0"/>
    <n v="0"/>
    <n v="47654"/>
    <n v="0"/>
    <n v="0"/>
    <n v="2"/>
    <n v="0"/>
  </r>
  <r>
    <x v="687"/>
    <s v="GOMUKH Singhiya Ward 11"/>
    <s v="vlc"/>
    <s v="Indirect"/>
    <n v="263.25"/>
    <n v="12319.630000000001"/>
    <n v="0"/>
    <n v="0"/>
    <n v="0"/>
    <n v="0"/>
    <n v="0"/>
    <n v="0"/>
    <n v="12319.630000000001"/>
    <n v="0"/>
    <n v="0"/>
    <n v="0"/>
    <n v="0"/>
    <n v="0"/>
    <n v="0"/>
    <n v="0"/>
    <n v="0"/>
    <n v="12319.630000000001"/>
    <n v="0"/>
    <n v="0"/>
  </r>
  <r>
    <x v="688"/>
    <s v="GOMUKH MANIYARPUR"/>
    <s v="MPG"/>
    <s v="Direct"/>
    <n v="1246"/>
    <n v="55947.749999999985"/>
    <n v="1240.5500000000002"/>
    <n v="53823.05"/>
    <n v="36.86"/>
    <n v="1635.67"/>
    <n v="1277.4100000000001"/>
    <n v="55458.720000000001"/>
    <n v="55458.720000000001"/>
    <n v="0"/>
    <n v="1635.67"/>
    <n v="0"/>
    <n v="56"/>
    <n v="0"/>
    <n v="0"/>
    <n v="53767"/>
    <n v="0"/>
    <n v="0"/>
    <n v="489"/>
    <n v="0"/>
  </r>
  <r>
    <x v="689"/>
    <s v="GOMUKH DIGHRA W-6"/>
    <s v="MPG"/>
    <s v="Direct"/>
    <n v="1076.05"/>
    <n v="42556.420000000013"/>
    <n v="1069.0600000000002"/>
    <n v="41974.400000000009"/>
    <n v="11.08"/>
    <n v="462.84999999999997"/>
    <n v="1080.1400000000001"/>
    <n v="42437.250000000007"/>
    <n v="42437.250000000007"/>
    <n v="0"/>
    <n v="462.84999999999997"/>
    <n v="0"/>
    <n v="7620"/>
    <n v="0"/>
    <n v="0"/>
    <n v="34355"/>
    <n v="0"/>
    <n v="0"/>
    <n v="119"/>
    <n v="0"/>
  </r>
  <r>
    <x v="690"/>
    <s v="GOMUKH BANDRA W-6"/>
    <s v="MPG"/>
    <s v="Direct"/>
    <n v="455.05"/>
    <n v="21021.83"/>
    <n v="463.93000000000006"/>
    <n v="20286.759999999991"/>
    <n v="15.219999999999999"/>
    <n v="673.87"/>
    <n v="479.15000000000009"/>
    <n v="20960.62999999999"/>
    <n v="20960.62999999999"/>
    <n v="0"/>
    <n v="673.87"/>
    <n v="0"/>
    <n v="0"/>
    <n v="0"/>
    <n v="0"/>
    <n v="20287"/>
    <n v="0"/>
    <n v="0"/>
    <n v="61"/>
    <n v="0"/>
  </r>
  <r>
    <x v="691"/>
    <s v="BELSANDI W-9"/>
    <s v="vlc"/>
    <s v="Indirect"/>
    <n v="457.7"/>
    <n v="19900.71"/>
    <n v="0"/>
    <n v="0"/>
    <n v="0"/>
    <n v="0"/>
    <n v="0"/>
    <n v="0"/>
    <n v="19900.71"/>
    <n v="0"/>
    <n v="0"/>
    <n v="0"/>
    <n v="0"/>
    <n v="0"/>
    <n v="0"/>
    <n v="0"/>
    <n v="0"/>
    <n v="19900.71"/>
    <n v="0"/>
    <n v="0"/>
  </r>
  <r>
    <x v="692"/>
    <s v="GOMUKH PARAN 2"/>
    <s v="MPG"/>
    <s v="Direct"/>
    <n v="279.70000000000005"/>
    <n v="14191.23"/>
    <n v="282.52"/>
    <n v="13789.65"/>
    <n v="6.74"/>
    <n v="365.95"/>
    <n v="289.26"/>
    <n v="14155.6"/>
    <n v="14155.6"/>
    <n v="0"/>
    <n v="365.95"/>
    <n v="0"/>
    <n v="0"/>
    <n v="500"/>
    <n v="0"/>
    <n v="13289"/>
    <n v="0"/>
    <n v="0"/>
    <n v="36"/>
    <n v="0"/>
  </r>
  <r>
    <x v="693"/>
    <s v="GOMUKH KHARAGPUR"/>
    <s v="MPG"/>
    <s v="Direct"/>
    <n v="433.10000000000008"/>
    <n v="20460.39"/>
    <n v="429.62000000000006"/>
    <n v="20456.840000000004"/>
    <n v="0"/>
    <n v="0"/>
    <n v="429.62000000000006"/>
    <n v="20456.840000000004"/>
    <n v="20456.840000000004"/>
    <n v="0"/>
    <n v="0"/>
    <n v="0"/>
    <n v="0"/>
    <n v="0"/>
    <n v="0"/>
    <n v="20456"/>
    <n v="0"/>
    <n v="0"/>
    <n v="4"/>
    <n v="0"/>
  </r>
  <r>
    <x v="694"/>
    <s v="KAMARGAMA"/>
    <s v="vlc"/>
    <s v="Indirect"/>
    <n v="622.9"/>
    <n v="38036.520000000004"/>
    <n v="0"/>
    <n v="0"/>
    <n v="0"/>
    <n v="0"/>
    <n v="0"/>
    <n v="0"/>
    <n v="38036.520000000004"/>
    <n v="0"/>
    <n v="0"/>
    <n v="0"/>
    <n v="0"/>
    <n v="0"/>
    <n v="0"/>
    <n v="0"/>
    <n v="0"/>
    <n v="38036.520000000004"/>
    <n v="0"/>
    <n v="0"/>
  </r>
  <r>
    <x v="695"/>
    <s v="GOMUKH BALAHA W-9"/>
    <s v="MPG"/>
    <s v="Direct"/>
    <n v="755.90000000000032"/>
    <n v="32999.519999999997"/>
    <n v="743.95999999999981"/>
    <n v="32023.419999999995"/>
    <n v="14.260000000000002"/>
    <n v="578.92999999999995"/>
    <n v="758.2199999999998"/>
    <n v="32602.349999999995"/>
    <n v="32602.349999999995"/>
    <n v="0"/>
    <n v="578.92999999999995"/>
    <n v="0"/>
    <n v="2827"/>
    <n v="0"/>
    <n v="0"/>
    <n v="29196"/>
    <n v="0"/>
    <n v="0"/>
    <n v="398"/>
    <n v="0"/>
  </r>
  <r>
    <x v="697"/>
    <s v="GOMUKH Madanpur W-3"/>
    <s v="MPG"/>
    <s v="Direct"/>
    <n v="2283.6"/>
    <n v="108670.70999999998"/>
    <n v="2264.0399999999995"/>
    <n v="107190.68000000002"/>
    <n v="30.82"/>
    <n v="1399.8100000000002"/>
    <n v="2294.8599999999997"/>
    <n v="108590.49000000002"/>
    <n v="108590.49000000002"/>
    <n v="0"/>
    <n v="1399.8100000000002"/>
    <n v="0"/>
    <n v="0"/>
    <n v="0"/>
    <n v="0"/>
    <n v="107191"/>
    <n v="0"/>
    <n v="0"/>
    <n v="80"/>
    <n v="0"/>
  </r>
  <r>
    <x v="698"/>
    <s v="Gomukh Namapur East (08)"/>
    <s v="vlc"/>
    <s v="Indirect"/>
    <n v="732.2"/>
    <n v="29728.299999999996"/>
    <n v="0"/>
    <n v="0"/>
    <n v="0"/>
    <n v="0"/>
    <n v="0"/>
    <n v="0"/>
    <n v="29728.299999999996"/>
    <n v="0"/>
    <n v="0"/>
    <n v="0"/>
    <n v="0"/>
    <n v="0"/>
    <n v="0"/>
    <n v="0"/>
    <n v="0"/>
    <n v="29728.299999999996"/>
    <n v="0"/>
    <n v="0"/>
  </r>
  <r>
    <x v="699"/>
    <s v="GOMUKH Kalaunjar"/>
    <s v="MPG"/>
    <s v="Direct"/>
    <n v="737.34999999999991"/>
    <n v="31659.750000000004"/>
    <n v="729.65"/>
    <n v="30692.770000000004"/>
    <n v="21.45"/>
    <n v="938.7700000000001"/>
    <n v="751.1"/>
    <n v="31631.540000000005"/>
    <n v="31631.540000000005"/>
    <n v="0"/>
    <n v="938.7700000000001"/>
    <n v="0"/>
    <n v="0"/>
    <n v="0"/>
    <n v="0"/>
    <n v="30694"/>
    <n v="0"/>
    <n v="0"/>
    <n v="27"/>
    <n v="0"/>
  </r>
  <r>
    <x v="700"/>
    <s v="Jitwariya W-11"/>
    <s v="vlc"/>
    <s v="Indirect"/>
    <n v="183.99999999999997"/>
    <n v="8791.869999999999"/>
    <n v="0"/>
    <n v="0"/>
    <n v="0"/>
    <n v="0"/>
    <n v="0"/>
    <n v="0"/>
    <n v="8791.869999999999"/>
    <n v="0"/>
    <n v="0"/>
    <n v="0"/>
    <n v="0"/>
    <n v="0"/>
    <n v="0"/>
    <n v="0"/>
    <n v="0"/>
    <n v="8791.869999999999"/>
    <n v="0"/>
    <n v="0"/>
  </r>
  <r>
    <x v="701"/>
    <s v="Pastara Lakshman"/>
    <s v="vlc"/>
    <s v="Indirect"/>
    <n v="130.05000000000001"/>
    <n v="4117.4400000000005"/>
    <n v="0"/>
    <n v="0"/>
    <n v="0"/>
    <n v="0"/>
    <n v="0"/>
    <n v="0"/>
    <n v="4117.4400000000005"/>
    <n v="0"/>
    <n v="0"/>
    <n v="0"/>
    <n v="0"/>
    <n v="0"/>
    <n v="0"/>
    <n v="0"/>
    <n v="0"/>
    <n v="4117.4400000000005"/>
    <n v="0"/>
    <n v="0"/>
  </r>
  <r>
    <x v="702"/>
    <s v="GOMUKH DADHIYA-2"/>
    <s v="MPG"/>
    <s v="Direct"/>
    <n v="1587.5000000000002"/>
    <n v="69618.37999999999"/>
    <n v="1576.98"/>
    <n v="67893.88"/>
    <n v="16.569999999999997"/>
    <n v="792.57"/>
    <n v="1593.55"/>
    <n v="68686.450000000012"/>
    <n v="68686.450000000012"/>
    <n v="0"/>
    <n v="792.57"/>
    <n v="0"/>
    <n v="0"/>
    <n v="0"/>
    <n v="0"/>
    <n v="67891"/>
    <n v="0"/>
    <n v="0"/>
    <n v="935"/>
    <n v="0"/>
  </r>
  <r>
    <x v="703"/>
    <s v="GOMUKH PREMNAGAR"/>
    <s v="MPG"/>
    <s v="Direct"/>
    <n v="1197.6499999999999"/>
    <n v="49649.86"/>
    <n v="1179.8"/>
    <n v="49585.720000000008"/>
    <n v="1.1100000000000001"/>
    <n v="59.82"/>
    <n v="1180.9099999999999"/>
    <n v="49645.540000000008"/>
    <n v="49645.540000000008"/>
    <n v="0"/>
    <n v="59.82"/>
    <n v="0"/>
    <n v="1550"/>
    <n v="0"/>
    <n v="0"/>
    <n v="48035"/>
    <n v="0"/>
    <n v="0"/>
    <n v="5"/>
    <n v="0"/>
  </r>
  <r>
    <x v="704"/>
    <s v="GOMUKH JITWARIYA W-6"/>
    <s v="MPG"/>
    <s v="Direct"/>
    <n v="2312.9499999999998"/>
    <n v="92691.87999999999"/>
    <n v="2283.5899999999997"/>
    <n v="92233.920000000013"/>
    <n v="11.05"/>
    <n v="455.50000000000006"/>
    <n v="2294.64"/>
    <n v="92689.420000000013"/>
    <n v="92689.420000000013"/>
    <n v="0"/>
    <n v="455.50000000000006"/>
    <n v="0"/>
    <n v="3672"/>
    <n v="0"/>
    <n v="0"/>
    <n v="88562"/>
    <n v="0"/>
    <n v="0"/>
    <n v="2"/>
    <n v="0"/>
  </r>
  <r>
    <x v="705"/>
    <s v="GOMUKH SUSTA"/>
    <s v="MPG"/>
    <s v="Direct"/>
    <n v="766.34999999999991"/>
    <n v="33311.729999999996"/>
    <n v="777.93000000000006"/>
    <n v="32767.109999999997"/>
    <n v="9"/>
    <n v="537.48"/>
    <n v="786.93000000000006"/>
    <n v="33304.589999999997"/>
    <n v="33304.589999999997"/>
    <n v="0"/>
    <n v="537.48"/>
    <n v="0"/>
    <n v="2629"/>
    <n v="0"/>
    <n v="0"/>
    <n v="30140"/>
    <n v="0"/>
    <n v="0"/>
    <n v="5"/>
    <n v="0"/>
  </r>
  <r>
    <x v="706"/>
    <s v="DIH LAHI"/>
    <s v="vlc"/>
    <s v="Indirect"/>
    <n v="159.9"/>
    <n v="9286.99"/>
    <n v="0"/>
    <n v="0"/>
    <n v="0"/>
    <n v="0"/>
    <n v="0"/>
    <n v="0"/>
    <n v="9286.99"/>
    <n v="0"/>
    <n v="0"/>
    <n v="0"/>
    <n v="0"/>
    <n v="0"/>
    <n v="0"/>
    <n v="0"/>
    <n v="0"/>
    <n v="9286.99"/>
    <n v="0"/>
    <n v="0"/>
  </r>
  <r>
    <x v="707"/>
    <s v="BHATGAMA W-5"/>
    <s v="vlc"/>
    <s v="Indirect"/>
    <n v="270.2"/>
    <n v="9400.99"/>
    <n v="0"/>
    <n v="0"/>
    <n v="0"/>
    <n v="0"/>
    <n v="0"/>
    <n v="0"/>
    <n v="9400.99"/>
    <n v="0"/>
    <n v="0"/>
    <n v="0"/>
    <n v="0"/>
    <n v="0"/>
    <n v="0"/>
    <n v="0"/>
    <n v="0"/>
    <n v="9400.99"/>
    <n v="0"/>
    <n v="0"/>
  </r>
  <r>
    <x v="708"/>
    <s v="GOMUKH TOKE"/>
    <s v="MPG"/>
    <s v="Direct"/>
    <n v="301.64999999999998"/>
    <n v="11845.17"/>
    <n v="299.7"/>
    <n v="11803.05"/>
    <n v="0"/>
    <n v="0"/>
    <n v="299.7"/>
    <n v="11803.05"/>
    <n v="11803.05"/>
    <n v="0"/>
    <n v="0"/>
    <n v="0"/>
    <n v="0"/>
    <n v="0"/>
    <n v="0"/>
    <n v="11804"/>
    <n v="0"/>
    <n v="0"/>
    <n v="41"/>
    <n v="0"/>
  </r>
  <r>
    <x v="709"/>
    <s v="GOMUKH SHIVNAGAR"/>
    <s v="MPG"/>
    <s v="Direct"/>
    <n v="1055.9000000000003"/>
    <n v="44284.7"/>
    <n v="849.12"/>
    <n v="33619.499999999993"/>
    <n v="213.3"/>
    <n v="10662.24"/>
    <n v="1062.42"/>
    <n v="44281.739999999991"/>
    <n v="44281.739999999991"/>
    <n v="0"/>
    <n v="0"/>
    <n v="0"/>
    <n v="0"/>
    <n v="0"/>
    <n v="0"/>
    <n v="33619"/>
    <n v="10662"/>
    <n v="0"/>
    <n v="4"/>
    <n v="0"/>
  </r>
  <r>
    <x v="710"/>
    <s v="GOMUKH BAKHITIYARPUR"/>
    <s v="MPG"/>
    <s v="Direct"/>
    <n v="1265.5500000000004"/>
    <n v="57394.180000000008"/>
    <n v="1246.5999999999999"/>
    <n v="56485.849999999991"/>
    <n v="19.899999999999999"/>
    <n v="889.97"/>
    <n v="1266.5"/>
    <n v="57375.819999999992"/>
    <n v="57375.819999999992"/>
    <n v="0"/>
    <n v="889.97"/>
    <n v="0"/>
    <n v="2837"/>
    <n v="0"/>
    <n v="0"/>
    <n v="53649"/>
    <n v="0"/>
    <n v="0"/>
    <n v="18"/>
    <n v="0"/>
  </r>
  <r>
    <x v="711"/>
    <s v="Gomukh Bhagwanpur East "/>
    <s v="vlc"/>
    <s v="Indirect"/>
    <n v="519.79999999999995"/>
    <n v="19671.830000000002"/>
    <n v="0"/>
    <n v="0"/>
    <n v="0"/>
    <n v="0"/>
    <n v="0"/>
    <n v="0"/>
    <n v="19671.830000000002"/>
    <n v="0"/>
    <n v="0"/>
    <n v="0"/>
    <n v="0"/>
    <n v="0"/>
    <n v="0"/>
    <n v="0"/>
    <n v="0"/>
    <n v="19671.830000000002"/>
    <n v="0"/>
    <n v="0"/>
  </r>
  <r>
    <x v="712"/>
    <s v="GOMUKH BHARJA"/>
    <s v="MPG"/>
    <s v="Direct"/>
    <n v="2107.6499999999996"/>
    <n v="105210.60999999999"/>
    <n v="2118.0500000000002"/>
    <n v="105207.94"/>
    <n v="0"/>
    <n v="0"/>
    <n v="2118.0500000000002"/>
    <n v="105207.94"/>
    <n v="105207.94"/>
    <n v="0"/>
    <n v="0"/>
    <n v="0"/>
    <n v="18650"/>
    <n v="0"/>
    <n v="0"/>
    <n v="86558"/>
    <n v="0"/>
    <n v="0"/>
    <n v="3"/>
    <n v="0"/>
  </r>
  <r>
    <x v="713"/>
    <s v="GOMUKH NAWABGANJ"/>
    <s v="MPG"/>
    <s v="Direct"/>
    <n v="777.2"/>
    <n v="32075.079999999998"/>
    <n v="767.1"/>
    <n v="31688.84"/>
    <n v="9.0699999999999985"/>
    <n v="383.11000000000007"/>
    <n v="776.17000000000007"/>
    <n v="32071.95"/>
    <n v="32071.95"/>
    <n v="0"/>
    <n v="383.11000000000007"/>
    <n v="0"/>
    <n v="8445"/>
    <n v="0"/>
    <n v="0"/>
    <n v="23244"/>
    <n v="0"/>
    <n v="0"/>
    <n v="3"/>
    <n v="0"/>
  </r>
  <r>
    <x v="714"/>
    <s v="GOMUKH CHAKKI"/>
    <s v="MPG"/>
    <s v="Direct"/>
    <n v="197.69999999999996"/>
    <n v="8621.369999999999"/>
    <n v="204.29999999999998"/>
    <n v="8532.5399999999991"/>
    <n v="1.5000000000000002"/>
    <n v="60.739999999999995"/>
    <n v="205.79999999999998"/>
    <n v="8593.2799999999988"/>
    <n v="8593.2799999999988"/>
    <n v="0"/>
    <n v="60.739999999999995"/>
    <n v="0"/>
    <n v="1550"/>
    <n v="0"/>
    <n v="0"/>
    <n v="6983"/>
    <n v="0"/>
    <n v="0"/>
    <n v="28"/>
    <n v="0"/>
  </r>
  <r>
    <x v="715"/>
    <s v="GOMUKH LAKSHMAN NAGAR"/>
    <s v="MPG"/>
    <s v="Direct"/>
    <n v="509.04999999999995"/>
    <n v="22063.59"/>
    <n v="530.70000000000005"/>
    <n v="21888.400000000001"/>
    <n v="3"/>
    <n v="159.51"/>
    <n v="533.70000000000005"/>
    <n v="22047.91"/>
    <n v="22047.91"/>
    <n v="0"/>
    <n v="159.51"/>
    <n v="0"/>
    <n v="2250"/>
    <n v="0"/>
    <n v="0"/>
    <n v="19636"/>
    <n v="0"/>
    <n v="0"/>
    <n v="18"/>
    <n v="0"/>
  </r>
  <r>
    <x v="716"/>
    <s v="GOMUKH KOTHIYA"/>
    <s v="MPG"/>
    <s v="Direct"/>
    <n v="114.8"/>
    <n v="5162.5600000000004"/>
    <n v="114.7"/>
    <n v="4950.63"/>
    <n v="4.9999999999999964"/>
    <n v="205.89999999999995"/>
    <n v="119.7"/>
    <n v="5156.53"/>
    <n v="5156.53"/>
    <n v="0"/>
    <n v="205.89999999999995"/>
    <n v="0"/>
    <n v="0"/>
    <n v="500"/>
    <n v="0"/>
    <n v="4450"/>
    <n v="0"/>
    <n v="0"/>
    <n v="7"/>
    <n v="0"/>
  </r>
  <r>
    <x v="717"/>
    <s v="GOMUKH JHAHURI"/>
    <s v="MPG"/>
    <s v="Direct"/>
    <n v="2867.7000000000007"/>
    <n v="123196.52999999998"/>
    <n v="2859.1999999999994"/>
    <n v="121500.74000000003"/>
    <n v="31.800000000000008"/>
    <n v="1347.18"/>
    <n v="2890.9999999999995"/>
    <n v="122847.92000000003"/>
    <n v="122847.92000000003"/>
    <n v="0"/>
    <n v="1347.18"/>
    <n v="0"/>
    <n v="15989"/>
    <n v="0"/>
    <n v="0"/>
    <n v="105516"/>
    <n v="0"/>
    <n v="0"/>
    <n v="344"/>
    <n v="0"/>
  </r>
  <r>
    <x v="986"/>
    <s v="Belsandi Dihtola"/>
    <s v="vlc"/>
    <s v="Indirect"/>
    <n v="116.3"/>
    <n v="4627.0200000000004"/>
    <n v="0"/>
    <n v="0"/>
    <n v="0"/>
    <n v="0"/>
    <n v="0"/>
    <n v="0"/>
    <n v="4627.0200000000004"/>
    <n v="0"/>
    <n v="0"/>
    <n v="0"/>
    <n v="0"/>
    <n v="0"/>
    <n v="0"/>
    <n v="0"/>
    <n v="0"/>
    <n v="4627.0200000000004"/>
    <n v="0"/>
    <n v="0"/>
  </r>
  <r>
    <x v="718"/>
    <s v="GOMUKH Keotsa"/>
    <s v="MPG"/>
    <s v="Direct"/>
    <n v="658.84999999999991"/>
    <n v="28322.399999999991"/>
    <n v="537.93000000000006"/>
    <n v="22942.519999999997"/>
    <n v="135.45000000000002"/>
    <n v="5350.7199999999993"/>
    <n v="673.38000000000011"/>
    <n v="28293.239999999998"/>
    <n v="28293.239999999998"/>
    <n v="0"/>
    <n v="1386.9000000000003"/>
    <n v="0"/>
    <n v="0"/>
    <n v="0"/>
    <n v="0"/>
    <n v="22943"/>
    <n v="3963"/>
    <n v="0"/>
    <n v="29"/>
    <n v="0"/>
  </r>
  <r>
    <x v="719"/>
    <s v="Gomukh Namapur East"/>
    <s v="vlc"/>
    <s v="Indirect"/>
    <n v="309.34999999999997"/>
    <n v="18147.740000000002"/>
    <n v="0"/>
    <n v="0"/>
    <n v="0"/>
    <n v="0"/>
    <n v="0"/>
    <n v="0"/>
    <n v="18147.740000000002"/>
    <n v="0"/>
    <n v="0"/>
    <n v="0"/>
    <n v="0"/>
    <n v="0"/>
    <n v="0"/>
    <n v="0"/>
    <n v="0"/>
    <n v="18147.740000000002"/>
    <n v="0"/>
    <n v="0"/>
  </r>
  <r>
    <x v="720"/>
    <s v="GOMUKH Waini"/>
    <s v="MPG"/>
    <s v="Direct"/>
    <n v="443.95000000000005"/>
    <n v="17993.550000000003"/>
    <n v="425.17"/>
    <n v="17626.25"/>
    <n v="8.68"/>
    <n v="364.40999999999997"/>
    <n v="433.85"/>
    <n v="17990.66"/>
    <n v="17990.66"/>
    <n v="0"/>
    <n v="364.40999999999997"/>
    <n v="0"/>
    <n v="0"/>
    <n v="0"/>
    <n v="0"/>
    <n v="17628"/>
    <n v="0"/>
    <n v="0"/>
    <n v="1"/>
    <n v="0"/>
  </r>
  <r>
    <x v="721"/>
    <s v="GOMUKH SAKARI"/>
    <s v="MPG"/>
    <s v="Direct"/>
    <n v="1727.6999999999998"/>
    <n v="76569.010000000009"/>
    <n v="1711.1399999999999"/>
    <n v="75555.69"/>
    <n v="22.310000000000002"/>
    <n v="991.69"/>
    <n v="1733.4499999999998"/>
    <n v="76547.38"/>
    <n v="76547.38"/>
    <n v="0"/>
    <n v="991.69"/>
    <n v="0"/>
    <n v="4943"/>
    <n v="0"/>
    <n v="0"/>
    <n v="70614"/>
    <n v="0"/>
    <n v="0"/>
    <n v="20"/>
    <n v="0"/>
  </r>
  <r>
    <x v="722"/>
    <s v="GOMUKH DHOBGAMA"/>
    <s v="MPG"/>
    <s v="Direct"/>
    <n v="703.90000000000009"/>
    <n v="28887.32"/>
    <n v="684.42"/>
    <n v="28293.78"/>
    <n v="13.929999999999998"/>
    <n v="586.76"/>
    <n v="698.34999999999991"/>
    <n v="28880.539999999997"/>
    <n v="28880.539999999997"/>
    <n v="0"/>
    <n v="586.76"/>
    <n v="0"/>
    <n v="0"/>
    <n v="0"/>
    <n v="0"/>
    <n v="28293"/>
    <n v="0"/>
    <n v="0"/>
    <n v="8"/>
    <n v="0"/>
  </r>
  <r>
    <x v="723"/>
    <s v="GOMUKH BHUSKOUL"/>
    <s v="MPG"/>
    <s v="Direct"/>
    <n v="574"/>
    <n v="23098.149999999998"/>
    <n v="596.33999999999992"/>
    <n v="22616.880000000001"/>
    <n v="12.33"/>
    <n v="478.73"/>
    <n v="608.66999999999996"/>
    <n v="23095.61"/>
    <n v="23095.61"/>
    <n v="0"/>
    <n v="478.73"/>
    <n v="0"/>
    <n v="0"/>
    <n v="0"/>
    <n v="0"/>
    <n v="22618"/>
    <n v="0"/>
    <n v="0"/>
    <n v="1"/>
    <n v="0"/>
  </r>
  <r>
    <x v="724"/>
    <s v="GOMUKH BIRSINGHPUR"/>
    <s v="MPG"/>
    <s v="Direct"/>
    <n v="684.6500000000002"/>
    <n v="27574.69"/>
    <n v="704"/>
    <n v="27088.809999999998"/>
    <n v="10"/>
    <n v="436.5"/>
    <n v="714"/>
    <n v="27525.309999999998"/>
    <n v="27525.309999999998"/>
    <n v="0"/>
    <n v="436.5"/>
    <n v="0"/>
    <n v="0"/>
    <n v="0"/>
    <n v="0"/>
    <n v="27090"/>
    <n v="0"/>
    <n v="0"/>
    <n v="48"/>
    <n v="0"/>
  </r>
  <r>
    <x v="725"/>
    <s v="GOMUKH GHOSRAWAN"/>
    <s v="MPG"/>
    <s v="Direct"/>
    <n v="441.15000000000009"/>
    <n v="17704.61"/>
    <n v="430.17999999999995"/>
    <n v="17680.95"/>
    <n v="0.52"/>
    <n v="20.170000000000002"/>
    <n v="430.69999999999993"/>
    <n v="17701.12"/>
    <n v="17701.12"/>
    <n v="0"/>
    <n v="20.170000000000002"/>
    <n v="0"/>
    <n v="5150"/>
    <n v="0"/>
    <n v="0"/>
    <n v="12531"/>
    <n v="0"/>
    <n v="0"/>
    <n v="3"/>
    <n v="0"/>
  </r>
  <r>
    <x v="726"/>
    <s v="GOMUKH BANDRA W-9"/>
    <s v="MPG"/>
    <s v="Direct"/>
    <n v="391.2000000000001"/>
    <n v="17056.930000000004"/>
    <n v="378.99999999999994"/>
    <n v="16925.969999999998"/>
    <n v="2.8000000000000003"/>
    <n v="127.38"/>
    <n v="381.79999999999995"/>
    <n v="17053.349999999999"/>
    <n v="17053.349999999999"/>
    <n v="0"/>
    <n v="127.38"/>
    <n v="0"/>
    <n v="572"/>
    <n v="0"/>
    <n v="0"/>
    <n v="16353"/>
    <n v="0"/>
    <n v="0"/>
    <n v="5"/>
    <n v="0"/>
  </r>
  <r>
    <x v="727"/>
    <s v="AMI Dairy"/>
    <s v="vlc"/>
    <s v="Indirect"/>
    <n v="1113.8"/>
    <n v="45779.710000000006"/>
    <n v="0"/>
    <n v="0"/>
    <n v="0"/>
    <n v="0"/>
    <n v="0"/>
    <n v="0"/>
    <n v="45779.710000000006"/>
    <n v="0"/>
    <n v="0"/>
    <n v="0"/>
    <n v="0"/>
    <n v="0"/>
    <n v="0"/>
    <n v="0"/>
    <n v="0"/>
    <n v="45779.710000000006"/>
    <n v="0"/>
    <n v="0"/>
  </r>
  <r>
    <x v="987"/>
    <s v="Gomukh Simra"/>
    <s v="vlc"/>
    <s v="Indirect"/>
    <n v="476.8"/>
    <n v="18976.21"/>
    <n v="0"/>
    <n v="0"/>
    <n v="0"/>
    <n v="0"/>
    <n v="0"/>
    <n v="0"/>
    <n v="18976.21"/>
    <n v="0"/>
    <n v="0"/>
    <n v="0"/>
    <n v="0"/>
    <n v="0"/>
    <n v="0"/>
    <n v="0"/>
    <n v="0"/>
    <n v="18976.21"/>
    <n v="0"/>
    <n v="0"/>
  </r>
  <r>
    <x v="728"/>
    <s v="GOMUKH ANANDPUR PARAS 2"/>
    <s v="MPG"/>
    <s v="Direct"/>
    <n v="2935.9"/>
    <n v="115981.21999999999"/>
    <n v="2935.8999999999996"/>
    <n v="115981.21999999999"/>
    <n v="0"/>
    <n v="0"/>
    <n v="2935.8999999999996"/>
    <n v="115981.21999999999"/>
    <n v="115981.21999999999"/>
    <n v="0"/>
    <n v="0"/>
    <n v="0"/>
    <n v="0"/>
    <n v="0"/>
    <n v="0"/>
    <n v="115981"/>
    <n v="0"/>
    <n v="0"/>
    <n v="0"/>
    <n v="0"/>
  </r>
  <r>
    <x v="729"/>
    <s v="GOMUKH GADBANNI"/>
    <s v="MPG"/>
    <s v="Direct"/>
    <n v="348.00000000000006"/>
    <n v="14965.27"/>
    <n v="355.48"/>
    <n v="15014.05"/>
    <n v="0"/>
    <n v="0"/>
    <n v="355.48"/>
    <n v="15014.05"/>
    <n v="14965.27"/>
    <n v="0"/>
    <n v="0"/>
    <n v="48.779999999998836"/>
    <n v="1376"/>
    <n v="0"/>
    <n v="0"/>
    <n v="13589"/>
    <n v="0"/>
    <n v="0"/>
    <n v="0"/>
    <n v="0"/>
  </r>
  <r>
    <x v="988"/>
    <s v="GOMUKH GORIYAMI"/>
    <s v="MPG"/>
    <s v="Direct"/>
    <n v="28.6"/>
    <n v="1288.4000000000001"/>
    <n v="56"/>
    <n v="2636.2"/>
    <n v="0"/>
    <n v="0"/>
    <n v="56"/>
    <n v="2636.2"/>
    <n v="1288.4000000000001"/>
    <n v="0"/>
    <n v="0"/>
    <n v="1347.7999999999997"/>
    <n v="0"/>
    <n v="0"/>
    <n v="0"/>
    <n v="1288"/>
    <n v="0"/>
    <n v="0"/>
    <n v="0"/>
    <n v="0"/>
  </r>
  <r>
    <x v="730"/>
    <s v="GOMUKH PARRI"/>
    <s v="MPG"/>
    <s v="Direct"/>
    <n v="80"/>
    <n v="3730.4300000000003"/>
    <n v="86.750000000000014"/>
    <n v="4106.09"/>
    <n v="0"/>
    <n v="0"/>
    <n v="86.750000000000014"/>
    <n v="4106.09"/>
    <n v="3730.4300000000003"/>
    <n v="0"/>
    <n v="0"/>
    <n v="375.65999999999985"/>
    <n v="0"/>
    <n v="0"/>
    <n v="0"/>
    <n v="4107"/>
    <n v="0"/>
    <n v="0"/>
    <n v="-377"/>
    <s v="Release2"/>
  </r>
  <r>
    <x v="731"/>
    <s v="GOMUKH BHIKHARI GHAT"/>
    <s v="MPG"/>
    <s v="Direct"/>
    <n v="1168"/>
    <n v="51719.41"/>
    <n v="1230.4599999999998"/>
    <n v="55285.669999999991"/>
    <n v="0"/>
    <n v="0"/>
    <n v="1230.4599999999998"/>
    <n v="55285.669999999991"/>
    <n v="51719.41"/>
    <n v="0"/>
    <n v="0"/>
    <n v="3566.2599999999875"/>
    <n v="1400"/>
    <n v="0"/>
    <n v="0"/>
    <n v="50319"/>
    <n v="0"/>
    <n v="0"/>
    <n v="0"/>
    <s v="Release3"/>
  </r>
  <r>
    <x v="732"/>
    <s v="Vikash Kumar"/>
    <s v="vlc"/>
    <s v="Indirect"/>
    <n v="2050.8000000000002"/>
    <n v="86132.56"/>
    <n v="0"/>
    <n v="0"/>
    <n v="0"/>
    <n v="0"/>
    <n v="0"/>
    <n v="0"/>
    <n v="86132.56"/>
    <n v="0"/>
    <n v="0"/>
    <n v="0"/>
    <n v="0"/>
    <n v="0"/>
    <n v="0"/>
    <n v="0"/>
    <n v="0"/>
    <n v="86132.56"/>
    <n v="0"/>
    <n v="0"/>
  </r>
  <r>
    <x v="733"/>
    <s v="Rajkishore Yadav"/>
    <s v="vlc"/>
    <s v="Indirect"/>
    <n v="302"/>
    <n v="10962.640000000001"/>
    <n v="0"/>
    <n v="0"/>
    <n v="0"/>
    <n v="0"/>
    <n v="0"/>
    <n v="0"/>
    <n v="10962.640000000001"/>
    <n v="0"/>
    <n v="0"/>
    <n v="0"/>
    <n v="0"/>
    <n v="0"/>
    <n v="0"/>
    <n v="0"/>
    <n v="0"/>
    <n v="10962.640000000001"/>
    <n v="0"/>
    <n v="0"/>
  </r>
  <r>
    <x v="734"/>
    <s v="BHADAS VLC"/>
    <s v="vlc"/>
    <s v="Indirect"/>
    <n v="65.5"/>
    <n v="3335.5199999999995"/>
    <n v="0"/>
    <n v="0"/>
    <n v="0"/>
    <n v="0"/>
    <n v="0"/>
    <n v="0"/>
    <n v="3335.5199999999995"/>
    <n v="0"/>
    <n v="0"/>
    <n v="0"/>
    <n v="0"/>
    <n v="0"/>
    <n v="0"/>
    <n v="0"/>
    <n v="0"/>
    <n v="3335.5199999999995"/>
    <n v="0"/>
    <n v="0"/>
  </r>
  <r>
    <x v="735"/>
    <s v="GOMUKH BENHER"/>
    <s v="MPG"/>
    <s v="Direct"/>
    <n v="473.1"/>
    <n v="25758.810000000005"/>
    <n v="373.84"/>
    <n v="20477.219999999994"/>
    <n v="108.9"/>
    <n v="5996.58"/>
    <n v="482.74"/>
    <n v="26473.799999999996"/>
    <n v="25758.810000000005"/>
    <n v="0"/>
    <n v="76.47"/>
    <n v="714.98999999999069"/>
    <n v="0"/>
    <n v="0"/>
    <n v="0"/>
    <n v="19762"/>
    <n v="5920"/>
    <n v="0"/>
    <n v="0"/>
    <n v="0"/>
  </r>
  <r>
    <x v="736"/>
    <s v="GOMUKH LADORA"/>
    <s v="MPG"/>
    <s v="Direct"/>
    <n v="754.9"/>
    <n v="29793.949999999997"/>
    <n v="774.26"/>
    <n v="33832.799999999996"/>
    <n v="0"/>
    <n v="0"/>
    <n v="774.26"/>
    <n v="33832.799999999996"/>
    <n v="29793.949999999997"/>
    <n v="0"/>
    <n v="0"/>
    <n v="4038.8499999999985"/>
    <n v="0"/>
    <n v="0"/>
    <n v="0"/>
    <n v="29794"/>
    <n v="0"/>
    <n v="0"/>
    <n v="0"/>
    <n v="0"/>
  </r>
  <r>
    <x v="737"/>
    <s v="GOMUKH SAHSI"/>
    <s v="MPG"/>
    <s v="Direct"/>
    <n v="336.5"/>
    <n v="15168.2"/>
    <n v="387.76"/>
    <n v="17619.989999999998"/>
    <n v="0"/>
    <n v="0"/>
    <n v="387.76"/>
    <n v="17619.989999999998"/>
    <n v="15168.2"/>
    <n v="0"/>
    <n v="0"/>
    <n v="2451.7899999999972"/>
    <n v="0"/>
    <n v="500"/>
    <n v="0"/>
    <n v="14668"/>
    <n v="0"/>
    <n v="0"/>
    <n v="0"/>
    <n v="0"/>
  </r>
  <r>
    <x v="738"/>
    <s v="Gomukh Chikni"/>
    <s v="MPG"/>
    <s v="Direct"/>
    <n v="132.30000000000001"/>
    <n v="4208.3900000000003"/>
    <n v="105.97"/>
    <n v="4209.2699999999995"/>
    <n v="0"/>
    <n v="0"/>
    <n v="105.97"/>
    <n v="4209.2699999999995"/>
    <n v="4208.3900000000003"/>
    <n v="0"/>
    <n v="0"/>
    <n v="0.87999999999919964"/>
    <n v="0"/>
    <n v="500"/>
    <n v="0"/>
    <n v="3708"/>
    <n v="0"/>
    <n v="0"/>
    <n v="0"/>
    <s v="Release3"/>
  </r>
  <r>
    <x v="739"/>
    <s v="GOMUKH BUDWA"/>
    <s v="MPG"/>
    <s v="Direct"/>
    <n v="67.599999999999994"/>
    <n v="2658.84"/>
    <n v="75.540000000000006"/>
    <n v="3010.5600000000004"/>
    <n v="0"/>
    <n v="0"/>
    <n v="75.540000000000006"/>
    <n v="3010.5600000000004"/>
    <n v="2658.84"/>
    <n v="0"/>
    <n v="0"/>
    <n v="351.72000000000025"/>
    <n v="0"/>
    <n v="0"/>
    <n v="0"/>
    <n v="3012"/>
    <n v="0"/>
    <n v="0"/>
    <n v="-353"/>
    <s v="Release2"/>
  </r>
  <r>
    <x v="740"/>
    <s v="GOMUKH GANGIYA"/>
    <s v="vlc"/>
    <s v="Indirect"/>
    <n v="719.69999999999993"/>
    <n v="23382.750000000004"/>
    <n v="0"/>
    <n v="0"/>
    <n v="0"/>
    <n v="0"/>
    <n v="0"/>
    <n v="0"/>
    <n v="23382.750000000004"/>
    <n v="0"/>
    <n v="0"/>
    <n v="0"/>
    <n v="0"/>
    <n v="0"/>
    <n v="0"/>
    <n v="0"/>
    <n v="0"/>
    <n v="23382.750000000004"/>
    <n v="0"/>
    <n v="0"/>
  </r>
  <r>
    <x v="741"/>
    <s v="GOMUKH AMBA ICHARUA"/>
    <s v="MPG"/>
    <s v="Direct"/>
    <n v="538.6"/>
    <n v="21073.57"/>
    <n v="60.239999999999995"/>
    <n v="2695.7299999999996"/>
    <n v="641.80000000000007"/>
    <n v="27700.670000000006"/>
    <n v="702.04000000000008"/>
    <n v="30396.400000000005"/>
    <n v="21073.57"/>
    <n v="0"/>
    <n v="531.97"/>
    <n v="9322.8300000000054"/>
    <n v="0"/>
    <n v="0"/>
    <n v="0"/>
    <n v="0"/>
    <n v="20542"/>
    <n v="0"/>
    <n v="0"/>
    <s v="Release3"/>
  </r>
  <r>
    <x v="742"/>
    <s v="RAJAURA VLC"/>
    <s v="vlc"/>
    <s v="Indirect"/>
    <n v="1042.5999999999999"/>
    <n v="40145.410000000003"/>
    <n v="0"/>
    <n v="0"/>
    <n v="0"/>
    <n v="0"/>
    <n v="0"/>
    <n v="0"/>
    <n v="40145.410000000003"/>
    <n v="0"/>
    <n v="0"/>
    <n v="0"/>
    <n v="0"/>
    <n v="0"/>
    <n v="0"/>
    <n v="0"/>
    <n v="0"/>
    <n v="40145.410000000003"/>
    <n v="0"/>
    <n v="0"/>
  </r>
  <r>
    <x v="743"/>
    <s v="GOMUKH JWALAPUR"/>
    <s v="MPG"/>
    <s v="Direct"/>
    <n v="182.6"/>
    <n v="6490.9299999999994"/>
    <n v="195"/>
    <n v="7778.55"/>
    <n v="0"/>
    <n v="0"/>
    <n v="195"/>
    <n v="7778.55"/>
    <n v="6490.9299999999994"/>
    <n v="0"/>
    <n v="0"/>
    <n v="1287.6200000000008"/>
    <n v="0"/>
    <n v="500"/>
    <n v="0"/>
    <n v="5991"/>
    <n v="0"/>
    <n v="0"/>
    <n v="0"/>
    <n v="0"/>
  </r>
  <r>
    <x v="744"/>
    <s v="VLC Dhushmuri Bishanpur"/>
    <s v="vlc"/>
    <s v="Indirect"/>
    <n v="458.1"/>
    <n v="14966.539999999999"/>
    <n v="0"/>
    <n v="0"/>
    <n v="0"/>
    <n v="0"/>
    <n v="0"/>
    <n v="0"/>
    <n v="14966.539999999999"/>
    <n v="0"/>
    <n v="0"/>
    <n v="0"/>
    <n v="0"/>
    <n v="0"/>
    <n v="0"/>
    <n v="0"/>
    <n v="0"/>
    <n v="14966.539999999999"/>
    <n v="0"/>
    <n v="0"/>
  </r>
  <r>
    <x v="745"/>
    <s v="VLC Govindpur"/>
    <s v="vlc"/>
    <s v="Indirect"/>
    <n v="924.29999999999984"/>
    <n v="33860.949999999997"/>
    <n v="0"/>
    <n v="0"/>
    <n v="0"/>
    <n v="0"/>
    <n v="0"/>
    <n v="0"/>
    <n v="33860.949999999997"/>
    <n v="0"/>
    <n v="0"/>
    <n v="0"/>
    <n v="0"/>
    <n v="0"/>
    <n v="0"/>
    <n v="0"/>
    <n v="0"/>
    <n v="33860.949999999997"/>
    <n v="0"/>
    <n v="0"/>
  </r>
  <r>
    <x v="746"/>
    <s v="Gomukh Darhi Mor"/>
    <s v="vlc"/>
    <s v="Indirect"/>
    <n v="102.1"/>
    <n v="3868.48"/>
    <n v="0"/>
    <n v="0"/>
    <n v="0"/>
    <n v="0"/>
    <n v="0"/>
    <n v="0"/>
    <n v="3868.48"/>
    <n v="0"/>
    <n v="0"/>
    <n v="0"/>
    <n v="0"/>
    <n v="0"/>
    <n v="0"/>
    <n v="0"/>
    <n v="0"/>
    <n v="3868.48"/>
    <n v="0"/>
    <n v="0"/>
  </r>
  <r>
    <x v="747"/>
    <s v="Gomukh Balaur"/>
    <s v="MPG"/>
    <s v="Direct"/>
    <n v="1583.4"/>
    <n v="82271.159999999989"/>
    <n v="1386"/>
    <n v="82306.48000000001"/>
    <n v="0"/>
    <n v="0"/>
    <n v="1386"/>
    <n v="82306.48000000001"/>
    <n v="82271.159999999989"/>
    <n v="0"/>
    <n v="0"/>
    <n v="35.320000000021537"/>
    <n v="0"/>
    <n v="0"/>
    <n v="0"/>
    <n v="82271"/>
    <n v="0"/>
    <n v="0"/>
    <n v="0"/>
    <n v="0"/>
  </r>
  <r>
    <x v="748"/>
    <s v="Gomukh Usri"/>
    <s v="vlc"/>
    <s v="Direct"/>
    <n v="379.09999999999997"/>
    <n v="17720.61"/>
    <n v="658.44999999999982"/>
    <n v="30177.670000000006"/>
    <n v="0"/>
    <n v="0"/>
    <n v="658.44999999999982"/>
    <n v="30177.670000000006"/>
    <n v="17720.61"/>
    <n v="0"/>
    <n v="0"/>
    <n v="12457.060000000005"/>
    <n v="0"/>
    <n v="0"/>
    <n v="0"/>
    <n v="17721"/>
    <n v="0"/>
    <n v="0"/>
    <n v="0"/>
    <n v="0"/>
  </r>
  <r>
    <x v="749"/>
    <s v="Gomukh Hathwan - 2"/>
    <s v="MPG"/>
    <s v="Direct"/>
    <n v="208.19999999999996"/>
    <n v="8657.2200000000012"/>
    <n v="210"/>
    <n v="9032.75"/>
    <n v="0"/>
    <n v="0"/>
    <n v="210"/>
    <n v="9032.75"/>
    <n v="8657.2200000000012"/>
    <n v="0"/>
    <n v="0"/>
    <n v="375.52999999999884"/>
    <n v="0"/>
    <n v="0"/>
    <n v="0"/>
    <n v="8657"/>
    <n v="0"/>
    <n v="0"/>
    <n v="0"/>
    <n v="0"/>
  </r>
  <r>
    <x v="750"/>
    <s v="VLC Sunil Khas"/>
    <s v="vlc"/>
    <s v="Indirect"/>
    <n v="624.10000000000014"/>
    <n v="26828.129999999997"/>
    <n v="0"/>
    <n v="0"/>
    <n v="0"/>
    <n v="0"/>
    <n v="0"/>
    <n v="0"/>
    <n v="26828.129999999997"/>
    <n v="0"/>
    <n v="0"/>
    <n v="0"/>
    <n v="0"/>
    <n v="0"/>
    <n v="0"/>
    <n v="0"/>
    <n v="0"/>
    <n v="26828.129999999997"/>
    <n v="0"/>
    <n v="0"/>
  </r>
  <r>
    <x v="751"/>
    <s v="Gomukh Hathwan "/>
    <s v="MPG"/>
    <s v="Direct"/>
    <n v="346.9"/>
    <n v="14461.050000000001"/>
    <n v="371.49"/>
    <n v="16488.839999999997"/>
    <n v="0"/>
    <n v="0"/>
    <n v="371.49"/>
    <n v="16488.839999999997"/>
    <n v="14461.050000000001"/>
    <n v="0"/>
    <n v="0"/>
    <n v="2027.7899999999954"/>
    <n v="0"/>
    <n v="0"/>
    <n v="0"/>
    <n v="14461"/>
    <n v="0"/>
    <n v="0"/>
    <n v="0"/>
    <n v="0"/>
  </r>
  <r>
    <x v="752"/>
    <s v="Gomukh Bekhari Ghat-2"/>
    <s v="MPG"/>
    <s v="Direct"/>
    <n v="130.60000000000002"/>
    <n v="4499.2700000000004"/>
    <n v="152.63999999999999"/>
    <n v="10113.93"/>
    <n v="0"/>
    <n v="0"/>
    <n v="152.63999999999999"/>
    <n v="10113.93"/>
    <n v="4499.2700000000004"/>
    <n v="0"/>
    <n v="0"/>
    <n v="5614.66"/>
    <n v="0"/>
    <n v="0"/>
    <n v="0"/>
    <n v="4499"/>
    <n v="0"/>
    <n v="0"/>
    <n v="0"/>
    <n v="0"/>
  </r>
  <r>
    <x v="753"/>
    <s v="Gomukh Rahul VLC"/>
    <s v="vlc"/>
    <s v="Indirect"/>
    <n v="1888.3"/>
    <n v="82161.69"/>
    <n v="0"/>
    <n v="0"/>
    <n v="0"/>
    <n v="0"/>
    <n v="0"/>
    <n v="0"/>
    <n v="82161.69"/>
    <n v="0"/>
    <n v="0"/>
    <n v="0"/>
    <n v="0"/>
    <n v="0"/>
    <n v="0"/>
    <n v="0"/>
    <n v="0"/>
    <n v="82161.69"/>
    <n v="0"/>
    <n v="0"/>
  </r>
  <r>
    <x v="754"/>
    <s v="Gomukh Sachin VLC"/>
    <s v="vlc"/>
    <s v="Indirect"/>
    <n v="502.00000000000006"/>
    <n v="19628.5"/>
    <n v="0"/>
    <n v="0"/>
    <n v="0"/>
    <n v="0"/>
    <n v="0"/>
    <n v="0"/>
    <n v="19628.5"/>
    <n v="0"/>
    <n v="0"/>
    <n v="0"/>
    <n v="0"/>
    <n v="0"/>
    <n v="0"/>
    <n v="0"/>
    <n v="0"/>
    <n v="19628.5"/>
    <n v="0"/>
    <n v="0"/>
  </r>
  <r>
    <x v="755"/>
    <s v="Gomukh Khutauna"/>
    <s v="MPG"/>
    <s v="Direct"/>
    <n v="306.39999999999998"/>
    <n v="10229.15"/>
    <n v="306.39"/>
    <n v="10980.09"/>
    <n v="0"/>
    <n v="0"/>
    <n v="306.39"/>
    <n v="10980.09"/>
    <n v="10229.15"/>
    <n v="0"/>
    <n v="0"/>
    <n v="750.94000000000051"/>
    <n v="7000"/>
    <n v="0"/>
    <n v="0"/>
    <n v="3229"/>
    <n v="0"/>
    <n v="0"/>
    <n v="0"/>
    <n v="0"/>
  </r>
  <r>
    <x v="756"/>
    <s v="Gomukh Bathnaha VLC"/>
    <s v="vlc"/>
    <s v="Indirect"/>
    <n v="289.29999999999995"/>
    <n v="10396.660000000002"/>
    <n v="0"/>
    <n v="0"/>
    <n v="0"/>
    <n v="0"/>
    <n v="0"/>
    <n v="0"/>
    <n v="10396.660000000002"/>
    <n v="0"/>
    <n v="0"/>
    <n v="0"/>
    <n v="0"/>
    <n v="0"/>
    <n v="0"/>
    <n v="0"/>
    <n v="0"/>
    <n v="10396.660000000002"/>
    <n v="0"/>
    <n v="0"/>
  </r>
  <r>
    <x v="757"/>
    <s v="Balahpur-Anil Yadav"/>
    <s v="vlc"/>
    <s v="Indirect"/>
    <n v="18380.600000000002"/>
    <n v="710938.29999999993"/>
    <n v="0"/>
    <n v="0"/>
    <n v="0"/>
    <n v="0"/>
    <n v="0"/>
    <n v="0"/>
    <n v="710938.29999999993"/>
    <n v="0"/>
    <n v="0"/>
    <n v="0"/>
    <n v="0"/>
    <n v="0"/>
    <n v="0"/>
    <n v="0"/>
    <n v="0"/>
    <n v="710938.29999999993"/>
    <n v="0"/>
    <n v="0"/>
  </r>
  <r>
    <x v="758"/>
    <s v="Bagdobh"/>
    <s v="vlc"/>
    <s v="Indirect"/>
    <n v="172.19999999999996"/>
    <n v="6515.05"/>
    <n v="0"/>
    <n v="0"/>
    <n v="0"/>
    <n v="0"/>
    <n v="0"/>
    <n v="0"/>
    <n v="6515.05"/>
    <n v="0"/>
    <n v="0"/>
    <n v="0"/>
    <n v="0"/>
    <n v="0"/>
    <n v="0"/>
    <n v="0"/>
    <n v="0"/>
    <n v="6515.05"/>
    <n v="0"/>
    <n v="0"/>
  </r>
  <r>
    <x v="759"/>
    <s v="Gomukh Matihani"/>
    <s v="MPG"/>
    <s v="Direct"/>
    <n v="268.90000000000003"/>
    <n v="11068.159999999998"/>
    <n v="227.29999999999995"/>
    <n v="9321.32"/>
    <n v="44.8"/>
    <n v="1783.7"/>
    <n v="272.09999999999997"/>
    <n v="11105.02"/>
    <n v="11068.159999999998"/>
    <n v="0"/>
    <n v="1783.7"/>
    <n v="36.860000000002401"/>
    <n v="0"/>
    <n v="0"/>
    <n v="0"/>
    <n v="9284"/>
    <n v="0"/>
    <n v="0"/>
    <n v="0"/>
    <n v="0"/>
  </r>
  <r>
    <x v="760"/>
    <s v="Jalalpur"/>
    <s v="vlc"/>
    <s v="Indirect"/>
    <n v="1653.5"/>
    <n v="60000.240000000013"/>
    <n v="0"/>
    <n v="0"/>
    <n v="0"/>
    <n v="0"/>
    <n v="0"/>
    <n v="0"/>
    <n v="60000.240000000013"/>
    <n v="0"/>
    <n v="0"/>
    <n v="0"/>
    <n v="0"/>
    <n v="0"/>
    <n v="0"/>
    <n v="0"/>
    <n v="0"/>
    <n v="60000.240000000013"/>
    <n v="0"/>
    <n v="0"/>
  </r>
  <r>
    <x v="761"/>
    <s v="Saidpur"/>
    <s v="vlc"/>
    <s v="Indirect"/>
    <n v="433.3"/>
    <n v="15354.759999999998"/>
    <n v="0"/>
    <n v="0"/>
    <n v="0"/>
    <n v="0"/>
    <n v="0"/>
    <n v="0"/>
    <n v="15354.759999999998"/>
    <n v="0"/>
    <n v="0"/>
    <n v="0"/>
    <n v="0"/>
    <n v="0"/>
    <n v="0"/>
    <n v="0"/>
    <n v="0"/>
    <n v="15354.759999999998"/>
    <n v="0"/>
    <n v="0"/>
  </r>
  <r>
    <x v="762"/>
    <s v="Chak"/>
    <s v="vlc"/>
    <s v="Indirect"/>
    <n v="2186.7000000000003"/>
    <n v="85156.2"/>
    <n v="0"/>
    <n v="0"/>
    <n v="0"/>
    <n v="0"/>
    <n v="0"/>
    <n v="0"/>
    <n v="85156.2"/>
    <n v="0"/>
    <n v="0"/>
    <n v="0"/>
    <n v="0"/>
    <n v="0"/>
    <n v="0"/>
    <n v="0"/>
    <n v="0"/>
    <n v="85156.2"/>
    <n v="0"/>
    <n v="0"/>
  </r>
  <r>
    <x v="763"/>
    <s v="Manmana Dhala"/>
    <s v="MPG"/>
    <s v="Direct"/>
    <n v="320.90000000000003"/>
    <n v="13510.429999999998"/>
    <n v="317.49"/>
    <n v="13333.53"/>
    <n v="3.32"/>
    <n v="142.88"/>
    <n v="320.81"/>
    <n v="13476.41"/>
    <n v="13476.41"/>
    <n v="0"/>
    <n v="142.88"/>
    <n v="0"/>
    <n v="0"/>
    <n v="0"/>
    <n v="0"/>
    <n v="13334"/>
    <n v="0"/>
    <n v="0"/>
    <n v="34"/>
    <n v="0"/>
  </r>
  <r>
    <x v="764"/>
    <s v="Mahendarpur 2"/>
    <s v="MPG"/>
    <s v="Direct"/>
    <n v="306.3"/>
    <n v="12428.619999999999"/>
    <n v="308.67999999999995"/>
    <n v="12670.99"/>
    <n v="2.0299999999999998"/>
    <n v="82.68"/>
    <n v="310.70999999999992"/>
    <n v="12753.67"/>
    <n v="12428.619999999999"/>
    <n v="0"/>
    <n v="82.68"/>
    <n v="325.05000000000109"/>
    <n v="0"/>
    <n v="0"/>
    <n v="0"/>
    <n v="12346"/>
    <n v="0"/>
    <n v="0"/>
    <n v="0"/>
    <n v="0"/>
  </r>
  <r>
    <x v="765"/>
    <s v="Gomukh Chautham(Mithun Kumar VLC)"/>
    <s v="MPG"/>
    <s v="Indirect"/>
    <n v="1217.08"/>
    <n v="49663.59"/>
    <n v="0"/>
    <n v="0"/>
    <n v="0"/>
    <n v="0"/>
    <n v="0"/>
    <n v="0"/>
    <n v="49663.59"/>
    <n v="0"/>
    <n v="0"/>
    <n v="0"/>
    <n v="30527"/>
    <n v="0"/>
    <n v="0"/>
    <n v="0"/>
    <n v="0"/>
    <n v="19136.589999999997"/>
    <n v="0"/>
    <n v="0"/>
  </r>
  <r>
    <x v="766"/>
    <s v="Gomukh Pansalwa"/>
    <s v="vlc"/>
    <s v="Indirect"/>
    <n v="645.78"/>
    <n v="24239.910000000003"/>
    <n v="0"/>
    <n v="0"/>
    <n v="0"/>
    <n v="0"/>
    <n v="0"/>
    <n v="0"/>
    <n v="24239.910000000003"/>
    <n v="0"/>
    <n v="0"/>
    <n v="0"/>
    <n v="0"/>
    <n v="0"/>
    <n v="0"/>
    <n v="0"/>
    <n v="0"/>
    <n v="24239.910000000003"/>
    <n v="0"/>
    <n v="0"/>
  </r>
  <r>
    <x v="767"/>
    <s v="Gomukh Nawada"/>
    <s v="MPG"/>
    <s v="Direct"/>
    <n v="899.4799999999999"/>
    <n v="33688.68"/>
    <n v="901.4799999999999"/>
    <n v="33818.32"/>
    <n v="0"/>
    <n v="0"/>
    <n v="901.4799999999999"/>
    <n v="33818.32"/>
    <n v="33688.68"/>
    <n v="0"/>
    <n v="0"/>
    <n v="129.63999999999942"/>
    <n v="0"/>
    <n v="0"/>
    <n v="0"/>
    <n v="33689"/>
    <n v="0"/>
    <n v="0"/>
    <n v="0"/>
    <n v="0"/>
  </r>
  <r>
    <x v="768"/>
    <s v="Gomukh Yadav Tol Kanauli"/>
    <s v="MPG"/>
    <s v="Direct"/>
    <n v="1776.5800000000002"/>
    <n v="75041.429999999993"/>
    <n v="131.68"/>
    <n v="5618.409999999998"/>
    <n v="1651"/>
    <n v="70096.94"/>
    <n v="1782.68"/>
    <n v="75715.350000000006"/>
    <n v="75041.429999999993"/>
    <n v="0"/>
    <n v="0"/>
    <n v="673.92000000001281"/>
    <n v="0"/>
    <n v="0"/>
    <n v="0"/>
    <n v="4944"/>
    <n v="70097"/>
    <n v="0"/>
    <n v="0"/>
    <n v="0"/>
  </r>
  <r>
    <x v="769"/>
    <s v="Gomukh Hardia"/>
    <s v="MPG"/>
    <s v="Direct"/>
    <n v="168.80000000000004"/>
    <n v="7269.7400000000007"/>
    <n v="192.89"/>
    <n v="8540.5400000000009"/>
    <n v="0"/>
    <n v="0"/>
    <n v="192.89"/>
    <n v="8540.5400000000009"/>
    <n v="7269.7400000000007"/>
    <n v="0"/>
    <n v="0"/>
    <n v="1270.8000000000002"/>
    <n v="0"/>
    <n v="500"/>
    <n v="0"/>
    <n v="6770"/>
    <n v="0"/>
    <n v="0"/>
    <n v="0"/>
    <n v="0"/>
  </r>
  <r>
    <x v="770"/>
    <s v="Gomukh Ashatol Paharpur"/>
    <s v="MPG"/>
    <s v="Direct"/>
    <n v="2028.2800000000004"/>
    <n v="82539.170000000013"/>
    <n v="2027.6299999999997"/>
    <n v="85757.729999999981"/>
    <n v="0"/>
    <n v="0"/>
    <n v="2027.6299999999997"/>
    <n v="85757.729999999981"/>
    <n v="82539.170000000013"/>
    <n v="0"/>
    <n v="0"/>
    <n v="3218.5599999999686"/>
    <n v="0"/>
    <n v="0"/>
    <n v="0"/>
    <n v="82539"/>
    <n v="0"/>
    <n v="0"/>
    <n v="0"/>
    <n v="0"/>
  </r>
  <r>
    <x v="771"/>
    <s v="Gomukh Kharawa"/>
    <s v="MPG"/>
    <s v="Direct"/>
    <n v="1296.5"/>
    <n v="54622.26"/>
    <n v="1308.3799999999997"/>
    <n v="54381.51"/>
    <n v="0"/>
    <n v="0"/>
    <n v="1308.3799999999997"/>
    <n v="54381.51"/>
    <n v="54381.51"/>
    <n v="0"/>
    <n v="0"/>
    <n v="0"/>
    <n v="0"/>
    <n v="0"/>
    <n v="0"/>
    <n v="54381"/>
    <n v="0"/>
    <n v="0"/>
    <n v="241"/>
    <n v="0"/>
  </r>
  <r>
    <x v="772"/>
    <s v="Gomukh Patel Nagar"/>
    <s v="vlc"/>
    <s v="Indirect"/>
    <n v="449.14"/>
    <n v="17773.84"/>
    <n v="0"/>
    <n v="0"/>
    <n v="0"/>
    <n v="0"/>
    <n v="0"/>
    <n v="0"/>
    <n v="17773.84"/>
    <n v="0"/>
    <n v="0"/>
    <n v="0"/>
    <n v="0"/>
    <n v="0"/>
    <n v="0"/>
    <n v="0"/>
    <n v="0"/>
    <n v="17773.84"/>
    <n v="0"/>
    <n v="0"/>
  </r>
  <r>
    <x v="773"/>
    <s v="Gomukh Pachout"/>
    <s v="MPG"/>
    <s v="Direct"/>
    <n v="917.76"/>
    <n v="35155.660000000003"/>
    <n v="926.40000000000009"/>
    <n v="35590.5"/>
    <n v="0"/>
    <n v="0"/>
    <n v="926.40000000000009"/>
    <n v="35590.5"/>
    <n v="35155.660000000003"/>
    <n v="0"/>
    <n v="0"/>
    <n v="434.83999999999651"/>
    <n v="0"/>
    <n v="0"/>
    <n v="0"/>
    <n v="35156"/>
    <n v="0"/>
    <n v="0"/>
    <n v="0"/>
    <n v="0"/>
  </r>
  <r>
    <x v="774"/>
    <s v="Gomukh Telihar"/>
    <s v="MPG"/>
    <s v="Direct"/>
    <n v="819.33999999999992"/>
    <n v="33467.229999999996"/>
    <n v="820.74000000000012"/>
    <n v="32804.29"/>
    <n v="0"/>
    <n v="0"/>
    <n v="820.74000000000012"/>
    <n v="32804.29"/>
    <n v="32804.29"/>
    <n v="0"/>
    <n v="0"/>
    <n v="0"/>
    <n v="0"/>
    <n v="0"/>
    <n v="0"/>
    <n v="32804"/>
    <n v="0"/>
    <n v="0"/>
    <n v="663"/>
    <n v="0"/>
  </r>
  <r>
    <x v="775"/>
    <s v="Gomukh Pansalba Ward No 05"/>
    <s v="vlc"/>
    <s v="Indirect"/>
    <n v="1476.7"/>
    <n v="55995.05"/>
    <n v="0"/>
    <n v="0"/>
    <n v="0"/>
    <n v="0"/>
    <n v="0"/>
    <n v="0"/>
    <n v="55995.05"/>
    <n v="0"/>
    <n v="0"/>
    <n v="0"/>
    <n v="13500"/>
    <n v="0"/>
    <n v="0"/>
    <n v="0"/>
    <n v="0"/>
    <n v="42495.05"/>
    <n v="0"/>
    <n v="0"/>
  </r>
  <r>
    <x v="776"/>
    <s v="Gomukh Paharpur Jilebya "/>
    <s v="MPG"/>
    <s v="Direct"/>
    <n v="2427.7199999999998"/>
    <n v="104376.61000000002"/>
    <n v="2428.2199999999998"/>
    <n v="104398.5"/>
    <n v="0"/>
    <n v="0"/>
    <n v="2428.2199999999998"/>
    <n v="104398.5"/>
    <n v="104376.61000000002"/>
    <n v="0"/>
    <n v="0"/>
    <n v="21.889999999984866"/>
    <n v="0"/>
    <n v="0"/>
    <n v="0"/>
    <n v="104377"/>
    <n v="0"/>
    <n v="0"/>
    <n v="0"/>
    <n v="0"/>
  </r>
  <r>
    <x v="777"/>
    <s v="Gomukh Debka Vlc"/>
    <s v="vlc"/>
    <s v="Indirect"/>
    <n v="75.56"/>
    <n v="3178.75"/>
    <n v="0"/>
    <n v="0"/>
    <n v="0"/>
    <n v="0"/>
    <n v="0"/>
    <n v="0"/>
    <n v="3178.75"/>
    <n v="0"/>
    <n v="0"/>
    <n v="0"/>
    <n v="1350"/>
    <n v="0"/>
    <n v="0"/>
    <n v="0"/>
    <n v="0"/>
    <n v="1828.75"/>
    <n v="0"/>
    <n v="0"/>
  </r>
  <r>
    <x v="778"/>
    <s v="Gomukh Azad Nagar"/>
    <s v="MPG"/>
    <s v="Direct"/>
    <n v="1058.1399999999999"/>
    <n v="42666.530000000006"/>
    <n v="1081.8800000000003"/>
    <n v="43856.689999999995"/>
    <n v="0"/>
    <n v="0"/>
    <n v="1081.8800000000003"/>
    <n v="43856.689999999995"/>
    <n v="42666.530000000006"/>
    <n v="0"/>
    <n v="0"/>
    <n v="1190.1599999999889"/>
    <n v="0"/>
    <n v="0"/>
    <n v="0"/>
    <n v="42667"/>
    <n v="0"/>
    <n v="0"/>
    <n v="0"/>
    <n v="0"/>
  </r>
  <r>
    <x v="779"/>
    <s v="Gomukh Uttari Hardia"/>
    <s v="vlc"/>
    <s v="Direct"/>
    <n v="296.24000000000007"/>
    <n v="14405.020000000002"/>
    <n v="306.24"/>
    <n v="14834.52"/>
    <n v="0"/>
    <n v="0"/>
    <n v="306.24"/>
    <n v="14834.52"/>
    <n v="14405.020000000002"/>
    <n v="0"/>
    <n v="0"/>
    <n v="429.49999999999818"/>
    <n v="0"/>
    <n v="0"/>
    <n v="0"/>
    <n v="14405"/>
    <n v="0"/>
    <n v="0"/>
    <n v="0"/>
    <n v="0"/>
  </r>
  <r>
    <x v="780"/>
    <s v="Gomukh Nirpur Keshv Nagar"/>
    <s v="vlc"/>
    <s v="Direct"/>
    <n v="577.76"/>
    <n v="23173.149999999998"/>
    <n v="580.84"/>
    <n v="23621.73"/>
    <n v="0"/>
    <n v="0"/>
    <n v="580.84"/>
    <n v="23621.73"/>
    <n v="23173.149999999998"/>
    <n v="0"/>
    <n v="0"/>
    <n v="448.58000000000175"/>
    <n v="0"/>
    <n v="0"/>
    <n v="0"/>
    <n v="23173"/>
    <n v="0"/>
    <n v="0"/>
    <n v="0"/>
    <n v="0"/>
  </r>
  <r>
    <x v="781"/>
    <s v="Gomukh Thuthi Vlc"/>
    <s v="MPG"/>
    <s v="Indirect"/>
    <n v="245.87999999999997"/>
    <n v="10537.349999999999"/>
    <n v="0"/>
    <n v="0"/>
    <n v="0"/>
    <n v="0"/>
    <n v="0"/>
    <n v="0"/>
    <n v="10537.349999999999"/>
    <n v="0"/>
    <n v="0"/>
    <n v="0"/>
    <n v="0"/>
    <n v="0"/>
    <n v="0"/>
    <n v="0"/>
    <n v="0"/>
    <n v="10537.349999999999"/>
    <n v="0"/>
    <n v="0"/>
  </r>
  <r>
    <x v="782"/>
    <s v="Gomukh Nawadai Vlc"/>
    <s v="vlc"/>
    <s v="Indirect"/>
    <n v="126.4"/>
    <n v="4456.3099999999995"/>
    <n v="0"/>
    <n v="0"/>
    <n v="0"/>
    <n v="0"/>
    <n v="0"/>
    <n v="0"/>
    <n v="4456.3099999999995"/>
    <n v="0"/>
    <n v="0"/>
    <n v="0"/>
    <n v="4456"/>
    <n v="0"/>
    <n v="0"/>
    <n v="0"/>
    <n v="0"/>
    <n v="0.30999999999949068"/>
    <n v="0"/>
    <n v="0"/>
  </r>
  <r>
    <x v="783"/>
    <s v="Gomukh Kharra Basa"/>
    <s v="MPG"/>
    <s v="Direct"/>
    <n v="479.48"/>
    <n v="17976.07"/>
    <n v="485.68000000000006"/>
    <n v="17108.990000000002"/>
    <n v="0"/>
    <n v="0"/>
    <n v="485.68000000000006"/>
    <n v="17108.990000000002"/>
    <n v="17108.990000000002"/>
    <n v="0"/>
    <n v="0"/>
    <n v="0"/>
    <n v="0"/>
    <n v="0"/>
    <n v="0"/>
    <n v="17109"/>
    <n v="0"/>
    <n v="0"/>
    <n v="867"/>
    <n v="0"/>
  </r>
  <r>
    <x v="784"/>
    <s v="Gomukh Bangalia"/>
    <s v="MPG"/>
    <s v="Direct"/>
    <n v="516.34"/>
    <n v="25374.510000000002"/>
    <n v="545.4"/>
    <n v="26551.22"/>
    <n v="0"/>
    <n v="0"/>
    <n v="545.4"/>
    <n v="26551.22"/>
    <n v="25374.510000000002"/>
    <n v="0"/>
    <n v="0"/>
    <n v="1176.7099999999991"/>
    <n v="0"/>
    <n v="0"/>
    <n v="0"/>
    <n v="25375"/>
    <n v="0"/>
    <n v="0"/>
    <n v="0"/>
    <n v="0"/>
  </r>
  <r>
    <x v="785"/>
    <s v="Gomukh Soharba Purvi"/>
    <s v="MPG"/>
    <s v="Direct"/>
    <n v="377.12"/>
    <n v="14960.980000000003"/>
    <n v="794.6600000000002"/>
    <n v="31036.779999999988"/>
    <n v="0"/>
    <n v="0"/>
    <n v="794.6600000000002"/>
    <n v="31036.779999999988"/>
    <n v="14960.980000000003"/>
    <n v="0"/>
    <n v="0"/>
    <n v="16075.799999999985"/>
    <n v="0"/>
    <n v="0"/>
    <n v="0"/>
    <n v="14961"/>
    <n v="0"/>
    <n v="0"/>
    <n v="0"/>
    <n v="0"/>
  </r>
  <r>
    <x v="786"/>
    <s v="Gommukh Khushbu Kumari Vlc"/>
    <s v="vlc"/>
    <s v="Indirect"/>
    <n v="396.52000000000004"/>
    <n v="14324.749999999996"/>
    <n v="0"/>
    <n v="0"/>
    <n v="0"/>
    <n v="0"/>
    <n v="0"/>
    <n v="0"/>
    <n v="14324.749999999996"/>
    <n v="0"/>
    <n v="0"/>
    <n v="0"/>
    <n v="0"/>
    <n v="0"/>
    <n v="0"/>
    <n v="0"/>
    <n v="0"/>
    <n v="14324.749999999996"/>
    <n v="0"/>
    <n v="0"/>
  </r>
  <r>
    <x v="787"/>
    <s v="Gomukh Saraiya Wad -5 Vlc"/>
    <s v="vlc"/>
    <s v="Indirect"/>
    <n v="177.32"/>
    <n v="7243.52"/>
    <n v="0"/>
    <n v="0"/>
    <n v="0"/>
    <n v="0"/>
    <n v="0"/>
    <n v="0"/>
    <n v="7243.52"/>
    <n v="0"/>
    <n v="0"/>
    <n v="0"/>
    <n v="0"/>
    <n v="0"/>
    <n v="0"/>
    <n v="0"/>
    <n v="0"/>
    <n v="7243.52"/>
    <n v="0"/>
    <n v="0"/>
  </r>
  <r>
    <x v="788"/>
    <s v="Karian"/>
    <s v="MPG"/>
    <s v="Direct"/>
    <n v="68.700000000000017"/>
    <n v="2468.79"/>
    <n v="67.3"/>
    <n v="2409.9499999999998"/>
    <n v="1.4000000000000001"/>
    <n v="37.620000000000005"/>
    <n v="68.7"/>
    <n v="2447.5699999999997"/>
    <n v="2447.5699999999997"/>
    <n v="0"/>
    <n v="5.38"/>
    <n v="0"/>
    <n v="0"/>
    <n v="500"/>
    <n v="0"/>
    <n v="1910"/>
    <n v="32"/>
    <n v="0"/>
    <n v="21"/>
    <n v="0"/>
  </r>
  <r>
    <x v="789"/>
    <s v="Teghara"/>
    <s v="MPG"/>
    <s v="Direct"/>
    <n v="330.90000000000003"/>
    <n v="13162.340000000002"/>
    <n v="26.8"/>
    <n v="1130.6399999999999"/>
    <n v="279.60000000000002"/>
    <n v="12017.29"/>
    <n v="306.40000000000003"/>
    <n v="13147.93"/>
    <n v="13147.93"/>
    <n v="0"/>
    <n v="0"/>
    <n v="0"/>
    <n v="0"/>
    <n v="500"/>
    <n v="0"/>
    <n v="631"/>
    <n v="12017"/>
    <n v="0"/>
    <n v="14"/>
    <n v="0"/>
  </r>
  <r>
    <x v="790"/>
    <s v="Basantpur"/>
    <s v="MPG"/>
    <s v="Direct"/>
    <n v="575.9"/>
    <n v="24982.67"/>
    <n v="51.599999999999994"/>
    <n v="2242.3100000000004"/>
    <n v="524.29999999999995"/>
    <n v="22740.359999999997"/>
    <n v="575.9"/>
    <n v="24982.67"/>
    <n v="24982.67"/>
    <n v="0"/>
    <n v="0"/>
    <n v="0"/>
    <n v="14000"/>
    <n v="0"/>
    <n v="0"/>
    <n v="0"/>
    <n v="10983"/>
    <n v="0"/>
    <n v="0"/>
    <n v="0"/>
  </r>
  <r>
    <x v="791"/>
    <s v="Chakoti"/>
    <s v="MPG"/>
    <s v="Direct"/>
    <n v="969.19999999999993"/>
    <n v="38410.26999999999"/>
    <n v="87"/>
    <n v="3720.43"/>
    <n v="1175.9199999999998"/>
    <n v="45998.55000000001"/>
    <n v="1262.9199999999998"/>
    <n v="49718.98000000001"/>
    <n v="38410.26999999999"/>
    <n v="0"/>
    <n v="600.53"/>
    <n v="11308.710000000021"/>
    <n v="0"/>
    <n v="0"/>
    <n v="0"/>
    <n v="0"/>
    <n v="37810"/>
    <n v="0"/>
    <n v="0"/>
    <s v="Release3"/>
  </r>
  <r>
    <x v="792"/>
    <s v="Nathudawar"/>
    <s v="MPG"/>
    <s v="Direct"/>
    <n v="799.3"/>
    <n v="31037.74"/>
    <n v="72.7"/>
    <n v="2754.54"/>
    <n v="725.9"/>
    <n v="28266.989999999998"/>
    <n v="798.6"/>
    <n v="31021.53"/>
    <n v="31021.53"/>
    <n v="0"/>
    <n v="0"/>
    <n v="0"/>
    <n v="0"/>
    <n v="0"/>
    <n v="0"/>
    <n v="2755"/>
    <n v="28267"/>
    <n v="0"/>
    <n v="16"/>
    <n v="0"/>
  </r>
  <r>
    <x v="793"/>
    <s v="Purnahi"/>
    <s v="vlc"/>
    <s v="Indirect"/>
    <n v="410.29999999999995"/>
    <n v="14310.439999999999"/>
    <n v="0"/>
    <n v="0"/>
    <n v="0"/>
    <n v="0"/>
    <n v="0"/>
    <n v="0"/>
    <n v="14310.439999999999"/>
    <n v="0"/>
    <n v="0"/>
    <n v="0"/>
    <n v="0"/>
    <n v="0"/>
    <n v="0"/>
    <n v="0"/>
    <n v="0"/>
    <n v="14310.439999999999"/>
    <n v="0"/>
    <n v="0"/>
  </r>
  <r>
    <x v="794"/>
    <s v="Baghopur "/>
    <s v="vlc"/>
    <s v="Indirect"/>
    <n v="1114"/>
    <n v="43184.51"/>
    <n v="0"/>
    <n v="0"/>
    <n v="0"/>
    <n v="0"/>
    <n v="0"/>
    <n v="0"/>
    <n v="43184.51"/>
    <n v="0"/>
    <n v="0"/>
    <n v="0"/>
    <n v="0"/>
    <n v="0"/>
    <n v="0"/>
    <n v="0"/>
    <n v="0"/>
    <n v="43184.51"/>
    <n v="0"/>
    <n v="0"/>
  </r>
  <r>
    <x v="795"/>
    <s v="Dewanpur"/>
    <s v="MPG"/>
    <s v="Direct"/>
    <n v="182.39999999999998"/>
    <n v="8713.17"/>
    <n v="73.5"/>
    <n v="4569.5"/>
    <n v="83.3"/>
    <n v="4133.8899999999994"/>
    <n v="156.80000000000001"/>
    <n v="8703.39"/>
    <n v="8703.39"/>
    <n v="0"/>
    <n v="0"/>
    <n v="0"/>
    <n v="0"/>
    <n v="500"/>
    <n v="0"/>
    <n v="4070"/>
    <n v="4134"/>
    <n v="0"/>
    <n v="9"/>
    <n v="0"/>
  </r>
  <r>
    <x v="796"/>
    <s v="Gohi"/>
    <s v="MPG"/>
    <s v="Direct"/>
    <n v="368.49999999999994"/>
    <n v="14598.949999999999"/>
    <n v="42.800000000000004"/>
    <n v="1755.48"/>
    <n v="325.29999999999995"/>
    <n v="12771.689999999999"/>
    <n v="368.09999999999997"/>
    <n v="14527.169999999998"/>
    <n v="14527.169999999998"/>
    <n v="0"/>
    <n v="361.64000000000004"/>
    <n v="0"/>
    <n v="0"/>
    <n v="0"/>
    <n v="0"/>
    <n v="1755"/>
    <n v="12410"/>
    <n v="0"/>
    <n v="72"/>
    <n v="0"/>
  </r>
  <r>
    <x v="797"/>
    <s v="Matua"/>
    <s v="MPG"/>
    <s v="Direct"/>
    <n v="522.20000000000005"/>
    <n v="23326.600000000002"/>
    <n v="110.8"/>
    <n v="4325.5"/>
    <n v="411.4"/>
    <n v="18864.14"/>
    <n v="522.19999999999993"/>
    <n v="23189.64"/>
    <n v="23189.64"/>
    <n v="0"/>
    <n v="136.94999999999999"/>
    <n v="0"/>
    <n v="2147"/>
    <n v="0"/>
    <n v="0"/>
    <n v="2178"/>
    <n v="18728"/>
    <n v="0"/>
    <n v="137"/>
    <n v="0"/>
  </r>
  <r>
    <x v="798"/>
    <s v="Ratni Chouk"/>
    <s v="MPG"/>
    <s v="Direct"/>
    <n v="702.10000000000014"/>
    <n v="31689.119999999999"/>
    <n v="706.3"/>
    <n v="31406.68"/>
    <n v="0"/>
    <n v="0"/>
    <n v="706.3"/>
    <n v="31406.68"/>
    <n v="31406.68"/>
    <n v="0"/>
    <n v="0"/>
    <n v="0"/>
    <n v="0"/>
    <n v="0"/>
    <n v="0"/>
    <n v="31407"/>
    <n v="0"/>
    <n v="0"/>
    <n v="282"/>
    <n v="0"/>
  </r>
  <r>
    <x v="799"/>
    <s v="Balahi 2"/>
    <s v="MPG"/>
    <s v="Direct"/>
    <n v="540.1"/>
    <n v="20803.150000000001"/>
    <n v="478"/>
    <n v="19255.829999999998"/>
    <n v="41.499999999999993"/>
    <n v="1715.1700000000003"/>
    <n v="519.5"/>
    <n v="20971"/>
    <n v="20803.150000000001"/>
    <n v="0"/>
    <n v="0"/>
    <n v="167.84999999999854"/>
    <n v="3687.75"/>
    <n v="0"/>
    <n v="0"/>
    <n v="15400"/>
    <n v="1715"/>
    <n v="0"/>
    <n v="0"/>
    <n v="0"/>
  </r>
  <r>
    <x v="800"/>
    <s v="Chandauli"/>
    <s v="vlc"/>
    <s v="Indirect"/>
    <n v="219.2"/>
    <n v="10386.61"/>
    <n v="0"/>
    <n v="0"/>
    <n v="0"/>
    <n v="0"/>
    <n v="0"/>
    <n v="0"/>
    <n v="10386.61"/>
    <n v="0"/>
    <n v="0"/>
    <n v="0"/>
    <n v="0"/>
    <n v="0"/>
    <n v="0"/>
    <n v="0"/>
    <n v="0"/>
    <n v="10386.61"/>
    <n v="0"/>
    <n v="0"/>
  </r>
  <r>
    <x v="801"/>
    <s v="Gulabi Choak"/>
    <s v="vlc"/>
    <s v="Indirect"/>
    <n v="921.80000000000007"/>
    <n v="35811.199999999997"/>
    <n v="0"/>
    <n v="0"/>
    <n v="0"/>
    <n v="0"/>
    <n v="0"/>
    <n v="0"/>
    <n v="35811.199999999997"/>
    <n v="0"/>
    <n v="0"/>
    <n v="0"/>
    <n v="0"/>
    <n v="0"/>
    <n v="0"/>
    <n v="0"/>
    <n v="0"/>
    <n v="35811.199999999997"/>
    <n v="0"/>
    <n v="0"/>
  </r>
  <r>
    <x v="802"/>
    <s v="Satmalpur"/>
    <s v="vlc"/>
    <s v="Indirect"/>
    <n v="1355.8999999999999"/>
    <n v="52349.59"/>
    <n v="0"/>
    <n v="0"/>
    <n v="0"/>
    <n v="0"/>
    <n v="0"/>
    <n v="0"/>
    <n v="52349.59"/>
    <n v="0"/>
    <n v="0"/>
    <n v="0"/>
    <n v="0"/>
    <n v="0"/>
    <n v="0"/>
    <n v="0"/>
    <n v="0"/>
    <n v="52349.59"/>
    <n v="0"/>
    <n v="0"/>
  </r>
  <r>
    <x v="803"/>
    <s v="Chhatnesar 2"/>
    <s v="MPG"/>
    <s v="Direct"/>
    <n v="363"/>
    <n v="13847.26"/>
    <n v="67"/>
    <n v="2528.71"/>
    <n v="308.10000000000002"/>
    <n v="11535.189999999999"/>
    <n v="375.1"/>
    <n v="14063.899999999998"/>
    <n v="13847.26"/>
    <n v="0"/>
    <n v="0"/>
    <n v="216.6399999999976"/>
    <n v="0"/>
    <n v="0"/>
    <n v="0"/>
    <n v="2312"/>
    <n v="11535"/>
    <n v="0"/>
    <n v="0"/>
    <n v="0"/>
  </r>
  <r>
    <x v="804"/>
    <s v="Hajpurwa"/>
    <s v="MPG"/>
    <s v="Direct"/>
    <n v="118.60000000000001"/>
    <n v="4899.49"/>
    <n v="10"/>
    <n v="397.6"/>
    <n v="105"/>
    <n v="4489.91"/>
    <n v="115"/>
    <n v="4887.51"/>
    <n v="4887.51"/>
    <n v="0"/>
    <n v="0"/>
    <n v="0"/>
    <n v="0"/>
    <n v="0"/>
    <n v="0"/>
    <n v="398"/>
    <n v="4490"/>
    <n v="0"/>
    <n v="11"/>
    <n v="0"/>
  </r>
  <r>
    <x v="805"/>
    <s v="Shekhopur"/>
    <s v="MPG"/>
    <s v="Direct"/>
    <n v="374.79999999999995"/>
    <n v="14316.720000000001"/>
    <n v="60.3"/>
    <n v="2270.75"/>
    <n v="314.5"/>
    <n v="12040.470000000001"/>
    <n v="374.8"/>
    <n v="14311.220000000001"/>
    <n v="14311.220000000001"/>
    <n v="0"/>
    <n v="0"/>
    <n v="0"/>
    <n v="0"/>
    <n v="0"/>
    <n v="0"/>
    <n v="2271"/>
    <n v="12041"/>
    <n v="0"/>
    <n v="5"/>
    <n v="0"/>
  </r>
  <r>
    <x v="806"/>
    <s v="Dharampur"/>
    <s v="MPG"/>
    <s v="Direct"/>
    <n v="120.89999999999999"/>
    <n v="4986.5"/>
    <n v="120.9"/>
    <n v="4986.9599999999991"/>
    <n v="0"/>
    <n v="0"/>
    <n v="120.9"/>
    <n v="4986.9599999999991"/>
    <n v="4986.5"/>
    <n v="0"/>
    <n v="0"/>
    <n v="0.45999999999912689"/>
    <n v="0"/>
    <n v="500"/>
    <n v="0"/>
    <n v="4486"/>
    <n v="0"/>
    <n v="0"/>
    <n v="1"/>
    <n v="0"/>
  </r>
  <r>
    <x v="807"/>
    <s v="Pauriya 2"/>
    <s v="vlc"/>
    <s v="Indirect"/>
    <n v="766.80000000000007"/>
    <n v="32588.590000000004"/>
    <n v="0"/>
    <n v="0"/>
    <n v="0"/>
    <n v="0"/>
    <n v="0"/>
    <n v="0"/>
    <n v="32588.590000000004"/>
    <n v="0"/>
    <n v="0"/>
    <n v="0"/>
    <n v="0"/>
    <n v="0"/>
    <n v="0"/>
    <n v="0"/>
    <n v="0"/>
    <n v="32588.590000000004"/>
    <n v="0"/>
    <n v="0"/>
  </r>
  <r>
    <x v="808"/>
    <s v="Hajpurwa Pachim"/>
    <s v="MPG"/>
    <s v="Direct"/>
    <n v="279.59999999999997"/>
    <n v="12813.84"/>
    <n v="279.49999999999994"/>
    <n v="12851.88"/>
    <n v="0"/>
    <n v="0"/>
    <n v="279.49999999999994"/>
    <n v="12851.88"/>
    <n v="12813.84"/>
    <n v="0"/>
    <n v="0"/>
    <n v="38.039999999999054"/>
    <n v="0"/>
    <n v="0"/>
    <n v="0"/>
    <n v="12814"/>
    <n v="0"/>
    <n v="0"/>
    <n v="0"/>
    <n v="0"/>
  </r>
  <r>
    <x v="809"/>
    <s v="Almasnagar"/>
    <s v="vlc"/>
    <s v="Indirect"/>
    <n v="222.7"/>
    <n v="8679.4200000000019"/>
    <n v="0"/>
    <n v="0"/>
    <n v="0"/>
    <n v="0"/>
    <n v="0"/>
    <n v="0"/>
    <n v="8679.4200000000019"/>
    <n v="0"/>
    <n v="0"/>
    <n v="0"/>
    <n v="0"/>
    <n v="0"/>
    <n v="0"/>
    <n v="0"/>
    <n v="0"/>
    <n v="8679.4200000000019"/>
    <n v="0"/>
    <n v="0"/>
  </r>
  <r>
    <x v="810"/>
    <s v="Kadarchak"/>
    <s v="vlc"/>
    <s v="Indirect"/>
    <n v="29.4"/>
    <n v="1194.4100000000001"/>
    <n v="0"/>
    <n v="0"/>
    <n v="0"/>
    <n v="0"/>
    <n v="0"/>
    <n v="0"/>
    <n v="1194.4100000000001"/>
    <n v="0"/>
    <n v="0"/>
    <n v="0"/>
    <n v="0"/>
    <n v="0"/>
    <n v="0"/>
    <n v="0"/>
    <n v="0"/>
    <n v="1194.4100000000001"/>
    <n v="0"/>
    <n v="0"/>
  </r>
  <r>
    <x v="811"/>
    <s v="Rahua"/>
    <s v="MPG"/>
    <s v="Direct"/>
    <n v="136.80000000000001"/>
    <n v="5413.4500000000007"/>
    <n v="136"/>
    <n v="5407.36"/>
    <n v="0"/>
    <n v="0"/>
    <n v="136"/>
    <n v="5407.36"/>
    <n v="5407.36"/>
    <n v="0"/>
    <n v="0"/>
    <n v="0"/>
    <n v="0"/>
    <n v="0"/>
    <n v="0"/>
    <n v="5407"/>
    <n v="0"/>
    <n v="0"/>
    <n v="6"/>
    <n v="0"/>
  </r>
  <r>
    <x v="812"/>
    <s v="Dagrua"/>
    <s v="MPG"/>
    <s v="Direct"/>
    <n v="152.30000000000001"/>
    <n v="7335.91"/>
    <n v="150"/>
    <n v="7297.5"/>
    <n v="0"/>
    <n v="0"/>
    <n v="150"/>
    <n v="7297.5"/>
    <n v="7297.5"/>
    <n v="0"/>
    <n v="0"/>
    <n v="0"/>
    <n v="3100"/>
    <n v="0"/>
    <n v="0"/>
    <n v="4198"/>
    <n v="0"/>
    <n v="0"/>
    <n v="38"/>
    <n v="0"/>
  </r>
  <r>
    <x v="813"/>
    <s v="Buzurgdoar"/>
    <s v="MPG"/>
    <s v="Direct"/>
    <n v="1094.5"/>
    <n v="44649.23000000001"/>
    <n v="1093.3"/>
    <n v="44736.309999999983"/>
    <n v="0"/>
    <n v="0"/>
    <n v="1093.3"/>
    <n v="44736.309999999983"/>
    <n v="44649.23000000001"/>
    <n v="0"/>
    <n v="0"/>
    <n v="87.079999999972642"/>
    <n v="7000"/>
    <n v="0"/>
    <n v="0"/>
    <n v="37649"/>
    <n v="0"/>
    <n v="0"/>
    <n v="0"/>
    <n v="0"/>
  </r>
  <r>
    <x v="814"/>
    <s v="Patpara"/>
    <s v="vlc"/>
    <s v="Indirect"/>
    <n v="550.4"/>
    <n v="19402.710000000003"/>
    <n v="0"/>
    <n v="0"/>
    <n v="0"/>
    <n v="0"/>
    <n v="0"/>
    <n v="0"/>
    <n v="19402.710000000003"/>
    <n v="0"/>
    <n v="0"/>
    <n v="0"/>
    <n v="0"/>
    <n v="0"/>
    <n v="0"/>
    <n v="0"/>
    <n v="0"/>
    <n v="19402.710000000003"/>
    <n v="0"/>
    <n v="0"/>
  </r>
  <r>
    <x v="815"/>
    <s v="Kamopur"/>
    <s v="MPG"/>
    <s v="Direct"/>
    <n v="416.49999999999994"/>
    <n v="17936.569999999996"/>
    <n v="348.8"/>
    <n v="13855.48"/>
    <n v="67.199999999999989"/>
    <n v="3845.78"/>
    <n v="416"/>
    <n v="17701.259999999998"/>
    <n v="17701.259999999998"/>
    <n v="0"/>
    <n v="0"/>
    <n v="0"/>
    <n v="0"/>
    <n v="0"/>
    <n v="0"/>
    <n v="13856"/>
    <n v="3846"/>
    <n v="0"/>
    <n v="235"/>
    <n v="0"/>
  </r>
  <r>
    <x v="816"/>
    <s v="Kussaiya"/>
    <s v="MPG"/>
    <s v="Direct"/>
    <n v="551.5"/>
    <n v="24937.46"/>
    <n v="92.250000000000028"/>
    <n v="3867.4199999999992"/>
    <n v="477.84000000000003"/>
    <n v="20987.100000000002"/>
    <n v="570.09"/>
    <n v="24854.52"/>
    <n v="24854.52"/>
    <n v="0"/>
    <n v="0"/>
    <n v="0"/>
    <n v="0"/>
    <n v="0"/>
    <n v="0"/>
    <n v="3867"/>
    <n v="20986"/>
    <n v="0"/>
    <n v="84"/>
    <n v="0"/>
  </r>
  <r>
    <x v="817"/>
    <s v="Jagdishpur"/>
    <s v="MPG"/>
    <s v="Direct"/>
    <n v="110.09999999999998"/>
    <n v="4083.6"/>
    <n v="110.10000000000001"/>
    <n v="3955.2799999999997"/>
    <n v="0"/>
    <n v="0"/>
    <n v="110.10000000000001"/>
    <n v="3955.2799999999997"/>
    <n v="3955.2799999999997"/>
    <n v="0"/>
    <n v="0"/>
    <n v="0"/>
    <n v="3613"/>
    <n v="0"/>
    <n v="0"/>
    <n v="343"/>
    <n v="0"/>
    <n v="0"/>
    <n v="128"/>
    <n v="0"/>
  </r>
  <r>
    <x v="818"/>
    <s v="Kanu Bisanpur"/>
    <s v="vlc"/>
    <s v="Indirect"/>
    <n v="169.70000000000002"/>
    <n v="6882.619999999999"/>
    <n v="0"/>
    <n v="0"/>
    <n v="0"/>
    <n v="0"/>
    <n v="0"/>
    <n v="0"/>
    <n v="6882.619999999999"/>
    <n v="0"/>
    <n v="0"/>
    <n v="0"/>
    <n v="0"/>
    <n v="0"/>
    <n v="0"/>
    <n v="0"/>
    <n v="0"/>
    <n v="6882.619999999999"/>
    <n v="0"/>
    <n v="0"/>
  </r>
  <r>
    <x v="819"/>
    <s v="Raini 2"/>
    <s v="MPG"/>
    <s v="Direct"/>
    <n v="384.00000000000006"/>
    <n v="15481.190000000002"/>
    <n v="48.800000000000004"/>
    <n v="1833.89"/>
    <n v="337.31000000000017"/>
    <n v="13708.809999999994"/>
    <n v="386.11000000000018"/>
    <n v="15542.699999999993"/>
    <n v="15481.190000000002"/>
    <n v="0"/>
    <n v="0"/>
    <n v="61.509999999991123"/>
    <n v="0"/>
    <n v="0"/>
    <n v="0"/>
    <n v="1772"/>
    <n v="13709"/>
    <n v="0"/>
    <n v="0"/>
    <n v="0"/>
  </r>
  <r>
    <x v="820"/>
    <s v="Babupur"/>
    <s v="vlc"/>
    <s v="Indirect"/>
    <n v="1020.0000000000001"/>
    <n v="37946.300000000003"/>
    <n v="0"/>
    <n v="0"/>
    <n v="0"/>
    <n v="0"/>
    <n v="0"/>
    <n v="0"/>
    <n v="37946.300000000003"/>
    <n v="0"/>
    <n v="0"/>
    <n v="0"/>
    <n v="0"/>
    <n v="0"/>
    <n v="0"/>
    <n v="0"/>
    <n v="0"/>
    <n v="37946.300000000003"/>
    <n v="0"/>
    <n v="0"/>
  </r>
  <r>
    <x v="821"/>
    <s v="Rahua 2"/>
    <s v="vlc"/>
    <s v="Indirect"/>
    <n v="1816.7"/>
    <n v="78190.090000000011"/>
    <n v="0"/>
    <n v="0"/>
    <n v="0"/>
    <n v="0"/>
    <n v="0"/>
    <n v="0"/>
    <n v="78190.090000000011"/>
    <n v="0"/>
    <n v="0"/>
    <n v="0"/>
    <n v="0"/>
    <n v="0"/>
    <n v="0"/>
    <n v="0"/>
    <n v="0"/>
    <n v="78190.090000000011"/>
    <n v="0"/>
    <n v="0"/>
  </r>
  <r>
    <x v="822"/>
    <s v="Madhopur"/>
    <s v="vlc"/>
    <s v="Indirect"/>
    <n v="730.2"/>
    <n v="31853.79"/>
    <n v="0"/>
    <n v="0"/>
    <n v="0"/>
    <n v="0"/>
    <n v="0"/>
    <n v="0"/>
    <n v="31853.79"/>
    <n v="0"/>
    <n v="0"/>
    <n v="0"/>
    <n v="3785.5"/>
    <n v="0"/>
    <n v="0"/>
    <n v="0"/>
    <n v="0"/>
    <n v="28068.29"/>
    <n v="0"/>
    <n v="0"/>
  </r>
  <r>
    <x v="823"/>
    <s v="Ekdara"/>
    <s v="vlc"/>
    <s v="Indirect"/>
    <n v="3259.2999999999997"/>
    <n v="124360.57"/>
    <n v="0"/>
    <n v="0"/>
    <n v="0"/>
    <n v="0"/>
    <n v="0"/>
    <n v="0"/>
    <n v="124360.57"/>
    <n v="0"/>
    <n v="0"/>
    <n v="0"/>
    <n v="0"/>
    <n v="0"/>
    <n v="0"/>
    <n v="0"/>
    <n v="0"/>
    <n v="124360.57"/>
    <n v="0"/>
    <n v="0"/>
  </r>
  <r>
    <x v="824"/>
    <s v="Khokasaha"/>
    <s v="vlc"/>
    <s v="Indirect"/>
    <n v="77.699999999999989"/>
    <n v="3251.68"/>
    <n v="0"/>
    <n v="0"/>
    <n v="0"/>
    <n v="0"/>
    <n v="0"/>
    <n v="0"/>
    <n v="3251.68"/>
    <n v="0"/>
    <n v="0"/>
    <n v="0"/>
    <n v="0"/>
    <n v="0"/>
    <n v="0"/>
    <n v="0"/>
    <n v="0"/>
    <n v="3251.68"/>
    <n v="0"/>
    <n v="0"/>
  </r>
  <r>
    <x v="825"/>
    <s v="Madhopur 2"/>
    <s v="vlc"/>
    <s v="Indirect"/>
    <n v="1788.1"/>
    <n v="71226.48000000001"/>
    <n v="0"/>
    <n v="0"/>
    <n v="0"/>
    <n v="0"/>
    <n v="0"/>
    <n v="0"/>
    <n v="71226.48000000001"/>
    <n v="0"/>
    <n v="0"/>
    <n v="0"/>
    <n v="0"/>
    <n v="0"/>
    <n v="0"/>
    <n v="0"/>
    <n v="0"/>
    <n v="71226.48000000001"/>
    <n v="0"/>
    <n v="0"/>
  </r>
  <r>
    <x v="826"/>
    <s v="Kadarchak 2"/>
    <s v="vlc"/>
    <s v="Indirect"/>
    <n v="133.9"/>
    <n v="5255.06"/>
    <n v="0"/>
    <n v="0"/>
    <n v="0"/>
    <n v="0"/>
    <n v="0"/>
    <n v="0"/>
    <n v="5255.06"/>
    <n v="0"/>
    <n v="0"/>
    <n v="0"/>
    <n v="0"/>
    <n v="0"/>
    <n v="0"/>
    <n v="0"/>
    <n v="0"/>
    <n v="5255.06"/>
    <n v="0"/>
    <n v="0"/>
  </r>
  <r>
    <x v="827"/>
    <s v="Madhopur Dih"/>
    <s v="vlc"/>
    <s v="Indirect"/>
    <n v="383.40000000000003"/>
    <n v="16254.64"/>
    <n v="0"/>
    <n v="0"/>
    <n v="0"/>
    <n v="0"/>
    <n v="0"/>
    <n v="0"/>
    <n v="16254.64"/>
    <n v="0"/>
    <n v="0"/>
    <n v="0"/>
    <n v="0"/>
    <n v="0"/>
    <n v="0"/>
    <n v="0"/>
    <n v="0"/>
    <n v="16254.64"/>
    <n v="0"/>
    <n v="0"/>
  </r>
  <r>
    <x v="828"/>
    <s v="Alampur"/>
    <s v="vlc"/>
    <s v="Indirect"/>
    <n v="814.40000000000009"/>
    <n v="32186.039999999997"/>
    <n v="0"/>
    <n v="0"/>
    <n v="0"/>
    <n v="0"/>
    <n v="0"/>
    <n v="0"/>
    <n v="32186.039999999997"/>
    <n v="0"/>
    <n v="0"/>
    <n v="0"/>
    <n v="0"/>
    <n v="0"/>
    <n v="0"/>
    <n v="0"/>
    <n v="0"/>
    <n v="32186.039999999997"/>
    <n v="0"/>
    <n v="0"/>
  </r>
  <r>
    <x v="829"/>
    <s v="Satmalpur Pachim"/>
    <s v="vlc"/>
    <s v="Indirect"/>
    <n v="75.2"/>
    <n v="2943.94"/>
    <n v="0"/>
    <n v="0"/>
    <n v="0"/>
    <n v="0"/>
    <n v="0"/>
    <n v="0"/>
    <n v="2943.94"/>
    <n v="0"/>
    <n v="0"/>
    <n v="0"/>
    <n v="379.5"/>
    <n v="0"/>
    <n v="0"/>
    <n v="0"/>
    <n v="0"/>
    <n v="2564.44"/>
    <n v="0"/>
    <n v="0"/>
  </r>
  <r>
    <x v="830"/>
    <s v="Ganopur"/>
    <s v="vlc"/>
    <s v="Indirect"/>
    <n v="293.20000000000005"/>
    <n v="11287.699999999999"/>
    <n v="0"/>
    <n v="0"/>
    <n v="0"/>
    <n v="0"/>
    <n v="0"/>
    <n v="0"/>
    <n v="11287.699999999999"/>
    <n v="0"/>
    <n v="0"/>
    <n v="0"/>
    <n v="0"/>
    <n v="0"/>
    <n v="0"/>
    <n v="0"/>
    <n v="0"/>
    <n v="11287.699999999999"/>
    <n v="0"/>
    <n v="0"/>
  </r>
  <r>
    <x v="831"/>
    <s v="Mahuli"/>
    <s v="MPG"/>
    <s v="Direct"/>
    <n v="471.72000000000008"/>
    <n v="20485.48"/>
    <n v="469.29999999999995"/>
    <n v="20379.140000000003"/>
    <n v="8.2999999999999972"/>
    <n v="363.47"/>
    <n v="477.59999999999997"/>
    <n v="20742.610000000004"/>
    <n v="20485.48"/>
    <n v="0"/>
    <n v="363.47"/>
    <n v="257.13000000000466"/>
    <n v="0"/>
    <n v="0"/>
    <n v="0"/>
    <n v="20122"/>
    <n v="0"/>
    <n v="0"/>
    <n v="0"/>
    <n v="0"/>
  </r>
  <r>
    <x v="832"/>
    <s v="Sakhwa Ghat"/>
    <s v="MPG"/>
    <s v="Direct"/>
    <n v="357.61999999999995"/>
    <n v="15751.06"/>
    <n v="358.60000000000008"/>
    <n v="16360.620000000003"/>
    <n v="5"/>
    <n v="206.26"/>
    <n v="363.60000000000008"/>
    <n v="16566.88"/>
    <n v="15751.06"/>
    <n v="0"/>
    <n v="206.26"/>
    <n v="815.82000000000153"/>
    <n v="0"/>
    <n v="0"/>
    <n v="0"/>
    <n v="15545"/>
    <n v="0"/>
    <n v="0"/>
    <n v="0"/>
    <n v="0"/>
  </r>
  <r>
    <x v="833"/>
    <s v="Patiya"/>
    <s v="MPG"/>
    <s v="Direct"/>
    <n v="260.71000000000004"/>
    <n v="10715.659999999998"/>
    <n v="261.8"/>
    <n v="10822.340000000002"/>
    <n v="1.5"/>
    <n v="61.710000000000008"/>
    <n v="263.3"/>
    <n v="10884.050000000001"/>
    <n v="10715.659999999998"/>
    <n v="0"/>
    <n v="61.710000000000008"/>
    <n v="168.39000000000306"/>
    <n v="0"/>
    <n v="0"/>
    <n v="0"/>
    <n v="10654"/>
    <n v="0"/>
    <n v="0"/>
    <n v="0"/>
    <n v="0"/>
  </r>
  <r>
    <x v="834"/>
    <s v="Kasiya"/>
    <s v="MPG"/>
    <s v="Direct"/>
    <n v="632.79000000000008"/>
    <n v="26055.24"/>
    <n v="621.9"/>
    <n v="26942.77"/>
    <n v="7.6"/>
    <n v="312.16000000000003"/>
    <n v="629.5"/>
    <n v="27254.93"/>
    <n v="26055.24"/>
    <n v="0"/>
    <n v="312.16000000000003"/>
    <n v="1199.6899999999987"/>
    <n v="0"/>
    <n v="0"/>
    <n v="0"/>
    <n v="25743"/>
    <n v="0"/>
    <n v="0"/>
    <n v="0"/>
    <n v="0"/>
  </r>
  <r>
    <x v="835"/>
    <s v="Godah"/>
    <s v="MPG"/>
    <s v="Direct"/>
    <n v="486.31"/>
    <n v="22102.719999999998"/>
    <n v="514.29999999999995"/>
    <n v="25241.11"/>
    <n v="0"/>
    <n v="0"/>
    <n v="514.29999999999995"/>
    <n v="25241.11"/>
    <n v="22102.719999999998"/>
    <n v="0"/>
    <n v="0"/>
    <n v="3138.3900000000031"/>
    <n v="0"/>
    <n v="0"/>
    <n v="0"/>
    <n v="22103"/>
    <n v="0"/>
    <n v="0"/>
    <n v="0"/>
    <n v="0"/>
  </r>
  <r>
    <x v="836"/>
    <s v="Ballahpur"/>
    <s v="MPG"/>
    <s v="Direct"/>
    <n v="477.34000000000003"/>
    <n v="17627.509999999998"/>
    <n v="496.74"/>
    <n v="19871.04"/>
    <n v="0"/>
    <n v="0"/>
    <n v="496.74"/>
    <n v="19871.04"/>
    <n v="17627.509999999998"/>
    <n v="0"/>
    <n v="0"/>
    <n v="2243.5300000000025"/>
    <n v="0"/>
    <n v="500"/>
    <n v="0"/>
    <n v="17128"/>
    <n v="0"/>
    <n v="0"/>
    <n v="0"/>
    <n v="0"/>
  </r>
  <r>
    <x v="837"/>
    <s v="Laxmipur-VLC"/>
    <s v="vlc"/>
    <s v="Indirect"/>
    <n v="190.18999999999997"/>
    <n v="6742.0999999999995"/>
    <n v="0"/>
    <n v="0"/>
    <n v="0"/>
    <n v="0"/>
    <n v="0"/>
    <n v="0"/>
    <n v="6742.0999999999995"/>
    <n v="0"/>
    <n v="0"/>
    <n v="0"/>
    <n v="0"/>
    <n v="0"/>
    <n v="0"/>
    <n v="0"/>
    <n v="0"/>
    <n v="6742.0999999999995"/>
    <n v="0"/>
    <n v="0"/>
  </r>
  <r>
    <x v="838"/>
    <s v="Birpur"/>
    <s v="MPG"/>
    <s v="Direct"/>
    <n v="528.97"/>
    <n v="19321.420000000002"/>
    <n v="536.65"/>
    <n v="20538.68"/>
    <n v="0"/>
    <n v="0"/>
    <n v="536.65"/>
    <n v="20538.68"/>
    <n v="19321.420000000002"/>
    <n v="0"/>
    <n v="0"/>
    <n v="1217.2599999999984"/>
    <n v="0"/>
    <n v="0"/>
    <n v="0"/>
    <n v="19321"/>
    <n v="0"/>
    <n v="0"/>
    <n v="0"/>
    <n v="0"/>
  </r>
  <r>
    <x v="839"/>
    <s v="Ahilwar"/>
    <s v="MPG"/>
    <s v="Direct"/>
    <n v="907.59000000000015"/>
    <n v="36631.31"/>
    <n v="692.1"/>
    <n v="28668.79"/>
    <n v="222.79999999999998"/>
    <n v="8405.69"/>
    <n v="914.9"/>
    <n v="37074.480000000003"/>
    <n v="36631.31"/>
    <n v="0"/>
    <n v="199.16"/>
    <n v="443.17000000000553"/>
    <n v="0"/>
    <n v="0"/>
    <n v="0"/>
    <n v="28226"/>
    <n v="8206"/>
    <n v="0"/>
    <n v="0"/>
    <n v="0"/>
  </r>
  <r>
    <x v="840"/>
    <s v="Paridah"/>
    <s v="MPG"/>
    <s v="Direct"/>
    <n v="349.25000000000006"/>
    <n v="13574.24"/>
    <n v="343.65000000000003"/>
    <n v="13741.680000000002"/>
    <n v="3.31"/>
    <n v="129.39999999999998"/>
    <n v="346.96000000000004"/>
    <n v="13871.080000000002"/>
    <n v="13574.24"/>
    <n v="0"/>
    <n v="129.39999999999998"/>
    <n v="296.84000000000196"/>
    <n v="0"/>
    <n v="500"/>
    <n v="0"/>
    <n v="12945"/>
    <n v="0"/>
    <n v="0"/>
    <n v="0"/>
    <s v="Release3"/>
  </r>
  <r>
    <x v="841"/>
    <s v="KOLAWARI"/>
    <s v="MPG"/>
    <s v="Direct"/>
    <n v="373.56"/>
    <n v="15446.36"/>
    <n v="340.09999999999997"/>
    <n v="14088.849999999999"/>
    <n v="0"/>
    <n v="0"/>
    <n v="340.09999999999997"/>
    <n v="14088.849999999999"/>
    <n v="14088.849999999999"/>
    <n v="0"/>
    <n v="0"/>
    <n v="0"/>
    <n v="0"/>
    <n v="0"/>
    <n v="0"/>
    <n v="14089"/>
    <n v="0"/>
    <n v="0"/>
    <n v="1357"/>
    <n v="0"/>
  </r>
  <r>
    <x v="842"/>
    <s v="MALDAH"/>
    <s v="vlc"/>
    <s v="Indirect"/>
    <n v="852.28"/>
    <n v="32910.619999999995"/>
    <n v="0"/>
    <n v="0"/>
    <n v="0"/>
    <n v="0"/>
    <n v="0"/>
    <n v="0"/>
    <n v="32910.619999999995"/>
    <n v="0"/>
    <n v="0"/>
    <n v="0"/>
    <n v="0"/>
    <n v="0"/>
    <n v="0"/>
    <n v="0"/>
    <n v="0"/>
    <n v="32910.619999999995"/>
    <n v="0"/>
    <n v="0"/>
  </r>
  <r>
    <x v="843"/>
    <s v="KARANCHI"/>
    <s v="MPG"/>
    <s v="Direct"/>
    <n v="451"/>
    <n v="17987.189999999999"/>
    <n v="490.59999999999991"/>
    <n v="21932.309999999998"/>
    <n v="0"/>
    <n v="0"/>
    <n v="490.59999999999991"/>
    <n v="21932.309999999998"/>
    <n v="17987.189999999999"/>
    <n v="0"/>
    <n v="0"/>
    <n v="3945.119999999999"/>
    <n v="1350"/>
    <n v="0"/>
    <n v="0"/>
    <n v="16637"/>
    <n v="0"/>
    <n v="0"/>
    <n v="0"/>
    <n v="0"/>
  </r>
  <r>
    <x v="844"/>
    <s v="MARTHUA"/>
    <s v="MPG"/>
    <s v="Direct"/>
    <n v="813.43000000000029"/>
    <n v="37514.23000000001"/>
    <n v="819.00000000000023"/>
    <n v="38185.279999999992"/>
    <n v="0"/>
    <n v="0"/>
    <n v="819.00000000000023"/>
    <n v="38185.279999999992"/>
    <n v="37514.23000000001"/>
    <n v="0"/>
    <n v="0"/>
    <n v="671.04999999998108"/>
    <n v="0"/>
    <n v="0"/>
    <n v="0"/>
    <n v="37514"/>
    <n v="0"/>
    <n v="0"/>
    <n v="0"/>
    <n v="0"/>
  </r>
  <r>
    <x v="845"/>
    <s v="GARHPURA "/>
    <s v="MPG"/>
    <s v="Direct"/>
    <n v="85.49"/>
    <n v="3484.42"/>
    <n v="85.3"/>
    <n v="3501.4700000000003"/>
    <n v="0"/>
    <n v="0"/>
    <n v="85.3"/>
    <n v="3501.4700000000003"/>
    <n v="3484.42"/>
    <n v="0"/>
    <n v="0"/>
    <n v="17.050000000000182"/>
    <n v="0"/>
    <n v="0"/>
    <n v="0"/>
    <n v="3484"/>
    <n v="0"/>
    <n v="0"/>
    <n v="0"/>
    <n v="0"/>
  </r>
  <r>
    <x v="846"/>
    <s v="KOKANI"/>
    <s v="MPG"/>
    <s v="Direct"/>
    <n v="113.82999999999998"/>
    <n v="4240.0600000000004"/>
    <n v="120.96"/>
    <n v="4598.2800000000007"/>
    <n v="0"/>
    <n v="0"/>
    <n v="120.96"/>
    <n v="4598.2800000000007"/>
    <n v="4240.0600000000004"/>
    <n v="0"/>
    <n v="0"/>
    <n v="358.22000000000025"/>
    <n v="0"/>
    <n v="0"/>
    <n v="0"/>
    <n v="4240"/>
    <n v="0"/>
    <n v="0"/>
    <n v="0"/>
    <n v="0"/>
  </r>
  <r>
    <x v="847"/>
    <s v="DURGAPUR "/>
    <s v="MPG"/>
    <s v="Direct"/>
    <n v="457.89"/>
    <n v="18071.599999999999"/>
    <n v="457.79999999999995"/>
    <n v="18026.349999999999"/>
    <n v="0"/>
    <n v="0"/>
    <n v="457.79999999999995"/>
    <n v="18026.349999999999"/>
    <n v="18026.349999999999"/>
    <n v="0"/>
    <n v="0"/>
    <n v="0"/>
    <n v="0"/>
    <n v="0"/>
    <n v="0"/>
    <n v="18026"/>
    <n v="0"/>
    <n v="0"/>
    <n v="46"/>
    <n v="0"/>
  </r>
  <r>
    <x v="848"/>
    <s v="Chandauli"/>
    <s v="MPG"/>
    <s v="Direct"/>
    <n v="224.97"/>
    <n v="10049.789999999999"/>
    <n v="271.60000000000002"/>
    <n v="12568.899999999998"/>
    <n v="0"/>
    <n v="0"/>
    <n v="271.60000000000002"/>
    <n v="12568.899999999998"/>
    <n v="10049.789999999999"/>
    <n v="0"/>
    <n v="0"/>
    <n v="2519.1099999999988"/>
    <n v="0"/>
    <n v="0"/>
    <n v="0"/>
    <n v="10050"/>
    <n v="0"/>
    <n v="0"/>
    <n v="0"/>
    <n v="0"/>
  </r>
  <r>
    <x v="850"/>
    <s v="MISHRBIGHA"/>
    <s v="MPG"/>
    <s v="Direct"/>
    <n v="854.70000000000016"/>
    <n v="41986.139999999992"/>
    <n v="915.04"/>
    <n v="45501.96"/>
    <n v="2.64"/>
    <n v="90.02"/>
    <n v="917.68"/>
    <n v="45591.979999999996"/>
    <n v="41986.139999999992"/>
    <n v="0"/>
    <n v="90.02"/>
    <n v="3605.8400000000038"/>
    <n v="0"/>
    <n v="0"/>
    <n v="0"/>
    <n v="41896"/>
    <n v="0"/>
    <n v="0"/>
    <n v="0"/>
    <n v="0"/>
  </r>
  <r>
    <x v="851"/>
    <s v="DIGHOI"/>
    <s v="MPG"/>
    <s v="Direct"/>
    <n v="86.1"/>
    <n v="5603.66"/>
    <n v="86.100000000000009"/>
    <n v="5610.63"/>
    <n v="0"/>
    <n v="0"/>
    <n v="86.100000000000009"/>
    <n v="5610.63"/>
    <n v="5603.66"/>
    <n v="0"/>
    <n v="0"/>
    <n v="6.9700000000002547"/>
    <n v="0"/>
    <n v="500"/>
    <n v="0"/>
    <n v="5104"/>
    <n v="0"/>
    <n v="0"/>
    <n v="0"/>
    <n v="0"/>
  </r>
  <r>
    <x v="852"/>
    <s v="PRATAPUR"/>
    <s v="MPG"/>
    <s v="Direct"/>
    <n v="960.30000000000007"/>
    <n v="37372.04"/>
    <n v="966.00000000000011"/>
    <n v="37721.910000000003"/>
    <n v="0"/>
    <n v="0"/>
    <n v="966.00000000000011"/>
    <n v="37721.910000000003"/>
    <n v="37372.04"/>
    <n v="0"/>
    <n v="0"/>
    <n v="349.87000000000262"/>
    <n v="0"/>
    <n v="0"/>
    <n v="0"/>
    <n v="37372"/>
    <n v="0"/>
    <n v="0"/>
    <n v="0"/>
    <n v="0"/>
  </r>
  <r>
    <x v="853"/>
    <s v="GOPALPUR"/>
    <s v="MPG"/>
    <s v="Direct"/>
    <n v="1551.2999999999997"/>
    <n v="70969.39"/>
    <n v="1617.9999999999998"/>
    <n v="71075.12999999999"/>
    <n v="0"/>
    <n v="0"/>
    <n v="1617.9999999999998"/>
    <n v="71075.12999999999"/>
    <n v="70969.39"/>
    <n v="0"/>
    <n v="0"/>
    <n v="105.73999999999069"/>
    <n v="0"/>
    <n v="0"/>
    <n v="0"/>
    <n v="70969"/>
    <n v="0"/>
    <n v="0"/>
    <n v="0"/>
    <n v="0"/>
  </r>
  <r>
    <x v="854"/>
    <s v="NARMDA"/>
    <s v="MPG"/>
    <s v="Direct"/>
    <n v="285.2"/>
    <n v="14488.249999999998"/>
    <n v="292.2"/>
    <n v="14547.45"/>
    <n v="0"/>
    <n v="0"/>
    <n v="292.2"/>
    <n v="14547.45"/>
    <n v="14488.249999999998"/>
    <n v="0"/>
    <n v="0"/>
    <n v="59.200000000002547"/>
    <n v="0"/>
    <n v="0"/>
    <n v="0"/>
    <n v="14488"/>
    <n v="0"/>
    <n v="0"/>
    <n v="0"/>
    <n v="0"/>
  </r>
  <r>
    <x v="855"/>
    <s v="AMRATH"/>
    <s v="MPG"/>
    <s v="Direct"/>
    <n v="1695.8999999999996"/>
    <n v="87025.04"/>
    <n v="1695.9000000000003"/>
    <n v="86796.700000000012"/>
    <n v="0"/>
    <n v="0"/>
    <n v="1695.9000000000003"/>
    <n v="86796.700000000012"/>
    <n v="86796.700000000012"/>
    <n v="0"/>
    <n v="0"/>
    <n v="0"/>
    <n v="0"/>
    <n v="0"/>
    <n v="0"/>
    <n v="86796"/>
    <n v="0"/>
    <n v="0"/>
    <n v="229"/>
    <n v="0"/>
  </r>
  <r>
    <x v="856"/>
    <s v="PUTERIA"/>
    <s v="MPG"/>
    <s v="Direct"/>
    <n v="533"/>
    <n v="22596.290000000005"/>
    <n v="520.86"/>
    <n v="22692.03"/>
    <n v="0"/>
    <n v="0"/>
    <n v="520.86"/>
    <n v="22692.03"/>
    <n v="22596.290000000005"/>
    <n v="0"/>
    <n v="0"/>
    <n v="95.739999999994325"/>
    <n v="0"/>
    <n v="0"/>
    <n v="0"/>
    <n v="22596"/>
    <n v="0"/>
    <n v="0"/>
    <n v="0"/>
    <n v="0"/>
  </r>
  <r>
    <x v="857"/>
    <s v="LAKHAPUR"/>
    <s v="MPG"/>
    <s v="Direct"/>
    <n v="1009.5999999999999"/>
    <n v="44858.069999999992"/>
    <n v="1009.8000000000001"/>
    <n v="44801.630000000005"/>
    <n v="0"/>
    <n v="0"/>
    <n v="1009.8000000000001"/>
    <n v="44801.630000000005"/>
    <n v="44801.630000000005"/>
    <n v="0"/>
    <n v="0"/>
    <n v="0"/>
    <n v="0"/>
    <n v="0"/>
    <n v="0"/>
    <n v="44802"/>
    <n v="0"/>
    <n v="0"/>
    <n v="56"/>
    <n v="0"/>
  </r>
  <r>
    <x v="858"/>
    <s v="BARIYARPUR"/>
    <s v="MPG"/>
    <s v="Direct"/>
    <n v="701.6"/>
    <n v="32231.210000000003"/>
    <n v="701.60000000000014"/>
    <n v="31373.9"/>
    <n v="0"/>
    <n v="0"/>
    <n v="701.60000000000014"/>
    <n v="31373.9"/>
    <n v="31373.9"/>
    <n v="0"/>
    <n v="0"/>
    <n v="0"/>
    <n v="0"/>
    <n v="0"/>
    <n v="0"/>
    <n v="31374"/>
    <n v="0"/>
    <n v="0"/>
    <n v="857"/>
    <n v="0"/>
  </r>
  <r>
    <x v="859"/>
    <s v="BAGWANA"/>
    <s v="MPG"/>
    <s v="Direct"/>
    <n v="798.5"/>
    <n v="37350.529999999992"/>
    <n v="795.90000000000009"/>
    <n v="37654.649999999994"/>
    <n v="0"/>
    <n v="0"/>
    <n v="795.90000000000009"/>
    <n v="37654.649999999994"/>
    <n v="37350.529999999992"/>
    <n v="0"/>
    <n v="0"/>
    <n v="304.12000000000262"/>
    <n v="0"/>
    <n v="0"/>
    <n v="0"/>
    <n v="37351"/>
    <n v="0"/>
    <n v="0"/>
    <n v="0"/>
    <n v="0"/>
  </r>
  <r>
    <x v="860"/>
    <s v="GOMUKH DAND"/>
    <s v="vlc"/>
    <s v="Indirect"/>
    <n v="395.2"/>
    <n v="19416.779999999995"/>
    <n v="0"/>
    <n v="0"/>
    <n v="0"/>
    <n v="0"/>
    <n v="0"/>
    <n v="0"/>
    <n v="19416.779999999995"/>
    <n v="0"/>
    <n v="0"/>
    <n v="0"/>
    <n v="0"/>
    <n v="0"/>
    <n v="0"/>
    <n v="0"/>
    <n v="0"/>
    <n v="19416.779999999995"/>
    <n v="0"/>
    <n v="0"/>
  </r>
  <r>
    <x v="861"/>
    <s v="Gomukh Ama"/>
    <s v="MPG"/>
    <s v="Direct"/>
    <n v="567"/>
    <n v="21359.279999999999"/>
    <n v="561.18000000000006"/>
    <n v="21352.670000000002"/>
    <n v="0"/>
    <n v="0"/>
    <n v="561.18000000000006"/>
    <n v="21352.670000000002"/>
    <n v="21352.670000000002"/>
    <n v="0"/>
    <n v="0"/>
    <n v="0"/>
    <n v="0"/>
    <n v="0"/>
    <n v="0"/>
    <n v="21353"/>
    <n v="0"/>
    <n v="0"/>
    <n v="6"/>
    <n v="0"/>
  </r>
  <r>
    <x v="862"/>
    <s v="Gomukh Pawat"/>
    <s v="MPG"/>
    <s v="Direct"/>
    <n v="211.29999999999998"/>
    <n v="8632.73"/>
    <n v="211.85"/>
    <n v="9437.27"/>
    <n v="0"/>
    <n v="0"/>
    <n v="211.85"/>
    <n v="9437.27"/>
    <n v="8632.73"/>
    <n v="0"/>
    <n v="0"/>
    <n v="804.54000000000087"/>
    <n v="0"/>
    <n v="0"/>
    <n v="0"/>
    <n v="8633"/>
    <n v="0"/>
    <n v="0"/>
    <n v="0"/>
    <n v="0"/>
  </r>
  <r>
    <x v="863"/>
    <s v="Gomukh Barja"/>
    <s v="MPG"/>
    <s v="Direct"/>
    <n v="159.1"/>
    <n v="6107.17"/>
    <n v="158.01999999999998"/>
    <n v="6071.4499999999989"/>
    <n v="0.76"/>
    <n v="26.68"/>
    <n v="158.77999999999997"/>
    <n v="6098.1299999999992"/>
    <n v="6098.1299999999992"/>
    <n v="0"/>
    <n v="26.68"/>
    <n v="0"/>
    <n v="0"/>
    <n v="0"/>
    <n v="0"/>
    <n v="6071"/>
    <n v="0"/>
    <n v="0"/>
    <n v="9"/>
    <n v="0"/>
  </r>
  <r>
    <x v="864"/>
    <s v="Gomukh Charghat"/>
    <s v="MPG"/>
    <s v="Direct"/>
    <n v="31.3"/>
    <n v="1257.04"/>
    <n v="31.340000000000003"/>
    <n v="1170.55"/>
    <n v="0"/>
    <n v="0"/>
    <n v="31.340000000000003"/>
    <n v="1170.55"/>
    <n v="1170.55"/>
    <n v="0"/>
    <n v="0"/>
    <n v="0"/>
    <n v="0"/>
    <n v="0"/>
    <n v="0"/>
    <n v="1171"/>
    <n v="0"/>
    <n v="0"/>
    <n v="86"/>
    <n v="0"/>
  </r>
  <r>
    <x v="865"/>
    <s v="Gomukh Ramdihra"/>
    <s v="MPG"/>
    <s v="Direct"/>
    <n v="94.9"/>
    <n v="3439.7200000000003"/>
    <n v="95.8"/>
    <n v="3435.39"/>
    <n v="0"/>
    <n v="0"/>
    <n v="95.8"/>
    <n v="3435.39"/>
    <n v="3435.39"/>
    <n v="0"/>
    <n v="0"/>
    <n v="0"/>
    <n v="0"/>
    <n v="500"/>
    <n v="0"/>
    <n v="2935"/>
    <n v="0"/>
    <n v="0"/>
    <n v="5"/>
    <n v="0"/>
  </r>
  <r>
    <x v="866"/>
    <s v="Gomukh Bara"/>
    <s v="MPG"/>
    <s v="Direct"/>
    <n v="50.999999999999993"/>
    <n v="1861.96"/>
    <n v="50.22"/>
    <n v="1860.6299999999999"/>
    <n v="0"/>
    <n v="0"/>
    <n v="50.22"/>
    <n v="1860.6299999999999"/>
    <n v="1860.6299999999999"/>
    <n v="0"/>
    <n v="0"/>
    <n v="0"/>
    <n v="0"/>
    <n v="0"/>
    <n v="0"/>
    <n v="1861"/>
    <n v="0"/>
    <n v="0"/>
    <n v="1"/>
    <n v="0"/>
  </r>
  <r>
    <x v="867"/>
    <s v="Gumukh Khajuriya"/>
    <s v="MPG"/>
    <s v="Direct"/>
    <n v="286"/>
    <n v="11463.089999999997"/>
    <n v="306.81999999999994"/>
    <n v="12285.490000000007"/>
    <n v="0"/>
    <n v="0"/>
    <n v="306.81999999999994"/>
    <n v="12285.490000000007"/>
    <n v="11463.089999999997"/>
    <n v="0"/>
    <n v="0"/>
    <n v="822.40000000001055"/>
    <n v="0"/>
    <n v="0"/>
    <n v="0"/>
    <n v="11463"/>
    <n v="0"/>
    <n v="0"/>
    <n v="0"/>
    <n v="0"/>
  </r>
  <r>
    <x v="868"/>
    <s v="GOMUKH BHATOLIYA"/>
    <s v="MPG"/>
    <s v="Direct"/>
    <n v="652.40000000000009"/>
    <n v="29921.079999999994"/>
    <n v="673.89999999999986"/>
    <n v="30874.07"/>
    <n v="3.3"/>
    <n v="172.57999999999998"/>
    <n v="677.19999999999982"/>
    <n v="31046.65"/>
    <n v="29921.079999999994"/>
    <n v="0"/>
    <n v="172.57999999999998"/>
    <n v="1125.570000000007"/>
    <n v="0"/>
    <n v="0"/>
    <n v="0"/>
    <n v="29748"/>
    <n v="0"/>
    <n v="0"/>
    <n v="0"/>
    <n v="0"/>
  </r>
  <r>
    <x v="869"/>
    <s v="GOMUKH CHEHRAKALA"/>
    <s v="MPG"/>
    <s v="Direct"/>
    <n v="355.8"/>
    <n v="16986.100000000002"/>
    <n v="359.5"/>
    <n v="17769.59"/>
    <n v="0"/>
    <n v="0"/>
    <n v="359.5"/>
    <n v="17769.59"/>
    <n v="16986.100000000002"/>
    <n v="0"/>
    <n v="0"/>
    <n v="783.48999999999796"/>
    <n v="0"/>
    <n v="0"/>
    <n v="0"/>
    <n v="16986"/>
    <n v="0"/>
    <n v="0"/>
    <n v="0"/>
    <n v="0"/>
  </r>
  <r>
    <x v="870"/>
    <s v="GOMUKH KHAJECHAND"/>
    <s v="MPG"/>
    <s v="Direct"/>
    <n v="244.90000000000003"/>
    <n v="9665.7899999999991"/>
    <n v="231"/>
    <n v="9240.2100000000009"/>
    <n v="0"/>
    <n v="0"/>
    <n v="231"/>
    <n v="9240.2100000000009"/>
    <n v="9240.2100000000009"/>
    <n v="0"/>
    <n v="0"/>
    <n v="0"/>
    <n v="0"/>
    <n v="0"/>
    <n v="0"/>
    <n v="9240"/>
    <n v="0"/>
    <n v="0"/>
    <n v="426"/>
    <n v="0"/>
  </r>
  <r>
    <x v="871"/>
    <s v="GOMUKH SALEMPUR"/>
    <s v="MPG"/>
    <s v="Direct"/>
    <n v="372.2"/>
    <n v="16566.579999999998"/>
    <n v="393.6"/>
    <n v="17874.589999999997"/>
    <n v="8.4"/>
    <n v="298.87"/>
    <n v="402"/>
    <n v="18173.459999999995"/>
    <n v="16566.579999999998"/>
    <n v="0"/>
    <n v="298.87"/>
    <n v="1606.8799999999974"/>
    <n v="7264"/>
    <n v="0"/>
    <n v="0"/>
    <n v="9004"/>
    <n v="0"/>
    <n v="0"/>
    <n v="0"/>
    <n v="0"/>
  </r>
  <r>
    <x v="872"/>
    <s v="Gomukh Paharpur"/>
    <s v="MPG"/>
    <s v="Direct"/>
    <n v="876.5"/>
    <n v="39337.26"/>
    <n v="913.8"/>
    <n v="39592.789999999994"/>
    <n v="0"/>
    <n v="0"/>
    <n v="913.8"/>
    <n v="39592.789999999994"/>
    <n v="39337.26"/>
    <n v="0"/>
    <n v="0"/>
    <n v="255.52999999999156"/>
    <n v="0"/>
    <n v="0"/>
    <n v="0"/>
    <n v="39337"/>
    <n v="0"/>
    <n v="0"/>
    <n v="0"/>
    <n v="0"/>
  </r>
  <r>
    <x v="873"/>
    <s v="GOMUKH PREMRAJ"/>
    <s v="MPG"/>
    <s v="Direct"/>
    <n v="376.30000000000013"/>
    <n v="19390.95"/>
    <n v="380.3"/>
    <n v="19787.390000000003"/>
    <n v="0"/>
    <n v="0"/>
    <n v="380.3"/>
    <n v="19787.390000000003"/>
    <n v="19390.95"/>
    <n v="0"/>
    <n v="0"/>
    <n v="396.44000000000233"/>
    <n v="0"/>
    <n v="0"/>
    <n v="0"/>
    <n v="19391"/>
    <n v="0"/>
    <n v="0"/>
    <n v="0"/>
    <n v="0"/>
  </r>
  <r>
    <x v="874"/>
    <s v="GOMUKH GANGATI"/>
    <s v="MPG"/>
    <s v="Direct"/>
    <n v="401.70000000000005"/>
    <n v="18429.719999999998"/>
    <n v="416.29999999999995"/>
    <n v="18537.760000000002"/>
    <n v="0"/>
    <n v="0"/>
    <n v="416.29999999999995"/>
    <n v="18537.760000000002"/>
    <n v="18429.719999999998"/>
    <n v="0"/>
    <n v="0"/>
    <n v="108.04000000000451"/>
    <n v="0"/>
    <n v="0"/>
    <n v="0"/>
    <n v="18430"/>
    <n v="0"/>
    <n v="0"/>
    <n v="0"/>
    <n v="0"/>
  </r>
  <r>
    <x v="875"/>
    <s v="GOMUKH Khanpatti"/>
    <s v="MPG"/>
    <s v="Direct"/>
    <n v="1284.5999999999997"/>
    <n v="59584.720000000008"/>
    <n v="1277.6000000000004"/>
    <n v="59074.82"/>
    <n v="12.6"/>
    <n v="570.17999999999995"/>
    <n v="1290.2000000000003"/>
    <n v="59645"/>
    <n v="59584.720000000008"/>
    <n v="0"/>
    <n v="570.17999999999995"/>
    <n v="60.27999999999156"/>
    <n v="2800"/>
    <n v="0"/>
    <n v="0"/>
    <n v="56215"/>
    <n v="0"/>
    <n v="0"/>
    <n v="0"/>
    <n v="0"/>
  </r>
  <r>
    <x v="876"/>
    <s v="GOMUKH Bhagwatpur"/>
    <s v="MPG"/>
    <s v="Direct"/>
    <n v="446.99999999999994"/>
    <n v="21833.449999999993"/>
    <n v="462.90000000000003"/>
    <n v="21899.94"/>
    <n v="0"/>
    <n v="0"/>
    <n v="462.90000000000003"/>
    <n v="21899.94"/>
    <n v="21833.449999999993"/>
    <n v="0"/>
    <n v="0"/>
    <n v="66.490000000005239"/>
    <n v="0"/>
    <n v="0"/>
    <n v="0"/>
    <n v="21833"/>
    <n v="0"/>
    <n v="0"/>
    <n v="0"/>
    <n v="0"/>
  </r>
  <r>
    <x v="877"/>
    <s v="GOMUKH JIRWARA"/>
    <s v="vlc"/>
    <s v="Indirect"/>
    <n v="359.09999999999991"/>
    <n v="14323.449999999999"/>
    <n v="0"/>
    <n v="0"/>
    <n v="0"/>
    <n v="0"/>
    <n v="0"/>
    <n v="0"/>
    <n v="14323.449999999999"/>
    <n v="0"/>
    <n v="0"/>
    <n v="0"/>
    <n v="0"/>
    <n v="0"/>
    <n v="0"/>
    <n v="0"/>
    <n v="0"/>
    <n v="14323.449999999999"/>
    <n v="0"/>
    <n v="0"/>
  </r>
  <r>
    <x v="878"/>
    <s v="GOMUKH Karhatiya"/>
    <s v="vlc"/>
    <s v="Indirect"/>
    <n v="128.29999999999998"/>
    <n v="4640.1799999999994"/>
    <n v="0"/>
    <n v="0"/>
    <n v="0"/>
    <n v="0"/>
    <n v="0"/>
    <n v="0"/>
    <n v="4640.1799999999994"/>
    <n v="0"/>
    <n v="0"/>
    <n v="0"/>
    <n v="0"/>
    <n v="0"/>
    <n v="0"/>
    <n v="0"/>
    <n v="0"/>
    <n v="4640.1799999999994"/>
    <n v="0"/>
    <n v="0"/>
  </r>
  <r>
    <x v="879"/>
    <s v="GOMUKH Bheraukhara"/>
    <s v="MPG"/>
    <s v="Direct"/>
    <n v="172.39999999999998"/>
    <n v="7083.14"/>
    <n v="172.4"/>
    <n v="7090.41"/>
    <n v="0"/>
    <n v="0"/>
    <n v="172.4"/>
    <n v="7090.41"/>
    <n v="7083.14"/>
    <n v="0"/>
    <n v="0"/>
    <n v="7.2699999999995271"/>
    <n v="0"/>
    <n v="0"/>
    <n v="0"/>
    <n v="7083"/>
    <n v="0"/>
    <n v="0"/>
    <n v="0"/>
    <n v="0"/>
  </r>
  <r>
    <x v="880"/>
    <s v="GOMUKH SUPOLTARIYA"/>
    <s v="MPG"/>
    <s v="Direct"/>
    <n v="490.30000000000007"/>
    <n v="22436.33"/>
    <n v="394.2"/>
    <n v="17344.95"/>
    <n v="123.29999999999998"/>
    <n v="5532.47"/>
    <n v="517.5"/>
    <n v="22877.420000000002"/>
    <n v="22436.33"/>
    <n v="0"/>
    <n v="0"/>
    <n v="441.09000000000015"/>
    <n v="8424"/>
    <n v="0"/>
    <n v="0"/>
    <n v="8479"/>
    <n v="5533"/>
    <n v="0"/>
    <n v="0"/>
    <n v="0"/>
  </r>
  <r>
    <x v="881"/>
    <s v="GOMUKH Shravanapatti"/>
    <s v="MPG"/>
    <s v="Direct"/>
    <n v="55.500000000000007"/>
    <n v="2887.8299999999995"/>
    <n v="55.6"/>
    <n v="2996.8599999999997"/>
    <n v="0"/>
    <n v="0"/>
    <n v="55.6"/>
    <n v="2996.8599999999997"/>
    <n v="2887.8299999999995"/>
    <n v="0"/>
    <n v="0"/>
    <n v="109.0300000000002"/>
    <n v="0"/>
    <n v="0"/>
    <n v="0"/>
    <n v="2888"/>
    <n v="0"/>
    <n v="0"/>
    <n v="0"/>
    <n v="0"/>
  </r>
  <r>
    <x v="882"/>
    <s v="GOMUKH Jilwara"/>
    <s v="MPG"/>
    <s v="Direct"/>
    <n v="368.19999999999993"/>
    <n v="15690.300000000001"/>
    <n v="367.70000000000005"/>
    <n v="15215.1"/>
    <n v="0"/>
    <n v="0"/>
    <n v="367.70000000000005"/>
    <n v="15215.1"/>
    <n v="15215.1"/>
    <n v="0"/>
    <n v="0"/>
    <n v="0"/>
    <n v="0"/>
    <n v="0"/>
    <n v="0"/>
    <n v="15214"/>
    <n v="0"/>
    <n v="0"/>
    <n v="476"/>
    <n v="0"/>
  </r>
  <r>
    <x v="883"/>
    <s v="GOMUKH ABBUCHAK"/>
    <s v="MPG"/>
    <s v="Direct"/>
    <n v="208.29999999999998"/>
    <n v="10826.160000000002"/>
    <n v="192.5"/>
    <n v="10495.18"/>
    <n v="0"/>
    <n v="0"/>
    <n v="192.5"/>
    <n v="10495.18"/>
    <n v="10495.18"/>
    <n v="0"/>
    <n v="0"/>
    <n v="0"/>
    <n v="0"/>
    <n v="0"/>
    <n v="0"/>
    <n v="10495"/>
    <n v="0"/>
    <n v="0"/>
    <n v="331"/>
    <s v="Release1"/>
  </r>
  <r>
    <x v="884"/>
    <s v="GOMUKH KAILA JALALPUR"/>
    <s v="MPG"/>
    <s v="Direct"/>
    <n v="320.59999999999997"/>
    <n v="12543.25"/>
    <n v="314.5"/>
    <n v="12161.140000000001"/>
    <n v="4.7"/>
    <n v="201.23999999999998"/>
    <n v="319.2"/>
    <n v="12362.380000000001"/>
    <n v="12362.380000000001"/>
    <n v="0"/>
    <n v="201.23999999999998"/>
    <n v="0"/>
    <n v="0"/>
    <n v="0"/>
    <n v="0"/>
    <n v="12162"/>
    <n v="0"/>
    <n v="0"/>
    <n v="180"/>
    <n v="0"/>
  </r>
  <r>
    <x v="886"/>
    <s v="Gomukh Jhitkahi East"/>
    <s v="MPG"/>
    <s v="Direct"/>
    <n v="160.10000000000002"/>
    <n v="9003.0300000000007"/>
    <n v="156.4"/>
    <n v="9061.2700000000023"/>
    <n v="0"/>
    <n v="0"/>
    <n v="156.4"/>
    <n v="9061.2700000000023"/>
    <n v="9003.0300000000007"/>
    <n v="0"/>
    <n v="0"/>
    <n v="58.240000000001601"/>
    <n v="0"/>
    <n v="0"/>
    <n v="0"/>
    <n v="9003"/>
    <n v="0"/>
    <n v="0"/>
    <n v="0"/>
    <n v="0"/>
  </r>
  <r>
    <x v="887"/>
    <s v="GOMUKH UPHRAUL"/>
    <s v="vlc"/>
    <s v="Indirect"/>
    <n v="1658.6"/>
    <n v="64538.03"/>
    <n v="0"/>
    <n v="0"/>
    <n v="0"/>
    <n v="0"/>
    <n v="0"/>
    <n v="0"/>
    <n v="64538.03"/>
    <n v="0"/>
    <n v="0"/>
    <n v="0"/>
    <n v="0"/>
    <n v="0"/>
    <n v="0"/>
    <n v="0"/>
    <n v="0"/>
    <n v="64538.03"/>
    <n v="0"/>
    <n v="0"/>
  </r>
  <r>
    <x v="888"/>
    <s v="GOMUKH SHERPUR"/>
    <s v="vlc"/>
    <s v="Indirect"/>
    <n v="231.60000000000002"/>
    <n v="8724.1800000000021"/>
    <n v="0"/>
    <n v="0"/>
    <n v="0"/>
    <n v="0"/>
    <n v="0"/>
    <n v="0"/>
    <n v="8724.1800000000021"/>
    <n v="0"/>
    <n v="0"/>
    <n v="0"/>
    <n v="0"/>
    <n v="0"/>
    <n v="0"/>
    <n v="0"/>
    <n v="0"/>
    <n v="8724.1800000000021"/>
    <n v="0"/>
    <n v="0"/>
  </r>
  <r>
    <x v="989"/>
    <s v="GOMUKH PANSALA"/>
    <s v="vlc"/>
    <s v="Indirect"/>
    <n v="9.6"/>
    <n v="381.6"/>
    <n v="0"/>
    <n v="0"/>
    <n v="0"/>
    <n v="0"/>
    <n v="0"/>
    <n v="0"/>
    <n v="381.6"/>
    <n v="0"/>
    <n v="0"/>
    <n v="0"/>
    <n v="0"/>
    <n v="0"/>
    <n v="0"/>
    <n v="0"/>
    <n v="0"/>
    <n v="381.6"/>
    <n v="0"/>
    <n v="0"/>
  </r>
  <r>
    <x v="990"/>
    <s v="GOMUKH KUSIYARI"/>
    <s v="vlc"/>
    <s v="Indirect"/>
    <n v="303.3"/>
    <n v="11498.73"/>
    <n v="0"/>
    <n v="0"/>
    <n v="0"/>
    <n v="0"/>
    <n v="0"/>
    <n v="0"/>
    <n v="11498.73"/>
    <n v="0"/>
    <n v="0"/>
    <n v="0"/>
    <n v="0"/>
    <n v="0"/>
    <n v="0"/>
    <n v="0"/>
    <n v="0"/>
    <n v="11498.73"/>
    <n v="0"/>
    <n v="0"/>
  </r>
  <r>
    <x v="991"/>
    <s v="GOMUKH PACHAI"/>
    <s v="vlc"/>
    <s v="Indirect"/>
    <n v="135.1"/>
    <n v="5222.1499999999996"/>
    <n v="0"/>
    <n v="0"/>
    <n v="0"/>
    <n v="0"/>
    <n v="0"/>
    <n v="0"/>
    <n v="5222.1499999999996"/>
    <n v="0"/>
    <n v="0"/>
    <n v="0"/>
    <n v="0"/>
    <n v="0"/>
    <n v="0"/>
    <n v="0"/>
    <n v="0"/>
    <n v="5222.1499999999996"/>
    <n v="0"/>
    <n v="0"/>
  </r>
  <r>
    <x v="889"/>
    <s v="GOMUKH GARAHI"/>
    <s v="vlc"/>
    <s v="Indirect"/>
    <n v="521.00000000000011"/>
    <n v="17229.22"/>
    <n v="0"/>
    <n v="0"/>
    <n v="0"/>
    <n v="0"/>
    <n v="0"/>
    <n v="0"/>
    <n v="17229.22"/>
    <n v="0"/>
    <n v="0"/>
    <n v="0"/>
    <n v="0"/>
    <n v="0"/>
    <n v="0"/>
    <n v="0"/>
    <n v="0"/>
    <n v="17229.22"/>
    <n v="0"/>
    <n v="0"/>
  </r>
  <r>
    <x v="890"/>
    <s v="GOMUKH BAIKUNTHPUR"/>
    <s v="vlc"/>
    <s v="Indirect"/>
    <n v="457.20000000000005"/>
    <n v="17206.16"/>
    <n v="0"/>
    <n v="0"/>
    <n v="0"/>
    <n v="0"/>
    <n v="0"/>
    <n v="0"/>
    <n v="17206.16"/>
    <n v="0"/>
    <n v="0"/>
    <n v="0"/>
    <n v="0"/>
    <n v="0"/>
    <n v="0"/>
    <n v="0"/>
    <n v="0"/>
    <n v="17206.16"/>
    <n v="0"/>
    <n v="0"/>
  </r>
  <r>
    <x v="891"/>
    <s v="GOMUKH BAHASHI"/>
    <s v="vlc"/>
    <s v="Indirect"/>
    <n v="1268.1000000000001"/>
    <n v="47150.31"/>
    <n v="0"/>
    <n v="0"/>
    <n v="0"/>
    <n v="0"/>
    <n v="0"/>
    <n v="0"/>
    <n v="47150.31"/>
    <n v="0"/>
    <n v="0"/>
    <n v="0"/>
    <n v="0"/>
    <n v="0"/>
    <n v="0"/>
    <n v="0"/>
    <n v="0"/>
    <n v="47150.31"/>
    <n v="0"/>
    <n v="0"/>
  </r>
  <r>
    <x v="893"/>
    <s v="GOMUKH KHARIKA"/>
    <s v="vlc"/>
    <s v="Indirect"/>
    <n v="746.4"/>
    <n v="28681.739999999998"/>
    <n v="0"/>
    <n v="0"/>
    <n v="0"/>
    <n v="0"/>
    <n v="0"/>
    <n v="0"/>
    <n v="28681.739999999998"/>
    <n v="0"/>
    <n v="0"/>
    <n v="0"/>
    <n v="0"/>
    <n v="0"/>
    <n v="0"/>
    <n v="0"/>
    <n v="0"/>
    <n v="28681.739999999998"/>
    <n v="0"/>
    <n v="0"/>
  </r>
  <r>
    <x v="894"/>
    <s v="GOMUKH KALYANPUR"/>
    <s v="vlc"/>
    <s v="Indirect"/>
    <n v="38.799999999999997"/>
    <n v="1461.6"/>
    <n v="0"/>
    <n v="0"/>
    <n v="0"/>
    <n v="0"/>
    <n v="0"/>
    <n v="0"/>
    <n v="1461.6"/>
    <n v="0"/>
    <n v="0"/>
    <n v="0"/>
    <n v="0"/>
    <n v="0"/>
    <n v="0"/>
    <n v="0"/>
    <n v="0"/>
    <n v="1461.6"/>
    <n v="0"/>
    <n v="0"/>
  </r>
  <r>
    <x v="992"/>
    <s v="GOMUKH GOVINDPUR"/>
    <s v="vlc"/>
    <s v="Indirect"/>
    <n v="30.8"/>
    <n v="1062.9100000000001"/>
    <n v="0"/>
    <n v="0"/>
    <n v="0"/>
    <n v="0"/>
    <n v="0"/>
    <n v="0"/>
    <n v="1062.9100000000001"/>
    <n v="0"/>
    <n v="0"/>
    <n v="0"/>
    <n v="0"/>
    <n v="0"/>
    <n v="0"/>
    <n v="0"/>
    <n v="0"/>
    <n v="1062.9100000000001"/>
    <n v="0"/>
    <n v="0"/>
  </r>
  <r>
    <x v="896"/>
    <s v="GOMUKH HARPUR RAJESH"/>
    <s v="vlc"/>
    <s v="Indirect"/>
    <n v="484.9"/>
    <n v="19812.759999999998"/>
    <n v="0"/>
    <n v="0"/>
    <n v="0"/>
    <n v="0"/>
    <n v="0"/>
    <n v="0"/>
    <n v="19812.759999999998"/>
    <n v="0"/>
    <n v="0"/>
    <n v="0"/>
    <n v="0"/>
    <n v="0"/>
    <n v="0"/>
    <n v="0"/>
    <n v="0"/>
    <n v="19812.759999999998"/>
    <n v="0"/>
    <n v="0"/>
  </r>
  <r>
    <x v="897"/>
    <s v="GOMUKH SANICHAR HATT"/>
    <s v="vlc"/>
    <s v="Indirect"/>
    <n v="187.39999999999998"/>
    <n v="7202.7200000000012"/>
    <n v="0"/>
    <n v="0"/>
    <n v="0"/>
    <n v="0"/>
    <n v="0"/>
    <n v="0"/>
    <n v="7202.7200000000012"/>
    <n v="0"/>
    <n v="0"/>
    <n v="0"/>
    <n v="0"/>
    <n v="0"/>
    <n v="0"/>
    <n v="0"/>
    <n v="0"/>
    <n v="7202.7200000000012"/>
    <n v="0"/>
    <n v="0"/>
  </r>
  <r>
    <x v="898"/>
    <s v="GOMUKH SAHARIYA"/>
    <s v="vlc"/>
    <s v="Indirect"/>
    <n v="814.5"/>
    <n v="32749.870000000003"/>
    <n v="0"/>
    <n v="0"/>
    <n v="0"/>
    <n v="0"/>
    <n v="0"/>
    <n v="0"/>
    <n v="32749.870000000003"/>
    <n v="0"/>
    <n v="0"/>
    <n v="0"/>
    <n v="0"/>
    <n v="0"/>
    <n v="0"/>
    <n v="0"/>
    <n v="0"/>
    <n v="32749.870000000003"/>
    <n v="0"/>
    <n v="0"/>
  </r>
  <r>
    <x v="899"/>
    <s v="GOMUKH TAJPUR BUZURG"/>
    <s v="MPG"/>
    <s v="Direct"/>
    <n v="707.1"/>
    <n v="27803.780000000002"/>
    <n v="716.9"/>
    <n v="28216.21"/>
    <n v="0"/>
    <n v="0"/>
    <n v="716.9"/>
    <n v="28216.21"/>
    <n v="27803.780000000002"/>
    <n v="0"/>
    <n v="0"/>
    <n v="412.42999999999665"/>
    <n v="0"/>
    <n v="0"/>
    <n v="0"/>
    <n v="27804"/>
    <n v="0"/>
    <n v="0"/>
    <n v="0"/>
    <n v="0"/>
  </r>
  <r>
    <x v="900"/>
    <s v="GOMUKH PAITRAPUR"/>
    <s v="MPG"/>
    <s v="Direct"/>
    <n v="192.80000000000004"/>
    <n v="9425.5600000000013"/>
    <n v="173.70000000000002"/>
    <n v="8425.7000000000007"/>
    <n v="22.7"/>
    <n v="1320.25"/>
    <n v="196.4"/>
    <n v="9745.9500000000007"/>
    <n v="9425.5600000000013"/>
    <n v="0"/>
    <n v="0"/>
    <n v="320.38999999999942"/>
    <n v="0"/>
    <n v="0"/>
    <n v="0"/>
    <n v="8106"/>
    <n v="1320"/>
    <n v="0"/>
    <n v="0"/>
    <n v="0"/>
  </r>
  <r>
    <x v="901"/>
    <s v="GOMUKH JAI MATA DI MILK CENTER"/>
    <s v="vlc"/>
    <s v="Indirect"/>
    <n v="1609.0999999999997"/>
    <n v="64081.01"/>
    <n v="0"/>
    <n v="0"/>
    <n v="0"/>
    <n v="0"/>
    <n v="0"/>
    <n v="0"/>
    <n v="64081.01"/>
    <n v="0"/>
    <n v="0"/>
    <n v="0"/>
    <n v="0"/>
    <n v="0"/>
    <n v="0"/>
    <n v="0"/>
    <n v="0"/>
    <n v="64081.01"/>
    <n v="0"/>
    <n v="0"/>
  </r>
  <r>
    <x v="902"/>
    <s v="GOMUKH NEW GANGAJAL"/>
    <s v="vlc"/>
    <s v="Indirect"/>
    <n v="76.8"/>
    <n v="2457.71"/>
    <n v="0"/>
    <n v="0"/>
    <n v="0"/>
    <n v="0"/>
    <n v="0"/>
    <n v="0"/>
    <n v="2457.71"/>
    <n v="0"/>
    <n v="0"/>
    <n v="0"/>
    <n v="0"/>
    <n v="0"/>
    <n v="0"/>
    <n v="0"/>
    <n v="0"/>
    <n v="2457.71"/>
    <n v="0"/>
    <n v="0"/>
  </r>
  <r>
    <x v="904"/>
    <s v="GOMUKH BAHJRANGI"/>
    <s v="vlc"/>
    <s v="Indirect"/>
    <n v="878.70000000000016"/>
    <n v="36370.460000000006"/>
    <n v="0"/>
    <n v="0"/>
    <n v="0"/>
    <n v="0"/>
    <n v="0"/>
    <n v="0"/>
    <n v="36370.460000000006"/>
    <n v="0"/>
    <n v="0"/>
    <n v="0"/>
    <n v="0"/>
    <n v="0"/>
    <n v="0"/>
    <n v="0"/>
    <n v="0"/>
    <n v="36370.460000000006"/>
    <n v="0"/>
    <n v="0"/>
  </r>
  <r>
    <x v="993"/>
    <s v="GOMUKH CHAKABDUL"/>
    <s v="vlc"/>
    <s v="Indirect"/>
    <n v="239.30000000000004"/>
    <n v="8778.36"/>
    <n v="0"/>
    <n v="0"/>
    <n v="0"/>
    <n v="0"/>
    <n v="0"/>
    <n v="0"/>
    <n v="8778.36"/>
    <n v="0"/>
    <n v="0"/>
    <n v="0"/>
    <n v="0"/>
    <n v="0"/>
    <n v="0"/>
    <n v="0"/>
    <n v="0"/>
    <n v="8778.36"/>
    <n v="0"/>
    <n v="0"/>
  </r>
  <r>
    <x v="994"/>
    <s v="GOMUKH BAJITPUR"/>
    <s v="vlc"/>
    <s v="Indirect"/>
    <n v="351.3"/>
    <n v="13509.560000000001"/>
    <n v="0"/>
    <n v="0"/>
    <n v="0"/>
    <n v="0"/>
    <n v="0"/>
    <n v="0"/>
    <n v="13509.560000000001"/>
    <n v="0"/>
    <n v="0"/>
    <n v="0"/>
    <n v="0"/>
    <n v="0"/>
    <n v="0"/>
    <n v="0"/>
    <n v="0"/>
    <n v="13509.560000000001"/>
    <n v="0"/>
    <n v="0"/>
  </r>
  <r>
    <x v="995"/>
    <s v="GOMUKH SHAHPUR TOI"/>
    <s v="vlc"/>
    <s v="Indirect"/>
    <n v="307.7"/>
    <n v="12180.52"/>
    <n v="0"/>
    <n v="0"/>
    <n v="0"/>
    <n v="0"/>
    <n v="0"/>
    <n v="0"/>
    <n v="12180.52"/>
    <n v="0"/>
    <n v="0"/>
    <n v="0"/>
    <n v="0"/>
    <n v="0"/>
    <n v="0"/>
    <n v="0"/>
    <n v="0"/>
    <n v="12180.52"/>
    <n v="0"/>
    <n v="0"/>
  </r>
  <r>
    <x v="996"/>
    <s v="GOMUKH SUPAYAN"/>
    <s v="vlc"/>
    <s v="Indirect"/>
    <n v="489.90000000000003"/>
    <n v="21682.22"/>
    <n v="0"/>
    <n v="0"/>
    <n v="0"/>
    <n v="0"/>
    <n v="0"/>
    <n v="0"/>
    <n v="21682.22"/>
    <n v="0"/>
    <n v="0"/>
    <n v="0"/>
    <n v="0"/>
    <n v="0"/>
    <n v="0"/>
    <n v="0"/>
    <n v="0"/>
    <n v="21682.22"/>
    <n v="0"/>
    <n v="0"/>
  </r>
  <r>
    <x v="905"/>
    <s v="Karua"/>
    <s v="MPG"/>
    <s v="Direct"/>
    <n v="199.5"/>
    <n v="8680.2000000000007"/>
    <n v="187.2"/>
    <n v="8227.44"/>
    <n v="12.3"/>
    <n v="440.42"/>
    <n v="199.5"/>
    <n v="8667.86"/>
    <n v="8667.86"/>
    <n v="0"/>
    <n v="0"/>
    <n v="0"/>
    <n v="0"/>
    <n v="0"/>
    <n v="0"/>
    <n v="8227"/>
    <n v="440"/>
    <n v="0"/>
    <n v="13"/>
    <n v="0"/>
  </r>
  <r>
    <x v="906"/>
    <s v="Erout"/>
    <s v="MPG"/>
    <s v="Direct"/>
    <n v="35.4"/>
    <n v="2149.64"/>
    <n v="35.999999999999986"/>
    <n v="2160.2599999999998"/>
    <n v="0.3"/>
    <n v="8.06"/>
    <n v="36.299999999999983"/>
    <n v="2168.3199999999997"/>
    <n v="2149.64"/>
    <n v="0"/>
    <n v="8.06"/>
    <n v="18.679999999999836"/>
    <n v="0"/>
    <n v="0"/>
    <n v="0"/>
    <n v="2142"/>
    <n v="0"/>
    <n v="0"/>
    <n v="0"/>
    <n v="0"/>
  </r>
  <r>
    <x v="907"/>
    <s v="Murli"/>
    <s v="MPG"/>
    <s v="Direct"/>
    <n v="257.7"/>
    <n v="10146.659999999998"/>
    <n v="258.8"/>
    <n v="10162.979999999998"/>
    <n v="0.3"/>
    <n v="13.34"/>
    <n v="259.10000000000002"/>
    <n v="10176.319999999998"/>
    <n v="10146.659999999998"/>
    <n v="0"/>
    <n v="13.34"/>
    <n v="29.659999999999854"/>
    <n v="0"/>
    <n v="0"/>
    <n v="0"/>
    <n v="10133"/>
    <n v="0"/>
    <n v="0"/>
    <n v="0"/>
    <n v="0"/>
  </r>
  <r>
    <x v="908"/>
    <s v="Raj Nagar"/>
    <s v="MPG"/>
    <s v="Direct"/>
    <n v="27.6"/>
    <n v="1001.6"/>
    <n v="26.5"/>
    <n v="1009.39"/>
    <n v="0"/>
    <n v="0"/>
    <n v="26.5"/>
    <n v="1009.39"/>
    <n v="1001.6"/>
    <n v="0"/>
    <n v="0"/>
    <n v="7.7899999999999636"/>
    <n v="0"/>
    <n v="0"/>
    <n v="0"/>
    <n v="1002"/>
    <n v="0"/>
    <n v="0"/>
    <n v="0"/>
    <n v="0"/>
  </r>
  <r>
    <x v="909"/>
    <s v="Nauapokhar"/>
    <s v="MPG"/>
    <s v="Direct"/>
    <n v="1139.3000000000004"/>
    <n v="47754.49"/>
    <n v="804.55"/>
    <n v="47799.75"/>
    <n v="0.7"/>
    <n v="30.389999999999997"/>
    <n v="805.25"/>
    <n v="47830.14"/>
    <n v="47754.49"/>
    <n v="0"/>
    <n v="30.389999999999997"/>
    <n v="75.650000000001455"/>
    <n v="0"/>
    <n v="0"/>
    <n v="0"/>
    <n v="47724"/>
    <n v="0"/>
    <n v="0"/>
    <n v="0"/>
    <n v="0"/>
  </r>
  <r>
    <x v="910"/>
    <s v="Erout 2"/>
    <s v="vlc"/>
    <s v="Indirect"/>
    <n v="873.3"/>
    <n v="36763.83"/>
    <n v="0"/>
    <n v="0"/>
    <n v="0"/>
    <n v="0"/>
    <n v="0"/>
    <n v="0"/>
    <n v="36763.83"/>
    <n v="0"/>
    <n v="0"/>
    <n v="0"/>
    <n v="0"/>
    <n v="0"/>
    <n v="0"/>
    <n v="0"/>
    <n v="0"/>
    <n v="36763.83"/>
    <n v="0"/>
    <n v="0"/>
  </r>
  <r>
    <x v="911"/>
    <s v="Parsuram"/>
    <s v="vlc"/>
    <s v="Indirect"/>
    <n v="136.30000000000001"/>
    <n v="4075.46"/>
    <n v="0"/>
    <n v="0"/>
    <n v="0"/>
    <n v="0"/>
    <n v="0"/>
    <n v="0"/>
    <n v="4075.46"/>
    <n v="0"/>
    <n v="0"/>
    <n v="0"/>
    <n v="0"/>
    <n v="0"/>
    <n v="0"/>
    <n v="0"/>
    <n v="0"/>
    <n v="4075.46"/>
    <n v="0"/>
    <n v="0"/>
  </r>
  <r>
    <x v="912"/>
    <s v="Gudarghat"/>
    <s v="MPG"/>
    <s v="Indirect"/>
    <n v="80.8"/>
    <n v="3073.8300000000004"/>
    <n v="0"/>
    <n v="0"/>
    <n v="0"/>
    <n v="0"/>
    <n v="0"/>
    <n v="0"/>
    <n v="3073.8300000000004"/>
    <n v="0"/>
    <n v="0"/>
    <n v="0"/>
    <n v="0"/>
    <n v="0"/>
    <n v="0"/>
    <n v="0"/>
    <n v="0"/>
    <n v="3073.8300000000004"/>
    <n v="0"/>
    <n v="0"/>
  </r>
  <r>
    <x v="913"/>
    <s v="Sedukha"/>
    <s v="MPG"/>
    <s v="Direct"/>
    <n v="360"/>
    <n v="13728.370000000003"/>
    <n v="351.4"/>
    <n v="13688.210000000001"/>
    <n v="0"/>
    <n v="0"/>
    <n v="351.4"/>
    <n v="13688.210000000001"/>
    <n v="13688.210000000001"/>
    <n v="0"/>
    <n v="0"/>
    <n v="0"/>
    <n v="0"/>
    <n v="0"/>
    <n v="0"/>
    <n v="13689"/>
    <n v="0"/>
    <n v="0"/>
    <n v="39"/>
    <n v="0"/>
  </r>
  <r>
    <x v="914"/>
    <s v="Madhuban 2"/>
    <s v="vlc"/>
    <s v="Indirect"/>
    <n v="528.70000000000005"/>
    <n v="19825.839999999997"/>
    <n v="0"/>
    <n v="0"/>
    <n v="0"/>
    <n v="0"/>
    <n v="0"/>
    <n v="0"/>
    <n v="19825.839999999997"/>
    <n v="0"/>
    <n v="0"/>
    <n v="0"/>
    <n v="0"/>
    <n v="0"/>
    <n v="0"/>
    <n v="0"/>
    <n v="0"/>
    <n v="19825.839999999997"/>
    <n v="0"/>
    <n v="0"/>
  </r>
  <r>
    <x v="915"/>
    <s v="Yadav Jee"/>
    <s v="vlc"/>
    <s v="Indirect"/>
    <n v="160.5"/>
    <n v="5721.57"/>
    <n v="0"/>
    <n v="0"/>
    <n v="0"/>
    <n v="0"/>
    <n v="0"/>
    <n v="0"/>
    <n v="5721.57"/>
    <n v="0"/>
    <n v="0"/>
    <n v="0"/>
    <n v="0"/>
    <n v="0"/>
    <n v="0"/>
    <n v="0"/>
    <n v="0"/>
    <n v="5721.57"/>
    <n v="0"/>
    <n v="0"/>
  </r>
  <r>
    <x v="916"/>
    <s v="Durgaashtan 2"/>
    <s v="vlc"/>
    <s v="Indirect"/>
    <n v="1264.5999999999999"/>
    <n v="46918.62"/>
    <n v="0"/>
    <n v="0"/>
    <n v="0"/>
    <n v="0"/>
    <n v="0"/>
    <n v="0"/>
    <n v="46918.62"/>
    <n v="0"/>
    <n v="0"/>
    <n v="0"/>
    <n v="0"/>
    <n v="0"/>
    <n v="0"/>
    <n v="0"/>
    <n v="0"/>
    <n v="46918.62"/>
    <n v="0"/>
    <n v="0"/>
  </r>
  <r>
    <x v="917"/>
    <s v="Durgaashtan "/>
    <s v="vlc"/>
    <s v="Indirect"/>
    <n v="1138.9000000000001"/>
    <n v="41512.339999999997"/>
    <n v="0"/>
    <n v="0"/>
    <n v="0"/>
    <n v="0"/>
    <n v="0"/>
    <n v="0"/>
    <n v="41512.339999999997"/>
    <n v="0"/>
    <n v="0"/>
    <n v="0"/>
    <n v="0"/>
    <n v="0"/>
    <n v="0"/>
    <n v="0"/>
    <n v="0"/>
    <n v="41512.339999999997"/>
    <n v="0"/>
    <n v="0"/>
  </r>
  <r>
    <x v="918"/>
    <s v="Motipur"/>
    <s v="vlc"/>
    <s v="Indirect"/>
    <n v="367.09999999999997"/>
    <n v="13729.989999999998"/>
    <n v="0"/>
    <n v="0"/>
    <n v="0"/>
    <n v="0"/>
    <n v="0"/>
    <n v="0"/>
    <n v="13729.989999999998"/>
    <n v="0"/>
    <n v="0"/>
    <n v="0"/>
    <n v="0"/>
    <n v="0"/>
    <n v="0"/>
    <n v="0"/>
    <n v="0"/>
    <n v="13729.989999999998"/>
    <n v="0"/>
    <n v="0"/>
  </r>
  <r>
    <x v="997"/>
    <s v="Gudarghat Nitish"/>
    <s v="vlc"/>
    <s v="Indirect"/>
    <n v="143.69999999999999"/>
    <n v="5207.88"/>
    <n v="0"/>
    <n v="0"/>
    <n v="0"/>
    <n v="0"/>
    <n v="0"/>
    <n v="0"/>
    <n v="5207.88"/>
    <n v="0"/>
    <n v="0"/>
    <n v="0"/>
    <n v="0"/>
    <n v="0"/>
    <n v="0"/>
    <n v="0"/>
    <n v="0"/>
    <n v="5207.88"/>
    <n v="0"/>
    <n v="0"/>
  </r>
  <r>
    <x v="998"/>
    <s v="Bhatandi"/>
    <s v="vlc"/>
    <s v="Direct"/>
    <n v="12.1"/>
    <n v="593.36"/>
    <n v="12.1"/>
    <n v="593.75"/>
    <n v="0"/>
    <n v="0"/>
    <n v="12.1"/>
    <n v="593.75"/>
    <n v="593.36"/>
    <n v="0"/>
    <n v="0"/>
    <n v="0.38999999999998636"/>
    <n v="0"/>
    <n v="0"/>
    <n v="0"/>
    <n v="593"/>
    <n v="0"/>
    <n v="0"/>
    <n v="0"/>
    <n v="0"/>
  </r>
  <r>
    <x v="919"/>
    <s v="Haripur"/>
    <s v="vlc"/>
    <s v="Direct"/>
    <n v="286"/>
    <n v="12097.029999999999"/>
    <n v="246.60000000000002"/>
    <n v="12093.849999999999"/>
    <n v="0"/>
    <n v="0"/>
    <n v="246.60000000000002"/>
    <n v="12093.849999999999"/>
    <n v="12093.849999999999"/>
    <n v="0"/>
    <n v="0"/>
    <n v="0"/>
    <n v="0"/>
    <n v="0"/>
    <n v="0"/>
    <n v="12094"/>
    <n v="0"/>
    <n v="0"/>
    <n v="3"/>
    <n v="0"/>
  </r>
  <r>
    <x v="920"/>
    <s v="Jakhar"/>
    <s v="vlc"/>
    <s v="Indirect"/>
    <n v="170.2"/>
    <n v="5535.49"/>
    <n v="0"/>
    <n v="0"/>
    <n v="0"/>
    <n v="0"/>
    <n v="0"/>
    <n v="0"/>
    <n v="5535.49"/>
    <n v="0"/>
    <n v="0"/>
    <n v="0"/>
    <n v="0"/>
    <n v="0"/>
    <n v="0"/>
    <n v="0"/>
    <n v="0"/>
    <n v="5535.49"/>
    <n v="0"/>
    <n v="0"/>
  </r>
  <r>
    <x v="921"/>
    <s v="Dhattha"/>
    <s v="vlc"/>
    <s v="Indirect"/>
    <n v="10"/>
    <n v="319.2"/>
    <n v="0"/>
    <n v="0"/>
    <n v="0"/>
    <n v="0"/>
    <n v="0"/>
    <n v="0"/>
    <n v="319.2"/>
    <n v="0"/>
    <n v="0"/>
    <n v="0"/>
    <n v="0"/>
    <n v="0"/>
    <n v="0"/>
    <n v="0"/>
    <n v="0"/>
    <n v="319.2"/>
    <n v="0"/>
    <n v="0"/>
  </r>
  <r>
    <x v="922"/>
    <s v="Jandaha"/>
    <s v="vlc"/>
    <s v="Indirect"/>
    <n v="95.799999999999983"/>
    <n v="3518.23"/>
    <n v="0"/>
    <n v="0"/>
    <n v="0"/>
    <n v="0"/>
    <n v="0"/>
    <n v="0"/>
    <n v="3518.23"/>
    <n v="0"/>
    <n v="0"/>
    <n v="0"/>
    <n v="0"/>
    <n v="0"/>
    <n v="0"/>
    <n v="0"/>
    <n v="0"/>
    <n v="3518.23"/>
    <n v="0"/>
    <n v="0"/>
  </r>
  <r>
    <x v="923"/>
    <s v="Bhoraha"/>
    <s v="vlc"/>
    <s v="Indirect"/>
    <n v="192.49999999999997"/>
    <n v="8342.73"/>
    <n v="0"/>
    <n v="0"/>
    <n v="0"/>
    <n v="0"/>
    <n v="0"/>
    <n v="0"/>
    <n v="8342.73"/>
    <n v="0"/>
    <n v="0"/>
    <n v="0"/>
    <n v="0"/>
    <n v="0"/>
    <n v="0"/>
    <n v="0"/>
    <n v="0"/>
    <n v="8342.73"/>
    <n v="0"/>
    <n v="0"/>
  </r>
  <r>
    <x v="999"/>
    <s v="Dharha"/>
    <s v="vlc"/>
    <s v="Indirect"/>
    <n v="21.4"/>
    <n v="850.86"/>
    <n v="0"/>
    <n v="0"/>
    <n v="0"/>
    <n v="0"/>
    <n v="0"/>
    <n v="0"/>
    <n v="850.86"/>
    <n v="0"/>
    <n v="0"/>
    <n v="0"/>
    <n v="0"/>
    <n v="0"/>
    <n v="0"/>
    <n v="0"/>
    <n v="0"/>
    <n v="850.86"/>
    <n v="0"/>
    <n v="0"/>
  </r>
  <r>
    <x v="924"/>
    <s v="Shivnagar"/>
    <s v="vlc"/>
    <s v="Indirect"/>
    <n v="177.39999999999998"/>
    <n v="5369.39"/>
    <n v="0"/>
    <n v="0"/>
    <n v="0"/>
    <n v="0"/>
    <n v="0"/>
    <n v="0"/>
    <n v="5369.39"/>
    <n v="0"/>
    <n v="0"/>
    <n v="0"/>
    <n v="0"/>
    <n v="0"/>
    <n v="0"/>
    <n v="0"/>
    <n v="0"/>
    <n v="5369.39"/>
    <n v="0"/>
    <n v="0"/>
  </r>
  <r>
    <x v="925"/>
    <s v="Baritha"/>
    <s v="vlc"/>
    <s v="Indirect"/>
    <n v="252.29999999999998"/>
    <n v="8401.9699999999993"/>
    <n v="0"/>
    <n v="0"/>
    <n v="0"/>
    <n v="0"/>
    <n v="0"/>
    <n v="0"/>
    <n v="8401.9699999999993"/>
    <n v="0"/>
    <n v="0"/>
    <n v="0"/>
    <n v="0"/>
    <n v="0"/>
    <n v="0"/>
    <n v="0"/>
    <n v="0"/>
    <n v="8401.9699999999993"/>
    <n v="0"/>
    <n v="0"/>
  </r>
  <r>
    <x v="926"/>
    <s v="Tolapur Erout"/>
    <s v="vlc"/>
    <s v="Indirect"/>
    <n v="513.79999999999995"/>
    <n v="17855.53"/>
    <n v="0"/>
    <n v="0"/>
    <n v="0"/>
    <n v="0"/>
    <n v="0"/>
    <n v="0"/>
    <n v="17855.53"/>
    <n v="0"/>
    <n v="0"/>
    <n v="0"/>
    <n v="0"/>
    <n v="0"/>
    <n v="0"/>
    <n v="0"/>
    <n v="0"/>
    <n v="17855.53"/>
    <n v="0"/>
    <n v="0"/>
  </r>
  <r>
    <x v="1000"/>
    <s v="Fatepur 2"/>
    <s v="vlc"/>
    <s v="Indirect"/>
    <n v="282.3"/>
    <n v="9734.83"/>
    <n v="0"/>
    <n v="0"/>
    <n v="0"/>
    <n v="0"/>
    <n v="0"/>
    <n v="0"/>
    <n v="9734.83"/>
    <n v="0"/>
    <n v="0"/>
    <n v="0"/>
    <n v="0"/>
    <n v="0"/>
    <n v="0"/>
    <n v="0"/>
    <n v="0"/>
    <n v="9734.83"/>
    <n v="0"/>
    <n v="0"/>
  </r>
  <r>
    <x v="1001"/>
    <s v="Shivram"/>
    <s v="vlc"/>
    <s v="Indirect"/>
    <n v="311.5"/>
    <n v="10976.21"/>
    <n v="0"/>
    <n v="0"/>
    <n v="0"/>
    <n v="0"/>
    <n v="0"/>
    <n v="0"/>
    <n v="10976.21"/>
    <n v="0"/>
    <n v="0"/>
    <n v="0"/>
    <n v="0"/>
    <n v="0"/>
    <n v="0"/>
    <n v="0"/>
    <n v="0"/>
    <n v="10976.21"/>
    <n v="0"/>
    <n v="0"/>
  </r>
  <r>
    <x v="1002"/>
    <s v="Sonupur"/>
    <s v="vlc"/>
    <s v="Indirect"/>
    <n v="159.69999999999999"/>
    <n v="4816.8100000000004"/>
    <n v="0"/>
    <n v="0"/>
    <n v="0"/>
    <n v="0"/>
    <n v="0"/>
    <n v="0"/>
    <n v="4816.8100000000004"/>
    <n v="0"/>
    <n v="0"/>
    <n v="0"/>
    <n v="0"/>
    <n v="0"/>
    <n v="0"/>
    <n v="0"/>
    <n v="0"/>
    <n v="4816.8100000000004"/>
    <n v="0"/>
    <n v="0"/>
  </r>
  <r>
    <x v="1003"/>
    <s v="Lakashmipur"/>
    <s v="vlc"/>
    <s v="Indirect"/>
    <n v="174.2"/>
    <n v="6039.84"/>
    <n v="0"/>
    <n v="0"/>
    <n v="0"/>
    <n v="0"/>
    <n v="0"/>
    <n v="0"/>
    <n v="6039.84"/>
    <n v="0"/>
    <n v="0"/>
    <n v="0"/>
    <n v="0"/>
    <n v="0"/>
    <n v="0"/>
    <n v="0"/>
    <n v="0"/>
    <n v="6039.84"/>
    <n v="0"/>
    <n v="0"/>
  </r>
  <r>
    <x v="1004"/>
    <s v="Jahangirpur"/>
    <s v="vlc"/>
    <s v="Indirect"/>
    <n v="147.80000000000001"/>
    <n v="5037.8500000000004"/>
    <n v="0"/>
    <n v="0"/>
    <n v="0"/>
    <n v="0"/>
    <n v="0"/>
    <n v="0"/>
    <n v="5037.8500000000004"/>
    <n v="0"/>
    <n v="0"/>
    <n v="0"/>
    <n v="0"/>
    <n v="0"/>
    <n v="0"/>
    <n v="0"/>
    <n v="0"/>
    <n v="5037.8500000000004"/>
    <n v="0"/>
    <n v="0"/>
  </r>
  <r>
    <x v="1005"/>
    <s v="Tolapur Durgasthan"/>
    <s v="vlc"/>
    <s v="Indirect"/>
    <n v="57.4"/>
    <n v="1923.17"/>
    <n v="0"/>
    <n v="0"/>
    <n v="0"/>
    <n v="0"/>
    <n v="0"/>
    <n v="0"/>
    <n v="1923.17"/>
    <n v="0"/>
    <n v="0"/>
    <n v="0"/>
    <n v="0"/>
    <n v="0"/>
    <n v="0"/>
    <n v="0"/>
    <n v="0"/>
    <n v="1923.17"/>
    <n v="0"/>
    <n v="0"/>
  </r>
  <r>
    <x v="928"/>
    <s v="DUMRA "/>
    <s v="MPG"/>
    <s v="Direct"/>
    <n v="1181.9099999999999"/>
    <n v="49132.75"/>
    <n v="1186.1000000000001"/>
    <n v="48047.95"/>
    <n v="0"/>
    <n v="0"/>
    <n v="1186.1000000000001"/>
    <n v="48047.95"/>
    <n v="48047.95"/>
    <n v="0"/>
    <n v="0"/>
    <n v="0"/>
    <n v="0"/>
    <n v="0"/>
    <n v="0"/>
    <n v="48048"/>
    <n v="0"/>
    <n v="0"/>
    <n v="1085"/>
    <n v="0"/>
  </r>
  <r>
    <x v="929"/>
    <s v="BALHA"/>
    <s v="MPG"/>
    <s v="Direct"/>
    <n v="1666.5400000000002"/>
    <n v="74398.99000000002"/>
    <n v="1683.3"/>
    <n v="74496.069999999992"/>
    <n v="16.999999999999996"/>
    <n v="722.95"/>
    <n v="1700.3"/>
    <n v="75219.01999999999"/>
    <n v="74398.99000000002"/>
    <n v="0"/>
    <n v="722.95"/>
    <n v="820.02999999996973"/>
    <n v="0"/>
    <n v="0"/>
    <n v="0"/>
    <n v="73676"/>
    <n v="0"/>
    <n v="0"/>
    <n v="0"/>
    <n v="0"/>
  </r>
  <r>
    <x v="930"/>
    <s v="BARA"/>
    <s v="MPG"/>
    <s v="Direct"/>
    <n v="128.17999999999998"/>
    <n v="5412.5300000000007"/>
    <n v="126.20000000000002"/>
    <n v="5328.83"/>
    <n v="1.4000000000000001"/>
    <n v="59.220000000000013"/>
    <n v="127.60000000000002"/>
    <n v="5388.05"/>
    <n v="5388.05"/>
    <n v="0"/>
    <n v="59.220000000000013"/>
    <n v="0"/>
    <n v="0"/>
    <n v="0"/>
    <n v="0"/>
    <n v="5329"/>
    <n v="0"/>
    <n v="0"/>
    <n v="24"/>
    <n v="0"/>
  </r>
  <r>
    <x v="931"/>
    <s v="KABILASHI"/>
    <s v="MPG"/>
    <s v="Direct"/>
    <n v="226.09000000000003"/>
    <n v="11947.189999999999"/>
    <n v="243.9"/>
    <n v="12908.810000000001"/>
    <n v="4.6999999999999993"/>
    <n v="235.79999999999998"/>
    <n v="248.6"/>
    <n v="13144.61"/>
    <n v="11947.189999999999"/>
    <n v="0"/>
    <n v="235.79999999999998"/>
    <n v="1197.4200000000019"/>
    <n v="0"/>
    <n v="0"/>
    <n v="0"/>
    <n v="11711"/>
    <n v="0"/>
    <n v="0"/>
    <n v="0"/>
    <n v="0"/>
  </r>
  <r>
    <x v="932"/>
    <s v="SULTANPUR"/>
    <s v="vlc"/>
    <s v="Indirect"/>
    <n v="146.53"/>
    <n v="6711.92"/>
    <n v="0"/>
    <n v="0"/>
    <n v="0"/>
    <n v="0"/>
    <n v="0"/>
    <n v="0"/>
    <n v="6711.92"/>
    <n v="0"/>
    <n v="0"/>
    <n v="0"/>
    <n v="0"/>
    <n v="0"/>
    <n v="0"/>
    <n v="0"/>
    <n v="0"/>
    <n v="6711.92"/>
    <n v="0"/>
    <n v="0"/>
  </r>
  <r>
    <x v="933"/>
    <s v="BHUSNA"/>
    <s v="vlc"/>
    <s v="Direct"/>
    <n v="122.94999999999999"/>
    <n v="5485.51"/>
    <n v="122.30000000000001"/>
    <n v="5456.35"/>
    <n v="0"/>
    <n v="0"/>
    <n v="122.30000000000001"/>
    <n v="5456.35"/>
    <n v="5456.35"/>
    <n v="0"/>
    <n v="0"/>
    <n v="0"/>
    <n v="0"/>
    <n v="0"/>
    <n v="0"/>
    <n v="5456"/>
    <n v="0"/>
    <n v="0"/>
    <n v="30"/>
    <n v="0"/>
  </r>
  <r>
    <x v="934"/>
    <s v="SUKUMARPUR"/>
    <s v="MPG"/>
    <s v="Direct"/>
    <n v="187.36999999999998"/>
    <n v="9533.26"/>
    <n v="213.9"/>
    <n v="10730.78"/>
    <n v="0"/>
    <n v="0"/>
    <n v="213.9"/>
    <n v="10730.78"/>
    <n v="9533.26"/>
    <n v="0"/>
    <n v="0"/>
    <n v="1197.5200000000004"/>
    <n v="0"/>
    <n v="0"/>
    <n v="0"/>
    <n v="9533"/>
    <n v="0"/>
    <n v="0"/>
    <n v="0"/>
    <n v="0"/>
  </r>
  <r>
    <x v="935"/>
    <s v="SISAUNA VLC"/>
    <s v="vlc"/>
    <s v="Indirect"/>
    <n v="178.24"/>
    <n v="7097.3899999999994"/>
    <n v="0"/>
    <n v="0"/>
    <n v="0"/>
    <n v="0"/>
    <n v="0"/>
    <n v="0"/>
    <n v="7097.3899999999994"/>
    <n v="0"/>
    <n v="0"/>
    <n v="0"/>
    <n v="0"/>
    <n v="0"/>
    <n v="0"/>
    <n v="0"/>
    <n v="0"/>
    <n v="7097.3899999999994"/>
    <n v="0"/>
    <n v="0"/>
  </r>
  <r>
    <x v="936"/>
    <s v="Aditya Bishwas "/>
    <s v="vlc"/>
    <s v="Indirect"/>
    <n v="230.85"/>
    <n v="10974.25"/>
    <n v="0"/>
    <n v="0"/>
    <n v="0"/>
    <n v="0"/>
    <n v="0"/>
    <n v="0"/>
    <n v="10974.25"/>
    <n v="0"/>
    <n v="0"/>
    <n v="0"/>
    <n v="0"/>
    <n v="0"/>
    <n v="0"/>
    <n v="0"/>
    <n v="0"/>
    <n v="10974.25"/>
    <n v="0"/>
    <n v="0"/>
  </r>
  <r>
    <x v="937"/>
    <s v="Gomukh Vijaiya"/>
    <s v="MPG"/>
    <s v="Direct"/>
    <n v="342.69999999999993"/>
    <n v="13978.22"/>
    <n v="344.50000000000006"/>
    <n v="14333.530000000002"/>
    <n v="0"/>
    <n v="0"/>
    <n v="344.50000000000006"/>
    <n v="14333.530000000002"/>
    <n v="13978.22"/>
    <n v="0"/>
    <n v="0"/>
    <n v="355.31000000000313"/>
    <n v="0"/>
    <n v="0"/>
    <n v="0"/>
    <n v="13978"/>
    <n v="0"/>
    <n v="0"/>
    <n v="0"/>
    <n v="0"/>
  </r>
  <r>
    <x v="938"/>
    <s v="Gomukh Gangauli"/>
    <s v="MPG"/>
    <s v="Direct"/>
    <n v="1148.0999999999999"/>
    <n v="48286.16"/>
    <n v="1159.5"/>
    <n v="48329.989999999983"/>
    <n v="0"/>
    <n v="0"/>
    <n v="1159.5"/>
    <n v="48329.989999999983"/>
    <n v="48286.16"/>
    <n v="0"/>
    <n v="0"/>
    <n v="43.829999999979918"/>
    <n v="0"/>
    <n v="0"/>
    <n v="0"/>
    <n v="48286"/>
    <n v="0"/>
    <n v="0"/>
    <n v="0"/>
    <n v="0"/>
  </r>
  <r>
    <x v="939"/>
    <s v="Gomukh KARRAKH"/>
    <s v="MPG"/>
    <s v="Direct"/>
    <n v="587.9"/>
    <n v="23108.5"/>
    <n v="360.7000000000001"/>
    <n v="14426.989999999998"/>
    <n v="241.10000000000002"/>
    <n v="9247.43"/>
    <n v="601.80000000000018"/>
    <n v="23674.42"/>
    <n v="23108.5"/>
    <n v="0"/>
    <n v="0"/>
    <n v="565.91999999999825"/>
    <n v="0"/>
    <n v="0"/>
    <n v="0"/>
    <n v="13860"/>
    <n v="9248"/>
    <n v="0"/>
    <n v="1"/>
    <n v="0"/>
  </r>
  <r>
    <x v="941"/>
    <s v="Gomukh Manda"/>
    <s v="MPG"/>
    <s v="Direct"/>
    <n v="609.70000000000005"/>
    <n v="24124.81"/>
    <n v="604.9"/>
    <n v="25093.21"/>
    <n v="0"/>
    <n v="0"/>
    <n v="604.9"/>
    <n v="25093.21"/>
    <n v="24124.81"/>
    <n v="0"/>
    <n v="0"/>
    <n v="968.39999999999782"/>
    <n v="0"/>
    <n v="0"/>
    <n v="0"/>
    <n v="24125"/>
    <n v="0"/>
    <n v="0"/>
    <n v="0"/>
    <n v="0"/>
  </r>
  <r>
    <x v="942"/>
    <s v="Gomukh NAVTOL"/>
    <s v="MPG"/>
    <s v="Direct"/>
    <n v="320.39999999999998"/>
    <n v="12186.970000000001"/>
    <n v="341.6"/>
    <n v="12188.9"/>
    <n v="0"/>
    <n v="0"/>
    <n v="341.6"/>
    <n v="12188.9"/>
    <n v="12186.970000000001"/>
    <n v="0"/>
    <n v="0"/>
    <n v="1.929999999998472"/>
    <n v="0"/>
    <n v="0"/>
    <n v="0"/>
    <n v="12187"/>
    <n v="0"/>
    <n v="0"/>
    <n v="0"/>
    <n v="0"/>
  </r>
  <r>
    <x v="1006"/>
    <s v="Gomukh KAIDRABAD"/>
    <s v="MPG"/>
    <s v="Direct"/>
    <n v="604.20000000000005"/>
    <n v="24496.67"/>
    <n v="603.19999999999982"/>
    <n v="23692.079999999998"/>
    <n v="0"/>
    <n v="0"/>
    <n v="603.19999999999982"/>
    <n v="23692.079999999998"/>
    <n v="23692.079999999998"/>
    <n v="0"/>
    <n v="0"/>
    <n v="0"/>
    <n v="0"/>
    <n v="0"/>
    <n v="0"/>
    <n v="23692"/>
    <n v="0"/>
    <n v="0"/>
    <n v="805"/>
    <n v="0"/>
  </r>
  <r>
    <x v="943"/>
    <s v="Gomukh BACHHWARA"/>
    <s v="MPG"/>
    <s v="Direct"/>
    <n v="99.8"/>
    <n v="3658.8100000000004"/>
    <n v="34"/>
    <n v="1099.22"/>
    <n v="0"/>
    <n v="0"/>
    <n v="34"/>
    <n v="1099.22"/>
    <n v="1099.22"/>
    <n v="0"/>
    <n v="0"/>
    <n v="0"/>
    <n v="0"/>
    <n v="0"/>
    <n v="0"/>
    <n v="1099"/>
    <n v="0"/>
    <n v="2560"/>
    <n v="0"/>
    <n v="0"/>
  </r>
  <r>
    <x v="944"/>
    <s v="Gomukh KASTOLI"/>
    <s v="MPG"/>
    <s v="Direct"/>
    <n v="235.10000000000002"/>
    <n v="8755.43"/>
    <n v="113.49999999999999"/>
    <n v="4267.25"/>
    <n v="126.6"/>
    <n v="4488.2900000000009"/>
    <n v="240.09999999999997"/>
    <n v="8755.5400000000009"/>
    <n v="8755.43"/>
    <n v="0"/>
    <n v="0"/>
    <n v="0.11000000000058208"/>
    <n v="0"/>
    <n v="0"/>
    <n v="0"/>
    <n v="4267"/>
    <n v="4488"/>
    <n v="0"/>
    <n v="0"/>
    <n v="0"/>
  </r>
  <r>
    <x v="945"/>
    <s v="GANPATI DAIRY"/>
    <s v="vlc"/>
    <s v="Indirect"/>
    <n v="944"/>
    <n v="37160.269999999997"/>
    <n v="0"/>
    <n v="0"/>
    <n v="0"/>
    <n v="0"/>
    <n v="0"/>
    <n v="0"/>
    <n v="37160.269999999997"/>
    <n v="0"/>
    <n v="0"/>
    <n v="0"/>
    <n v="0"/>
    <n v="0"/>
    <n v="0"/>
    <n v="0"/>
    <n v="0"/>
    <n v="37160.269999999997"/>
    <n v="0"/>
    <n v="0"/>
  </r>
  <r>
    <x v="946"/>
    <s v="GOMUKH CHATAUNA W-2"/>
    <s v="MPG"/>
    <s v="Direct"/>
    <n v="750.59999999999991"/>
    <n v="40211.21"/>
    <n v="736.5"/>
    <n v="39723.26"/>
    <n v="9.4"/>
    <n v="516.07000000000005"/>
    <n v="745.9"/>
    <n v="40239.33"/>
    <n v="40211.21"/>
    <n v="0"/>
    <n v="516.07000000000005"/>
    <n v="28.120000000002619"/>
    <n v="0"/>
    <n v="0"/>
    <n v="0"/>
    <n v="39695"/>
    <n v="0"/>
    <n v="0"/>
    <n v="0"/>
    <n v="0"/>
  </r>
  <r>
    <x v="947"/>
    <s v="GOMUKH TEERA JATMALPUR"/>
    <s v="MPG"/>
    <s v="Direct"/>
    <n v="339.29999999999995"/>
    <n v="15394.060000000001"/>
    <n v="328"/>
    <n v="15106.94"/>
    <n v="9.3000000000000007"/>
    <n v="416.12"/>
    <n v="337.3"/>
    <n v="15523.060000000001"/>
    <n v="15394.060000000001"/>
    <n v="0"/>
    <n v="416.12"/>
    <n v="129"/>
    <n v="0"/>
    <n v="0"/>
    <n v="0"/>
    <n v="14978"/>
    <n v="0"/>
    <n v="0"/>
    <n v="0"/>
    <n v="0"/>
  </r>
  <r>
    <x v="948"/>
    <s v="GOMUKH GOBARSITTHA"/>
    <s v="MPG"/>
    <s v="Direct"/>
    <n v="666.7"/>
    <n v="28741.4"/>
    <n v="644"/>
    <n v="27975.330000000005"/>
    <n v="14.599999999999998"/>
    <n v="629.75"/>
    <n v="658.6"/>
    <n v="28605.080000000005"/>
    <n v="28605.080000000005"/>
    <n v="0"/>
    <n v="629.75"/>
    <n v="0"/>
    <n v="0"/>
    <n v="0"/>
    <n v="0"/>
    <n v="27976"/>
    <n v="0"/>
    <n v="0"/>
    <n v="136"/>
    <n v="0"/>
  </r>
  <r>
    <x v="949"/>
    <s v="GOMUKH UGHRA"/>
    <s v="MPG"/>
    <s v="Direct"/>
    <n v="593.10000000000014"/>
    <n v="29681.730000000007"/>
    <n v="578.40000000000009"/>
    <n v="29594.52"/>
    <n v="3.5999999999999996"/>
    <n v="173.41"/>
    <n v="582.00000000000011"/>
    <n v="29767.93"/>
    <n v="29681.730000000007"/>
    <n v="0"/>
    <n v="173.41"/>
    <n v="86.199999999993452"/>
    <n v="0"/>
    <n v="0"/>
    <n v="0"/>
    <n v="29508"/>
    <n v="0"/>
    <n v="0"/>
    <n v="0"/>
    <n v="0"/>
  </r>
  <r>
    <x v="950"/>
    <s v="GOMUKH BALUAHA"/>
    <s v="MPG"/>
    <s v="Direct"/>
    <n v="283.3"/>
    <n v="12661.22"/>
    <n v="287.89999999999998"/>
    <n v="12006.42"/>
    <n v="11.8"/>
    <n v="495.16999999999996"/>
    <n v="299.7"/>
    <n v="12501.59"/>
    <n v="12501.59"/>
    <n v="0"/>
    <n v="495.16999999999996"/>
    <n v="0"/>
    <n v="0"/>
    <n v="0"/>
    <n v="0"/>
    <n v="12006"/>
    <n v="0"/>
    <n v="0"/>
    <n v="160"/>
    <n v="0"/>
  </r>
  <r>
    <x v="951"/>
    <s v="GOMUKH DHAB WEST"/>
    <s v="vlc"/>
    <s v="Indirect"/>
    <n v="153.69999999999999"/>
    <n v="6366.89"/>
    <n v="0"/>
    <n v="0"/>
    <n v="0"/>
    <n v="0"/>
    <n v="0"/>
    <n v="0"/>
    <n v="6366.89"/>
    <n v="0"/>
    <n v="0"/>
    <n v="0"/>
    <n v="0"/>
    <n v="0"/>
    <n v="0"/>
    <n v="0"/>
    <n v="0"/>
    <n v="6366.89"/>
    <n v="0"/>
    <n v="0"/>
  </r>
  <r>
    <x v="952"/>
    <s v="GOMUKH HAYAGHAT WEST"/>
    <s v="vlc"/>
    <s v="Indirect"/>
    <n v="2133.9"/>
    <n v="83843.42"/>
    <n v="0"/>
    <n v="0"/>
    <n v="0"/>
    <n v="0"/>
    <n v="0"/>
    <n v="0"/>
    <n v="83843.42"/>
    <n v="0"/>
    <n v="0"/>
    <n v="0"/>
    <n v="0"/>
    <n v="0"/>
    <n v="0"/>
    <n v="0"/>
    <n v="0"/>
    <n v="83843.42"/>
    <n v="0"/>
    <n v="0"/>
  </r>
  <r>
    <x v="953"/>
    <s v="GOMUKH GHOGHARAHA"/>
    <s v="vlc"/>
    <s v="Indirect"/>
    <n v="1114.8000000000002"/>
    <n v="46124.31"/>
    <n v="0"/>
    <n v="0"/>
    <n v="0"/>
    <n v="0"/>
    <n v="0"/>
    <n v="0"/>
    <n v="46124.31"/>
    <n v="0"/>
    <n v="0"/>
    <n v="0"/>
    <n v="0"/>
    <n v="0"/>
    <n v="0"/>
    <n v="0"/>
    <n v="0"/>
    <n v="46124.31"/>
    <n v="0"/>
    <n v="0"/>
  </r>
  <r>
    <x v="954"/>
    <s v="Gomukh Jatmalpur Dhab"/>
    <s v="vlc"/>
    <s v="Indirect"/>
    <n v="14.4"/>
    <n v="530.5"/>
    <n v="0"/>
    <n v="0"/>
    <n v="0"/>
    <n v="0"/>
    <n v="0"/>
    <n v="0"/>
    <n v="530.5"/>
    <n v="0"/>
    <n v="0"/>
    <n v="0"/>
    <n v="0"/>
    <n v="0"/>
    <n v="0"/>
    <n v="0"/>
    <n v="0"/>
    <n v="530.5"/>
    <n v="0"/>
    <n v="0"/>
  </r>
  <r>
    <x v="955"/>
    <s v="GOMUKH MORWARA"/>
    <s v="MPG"/>
    <s v="Direct"/>
    <n v="469.80000000000013"/>
    <n v="20018.07"/>
    <n v="468.09999999999997"/>
    <n v="19876.960000000003"/>
    <n v="0"/>
    <n v="0"/>
    <n v="468.09999999999997"/>
    <n v="19876.960000000003"/>
    <n v="19876.960000000003"/>
    <n v="0"/>
    <n v="0"/>
    <n v="0"/>
    <n v="0"/>
    <n v="0"/>
    <n v="0"/>
    <n v="19877"/>
    <n v="0"/>
    <n v="0"/>
    <n v="141"/>
    <n v="0"/>
  </r>
  <r>
    <x v="956"/>
    <s v="GOMUKH NIYAMCHAKHAIDAR"/>
    <s v="vlc"/>
    <s v="Indirect"/>
    <n v="1166.0999999999999"/>
    <n v="48588.55"/>
    <n v="0"/>
    <n v="0"/>
    <n v="0"/>
    <n v="0"/>
    <n v="0"/>
    <n v="0"/>
    <n v="48588.55"/>
    <n v="0"/>
    <n v="0"/>
    <n v="0"/>
    <n v="0"/>
    <n v="0"/>
    <n v="0"/>
    <n v="0"/>
    <n v="0"/>
    <n v="48588.55"/>
    <n v="0"/>
    <n v="0"/>
  </r>
  <r>
    <x v="957"/>
    <s v="GOMUKH JATMAPUR WARD 1"/>
    <s v="vlc"/>
    <s v="Indirect"/>
    <n v="767"/>
    <n v="30216.16"/>
    <n v="0"/>
    <n v="0"/>
    <n v="0"/>
    <n v="0"/>
    <n v="0"/>
    <n v="0"/>
    <n v="30216.16"/>
    <n v="0"/>
    <n v="0"/>
    <n v="0"/>
    <n v="0"/>
    <n v="0"/>
    <n v="0"/>
    <n v="0"/>
    <n v="0"/>
    <n v="30216.16"/>
    <n v="0"/>
    <n v="0"/>
  </r>
  <r>
    <x v="958"/>
    <s v="GOMUKH JATMALPUR"/>
    <s v="MPG"/>
    <s v="Direct"/>
    <n v="179.5"/>
    <n v="8112.2599999999993"/>
    <n v="178.29999999999998"/>
    <n v="7826.23"/>
    <n v="1"/>
    <n v="44.88000000000001"/>
    <n v="179.29999999999998"/>
    <n v="7871.11"/>
    <n v="7871.11"/>
    <n v="0"/>
    <n v="44.88000000000001"/>
    <n v="0"/>
    <n v="0"/>
    <n v="0"/>
    <n v="0"/>
    <n v="7826"/>
    <n v="0"/>
    <n v="0"/>
    <n v="241"/>
    <n v="0"/>
  </r>
  <r>
    <x v="960"/>
    <s v="Gomukh Barhetta"/>
    <s v="vlc"/>
    <s v="Indirect"/>
    <n v="324.20000000000005"/>
    <n v="12503.45"/>
    <n v="0"/>
    <n v="0"/>
    <n v="0"/>
    <n v="0"/>
    <n v="0"/>
    <n v="0"/>
    <n v="12503.45"/>
    <n v="0"/>
    <n v="0"/>
    <n v="0"/>
    <n v="0"/>
    <n v="0"/>
    <n v="0"/>
    <n v="0"/>
    <n v="0"/>
    <n v="12503.45"/>
    <n v="0"/>
    <n v="0"/>
  </r>
  <r>
    <x v="1007"/>
    <s v="GOMUKH  MANORATHPUR"/>
    <s v="vlc"/>
    <s v="Indirect"/>
    <n v="282.3"/>
    <n v="13150.68"/>
    <n v="0"/>
    <n v="0"/>
    <n v="0"/>
    <n v="0"/>
    <n v="0"/>
    <n v="0"/>
    <n v="13150.68"/>
    <n v="0"/>
    <n v="0"/>
    <n v="0"/>
    <n v="0"/>
    <n v="0"/>
    <n v="0"/>
    <n v="0"/>
    <n v="0"/>
    <n v="13150.68"/>
    <n v="0"/>
    <n v="0"/>
  </r>
  <r>
    <x v="961"/>
    <s v="GOMUKH BHADOGHAT"/>
    <s v="vlc"/>
    <s v="Indirect"/>
    <n v="8574.5000000000018"/>
    <n v="357362.23"/>
    <n v="0"/>
    <n v="0"/>
    <n v="0"/>
    <n v="0"/>
    <n v="0"/>
    <n v="0"/>
    <n v="357362.23"/>
    <n v="0"/>
    <n v="0"/>
    <n v="0"/>
    <n v="0"/>
    <n v="0"/>
    <n v="0"/>
    <n v="0"/>
    <n v="0"/>
    <n v="357362.23"/>
    <n v="0"/>
    <n v="0"/>
  </r>
  <r>
    <x v="962"/>
    <s v="GOMUKH BALUAHA"/>
    <s v="vlc"/>
    <s v="Indirect"/>
    <n v="174.60000000000002"/>
    <n v="6538.51"/>
    <n v="0"/>
    <n v="0"/>
    <n v="0"/>
    <n v="0"/>
    <n v="0"/>
    <n v="0"/>
    <n v="6538.51"/>
    <n v="0"/>
    <n v="0"/>
    <n v="0"/>
    <n v="0"/>
    <n v="0"/>
    <n v="0"/>
    <n v="0"/>
    <n v="0"/>
    <n v="6538.51"/>
    <n v="0"/>
    <n v="0"/>
  </r>
  <r>
    <x v="1008"/>
    <s v="GOMUKH  DAGHRAUL"/>
    <s v="vlc"/>
    <s v="Direct"/>
    <n v="52"/>
    <n v="2148.0100000000002"/>
    <n v="51.199999999999996"/>
    <n v="2168.08"/>
    <n v="0"/>
    <n v="0"/>
    <n v="51.199999999999996"/>
    <n v="2168.08"/>
    <n v="2148.0100000000002"/>
    <n v="0"/>
    <n v="0"/>
    <n v="20.069999999999709"/>
    <n v="0"/>
    <n v="0"/>
    <n v="0"/>
    <n v="2148"/>
    <n v="0"/>
    <n v="0"/>
    <n v="0"/>
    <n v="0"/>
  </r>
  <r>
    <x v="1009"/>
    <s v="GOMUKH RUPAULI"/>
    <s v="vlc"/>
    <s v="Direct"/>
    <n v="130.30000000000001"/>
    <n v="5942.5399999999991"/>
    <n v="129.1"/>
    <n v="5781.1399999999994"/>
    <n v="0"/>
    <n v="0"/>
    <n v="129.1"/>
    <n v="5781.1399999999994"/>
    <n v="5781.1399999999994"/>
    <n v="0"/>
    <n v="0"/>
    <n v="0"/>
    <n v="0"/>
    <n v="0"/>
    <n v="0"/>
    <n v="5782"/>
    <n v="0"/>
    <n v="0"/>
    <n v="161"/>
    <n v="0"/>
  </r>
  <r>
    <x v="963"/>
    <s v="GOMUKH CHHATAUNA W-1"/>
    <s v="vlc"/>
    <s v="Direct"/>
    <n v="729.50000000000011"/>
    <n v="38125.490000000005"/>
    <n v="726.0999999999998"/>
    <n v="38271.480000000003"/>
    <n v="0"/>
    <n v="0"/>
    <n v="726.0999999999998"/>
    <n v="38271.480000000003"/>
    <n v="38125.490000000005"/>
    <n v="0"/>
    <n v="0"/>
    <n v="145.98999999999796"/>
    <n v="0"/>
    <n v="0"/>
    <n v="0"/>
    <n v="38125"/>
    <n v="0"/>
    <n v="0"/>
    <n v="0"/>
    <n v="0"/>
  </r>
  <r>
    <x v="1010"/>
    <s v="GOMUKH VISHANPUR MORO"/>
    <s v="vlc"/>
    <s v="Direct"/>
    <n v="31.2"/>
    <n v="1338.78"/>
    <n v="34.70000000000001"/>
    <n v="1466.4999999999998"/>
    <n v="0"/>
    <n v="0"/>
    <n v="34.70000000000001"/>
    <n v="1466.4999999999998"/>
    <n v="1338.78"/>
    <n v="0"/>
    <n v="0"/>
    <n v="127.7199999999998"/>
    <n v="0"/>
    <n v="0"/>
    <n v="0"/>
    <n v="1339"/>
    <n v="0"/>
    <n v="0"/>
    <n v="0"/>
    <n v="0"/>
  </r>
  <r>
    <x v="964"/>
    <s v="GOMUKH MORWARA"/>
    <s v="vlc"/>
    <s v="Indirect"/>
    <n v="120.39999999999999"/>
    <n v="5213.6400000000003"/>
    <n v="0"/>
    <n v="0"/>
    <n v="0"/>
    <n v="0"/>
    <n v="0"/>
    <n v="0"/>
    <n v="5213.6400000000003"/>
    <n v="0"/>
    <n v="0"/>
    <n v="0"/>
    <n v="0"/>
    <n v="0"/>
    <n v="0"/>
    <n v="0"/>
    <n v="0"/>
    <n v="5213.6400000000003"/>
    <n v="0"/>
    <n v="0"/>
  </r>
  <r>
    <x v="0"/>
    <s v="Gomukh Kumbhi"/>
    <s v="MPG"/>
    <s v="Direct"/>
    <n v="539.80000000000007"/>
    <n v="20378.330000000002"/>
    <n v="533.44000000000017"/>
    <n v="20541.239999999998"/>
    <n v="2.16"/>
    <n v="81.669999999999987"/>
    <n v="535.60000000000014"/>
    <n v="20622.909999999996"/>
    <n v="20378.330000000002"/>
    <n v="0"/>
    <n v="81.669999999999987"/>
    <n v="244.57999999999447"/>
    <n v="0"/>
    <n v="0"/>
    <n v="0"/>
    <n v="20297"/>
    <n v="0"/>
    <n v="0"/>
    <n v="0"/>
    <s v="Release2"/>
  </r>
  <r>
    <x v="1"/>
    <s v="Gomukh Jagdar                                                                                       "/>
    <s v="MPG"/>
    <s v="Direct"/>
    <n v="870.69999999999993"/>
    <n v="34052.019999999997"/>
    <n v="858.77"/>
    <n v="33696.32"/>
    <n v="12.54"/>
    <n v="465.60999999999996"/>
    <n v="871.31"/>
    <n v="34161.93"/>
    <n v="34052.019999999997"/>
    <n v="0"/>
    <n v="465.60999999999996"/>
    <n v="109.91000000000349"/>
    <n v="0"/>
    <n v="0"/>
    <n v="0"/>
    <n v="33586"/>
    <n v="0"/>
    <n v="0"/>
    <n v="0"/>
    <s v="Release2"/>
  </r>
  <r>
    <x v="2"/>
    <s v="Gomukh Goriyari"/>
    <s v="MPG"/>
    <s v="Direct"/>
    <n v="898.31999999999994"/>
    <n v="36880.49"/>
    <n v="560"/>
    <n v="23010.199999999997"/>
    <n v="341.1"/>
    <n v="13950.7"/>
    <n v="901.1"/>
    <n v="36960.899999999994"/>
    <n v="36880.49"/>
    <n v="0"/>
    <n v="200.85"/>
    <n v="80.409999999996217"/>
    <n v="0"/>
    <n v="0"/>
    <n v="0"/>
    <n v="22930"/>
    <n v="13749"/>
    <n v="0"/>
    <n v="1"/>
    <n v="0"/>
  </r>
  <r>
    <x v="3"/>
    <s v="Gomukh Kanausi"/>
    <s v="MPG"/>
    <s v="Direct"/>
    <n v="266.92"/>
    <n v="10951.000000000002"/>
    <n v="214.6"/>
    <n v="8800.82"/>
    <n v="51.300000000000011"/>
    <n v="2124.69"/>
    <n v="265.89999999999998"/>
    <n v="10925.51"/>
    <n v="10925.51"/>
    <n v="0"/>
    <n v="203.65"/>
    <n v="0"/>
    <n v="0"/>
    <n v="0"/>
    <n v="0"/>
    <n v="8801"/>
    <n v="1920"/>
    <n v="0"/>
    <n v="26"/>
    <n v="0"/>
  </r>
  <r>
    <x v="4"/>
    <s v="Mohanpur - Chandan"/>
    <s v="vlc"/>
    <s v="Indirect"/>
    <n v="304.39999999999998"/>
    <n v="11934.76"/>
    <n v="0"/>
    <n v="0"/>
    <n v="0"/>
    <n v="0"/>
    <n v="0"/>
    <n v="0"/>
    <n v="11934.76"/>
    <n v="0"/>
    <n v="0"/>
    <n v="0"/>
    <n v="0"/>
    <n v="0"/>
    <n v="0"/>
    <n v="0"/>
    <n v="0"/>
    <n v="11934.76"/>
    <n v="0"/>
    <n v="0"/>
  </r>
  <r>
    <x v="965"/>
    <s v="Birpur-2 - Pankaj"/>
    <s v="vlc"/>
    <s v="Indirect"/>
    <n v="377.29999999999995"/>
    <n v="14733.16"/>
    <n v="0"/>
    <n v="0"/>
    <n v="0"/>
    <n v="0"/>
    <n v="0"/>
    <n v="0"/>
    <n v="14733.16"/>
    <n v="0"/>
    <n v="0"/>
    <n v="0"/>
    <n v="0"/>
    <n v="0"/>
    <n v="0"/>
    <n v="0"/>
    <n v="0"/>
    <n v="14733.16"/>
    <n v="0"/>
    <n v="0"/>
  </r>
  <r>
    <x v="5"/>
    <s v="Ekamba - Ashutosh"/>
    <s v="MPG"/>
    <s v="Indirect"/>
    <n v="1326.46"/>
    <n v="56669.54"/>
    <n v="0"/>
    <n v="0"/>
    <n v="0"/>
    <n v="0"/>
    <n v="0"/>
    <n v="0"/>
    <n v="56669.54"/>
    <n v="0"/>
    <n v="0"/>
    <n v="0"/>
    <n v="0"/>
    <n v="0"/>
    <n v="0"/>
    <n v="0"/>
    <n v="0"/>
    <n v="56669.54"/>
    <n v="0"/>
    <n v="0"/>
  </r>
  <r>
    <x v="6"/>
    <s v="GOMUKH BIRPUR PASCHIM                                                                               "/>
    <s v="MPG"/>
    <s v="Direct"/>
    <n v="96.5"/>
    <n v="4031.67"/>
    <n v="97.7"/>
    <n v="4114.78"/>
    <n v="0.5"/>
    <n v="17.399999999999999"/>
    <n v="98.2"/>
    <n v="4132.1799999999994"/>
    <n v="4031.67"/>
    <n v="0"/>
    <n v="0"/>
    <n v="100.50999999999931"/>
    <n v="0"/>
    <n v="500"/>
    <n v="0"/>
    <n v="3517"/>
    <n v="15"/>
    <n v="0"/>
    <n v="0"/>
    <n v="0"/>
  </r>
  <r>
    <x v="7"/>
    <s v="Manish Dairy                                                                                        "/>
    <s v="vlc"/>
    <s v="Indirect"/>
    <n v="10349.799999999999"/>
    <n v="391721.52000000008"/>
    <n v="0"/>
    <n v="0"/>
    <n v="0"/>
    <n v="0"/>
    <n v="0"/>
    <n v="0"/>
    <n v="391721.52000000008"/>
    <n v="0"/>
    <n v="0"/>
    <n v="0"/>
    <n v="0"/>
    <n v="0"/>
    <n v="0"/>
    <n v="0"/>
    <n v="0"/>
    <n v="391721.52000000008"/>
    <n v="0"/>
    <n v="0"/>
  </r>
  <r>
    <x v="8"/>
    <s v="Gomukh Bhith-02"/>
    <s v="MPG"/>
    <s v="Direct"/>
    <n v="950.4"/>
    <n v="42632.9"/>
    <n v="423.30000000000007"/>
    <n v="18101.669999999998"/>
    <n v="453.90000000000015"/>
    <n v="19515.239999999998"/>
    <n v="877.20000000000027"/>
    <n v="37616.909999999996"/>
    <n v="37616.909999999996"/>
    <n v="0"/>
    <n v="0"/>
    <n v="0"/>
    <n v="0"/>
    <n v="0"/>
    <n v="0"/>
    <n v="18100"/>
    <n v="19513"/>
    <n v="0"/>
    <n v="5020"/>
    <n v="0"/>
  </r>
  <r>
    <x v="966"/>
    <s v="Chandan Dairy"/>
    <s v="vlc"/>
    <s v="Indirect"/>
    <n v="214.5"/>
    <n v="9160.99"/>
    <n v="0"/>
    <n v="0"/>
    <n v="0"/>
    <n v="0"/>
    <n v="0"/>
    <n v="0"/>
    <n v="9160.99"/>
    <n v="0"/>
    <n v="0"/>
    <n v="0"/>
    <n v="0"/>
    <n v="0"/>
    <n v="0"/>
    <n v="0"/>
    <n v="0"/>
    <n v="9160.99"/>
    <n v="0"/>
    <n v="0"/>
  </r>
  <r>
    <x v="9"/>
    <s v="Gomukh Sharmatola Sahuri"/>
    <s v="MPG"/>
    <s v="Direct"/>
    <n v="1291.7000000000003"/>
    <n v="50584.000000000007"/>
    <n v="1182.6599999999999"/>
    <n v="46299.049999999996"/>
    <n v="110.13999999999999"/>
    <n v="4309.5499999999993"/>
    <n v="1292.7999999999997"/>
    <n v="50608.599999999991"/>
    <n v="50584.000000000007"/>
    <n v="0"/>
    <n v="0"/>
    <n v="24.599999999983993"/>
    <n v="0"/>
    <n v="0"/>
    <n v="0"/>
    <n v="46274"/>
    <n v="4310"/>
    <n v="0"/>
    <n v="0"/>
    <s v="Release2"/>
  </r>
  <r>
    <x v="10"/>
    <s v="Sangat- Sanjeev Kumar"/>
    <s v="vlc"/>
    <s v="Indirect"/>
    <n v="252.70000000000002"/>
    <n v="8797.52"/>
    <n v="0"/>
    <n v="0"/>
    <n v="0"/>
    <n v="0"/>
    <n v="0"/>
    <n v="0"/>
    <n v="8797.52"/>
    <n v="0"/>
    <n v="0"/>
    <n v="0"/>
    <n v="0"/>
    <n v="0"/>
    <n v="0"/>
    <n v="0"/>
    <n v="0"/>
    <n v="8797.52"/>
    <n v="0"/>
    <n v="0"/>
  </r>
  <r>
    <x v="11"/>
    <s v="Gomukh Garhi Bisanpur"/>
    <s v="MPG"/>
    <s v="Direct"/>
    <n v="144.84"/>
    <n v="6738.02"/>
    <n v="125.67000000000002"/>
    <n v="6825.0600000000013"/>
    <n v="1.6099999999999999"/>
    <n v="84.320000000000007"/>
    <n v="127.28000000000002"/>
    <n v="6909.380000000001"/>
    <n v="6738.02"/>
    <n v="0"/>
    <n v="84.320000000000007"/>
    <n v="171.36000000000058"/>
    <n v="0"/>
    <n v="500"/>
    <n v="0"/>
    <n v="6154"/>
    <n v="0"/>
    <n v="0"/>
    <n v="0"/>
    <s v="Release2"/>
  </r>
  <r>
    <x v="13"/>
    <s v="Gomukh Barkurwa"/>
    <s v="MPG"/>
    <s v="Direct"/>
    <n v="478.14000000000004"/>
    <n v="20368.75"/>
    <n v="280"/>
    <n v="11979.2"/>
    <n v="197.9"/>
    <n v="8457.380000000001"/>
    <n v="477.9"/>
    <n v="20436.580000000002"/>
    <n v="20368.75"/>
    <n v="0"/>
    <n v="0"/>
    <n v="67.830000000001746"/>
    <n v="0"/>
    <n v="0"/>
    <n v="0"/>
    <n v="11912"/>
    <n v="8457"/>
    <n v="0"/>
    <n v="0"/>
    <n v="0"/>
  </r>
  <r>
    <x v="14"/>
    <s v="Kamla- Amarjeet"/>
    <s v="vlc"/>
    <s v="Indirect"/>
    <n v="768.8"/>
    <n v="25940.47"/>
    <n v="0"/>
    <n v="0"/>
    <n v="0"/>
    <n v="0"/>
    <n v="0"/>
    <n v="0"/>
    <n v="25940.47"/>
    <n v="0"/>
    <n v="0"/>
    <n v="0"/>
    <n v="0"/>
    <n v="0"/>
    <n v="0"/>
    <n v="0"/>
    <n v="0"/>
    <n v="25940.47"/>
    <n v="0"/>
    <n v="0"/>
  </r>
  <r>
    <x v="15"/>
    <s v="Gomukh Goha-02"/>
    <s v="MPG"/>
    <s v="Direct"/>
    <n v="248.10000000000002"/>
    <n v="10205.619999999999"/>
    <n v="242.1"/>
    <n v="9954.33"/>
    <n v="5"/>
    <n v="194.6"/>
    <n v="247.1"/>
    <n v="10148.93"/>
    <n v="10148.93"/>
    <n v="0"/>
    <n v="194.6"/>
    <n v="0"/>
    <n v="0"/>
    <n v="0"/>
    <n v="0"/>
    <n v="9954"/>
    <n v="0"/>
    <n v="0"/>
    <n v="57"/>
    <n v="0"/>
  </r>
  <r>
    <x v="16"/>
    <s v="Gomukh Cheria Bariarpur"/>
    <s v="MPG"/>
    <s v="Direct"/>
    <n v="1086.6000000000001"/>
    <n v="42017.4"/>
    <n v="1209.4700000000003"/>
    <n v="48110.990000000013"/>
    <n v="1.79"/>
    <n v="70.400000000000006"/>
    <n v="1211.2600000000002"/>
    <n v="48181.390000000014"/>
    <n v="42017.4"/>
    <n v="0"/>
    <n v="70.400000000000006"/>
    <n v="6163.9900000000125"/>
    <n v="0"/>
    <n v="0"/>
    <n v="0"/>
    <n v="41947"/>
    <n v="0"/>
    <n v="0"/>
    <n v="0"/>
    <n v="0"/>
  </r>
  <r>
    <x v="17"/>
    <s v="Gomukh Bagraha-01"/>
    <s v="MPG"/>
    <s v="Direct"/>
    <n v="223.26"/>
    <n v="9659.0800000000017"/>
    <n v="229.70000000000002"/>
    <n v="9654.5500000000011"/>
    <n v="0"/>
    <n v="0"/>
    <n v="229.70000000000002"/>
    <n v="9654.5500000000011"/>
    <n v="9654.5500000000011"/>
    <n v="0"/>
    <n v="0"/>
    <n v="0"/>
    <n v="0"/>
    <n v="500"/>
    <n v="0"/>
    <n v="9155"/>
    <n v="0"/>
    <n v="0"/>
    <n v="4"/>
    <s v="Release2"/>
  </r>
  <r>
    <x v="18"/>
    <s v="Gomukh Pirauna"/>
    <s v="MPG"/>
    <s v="Direct"/>
    <n v="221.9"/>
    <n v="8113.9400000000014"/>
    <n v="225.09999999999997"/>
    <n v="8413.7099999999991"/>
    <n v="0.17"/>
    <n v="6.55"/>
    <n v="225.26999999999995"/>
    <n v="8420.2599999999984"/>
    <n v="8113.9400000000014"/>
    <n v="0"/>
    <n v="6.55"/>
    <n v="306.31999999999698"/>
    <n v="0"/>
    <n v="500"/>
    <n v="0"/>
    <n v="7607"/>
    <n v="0"/>
    <n v="0"/>
    <n v="0"/>
    <s v="Release2"/>
  </r>
  <r>
    <x v="19"/>
    <s v="Parra- Nagendra Kumar"/>
    <s v="vlc"/>
    <s v="Indirect"/>
    <n v="284.79999999999995"/>
    <n v="9895.65"/>
    <n v="0"/>
    <n v="0"/>
    <n v="0"/>
    <n v="0"/>
    <n v="0"/>
    <n v="0"/>
    <n v="9895.65"/>
    <n v="0"/>
    <n v="0"/>
    <n v="0"/>
    <n v="0"/>
    <n v="0"/>
    <n v="0"/>
    <n v="0"/>
    <n v="0"/>
    <n v="9895.65"/>
    <n v="0"/>
    <n v="0"/>
  </r>
  <r>
    <x v="20"/>
    <s v="Gomukh Basahi"/>
    <s v="MPG"/>
    <s v="Direct"/>
    <n v="792.60000000000014"/>
    <n v="31801.710000000006"/>
    <n v="793.47"/>
    <n v="32218.53"/>
    <n v="1.3"/>
    <n v="62.53"/>
    <n v="794.77"/>
    <n v="32281.059999999998"/>
    <n v="31801.710000000006"/>
    <n v="0"/>
    <n v="62.53"/>
    <n v="479.34999999999127"/>
    <n v="0"/>
    <n v="0"/>
    <n v="0"/>
    <n v="31739"/>
    <n v="0"/>
    <n v="0"/>
    <n v="0"/>
    <n v="0"/>
  </r>
  <r>
    <x v="21"/>
    <s v="Gomukh Sawantpur"/>
    <s v="MPG"/>
    <s v="Direct"/>
    <n v="1341.9999999999998"/>
    <n v="52229.67"/>
    <n v="1195.3999999999999"/>
    <n v="45178.539999999994"/>
    <n v="243.41000000000003"/>
    <n v="9492.82"/>
    <n v="1438.81"/>
    <n v="54671.359999999993"/>
    <n v="52229.67"/>
    <n v="0"/>
    <n v="31.240000000000002"/>
    <n v="2441.6899999999951"/>
    <n v="0"/>
    <n v="0"/>
    <n v="0"/>
    <n v="42737"/>
    <n v="9461"/>
    <n v="0"/>
    <n v="0"/>
    <n v="0"/>
  </r>
  <r>
    <x v="22"/>
    <s v="Maida- Ram Kumar"/>
    <s v="vlc"/>
    <s v="Indirect"/>
    <n v="427.99999999999994"/>
    <n v="19077.98"/>
    <n v="0"/>
    <n v="0"/>
    <n v="0"/>
    <n v="0"/>
    <n v="0"/>
    <n v="0"/>
    <n v="19077.98"/>
    <n v="0"/>
    <n v="0"/>
    <n v="0"/>
    <n v="0"/>
    <n v="0"/>
    <n v="0"/>
    <n v="0"/>
    <n v="0"/>
    <n v="19077.98"/>
    <n v="0"/>
    <n v="0"/>
  </r>
  <r>
    <x v="23"/>
    <s v="Gomukh Aure Bikrampur"/>
    <s v="MPG"/>
    <s v="Direct"/>
    <n v="924.59999999999991"/>
    <n v="39360.720000000001"/>
    <n v="887.62000000000035"/>
    <n v="37979.349999999991"/>
    <n v="0"/>
    <n v="0"/>
    <n v="887.62000000000035"/>
    <n v="37979.349999999991"/>
    <n v="37979.349999999991"/>
    <n v="0"/>
    <n v="0"/>
    <n v="0"/>
    <n v="0"/>
    <n v="0"/>
    <n v="0"/>
    <n v="37973"/>
    <n v="0"/>
    <n v="0"/>
    <n v="1388"/>
    <n v="0"/>
  </r>
  <r>
    <x v="24"/>
    <s v="Manjhaul- Gulshan Kumar"/>
    <s v="vlc"/>
    <s v="Indirect"/>
    <n v="1007.6000000000001"/>
    <n v="43097.689999999995"/>
    <n v="0"/>
    <n v="0"/>
    <n v="0"/>
    <n v="0"/>
    <n v="0"/>
    <n v="0"/>
    <n v="43097.689999999995"/>
    <n v="0"/>
    <n v="0"/>
    <n v="0"/>
    <n v="0"/>
    <n v="0"/>
    <n v="0"/>
    <n v="0"/>
    <n v="0"/>
    <n v="43097.689999999995"/>
    <n v="0"/>
    <n v="0"/>
  </r>
  <r>
    <x v="25"/>
    <s v="Khaira Manjhaul"/>
    <s v="vlc"/>
    <s v="Indirect"/>
    <n v="505.4"/>
    <n v="18620.93"/>
    <n v="0"/>
    <n v="0"/>
    <n v="0"/>
    <n v="0"/>
    <n v="0"/>
    <n v="0"/>
    <n v="18620.93"/>
    <n v="0"/>
    <n v="0"/>
    <n v="0"/>
    <n v="0"/>
    <n v="0"/>
    <n v="0"/>
    <n v="0"/>
    <n v="0"/>
    <n v="18620.93"/>
    <n v="0"/>
    <n v="0"/>
  </r>
  <r>
    <x v="26"/>
    <s v="Mehda Shahpur"/>
    <s v="vlc"/>
    <s v="Indirect"/>
    <n v="838.59999999999991"/>
    <n v="32002.35"/>
    <n v="0"/>
    <n v="0"/>
    <n v="0"/>
    <n v="0"/>
    <n v="0"/>
    <n v="0"/>
    <n v="32002.35"/>
    <n v="0"/>
    <n v="0"/>
    <n v="0"/>
    <n v="0"/>
    <n v="0"/>
    <n v="0"/>
    <n v="0"/>
    <n v="0"/>
    <n v="32002.35"/>
    <n v="0"/>
    <n v="0"/>
  </r>
  <r>
    <x v="27"/>
    <s v="Shri Bhairav Laxmipur"/>
    <s v="MPG"/>
    <s v="Direct"/>
    <n v="208.5"/>
    <n v="9052.2000000000007"/>
    <n v="233.91"/>
    <n v="10423.44"/>
    <n v="0"/>
    <n v="0"/>
    <n v="233.91"/>
    <n v="10423.44"/>
    <n v="9052.2000000000007"/>
    <n v="0"/>
    <n v="0"/>
    <n v="1371.2399999999998"/>
    <n v="0"/>
    <n v="0"/>
    <n v="0"/>
    <n v="9052"/>
    <n v="0"/>
    <n v="0"/>
    <n v="0"/>
    <s v="Release2"/>
  </r>
  <r>
    <x v="29"/>
    <s v="Gomukh Akaha"/>
    <s v="MPG"/>
    <s v="Direct"/>
    <n v="212.29999999999995"/>
    <n v="7332.0800000000008"/>
    <n v="206.39999999999998"/>
    <n v="7719.5499999999984"/>
    <n v="0"/>
    <n v="0"/>
    <n v="206.39999999999998"/>
    <n v="7719.5499999999984"/>
    <n v="7332.0800000000008"/>
    <n v="0"/>
    <n v="0"/>
    <n v="387.46999999999753"/>
    <n v="0"/>
    <n v="0"/>
    <n v="0"/>
    <n v="7332"/>
    <n v="0"/>
    <n v="0"/>
    <n v="0"/>
    <n v="0"/>
  </r>
  <r>
    <x v="30"/>
    <s v="Gomukh Rajakpur"/>
    <s v="MPG"/>
    <s v="Direct"/>
    <n v="127.6"/>
    <n v="4488.5599999999995"/>
    <n v="128.13"/>
    <n v="4312.74"/>
    <n v="0"/>
    <n v="0"/>
    <n v="128.13"/>
    <n v="4312.74"/>
    <n v="4312.74"/>
    <n v="0"/>
    <n v="0"/>
    <n v="0"/>
    <n v="0"/>
    <n v="0"/>
    <n v="0"/>
    <n v="4313"/>
    <n v="0"/>
    <n v="0"/>
    <n v="176"/>
    <n v="0"/>
  </r>
  <r>
    <x v="31"/>
    <s v="Gomukh Mohanpur"/>
    <s v="MPG"/>
    <s v="Direct"/>
    <n v="182.50000000000003"/>
    <n v="7271.33"/>
    <n v="186.25999999999996"/>
    <n v="8040.72"/>
    <n v="1.9"/>
    <n v="88.149999999999991"/>
    <n v="188.15999999999997"/>
    <n v="8128.87"/>
    <n v="7271.33"/>
    <n v="0"/>
    <n v="88.149999999999991"/>
    <n v="857.54"/>
    <n v="0"/>
    <n v="0"/>
    <n v="0"/>
    <n v="7183"/>
    <n v="0"/>
    <n v="0"/>
    <n v="0"/>
    <n v="0"/>
  </r>
  <r>
    <x v="32"/>
    <s v="Gomukh Chakka"/>
    <s v="MPG"/>
    <s v="Direct"/>
    <n v="141.60000000000002"/>
    <n v="5780.19"/>
    <n v="140.97"/>
    <n v="5878.74"/>
    <n v="0"/>
    <n v="0"/>
    <n v="140.97"/>
    <n v="5878.74"/>
    <n v="5780.19"/>
    <n v="0"/>
    <n v="0"/>
    <n v="98.550000000000182"/>
    <n v="0"/>
    <n v="0"/>
    <n v="0"/>
    <n v="5780"/>
    <n v="0"/>
    <n v="0"/>
    <n v="0"/>
    <n v="0"/>
  </r>
  <r>
    <x v="33"/>
    <s v="Gamharia"/>
    <s v="vlc"/>
    <s v="Indirect"/>
    <n v="125.39999999999999"/>
    <n v="4963.3599999999997"/>
    <n v="0"/>
    <n v="0"/>
    <n v="0"/>
    <n v="0"/>
    <n v="0"/>
    <n v="0"/>
    <n v="4963.3599999999997"/>
    <n v="0"/>
    <n v="0"/>
    <n v="0"/>
    <n v="0"/>
    <n v="0"/>
    <n v="0"/>
    <n v="0"/>
    <n v="0"/>
    <n v="4963.3599999999997"/>
    <n v="0"/>
    <n v="0"/>
  </r>
  <r>
    <x v="34"/>
    <s v="Gomukh Meghaul-02"/>
    <s v="MPG"/>
    <s v="Direct"/>
    <n v="258.59999999999997"/>
    <n v="10905.74"/>
    <n v="258.10999999999996"/>
    <n v="11456.050000000001"/>
    <n v="5.3599999999999994"/>
    <n v="234.2"/>
    <n v="263.46999999999997"/>
    <n v="11690.250000000002"/>
    <n v="10905.74"/>
    <n v="0"/>
    <n v="234.2"/>
    <n v="784.51000000000204"/>
    <n v="0"/>
    <n v="0"/>
    <n v="0"/>
    <n v="10672"/>
    <n v="0"/>
    <n v="0"/>
    <n v="0"/>
    <n v="0"/>
  </r>
  <r>
    <x v="35"/>
    <s v="Gomukh Meida"/>
    <s v="MPG"/>
    <s v="Direct"/>
    <n v="239.60000000000002"/>
    <n v="9215.5599999999977"/>
    <n v="237.49999999999997"/>
    <n v="9641.3599999999969"/>
    <n v="0"/>
    <n v="0"/>
    <n v="237.49999999999997"/>
    <n v="9641.3599999999969"/>
    <n v="9215.5599999999977"/>
    <n v="0"/>
    <n v="0"/>
    <n v="425.79999999999927"/>
    <n v="0"/>
    <n v="0"/>
    <n v="0"/>
    <n v="9216"/>
    <n v="0"/>
    <n v="0"/>
    <n v="0"/>
    <n v="0"/>
  </r>
  <r>
    <x v="36"/>
    <s v="PIPARIYA DIH -2"/>
    <s v="MPG"/>
    <s v="Direct"/>
    <n v="2289.9999999999995"/>
    <n v="104825.51000000001"/>
    <n v="1429.3"/>
    <n v="69901.180000000022"/>
    <n v="855.59999999999991"/>
    <n v="38780.26"/>
    <n v="2284.8999999999996"/>
    <n v="108681.44000000003"/>
    <n v="104825.51000000001"/>
    <n v="0"/>
    <n v="973.04000000000008"/>
    <n v="3855.9300000000221"/>
    <n v="0"/>
    <n v="0"/>
    <n v="0"/>
    <n v="66045"/>
    <n v="37807"/>
    <n v="0"/>
    <n v="0"/>
    <n v="0"/>
  </r>
  <r>
    <x v="37"/>
    <s v="LAL DIYARA -1"/>
    <s v="MPG"/>
    <s v="Direct"/>
    <n v="547"/>
    <n v="21791.75"/>
    <n v="547"/>
    <n v="21791.750000000004"/>
    <n v="0"/>
    <n v="0"/>
    <n v="547"/>
    <n v="21791.750000000004"/>
    <n v="21791.75"/>
    <n v="0"/>
    <n v="0"/>
    <n v="0"/>
    <n v="0"/>
    <n v="0"/>
    <n v="0"/>
    <n v="21792"/>
    <n v="0"/>
    <n v="0"/>
    <n v="0"/>
    <n v="0"/>
  </r>
  <r>
    <x v="38"/>
    <s v="GANGA KINARE KHUTHA"/>
    <s v="vlc"/>
    <s v="Indirect"/>
    <n v="174.20000000000002"/>
    <n v="6760.23"/>
    <n v="0"/>
    <n v="0"/>
    <n v="0"/>
    <n v="0"/>
    <n v="0"/>
    <n v="0"/>
    <n v="6760.23"/>
    <n v="0"/>
    <n v="0"/>
    <n v="0"/>
    <n v="0"/>
    <n v="0"/>
    <n v="0"/>
    <n v="0"/>
    <n v="0"/>
    <n v="6760.23"/>
    <n v="0"/>
    <n v="0"/>
  </r>
  <r>
    <x v="39"/>
    <s v="Gomukh ID Khutaha Ganga"/>
    <s v="vlc"/>
    <s v="Indirect"/>
    <n v="511.20000000000005"/>
    <n v="21402.719999999998"/>
    <n v="0"/>
    <n v="0"/>
    <n v="0"/>
    <n v="0"/>
    <n v="0"/>
    <n v="0"/>
    <n v="21402.719999999998"/>
    <n v="0"/>
    <n v="0"/>
    <n v="0"/>
    <n v="0"/>
    <n v="0"/>
    <n v="0"/>
    <n v="0"/>
    <n v="0"/>
    <n v="21402.719999999998"/>
    <n v="0"/>
    <n v="0"/>
  </r>
  <r>
    <x v="40"/>
    <s v="Gomukh ID Khutaha Dhih"/>
    <s v="vlc"/>
    <s v="Indirect"/>
    <n v="1534.8999999999999"/>
    <n v="61782.28"/>
    <n v="0"/>
    <n v="0"/>
    <n v="0"/>
    <n v="0"/>
    <n v="0"/>
    <n v="0"/>
    <n v="61782.28"/>
    <n v="0"/>
    <n v="0"/>
    <n v="0"/>
    <n v="0"/>
    <n v="0"/>
    <n v="0"/>
    <n v="0"/>
    <n v="0"/>
    <n v="61782.28"/>
    <n v="0"/>
    <n v="0"/>
  </r>
  <r>
    <x v="41"/>
    <s v="GOMUKH RAHATPUR"/>
    <s v="MPG"/>
    <s v="Direct"/>
    <n v="121"/>
    <n v="5075.68"/>
    <n v="121.20000000000002"/>
    <n v="5094.7700000000004"/>
    <n v="0.30000000000000004"/>
    <n v="12.41"/>
    <n v="121.50000000000001"/>
    <n v="5107.18"/>
    <n v="5075.68"/>
    <n v="0"/>
    <n v="12.41"/>
    <n v="31.5"/>
    <n v="0"/>
    <n v="0"/>
    <n v="0"/>
    <n v="5063"/>
    <n v="0"/>
    <n v="0"/>
    <n v="0"/>
    <s v="Release2"/>
  </r>
  <r>
    <x v="42"/>
    <s v="Vikash Kumar"/>
    <s v="vlc"/>
    <s v="Indirect"/>
    <n v="1284.6000000000001"/>
    <n v="51337.03"/>
    <n v="0"/>
    <n v="0"/>
    <n v="0"/>
    <n v="0"/>
    <n v="0"/>
    <n v="0"/>
    <n v="51337.03"/>
    <n v="0"/>
    <n v="0"/>
    <n v="0"/>
    <n v="0"/>
    <n v="0"/>
    <n v="0"/>
    <n v="0"/>
    <n v="0"/>
    <n v="51337.03"/>
    <n v="0"/>
    <n v="0"/>
  </r>
  <r>
    <x v="43"/>
    <s v="GOMUKH  LALDIYARA TIRASHI                                                                           "/>
    <s v="vlc"/>
    <s v="Indirect"/>
    <n v="23077.7"/>
    <n v="911324.91999999993"/>
    <n v="0"/>
    <n v="0"/>
    <n v="0"/>
    <n v="0"/>
    <n v="0"/>
    <n v="0"/>
    <n v="911324.91999999993"/>
    <n v="0"/>
    <n v="0"/>
    <n v="0"/>
    <n v="0"/>
    <n v="0"/>
    <n v="0"/>
    <n v="0"/>
    <n v="0"/>
    <n v="911324.91999999993"/>
    <n v="0"/>
    <n v="0"/>
  </r>
  <r>
    <x v="44"/>
    <s v="GOMUKH  LALDIYARA PURBI"/>
    <s v="vlc"/>
    <s v="Indirect"/>
    <n v="23457.100000000006"/>
    <n v="926195.17999999993"/>
    <n v="0"/>
    <n v="0"/>
    <n v="0"/>
    <n v="0"/>
    <n v="0"/>
    <n v="0"/>
    <n v="926195.17999999993"/>
    <n v="0"/>
    <n v="0"/>
    <n v="0"/>
    <n v="0"/>
    <n v="0"/>
    <n v="0"/>
    <n v="0"/>
    <n v="0"/>
    <n v="926195.17999999993"/>
    <n v="0"/>
    <n v="0"/>
  </r>
  <r>
    <x v="45"/>
    <s v="GOMUKH RAMCHANDARPUR II"/>
    <s v="MPG"/>
    <s v="Direct"/>
    <n v="4159.3999999999996"/>
    <n v="172211.45"/>
    <n v="4889.3000000000029"/>
    <n v="174938.52999999997"/>
    <n v="24.6"/>
    <n v="1129.0899999999999"/>
    <n v="4913.9000000000033"/>
    <n v="176067.61999999997"/>
    <n v="172211.45"/>
    <n v="0"/>
    <n v="1129.0899999999999"/>
    <n v="3856.1699999999546"/>
    <n v="0"/>
    <n v="0"/>
    <n v="0"/>
    <n v="171082"/>
    <n v="0"/>
    <n v="0"/>
    <n v="0"/>
    <n v="0"/>
  </r>
  <r>
    <x v="1011"/>
    <s v="WAKIL YADAV VLC"/>
    <s v="vlc"/>
    <s v="Indirect"/>
    <n v="121.2"/>
    <n v="5795.78"/>
    <n v="0"/>
    <n v="0"/>
    <n v="0"/>
    <n v="0"/>
    <n v="0"/>
    <n v="0"/>
    <n v="5795.78"/>
    <n v="0"/>
    <n v="0"/>
    <n v="0"/>
    <n v="0"/>
    <n v="0"/>
    <n v="0"/>
    <n v="0"/>
    <n v="0"/>
    <n v="5795.78"/>
    <n v="0"/>
    <n v="0"/>
  </r>
  <r>
    <x v="46"/>
    <s v="MOHANPUR"/>
    <s v="MPG"/>
    <s v="Direct"/>
    <n v="3818.9"/>
    <n v="165955.81"/>
    <n v="3619.1000000000008"/>
    <n v="158320.24999999997"/>
    <n v="261.40000000000003"/>
    <n v="11051.51"/>
    <n v="3880.5000000000009"/>
    <n v="169371.75999999998"/>
    <n v="165955.81"/>
    <n v="0"/>
    <n v="1577.89"/>
    <n v="3415.9499999999825"/>
    <n v="0"/>
    <n v="0"/>
    <n v="0"/>
    <n v="154904"/>
    <n v="9474"/>
    <n v="0"/>
    <n v="0"/>
    <n v="0"/>
  </r>
  <r>
    <x v="47"/>
    <s v="Juwas"/>
    <s v="MPG"/>
    <s v="Direct"/>
    <n v="863.7"/>
    <n v="33914.730000000003"/>
    <n v="840"/>
    <n v="32795.910000000003"/>
    <n v="8.4"/>
    <n v="321.87"/>
    <n v="848.4"/>
    <n v="33117.780000000006"/>
    <n v="33117.780000000006"/>
    <n v="0"/>
    <n v="321.87"/>
    <n v="0"/>
    <n v="0"/>
    <n v="0"/>
    <n v="0"/>
    <n v="32796"/>
    <n v="0"/>
    <n v="0"/>
    <n v="797"/>
    <n v="0"/>
  </r>
  <r>
    <x v="48"/>
    <s v="Morwariya"/>
    <s v="MPG"/>
    <s v="Direct"/>
    <n v="2716.7000000000003"/>
    <n v="110978.13"/>
    <n v="2704.1199999999985"/>
    <n v="113219.00999999995"/>
    <n v="0"/>
    <n v="0"/>
    <n v="2704.1199999999985"/>
    <n v="113219.00999999995"/>
    <n v="110978.13"/>
    <n v="0"/>
    <n v="0"/>
    <n v="2240.8799999999464"/>
    <n v="0"/>
    <n v="0"/>
    <n v="0"/>
    <n v="110978"/>
    <n v="0"/>
    <n v="0"/>
    <n v="0"/>
    <n v="0"/>
  </r>
  <r>
    <x v="49"/>
    <s v="Dumri 2"/>
    <s v="MPG"/>
    <s v="Direct"/>
    <n v="853.40000000000009"/>
    <n v="35364.029999999992"/>
    <n v="838.96"/>
    <n v="34588.270000000004"/>
    <n v="11.229999999999999"/>
    <n v="461.55"/>
    <n v="850.19"/>
    <n v="35049.820000000007"/>
    <n v="35049.820000000007"/>
    <n v="0"/>
    <n v="461.55"/>
    <n v="0"/>
    <n v="0"/>
    <n v="0"/>
    <n v="0"/>
    <n v="34588"/>
    <n v="0"/>
    <n v="0"/>
    <n v="314"/>
    <n v="0"/>
  </r>
  <r>
    <x v="50"/>
    <s v="Gomukh Jhakhaur"/>
    <s v="MPG"/>
    <s v="Direct"/>
    <n v="434.5"/>
    <n v="17768.519999999997"/>
    <n v="470.99999999999994"/>
    <n v="19375.710000000003"/>
    <n v="0.60000000000000009"/>
    <n v="24.16"/>
    <n v="471.59999999999997"/>
    <n v="19399.870000000003"/>
    <n v="17768.519999999997"/>
    <n v="0"/>
    <n v="24.16"/>
    <n v="1631.3500000000058"/>
    <n v="0"/>
    <n v="0"/>
    <n v="0"/>
    <n v="17744"/>
    <n v="0"/>
    <n v="0"/>
    <n v="0"/>
    <n v="0"/>
  </r>
  <r>
    <x v="51"/>
    <s v="Gomukh Repura"/>
    <s v="MPG"/>
    <s v="Direct"/>
    <n v="692.4"/>
    <n v="29909.32"/>
    <n v="702.39999999999986"/>
    <n v="30357.319999999996"/>
    <n v="0"/>
    <n v="0"/>
    <n v="702.39999999999986"/>
    <n v="30357.319999999996"/>
    <n v="29909.32"/>
    <n v="0"/>
    <n v="0"/>
    <n v="447.99999999999636"/>
    <n v="0"/>
    <n v="0"/>
    <n v="0"/>
    <n v="29909"/>
    <n v="0"/>
    <n v="0"/>
    <n v="0"/>
    <n v="0"/>
  </r>
  <r>
    <x v="52"/>
    <s v="Gomukh Virupur"/>
    <s v="MPG"/>
    <s v="Direct"/>
    <n v="402.50000000000006"/>
    <n v="16155.63"/>
    <n v="364.89000000000004"/>
    <n v="16090.23"/>
    <n v="1.5699999999999998"/>
    <n v="64.98"/>
    <n v="366.46000000000004"/>
    <n v="16155.21"/>
    <n v="16155.21"/>
    <n v="0"/>
    <n v="64.98"/>
    <n v="0"/>
    <n v="0"/>
    <n v="0"/>
    <n v="0"/>
    <n v="16090"/>
    <n v="0"/>
    <n v="0"/>
    <n v="1"/>
    <n v="0"/>
  </r>
  <r>
    <x v="53"/>
    <s v="Gomukh Diyarapipariya                                                                               "/>
    <s v="MPG"/>
    <s v="Direct"/>
    <n v="1326.5000000000002"/>
    <n v="59183.209999999985"/>
    <n v="1312.39"/>
    <n v="58930.369999999995"/>
    <n v="14.879999999999999"/>
    <n v="705.99000000000012"/>
    <n v="1327.2700000000002"/>
    <n v="59636.359999999993"/>
    <n v="59183.209999999985"/>
    <n v="0"/>
    <n v="705.99000000000012"/>
    <n v="453.15000000000873"/>
    <n v="0"/>
    <n v="0"/>
    <n v="0"/>
    <n v="58477"/>
    <n v="0"/>
    <n v="0"/>
    <n v="0"/>
    <n v="0"/>
  </r>
  <r>
    <x v="54"/>
    <s v="TAJPUR"/>
    <s v="MPG"/>
    <s v="Direct"/>
    <n v="922.99999999999989"/>
    <n v="41976.799999999996"/>
    <n v="905.57000000000016"/>
    <n v="39978.069999999992"/>
    <n v="10.329999999999998"/>
    <n v="419.98"/>
    <n v="915.9000000000002"/>
    <n v="40398.049999999996"/>
    <n v="40398.049999999996"/>
    <n v="0"/>
    <n v="419.98"/>
    <n v="0"/>
    <n v="0"/>
    <n v="0"/>
    <n v="0"/>
    <n v="39976"/>
    <n v="0"/>
    <n v="0"/>
    <n v="1581"/>
    <n v="0"/>
  </r>
  <r>
    <x v="55"/>
    <s v="PATHUA"/>
    <s v="MPG"/>
    <s v="Direct"/>
    <n v="1725"/>
    <n v="75978.74000000002"/>
    <n v="1743.6000000000001"/>
    <n v="77607.03"/>
    <n v="48.599999999999994"/>
    <n v="2195.2800000000002"/>
    <n v="1792.2"/>
    <n v="79802.31"/>
    <n v="75978.74000000002"/>
    <n v="0"/>
    <n v="2101.8000000000002"/>
    <n v="3823.5699999999779"/>
    <n v="0"/>
    <n v="0"/>
    <n v="0"/>
    <n v="73784"/>
    <n v="93"/>
    <n v="0"/>
    <n v="0"/>
    <n v="0"/>
  </r>
  <r>
    <x v="56"/>
    <s v="LODIYA"/>
    <s v="MPG"/>
    <s v="Direct"/>
    <n v="654.4"/>
    <n v="27184.079999999994"/>
    <n v="645.72"/>
    <n v="26661.340000000004"/>
    <n v="6.0299999999999994"/>
    <n v="250.62"/>
    <n v="651.75"/>
    <n v="26911.960000000003"/>
    <n v="26911.960000000003"/>
    <n v="0"/>
    <n v="250.62"/>
    <n v="0"/>
    <n v="0"/>
    <n v="0"/>
    <n v="0"/>
    <n v="26660"/>
    <n v="0"/>
    <n v="0"/>
    <n v="273"/>
    <n v="0"/>
  </r>
  <r>
    <x v="57"/>
    <s v="ADARSH LAXMIPUR-3"/>
    <s v="MPG"/>
    <s v="Direct"/>
    <n v="197.8"/>
    <n v="10153.499999999998"/>
    <n v="198.35"/>
    <n v="10086.570000000002"/>
    <n v="0"/>
    <n v="0"/>
    <n v="198.35"/>
    <n v="10086.570000000002"/>
    <n v="10086.570000000002"/>
    <n v="0"/>
    <n v="0"/>
    <n v="0"/>
    <n v="0"/>
    <n v="500"/>
    <n v="0"/>
    <n v="9587"/>
    <n v="0"/>
    <n v="0"/>
    <n v="66"/>
    <n v="0"/>
  </r>
  <r>
    <x v="58"/>
    <s v="BHANPUR"/>
    <s v="MPG"/>
    <s v="Direct"/>
    <n v="793.30000000000007"/>
    <n v="30748.829999999998"/>
    <n v="794.00000000000011"/>
    <n v="31188.700000000004"/>
    <n v="0"/>
    <n v="0"/>
    <n v="794.00000000000011"/>
    <n v="31188.700000000004"/>
    <n v="30748.829999999998"/>
    <n v="0"/>
    <n v="0"/>
    <n v="439.87000000000626"/>
    <n v="0"/>
    <n v="0"/>
    <n v="0"/>
    <n v="30749"/>
    <n v="0"/>
    <n v="0"/>
    <n v="0"/>
    <n v="0"/>
  </r>
  <r>
    <x v="59"/>
    <s v="Karari Pipariya 2"/>
    <s v="MPG"/>
    <s v="Direct"/>
    <n v="844.19999999999993"/>
    <n v="37306.31"/>
    <n v="839.94000000000017"/>
    <n v="37331.370000000003"/>
    <n v="9.6400000000000023"/>
    <n v="416.47999999999996"/>
    <n v="849.58000000000015"/>
    <n v="37747.850000000006"/>
    <n v="37306.31"/>
    <n v="0"/>
    <n v="416.47999999999996"/>
    <n v="441.54000000000815"/>
    <n v="0"/>
    <n v="0"/>
    <n v="0"/>
    <n v="36890"/>
    <n v="0"/>
    <n v="0"/>
    <n v="0"/>
    <n v="0"/>
  </r>
  <r>
    <x v="60"/>
    <s v="DIYARA PIPARIYA-THANA                                                                               "/>
    <s v="MPG"/>
    <s v="Direct"/>
    <n v="1249.4999999999998"/>
    <n v="56005.189999999995"/>
    <n v="1245.4499999999998"/>
    <n v="55343.790000000008"/>
    <n v="8.42"/>
    <n v="383.03"/>
    <n v="1253.8699999999999"/>
    <n v="55726.820000000007"/>
    <n v="55726.820000000007"/>
    <n v="0"/>
    <n v="383.03"/>
    <n v="0"/>
    <n v="0"/>
    <n v="0"/>
    <n v="0"/>
    <n v="55345"/>
    <n v="0"/>
    <n v="0"/>
    <n v="277"/>
    <n v="0"/>
  </r>
  <r>
    <x v="61"/>
    <s v="SRI RAM SINGH(VLC)"/>
    <s v="vlc"/>
    <s v="Indirect"/>
    <n v="3185.8"/>
    <n v="136446.35999999999"/>
    <n v="0"/>
    <n v="0"/>
    <n v="0"/>
    <n v="0"/>
    <n v="0"/>
    <n v="0"/>
    <n v="136446.35999999999"/>
    <n v="0"/>
    <n v="0"/>
    <n v="0"/>
    <n v="0"/>
    <n v="0"/>
    <n v="0"/>
    <n v="0"/>
    <n v="0"/>
    <n v="136446.35999999999"/>
    <n v="0"/>
    <n v="0"/>
  </r>
  <r>
    <x v="62"/>
    <s v="GADHTOLA"/>
    <s v="MPG"/>
    <s v="Direct"/>
    <n v="1290.5"/>
    <n v="61972.800000000017"/>
    <n v="1288.3"/>
    <n v="61671.859999999993"/>
    <n v="5.1999999999999993"/>
    <n v="232.33999999999997"/>
    <n v="1293.5"/>
    <n v="61904.19999999999"/>
    <n v="61904.19999999999"/>
    <n v="0"/>
    <n v="232.33999999999997"/>
    <n v="0"/>
    <n v="0"/>
    <n v="0"/>
    <n v="0"/>
    <n v="61672"/>
    <n v="0"/>
    <n v="0"/>
    <n v="68"/>
    <n v="0"/>
  </r>
  <r>
    <x v="63"/>
    <s v="Chetan Tola - Ravi"/>
    <s v="vlc"/>
    <s v="Indirect"/>
    <n v="544.70000000000005"/>
    <n v="29613.39"/>
    <n v="0"/>
    <n v="0"/>
    <n v="0"/>
    <n v="0"/>
    <n v="0"/>
    <n v="0"/>
    <n v="29613.39"/>
    <n v="0"/>
    <n v="0"/>
    <n v="0"/>
    <n v="0"/>
    <n v="0"/>
    <n v="0"/>
    <n v="0"/>
    <n v="0"/>
    <n v="29613.39"/>
    <n v="0"/>
    <n v="0"/>
  </r>
  <r>
    <x v="64"/>
    <s v="Diyara-Pipariya-Utri - Chandan"/>
    <s v="vlc"/>
    <s v="Indirect"/>
    <n v="1897.6000000000001"/>
    <n v="82227.440000000017"/>
    <n v="0"/>
    <n v="0"/>
    <n v="0"/>
    <n v="0"/>
    <n v="0"/>
    <n v="0"/>
    <n v="82227.440000000017"/>
    <n v="0"/>
    <n v="0"/>
    <n v="0"/>
    <n v="0"/>
    <n v="0"/>
    <n v="0"/>
    <n v="0"/>
    <n v="0"/>
    <n v="82227.440000000017"/>
    <n v="0"/>
    <n v="0"/>
  </r>
  <r>
    <x v="967"/>
    <s v="Chetan Tola-Dakshin - Hari Om"/>
    <s v="vlc"/>
    <s v="Indirect"/>
    <n v="261.89999999999998"/>
    <n v="14013.33"/>
    <n v="0"/>
    <n v="0"/>
    <n v="0"/>
    <n v="0"/>
    <n v="0"/>
    <n v="0"/>
    <n v="14013.33"/>
    <n v="0"/>
    <n v="0"/>
    <n v="0"/>
    <n v="0"/>
    <n v="0"/>
    <n v="0"/>
    <n v="0"/>
    <n v="0"/>
    <n v="14013.33"/>
    <n v="0"/>
    <n v="0"/>
  </r>
  <r>
    <x v="65"/>
    <s v="KANHARPUR-2"/>
    <s v="MPG"/>
    <s v="Direct"/>
    <n v="2490.8000000000002"/>
    <n v="116822.73999999999"/>
    <n v="1935.64"/>
    <n v="94341.759999999995"/>
    <n v="553.96999999999991"/>
    <n v="24387.279999999999"/>
    <n v="2489.61"/>
    <n v="118729.04"/>
    <n v="116822.73999999999"/>
    <n v="0"/>
    <n v="1722.23"/>
    <n v="1906.3000000000029"/>
    <n v="0"/>
    <n v="0"/>
    <n v="0"/>
    <n v="92436"/>
    <n v="22665"/>
    <n v="0"/>
    <n v="0"/>
    <n v="0"/>
  </r>
  <r>
    <x v="66"/>
    <s v="BASAUNA"/>
    <s v="MPG"/>
    <s v="Direct"/>
    <n v="636.10000000000014"/>
    <n v="27788.609999999993"/>
    <n v="463.78999999999996"/>
    <n v="21262.27"/>
    <n v="168.28"/>
    <n v="6681.7000000000007"/>
    <n v="632.06999999999994"/>
    <n v="27943.97"/>
    <n v="27788.609999999993"/>
    <n v="0"/>
    <n v="230.28000000000003"/>
    <n v="155.36000000000786"/>
    <n v="0"/>
    <n v="0"/>
    <n v="0"/>
    <n v="21107"/>
    <n v="6451"/>
    <n v="0"/>
    <n v="0"/>
    <n v="0"/>
  </r>
  <r>
    <x v="67"/>
    <s v="GANGA-SARAI"/>
    <s v="MPG"/>
    <s v="Direct"/>
    <n v="1165.2"/>
    <n v="48855.72"/>
    <n v="815.2"/>
    <n v="33339.839999999997"/>
    <n v="366.18"/>
    <n v="15588.36"/>
    <n v="1181.3800000000001"/>
    <n v="48928.2"/>
    <n v="48855.72"/>
    <n v="0"/>
    <n v="417.91999999999996"/>
    <n v="72.479999999995925"/>
    <n v="0"/>
    <n v="0"/>
    <n v="0"/>
    <n v="33268"/>
    <n v="15170"/>
    <n v="0"/>
    <n v="0"/>
    <n v="0"/>
  </r>
  <r>
    <x v="68"/>
    <s v="GOVIND-BIGHA                                                                                        "/>
    <s v="MPG"/>
    <s v="Direct"/>
    <n v="318.5"/>
    <n v="13213.39"/>
    <n v="320.84000000000003"/>
    <n v="13876.17"/>
    <n v="4.0599999999999996"/>
    <n v="168.02"/>
    <n v="324.90000000000003"/>
    <n v="14044.19"/>
    <n v="13213.39"/>
    <n v="0"/>
    <n v="168.02"/>
    <n v="830.80000000000109"/>
    <n v="0"/>
    <n v="0"/>
    <n v="0"/>
    <n v="13045"/>
    <n v="0"/>
    <n v="0"/>
    <n v="0"/>
    <n v="0"/>
  </r>
  <r>
    <x v="69"/>
    <s v="MALPUR                                                                                              "/>
    <s v="MPG"/>
    <s v="Direct"/>
    <n v="913.2"/>
    <n v="42362.640000000007"/>
    <n v="528.21"/>
    <n v="27021.43"/>
    <n v="393.4"/>
    <n v="16957.47"/>
    <n v="921.61"/>
    <n v="43978.9"/>
    <n v="42362.640000000007"/>
    <n v="0"/>
    <n v="264.84000000000003"/>
    <n v="1616.2599999999948"/>
    <n v="0"/>
    <n v="0"/>
    <n v="0"/>
    <n v="25405"/>
    <n v="16693"/>
    <n v="0"/>
    <n v="0"/>
    <n v="0"/>
  </r>
  <r>
    <x v="70"/>
    <s v="Gomukh Hasanpur"/>
    <s v="vlc"/>
    <s v="Indirect"/>
    <n v="264.60000000000002"/>
    <n v="11065.510000000002"/>
    <n v="0"/>
    <n v="0"/>
    <n v="0"/>
    <n v="0"/>
    <n v="0"/>
    <n v="0"/>
    <n v="11065.510000000002"/>
    <n v="0"/>
    <n v="0"/>
    <n v="0"/>
    <n v="0"/>
    <n v="0"/>
    <n v="0"/>
    <n v="0"/>
    <n v="0"/>
    <n v="11065.510000000002"/>
    <n v="0"/>
    <n v="0"/>
  </r>
  <r>
    <x v="72"/>
    <s v="SABIKPUR"/>
    <s v="MPG"/>
    <s v="Direct"/>
    <n v="1467.8000000000002"/>
    <n v="63504.840000000004"/>
    <n v="1501.5"/>
    <n v="65561.239999999991"/>
    <n v="0"/>
    <n v="0"/>
    <n v="1501.5"/>
    <n v="65561.239999999991"/>
    <n v="63504.840000000004"/>
    <n v="0"/>
    <n v="0"/>
    <n v="2056.3999999999869"/>
    <n v="0"/>
    <n v="0"/>
    <n v="0"/>
    <n v="63505"/>
    <n v="0"/>
    <n v="0"/>
    <n v="0"/>
    <n v="0"/>
  </r>
  <r>
    <x v="73"/>
    <s v="CHETAN-TOLA-KHUTHA"/>
    <s v="MPG"/>
    <s v="Direct"/>
    <n v="173.9"/>
    <n v="7333.9900000000007"/>
    <n v="179"/>
    <n v="7315.73"/>
    <n v="0"/>
    <n v="0"/>
    <n v="179"/>
    <n v="7315.73"/>
    <n v="7315.73"/>
    <n v="0"/>
    <n v="0"/>
    <n v="0"/>
    <n v="0"/>
    <n v="500"/>
    <n v="0"/>
    <n v="6816"/>
    <n v="0"/>
    <n v="0"/>
    <n v="18"/>
    <n v="0"/>
  </r>
  <r>
    <x v="74"/>
    <s v="LAXMIPUR"/>
    <s v="MPG"/>
    <s v="Direct"/>
    <n v="784.00000000000011"/>
    <n v="31227.010000000006"/>
    <n v="787.4"/>
    <n v="35104.409999999996"/>
    <n v="0"/>
    <n v="0"/>
    <n v="787.4"/>
    <n v="35104.409999999996"/>
    <n v="31227.010000000006"/>
    <n v="0"/>
    <n v="0"/>
    <n v="3877.3999999999905"/>
    <n v="0"/>
    <n v="0"/>
    <n v="0"/>
    <n v="31227"/>
    <n v="0"/>
    <n v="0"/>
    <n v="0"/>
    <n v="0"/>
  </r>
  <r>
    <x v="75"/>
    <s v="REHUA RK"/>
    <s v="vlc"/>
    <s v="Indirect"/>
    <n v="993.8"/>
    <n v="38038.81"/>
    <n v="0"/>
    <n v="0"/>
    <n v="0"/>
    <n v="0"/>
    <n v="0"/>
    <n v="0"/>
    <n v="38038.81"/>
    <n v="0"/>
    <n v="0"/>
    <n v="0"/>
    <n v="0"/>
    <n v="0"/>
    <n v="0"/>
    <n v="0"/>
    <n v="0"/>
    <n v="38038.81"/>
    <n v="0"/>
    <n v="0"/>
  </r>
  <r>
    <x v="76"/>
    <s v="RAMNAGAR"/>
    <s v="MPG"/>
    <s v="Direct"/>
    <n v="235.90000000000003"/>
    <n v="10620.95"/>
    <n v="235.12"/>
    <n v="10621.41"/>
    <n v="0"/>
    <n v="0"/>
    <n v="235.12"/>
    <n v="10621.41"/>
    <n v="10620.95"/>
    <n v="0"/>
    <n v="0"/>
    <n v="0.45999999999912689"/>
    <n v="0"/>
    <n v="0"/>
    <n v="0"/>
    <n v="10621"/>
    <n v="0"/>
    <n v="0"/>
    <n v="0"/>
    <n v="0"/>
  </r>
  <r>
    <x v="77"/>
    <s v="BANSIPUR"/>
    <s v="MPG"/>
    <s v="Direct"/>
    <n v="275.20000000000005"/>
    <n v="13481.390000000001"/>
    <n v="275.79999999999995"/>
    <n v="13497.869999999997"/>
    <n v="0"/>
    <n v="0"/>
    <n v="275.79999999999995"/>
    <n v="13497.869999999997"/>
    <n v="13481.390000000001"/>
    <n v="0"/>
    <n v="0"/>
    <n v="16.479999999995925"/>
    <n v="0"/>
    <n v="500"/>
    <n v="0"/>
    <n v="12981"/>
    <n v="0"/>
    <n v="0"/>
    <n v="0"/>
    <n v="0"/>
  </r>
  <r>
    <x v="78"/>
    <s v="GODIH"/>
    <s v="MPG"/>
    <s v="Direct"/>
    <n v="581.5"/>
    <n v="25087.100000000002"/>
    <n v="581.16000000000008"/>
    <n v="37249.379999999997"/>
    <n v="0"/>
    <n v="0"/>
    <n v="581.16000000000008"/>
    <n v="37249.379999999997"/>
    <n v="25087.100000000002"/>
    <n v="0"/>
    <n v="0"/>
    <n v="12162.279999999995"/>
    <n v="0"/>
    <n v="0"/>
    <n v="0"/>
    <n v="25087"/>
    <n v="0"/>
    <n v="0"/>
    <n v="0"/>
    <n v="0"/>
  </r>
  <r>
    <x v="79"/>
    <s v="SINGARPUR"/>
    <s v="MPG"/>
    <s v="Direct"/>
    <n v="55.699999999999996"/>
    <n v="2471.4199999999996"/>
    <n v="52.4"/>
    <n v="2478.73"/>
    <n v="0"/>
    <n v="0"/>
    <n v="52.4"/>
    <n v="2478.73"/>
    <n v="2471.4199999999996"/>
    <n v="0"/>
    <n v="0"/>
    <n v="7.3100000000004002"/>
    <n v="0"/>
    <n v="500"/>
    <n v="0"/>
    <n v="1971"/>
    <n v="0"/>
    <n v="0"/>
    <n v="0"/>
    <n v="0"/>
  </r>
  <r>
    <x v="80"/>
    <s v="G WOLIPUR"/>
    <s v="MPG"/>
    <s v="Indirect"/>
    <n v="2110.6"/>
    <n v="90024.25"/>
    <n v="0"/>
    <n v="0"/>
    <n v="0"/>
    <n v="0"/>
    <n v="0"/>
    <n v="0"/>
    <n v="90024.25"/>
    <n v="0"/>
    <n v="0"/>
    <n v="0"/>
    <n v="0"/>
    <n v="0"/>
    <n v="0"/>
    <n v="0"/>
    <n v="0"/>
    <n v="90024.25"/>
    <n v="0"/>
    <n v="0"/>
  </r>
  <r>
    <x v="81"/>
    <s v="REHUA 3"/>
    <s v="MPG"/>
    <s v="Indirect"/>
    <n v="1692.1999999999998"/>
    <n v="75719.070000000007"/>
    <n v="0"/>
    <n v="0"/>
    <n v="0"/>
    <n v="0"/>
    <n v="0"/>
    <n v="0"/>
    <n v="75719.070000000007"/>
    <n v="0"/>
    <n v="0"/>
    <n v="0"/>
    <n v="0"/>
    <n v="0"/>
    <n v="0"/>
    <n v="0"/>
    <n v="0"/>
    <n v="75719.070000000007"/>
    <n v="0"/>
    <n v="0"/>
  </r>
  <r>
    <x v="82"/>
    <s v="BICHWAY"/>
    <s v="MPG"/>
    <s v="Direct"/>
    <n v="544.1"/>
    <n v="21802.089999999997"/>
    <n v="543.19999999999993"/>
    <n v="23007.79"/>
    <n v="0"/>
    <n v="0"/>
    <n v="543.19999999999993"/>
    <n v="23007.79"/>
    <n v="21802.089999999997"/>
    <n v="0"/>
    <n v="0"/>
    <n v="1205.7000000000044"/>
    <n v="0"/>
    <n v="0"/>
    <n v="0"/>
    <n v="21802"/>
    <n v="0"/>
    <n v="0"/>
    <n v="0"/>
    <n v="0"/>
  </r>
  <r>
    <x v="83"/>
    <s v="MANOHARPUR"/>
    <s v="MPG"/>
    <s v="Direct"/>
    <n v="619.9"/>
    <n v="25785.239999999994"/>
    <n v="142.91"/>
    <n v="5690.7300000000005"/>
    <n v="480.51000000000005"/>
    <n v="19541.920000000006"/>
    <n v="623.42000000000007"/>
    <n v="25232.650000000005"/>
    <n v="25232.650000000005"/>
    <n v="0"/>
    <n v="0"/>
    <n v="0"/>
    <n v="0"/>
    <n v="0"/>
    <n v="0"/>
    <n v="5691"/>
    <n v="19540"/>
    <n v="0"/>
    <n v="554"/>
    <n v="0"/>
  </r>
  <r>
    <x v="84"/>
    <s v="HIRDANBIGHA"/>
    <s v="MPG"/>
    <s v="Direct"/>
    <n v="785.30000000000007"/>
    <n v="31461.650000000005"/>
    <n v="796.28"/>
    <n v="32263.86"/>
    <n v="0"/>
    <n v="0"/>
    <n v="796.28"/>
    <n v="32263.86"/>
    <n v="31461.650000000005"/>
    <n v="0"/>
    <n v="0"/>
    <n v="802.20999999999549"/>
    <n v="0"/>
    <n v="0"/>
    <n v="0"/>
    <n v="31462"/>
    <n v="0"/>
    <n v="0"/>
    <n v="0"/>
    <n v="0"/>
  </r>
  <r>
    <x v="85"/>
    <s v="KHUTAHA DIH C"/>
    <s v="MPG"/>
    <s v="Direct"/>
    <n v="326.10000000000008"/>
    <n v="13091.91"/>
    <n v="328.2"/>
    <n v="13171.439999999999"/>
    <n v="0"/>
    <n v="0"/>
    <n v="328.2"/>
    <n v="13171.439999999999"/>
    <n v="13091.91"/>
    <n v="0"/>
    <n v="0"/>
    <n v="79.529999999998836"/>
    <n v="0"/>
    <n v="0"/>
    <n v="0"/>
    <n v="13092"/>
    <n v="0"/>
    <n v="0"/>
    <n v="0"/>
    <n v="0"/>
  </r>
  <r>
    <x v="86"/>
    <s v="MOHANPUR"/>
    <s v="vlc"/>
    <s v="Indirect"/>
    <n v="550.5"/>
    <n v="23621.440000000002"/>
    <n v="0"/>
    <n v="0"/>
    <n v="0"/>
    <n v="0"/>
    <n v="0"/>
    <n v="0"/>
    <n v="23621.440000000002"/>
    <n v="0"/>
    <n v="0"/>
    <n v="0"/>
    <n v="0"/>
    <n v="0"/>
    <n v="0"/>
    <n v="0"/>
    <n v="0"/>
    <n v="23621.440000000002"/>
    <n v="0"/>
    <n v="0"/>
  </r>
  <r>
    <x v="87"/>
    <s v="CHATMADIH"/>
    <s v="MPG"/>
    <s v="Direct"/>
    <n v="1763.1499999999994"/>
    <n v="86346.29"/>
    <n v="1745.5000000000002"/>
    <n v="83800.819999999992"/>
    <n v="25.3"/>
    <n v="1814"/>
    <n v="1770.8000000000002"/>
    <n v="85614.819999999992"/>
    <n v="85614.819999999992"/>
    <n v="0"/>
    <n v="1814"/>
    <n v="0"/>
    <n v="0"/>
    <n v="0"/>
    <n v="0"/>
    <n v="83801"/>
    <n v="0"/>
    <n v="0"/>
    <n v="731"/>
    <n v="0"/>
  </r>
  <r>
    <x v="88"/>
    <s v="SIYADIH"/>
    <s v="vlc"/>
    <s v="Indirect"/>
    <n v="658.05"/>
    <n v="19974.05"/>
    <n v="0"/>
    <n v="0"/>
    <n v="0"/>
    <n v="0"/>
    <n v="0"/>
    <n v="0"/>
    <n v="19974.05"/>
    <n v="0"/>
    <n v="0"/>
    <n v="0"/>
    <n v="0"/>
    <n v="0"/>
    <n v="0"/>
    <n v="0"/>
    <n v="0"/>
    <n v="19974.05"/>
    <n v="0"/>
    <n v="0"/>
  </r>
  <r>
    <x v="89"/>
    <s v="Gomukh ID Laldiyara"/>
    <s v="vlc"/>
    <s v="Indirect"/>
    <n v="9867.25"/>
    <n v="416748.67"/>
    <n v="0"/>
    <n v="0"/>
    <n v="0"/>
    <n v="0"/>
    <n v="0"/>
    <n v="0"/>
    <n v="416748.67"/>
    <n v="0"/>
    <n v="0"/>
    <n v="0"/>
    <n v="0"/>
    <n v="0"/>
    <n v="0"/>
    <n v="0"/>
    <n v="0"/>
    <n v="416748.67"/>
    <n v="0"/>
    <n v="0"/>
  </r>
  <r>
    <x v="90"/>
    <s v="KATHNI"/>
    <s v="MPG"/>
    <s v="Direct"/>
    <n v="261.3"/>
    <n v="9665.36"/>
    <n v="266.8"/>
    <n v="10728.419999999998"/>
    <n v="8"/>
    <n v="276.08"/>
    <n v="274.8"/>
    <n v="11004.499999999998"/>
    <n v="9665.36"/>
    <n v="0"/>
    <n v="0"/>
    <n v="1339.1399999999976"/>
    <n v="0"/>
    <n v="0"/>
    <n v="0"/>
    <n v="9389"/>
    <n v="276"/>
    <n v="0"/>
    <n v="0"/>
    <n v="0"/>
  </r>
  <r>
    <x v="91"/>
    <s v="DEVDHA GOMUKH MPG"/>
    <s v="MPG"/>
    <s v="Direct"/>
    <n v="1483.8000000000002"/>
    <n v="64082.889999999992"/>
    <n v="1462.6999999999998"/>
    <n v="63119.900000000009"/>
    <n v="6.6000000000000005"/>
    <n v="288.27"/>
    <n v="1469.2999999999997"/>
    <n v="63408.170000000006"/>
    <n v="63408.170000000006"/>
    <n v="0"/>
    <n v="288.27"/>
    <n v="0"/>
    <n v="0"/>
    <n v="0"/>
    <n v="0"/>
    <n v="63122"/>
    <n v="0"/>
    <n v="0"/>
    <n v="673"/>
    <n v="0"/>
  </r>
  <r>
    <x v="92"/>
    <s v="KASBA(MANGOAN)"/>
    <s v="vlc"/>
    <s v="Indirect"/>
    <n v="477.6"/>
    <n v="18026.550000000003"/>
    <n v="0"/>
    <n v="0"/>
    <n v="0"/>
    <n v="0"/>
    <n v="0"/>
    <n v="0"/>
    <n v="18026.550000000003"/>
    <n v="0"/>
    <n v="0"/>
    <n v="0"/>
    <n v="0"/>
    <n v="0"/>
    <n v="0"/>
    <n v="0"/>
    <n v="0"/>
    <n v="18026.550000000003"/>
    <n v="0"/>
    <n v="0"/>
  </r>
  <r>
    <x v="93"/>
    <s v="LOHRA"/>
    <s v="MPG"/>
    <s v="Direct"/>
    <n v="656.5"/>
    <n v="35036.949999999997"/>
    <n v="612.38000000000011"/>
    <n v="36268.499999999993"/>
    <n v="18.82"/>
    <n v="1034.7199999999998"/>
    <n v="631.20000000000016"/>
    <n v="37303.219999999994"/>
    <n v="35036.949999999997"/>
    <n v="0"/>
    <n v="1034.7199999999998"/>
    <n v="2266.2699999999968"/>
    <n v="0"/>
    <n v="0"/>
    <n v="0"/>
    <n v="34002"/>
    <n v="0"/>
    <n v="0"/>
    <n v="0"/>
    <s v="Release2"/>
  </r>
  <r>
    <x v="95"/>
    <s v="GIRDHARA"/>
    <s v="MPG"/>
    <s v="Direct"/>
    <n v="1258.8500000000001"/>
    <n v="55572.649999999994"/>
    <n v="219.82"/>
    <n v="11649.44"/>
    <n v="1053.4199999999998"/>
    <n v="45472.770000000004"/>
    <n v="1273.2399999999998"/>
    <n v="57122.210000000006"/>
    <n v="55572.649999999994"/>
    <n v="0"/>
    <n v="348.73"/>
    <n v="1549.5600000000122"/>
    <n v="0"/>
    <n v="0"/>
    <n v="0"/>
    <n v="10100"/>
    <n v="45124"/>
    <n v="0"/>
    <n v="0"/>
    <n v="0"/>
  </r>
  <r>
    <x v="96"/>
    <s v="RATNI"/>
    <s v="MPG"/>
    <s v="Direct"/>
    <n v="1356.6999999999998"/>
    <n v="70442.429999999993"/>
    <n v="1340.0500000000002"/>
    <n v="69014.580000000016"/>
    <n v="30.439999999999998"/>
    <n v="1672.8"/>
    <n v="1370.4900000000002"/>
    <n v="70687.380000000019"/>
    <n v="70442.429999999993"/>
    <n v="0"/>
    <n v="1672.8"/>
    <n v="244.95000000002619"/>
    <n v="0"/>
    <n v="0"/>
    <n v="0"/>
    <n v="68769"/>
    <n v="0"/>
    <n v="0"/>
    <n v="1"/>
    <n v="0"/>
  </r>
  <r>
    <x v="97"/>
    <s v="DHAPARI"/>
    <s v="MPG"/>
    <s v="Direct"/>
    <n v="831.8"/>
    <n v="35539.03"/>
    <n v="818.49"/>
    <n v="35891.94"/>
    <n v="28.169999999999995"/>
    <n v="1149.0999999999999"/>
    <n v="846.66"/>
    <n v="37041.040000000001"/>
    <n v="35539.03"/>
    <n v="0"/>
    <n v="1149.0999999999999"/>
    <n v="1502.010000000002"/>
    <n v="0"/>
    <n v="0"/>
    <n v="0"/>
    <n v="34390"/>
    <n v="0"/>
    <n v="0"/>
    <n v="0"/>
    <n v="0"/>
  </r>
  <r>
    <x v="98"/>
    <s v="KHARUI"/>
    <s v="MPG"/>
    <s v="Direct"/>
    <n v="366.59999999999997"/>
    <n v="16227.67"/>
    <n v="355.25999999999988"/>
    <n v="17038.8"/>
    <n v="16.419999999999998"/>
    <n v="1088.72"/>
    <n v="371.67999999999989"/>
    <n v="18127.52"/>
    <n v="16227.67"/>
    <n v="0"/>
    <n v="1088.72"/>
    <n v="1899.8500000000004"/>
    <n v="0"/>
    <n v="0"/>
    <n v="0"/>
    <n v="15139"/>
    <n v="0"/>
    <n v="0"/>
    <n v="0"/>
    <n v="0"/>
  </r>
  <r>
    <x v="99"/>
    <s v="KHAIRA"/>
    <s v="MPG"/>
    <s v="Direct"/>
    <n v="489.35"/>
    <n v="20491.550000000003"/>
    <n v="545.23"/>
    <n v="23756.930000000004"/>
    <n v="21.92"/>
    <n v="919.30000000000007"/>
    <n v="567.15"/>
    <n v="24676.230000000003"/>
    <n v="20491.550000000003"/>
    <n v="0"/>
    <n v="919.30000000000007"/>
    <n v="4184.68"/>
    <n v="0"/>
    <n v="0"/>
    <n v="0"/>
    <n v="19572"/>
    <n v="0"/>
    <n v="0"/>
    <n v="0"/>
    <n v="0"/>
  </r>
  <r>
    <x v="100"/>
    <s v="SISUA"/>
    <s v="MPG"/>
    <s v="Direct"/>
    <n v="1357.5"/>
    <n v="55637.19"/>
    <n v="1313.5399999999997"/>
    <n v="55503.30000000001"/>
    <n v="111.48"/>
    <n v="4533.3100000000004"/>
    <n v="1425.0199999999998"/>
    <n v="60036.610000000008"/>
    <n v="55637.19"/>
    <n v="0"/>
    <n v="646.72"/>
    <n v="4399.4200000000055"/>
    <n v="0"/>
    <n v="0"/>
    <n v="0"/>
    <n v="51103"/>
    <n v="3887"/>
    <n v="0"/>
    <n v="0"/>
    <n v="0"/>
  </r>
  <r>
    <x v="101"/>
    <s v="BISAI"/>
    <s v="MPG"/>
    <s v="Direct"/>
    <n v="414.29999999999995"/>
    <n v="17161.95"/>
    <n v="406.98999999999995"/>
    <n v="17059.980000000003"/>
    <n v="10.290000000000001"/>
    <n v="443.41"/>
    <n v="417.28"/>
    <n v="17503.390000000003"/>
    <n v="17161.95"/>
    <n v="0"/>
    <n v="443.41"/>
    <n v="341.44000000000233"/>
    <n v="0"/>
    <n v="0"/>
    <n v="0"/>
    <n v="16719"/>
    <n v="0"/>
    <n v="0"/>
    <n v="0"/>
    <n v="0"/>
  </r>
  <r>
    <x v="102"/>
    <s v="SAJUA-1"/>
    <s v="MPG"/>
    <s v="Direct"/>
    <n v="781.14999999999986"/>
    <n v="31326.61"/>
    <n v="788.25"/>
    <n v="31576.28"/>
    <n v="8.76"/>
    <n v="350.83000000000004"/>
    <n v="797.01"/>
    <n v="31927.11"/>
    <n v="31326.61"/>
    <n v="0"/>
    <n v="350.83000000000004"/>
    <n v="600.5"/>
    <n v="0"/>
    <n v="0"/>
    <n v="0"/>
    <n v="30976"/>
    <n v="0"/>
    <n v="0"/>
    <n v="0"/>
    <n v="0"/>
  </r>
  <r>
    <x v="103"/>
    <s v="SAJUA-2"/>
    <s v="MPG"/>
    <s v="Direct"/>
    <n v="1269.95"/>
    <n v="52119.66"/>
    <n v="1281.4199999999996"/>
    <n v="52096.279999999992"/>
    <n v="2.8200000000000003"/>
    <n v="230.26"/>
    <n v="1284.2399999999996"/>
    <n v="52326.539999999994"/>
    <n v="52119.66"/>
    <n v="0"/>
    <n v="230.26"/>
    <n v="206.8799999999901"/>
    <n v="0"/>
    <n v="0"/>
    <n v="0"/>
    <n v="51889"/>
    <n v="0"/>
    <n v="0"/>
    <n v="0"/>
    <n v="0"/>
  </r>
  <r>
    <x v="104"/>
    <s v="CHORGAUN"/>
    <s v="MPG"/>
    <s v="Direct"/>
    <n v="1040.8499999999999"/>
    <n v="40753.650000000009"/>
    <n v="1000.3000000000001"/>
    <n v="39874.719999999994"/>
    <n v="28.400000000000002"/>
    <n v="1161.8499999999999"/>
    <n v="1028.7"/>
    <n v="41036.569999999992"/>
    <n v="40753.650000000009"/>
    <n v="0"/>
    <n v="1161.8499999999999"/>
    <n v="282.9199999999837"/>
    <n v="0"/>
    <n v="0"/>
    <n v="0"/>
    <n v="39592"/>
    <n v="0"/>
    <n v="0"/>
    <n v="0"/>
    <s v="Release2"/>
  </r>
  <r>
    <x v="105"/>
    <s v="PADARATHPUR"/>
    <s v="MPG"/>
    <s v="Direct"/>
    <n v="1153.7499999999998"/>
    <n v="49445.799999999996"/>
    <n v="1148.2999999999997"/>
    <n v="49603.189999999995"/>
    <n v="22"/>
    <n v="884.84999999999968"/>
    <n v="1170.2999999999997"/>
    <n v="50488.039999999994"/>
    <n v="49445.799999999996"/>
    <n v="0"/>
    <n v="884.84999999999968"/>
    <n v="1042.239999999998"/>
    <n v="0"/>
    <n v="0"/>
    <n v="0"/>
    <n v="48561"/>
    <n v="0"/>
    <n v="0"/>
    <n v="0"/>
    <n v="0"/>
  </r>
  <r>
    <x v="968"/>
    <s v="MACHIDIH"/>
    <s v="MPG"/>
    <s v="Direct"/>
    <n v="120.75"/>
    <n v="5869.8899999999994"/>
    <n v="103.5"/>
    <n v="4976.3200000000006"/>
    <n v="0"/>
    <n v="0"/>
    <n v="103.5"/>
    <n v="4976.3200000000006"/>
    <n v="4976.3200000000006"/>
    <n v="0"/>
    <n v="0"/>
    <n v="0"/>
    <n v="0"/>
    <n v="0"/>
    <n v="0"/>
    <n v="4976"/>
    <n v="0"/>
    <n v="0"/>
    <n v="894"/>
    <n v="0"/>
  </r>
  <r>
    <x v="106"/>
    <s v="BADARKHA"/>
    <s v="MPG"/>
    <s v="Direct"/>
    <n v="832.74999999999989"/>
    <n v="31607.940000000006"/>
    <n v="814.01"/>
    <n v="31610.38"/>
    <n v="0"/>
    <n v="0"/>
    <n v="814.01"/>
    <n v="31610.38"/>
    <n v="31607.940000000006"/>
    <n v="0"/>
    <n v="0"/>
    <n v="2.4399999999950523"/>
    <n v="0"/>
    <n v="0"/>
    <n v="0"/>
    <n v="31608"/>
    <n v="0"/>
    <n v="0"/>
    <n v="0"/>
    <n v="0"/>
  </r>
  <r>
    <x v="107"/>
    <s v="MAHDMADPUR                                                                                          "/>
    <s v="MPG"/>
    <s v="Direct"/>
    <n v="1228.6000000000001"/>
    <n v="45649.77"/>
    <n v="1269.8"/>
    <n v="46368.42"/>
    <n v="3.4"/>
    <n v="92.92"/>
    <n v="1273.2"/>
    <n v="46461.34"/>
    <n v="45649.77"/>
    <n v="0"/>
    <n v="92.92"/>
    <n v="811.56999999999971"/>
    <n v="0"/>
    <n v="0"/>
    <n v="0"/>
    <n v="45557"/>
    <n v="0"/>
    <n v="0"/>
    <n v="0"/>
    <n v="0"/>
  </r>
  <r>
    <x v="108"/>
    <s v="MUSKIPUR                                                                                            "/>
    <s v="MPG"/>
    <s v="Direct"/>
    <n v="1252.8500000000001"/>
    <n v="54611.91"/>
    <n v="1262.9500000000003"/>
    <n v="53600.160000000003"/>
    <n v="0"/>
    <n v="0"/>
    <n v="1262.9500000000003"/>
    <n v="53600.160000000003"/>
    <n v="53600.160000000003"/>
    <n v="0"/>
    <n v="0"/>
    <n v="0"/>
    <n v="0"/>
    <n v="0"/>
    <n v="0"/>
    <n v="53600"/>
    <n v="0"/>
    <n v="0"/>
    <n v="1012"/>
    <n v="0"/>
  </r>
  <r>
    <x v="109"/>
    <s v="NAYAGAUN                                                                                            "/>
    <s v="MPG"/>
    <s v="Direct"/>
    <n v="733.25"/>
    <n v="30872.15"/>
    <n v="729.36999999999989"/>
    <n v="30835.039999999997"/>
    <n v="3.42"/>
    <n v="147.18"/>
    <n v="732.78999999999985"/>
    <n v="30982.219999999998"/>
    <n v="30872.15"/>
    <n v="0"/>
    <n v="147.18"/>
    <n v="110.06999999999607"/>
    <n v="0"/>
    <n v="0"/>
    <n v="0"/>
    <n v="30725"/>
    <n v="0"/>
    <n v="0"/>
    <n v="0"/>
    <n v="0"/>
  </r>
  <r>
    <x v="110"/>
    <s v="LAUNA                                                                                               "/>
    <s v="MPG"/>
    <s v="Direct"/>
    <n v="1552.05"/>
    <n v="59144.13"/>
    <n v="1559.55"/>
    <n v="60422.469999999987"/>
    <n v="20.689999999999998"/>
    <n v="812.35000000000014"/>
    <n v="1580.24"/>
    <n v="61234.819999999985"/>
    <n v="59144.13"/>
    <n v="0"/>
    <n v="812.35000000000014"/>
    <n v="2090.6899999999878"/>
    <n v="0"/>
    <n v="0"/>
    <n v="0"/>
    <n v="58332"/>
    <n v="0"/>
    <n v="0"/>
    <n v="0"/>
    <n v="0"/>
  </r>
  <r>
    <x v="111"/>
    <s v="DULHAR"/>
    <s v="MPG"/>
    <s v="Direct"/>
    <n v="748.4"/>
    <n v="32072.59"/>
    <n v="661.12999999999977"/>
    <n v="32237.08"/>
    <n v="0"/>
    <n v="0"/>
    <n v="661.12999999999977"/>
    <n v="32237.08"/>
    <n v="32072.59"/>
    <n v="0"/>
    <n v="0"/>
    <n v="164.4900000000016"/>
    <n v="0"/>
    <n v="0"/>
    <n v="0"/>
    <n v="32073"/>
    <n v="0"/>
    <n v="0"/>
    <n v="0"/>
    <n v="0"/>
  </r>
  <r>
    <x v="112"/>
    <s v="Ghorpithiya - Vikas"/>
    <s v="vlc"/>
    <s v="Indirect"/>
    <n v="348.6"/>
    <n v="15540.58"/>
    <n v="0"/>
    <n v="0"/>
    <n v="0"/>
    <n v="0"/>
    <n v="0"/>
    <n v="0"/>
    <n v="15540.58"/>
    <n v="0"/>
    <n v="0"/>
    <n v="0"/>
    <n v="0"/>
    <n v="0"/>
    <n v="0"/>
    <n v="0"/>
    <n v="0"/>
    <n v="15540.58"/>
    <n v="0"/>
    <n v="0"/>
  </r>
  <r>
    <x v="113"/>
    <s v="Akbarnagar - Rakhi"/>
    <s v="vlc"/>
    <s v="Indirect"/>
    <n v="1178.4000000000001"/>
    <n v="47613.349999999991"/>
    <n v="0"/>
    <n v="0"/>
    <n v="0"/>
    <n v="0"/>
    <n v="0"/>
    <n v="0"/>
    <n v="47613.349999999991"/>
    <n v="0"/>
    <n v="0"/>
    <n v="0"/>
    <n v="0"/>
    <n v="0"/>
    <n v="0"/>
    <n v="0"/>
    <n v="0"/>
    <n v="47613.349999999991"/>
    <n v="0"/>
    <n v="0"/>
  </r>
  <r>
    <x v="969"/>
    <s v="Maheshi - Chamcham"/>
    <s v="vlc"/>
    <s v="Indirect"/>
    <n v="741.90000000000009"/>
    <n v="31225.510000000002"/>
    <n v="0"/>
    <n v="0"/>
    <n v="0"/>
    <n v="0"/>
    <n v="0"/>
    <n v="0"/>
    <n v="31225.510000000002"/>
    <n v="0"/>
    <n v="0"/>
    <n v="0"/>
    <n v="0"/>
    <n v="0"/>
    <n v="0"/>
    <n v="0"/>
    <n v="0"/>
    <n v="31225.510000000002"/>
    <n v="0"/>
    <n v="0"/>
  </r>
  <r>
    <x v="114"/>
    <s v="Ghorpithiya - Dheeraj"/>
    <s v="vlc"/>
    <s v="Indirect"/>
    <n v="9558.7999999999993"/>
    <n v="404444.38999999996"/>
    <n v="0"/>
    <n v="0"/>
    <n v="0"/>
    <n v="0"/>
    <n v="0"/>
    <n v="0"/>
    <n v="404444.38999999996"/>
    <n v="0"/>
    <n v="0"/>
    <n v="0"/>
    <n v="0"/>
    <n v="0"/>
    <n v="0"/>
    <n v="0"/>
    <n v="0"/>
    <n v="404444.38999999996"/>
    <n v="0"/>
    <n v="0"/>
  </r>
  <r>
    <x v="115"/>
    <s v="Asarganj Chhotki Tola - Akash"/>
    <s v="vlc"/>
    <s v="Indirect"/>
    <n v="9558.7999999999993"/>
    <n v="404444.38999999996"/>
    <n v="0"/>
    <n v="0"/>
    <n v="0"/>
    <n v="0"/>
    <n v="0"/>
    <n v="0"/>
    <n v="404444.38999999996"/>
    <n v="0"/>
    <n v="0"/>
    <n v="0"/>
    <n v="0"/>
    <n v="0"/>
    <n v="0"/>
    <n v="0"/>
    <n v="0"/>
    <n v="404444.38999999996"/>
    <n v="0"/>
    <n v="0"/>
  </r>
  <r>
    <x v="116"/>
    <s v="Manikpur - Golu"/>
    <s v="vlc"/>
    <s v="Indirect"/>
    <n v="1078.05"/>
    <n v="44321.919999999998"/>
    <n v="0"/>
    <n v="0"/>
    <n v="0"/>
    <n v="0"/>
    <n v="0"/>
    <n v="0"/>
    <n v="44321.919999999998"/>
    <n v="0"/>
    <n v="0"/>
    <n v="0"/>
    <n v="0"/>
    <n v="0"/>
    <n v="0"/>
    <n v="0"/>
    <n v="0"/>
    <n v="44321.919999999998"/>
    <n v="0"/>
    <n v="0"/>
  </r>
  <r>
    <x v="117"/>
    <s v="Rangaon - Jayram"/>
    <s v="vlc"/>
    <s v="Indirect"/>
    <n v="844.15000000000009"/>
    <n v="35219.4"/>
    <n v="0"/>
    <n v="0"/>
    <n v="0"/>
    <n v="0"/>
    <n v="0"/>
    <n v="0"/>
    <n v="35219.4"/>
    <n v="0"/>
    <n v="0"/>
    <n v="0"/>
    <n v="0"/>
    <n v="0"/>
    <n v="0"/>
    <n v="0"/>
    <n v="0"/>
    <n v="35219.4"/>
    <n v="0"/>
    <n v="0"/>
  </r>
  <r>
    <x v="970"/>
    <s v="Karso - Aparajita"/>
    <s v="vlc"/>
    <s v="Indirect"/>
    <n v="741.90000000000009"/>
    <n v="31225.510000000002"/>
    <n v="0"/>
    <n v="0"/>
    <n v="0"/>
    <n v="0"/>
    <n v="0"/>
    <n v="0"/>
    <n v="31225.510000000002"/>
    <n v="0"/>
    <n v="0"/>
    <n v="0"/>
    <n v="0"/>
    <n v="0"/>
    <n v="0"/>
    <n v="0"/>
    <n v="0"/>
    <n v="31225.510000000002"/>
    <n v="0"/>
    <n v="0"/>
  </r>
  <r>
    <x v="971"/>
    <s v="Unchagaon - Niraj"/>
    <s v="vlc"/>
    <s v="Indirect"/>
    <n v="741.90000000000009"/>
    <n v="31225.510000000002"/>
    <n v="0"/>
    <n v="0"/>
    <n v="0"/>
    <n v="0"/>
    <n v="0"/>
    <n v="0"/>
    <n v="31225.510000000002"/>
    <n v="0"/>
    <n v="0"/>
    <n v="0"/>
    <n v="0"/>
    <n v="0"/>
    <n v="0"/>
    <n v="0"/>
    <n v="0"/>
    <n v="31225.510000000002"/>
    <n v="0"/>
    <n v="0"/>
  </r>
  <r>
    <x v="118"/>
    <s v="PAIN"/>
    <s v="MPG"/>
    <s v="Direct"/>
    <n v="558.45000000000005"/>
    <n v="19913.68"/>
    <n v="566.83000000000015"/>
    <n v="22844.880000000001"/>
    <n v="2.69"/>
    <n v="105.95"/>
    <n v="569.52000000000021"/>
    <n v="22950.83"/>
    <n v="19913.68"/>
    <n v="0"/>
    <n v="105.95"/>
    <n v="3037.1500000000015"/>
    <n v="0"/>
    <n v="0"/>
    <n v="0"/>
    <n v="19808"/>
    <n v="0"/>
    <n v="0"/>
    <n v="0"/>
    <n v="0"/>
  </r>
  <r>
    <x v="119"/>
    <s v="MOTICHAK"/>
    <s v="MPG"/>
    <s v="Direct"/>
    <n v="3783.4"/>
    <n v="142314.67000000001"/>
    <n v="3728.7199999999993"/>
    <n v="141030.64000000001"/>
    <n v="72.92"/>
    <n v="2751.3200000000006"/>
    <n v="3801.6399999999994"/>
    <n v="143781.96000000002"/>
    <n v="142314.67000000001"/>
    <n v="0"/>
    <n v="2751.3200000000006"/>
    <n v="1467.2900000000081"/>
    <n v="0"/>
    <n v="0"/>
    <n v="0"/>
    <n v="139563"/>
    <n v="0"/>
    <n v="0"/>
    <n v="0"/>
    <n v="0"/>
  </r>
  <r>
    <x v="120"/>
    <s v="MIRATTHI"/>
    <s v="MPG"/>
    <s v="Direct"/>
    <n v="276.10000000000002"/>
    <n v="11385.11"/>
    <n v="290.7"/>
    <n v="11653.09"/>
    <n v="3.35"/>
    <n v="131.97999999999999"/>
    <n v="294.05"/>
    <n v="11785.07"/>
    <n v="11385.11"/>
    <n v="0"/>
    <n v="131.97999999999999"/>
    <n v="399.95999999999913"/>
    <n v="0"/>
    <n v="0"/>
    <n v="0"/>
    <n v="11253"/>
    <n v="0"/>
    <n v="0"/>
    <n v="0"/>
    <n v="0"/>
  </r>
  <r>
    <x v="121"/>
    <s v="DAULATPUR"/>
    <s v="MPG"/>
    <s v="Direct"/>
    <n v="211.55"/>
    <n v="9037.58"/>
    <n v="217.16"/>
    <n v="9972.1999999999989"/>
    <n v="2.4900000000000007"/>
    <n v="111.92999999999999"/>
    <n v="219.65"/>
    <n v="10084.129999999999"/>
    <n v="9037.58"/>
    <n v="0"/>
    <n v="111.92999999999999"/>
    <n v="1046.5499999999993"/>
    <n v="0"/>
    <n v="0"/>
    <n v="0"/>
    <n v="8926"/>
    <n v="0"/>
    <n v="0"/>
    <n v="0"/>
    <n v="0"/>
  </r>
  <r>
    <x v="122"/>
    <s v="MOHADDIPUR"/>
    <s v="MPG"/>
    <s v="Direct"/>
    <n v="175.95"/>
    <n v="5795.920000000001"/>
    <n v="188.03"/>
    <n v="9017.2000000000007"/>
    <n v="0"/>
    <n v="0"/>
    <n v="188.03"/>
    <n v="9017.2000000000007"/>
    <n v="5795.920000000001"/>
    <n v="0"/>
    <n v="0"/>
    <n v="3221.2799999999997"/>
    <n v="0"/>
    <n v="500"/>
    <n v="0"/>
    <n v="5296"/>
    <n v="0"/>
    <n v="0"/>
    <n v="0"/>
    <s v="Release2"/>
  </r>
  <r>
    <x v="123"/>
    <s v="JHAJHA"/>
    <s v="MPG"/>
    <s v="Direct"/>
    <n v="748.65"/>
    <n v="32215.430000000004"/>
    <n v="763.63"/>
    <n v="35515.159999999996"/>
    <n v="0"/>
    <n v="0"/>
    <n v="763.63"/>
    <n v="35515.159999999996"/>
    <n v="32215.430000000004"/>
    <n v="0"/>
    <n v="0"/>
    <n v="3299.7299999999923"/>
    <n v="0"/>
    <n v="0"/>
    <n v="0"/>
    <n v="32215"/>
    <n v="0"/>
    <n v="0"/>
    <n v="0"/>
    <n v="0"/>
  </r>
  <r>
    <x v="125"/>
    <s v="BARSABAD"/>
    <s v="MPG"/>
    <s v="Direct"/>
    <n v="511.55"/>
    <n v="19841.429999999997"/>
    <n v="511.72000000000008"/>
    <n v="18395.300000000003"/>
    <n v="10.45"/>
    <n v="354.85"/>
    <n v="522.17000000000007"/>
    <n v="18750.150000000001"/>
    <n v="18750.150000000001"/>
    <n v="0"/>
    <n v="354.85"/>
    <n v="0"/>
    <n v="0"/>
    <n v="0"/>
    <n v="0"/>
    <n v="18396"/>
    <n v="0"/>
    <n v="0"/>
    <n v="1091"/>
    <n v="0"/>
  </r>
  <r>
    <x v="126"/>
    <s v="GONAI"/>
    <s v="MPG"/>
    <s v="Direct"/>
    <n v="1730.5500000000002"/>
    <n v="72841.159999999989"/>
    <n v="1763.98"/>
    <n v="75460.87999999999"/>
    <n v="8.9"/>
    <n v="421.89999999999992"/>
    <n v="1772.88"/>
    <n v="75882.779999999984"/>
    <n v="72841.159999999989"/>
    <n v="0"/>
    <n v="421.89999999999992"/>
    <n v="3041.6199999999953"/>
    <n v="0"/>
    <n v="0"/>
    <n v="0"/>
    <n v="72419"/>
    <n v="0"/>
    <n v="0"/>
    <n v="0"/>
    <n v="0"/>
  </r>
  <r>
    <x v="127"/>
    <s v="SHIKARITOLA"/>
    <s v="MPG"/>
    <s v="Direct"/>
    <n v="1222.5999999999999"/>
    <n v="51792.54"/>
    <n v="1227.2899999999997"/>
    <n v="54094.290000000008"/>
    <n v="0"/>
    <n v="0"/>
    <n v="1227.2899999999997"/>
    <n v="54094.290000000008"/>
    <n v="51792.54"/>
    <n v="0"/>
    <n v="0"/>
    <n v="2301.7500000000073"/>
    <n v="0"/>
    <n v="0"/>
    <n v="0"/>
    <n v="51793"/>
    <n v="0"/>
    <n v="0"/>
    <n v="0"/>
    <n v="0"/>
  </r>
  <r>
    <x v="128"/>
    <s v="BAIKUNTHPUR"/>
    <s v="MPG"/>
    <s v="Direct"/>
    <n v="260.05"/>
    <n v="10369.039999999999"/>
    <n v="299.15999999999997"/>
    <n v="10921.16"/>
    <n v="3.3099999999999996"/>
    <n v="121.12"/>
    <n v="302.46999999999997"/>
    <n v="11042.28"/>
    <n v="10369.039999999999"/>
    <n v="0"/>
    <n v="121.12"/>
    <n v="673.2400000000016"/>
    <n v="0"/>
    <n v="500"/>
    <n v="0"/>
    <n v="9748"/>
    <n v="0"/>
    <n v="0"/>
    <n v="0"/>
    <n v="0"/>
  </r>
  <r>
    <x v="129"/>
    <s v="KAITHA"/>
    <s v="MPG"/>
    <s v="Direct"/>
    <n v="3836.1000000000004"/>
    <n v="169049.77999999997"/>
    <n v="2433.7600000000002"/>
    <n v="116201.54999999999"/>
    <n v="1427.12"/>
    <n v="60479.33"/>
    <n v="3860.88"/>
    <n v="176680.88"/>
    <n v="169049.77999999997"/>
    <n v="0"/>
    <n v="1326.1299999999999"/>
    <n v="7631.1000000000349"/>
    <n v="0"/>
    <n v="0"/>
    <n v="0"/>
    <n v="108570"/>
    <n v="59154"/>
    <n v="0"/>
    <n v="0"/>
    <n v="0"/>
  </r>
  <r>
    <x v="130"/>
    <s v="DORAI"/>
    <s v="MPG"/>
    <s v="Direct"/>
    <n v="924.15000000000009"/>
    <n v="32781.410000000003"/>
    <n v="1106.7700000000002"/>
    <n v="45579.51999999999"/>
    <n v="39.129999999999995"/>
    <n v="1984.25"/>
    <n v="1145.9000000000001"/>
    <n v="47563.76999999999"/>
    <n v="32781.410000000003"/>
    <n v="0"/>
    <n v="1984.25"/>
    <n v="14782.359999999986"/>
    <n v="0"/>
    <n v="0"/>
    <n v="0"/>
    <n v="30797"/>
    <n v="0"/>
    <n v="0"/>
    <n v="0"/>
    <n v="0"/>
  </r>
  <r>
    <x v="131"/>
    <s v="RAGHUNATHPUR"/>
    <s v="MPG"/>
    <s v="Indirect"/>
    <n v="1034"/>
    <n v="36889.08"/>
    <n v="0"/>
    <n v="0"/>
    <n v="0"/>
    <n v="0"/>
    <n v="0"/>
    <n v="0"/>
    <n v="36889.08"/>
    <n v="0"/>
    <n v="0"/>
    <n v="0"/>
    <n v="3997"/>
    <n v="0"/>
    <n v="0"/>
    <n v="0"/>
    <n v="0"/>
    <n v="32892.080000000002"/>
    <n v="0"/>
    <n v="0"/>
  </r>
  <r>
    <x v="132"/>
    <s v="BANGAMA"/>
    <s v="MPG"/>
    <s v="Direct"/>
    <n v="658.99999999999989"/>
    <n v="28804.89"/>
    <n v="671.2"/>
    <n v="30660.71"/>
    <n v="13.9"/>
    <n v="659.34999999999991"/>
    <n v="685.1"/>
    <n v="31320.059999999998"/>
    <n v="28804.89"/>
    <n v="0"/>
    <n v="659.34999999999991"/>
    <n v="2515.1699999999983"/>
    <n v="0"/>
    <n v="0"/>
    <n v="0"/>
    <n v="28146"/>
    <n v="0"/>
    <n v="0"/>
    <n v="0"/>
    <n v="0"/>
  </r>
  <r>
    <x v="133"/>
    <s v="KORIYA"/>
    <s v="MPG"/>
    <s v="Direct"/>
    <n v="242"/>
    <n v="10451.550000000001"/>
    <n v="230.72"/>
    <n v="10241.070000000002"/>
    <n v="0"/>
    <n v="0"/>
    <n v="230.72"/>
    <n v="10241.070000000002"/>
    <n v="10241.070000000002"/>
    <n v="0"/>
    <n v="0"/>
    <n v="0"/>
    <n v="0"/>
    <n v="500"/>
    <n v="0"/>
    <n v="9740"/>
    <n v="0"/>
    <n v="0"/>
    <n v="212"/>
    <n v="0"/>
  </r>
  <r>
    <x v="134"/>
    <s v="HARLACHAK"/>
    <s v="MPG"/>
    <s v="Direct"/>
    <n v="1278.1499999999999"/>
    <n v="52195.229999999996"/>
    <n v="1262.0000000000002"/>
    <n v="52576.070000000007"/>
    <n v="14.280000000000001"/>
    <n v="602.24"/>
    <n v="1276.2800000000002"/>
    <n v="53178.310000000005"/>
    <n v="52195.229999999996"/>
    <n v="0"/>
    <n v="602.24"/>
    <n v="983.08000000000902"/>
    <n v="0"/>
    <n v="0"/>
    <n v="0"/>
    <n v="51593"/>
    <n v="0"/>
    <n v="0"/>
    <n v="0"/>
    <n v="0"/>
  </r>
  <r>
    <x v="135"/>
    <s v="Jangle Jhakra"/>
    <s v="MPG"/>
    <s v="Direct"/>
    <n v="1789.2500000000005"/>
    <n v="77246.06"/>
    <n v="2003.4199999999998"/>
    <n v="89642.96"/>
    <n v="0"/>
    <n v="0"/>
    <n v="2003.4199999999998"/>
    <n v="89642.96"/>
    <n v="77246.06"/>
    <n v="0"/>
    <n v="0"/>
    <n v="12396.900000000009"/>
    <n v="0"/>
    <n v="0"/>
    <n v="0"/>
    <n v="77246"/>
    <n v="0"/>
    <n v="0"/>
    <n v="0"/>
    <n v="0"/>
  </r>
  <r>
    <x v="136"/>
    <s v="KATAHRA"/>
    <s v="MPG"/>
    <s v="Direct"/>
    <n v="548.15"/>
    <n v="24882.249999999996"/>
    <n v="553.17999999999995"/>
    <n v="25404.300000000003"/>
    <n v="0"/>
    <n v="0"/>
    <n v="553.17999999999995"/>
    <n v="25404.300000000003"/>
    <n v="24882.249999999996"/>
    <n v="0"/>
    <n v="0"/>
    <n v="522.05000000000655"/>
    <n v="0"/>
    <n v="0"/>
    <n v="0"/>
    <n v="24882"/>
    <n v="0"/>
    <n v="0"/>
    <n v="0"/>
    <n v="0"/>
  </r>
  <r>
    <x v="137"/>
    <s v="KARHARIA V"/>
    <s v="vlc"/>
    <s v="Indirect"/>
    <n v="150.55000000000001"/>
    <n v="5548.1799999999994"/>
    <n v="0"/>
    <n v="0"/>
    <n v="0"/>
    <n v="0"/>
    <n v="0"/>
    <n v="0"/>
    <n v="5548.1799999999994"/>
    <n v="0"/>
    <n v="0"/>
    <n v="0"/>
    <n v="0"/>
    <n v="0"/>
    <n v="0"/>
    <n v="0"/>
    <n v="0"/>
    <n v="5548.1799999999994"/>
    <n v="0"/>
    <n v="0"/>
  </r>
  <r>
    <x v="138"/>
    <s v="BALADEV ITAHARI"/>
    <s v="MPG"/>
    <s v="Direct"/>
    <n v="856.50000000000023"/>
    <n v="40255.300000000003"/>
    <n v="838.57999999999993"/>
    <n v="43133.599999999999"/>
    <n v="0"/>
    <n v="0"/>
    <n v="838.57999999999993"/>
    <n v="43133.599999999999"/>
    <n v="40255.300000000003"/>
    <n v="0"/>
    <n v="0"/>
    <n v="2878.2999999999956"/>
    <n v="0"/>
    <n v="0"/>
    <n v="0"/>
    <n v="40255"/>
    <n v="0"/>
    <n v="0"/>
    <n v="0"/>
    <n v="0"/>
  </r>
  <r>
    <x v="139"/>
    <s v="PAHALANPUR"/>
    <s v="MPG"/>
    <s v="Direct"/>
    <n v="936.3499999999998"/>
    <n v="38242.29"/>
    <n v="950.16999999999973"/>
    <n v="36561.570000000007"/>
    <n v="0"/>
    <n v="0"/>
    <n v="950.16999999999973"/>
    <n v="36561.570000000007"/>
    <n v="36561.570000000007"/>
    <n v="0"/>
    <n v="0"/>
    <n v="0"/>
    <n v="0"/>
    <n v="0"/>
    <n v="0"/>
    <n v="36563"/>
    <n v="0"/>
    <n v="0"/>
    <n v="1679"/>
    <n v="0"/>
  </r>
  <r>
    <x v="140"/>
    <s v="RAMBRAN YADAV"/>
    <s v="MPG"/>
    <s v="Direct"/>
    <n v="680.50000000000011"/>
    <n v="28373.25"/>
    <n v="670.37000000000012"/>
    <n v="27668.150000000005"/>
    <n v="0"/>
    <n v="0"/>
    <n v="670.37000000000012"/>
    <n v="27668.150000000005"/>
    <n v="27668.150000000005"/>
    <n v="0"/>
    <n v="0"/>
    <n v="0"/>
    <n v="0"/>
    <n v="0"/>
    <n v="0"/>
    <n v="27668"/>
    <n v="0"/>
    <n v="0"/>
    <n v="705"/>
    <n v="0"/>
  </r>
  <r>
    <x v="141"/>
    <s v="Gomukh Beldra"/>
    <s v="MPG"/>
    <s v="Direct"/>
    <n v="362.85"/>
    <n v="16638.939999999999"/>
    <n v="423.16999999999996"/>
    <n v="21234.730000000003"/>
    <n v="0"/>
    <n v="0"/>
    <n v="423.16999999999996"/>
    <n v="21234.730000000003"/>
    <n v="16638.939999999999"/>
    <n v="0"/>
    <n v="0"/>
    <n v="4595.7900000000045"/>
    <n v="0"/>
    <n v="0"/>
    <n v="0"/>
    <n v="16639"/>
    <n v="0"/>
    <n v="0"/>
    <n v="0"/>
    <n v="0"/>
  </r>
  <r>
    <x v="142"/>
    <s v="Gomukh Chandanpura"/>
    <s v="MPG"/>
    <s v="Direct"/>
    <n v="939.65000000000009"/>
    <n v="46155.87999999999"/>
    <n v="1025.57"/>
    <n v="51864.099999999991"/>
    <n v="0"/>
    <n v="0"/>
    <n v="1025.57"/>
    <n v="51864.099999999991"/>
    <n v="46155.87999999999"/>
    <n v="0"/>
    <n v="0"/>
    <n v="5708.2200000000012"/>
    <n v="0"/>
    <n v="0"/>
    <n v="0"/>
    <n v="46156"/>
    <n v="0"/>
    <n v="0"/>
    <n v="0"/>
    <n v="0"/>
  </r>
  <r>
    <x v="143"/>
    <s v="DARIYAPUR R"/>
    <s v="MPG"/>
    <s v="Direct"/>
    <n v="384.29999999999995"/>
    <n v="22122.190000000002"/>
    <n v="390.77000000000004"/>
    <n v="21789.469999999994"/>
    <n v="0"/>
    <n v="0"/>
    <n v="390.77000000000004"/>
    <n v="21789.469999999994"/>
    <n v="21789.469999999994"/>
    <n v="0"/>
    <n v="0"/>
    <n v="0"/>
    <n v="0"/>
    <n v="0"/>
    <n v="0"/>
    <n v="21789"/>
    <n v="0"/>
    <n v="0"/>
    <n v="333"/>
    <n v="0"/>
  </r>
  <r>
    <x v="144"/>
    <s v="MUZAFFARGANJ"/>
    <s v="MPG"/>
    <s v="Direct"/>
    <n v="509.34999999999997"/>
    <n v="19206.509999999998"/>
    <n v="496.1"/>
    <n v="18910.490000000002"/>
    <n v="0"/>
    <n v="0"/>
    <n v="496.1"/>
    <n v="18910.490000000002"/>
    <n v="18910.490000000002"/>
    <n v="0"/>
    <n v="0"/>
    <n v="0"/>
    <n v="0"/>
    <n v="0"/>
    <n v="0"/>
    <n v="18910"/>
    <n v="0"/>
    <n v="0"/>
    <n v="297"/>
    <n v="0"/>
  </r>
  <r>
    <x v="145"/>
    <s v="SARHA"/>
    <s v="MPG"/>
    <s v="Direct"/>
    <n v="995.10000000000014"/>
    <n v="50918.04"/>
    <n v="1190.29"/>
    <n v="62253.899999999994"/>
    <n v="0"/>
    <n v="0"/>
    <n v="1190.29"/>
    <n v="62253.899999999994"/>
    <n v="50918.04"/>
    <n v="0"/>
    <n v="0"/>
    <n v="11335.859999999993"/>
    <n v="0"/>
    <n v="0"/>
    <n v="0"/>
    <n v="50918"/>
    <n v="0"/>
    <n v="0"/>
    <n v="0"/>
    <n v="0"/>
  </r>
  <r>
    <x v="146"/>
    <s v="KUSUMBHA"/>
    <s v="MPG"/>
    <s v="Direct"/>
    <n v="523.55000000000007"/>
    <n v="22252.25"/>
    <n v="575.95999999999992"/>
    <n v="26048.040000000005"/>
    <n v="0"/>
    <n v="0"/>
    <n v="575.95999999999992"/>
    <n v="26048.040000000005"/>
    <n v="22252.25"/>
    <n v="0"/>
    <n v="0"/>
    <n v="3795.7900000000045"/>
    <n v="0"/>
    <n v="0"/>
    <n v="0"/>
    <n v="22252"/>
    <n v="0"/>
    <n v="0"/>
    <n v="0"/>
    <n v="0"/>
  </r>
  <r>
    <x v="147"/>
    <s v="MANO"/>
    <s v="vlc"/>
    <s v="Indirect"/>
    <n v="1069.1999999999998"/>
    <n v="45605.69999999999"/>
    <n v="0"/>
    <n v="0"/>
    <n v="0"/>
    <n v="0"/>
    <n v="0"/>
    <n v="0"/>
    <n v="45605.69999999999"/>
    <n v="0"/>
    <n v="0"/>
    <n v="0"/>
    <n v="0"/>
    <n v="0"/>
    <n v="0"/>
    <n v="0"/>
    <n v="0"/>
    <n v="45605.69999999999"/>
    <n v="0"/>
    <n v="0"/>
  </r>
  <r>
    <x v="148"/>
    <s v="PURANI SALEMPUR"/>
    <s v="vlc"/>
    <s v="Indirect"/>
    <n v="1684.1999999999998"/>
    <n v="68672.449999999983"/>
    <n v="0"/>
    <n v="0"/>
    <n v="0"/>
    <n v="0"/>
    <n v="0"/>
    <n v="0"/>
    <n v="68672.449999999983"/>
    <n v="0"/>
    <n v="0"/>
    <n v="0"/>
    <n v="0"/>
    <n v="0"/>
    <n v="0"/>
    <n v="0"/>
    <n v="0"/>
    <n v="68672.449999999983"/>
    <n v="0"/>
    <n v="0"/>
  </r>
  <r>
    <x v="149"/>
    <s v="DHANDHHA"/>
    <s v="MPG"/>
    <s v="Indirect"/>
    <n v="2797.4999999999995"/>
    <n v="113997.08"/>
    <n v="0"/>
    <n v="0"/>
    <n v="0"/>
    <n v="0"/>
    <n v="0"/>
    <n v="0"/>
    <n v="113997.08"/>
    <n v="0"/>
    <n v="0"/>
    <n v="0"/>
    <n v="0"/>
    <n v="0"/>
    <n v="0"/>
    <n v="0"/>
    <n v="0"/>
    <n v="113997.08"/>
    <n v="0"/>
    <n v="0"/>
  </r>
  <r>
    <x v="150"/>
    <s v="CHALISH"/>
    <s v="vlc"/>
    <s v="Indirect"/>
    <n v="806.6"/>
    <n v="34066.209999999992"/>
    <n v="0"/>
    <n v="0"/>
    <n v="0"/>
    <n v="0"/>
    <n v="0"/>
    <n v="0"/>
    <n v="34066.209999999992"/>
    <n v="0"/>
    <n v="0"/>
    <n v="0"/>
    <n v="0"/>
    <n v="0"/>
    <n v="0"/>
    <n v="0"/>
    <n v="0"/>
    <n v="34066.209999999992"/>
    <n v="0"/>
    <n v="0"/>
  </r>
  <r>
    <x v="151"/>
    <s v="MAA BHAGWATI"/>
    <s v="vlc"/>
    <s v="Indirect"/>
    <n v="804.90000000000009"/>
    <n v="30342.960000000003"/>
    <n v="0"/>
    <n v="0"/>
    <n v="0"/>
    <n v="0"/>
    <n v="0"/>
    <n v="0"/>
    <n v="30342.960000000003"/>
    <n v="0"/>
    <n v="0"/>
    <n v="0"/>
    <n v="0"/>
    <n v="0"/>
    <n v="0"/>
    <n v="0"/>
    <n v="0"/>
    <n v="30342.960000000003"/>
    <n v="0"/>
    <n v="0"/>
  </r>
  <r>
    <x v="152"/>
    <s v="MAIDINICHOKI"/>
    <s v="vlc"/>
    <s v="Indirect"/>
    <n v="496.00000000000006"/>
    <n v="20292.740000000002"/>
    <n v="0"/>
    <n v="0"/>
    <n v="0"/>
    <n v="0"/>
    <n v="0"/>
    <n v="0"/>
    <n v="20292.740000000002"/>
    <n v="0"/>
    <n v="0"/>
    <n v="0"/>
    <n v="0"/>
    <n v="0"/>
    <n v="0"/>
    <n v="0"/>
    <n v="0"/>
    <n v="20292.740000000002"/>
    <n v="0"/>
    <n v="0"/>
  </r>
  <r>
    <x v="153"/>
    <s v="GOMUKH JAJWARA"/>
    <s v="vlc"/>
    <s v="Indirect"/>
    <n v="1240.6999999999998"/>
    <n v="53884.69999999999"/>
    <n v="0"/>
    <n v="0"/>
    <n v="0"/>
    <n v="0"/>
    <n v="0"/>
    <n v="0"/>
    <n v="53884.69999999999"/>
    <n v="0"/>
    <n v="0"/>
    <n v="0"/>
    <n v="0"/>
    <n v="0"/>
    <n v="0"/>
    <n v="0"/>
    <n v="0"/>
    <n v="53884.69999999999"/>
    <n v="0"/>
    <n v="0"/>
  </r>
  <r>
    <x v="154"/>
    <s v="Gomukh ID Sonvarsha"/>
    <s v="vlc"/>
    <s v="Indirect"/>
    <n v="1949.8999999999999"/>
    <n v="83303.539999999994"/>
    <n v="0"/>
    <n v="0"/>
    <n v="0"/>
    <n v="0"/>
    <n v="0"/>
    <n v="0"/>
    <n v="83303.539999999994"/>
    <n v="0"/>
    <n v="0"/>
    <n v="0"/>
    <n v="0"/>
    <n v="0"/>
    <n v="0"/>
    <n v="0"/>
    <n v="0"/>
    <n v="83303.539999999994"/>
    <n v="0"/>
    <n v="0"/>
  </r>
  <r>
    <x v="155"/>
    <s v="BALHAPUR"/>
    <s v="MPG"/>
    <s v="Direct"/>
    <n v="566.70000000000016"/>
    <n v="27696.18"/>
    <n v="564.6"/>
    <n v="27295.930000000004"/>
    <n v="11.450000000000001"/>
    <n v="551.74"/>
    <n v="576.05000000000007"/>
    <n v="27847.670000000006"/>
    <n v="27696.18"/>
    <n v="0"/>
    <n v="551.74"/>
    <n v="151.49000000000524"/>
    <n v="0"/>
    <n v="0"/>
    <n v="0"/>
    <n v="27144"/>
    <n v="0"/>
    <n v="0"/>
    <n v="0"/>
    <n v="0"/>
  </r>
  <r>
    <x v="156"/>
    <s v="Gomukh ID Husaina"/>
    <s v="vlc"/>
    <s v="Indirect"/>
    <n v="563.29999999999995"/>
    <n v="21745.88"/>
    <n v="0"/>
    <n v="0"/>
    <n v="0"/>
    <n v="0"/>
    <n v="0"/>
    <n v="0"/>
    <n v="21745.88"/>
    <n v="0"/>
    <n v="0"/>
    <n v="0"/>
    <n v="0"/>
    <n v="0"/>
    <n v="0"/>
    <n v="0"/>
    <n v="0"/>
    <n v="21745.88"/>
    <n v="0"/>
    <n v="0"/>
  </r>
  <r>
    <x v="157"/>
    <s v="Gomukh ID Prarotol"/>
    <s v="vlc"/>
    <s v="Indirect"/>
    <n v="181.39999999999998"/>
    <n v="8186.69"/>
    <n v="0"/>
    <n v="0"/>
    <n v="0"/>
    <n v="0"/>
    <n v="0"/>
    <n v="0"/>
    <n v="8186.69"/>
    <n v="0"/>
    <n v="0"/>
    <n v="0"/>
    <n v="0"/>
    <n v="0"/>
    <n v="0"/>
    <n v="0"/>
    <n v="0"/>
    <n v="8186.69"/>
    <n v="0"/>
    <n v="0"/>
  </r>
  <r>
    <x v="158"/>
    <s v="MAA SARDE"/>
    <s v="vlc"/>
    <s v="Indirect"/>
    <n v="1395.4"/>
    <n v="53463.72"/>
    <n v="0"/>
    <n v="0"/>
    <n v="0"/>
    <n v="0"/>
    <n v="0"/>
    <n v="0"/>
    <n v="53463.72"/>
    <n v="0"/>
    <n v="0"/>
    <n v="0"/>
    <n v="0"/>
    <n v="0"/>
    <n v="0"/>
    <n v="0"/>
    <n v="0"/>
    <n v="53463.72"/>
    <n v="0"/>
    <n v="0"/>
  </r>
  <r>
    <x v="159"/>
    <s v="PURANI DIH"/>
    <s v="vlc"/>
    <s v="Indirect"/>
    <n v="2470.1"/>
    <n v="107591.61000000002"/>
    <n v="0"/>
    <n v="0"/>
    <n v="0"/>
    <n v="0"/>
    <n v="0"/>
    <n v="0"/>
    <n v="107591.61000000002"/>
    <n v="0"/>
    <n v="0"/>
    <n v="0"/>
    <n v="0"/>
    <n v="0"/>
    <n v="0"/>
    <n v="0"/>
    <n v="0"/>
    <n v="107591.61000000002"/>
    <n v="0"/>
    <n v="0"/>
  </r>
  <r>
    <x v="160"/>
    <s v="Farda Ravi Tola"/>
    <s v="MPG"/>
    <s v="Direct"/>
    <n v="949.5"/>
    <n v="36409.130000000005"/>
    <n v="642.29999999999984"/>
    <n v="25369.989999999998"/>
    <n v="424.00000000000006"/>
    <n v="16597"/>
    <n v="1066.3"/>
    <n v="41966.99"/>
    <n v="36409.130000000005"/>
    <n v="0"/>
    <n v="579.38"/>
    <n v="5557.8599999999933"/>
    <n v="0"/>
    <n v="0"/>
    <n v="0"/>
    <n v="19813"/>
    <n v="16017"/>
    <n v="0"/>
    <n v="0"/>
    <n v="0"/>
  </r>
  <r>
    <x v="161"/>
    <s v="Gomukh Puranidih 2"/>
    <s v="MPG"/>
    <s v="Indirect"/>
    <n v="135.10000000000002"/>
    <n v="6242.89"/>
    <n v="0"/>
    <n v="0"/>
    <n v="0"/>
    <n v="0"/>
    <n v="0"/>
    <n v="0"/>
    <n v="6242.89"/>
    <n v="0"/>
    <n v="0"/>
    <n v="0"/>
    <n v="0"/>
    <n v="0"/>
    <n v="0"/>
    <n v="0"/>
    <n v="0"/>
    <n v="6242.89"/>
    <n v="0"/>
    <n v="0"/>
  </r>
  <r>
    <x v="162"/>
    <s v="Gomukh Arma"/>
    <s v="MPG"/>
    <s v="Direct"/>
    <n v="1023.9999999999999"/>
    <n v="52835.95"/>
    <n v="663.1"/>
    <n v="38320.03"/>
    <n v="367.04999999999995"/>
    <n v="17500.600000000002"/>
    <n v="1030.1500000000001"/>
    <n v="55820.630000000005"/>
    <n v="52835.95"/>
    <n v="0"/>
    <n v="0"/>
    <n v="2984.6800000000076"/>
    <n v="0"/>
    <n v="0"/>
    <n v="0"/>
    <n v="35336"/>
    <n v="17500"/>
    <n v="0"/>
    <n v="0"/>
    <n v="0"/>
  </r>
  <r>
    <x v="163"/>
    <s v="Singhchak"/>
    <s v="MPG"/>
    <s v="Direct"/>
    <n v="1655.5000000000002"/>
    <n v="74161.37"/>
    <n v="1700.5399999999997"/>
    <n v="76661.439999999988"/>
    <n v="22.86"/>
    <n v="1023.9300000000001"/>
    <n v="1723.3999999999996"/>
    <n v="77685.369999999981"/>
    <n v="74161.37"/>
    <n v="0"/>
    <n v="1023.9300000000001"/>
    <n v="3523.9999999999854"/>
    <n v="0"/>
    <n v="0"/>
    <n v="0"/>
    <n v="75259"/>
    <n v="0"/>
    <n v="0"/>
    <n v="-2122"/>
    <s v="Release2"/>
  </r>
  <r>
    <x v="164"/>
    <s v="MAHA-LAXMI"/>
    <s v="vlc"/>
    <s v="Indirect"/>
    <n v="335.59999999999997"/>
    <n v="12536.580000000002"/>
    <n v="0"/>
    <n v="0"/>
    <n v="0"/>
    <n v="0"/>
    <n v="0"/>
    <n v="0"/>
    <n v="12536.580000000002"/>
    <n v="0"/>
    <n v="0"/>
    <n v="0"/>
    <n v="0"/>
    <n v="0"/>
    <n v="0"/>
    <n v="0"/>
    <n v="0"/>
    <n v="12536.580000000002"/>
    <n v="0"/>
    <n v="0"/>
  </r>
  <r>
    <x v="165"/>
    <s v="PAWAI"/>
    <s v="MPG"/>
    <s v="Direct"/>
    <n v="2746.2"/>
    <n v="136623.52000000002"/>
    <n v="2341.5000000000005"/>
    <n v="116407.32999999999"/>
    <n v="417.73999999999995"/>
    <n v="21075.67"/>
    <n v="2759.2400000000002"/>
    <n v="137483"/>
    <n v="136623.52000000002"/>
    <n v="0"/>
    <n v="1326.36"/>
    <n v="859.47999999998137"/>
    <n v="0"/>
    <n v="0"/>
    <n v="0"/>
    <n v="115548"/>
    <n v="19749"/>
    <n v="0"/>
    <n v="0"/>
    <n v="0"/>
  </r>
  <r>
    <x v="166"/>
    <s v="LAKHOCHAK                                                                                           "/>
    <s v="MPG"/>
    <s v="Direct"/>
    <n v="414.8"/>
    <n v="18538.780000000002"/>
    <n v="416.67999999999995"/>
    <n v="17963.829999999998"/>
    <n v="0"/>
    <n v="0"/>
    <n v="416.67999999999995"/>
    <n v="17963.829999999998"/>
    <n v="17963.829999999998"/>
    <n v="0"/>
    <n v="0"/>
    <n v="0"/>
    <n v="2522"/>
    <n v="0"/>
    <n v="0"/>
    <n v="15443"/>
    <n v="0"/>
    <n v="0"/>
    <n v="574"/>
    <s v="Release1"/>
  </r>
  <r>
    <x v="167"/>
    <s v="BATTA RAMPUR                                                                                        "/>
    <s v="MPG"/>
    <s v="Direct"/>
    <n v="3362.2000000000003"/>
    <n v="181198.71000000002"/>
    <n v="3394.9800000000005"/>
    <n v="182217.58999999997"/>
    <n v="32.340000000000003"/>
    <n v="2102.1"/>
    <n v="3427.3200000000006"/>
    <n v="184319.68999999997"/>
    <n v="181198.71000000002"/>
    <n v="0"/>
    <n v="2102.1"/>
    <n v="3120.9799999999523"/>
    <n v="0"/>
    <n v="0"/>
    <n v="0"/>
    <n v="179097"/>
    <n v="0"/>
    <n v="0"/>
    <n v="0"/>
    <n v="0"/>
  </r>
  <r>
    <x v="168"/>
    <s v="URAIN"/>
    <s v="MPG"/>
    <s v="Direct"/>
    <n v="3357.0999999999995"/>
    <n v="173093.46"/>
    <n v="621.1400000000001"/>
    <n v="34810.910000000003"/>
    <n v="3743.9999999999995"/>
    <n v="212112.33999999997"/>
    <n v="4365.1399999999994"/>
    <n v="246923.24999999997"/>
    <n v="173093.46"/>
    <n v="0"/>
    <n v="0"/>
    <n v="73829.789999999979"/>
    <n v="0"/>
    <n v="0"/>
    <n v="0"/>
    <n v="0"/>
    <n v="173093"/>
    <n v="0"/>
    <n v="0"/>
    <s v="Release2"/>
  </r>
  <r>
    <x v="169"/>
    <s v="RANDHIR KUMAR(VLC)"/>
    <s v="vlc"/>
    <s v="Indirect"/>
    <n v="267.60000000000002"/>
    <n v="10441.34"/>
    <n v="0"/>
    <n v="0"/>
    <n v="0"/>
    <n v="0"/>
    <n v="0"/>
    <n v="0"/>
    <n v="10441.34"/>
    <n v="0"/>
    <n v="0"/>
    <n v="0"/>
    <n v="0"/>
    <n v="0"/>
    <n v="0"/>
    <n v="0"/>
    <n v="0"/>
    <n v="10441.34"/>
    <n v="0"/>
    <n v="0"/>
  </r>
  <r>
    <x v="972"/>
    <s v="Abgil-2 - Sheshnath"/>
    <s v="vlc"/>
    <s v="Indirect"/>
    <n v="524.1"/>
    <n v="23724.18"/>
    <n v="0"/>
    <n v="0"/>
    <n v="0"/>
    <n v="0"/>
    <n v="0"/>
    <n v="0"/>
    <n v="23724.18"/>
    <n v="0"/>
    <n v="0"/>
    <n v="0"/>
    <n v="0"/>
    <n v="0"/>
    <n v="0"/>
    <n v="0"/>
    <n v="0"/>
    <n v="23724.18"/>
    <n v="0"/>
    <n v="0"/>
  </r>
  <r>
    <x v="170"/>
    <s v="MALIYA"/>
    <s v="MPG"/>
    <s v="Direct"/>
    <n v="935.60000000000014"/>
    <n v="43898.340000000004"/>
    <n v="928.96"/>
    <n v="44119.840000000011"/>
    <n v="7.05"/>
    <n v="371.96999999999997"/>
    <n v="936.01"/>
    <n v="44491.810000000012"/>
    <n v="43898.340000000004"/>
    <n v="0"/>
    <n v="371.96999999999997"/>
    <n v="593.47000000000844"/>
    <n v="0"/>
    <n v="0"/>
    <n v="0"/>
    <n v="43526"/>
    <n v="0"/>
    <n v="0"/>
    <n v="0"/>
    <n v="0"/>
  </r>
  <r>
    <x v="171"/>
    <s v="MAHULIYA"/>
    <s v="MPG"/>
    <s v="Direct"/>
    <n v="699.40000000000009"/>
    <n v="33307.43"/>
    <n v="709.36000000000013"/>
    <n v="32858.1"/>
    <n v="9.3999999999999986"/>
    <n v="440.15000000000003"/>
    <n v="718.7600000000001"/>
    <n v="33298.25"/>
    <n v="33298.25"/>
    <n v="0"/>
    <n v="440.15000000000003"/>
    <n v="0"/>
    <n v="0"/>
    <n v="0"/>
    <n v="0"/>
    <n v="32858"/>
    <n v="0"/>
    <n v="0"/>
    <n v="9"/>
    <n v="0"/>
  </r>
  <r>
    <x v="172"/>
    <s v="ABGIL RAMPUR"/>
    <s v="vlc"/>
    <s v="Indirect"/>
    <n v="148.4"/>
    <n v="5812.23"/>
    <n v="0"/>
    <n v="0"/>
    <n v="0"/>
    <n v="0"/>
    <n v="0"/>
    <n v="0"/>
    <n v="5812.23"/>
    <n v="0"/>
    <n v="0"/>
    <n v="0"/>
    <n v="0"/>
    <n v="0"/>
    <n v="0"/>
    <n v="0"/>
    <n v="0"/>
    <n v="5812.23"/>
    <n v="0"/>
    <n v="0"/>
  </r>
  <r>
    <x v="1012"/>
    <s v="ABGIL"/>
    <s v="vlc"/>
    <s v="Indirect"/>
    <n v="279.40000000000003"/>
    <n v="10602.6"/>
    <n v="0"/>
    <n v="0"/>
    <n v="0"/>
    <n v="0"/>
    <n v="0"/>
    <n v="0"/>
    <n v="10602.6"/>
    <n v="0"/>
    <n v="0"/>
    <n v="0"/>
    <n v="0"/>
    <n v="0"/>
    <n v="0"/>
    <n v="0"/>
    <n v="0"/>
    <n v="10602.6"/>
    <n v="0"/>
    <n v="0"/>
  </r>
  <r>
    <x v="173"/>
    <s v="RUPESH KUMAR"/>
    <s v="vlc"/>
    <s v="Indirect"/>
    <n v="244.20000000000002"/>
    <n v="9221.9699999999993"/>
    <n v="0"/>
    <n v="0"/>
    <n v="0"/>
    <n v="0"/>
    <n v="0"/>
    <n v="0"/>
    <n v="9221.9699999999993"/>
    <n v="0"/>
    <n v="0"/>
    <n v="0"/>
    <n v="0"/>
    <n v="0"/>
    <n v="0"/>
    <n v="0"/>
    <n v="0"/>
    <n v="9221.9699999999993"/>
    <n v="0"/>
    <n v="0"/>
  </r>
  <r>
    <x v="174"/>
    <s v="ABGIL HUSSAINA-2                                                                                    "/>
    <s v="MPG"/>
    <s v="Direct"/>
    <n v="376.3"/>
    <n v="15046.57"/>
    <n v="201.11999999999998"/>
    <n v="8194.0199999999986"/>
    <n v="167.82999999999998"/>
    <n v="6860.34"/>
    <n v="368.94999999999993"/>
    <n v="15054.359999999999"/>
    <n v="15046.57"/>
    <n v="0"/>
    <n v="94.67"/>
    <n v="7.7899999999990541"/>
    <n v="0"/>
    <n v="0"/>
    <n v="0"/>
    <n v="8186"/>
    <n v="6766"/>
    <n v="0"/>
    <n v="0"/>
    <n v="0"/>
  </r>
  <r>
    <x v="175"/>
    <s v="Manish Kumar                                                                                        "/>
    <s v="vlc"/>
    <s v="Indirect"/>
    <n v="132.1"/>
    <n v="5079.92"/>
    <n v="0"/>
    <n v="0"/>
    <n v="0"/>
    <n v="0"/>
    <n v="0"/>
    <n v="0"/>
    <n v="5079.92"/>
    <n v="0"/>
    <n v="0"/>
    <n v="0"/>
    <n v="4200"/>
    <n v="0"/>
    <n v="0"/>
    <n v="0"/>
    <n v="0"/>
    <n v="879.92000000000007"/>
    <n v="0"/>
    <n v="0"/>
  </r>
  <r>
    <x v="176"/>
    <s v="AKHA-KURHA"/>
    <s v="vlc"/>
    <s v="Indirect"/>
    <n v="303.09999999999997"/>
    <n v="12861.05"/>
    <n v="0"/>
    <n v="0"/>
    <n v="0"/>
    <n v="0"/>
    <n v="0"/>
    <n v="0"/>
    <n v="12861.05"/>
    <n v="0"/>
    <n v="0"/>
    <n v="0"/>
    <n v="0"/>
    <n v="0"/>
    <n v="0"/>
    <n v="0"/>
    <n v="0"/>
    <n v="12861.05"/>
    <n v="0"/>
    <n v="0"/>
  </r>
  <r>
    <x v="177"/>
    <s v="BHANDAR"/>
    <s v="MPG"/>
    <s v="Direct"/>
    <n v="306.60000000000002"/>
    <n v="14488.59"/>
    <n v="306.60000000000008"/>
    <n v="14488.59"/>
    <n v="0"/>
    <n v="0"/>
    <n v="306.60000000000008"/>
    <n v="14488.59"/>
    <n v="14488.59"/>
    <n v="0"/>
    <n v="0"/>
    <n v="0"/>
    <n v="0"/>
    <n v="0"/>
    <n v="0"/>
    <n v="14489"/>
    <n v="0"/>
    <n v="0"/>
    <n v="0"/>
    <n v="0"/>
  </r>
  <r>
    <x v="178"/>
    <s v="BASMATIYA"/>
    <s v="MPG"/>
    <s v="Direct"/>
    <n v="359.20000000000005"/>
    <n v="16262.78"/>
    <n v="350.75"/>
    <n v="16347.11"/>
    <n v="6.1300000000000008"/>
    <n v="283.39999999999998"/>
    <n v="356.88"/>
    <n v="16630.510000000002"/>
    <n v="16262.78"/>
    <n v="0"/>
    <n v="283.39999999999998"/>
    <n v="367.73000000000138"/>
    <n v="0"/>
    <n v="0"/>
    <n v="0"/>
    <n v="15979"/>
    <n v="0"/>
    <n v="0"/>
    <n v="0"/>
    <s v="Release3"/>
  </r>
  <r>
    <x v="179"/>
    <s v="AKHA KURHA"/>
    <s v="MPG"/>
    <s v="Direct"/>
    <n v="364.09999999999997"/>
    <n v="15531.999999999998"/>
    <n v="364.09999999999997"/>
    <n v="15539.349999999999"/>
    <n v="0"/>
    <n v="0"/>
    <n v="364.09999999999997"/>
    <n v="15539.349999999999"/>
    <n v="15531.999999999998"/>
    <n v="0"/>
    <n v="0"/>
    <n v="7.3500000000003638"/>
    <n v="0"/>
    <n v="0"/>
    <n v="0"/>
    <n v="15532"/>
    <n v="0"/>
    <n v="0"/>
    <n v="0"/>
    <n v="0"/>
  </r>
  <r>
    <x v="180"/>
    <s v="TILATHI"/>
    <s v="MPG"/>
    <s v="Direct"/>
    <n v="1416.7"/>
    <n v="61236.909999999996"/>
    <n v="1271.67"/>
    <n v="53546.63"/>
    <n v="179.78"/>
    <n v="7901.0600000000013"/>
    <n v="1451.45"/>
    <n v="61447.69"/>
    <n v="61236.909999999996"/>
    <n v="0"/>
    <n v="876.6400000000001"/>
    <n v="210.78000000000611"/>
    <n v="0"/>
    <n v="0"/>
    <n v="0"/>
    <n v="53336"/>
    <n v="7024"/>
    <n v="0"/>
    <n v="0"/>
    <n v="0"/>
  </r>
  <r>
    <x v="181"/>
    <s v="GOMUKH WESTOL"/>
    <s v="vlc"/>
    <s v="Indirect"/>
    <n v="2915.4000000000005"/>
    <n v="117628.83000000002"/>
    <n v="0"/>
    <n v="0"/>
    <n v="0"/>
    <n v="0"/>
    <n v="0"/>
    <n v="0"/>
    <n v="117628.83000000002"/>
    <n v="0"/>
    <n v="0"/>
    <n v="0"/>
    <n v="0"/>
    <n v="0"/>
    <n v="0"/>
    <n v="0"/>
    <n v="0"/>
    <n v="117628.83000000002"/>
    <n v="0"/>
    <n v="0"/>
  </r>
  <r>
    <x v="182"/>
    <s v="GOMUKH NAWTOLIYA(OM PRAKASH)"/>
    <s v="vlc"/>
    <s v="Indirect"/>
    <n v="516"/>
    <n v="17596.240000000002"/>
    <n v="0"/>
    <n v="0"/>
    <n v="0"/>
    <n v="0"/>
    <n v="0"/>
    <n v="0"/>
    <n v="17596.240000000002"/>
    <n v="0"/>
    <n v="0"/>
    <n v="0"/>
    <n v="0"/>
    <n v="0"/>
    <n v="0"/>
    <n v="0"/>
    <n v="0"/>
    <n v="17596.240000000002"/>
    <n v="0"/>
    <n v="0"/>
  </r>
  <r>
    <x v="183"/>
    <s v="SANGRAMPUR"/>
    <s v="MPG"/>
    <s v="Direct"/>
    <n v="611"/>
    <n v="28061.579999999998"/>
    <n v="839.7600000000001"/>
    <n v="36696.149999999994"/>
    <n v="0"/>
    <n v="0"/>
    <n v="839.7600000000001"/>
    <n v="36696.149999999994"/>
    <n v="28061.579999999998"/>
    <n v="0"/>
    <n v="0"/>
    <n v="8634.5699999999961"/>
    <n v="0"/>
    <n v="0"/>
    <n v="0"/>
    <n v="28062"/>
    <n v="0"/>
    <n v="0"/>
    <n v="0"/>
    <n v="0"/>
  </r>
  <r>
    <x v="184"/>
    <s v="GOMUKH CHASMASKAN"/>
    <s v="vlc"/>
    <s v="Indirect"/>
    <n v="1044.7"/>
    <n v="39857.62999999999"/>
    <n v="0"/>
    <n v="0"/>
    <n v="0"/>
    <n v="0"/>
    <n v="0"/>
    <n v="0"/>
    <n v="39857.62999999999"/>
    <n v="0"/>
    <n v="0"/>
    <n v="0"/>
    <n v="0"/>
    <n v="0"/>
    <n v="0"/>
    <n v="0"/>
    <n v="0"/>
    <n v="39857.62999999999"/>
    <n v="0"/>
    <n v="0"/>
  </r>
  <r>
    <x v="973"/>
    <s v="GOMUKH KAJITOLA"/>
    <s v="vlc"/>
    <s v="Indirect"/>
    <n v="1146.2"/>
    <n v="47356.810000000012"/>
    <n v="0"/>
    <n v="0"/>
    <n v="0"/>
    <n v="0"/>
    <n v="0"/>
    <n v="0"/>
    <n v="47356.810000000012"/>
    <n v="0"/>
    <n v="0"/>
    <n v="0"/>
    <n v="0"/>
    <n v="0"/>
    <n v="0"/>
    <n v="0"/>
    <n v="0"/>
    <n v="47356.810000000012"/>
    <n v="0"/>
    <n v="0"/>
  </r>
  <r>
    <x v="185"/>
    <s v="RAMDEV TOLA"/>
    <s v="MPG"/>
    <s v="Direct"/>
    <n v="1938.6"/>
    <n v="87973.1"/>
    <n v="1357.9700000000005"/>
    <n v="65500.400000000009"/>
    <n v="574.05000000000007"/>
    <n v="23877.249999999996"/>
    <n v="1932.0200000000004"/>
    <n v="89377.650000000009"/>
    <n v="87973.1"/>
    <n v="0"/>
    <n v="585.89"/>
    <n v="1404.5500000000029"/>
    <n v="0"/>
    <n v="0"/>
    <n v="0"/>
    <n v="64096"/>
    <n v="23291"/>
    <n v="0"/>
    <n v="0"/>
    <n v="0"/>
  </r>
  <r>
    <x v="186"/>
    <s v="GOMUKH KATEHAR"/>
    <s v="vlc"/>
    <s v="Indirect"/>
    <n v="1895.6"/>
    <n v="71212.319999999992"/>
    <n v="0"/>
    <n v="0"/>
    <n v="0"/>
    <n v="0"/>
    <n v="0"/>
    <n v="0"/>
    <n v="71212.319999999992"/>
    <n v="0"/>
    <n v="0"/>
    <n v="0"/>
    <n v="0"/>
    <n v="0"/>
    <n v="0"/>
    <n v="0"/>
    <n v="0"/>
    <n v="71212.319999999992"/>
    <n v="0"/>
    <n v="0"/>
  </r>
  <r>
    <x v="187"/>
    <s v="PIPARPATI"/>
    <s v="MPG"/>
    <s v="Direct"/>
    <n v="842.90000000000009"/>
    <n v="42034.84"/>
    <n v="840.0200000000001"/>
    <n v="46696.02"/>
    <n v="8.43"/>
    <n v="368.73"/>
    <n v="848.45"/>
    <n v="47064.75"/>
    <n v="42034.84"/>
    <n v="0"/>
    <n v="368.73"/>
    <n v="5029.9100000000035"/>
    <n v="0"/>
    <n v="0"/>
    <n v="0"/>
    <n v="41666"/>
    <n v="0"/>
    <n v="0"/>
    <n v="0"/>
    <n v="0"/>
  </r>
  <r>
    <x v="188"/>
    <s v="GOMUKH JAGMAGLA"/>
    <s v="vlc"/>
    <s v="Indirect"/>
    <n v="1014.5"/>
    <n v="41000.629999999997"/>
    <n v="0"/>
    <n v="0"/>
    <n v="0"/>
    <n v="0"/>
    <n v="0"/>
    <n v="0"/>
    <n v="41000.629999999997"/>
    <n v="0"/>
    <n v="0"/>
    <n v="0"/>
    <n v="0"/>
    <n v="0"/>
    <n v="0"/>
    <n v="0"/>
    <n v="0"/>
    <n v="41000.629999999997"/>
    <n v="0"/>
    <n v="0"/>
  </r>
  <r>
    <x v="189"/>
    <s v="ORABAGICHA"/>
    <s v="MPG"/>
    <s v="Direct"/>
    <n v="514.09999999999991"/>
    <n v="21750.089999999997"/>
    <n v="259.19999999999993"/>
    <n v="11032.62"/>
    <n v="313.8"/>
    <n v="13245.6"/>
    <n v="573"/>
    <n v="24278.22"/>
    <n v="21750.089999999997"/>
    <n v="0"/>
    <n v="125.57"/>
    <n v="2528.1300000000047"/>
    <n v="0"/>
    <n v="500"/>
    <n v="0"/>
    <n v="8004"/>
    <n v="13120"/>
    <n v="0"/>
    <n v="1"/>
    <n v="0"/>
  </r>
  <r>
    <x v="190"/>
    <s v="KHAJURIYA"/>
    <s v="MPG"/>
    <s v="Direct"/>
    <n v="385.4"/>
    <n v="16364.379999999997"/>
    <n v="381.71000000000004"/>
    <n v="18391.519999999997"/>
    <n v="0"/>
    <n v="0"/>
    <n v="381.71000000000004"/>
    <n v="18391.519999999997"/>
    <n v="16364.379999999997"/>
    <n v="0"/>
    <n v="0"/>
    <n v="2027.1399999999994"/>
    <n v="0"/>
    <n v="0"/>
    <n v="0"/>
    <n v="16364"/>
    <n v="0"/>
    <n v="0"/>
    <n v="0"/>
    <s v="Release2"/>
  </r>
  <r>
    <x v="191"/>
    <s v="NAYA SALEMPUR"/>
    <s v="vlc"/>
    <s v="Indirect"/>
    <n v="883.9"/>
    <n v="35852.170000000006"/>
    <n v="0"/>
    <n v="0"/>
    <n v="0"/>
    <n v="0"/>
    <n v="0"/>
    <n v="0"/>
    <n v="35852.170000000006"/>
    <n v="0"/>
    <n v="0"/>
    <n v="0"/>
    <n v="0"/>
    <n v="0"/>
    <n v="0"/>
    <n v="0"/>
    <n v="0"/>
    <n v="35852.170000000006"/>
    <n v="0"/>
    <n v="0"/>
  </r>
  <r>
    <x v="192"/>
    <s v="MANO 2"/>
    <s v="MPG"/>
    <s v="Direct"/>
    <n v="209.50000000000003"/>
    <n v="9840.24"/>
    <n v="209.5"/>
    <n v="9840.25"/>
    <n v="0"/>
    <n v="0"/>
    <n v="209.5"/>
    <n v="9840.25"/>
    <n v="9840.24"/>
    <n v="0"/>
    <n v="0"/>
    <n v="1.0000000000218279E-2"/>
    <n v="0"/>
    <n v="0"/>
    <n v="0"/>
    <n v="9840"/>
    <n v="0"/>
    <n v="0"/>
    <n v="0"/>
    <n v="0"/>
  </r>
  <r>
    <x v="193"/>
    <s v="Champanagar"/>
    <s v="MPG"/>
    <s v="Direct"/>
    <n v="427.50000000000006"/>
    <n v="23091.51"/>
    <n v="435.5"/>
    <n v="23440.269999999997"/>
    <n v="0"/>
    <n v="0"/>
    <n v="435.5"/>
    <n v="23440.269999999997"/>
    <n v="23091.51"/>
    <n v="0"/>
    <n v="0"/>
    <n v="348.7599999999984"/>
    <n v="0"/>
    <n v="500"/>
    <n v="0"/>
    <n v="22592"/>
    <n v="0"/>
    <n v="0"/>
    <n v="0"/>
    <n v="0"/>
  </r>
  <r>
    <x v="194"/>
    <s v="LOSDHANI"/>
    <s v="MPG"/>
    <s v="Direct"/>
    <n v="107.9"/>
    <n v="3902.65"/>
    <n v="108.50000000000001"/>
    <n v="4057.4"/>
    <n v="0.2"/>
    <n v="7.62"/>
    <n v="108.70000000000002"/>
    <n v="4065.02"/>
    <n v="3902.65"/>
    <n v="0"/>
    <n v="7.62"/>
    <n v="162.36999999999989"/>
    <n v="0"/>
    <n v="0"/>
    <n v="0"/>
    <n v="3895"/>
    <n v="0"/>
    <n v="0"/>
    <n v="0"/>
    <n v="0"/>
  </r>
  <r>
    <x v="195"/>
    <s v="GOMUKH BAGALWA"/>
    <s v="MPG"/>
    <s v="Direct"/>
    <n v="434.5"/>
    <n v="22951.5"/>
    <n v="30.88"/>
    <n v="1406.9199999999998"/>
    <n v="393.37000000000006"/>
    <n v="23454.409999999996"/>
    <n v="424.25000000000006"/>
    <n v="24861.329999999994"/>
    <n v="22951.5"/>
    <n v="0"/>
    <n v="0"/>
    <n v="1909.8299999999945"/>
    <n v="0"/>
    <n v="0"/>
    <n v="0"/>
    <n v="0"/>
    <n v="22951"/>
    <n v="0"/>
    <n v="1"/>
    <s v="Release2"/>
  </r>
  <r>
    <x v="196"/>
    <s v="GOMUKH BHITAKITA"/>
    <s v="vlc"/>
    <s v="Indirect"/>
    <n v="50.300000000000004"/>
    <n v="1900.46"/>
    <n v="0"/>
    <n v="0"/>
    <n v="0"/>
    <n v="0"/>
    <n v="0"/>
    <n v="0"/>
    <n v="1900.46"/>
    <n v="0"/>
    <n v="0"/>
    <n v="0"/>
    <n v="0"/>
    <n v="0"/>
    <n v="0"/>
    <n v="0"/>
    <n v="0"/>
    <n v="1900.46"/>
    <n v="0"/>
    <n v="0"/>
  </r>
  <r>
    <x v="197"/>
    <s v="GOMUKH OJONTOLA"/>
    <s v="vlc"/>
    <s v="Indirect"/>
    <n v="130.69999999999999"/>
    <n v="5306.9699999999993"/>
    <n v="0"/>
    <n v="0"/>
    <n v="0"/>
    <n v="0"/>
    <n v="0"/>
    <n v="0"/>
    <n v="5306.9699999999993"/>
    <n v="0"/>
    <n v="0"/>
    <n v="0"/>
    <n v="0"/>
    <n v="0"/>
    <n v="0"/>
    <n v="0"/>
    <n v="0"/>
    <n v="5306.9699999999993"/>
    <n v="0"/>
    <n v="0"/>
  </r>
  <r>
    <x v="198"/>
    <s v="KHUDDIBAN SHIVNAGAR"/>
    <s v="MPG"/>
    <s v="Direct"/>
    <n v="1001.2000000000002"/>
    <n v="35215.64"/>
    <n v="617.5"/>
    <n v="21640.78"/>
    <n v="463.9"/>
    <n v="16775.080000000002"/>
    <n v="1081.4000000000001"/>
    <n v="38415.86"/>
    <n v="35215.64"/>
    <n v="0"/>
    <n v="0"/>
    <n v="3200.2200000000012"/>
    <n v="0"/>
    <n v="0"/>
    <n v="0"/>
    <n v="18439"/>
    <n v="16777"/>
    <n v="0"/>
    <n v="0"/>
    <n v="0"/>
  </r>
  <r>
    <x v="199"/>
    <s v="BARIYARPUR"/>
    <s v="MPG"/>
    <s v="Direct"/>
    <n v="426.00000000000006"/>
    <n v="18660.999999999996"/>
    <n v="299.8"/>
    <n v="13753.43"/>
    <n v="169"/>
    <n v="6971.4"/>
    <n v="468.8"/>
    <n v="20724.830000000002"/>
    <n v="18660.999999999996"/>
    <n v="0"/>
    <n v="198.42000000000004"/>
    <n v="2063.8300000000054"/>
    <n v="0"/>
    <n v="0"/>
    <n v="0"/>
    <n v="11690"/>
    <n v="6773"/>
    <n v="0"/>
    <n v="0"/>
    <n v="0"/>
  </r>
  <r>
    <x v="200"/>
    <s v="MASUDAN"/>
    <s v="MPG"/>
    <s v="Direct"/>
    <n v="1963.1000000000001"/>
    <n v="87450.680000000022"/>
    <n v="1655.7900000000004"/>
    <n v="78577.179999999993"/>
    <n v="177.67999999999998"/>
    <n v="8864.4599999999991"/>
    <n v="1833.4700000000005"/>
    <n v="87441.639999999985"/>
    <n v="87441.639999999985"/>
    <n v="0"/>
    <n v="584.81999999999994"/>
    <n v="0"/>
    <n v="7000"/>
    <n v="0"/>
    <n v="0"/>
    <n v="71576"/>
    <n v="8279"/>
    <n v="0"/>
    <n v="11"/>
    <s v="Release1"/>
  </r>
  <r>
    <x v="201"/>
    <s v="GOMUKH BOHLA"/>
    <s v="vlc"/>
    <s v="Indirect"/>
    <n v="688.7"/>
    <n v="26021.519999999997"/>
    <n v="0"/>
    <n v="0"/>
    <n v="0"/>
    <n v="0"/>
    <n v="0"/>
    <n v="0"/>
    <n v="26021.519999999997"/>
    <n v="0"/>
    <n v="0"/>
    <n v="0"/>
    <n v="0"/>
    <n v="0"/>
    <n v="0"/>
    <n v="0"/>
    <n v="0"/>
    <n v="26021.519999999997"/>
    <n v="0"/>
    <n v="0"/>
  </r>
  <r>
    <x v="974"/>
    <s v="TOTAHA"/>
    <s v="vlc"/>
    <s v="Direct"/>
    <n v="365.7"/>
    <n v="15559.37"/>
    <n v="326.95999999999998"/>
    <n v="13520.01"/>
    <n v="40.200000000000003"/>
    <n v="1639.5500000000002"/>
    <n v="367.15999999999997"/>
    <n v="15159.560000000001"/>
    <n v="15159.560000000001"/>
    <n v="0"/>
    <n v="0"/>
    <n v="0"/>
    <n v="0"/>
    <n v="0"/>
    <n v="0"/>
    <n v="13520"/>
    <n v="1639"/>
    <n v="0"/>
    <n v="400"/>
    <n v="0"/>
  </r>
  <r>
    <x v="202"/>
    <s v="GOMUKH RAMPUR"/>
    <s v="vlc"/>
    <s v="Indirect"/>
    <n v="706.80000000000007"/>
    <n v="24063.060000000005"/>
    <n v="0"/>
    <n v="0"/>
    <n v="0"/>
    <n v="0"/>
    <n v="0"/>
    <n v="0"/>
    <n v="24063.060000000005"/>
    <n v="0"/>
    <n v="0"/>
    <n v="0"/>
    <n v="0"/>
    <n v="0"/>
    <n v="0"/>
    <n v="0"/>
    <n v="0"/>
    <n v="24063.060000000005"/>
    <n v="0"/>
    <n v="0"/>
  </r>
  <r>
    <x v="203"/>
    <s v="Gomukh ID Araria"/>
    <s v="vlc"/>
    <s v="Indirect"/>
    <n v="4698.4999999999991"/>
    <n v="190521.7"/>
    <n v="0"/>
    <n v="0"/>
    <n v="0"/>
    <n v="0"/>
    <n v="0"/>
    <n v="0"/>
    <n v="190521.7"/>
    <n v="0"/>
    <n v="0"/>
    <n v="0"/>
    <n v="0"/>
    <n v="0"/>
    <n v="0"/>
    <n v="0"/>
    <n v="0"/>
    <n v="190521.7"/>
    <n v="0"/>
    <n v="0"/>
  </r>
  <r>
    <x v="204"/>
    <s v="Gomukh ID Chaidha"/>
    <s v="vlc"/>
    <s v="Indirect"/>
    <n v="778.80000000000007"/>
    <n v="27834.05"/>
    <n v="0"/>
    <n v="0"/>
    <n v="0"/>
    <n v="0"/>
    <n v="0"/>
    <n v="0"/>
    <n v="27834.05"/>
    <n v="0"/>
    <n v="0"/>
    <n v="0"/>
    <n v="0"/>
    <n v="0"/>
    <n v="0"/>
    <n v="0"/>
    <n v="0"/>
    <n v="27834.05"/>
    <n v="0"/>
    <n v="0"/>
  </r>
  <r>
    <x v="205"/>
    <s v="Gomukh ID Pakrail"/>
    <s v="MPG"/>
    <s v="Indirect"/>
    <n v="67.599999999999994"/>
    <n v="2151.35"/>
    <n v="0"/>
    <n v="0"/>
    <n v="0"/>
    <n v="0"/>
    <n v="0"/>
    <n v="0"/>
    <n v="2151.35"/>
    <n v="0"/>
    <n v="0"/>
    <n v="0"/>
    <n v="0"/>
    <n v="0"/>
    <n v="0"/>
    <n v="0"/>
    <n v="0"/>
    <n v="2151.35"/>
    <n v="0"/>
    <n v="0"/>
  </r>
  <r>
    <x v="206"/>
    <s v="Gomukh ID Pipra"/>
    <s v="MPG"/>
    <s v="Indirect"/>
    <n v="331.40000000000003"/>
    <n v="11383.310000000001"/>
    <n v="0"/>
    <n v="0"/>
    <n v="0"/>
    <n v="0"/>
    <n v="0"/>
    <n v="0"/>
    <n v="11383.310000000001"/>
    <n v="0"/>
    <n v="0"/>
    <n v="0"/>
    <n v="0"/>
    <n v="0"/>
    <n v="0"/>
    <n v="0"/>
    <n v="0"/>
    <n v="11383.310000000001"/>
    <n v="0"/>
    <n v="0"/>
  </r>
  <r>
    <x v="207"/>
    <s v="Gomukh Fatepur                                                                                      "/>
    <s v="MPG"/>
    <s v="Direct"/>
    <n v="189.3"/>
    <n v="7821.64"/>
    <n v="157.86999999999998"/>
    <n v="6181.5"/>
    <n v="33.769999999999996"/>
    <n v="1285.77"/>
    <n v="191.64"/>
    <n v="7467.27"/>
    <n v="7467.27"/>
    <n v="0"/>
    <n v="130.09"/>
    <n v="0"/>
    <n v="0"/>
    <n v="0"/>
    <n v="0"/>
    <n v="6182"/>
    <n v="1155"/>
    <n v="0"/>
    <n v="355"/>
    <n v="0"/>
  </r>
  <r>
    <x v="208"/>
    <s v="Gomukh Gauchhari"/>
    <s v="MPG"/>
    <s v="Direct"/>
    <n v="181.49999999999997"/>
    <n v="7600.2100000000009"/>
    <n v="180.42000000000002"/>
    <n v="7423.6"/>
    <n v="1.4100000000000004"/>
    <n v="58.230000000000004"/>
    <n v="181.83"/>
    <n v="7481.83"/>
    <n v="7481.83"/>
    <n v="0"/>
    <n v="58.230000000000004"/>
    <n v="0"/>
    <n v="0"/>
    <n v="0"/>
    <n v="0"/>
    <n v="7423"/>
    <n v="0"/>
    <n v="0"/>
    <n v="119"/>
    <n v="0"/>
  </r>
  <r>
    <x v="209"/>
    <s v="Gomukh Arariya Karjaniya"/>
    <s v="vlc"/>
    <s v="Indirect"/>
    <n v="10871.300000000001"/>
    <n v="428921.62"/>
    <n v="0"/>
    <n v="0"/>
    <n v="0"/>
    <n v="0"/>
    <n v="0"/>
    <n v="0"/>
    <n v="428921.62"/>
    <n v="0"/>
    <n v="0"/>
    <n v="0"/>
    <n v="0"/>
    <n v="0"/>
    <n v="0"/>
    <n v="0"/>
    <n v="0"/>
    <n v="428921.62"/>
    <n v="0"/>
    <n v="0"/>
  </r>
  <r>
    <x v="210"/>
    <s v="Gomukh Aariya Dummer Kothi"/>
    <s v="vlc"/>
    <s v="Indirect"/>
    <n v="6881.3"/>
    <n v="270157.03999999998"/>
    <n v="0"/>
    <n v="0"/>
    <n v="0"/>
    <n v="0"/>
    <n v="0"/>
    <n v="0"/>
    <n v="270157.03999999998"/>
    <n v="0"/>
    <n v="0"/>
    <n v="0"/>
    <n v="0"/>
    <n v="0"/>
    <n v="0"/>
    <n v="0"/>
    <n v="0"/>
    <n v="270157.03999999998"/>
    <n v="0"/>
    <n v="0"/>
  </r>
  <r>
    <x v="211"/>
    <s v="Gomukh Balha"/>
    <s v="vlc"/>
    <s v="Indirect"/>
    <n v="5332.2"/>
    <n v="206951.72999999998"/>
    <n v="0"/>
    <n v="0"/>
    <n v="0"/>
    <n v="0"/>
    <n v="0"/>
    <n v="0"/>
    <n v="206951.72999999998"/>
    <n v="0"/>
    <n v="0"/>
    <n v="0"/>
    <n v="0"/>
    <n v="0"/>
    <n v="0"/>
    <n v="0"/>
    <n v="0"/>
    <n v="206951.72999999998"/>
    <n v="0"/>
    <n v="0"/>
  </r>
  <r>
    <x v="212"/>
    <s v="Haripur - Sanjay"/>
    <s v="vlc"/>
    <s v="Indirect"/>
    <n v="659.59999999999991"/>
    <n v="26012.36"/>
    <n v="0"/>
    <n v="0"/>
    <n v="0"/>
    <n v="0"/>
    <n v="0"/>
    <n v="0"/>
    <n v="26012.36"/>
    <n v="0"/>
    <n v="0"/>
    <n v="0"/>
    <n v="0"/>
    <n v="0"/>
    <n v="0"/>
    <n v="0"/>
    <n v="0"/>
    <n v="26012.36"/>
    <n v="0"/>
    <n v="0"/>
  </r>
  <r>
    <x v="213"/>
    <s v="Araria - Ankesh"/>
    <s v="vlc"/>
    <s v="Indirect"/>
    <n v="4065.9000000000005"/>
    <n v="155262.79"/>
    <n v="0"/>
    <n v="0"/>
    <n v="0"/>
    <n v="0"/>
    <n v="0"/>
    <n v="0"/>
    <n v="155262.79"/>
    <n v="0"/>
    <n v="0"/>
    <n v="0"/>
    <n v="0"/>
    <n v="0"/>
    <n v="0"/>
    <n v="0"/>
    <n v="0"/>
    <n v="155262.79"/>
    <n v="0"/>
    <n v="0"/>
  </r>
  <r>
    <x v="214"/>
    <s v="Gomukh Kabela                                                                                       "/>
    <s v="MPG"/>
    <s v="Direct"/>
    <n v="427.69999999999993"/>
    <n v="22524.59"/>
    <n v="953.2"/>
    <n v="53683.68"/>
    <n v="0"/>
    <n v="0"/>
    <n v="953.2"/>
    <n v="53683.68"/>
    <n v="22524.59"/>
    <n v="0"/>
    <n v="0"/>
    <n v="31159.09"/>
    <n v="0"/>
    <n v="0"/>
    <n v="0"/>
    <n v="22525"/>
    <n v="0"/>
    <n v="0"/>
    <n v="0"/>
    <s v="Release2"/>
  </r>
  <r>
    <x v="215"/>
    <s v="Gomukh Malpa Uttari                                                                                 "/>
    <s v="vlc"/>
    <s v="Indirect"/>
    <n v="122.64"/>
    <n v="3996.0899999999997"/>
    <n v="0"/>
    <n v="0"/>
    <n v="0"/>
    <n v="0"/>
    <n v="0"/>
    <n v="0"/>
    <n v="3996.0899999999997"/>
    <n v="0"/>
    <n v="0"/>
    <n v="0"/>
    <n v="0"/>
    <n v="0"/>
    <n v="0"/>
    <n v="0"/>
    <n v="0"/>
    <n v="3996.0899999999997"/>
    <n v="0"/>
    <n v="0"/>
  </r>
  <r>
    <x v="216"/>
    <s v="Gomukh Sapha"/>
    <s v="MPG"/>
    <s v="Direct"/>
    <n v="204.20000000000002"/>
    <n v="8384.66"/>
    <n v="200.70000000000002"/>
    <n v="8515.4600000000009"/>
    <n v="3.5"/>
    <n v="142.55000000000001"/>
    <n v="204.20000000000002"/>
    <n v="8658.01"/>
    <n v="8384.66"/>
    <n v="0"/>
    <n v="142.55000000000001"/>
    <n v="273.35000000000036"/>
    <n v="0"/>
    <n v="0"/>
    <n v="0"/>
    <n v="8242"/>
    <n v="0"/>
    <n v="0"/>
    <n v="0"/>
    <n v="0"/>
  </r>
  <r>
    <x v="217"/>
    <s v="Araria"/>
    <s v="vlc"/>
    <s v="Indirect"/>
    <n v="9992.9999999999982"/>
    <n v="397263.98000000004"/>
    <n v="0"/>
    <n v="0"/>
    <n v="0"/>
    <n v="0"/>
    <n v="0"/>
    <n v="0"/>
    <n v="397263.98000000004"/>
    <n v="0"/>
    <n v="0"/>
    <n v="0"/>
    <n v="0"/>
    <n v="0"/>
    <n v="0"/>
    <n v="0"/>
    <n v="0"/>
    <n v="397263.98000000004"/>
    <n v="0"/>
    <n v="0"/>
  </r>
  <r>
    <x v="218"/>
    <s v="Gomukh Gauchhari"/>
    <s v="MPG"/>
    <s v="Direct"/>
    <n v="118.60000000000001"/>
    <n v="4685.07"/>
    <n v="118.6"/>
    <n v="4730.95"/>
    <n v="0"/>
    <n v="0"/>
    <n v="118.6"/>
    <n v="4730.95"/>
    <n v="4685.07"/>
    <n v="0"/>
    <n v="0"/>
    <n v="45.880000000000109"/>
    <n v="0"/>
    <n v="0"/>
    <n v="0"/>
    <n v="4685"/>
    <n v="0"/>
    <n v="0"/>
    <n v="0"/>
    <n v="0"/>
  </r>
  <r>
    <x v="219"/>
    <s v="Telouch"/>
    <s v="MPG"/>
    <s v="Direct"/>
    <n v="1340.9199999999998"/>
    <n v="53112.959999999999"/>
    <n v="1337.31"/>
    <n v="54593.32"/>
    <n v="5.6000000000000005"/>
    <n v="202.98000000000002"/>
    <n v="1342.9099999999999"/>
    <n v="54796.3"/>
    <n v="53112.959999999999"/>
    <n v="0"/>
    <n v="202.98000000000002"/>
    <n v="1683.3400000000038"/>
    <n v="0"/>
    <n v="0"/>
    <n v="0"/>
    <n v="52910"/>
    <n v="0"/>
    <n v="0"/>
    <n v="0"/>
    <n v="0"/>
  </r>
  <r>
    <x v="220"/>
    <s v="Gomukh Jhangara B"/>
    <s v="MPG"/>
    <s v="Direct"/>
    <n v="1633"/>
    <n v="64740.470000000008"/>
    <n v="1645.3100000000002"/>
    <n v="69130.62999999999"/>
    <n v="0"/>
    <n v="0"/>
    <n v="1645.3100000000002"/>
    <n v="69130.62999999999"/>
    <n v="64740.470000000008"/>
    <n v="0"/>
    <n v="0"/>
    <n v="4390.1599999999817"/>
    <n v="0"/>
    <n v="0"/>
    <n v="0"/>
    <n v="64740"/>
    <n v="0"/>
    <n v="0"/>
    <n v="0"/>
    <n v="0"/>
  </r>
  <r>
    <x v="221"/>
    <s v="Gomukh Saraiya"/>
    <s v="MPG"/>
    <s v="Direct"/>
    <n v="328.27999999999992"/>
    <n v="11899.739999999998"/>
    <n v="443.40999999999997"/>
    <n v="18074.63"/>
    <n v="0"/>
    <n v="0"/>
    <n v="443.40999999999997"/>
    <n v="18074.63"/>
    <n v="11899.739999999998"/>
    <n v="0"/>
    <n v="0"/>
    <n v="6174.8900000000031"/>
    <n v="0"/>
    <n v="0"/>
    <n v="0"/>
    <n v="11900"/>
    <n v="0"/>
    <n v="0"/>
    <n v="0"/>
    <s v="Release2"/>
  </r>
  <r>
    <x v="222"/>
    <s v=" Gomukh Nauranga"/>
    <s v="vlc"/>
    <s v="Indirect"/>
    <n v="182.26"/>
    <n v="7481.3600000000006"/>
    <n v="0"/>
    <n v="0"/>
    <n v="0"/>
    <n v="0"/>
    <n v="0"/>
    <n v="0"/>
    <n v="7481.3600000000006"/>
    <n v="0"/>
    <n v="0"/>
    <n v="0"/>
    <n v="0"/>
    <n v="0"/>
    <n v="0"/>
    <n v="0"/>
    <n v="0"/>
    <n v="7481.3600000000006"/>
    <n v="0"/>
    <n v="0"/>
  </r>
  <r>
    <x v="223"/>
    <s v="Gomukh Malpa Dhutauli VLC"/>
    <s v="vlc"/>
    <s v="Indirect"/>
    <n v="39.559999999999995"/>
    <n v="1365.7300000000002"/>
    <n v="0"/>
    <n v="0"/>
    <n v="0"/>
    <n v="0"/>
    <n v="0"/>
    <n v="0"/>
    <n v="1365.7300000000002"/>
    <n v="0"/>
    <n v="0"/>
    <n v="0"/>
    <n v="0"/>
    <n v="0"/>
    <n v="0"/>
    <n v="0"/>
    <n v="0"/>
    <n v="1365.7300000000002"/>
    <n v="0"/>
    <n v="0"/>
  </r>
  <r>
    <x v="224"/>
    <s v="Gomukh Pakrail Vijay Nagar VLC"/>
    <s v="vlc"/>
    <s v="Direct"/>
    <n v="784.3599999999999"/>
    <n v="30470.569999999996"/>
    <n v="0"/>
    <n v="0"/>
    <n v="0"/>
    <n v="0"/>
    <n v="0"/>
    <n v="0"/>
    <n v="0"/>
    <n v="0"/>
    <n v="0"/>
    <n v="0"/>
    <n v="0"/>
    <n v="0"/>
    <n v="0"/>
    <n v="0"/>
    <n v="0"/>
    <n v="0"/>
    <n v="30471"/>
    <n v="0"/>
  </r>
  <r>
    <x v="225"/>
    <s v="Gomukh Pakrail Shirnia VLC"/>
    <s v="vlc"/>
    <s v="Indirect"/>
    <n v="51.3"/>
    <n v="2269.89"/>
    <n v="0"/>
    <n v="0"/>
    <n v="0"/>
    <n v="0"/>
    <n v="0"/>
    <n v="0"/>
    <n v="2269.89"/>
    <n v="0"/>
    <n v="0"/>
    <n v="0"/>
    <n v="0"/>
    <n v="0"/>
    <n v="0"/>
    <n v="0"/>
    <n v="0"/>
    <n v="2269.89"/>
    <n v="0"/>
    <n v="0"/>
  </r>
  <r>
    <x v="226"/>
    <s v="Gomukh Godhiyasi Nayagow VLC"/>
    <s v="vlc"/>
    <s v="Indirect"/>
    <n v="248.4"/>
    <n v="9676.4399999999987"/>
    <n v="0"/>
    <n v="0"/>
    <n v="0"/>
    <n v="0"/>
    <n v="0"/>
    <n v="0"/>
    <n v="9676.4399999999987"/>
    <n v="0"/>
    <n v="0"/>
    <n v="0"/>
    <n v="0"/>
    <n v="0"/>
    <n v="0"/>
    <n v="0"/>
    <n v="0"/>
    <n v="9676.4399999999987"/>
    <n v="0"/>
    <n v="0"/>
  </r>
  <r>
    <x v="227"/>
    <s v="Gomukh Bandehra Purbi"/>
    <s v="MPG"/>
    <s v="Direct"/>
    <n v="319.39999999999998"/>
    <n v="12313.89"/>
    <n v="288.40000000000003"/>
    <n v="11586.899999999998"/>
    <n v="0"/>
    <n v="0"/>
    <n v="288.40000000000003"/>
    <n v="11586.899999999998"/>
    <n v="11586.899999999998"/>
    <n v="0"/>
    <n v="0"/>
    <n v="0"/>
    <n v="0"/>
    <n v="0"/>
    <n v="0"/>
    <n v="11587"/>
    <n v="0"/>
    <n v="0"/>
    <n v="727"/>
    <s v="Release3"/>
  </r>
  <r>
    <x v="228"/>
    <s v="Gomukh Tila Tol"/>
    <s v="MPG"/>
    <s v="Direct"/>
    <n v="783.5200000000001"/>
    <n v="31439.880000000008"/>
    <n v="691.74"/>
    <n v="28156.449999999997"/>
    <n v="97"/>
    <n v="4193.5"/>
    <n v="788.74"/>
    <n v="32349.949999999997"/>
    <n v="31439.880000000008"/>
    <n v="0"/>
    <n v="157.17000000000002"/>
    <n v="910.0699999999888"/>
    <n v="0"/>
    <n v="0"/>
    <n v="0"/>
    <n v="27248"/>
    <n v="4035"/>
    <n v="0"/>
    <n v="0"/>
    <n v="0"/>
  </r>
  <r>
    <x v="229"/>
    <s v="Gomukh Gulshan Kumar VLC"/>
    <s v="vlc"/>
    <s v="Indirect"/>
    <n v="1357.2"/>
    <n v="54092.17"/>
    <n v="0"/>
    <n v="0"/>
    <n v="0"/>
    <n v="0"/>
    <n v="0"/>
    <n v="0"/>
    <n v="54092.17"/>
    <n v="0"/>
    <n v="0"/>
    <n v="0"/>
    <n v="0"/>
    <n v="0"/>
    <n v="0"/>
    <n v="0"/>
    <n v="0"/>
    <n v="54092.17"/>
    <n v="0"/>
    <n v="0"/>
  </r>
  <r>
    <x v="230"/>
    <s v="Gomukh Gogri VLC"/>
    <s v="vlc"/>
    <s v="Indirect"/>
    <n v="237.89999999999998"/>
    <n v="9327.2900000000009"/>
    <n v="0"/>
    <n v="0"/>
    <n v="0"/>
    <n v="0"/>
    <n v="0"/>
    <n v="0"/>
    <n v="9327.2900000000009"/>
    <n v="0"/>
    <n v="0"/>
    <n v="0"/>
    <n v="0"/>
    <n v="0"/>
    <n v="0"/>
    <n v="0"/>
    <n v="0"/>
    <n v="9327.2900000000009"/>
    <n v="0"/>
    <n v="0"/>
  </r>
  <r>
    <x v="231"/>
    <s v="Gomukh Bari Chak Gogri"/>
    <s v="MPG"/>
    <s v="Direct"/>
    <n v="394.09999999999997"/>
    <n v="13576.29"/>
    <n v="384.66"/>
    <n v="14067.06"/>
    <n v="9.44"/>
    <n v="427.28999999999996"/>
    <n v="394.1"/>
    <n v="14494.349999999999"/>
    <n v="13576.29"/>
    <n v="0"/>
    <n v="0"/>
    <n v="918.05999999999767"/>
    <n v="0"/>
    <n v="500"/>
    <n v="0"/>
    <n v="12649"/>
    <n v="427"/>
    <n v="0"/>
    <n v="0"/>
    <n v="0"/>
  </r>
  <r>
    <x v="232"/>
    <s v="Gomukh Khatha"/>
    <s v="MPG"/>
    <s v="Direct"/>
    <n v="839.99999999999989"/>
    <n v="31389.32"/>
    <n v="840"/>
    <n v="31995.599999999999"/>
    <n v="0"/>
    <n v="0"/>
    <n v="840"/>
    <n v="31995.599999999999"/>
    <n v="31389.32"/>
    <n v="0"/>
    <n v="0"/>
    <n v="606.27999999999884"/>
    <n v="0"/>
    <n v="0"/>
    <n v="0"/>
    <n v="31389"/>
    <n v="0"/>
    <n v="0"/>
    <n v="0"/>
    <n v="0"/>
  </r>
  <r>
    <x v="233"/>
    <s v="Gomukh Shailesh Yadav Vlc"/>
    <s v="vlc"/>
    <s v="Indirect"/>
    <n v="69.600000000000009"/>
    <n v="3405.6600000000003"/>
    <n v="0"/>
    <n v="0"/>
    <n v="0"/>
    <n v="0"/>
    <n v="0"/>
    <n v="0"/>
    <n v="3405.6600000000003"/>
    <n v="0"/>
    <n v="0"/>
    <n v="0"/>
    <n v="0"/>
    <n v="0"/>
    <n v="0"/>
    <n v="0"/>
    <n v="0"/>
    <n v="3405.6600000000003"/>
    <n v="0"/>
    <n v="0"/>
  </r>
  <r>
    <x v="234"/>
    <s v="Chak Punervas"/>
    <s v="vlc"/>
    <s v="Indirect"/>
    <n v="563.30000000000018"/>
    <n v="22252.629999999997"/>
    <n v="0"/>
    <n v="0"/>
    <n v="0"/>
    <n v="0"/>
    <n v="0"/>
    <n v="0"/>
    <n v="22252.629999999997"/>
    <n v="0"/>
    <n v="0"/>
    <n v="0"/>
    <n v="0"/>
    <n v="0"/>
    <n v="0"/>
    <n v="0"/>
    <n v="0"/>
    <n v="22252.629999999997"/>
    <n v="0"/>
    <n v="0"/>
  </r>
  <r>
    <x v="235"/>
    <s v="Labherchak"/>
    <s v="MPG"/>
    <s v="Indirect"/>
    <n v="332.70000000000005"/>
    <n v="12316.500000000002"/>
    <n v="0"/>
    <n v="0"/>
    <n v="0"/>
    <n v="0"/>
    <n v="0"/>
    <n v="0"/>
    <n v="12316.500000000002"/>
    <n v="0"/>
    <n v="0"/>
    <n v="0"/>
    <n v="0"/>
    <n v="0"/>
    <n v="0"/>
    <n v="0"/>
    <n v="0"/>
    <n v="12316.500000000002"/>
    <n v="0"/>
    <n v="0"/>
  </r>
  <r>
    <x v="236"/>
    <s v="Paspura"/>
    <s v="vlc"/>
    <s v="Indirect"/>
    <n v="28.2"/>
    <n v="1018.72"/>
    <n v="0"/>
    <n v="0"/>
    <n v="0"/>
    <n v="0"/>
    <n v="0"/>
    <n v="0"/>
    <n v="1018.72"/>
    <n v="0"/>
    <n v="0"/>
    <n v="0"/>
    <n v="0"/>
    <n v="0"/>
    <n v="0"/>
    <n v="0"/>
    <n v="0"/>
    <n v="1018.72"/>
    <n v="0"/>
    <n v="0"/>
  </r>
  <r>
    <x v="237"/>
    <s v="Gomukh Godhna"/>
    <s v="vlc"/>
    <s v="Indirect"/>
    <n v="7.05"/>
    <n v="287.32"/>
    <n v="0"/>
    <n v="0"/>
    <n v="0"/>
    <n v="0"/>
    <n v="0"/>
    <n v="0"/>
    <n v="287.32"/>
    <n v="0"/>
    <n v="0"/>
    <n v="0"/>
    <n v="0"/>
    <n v="0"/>
    <n v="0"/>
    <n v="0"/>
    <n v="0"/>
    <n v="287.32"/>
    <n v="0"/>
    <n v="0"/>
  </r>
  <r>
    <x v="238"/>
    <s v="Gomukh Sihma 2"/>
    <s v="vlc"/>
    <s v="Indirect"/>
    <n v="269.8"/>
    <n v="10171.82"/>
    <n v="0"/>
    <n v="0"/>
    <n v="0"/>
    <n v="0"/>
    <n v="0"/>
    <n v="0"/>
    <n v="10171.82"/>
    <n v="0"/>
    <n v="0"/>
    <n v="0"/>
    <n v="0"/>
    <n v="0"/>
    <n v="0"/>
    <n v="0"/>
    <n v="0"/>
    <n v="10171.82"/>
    <n v="0"/>
    <n v="0"/>
  </r>
  <r>
    <x v="239"/>
    <s v="Gomukh ID Marsaito"/>
    <s v="vlc"/>
    <s v="Indirect"/>
    <n v="708.35"/>
    <n v="26521.7"/>
    <n v="0"/>
    <n v="0"/>
    <n v="0"/>
    <n v="0"/>
    <n v="0"/>
    <n v="0"/>
    <n v="26521.7"/>
    <n v="0"/>
    <n v="0"/>
    <n v="0"/>
    <n v="0"/>
    <n v="0"/>
    <n v="0"/>
    <n v="0"/>
    <n v="0"/>
    <n v="26521.7"/>
    <n v="0"/>
    <n v="0"/>
  </r>
  <r>
    <x v="240"/>
    <s v="Gomukh ID Akashpur-2"/>
    <s v="vlc"/>
    <s v="Indirect"/>
    <n v="389.7"/>
    <n v="14575.04"/>
    <n v="0"/>
    <n v="0"/>
    <n v="0"/>
    <n v="0"/>
    <n v="0"/>
    <n v="0"/>
    <n v="14575.04"/>
    <n v="0"/>
    <n v="0"/>
    <n v="0"/>
    <n v="0"/>
    <n v="0"/>
    <n v="0"/>
    <n v="0"/>
    <n v="0"/>
    <n v="14575.04"/>
    <n v="0"/>
    <n v="0"/>
  </r>
  <r>
    <x v="241"/>
    <s v="Gomukh ID Akashpur"/>
    <s v="vlc"/>
    <s v="Indirect"/>
    <n v="408.49999999999994"/>
    <n v="17309.050000000003"/>
    <n v="0"/>
    <n v="0"/>
    <n v="0"/>
    <n v="0"/>
    <n v="0"/>
    <n v="0"/>
    <n v="17309.050000000003"/>
    <n v="0"/>
    <n v="0"/>
    <n v="0"/>
    <n v="0"/>
    <n v="0"/>
    <n v="0"/>
    <n v="0"/>
    <n v="0"/>
    <n v="17309.050000000003"/>
    <n v="0"/>
    <n v="0"/>
  </r>
  <r>
    <x v="242"/>
    <s v="Gomukh ID Rachiyahi"/>
    <s v="vlc"/>
    <s v="Indirect"/>
    <n v="500.29999999999995"/>
    <n v="20581.310000000001"/>
    <n v="0"/>
    <n v="0"/>
    <n v="0"/>
    <n v="0"/>
    <n v="0"/>
    <n v="0"/>
    <n v="20581.310000000001"/>
    <n v="0"/>
    <n v="0"/>
    <n v="0"/>
    <n v="0"/>
    <n v="0"/>
    <n v="0"/>
    <n v="0"/>
    <n v="0"/>
    <n v="20581.310000000001"/>
    <n v="0"/>
    <n v="0"/>
  </r>
  <r>
    <x v="243"/>
    <s v="GomukhBariyahi Chanan"/>
    <s v="MPG"/>
    <s v="Direct"/>
    <n v="1282.2500000000002"/>
    <n v="48339.549999999988"/>
    <n v="1277.4000000000001"/>
    <n v="48657.62"/>
    <n v="2.6000000000000005"/>
    <n v="94.430000000000021"/>
    <n v="1280"/>
    <n v="48752.05"/>
    <n v="48339.549999999988"/>
    <n v="0"/>
    <n v="94.430000000000021"/>
    <n v="412.50000000001455"/>
    <n v="0"/>
    <n v="0"/>
    <n v="0"/>
    <n v="48245"/>
    <n v="0"/>
    <n v="0"/>
    <n v="0"/>
    <n v="0"/>
  </r>
  <r>
    <x v="244"/>
    <s v="GomukhGehuni"/>
    <s v="MPG"/>
    <s v="Direct"/>
    <n v="140.95000000000002"/>
    <n v="5390.8799999999992"/>
    <n v="140.1"/>
    <n v="5358.1900000000005"/>
    <n v="1.0999999999999999"/>
    <n v="39.989999999999995"/>
    <n v="141.19999999999999"/>
    <n v="5398.18"/>
    <n v="5390.8799999999992"/>
    <n v="0"/>
    <n v="39.989999999999995"/>
    <n v="7.3000000000010914"/>
    <n v="0"/>
    <n v="500"/>
    <n v="0"/>
    <n v="4851"/>
    <n v="0"/>
    <n v="0"/>
    <n v="0"/>
    <n v="0"/>
  </r>
  <r>
    <x v="245"/>
    <s v="Gomukh Bakhatpur"/>
    <s v="MPG"/>
    <s v="Direct"/>
    <n v="169.1"/>
    <n v="7599.18"/>
    <n v="179.86"/>
    <n v="8078.17"/>
    <n v="2.86"/>
    <n v="119.48000000000002"/>
    <n v="182.72000000000003"/>
    <n v="8197.65"/>
    <n v="7599.18"/>
    <n v="0"/>
    <n v="119.48000000000002"/>
    <n v="598.46999999999935"/>
    <n v="0"/>
    <n v="0"/>
    <n v="0"/>
    <n v="8078"/>
    <n v="0"/>
    <n v="0"/>
    <n v="-598"/>
    <s v="Release1"/>
  </r>
  <r>
    <x v="246"/>
    <s v="Ananaya Dairy"/>
    <s v="vlc"/>
    <s v="Indirect"/>
    <n v="4877.2000000000007"/>
    <n v="197551.37999999998"/>
    <n v="0"/>
    <n v="0"/>
    <n v="0"/>
    <n v="0"/>
    <n v="0"/>
    <n v="0"/>
    <n v="197551.37999999998"/>
    <n v="0"/>
    <n v="0"/>
    <n v="0"/>
    <n v="0"/>
    <n v="0"/>
    <n v="0"/>
    <n v="0"/>
    <n v="0"/>
    <n v="197551.37999999998"/>
    <n v="0"/>
    <n v="0"/>
  </r>
  <r>
    <x v="247"/>
    <s v="Gomukh Bishanpur"/>
    <s v="MPG"/>
    <s v="Direct"/>
    <n v="830.99999999999989"/>
    <n v="29860.539999999994"/>
    <n v="770.09999999999991"/>
    <n v="29362.57"/>
    <n v="12.79"/>
    <n v="483.05"/>
    <n v="782.88999999999987"/>
    <n v="29845.62"/>
    <n v="29845.62"/>
    <n v="0"/>
    <n v="483.05"/>
    <n v="0"/>
    <n v="0"/>
    <n v="0"/>
    <n v="0"/>
    <n v="29363"/>
    <n v="0"/>
    <n v="0"/>
    <n v="14"/>
    <n v="0"/>
  </r>
  <r>
    <x v="248"/>
    <s v="GOMUKH BEGAMSARAI"/>
    <s v="MPG"/>
    <s v="Direct"/>
    <n v="187.55"/>
    <n v="8600.01"/>
    <n v="36.910000000000004"/>
    <n v="1693.0499999999997"/>
    <n v="144.73000000000002"/>
    <n v="6651.2199999999993"/>
    <n v="181.64000000000001"/>
    <n v="8344.2699999999986"/>
    <n v="8344.2699999999986"/>
    <n v="0"/>
    <n v="191.84"/>
    <n v="0"/>
    <n v="0"/>
    <n v="0"/>
    <n v="0"/>
    <n v="1693"/>
    <n v="6459"/>
    <n v="0"/>
    <n v="256"/>
    <n v="0"/>
  </r>
  <r>
    <x v="249"/>
    <s v="Bariyahi - Ramvaran"/>
    <s v="vlc"/>
    <s v="Indirect"/>
    <n v="206.25"/>
    <n v="8337.92"/>
    <n v="0"/>
    <n v="0"/>
    <n v="0"/>
    <n v="0"/>
    <n v="0"/>
    <n v="0"/>
    <n v="8337.92"/>
    <n v="0"/>
    <n v="0"/>
    <n v="0"/>
    <n v="0"/>
    <n v="0"/>
    <n v="0"/>
    <n v="0"/>
    <n v="0"/>
    <n v="8337.92"/>
    <n v="0"/>
    <n v="0"/>
  </r>
  <r>
    <x v="250"/>
    <s v="Hasanpur - Abhijeet"/>
    <s v="vlc"/>
    <s v="Indirect"/>
    <n v="6077.45"/>
    <n v="243864.52"/>
    <n v="0"/>
    <n v="0"/>
    <n v="0"/>
    <n v="0"/>
    <n v="0"/>
    <n v="0"/>
    <n v="243864.52"/>
    <n v="0"/>
    <n v="0"/>
    <n v="0"/>
    <n v="0"/>
    <n v="0"/>
    <n v="0"/>
    <n v="0"/>
    <n v="0"/>
    <n v="243864.52"/>
    <n v="0"/>
    <n v="0"/>
  </r>
  <r>
    <x v="251"/>
    <s v="Adharpur - Manish"/>
    <s v="vlc"/>
    <s v="Indirect"/>
    <n v="783.80000000000007"/>
    <n v="32152.699999999997"/>
    <n v="0"/>
    <n v="0"/>
    <n v="0"/>
    <n v="0"/>
    <n v="0"/>
    <n v="0"/>
    <n v="32152.699999999997"/>
    <n v="0"/>
    <n v="0"/>
    <n v="0"/>
    <n v="0"/>
    <n v="0"/>
    <n v="0"/>
    <n v="0"/>
    <n v="0"/>
    <n v="32152.699999999997"/>
    <n v="0"/>
    <n v="0"/>
  </r>
  <r>
    <x v="252"/>
    <s v="Rani - Surender"/>
    <s v="vlc"/>
    <s v="Indirect"/>
    <n v="166.75"/>
    <n v="6909.5199999999995"/>
    <n v="0"/>
    <n v="0"/>
    <n v="0"/>
    <n v="0"/>
    <n v="0"/>
    <n v="0"/>
    <n v="6909.5199999999995"/>
    <n v="0"/>
    <n v="0"/>
    <n v="0"/>
    <n v="0"/>
    <n v="0"/>
    <n v="0"/>
    <n v="0"/>
    <n v="0"/>
    <n v="6909.5199999999995"/>
    <n v="0"/>
    <n v="0"/>
  </r>
  <r>
    <x v="253"/>
    <s v="GOMUKH RANI 3"/>
    <s v="MPG"/>
    <s v="Direct"/>
    <n v="86.699999999999989"/>
    <n v="3912.49"/>
    <n v="85.14"/>
    <n v="3702.2400000000002"/>
    <n v="0.61"/>
    <n v="26.54"/>
    <n v="85.75"/>
    <n v="3728.78"/>
    <n v="3728.78"/>
    <n v="0"/>
    <n v="26.54"/>
    <n v="0"/>
    <n v="0"/>
    <n v="500"/>
    <n v="0"/>
    <n v="3203"/>
    <n v="0"/>
    <n v="0"/>
    <n v="183"/>
    <n v="0"/>
  </r>
  <r>
    <x v="254"/>
    <s v="GOMUKH NONPUR"/>
    <s v="MPG"/>
    <s v="Direct"/>
    <n v="498.64999999999992"/>
    <n v="19804.659999999996"/>
    <n v="506.40000000000009"/>
    <n v="20340.52"/>
    <n v="1.55"/>
    <n v="62.22"/>
    <n v="507.9500000000001"/>
    <n v="20402.740000000002"/>
    <n v="19804.659999999996"/>
    <n v="0"/>
    <n v="62.22"/>
    <n v="598.08000000000538"/>
    <n v="0"/>
    <n v="0"/>
    <n v="0"/>
    <n v="19742"/>
    <n v="0"/>
    <n v="0"/>
    <n v="0"/>
    <n v="0"/>
  </r>
  <r>
    <x v="255"/>
    <s v="GOMUKH FATEHA"/>
    <s v="MPG"/>
    <s v="Direct"/>
    <n v="13.45"/>
    <n v="547.82000000000005"/>
    <n v="13"/>
    <n v="524.03"/>
    <n v="0"/>
    <n v="0"/>
    <n v="13"/>
    <n v="524.03"/>
    <n v="524.03"/>
    <n v="0"/>
    <n v="0"/>
    <n v="0"/>
    <n v="0"/>
    <n v="0"/>
    <n v="0"/>
    <n v="524"/>
    <n v="0"/>
    <n v="0"/>
    <n v="24"/>
    <n v="0"/>
  </r>
  <r>
    <x v="256"/>
    <s v="Bablu Singh"/>
    <s v="vlc"/>
    <s v="Indirect"/>
    <n v="1177.8"/>
    <n v="45147.109999999993"/>
    <n v="0"/>
    <n v="0"/>
    <n v="0"/>
    <n v="0"/>
    <n v="0"/>
    <n v="0"/>
    <n v="45147.109999999993"/>
    <n v="0"/>
    <n v="0"/>
    <n v="0"/>
    <n v="0"/>
    <n v="0"/>
    <n v="0"/>
    <n v="0"/>
    <n v="0"/>
    <n v="45147.109999999993"/>
    <n v="0"/>
    <n v="0"/>
  </r>
  <r>
    <x v="257"/>
    <s v="Gomukh Rani                                                                                         "/>
    <s v="MPG"/>
    <s v="Direct"/>
    <n v="358.20000000000005"/>
    <n v="13693.159999999998"/>
    <n v="145.68"/>
    <n v="6020.4"/>
    <n v="184.31999999999996"/>
    <n v="7662.85"/>
    <n v="330"/>
    <n v="13683.25"/>
    <n v="13683.25"/>
    <n v="0"/>
    <n v="0"/>
    <n v="0"/>
    <n v="0"/>
    <n v="0"/>
    <n v="0"/>
    <n v="6020"/>
    <n v="7663"/>
    <n v="0"/>
    <n v="10"/>
    <n v="0"/>
  </r>
  <r>
    <x v="258"/>
    <s v="GOMUKH ROOPNAGAR"/>
    <s v="vlc"/>
    <s v="Direct"/>
    <n v="209.45000000000002"/>
    <n v="7774.0199999999986"/>
    <n v="209.29999999999998"/>
    <n v="7768.5300000000016"/>
    <n v="0"/>
    <n v="0"/>
    <n v="209.29999999999998"/>
    <n v="7768.5300000000016"/>
    <n v="7768.5300000000016"/>
    <n v="0"/>
    <n v="0"/>
    <n v="0"/>
    <n v="0"/>
    <n v="0"/>
    <n v="0"/>
    <n v="7769"/>
    <n v="0"/>
    <n v="0"/>
    <n v="5"/>
    <n v="0"/>
  </r>
  <r>
    <x v="259"/>
    <s v="GOMUKH HADIPUR"/>
    <s v="MPG"/>
    <s v="Direct"/>
    <n v="410.6"/>
    <n v="15899.070000000002"/>
    <n v="391.55000000000007"/>
    <n v="15790.230000000001"/>
    <n v="0.64999999999999991"/>
    <n v="26.36"/>
    <n v="392.20000000000005"/>
    <n v="15816.590000000002"/>
    <n v="15816.590000000002"/>
    <n v="0"/>
    <n v="26.36"/>
    <n v="0"/>
    <n v="0"/>
    <n v="500"/>
    <n v="0"/>
    <n v="15290"/>
    <n v="0"/>
    <n v="0"/>
    <n v="83"/>
    <n v="0"/>
  </r>
  <r>
    <x v="260"/>
    <s v="Gomukh Harichak"/>
    <s v="MPG"/>
    <s v="Direct"/>
    <n v="124.65000000000002"/>
    <n v="5039.29"/>
    <n v="115.87"/>
    <n v="4541.6400000000003"/>
    <n v="0"/>
    <n v="0"/>
    <n v="115.87"/>
    <n v="4541.6400000000003"/>
    <n v="4541.6400000000003"/>
    <n v="0"/>
    <n v="0"/>
    <n v="0"/>
    <n v="0"/>
    <n v="500"/>
    <n v="0"/>
    <n v="4042"/>
    <n v="0"/>
    <n v="0"/>
    <n v="497"/>
    <n v="0"/>
  </r>
  <r>
    <x v="261"/>
    <s v="PAWAN RAY"/>
    <s v="vlc"/>
    <s v="Indirect"/>
    <n v="5637.7000000000007"/>
    <n v="224895.87000000005"/>
    <n v="0"/>
    <n v="0"/>
    <n v="0"/>
    <n v="0"/>
    <n v="0"/>
    <n v="0"/>
    <n v="224895.87000000005"/>
    <n v="0"/>
    <n v="0"/>
    <n v="0"/>
    <n v="0"/>
    <n v="0"/>
    <n v="0"/>
    <n v="0"/>
    <n v="0"/>
    <n v="224895.87000000005"/>
    <n v="0"/>
    <n v="0"/>
  </r>
  <r>
    <x v="262"/>
    <s v="RAJ BHARDWAJ"/>
    <s v="vlc"/>
    <s v="Indirect"/>
    <n v="258.90000000000003"/>
    <n v="9934.2799999999988"/>
    <n v="0"/>
    <n v="0"/>
    <n v="0"/>
    <n v="0"/>
    <n v="0"/>
    <n v="0"/>
    <n v="9934.2799999999988"/>
    <n v="0"/>
    <n v="0"/>
    <n v="0"/>
    <n v="0"/>
    <n v="0"/>
    <n v="0"/>
    <n v="0"/>
    <n v="0"/>
    <n v="9934.2799999999988"/>
    <n v="0"/>
    <n v="0"/>
  </r>
  <r>
    <x v="263"/>
    <s v="Gomukh Amarpur"/>
    <s v="MPG"/>
    <s v="Direct"/>
    <n v="26.65"/>
    <n v="1196.5900000000001"/>
    <n v="27.28"/>
    <n v="1193.8699999999999"/>
    <n v="0"/>
    <n v="0"/>
    <n v="27.28"/>
    <n v="1193.8699999999999"/>
    <n v="1193.8699999999999"/>
    <n v="0"/>
    <n v="0"/>
    <n v="0"/>
    <n v="0"/>
    <n v="0"/>
    <n v="0"/>
    <n v="1194"/>
    <n v="0"/>
    <n v="0"/>
    <n v="3"/>
    <n v="0"/>
  </r>
  <r>
    <x v="264"/>
    <s v="Prashant Kumar"/>
    <s v="vlc"/>
    <s v="Indirect"/>
    <n v="72.05"/>
    <n v="2662.75"/>
    <n v="0"/>
    <n v="0"/>
    <n v="0"/>
    <n v="0"/>
    <n v="0"/>
    <n v="0"/>
    <n v="2662.75"/>
    <n v="0"/>
    <n v="0"/>
    <n v="0"/>
    <n v="0"/>
    <n v="0"/>
    <n v="0"/>
    <n v="0"/>
    <n v="0"/>
    <n v="2662.75"/>
    <n v="0"/>
    <n v="0"/>
  </r>
  <r>
    <x v="266"/>
    <s v="CHANDAN YADAV"/>
    <s v="vlc"/>
    <s v="Indirect"/>
    <n v="281.34999999999997"/>
    <n v="10661.09"/>
    <n v="0"/>
    <n v="0"/>
    <n v="0"/>
    <n v="0"/>
    <n v="0"/>
    <n v="0"/>
    <n v="10661.09"/>
    <n v="0"/>
    <n v="0"/>
    <n v="0"/>
    <n v="0"/>
    <n v="0"/>
    <n v="0"/>
    <n v="0"/>
    <n v="0"/>
    <n v="10661.09"/>
    <n v="0"/>
    <n v="0"/>
  </r>
  <r>
    <x v="267"/>
    <s v="ANITA DEVI"/>
    <s v="vlc"/>
    <s v="Indirect"/>
    <n v="338.55"/>
    <n v="12436.000000000002"/>
    <n v="0"/>
    <n v="0"/>
    <n v="0"/>
    <n v="0"/>
    <n v="0"/>
    <n v="0"/>
    <n v="12436.000000000002"/>
    <n v="0"/>
    <n v="0"/>
    <n v="0"/>
    <n v="0"/>
    <n v="0"/>
    <n v="0"/>
    <n v="0"/>
    <n v="0"/>
    <n v="12436.000000000002"/>
    <n v="0"/>
    <n v="0"/>
  </r>
  <r>
    <x v="268"/>
    <s v="GOMUKH FATEHA SALEMPUR"/>
    <s v="MPG"/>
    <s v="Direct"/>
    <n v="207.25"/>
    <n v="8107.2199999999993"/>
    <n v="207.5"/>
    <n v="8116.66"/>
    <n v="7"/>
    <n v="276.24"/>
    <n v="214.5"/>
    <n v="8392.9"/>
    <n v="8107.2199999999993"/>
    <n v="0"/>
    <n v="276.24"/>
    <n v="285.68000000000029"/>
    <n v="0"/>
    <n v="500"/>
    <n v="0"/>
    <n v="7331"/>
    <n v="0"/>
    <n v="0"/>
    <n v="0"/>
    <n v="0"/>
  </r>
  <r>
    <x v="269"/>
    <s v="GOMUKH GEHUNI 2"/>
    <s v="MPG"/>
    <s v="Direct"/>
    <n v="522.05000000000007"/>
    <n v="21303.149999999998"/>
    <n v="546.64"/>
    <n v="21092.02"/>
    <n v="0.48999999999999994"/>
    <n v="18.78"/>
    <n v="547.13"/>
    <n v="21110.799999999999"/>
    <n v="21110.799999999999"/>
    <n v="0"/>
    <n v="18.78"/>
    <n v="0"/>
    <n v="0"/>
    <n v="0"/>
    <n v="0"/>
    <n v="21092"/>
    <n v="0"/>
    <n v="0"/>
    <n v="192"/>
    <n v="0"/>
  </r>
  <r>
    <x v="270"/>
    <s v="GOMUKH MALHIPUR"/>
    <s v="MPG"/>
    <s v="Direct"/>
    <n v="668"/>
    <n v="25006.65"/>
    <n v="715.1"/>
    <n v="24623.55"/>
    <n v="1.7"/>
    <n v="62.109999999999992"/>
    <n v="716.80000000000007"/>
    <n v="24685.66"/>
    <n v="24685.66"/>
    <n v="0"/>
    <n v="62.109999999999992"/>
    <n v="0"/>
    <n v="0"/>
    <n v="0"/>
    <n v="0"/>
    <n v="24623"/>
    <n v="0"/>
    <n v="0"/>
    <n v="322"/>
    <n v="0"/>
  </r>
  <r>
    <x v="271"/>
    <s v="Rasalpur - Durgesh Kumar"/>
    <s v="vlc"/>
    <s v="Indirect"/>
    <n v="272.55"/>
    <n v="10867.189999999999"/>
    <n v="0"/>
    <n v="0"/>
    <n v="0"/>
    <n v="0"/>
    <n v="0"/>
    <n v="0"/>
    <n v="10867.189999999999"/>
    <n v="0"/>
    <n v="0"/>
    <n v="0"/>
    <n v="0"/>
    <n v="0"/>
    <n v="0"/>
    <n v="0"/>
    <n v="0"/>
    <n v="10867.189999999999"/>
    <n v="0"/>
    <n v="0"/>
  </r>
  <r>
    <x v="272"/>
    <s v="Barauni Bariyarpur"/>
    <s v="MPG"/>
    <s v="Direct"/>
    <n v="415.3"/>
    <n v="15850.14"/>
    <n v="414.8"/>
    <n v="15625.52"/>
    <n v="0"/>
    <n v="0"/>
    <n v="414.8"/>
    <n v="15625.52"/>
    <n v="15625.52"/>
    <n v="0"/>
    <n v="0"/>
    <n v="0"/>
    <n v="0"/>
    <n v="0"/>
    <n v="0"/>
    <n v="15626"/>
    <n v="0"/>
    <n v="0"/>
    <n v="224"/>
    <n v="0"/>
  </r>
  <r>
    <x v="274"/>
    <s v="Fateha - Anil Yadav"/>
    <s v="vlc"/>
    <s v="Indirect"/>
    <n v="180.79999999999998"/>
    <n v="7173.7800000000007"/>
    <n v="0"/>
    <n v="0"/>
    <n v="0"/>
    <n v="0"/>
    <n v="0"/>
    <n v="0"/>
    <n v="7173.7800000000007"/>
    <n v="0"/>
    <n v="0"/>
    <n v="0"/>
    <n v="0"/>
    <n v="0"/>
    <n v="0"/>
    <n v="0"/>
    <n v="0"/>
    <n v="7173.7800000000007"/>
    <n v="0"/>
    <n v="0"/>
  </r>
  <r>
    <x v="275"/>
    <s v="Bihat - Chakballi"/>
    <s v="MPG"/>
    <s v="Direct"/>
    <n v="119.45"/>
    <n v="4396.75"/>
    <n v="119"/>
    <n v="4432.75"/>
    <n v="0"/>
    <n v="0"/>
    <n v="119"/>
    <n v="4432.75"/>
    <n v="4396.75"/>
    <n v="0"/>
    <n v="0"/>
    <n v="36"/>
    <n v="0"/>
    <n v="0"/>
    <n v="0"/>
    <n v="4433"/>
    <n v="0"/>
    <n v="0"/>
    <n v="-36"/>
    <s v="Release1"/>
  </r>
  <r>
    <x v="276"/>
    <s v="Sibutol- Naya Tola"/>
    <s v="MPG"/>
    <s v="Direct"/>
    <n v="22.65"/>
    <n v="797.41000000000008"/>
    <n v="44.69"/>
    <n v="1490.86"/>
    <n v="0"/>
    <n v="0"/>
    <n v="44.69"/>
    <n v="1490.86"/>
    <n v="797.41000000000008"/>
    <n v="0"/>
    <n v="0"/>
    <n v="693.44999999999982"/>
    <n v="0"/>
    <n v="500"/>
    <n v="0"/>
    <n v="297"/>
    <n v="0"/>
    <n v="0"/>
    <n v="0"/>
    <n v="0"/>
  </r>
  <r>
    <x v="277"/>
    <s v="Rasalpur"/>
    <s v="vlc"/>
    <s v="Indirect"/>
    <n v="1409.3"/>
    <n v="52385.599999999999"/>
    <n v="0"/>
    <n v="0"/>
    <n v="0"/>
    <n v="0"/>
    <n v="0"/>
    <n v="0"/>
    <n v="52385.599999999999"/>
    <n v="0"/>
    <n v="0"/>
    <n v="0"/>
    <n v="0"/>
    <n v="0"/>
    <n v="0"/>
    <n v="0"/>
    <n v="0"/>
    <n v="52385.599999999999"/>
    <n v="0"/>
    <n v="0"/>
  </r>
  <r>
    <x v="278"/>
    <s v="Samsa"/>
    <s v="vlc"/>
    <s v="Indirect"/>
    <n v="1211.4000000000001"/>
    <n v="50621.299999999996"/>
    <n v="0"/>
    <n v="0"/>
    <n v="0"/>
    <n v="0"/>
    <n v="0"/>
    <n v="0"/>
    <n v="50621.299999999996"/>
    <n v="0"/>
    <n v="0"/>
    <n v="0"/>
    <n v="0"/>
    <n v="0"/>
    <n v="0"/>
    <n v="0"/>
    <n v="0"/>
    <n v="50621.299999999996"/>
    <n v="0"/>
    <n v="0"/>
  </r>
  <r>
    <x v="279"/>
    <s v="Dahiya"/>
    <s v="vlc"/>
    <s v="Indirect"/>
    <n v="469.90000000000003"/>
    <n v="17752.54"/>
    <n v="0"/>
    <n v="0"/>
    <n v="0"/>
    <n v="0"/>
    <n v="0"/>
    <n v="0"/>
    <n v="17752.54"/>
    <n v="0"/>
    <n v="0"/>
    <n v="0"/>
    <n v="0"/>
    <n v="0"/>
    <n v="0"/>
    <n v="0"/>
    <n v="0"/>
    <n v="17752.54"/>
    <n v="0"/>
    <n v="0"/>
  </r>
  <r>
    <x v="280"/>
    <s v="Gaura"/>
    <s v="MPG"/>
    <s v="Direct"/>
    <n v="268.39999999999998"/>
    <n v="10267.66"/>
    <n v="268.10000000000002"/>
    <n v="10211.93"/>
    <n v="0"/>
    <n v="0"/>
    <n v="268.10000000000002"/>
    <n v="10211.93"/>
    <n v="10211.93"/>
    <n v="0"/>
    <n v="0"/>
    <n v="0"/>
    <n v="0"/>
    <n v="0"/>
    <n v="0"/>
    <n v="10212"/>
    <n v="0"/>
    <n v="0"/>
    <n v="56"/>
    <n v="0"/>
  </r>
  <r>
    <x v="281"/>
    <s v="Mukhtiyarpur"/>
    <s v="MPG"/>
    <s v="Direct"/>
    <n v="119.19999999999999"/>
    <n v="4685.38"/>
    <n v="118.81"/>
    <n v="4837.9400000000005"/>
    <n v="0"/>
    <n v="0"/>
    <n v="118.81"/>
    <n v="4837.9400000000005"/>
    <n v="4685.38"/>
    <n v="0"/>
    <n v="0"/>
    <n v="152.5600000000004"/>
    <n v="0"/>
    <n v="0"/>
    <n v="0"/>
    <n v="4685"/>
    <n v="0"/>
    <n v="0"/>
    <n v="0"/>
    <n v="0"/>
  </r>
  <r>
    <x v="282"/>
    <s v="Gomukh Rudauli-02"/>
    <s v="MPG"/>
    <s v="Direct"/>
    <n v="615.00000000000011"/>
    <n v="24298.669999999995"/>
    <n v="547.20000000000005"/>
    <n v="21198.180000000004"/>
    <n v="67.22999999999999"/>
    <n v="2421.91"/>
    <n v="614.43000000000006"/>
    <n v="23620.090000000004"/>
    <n v="23620.090000000004"/>
    <n v="0"/>
    <n v="0"/>
    <n v="0"/>
    <n v="0"/>
    <n v="0"/>
    <n v="0"/>
    <n v="21197"/>
    <n v="2422"/>
    <n v="0"/>
    <n v="680"/>
    <n v="0"/>
  </r>
  <r>
    <x v="283"/>
    <s v="Gomukh Puranatol Raichiahi"/>
    <s v="MPG"/>
    <s v="Direct"/>
    <n v="603.04999999999995"/>
    <n v="23753.03"/>
    <n v="603"/>
    <n v="23722.02"/>
    <n v="0"/>
    <n v="0"/>
    <n v="603"/>
    <n v="23722.02"/>
    <n v="23722.02"/>
    <n v="0"/>
    <n v="0"/>
    <n v="0"/>
    <n v="0"/>
    <n v="0"/>
    <n v="0"/>
    <n v="23722"/>
    <n v="0"/>
    <n v="0"/>
    <n v="31"/>
    <n v="0"/>
  </r>
  <r>
    <x v="284"/>
    <s v="Bihat-Gududaspur"/>
    <s v="MPG"/>
    <s v="Direct"/>
    <n v="215.75"/>
    <n v="8763.35"/>
    <n v="215"/>
    <n v="8726.85"/>
    <n v="0"/>
    <n v="0"/>
    <n v="215"/>
    <n v="8726.85"/>
    <n v="8726.85"/>
    <n v="0"/>
    <n v="0"/>
    <n v="0"/>
    <n v="0"/>
    <n v="0"/>
    <n v="0"/>
    <n v="8727"/>
    <n v="0"/>
    <n v="0"/>
    <n v="36"/>
    <n v="0"/>
  </r>
  <r>
    <x v="285"/>
    <s v="Labharchak-2"/>
    <s v="MPG"/>
    <s v="Direct"/>
    <n v="211.65"/>
    <n v="7678.3199999999988"/>
    <n v="211"/>
    <n v="7570.6799999999994"/>
    <n v="0"/>
    <n v="0"/>
    <n v="211"/>
    <n v="7570.6799999999994"/>
    <n v="7570.6799999999994"/>
    <n v="0"/>
    <n v="0"/>
    <n v="0"/>
    <n v="0"/>
    <n v="0"/>
    <n v="0"/>
    <n v="7571"/>
    <n v="0"/>
    <n v="0"/>
    <n v="107"/>
    <n v="0"/>
  </r>
  <r>
    <x v="286"/>
    <s v="Shamar Kasha"/>
    <s v="MPG"/>
    <s v="Indirect"/>
    <n v="268.3"/>
    <n v="10818.85"/>
    <n v="0"/>
    <n v="0"/>
    <n v="0"/>
    <n v="0"/>
    <n v="0"/>
    <n v="0"/>
    <n v="10818.85"/>
    <n v="0"/>
    <n v="0"/>
    <n v="0"/>
    <n v="0"/>
    <n v="0"/>
    <n v="0"/>
    <n v="0"/>
    <n v="0"/>
    <n v="10818.85"/>
    <n v="0"/>
    <n v="0"/>
  </r>
  <r>
    <x v="287"/>
    <s v="POHE"/>
    <s v="MPG"/>
    <s v="Indirect"/>
    <n v="562.09999999999991"/>
    <n v="24544.149999999998"/>
    <n v="0"/>
    <n v="0"/>
    <n v="0"/>
    <n v="0"/>
    <n v="0"/>
    <n v="0"/>
    <n v="24544.149999999998"/>
    <n v="0"/>
    <n v="0"/>
    <n v="0"/>
    <n v="0"/>
    <n v="0"/>
    <n v="0"/>
    <n v="0"/>
    <n v="0"/>
    <n v="24544.149999999998"/>
    <n v="0"/>
    <n v="0"/>
  </r>
  <r>
    <x v="288"/>
    <s v="AURO"/>
    <s v="MPG"/>
    <s v="Direct"/>
    <n v="1372.3000000000002"/>
    <n v="58079.34"/>
    <n v="1434.9600000000003"/>
    <n v="60704.5"/>
    <n v="55.959999999999994"/>
    <n v="2389.1000000000004"/>
    <n v="1490.9200000000003"/>
    <n v="63093.599999999999"/>
    <n v="58079.34"/>
    <n v="0"/>
    <n v="99.460000000000008"/>
    <n v="5014.260000000002"/>
    <n v="0"/>
    <n v="0"/>
    <n v="0"/>
    <n v="55690"/>
    <n v="2290"/>
    <n v="0"/>
    <n v="0"/>
    <n v="0"/>
  </r>
  <r>
    <x v="289"/>
    <s v="PARSHAMA"/>
    <s v="MPG"/>
    <s v="Direct"/>
    <n v="42.6"/>
    <n v="1457.1599999999999"/>
    <n v="43.3"/>
    <n v="1521.3400000000001"/>
    <n v="0.6"/>
    <n v="21.06"/>
    <n v="43.9"/>
    <n v="1542.4"/>
    <n v="1457.1599999999999"/>
    <n v="0"/>
    <n v="21.06"/>
    <n v="85.240000000000236"/>
    <n v="0"/>
    <n v="0"/>
    <n v="0"/>
    <n v="1436"/>
    <n v="0"/>
    <n v="0"/>
    <n v="0"/>
    <n v="0"/>
  </r>
  <r>
    <x v="290"/>
    <s v="PRATAPUR 2"/>
    <s v="MPG"/>
    <s v="Indirect"/>
    <n v="104.1"/>
    <n v="4314.33"/>
    <n v="0"/>
    <n v="0"/>
    <n v="0"/>
    <n v="0"/>
    <n v="0"/>
    <n v="0"/>
    <n v="4314.33"/>
    <n v="0"/>
    <n v="0"/>
    <n v="0"/>
    <n v="0"/>
    <n v="0"/>
    <n v="0"/>
    <n v="0"/>
    <n v="0"/>
    <n v="4314.33"/>
    <n v="0"/>
    <n v="0"/>
  </r>
  <r>
    <x v="291"/>
    <s v="BALLOPUR"/>
    <s v="MPG"/>
    <s v="Direct"/>
    <n v="1504.8"/>
    <n v="64291.140000000007"/>
    <n v="1455.6000000000001"/>
    <n v="65879.360000000001"/>
    <n v="19.100000000000001"/>
    <n v="709.18"/>
    <n v="1474.7"/>
    <n v="66588.539999999994"/>
    <n v="64291.140000000007"/>
    <n v="0"/>
    <n v="709.18"/>
    <n v="2297.3999999999869"/>
    <n v="0"/>
    <n v="0"/>
    <n v="0"/>
    <n v="63582"/>
    <n v="0"/>
    <n v="0"/>
    <n v="0"/>
    <n v="0"/>
  </r>
  <r>
    <x v="292"/>
    <s v="KHAIRMA"/>
    <s v="MPG"/>
    <s v="Direct"/>
    <n v="516.5"/>
    <n v="19063.680000000004"/>
    <n v="597.5"/>
    <n v="24692.09"/>
    <n v="7.6"/>
    <n v="292.07000000000005"/>
    <n v="605.1"/>
    <n v="24984.16"/>
    <n v="19063.680000000004"/>
    <n v="0"/>
    <n v="292.07000000000005"/>
    <n v="5920.4799999999959"/>
    <n v="0"/>
    <n v="0"/>
    <n v="0"/>
    <n v="18772"/>
    <n v="0"/>
    <n v="0"/>
    <n v="0"/>
    <n v="0"/>
  </r>
  <r>
    <x v="293"/>
    <s v="MAHASONI"/>
    <s v="MPG"/>
    <s v="Direct"/>
    <n v="785.4"/>
    <n v="32033.660000000003"/>
    <n v="789.9000000000002"/>
    <n v="31015.890000000003"/>
    <n v="11.200000000000001"/>
    <n v="432.38"/>
    <n v="801.10000000000025"/>
    <n v="31448.270000000004"/>
    <n v="31448.270000000004"/>
    <n v="0"/>
    <n v="432.38"/>
    <n v="0"/>
    <n v="0"/>
    <n v="0"/>
    <n v="0"/>
    <n v="31016"/>
    <n v="0"/>
    <n v="0"/>
    <n v="585"/>
    <n v="0"/>
  </r>
  <r>
    <x v="294"/>
    <s v="SONDHI"/>
    <s v="MPG"/>
    <s v="Direct"/>
    <n v="553.70000000000005"/>
    <n v="22206.440000000002"/>
    <n v="561.4"/>
    <n v="22408.19"/>
    <n v="4.5"/>
    <n v="189.45000000000002"/>
    <n v="565.9"/>
    <n v="22597.64"/>
    <n v="22206.440000000002"/>
    <n v="0"/>
    <n v="189.45000000000002"/>
    <n v="391.19999999999709"/>
    <n v="0"/>
    <n v="0"/>
    <n v="0"/>
    <n v="22017"/>
    <n v="0"/>
    <n v="0"/>
    <n v="0"/>
    <n v="0"/>
  </r>
  <r>
    <x v="295"/>
    <s v="BELDARAYA"/>
    <s v="vlc"/>
    <s v="Indirect"/>
    <n v="750.1"/>
    <n v="29021.43"/>
    <n v="0"/>
    <n v="0"/>
    <n v="0"/>
    <n v="0"/>
    <n v="0"/>
    <n v="0"/>
    <n v="29021.43"/>
    <n v="0"/>
    <n v="0"/>
    <n v="0"/>
    <n v="0"/>
    <n v="0"/>
    <n v="0"/>
    <n v="0"/>
    <n v="0"/>
    <n v="29021.43"/>
    <n v="0"/>
    <n v="0"/>
  </r>
  <r>
    <x v="296"/>
    <s v="Gomukh ID Aure-2"/>
    <s v="vlc"/>
    <s v="Indirect"/>
    <n v="1050.0999999999999"/>
    <n v="40711.43"/>
    <n v="0"/>
    <n v="0"/>
    <n v="0"/>
    <n v="0"/>
    <n v="0"/>
    <n v="0"/>
    <n v="40711.43"/>
    <n v="0"/>
    <n v="0"/>
    <n v="0"/>
    <n v="0"/>
    <n v="0"/>
    <n v="0"/>
    <n v="0"/>
    <n v="0"/>
    <n v="40711.43"/>
    <n v="0"/>
    <n v="0"/>
  </r>
  <r>
    <x v="297"/>
    <s v="Gomukh Karma"/>
    <s v="vlc"/>
    <s v="Indirect"/>
    <n v="796.79999999999984"/>
    <n v="33667.530000000006"/>
    <n v="0"/>
    <n v="0"/>
    <n v="0"/>
    <n v="0"/>
    <n v="0"/>
    <n v="0"/>
    <n v="33667.530000000006"/>
    <n v="0"/>
    <n v="0"/>
    <n v="0"/>
    <n v="0"/>
    <n v="0"/>
    <n v="0"/>
    <n v="0"/>
    <n v="0"/>
    <n v="33667.530000000006"/>
    <n v="0"/>
    <n v="0"/>
  </r>
  <r>
    <x v="298"/>
    <s v="GOMUKH UKSI"/>
    <s v="MPG"/>
    <s v="Indirect"/>
    <n v="656"/>
    <n v="29434.04"/>
    <n v="0"/>
    <n v="0"/>
    <n v="0"/>
    <n v="0"/>
    <n v="0"/>
    <n v="0"/>
    <n v="29434.04"/>
    <n v="0"/>
    <n v="0"/>
    <n v="0"/>
    <n v="0"/>
    <n v="0"/>
    <n v="0"/>
    <n v="0"/>
    <n v="0"/>
    <n v="29434.04"/>
    <n v="0"/>
    <n v="0"/>
  </r>
  <r>
    <x v="299"/>
    <s v="Gomukh ID Halsi"/>
    <s v="vlc"/>
    <s v="Indirect"/>
    <n v="5374.1999999999989"/>
    <n v="203948.16000000006"/>
    <n v="0"/>
    <n v="0"/>
    <n v="0"/>
    <n v="0"/>
    <n v="0"/>
    <n v="0"/>
    <n v="203948.16000000006"/>
    <n v="0"/>
    <n v="0"/>
    <n v="0"/>
    <n v="0"/>
    <n v="0"/>
    <n v="0"/>
    <n v="0"/>
    <n v="0"/>
    <n v="203948.16000000006"/>
    <n v="0"/>
    <n v="0"/>
  </r>
  <r>
    <x v="300"/>
    <s v="Gomukh ID Lalpur"/>
    <s v="vlc"/>
    <s v="Indirect"/>
    <n v="706.59999999999991"/>
    <n v="27642.55"/>
    <n v="0"/>
    <n v="0"/>
    <n v="0"/>
    <n v="0"/>
    <n v="0"/>
    <n v="0"/>
    <n v="27642.55"/>
    <n v="0"/>
    <n v="0"/>
    <n v="0"/>
    <n v="0"/>
    <n v="0"/>
    <n v="0"/>
    <n v="0"/>
    <n v="0"/>
    <n v="27642.55"/>
    <n v="0"/>
    <n v="0"/>
  </r>
  <r>
    <x v="301"/>
    <s v="KHURIYARI"/>
    <s v="MPG"/>
    <s v="Direct"/>
    <n v="1131.6999999999998"/>
    <n v="53849.24"/>
    <n v="1654.1999999999998"/>
    <n v="78886.079999999987"/>
    <n v="2.1"/>
    <n v="95.98"/>
    <n v="1656.2999999999997"/>
    <n v="78982.059999999983"/>
    <n v="53849.24"/>
    <n v="0"/>
    <n v="95.98"/>
    <n v="25132.819999999985"/>
    <n v="0"/>
    <n v="0"/>
    <n v="0"/>
    <n v="53753"/>
    <n v="0"/>
    <n v="0"/>
    <n v="0"/>
    <n v="0"/>
  </r>
  <r>
    <x v="302"/>
    <s v="BISANPUR"/>
    <s v="MPG"/>
    <s v="Indirect"/>
    <n v="488.09999999999991"/>
    <n v="19472.640000000003"/>
    <n v="0"/>
    <n v="0"/>
    <n v="0"/>
    <n v="0"/>
    <n v="0"/>
    <n v="0"/>
    <n v="19472.640000000003"/>
    <n v="0"/>
    <n v="0"/>
    <n v="0"/>
    <n v="0"/>
    <n v="0"/>
    <n v="0"/>
    <n v="0"/>
    <n v="0"/>
    <n v="19472.640000000003"/>
    <n v="0"/>
    <n v="0"/>
  </r>
  <r>
    <x v="303"/>
    <s v="BEHRAMA"/>
    <s v="MPG"/>
    <s v="Indirect"/>
    <n v="177.4"/>
    <n v="7271.38"/>
    <n v="0"/>
    <n v="0"/>
    <n v="0"/>
    <n v="0"/>
    <n v="0"/>
    <n v="0"/>
    <n v="7271.38"/>
    <n v="0"/>
    <n v="0"/>
    <n v="0"/>
    <n v="0"/>
    <n v="0"/>
    <n v="0"/>
    <n v="0"/>
    <n v="0"/>
    <n v="7271.38"/>
    <n v="0"/>
    <n v="0"/>
  </r>
  <r>
    <x v="304"/>
    <s v="Gomukh ID Mathurapur"/>
    <s v="vlc"/>
    <s v="Indirect"/>
    <n v="546.4"/>
    <n v="21296.14"/>
    <n v="0"/>
    <n v="0"/>
    <n v="0"/>
    <n v="0"/>
    <n v="0"/>
    <n v="0"/>
    <n v="21296.14"/>
    <n v="0"/>
    <n v="0"/>
    <n v="0"/>
    <n v="0"/>
    <n v="0"/>
    <n v="0"/>
    <n v="0"/>
    <n v="0"/>
    <n v="21296.14"/>
    <n v="0"/>
    <n v="0"/>
  </r>
  <r>
    <x v="305"/>
    <s v="Gomukh ID Kurha Dih"/>
    <s v="vlc"/>
    <s v="Indirect"/>
    <n v="1858.6999999999998"/>
    <n v="81216.98000000001"/>
    <n v="0"/>
    <n v="0"/>
    <n v="0"/>
    <n v="0"/>
    <n v="0"/>
    <n v="0"/>
    <n v="81216.98000000001"/>
    <n v="0"/>
    <n v="0"/>
    <n v="0"/>
    <n v="0"/>
    <n v="0"/>
    <n v="0"/>
    <n v="0"/>
    <n v="0"/>
    <n v="81216.98000000001"/>
    <n v="0"/>
    <n v="0"/>
  </r>
  <r>
    <x v="306"/>
    <s v="RAMNAGAR"/>
    <s v="MPG"/>
    <s v="Direct"/>
    <n v="752.19999999999993"/>
    <n v="33394.310000000005"/>
    <n v="773.69999999999982"/>
    <n v="33089.43"/>
    <n v="5.0599999999999996"/>
    <n v="246.88"/>
    <n v="778.75999999999976"/>
    <n v="33336.31"/>
    <n v="33336.31"/>
    <n v="0"/>
    <n v="246.88"/>
    <n v="0"/>
    <n v="0"/>
    <n v="0"/>
    <n v="0"/>
    <n v="33089"/>
    <n v="0"/>
    <n v="0"/>
    <n v="58"/>
    <n v="0"/>
  </r>
  <r>
    <x v="307"/>
    <s v="SANDH MAAF 2"/>
    <s v="MPG"/>
    <s v="Direct"/>
    <n v="1206.7000000000003"/>
    <n v="57910.560000000005"/>
    <n v="1211.8599999999999"/>
    <n v="59580.939999999988"/>
    <n v="5.32"/>
    <n v="252.88"/>
    <n v="1217.1799999999998"/>
    <n v="59833.819999999985"/>
    <n v="57910.560000000005"/>
    <n v="0"/>
    <n v="252.88"/>
    <n v="1923.2599999999802"/>
    <n v="0"/>
    <n v="0"/>
    <n v="0"/>
    <n v="57658"/>
    <n v="0"/>
    <n v="0"/>
    <n v="0"/>
    <n v="0"/>
  </r>
  <r>
    <x v="308"/>
    <s v="TAAL-SHAHARSHA                                                                                      "/>
    <s v="MPG"/>
    <s v="Direct"/>
    <n v="1701.4"/>
    <n v="76551.160000000018"/>
    <n v="1685.5600000000006"/>
    <n v="75937.599999999977"/>
    <n v="14.479999999999997"/>
    <n v="649.48"/>
    <n v="1700.0400000000006"/>
    <n v="76587.079999999973"/>
    <n v="76551.160000000018"/>
    <n v="0"/>
    <n v="649.48"/>
    <n v="35.919999999954598"/>
    <n v="0"/>
    <n v="0"/>
    <n v="0"/>
    <n v="75902"/>
    <n v="0"/>
    <n v="0"/>
    <n v="0"/>
    <n v="0"/>
  </r>
  <r>
    <x v="309"/>
    <s v="Dhira"/>
    <s v="MPG"/>
    <s v="Direct"/>
    <n v="765.59999999999991"/>
    <n v="39766.31"/>
    <n v="526.35"/>
    <n v="26896.68"/>
    <n v="211.98000000000002"/>
    <n v="13509.93"/>
    <n v="738.33"/>
    <n v="40406.61"/>
    <n v="39766.31"/>
    <n v="0"/>
    <n v="307.01"/>
    <n v="640.30000000000291"/>
    <n v="0"/>
    <n v="0"/>
    <n v="0"/>
    <n v="26255"/>
    <n v="13204"/>
    <n v="0"/>
    <n v="0"/>
    <n v="0"/>
  </r>
  <r>
    <x v="310"/>
    <s v="SHARMA"/>
    <s v="vlc"/>
    <s v="Direct"/>
    <n v="281.89999999999998"/>
    <n v="11537.08"/>
    <n v="267.42"/>
    <n v="10836.850000000002"/>
    <n v="0"/>
    <n v="0"/>
    <n v="267.42"/>
    <n v="10836.850000000002"/>
    <n v="10836.850000000002"/>
    <n v="0"/>
    <n v="0"/>
    <n v="0"/>
    <n v="0"/>
    <n v="0"/>
    <n v="0"/>
    <n v="10837"/>
    <n v="0"/>
    <n v="0"/>
    <n v="700"/>
    <n v="0"/>
  </r>
  <r>
    <x v="311"/>
    <s v="AZADNAGAR(VLC)"/>
    <s v="vlc"/>
    <s v="Indirect"/>
    <n v="323.2"/>
    <n v="10022.24"/>
    <n v="0"/>
    <n v="0"/>
    <n v="0"/>
    <n v="0"/>
    <n v="0"/>
    <n v="0"/>
    <n v="10022.24"/>
    <n v="0"/>
    <n v="0"/>
    <n v="0"/>
    <n v="0"/>
    <n v="0"/>
    <n v="0"/>
    <n v="0"/>
    <n v="0"/>
    <n v="10022.24"/>
    <n v="0"/>
    <n v="0"/>
  </r>
  <r>
    <x v="312"/>
    <s v="REWAI"/>
    <s v="MPG"/>
    <s v="Direct"/>
    <n v="1004.4999999999999"/>
    <n v="44664.499999999993"/>
    <n v="1011.8600000000001"/>
    <n v="46904.45"/>
    <n v="2.66"/>
    <n v="118.83999999999997"/>
    <n v="1014.5200000000001"/>
    <n v="47023.289999999994"/>
    <n v="44664.499999999993"/>
    <n v="0"/>
    <n v="118.83999999999997"/>
    <n v="2358.7900000000009"/>
    <n v="0"/>
    <n v="0"/>
    <n v="0"/>
    <n v="44545"/>
    <n v="0"/>
    <n v="0"/>
    <n v="1"/>
    <n v="0"/>
  </r>
  <r>
    <x v="313"/>
    <s v="MANJOS"/>
    <s v="MPG"/>
    <s v="Direct"/>
    <n v="66.7"/>
    <n v="2959.5899999999997"/>
    <n v="66.900000000000006"/>
    <n v="2963.74"/>
    <n v="0"/>
    <n v="0"/>
    <n v="66.900000000000006"/>
    <n v="2963.74"/>
    <n v="2959.5899999999997"/>
    <n v="0"/>
    <n v="0"/>
    <n v="4.1500000000000909"/>
    <n v="0"/>
    <n v="0"/>
    <n v="0"/>
    <n v="2960"/>
    <n v="0"/>
    <n v="0"/>
    <n v="0"/>
    <n v="0"/>
  </r>
  <r>
    <x v="314"/>
    <s v="RATA"/>
    <s v="MPG"/>
    <s v="Direct"/>
    <n v="539.29999999999995"/>
    <n v="25079.309999999998"/>
    <n v="579.35"/>
    <n v="28373.41"/>
    <n v="4.53"/>
    <n v="169.61"/>
    <n v="583.88"/>
    <n v="28543.02"/>
    <n v="25079.309999999998"/>
    <n v="0"/>
    <n v="169.61"/>
    <n v="3463.7100000000028"/>
    <n v="0"/>
    <n v="0"/>
    <n v="0"/>
    <n v="24909"/>
    <n v="0"/>
    <n v="0"/>
    <n v="1"/>
    <n v="0"/>
  </r>
  <r>
    <x v="315"/>
    <s v="BARUI"/>
    <s v="MPG"/>
    <s v="Direct"/>
    <n v="325.8"/>
    <n v="14112.58"/>
    <n v="333.95000000000005"/>
    <n v="13694.49"/>
    <n v="8.1"/>
    <n v="349.94000000000005"/>
    <n v="342.05000000000007"/>
    <n v="14044.43"/>
    <n v="14044.43"/>
    <n v="0"/>
    <n v="349.94000000000005"/>
    <n v="0"/>
    <n v="0"/>
    <n v="0"/>
    <n v="0"/>
    <n v="13693"/>
    <n v="0"/>
    <n v="0"/>
    <n v="70"/>
    <n v="0"/>
  </r>
  <r>
    <x v="316"/>
    <s v="LAHUARA                                                                                             "/>
    <s v="MPG"/>
    <s v="Direct"/>
    <n v="843.50000000000011"/>
    <n v="44941.38"/>
    <n v="912.10000000000014"/>
    <n v="51087.759999999995"/>
    <n v="6.7000000000000011"/>
    <n v="397.23"/>
    <n v="918.80000000000018"/>
    <n v="51484.99"/>
    <n v="44941.38"/>
    <n v="0"/>
    <n v="397.23"/>
    <n v="6543.6100000000006"/>
    <n v="0"/>
    <n v="0"/>
    <n v="0"/>
    <n v="44544"/>
    <n v="0"/>
    <n v="0"/>
    <n v="0"/>
    <n v="0"/>
  </r>
  <r>
    <x v="317"/>
    <s v="RAMDIH Ajit Kumar"/>
    <s v="vlc"/>
    <s v="Indirect"/>
    <n v="325.39999999999998"/>
    <n v="13092.630000000001"/>
    <n v="0"/>
    <n v="0"/>
    <n v="0"/>
    <n v="0"/>
    <n v="0"/>
    <n v="0"/>
    <n v="13092.630000000001"/>
    <n v="0"/>
    <n v="0"/>
    <n v="0"/>
    <n v="0"/>
    <n v="0"/>
    <n v="0"/>
    <n v="0"/>
    <n v="0"/>
    <n v="13092.630000000001"/>
    <n v="0"/>
    <n v="0"/>
  </r>
  <r>
    <x v="318"/>
    <s v="NARAYANPUR"/>
    <s v="MPG"/>
    <s v="Direct"/>
    <n v="290.89999999999998"/>
    <n v="13028.769999999997"/>
    <n v="330.25"/>
    <n v="14964.480000000001"/>
    <n v="1.2500000000000002"/>
    <n v="57.360000000000007"/>
    <n v="331.5"/>
    <n v="15021.840000000002"/>
    <n v="13028.769999999997"/>
    <n v="5000"/>
    <n v="57.360000000000007"/>
    <n v="1993.0700000000052"/>
    <n v="0"/>
    <n v="0"/>
    <n v="0"/>
    <n v="7971"/>
    <n v="0"/>
    <n v="0"/>
    <n v="0"/>
    <n v="0"/>
  </r>
  <r>
    <x v="319"/>
    <s v="NAWKADIH"/>
    <s v="MPG"/>
    <s v="Direct"/>
    <n v="817.59999999999991"/>
    <n v="36444.009999999995"/>
    <n v="822.38"/>
    <n v="40514.99"/>
    <n v="0"/>
    <n v="0"/>
    <n v="822.38"/>
    <n v="40514.99"/>
    <n v="36444.009999999995"/>
    <n v="0"/>
    <n v="0"/>
    <n v="4070.9800000000032"/>
    <n v="0"/>
    <n v="0"/>
    <n v="0"/>
    <n v="36444"/>
    <n v="0"/>
    <n v="0"/>
    <n v="0"/>
    <n v="0"/>
  </r>
  <r>
    <x v="320"/>
    <s v="CHOTAHA"/>
    <s v="MPG"/>
    <s v="Direct"/>
    <n v="259.49999999999994"/>
    <n v="11738.969999999998"/>
    <n v="629.44000000000005"/>
    <n v="38834.299999999996"/>
    <n v="0"/>
    <n v="0"/>
    <n v="629.44000000000005"/>
    <n v="38834.299999999996"/>
    <n v="11738.969999999998"/>
    <n v="0"/>
    <n v="0"/>
    <n v="27095.329999999998"/>
    <n v="0"/>
    <n v="0"/>
    <n v="0"/>
    <n v="11739"/>
    <n v="0"/>
    <n v="0"/>
    <n v="0"/>
    <n v="0"/>
  </r>
  <r>
    <x v="321"/>
    <s v="KHARAGWADA "/>
    <s v="MPG"/>
    <s v="Direct"/>
    <n v="187.29999999999998"/>
    <n v="8992.7499999999982"/>
    <n v="188.69999999999996"/>
    <n v="9072.07"/>
    <n v="0"/>
    <n v="0"/>
    <n v="188.69999999999996"/>
    <n v="9072.07"/>
    <n v="8992.7499999999982"/>
    <n v="0"/>
    <n v="0"/>
    <n v="79.320000000001528"/>
    <n v="0"/>
    <n v="500"/>
    <n v="0"/>
    <n v="8493"/>
    <n v="0"/>
    <n v="0"/>
    <n v="0"/>
    <n v="0"/>
  </r>
  <r>
    <x v="322"/>
    <s v="UFFAPUR"/>
    <s v="MPG"/>
    <s v="Direct"/>
    <n v="190.5"/>
    <n v="8673.8700000000008"/>
    <n v="223.9"/>
    <n v="10297.23"/>
    <n v="0"/>
    <n v="0"/>
    <n v="223.9"/>
    <n v="10297.23"/>
    <n v="8673.8700000000008"/>
    <n v="0"/>
    <n v="0"/>
    <n v="1623.3599999999988"/>
    <n v="0"/>
    <n v="500"/>
    <n v="0"/>
    <n v="8174"/>
    <n v="0"/>
    <n v="0"/>
    <n v="0"/>
    <n v="0"/>
  </r>
  <r>
    <x v="323"/>
    <s v="BIHRAURA"/>
    <s v="MPG"/>
    <s v="Direct"/>
    <n v="182.7"/>
    <n v="10155.89"/>
    <n v="190.09999999999997"/>
    <n v="10419.77"/>
    <n v="0"/>
    <n v="0"/>
    <n v="190.09999999999997"/>
    <n v="10419.77"/>
    <n v="10155.89"/>
    <n v="0"/>
    <n v="0"/>
    <n v="263.88000000000102"/>
    <n v="0"/>
    <n v="500"/>
    <n v="0"/>
    <n v="9656"/>
    <n v="0"/>
    <n v="0"/>
    <n v="0"/>
    <n v="0"/>
  </r>
  <r>
    <x v="324"/>
    <s v="SHIJHORI"/>
    <s v="MPG"/>
    <s v="Direct"/>
    <n v="482.90000000000003"/>
    <n v="24305.199999999997"/>
    <n v="451.27999999999992"/>
    <n v="22801.879999999997"/>
    <n v="39.479999999999997"/>
    <n v="1993.6799999999998"/>
    <n v="490.75999999999993"/>
    <n v="24795.559999999998"/>
    <n v="24305.199999999997"/>
    <n v="0"/>
    <n v="0"/>
    <n v="490.36000000000058"/>
    <n v="0"/>
    <n v="0"/>
    <n v="0"/>
    <n v="22311"/>
    <n v="1994"/>
    <n v="0"/>
    <n v="0"/>
    <n v="0"/>
  </r>
  <r>
    <x v="325"/>
    <s v="RAM PRAVESH YADAV"/>
    <s v="MPG"/>
    <s v="Direct"/>
    <n v="750.19999999999993"/>
    <n v="31735.480000000003"/>
    <n v="760.31999999999971"/>
    <n v="34277.83"/>
    <n v="0"/>
    <n v="0"/>
    <n v="760.31999999999971"/>
    <n v="34277.83"/>
    <n v="31735.480000000003"/>
    <n v="0"/>
    <n v="0"/>
    <n v="2542.3499999999985"/>
    <n v="0"/>
    <n v="0"/>
    <n v="0"/>
    <n v="31735"/>
    <n v="0"/>
    <n v="0"/>
    <n v="0"/>
    <n v="0"/>
  </r>
  <r>
    <x v="326"/>
    <s v="MAHMADPUR VL"/>
    <s v="vlc"/>
    <s v="Indirect"/>
    <n v="728.9"/>
    <n v="32477.950000000004"/>
    <n v="0"/>
    <n v="0"/>
    <n v="0"/>
    <n v="0"/>
    <n v="0"/>
    <n v="0"/>
    <n v="32477.950000000004"/>
    <n v="0"/>
    <n v="0"/>
    <n v="0"/>
    <n v="0"/>
    <n v="0"/>
    <n v="0"/>
    <n v="0"/>
    <n v="0"/>
    <n v="32477.950000000004"/>
    <n v="0"/>
    <n v="0"/>
  </r>
  <r>
    <x v="327"/>
    <s v="BOUDHNAGAR"/>
    <s v="MPG"/>
    <s v="Direct"/>
    <n v="376.1"/>
    <n v="15105.64"/>
    <n v="415.1"/>
    <n v="16913.980000000003"/>
    <n v="0"/>
    <n v="0"/>
    <n v="415.1"/>
    <n v="16913.980000000003"/>
    <n v="15105.64"/>
    <n v="0"/>
    <n v="0"/>
    <n v="1808.3400000000038"/>
    <n v="0"/>
    <n v="0"/>
    <n v="0"/>
    <n v="15106"/>
    <n v="0"/>
    <n v="0"/>
    <n v="0"/>
    <n v="0"/>
  </r>
  <r>
    <x v="328"/>
    <s v="MOHADDINGAR"/>
    <s v="MPG"/>
    <s v="Direct"/>
    <n v="377.7"/>
    <n v="16377.410000000002"/>
    <n v="424.44999999999993"/>
    <n v="18693.059999999998"/>
    <n v="0"/>
    <n v="0"/>
    <n v="424.44999999999993"/>
    <n v="18693.059999999998"/>
    <n v="16377.410000000002"/>
    <n v="0"/>
    <n v="0"/>
    <n v="2315.649999999996"/>
    <n v="0"/>
    <n v="0"/>
    <n v="0"/>
    <n v="16377"/>
    <n v="0"/>
    <n v="0"/>
    <n v="0"/>
    <n v="0"/>
  </r>
  <r>
    <x v="329"/>
    <s v="PACHAUTA"/>
    <s v="MPG"/>
    <s v="Direct"/>
    <n v="514.1"/>
    <n v="20349.04"/>
    <n v="648.09999999999991"/>
    <n v="28392.62"/>
    <n v="0"/>
    <n v="0"/>
    <n v="648.09999999999991"/>
    <n v="28392.62"/>
    <n v="20349.04"/>
    <n v="0"/>
    <n v="0"/>
    <n v="8043.5799999999981"/>
    <n v="0"/>
    <n v="0"/>
    <n v="0"/>
    <n v="20349"/>
    <n v="0"/>
    <n v="0"/>
    <n v="0"/>
    <n v="0"/>
  </r>
  <r>
    <x v="330"/>
    <s v="Gomukh Champa"/>
    <s v="vlc"/>
    <s v="Indirect"/>
    <n v="12000"/>
    <n v="490755"/>
    <n v="0"/>
    <n v="0"/>
    <n v="0"/>
    <n v="0"/>
    <n v="0"/>
    <n v="0"/>
    <n v="490755"/>
    <n v="0"/>
    <n v="0"/>
    <n v="0"/>
    <n v="0"/>
    <n v="0"/>
    <n v="0"/>
    <n v="0"/>
    <n v="0"/>
    <n v="490755"/>
    <n v="0"/>
    <n v="0"/>
  </r>
  <r>
    <x v="331"/>
    <s v="GOMUKH DAKRA"/>
    <s v="vlc"/>
    <s v="Indirect"/>
    <n v="13000"/>
    <n v="536625"/>
    <n v="0"/>
    <n v="0"/>
    <n v="0"/>
    <n v="0"/>
    <n v="0"/>
    <n v="0"/>
    <n v="536625"/>
    <n v="0"/>
    <n v="0"/>
    <n v="0"/>
    <n v="0"/>
    <n v="0"/>
    <n v="0"/>
    <n v="0"/>
    <n v="0"/>
    <n v="536625"/>
    <n v="0"/>
    <n v="0"/>
  </r>
  <r>
    <x v="332"/>
    <s v="TIYAY"/>
    <s v="MPG"/>
    <s v="Direct"/>
    <n v="364.09999999999997"/>
    <n v="13083.59"/>
    <n v="378.6"/>
    <n v="14271.529999999999"/>
    <n v="0"/>
    <n v="0"/>
    <n v="378.6"/>
    <n v="14271.529999999999"/>
    <n v="13083.59"/>
    <n v="0"/>
    <n v="0"/>
    <n v="1187.9399999999987"/>
    <n v="0"/>
    <n v="0"/>
    <n v="0"/>
    <n v="13084"/>
    <n v="0"/>
    <n v="0"/>
    <n v="0"/>
    <n v="0"/>
  </r>
  <r>
    <x v="333"/>
    <s v="BILLO 2"/>
    <s v="MPG"/>
    <s v="Direct"/>
    <n v="252.10000000000002"/>
    <n v="10246.270000000002"/>
    <n v="274.60000000000002"/>
    <n v="10865.679999999997"/>
    <n v="0"/>
    <n v="0"/>
    <n v="274.60000000000002"/>
    <n v="10865.679999999997"/>
    <n v="10246.270000000002"/>
    <n v="0"/>
    <n v="0"/>
    <n v="619.4099999999944"/>
    <n v="0"/>
    <n v="0"/>
    <n v="0"/>
    <n v="10246"/>
    <n v="0"/>
    <n v="0"/>
    <n v="0"/>
    <n v="0"/>
  </r>
  <r>
    <x v="334"/>
    <s v="NAWADIH 2"/>
    <s v="MPG"/>
    <s v="Direct"/>
    <n v="635.1"/>
    <n v="32659.250000000004"/>
    <n v="463.9"/>
    <n v="23609.98"/>
    <n v="172.8"/>
    <n v="9114.4500000000007"/>
    <n v="636.70000000000005"/>
    <n v="32724.43"/>
    <n v="32659.250000000004"/>
    <n v="0"/>
    <n v="0"/>
    <n v="65.179999999996653"/>
    <n v="0"/>
    <n v="0"/>
    <n v="0"/>
    <n v="23545"/>
    <n v="9114"/>
    <n v="0"/>
    <n v="0"/>
    <n v="0"/>
  </r>
  <r>
    <x v="335"/>
    <s v="Vishan Pur"/>
    <s v="MPG"/>
    <s v="Direct"/>
    <n v="828.19999999999993"/>
    <n v="32859.699999999997"/>
    <n v="760.78"/>
    <n v="31135.68"/>
    <n v="1.2999999999999998"/>
    <n v="53.25"/>
    <n v="762.07999999999993"/>
    <n v="31188.93"/>
    <n v="31188.93"/>
    <n v="0"/>
    <n v="53.25"/>
    <n v="0"/>
    <n v="0"/>
    <n v="0"/>
    <n v="0"/>
    <n v="31134"/>
    <n v="0"/>
    <n v="0"/>
    <n v="1672"/>
    <n v="0"/>
  </r>
  <r>
    <x v="336"/>
    <s v="Gomukh Madhawpur"/>
    <s v="MPG"/>
    <s v="Direct"/>
    <n v="1850.3999999999999"/>
    <n v="77119.930000000008"/>
    <n v="1848.3999999999999"/>
    <n v="81375.510000000009"/>
    <n v="7"/>
    <n v="337.69999999999993"/>
    <n v="1855.3999999999999"/>
    <n v="81713.210000000006"/>
    <n v="77119.930000000008"/>
    <n v="0"/>
    <n v="337.69999999999993"/>
    <n v="4593.2799999999988"/>
    <n v="0"/>
    <n v="0"/>
    <n v="0"/>
    <n v="76782"/>
    <n v="0"/>
    <n v="0"/>
    <n v="0"/>
    <n v="0"/>
  </r>
  <r>
    <x v="337"/>
    <s v="Gomukh Muradpur"/>
    <s v="vlc"/>
    <s v="Indirect"/>
    <n v="148.79999999999998"/>
    <n v="5475.8099999999995"/>
    <n v="0"/>
    <n v="0"/>
    <n v="0"/>
    <n v="0"/>
    <n v="0"/>
    <n v="0"/>
    <n v="5475.8099999999995"/>
    <n v="0"/>
    <n v="0"/>
    <n v="0"/>
    <n v="0"/>
    <n v="0"/>
    <n v="0"/>
    <n v="0"/>
    <n v="0"/>
    <n v="5475.8099999999995"/>
    <n v="0"/>
    <n v="0"/>
  </r>
  <r>
    <x v="338"/>
    <s v="Gomukh Kanhaiyachak Pachhim"/>
    <s v="MPG"/>
    <s v="Direct"/>
    <n v="1312.6000000000004"/>
    <n v="52587.34"/>
    <n v="1315.9099999999999"/>
    <n v="60722.679999999993"/>
    <n v="0"/>
    <n v="0"/>
    <n v="1315.9099999999999"/>
    <n v="60722.679999999993"/>
    <n v="52587.34"/>
    <n v="0"/>
    <n v="0"/>
    <n v="8135.3399999999965"/>
    <n v="0"/>
    <n v="0"/>
    <n v="0"/>
    <n v="52587"/>
    <n v="0"/>
    <n v="0"/>
    <n v="0"/>
    <n v="0"/>
  </r>
  <r>
    <x v="339"/>
    <s v="Gomukh Srirampur Thuthi"/>
    <s v="MPG"/>
    <s v="Direct"/>
    <n v="400.5"/>
    <n v="16741.649999999998"/>
    <n v="403.59999999999991"/>
    <n v="16616.509999999998"/>
    <n v="0"/>
    <n v="0"/>
    <n v="403.59999999999991"/>
    <n v="16616.509999999998"/>
    <n v="16616.509999999998"/>
    <n v="0"/>
    <n v="0"/>
    <n v="0"/>
    <n v="0"/>
    <n v="0"/>
    <n v="0"/>
    <n v="16616"/>
    <n v="0"/>
    <n v="0"/>
    <n v="126"/>
    <n v="0"/>
  </r>
  <r>
    <x v="340"/>
    <s v="Gomukh Dumariya Bujurg Madhay"/>
    <s v="MPG"/>
    <s v="Direct"/>
    <n v="231.3"/>
    <n v="9614.41"/>
    <n v="365"/>
    <n v="16210.91"/>
    <n v="0"/>
    <n v="0"/>
    <n v="365"/>
    <n v="16210.91"/>
    <n v="9614.41"/>
    <n v="0"/>
    <n v="0"/>
    <n v="6596.5"/>
    <n v="0"/>
    <n v="0"/>
    <n v="0"/>
    <n v="9614"/>
    <n v="0"/>
    <n v="0"/>
    <n v="0"/>
    <s v="Release2"/>
  </r>
  <r>
    <x v="341"/>
    <s v="Gomukh Bandahera                                                                                    "/>
    <s v="MPG"/>
    <s v="Direct"/>
    <n v="540.9"/>
    <n v="22674.999999999996"/>
    <n v="539.5"/>
    <n v="22615.989999999998"/>
    <n v="1.4000000000000001"/>
    <n v="59.010000000000005"/>
    <n v="540.9"/>
    <n v="22674.999999999996"/>
    <n v="22674.999999999996"/>
    <n v="0"/>
    <n v="59.010000000000005"/>
    <n v="0"/>
    <n v="0"/>
    <n v="0"/>
    <n v="0"/>
    <n v="22616"/>
    <n v="0"/>
    <n v="0"/>
    <n v="0"/>
    <n v="0"/>
  </r>
  <r>
    <x v="342"/>
    <s v="Gomukh Badi Lagar-1 Kiran"/>
    <s v="vlc"/>
    <s v="Indirect"/>
    <n v="844.7"/>
    <n v="37409.33"/>
    <n v="0"/>
    <n v="0"/>
    <n v="0"/>
    <n v="0"/>
    <n v="0"/>
    <n v="0"/>
    <n v="37409.33"/>
    <n v="0"/>
    <n v="0"/>
    <n v="0"/>
    <n v="0"/>
    <n v="0"/>
    <n v="0"/>
    <n v="0"/>
    <n v="0"/>
    <n v="37409.33"/>
    <n v="0"/>
    <n v="0"/>
  </r>
  <r>
    <x v="343"/>
    <s v="Gomukh Muradpur Deepak"/>
    <s v="vlc"/>
    <s v="Indirect"/>
    <n v="454.39999999999992"/>
    <n v="15551.829999999998"/>
    <n v="0"/>
    <n v="0"/>
    <n v="0"/>
    <n v="0"/>
    <n v="0"/>
    <n v="0"/>
    <n v="15551.829999999998"/>
    <n v="0"/>
    <n v="0"/>
    <n v="0"/>
    <n v="0"/>
    <n v="0"/>
    <n v="0"/>
    <n v="0"/>
    <n v="0"/>
    <n v="15551.829999999998"/>
    <n v="0"/>
    <n v="0"/>
  </r>
  <r>
    <x v="344"/>
    <s v="Gomukh Basudevpur"/>
    <s v="vlc"/>
    <s v="Indirect"/>
    <n v="85.3"/>
    <n v="3196.38"/>
    <n v="0"/>
    <n v="0"/>
    <n v="0"/>
    <n v="0"/>
    <n v="0"/>
    <n v="0"/>
    <n v="3196.38"/>
    <n v="0"/>
    <n v="0"/>
    <n v="0"/>
    <n v="0"/>
    <n v="0"/>
    <n v="0"/>
    <n v="0"/>
    <n v="0"/>
    <n v="3196.38"/>
    <n v="0"/>
    <n v="0"/>
  </r>
  <r>
    <x v="345"/>
    <s v="Gomukh Fudkichak"/>
    <s v="MPG"/>
    <s v="Direct"/>
    <n v="512.6"/>
    <n v="25021.24"/>
    <n v="563.6"/>
    <n v="31200.36"/>
    <n v="0"/>
    <n v="0"/>
    <n v="563.6"/>
    <n v="31200.36"/>
    <n v="25021.24"/>
    <n v="0"/>
    <n v="0"/>
    <n v="6179.119999999999"/>
    <n v="0"/>
    <n v="500"/>
    <n v="0"/>
    <n v="24521"/>
    <n v="0"/>
    <n v="0"/>
    <n v="0"/>
    <n v="0"/>
  </r>
  <r>
    <x v="346"/>
    <s v="Gomukh Tehay"/>
    <s v="MPG"/>
    <s v="Direct"/>
    <n v="248"/>
    <n v="11607.12"/>
    <n v="486.79999999999995"/>
    <n v="23559.94"/>
    <n v="50"/>
    <n v="2370"/>
    <n v="536.79999999999995"/>
    <n v="25929.94"/>
    <n v="11607.12"/>
    <n v="0"/>
    <n v="2370"/>
    <n v="14322.819999999998"/>
    <n v="0"/>
    <n v="500"/>
    <n v="0"/>
    <n v="8737"/>
    <n v="0"/>
    <n v="0"/>
    <n v="0"/>
    <n v="0"/>
  </r>
  <r>
    <x v="347"/>
    <s v="Gomukh Buddhnagar"/>
    <s v="vlc"/>
    <s v="Indirect"/>
    <n v="1140.4999999999998"/>
    <n v="45358.48000000001"/>
    <n v="0"/>
    <n v="0"/>
    <n v="0"/>
    <n v="0"/>
    <n v="0"/>
    <n v="0"/>
    <n v="45358.48000000001"/>
    <n v="0"/>
    <n v="0"/>
    <n v="0"/>
    <n v="0"/>
    <n v="0"/>
    <n v="0"/>
    <n v="0"/>
    <n v="0"/>
    <n v="45358.48000000001"/>
    <n v="0"/>
    <n v="0"/>
  </r>
  <r>
    <x v="348"/>
    <s v="Gomukh Krochaka Dudhela"/>
    <s v="MPG"/>
    <s v="Direct"/>
    <n v="2016.7"/>
    <n v="73545.429999999993"/>
    <n v="2081.8199999999997"/>
    <n v="81757.76999999999"/>
    <n v="6.1199999999999983"/>
    <n v="238.07"/>
    <n v="2087.9399999999996"/>
    <n v="81995.839999999997"/>
    <n v="73545.429999999993"/>
    <n v="0"/>
    <n v="238.07"/>
    <n v="8450.4100000000035"/>
    <n v="0"/>
    <n v="0"/>
    <n v="0"/>
    <n v="73307"/>
    <n v="0"/>
    <n v="0"/>
    <n v="0"/>
    <n v="0"/>
  </r>
  <r>
    <x v="1013"/>
    <s v="Gomukh Mahdipur"/>
    <s v="vlc"/>
    <s v="Direct"/>
    <n v="20.6"/>
    <n v="890.54"/>
    <n v="0"/>
    <n v="0"/>
    <n v="0"/>
    <n v="0"/>
    <n v="0"/>
    <n v="0"/>
    <n v="0"/>
    <n v="0"/>
    <n v="0"/>
    <n v="0"/>
    <n v="0"/>
    <n v="0"/>
    <n v="0"/>
    <n v="0"/>
    <n v="0"/>
    <n v="0"/>
    <n v="891"/>
    <n v="0"/>
  </r>
  <r>
    <x v="349"/>
    <s v="Gomukh Govind Pur"/>
    <s v="MPG"/>
    <s v="Direct"/>
    <n v="1212.5"/>
    <n v="47558.239999999991"/>
    <n v="1212.5"/>
    <n v="47699.75"/>
    <n v="0"/>
    <n v="0"/>
    <n v="1212.5"/>
    <n v="47699.75"/>
    <n v="47558.239999999991"/>
    <n v="0"/>
    <n v="0"/>
    <n v="141.51000000000931"/>
    <n v="0"/>
    <n v="0"/>
    <n v="0"/>
    <n v="47558"/>
    <n v="0"/>
    <n v="0"/>
    <n v="0"/>
    <n v="0"/>
  </r>
  <r>
    <x v="350"/>
    <s v="Gomukh Sondiha"/>
    <s v="MPG"/>
    <s v="Direct"/>
    <n v="1659.8999999999999"/>
    <n v="65720.850000000006"/>
    <n v="1673"/>
    <n v="66430.069999999992"/>
    <n v="0"/>
    <n v="0"/>
    <n v="1673"/>
    <n v="66430.069999999992"/>
    <n v="65720.850000000006"/>
    <n v="0"/>
    <n v="0"/>
    <n v="709.21999999998661"/>
    <n v="0"/>
    <n v="0"/>
    <n v="0"/>
    <n v="65721"/>
    <n v="0"/>
    <n v="0"/>
    <n v="0"/>
    <n v="0"/>
  </r>
  <r>
    <x v="351"/>
    <s v="Gomukh Thebhay B"/>
    <s v="MPG"/>
    <s v="Direct"/>
    <n v="261.60000000000002"/>
    <n v="11625.919999999998"/>
    <n v="430.87"/>
    <n v="18150.010000000002"/>
    <n v="2.7700000000000005"/>
    <n v="119.42999999999999"/>
    <n v="433.64"/>
    <n v="18269.440000000002"/>
    <n v="11625.919999999998"/>
    <n v="0"/>
    <n v="119.42999999999999"/>
    <n v="6643.5200000000041"/>
    <n v="0"/>
    <n v="0"/>
    <n v="0"/>
    <n v="11506"/>
    <n v="0"/>
    <n v="0"/>
    <n v="0"/>
    <n v="0"/>
  </r>
  <r>
    <x v="1014"/>
    <s v="Gomukh Bandehra"/>
    <s v="vlc"/>
    <s v="Indirect"/>
    <n v="674.5"/>
    <n v="31166.89"/>
    <n v="0"/>
    <n v="0"/>
    <n v="0"/>
    <n v="0"/>
    <n v="0"/>
    <n v="0"/>
    <n v="31166.89"/>
    <n v="0"/>
    <n v="0"/>
    <n v="0"/>
    <n v="0"/>
    <n v="0"/>
    <n v="0"/>
    <n v="0"/>
    <n v="0"/>
    <n v="31166.89"/>
    <n v="0"/>
    <n v="0"/>
  </r>
  <r>
    <x v="977"/>
    <s v="Gomukh Rahempur"/>
    <s v="vlc"/>
    <s v="Indirect"/>
    <n v="1523.6000000000001"/>
    <n v="71783.88"/>
    <n v="0"/>
    <n v="0"/>
    <n v="0"/>
    <n v="0"/>
    <n v="0"/>
    <n v="0"/>
    <n v="71783.88"/>
    <n v="0"/>
    <n v="0"/>
    <n v="0"/>
    <n v="0"/>
    <n v="0"/>
    <n v="0"/>
    <n v="0"/>
    <n v="0"/>
    <n v="71783.88"/>
    <n v="0"/>
    <n v="0"/>
  </r>
  <r>
    <x v="352"/>
    <s v="Gomukh Baisa"/>
    <s v="MPG"/>
    <s v="Direct"/>
    <n v="282.89999999999998"/>
    <n v="11031.260000000002"/>
    <n v="282.5"/>
    <n v="11053.71"/>
    <n v="0.5"/>
    <n v="19.509999999999998"/>
    <n v="283"/>
    <n v="11073.22"/>
    <n v="11031.260000000002"/>
    <n v="0"/>
    <n v="19.509999999999998"/>
    <n v="41.959999999997308"/>
    <n v="676"/>
    <n v="0"/>
    <n v="0"/>
    <n v="10335"/>
    <n v="0"/>
    <n v="0"/>
    <n v="1"/>
    <s v="Release1"/>
  </r>
  <r>
    <x v="353"/>
    <s v="Gomukh Khutha VLC"/>
    <s v="vlc"/>
    <s v="Indirect"/>
    <n v="8451.1"/>
    <n v="346929.83999999997"/>
    <n v="0"/>
    <n v="0"/>
    <n v="0"/>
    <n v="0"/>
    <n v="0"/>
    <n v="0"/>
    <n v="346929.83999999997"/>
    <n v="0"/>
    <n v="0"/>
    <n v="0"/>
    <n v="0"/>
    <n v="0"/>
    <n v="0"/>
    <n v="0"/>
    <n v="0"/>
    <n v="346929.83999999997"/>
    <n v="0"/>
    <n v="0"/>
  </r>
  <r>
    <x v="354"/>
    <s v="Gomukh Kabela Vlc"/>
    <s v="vlc"/>
    <s v="Indirect"/>
    <n v="1018.6999999999998"/>
    <n v="37313.730000000003"/>
    <n v="0"/>
    <n v="0"/>
    <n v="0"/>
    <n v="0"/>
    <n v="0"/>
    <n v="0"/>
    <n v="37313.730000000003"/>
    <n v="0"/>
    <n v="0"/>
    <n v="0"/>
    <n v="0"/>
    <n v="0"/>
    <n v="0"/>
    <n v="0"/>
    <n v="0"/>
    <n v="37313.730000000003"/>
    <n v="0"/>
    <n v="0"/>
  </r>
  <r>
    <x v="1015"/>
    <s v="RaJu Kumar(MOR)"/>
    <s v="vlc"/>
    <s v="Indirect"/>
    <n v="1038"/>
    <n v="48967.29"/>
    <n v="0"/>
    <n v="0"/>
    <n v="0"/>
    <n v="0"/>
    <n v="0"/>
    <n v="0"/>
    <n v="48967.29"/>
    <n v="0"/>
    <n v="0"/>
    <n v="0"/>
    <n v="0"/>
    <n v="0"/>
    <n v="0"/>
    <n v="0"/>
    <n v="0"/>
    <n v="48967.29"/>
    <n v="0"/>
    <n v="0"/>
  </r>
  <r>
    <x v="355"/>
    <s v="Gomukh Lagar Wad-13 Vlc"/>
    <s v="vlc"/>
    <s v="Indirect"/>
    <n v="494.4"/>
    <n v="25195.5"/>
    <n v="0"/>
    <n v="0"/>
    <n v="0"/>
    <n v="0"/>
    <n v="0"/>
    <n v="0"/>
    <n v="25195.5"/>
    <n v="0"/>
    <n v="0"/>
    <n v="0"/>
    <n v="0"/>
    <n v="0"/>
    <n v="0"/>
    <n v="0"/>
    <n v="0"/>
    <n v="25195.5"/>
    <n v="0"/>
    <n v="0"/>
  </r>
  <r>
    <x v="356"/>
    <s v="Gomukh Manish Vlc"/>
    <s v="vlc"/>
    <s v="Indirect"/>
    <n v="2437.6000000000004"/>
    <n v="126231.34"/>
    <n v="0"/>
    <n v="0"/>
    <n v="0"/>
    <n v="0"/>
    <n v="0"/>
    <n v="0"/>
    <n v="126231.34"/>
    <n v="0"/>
    <n v="0"/>
    <n v="0"/>
    <n v="0"/>
    <n v="0"/>
    <n v="0"/>
    <n v="0"/>
    <n v="0"/>
    <n v="126231.34"/>
    <n v="0"/>
    <n v="0"/>
  </r>
  <r>
    <x v="357"/>
    <s v="Gomukh Parbatta Vlc"/>
    <s v="vlc"/>
    <s v="Indirect"/>
    <n v="2477.1"/>
    <n v="126432.50999999998"/>
    <n v="0"/>
    <n v="0"/>
    <n v="0"/>
    <n v="0"/>
    <n v="0"/>
    <n v="0"/>
    <n v="126432.50999999998"/>
    <n v="0"/>
    <n v="0"/>
    <n v="0"/>
    <n v="0"/>
    <n v="0"/>
    <n v="0"/>
    <n v="0"/>
    <n v="0"/>
    <n v="126432.50999999998"/>
    <n v="0"/>
    <n v="0"/>
  </r>
  <r>
    <x v="358"/>
    <s v="Gomukh Mahendrapur"/>
    <s v="MPG"/>
    <s v="Direct"/>
    <n v="2108"/>
    <n v="87899.29"/>
    <n v="2114.2999999999997"/>
    <n v="91033.949999999983"/>
    <n v="51"/>
    <n v="2195.94"/>
    <n v="2165.2999999999997"/>
    <n v="93229.889999999985"/>
    <n v="87899.29"/>
    <n v="0"/>
    <n v="2195.94"/>
    <n v="5330.5999999999913"/>
    <n v="2800"/>
    <n v="0"/>
    <n v="0"/>
    <n v="82903"/>
    <n v="0"/>
    <n v="0"/>
    <n v="0"/>
    <n v="0"/>
  </r>
  <r>
    <x v="359"/>
    <s v="Gomukh Balahpur"/>
    <s v="vlc"/>
    <s v="Direct"/>
    <n v="540.29999999999995"/>
    <n v="20663.86"/>
    <n v="540.4"/>
    <n v="20799.82"/>
    <n v="0"/>
    <n v="0"/>
    <n v="540.4"/>
    <n v="20799.82"/>
    <n v="20663.86"/>
    <n v="0"/>
    <n v="0"/>
    <n v="135.95999999999913"/>
    <n v="0"/>
    <n v="0"/>
    <n v="0"/>
    <n v="20664"/>
    <n v="0"/>
    <n v="0"/>
    <n v="0"/>
    <n v="0"/>
  </r>
  <r>
    <x v="360"/>
    <s v="Gomukh Danauli"/>
    <s v="MPG"/>
    <s v="Direct"/>
    <n v="538"/>
    <n v="20894.98"/>
    <n v="533"/>
    <n v="20706.059999999998"/>
    <n v="17.900000000000009"/>
    <n v="714.87"/>
    <n v="550.9"/>
    <n v="21420.929999999997"/>
    <n v="20894.98"/>
    <n v="0"/>
    <n v="714.87"/>
    <n v="525.94999999999709"/>
    <n v="0"/>
    <n v="0"/>
    <n v="0"/>
    <n v="20180"/>
    <n v="0"/>
    <n v="0"/>
    <n v="0"/>
    <n v="0"/>
  </r>
  <r>
    <x v="361"/>
    <s v="NAYAGAW"/>
    <s v="MPG"/>
    <s v="Direct"/>
    <n v="3753"/>
    <n v="161371.70000000001"/>
    <n v="3718.29"/>
    <n v="160071.12999999998"/>
    <n v="36.74"/>
    <n v="2515.48"/>
    <n v="3755.0299999999997"/>
    <n v="162586.60999999999"/>
    <n v="161371.70000000001"/>
    <n v="0"/>
    <n v="2515.48"/>
    <n v="1214.9099999999744"/>
    <n v="0"/>
    <n v="0"/>
    <n v="0"/>
    <n v="158856"/>
    <n v="0"/>
    <n v="0"/>
    <n v="0"/>
    <n v="0"/>
  </r>
  <r>
    <x v="362"/>
    <s v="Dandari"/>
    <s v="MPG"/>
    <s v="Direct"/>
    <n v="375.50000000000006"/>
    <n v="13815.900000000001"/>
    <n v="372.7"/>
    <n v="14266.83"/>
    <n v="2.8000000000000003"/>
    <n v="106.89000000000001"/>
    <n v="375.5"/>
    <n v="14373.72"/>
    <n v="13815.900000000001"/>
    <n v="0"/>
    <n v="106.89000000000001"/>
    <n v="557.81999999999789"/>
    <n v="0"/>
    <n v="0"/>
    <n v="0"/>
    <n v="13709"/>
    <n v="0"/>
    <n v="0"/>
    <n v="0"/>
    <n v="0"/>
  </r>
  <r>
    <x v="363"/>
    <s v="Rahimpur Pachkhutti"/>
    <s v="MPG"/>
    <s v="Indirect"/>
    <n v="8273.1"/>
    <n v="328107.64999999997"/>
    <n v="0"/>
    <n v="0"/>
    <n v="0"/>
    <n v="0"/>
    <n v="0"/>
    <n v="0"/>
    <n v="328107.64999999997"/>
    <n v="0"/>
    <n v="0"/>
    <n v="0"/>
    <n v="0"/>
    <n v="0"/>
    <n v="0"/>
    <n v="0"/>
    <n v="0"/>
    <n v="328107.64999999997"/>
    <n v="0"/>
    <n v="0"/>
  </r>
  <r>
    <x v="364"/>
    <s v="Gomukh Mohanpur                                                                                     "/>
    <s v="MPG"/>
    <s v="Direct"/>
    <n v="806.19999999999993"/>
    <n v="30718.620000000003"/>
    <n v="802"/>
    <n v="31161.039999999997"/>
    <n v="1.1000000000000001"/>
    <n v="42.81"/>
    <n v="803.1"/>
    <n v="31203.85"/>
    <n v="30718.620000000003"/>
    <n v="0"/>
    <n v="42.81"/>
    <n v="485.22999999999593"/>
    <n v="1350"/>
    <n v="0"/>
    <n v="0"/>
    <n v="29326"/>
    <n v="0"/>
    <n v="0"/>
    <n v="0"/>
    <n v="0"/>
  </r>
  <r>
    <x v="365"/>
    <s v="Gomukh Raghunathpur"/>
    <s v="MPG"/>
    <s v="Direct"/>
    <n v="1020.1000000000003"/>
    <n v="45695.619999999995"/>
    <n v="1021.6999999999997"/>
    <n v="45226.66"/>
    <n v="19.5"/>
    <n v="845.37"/>
    <n v="1041.1999999999998"/>
    <n v="46072.030000000006"/>
    <n v="45695.619999999995"/>
    <n v="0"/>
    <n v="845.37"/>
    <n v="376.41000000001077"/>
    <n v="0"/>
    <n v="0"/>
    <n v="0"/>
    <n v="44850"/>
    <n v="0"/>
    <n v="0"/>
    <n v="0"/>
    <n v="0"/>
  </r>
  <r>
    <x v="366"/>
    <s v="Gomukh Chhitraur"/>
    <s v="MPG"/>
    <s v="Direct"/>
    <n v="639.19999999999982"/>
    <n v="27290.57"/>
    <n v="674.2600000000001"/>
    <n v="29203.289999999997"/>
    <n v="0"/>
    <n v="0"/>
    <n v="674.2600000000001"/>
    <n v="29203.289999999997"/>
    <n v="27290.57"/>
    <n v="0"/>
    <n v="0"/>
    <n v="1912.7199999999975"/>
    <n v="0"/>
    <n v="0"/>
    <n v="0"/>
    <n v="27291"/>
    <n v="0"/>
    <n v="0"/>
    <n v="0"/>
    <n v="0"/>
  </r>
  <r>
    <x v="367"/>
    <s v="Gomukh Khorampur Chakaur"/>
    <s v="MPG"/>
    <s v="Direct"/>
    <n v="530.1"/>
    <n v="21744.280000000002"/>
    <n v="526.4"/>
    <n v="22139.680000000004"/>
    <n v="3.35"/>
    <n v="141.72"/>
    <n v="529.75"/>
    <n v="22281.400000000005"/>
    <n v="21744.280000000002"/>
    <n v="0"/>
    <n v="141.72"/>
    <n v="537.12000000000262"/>
    <n v="0"/>
    <n v="0"/>
    <n v="0"/>
    <n v="21602"/>
    <n v="0"/>
    <n v="0"/>
    <n v="1"/>
    <n v="0"/>
  </r>
  <r>
    <x v="368"/>
    <s v="GOMUKH Mathar"/>
    <s v="MPG"/>
    <s v="Direct"/>
    <n v="221"/>
    <n v="9929.98"/>
    <n v="210"/>
    <n v="9802.1999999999971"/>
    <n v="2.2300000000000004"/>
    <n v="103.93"/>
    <n v="212.23"/>
    <n v="9906.1299999999974"/>
    <n v="9906.1299999999974"/>
    <n v="0"/>
    <n v="103.93"/>
    <n v="0"/>
    <n v="0"/>
    <n v="0"/>
    <n v="0"/>
    <n v="9803"/>
    <n v="0"/>
    <n v="0"/>
    <n v="23"/>
    <n v="0"/>
  </r>
  <r>
    <x v="369"/>
    <s v="Gomukh Kumar Chakki"/>
    <s v="MPG"/>
    <s v="Direct"/>
    <n v="20.700000000000003"/>
    <n v="882.16000000000008"/>
    <n v="20.6"/>
    <n v="890.54"/>
    <n v="0.1"/>
    <n v="4.32"/>
    <n v="20.700000000000003"/>
    <n v="894.86"/>
    <n v="882.16000000000008"/>
    <n v="0"/>
    <n v="4.32"/>
    <n v="12.699999999999932"/>
    <n v="0"/>
    <n v="500"/>
    <n v="0"/>
    <n v="378"/>
    <n v="0"/>
    <n v="0"/>
    <n v="0"/>
    <n v="0"/>
  </r>
  <r>
    <x v="370"/>
    <s v="Gomukh Sonapur"/>
    <s v="vlc"/>
    <s v="Indirect"/>
    <n v="424.9"/>
    <n v="16554.899999999998"/>
    <n v="0"/>
    <n v="0"/>
    <n v="0"/>
    <n v="0"/>
    <n v="0"/>
    <n v="0"/>
    <n v="16554.899999999998"/>
    <n v="0"/>
    <n v="0"/>
    <n v="0"/>
    <n v="0"/>
    <n v="0"/>
    <n v="0"/>
    <n v="0"/>
    <n v="0"/>
    <n v="16554.899999999998"/>
    <n v="0"/>
    <n v="0"/>
  </r>
  <r>
    <x v="371"/>
    <s v="Gomukh Barkhandi 2"/>
    <s v="MPG"/>
    <s v="Indirect"/>
    <n v="1139.2"/>
    <n v="49311.38"/>
    <n v="0"/>
    <n v="0"/>
    <n v="0"/>
    <n v="0"/>
    <n v="0"/>
    <n v="0"/>
    <n v="49311.38"/>
    <n v="0"/>
    <n v="0"/>
    <n v="0"/>
    <n v="0"/>
    <n v="0"/>
    <n v="0"/>
    <n v="0"/>
    <n v="0"/>
    <n v="49311.38"/>
    <n v="0"/>
    <n v="0"/>
  </r>
  <r>
    <x v="372"/>
    <s v="Gomukh Kalyanpur                                                                                    "/>
    <s v="MPG"/>
    <s v="Direct"/>
    <n v="723.5"/>
    <n v="27949.960000000003"/>
    <n v="694.7"/>
    <n v="27831.280000000002"/>
    <n v="2.9999999999999996"/>
    <n v="119.07000000000001"/>
    <n v="697.7"/>
    <n v="27950.350000000002"/>
    <n v="27949.960000000003"/>
    <n v="0"/>
    <n v="119.07000000000001"/>
    <n v="0.38999999999941792"/>
    <n v="0"/>
    <n v="0"/>
    <n v="0"/>
    <n v="27831"/>
    <n v="0"/>
    <n v="0"/>
    <n v="0"/>
    <n v="0"/>
  </r>
  <r>
    <x v="373"/>
    <s v="Gomukh Fatehpur                                                                                     "/>
    <s v="MPG"/>
    <s v="Direct"/>
    <n v="1253.7999999999997"/>
    <n v="56607.82"/>
    <n v="1253"/>
    <n v="56259.7"/>
    <n v="0"/>
    <n v="0"/>
    <n v="1253"/>
    <n v="56259.7"/>
    <n v="56259.7"/>
    <n v="0"/>
    <n v="0"/>
    <n v="0"/>
    <n v="0"/>
    <n v="0"/>
    <n v="0"/>
    <n v="56260"/>
    <n v="0"/>
    <n v="0"/>
    <n v="348"/>
    <n v="0"/>
  </r>
  <r>
    <x v="374"/>
    <s v="GOMUKH KATAHRI"/>
    <s v="MPG"/>
    <s v="Direct"/>
    <n v="330.09999999999997"/>
    <n v="14148.43"/>
    <n v="327.60000000000002"/>
    <n v="14033.519999999999"/>
    <n v="2.6"/>
    <n v="114.52"/>
    <n v="330.20000000000005"/>
    <n v="14148.039999999999"/>
    <n v="14148.039999999999"/>
    <n v="0"/>
    <n v="114.52"/>
    <n v="0"/>
    <n v="0"/>
    <n v="500"/>
    <n v="0"/>
    <n v="13533"/>
    <n v="0"/>
    <n v="0"/>
    <n v="1"/>
    <n v="0"/>
  </r>
  <r>
    <x v="375"/>
    <s v="GOMUKH Mathar Ward 10"/>
    <s v="MPG"/>
    <s v="Direct"/>
    <n v="1085.2000000000003"/>
    <n v="52279"/>
    <n v="884.94"/>
    <n v="41762.480000000003"/>
    <n v="214.32"/>
    <n v="10500.980000000001"/>
    <n v="1099.26"/>
    <n v="52263.460000000006"/>
    <n v="52263.460000000006"/>
    <n v="0"/>
    <n v="0"/>
    <n v="0"/>
    <n v="0"/>
    <n v="0"/>
    <n v="0"/>
    <n v="41762"/>
    <n v="10501"/>
    <n v="0"/>
    <n v="16"/>
    <n v="0"/>
  </r>
  <r>
    <x v="376"/>
    <s v="GOMUKH Tartor 2"/>
    <s v="vlc"/>
    <s v="Direct"/>
    <n v="261.8"/>
    <n v="11540.5"/>
    <n v="246.2"/>
    <n v="11400.46"/>
    <n v="0"/>
    <n v="0"/>
    <n v="246.2"/>
    <n v="11400.46"/>
    <n v="11400.46"/>
    <n v="0"/>
    <n v="0"/>
    <n v="0"/>
    <n v="0"/>
    <n v="0"/>
    <n v="0"/>
    <n v="11400"/>
    <n v="0"/>
    <n v="0"/>
    <n v="141"/>
    <n v="0"/>
  </r>
  <r>
    <x v="377"/>
    <s v="Gomukh Chaidha"/>
    <s v="MPG"/>
    <s v="Direct"/>
    <n v="635"/>
    <n v="25146.03"/>
    <n v="639.86"/>
    <n v="25026.180000000004"/>
    <n v="1.48"/>
    <n v="56.099999999999994"/>
    <n v="641.34"/>
    <n v="25082.280000000002"/>
    <n v="25082.280000000002"/>
    <n v="0"/>
    <n v="56.099999999999994"/>
    <n v="0"/>
    <n v="0.1"/>
    <n v="0"/>
    <n v="0"/>
    <n v="25026"/>
    <n v="0"/>
    <n v="0"/>
    <n v="64"/>
    <s v="Release1"/>
  </r>
  <r>
    <x v="378"/>
    <s v="Gomukh Bakiya"/>
    <s v="MPG"/>
    <s v="Direct"/>
    <n v="838.69999999999993"/>
    <n v="35711.47"/>
    <n v="829.16000000000008"/>
    <n v="35504.49"/>
    <n v="4.8000000000000007"/>
    <n v="194.76999999999998"/>
    <n v="833.96"/>
    <n v="35699.259999999995"/>
    <n v="35699.259999999995"/>
    <n v="0"/>
    <n v="194.76999999999998"/>
    <n v="0"/>
    <n v="0"/>
    <n v="0"/>
    <n v="0"/>
    <n v="35505"/>
    <n v="0"/>
    <n v="0"/>
    <n v="12"/>
    <n v="0"/>
  </r>
  <r>
    <x v="379"/>
    <s v="Gomukh Sadpur"/>
    <s v="MPG"/>
    <s v="Direct"/>
    <n v="170.6"/>
    <n v="6103.81"/>
    <n v="170.9"/>
    <n v="6557.67"/>
    <n v="0"/>
    <n v="0"/>
    <n v="170.9"/>
    <n v="6557.67"/>
    <n v="6103.81"/>
    <n v="0"/>
    <n v="0"/>
    <n v="453.85999999999967"/>
    <n v="0"/>
    <n v="500"/>
    <n v="0"/>
    <n v="5604"/>
    <n v="0"/>
    <n v="0"/>
    <n v="0"/>
    <n v="0"/>
  </r>
  <r>
    <x v="380"/>
    <s v="GOMUKH Nista Tol"/>
    <s v="MPG"/>
    <s v="Direct"/>
    <n v="227.7"/>
    <n v="8270.57"/>
    <n v="222.22000000000003"/>
    <n v="8285.8599999999988"/>
    <n v="0"/>
    <n v="0"/>
    <n v="222.22000000000003"/>
    <n v="8285.8599999999988"/>
    <n v="8270.57"/>
    <n v="0"/>
    <n v="0"/>
    <n v="15.289999999999054"/>
    <n v="0"/>
    <n v="0"/>
    <n v="0"/>
    <n v="8286"/>
    <n v="0"/>
    <n v="0"/>
    <n v="-15"/>
    <s v="Release1"/>
  </r>
  <r>
    <x v="381"/>
    <s v="GOMUKH SRINAGAR"/>
    <s v="MPG"/>
    <s v="Direct"/>
    <n v="2242.6"/>
    <n v="96627.93"/>
    <n v="1288.0000000000002"/>
    <n v="58067.770000000004"/>
    <n v="853.9799999999999"/>
    <n v="38549.99"/>
    <n v="2141.98"/>
    <n v="96617.760000000009"/>
    <n v="96617.760000000009"/>
    <n v="0"/>
    <n v="355.90999999999997"/>
    <n v="0"/>
    <n v="19500"/>
    <n v="0"/>
    <n v="0"/>
    <n v="38568"/>
    <n v="38195"/>
    <n v="0"/>
    <n v="9"/>
    <n v="0"/>
  </r>
  <r>
    <x v="382"/>
    <s v="GOMUKH THATHA"/>
    <s v="vlc"/>
    <s v="Direct"/>
    <n v="214.90000000000003"/>
    <n v="7734.7000000000007"/>
    <n v="215.5"/>
    <n v="7939.02"/>
    <n v="0"/>
    <n v="0"/>
    <n v="215.5"/>
    <n v="7939.02"/>
    <n v="7734.7000000000007"/>
    <n v="0"/>
    <n v="0"/>
    <n v="204.31999999999971"/>
    <n v="0"/>
    <n v="0"/>
    <n v="0"/>
    <n v="7735"/>
    <n v="0"/>
    <n v="0"/>
    <n v="0"/>
    <n v="0"/>
  </r>
  <r>
    <x v="384"/>
    <s v="GOMUKH SANHA NAYATOLA"/>
    <s v="MPG"/>
    <s v="Direct"/>
    <n v="229.60000000000002"/>
    <n v="9160.4"/>
    <n v="229"/>
    <n v="9072.98"/>
    <n v="0"/>
    <n v="0"/>
    <n v="229"/>
    <n v="9072.98"/>
    <n v="9072.98"/>
    <n v="0"/>
    <n v="0"/>
    <n v="0"/>
    <n v="0"/>
    <n v="0"/>
    <n v="0"/>
    <n v="9073"/>
    <n v="0"/>
    <n v="0"/>
    <n v="87"/>
    <n v="0"/>
  </r>
  <r>
    <x v="385"/>
    <s v="Gomukh Durgapur"/>
    <s v="MPG"/>
    <s v="Direct"/>
    <n v="349.49999999999994"/>
    <n v="14522.849999999999"/>
    <n v="336.9"/>
    <n v="14232.93"/>
    <n v="2.6999999999999997"/>
    <n v="113.85000000000001"/>
    <n v="339.59999999999997"/>
    <n v="14346.78"/>
    <n v="14346.78"/>
    <n v="0"/>
    <n v="113.85000000000001"/>
    <n v="0"/>
    <n v="1012"/>
    <n v="0"/>
    <n v="0"/>
    <n v="13222"/>
    <n v="0"/>
    <n v="0"/>
    <n v="175"/>
    <n v="0"/>
  </r>
  <r>
    <x v="386"/>
    <s v="Gomukh Koniya"/>
    <s v="MPG"/>
    <s v="Direct"/>
    <n v="472.4"/>
    <n v="18595.27"/>
    <n v="490.3"/>
    <n v="19733.54"/>
    <n v="12"/>
    <n v="478.9"/>
    <n v="502.3"/>
    <n v="20212.440000000002"/>
    <n v="18595.27"/>
    <n v="0"/>
    <n v="478.9"/>
    <n v="1617.1700000000019"/>
    <n v="0"/>
    <n v="0"/>
    <n v="0"/>
    <n v="18116"/>
    <n v="0"/>
    <n v="0"/>
    <n v="0"/>
    <n v="0"/>
  </r>
  <r>
    <x v="387"/>
    <s v="GOMUKH ROHUA"/>
    <s v="MPG"/>
    <s v="Direct"/>
    <n v="390.4"/>
    <n v="15463.449999999999"/>
    <n v="383.97999999999996"/>
    <n v="15294.77"/>
    <n v="5.9099999999999984"/>
    <n v="232.35000000000002"/>
    <n v="389.89"/>
    <n v="15527.12"/>
    <n v="15463.449999999999"/>
    <n v="0"/>
    <n v="232.35000000000002"/>
    <n v="63.670000000001892"/>
    <n v="0"/>
    <n v="0"/>
    <n v="0"/>
    <n v="15231"/>
    <n v="0"/>
    <n v="0"/>
    <n v="0"/>
    <n v="0"/>
  </r>
  <r>
    <x v="388"/>
    <s v="GOMUKH LAXMIPUR"/>
    <s v="MPG"/>
    <s v="Direct"/>
    <n v="318.10000000000002"/>
    <n v="14753.380000000003"/>
    <n v="308.25999999999993"/>
    <n v="14576.460000000001"/>
    <n v="5.6099999999999994"/>
    <n v="256.60999999999996"/>
    <n v="313.86999999999995"/>
    <n v="14833.070000000002"/>
    <n v="14753.380000000003"/>
    <n v="0"/>
    <n v="256.60999999999996"/>
    <n v="79.68999999999869"/>
    <n v="0"/>
    <n v="0"/>
    <n v="0"/>
    <n v="14496"/>
    <n v="0"/>
    <n v="0"/>
    <n v="1"/>
    <n v="0"/>
  </r>
  <r>
    <x v="389"/>
    <s v="GOMUKH CHATAR"/>
    <s v="MPG"/>
    <s v="Direct"/>
    <n v="160.9"/>
    <n v="5954.54"/>
    <n v="0"/>
    <n v="0"/>
    <n v="160.9"/>
    <n v="5977.42"/>
    <n v="160.9"/>
    <n v="5977.42"/>
    <n v="5954.54"/>
    <n v="0"/>
    <n v="0"/>
    <n v="22.880000000000109"/>
    <n v="0"/>
    <n v="0"/>
    <n v="0"/>
    <n v="0"/>
    <n v="5970"/>
    <n v="0"/>
    <n v="-15"/>
    <s v="Release3"/>
  </r>
  <r>
    <x v="390"/>
    <s v="GOMUKH BATHNAMA"/>
    <s v="MPG"/>
    <s v="Direct"/>
    <n v="3402.3999999999996"/>
    <n v="139702.12"/>
    <n v="3413.04"/>
    <n v="139898"/>
    <n v="0"/>
    <n v="0"/>
    <n v="3413.04"/>
    <n v="139898"/>
    <n v="139702.12"/>
    <n v="0"/>
    <n v="0"/>
    <n v="195.88000000000466"/>
    <n v="0"/>
    <n v="0"/>
    <n v="0"/>
    <n v="139702"/>
    <n v="0"/>
    <n v="0"/>
    <n v="0"/>
    <n v="0"/>
  </r>
  <r>
    <x v="391"/>
    <s v="GOMUKH TILAK NAGAR"/>
    <s v="MPG"/>
    <s v="Direct"/>
    <n v="275.8"/>
    <n v="12371.66"/>
    <n v="217.49"/>
    <n v="12373.28"/>
    <n v="0"/>
    <n v="0"/>
    <n v="217.49"/>
    <n v="12373.28"/>
    <n v="12371.66"/>
    <n v="0"/>
    <n v="0"/>
    <n v="1.6200000000008004"/>
    <n v="0"/>
    <n v="0"/>
    <n v="0"/>
    <n v="12372"/>
    <n v="0"/>
    <n v="0"/>
    <n v="0"/>
    <n v="0"/>
  </r>
  <r>
    <x v="392"/>
    <s v="Gomukh Rahimpur Dakshin"/>
    <s v="MPG"/>
    <s v="Direct"/>
    <n v="6881.4"/>
    <n v="281628.58999999997"/>
    <n v="1129.3800000000001"/>
    <n v="45897.950000000004"/>
    <n v="5746.26"/>
    <n v="235798.94000000003"/>
    <n v="6875.64"/>
    <n v="281696.89"/>
    <n v="281628.58999999997"/>
    <n v="0"/>
    <n v="542.43999999999994"/>
    <n v="68.300000000046566"/>
    <n v="0"/>
    <n v="0"/>
    <n v="0"/>
    <n v="45831"/>
    <n v="235255"/>
    <n v="0"/>
    <n v="0"/>
    <n v="0"/>
  </r>
  <r>
    <x v="393"/>
    <s v="GOMUKH MORKAHI"/>
    <s v="MPG"/>
    <s v="Direct"/>
    <n v="799.2"/>
    <n v="30950.240000000002"/>
    <n v="784.75999999999988"/>
    <n v="30891.46"/>
    <n v="1.4100000000000001"/>
    <n v="55.110000000000007"/>
    <n v="786.16999999999985"/>
    <n v="30946.57"/>
    <n v="30946.57"/>
    <n v="0"/>
    <n v="55.110000000000007"/>
    <n v="0"/>
    <n v="0"/>
    <n v="0"/>
    <n v="0"/>
    <n v="30892"/>
    <n v="0"/>
    <n v="0"/>
    <n v="3"/>
    <n v="0"/>
  </r>
  <r>
    <x v="394"/>
    <s v="GOMUKH HANSPUR"/>
    <s v="MPG"/>
    <s v="Direct"/>
    <n v="49.5"/>
    <n v="2080.8199999999997"/>
    <n v="53.300000000000004"/>
    <n v="2205.6600000000008"/>
    <n v="0"/>
    <n v="0"/>
    <n v="53.300000000000004"/>
    <n v="2205.6600000000008"/>
    <n v="2080.8199999999997"/>
    <n v="0"/>
    <n v="0"/>
    <n v="124.84000000000106"/>
    <n v="0"/>
    <n v="500"/>
    <n v="0"/>
    <n v="1581"/>
    <n v="0"/>
    <n v="0"/>
    <n v="0"/>
    <n v="0"/>
  </r>
  <r>
    <x v="395"/>
    <s v="GOMUKH NAYAGAON 2"/>
    <s v="MPG"/>
    <s v="Direct"/>
    <n v="118.19999999999999"/>
    <n v="6408.0400000000009"/>
    <n v="118.21999999999997"/>
    <n v="6511.97"/>
    <n v="2.2600000000000002"/>
    <n v="138.22"/>
    <n v="120.47999999999998"/>
    <n v="6650.1900000000005"/>
    <n v="6408.0400000000009"/>
    <n v="0"/>
    <n v="138.22"/>
    <n v="242.14999999999964"/>
    <n v="0"/>
    <n v="0"/>
    <n v="0"/>
    <n v="6270"/>
    <n v="0"/>
    <n v="0"/>
    <n v="0"/>
    <n v="0"/>
  </r>
  <r>
    <x v="978"/>
    <s v="GOMUKH ALOLI"/>
    <s v="MPG"/>
    <s v="Direct"/>
    <n v="191.8"/>
    <n v="7206.77"/>
    <n v="192.8"/>
    <n v="8201.7099999999991"/>
    <n v="0"/>
    <n v="0"/>
    <n v="192.8"/>
    <n v="8201.7099999999991"/>
    <n v="7206.77"/>
    <n v="0"/>
    <n v="0"/>
    <n v="994.93999999999869"/>
    <n v="0"/>
    <n v="500"/>
    <n v="0"/>
    <n v="6707"/>
    <n v="0"/>
    <n v="0"/>
    <n v="0"/>
    <n v="0"/>
  </r>
  <r>
    <x v="396"/>
    <s v="GOMUKH LABHGAON"/>
    <s v="MPG"/>
    <s v="Direct"/>
    <n v="316.10000000000002"/>
    <n v="12944.720000000001"/>
    <n v="317.95"/>
    <n v="12943.03"/>
    <n v="0"/>
    <n v="0"/>
    <n v="317.95"/>
    <n v="12943.03"/>
    <n v="12943.03"/>
    <n v="0"/>
    <n v="0"/>
    <n v="0"/>
    <n v="0"/>
    <n v="0"/>
    <n v="0"/>
    <n v="12943"/>
    <n v="0"/>
    <n v="0"/>
    <n v="2"/>
    <n v="0"/>
  </r>
  <r>
    <x v="397"/>
    <s v="GOMUKH CHANDPURA"/>
    <s v="MPG"/>
    <s v="Direct"/>
    <n v="823.8"/>
    <n v="31374.780000000006"/>
    <n v="408.6"/>
    <n v="15606.920000000002"/>
    <n v="414"/>
    <n v="15765.6"/>
    <n v="822.6"/>
    <n v="31372.520000000004"/>
    <n v="31372.520000000004"/>
    <n v="0"/>
    <n v="0"/>
    <n v="0"/>
    <n v="0"/>
    <n v="0"/>
    <n v="0"/>
    <n v="15606"/>
    <n v="15768"/>
    <n v="0"/>
    <n v="1"/>
    <n v="0"/>
  </r>
  <r>
    <x v="398"/>
    <s v="GOMUKH BADIL TOL"/>
    <s v="MPG"/>
    <s v="Direct"/>
    <n v="483.7"/>
    <n v="20032.38"/>
    <n v="229.40000000000003"/>
    <n v="9792.9400000000023"/>
    <n v="266.15000000000003"/>
    <n v="10240.730000000001"/>
    <n v="495.55000000000007"/>
    <n v="20033.670000000006"/>
    <n v="20032.38"/>
    <n v="0"/>
    <n v="405.7"/>
    <n v="1.2900000000045111"/>
    <n v="0"/>
    <n v="0"/>
    <n v="0"/>
    <n v="9790"/>
    <n v="9836"/>
    <n v="0"/>
    <n v="1"/>
    <n v="0"/>
  </r>
  <r>
    <x v="399"/>
    <s v="GOMUKH TRIBHUVAN TOLA"/>
    <s v="MPG"/>
    <s v="Direct"/>
    <n v="410.4"/>
    <n v="15497.25"/>
    <n v="424.83000000000004"/>
    <n v="15496.069999999998"/>
    <n v="0"/>
    <n v="0"/>
    <n v="424.83000000000004"/>
    <n v="15496.069999999998"/>
    <n v="15496.069999999998"/>
    <n v="0"/>
    <n v="0"/>
    <n v="0"/>
    <n v="0"/>
    <n v="0"/>
    <n v="0"/>
    <n v="15497"/>
    <n v="0"/>
    <n v="0"/>
    <n v="0"/>
    <n v="0"/>
  </r>
  <r>
    <x v="400"/>
    <s v="GOMUKH SANTOSHPUL"/>
    <s v="MPG"/>
    <s v="Direct"/>
    <n v="946.29999999999984"/>
    <n v="44190.47"/>
    <n v="30.300000000000008"/>
    <n v="1409.92"/>
    <n v="917"/>
    <n v="42824.739999999991"/>
    <n v="947.3"/>
    <n v="44234.659999999989"/>
    <n v="44190.47"/>
    <n v="0"/>
    <n v="0"/>
    <n v="44.189999999987776"/>
    <n v="0"/>
    <n v="0"/>
    <n v="0"/>
    <n v="1364"/>
    <n v="42826"/>
    <n v="0"/>
    <n v="0"/>
    <n v="0"/>
  </r>
  <r>
    <x v="401"/>
    <s v="GOMUKH AHUNA"/>
    <s v="MPG"/>
    <s v="Direct"/>
    <n v="346.3"/>
    <n v="13565.81"/>
    <n v="348.69"/>
    <n v="13914.359999999999"/>
    <n v="25.66"/>
    <n v="1005.87"/>
    <n v="374.35"/>
    <n v="14920.23"/>
    <n v="13565.81"/>
    <n v="0"/>
    <n v="1005.87"/>
    <n v="1354.42"/>
    <n v="0"/>
    <n v="0"/>
    <n v="0"/>
    <n v="12560"/>
    <n v="0"/>
    <n v="0"/>
    <n v="0"/>
    <n v="0"/>
  </r>
  <r>
    <x v="402"/>
    <s v="GOMUKH SHADIPUR"/>
    <s v="MPG"/>
    <s v="Direct"/>
    <n v="888.30000000000007"/>
    <n v="37116.829999999994"/>
    <n v="902.32000000000016"/>
    <n v="36861.929999999993"/>
    <n v="11.7"/>
    <n v="467.30999999999995"/>
    <n v="914.02000000000021"/>
    <n v="37329.239999999991"/>
    <n v="37116.829999999994"/>
    <n v="0"/>
    <n v="467.30999999999995"/>
    <n v="212.40999999999622"/>
    <n v="0"/>
    <n v="0"/>
    <n v="0"/>
    <n v="36650"/>
    <n v="0"/>
    <n v="0"/>
    <n v="0"/>
    <n v="0"/>
  </r>
  <r>
    <x v="403"/>
    <s v="GOMUKH ASHRAPHA DIYARA"/>
    <s v="MPG"/>
    <s v="Direct"/>
    <n v="1392"/>
    <n v="58754.82"/>
    <n v="1382.37"/>
    <n v="58359.700000000012"/>
    <n v="9.0699999999999985"/>
    <n v="364.58000000000004"/>
    <n v="1391.4399999999998"/>
    <n v="58724.280000000013"/>
    <n v="58724.280000000013"/>
    <n v="0"/>
    <n v="364.58000000000004"/>
    <n v="0"/>
    <n v="2800"/>
    <n v="0"/>
    <n v="0"/>
    <n v="55560"/>
    <n v="0"/>
    <n v="0"/>
    <n v="30"/>
    <n v="0"/>
  </r>
  <r>
    <x v="404"/>
    <s v="GOMUKH MANIAPPA"/>
    <s v="MPG"/>
    <s v="Direct"/>
    <n v="678.09999999999991"/>
    <n v="27279.63"/>
    <n v="672.36"/>
    <n v="26678.319999999992"/>
    <n v="3.41"/>
    <n v="128.46"/>
    <n v="675.77"/>
    <n v="26806.779999999992"/>
    <n v="26806.779999999992"/>
    <n v="0"/>
    <n v="128.46"/>
    <n v="0"/>
    <n v="0"/>
    <n v="0"/>
    <n v="0"/>
    <n v="26678"/>
    <n v="0"/>
    <n v="0"/>
    <n v="473"/>
    <n v="0"/>
  </r>
  <r>
    <x v="405"/>
    <s v="GOMUKH D SANJHAUTI"/>
    <s v="MPG"/>
    <s v="Direct"/>
    <n v="719.3"/>
    <n v="27422.050000000003"/>
    <n v="765.2"/>
    <n v="32012.71"/>
    <n v="0"/>
    <n v="0"/>
    <n v="765.2"/>
    <n v="32012.71"/>
    <n v="27422.050000000003"/>
    <n v="0"/>
    <n v="0"/>
    <n v="4590.6599999999962"/>
    <n v="0"/>
    <n v="0"/>
    <n v="0"/>
    <n v="27422"/>
    <n v="0"/>
    <n v="0"/>
    <n v="0"/>
    <n v="0"/>
  </r>
  <r>
    <x v="406"/>
    <s v="GOMUKH DHUSMURI BISHANPUR"/>
    <s v="MPG"/>
    <s v="Direct"/>
    <n v="315.5"/>
    <n v="12806.259999999998"/>
    <n v="195.73999999999998"/>
    <n v="8100.08"/>
    <n v="167.6"/>
    <n v="7363.69"/>
    <n v="363.34"/>
    <n v="15463.77"/>
    <n v="12806.259999999998"/>
    <n v="0"/>
    <n v="0"/>
    <n v="2657.510000000002"/>
    <n v="0"/>
    <n v="500"/>
    <n v="0"/>
    <n v="4942"/>
    <n v="7364"/>
    <n v="0"/>
    <n v="0"/>
    <n v="0"/>
  </r>
  <r>
    <x v="407"/>
    <s v="GOMUKH ANANDPUR PARAS"/>
    <s v="MPG"/>
    <s v="Direct"/>
    <n v="2488.5"/>
    <n v="99092.919999999984"/>
    <n v="2488.5"/>
    <n v="99092.92"/>
    <n v="0"/>
    <n v="0"/>
    <n v="2488.5"/>
    <n v="99092.92"/>
    <n v="99092.919999999984"/>
    <n v="0"/>
    <n v="0"/>
    <n v="0"/>
    <n v="0"/>
    <n v="0"/>
    <n v="0"/>
    <n v="99093"/>
    <n v="0"/>
    <n v="0"/>
    <n v="0"/>
    <n v="0"/>
  </r>
  <r>
    <x v="408"/>
    <s v="Gomukh Bishanpur"/>
    <s v="MPG"/>
    <s v="Direct"/>
    <n v="255.09999999999997"/>
    <n v="10883.8"/>
    <n v="252.08"/>
    <n v="10805.43"/>
    <n v="4.42"/>
    <n v="185.88"/>
    <n v="256.5"/>
    <n v="10991.31"/>
    <n v="10883.8"/>
    <n v="0"/>
    <n v="185.88"/>
    <n v="107.51000000000022"/>
    <n v="0"/>
    <n v="0"/>
    <n v="0"/>
    <n v="10698"/>
    <n v="0"/>
    <n v="0"/>
    <n v="0"/>
    <n v="0"/>
  </r>
  <r>
    <x v="409"/>
    <s v="GOMUKH BISHANPUR 2"/>
    <s v="MPG"/>
    <s v="Direct"/>
    <n v="652"/>
    <n v="25708.720000000001"/>
    <n v="565.44000000000005"/>
    <n v="21574.43"/>
    <n v="90.41"/>
    <n v="4066.58"/>
    <n v="655.85"/>
    <n v="25641.010000000002"/>
    <n v="25641.010000000002"/>
    <n v="0"/>
    <n v="0"/>
    <n v="0"/>
    <n v="0"/>
    <n v="0"/>
    <n v="0"/>
    <n v="21574"/>
    <n v="4067"/>
    <n v="0"/>
    <n v="68"/>
    <n v="0"/>
  </r>
  <r>
    <x v="410"/>
    <s v="GOMUKH GHAMARIYA"/>
    <s v="MPG"/>
    <s v="Direct"/>
    <n v="122.9"/>
    <n v="6231.92"/>
    <n v="121.33000000000001"/>
    <n v="6160.81"/>
    <n v="1.5"/>
    <n v="75.19"/>
    <n v="122.83000000000001"/>
    <n v="6236"/>
    <n v="6231.92"/>
    <n v="0"/>
    <n v="75.19"/>
    <n v="4.0799999999999272"/>
    <n v="0"/>
    <n v="0"/>
    <n v="0"/>
    <n v="6161"/>
    <n v="0"/>
    <n v="0"/>
    <n v="-4"/>
    <s v="Release3"/>
  </r>
  <r>
    <x v="411"/>
    <s v="GOMUKH MEGHAUMA"/>
    <s v="MPG"/>
    <s v="Direct"/>
    <n v="836.4"/>
    <n v="34873.57"/>
    <n v="824.37000000000012"/>
    <n v="35009.629999999997"/>
    <n v="10.410000000000002"/>
    <n v="448.57"/>
    <n v="834.78000000000009"/>
    <n v="35458.199999999997"/>
    <n v="34873.57"/>
    <n v="0"/>
    <n v="448.57"/>
    <n v="584.62999999999738"/>
    <n v="0"/>
    <n v="0"/>
    <n v="0"/>
    <n v="34425"/>
    <n v="0"/>
    <n v="0"/>
    <n v="0"/>
    <n v="0"/>
  </r>
  <r>
    <x v="412"/>
    <s v="GOMUKH AURA"/>
    <s v="MPG"/>
    <s v="Direct"/>
    <n v="662.19999999999993"/>
    <n v="25073.81"/>
    <n v="697.33000000000015"/>
    <n v="29036.41"/>
    <n v="0"/>
    <n v="0"/>
    <n v="697.33000000000015"/>
    <n v="29036.41"/>
    <n v="25073.81"/>
    <n v="0"/>
    <n v="0"/>
    <n v="3962.5999999999985"/>
    <n v="0"/>
    <n v="0"/>
    <n v="0"/>
    <n v="25074"/>
    <n v="0"/>
    <n v="0"/>
    <n v="0"/>
    <n v="0"/>
  </r>
  <r>
    <x v="413"/>
    <s v="GOMUKH BEHORBA"/>
    <s v="MPG"/>
    <s v="Direct"/>
    <n v="674.89999999999986"/>
    <n v="25442.720000000001"/>
    <n v="711.91"/>
    <n v="25906.43"/>
    <n v="0"/>
    <n v="0"/>
    <n v="711.91"/>
    <n v="25906.43"/>
    <n v="25442.720000000001"/>
    <n v="0"/>
    <n v="0"/>
    <n v="463.70999999999913"/>
    <n v="851"/>
    <n v="0"/>
    <n v="0"/>
    <n v="24592"/>
    <n v="0"/>
    <n v="0"/>
    <n v="0"/>
    <s v="Release1"/>
  </r>
  <r>
    <x v="414"/>
    <s v="GOMUKH SAIDPUR SAMASTIPUR"/>
    <s v="MPG"/>
    <s v="Direct"/>
    <n v="2590.2000000000003"/>
    <n v="108149.44000000002"/>
    <n v="2583.1"/>
    <n v="108118.68"/>
    <n v="0"/>
    <n v="0"/>
    <n v="2583.1"/>
    <n v="108118.68"/>
    <n v="108118.68"/>
    <n v="0"/>
    <n v="0"/>
    <n v="0"/>
    <n v="0"/>
    <n v="0"/>
    <n v="0"/>
    <n v="108119"/>
    <n v="0"/>
    <n v="0"/>
    <n v="30"/>
    <n v="0"/>
  </r>
  <r>
    <x v="1016"/>
    <s v="GOMUKH SAHARBANNI"/>
    <s v="MPG"/>
    <s v="Direct"/>
    <n v="65.599999999999994"/>
    <n v="2697.34"/>
    <n v="67"/>
    <n v="2857.5099999999998"/>
    <n v="0"/>
    <n v="0"/>
    <n v="67"/>
    <n v="2857.5099999999998"/>
    <n v="2697.34"/>
    <n v="0"/>
    <n v="0"/>
    <n v="160.16999999999962"/>
    <n v="2197"/>
    <n v="500"/>
    <n v="0"/>
    <n v="0"/>
    <n v="0"/>
    <n v="0"/>
    <n v="0"/>
    <s v="Release1"/>
  </r>
  <r>
    <x v="415"/>
    <s v="GOMUKH PHULTAURA"/>
    <s v="MPG"/>
    <s v="Direct"/>
    <n v="531"/>
    <n v="21626.42"/>
    <n v="54.85"/>
    <n v="2809.77"/>
    <n v="470.95"/>
    <n v="21378.860000000004"/>
    <n v="525.79999999999995"/>
    <n v="24188.630000000005"/>
    <n v="21626.42"/>
    <n v="0"/>
    <n v="0"/>
    <n v="2562.2100000000064"/>
    <n v="0"/>
    <n v="0"/>
    <n v="0"/>
    <n v="246"/>
    <n v="21380"/>
    <n v="0"/>
    <n v="0"/>
    <n v="0"/>
  </r>
  <r>
    <x v="416"/>
    <s v="Jangli Tol Vlc "/>
    <s v="vlc"/>
    <s v="Indirect"/>
    <n v="2290.7000000000003"/>
    <n v="94153.15"/>
    <n v="0"/>
    <n v="0"/>
    <n v="0"/>
    <n v="0"/>
    <n v="0"/>
    <n v="0"/>
    <n v="94153.15"/>
    <n v="0"/>
    <n v="0"/>
    <n v="0"/>
    <n v="0"/>
    <n v="0"/>
    <n v="0"/>
    <n v="0"/>
    <n v="0"/>
    <n v="94153.15"/>
    <n v="0"/>
    <n v="0"/>
  </r>
  <r>
    <x v="417"/>
    <s v="DILKHUSH KUMAR "/>
    <s v="vlc"/>
    <s v="Indirect"/>
    <n v="594.79999999999995"/>
    <n v="22490.82"/>
    <n v="0"/>
    <n v="0"/>
    <n v="0"/>
    <n v="0"/>
    <n v="0"/>
    <n v="0"/>
    <n v="22490.82"/>
    <n v="0"/>
    <n v="0"/>
    <n v="0"/>
    <n v="0"/>
    <n v="0"/>
    <n v="0"/>
    <n v="0"/>
    <n v="0"/>
    <n v="22490.82"/>
    <n v="0"/>
    <n v="0"/>
  </r>
  <r>
    <x v="418"/>
    <s v="GOMUKH CHOWKI 2"/>
    <s v="MPG"/>
    <s v="Direct"/>
    <n v="6931.7999999999993"/>
    <n v="268824.81000000006"/>
    <n v="5541.14"/>
    <n v="217865.61000000002"/>
    <n v="1298.4199999999998"/>
    <n v="50941.45"/>
    <n v="6839.56"/>
    <n v="268807.06"/>
    <n v="268807.06"/>
    <n v="0"/>
    <n v="0"/>
    <n v="0"/>
    <n v="0"/>
    <n v="0"/>
    <n v="0"/>
    <n v="217868"/>
    <n v="50940"/>
    <n v="0"/>
    <n v="17"/>
    <n v="0"/>
  </r>
  <r>
    <x v="419"/>
    <s v="GOMUKH MOHABA"/>
    <s v="MPG"/>
    <s v="Direct"/>
    <n v="1722.3999999999999"/>
    <n v="67099.95"/>
    <n v="708.2"/>
    <n v="27452.18"/>
    <n v="1014.4000000000001"/>
    <n v="39659.589999999997"/>
    <n v="1722.6000000000001"/>
    <n v="67111.76999999999"/>
    <n v="67099.95"/>
    <n v="0"/>
    <n v="163.35"/>
    <n v="11.819999999992433"/>
    <n v="0"/>
    <n v="0"/>
    <n v="0"/>
    <n v="27441"/>
    <n v="39496"/>
    <n v="0"/>
    <n v="0"/>
    <n v="0"/>
  </r>
  <r>
    <x v="420"/>
    <s v="SANHA VLC"/>
    <s v="vlc"/>
    <s v="Indirect"/>
    <n v="530"/>
    <n v="19738.89"/>
    <n v="0"/>
    <n v="0"/>
    <n v="0"/>
    <n v="0"/>
    <n v="0"/>
    <n v="0"/>
    <n v="19738.89"/>
    <n v="0"/>
    <n v="0"/>
    <n v="0"/>
    <n v="0"/>
    <n v="0"/>
    <n v="0"/>
    <n v="0"/>
    <n v="0"/>
    <n v="19738.89"/>
    <n v="0"/>
    <n v="0"/>
  </r>
  <r>
    <x v="421"/>
    <s v="MOHANPUR VLC"/>
    <s v="vlc"/>
    <s v="Indirect"/>
    <n v="709.09999999999991"/>
    <n v="26326.180000000004"/>
    <n v="0"/>
    <n v="0"/>
    <n v="0"/>
    <n v="0"/>
    <n v="0"/>
    <n v="0"/>
    <n v="26326.180000000004"/>
    <n v="0"/>
    <n v="0"/>
    <n v="0"/>
    <n v="0"/>
    <n v="0"/>
    <n v="0"/>
    <n v="0"/>
    <n v="0"/>
    <n v="26326.180000000004"/>
    <n v="0"/>
    <n v="0"/>
  </r>
  <r>
    <x v="422"/>
    <s v="GOMUKH JANGLITOL"/>
    <s v="MPG"/>
    <s v="Direct"/>
    <n v="248.5"/>
    <n v="10136.580000000002"/>
    <n v="249"/>
    <n v="10066.51"/>
    <n v="0"/>
    <n v="0"/>
    <n v="249"/>
    <n v="10066.51"/>
    <n v="10066.51"/>
    <n v="0"/>
    <n v="0"/>
    <n v="0"/>
    <n v="0"/>
    <n v="0"/>
    <n v="0"/>
    <n v="10067"/>
    <n v="0"/>
    <n v="0"/>
    <n v="70"/>
    <n v="0"/>
  </r>
  <r>
    <x v="423"/>
    <s v="Hiratol VLC"/>
    <s v="vlc"/>
    <s v="Indirect"/>
    <n v="41.9"/>
    <n v="1537.27"/>
    <n v="0"/>
    <n v="0"/>
    <n v="0"/>
    <n v="0"/>
    <n v="0"/>
    <n v="0"/>
    <n v="1537.27"/>
    <n v="0"/>
    <n v="0"/>
    <n v="0"/>
    <n v="0"/>
    <n v="0"/>
    <n v="0"/>
    <n v="0"/>
    <n v="0"/>
    <n v="1537.27"/>
    <n v="0"/>
    <n v="0"/>
  </r>
  <r>
    <x v="424"/>
    <s v="GOMUKH BARBIGHI"/>
    <s v="MPG"/>
    <s v="Direct"/>
    <n v="1605.8999999999999"/>
    <n v="61543.839999999989"/>
    <n v="1562.3000000000002"/>
    <n v="61275.299999999996"/>
    <n v="5.7"/>
    <n v="224.25000000000003"/>
    <n v="1568.0000000000002"/>
    <n v="61499.549999999996"/>
    <n v="61499.549999999996"/>
    <n v="0"/>
    <n v="224.25000000000003"/>
    <n v="0"/>
    <n v="9450"/>
    <n v="0"/>
    <n v="0"/>
    <n v="51826"/>
    <n v="0"/>
    <n v="0"/>
    <n v="44"/>
    <n v="0"/>
  </r>
  <r>
    <x v="425"/>
    <s v="Dandari-2"/>
    <s v="MPG"/>
    <s v="Direct"/>
    <n v="237.80000000000004"/>
    <n v="9071.24"/>
    <n v="239"/>
    <n v="9103.51"/>
    <n v="0"/>
    <n v="0"/>
    <n v="239"/>
    <n v="9103.51"/>
    <n v="9071.24"/>
    <n v="0"/>
    <n v="0"/>
    <n v="32.270000000000437"/>
    <n v="0"/>
    <n v="0"/>
    <n v="0"/>
    <n v="9071"/>
    <n v="0"/>
    <n v="0"/>
    <n v="0"/>
    <n v="0"/>
  </r>
  <r>
    <x v="426"/>
    <s v="Barkhanditol"/>
    <s v="vlc"/>
    <s v="Indirect"/>
    <n v="1110.1999999999998"/>
    <n v="48155.01"/>
    <n v="0"/>
    <n v="0"/>
    <n v="0"/>
    <n v="0"/>
    <n v="0"/>
    <n v="0"/>
    <n v="48155.01"/>
    <n v="0"/>
    <n v="0"/>
    <n v="0"/>
    <n v="0"/>
    <n v="0"/>
    <n v="0"/>
    <n v="0"/>
    <n v="0"/>
    <n v="48155.01"/>
    <n v="0"/>
    <n v="0"/>
  </r>
  <r>
    <x v="427"/>
    <s v="Chauki-VLC"/>
    <s v="vlc"/>
    <s v="Indirect"/>
    <n v="570.4"/>
    <n v="22611.780000000002"/>
    <n v="0"/>
    <n v="0"/>
    <n v="0"/>
    <n v="0"/>
    <n v="0"/>
    <n v="0"/>
    <n v="22611.780000000002"/>
    <n v="0"/>
    <n v="0"/>
    <n v="0"/>
    <n v="0"/>
    <n v="0"/>
    <n v="0"/>
    <n v="0"/>
    <n v="0"/>
    <n v="22611.780000000002"/>
    <n v="0"/>
    <n v="0"/>
  </r>
  <r>
    <x v="428"/>
    <s v="Hardia"/>
    <s v="MPG"/>
    <s v="Direct"/>
    <n v="815.5"/>
    <n v="35238.409999999996"/>
    <n v="813.00000000000011"/>
    <n v="35701.35"/>
    <n v="2.8000000000000003"/>
    <n v="136.4"/>
    <n v="815.80000000000007"/>
    <n v="35837.75"/>
    <n v="35238.409999999996"/>
    <n v="0"/>
    <n v="136.4"/>
    <n v="599.34000000000378"/>
    <n v="0"/>
    <n v="0"/>
    <n v="0"/>
    <n v="35102"/>
    <n v="0"/>
    <n v="0"/>
    <n v="0"/>
    <n v="0"/>
  </r>
  <r>
    <x v="429"/>
    <s v="Pachveer"/>
    <s v="vlc"/>
    <s v="Indirect"/>
    <n v="14314.599999999999"/>
    <n v="561377.49000000011"/>
    <n v="0"/>
    <n v="0"/>
    <n v="0"/>
    <n v="0"/>
    <n v="0"/>
    <n v="0"/>
    <n v="561377.49000000011"/>
    <n v="0"/>
    <n v="0"/>
    <n v="0"/>
    <n v="0"/>
    <n v="0"/>
    <n v="0"/>
    <n v="0"/>
    <n v="0"/>
    <n v="561377.49000000011"/>
    <n v="0"/>
    <n v="0"/>
  </r>
  <r>
    <x v="979"/>
    <s v="Barkhaditol-3"/>
    <s v="vlc"/>
    <s v="Indirect"/>
    <n v="634.70000000000005"/>
    <n v="26299.490000000005"/>
    <n v="0"/>
    <n v="0"/>
    <n v="0"/>
    <n v="0"/>
    <n v="0"/>
    <n v="0"/>
    <n v="26299.490000000005"/>
    <n v="0"/>
    <n v="0"/>
    <n v="0"/>
    <n v="0"/>
    <n v="0"/>
    <n v="0"/>
    <n v="0"/>
    <n v="0"/>
    <n v="26299.490000000005"/>
    <n v="0"/>
    <n v="0"/>
  </r>
  <r>
    <x v="430"/>
    <s v="Mathar-3"/>
    <s v="vlc"/>
    <s v="Indirect"/>
    <n v="3430.2"/>
    <n v="143568.07"/>
    <n v="0"/>
    <n v="0"/>
    <n v="0"/>
    <n v="0"/>
    <n v="0"/>
    <n v="0"/>
    <n v="143568.07"/>
    <n v="0"/>
    <n v="0"/>
    <n v="0"/>
    <n v="0"/>
    <n v="0"/>
    <n v="0"/>
    <n v="0"/>
    <n v="0"/>
    <n v="143568.07"/>
    <n v="0"/>
    <n v="0"/>
  </r>
  <r>
    <x v="431"/>
    <s v="Ahoghat"/>
    <s v="vlc"/>
    <s v="Direct"/>
    <n v="482.70000000000005"/>
    <n v="21280"/>
    <n v="0"/>
    <n v="0"/>
    <n v="0"/>
    <n v="0"/>
    <n v="0"/>
    <n v="0"/>
    <n v="0"/>
    <n v="0"/>
    <n v="0"/>
    <n v="0"/>
    <n v="0"/>
    <n v="0"/>
    <n v="0"/>
    <n v="0"/>
    <n v="0"/>
    <n v="21280"/>
    <n v="0"/>
    <n v="0"/>
  </r>
  <r>
    <x v="432"/>
    <s v="Mathar-4"/>
    <s v="vlc"/>
    <s v="Indirect"/>
    <n v="357.40000000000003"/>
    <n v="14717.52"/>
    <n v="0"/>
    <n v="0"/>
    <n v="0"/>
    <n v="0"/>
    <n v="0"/>
    <n v="0"/>
    <n v="14717.52"/>
    <n v="0"/>
    <n v="0"/>
    <n v="0"/>
    <n v="0"/>
    <n v="0"/>
    <n v="0"/>
    <n v="0"/>
    <n v="0"/>
    <n v="14717.52"/>
    <n v="0"/>
    <n v="0"/>
  </r>
  <r>
    <x v="433"/>
    <s v="Sadpur-2"/>
    <s v="vlc"/>
    <s v="Direct"/>
    <n v="889.70000000000016"/>
    <n v="33418.51"/>
    <n v="890"/>
    <n v="33401.699999999997"/>
    <n v="0"/>
    <n v="0"/>
    <n v="890"/>
    <n v="33401.699999999997"/>
    <n v="33401.699999999997"/>
    <n v="0"/>
    <n v="0"/>
    <n v="0"/>
    <n v="0"/>
    <n v="0"/>
    <n v="0"/>
    <n v="33402"/>
    <n v="0"/>
    <n v="0"/>
    <n v="17"/>
    <n v="0"/>
  </r>
  <r>
    <x v="434"/>
    <s v="Phulmalik"/>
    <s v="vlc"/>
    <s v="Indirect"/>
    <n v="38.200000000000003"/>
    <n v="1444.34"/>
    <n v="0"/>
    <n v="0"/>
    <n v="0"/>
    <n v="0"/>
    <n v="0"/>
    <n v="0"/>
    <n v="1444.34"/>
    <n v="0"/>
    <n v="0"/>
    <n v="0"/>
    <n v="0"/>
    <n v="0"/>
    <n v="0"/>
    <n v="0"/>
    <n v="0"/>
    <n v="1444.34"/>
    <n v="0"/>
    <n v="0"/>
  </r>
  <r>
    <x v="435"/>
    <s v="Baliya"/>
    <s v="vlc"/>
    <s v="Indirect"/>
    <n v="7881"/>
    <n v="320057.51"/>
    <n v="0"/>
    <n v="0"/>
    <n v="0"/>
    <n v="0"/>
    <n v="0"/>
    <n v="0"/>
    <n v="320057.51"/>
    <n v="0"/>
    <n v="0"/>
    <n v="0"/>
    <n v="0"/>
    <n v="0"/>
    <n v="0"/>
    <n v="0"/>
    <n v="0"/>
    <n v="320057.51"/>
    <n v="0"/>
    <n v="0"/>
  </r>
  <r>
    <x v="436"/>
    <s v="GOMUKH SUBHANPUR"/>
    <s v="MPG"/>
    <s v="Indirect"/>
    <n v="246.95000000000002"/>
    <n v="9973.3500000000022"/>
    <n v="0"/>
    <n v="0"/>
    <n v="0"/>
    <n v="0"/>
    <n v="0"/>
    <n v="0"/>
    <n v="9973.3500000000022"/>
    <n v="0"/>
    <n v="0"/>
    <n v="0"/>
    <n v="0"/>
    <n v="0"/>
    <n v="0"/>
    <n v="0"/>
    <n v="0"/>
    <n v="9973.3500000000022"/>
    <n v="0"/>
    <n v="0"/>
  </r>
  <r>
    <x v="437"/>
    <s v="GOMUKH  BHAJANGAMA"/>
    <s v="MPG"/>
    <s v="Indirect"/>
    <n v="489.74999999999994"/>
    <n v="19179.14"/>
    <n v="0"/>
    <n v="0"/>
    <n v="0"/>
    <n v="0"/>
    <n v="0"/>
    <n v="0"/>
    <n v="19179.14"/>
    <n v="0"/>
    <n v="0"/>
    <n v="0"/>
    <n v="0"/>
    <n v="0"/>
    <n v="0"/>
    <n v="0"/>
    <n v="0"/>
    <n v="19179.14"/>
    <n v="0"/>
    <n v="0"/>
  </r>
  <r>
    <x v="438"/>
    <s v="Gomukh Basadhiya Kurni"/>
    <s v="MPG"/>
    <s v="Direct"/>
    <n v="538.9"/>
    <n v="20968.73"/>
    <n v="529.1"/>
    <n v="20968.560000000001"/>
    <n v="0"/>
    <n v="0"/>
    <n v="529.1"/>
    <n v="20968.560000000001"/>
    <n v="20968.560000000001"/>
    <n v="0"/>
    <n v="0"/>
    <n v="0"/>
    <n v="0"/>
    <n v="0"/>
    <n v="0"/>
    <n v="20967"/>
    <n v="0"/>
    <n v="0"/>
    <n v="2"/>
    <n v="0"/>
  </r>
  <r>
    <x v="439"/>
    <s v="KHAJURI"/>
    <s v="MPG"/>
    <s v="Direct"/>
    <n v="357.05"/>
    <n v="13610.859999999999"/>
    <n v="291.74"/>
    <n v="11728.059999999998"/>
    <n v="47.4"/>
    <n v="1875.9299999999998"/>
    <n v="339.14"/>
    <n v="13603.989999999998"/>
    <n v="13603.989999999998"/>
    <n v="0"/>
    <n v="68.84"/>
    <n v="0"/>
    <n v="1400"/>
    <n v="0"/>
    <n v="0"/>
    <n v="10328"/>
    <n v="1807"/>
    <n v="0"/>
    <n v="7"/>
    <n v="0"/>
  </r>
  <r>
    <x v="440"/>
    <s v="ARMAULI-2"/>
    <s v="MPG"/>
    <s v="Direct"/>
    <n v="1062.3999999999999"/>
    <n v="44244.710000000006"/>
    <n v="1070.1900000000003"/>
    <n v="43673.86"/>
    <n v="14.2"/>
    <n v="580.37999999999988"/>
    <n v="1084.3900000000003"/>
    <n v="44254.239999999998"/>
    <n v="44244.710000000006"/>
    <n v="0"/>
    <n v="580.37999999999988"/>
    <n v="9.5299999999915599"/>
    <n v="9442"/>
    <n v="0"/>
    <n v="0"/>
    <n v="34222"/>
    <n v="0"/>
    <n v="0"/>
    <n v="0"/>
    <n v="0"/>
  </r>
  <r>
    <x v="441"/>
    <s v="MUSAPUR - 2"/>
    <s v="MPG"/>
    <s v="Indirect"/>
    <n v="65.150000000000006"/>
    <n v="2266.7199999999998"/>
    <n v="0"/>
    <n v="0"/>
    <n v="0"/>
    <n v="0"/>
    <n v="0"/>
    <n v="0"/>
    <n v="2266.7199999999998"/>
    <n v="0"/>
    <n v="0"/>
    <n v="0"/>
    <n v="0"/>
    <n v="0"/>
    <n v="0"/>
    <n v="0"/>
    <n v="0"/>
    <n v="2266.7199999999998"/>
    <n v="0"/>
    <n v="0"/>
  </r>
  <r>
    <x v="442"/>
    <s v="Janganath Pur"/>
    <s v="MPG"/>
    <s v="Indirect"/>
    <n v="1996.6499999999999"/>
    <n v="86289.060000000027"/>
    <n v="0"/>
    <n v="0"/>
    <n v="0"/>
    <n v="0"/>
    <n v="0"/>
    <n v="0"/>
    <n v="86289.060000000027"/>
    <n v="0"/>
    <n v="0"/>
    <n v="0"/>
    <n v="1400"/>
    <n v="0"/>
    <n v="0"/>
    <n v="0"/>
    <n v="0"/>
    <n v="84889.060000000027"/>
    <n v="0"/>
    <n v="0"/>
  </r>
  <r>
    <x v="443"/>
    <s v="Nagargama"/>
    <s v="MPG"/>
    <s v="Indirect"/>
    <n v="470.54999999999995"/>
    <n v="19769.54"/>
    <n v="0"/>
    <n v="0"/>
    <n v="0"/>
    <n v="0"/>
    <n v="0"/>
    <n v="0"/>
    <n v="19769.54"/>
    <n v="0"/>
    <n v="0"/>
    <n v="0"/>
    <n v="4650"/>
    <n v="0"/>
    <n v="0"/>
    <n v="0"/>
    <n v="0"/>
    <n v="15119.54"/>
    <n v="0"/>
    <n v="0"/>
  </r>
  <r>
    <x v="444"/>
    <s v="Sato Ghachchhi"/>
    <s v="MPG"/>
    <s v="Direct"/>
    <n v="602.75000000000011"/>
    <n v="28408.86"/>
    <n v="597.10000000000014"/>
    <n v="27932.629999999997"/>
    <n v="10.400000000000002"/>
    <n v="475.88000000000005"/>
    <n v="607.50000000000011"/>
    <n v="28408.51"/>
    <n v="28408.51"/>
    <n v="1874"/>
    <n v="475.88000000000005"/>
    <n v="0"/>
    <n v="470"/>
    <n v="0"/>
    <n v="0"/>
    <n v="25589"/>
    <n v="0"/>
    <n v="0"/>
    <n v="0"/>
    <n v="0"/>
  </r>
  <r>
    <x v="445"/>
    <s v="Bhatgama"/>
    <s v="MPG"/>
    <s v="Indirect"/>
    <n v="426.95"/>
    <n v="14873.94"/>
    <n v="0"/>
    <n v="0"/>
    <n v="0"/>
    <n v="0"/>
    <n v="0"/>
    <n v="0"/>
    <n v="14873.94"/>
    <n v="0"/>
    <n v="0"/>
    <n v="0"/>
    <n v="1400"/>
    <n v="0"/>
    <n v="0"/>
    <n v="0"/>
    <n v="0"/>
    <n v="13473.94"/>
    <n v="0"/>
    <n v="0"/>
  </r>
  <r>
    <x v="446"/>
    <s v="Borna Rasalpur"/>
    <s v="MPG"/>
    <s v="Direct"/>
    <n v="985.80000000000007"/>
    <n v="42248.590000000004"/>
    <n v="257.39999999999998"/>
    <n v="13482.26"/>
    <n v="672.1"/>
    <n v="28759.68"/>
    <n v="929.5"/>
    <n v="42241.94"/>
    <n v="42241.94"/>
    <n v="0"/>
    <n v="87.3"/>
    <n v="0"/>
    <n v="2800"/>
    <n v="0"/>
    <n v="0"/>
    <n v="10682"/>
    <n v="28672"/>
    <n v="0"/>
    <n v="7"/>
    <n v="0"/>
  </r>
  <r>
    <x v="447"/>
    <s v="Rasalpur"/>
    <s v="MPG"/>
    <s v="Direct"/>
    <n v="1227.3999999999999"/>
    <n v="47880.409999999996"/>
    <n v="1088.52"/>
    <n v="40208.5"/>
    <n v="198.68"/>
    <n v="7671.2100000000009"/>
    <n v="1287.2"/>
    <n v="47879.71"/>
    <n v="47879.71"/>
    <n v="0"/>
    <n v="0"/>
    <n v="0"/>
    <n v="1400"/>
    <n v="0"/>
    <n v="0"/>
    <n v="38807"/>
    <n v="7671"/>
    <n v="0"/>
    <n v="2"/>
    <n v="0"/>
  </r>
  <r>
    <x v="448"/>
    <s v="Narahan"/>
    <s v="MPG"/>
    <s v="Direct"/>
    <n v="205.84999999999997"/>
    <n v="7198.4999999999991"/>
    <n v="188.41"/>
    <n v="6994.6500000000005"/>
    <n v="5.3599999999999994"/>
    <n v="202.13"/>
    <n v="193.76999999999998"/>
    <n v="7196.7800000000007"/>
    <n v="7196.7800000000007"/>
    <n v="0"/>
    <n v="202.13"/>
    <n v="0"/>
    <n v="0"/>
    <n v="0"/>
    <n v="0"/>
    <n v="6995"/>
    <n v="0"/>
    <n v="0"/>
    <n v="1"/>
    <n v="0"/>
  </r>
  <r>
    <x v="449"/>
    <s v="Gomukh Dumduma"/>
    <s v="MPG"/>
    <s v="Direct"/>
    <n v="442.79999999999995"/>
    <n v="17187.75"/>
    <n v="419.3"/>
    <n v="16265.209999999997"/>
    <n v="22.5"/>
    <n v="913.80000000000018"/>
    <n v="441.8"/>
    <n v="17179.009999999998"/>
    <n v="17179.009999999998"/>
    <n v="0"/>
    <n v="0"/>
    <n v="0"/>
    <n v="0"/>
    <n v="0"/>
    <n v="0"/>
    <n v="16265"/>
    <n v="914"/>
    <n v="0"/>
    <n v="9"/>
    <n v="0"/>
  </r>
  <r>
    <x v="450"/>
    <s v="SUPOL"/>
    <s v="MPG"/>
    <s v="Direct"/>
    <n v="383.65000000000003"/>
    <n v="16932.14"/>
    <n v="346.20000000000005"/>
    <n v="15083.34"/>
    <n v="42.6"/>
    <n v="1845.9499999999998"/>
    <n v="388.80000000000007"/>
    <n v="16929.29"/>
    <n v="16929.29"/>
    <n v="0"/>
    <n v="819.17999999999984"/>
    <n v="0"/>
    <n v="0"/>
    <n v="0"/>
    <n v="0"/>
    <n v="15083"/>
    <n v="1027"/>
    <n v="0"/>
    <n v="3"/>
    <n v="0"/>
  </r>
  <r>
    <x v="451"/>
    <s v="BHUSARAI"/>
    <s v="MPG"/>
    <s v="Direct"/>
    <n v="221.90000000000003"/>
    <n v="9629.6700000000019"/>
    <n v="124.35000000000001"/>
    <n v="5393.04"/>
    <n v="97.080000000000013"/>
    <n v="4235.53"/>
    <n v="221.43"/>
    <n v="9628.57"/>
    <n v="9628.57"/>
    <n v="0"/>
    <n v="142.14000000000004"/>
    <n v="0"/>
    <n v="0"/>
    <n v="0"/>
    <n v="0"/>
    <n v="5393"/>
    <n v="4093"/>
    <n v="0"/>
    <n v="2"/>
    <n v="0"/>
  </r>
  <r>
    <x v="452"/>
    <s v="Gomukha Jounapur"/>
    <s v="MPG"/>
    <s v="Indirect"/>
    <n v="177.8"/>
    <n v="8625.2800000000007"/>
    <n v="0"/>
    <n v="0"/>
    <n v="0"/>
    <n v="0"/>
    <n v="0"/>
    <n v="0"/>
    <n v="8625.2800000000007"/>
    <n v="0"/>
    <n v="0"/>
    <n v="0"/>
    <n v="0"/>
    <n v="0"/>
    <n v="0"/>
    <n v="0"/>
    <n v="0"/>
    <n v="8625.2800000000007"/>
    <n v="0"/>
    <n v="0"/>
  </r>
  <r>
    <x v="453"/>
    <s v="Patailliya"/>
    <s v="MPG"/>
    <s v="Indirect"/>
    <n v="212.75"/>
    <n v="8160.31"/>
    <n v="0"/>
    <n v="0"/>
    <n v="0"/>
    <n v="0"/>
    <n v="0"/>
    <n v="0"/>
    <n v="8160.31"/>
    <n v="0"/>
    <n v="0"/>
    <n v="0"/>
    <n v="0"/>
    <n v="0"/>
    <n v="0"/>
    <n v="0"/>
    <n v="0"/>
    <n v="8160.31"/>
    <n v="0"/>
    <n v="0"/>
  </r>
  <r>
    <x v="454"/>
    <s v="Badiya"/>
    <s v="MPG"/>
    <s v="Indirect"/>
    <n v="167.7"/>
    <n v="5854.54"/>
    <n v="0"/>
    <n v="0"/>
    <n v="0"/>
    <n v="0"/>
    <n v="0"/>
    <n v="0"/>
    <n v="5854.54"/>
    <n v="0"/>
    <n v="0"/>
    <n v="0"/>
    <n v="0"/>
    <n v="0"/>
    <n v="0"/>
    <n v="0"/>
    <n v="0"/>
    <n v="5854.54"/>
    <n v="0"/>
    <n v="0"/>
  </r>
  <r>
    <x v="455"/>
    <s v="Gomukh Tabhka"/>
    <s v="MPG"/>
    <s v="Direct"/>
    <n v="2561.6499999999996"/>
    <n v="108196.6"/>
    <n v="1373.9600000000003"/>
    <n v="63381.819999999992"/>
    <n v="1056.29"/>
    <n v="44813.16"/>
    <n v="2430.25"/>
    <n v="108194.98"/>
    <n v="108194.98"/>
    <n v="0"/>
    <n v="653.41999999999996"/>
    <n v="0"/>
    <n v="0"/>
    <n v="0"/>
    <n v="0"/>
    <n v="63382"/>
    <n v="44160"/>
    <n v="0"/>
    <n v="1"/>
    <n v="0"/>
  </r>
  <r>
    <x v="456"/>
    <s v="Ghato"/>
    <s v="MPG"/>
    <s v="Indirect"/>
    <n v="29.7"/>
    <n v="1096.44"/>
    <n v="0"/>
    <n v="0"/>
    <n v="0"/>
    <n v="0"/>
    <n v="0"/>
    <n v="0"/>
    <n v="1096.44"/>
    <n v="0"/>
    <n v="0"/>
    <n v="0"/>
    <n v="0"/>
    <n v="0"/>
    <n v="0"/>
    <n v="0"/>
    <n v="0"/>
    <n v="1096.44"/>
    <n v="0"/>
    <n v="0"/>
  </r>
  <r>
    <x v="457"/>
    <s v="RAMNATHPUR                                                                                          "/>
    <s v="MPG"/>
    <s v="Direct"/>
    <n v="679.95"/>
    <n v="26672.57"/>
    <n v="440.68000000000006"/>
    <n v="17397.739999999998"/>
    <n v="238.39999999999998"/>
    <n v="9273.17"/>
    <n v="679.08"/>
    <n v="26670.909999999996"/>
    <n v="26670.909999999996"/>
    <n v="0"/>
    <n v="252.23"/>
    <n v="0"/>
    <n v="1400"/>
    <n v="0"/>
    <n v="0"/>
    <n v="15998"/>
    <n v="9022"/>
    <n v="0"/>
    <n v="0"/>
    <n v="0"/>
  </r>
  <r>
    <x v="458"/>
    <s v="DESUA"/>
    <s v="MPG"/>
    <s v="Direct"/>
    <n v="454.1"/>
    <n v="19620.25"/>
    <n v="243.01"/>
    <n v="10954.45"/>
    <n v="187.91999999999996"/>
    <n v="8663.7800000000025"/>
    <n v="430.92999999999995"/>
    <n v="19618.230000000003"/>
    <n v="19618.230000000003"/>
    <n v="0"/>
    <n v="83.830000000000013"/>
    <n v="0"/>
    <n v="0"/>
    <n v="0"/>
    <n v="0"/>
    <n v="10954"/>
    <n v="8579"/>
    <n v="0"/>
    <n v="3"/>
    <n v="0"/>
  </r>
  <r>
    <x v="459"/>
    <s v="Matior"/>
    <s v="MPG"/>
    <s v="Direct"/>
    <n v="217.74999999999994"/>
    <n v="8380.2099999999991"/>
    <n v="150.69"/>
    <n v="5680.0700000000006"/>
    <n v="72.600000000000009"/>
    <n v="2696.72"/>
    <n v="223.29000000000002"/>
    <n v="8376.7900000000009"/>
    <n v="8376.7900000000009"/>
    <n v="0"/>
    <n v="0"/>
    <n v="0"/>
    <n v="2800"/>
    <n v="0"/>
    <n v="0"/>
    <n v="2880"/>
    <n v="2697"/>
    <n v="0"/>
    <n v="3"/>
    <n v="0"/>
  </r>
  <r>
    <x v="460"/>
    <s v="TELGAMA"/>
    <s v="MPG"/>
    <s v="Indirect"/>
    <n v="326.60000000000002"/>
    <n v="13997.88"/>
    <n v="0"/>
    <n v="0"/>
    <n v="0"/>
    <n v="0"/>
    <n v="0"/>
    <n v="0"/>
    <n v="13997.88"/>
    <n v="0"/>
    <n v="0"/>
    <n v="0"/>
    <n v="0"/>
    <n v="0"/>
    <n v="0"/>
    <n v="0"/>
    <n v="0"/>
    <n v="13997.88"/>
    <n v="0"/>
    <n v="0"/>
  </r>
  <r>
    <x v="461"/>
    <s v="GOMUKH TATARPUR"/>
    <s v="MPG"/>
    <s v="Direct"/>
    <n v="192.49999999999997"/>
    <n v="10382.150000000001"/>
    <n v="183.05"/>
    <n v="9945.1799999999985"/>
    <n v="6.8"/>
    <n v="436.68"/>
    <n v="189.85000000000002"/>
    <n v="10381.859999999999"/>
    <n v="10381.859999999999"/>
    <n v="0"/>
    <n v="0"/>
    <n v="0"/>
    <n v="1400"/>
    <n v="500"/>
    <n v="0"/>
    <n v="8045"/>
    <n v="437"/>
    <n v="0"/>
    <n v="0"/>
    <n v="0"/>
  </r>
  <r>
    <x v="462"/>
    <s v="Gomukh Ghataho"/>
    <s v="MPG"/>
    <s v="Direct"/>
    <n v="2127.1999999999998"/>
    <n v="83995.62"/>
    <n v="1549.75"/>
    <n v="61336.130000000005"/>
    <n v="550.69999999999993"/>
    <n v="22656.030000000002"/>
    <n v="2100.4499999999998"/>
    <n v="83992.16"/>
    <n v="83992.16"/>
    <n v="0"/>
    <n v="2417.52"/>
    <n v="0"/>
    <n v="0"/>
    <n v="0"/>
    <n v="0"/>
    <n v="61336"/>
    <n v="20238"/>
    <n v="0"/>
    <n v="4"/>
    <n v="0"/>
  </r>
  <r>
    <x v="463"/>
    <s v="Kacha - Amarjeet"/>
    <s v="vlc"/>
    <s v="Indirect"/>
    <n v="357.65"/>
    <n v="15948.289999999999"/>
    <n v="0"/>
    <n v="0"/>
    <n v="0"/>
    <n v="0"/>
    <n v="0"/>
    <n v="0"/>
    <n v="15948.289999999999"/>
    <n v="0"/>
    <n v="0"/>
    <n v="0"/>
    <n v="0"/>
    <n v="0"/>
    <n v="0"/>
    <n v="0"/>
    <n v="0"/>
    <n v="15948.289999999999"/>
    <n v="0"/>
    <n v="0"/>
  </r>
  <r>
    <x v="464"/>
    <s v="Simri - Suman"/>
    <s v="vlc"/>
    <s v="Indirect"/>
    <n v="1900"/>
    <n v="74186"/>
    <n v="0"/>
    <n v="0"/>
    <n v="0"/>
    <n v="0"/>
    <n v="0"/>
    <n v="0"/>
    <n v="74186"/>
    <n v="0"/>
    <n v="0"/>
    <n v="0"/>
    <n v="0"/>
    <n v="0"/>
    <n v="0"/>
    <n v="0"/>
    <n v="0"/>
    <n v="74186"/>
    <n v="0"/>
    <n v="0"/>
  </r>
  <r>
    <x v="465"/>
    <s v="Narenpur"/>
    <s v="MPG"/>
    <s v="Direct"/>
    <n v="294.49999999999994"/>
    <n v="12288.409999999998"/>
    <n v="73.89"/>
    <n v="3003.97"/>
    <n v="215.76"/>
    <n v="9271.0300000000007"/>
    <n v="289.64999999999998"/>
    <n v="12275"/>
    <n v="12275"/>
    <n v="0"/>
    <n v="0"/>
    <n v="0"/>
    <n v="0"/>
    <n v="0"/>
    <n v="0"/>
    <n v="3004"/>
    <n v="9272"/>
    <n v="0"/>
    <n v="12"/>
    <n v="0"/>
  </r>
  <r>
    <x v="466"/>
    <s v="Mordiba"/>
    <s v="MPG"/>
    <s v="Direct"/>
    <n v="1735.8500000000001"/>
    <n v="69565.899999999994"/>
    <n v="1050.6300000000001"/>
    <n v="42511.08"/>
    <n v="675.30000000000052"/>
    <n v="27051.48"/>
    <n v="1725.9300000000007"/>
    <n v="69562.559999999998"/>
    <n v="69562.559999999998"/>
    <n v="0"/>
    <n v="149.6"/>
    <n v="0"/>
    <n v="2800"/>
    <n v="0"/>
    <n v="0"/>
    <n v="39711"/>
    <n v="26904"/>
    <n v="0"/>
    <n v="1"/>
    <n v="0"/>
  </r>
  <r>
    <x v="467"/>
    <s v="Jagdispur"/>
    <s v="MPG"/>
    <s v="Direct"/>
    <n v="177.79999999999998"/>
    <n v="7223.56"/>
    <n v="193.56999999999996"/>
    <n v="7212.64"/>
    <n v="0"/>
    <n v="0"/>
    <n v="193.56999999999996"/>
    <n v="7212.64"/>
    <n v="7212.64"/>
    <n v="0"/>
    <n v="0"/>
    <n v="0"/>
    <n v="0"/>
    <n v="0"/>
    <n v="0"/>
    <n v="7211"/>
    <n v="0"/>
    <n v="0"/>
    <n v="13"/>
    <n v="0"/>
  </r>
  <r>
    <x v="468"/>
    <s v="Chaklal Sahi_Vikrant"/>
    <s v="vlc"/>
    <s v="Indirect"/>
    <n v="4040"/>
    <n v="152641"/>
    <n v="0"/>
    <n v="0"/>
    <n v="0"/>
    <n v="0"/>
    <n v="0"/>
    <n v="0"/>
    <n v="152641"/>
    <n v="0"/>
    <n v="0"/>
    <n v="0"/>
    <n v="0"/>
    <n v="0"/>
    <n v="0"/>
    <n v="0"/>
    <n v="0"/>
    <n v="152641"/>
    <n v="0"/>
    <n v="0"/>
  </r>
  <r>
    <x v="470"/>
    <s v="Sarhad-Subodh"/>
    <s v="vlc"/>
    <s v="Indirect"/>
    <n v="359.95000000000005"/>
    <n v="12385.17"/>
    <n v="0"/>
    <n v="0"/>
    <n v="0"/>
    <n v="0"/>
    <n v="0"/>
    <n v="0"/>
    <n v="12385.17"/>
    <n v="0"/>
    <n v="0"/>
    <n v="0"/>
    <n v="0"/>
    <n v="0"/>
    <n v="0"/>
    <n v="0"/>
    <n v="0"/>
    <n v="12385.17"/>
    <n v="0"/>
    <n v="0"/>
  </r>
  <r>
    <x v="471"/>
    <s v="Suratpur"/>
    <s v="MPG"/>
    <s v="Direct"/>
    <n v="1180.05"/>
    <n v="47752.640000000014"/>
    <n v="182.17000000000002"/>
    <n v="7352.4499999999989"/>
    <n v="983.95999999999992"/>
    <n v="40399.560000000012"/>
    <n v="1166.1299999999999"/>
    <n v="47752.010000000009"/>
    <n v="47752.010000000009"/>
    <n v="0"/>
    <n v="0"/>
    <n v="0"/>
    <n v="0"/>
    <n v="0"/>
    <n v="0"/>
    <n v="7352"/>
    <n v="40399"/>
    <n v="0"/>
    <n v="2"/>
    <n v="0"/>
  </r>
  <r>
    <x v="472"/>
    <s v="Beri"/>
    <s v="MPG"/>
    <s v="Direct"/>
    <n v="76.25"/>
    <n v="4745.59"/>
    <n v="76.25"/>
    <n v="4745.59"/>
    <n v="0"/>
    <n v="0"/>
    <n v="76.25"/>
    <n v="4745.59"/>
    <n v="4745.59"/>
    <n v="0"/>
    <n v="0"/>
    <n v="0"/>
    <n v="0"/>
    <n v="0"/>
    <n v="0"/>
    <n v="4746"/>
    <n v="0"/>
    <n v="0"/>
    <n v="0"/>
    <n v="0"/>
  </r>
  <r>
    <x v="473"/>
    <s v="Mahmmadipur"/>
    <s v="MPG"/>
    <s v="Direct"/>
    <n v="2591.0000000000009"/>
    <n v="133408.01"/>
    <n v="746.56"/>
    <n v="40850.980000000003"/>
    <n v="1710.8100000000006"/>
    <n v="92517.169999999984"/>
    <n v="2457.3700000000008"/>
    <n v="133368.15"/>
    <n v="133368.15"/>
    <n v="0"/>
    <n v="0"/>
    <n v="0"/>
    <n v="0"/>
    <n v="0"/>
    <n v="0"/>
    <n v="40852"/>
    <n v="92516"/>
    <n v="0"/>
    <n v="40"/>
    <n v="0"/>
  </r>
  <r>
    <x v="475"/>
    <s v="Mithilanchal Dairy Products"/>
    <s v="vlc"/>
    <s v="Indirect"/>
    <n v="7220.4599999999991"/>
    <n v="316415.74999999994"/>
    <n v="0"/>
    <n v="0"/>
    <n v="0"/>
    <n v="0"/>
    <n v="0"/>
    <n v="0"/>
    <n v="316415.74999999994"/>
    <n v="0"/>
    <n v="0"/>
    <n v="0"/>
    <n v="0"/>
    <n v="0"/>
    <n v="0"/>
    <n v="0"/>
    <n v="0"/>
    <n v="316415.74999999994"/>
    <n v="0"/>
    <n v="0"/>
  </r>
  <r>
    <x v="476"/>
    <s v="Gomukh Jhaura Tabhka"/>
    <s v="MPG"/>
    <s v="Direct"/>
    <n v="567.54999999999995"/>
    <n v="22096.44"/>
    <n v="547"/>
    <n v="22009.55"/>
    <n v="2.5000000000000004"/>
    <n v="86.059999999999988"/>
    <n v="549.5"/>
    <n v="22095.61"/>
    <n v="22095.61"/>
    <n v="0"/>
    <n v="48.45"/>
    <n v="0"/>
    <n v="0"/>
    <n v="0"/>
    <n v="0"/>
    <n v="22010"/>
    <n v="38"/>
    <n v="0"/>
    <n v="0"/>
    <n v="0"/>
  </r>
  <r>
    <x v="477"/>
    <s v="Gomukh Mohanpur"/>
    <s v="MPG"/>
    <s v="Direct"/>
    <n v="371.54999999999995"/>
    <n v="13733.460000000001"/>
    <n v="154.01999999999998"/>
    <n v="5446.74"/>
    <n v="215.26000000000002"/>
    <n v="8285.01"/>
    <n v="369.28"/>
    <n v="13731.75"/>
    <n v="13731.75"/>
    <n v="0"/>
    <n v="215.68"/>
    <n v="0"/>
    <n v="0"/>
    <n v="0"/>
    <n v="0"/>
    <n v="5447"/>
    <n v="8070"/>
    <n v="0"/>
    <n v="1"/>
    <n v="0"/>
  </r>
  <r>
    <x v="478"/>
    <s v="Gomukh Bochaha"/>
    <s v="MPG"/>
    <s v="Direct"/>
    <n v="1236.6499999999996"/>
    <n v="56663.159999999996"/>
    <n v="242.86"/>
    <n v="10699.01"/>
    <n v="1033.94"/>
    <n v="45959.3"/>
    <n v="1276.8000000000002"/>
    <n v="56658.310000000005"/>
    <n v="56658.310000000005"/>
    <n v="0"/>
    <n v="0"/>
    <n v="0"/>
    <n v="2800"/>
    <n v="0"/>
    <n v="0"/>
    <n v="7899"/>
    <n v="45960"/>
    <n v="0"/>
    <n v="4"/>
    <n v="0"/>
  </r>
  <r>
    <x v="479"/>
    <s v="Gomukh Terganj"/>
    <s v="MPG"/>
    <s v="Direct"/>
    <n v="228.3"/>
    <n v="9705.66"/>
    <n v="205.39"/>
    <n v="8627.73"/>
    <n v="25.6"/>
    <n v="1072.4100000000001"/>
    <n v="230.98999999999998"/>
    <n v="9700.14"/>
    <n v="9700.14"/>
    <n v="0"/>
    <n v="0"/>
    <n v="0"/>
    <n v="1400"/>
    <n v="500"/>
    <n v="0"/>
    <n v="6728"/>
    <n v="1073"/>
    <n v="0"/>
    <n v="5"/>
    <n v="0"/>
  </r>
  <r>
    <x v="480"/>
    <s v="Gomukh Chapra"/>
    <s v="vlc"/>
    <s v="Indirect"/>
    <n v="1958.55"/>
    <n v="92269.52"/>
    <n v="0"/>
    <n v="0"/>
    <n v="0"/>
    <n v="0"/>
    <n v="0"/>
    <n v="0"/>
    <n v="92269.52"/>
    <n v="0"/>
    <n v="0"/>
    <n v="0"/>
    <n v="0"/>
    <n v="0"/>
    <n v="0"/>
    <n v="0"/>
    <n v="0"/>
    <n v="92269.52"/>
    <n v="0"/>
    <n v="0"/>
  </r>
  <r>
    <x v="481"/>
    <s v="GOMUKH Chiranjipur"/>
    <s v="vlc"/>
    <s v="Indirect"/>
    <n v="10288"/>
    <n v="416165.98000000004"/>
    <n v="0"/>
    <n v="0"/>
    <n v="0"/>
    <n v="0"/>
    <n v="0"/>
    <n v="0"/>
    <n v="416165.98000000004"/>
    <n v="0"/>
    <n v="0"/>
    <n v="0"/>
    <n v="0"/>
    <n v="0"/>
    <n v="0"/>
    <n v="0"/>
    <n v="0"/>
    <n v="416165.98000000004"/>
    <n v="0"/>
    <n v="0"/>
  </r>
  <r>
    <x v="482"/>
    <s v="Gomukh Sahu Tol"/>
    <s v="vlc"/>
    <s v="Indirect"/>
    <n v="1710"/>
    <n v="67950.7"/>
    <n v="0"/>
    <n v="0"/>
    <n v="0"/>
    <n v="0"/>
    <n v="0"/>
    <n v="0"/>
    <n v="67950.7"/>
    <n v="0"/>
    <n v="0"/>
    <n v="0"/>
    <n v="0"/>
    <n v="0"/>
    <n v="0"/>
    <n v="0"/>
    <n v="0"/>
    <n v="67950.7"/>
    <n v="0"/>
    <n v="0"/>
  </r>
  <r>
    <x v="483"/>
    <s v="Gomukh Mordiwa East"/>
    <s v="MPG"/>
    <s v="Direct"/>
    <n v="1400.3499999999997"/>
    <n v="56741.86"/>
    <n v="252.2"/>
    <n v="9831.36"/>
    <n v="1207.8500000000001"/>
    <n v="46908.350000000006"/>
    <n v="1460.0500000000002"/>
    <n v="56739.710000000006"/>
    <n v="56739.710000000006"/>
    <n v="0"/>
    <n v="400.3"/>
    <n v="0"/>
    <n v="1400"/>
    <n v="0"/>
    <n v="0"/>
    <n v="8432"/>
    <n v="46509"/>
    <n v="0"/>
    <n v="1"/>
    <n v="0"/>
  </r>
  <r>
    <x v="484"/>
    <s v="Gomukh Belamegh"/>
    <s v="vlc"/>
    <s v="Indirect"/>
    <n v="2050"/>
    <n v="77288"/>
    <n v="0"/>
    <n v="0"/>
    <n v="0"/>
    <n v="0"/>
    <n v="0"/>
    <n v="0"/>
    <n v="77288"/>
    <n v="0"/>
    <n v="0"/>
    <n v="0"/>
    <n v="0"/>
    <n v="0"/>
    <n v="0"/>
    <n v="0"/>
    <n v="0"/>
    <n v="77288"/>
    <n v="0"/>
    <n v="0"/>
  </r>
  <r>
    <x v="485"/>
    <s v="Gomukh Ramaiya"/>
    <s v="MPG"/>
    <s v="Direct"/>
    <n v="697"/>
    <n v="28075.000000000004"/>
    <n v="667"/>
    <n v="26728.01"/>
    <n v="31"/>
    <n v="1337.37"/>
    <n v="698"/>
    <n v="28065.379999999997"/>
    <n v="28065.379999999997"/>
    <n v="0"/>
    <n v="0"/>
    <n v="0"/>
    <n v="0"/>
    <n v="0"/>
    <n v="0"/>
    <n v="26728"/>
    <n v="1336"/>
    <n v="0"/>
    <n v="11"/>
    <n v="0"/>
  </r>
  <r>
    <x v="486"/>
    <s v="GOMUKH MANIKA EAST"/>
    <s v="MPG"/>
    <s v="Direct"/>
    <n v="604.70000000000005"/>
    <n v="23663.41"/>
    <n v="388"/>
    <n v="15840.43"/>
    <n v="184.9"/>
    <n v="7820.9600000000009"/>
    <n v="572.9"/>
    <n v="23661.39"/>
    <n v="23661.39"/>
    <n v="0"/>
    <n v="0"/>
    <n v="0"/>
    <n v="0"/>
    <n v="0"/>
    <n v="0"/>
    <n v="15842"/>
    <n v="7820"/>
    <n v="0"/>
    <n v="1"/>
    <n v="0"/>
  </r>
  <r>
    <x v="487"/>
    <s v="IMADPUR"/>
    <s v="vlc"/>
    <s v="Indirect"/>
    <n v="1639.9999999999998"/>
    <n v="61029.48"/>
    <n v="0"/>
    <n v="0"/>
    <n v="0"/>
    <n v="0"/>
    <n v="0"/>
    <n v="0"/>
    <n v="61029.48"/>
    <n v="0"/>
    <n v="0"/>
    <n v="0"/>
    <n v="0"/>
    <n v="0"/>
    <n v="0"/>
    <n v="0"/>
    <n v="0"/>
    <n v="61029.48"/>
    <n v="0"/>
    <n v="0"/>
  </r>
  <r>
    <x v="488"/>
    <s v="GOMUKH Kisanpur Tabhka"/>
    <s v="MPG"/>
    <s v="Direct"/>
    <n v="1048.75"/>
    <n v="42936.030000000006"/>
    <n v="164.1"/>
    <n v="6601.0100000000011"/>
    <n v="891.55"/>
    <n v="36333.1"/>
    <n v="1055.6499999999999"/>
    <n v="42934.11"/>
    <n v="42934.11"/>
    <n v="0"/>
    <n v="21.27"/>
    <n v="0"/>
    <n v="0"/>
    <n v="0"/>
    <n v="0"/>
    <n v="6601"/>
    <n v="36312"/>
    <n v="0"/>
    <n v="2"/>
    <n v="0"/>
  </r>
  <r>
    <x v="489"/>
    <s v="GOMUKH BIBHUTIPUR"/>
    <s v="MPG"/>
    <s v="Direct"/>
    <n v="91.65"/>
    <n v="3584.27"/>
    <n v="91.22"/>
    <n v="3581.24"/>
    <n v="0"/>
    <n v="0"/>
    <n v="91.22"/>
    <n v="3581.24"/>
    <n v="3581.24"/>
    <n v="0"/>
    <n v="0"/>
    <n v="0"/>
    <n v="1400"/>
    <n v="448"/>
    <n v="0"/>
    <n v="1681"/>
    <n v="0"/>
    <n v="0"/>
    <n v="55"/>
    <s v="Release2"/>
  </r>
  <r>
    <x v="490"/>
    <s v="GOMUKH PATHAKTOL"/>
    <s v="MPG"/>
    <s v="Direct"/>
    <n v="210.54999999999998"/>
    <n v="8621.5"/>
    <n v="116.6"/>
    <n v="4791.869999999999"/>
    <n v="103.19999999999999"/>
    <n v="3828.2200000000003"/>
    <n v="219.79999999999998"/>
    <n v="8620.09"/>
    <n v="8620.09"/>
    <n v="0"/>
    <n v="0"/>
    <n v="0"/>
    <n v="0"/>
    <n v="500"/>
    <n v="0"/>
    <n v="4292"/>
    <n v="3828"/>
    <n v="0"/>
    <n v="2"/>
    <n v="0"/>
  </r>
  <r>
    <x v="491"/>
    <s v="Gomukh Musapur West"/>
    <s v="vlc"/>
    <s v="Indirect"/>
    <n v="2261.9500000000003"/>
    <n v="90219.570000000022"/>
    <n v="0"/>
    <n v="0"/>
    <n v="0"/>
    <n v="0"/>
    <n v="0"/>
    <n v="0"/>
    <n v="90219.570000000022"/>
    <n v="0"/>
    <n v="0"/>
    <n v="0"/>
    <n v="0"/>
    <n v="0"/>
    <n v="0"/>
    <n v="0"/>
    <n v="0"/>
    <n v="90219.570000000022"/>
    <n v="0"/>
    <n v="0"/>
  </r>
  <r>
    <x v="492"/>
    <s v="GOMUKH DADHIYA RAMKRISHANPUR"/>
    <s v="MPG"/>
    <s v="Direct"/>
    <n v="1415.2"/>
    <n v="61601.319999999992"/>
    <n v="434"/>
    <n v="17451.660000000003"/>
    <n v="1020.9999999999998"/>
    <n v="44140.47"/>
    <n v="1454.9999999999998"/>
    <n v="61592.130000000005"/>
    <n v="61592.130000000005"/>
    <n v="0"/>
    <n v="2325.29"/>
    <n v="0"/>
    <n v="157"/>
    <n v="0"/>
    <n v="0"/>
    <n v="17451"/>
    <n v="41660"/>
    <n v="0"/>
    <n v="8"/>
    <n v="0"/>
  </r>
  <r>
    <x v="493"/>
    <s v="Gomukh Simri Ward 4"/>
    <s v="vlc"/>
    <s v="Indirect"/>
    <n v="500"/>
    <n v="19390"/>
    <n v="0"/>
    <n v="0"/>
    <n v="0"/>
    <n v="0"/>
    <n v="0"/>
    <n v="0"/>
    <n v="19390"/>
    <n v="0"/>
    <n v="0"/>
    <n v="0"/>
    <n v="0"/>
    <n v="0"/>
    <n v="0"/>
    <n v="0"/>
    <n v="0"/>
    <n v="19390"/>
    <n v="0"/>
    <n v="0"/>
  </r>
  <r>
    <x v="494"/>
    <s v="GOMUKH BALTHARA"/>
    <s v="MPG"/>
    <s v="Direct"/>
    <n v="415.15"/>
    <n v="17364.7"/>
    <n v="105.80999999999999"/>
    <n v="4477.13"/>
    <n v="308.85000000000002"/>
    <n v="12876.82"/>
    <n v="414.66"/>
    <n v="17353.95"/>
    <n v="17353.95"/>
    <n v="0"/>
    <n v="0"/>
    <n v="0"/>
    <n v="0"/>
    <n v="0"/>
    <n v="0"/>
    <n v="4477"/>
    <n v="12877"/>
    <n v="0"/>
    <n v="11"/>
    <n v="0"/>
  </r>
  <r>
    <x v="495"/>
    <s v="GOMUKH BHASINGPUR"/>
    <s v="MPG"/>
    <s v="Direct"/>
    <n v="1110.45"/>
    <n v="48113.640000000007"/>
    <n v="615.03"/>
    <n v="25759.620000000003"/>
    <n v="516.52"/>
    <n v="22348.100000000002"/>
    <n v="1131.55"/>
    <n v="48107.72"/>
    <n v="48107.72"/>
    <n v="0"/>
    <n v="0"/>
    <n v="0"/>
    <n v="7000"/>
    <n v="0"/>
    <n v="0"/>
    <n v="18760"/>
    <n v="22350"/>
    <n v="0"/>
    <n v="4"/>
    <n v="0"/>
  </r>
  <r>
    <x v="496"/>
    <s v="GOMUKH Chakhale Dad"/>
    <s v="MPG"/>
    <s v="Direct"/>
    <n v="966"/>
    <n v="37814.57"/>
    <n v="607.27"/>
    <n v="24145.040000000001"/>
    <n v="357.94000000000005"/>
    <n v="13659.81"/>
    <n v="965.21"/>
    <n v="37804.85"/>
    <n v="37804.85"/>
    <n v="0"/>
    <n v="136.19999999999999"/>
    <n v="0"/>
    <n v="0"/>
    <n v="0"/>
    <n v="0"/>
    <n v="24145"/>
    <n v="13522"/>
    <n v="0"/>
    <n v="11"/>
    <n v="0"/>
  </r>
  <r>
    <x v="497"/>
    <s v="Gomukh Simri"/>
    <s v="vlc"/>
    <s v="Indirect"/>
    <n v="1029.8500000000001"/>
    <n v="43010.73"/>
    <n v="0"/>
    <n v="0"/>
    <n v="0"/>
    <n v="0"/>
    <n v="0"/>
    <n v="0"/>
    <n v="43010.73"/>
    <n v="0"/>
    <n v="0"/>
    <n v="0"/>
    <n v="0"/>
    <n v="0"/>
    <n v="0"/>
    <n v="0"/>
    <n v="0"/>
    <n v="43010.73"/>
    <n v="0"/>
    <n v="0"/>
  </r>
  <r>
    <x v="498"/>
    <s v="GOMUKH BANGHARH KISHANPUR"/>
    <s v="MPG"/>
    <s v="Direct"/>
    <n v="518.70000000000005"/>
    <n v="19311.850000000006"/>
    <n v="104.22"/>
    <n v="3796.7999999999993"/>
    <n v="421.51999999999992"/>
    <n v="15453.159999999998"/>
    <n v="525.7399999999999"/>
    <n v="19249.96"/>
    <n v="19249.96"/>
    <n v="0"/>
    <n v="155.13"/>
    <n v="0"/>
    <n v="0"/>
    <n v="0"/>
    <n v="0"/>
    <n v="3797"/>
    <n v="15299"/>
    <n v="0"/>
    <n v="61"/>
    <n v="0"/>
  </r>
  <r>
    <x v="499"/>
    <s v="Gomukh Serpur Narsari"/>
    <s v="vlc"/>
    <s v="Indirect"/>
    <n v="202.9"/>
    <n v="7367.55"/>
    <n v="0"/>
    <n v="0"/>
    <n v="0"/>
    <n v="0"/>
    <n v="0"/>
    <n v="0"/>
    <n v="7367.55"/>
    <n v="0"/>
    <n v="0"/>
    <n v="0"/>
    <n v="0"/>
    <n v="0"/>
    <n v="0"/>
    <n v="0"/>
    <n v="0"/>
    <n v="7367.55"/>
    <n v="0"/>
    <n v="0"/>
  </r>
  <r>
    <x v="500"/>
    <s v="PARORIYA"/>
    <s v="MPG"/>
    <s v="Direct"/>
    <n v="74.300000000000011"/>
    <n v="2446.69"/>
    <n v="72.72"/>
    <n v="2434.73"/>
    <n v="0.30000000000000004"/>
    <n v="8.76"/>
    <n v="73.02"/>
    <n v="2443.4900000000002"/>
    <n v="2443.4900000000002"/>
    <n v="0"/>
    <n v="8.76"/>
    <n v="0"/>
    <n v="0"/>
    <n v="0"/>
    <n v="0"/>
    <n v="2436"/>
    <n v="0"/>
    <n v="0"/>
    <n v="2"/>
    <n v="0"/>
  </r>
  <r>
    <x v="501"/>
    <s v="JHAKHRA"/>
    <s v="MPG"/>
    <s v="Indirect"/>
    <n v="44.2"/>
    <n v="1562.53"/>
    <n v="0"/>
    <n v="0"/>
    <n v="0"/>
    <n v="0"/>
    <n v="0"/>
    <n v="0"/>
    <n v="1562.53"/>
    <n v="0"/>
    <n v="0"/>
    <n v="0"/>
    <n v="1081"/>
    <n v="0"/>
    <n v="0"/>
    <n v="0"/>
    <n v="0"/>
    <n v="481.53"/>
    <n v="0"/>
    <n v="0"/>
  </r>
  <r>
    <x v="502"/>
    <s v="GOMUKH ANDAHA"/>
    <s v="MPG"/>
    <s v="Direct"/>
    <n v="496"/>
    <n v="18918.03"/>
    <n v="496.51"/>
    <n v="18903.96"/>
    <n v="0"/>
    <n v="0"/>
    <n v="496.51"/>
    <n v="18903.96"/>
    <n v="18903.96"/>
    <n v="0"/>
    <n v="0"/>
    <n v="0"/>
    <n v="666"/>
    <n v="0"/>
    <n v="0"/>
    <n v="18236"/>
    <n v="0"/>
    <n v="0"/>
    <n v="16"/>
    <n v="0"/>
  </r>
  <r>
    <x v="503"/>
    <s v="Gomukha Rohua"/>
    <s v="MPG"/>
    <s v="Direct"/>
    <n v="505.6"/>
    <n v="20964.140000000003"/>
    <n v="462.62"/>
    <n v="19910.28"/>
    <n v="22.32"/>
    <n v="930.46"/>
    <n v="484.94"/>
    <n v="20840.739999999998"/>
    <n v="20840.739999999998"/>
    <n v="0"/>
    <n v="313.07000000000005"/>
    <n v="0"/>
    <n v="0"/>
    <n v="0"/>
    <n v="0"/>
    <n v="19910"/>
    <n v="617"/>
    <n v="0"/>
    <n v="124"/>
    <n v="0"/>
  </r>
  <r>
    <x v="504"/>
    <s v="Gomukha Arniya Ganj"/>
    <s v="MPG"/>
    <s v="Direct"/>
    <n v="2910.5000000000005"/>
    <n v="112484.99999999999"/>
    <n v="1502.8"/>
    <n v="58416.36"/>
    <n v="1408.4999999999998"/>
    <n v="54064.62999999999"/>
    <n v="2911.2999999999997"/>
    <n v="112480.98999999999"/>
    <n v="112480.98999999999"/>
    <n v="0"/>
    <n v="1389.82"/>
    <n v="0"/>
    <n v="0"/>
    <n v="0"/>
    <n v="0"/>
    <n v="58418"/>
    <n v="52674"/>
    <n v="0"/>
    <n v="3"/>
    <s v="Release1"/>
  </r>
  <r>
    <x v="505"/>
    <s v="Gomukha Vishanupatti II"/>
    <s v="MPG"/>
    <s v="Indirect"/>
    <n v="702.40000000000009"/>
    <n v="27306.579999999994"/>
    <n v="0"/>
    <n v="0"/>
    <n v="0"/>
    <n v="0"/>
    <n v="0"/>
    <n v="0"/>
    <n v="27306.579999999994"/>
    <n v="0"/>
    <n v="0"/>
    <n v="0"/>
    <n v="0"/>
    <n v="0"/>
    <n v="0"/>
    <n v="0"/>
    <n v="0"/>
    <n v="27306.579999999994"/>
    <n v="0"/>
    <n v="0"/>
  </r>
  <r>
    <x v="506"/>
    <s v="Gomukh Khesarhiya"/>
    <s v="MPG"/>
    <s v="Indirect"/>
    <n v="217.89999999999998"/>
    <n v="9023.6200000000026"/>
    <n v="0"/>
    <n v="0"/>
    <n v="0"/>
    <n v="0"/>
    <n v="0"/>
    <n v="0"/>
    <n v="9023.6200000000026"/>
    <n v="0"/>
    <n v="0"/>
    <n v="0"/>
    <n v="0"/>
    <n v="0"/>
    <n v="0"/>
    <n v="0"/>
    <n v="0"/>
    <n v="9023.6200000000026"/>
    <n v="0"/>
    <n v="0"/>
  </r>
  <r>
    <x v="507"/>
    <s v="Harsingpur"/>
    <s v="MPG"/>
    <s v="Indirect"/>
    <n v="427.9"/>
    <n v="14536.32"/>
    <n v="0"/>
    <n v="0"/>
    <n v="0"/>
    <n v="0"/>
    <n v="0"/>
    <n v="0"/>
    <n v="14536.32"/>
    <n v="0"/>
    <n v="0"/>
    <n v="0"/>
    <n v="0"/>
    <n v="0"/>
    <n v="0"/>
    <n v="0"/>
    <n v="0"/>
    <n v="14536.32"/>
    <n v="0"/>
    <n v="0"/>
  </r>
  <r>
    <x v="508"/>
    <s v="Gomukh ID Mahathi"/>
    <s v="vlc"/>
    <s v="Indirect"/>
    <n v="551.39999999999986"/>
    <n v="21257.559999999998"/>
    <n v="0"/>
    <n v="0"/>
    <n v="0"/>
    <n v="0"/>
    <n v="0"/>
    <n v="0"/>
    <n v="21257.559999999998"/>
    <n v="0"/>
    <n v="0"/>
    <n v="0"/>
    <n v="0"/>
    <n v="0"/>
    <n v="0"/>
    <n v="0"/>
    <n v="0"/>
    <n v="21257.559999999998"/>
    <n v="0"/>
    <n v="0"/>
  </r>
  <r>
    <x v="509"/>
    <s v="MURTUJAPUR"/>
    <s v="MPG"/>
    <s v="Indirect"/>
    <n v="412.80000000000007"/>
    <n v="17566.370000000003"/>
    <n v="0"/>
    <n v="0"/>
    <n v="0"/>
    <n v="0"/>
    <n v="0"/>
    <n v="0"/>
    <n v="17566.370000000003"/>
    <n v="0"/>
    <n v="0"/>
    <n v="0"/>
    <n v="3100"/>
    <n v="0"/>
    <n v="0"/>
    <n v="0"/>
    <n v="0"/>
    <n v="14466.370000000003"/>
    <n v="0"/>
    <n v="0"/>
  </r>
  <r>
    <x v="510"/>
    <s v="Rasalpur"/>
    <s v="MPG"/>
    <s v="Direct"/>
    <n v="263.90000000000003"/>
    <n v="11764.179999999998"/>
    <n v="57.190000000000012"/>
    <n v="2925.8199999999997"/>
    <n v="188.22000000000003"/>
    <n v="8809.1700000000019"/>
    <n v="245.41000000000003"/>
    <n v="11734.990000000002"/>
    <n v="11734.990000000002"/>
    <n v="0"/>
    <n v="130.56"/>
    <n v="0"/>
    <n v="0"/>
    <n v="500"/>
    <n v="0"/>
    <n v="2426"/>
    <n v="8679"/>
    <n v="0"/>
    <n v="29"/>
    <n v="0"/>
  </r>
  <r>
    <x v="511"/>
    <s v="Gomukh VISHNUPATTI"/>
    <s v="MPG"/>
    <s v="Indirect"/>
    <n v="50.7"/>
    <n v="1974.75"/>
    <n v="0"/>
    <n v="0"/>
    <n v="0"/>
    <n v="0"/>
    <n v="0"/>
    <n v="0"/>
    <n v="1974.75"/>
    <n v="0"/>
    <n v="0"/>
    <n v="0"/>
    <n v="0"/>
    <n v="0"/>
    <n v="0"/>
    <n v="0"/>
    <n v="0"/>
    <n v="1974.75"/>
    <n v="0"/>
    <n v="0"/>
  </r>
  <r>
    <x v="512"/>
    <s v="Chhuchhipur                                                                                         "/>
    <s v="MPG"/>
    <s v="Direct"/>
    <n v="316.10000000000002"/>
    <n v="11429.86"/>
    <n v="294"/>
    <n v="10598.8"/>
    <n v="22.2"/>
    <n v="830.95"/>
    <n v="316.2"/>
    <n v="11429.75"/>
    <n v="11429.75"/>
    <n v="0"/>
    <n v="26.2"/>
    <n v="0"/>
    <n v="0"/>
    <n v="0"/>
    <n v="0"/>
    <n v="10598"/>
    <n v="806"/>
    <n v="0"/>
    <n v="0"/>
    <n v="0"/>
  </r>
  <r>
    <x v="513"/>
    <s v="Gomukh ID Sararanjan"/>
    <s v="vlc"/>
    <s v="Indirect"/>
    <n v="141.1"/>
    <n v="4662.9599999999991"/>
    <n v="0"/>
    <n v="0"/>
    <n v="0"/>
    <n v="0"/>
    <n v="0"/>
    <n v="0"/>
    <n v="4662.9599999999991"/>
    <n v="0"/>
    <n v="0"/>
    <n v="0"/>
    <n v="3300"/>
    <n v="0"/>
    <n v="0"/>
    <n v="0"/>
    <n v="0"/>
    <n v="1362.9599999999991"/>
    <n v="0"/>
    <n v="0"/>
  </r>
  <r>
    <x v="514"/>
    <s v="Gomukh Soharthi Purvi Tola                                                                          "/>
    <s v="MPG"/>
    <s v="Direct"/>
    <n v="52.20000000000001"/>
    <n v="2244.6999999999998"/>
    <n v="46.8"/>
    <n v="2001.4500000000003"/>
    <n v="4.5"/>
    <n v="167.76"/>
    <n v="51.3"/>
    <n v="2169.21"/>
    <n v="2169.21"/>
    <n v="0"/>
    <n v="0"/>
    <n v="0"/>
    <n v="0"/>
    <n v="500"/>
    <n v="0"/>
    <n v="1501"/>
    <n v="168"/>
    <n v="0"/>
    <n v="76"/>
    <n v="0"/>
  </r>
  <r>
    <x v="515"/>
    <s v="Birnama"/>
    <s v="vlc"/>
    <s v="Indirect"/>
    <n v="847.1"/>
    <n v="23632.29"/>
    <n v="0"/>
    <n v="0"/>
    <n v="0"/>
    <n v="0"/>
    <n v="0"/>
    <n v="0"/>
    <n v="23632.29"/>
    <n v="0"/>
    <n v="0"/>
    <n v="0"/>
    <n v="0"/>
    <n v="0"/>
    <n v="0"/>
    <n v="0"/>
    <n v="0"/>
    <n v="23632.29"/>
    <n v="0"/>
    <n v="0"/>
  </r>
  <r>
    <x v="516"/>
    <s v="Maraie - Rubi"/>
    <s v="vlc"/>
    <s v="Indirect"/>
    <n v="24"/>
    <n v="934.94"/>
    <n v="0"/>
    <n v="0"/>
    <n v="0"/>
    <n v="0"/>
    <n v="0"/>
    <n v="0"/>
    <n v="934.94"/>
    <n v="0"/>
    <n v="0"/>
    <n v="0"/>
    <n v="0"/>
    <n v="0"/>
    <n v="0"/>
    <n v="0"/>
    <n v="0"/>
    <n v="934.94"/>
    <n v="0"/>
    <n v="0"/>
  </r>
  <r>
    <x v="517"/>
    <s v="Arniya East Tola - Seema"/>
    <s v="vlc"/>
    <s v="Indirect"/>
    <n v="67.499999999999986"/>
    <n v="2450.85"/>
    <n v="0"/>
    <n v="0"/>
    <n v="0"/>
    <n v="0"/>
    <n v="0"/>
    <n v="0"/>
    <n v="2450.85"/>
    <n v="0"/>
    <n v="0"/>
    <n v="0"/>
    <n v="0"/>
    <n v="0"/>
    <n v="0"/>
    <n v="0"/>
    <n v="0"/>
    <n v="2450.85"/>
    <n v="0"/>
    <n v="0"/>
  </r>
  <r>
    <x v="518"/>
    <s v="Lakshmipur Western Tol - Rajeev"/>
    <s v="MPG"/>
    <s v="Indirect"/>
    <n v="2205.9"/>
    <n v="99338.810000000012"/>
    <n v="0"/>
    <n v="0"/>
    <n v="0"/>
    <n v="0"/>
    <n v="0"/>
    <n v="0"/>
    <n v="99338.810000000012"/>
    <n v="0"/>
    <n v="0"/>
    <n v="0"/>
    <n v="0"/>
    <n v="0"/>
    <n v="0"/>
    <n v="0"/>
    <n v="0"/>
    <n v="99338.810000000012"/>
    <n v="0"/>
    <n v="0"/>
  </r>
  <r>
    <x v="519"/>
    <s v="Jahangipur Salkhanni"/>
    <s v="MPG"/>
    <s v="Direct"/>
    <n v="319.79999999999995"/>
    <n v="14207.089999999998"/>
    <n v="233.01"/>
    <n v="10958.08"/>
    <n v="50.16"/>
    <n v="3282.8700000000003"/>
    <n v="283.16999999999996"/>
    <n v="14240.95"/>
    <n v="14207.089999999998"/>
    <n v="0"/>
    <n v="0"/>
    <n v="33.860000000002401"/>
    <n v="2800"/>
    <n v="0"/>
    <n v="0"/>
    <n v="8124"/>
    <n v="3283"/>
    <n v="0"/>
    <n v="0"/>
    <n v="0"/>
  </r>
  <r>
    <x v="520"/>
    <s v="Sekhpura"/>
    <s v="MPG"/>
    <s v="Direct"/>
    <n v="249.3"/>
    <n v="9804.0099999999984"/>
    <n v="250.80999999999997"/>
    <n v="9777.98"/>
    <n v="2.21"/>
    <n v="83.759999999999991"/>
    <n v="253.01999999999998"/>
    <n v="9861.74"/>
    <n v="9804.0099999999984"/>
    <n v="0"/>
    <n v="83.759999999999991"/>
    <n v="57.730000000001382"/>
    <n v="0"/>
    <n v="0"/>
    <n v="0"/>
    <n v="9720"/>
    <n v="0"/>
    <n v="0"/>
    <n v="0"/>
    <n v="0"/>
  </r>
  <r>
    <x v="521"/>
    <s v="Songar"/>
    <s v="MPG"/>
    <s v="Direct"/>
    <n v="980.8"/>
    <n v="35705.18"/>
    <n v="822.7700000000001"/>
    <n v="30592.87"/>
    <n v="147.13"/>
    <n v="5109.6000000000004"/>
    <n v="969.90000000000009"/>
    <n v="35702.47"/>
    <n v="35702.47"/>
    <n v="0"/>
    <n v="245.39000000000001"/>
    <n v="0"/>
    <n v="6200"/>
    <n v="0"/>
    <n v="0"/>
    <n v="24393"/>
    <n v="4865"/>
    <n v="0"/>
    <n v="2"/>
    <n v="0"/>
  </r>
  <r>
    <x v="522"/>
    <s v="Rampur Maheshpur"/>
    <s v="MPG"/>
    <s v="Direct"/>
    <n v="736.5"/>
    <n v="30212.109999999993"/>
    <n v="217.23000000000002"/>
    <n v="10038.759999999998"/>
    <n v="520.79999999999995"/>
    <n v="20168.760000000002"/>
    <n v="738.03"/>
    <n v="30207.52"/>
    <n v="30207.52"/>
    <n v="0"/>
    <n v="0"/>
    <n v="0"/>
    <n v="0"/>
    <n v="0"/>
    <n v="0"/>
    <n v="10039"/>
    <n v="20168"/>
    <n v="0"/>
    <n v="5"/>
    <n v="0"/>
  </r>
  <r>
    <x v="523"/>
    <s v="Godhiyari"/>
    <s v="vlc"/>
    <s v="Indirect"/>
    <n v="1475.1"/>
    <n v="49931.999999999993"/>
    <n v="0"/>
    <n v="0"/>
    <n v="0"/>
    <n v="0"/>
    <n v="0"/>
    <n v="0"/>
    <n v="49931.999999999993"/>
    <n v="0"/>
    <n v="0"/>
    <n v="0"/>
    <n v="0"/>
    <n v="0"/>
    <n v="0"/>
    <n v="0"/>
    <n v="0"/>
    <n v="49931.999999999993"/>
    <n v="0"/>
    <n v="0"/>
  </r>
  <r>
    <x v="524"/>
    <s v="Hussainipur Gobindpur"/>
    <s v="vlc"/>
    <s v="Indirect"/>
    <n v="696.3"/>
    <n v="28213.14"/>
    <n v="0"/>
    <n v="0"/>
    <n v="0"/>
    <n v="0"/>
    <n v="0"/>
    <n v="0"/>
    <n v="28213.14"/>
    <n v="0"/>
    <n v="0"/>
    <n v="0"/>
    <n v="0"/>
    <n v="0"/>
    <n v="0"/>
    <n v="0"/>
    <n v="0"/>
    <n v="28213.14"/>
    <n v="0"/>
    <n v="0"/>
  </r>
  <r>
    <x v="525"/>
    <s v="Jhakhra-Rambilash"/>
    <s v="vlc"/>
    <s v="Indirect"/>
    <n v="551.6"/>
    <n v="22046.9"/>
    <n v="0"/>
    <n v="0"/>
    <n v="0"/>
    <n v="0"/>
    <n v="0"/>
    <n v="0"/>
    <n v="22046.9"/>
    <n v="0"/>
    <n v="0"/>
    <n v="0"/>
    <n v="0"/>
    <n v="0"/>
    <n v="0"/>
    <n v="0"/>
    <n v="0"/>
    <n v="22046.9"/>
    <n v="0"/>
    <n v="0"/>
  </r>
  <r>
    <x v="526"/>
    <s v="Dagarua"/>
    <s v="MPG"/>
    <s v="Direct"/>
    <n v="742.7"/>
    <n v="27619.759999999998"/>
    <n v="412.46999999999997"/>
    <n v="14941.439999999999"/>
    <n v="325.62"/>
    <n v="12667.9"/>
    <n v="738.08999999999992"/>
    <n v="27609.339999999997"/>
    <n v="27609.339999999997"/>
    <n v="0"/>
    <n v="30.1"/>
    <n v="0"/>
    <n v="1550"/>
    <n v="0"/>
    <n v="0"/>
    <n v="13392"/>
    <n v="12638"/>
    <n v="0"/>
    <n v="10"/>
    <n v="0"/>
  </r>
  <r>
    <x v="527"/>
    <s v="Chakmilki"/>
    <s v="MPG"/>
    <s v="Direct"/>
    <n v="224.29999999999998"/>
    <n v="8703.9600000000009"/>
    <n v="104.17"/>
    <n v="4167.74"/>
    <n v="125.17"/>
    <n v="4451.68"/>
    <n v="229.34"/>
    <n v="8619.42"/>
    <n v="8619.42"/>
    <n v="0"/>
    <n v="160.76999999999998"/>
    <n v="0"/>
    <n v="0"/>
    <n v="0"/>
    <n v="0"/>
    <n v="4168"/>
    <n v="4291"/>
    <n v="0"/>
    <n v="84"/>
    <n v="0"/>
  </r>
  <r>
    <x v="528"/>
    <s v="Gomukh Akaha"/>
    <s v="MPG"/>
    <s v="Direct"/>
    <n v="356.20000000000005"/>
    <n v="13068.320000000002"/>
    <n v="302.36"/>
    <n v="10514.49"/>
    <n v="63.050000000000004"/>
    <n v="2544.2799999999997"/>
    <n v="365.41"/>
    <n v="13058.77"/>
    <n v="13058.77"/>
    <n v="0"/>
    <n v="50.850000000000009"/>
    <n v="0"/>
    <n v="0"/>
    <n v="500"/>
    <n v="0"/>
    <n v="10015"/>
    <n v="2494"/>
    <n v="0"/>
    <n v="8"/>
    <n v="0"/>
  </r>
  <r>
    <x v="529"/>
    <s v="Nauachak-Pankaj"/>
    <s v="vlc"/>
    <s v="Indirect"/>
    <n v="35"/>
    <n v="1629.8999999999999"/>
    <n v="0"/>
    <n v="0"/>
    <n v="0"/>
    <n v="0"/>
    <n v="0"/>
    <n v="0"/>
    <n v="1629.8999999999999"/>
    <n v="0"/>
    <n v="0"/>
    <n v="0"/>
    <n v="0"/>
    <n v="0"/>
    <n v="0"/>
    <n v="0"/>
    <n v="0"/>
    <n v="1629.8999999999999"/>
    <n v="0"/>
    <n v="0"/>
  </r>
  <r>
    <x v="530"/>
    <s v="Jitwarpur-Manisha"/>
    <s v="vlc"/>
    <s v="Indirect"/>
    <n v="92.5"/>
    <n v="3474.6899999999996"/>
    <n v="0"/>
    <n v="0"/>
    <n v="0"/>
    <n v="0"/>
    <n v="0"/>
    <n v="0"/>
    <n v="3474.6899999999996"/>
    <n v="0"/>
    <n v="0"/>
    <n v="0"/>
    <n v="0"/>
    <n v="0"/>
    <n v="0"/>
    <n v="0"/>
    <n v="0"/>
    <n v="3474.6899999999996"/>
    <n v="0"/>
    <n v="0"/>
  </r>
  <r>
    <x v="531"/>
    <s v="Gomukh Sirdulpur 2"/>
    <s v="vlc"/>
    <s v="Indirect"/>
    <n v="1171.5000000000002"/>
    <n v="37534.14"/>
    <n v="0"/>
    <n v="0"/>
    <n v="0"/>
    <n v="0"/>
    <n v="0"/>
    <n v="0"/>
    <n v="37534.14"/>
    <n v="0"/>
    <n v="0"/>
    <n v="0"/>
    <n v="0"/>
    <n v="0"/>
    <n v="0"/>
    <n v="0"/>
    <n v="0"/>
    <n v="37534.14"/>
    <n v="0"/>
    <n v="0"/>
  </r>
  <r>
    <x v="532"/>
    <s v="Gomukh Patepur"/>
    <s v="vlc"/>
    <s v="Indirect"/>
    <n v="272.60000000000002"/>
    <n v="9366.93"/>
    <n v="0"/>
    <n v="0"/>
    <n v="0"/>
    <n v="0"/>
    <n v="0"/>
    <n v="0"/>
    <n v="9366.93"/>
    <n v="0"/>
    <n v="0"/>
    <n v="0"/>
    <n v="1400"/>
    <n v="0"/>
    <n v="0"/>
    <n v="0"/>
    <n v="0"/>
    <n v="7966.93"/>
    <n v="0"/>
    <n v="0"/>
  </r>
  <r>
    <x v="980"/>
    <s v="Gomukh Akowahi Purvi Tol"/>
    <s v="MPG"/>
    <s v="Direct"/>
    <n v="22.4"/>
    <n v="853.46"/>
    <n v="22.299999999999997"/>
    <n v="851.71"/>
    <n v="0"/>
    <n v="0"/>
    <n v="22.299999999999997"/>
    <n v="851.71"/>
    <n v="851.71"/>
    <n v="0"/>
    <n v="0"/>
    <n v="0"/>
    <n v="0"/>
    <n v="0"/>
    <n v="0"/>
    <n v="852"/>
    <n v="0"/>
    <n v="0"/>
    <n v="1"/>
    <n v="0"/>
  </r>
  <r>
    <x v="533"/>
    <s v="Gomukh Sherpur Narsari East"/>
    <s v="MPG"/>
    <s v="Direct"/>
    <n v="238.9"/>
    <n v="10431.32"/>
    <n v="181.81"/>
    <n v="7402.07"/>
    <n v="56.730000000000004"/>
    <n v="3018.25"/>
    <n v="238.54000000000002"/>
    <n v="10420.32"/>
    <n v="10420.32"/>
    <n v="0"/>
    <n v="0"/>
    <n v="0"/>
    <n v="1238"/>
    <n v="0"/>
    <n v="0"/>
    <n v="6164"/>
    <n v="3019"/>
    <n v="0"/>
    <n v="10"/>
    <n v="0"/>
  </r>
  <r>
    <x v="534"/>
    <s v="Gomukh Karhatti"/>
    <s v="MPG"/>
    <s v="Direct"/>
    <n v="76.999999999999986"/>
    <n v="2387.75"/>
    <n v="54.1"/>
    <n v="1729.4199999999998"/>
    <n v="0"/>
    <n v="0"/>
    <n v="54.1"/>
    <n v="1729.4199999999998"/>
    <n v="1729.4199999999998"/>
    <n v="0"/>
    <n v="0"/>
    <n v="0"/>
    <n v="0"/>
    <n v="500"/>
    <n v="0"/>
    <n v="1230"/>
    <n v="0"/>
    <n v="0"/>
    <n v="658"/>
    <n v="0"/>
  </r>
  <r>
    <x v="535"/>
    <s v="Gomukh Gaopur Bhagwatpur"/>
    <s v="MPG"/>
    <s v="Direct"/>
    <n v="199.2"/>
    <n v="10424.58"/>
    <n v="204.35"/>
    <n v="10552.24"/>
    <n v="0.02"/>
    <n v="0.98"/>
    <n v="204.37"/>
    <n v="10553.22"/>
    <n v="10424.58"/>
    <n v="0"/>
    <n v="0.98"/>
    <n v="128.63999999999942"/>
    <n v="0"/>
    <n v="0"/>
    <n v="0"/>
    <n v="10424"/>
    <n v="0"/>
    <n v="0"/>
    <n v="0"/>
    <n v="0"/>
  </r>
  <r>
    <x v="536"/>
    <s v="Gomukh Rajwara"/>
    <s v="MPG"/>
    <s v="Direct"/>
    <n v="88.299999999999983"/>
    <n v="3498.5299999999997"/>
    <n v="88.99"/>
    <n v="3420.71"/>
    <n v="0.1"/>
    <n v="3.89"/>
    <n v="89.089999999999989"/>
    <n v="3424.6"/>
    <n v="3424.6"/>
    <n v="0"/>
    <n v="3.89"/>
    <n v="0"/>
    <n v="0"/>
    <n v="500"/>
    <n v="0"/>
    <n v="2921"/>
    <n v="0"/>
    <n v="0"/>
    <n v="74"/>
    <n v="0"/>
  </r>
  <r>
    <x v="537"/>
    <s v="Gomukh Karhatiya Bujurg"/>
    <s v="vlc"/>
    <s v="Indirect"/>
    <n v="606.6"/>
    <n v="25669.919999999991"/>
    <n v="0"/>
    <n v="0"/>
    <n v="0"/>
    <n v="0"/>
    <n v="0"/>
    <n v="0"/>
    <n v="25669.919999999991"/>
    <n v="0"/>
    <n v="0"/>
    <n v="0"/>
    <n v="0"/>
    <n v="0"/>
    <n v="0"/>
    <n v="0"/>
    <n v="0"/>
    <n v="25669.919999999991"/>
    <n v="0"/>
    <n v="0"/>
  </r>
  <r>
    <x v="538"/>
    <s v="GOMUKH NIKASPUR"/>
    <s v="vlc"/>
    <s v="Indirect"/>
    <n v="157.69999999999999"/>
    <n v="5838.8600000000006"/>
    <n v="0"/>
    <n v="0"/>
    <n v="0"/>
    <n v="0"/>
    <n v="0"/>
    <n v="0"/>
    <n v="5838.8600000000006"/>
    <n v="0"/>
    <n v="0"/>
    <n v="0"/>
    <n v="0"/>
    <n v="0"/>
    <n v="0"/>
    <n v="0"/>
    <n v="0"/>
    <n v="5838.8600000000006"/>
    <n v="0"/>
    <n v="0"/>
  </r>
  <r>
    <x v="1017"/>
    <s v="NAUACHAUK W-04"/>
    <s v="vlc"/>
    <s v="Indirect"/>
    <n v="20.6"/>
    <n v="849.61000000000013"/>
    <n v="0"/>
    <n v="0"/>
    <n v="0"/>
    <n v="0"/>
    <n v="0"/>
    <n v="0"/>
    <n v="849.61000000000013"/>
    <n v="0"/>
    <n v="0"/>
    <n v="0"/>
    <n v="0"/>
    <n v="0"/>
    <n v="0"/>
    <n v="0"/>
    <n v="0"/>
    <n v="849.61000000000013"/>
    <n v="0"/>
    <n v="0"/>
  </r>
  <r>
    <x v="539"/>
    <s v="Gomukh Morwa Mohanpur"/>
    <s v="vlc"/>
    <s v="Indirect"/>
    <n v="283.40000000000003"/>
    <n v="12432.219999999998"/>
    <n v="0"/>
    <n v="0"/>
    <n v="0"/>
    <n v="0"/>
    <n v="0"/>
    <n v="0"/>
    <n v="12432.219999999998"/>
    <n v="0"/>
    <n v="0"/>
    <n v="0"/>
    <n v="0"/>
    <n v="0"/>
    <n v="0"/>
    <n v="0"/>
    <n v="0"/>
    <n v="12432.219999999998"/>
    <n v="0"/>
    <n v="0"/>
  </r>
  <r>
    <x v="540"/>
    <s v="GOMUKH Laguniya"/>
    <s v="vlc"/>
    <s v="Indirect"/>
    <n v="134"/>
    <n v="5311.74"/>
    <n v="0"/>
    <n v="0"/>
    <n v="0"/>
    <n v="0"/>
    <n v="0"/>
    <n v="0"/>
    <n v="5311.74"/>
    <n v="0"/>
    <n v="0"/>
    <n v="0"/>
    <n v="0"/>
    <n v="0"/>
    <n v="0"/>
    <n v="0"/>
    <n v="0"/>
    <n v="5311.74"/>
    <n v="0"/>
    <n v="0"/>
  </r>
  <r>
    <x v="541"/>
    <s v="GOMUKH MAHINDWARA"/>
    <s v="vlc"/>
    <s v="Indirect"/>
    <n v="290.99999999999994"/>
    <n v="11454.140000000001"/>
    <n v="0"/>
    <n v="0"/>
    <n v="0"/>
    <n v="0"/>
    <n v="0"/>
    <n v="0"/>
    <n v="11454.140000000001"/>
    <n v="0"/>
    <n v="0"/>
    <n v="0"/>
    <n v="0"/>
    <n v="0"/>
    <n v="0"/>
    <n v="0"/>
    <n v="0"/>
    <n v="11454.140000000001"/>
    <n v="0"/>
    <n v="0"/>
  </r>
  <r>
    <x v="542"/>
    <s v="GOMUKH MISHRAULIA"/>
    <s v="MPG"/>
    <s v="Direct"/>
    <n v="514.5"/>
    <n v="23777.07"/>
    <n v="483.20000000000005"/>
    <n v="23721.39"/>
    <n v="0"/>
    <n v="0"/>
    <n v="483.20000000000005"/>
    <n v="23721.39"/>
    <n v="23721.39"/>
    <n v="0"/>
    <n v="0"/>
    <n v="0"/>
    <n v="0"/>
    <n v="0"/>
    <n v="0"/>
    <n v="23721"/>
    <n v="0"/>
    <n v="0"/>
    <n v="56"/>
    <n v="0"/>
  </r>
  <r>
    <x v="543"/>
    <s v="GOMUKH Bhagwatpur East"/>
    <s v="vlc"/>
    <s v="Direct"/>
    <n v="248.5"/>
    <n v="7833.42"/>
    <n v="248.9"/>
    <n v="7784.1900000000005"/>
    <n v="0"/>
    <n v="0"/>
    <n v="248.9"/>
    <n v="7784.1900000000005"/>
    <n v="7784.1900000000005"/>
    <n v="0"/>
    <n v="0"/>
    <n v="0"/>
    <n v="1400"/>
    <n v="0"/>
    <n v="0"/>
    <n v="6384"/>
    <n v="0"/>
    <n v="0"/>
    <n v="49"/>
    <n v="0"/>
  </r>
  <r>
    <x v="544"/>
    <s v="Gomukh Rupauli Buzurg"/>
    <s v="vlc"/>
    <s v="Indirect"/>
    <n v="7354"/>
    <n v="279769.83"/>
    <n v="0"/>
    <n v="0"/>
    <n v="0"/>
    <n v="0"/>
    <n v="0"/>
    <n v="0"/>
    <n v="279769.83"/>
    <n v="0"/>
    <n v="0"/>
    <n v="0"/>
    <n v="0"/>
    <n v="0"/>
    <n v="0"/>
    <n v="0"/>
    <n v="0"/>
    <n v="279769.83"/>
    <n v="0"/>
    <n v="0"/>
  </r>
  <r>
    <x v="545"/>
    <s v="GOMUKH BAKHRI"/>
    <s v="vlc"/>
    <s v="Indirect"/>
    <n v="58"/>
    <n v="2429.06"/>
    <n v="0"/>
    <n v="0"/>
    <n v="0"/>
    <n v="0"/>
    <n v="0"/>
    <n v="0"/>
    <n v="2429.06"/>
    <n v="0"/>
    <n v="0"/>
    <n v="0"/>
    <n v="0"/>
    <n v="0"/>
    <n v="0"/>
    <n v="0"/>
    <n v="0"/>
    <n v="2429.06"/>
    <n v="0"/>
    <n v="0"/>
  </r>
  <r>
    <x v="546"/>
    <s v="GOMUKH KAMTAUL"/>
    <s v="MPG"/>
    <s v="Direct"/>
    <n v="490.9"/>
    <n v="20075.21"/>
    <n v="492.08000000000004"/>
    <n v="19815.2"/>
    <n v="5.9"/>
    <n v="252.92"/>
    <n v="497.98"/>
    <n v="20068.12"/>
    <n v="20068.12"/>
    <n v="0"/>
    <n v="252.92"/>
    <n v="0"/>
    <n v="0"/>
    <n v="0"/>
    <n v="0"/>
    <n v="19815"/>
    <n v="0"/>
    <n v="0"/>
    <n v="7"/>
    <n v="0"/>
  </r>
  <r>
    <x v="547"/>
    <s v="GOMUKH MIRJAPUR NISFI"/>
    <s v="vlc"/>
    <s v="Indirect"/>
    <n v="271.2"/>
    <n v="9307.83"/>
    <n v="0"/>
    <n v="0"/>
    <n v="0"/>
    <n v="0"/>
    <n v="0"/>
    <n v="0"/>
    <n v="9307.83"/>
    <n v="0"/>
    <n v="0"/>
    <n v="0"/>
    <n v="0"/>
    <n v="0"/>
    <n v="0"/>
    <n v="0"/>
    <n v="0"/>
    <n v="9307.83"/>
    <n v="0"/>
    <n v="0"/>
  </r>
  <r>
    <x v="548"/>
    <s v="Dumri Purvi Tola"/>
    <s v="MPG"/>
    <s v="Direct"/>
    <n v="625.50000000000011"/>
    <n v="21295.190000000002"/>
    <n v="420.40000000000003"/>
    <n v="21190.6"/>
    <n v="0"/>
    <n v="0"/>
    <n v="420.40000000000003"/>
    <n v="21190.6"/>
    <n v="21190.6"/>
    <n v="0"/>
    <n v="0"/>
    <n v="0"/>
    <n v="0"/>
    <n v="0"/>
    <n v="0"/>
    <n v="21191"/>
    <n v="0"/>
    <n v="0"/>
    <n v="104"/>
    <n v="0"/>
  </r>
  <r>
    <x v="549"/>
    <s v="Simri"/>
    <s v="MPG"/>
    <s v="Direct"/>
    <n v="671.69999999999993"/>
    <n v="25644.929999999997"/>
    <n v="743.41"/>
    <n v="28813.1"/>
    <n v="0"/>
    <n v="0"/>
    <n v="743.41"/>
    <n v="28813.1"/>
    <n v="25644.929999999997"/>
    <n v="0"/>
    <n v="0"/>
    <n v="3168.1700000000019"/>
    <n v="0"/>
    <n v="0"/>
    <n v="0"/>
    <n v="25645"/>
    <n v="0"/>
    <n v="0"/>
    <n v="0"/>
    <n v="0"/>
  </r>
  <r>
    <x v="550"/>
    <s v="Sahiyar"/>
    <s v="MPG"/>
    <s v="Direct"/>
    <n v="984.0999999999998"/>
    <n v="40933.4"/>
    <n v="960.3"/>
    <n v="42369.779999999992"/>
    <n v="9.6"/>
    <n v="400.86"/>
    <n v="969.9"/>
    <n v="42770.639999999992"/>
    <n v="40933.4"/>
    <n v="0"/>
    <n v="400.86"/>
    <n v="1837.2399999999907"/>
    <n v="0"/>
    <n v="0"/>
    <n v="0"/>
    <n v="40532"/>
    <n v="0"/>
    <n v="0"/>
    <n v="1"/>
    <n v="0"/>
  </r>
  <r>
    <x v="551"/>
    <s v="ENGLISH DUBAULI"/>
    <s v="MPG"/>
    <s v="Direct"/>
    <n v="784.50000000000011"/>
    <n v="29590.07"/>
    <n v="764.93999999999994"/>
    <n v="30165.23"/>
    <n v="27.169999999999995"/>
    <n v="1435.3799999999999"/>
    <n v="792.1099999999999"/>
    <n v="31600.61"/>
    <n v="29590.07"/>
    <n v="0"/>
    <n v="1435.3799999999999"/>
    <n v="2010.5400000000009"/>
    <n v="6500"/>
    <n v="0"/>
    <n v="0"/>
    <n v="21655"/>
    <n v="0"/>
    <n v="0"/>
    <n v="0"/>
    <s v="Release2"/>
  </r>
  <r>
    <x v="552"/>
    <s v="Ramo Bariya"/>
    <s v="MPG"/>
    <s v="Direct"/>
    <n v="518"/>
    <n v="20129.549999999996"/>
    <n v="517.9799999999999"/>
    <n v="20117.78"/>
    <n v="0"/>
    <n v="0"/>
    <n v="517.9799999999999"/>
    <n v="20117.78"/>
    <n v="20117.78"/>
    <n v="0"/>
    <n v="0"/>
    <n v="0"/>
    <n v="0"/>
    <n v="0"/>
    <n v="0"/>
    <n v="20116"/>
    <n v="0"/>
    <n v="0"/>
    <n v="14"/>
    <n v="0"/>
  </r>
  <r>
    <x v="553"/>
    <s v="HITAN PARARI"/>
    <s v="MPG"/>
    <s v="Direct"/>
    <n v="1105.3"/>
    <n v="46869.200000000004"/>
    <n v="1133.0899999999999"/>
    <n v="49785.9"/>
    <n v="0"/>
    <n v="0"/>
    <n v="1133.0899999999999"/>
    <n v="49785.9"/>
    <n v="46869.200000000004"/>
    <n v="0"/>
    <n v="0"/>
    <n v="2916.6999999999971"/>
    <n v="0"/>
    <n v="0"/>
    <n v="0"/>
    <n v="46869"/>
    <n v="0"/>
    <n v="0"/>
    <n v="0"/>
    <n v="0"/>
  </r>
  <r>
    <x v="554"/>
    <s v="DULLAHPUR2"/>
    <s v="MPG"/>
    <s v="Direct"/>
    <n v="201.2"/>
    <n v="6259.3499999999995"/>
    <n v="200"/>
    <n v="6236"/>
    <n v="0"/>
    <n v="0"/>
    <n v="200"/>
    <n v="6236"/>
    <n v="6236"/>
    <n v="0"/>
    <n v="0"/>
    <n v="0"/>
    <n v="0"/>
    <n v="0"/>
    <n v="0"/>
    <n v="6236"/>
    <n v="0"/>
    <n v="0"/>
    <n v="23"/>
    <s v="Release1"/>
  </r>
  <r>
    <x v="555"/>
    <s v="Gangauli"/>
    <s v="MPG"/>
    <s v="Direct"/>
    <n v="1495.7"/>
    <n v="68848.210000000006"/>
    <n v="1480.6099999999997"/>
    <n v="69476.73000000001"/>
    <n v="6.910000000000001"/>
    <n v="259.52999999999997"/>
    <n v="1487.5199999999998"/>
    <n v="69736.260000000009"/>
    <n v="68848.210000000006"/>
    <n v="0"/>
    <n v="259.52999999999997"/>
    <n v="888.05000000000291"/>
    <n v="0"/>
    <n v="0"/>
    <n v="0"/>
    <n v="68588"/>
    <n v="0"/>
    <n v="0"/>
    <n v="1"/>
    <n v="0"/>
  </r>
  <r>
    <x v="556"/>
    <s v="MATHURA DERA"/>
    <s v="MPG"/>
    <s v="Direct"/>
    <n v="2663.4000000000005"/>
    <n v="108861.41"/>
    <n v="2997.8"/>
    <n v="108653.20000000001"/>
    <n v="5.2"/>
    <n v="177.11"/>
    <n v="3003"/>
    <n v="108830.31000000001"/>
    <n v="108830.31000000001"/>
    <n v="0"/>
    <n v="177.11"/>
    <n v="0"/>
    <n v="0"/>
    <n v="0"/>
    <n v="0"/>
    <n v="108653"/>
    <n v="0"/>
    <n v="0"/>
    <n v="31"/>
    <n v="0"/>
  </r>
  <r>
    <x v="557"/>
    <s v="NANDAN"/>
    <s v="MPG"/>
    <s v="Direct"/>
    <n v="235.7"/>
    <n v="13084.659999999998"/>
    <n v="233"/>
    <n v="13068.97"/>
    <n v="0"/>
    <n v="0"/>
    <n v="233"/>
    <n v="13068.97"/>
    <n v="13068.97"/>
    <n v="0"/>
    <n v="0"/>
    <n v="0"/>
    <n v="6650"/>
    <n v="0"/>
    <n v="0"/>
    <n v="6419"/>
    <n v="0"/>
    <n v="0"/>
    <n v="16"/>
    <n v="0"/>
  </r>
  <r>
    <x v="558"/>
    <s v="RAJAPUR"/>
    <s v="MPG"/>
    <s v="Direct"/>
    <n v="20"/>
    <n v="717.84"/>
    <n v="20"/>
    <n v="715.4"/>
    <n v="0"/>
    <n v="0"/>
    <n v="20"/>
    <n v="715.4"/>
    <n v="715.4"/>
    <n v="0"/>
    <n v="0"/>
    <n v="0"/>
    <n v="0"/>
    <n v="500"/>
    <n v="0"/>
    <n v="216"/>
    <n v="0"/>
    <n v="0"/>
    <n v="2"/>
    <s v="Release2"/>
  </r>
  <r>
    <x v="559"/>
    <s v="HEMDAPUR"/>
    <s v="MPG"/>
    <s v="Direct"/>
    <n v="528.50000000000011"/>
    <n v="19801.14"/>
    <n v="523.43999999999994"/>
    <n v="20487.61"/>
    <n v="0"/>
    <n v="0"/>
    <n v="523.43999999999994"/>
    <n v="20487.61"/>
    <n v="19801.14"/>
    <n v="0"/>
    <n v="0"/>
    <n v="686.47000000000116"/>
    <n v="0"/>
    <n v="0"/>
    <n v="0"/>
    <n v="19801"/>
    <n v="0"/>
    <n v="0"/>
    <n v="0"/>
    <n v="0"/>
  </r>
  <r>
    <x v="560"/>
    <s v="Chaugain"/>
    <s v="MPG"/>
    <s v="Direct"/>
    <n v="355.50000000000006"/>
    <n v="12105.189999999999"/>
    <n v="354.7"/>
    <n v="12095.27"/>
    <n v="0"/>
    <n v="0"/>
    <n v="354.7"/>
    <n v="12095.27"/>
    <n v="12095.27"/>
    <n v="0"/>
    <n v="0"/>
    <n v="0"/>
    <n v="0"/>
    <n v="500"/>
    <n v="0"/>
    <n v="11595"/>
    <n v="0"/>
    <n v="0"/>
    <n v="10"/>
    <n v="0"/>
  </r>
  <r>
    <x v="561"/>
    <s v="Akalupur"/>
    <s v="MPG"/>
    <s v="Direct"/>
    <n v="18.7"/>
    <n v="652.38"/>
    <n v="18.100000000000001"/>
    <n v="651.6"/>
    <n v="0"/>
    <n v="0"/>
    <n v="18.100000000000001"/>
    <n v="651.6"/>
    <n v="651.6"/>
    <n v="0"/>
    <n v="0"/>
    <n v="0"/>
    <n v="0"/>
    <n v="0"/>
    <n v="0"/>
    <n v="652"/>
    <n v="0"/>
    <n v="0"/>
    <n v="0"/>
    <n v="0"/>
  </r>
  <r>
    <x v="562"/>
    <s v="Chhotka Sihanpura"/>
    <s v="MPG"/>
    <s v="Direct"/>
    <n v="358.1"/>
    <n v="13266.26"/>
    <n v="383.70000000000005"/>
    <n v="15638.42"/>
    <n v="5.2000000000000011"/>
    <n v="194.17"/>
    <n v="388.90000000000003"/>
    <n v="15832.59"/>
    <n v="13266.26"/>
    <n v="0"/>
    <n v="194.17"/>
    <n v="2566.33"/>
    <n v="0"/>
    <n v="0"/>
    <n v="0"/>
    <n v="13072"/>
    <n v="0"/>
    <n v="0"/>
    <n v="0"/>
    <n v="0"/>
  </r>
  <r>
    <x v="563"/>
    <s v="Dharauli"/>
    <s v="MPG"/>
    <s v="Direct"/>
    <n v="255.1"/>
    <n v="9998.7300000000014"/>
    <n v="254.80000000000007"/>
    <n v="9877.260000000002"/>
    <n v="3.9"/>
    <n v="143.54000000000002"/>
    <n v="258.70000000000005"/>
    <n v="10020.800000000003"/>
    <n v="9998.7300000000014"/>
    <n v="0"/>
    <n v="143.54000000000002"/>
    <n v="22.070000000001528"/>
    <n v="0"/>
    <n v="0"/>
    <n v="0"/>
    <n v="9855"/>
    <n v="0"/>
    <n v="0"/>
    <n v="0"/>
    <n v="0"/>
  </r>
  <r>
    <x v="564"/>
    <s v="Ramopatti"/>
    <s v="MPG"/>
    <s v="Direct"/>
    <n v="443.09999999999997"/>
    <n v="16436.12"/>
    <n v="442.5"/>
    <n v="16403.75"/>
    <n v="0"/>
    <n v="0"/>
    <n v="442.5"/>
    <n v="16403.75"/>
    <n v="16403.75"/>
    <n v="0"/>
    <n v="0"/>
    <n v="0"/>
    <n v="0"/>
    <n v="500"/>
    <n v="0"/>
    <n v="15904"/>
    <n v="0"/>
    <n v="0"/>
    <n v="32"/>
    <n v="0"/>
  </r>
  <r>
    <x v="565"/>
    <s v="Kaithi"/>
    <s v="MPG"/>
    <s v="Direct"/>
    <n v="249.8"/>
    <n v="10879.14"/>
    <n v="279.8"/>
    <n v="12174.1"/>
    <n v="0"/>
    <n v="0"/>
    <n v="279.8"/>
    <n v="12174.1"/>
    <n v="10879.14"/>
    <n v="0"/>
    <n v="0"/>
    <n v="1294.9600000000009"/>
    <n v="0"/>
    <n v="500"/>
    <n v="0"/>
    <n v="10379"/>
    <n v="0"/>
    <n v="0"/>
    <n v="0"/>
    <s v="Release2"/>
  </r>
  <r>
    <x v="566"/>
    <s v="Rangi Dera"/>
    <s v="MPG"/>
    <s v="Direct"/>
    <n v="152"/>
    <n v="6138.8500000000013"/>
    <n v="253"/>
    <n v="10127.59"/>
    <n v="0"/>
    <n v="0"/>
    <n v="253"/>
    <n v="10127.59"/>
    <n v="6138.8500000000013"/>
    <n v="0"/>
    <n v="0"/>
    <n v="3988.7399999999989"/>
    <n v="0"/>
    <n v="0"/>
    <n v="0"/>
    <n v="6139"/>
    <n v="0"/>
    <n v="0"/>
    <n v="0"/>
    <n v="0"/>
  </r>
  <r>
    <x v="567"/>
    <s v="Dubki"/>
    <s v="MPG"/>
    <s v="Direct"/>
    <n v="528.80000000000018"/>
    <n v="26078.180000000004"/>
    <n v="580.21"/>
    <n v="29681.539999999997"/>
    <n v="2.67"/>
    <n v="122.60000000000001"/>
    <n v="582.88"/>
    <n v="29804.139999999996"/>
    <n v="26078.180000000004"/>
    <n v="0"/>
    <n v="122.60000000000001"/>
    <n v="3725.9599999999919"/>
    <n v="0"/>
    <n v="0"/>
    <n v="0"/>
    <n v="25955"/>
    <n v="0"/>
    <n v="0"/>
    <n v="1"/>
    <n v="0"/>
  </r>
  <r>
    <x v="568"/>
    <s v="Sonvarsa"/>
    <s v="MPG"/>
    <s v="Direct"/>
    <n v="287"/>
    <n v="11661.550000000001"/>
    <n v="285.69"/>
    <n v="11705.49"/>
    <n v="0"/>
    <n v="0"/>
    <n v="285.69"/>
    <n v="11705.49"/>
    <n v="11661.550000000001"/>
    <n v="0"/>
    <n v="0"/>
    <n v="43.93999999999869"/>
    <n v="0"/>
    <n v="0"/>
    <n v="0"/>
    <n v="11662"/>
    <n v="0"/>
    <n v="0"/>
    <n v="0"/>
    <n v="0"/>
  </r>
  <r>
    <x v="569"/>
    <s v="Soan"/>
    <s v="MPG"/>
    <s v="Direct"/>
    <n v="178.5"/>
    <n v="8321.01"/>
    <n v="176.61999999999998"/>
    <n v="8208.7999999999993"/>
    <n v="2.33"/>
    <n v="105.58999999999999"/>
    <n v="178.95"/>
    <n v="8314.39"/>
    <n v="8314.39"/>
    <n v="0"/>
    <n v="105.58999999999999"/>
    <n v="0"/>
    <n v="0"/>
    <n v="0"/>
    <n v="0"/>
    <n v="8208"/>
    <n v="0"/>
    <n v="0"/>
    <n v="7"/>
    <n v="0"/>
  </r>
  <r>
    <x v="570"/>
    <s v="PURANA BHOJPUR                                                                                      "/>
    <s v="MPG"/>
    <s v="Direct"/>
    <n v="236.39999999999998"/>
    <n v="9023.57"/>
    <n v="236.8"/>
    <n v="9019.7100000000009"/>
    <n v="0"/>
    <n v="0"/>
    <n v="236.8"/>
    <n v="9019.7100000000009"/>
    <n v="9019.7100000000009"/>
    <n v="0"/>
    <n v="0"/>
    <n v="0"/>
    <n v="2660"/>
    <n v="0"/>
    <n v="0"/>
    <n v="6359"/>
    <n v="0"/>
    <n v="0"/>
    <n v="5"/>
    <n v="0"/>
  </r>
  <r>
    <x v="1018"/>
    <s v="Gomukh Lewar"/>
    <s v="MPG"/>
    <s v="Direct"/>
    <n v="120.89999999999999"/>
    <n v="4621.84"/>
    <n v="120"/>
    <n v="4620"/>
    <n v="0"/>
    <n v="0"/>
    <n v="120"/>
    <n v="4620"/>
    <n v="4620"/>
    <n v="0"/>
    <n v="0"/>
    <n v="0"/>
    <n v="0"/>
    <n v="0"/>
    <n v="0"/>
    <n v="4620"/>
    <n v="0"/>
    <n v="0"/>
    <n v="2"/>
    <n v="0"/>
  </r>
  <r>
    <x v="571"/>
    <s v="Gomukh Kant"/>
    <s v="MPG"/>
    <s v="Direct"/>
    <n v="294.40000000000003"/>
    <n v="15845.91"/>
    <n v="329.89999999999992"/>
    <n v="19335.11"/>
    <n v="1.2"/>
    <n v="72.319999999999993"/>
    <n v="331.09999999999991"/>
    <n v="19407.43"/>
    <n v="15845.91"/>
    <n v="0"/>
    <n v="72.319999999999993"/>
    <n v="3561.5200000000004"/>
    <n v="0"/>
    <n v="500"/>
    <n v="0"/>
    <n v="15274"/>
    <n v="0"/>
    <n v="0"/>
    <n v="0"/>
    <n v="0"/>
  </r>
  <r>
    <x v="572"/>
    <s v="Gomukh Naat"/>
    <s v="MPG"/>
    <s v="Direct"/>
    <n v="668.6"/>
    <n v="25245.969999999998"/>
    <n v="682.36999999999989"/>
    <n v="26037.89"/>
    <n v="0"/>
    <n v="0"/>
    <n v="682.36999999999989"/>
    <n v="26037.89"/>
    <n v="25245.969999999998"/>
    <n v="0"/>
    <n v="0"/>
    <n v="791.92000000000189"/>
    <n v="0"/>
    <n v="0"/>
    <n v="0"/>
    <n v="25246"/>
    <n v="0"/>
    <n v="0"/>
    <n v="0"/>
    <n v="0"/>
  </r>
  <r>
    <x v="573"/>
    <s v="Gomukh Raghunathpur"/>
    <s v="MPG"/>
    <s v="Direct"/>
    <n v="387.30000000000007"/>
    <n v="15548.68"/>
    <n v="385.6"/>
    <n v="15529.87"/>
    <n v="0"/>
    <n v="0"/>
    <n v="385.6"/>
    <n v="15529.87"/>
    <n v="15529.87"/>
    <n v="0"/>
    <n v="0"/>
    <n v="0"/>
    <n v="0"/>
    <n v="0"/>
    <n v="0"/>
    <n v="15530"/>
    <n v="0"/>
    <n v="0"/>
    <n v="19"/>
    <n v="0"/>
  </r>
  <r>
    <x v="574"/>
    <s v="Gomukh Tilakraika Hata 1 - Manoj"/>
    <s v="vlc"/>
    <s v="Indirect"/>
    <n v="1152.3999999999999"/>
    <n v="41536.170000000006"/>
    <n v="0"/>
    <n v="0"/>
    <n v="0"/>
    <n v="0"/>
    <n v="0"/>
    <n v="0"/>
    <n v="41536.170000000006"/>
    <n v="0"/>
    <n v="0"/>
    <n v="0"/>
    <n v="0"/>
    <n v="0"/>
    <n v="0"/>
    <n v="0"/>
    <n v="0"/>
    <n v="41536.170000000006"/>
    <n v="0"/>
    <n v="0"/>
  </r>
  <r>
    <x v="575"/>
    <s v="Gomukh Murar"/>
    <s v="MPG"/>
    <s v="Direct"/>
    <n v="993.1"/>
    <n v="40550.839999999997"/>
    <n v="561.30000000000007"/>
    <n v="22986.23"/>
    <n v="642"/>
    <n v="30619.800000000003"/>
    <n v="1203.3000000000002"/>
    <n v="53606.03"/>
    <n v="40550.839999999997"/>
    <n v="0"/>
    <n v="478.16"/>
    <n v="13055.190000000002"/>
    <n v="0"/>
    <n v="0"/>
    <n v="0"/>
    <n v="9932"/>
    <n v="30141"/>
    <n v="0"/>
    <n v="0"/>
    <n v="0"/>
  </r>
  <r>
    <x v="576"/>
    <s v="Gomukh Churamanpur                                                                                  "/>
    <s v="MPG"/>
    <s v="Direct"/>
    <n v="177.29999999999998"/>
    <n v="7733.69"/>
    <n v="184.76999999999998"/>
    <n v="8583.39"/>
    <n v="0"/>
    <n v="0"/>
    <n v="184.76999999999998"/>
    <n v="8583.39"/>
    <n v="7733.69"/>
    <n v="0"/>
    <n v="0"/>
    <n v="849.69999999999982"/>
    <n v="0"/>
    <n v="0"/>
    <n v="0"/>
    <n v="7734"/>
    <n v="0"/>
    <n v="0"/>
    <n v="0"/>
    <s v="Release2"/>
  </r>
  <r>
    <x v="577"/>
    <s v="Gomukh Ekauni Karuwaj"/>
    <s v="MPG"/>
    <s v="Direct"/>
    <n v="6.7"/>
    <n v="226.14"/>
    <n v="0"/>
    <n v="0"/>
    <n v="22.099999999999998"/>
    <n v="911.19999999999993"/>
    <n v="22.099999999999998"/>
    <n v="911.19999999999993"/>
    <n v="226.14"/>
    <n v="0"/>
    <n v="0"/>
    <n v="685.06"/>
    <n v="0"/>
    <n v="226"/>
    <n v="0"/>
    <n v="0"/>
    <n v="0"/>
    <n v="0"/>
    <n v="0"/>
    <s v="Release2"/>
  </r>
  <r>
    <x v="578"/>
    <s v="Kulharia Agriculture Producer Company Limited"/>
    <s v="MPG"/>
    <s v="Direct"/>
    <n v="1014.4"/>
    <n v="41960.250000000015"/>
    <n v="1005.6099999999999"/>
    <n v="41623.819999999992"/>
    <n v="8.3899999999999988"/>
    <n v="329.89"/>
    <n v="1013.9999999999999"/>
    <n v="41953.709999999992"/>
    <n v="41953.709999999992"/>
    <n v="0"/>
    <n v="329.89"/>
    <n v="0"/>
    <n v="0"/>
    <n v="0"/>
    <n v="0"/>
    <n v="41624"/>
    <n v="0"/>
    <n v="0"/>
    <n v="6"/>
    <n v="0"/>
  </r>
  <r>
    <x v="579"/>
    <s v="Gomukh Dhakaich"/>
    <s v="MPG"/>
    <s v="Direct"/>
    <n v="108.30000000000001"/>
    <n v="4265.33"/>
    <n v="112.57000000000001"/>
    <n v="4083.1699999999996"/>
    <n v="0"/>
    <n v="0"/>
    <n v="112.57000000000001"/>
    <n v="4083.1699999999996"/>
    <n v="4083.1699999999996"/>
    <n v="0"/>
    <n v="0"/>
    <n v="0"/>
    <n v="0"/>
    <n v="0"/>
    <n v="0"/>
    <n v="4083"/>
    <n v="0"/>
    <n v="0"/>
    <n v="182"/>
    <n v="0"/>
  </r>
  <r>
    <x v="580"/>
    <s v="Gomukh Kajipura Chandan"/>
    <s v="vlc"/>
    <s v="Indirect"/>
    <n v="804.3"/>
    <n v="29997.02"/>
    <n v="0"/>
    <n v="0"/>
    <n v="0"/>
    <n v="0"/>
    <n v="0"/>
    <n v="0"/>
    <n v="29997.02"/>
    <n v="0"/>
    <n v="0"/>
    <n v="0"/>
    <n v="0"/>
    <n v="0"/>
    <n v="0"/>
    <n v="0"/>
    <n v="0"/>
    <n v="29997.02"/>
    <n v="0"/>
    <n v="0"/>
  </r>
  <r>
    <x v="581"/>
    <s v="Gomukh Sikraul Lakh"/>
    <s v="MPG"/>
    <s v="Direct"/>
    <n v="473.50000000000011"/>
    <n v="19913.259999999995"/>
    <n v="472.81"/>
    <n v="20449.829999999998"/>
    <n v="8.7100000000000009"/>
    <n v="357.06"/>
    <n v="481.52"/>
    <n v="20806.89"/>
    <n v="19913.259999999995"/>
    <n v="0"/>
    <n v="357.06"/>
    <n v="893.63000000000466"/>
    <n v="6650"/>
    <n v="0"/>
    <n v="0"/>
    <n v="12906"/>
    <n v="0"/>
    <n v="0"/>
    <n v="0"/>
    <n v="0"/>
  </r>
  <r>
    <x v="582"/>
    <s v="Gomukh Dafadihari"/>
    <s v="MPG"/>
    <s v="Direct"/>
    <n v="184.80000000000004"/>
    <n v="6933.9499999999989"/>
    <n v="178"/>
    <n v="6856.39"/>
    <n v="1.9999999999999998"/>
    <n v="82.600000000000009"/>
    <n v="180"/>
    <n v="6938.9900000000007"/>
    <n v="6933.9499999999989"/>
    <n v="0"/>
    <n v="82.600000000000009"/>
    <n v="5.0400000000017826"/>
    <n v="0"/>
    <n v="0"/>
    <n v="0"/>
    <n v="6851"/>
    <n v="0"/>
    <n v="0"/>
    <n v="0"/>
    <s v="Release2"/>
  </r>
  <r>
    <x v="583"/>
    <s v="Gomukh Paharpur"/>
    <s v="MPG"/>
    <s v="Direct"/>
    <n v="123.39999999999999"/>
    <n v="4693.4299999999994"/>
    <n v="123"/>
    <n v="4667.8500000000004"/>
    <n v="0"/>
    <n v="0"/>
    <n v="123"/>
    <n v="4667.8500000000004"/>
    <n v="4667.8500000000004"/>
    <n v="0"/>
    <n v="0"/>
    <n v="0"/>
    <n v="0"/>
    <n v="500"/>
    <n v="0"/>
    <n v="4168"/>
    <n v="0"/>
    <n v="0"/>
    <n v="25"/>
    <n v="0"/>
  </r>
  <r>
    <x v="584"/>
    <s v="Gomukh Basaon Kalan"/>
    <s v="MPG"/>
    <s v="Direct"/>
    <n v="24.7"/>
    <n v="979.81000000000006"/>
    <n v="24"/>
    <n v="967.44"/>
    <n v="0"/>
    <n v="0"/>
    <n v="24"/>
    <n v="967.44"/>
    <n v="967.44"/>
    <n v="0"/>
    <n v="0"/>
    <n v="0"/>
    <n v="0"/>
    <n v="0"/>
    <n v="0"/>
    <n v="967"/>
    <n v="0"/>
    <n v="0"/>
    <n v="13"/>
    <n v="0"/>
  </r>
  <r>
    <x v="585"/>
    <s v="Gomukh Mangolpur"/>
    <s v="MPG"/>
    <s v="Direct"/>
    <n v="332"/>
    <n v="11588.02"/>
    <n v="328.2"/>
    <n v="11560.01"/>
    <n v="4.8999999999999995"/>
    <n v="170.25999999999996"/>
    <n v="333.09999999999997"/>
    <n v="11730.27"/>
    <n v="11588.02"/>
    <n v="0"/>
    <n v="170.25999999999996"/>
    <n v="142.25"/>
    <n v="0"/>
    <n v="0"/>
    <n v="0"/>
    <n v="11418"/>
    <n v="0"/>
    <n v="0"/>
    <n v="0"/>
    <n v="0"/>
  </r>
  <r>
    <x v="586"/>
    <s v="Gomukh Dhanipur"/>
    <s v="MPG"/>
    <s v="Direct"/>
    <n v="466.7"/>
    <n v="18852.62"/>
    <n v="465.15999999999997"/>
    <n v="19107.469999999998"/>
    <n v="0"/>
    <n v="0"/>
    <n v="465.15999999999997"/>
    <n v="19107.469999999998"/>
    <n v="18852.62"/>
    <n v="0"/>
    <n v="0"/>
    <n v="254.84999999999854"/>
    <n v="0"/>
    <n v="0"/>
    <n v="0"/>
    <n v="18853"/>
    <n v="0"/>
    <n v="0"/>
    <n v="0"/>
    <n v="0"/>
  </r>
  <r>
    <x v="587"/>
    <s v="Gomukh Rakshanagar_tola"/>
    <s v="MPG"/>
    <s v="Direct"/>
    <n v="580.6"/>
    <n v="25881.02"/>
    <n v="615.79999999999995"/>
    <n v="29186.85"/>
    <n v="0"/>
    <n v="0"/>
    <n v="615.79999999999995"/>
    <n v="29186.85"/>
    <n v="25881.02"/>
    <n v="0"/>
    <n v="0"/>
    <n v="3305.8299999999981"/>
    <n v="0"/>
    <n v="0"/>
    <n v="0"/>
    <n v="25881"/>
    <n v="0"/>
    <n v="0"/>
    <n v="0"/>
    <n v="0"/>
  </r>
  <r>
    <x v="588"/>
    <s v="Gomukh Nadaon"/>
    <s v="MPG"/>
    <s v="Direct"/>
    <n v="196.89999999999998"/>
    <n v="6012.079999999999"/>
    <n v="197.14"/>
    <n v="5989.4000000000005"/>
    <n v="0"/>
    <n v="0"/>
    <n v="197.14"/>
    <n v="5989.4000000000005"/>
    <n v="5989.4000000000005"/>
    <n v="0"/>
    <n v="0"/>
    <n v="0"/>
    <n v="0"/>
    <n v="500"/>
    <n v="0"/>
    <n v="5489"/>
    <n v="0"/>
    <n v="0"/>
    <n v="23"/>
    <n v="0"/>
  </r>
  <r>
    <x v="589"/>
    <s v="Gomukh Mathuradera Upendra "/>
    <s v="vlc"/>
    <s v="Indirect"/>
    <n v="718.5"/>
    <n v="30319.64"/>
    <n v="0"/>
    <n v="0"/>
    <n v="0"/>
    <n v="0"/>
    <n v="0"/>
    <n v="0"/>
    <n v="30319.64"/>
    <n v="0"/>
    <n v="0"/>
    <n v="0"/>
    <n v="0"/>
    <n v="0"/>
    <n v="0"/>
    <n v="0"/>
    <n v="0"/>
    <n v="30319.64"/>
    <n v="0"/>
    <n v="0"/>
  </r>
  <r>
    <x v="590"/>
    <s v="Gomukh Bramhpur"/>
    <s v="MPG"/>
    <s v="Direct"/>
    <n v="87.699999999999989"/>
    <n v="3242.21"/>
    <n v="115.22999999999999"/>
    <n v="4417.07"/>
    <n v="0"/>
    <n v="0"/>
    <n v="115.22999999999999"/>
    <n v="4417.07"/>
    <n v="3242.21"/>
    <n v="0"/>
    <n v="0"/>
    <n v="1174.8599999999997"/>
    <n v="0"/>
    <n v="500"/>
    <n v="0"/>
    <n v="2742"/>
    <n v="0"/>
    <n v="0"/>
    <n v="0"/>
    <n v="0"/>
  </r>
  <r>
    <x v="591"/>
    <s v="Gomukh Mashariya"/>
    <s v="MPG"/>
    <s v="Direct"/>
    <n v="524.90000000000009"/>
    <n v="19526.14"/>
    <n v="524"/>
    <n v="19519"/>
    <n v="0"/>
    <n v="0"/>
    <n v="524"/>
    <n v="19519"/>
    <n v="19519"/>
    <n v="0"/>
    <n v="0"/>
    <n v="0"/>
    <n v="0"/>
    <n v="0"/>
    <n v="0"/>
    <n v="19519"/>
    <n v="0"/>
    <n v="0"/>
    <n v="7"/>
    <n v="0"/>
  </r>
  <r>
    <x v="592"/>
    <s v="Gomukh Basawkala Sudhir Kumar"/>
    <s v="vlc"/>
    <s v="Indirect"/>
    <n v="113.3"/>
    <n v="4130.7299999999996"/>
    <n v="0"/>
    <n v="0"/>
    <n v="0"/>
    <n v="0"/>
    <n v="0"/>
    <n v="0"/>
    <n v="4130.7299999999996"/>
    <n v="0"/>
    <n v="0"/>
    <n v="0"/>
    <n v="0"/>
    <n v="0"/>
    <n v="0"/>
    <n v="0"/>
    <n v="0"/>
    <n v="4130.7299999999996"/>
    <n v="0"/>
    <n v="0"/>
  </r>
  <r>
    <x v="593"/>
    <s v="Gomukh KritSagar"/>
    <s v="MPG"/>
    <s v="Direct"/>
    <n v="331.3"/>
    <n v="16779.649999999998"/>
    <n v="334"/>
    <n v="16746.759999999998"/>
    <n v="0"/>
    <n v="0"/>
    <n v="334"/>
    <n v="16746.759999999998"/>
    <n v="16746.759999999998"/>
    <n v="0"/>
    <n v="0"/>
    <n v="0"/>
    <n v="0"/>
    <n v="0"/>
    <n v="0"/>
    <n v="16747"/>
    <n v="0"/>
    <n v="0"/>
    <n v="33"/>
    <n v="0"/>
  </r>
  <r>
    <x v="594"/>
    <s v="Gomukh Navdera Jaipraksh"/>
    <s v="vlc"/>
    <s v="Indirect"/>
    <n v="1990.6"/>
    <n v="77426.25"/>
    <n v="0"/>
    <n v="0"/>
    <n v="0"/>
    <n v="0"/>
    <n v="0"/>
    <n v="0"/>
    <n v="77426.25"/>
    <n v="0"/>
    <n v="0"/>
    <n v="0"/>
    <n v="0"/>
    <n v="0"/>
    <n v="0"/>
    <n v="0"/>
    <n v="0"/>
    <n v="77426.25"/>
    <n v="0"/>
    <n v="0"/>
  </r>
  <r>
    <x v="595"/>
    <s v="Gomukh Ataon"/>
    <s v="MPG"/>
    <s v="Direct"/>
    <n v="318.70000000000005"/>
    <n v="14036.46"/>
    <n v="322.09999999999997"/>
    <n v="14767.370000000004"/>
    <n v="0"/>
    <n v="0"/>
    <n v="322.09999999999997"/>
    <n v="14767.370000000004"/>
    <n v="14036.46"/>
    <n v="0"/>
    <n v="0"/>
    <n v="730.91000000000531"/>
    <n v="0"/>
    <n v="0"/>
    <n v="0"/>
    <n v="14036"/>
    <n v="0"/>
    <n v="0"/>
    <n v="0"/>
    <s v="Release2"/>
  </r>
  <r>
    <x v="596"/>
    <s v="Gumukh Gayghat"/>
    <s v="MPG"/>
    <s v="Direct"/>
    <n v="1008.6"/>
    <n v="36685.74"/>
    <n v="1072.83"/>
    <n v="44789.83"/>
    <n v="0"/>
    <n v="0"/>
    <n v="1072.83"/>
    <n v="44789.83"/>
    <n v="36685.74"/>
    <n v="0"/>
    <n v="0"/>
    <n v="8104.0900000000038"/>
    <n v="6650"/>
    <n v="0"/>
    <n v="0"/>
    <n v="30036"/>
    <n v="0"/>
    <n v="0"/>
    <n v="0"/>
    <n v="0"/>
  </r>
  <r>
    <x v="597"/>
    <s v="Gomukh Chakki Janardan Yadav"/>
    <s v="vlc"/>
    <s v="Indirect"/>
    <n v="143.20000000000002"/>
    <n v="5372.8799999999992"/>
    <n v="0"/>
    <n v="0"/>
    <n v="0"/>
    <n v="0"/>
    <n v="0"/>
    <n v="0"/>
    <n v="5372.8799999999992"/>
    <n v="0"/>
    <n v="0"/>
    <n v="0"/>
    <n v="0"/>
    <n v="0"/>
    <n v="0"/>
    <n v="0"/>
    <n v="0"/>
    <n v="5372.8799999999992"/>
    <n v="0"/>
    <n v="0"/>
  </r>
  <r>
    <x v="598"/>
    <s v="Gomukh Rajpur"/>
    <s v="MPG"/>
    <s v="Direct"/>
    <n v="1149.0999999999999"/>
    <n v="48457.490000000013"/>
    <n v="1133.9100000000001"/>
    <n v="47916.349999999991"/>
    <n v="14.420000000000002"/>
    <n v="616.56000000000006"/>
    <n v="1148.3300000000002"/>
    <n v="48532.909999999989"/>
    <n v="48457.490000000013"/>
    <n v="0"/>
    <n v="616.56000000000006"/>
    <n v="75.419999999976426"/>
    <n v="0"/>
    <n v="0"/>
    <n v="0"/>
    <n v="47840"/>
    <n v="0"/>
    <n v="0"/>
    <n v="1"/>
    <n v="0"/>
  </r>
  <r>
    <x v="599"/>
    <s v="Gomukh Gangauli Dubha"/>
    <s v="MPG"/>
    <s v="Direct"/>
    <n v="200.72999999999996"/>
    <n v="8079.49"/>
    <n v="203.90000000000003"/>
    <n v="7928.64"/>
    <n v="3.2"/>
    <n v="128.94"/>
    <n v="207.10000000000002"/>
    <n v="8057.58"/>
    <n v="8057.58"/>
    <n v="0"/>
    <n v="128.94"/>
    <n v="0"/>
    <n v="0"/>
    <n v="0"/>
    <n v="0"/>
    <n v="7929"/>
    <n v="0"/>
    <n v="0"/>
    <n v="22"/>
    <n v="0"/>
  </r>
  <r>
    <x v="600"/>
    <s v="Gomukh Jagdishpur"/>
    <s v="MPG"/>
    <s v="Direct"/>
    <n v="316.5"/>
    <n v="10740.830000000002"/>
    <n v="316"/>
    <n v="10725.04"/>
    <n v="0"/>
    <n v="0"/>
    <n v="316"/>
    <n v="10725.04"/>
    <n v="10725.04"/>
    <n v="0"/>
    <n v="0"/>
    <n v="0"/>
    <n v="0"/>
    <n v="0"/>
    <n v="0"/>
    <n v="10725"/>
    <n v="0"/>
    <n v="0"/>
    <n v="16"/>
    <n v="0"/>
  </r>
  <r>
    <x v="601"/>
    <s v="Gumukk JP Dera"/>
    <s v="vlc"/>
    <s v="Indirect"/>
    <n v="315.7"/>
    <n v="12616.82"/>
    <n v="0"/>
    <n v="0"/>
    <n v="0"/>
    <n v="0"/>
    <n v="0"/>
    <n v="0"/>
    <n v="12616.82"/>
    <n v="0"/>
    <n v="0"/>
    <n v="0"/>
    <n v="0"/>
    <n v="0"/>
    <n v="0"/>
    <n v="0"/>
    <n v="0"/>
    <n v="12616.82"/>
    <n v="0"/>
    <n v="0"/>
  </r>
  <r>
    <x v="602"/>
    <s v="Gumukh Orap Khurd"/>
    <s v="MPG"/>
    <s v="Direct"/>
    <n v="406.60000000000008"/>
    <n v="16419.78"/>
    <n v="405.78000000000003"/>
    <n v="16378.660000000003"/>
    <n v="0"/>
    <n v="0"/>
    <n v="405.78000000000003"/>
    <n v="16378.660000000003"/>
    <n v="16378.660000000003"/>
    <n v="0"/>
    <n v="0"/>
    <n v="0"/>
    <n v="0"/>
    <n v="0"/>
    <n v="0"/>
    <n v="16379"/>
    <n v="0"/>
    <n v="0"/>
    <n v="41"/>
    <n v="0"/>
  </r>
  <r>
    <x v="603"/>
    <s v="Gomukh Daunpura Manendra"/>
    <s v="vlc"/>
    <s v="Indirect"/>
    <n v="441.60000000000008"/>
    <n v="17348.479999999996"/>
    <n v="0"/>
    <n v="0"/>
    <n v="0"/>
    <n v="0"/>
    <n v="0"/>
    <n v="0"/>
    <n v="17348.479999999996"/>
    <n v="0"/>
    <n v="0"/>
    <n v="0"/>
    <n v="0"/>
    <n v="0"/>
    <n v="0"/>
    <n v="0"/>
    <n v="0"/>
    <n v="17348.479999999996"/>
    <n v="0"/>
    <n v="0"/>
  </r>
  <r>
    <x v="604"/>
    <s v="Gumukh Mathiyapur"/>
    <s v="MPG"/>
    <s v="Direct"/>
    <n v="185.70000000000002"/>
    <n v="7932.3200000000006"/>
    <n v="185.8"/>
    <n v="7928.09"/>
    <n v="0"/>
    <n v="0"/>
    <n v="185.8"/>
    <n v="7928.09"/>
    <n v="7928.09"/>
    <n v="0"/>
    <n v="0"/>
    <n v="0"/>
    <n v="0"/>
    <n v="0"/>
    <n v="0"/>
    <n v="7928"/>
    <n v="0"/>
    <n v="0"/>
    <n v="4"/>
    <n v="0"/>
  </r>
  <r>
    <x v="605"/>
    <s v="Gomukh Raghunathpur Dasrath"/>
    <s v="vlc"/>
    <s v="Indirect"/>
    <n v="794.89999999999986"/>
    <n v="33544.370000000003"/>
    <n v="0"/>
    <n v="0"/>
    <n v="0"/>
    <n v="0"/>
    <n v="0"/>
    <n v="0"/>
    <n v="33544.370000000003"/>
    <n v="0"/>
    <n v="0"/>
    <n v="0"/>
    <n v="0"/>
    <n v="0"/>
    <n v="0"/>
    <n v="0"/>
    <n v="0"/>
    <n v="33544.370000000003"/>
    <n v="0"/>
    <n v="0"/>
  </r>
  <r>
    <x v="606"/>
    <s v="Gomukh Lakshman Dera Raja"/>
    <s v="vlc"/>
    <s v="Indirect"/>
    <n v="125.39999999999999"/>
    <n v="4714.51"/>
    <n v="0"/>
    <n v="0"/>
    <n v="0"/>
    <n v="0"/>
    <n v="0"/>
    <n v="0"/>
    <n v="4714.51"/>
    <n v="0"/>
    <n v="0"/>
    <n v="0"/>
    <n v="0"/>
    <n v="0"/>
    <n v="0"/>
    <n v="0"/>
    <n v="0"/>
    <n v="4714.51"/>
    <n v="0"/>
    <n v="0"/>
  </r>
  <r>
    <x v="607"/>
    <s v="Sohan Narayan Farmer Dairy Producer Company Ltd"/>
    <s v="vlc"/>
    <s v="Indirect"/>
    <n v="2013.1"/>
    <n v="75504.149999999994"/>
    <n v="0"/>
    <n v="0"/>
    <n v="0"/>
    <n v="0"/>
    <n v="0"/>
    <n v="0"/>
    <n v="75504.149999999994"/>
    <n v="0"/>
    <n v="0"/>
    <n v="0"/>
    <n v="0"/>
    <n v="0"/>
    <n v="0"/>
    <n v="0"/>
    <n v="0"/>
    <n v="75504.149999999994"/>
    <n v="0"/>
    <n v="0"/>
  </r>
  <r>
    <x v="608"/>
    <s v="Gomukh Arion Govind "/>
    <s v="vlc"/>
    <s v="Indirect"/>
    <n v="69.100000000000009"/>
    <n v="2948.7999999999997"/>
    <n v="0"/>
    <n v="0"/>
    <n v="0"/>
    <n v="0"/>
    <n v="0"/>
    <n v="0"/>
    <n v="2948.7999999999997"/>
    <n v="0"/>
    <n v="0"/>
    <n v="0"/>
    <n v="0"/>
    <n v="0"/>
    <n v="0"/>
    <n v="0"/>
    <n v="0"/>
    <n v="2948.7999999999997"/>
    <n v="0"/>
    <n v="0"/>
  </r>
  <r>
    <x v="609"/>
    <s v="Gumukh Basawkala Dahpura Tola"/>
    <s v="MPG"/>
    <s v="Direct"/>
    <n v="442.00000000000006"/>
    <n v="18790.16"/>
    <n v="444"/>
    <n v="18763.439999999999"/>
    <n v="0"/>
    <n v="0"/>
    <n v="444"/>
    <n v="18763.439999999999"/>
    <n v="18763.439999999999"/>
    <n v="0"/>
    <n v="0"/>
    <n v="0"/>
    <n v="0"/>
    <n v="0"/>
    <n v="0"/>
    <n v="18763"/>
    <n v="0"/>
    <n v="0"/>
    <n v="27"/>
    <n v="0"/>
  </r>
  <r>
    <x v="610"/>
    <s v="GomukhSimari Bakulha Patti"/>
    <s v="vlc"/>
    <s v="Indirect"/>
    <n v="383.5"/>
    <n v="13846.960000000001"/>
    <n v="0"/>
    <n v="0"/>
    <n v="0"/>
    <n v="0"/>
    <n v="0"/>
    <n v="0"/>
    <n v="13846.960000000001"/>
    <n v="0"/>
    <n v="0"/>
    <n v="0"/>
    <n v="0"/>
    <n v="0"/>
    <n v="0"/>
    <n v="0"/>
    <n v="0"/>
    <n v="13846.960000000001"/>
    <n v="0"/>
    <n v="0"/>
  </r>
  <r>
    <x v="611"/>
    <s v="Gomukh Baijnathpur"/>
    <s v="MPG"/>
    <s v="Direct"/>
    <n v="911.50000000000011"/>
    <n v="37332.699999999997"/>
    <n v="938.41000000000008"/>
    <n v="38680.509999999995"/>
    <n v="0"/>
    <n v="0"/>
    <n v="938.41000000000008"/>
    <n v="38680.509999999995"/>
    <n v="37332.699999999997"/>
    <n v="0"/>
    <n v="0"/>
    <n v="1347.8099999999977"/>
    <n v="0"/>
    <n v="0"/>
    <n v="0"/>
    <n v="37333"/>
    <n v="0"/>
    <n v="0"/>
    <n v="0"/>
    <n v="0"/>
  </r>
  <r>
    <x v="613"/>
    <s v="Gaachhi Tola"/>
    <s v="MPG"/>
    <s v="Indirect"/>
    <n v="681.4"/>
    <n v="28300.550000000003"/>
    <n v="0"/>
    <n v="0"/>
    <n v="0"/>
    <n v="0"/>
    <n v="0"/>
    <n v="0"/>
    <n v="28300.550000000003"/>
    <n v="0"/>
    <n v="0"/>
    <n v="0"/>
    <n v="0"/>
    <n v="0"/>
    <n v="0"/>
    <n v="0"/>
    <n v="0"/>
    <n v="28300.550000000003"/>
    <n v="0"/>
    <n v="0"/>
  </r>
  <r>
    <x v="614"/>
    <s v="KUMARPUIR KATHARA"/>
    <s v="MPG"/>
    <s v="Direct"/>
    <n v="2216.25"/>
    <n v="84714.660000000018"/>
    <n v="2300.3000000000006"/>
    <n v="83179.160000000018"/>
    <n v="28.200000000000003"/>
    <n v="1454.77"/>
    <n v="2328.5000000000005"/>
    <n v="84633.930000000022"/>
    <n v="84633.930000000022"/>
    <n v="0"/>
    <n v="1454.77"/>
    <n v="0"/>
    <n v="0"/>
    <n v="0"/>
    <n v="0"/>
    <n v="83181"/>
    <n v="0"/>
    <n v="0"/>
    <n v="79"/>
    <n v="0"/>
  </r>
  <r>
    <x v="615"/>
    <s v="KUDHIYA MPG"/>
    <s v="MPG"/>
    <s v="Direct"/>
    <n v="1964.9499999999998"/>
    <n v="88192.450000000012"/>
    <n v="1957.7999999999995"/>
    <n v="87923.650000000009"/>
    <n v="15.1"/>
    <n v="675.77"/>
    <n v="1972.8999999999994"/>
    <n v="88599.420000000013"/>
    <n v="88192.450000000012"/>
    <n v="0"/>
    <n v="675.77"/>
    <n v="406.97000000000116"/>
    <n v="11752"/>
    <n v="0"/>
    <n v="0"/>
    <n v="75764"/>
    <n v="0"/>
    <n v="0"/>
    <n v="1"/>
    <s v="Release2"/>
  </r>
  <r>
    <x v="616"/>
    <s v="SHAHJADPUR MPG"/>
    <s v="MPG"/>
    <s v="Direct"/>
    <n v="1417.6"/>
    <n v="54434.73"/>
    <n v="1435.6000000000001"/>
    <n v="62320.92"/>
    <n v="6.6"/>
    <n v="304.81"/>
    <n v="1442.2"/>
    <n v="62625.729999999996"/>
    <n v="54434.73"/>
    <n v="0"/>
    <n v="304.81"/>
    <n v="8190.9999999999927"/>
    <n v="0"/>
    <n v="0"/>
    <n v="0"/>
    <n v="54130"/>
    <n v="0"/>
    <n v="0"/>
    <n v="0"/>
    <s v="Release2"/>
  </r>
  <r>
    <x v="617"/>
    <s v="FARDA - 3"/>
    <s v="MPG"/>
    <s v="Direct"/>
    <n v="1842.0000000000005"/>
    <n v="69740.72"/>
    <n v="262.09999999999997"/>
    <n v="10044.23"/>
    <n v="1628.0000000000005"/>
    <n v="62818.87000000001"/>
    <n v="1890.1000000000004"/>
    <n v="72863.100000000006"/>
    <n v="69740.72"/>
    <n v="0"/>
    <n v="232.97000000000003"/>
    <n v="3122.3800000000047"/>
    <n v="0"/>
    <n v="0"/>
    <n v="0"/>
    <n v="6922"/>
    <n v="62586"/>
    <n v="0"/>
    <n v="0"/>
    <n v="0"/>
  </r>
  <r>
    <x v="618"/>
    <s v="CHANDANPURA"/>
    <s v="MPG"/>
    <s v="Indirect"/>
    <n v="1826.3000000000002"/>
    <n v="76950.680000000008"/>
    <n v="0"/>
    <n v="0"/>
    <n v="0"/>
    <n v="0"/>
    <n v="0"/>
    <n v="0"/>
    <n v="76950.680000000008"/>
    <n v="0"/>
    <n v="0"/>
    <n v="0"/>
    <n v="0"/>
    <n v="0"/>
    <n v="0"/>
    <n v="0"/>
    <n v="0"/>
    <n v="76950.680000000008"/>
    <n v="0"/>
    <n v="0"/>
  </r>
  <r>
    <x v="619"/>
    <s v="MANIKPUR"/>
    <s v="MPG"/>
    <s v="Direct"/>
    <n v="1011.1999999999998"/>
    <n v="42474.82"/>
    <n v="9"/>
    <n v="376.56"/>
    <n v="1088.5"/>
    <n v="45752.210000000006"/>
    <n v="1097.5"/>
    <n v="46128.770000000004"/>
    <n v="42474.82"/>
    <n v="0"/>
    <n v="273.40000000000003"/>
    <n v="3653.9500000000044"/>
    <n v="0"/>
    <n v="0"/>
    <n v="0"/>
    <n v="377"/>
    <n v="41824"/>
    <n v="0"/>
    <n v="0"/>
    <s v="Release2"/>
  </r>
  <r>
    <x v="620"/>
    <s v="JAKARPURA"/>
    <s v="MPG"/>
    <s v="Indirect"/>
    <n v="1408.6999999999998"/>
    <n v="56235.44"/>
    <n v="0"/>
    <n v="0"/>
    <n v="0"/>
    <n v="0"/>
    <n v="0"/>
    <n v="0"/>
    <n v="56235.44"/>
    <n v="0"/>
    <n v="0"/>
    <n v="0"/>
    <n v="0"/>
    <n v="0"/>
    <n v="0"/>
    <n v="0"/>
    <n v="0"/>
    <n v="56235.44"/>
    <n v="0"/>
    <n v="0"/>
  </r>
  <r>
    <x v="621"/>
    <s v="KISHANPUR"/>
    <s v="MPG"/>
    <s v="Indirect"/>
    <n v="3098.1"/>
    <n v="121521.48999999999"/>
    <n v="0"/>
    <n v="0"/>
    <n v="0"/>
    <n v="0"/>
    <n v="0"/>
    <n v="0"/>
    <n v="121521.48999999999"/>
    <n v="0"/>
    <n v="0"/>
    <n v="0"/>
    <n v="0"/>
    <n v="0"/>
    <n v="0"/>
    <n v="0"/>
    <n v="0"/>
    <n v="121521.48999999999"/>
    <n v="0"/>
    <n v="0"/>
  </r>
  <r>
    <x v="622"/>
    <s v="NANDPUR"/>
    <s v="MPG"/>
    <s v="Indirect"/>
    <n v="1428.4"/>
    <n v="54559.419999999984"/>
    <n v="0"/>
    <n v="0"/>
    <n v="0"/>
    <n v="0"/>
    <n v="0"/>
    <n v="0"/>
    <n v="54559.419999999984"/>
    <n v="0"/>
    <n v="0"/>
    <n v="0"/>
    <n v="15400"/>
    <n v="0"/>
    <n v="0"/>
    <n v="0"/>
    <n v="0"/>
    <n v="39159.419999999984"/>
    <n v="0"/>
    <n v="0"/>
  </r>
  <r>
    <x v="623"/>
    <s v="NOWAGADHI"/>
    <s v="MPG"/>
    <s v="Direct"/>
    <n v="1901.5"/>
    <n v="79469.490000000005"/>
    <n v="2030.5999999999997"/>
    <n v="78725.249999999971"/>
    <n v="17.600000000000001"/>
    <n v="754.16"/>
    <n v="2048.1999999999998"/>
    <n v="79479.409999999974"/>
    <n v="79469.490000000005"/>
    <n v="0"/>
    <n v="754.16"/>
    <n v="9.9199999999691499"/>
    <n v="0"/>
    <n v="0"/>
    <n v="0"/>
    <n v="78715"/>
    <n v="0"/>
    <n v="0"/>
    <n v="0"/>
    <n v="0"/>
  </r>
  <r>
    <x v="624"/>
    <s v="MAHADAT PUR 2"/>
    <s v="MPG"/>
    <s v="Direct"/>
    <n v="2400.7999999999997"/>
    <n v="94728.629999999976"/>
    <n v="2352.8000000000002"/>
    <n v="92823.27"/>
    <n v="48.000000000000007"/>
    <n v="1905.3600000000001"/>
    <n v="2400.8000000000002"/>
    <n v="94728.63"/>
    <n v="94728.629999999976"/>
    <n v="38539"/>
    <n v="1905.3600000000001"/>
    <n v="0"/>
    <n v="0"/>
    <n v="0"/>
    <n v="0"/>
    <n v="54284"/>
    <n v="0"/>
    <n v="0"/>
    <n v="0"/>
    <s v="Release3"/>
  </r>
  <r>
    <x v="625"/>
    <s v="SONBARSHA 1"/>
    <s v="MPG"/>
    <s v="Direct"/>
    <n v="270"/>
    <n v="9609.2999999999993"/>
    <n v="629"/>
    <n v="22386.110000000004"/>
    <n v="333"/>
    <n v="11851.470000000001"/>
    <n v="962"/>
    <n v="34237.58"/>
    <n v="9609.2999999999993"/>
    <n v="0"/>
    <n v="142.36000000000001"/>
    <n v="24628.280000000002"/>
    <n v="0"/>
    <n v="0"/>
    <n v="0"/>
    <n v="9147"/>
    <n v="320"/>
    <n v="0"/>
    <n v="0"/>
    <s v="Release2"/>
  </r>
  <r>
    <x v="626"/>
    <s v="GANOUL"/>
    <s v="vlc"/>
    <s v="Indirect"/>
    <n v="609"/>
    <n v="21757.54"/>
    <n v="605"/>
    <n v="21722.1"/>
    <n v="0"/>
    <n v="0"/>
    <n v="605"/>
    <n v="21722.1"/>
    <n v="21757.54"/>
    <n v="0"/>
    <n v="144.14000000000001"/>
    <n v="0"/>
    <n v="0"/>
    <n v="0"/>
    <n v="0"/>
    <n v="0"/>
    <n v="0"/>
    <n v="21613.4"/>
    <n v="0"/>
    <n v="0"/>
  </r>
  <r>
    <x v="627"/>
    <s v="Gauripur"/>
    <s v="MPG"/>
    <s v="Direct"/>
    <n v="1785"/>
    <n v="62674.71"/>
    <n v="1900"/>
    <n v="68217.5"/>
    <n v="353"/>
    <n v="12866.130000000001"/>
    <n v="2253"/>
    <n v="81083.63"/>
    <n v="62674.71"/>
    <n v="0"/>
    <n v="289.7"/>
    <n v="18408.920000000006"/>
    <n v="0"/>
    <n v="0"/>
    <n v="0"/>
    <n v="55513"/>
    <n v="6872"/>
    <n v="0"/>
    <n v="0"/>
    <s v="Release2"/>
  </r>
  <r>
    <x v="628"/>
    <s v="Bhramarpur"/>
    <s v="MPG"/>
    <s v="Direct"/>
    <n v="2622"/>
    <n v="90440.82"/>
    <n v="800"/>
    <n v="27632"/>
    <n v="2534"/>
    <n v="87549.98"/>
    <n v="3334"/>
    <n v="115181.98"/>
    <n v="90440.82"/>
    <n v="0"/>
    <n v="207.66"/>
    <n v="24741.159999999989"/>
    <n v="0"/>
    <n v="0"/>
    <n v="0"/>
    <n v="13816"/>
    <n v="76417"/>
    <n v="0"/>
    <n v="0"/>
    <s v="Release2"/>
  </r>
  <r>
    <x v="629"/>
    <s v="Gomukh Bariyarpur"/>
    <s v="MPG"/>
    <s v="Direct"/>
    <n v="571.1"/>
    <n v="22252.57"/>
    <n v="571.1"/>
    <n v="22387.119999999999"/>
    <n v="0"/>
    <n v="0"/>
    <n v="571.1"/>
    <n v="22387.119999999999"/>
    <n v="22252.57"/>
    <n v="0"/>
    <n v="0"/>
    <n v="134.54999999999927"/>
    <n v="1350"/>
    <n v="0"/>
    <n v="0"/>
    <n v="20903"/>
    <n v="0"/>
    <n v="0"/>
    <n v="0"/>
    <n v="0"/>
  </r>
  <r>
    <x v="630"/>
    <s v="Gomukh Sadananpur"/>
    <s v="MPG"/>
    <s v="Direct"/>
    <n v="68.400000000000006"/>
    <n v="2382.06"/>
    <n v="60.9"/>
    <n v="2382.6"/>
    <n v="0"/>
    <n v="0"/>
    <n v="60.9"/>
    <n v="2382.6"/>
    <n v="2382.06"/>
    <n v="0"/>
    <n v="0"/>
    <n v="0.53999999999996362"/>
    <n v="0"/>
    <n v="0"/>
    <n v="0"/>
    <n v="2382"/>
    <n v="0"/>
    <n v="0"/>
    <n v="0"/>
    <n v="0"/>
  </r>
  <r>
    <x v="631"/>
    <s v="TILAKPUR  2"/>
    <s v="MPG"/>
    <s v="Direct"/>
    <n v="559.45000000000005"/>
    <n v="19648.2"/>
    <n v="571.19999999999993"/>
    <n v="21459.84"/>
    <n v="3.2"/>
    <n v="120.68"/>
    <n v="574.4"/>
    <n v="21580.52"/>
    <n v="19648.2"/>
    <n v="0"/>
    <n v="120.68"/>
    <n v="1932.3199999999997"/>
    <n v="0"/>
    <n v="0"/>
    <n v="0"/>
    <n v="19527"/>
    <n v="0"/>
    <n v="0"/>
    <n v="1"/>
    <n v="0"/>
  </r>
  <r>
    <x v="632"/>
    <s v="TILAKPUR"/>
    <s v="MPG"/>
    <s v="Direct"/>
    <n v="767.94999999999982"/>
    <n v="24101.03"/>
    <n v="716.50000000000011"/>
    <n v="23391.77"/>
    <n v="19.2"/>
    <n v="669.81999999999994"/>
    <n v="735.70000000000016"/>
    <n v="24061.59"/>
    <n v="24061.59"/>
    <n v="0"/>
    <n v="669.81999999999994"/>
    <n v="0"/>
    <n v="0"/>
    <n v="0"/>
    <n v="0"/>
    <n v="23392"/>
    <n v="0"/>
    <n v="0"/>
    <n v="39"/>
    <n v="0"/>
  </r>
  <r>
    <x v="633"/>
    <s v="Prasharpur Kadwa Gomukh"/>
    <s v="MPG"/>
    <s v="Direct"/>
    <n v="314.8"/>
    <n v="12441.72"/>
    <n v="311.84999999999997"/>
    <n v="12448.87"/>
    <n v="3.7"/>
    <n v="151.06"/>
    <n v="315.54999999999995"/>
    <n v="12599.93"/>
    <n v="12441.72"/>
    <n v="0"/>
    <n v="151.06"/>
    <n v="158.21000000000095"/>
    <n v="0"/>
    <n v="0"/>
    <n v="0"/>
    <n v="12291"/>
    <n v="0"/>
    <n v="0"/>
    <n v="0"/>
    <n v="0"/>
  </r>
  <r>
    <x v="634"/>
    <s v="Borwa Tola Gomukh"/>
    <s v="MPG"/>
    <s v="Indirect"/>
    <n v="349.90000000000003"/>
    <n v="12319.27"/>
    <n v="352.29999999999995"/>
    <n v="12496.380000000003"/>
    <n v="0"/>
    <n v="0"/>
    <n v="352.29999999999995"/>
    <n v="12496.380000000003"/>
    <n v="12319.27"/>
    <n v="0"/>
    <n v="0"/>
    <n v="177.1100000000024"/>
    <n v="0"/>
    <n v="0"/>
    <n v="0"/>
    <n v="0"/>
    <n v="0"/>
    <n v="12319.27"/>
    <n v="0"/>
    <n v="0"/>
  </r>
  <r>
    <x v="635"/>
    <s v="Sheela Devi"/>
    <s v="MPG"/>
    <s v="Indirect"/>
    <n v="688"/>
    <n v="22689.199999999997"/>
    <n v="0"/>
    <n v="0"/>
    <n v="0"/>
    <n v="0"/>
    <n v="0"/>
    <n v="0"/>
    <n v="22689.199999999997"/>
    <n v="0"/>
    <n v="0"/>
    <n v="0"/>
    <n v="0"/>
    <n v="0"/>
    <n v="0"/>
    <n v="0"/>
    <n v="0"/>
    <n v="22689.199999999997"/>
    <n v="0"/>
    <n v="0"/>
  </r>
  <r>
    <x v="636"/>
    <s v="Gomukh Vijay Lalganj"/>
    <s v="MPG"/>
    <s v="Direct"/>
    <n v="378.50000000000006"/>
    <n v="15718.809999999998"/>
    <n v="379.09999999999997"/>
    <n v="15879.420000000002"/>
    <n v="1.4000000000000001"/>
    <n v="58.529999999999994"/>
    <n v="380.49999999999994"/>
    <n v="15937.950000000003"/>
    <n v="15718.809999999998"/>
    <n v="0"/>
    <n v="58.529999999999994"/>
    <n v="219.14000000000487"/>
    <n v="0"/>
    <n v="0"/>
    <n v="0"/>
    <n v="15660"/>
    <n v="0"/>
    <n v="0"/>
    <n v="0"/>
    <n v="0"/>
  </r>
  <r>
    <x v="637"/>
    <s v="Gomukh Sarswati Nagar Nakdahri"/>
    <s v="MPG"/>
    <s v="Direct"/>
    <n v="494.5"/>
    <n v="19916.099999999999"/>
    <n v="201.47"/>
    <n v="8382.2999999999993"/>
    <n v="324.70000000000005"/>
    <n v="13447.73"/>
    <n v="526.17000000000007"/>
    <n v="21830.03"/>
    <n v="19916.099999999999"/>
    <n v="0"/>
    <n v="122.21000000000001"/>
    <n v="1913.9300000000003"/>
    <n v="0"/>
    <n v="0"/>
    <n v="0"/>
    <n v="6469"/>
    <n v="13325"/>
    <n v="0"/>
    <n v="0"/>
    <n v="0"/>
  </r>
  <r>
    <x v="638"/>
    <s v="Dhobina Basa"/>
    <s v="MPG"/>
    <s v="Direct"/>
    <n v="411.99999999999994"/>
    <n v="16024.44"/>
    <n v="278.60000000000002"/>
    <n v="11854.34"/>
    <n v="257"/>
    <n v="11218.11"/>
    <n v="535.6"/>
    <n v="23072.45"/>
    <n v="16024.44"/>
    <n v="0"/>
    <n v="43.699999999999996"/>
    <n v="7048.01"/>
    <n v="0"/>
    <n v="0"/>
    <n v="0"/>
    <n v="4806"/>
    <n v="11174"/>
    <n v="0"/>
    <n v="1"/>
    <n v="0"/>
  </r>
  <r>
    <x v="639"/>
    <s v="Gomukh Shreepur Madhay"/>
    <s v="MPG"/>
    <s v="Direct"/>
    <n v="1955.4000000000003"/>
    <n v="80097.88"/>
    <n v="1494.5"/>
    <n v="61897.32"/>
    <n v="462.7"/>
    <n v="19217.2"/>
    <n v="1957.2"/>
    <n v="81114.52"/>
    <n v="80097.88"/>
    <n v="0"/>
    <n v="3247.4900000000002"/>
    <n v="1016.6399999999994"/>
    <n v="0"/>
    <n v="0"/>
    <n v="0"/>
    <n v="60880"/>
    <n v="15970"/>
    <n v="0"/>
    <n v="0"/>
    <n v="0"/>
  </r>
  <r>
    <x v="640"/>
    <s v="Gomukh Dhoriya Dadpur -VLC"/>
    <s v="vlc"/>
    <s v="Indirect"/>
    <n v="588.9"/>
    <n v="22333.71"/>
    <n v="0"/>
    <n v="0"/>
    <n v="0"/>
    <n v="0"/>
    <n v="0"/>
    <n v="0"/>
    <n v="22333.71"/>
    <n v="0"/>
    <n v="0"/>
    <n v="0"/>
    <n v="0"/>
    <n v="0"/>
    <n v="0"/>
    <n v="0"/>
    <n v="0"/>
    <n v="22333.71"/>
    <n v="0"/>
    <n v="0"/>
  </r>
  <r>
    <x v="641"/>
    <s v="Gomukh Mohanpur  VLC"/>
    <s v="vlc"/>
    <s v="Indirect"/>
    <n v="151.4"/>
    <n v="5523.11"/>
    <n v="0"/>
    <n v="0"/>
    <n v="0"/>
    <n v="0"/>
    <n v="0"/>
    <n v="0"/>
    <n v="5523.11"/>
    <n v="0"/>
    <n v="0"/>
    <n v="0"/>
    <n v="0"/>
    <n v="0"/>
    <n v="0"/>
    <n v="0"/>
    <n v="0"/>
    <n v="5523.11"/>
    <n v="0"/>
    <n v="0"/>
  </r>
  <r>
    <x v="642"/>
    <s v="Gomukh Abhirampur VLC"/>
    <s v="vlc"/>
    <s v="Indirect"/>
    <n v="269.5"/>
    <n v="11201.640000000001"/>
    <n v="0"/>
    <n v="0"/>
    <n v="0"/>
    <n v="0"/>
    <n v="0"/>
    <n v="0"/>
    <n v="11201.640000000001"/>
    <n v="0"/>
    <n v="0"/>
    <n v="0"/>
    <n v="0"/>
    <n v="0"/>
    <n v="0"/>
    <n v="0"/>
    <n v="0"/>
    <n v="11201.640000000001"/>
    <n v="0"/>
    <n v="0"/>
  </r>
  <r>
    <x v="643"/>
    <s v="KUNTHA M"/>
    <s v="MPG"/>
    <s v="Direct"/>
    <n v="945.2"/>
    <n v="37051.839999999997"/>
    <n v="1026.1100000000001"/>
    <n v="40233.320000000007"/>
    <n v="17"/>
    <n v="622.87999999999988"/>
    <n v="1043.1100000000001"/>
    <n v="40856.200000000004"/>
    <n v="37051.839999999997"/>
    <n v="0"/>
    <n v="622.87999999999988"/>
    <n v="3804.3600000000079"/>
    <n v="0"/>
    <n v="0"/>
    <n v="0"/>
    <n v="36429"/>
    <n v="0"/>
    <n v="0"/>
    <n v="0"/>
    <n v="0"/>
  </r>
  <r>
    <x v="644"/>
    <s v="ARAK"/>
    <s v="MPG"/>
    <s v="Direct"/>
    <n v="2213.8999999999996"/>
    <n v="84385.14999999998"/>
    <n v="2233.8000000000002"/>
    <n v="86931.030000000013"/>
    <n v="14"/>
    <n v="738.93999999999983"/>
    <n v="2247.8000000000002"/>
    <n v="87669.970000000016"/>
    <n v="84385.14999999998"/>
    <n v="0"/>
    <n v="738.93999999999983"/>
    <n v="3284.8200000000361"/>
    <n v="0"/>
    <n v="0"/>
    <n v="0"/>
    <n v="83646"/>
    <n v="0"/>
    <n v="0"/>
    <n v="0"/>
    <n v="0"/>
  </r>
  <r>
    <x v="645"/>
    <s v="Diyaman"/>
    <s v="MPG"/>
    <s v="Direct"/>
    <n v="1111"/>
    <n v="46876.15"/>
    <n v="1102.96"/>
    <n v="47028.539999999994"/>
    <n v="5.4000000000000012"/>
    <n v="228.44999999999993"/>
    <n v="1108.3600000000001"/>
    <n v="47256.989999999991"/>
    <n v="46876.15"/>
    <n v="0"/>
    <n v="228.44999999999993"/>
    <n v="380.83999999998923"/>
    <n v="0"/>
    <n v="0"/>
    <n v="0"/>
    <n v="46648"/>
    <n v="0"/>
    <n v="0"/>
    <n v="0"/>
    <n v="0"/>
  </r>
  <r>
    <x v="646"/>
    <s v="HENHA"/>
    <s v="MPG"/>
    <s v="Direct"/>
    <n v="2193.6999999999998"/>
    <n v="85504.49"/>
    <n v="2525.6"/>
    <n v="111631.55999999998"/>
    <n v="23.699999999999996"/>
    <n v="1286.0899999999999"/>
    <n v="2549.2999999999997"/>
    <n v="112917.64999999998"/>
    <n v="85504.49"/>
    <n v="0"/>
    <n v="1286.0899999999999"/>
    <n v="27413.159999999974"/>
    <n v="0"/>
    <n v="0"/>
    <n v="0"/>
    <n v="84218"/>
    <n v="0"/>
    <n v="0"/>
    <n v="0"/>
    <n v="0"/>
  </r>
  <r>
    <x v="647"/>
    <s v="Suddh Dairy"/>
    <s v="vlc"/>
    <s v="Indirect"/>
    <n v="27850"/>
    <n v="1015675"/>
    <n v="0"/>
    <n v="0"/>
    <n v="0"/>
    <n v="0"/>
    <n v="0"/>
    <n v="0"/>
    <n v="1015675"/>
    <n v="0"/>
    <n v="0"/>
    <n v="0"/>
    <n v="0"/>
    <n v="0"/>
    <n v="0"/>
    <n v="0"/>
    <n v="0"/>
    <n v="1015675"/>
    <n v="0"/>
    <n v="0"/>
  </r>
  <r>
    <x v="648"/>
    <s v="Anik Kumar"/>
    <s v="vlc"/>
    <s v="Indirect"/>
    <n v="5239"/>
    <n v="213512.57"/>
    <n v="0"/>
    <n v="0"/>
    <n v="0"/>
    <n v="0"/>
    <n v="0"/>
    <n v="0"/>
    <n v="213512.57"/>
    <n v="0"/>
    <n v="0"/>
    <n v="0"/>
    <n v="0"/>
    <n v="0"/>
    <n v="0"/>
    <n v="0"/>
    <n v="0"/>
    <n v="213512.57"/>
    <n v="0"/>
    <n v="0"/>
  </r>
  <r>
    <x v="649"/>
    <s v="Nand Kishor Kumar"/>
    <s v="MPG"/>
    <s v="Indirect"/>
    <n v="20310"/>
    <n v="779286.27"/>
    <n v="0"/>
    <n v="0"/>
    <n v="0"/>
    <n v="0"/>
    <n v="0"/>
    <n v="0"/>
    <n v="779286.27"/>
    <n v="0"/>
    <n v="0"/>
    <n v="0"/>
    <n v="0"/>
    <n v="0"/>
    <n v="0"/>
    <n v="0"/>
    <n v="0"/>
    <n v="779286.27"/>
    <n v="0"/>
    <n v="0"/>
  </r>
  <r>
    <x v="650"/>
    <s v="Gomukh CHANDAULI"/>
    <s v="MPG"/>
    <s v="Direct"/>
    <n v="1386.7999999999995"/>
    <n v="58280.280000000013"/>
    <n v="1374.74"/>
    <n v="57976.73000000001"/>
    <n v="6.91"/>
    <n v="300.55"/>
    <n v="1381.65"/>
    <n v="58277.280000000013"/>
    <n v="58277.280000000013"/>
    <n v="0"/>
    <n v="300.55"/>
    <n v="0"/>
    <n v="0"/>
    <n v="0"/>
    <n v="0"/>
    <n v="57977"/>
    <n v="0"/>
    <n v="0"/>
    <n v="3"/>
    <n v="0"/>
  </r>
  <r>
    <x v="651"/>
    <s v="GOMUKH HATHA"/>
    <s v="MPG"/>
    <s v="Direct"/>
    <n v="1874.6000000000004"/>
    <n v="74126.960000000006"/>
    <n v="1878.01"/>
    <n v="73786.569999999978"/>
    <n v="8.31"/>
    <n v="337.47"/>
    <n v="1886.32"/>
    <n v="74124.039999999979"/>
    <n v="74124.039999999979"/>
    <n v="0"/>
    <n v="337.47"/>
    <n v="0"/>
    <n v="15862"/>
    <n v="0"/>
    <n v="0"/>
    <n v="57925"/>
    <n v="0"/>
    <n v="0"/>
    <n v="2"/>
    <n v="0"/>
  </r>
  <r>
    <x v="652"/>
    <s v="GOMUKH VADEYA"/>
    <s v="MPG"/>
    <s v="Direct"/>
    <n v="1053.1500000000001"/>
    <n v="45816.200000000004"/>
    <n v="1027.52"/>
    <n v="45385.919999999991"/>
    <n v="9.16"/>
    <n v="427.42"/>
    <n v="1036.68"/>
    <n v="45813.339999999989"/>
    <n v="45813.339999999989"/>
    <n v="0"/>
    <n v="427.42"/>
    <n v="0"/>
    <n v="0"/>
    <n v="0"/>
    <n v="0"/>
    <n v="45385"/>
    <n v="0"/>
    <n v="0"/>
    <n v="4"/>
    <n v="0"/>
  </r>
  <r>
    <x v="653"/>
    <s v="GOMUKH CHANDPURA"/>
    <s v="MPG"/>
    <s v="Direct"/>
    <n v="684.6"/>
    <n v="32072.739999999998"/>
    <n v="671.83"/>
    <n v="31923.710000000003"/>
    <n v="3.3200000000000003"/>
    <n v="146.34"/>
    <n v="675.15000000000009"/>
    <n v="32070.050000000003"/>
    <n v="32070.050000000003"/>
    <n v="0"/>
    <n v="146.34"/>
    <n v="0"/>
    <n v="0"/>
    <n v="0"/>
    <n v="0"/>
    <n v="31926"/>
    <n v="0"/>
    <n v="0"/>
    <n v="0"/>
    <n v="0"/>
  </r>
  <r>
    <x v="654"/>
    <s v="GOMUKH BARGAMA"/>
    <s v="MPG"/>
    <s v="Direct"/>
    <n v="1302.8000000000004"/>
    <n v="61306.419999999991"/>
    <n v="1278.82"/>
    <n v="58049.369999999981"/>
    <n v="45.29"/>
    <n v="3018.83"/>
    <n v="1324.11"/>
    <n v="61068.199999999983"/>
    <n v="61068.199999999983"/>
    <n v="0"/>
    <n v="3018.83"/>
    <n v="0"/>
    <n v="1400"/>
    <n v="0"/>
    <n v="0"/>
    <n v="56645"/>
    <n v="0"/>
    <n v="0"/>
    <n v="243"/>
    <n v="0"/>
  </r>
  <r>
    <x v="655"/>
    <s v="Gomukh Gograha Tola"/>
    <s v="MPG"/>
    <s v="Direct"/>
    <n v="476.7999999999999"/>
    <n v="21532.089999999997"/>
    <n v="473.53"/>
    <n v="21529.339999999997"/>
    <n v="0"/>
    <n v="0"/>
    <n v="473.53"/>
    <n v="21529.339999999997"/>
    <n v="21529.339999999997"/>
    <n v="0"/>
    <n v="0"/>
    <n v="0"/>
    <n v="1167"/>
    <n v="0"/>
    <n v="0"/>
    <n v="20362"/>
    <n v="0"/>
    <n v="0"/>
    <n v="3"/>
    <n v="0"/>
  </r>
  <r>
    <x v="656"/>
    <s v="Gomukh Patsara"/>
    <s v="MPG"/>
    <s v="Direct"/>
    <n v="388.44999999999987"/>
    <n v="17580.75"/>
    <n v="378.33000000000004"/>
    <n v="17276.890000000003"/>
    <n v="3.9499999999999993"/>
    <n v="165.59"/>
    <n v="382.28000000000003"/>
    <n v="17442.480000000003"/>
    <n v="17442.480000000003"/>
    <n v="0"/>
    <n v="165.59"/>
    <n v="0"/>
    <n v="0"/>
    <n v="0"/>
    <n v="0"/>
    <n v="17276"/>
    <n v="0"/>
    <n v="0"/>
    <n v="139"/>
    <n v="0"/>
  </r>
  <r>
    <x v="657"/>
    <s v="Gomukh Singhiya"/>
    <s v="vlc"/>
    <s v="Indirect"/>
    <n v="5880.75"/>
    <n v="242053.59000000003"/>
    <n v="0"/>
    <n v="0"/>
    <n v="0"/>
    <n v="0"/>
    <n v="0"/>
    <n v="0"/>
    <n v="242053.59000000003"/>
    <n v="0"/>
    <n v="0"/>
    <n v="0"/>
    <n v="0"/>
    <n v="0"/>
    <n v="0"/>
    <n v="0"/>
    <n v="0"/>
    <n v="242053.59000000003"/>
    <n v="0"/>
    <n v="0"/>
  </r>
  <r>
    <x v="658"/>
    <s v="Gomukh BALHA "/>
    <s v="vlc"/>
    <s v="Indirect"/>
    <n v="3138.1500000000005"/>
    <n v="134179.96"/>
    <n v="0"/>
    <n v="0"/>
    <n v="0"/>
    <n v="0"/>
    <n v="0"/>
    <n v="0"/>
    <n v="134179.96"/>
    <n v="0"/>
    <n v="0"/>
    <n v="0"/>
    <n v="0"/>
    <n v="0"/>
    <n v="0"/>
    <n v="0"/>
    <n v="0"/>
    <n v="134179.96"/>
    <n v="0"/>
    <n v="0"/>
  </r>
  <r>
    <x v="659"/>
    <s v="Gomukh Namapur 2"/>
    <s v="vlc"/>
    <s v="Indirect"/>
    <n v="1627.15"/>
    <n v="61724.270000000004"/>
    <n v="0"/>
    <n v="0"/>
    <n v="0"/>
    <n v="0"/>
    <n v="0"/>
    <n v="0"/>
    <n v="61724.270000000004"/>
    <n v="0"/>
    <n v="0"/>
    <n v="0"/>
    <n v="0"/>
    <n v="0"/>
    <n v="0"/>
    <n v="0"/>
    <n v="0"/>
    <n v="61724.270000000004"/>
    <n v="0"/>
    <n v="0"/>
  </r>
  <r>
    <x v="660"/>
    <s v="Gomukh Madhopur"/>
    <s v="vlc"/>
    <s v="Indirect"/>
    <n v="749.65"/>
    <n v="31180.81"/>
    <n v="0"/>
    <n v="0"/>
    <n v="0"/>
    <n v="0"/>
    <n v="0"/>
    <n v="0"/>
    <n v="31180.81"/>
    <n v="0"/>
    <n v="0"/>
    <n v="0"/>
    <n v="0"/>
    <n v="0"/>
    <n v="0"/>
    <n v="0"/>
    <n v="0"/>
    <n v="31180.81"/>
    <n v="0"/>
    <n v="0"/>
  </r>
  <r>
    <x v="661"/>
    <s v="Gomukh Kalyanpur East"/>
    <s v="vlc"/>
    <s v="Indirect"/>
    <n v="866.95"/>
    <n v="34486.799999999996"/>
    <n v="0"/>
    <n v="0"/>
    <n v="0"/>
    <n v="0"/>
    <n v="0"/>
    <n v="0"/>
    <n v="34486.799999999996"/>
    <n v="0"/>
    <n v="0"/>
    <n v="0"/>
    <n v="0"/>
    <n v="0"/>
    <n v="0"/>
    <n v="0"/>
    <n v="0"/>
    <n v="34486.799999999996"/>
    <n v="0"/>
    <n v="0"/>
  </r>
  <r>
    <x v="662"/>
    <s v="Gomukh Bazidpur"/>
    <s v="vlc"/>
    <s v="Indirect"/>
    <n v="2421.0500000000002"/>
    <n v="108381.53"/>
    <n v="0"/>
    <n v="0"/>
    <n v="0"/>
    <n v="0"/>
    <n v="0"/>
    <n v="0"/>
    <n v="108381.53"/>
    <n v="0"/>
    <n v="0"/>
    <n v="0"/>
    <n v="1550"/>
    <n v="0"/>
    <n v="0"/>
    <n v="0"/>
    <n v="0"/>
    <n v="106831.53"/>
    <n v="0"/>
    <n v="0"/>
  </r>
  <r>
    <x v="663"/>
    <s v="Gomukh Belsandi"/>
    <s v="vlc"/>
    <s v="Indirect"/>
    <n v="909.85"/>
    <n v="36529.94"/>
    <n v="0"/>
    <n v="0"/>
    <n v="0"/>
    <n v="0"/>
    <n v="0"/>
    <n v="0"/>
    <n v="36529.94"/>
    <n v="0"/>
    <n v="0"/>
    <n v="0"/>
    <n v="0"/>
    <n v="0"/>
    <n v="0"/>
    <n v="0"/>
    <n v="0"/>
    <n v="36529.94"/>
    <n v="0"/>
    <n v="0"/>
  </r>
  <r>
    <x v="984"/>
    <s v="Gomukh Namapur Ward 8"/>
    <s v="vlc"/>
    <s v="Indirect"/>
    <n v="1619.4"/>
    <n v="67435.7"/>
    <n v="0"/>
    <n v="0"/>
    <n v="0"/>
    <n v="0"/>
    <n v="0"/>
    <n v="0"/>
    <n v="67435.7"/>
    <n v="0"/>
    <n v="0"/>
    <n v="0"/>
    <n v="0"/>
    <n v="0"/>
    <n v="0"/>
    <n v="0"/>
    <n v="0"/>
    <n v="67435.7"/>
    <n v="0"/>
    <n v="0"/>
  </r>
  <r>
    <x v="664"/>
    <s v="Belsandi"/>
    <s v="vlc"/>
    <s v="Indirect"/>
    <n v="357.65"/>
    <n v="15454.11"/>
    <n v="0"/>
    <n v="0"/>
    <n v="0"/>
    <n v="0"/>
    <n v="0"/>
    <n v="0"/>
    <n v="15454.11"/>
    <n v="0"/>
    <n v="0"/>
    <n v="0"/>
    <n v="0"/>
    <n v="0"/>
    <n v="0"/>
    <n v="0"/>
    <n v="0"/>
    <n v="15454.11"/>
    <n v="0"/>
    <n v="0"/>
  </r>
  <r>
    <x v="665"/>
    <s v="Gomukh Belsandi East"/>
    <s v="vlc"/>
    <s v="Indirect"/>
    <n v="1143.2999999999997"/>
    <n v="47832.280000000006"/>
    <n v="0"/>
    <n v="0"/>
    <n v="0"/>
    <n v="0"/>
    <n v="0"/>
    <n v="0"/>
    <n v="47832.280000000006"/>
    <n v="0"/>
    <n v="0"/>
    <n v="0"/>
    <n v="0"/>
    <n v="0"/>
    <n v="0"/>
    <n v="0"/>
    <n v="0"/>
    <n v="47832.280000000006"/>
    <n v="0"/>
    <n v="0"/>
  </r>
  <r>
    <x v="666"/>
    <s v="Gomukh Belsandi West Tola"/>
    <s v="vlc"/>
    <s v="Indirect"/>
    <n v="298.35000000000002"/>
    <n v="11951.81"/>
    <n v="0"/>
    <n v="0"/>
    <n v="0"/>
    <n v="0"/>
    <n v="0"/>
    <n v="0"/>
    <n v="11951.81"/>
    <n v="0"/>
    <n v="0"/>
    <n v="0"/>
    <n v="0"/>
    <n v="0"/>
    <n v="0"/>
    <n v="0"/>
    <n v="0"/>
    <n v="11951.81"/>
    <n v="0"/>
    <n v="0"/>
  </r>
  <r>
    <x v="667"/>
    <s v="Gomukh Gopalpur"/>
    <s v="vlc"/>
    <s v="Indirect"/>
    <n v="3378.8499999999995"/>
    <n v="140845.4"/>
    <n v="0"/>
    <n v="0"/>
    <n v="0"/>
    <n v="0"/>
    <n v="0"/>
    <n v="0"/>
    <n v="140845.4"/>
    <n v="0"/>
    <n v="0"/>
    <n v="0"/>
    <n v="1550"/>
    <n v="0"/>
    <n v="0"/>
    <n v="0"/>
    <n v="0"/>
    <n v="139295.4"/>
    <n v="0"/>
    <n v="0"/>
  </r>
  <r>
    <x v="668"/>
    <s v="Gomukh Bharav"/>
    <s v="MPG"/>
    <s v="Direct"/>
    <n v="571.40000000000009"/>
    <n v="28311.360000000001"/>
    <n v="574.56999999999994"/>
    <n v="27812.560000000005"/>
    <n v="5.24"/>
    <n v="239.60999999999999"/>
    <n v="579.80999999999995"/>
    <n v="28052.170000000006"/>
    <n v="28052.170000000006"/>
    <n v="0"/>
    <n v="239.60999999999999"/>
    <n v="0"/>
    <n v="4952.5"/>
    <n v="0"/>
    <n v="0"/>
    <n v="22860"/>
    <n v="0"/>
    <n v="0"/>
    <n v="259"/>
    <n v="0"/>
  </r>
  <r>
    <x v="669"/>
    <s v="Gomukh Harpur"/>
    <s v="MPG"/>
    <s v="Direct"/>
    <n v="776.45"/>
    <n v="35461.939999999995"/>
    <n v="766.63"/>
    <n v="34726.479999999996"/>
    <n v="14.11"/>
    <n v="616.54999999999995"/>
    <n v="780.74"/>
    <n v="35343.03"/>
    <n v="35343.03"/>
    <n v="0"/>
    <n v="616.54999999999995"/>
    <n v="0"/>
    <n v="3135"/>
    <n v="0"/>
    <n v="0"/>
    <n v="31590"/>
    <n v="0"/>
    <n v="0"/>
    <n v="120"/>
    <n v="0"/>
  </r>
  <r>
    <x v="670"/>
    <s v="Gomukh Fulhatta"/>
    <s v="MPG"/>
    <s v="Direct"/>
    <n v="1875.8999999999999"/>
    <n v="95860.010000000009"/>
    <n v="1866.6299999999999"/>
    <n v="95856.959999999992"/>
    <n v="0"/>
    <n v="0"/>
    <n v="1866.6299999999999"/>
    <n v="95856.959999999992"/>
    <n v="95856.959999999992"/>
    <n v="0"/>
    <n v="0"/>
    <n v="0"/>
    <n v="5729"/>
    <n v="0"/>
    <n v="0"/>
    <n v="90131"/>
    <n v="0"/>
    <n v="0"/>
    <n v="0"/>
    <n v="0"/>
  </r>
  <r>
    <x v="671"/>
    <s v="Gomukh Birauli Khurd"/>
    <s v="MPG"/>
    <s v="Direct"/>
    <n v="783.65000000000009"/>
    <n v="38075.399999999994"/>
    <n v="786.96999999999991"/>
    <n v="36803.760000000002"/>
    <n v="27.69"/>
    <n v="1264.2599999999998"/>
    <n v="814.66"/>
    <n v="38068.020000000004"/>
    <n v="38068.020000000004"/>
    <n v="0"/>
    <n v="1264.2599999999998"/>
    <n v="0"/>
    <n v="0"/>
    <n v="0"/>
    <n v="0"/>
    <n v="36802"/>
    <n v="0"/>
    <n v="0"/>
    <n v="9"/>
    <n v="0"/>
  </r>
  <r>
    <x v="672"/>
    <s v="Gomukh Bedauliya"/>
    <s v="vlc"/>
    <s v="Indirect"/>
    <n v="667.05"/>
    <n v="27078.370000000003"/>
    <n v="0"/>
    <n v="0"/>
    <n v="0"/>
    <n v="0"/>
    <n v="0"/>
    <n v="0"/>
    <n v="27078.370000000003"/>
    <n v="0"/>
    <n v="0"/>
    <n v="0"/>
    <n v="1550"/>
    <n v="0"/>
    <n v="0"/>
    <n v="0"/>
    <n v="0"/>
    <n v="25528.370000000003"/>
    <n v="0"/>
    <n v="0"/>
  </r>
  <r>
    <x v="673"/>
    <s v="Gomukh Khanua"/>
    <s v="MPG"/>
    <s v="Direct"/>
    <n v="561.1"/>
    <n v="27101.76999999999"/>
    <n v="564.32999999999993"/>
    <n v="25888.54"/>
    <n v="26.54"/>
    <n v="1174.6399999999999"/>
    <n v="590.86999999999989"/>
    <n v="27063.18"/>
    <n v="27063.18"/>
    <n v="0"/>
    <n v="1174.6399999999999"/>
    <n v="0"/>
    <n v="1400"/>
    <n v="0"/>
    <n v="0"/>
    <n v="24489"/>
    <n v="0"/>
    <n v="0"/>
    <n v="38"/>
    <n v="0"/>
  </r>
  <r>
    <x v="674"/>
    <s v="Gomukh Punas"/>
    <s v="MPG"/>
    <s v="Direct"/>
    <n v="1377.0000000000002"/>
    <n v="65196.88"/>
    <n v="1391.58"/>
    <n v="64362.069999999992"/>
    <n v="17.350000000000001"/>
    <n v="801.9799999999999"/>
    <n v="1408.9299999999998"/>
    <n v="65164.049999999996"/>
    <n v="65164.049999999996"/>
    <n v="0"/>
    <n v="801.9799999999999"/>
    <n v="0"/>
    <n v="0"/>
    <n v="0"/>
    <n v="0"/>
    <n v="64364"/>
    <n v="0"/>
    <n v="0"/>
    <n v="31"/>
    <n v="0"/>
  </r>
  <r>
    <x v="675"/>
    <s v="Gomukh Loharkha"/>
    <s v="MPG"/>
    <s v="Direct"/>
    <n v="324.5"/>
    <n v="16213.05"/>
    <n v="305.5"/>
    <n v="16210.329999999998"/>
    <n v="0"/>
    <n v="0"/>
    <n v="305.5"/>
    <n v="16210.329999999998"/>
    <n v="16210.329999999998"/>
    <n v="0"/>
    <n v="0"/>
    <n v="0"/>
    <n v="0"/>
    <n v="0"/>
    <n v="0"/>
    <n v="16209"/>
    <n v="0"/>
    <n v="0"/>
    <n v="4"/>
    <n v="0"/>
  </r>
  <r>
    <x v="676"/>
    <s v="Gomukh Dighra"/>
    <s v="MPG"/>
    <s v="Direct"/>
    <n v="326.90000000000003"/>
    <n v="11241.51"/>
    <n v="306.5"/>
    <n v="11023.12"/>
    <n v="5.8699999999999992"/>
    <n v="211.80999999999997"/>
    <n v="312.37"/>
    <n v="11234.93"/>
    <n v="11234.93"/>
    <n v="0"/>
    <n v="211.80999999999997"/>
    <n v="0"/>
    <n v="3200"/>
    <n v="0"/>
    <n v="0"/>
    <n v="7824"/>
    <n v="0"/>
    <n v="0"/>
    <n v="6"/>
    <n v="0"/>
  </r>
  <r>
    <x v="677"/>
    <s v="Basuwari"/>
    <s v="MPG"/>
    <s v="Direct"/>
    <n v="266.45000000000005"/>
    <n v="10733.439999999997"/>
    <n v="263.14"/>
    <n v="10534.460000000001"/>
    <n v="3.98"/>
    <n v="195.14999999999998"/>
    <n v="267.12"/>
    <n v="10729.61"/>
    <n v="10729.61"/>
    <n v="0"/>
    <n v="195.14999999999998"/>
    <n v="0"/>
    <n v="0"/>
    <n v="0"/>
    <n v="0"/>
    <n v="10534"/>
    <n v="0"/>
    <n v="0"/>
    <n v="4"/>
    <n v="0"/>
  </r>
  <r>
    <x v="678"/>
    <s v="Belsandi 3"/>
    <s v="vlc"/>
    <s v="Indirect"/>
    <n v="2153.3999999999996"/>
    <n v="86011.290000000008"/>
    <n v="0"/>
    <n v="0"/>
    <n v="0"/>
    <n v="0"/>
    <n v="0"/>
    <n v="0"/>
    <n v="86011.290000000008"/>
    <n v="0"/>
    <n v="0"/>
    <n v="0"/>
    <n v="0"/>
    <n v="0"/>
    <n v="0"/>
    <n v="0"/>
    <n v="0"/>
    <n v="86011.290000000008"/>
    <n v="0"/>
    <n v="0"/>
  </r>
  <r>
    <x v="679"/>
    <s v="Gomukh Bhagwanpur"/>
    <s v="vlc"/>
    <s v="Indirect"/>
    <n v="231.7"/>
    <n v="11630.18"/>
    <n v="0"/>
    <n v="0"/>
    <n v="0"/>
    <n v="0"/>
    <n v="0"/>
    <n v="0"/>
    <n v="11630.18"/>
    <n v="0"/>
    <n v="0"/>
    <n v="0"/>
    <n v="0"/>
    <n v="0"/>
    <n v="0"/>
    <n v="0"/>
    <n v="0"/>
    <n v="11630.18"/>
    <n v="0"/>
    <n v="0"/>
  </r>
  <r>
    <x v="985"/>
    <s v="Gomukh PARAN"/>
    <s v="vlc"/>
    <s v="Indirect"/>
    <n v="3420.5"/>
    <n v="145668.75999999998"/>
    <n v="0"/>
    <n v="0"/>
    <n v="0"/>
    <n v="0"/>
    <n v="0"/>
    <n v="0"/>
    <n v="145668.75999999998"/>
    <n v="0"/>
    <n v="0"/>
    <n v="0"/>
    <n v="0"/>
    <n v="0"/>
    <n v="0"/>
    <n v="0"/>
    <n v="0"/>
    <n v="145668.75999999998"/>
    <n v="0"/>
    <n v="0"/>
  </r>
  <r>
    <x v="681"/>
    <s v="GOMUKH HARPUR W-13"/>
    <s v="MPG"/>
    <s v="Direct"/>
    <n v="1765.2"/>
    <n v="73243.339999999982"/>
    <n v="1725.1000000000004"/>
    <n v="72044.28"/>
    <n v="28.240000000000002"/>
    <n v="1181.8399999999999"/>
    <n v="1753.3400000000004"/>
    <n v="73226.12"/>
    <n v="73226.12"/>
    <n v="0"/>
    <n v="1181.8399999999999"/>
    <n v="0"/>
    <n v="1885"/>
    <n v="0"/>
    <n v="0"/>
    <n v="70160"/>
    <n v="0"/>
    <n v="0"/>
    <n v="16"/>
    <n v="0"/>
  </r>
  <r>
    <x v="682"/>
    <s v="GOMUKH MILKI"/>
    <s v="vlc"/>
    <s v="Indirect"/>
    <n v="52.9"/>
    <n v="2398.4"/>
    <n v="0"/>
    <n v="0"/>
    <n v="0"/>
    <n v="0"/>
    <n v="0"/>
    <n v="0"/>
    <n v="2398.4"/>
    <n v="0"/>
    <n v="0"/>
    <n v="0"/>
    <n v="0"/>
    <n v="0"/>
    <n v="0"/>
    <n v="0"/>
    <n v="0"/>
    <n v="2398.4"/>
    <n v="0"/>
    <n v="0"/>
  </r>
  <r>
    <x v="683"/>
    <s v="Gomukh Ratwara"/>
    <s v="MPG"/>
    <s v="Direct"/>
    <n v="143.4"/>
    <n v="5369.63"/>
    <n v="144.86999999999998"/>
    <n v="5296.5400000000009"/>
    <n v="0"/>
    <n v="0"/>
    <n v="144.86999999999998"/>
    <n v="5296.5400000000009"/>
    <n v="5296.5400000000009"/>
    <n v="0"/>
    <n v="0"/>
    <n v="0"/>
    <n v="0"/>
    <n v="500"/>
    <n v="0"/>
    <n v="4797"/>
    <n v="0"/>
    <n v="0"/>
    <n v="73"/>
    <n v="0"/>
  </r>
  <r>
    <x v="684"/>
    <s v="Gomukh Fulhara"/>
    <s v="vlc"/>
    <s v="Indirect"/>
    <n v="1865.55"/>
    <n v="84113.09"/>
    <n v="0"/>
    <n v="0"/>
    <n v="0"/>
    <n v="0"/>
    <n v="0"/>
    <n v="0"/>
    <n v="84113.09"/>
    <n v="0"/>
    <n v="0"/>
    <n v="0"/>
    <n v="0"/>
    <n v="0"/>
    <n v="0"/>
    <n v="0"/>
    <n v="0"/>
    <n v="84113.09"/>
    <n v="0"/>
    <n v="0"/>
  </r>
  <r>
    <x v="685"/>
    <s v="Gomukh Ranitola"/>
    <s v="vlc"/>
    <s v="Indirect"/>
    <n v="695.19999999999993"/>
    <n v="31874.370000000003"/>
    <n v="0"/>
    <n v="0"/>
    <n v="0"/>
    <n v="0"/>
    <n v="0"/>
    <n v="0"/>
    <n v="31874.370000000003"/>
    <n v="0"/>
    <n v="0"/>
    <n v="0"/>
    <n v="0"/>
    <n v="0"/>
    <n v="0"/>
    <n v="0"/>
    <n v="0"/>
    <n v="31874.370000000003"/>
    <n v="0"/>
    <n v="0"/>
  </r>
  <r>
    <x v="686"/>
    <s v="Gomukh Malinagar East"/>
    <s v="MPG"/>
    <s v="Direct"/>
    <n v="1182.8499999999999"/>
    <n v="51321.79"/>
    <n v="1183.8699999999999"/>
    <n v="51011.65"/>
    <n v="6.0000000000000009"/>
    <n v="281.65000000000003"/>
    <n v="1189.8699999999999"/>
    <n v="51293.3"/>
    <n v="51293.3"/>
    <n v="0"/>
    <n v="281.65000000000003"/>
    <n v="0"/>
    <n v="0"/>
    <n v="0"/>
    <n v="0"/>
    <n v="51011"/>
    <n v="0"/>
    <n v="0"/>
    <n v="29"/>
    <n v="0"/>
  </r>
  <r>
    <x v="687"/>
    <s v="GOMUKH Singhiya Ward 11"/>
    <s v="vlc"/>
    <s v="Indirect"/>
    <n v="129.94999999999999"/>
    <n v="6010.64"/>
    <n v="0"/>
    <n v="0"/>
    <n v="0"/>
    <n v="0"/>
    <n v="0"/>
    <n v="0"/>
    <n v="6010.64"/>
    <n v="0"/>
    <n v="0"/>
    <n v="0"/>
    <n v="3100"/>
    <n v="0"/>
    <n v="0"/>
    <n v="0"/>
    <n v="0"/>
    <n v="2910.6400000000003"/>
    <n v="0"/>
    <n v="0"/>
  </r>
  <r>
    <x v="688"/>
    <s v="GOMUKH MANIYARPUR"/>
    <s v="MPG"/>
    <s v="Direct"/>
    <n v="1181.4500000000003"/>
    <n v="51450.100000000013"/>
    <n v="1179.7299999999998"/>
    <n v="49468.869999999981"/>
    <n v="35.250000000000007"/>
    <n v="1544.2599999999995"/>
    <n v="1214.9799999999998"/>
    <n v="51013.129999999983"/>
    <n v="51013.129999999983"/>
    <n v="0"/>
    <n v="1544.2599999999995"/>
    <n v="0"/>
    <n v="0"/>
    <n v="0"/>
    <n v="0"/>
    <n v="49471"/>
    <n v="0"/>
    <n v="0"/>
    <n v="435"/>
    <n v="0"/>
  </r>
  <r>
    <x v="689"/>
    <s v="GOMUKH DIGHRA W-6"/>
    <s v="MPG"/>
    <s v="Direct"/>
    <n v="1108.55"/>
    <n v="43960.09"/>
    <n v="1099.7399999999998"/>
    <n v="43307.97"/>
    <n v="11.92"/>
    <n v="524.21"/>
    <n v="1111.6599999999999"/>
    <n v="43832.18"/>
    <n v="43832.18"/>
    <n v="0"/>
    <n v="524.21"/>
    <n v="0"/>
    <n v="9300"/>
    <n v="0"/>
    <n v="0"/>
    <n v="34007"/>
    <n v="0"/>
    <n v="0"/>
    <n v="129"/>
    <n v="0"/>
  </r>
  <r>
    <x v="690"/>
    <s v="GOMUKH BANDRA W-6"/>
    <s v="MPG"/>
    <s v="Direct"/>
    <n v="457.84999999999997"/>
    <n v="20469.309999999998"/>
    <n v="468.78000000000003"/>
    <n v="20217.770000000004"/>
    <n v="5.59"/>
    <n v="242.37"/>
    <n v="474.37"/>
    <n v="20460.140000000003"/>
    <n v="20460.140000000003"/>
    <n v="0"/>
    <n v="242.37"/>
    <n v="0"/>
    <n v="0"/>
    <n v="0"/>
    <n v="0"/>
    <n v="20217"/>
    <n v="0"/>
    <n v="0"/>
    <n v="10"/>
    <n v="0"/>
  </r>
  <r>
    <x v="691"/>
    <s v="BELSANDI W-9"/>
    <s v="vlc"/>
    <s v="Indirect"/>
    <n v="135.80000000000001"/>
    <n v="6096.61"/>
    <n v="0"/>
    <n v="0"/>
    <n v="0"/>
    <n v="0"/>
    <n v="0"/>
    <n v="0"/>
    <n v="6096.61"/>
    <n v="0"/>
    <n v="0"/>
    <n v="0"/>
    <n v="0"/>
    <n v="0"/>
    <n v="0"/>
    <n v="0"/>
    <n v="0"/>
    <n v="6096.61"/>
    <n v="0"/>
    <n v="0"/>
  </r>
  <r>
    <x v="692"/>
    <s v="GOMUKH PARAN 2"/>
    <s v="MPG"/>
    <s v="Direct"/>
    <n v="285.5"/>
    <n v="14360.730000000003"/>
    <n v="293.55"/>
    <n v="14057.859999999999"/>
    <n v="5.84"/>
    <n v="298.56"/>
    <n v="299.39"/>
    <n v="14356.419999999998"/>
    <n v="14356.419999999998"/>
    <n v="0"/>
    <n v="298.56"/>
    <n v="0"/>
    <n v="1366"/>
    <n v="500"/>
    <n v="0"/>
    <n v="12191"/>
    <n v="0"/>
    <n v="0"/>
    <n v="5"/>
    <n v="0"/>
  </r>
  <r>
    <x v="693"/>
    <s v="GOMUKH KHARAGPUR"/>
    <s v="MPG"/>
    <s v="Direct"/>
    <n v="495.34999999999997"/>
    <n v="23372.699999999997"/>
    <n v="485.52000000000004"/>
    <n v="23370.87"/>
    <n v="0"/>
    <n v="0"/>
    <n v="485.52000000000004"/>
    <n v="23370.87"/>
    <n v="23370.87"/>
    <n v="0"/>
    <n v="0"/>
    <n v="0"/>
    <n v="0"/>
    <n v="0"/>
    <n v="0"/>
    <n v="23371"/>
    <n v="0"/>
    <n v="0"/>
    <n v="2"/>
    <n v="0"/>
  </r>
  <r>
    <x v="694"/>
    <s v="KAMARGAMA"/>
    <s v="vlc"/>
    <s v="Indirect"/>
    <n v="622.70000000000005"/>
    <n v="38174.53"/>
    <n v="0"/>
    <n v="0"/>
    <n v="0"/>
    <n v="0"/>
    <n v="0"/>
    <n v="0"/>
    <n v="38174.53"/>
    <n v="0"/>
    <n v="0"/>
    <n v="0"/>
    <n v="0"/>
    <n v="0"/>
    <n v="0"/>
    <n v="0"/>
    <n v="0"/>
    <n v="38174.53"/>
    <n v="0"/>
    <n v="0"/>
  </r>
  <r>
    <x v="695"/>
    <s v="GOMUKH BALAHA W-9"/>
    <s v="MPG"/>
    <s v="Direct"/>
    <n v="778.05000000000007"/>
    <n v="33114.049999999996"/>
    <n v="763.75000000000011"/>
    <n v="32205.240000000005"/>
    <n v="15.17"/>
    <n v="615.0300000000002"/>
    <n v="778.92000000000007"/>
    <n v="32820.270000000004"/>
    <n v="32820.270000000004"/>
    <n v="0"/>
    <n v="615.0300000000002"/>
    <n v="0"/>
    <n v="0"/>
    <n v="0"/>
    <n v="0"/>
    <n v="32204"/>
    <n v="0"/>
    <n v="0"/>
    <n v="295"/>
    <n v="0"/>
  </r>
  <r>
    <x v="697"/>
    <s v="GOMUKH Madanpur W-3"/>
    <s v="MPG"/>
    <s v="Direct"/>
    <n v="2413.4500000000007"/>
    <n v="116052.84"/>
    <n v="2387.4899999999998"/>
    <n v="113193.5"/>
    <n v="30.45"/>
    <n v="1371.93"/>
    <n v="2417.9399999999996"/>
    <n v="114565.43"/>
    <n v="114565.43"/>
    <n v="0"/>
    <n v="1371.93"/>
    <n v="0"/>
    <n v="0"/>
    <n v="0"/>
    <n v="0"/>
    <n v="113193"/>
    <n v="0"/>
    <n v="0"/>
    <n v="1488"/>
    <n v="0"/>
  </r>
  <r>
    <x v="698"/>
    <s v="Gomukh Namapur East (08)"/>
    <s v="vlc"/>
    <s v="Indirect"/>
    <n v="737.9"/>
    <n v="29753.85"/>
    <n v="0"/>
    <n v="0"/>
    <n v="0"/>
    <n v="0"/>
    <n v="0"/>
    <n v="0"/>
    <n v="29753.85"/>
    <n v="0"/>
    <n v="0"/>
    <n v="0"/>
    <n v="910"/>
    <n v="0"/>
    <n v="0"/>
    <n v="0"/>
    <n v="0"/>
    <n v="28843.85"/>
    <n v="0"/>
    <n v="0"/>
  </r>
  <r>
    <x v="699"/>
    <s v="GOMUKH Kalaunjar"/>
    <s v="MPG"/>
    <s v="Direct"/>
    <n v="772.69999999999993"/>
    <n v="33989.479999999996"/>
    <n v="761.00000000000011"/>
    <n v="32348.510000000006"/>
    <n v="36.52000000000001"/>
    <n v="1593.3999999999996"/>
    <n v="797.5200000000001"/>
    <n v="33941.910000000003"/>
    <n v="33941.910000000003"/>
    <n v="0"/>
    <n v="1593.3999999999996"/>
    <n v="0"/>
    <n v="0"/>
    <n v="0"/>
    <n v="0"/>
    <n v="32349"/>
    <n v="0"/>
    <n v="0"/>
    <n v="47"/>
    <n v="0"/>
  </r>
  <r>
    <x v="700"/>
    <s v="Jitwariya W-11"/>
    <s v="vlc"/>
    <s v="Indirect"/>
    <n v="138.9"/>
    <n v="7150.0300000000007"/>
    <n v="0"/>
    <n v="0"/>
    <n v="0"/>
    <n v="0"/>
    <n v="0"/>
    <n v="0"/>
    <n v="7150.0300000000007"/>
    <n v="0"/>
    <n v="0"/>
    <n v="0"/>
    <n v="0"/>
    <n v="0"/>
    <n v="0"/>
    <n v="0"/>
    <n v="0"/>
    <n v="7150.0300000000007"/>
    <n v="0"/>
    <n v="0"/>
  </r>
  <r>
    <x v="701"/>
    <s v="Pastara Lakshman"/>
    <s v="vlc"/>
    <s v="Indirect"/>
    <n v="134.79999999999998"/>
    <n v="4732.26"/>
    <n v="0"/>
    <n v="0"/>
    <n v="0"/>
    <n v="0"/>
    <n v="0"/>
    <n v="0"/>
    <n v="4732.26"/>
    <n v="0"/>
    <n v="0"/>
    <n v="0"/>
    <n v="0"/>
    <n v="0"/>
    <n v="0"/>
    <n v="0"/>
    <n v="0"/>
    <n v="4732.26"/>
    <n v="0"/>
    <n v="0"/>
  </r>
  <r>
    <x v="702"/>
    <s v="GOMUKH DADHIYA-2"/>
    <s v="MPG"/>
    <s v="Direct"/>
    <n v="1591.8999999999999"/>
    <n v="70886.989999999991"/>
    <n v="1583.21"/>
    <n v="68504.849999999991"/>
    <n v="48.949999999999996"/>
    <n v="2230.58"/>
    <n v="1632.16"/>
    <n v="70735.429999999993"/>
    <n v="70735.429999999993"/>
    <n v="0"/>
    <n v="2230.58"/>
    <n v="0"/>
    <n v="0"/>
    <n v="0"/>
    <n v="0"/>
    <n v="68505"/>
    <n v="0"/>
    <n v="0"/>
    <n v="151"/>
    <n v="0"/>
  </r>
  <r>
    <x v="703"/>
    <s v="GOMUKH PREMNAGAR"/>
    <s v="MPG"/>
    <s v="Direct"/>
    <n v="1221.25"/>
    <n v="51105.24"/>
    <n v="1187.4299999999998"/>
    <n v="51024.090000000011"/>
    <n v="1.9100000000000001"/>
    <n v="78.14"/>
    <n v="1189.3399999999999"/>
    <n v="51102.23000000001"/>
    <n v="51102.23000000001"/>
    <n v="0"/>
    <n v="78.14"/>
    <n v="0"/>
    <n v="0"/>
    <n v="0"/>
    <n v="0"/>
    <n v="51024"/>
    <n v="0"/>
    <n v="0"/>
    <n v="3"/>
    <n v="0"/>
  </r>
  <r>
    <x v="704"/>
    <s v="GOMUKH JITWARIYA W-6"/>
    <s v="MPG"/>
    <s v="Direct"/>
    <n v="2395.65"/>
    <n v="96715.299999999974"/>
    <n v="2384.0300000000007"/>
    <n v="95736.639999999999"/>
    <n v="22.300000000000004"/>
    <n v="906.86999999999989"/>
    <n v="2406.3300000000008"/>
    <n v="96643.51"/>
    <n v="96643.51"/>
    <n v="0"/>
    <n v="906.86999999999989"/>
    <n v="0"/>
    <n v="2990.3999999999996"/>
    <n v="0"/>
    <n v="0"/>
    <n v="92743"/>
    <n v="0"/>
    <n v="0"/>
    <n v="75"/>
    <n v="0"/>
  </r>
  <r>
    <x v="705"/>
    <s v="GOMUKH SUSTA"/>
    <s v="MPG"/>
    <s v="Direct"/>
    <n v="610.25"/>
    <n v="27796.559999999998"/>
    <n v="624.79000000000008"/>
    <n v="27793.089999999997"/>
    <n v="0"/>
    <n v="0"/>
    <n v="624.79000000000008"/>
    <n v="27793.089999999997"/>
    <n v="27793.089999999997"/>
    <n v="0"/>
    <n v="0"/>
    <n v="0"/>
    <n v="846"/>
    <n v="0"/>
    <n v="0"/>
    <n v="26946"/>
    <n v="0"/>
    <n v="0"/>
    <n v="5"/>
    <n v="0"/>
  </r>
  <r>
    <x v="706"/>
    <s v="DIH LAHI"/>
    <s v="vlc"/>
    <s v="Indirect"/>
    <n v="1347.3"/>
    <n v="63544.82"/>
    <n v="0"/>
    <n v="0"/>
    <n v="0"/>
    <n v="0"/>
    <n v="0"/>
    <n v="0"/>
    <n v="63544.82"/>
    <n v="0"/>
    <n v="0"/>
    <n v="0"/>
    <n v="0"/>
    <n v="0"/>
    <n v="0"/>
    <n v="0"/>
    <n v="0"/>
    <n v="63544.82"/>
    <n v="0"/>
    <n v="0"/>
  </r>
  <r>
    <x v="707"/>
    <s v="BHATGAMA W-5"/>
    <s v="vlc"/>
    <s v="Indirect"/>
    <n v="428.90000000000003"/>
    <n v="15032.58"/>
    <n v="0"/>
    <n v="0"/>
    <n v="0"/>
    <n v="0"/>
    <n v="0"/>
    <n v="0"/>
    <n v="15032.58"/>
    <n v="0"/>
    <n v="0"/>
    <n v="0"/>
    <n v="0"/>
    <n v="0"/>
    <n v="0"/>
    <n v="0"/>
    <n v="0"/>
    <n v="15032.58"/>
    <n v="0"/>
    <n v="0"/>
  </r>
  <r>
    <x v="708"/>
    <s v="GOMUKH TOKE"/>
    <s v="MPG"/>
    <s v="Direct"/>
    <n v="80.55"/>
    <n v="3335.6899999999996"/>
    <n v="82.100000000000009"/>
    <n v="3325.8900000000003"/>
    <n v="0"/>
    <n v="0"/>
    <n v="82.100000000000009"/>
    <n v="3325.8900000000003"/>
    <n v="3325.8900000000003"/>
    <n v="0"/>
    <n v="0"/>
    <n v="0"/>
    <n v="0"/>
    <n v="0"/>
    <n v="0"/>
    <n v="3327"/>
    <n v="0"/>
    <n v="0"/>
    <n v="9"/>
    <n v="0"/>
  </r>
  <r>
    <x v="709"/>
    <s v="GOMUKH SHIVNAGAR"/>
    <s v="MPG"/>
    <s v="Direct"/>
    <n v="1063.7000000000003"/>
    <n v="44321.13"/>
    <n v="808.3"/>
    <n v="33459.21"/>
    <n v="215.60000000000002"/>
    <n v="10859.07"/>
    <n v="1023.9"/>
    <n v="44318.28"/>
    <n v="44318.28"/>
    <n v="0"/>
    <n v="0"/>
    <n v="0"/>
    <n v="0"/>
    <n v="0"/>
    <n v="0"/>
    <n v="33460"/>
    <n v="10860"/>
    <n v="0"/>
    <n v="1"/>
    <n v="0"/>
  </r>
  <r>
    <x v="710"/>
    <s v="GOMUKH BAKHITIYARPUR"/>
    <s v="MPG"/>
    <s v="Direct"/>
    <n v="1284.4000000000001"/>
    <n v="58538.27"/>
    <n v="1264.9999999999998"/>
    <n v="57108.160000000011"/>
    <n v="32.300000000000004"/>
    <n v="1413.5"/>
    <n v="1297.2999999999997"/>
    <n v="58521.660000000011"/>
    <n v="58521.660000000011"/>
    <n v="0"/>
    <n v="1413.5"/>
    <n v="0"/>
    <n v="6254"/>
    <n v="0"/>
    <n v="0"/>
    <n v="50854"/>
    <n v="0"/>
    <n v="0"/>
    <n v="17"/>
    <n v="0"/>
  </r>
  <r>
    <x v="711"/>
    <s v="Gomukh Bhagwanpur East "/>
    <s v="vlc"/>
    <s v="Indirect"/>
    <n v="484.6"/>
    <n v="19017.100000000002"/>
    <n v="0"/>
    <n v="0"/>
    <n v="0"/>
    <n v="0"/>
    <n v="0"/>
    <n v="0"/>
    <n v="19017.100000000002"/>
    <n v="0"/>
    <n v="0"/>
    <n v="0"/>
    <n v="0"/>
    <n v="0"/>
    <n v="0"/>
    <n v="0"/>
    <n v="0"/>
    <n v="19017.100000000002"/>
    <n v="0"/>
    <n v="0"/>
  </r>
  <r>
    <x v="712"/>
    <s v="GOMUKH BHARJA"/>
    <s v="MPG"/>
    <s v="Direct"/>
    <n v="1755.4"/>
    <n v="89978.890000000014"/>
    <n v="1766.3500000000001"/>
    <n v="89267.21"/>
    <n v="10.44"/>
    <n v="700.32"/>
    <n v="1776.7900000000002"/>
    <n v="89967.530000000013"/>
    <n v="89967.530000000013"/>
    <n v="0"/>
    <n v="700.32"/>
    <n v="0"/>
    <n v="0"/>
    <n v="0"/>
    <n v="0"/>
    <n v="89269"/>
    <n v="0"/>
    <n v="0"/>
    <n v="10"/>
    <n v="0"/>
  </r>
  <r>
    <x v="713"/>
    <s v="GOMUKH NAWABGANJ"/>
    <s v="MPG"/>
    <s v="Direct"/>
    <n v="738.1"/>
    <n v="30430.100000000002"/>
    <n v="730.28000000000009"/>
    <n v="30287.640000000003"/>
    <n v="3.4000000000000004"/>
    <n v="139.38"/>
    <n v="733.68000000000006"/>
    <n v="30427.020000000004"/>
    <n v="30427.020000000004"/>
    <n v="0"/>
    <n v="139.38"/>
    <n v="0"/>
    <n v="6648.3"/>
    <n v="0"/>
    <n v="0"/>
    <n v="23639"/>
    <n v="0"/>
    <n v="0"/>
    <n v="3"/>
    <n v="0"/>
  </r>
  <r>
    <x v="714"/>
    <s v="GOMUKH CHAKKI"/>
    <s v="MPG"/>
    <s v="Direct"/>
    <n v="173.85"/>
    <n v="7599.3899999999994"/>
    <n v="180.79999999999998"/>
    <n v="7557.6100000000006"/>
    <n v="0.89999999999999991"/>
    <n v="37.259999999999991"/>
    <n v="181.7"/>
    <n v="7594.8700000000008"/>
    <n v="7594.8700000000008"/>
    <n v="0"/>
    <n v="37.259999999999991"/>
    <n v="0"/>
    <n v="0"/>
    <n v="0"/>
    <n v="0"/>
    <n v="7557"/>
    <n v="0"/>
    <n v="0"/>
    <n v="5"/>
    <n v="0"/>
  </r>
  <r>
    <x v="715"/>
    <s v="GOMUKH LAKSHMAN NAGAR"/>
    <s v="MPG"/>
    <s v="Direct"/>
    <n v="503.05000000000007"/>
    <n v="22119.01"/>
    <n v="523.87"/>
    <n v="22115.910000000003"/>
    <n v="0"/>
    <n v="0"/>
    <n v="523.87"/>
    <n v="22115.910000000003"/>
    <n v="22115.910000000003"/>
    <n v="0"/>
    <n v="0"/>
    <n v="0"/>
    <n v="1270"/>
    <n v="0"/>
    <n v="0"/>
    <n v="20846"/>
    <n v="0"/>
    <n v="0"/>
    <n v="3"/>
    <n v="0"/>
  </r>
  <r>
    <x v="716"/>
    <s v="GOMUKH KOTHIYA"/>
    <s v="MPG"/>
    <s v="Direct"/>
    <n v="107.30000000000001"/>
    <n v="4999.3899999999994"/>
    <n v="102.79999999999998"/>
    <n v="4589.28"/>
    <n v="1.3"/>
    <n v="58.410000000000004"/>
    <n v="104.09999999999998"/>
    <n v="4647.6899999999996"/>
    <n v="4647.6899999999996"/>
    <n v="0"/>
    <n v="58.410000000000004"/>
    <n v="0"/>
    <n v="0"/>
    <n v="500"/>
    <n v="0"/>
    <n v="4089"/>
    <n v="0"/>
    <n v="0"/>
    <n v="352"/>
    <n v="0"/>
  </r>
  <r>
    <x v="717"/>
    <s v="GOMUKH JHAHURI"/>
    <s v="MPG"/>
    <s v="Direct"/>
    <n v="2716.2499999999995"/>
    <n v="116475.31"/>
    <n v="2722.3499999999981"/>
    <n v="115019.20999999999"/>
    <n v="33.1"/>
    <n v="1426.8300000000002"/>
    <n v="2755.449999999998"/>
    <n v="116446.04"/>
    <n v="116446.04"/>
    <n v="0"/>
    <n v="1426.8300000000002"/>
    <n v="0"/>
    <n v="1972"/>
    <n v="0"/>
    <n v="0"/>
    <n v="113046"/>
    <n v="0"/>
    <n v="0"/>
    <n v="30"/>
    <n v="0"/>
  </r>
  <r>
    <x v="718"/>
    <s v="GOMUKH Keotsa"/>
    <s v="MPG"/>
    <s v="Direct"/>
    <n v="637.40000000000009"/>
    <n v="27883.389999999996"/>
    <n v="523.30999999999995"/>
    <n v="23214.359999999997"/>
    <n v="118.33"/>
    <n v="4666.3900000000003"/>
    <n v="641.64"/>
    <n v="27880.749999999996"/>
    <n v="27880.749999999996"/>
    <n v="0"/>
    <n v="855.58"/>
    <n v="0"/>
    <n v="0"/>
    <n v="0"/>
    <n v="0"/>
    <n v="23215"/>
    <n v="3811"/>
    <n v="0"/>
    <n v="2"/>
    <n v="0"/>
  </r>
  <r>
    <x v="719"/>
    <s v="Gomukh Namapur East"/>
    <s v="vlc"/>
    <s v="Indirect"/>
    <n v="660"/>
    <n v="32473.22"/>
    <n v="0"/>
    <n v="0"/>
    <n v="0"/>
    <n v="0"/>
    <n v="0"/>
    <n v="0"/>
    <n v="32473.22"/>
    <n v="0"/>
    <n v="0"/>
    <n v="0"/>
    <n v="0"/>
    <n v="0"/>
    <n v="0"/>
    <n v="0"/>
    <n v="0"/>
    <n v="32473.22"/>
    <n v="0"/>
    <n v="0"/>
  </r>
  <r>
    <x v="720"/>
    <s v="GOMUKH Waini"/>
    <s v="MPG"/>
    <s v="Direct"/>
    <n v="476.05"/>
    <n v="19400.189999999999"/>
    <n v="462.31999999999988"/>
    <n v="19096.499999999996"/>
    <n v="8.1499999999999986"/>
    <n v="329.87"/>
    <n v="470.46999999999986"/>
    <n v="19426.369999999995"/>
    <n v="19400.189999999999"/>
    <n v="0"/>
    <n v="329.87"/>
    <n v="26.179999999996653"/>
    <n v="0"/>
    <n v="0"/>
    <n v="0"/>
    <n v="19070"/>
    <n v="0"/>
    <n v="0"/>
    <n v="0"/>
    <n v="0"/>
  </r>
  <r>
    <x v="721"/>
    <s v="GOMUKH SAKARI"/>
    <s v="MPG"/>
    <s v="Direct"/>
    <n v="1750.95"/>
    <n v="77199.47"/>
    <n v="1733.22"/>
    <n v="76547.499999999985"/>
    <n v="14.530000000000001"/>
    <n v="649.13000000000011"/>
    <n v="1747.75"/>
    <n v="77196.62999999999"/>
    <n v="77196.62999999999"/>
    <n v="0"/>
    <n v="649.13000000000011"/>
    <n v="0"/>
    <n v="20914"/>
    <n v="0"/>
    <n v="0"/>
    <n v="55636"/>
    <n v="0"/>
    <n v="0"/>
    <n v="0"/>
    <n v="0"/>
  </r>
  <r>
    <x v="722"/>
    <s v="GOMUKH DHOBGAMA"/>
    <s v="MPG"/>
    <s v="Direct"/>
    <n v="737.65"/>
    <n v="30506.279999999995"/>
    <n v="727.27"/>
    <n v="29700.429999999997"/>
    <n v="16.489999999999998"/>
    <n v="708.59"/>
    <n v="743.76"/>
    <n v="30409.019999999997"/>
    <n v="30409.019999999997"/>
    <n v="0"/>
    <n v="708.59"/>
    <n v="0"/>
    <n v="0"/>
    <n v="0"/>
    <n v="0"/>
    <n v="29699"/>
    <n v="0"/>
    <n v="0"/>
    <n v="99"/>
    <n v="0"/>
  </r>
  <r>
    <x v="723"/>
    <s v="GOMUKH BHUSKOUL"/>
    <s v="MPG"/>
    <s v="Direct"/>
    <n v="527.29999999999995"/>
    <n v="21328.390000000003"/>
    <n v="539.7299999999999"/>
    <n v="20877.239999999994"/>
    <n v="11.2"/>
    <n v="448.96999999999991"/>
    <n v="550.92999999999995"/>
    <n v="21326.209999999995"/>
    <n v="21326.209999999995"/>
    <n v="0"/>
    <n v="448.96999999999991"/>
    <n v="0"/>
    <n v="0"/>
    <n v="0"/>
    <n v="0"/>
    <n v="20878"/>
    <n v="0"/>
    <n v="0"/>
    <n v="1"/>
    <n v="0"/>
  </r>
  <r>
    <x v="724"/>
    <s v="GOMUKH BIRSINGHPUR"/>
    <s v="MPG"/>
    <s v="Direct"/>
    <n v="682.44999999999993"/>
    <n v="27249.41"/>
    <n v="692.83999999999992"/>
    <n v="26849.93"/>
    <n v="9"/>
    <n v="387.23"/>
    <n v="701.83999999999992"/>
    <n v="27237.16"/>
    <n v="27237.16"/>
    <n v="0"/>
    <n v="352.48"/>
    <n v="0"/>
    <n v="0"/>
    <n v="0"/>
    <n v="0"/>
    <n v="26850"/>
    <n v="35"/>
    <n v="0"/>
    <n v="12"/>
    <n v="0"/>
  </r>
  <r>
    <x v="725"/>
    <s v="GOMUKH GHOSRAWAN"/>
    <s v="MPG"/>
    <s v="Direct"/>
    <n v="439.19999999999993"/>
    <n v="17949.370000000003"/>
    <n v="378.85"/>
    <n v="15176.400000000001"/>
    <n v="65.400000000000006"/>
    <n v="2745.1800000000003"/>
    <n v="444.25"/>
    <n v="17921.580000000002"/>
    <n v="17921.580000000002"/>
    <n v="0"/>
    <n v="160.33000000000001"/>
    <n v="0"/>
    <n v="3200"/>
    <n v="0"/>
    <n v="0"/>
    <n v="11977"/>
    <n v="2585"/>
    <n v="0"/>
    <n v="27"/>
    <n v="0"/>
  </r>
  <r>
    <x v="726"/>
    <s v="GOMUKH BANDRA W-9"/>
    <s v="MPG"/>
    <s v="Direct"/>
    <n v="452.6"/>
    <n v="19650.259999999998"/>
    <n v="450.88000000000005"/>
    <n v="19565.86"/>
    <n v="1.77"/>
    <n v="82.33"/>
    <n v="452.65000000000003"/>
    <n v="19648.190000000002"/>
    <n v="19648.190000000002"/>
    <n v="0"/>
    <n v="82.33"/>
    <n v="0"/>
    <n v="0"/>
    <n v="0"/>
    <n v="0"/>
    <n v="19566"/>
    <n v="0"/>
    <n v="0"/>
    <n v="2"/>
    <n v="0"/>
  </r>
  <r>
    <x v="727"/>
    <s v="AMI Dairy"/>
    <s v="vlc"/>
    <s v="Indirect"/>
    <n v="938.2"/>
    <n v="38429.24"/>
    <n v="0"/>
    <n v="0"/>
    <n v="0"/>
    <n v="0"/>
    <n v="0"/>
    <n v="0"/>
    <n v="38429.24"/>
    <n v="0"/>
    <n v="0"/>
    <n v="0"/>
    <n v="0"/>
    <n v="0"/>
    <n v="0"/>
    <n v="0"/>
    <n v="0"/>
    <n v="38429.24"/>
    <n v="0"/>
    <n v="0"/>
  </r>
  <r>
    <x v="987"/>
    <s v="Gomukh Simra"/>
    <s v="vlc"/>
    <s v="Indirect"/>
    <n v="1293.8999999999996"/>
    <n v="51922.069999999992"/>
    <n v="0"/>
    <n v="0"/>
    <n v="0"/>
    <n v="0"/>
    <n v="0"/>
    <n v="0"/>
    <n v="51922.069999999992"/>
    <n v="0"/>
    <n v="0"/>
    <n v="0"/>
    <n v="0"/>
    <n v="0"/>
    <n v="0"/>
    <n v="0"/>
    <n v="0"/>
    <n v="51922.069999999992"/>
    <n v="0"/>
    <n v="0"/>
  </r>
  <r>
    <x v="728"/>
    <s v="GOMUKH ANANDPUR PARAS 2"/>
    <s v="MPG"/>
    <s v="Direct"/>
    <n v="3269.6"/>
    <n v="137485.60999999999"/>
    <n v="3269.4999999999995"/>
    <n v="137481.28999999998"/>
    <n v="0"/>
    <n v="0"/>
    <n v="3269.4999999999995"/>
    <n v="137481.28999999998"/>
    <n v="137481.28999999998"/>
    <n v="0"/>
    <n v="0"/>
    <n v="0"/>
    <n v="0"/>
    <n v="0"/>
    <n v="0"/>
    <n v="137481"/>
    <n v="0"/>
    <n v="0"/>
    <n v="5"/>
    <n v="0"/>
  </r>
  <r>
    <x v="729"/>
    <s v="GOMUKH GADBANNI"/>
    <s v="MPG"/>
    <s v="Direct"/>
    <n v="386.5"/>
    <n v="16874.850000000002"/>
    <n v="389.06"/>
    <n v="16841.719999999998"/>
    <n v="0"/>
    <n v="0"/>
    <n v="389.06"/>
    <n v="16841.719999999998"/>
    <n v="16841.719999999998"/>
    <n v="0"/>
    <n v="0"/>
    <n v="0"/>
    <n v="0"/>
    <n v="0"/>
    <n v="0"/>
    <n v="16842"/>
    <n v="0"/>
    <n v="0"/>
    <n v="33"/>
    <n v="0"/>
  </r>
  <r>
    <x v="988"/>
    <s v="GOMUKH GORIYAMI"/>
    <s v="MPG"/>
    <s v="Direct"/>
    <n v="427.1"/>
    <n v="18695.579999999998"/>
    <n v="482.39"/>
    <n v="20960.260000000002"/>
    <n v="0"/>
    <n v="0"/>
    <n v="482.39"/>
    <n v="20960.260000000002"/>
    <n v="18695.579999999998"/>
    <n v="0"/>
    <n v="0"/>
    <n v="2264.6800000000039"/>
    <n v="0"/>
    <n v="0"/>
    <n v="0"/>
    <n v="18696"/>
    <n v="0"/>
    <n v="0"/>
    <n v="0"/>
    <n v="0"/>
  </r>
  <r>
    <x v="730"/>
    <s v="GOMUKH PARRI"/>
    <s v="MPG"/>
    <s v="Direct"/>
    <n v="85.1"/>
    <n v="3909.4"/>
    <n v="92.39"/>
    <n v="4264.26"/>
    <n v="0"/>
    <n v="0"/>
    <n v="92.39"/>
    <n v="4264.26"/>
    <n v="3909.4"/>
    <n v="0"/>
    <n v="0"/>
    <n v="354.86000000000013"/>
    <n v="0"/>
    <n v="500"/>
    <n v="0"/>
    <n v="3409"/>
    <n v="0"/>
    <n v="0"/>
    <n v="0"/>
    <s v="Release3"/>
  </r>
  <r>
    <x v="731"/>
    <s v="GOMUKH BHIKHARI GHAT"/>
    <s v="MPG"/>
    <s v="Direct"/>
    <n v="1198.7"/>
    <n v="52866.34"/>
    <n v="1150.7199999999998"/>
    <n v="52900.390000000007"/>
    <n v="0"/>
    <n v="0"/>
    <n v="1150.7199999999998"/>
    <n v="52900.390000000007"/>
    <n v="52866.34"/>
    <n v="0"/>
    <n v="0"/>
    <n v="34.050000000010186"/>
    <n v="0"/>
    <n v="0"/>
    <n v="0"/>
    <n v="52902"/>
    <n v="0"/>
    <n v="0"/>
    <n v="-36"/>
    <s v="Release3"/>
  </r>
  <r>
    <x v="732"/>
    <s v="Vikash Kumar"/>
    <s v="vlc"/>
    <s v="Indirect"/>
    <n v="2206.5"/>
    <n v="94268.95"/>
    <n v="0"/>
    <n v="0"/>
    <n v="0"/>
    <n v="0"/>
    <n v="0"/>
    <n v="0"/>
    <n v="94268.95"/>
    <n v="0"/>
    <n v="0"/>
    <n v="0"/>
    <n v="0"/>
    <n v="0"/>
    <n v="0"/>
    <n v="0"/>
    <n v="0"/>
    <n v="94268.95"/>
    <n v="0"/>
    <n v="0"/>
  </r>
  <r>
    <x v="733"/>
    <s v="Rajkishore Yadav"/>
    <s v="vlc"/>
    <s v="Indirect"/>
    <n v="320.2"/>
    <n v="11328.060000000001"/>
    <n v="0"/>
    <n v="0"/>
    <n v="0"/>
    <n v="0"/>
    <n v="0"/>
    <n v="0"/>
    <n v="11328.060000000001"/>
    <n v="0"/>
    <n v="0"/>
    <n v="0"/>
    <n v="0"/>
    <n v="0"/>
    <n v="0"/>
    <n v="0"/>
    <n v="0"/>
    <n v="11328.060000000001"/>
    <n v="0"/>
    <n v="0"/>
  </r>
  <r>
    <x v="734"/>
    <s v="BHADAS VLC"/>
    <s v="vlc"/>
    <s v="Indirect"/>
    <n v="53.5"/>
    <n v="2680.75"/>
    <n v="0"/>
    <n v="0"/>
    <n v="0"/>
    <n v="0"/>
    <n v="0"/>
    <n v="0"/>
    <n v="2680.75"/>
    <n v="0"/>
    <n v="0"/>
    <n v="0"/>
    <n v="0"/>
    <n v="0"/>
    <n v="0"/>
    <n v="0"/>
    <n v="0"/>
    <n v="2680.75"/>
    <n v="0"/>
    <n v="0"/>
  </r>
  <r>
    <x v="735"/>
    <s v="GOMUKH BENHER"/>
    <s v="MPG"/>
    <s v="Direct"/>
    <n v="406.3"/>
    <n v="21509.52"/>
    <n v="294.73999999999995"/>
    <n v="15583.26"/>
    <n v="113.96"/>
    <n v="6410.77"/>
    <n v="408.69999999999993"/>
    <n v="21994.03"/>
    <n v="21509.52"/>
    <n v="0"/>
    <n v="54.100000000000009"/>
    <n v="484.5099999999984"/>
    <n v="0"/>
    <n v="0"/>
    <n v="0"/>
    <n v="15098"/>
    <n v="6357"/>
    <n v="0"/>
    <n v="0"/>
    <n v="0"/>
  </r>
  <r>
    <x v="736"/>
    <s v="GOMUKH LADORA"/>
    <s v="MPG"/>
    <s v="Direct"/>
    <n v="767.49999999999989"/>
    <n v="29863.770000000004"/>
    <n v="771.38"/>
    <n v="34179.370000000003"/>
    <n v="0"/>
    <n v="0"/>
    <n v="771.38"/>
    <n v="34179.370000000003"/>
    <n v="29863.770000000004"/>
    <n v="0"/>
    <n v="0"/>
    <n v="4315.5999999999985"/>
    <n v="0"/>
    <n v="0"/>
    <n v="0"/>
    <n v="29864"/>
    <n v="0"/>
    <n v="0"/>
    <n v="0"/>
    <n v="0"/>
  </r>
  <r>
    <x v="737"/>
    <s v="GOMUKH SAHSI"/>
    <s v="MPG"/>
    <s v="Direct"/>
    <n v="370.29999999999995"/>
    <n v="16913.189999999999"/>
    <n v="424.23"/>
    <n v="19842.719999999998"/>
    <n v="0"/>
    <n v="0"/>
    <n v="424.23"/>
    <n v="19842.719999999998"/>
    <n v="16913.189999999999"/>
    <n v="0"/>
    <n v="0"/>
    <n v="2929.5299999999988"/>
    <n v="0"/>
    <n v="500"/>
    <n v="0"/>
    <n v="16413"/>
    <n v="0"/>
    <n v="0"/>
    <n v="0"/>
    <n v="0"/>
  </r>
  <r>
    <x v="738"/>
    <s v="Gomukh Chikni"/>
    <s v="MPG"/>
    <s v="Direct"/>
    <n v="164.4"/>
    <n v="5805.44"/>
    <n v="148.69"/>
    <n v="5812.83"/>
    <n v="0"/>
    <n v="0"/>
    <n v="148.69"/>
    <n v="5812.83"/>
    <n v="5805.44"/>
    <n v="0"/>
    <n v="0"/>
    <n v="7.3900000000003274"/>
    <n v="0"/>
    <n v="500"/>
    <n v="0"/>
    <n v="5305"/>
    <n v="0"/>
    <n v="0"/>
    <n v="0"/>
    <s v="Release3"/>
  </r>
  <r>
    <x v="739"/>
    <s v="GOMUKH BUDWA"/>
    <s v="MPG"/>
    <s v="Direct"/>
    <n v="100.9"/>
    <n v="3978.3999999999996"/>
    <n v="98.259999999999991"/>
    <n v="4029.7700000000004"/>
    <n v="0"/>
    <n v="0"/>
    <n v="98.259999999999991"/>
    <n v="4029.7700000000004"/>
    <n v="3978.3999999999996"/>
    <n v="0"/>
    <n v="0"/>
    <n v="51.3700000000008"/>
    <n v="0"/>
    <n v="150"/>
    <n v="0"/>
    <n v="3828"/>
    <n v="0"/>
    <n v="0"/>
    <n v="0"/>
    <s v="Release3"/>
  </r>
  <r>
    <x v="740"/>
    <s v="GOMUKH GANGIYA"/>
    <s v="vlc"/>
    <s v="Indirect"/>
    <n v="778.80000000000007"/>
    <n v="26919.690000000002"/>
    <n v="0"/>
    <n v="0"/>
    <n v="0"/>
    <n v="0"/>
    <n v="0"/>
    <n v="0"/>
    <n v="26919.690000000002"/>
    <n v="0"/>
    <n v="0"/>
    <n v="0"/>
    <n v="0"/>
    <n v="0"/>
    <n v="0"/>
    <n v="0"/>
    <n v="0"/>
    <n v="26919.690000000002"/>
    <n v="0"/>
    <n v="0"/>
  </r>
  <r>
    <x v="741"/>
    <s v="GOMUKH AMBA ICHARUA"/>
    <s v="MPG"/>
    <s v="Direct"/>
    <n v="506.40000000000003"/>
    <n v="19631.53"/>
    <n v="36"/>
    <n v="1401.12"/>
    <n v="463.14"/>
    <n v="19243.14"/>
    <n v="499.14"/>
    <n v="20644.259999999998"/>
    <n v="19631.53"/>
    <n v="0"/>
    <n v="0"/>
    <n v="1012.7299999999996"/>
    <n v="0"/>
    <n v="0"/>
    <n v="0"/>
    <n v="389"/>
    <n v="19243"/>
    <n v="0"/>
    <n v="0"/>
    <n v="0"/>
  </r>
  <r>
    <x v="742"/>
    <s v="RAJAURA VLC"/>
    <s v="vlc"/>
    <s v="Indirect"/>
    <n v="738.1"/>
    <n v="28175.800000000003"/>
    <n v="0"/>
    <n v="0"/>
    <n v="0"/>
    <n v="0"/>
    <n v="0"/>
    <n v="0"/>
    <n v="28175.800000000003"/>
    <n v="0"/>
    <n v="0"/>
    <n v="0"/>
    <n v="0"/>
    <n v="0"/>
    <n v="0"/>
    <n v="0"/>
    <n v="0"/>
    <n v="28175.800000000003"/>
    <n v="0"/>
    <n v="0"/>
  </r>
  <r>
    <x v="743"/>
    <s v="GOMUKH JWALAPUR"/>
    <s v="MPG"/>
    <s v="Direct"/>
    <n v="176.9"/>
    <n v="6744.0099999999993"/>
    <n v="176"/>
    <n v="7314.56"/>
    <n v="0"/>
    <n v="0"/>
    <n v="176"/>
    <n v="7314.56"/>
    <n v="6744.0099999999993"/>
    <n v="0"/>
    <n v="0"/>
    <n v="570.55000000000109"/>
    <n v="0"/>
    <n v="500"/>
    <n v="0"/>
    <n v="6244"/>
    <n v="0"/>
    <n v="0"/>
    <n v="0"/>
    <n v="0"/>
  </r>
  <r>
    <x v="1019"/>
    <s v="GOMUKH ID ALAULI"/>
    <s v="vlc"/>
    <s v="Indirect"/>
    <n v="76.099999999999994"/>
    <n v="3141.41"/>
    <n v="0"/>
    <n v="0"/>
    <n v="0"/>
    <n v="0"/>
    <n v="0"/>
    <n v="0"/>
    <n v="3141.41"/>
    <n v="0"/>
    <n v="0"/>
    <n v="0"/>
    <n v="0"/>
    <n v="0"/>
    <n v="0"/>
    <n v="0"/>
    <n v="0"/>
    <n v="3141.41"/>
    <n v="0"/>
    <n v="0"/>
  </r>
  <r>
    <x v="744"/>
    <s v="VLC Dhushmuri Bishanpur"/>
    <s v="vlc"/>
    <s v="Indirect"/>
    <n v="517.70000000000005"/>
    <n v="17948.2"/>
    <n v="0"/>
    <n v="0"/>
    <n v="0"/>
    <n v="0"/>
    <n v="0"/>
    <n v="0"/>
    <n v="17948.2"/>
    <n v="0"/>
    <n v="0"/>
    <n v="0"/>
    <n v="0"/>
    <n v="0"/>
    <n v="0"/>
    <n v="0"/>
    <n v="0"/>
    <n v="17948.2"/>
    <n v="0"/>
    <n v="0"/>
  </r>
  <r>
    <x v="745"/>
    <s v="VLC Govindpur"/>
    <s v="vlc"/>
    <s v="Indirect"/>
    <n v="404.9"/>
    <n v="15198.490000000002"/>
    <n v="0"/>
    <n v="0"/>
    <n v="0"/>
    <n v="0"/>
    <n v="0"/>
    <n v="0"/>
    <n v="15198.490000000002"/>
    <n v="0"/>
    <n v="0"/>
    <n v="0"/>
    <n v="0"/>
    <n v="0"/>
    <n v="0"/>
    <n v="0"/>
    <n v="0"/>
    <n v="15198.490000000002"/>
    <n v="0"/>
    <n v="0"/>
  </r>
  <r>
    <x v="746"/>
    <s v="Gomukh Darhi Mor"/>
    <s v="vlc"/>
    <s v="Indirect"/>
    <n v="70.8"/>
    <n v="2730.3999999999996"/>
    <n v="0"/>
    <n v="0"/>
    <n v="0"/>
    <n v="0"/>
    <n v="0"/>
    <n v="0"/>
    <n v="2730.3999999999996"/>
    <n v="0"/>
    <n v="0"/>
    <n v="0"/>
    <n v="0"/>
    <n v="0"/>
    <n v="0"/>
    <n v="0"/>
    <n v="0"/>
    <n v="2730.3999999999996"/>
    <n v="0"/>
    <n v="0"/>
  </r>
  <r>
    <x v="747"/>
    <s v="Gomukh Balaur"/>
    <s v="MPG"/>
    <s v="Direct"/>
    <n v="1618.9"/>
    <n v="84378.670000000013"/>
    <n v="1618"/>
    <n v="84653.760000000009"/>
    <n v="0"/>
    <n v="0"/>
    <n v="1618"/>
    <n v="84653.760000000009"/>
    <n v="84378.670000000013"/>
    <n v="0"/>
    <n v="0"/>
    <n v="275.08999999999651"/>
    <n v="0"/>
    <n v="0"/>
    <n v="0"/>
    <n v="84379"/>
    <n v="0"/>
    <n v="0"/>
    <n v="0"/>
    <n v="0"/>
  </r>
  <r>
    <x v="748"/>
    <s v="Gomukh Usri"/>
    <s v="vlc"/>
    <s v="Direct"/>
    <n v="430.2"/>
    <n v="19346.919999999998"/>
    <n v="413.83000000000015"/>
    <n v="19554.82"/>
    <n v="0"/>
    <n v="0"/>
    <n v="413.83000000000015"/>
    <n v="19554.82"/>
    <n v="19346.919999999998"/>
    <n v="0"/>
    <n v="0"/>
    <n v="207.90000000000146"/>
    <n v="0"/>
    <n v="0"/>
    <n v="0"/>
    <n v="19347"/>
    <n v="0"/>
    <n v="0"/>
    <n v="0"/>
    <n v="0"/>
  </r>
  <r>
    <x v="749"/>
    <s v="Gomukh Hathwan - 2"/>
    <s v="MPG"/>
    <s v="Direct"/>
    <n v="186.70000000000002"/>
    <n v="7813.2599999999993"/>
    <n v="194"/>
    <n v="7820.14"/>
    <n v="0"/>
    <n v="0"/>
    <n v="194"/>
    <n v="7820.14"/>
    <n v="7813.2599999999993"/>
    <n v="0"/>
    <n v="0"/>
    <n v="6.8800000000010186"/>
    <n v="0"/>
    <n v="0"/>
    <n v="0"/>
    <n v="7813"/>
    <n v="0"/>
    <n v="0"/>
    <n v="0"/>
    <n v="0"/>
  </r>
  <r>
    <x v="750"/>
    <s v="VLC Sunil Khas"/>
    <s v="vlc"/>
    <s v="Indirect"/>
    <n v="812.40000000000009"/>
    <n v="34653.67"/>
    <n v="0"/>
    <n v="0"/>
    <n v="0"/>
    <n v="0"/>
    <n v="0"/>
    <n v="0"/>
    <n v="34653.67"/>
    <n v="0"/>
    <n v="0"/>
    <n v="0"/>
    <n v="0"/>
    <n v="0"/>
    <n v="0"/>
    <n v="0"/>
    <n v="0"/>
    <n v="34653.67"/>
    <n v="0"/>
    <n v="0"/>
  </r>
  <r>
    <x v="751"/>
    <s v="Gomukh Hathwan "/>
    <s v="MPG"/>
    <s v="Direct"/>
    <n v="464.49999999999994"/>
    <n v="18938.460000000003"/>
    <n v="395.5"/>
    <n v="19131.28"/>
    <n v="0"/>
    <n v="0"/>
    <n v="395.5"/>
    <n v="19131.28"/>
    <n v="18938.460000000003"/>
    <n v="0"/>
    <n v="0"/>
    <n v="192.81999999999607"/>
    <n v="0"/>
    <n v="0"/>
    <n v="0"/>
    <n v="18938"/>
    <n v="0"/>
    <n v="0"/>
    <n v="0"/>
    <n v="0"/>
  </r>
  <r>
    <x v="752"/>
    <s v="Gomukh Bekhari Ghat-2"/>
    <s v="MPG"/>
    <s v="Direct"/>
    <n v="114.90000000000002"/>
    <n v="4135.34"/>
    <n v="114"/>
    <n v="4675.1400000000003"/>
    <n v="0"/>
    <n v="0"/>
    <n v="114"/>
    <n v="4675.1400000000003"/>
    <n v="4135.34"/>
    <n v="0"/>
    <n v="0"/>
    <n v="539.80000000000018"/>
    <n v="0"/>
    <n v="0"/>
    <n v="0"/>
    <n v="4135"/>
    <n v="0"/>
    <n v="0"/>
    <n v="0"/>
    <n v="0"/>
  </r>
  <r>
    <x v="753"/>
    <s v="Gomukh Rahul VLC"/>
    <s v="vlc"/>
    <s v="Indirect"/>
    <n v="1905.1999999999998"/>
    <n v="84270.829999999987"/>
    <n v="0"/>
    <n v="0"/>
    <n v="0"/>
    <n v="0"/>
    <n v="0"/>
    <n v="0"/>
    <n v="84270.829999999987"/>
    <n v="0"/>
    <n v="0"/>
    <n v="0"/>
    <n v="0"/>
    <n v="0"/>
    <n v="0"/>
    <n v="0"/>
    <n v="0"/>
    <n v="84270.829999999987"/>
    <n v="0"/>
    <n v="0"/>
  </r>
  <r>
    <x v="754"/>
    <s v="Gomukh Sachin VLC"/>
    <s v="vlc"/>
    <s v="Indirect"/>
    <n v="453.4"/>
    <n v="16738.91"/>
    <n v="0"/>
    <n v="0"/>
    <n v="0"/>
    <n v="0"/>
    <n v="0"/>
    <n v="0"/>
    <n v="16738.91"/>
    <n v="0"/>
    <n v="0"/>
    <n v="0"/>
    <n v="0"/>
    <n v="0"/>
    <n v="0"/>
    <n v="0"/>
    <n v="0"/>
    <n v="16738.91"/>
    <n v="0"/>
    <n v="0"/>
  </r>
  <r>
    <x v="755"/>
    <s v="Gomukh Khutauna"/>
    <s v="MPG"/>
    <s v="Direct"/>
    <n v="331.2"/>
    <n v="11574.62"/>
    <n v="375.82000000000005"/>
    <n v="12994.689999999999"/>
    <n v="0"/>
    <n v="0"/>
    <n v="375.82000000000005"/>
    <n v="12994.689999999999"/>
    <n v="11574.62"/>
    <n v="0"/>
    <n v="0"/>
    <n v="1420.0699999999979"/>
    <n v="0"/>
    <n v="0"/>
    <n v="0"/>
    <n v="11575"/>
    <n v="0"/>
    <n v="0"/>
    <n v="0"/>
    <n v="0"/>
  </r>
  <r>
    <x v="756"/>
    <s v="Gomukh Bathnaha VLC"/>
    <s v="vlc"/>
    <s v="Indirect"/>
    <n v="387.40000000000003"/>
    <n v="15097.54"/>
    <n v="0"/>
    <n v="0"/>
    <n v="0"/>
    <n v="0"/>
    <n v="0"/>
    <n v="0"/>
    <n v="15097.54"/>
    <n v="0"/>
    <n v="0"/>
    <n v="0"/>
    <n v="0"/>
    <n v="0"/>
    <n v="0"/>
    <n v="0"/>
    <n v="0"/>
    <n v="15097.54"/>
    <n v="0"/>
    <n v="0"/>
  </r>
  <r>
    <x v="757"/>
    <s v="Balahpur-Anil Yadav"/>
    <s v="vlc"/>
    <s v="Indirect"/>
    <n v="33485.199999999997"/>
    <n v="1290856.3499999999"/>
    <n v="0"/>
    <n v="0"/>
    <n v="0"/>
    <n v="0"/>
    <n v="0"/>
    <n v="0"/>
    <n v="1290856.3499999999"/>
    <n v="0"/>
    <n v="0"/>
    <n v="0"/>
    <n v="0"/>
    <n v="0"/>
    <n v="0"/>
    <n v="0"/>
    <n v="0"/>
    <n v="1290856.3499999999"/>
    <n v="0"/>
    <n v="0"/>
  </r>
  <r>
    <x v="758"/>
    <s v="Bagdobh"/>
    <s v="vlc"/>
    <s v="Indirect"/>
    <n v="134.9"/>
    <n v="5107.84"/>
    <n v="0"/>
    <n v="0"/>
    <n v="0"/>
    <n v="0"/>
    <n v="0"/>
    <n v="0"/>
    <n v="5107.84"/>
    <n v="0"/>
    <n v="0"/>
    <n v="0"/>
    <n v="0"/>
    <n v="0"/>
    <n v="0"/>
    <n v="0"/>
    <n v="0"/>
    <n v="5107.84"/>
    <n v="0"/>
    <n v="0"/>
  </r>
  <r>
    <x v="759"/>
    <s v="Gomukh Matihani"/>
    <s v="MPG"/>
    <s v="Direct"/>
    <n v="188.2"/>
    <n v="7564.7800000000007"/>
    <n v="187.2"/>
    <n v="7534.1599999999989"/>
    <n v="4"/>
    <n v="162.91999999999999"/>
    <n v="191.2"/>
    <n v="7697.079999999999"/>
    <n v="7564.7800000000007"/>
    <n v="0"/>
    <n v="162.91999999999999"/>
    <n v="132.29999999999836"/>
    <n v="0"/>
    <n v="0"/>
    <n v="0"/>
    <n v="7402"/>
    <n v="0"/>
    <n v="0"/>
    <n v="0"/>
    <n v="0"/>
  </r>
  <r>
    <x v="760"/>
    <s v="Jalalpur"/>
    <s v="vlc"/>
    <s v="Indirect"/>
    <n v="2764.4999999999995"/>
    <n v="97235.989999999976"/>
    <n v="0"/>
    <n v="0"/>
    <n v="0"/>
    <n v="0"/>
    <n v="0"/>
    <n v="0"/>
    <n v="97235.989999999976"/>
    <n v="0"/>
    <n v="0"/>
    <n v="0"/>
    <n v="0"/>
    <n v="0"/>
    <n v="0"/>
    <n v="0"/>
    <n v="0"/>
    <n v="97235.989999999976"/>
    <n v="0"/>
    <n v="0"/>
  </r>
  <r>
    <x v="761"/>
    <s v="Saidpur"/>
    <s v="vlc"/>
    <s v="Indirect"/>
    <n v="412.70000000000005"/>
    <n v="14598.03"/>
    <n v="0"/>
    <n v="0"/>
    <n v="0"/>
    <n v="0"/>
    <n v="0"/>
    <n v="0"/>
    <n v="14598.03"/>
    <n v="0"/>
    <n v="0"/>
    <n v="0"/>
    <n v="0"/>
    <n v="0"/>
    <n v="0"/>
    <n v="0"/>
    <n v="0"/>
    <n v="14598.03"/>
    <n v="0"/>
    <n v="0"/>
  </r>
  <r>
    <x v="762"/>
    <s v="Chak"/>
    <s v="vlc"/>
    <s v="Indirect"/>
    <n v="525.4"/>
    <n v="20252.59"/>
    <n v="0"/>
    <n v="0"/>
    <n v="0"/>
    <n v="0"/>
    <n v="0"/>
    <n v="0"/>
    <n v="20252.59"/>
    <n v="0"/>
    <n v="0"/>
    <n v="0"/>
    <n v="0"/>
    <n v="0"/>
    <n v="0"/>
    <n v="0"/>
    <n v="0"/>
    <n v="20252.59"/>
    <n v="0"/>
    <n v="0"/>
  </r>
  <r>
    <x v="763"/>
    <s v="Manmana Dhala"/>
    <s v="MPG"/>
    <s v="Direct"/>
    <n v="311.39999999999998"/>
    <n v="12990.14"/>
    <n v="302.64999999999998"/>
    <n v="12791.869999999999"/>
    <n v="3.5299999999999994"/>
    <n v="153.22000000000003"/>
    <n v="306.17999999999995"/>
    <n v="12945.089999999998"/>
    <n v="12945.089999999998"/>
    <n v="0"/>
    <n v="153.22000000000003"/>
    <n v="0"/>
    <n v="0"/>
    <n v="0"/>
    <n v="0"/>
    <n v="12793"/>
    <n v="0"/>
    <n v="0"/>
    <n v="44"/>
    <n v="0"/>
  </r>
  <r>
    <x v="764"/>
    <s v="Mahendarpur 2"/>
    <s v="MPG"/>
    <s v="Direct"/>
    <n v="283.59999999999997"/>
    <n v="11412.79"/>
    <n v="276.49"/>
    <n v="11215.8"/>
    <n v="2.2300000000000004"/>
    <n v="89.72"/>
    <n v="278.72000000000003"/>
    <n v="11305.519999999999"/>
    <n v="11305.519999999999"/>
    <n v="0"/>
    <n v="89.72"/>
    <n v="0"/>
    <n v="0"/>
    <n v="0"/>
    <n v="0"/>
    <n v="11216"/>
    <n v="0"/>
    <n v="0"/>
    <n v="107"/>
    <n v="0"/>
  </r>
  <r>
    <x v="765"/>
    <s v="Gomukh Chautham(Mithun Kumar VLC)"/>
    <s v="MPG"/>
    <s v="Indirect"/>
    <n v="1496.32"/>
    <n v="57784.039999999994"/>
    <n v="0"/>
    <n v="0"/>
    <n v="0"/>
    <n v="0"/>
    <n v="0"/>
    <n v="0"/>
    <n v="57784.039999999994"/>
    <n v="0"/>
    <n v="0"/>
    <n v="0"/>
    <n v="0"/>
    <n v="0"/>
    <n v="0"/>
    <n v="0"/>
    <n v="0"/>
    <n v="57784.039999999994"/>
    <n v="0"/>
    <n v="0"/>
  </r>
  <r>
    <x v="766"/>
    <s v="Gomukh Pansalwa"/>
    <s v="vlc"/>
    <s v="Indirect"/>
    <n v="396.9"/>
    <n v="14194.179999999998"/>
    <n v="0"/>
    <n v="0"/>
    <n v="0"/>
    <n v="0"/>
    <n v="0"/>
    <n v="0"/>
    <n v="14194.179999999998"/>
    <n v="0"/>
    <n v="0"/>
    <n v="0"/>
    <n v="0"/>
    <n v="0"/>
    <n v="0"/>
    <n v="0"/>
    <n v="0"/>
    <n v="14194.179999999998"/>
    <n v="0"/>
    <n v="0"/>
  </r>
  <r>
    <x v="767"/>
    <s v="Gomukh Nawada"/>
    <s v="MPG"/>
    <s v="Direct"/>
    <n v="975.52"/>
    <n v="35254.780000000006"/>
    <n v="1072.8200000000002"/>
    <n v="39795.379999999997"/>
    <n v="0"/>
    <n v="0"/>
    <n v="1072.8200000000002"/>
    <n v="39795.379999999997"/>
    <n v="35254.780000000006"/>
    <n v="0"/>
    <n v="0"/>
    <n v="4540.5999999999913"/>
    <n v="0"/>
    <n v="0"/>
    <n v="0"/>
    <n v="35255"/>
    <n v="0"/>
    <n v="0"/>
    <n v="0"/>
    <n v="0"/>
  </r>
  <r>
    <x v="768"/>
    <s v="Gomukh Yadav Tol Kanauli"/>
    <s v="MPG"/>
    <s v="Direct"/>
    <n v="1632.7800000000002"/>
    <n v="68996.95"/>
    <n v="62.56"/>
    <n v="2634.0600000000004"/>
    <n v="1688"/>
    <n v="71331.740000000005"/>
    <n v="1750.56"/>
    <n v="73965.8"/>
    <n v="68996.95"/>
    <n v="0"/>
    <n v="0"/>
    <n v="4968.8500000000058"/>
    <n v="0"/>
    <n v="0"/>
    <n v="0"/>
    <n v="0"/>
    <n v="68997"/>
    <n v="0"/>
    <n v="0"/>
    <s v="Release2"/>
  </r>
  <r>
    <x v="769"/>
    <s v="Gomukh Hardia"/>
    <s v="MPG"/>
    <s v="Direct"/>
    <n v="261.06"/>
    <n v="10371.41"/>
    <n v="263.40000000000003"/>
    <n v="11002.869999999999"/>
    <n v="0"/>
    <n v="0"/>
    <n v="263.40000000000003"/>
    <n v="11002.869999999999"/>
    <n v="10371.41"/>
    <n v="0"/>
    <n v="0"/>
    <n v="631.45999999999913"/>
    <n v="0"/>
    <n v="500"/>
    <n v="0"/>
    <n v="9871"/>
    <n v="0"/>
    <n v="0"/>
    <n v="0"/>
    <n v="0"/>
  </r>
  <r>
    <x v="770"/>
    <s v="Gomukh Ashatol Paharpur"/>
    <s v="MPG"/>
    <s v="Direct"/>
    <n v="1944.5"/>
    <n v="79389.460000000006"/>
    <n v="1944.42"/>
    <n v="84141.659999999989"/>
    <n v="0"/>
    <n v="0"/>
    <n v="1944.42"/>
    <n v="84141.659999999989"/>
    <n v="79389.460000000006"/>
    <n v="0"/>
    <n v="0"/>
    <n v="4752.1999999999825"/>
    <n v="0"/>
    <n v="0"/>
    <n v="0"/>
    <n v="79389"/>
    <n v="0"/>
    <n v="0"/>
    <n v="0"/>
    <n v="0"/>
  </r>
  <r>
    <x v="771"/>
    <s v="Gomukh Kharawa"/>
    <s v="MPG"/>
    <s v="Direct"/>
    <n v="1346.46"/>
    <n v="55271.92"/>
    <n v="1351.4299999999998"/>
    <n v="56509.180000000008"/>
    <n v="0"/>
    <n v="0"/>
    <n v="1351.4299999999998"/>
    <n v="56509.180000000008"/>
    <n v="55271.92"/>
    <n v="0"/>
    <n v="0"/>
    <n v="1237.2600000000093"/>
    <n v="16200"/>
    <n v="0"/>
    <n v="0"/>
    <n v="39072"/>
    <n v="0"/>
    <n v="0"/>
    <n v="0"/>
    <s v="Release1"/>
  </r>
  <r>
    <x v="772"/>
    <s v="Gomukh Patel Nagar"/>
    <s v="vlc"/>
    <s v="Indirect"/>
    <n v="427.26000000000005"/>
    <n v="16511.72"/>
    <n v="0"/>
    <n v="0"/>
    <n v="0"/>
    <n v="0"/>
    <n v="0"/>
    <n v="0"/>
    <n v="16511.72"/>
    <n v="0"/>
    <n v="0"/>
    <n v="0"/>
    <n v="0"/>
    <n v="0"/>
    <n v="0"/>
    <n v="0"/>
    <n v="0"/>
    <n v="16511.72"/>
    <n v="0"/>
    <n v="0"/>
  </r>
  <r>
    <x v="773"/>
    <s v="Gomukh Pachout"/>
    <s v="MPG"/>
    <s v="Direct"/>
    <n v="964.61999999999989"/>
    <n v="35588.649999999994"/>
    <n v="1016.48"/>
    <n v="38336.85"/>
    <n v="0"/>
    <n v="0"/>
    <n v="1016.48"/>
    <n v="38336.85"/>
    <n v="35588.649999999994"/>
    <n v="0"/>
    <n v="0"/>
    <n v="2748.2000000000044"/>
    <n v="0"/>
    <n v="0"/>
    <n v="0"/>
    <n v="35589"/>
    <n v="0"/>
    <n v="0"/>
    <n v="0"/>
    <n v="0"/>
  </r>
  <r>
    <x v="774"/>
    <s v="Gomukh Telihar"/>
    <s v="MPG"/>
    <s v="Direct"/>
    <n v="733.61999999999989"/>
    <n v="29440.500000000004"/>
    <n v="732.81999999999994"/>
    <n v="28935.480000000003"/>
    <n v="0"/>
    <n v="0"/>
    <n v="732.81999999999994"/>
    <n v="28935.480000000003"/>
    <n v="28935.480000000003"/>
    <n v="0"/>
    <n v="0"/>
    <n v="0"/>
    <n v="6647"/>
    <n v="0"/>
    <n v="0"/>
    <n v="22289"/>
    <n v="0"/>
    <n v="0"/>
    <n v="505"/>
    <s v="Release3"/>
  </r>
  <r>
    <x v="775"/>
    <s v="Gomukh Pansalba Ward No 05"/>
    <s v="vlc"/>
    <s v="Indirect"/>
    <n v="1509.26"/>
    <n v="55760.579999999987"/>
    <n v="0"/>
    <n v="0"/>
    <n v="0"/>
    <n v="0"/>
    <n v="0"/>
    <n v="0"/>
    <n v="55760.579999999987"/>
    <n v="0"/>
    <n v="0"/>
    <n v="0"/>
    <n v="0"/>
    <n v="0"/>
    <n v="0"/>
    <n v="0"/>
    <n v="0"/>
    <n v="55760.579999999987"/>
    <n v="0"/>
    <n v="0"/>
  </r>
  <r>
    <x v="776"/>
    <s v="Gomukh Paharpur Jilebya "/>
    <s v="MPG"/>
    <s v="Direct"/>
    <n v="2351.1000000000004"/>
    <n v="99351.099999999991"/>
    <n v="2481.0100000000007"/>
    <n v="105342.14"/>
    <n v="295"/>
    <n v="12260.2"/>
    <n v="2776.0100000000007"/>
    <n v="117602.34"/>
    <n v="99351.099999999991"/>
    <n v="0"/>
    <n v="0"/>
    <n v="18251.240000000005"/>
    <n v="0"/>
    <n v="0"/>
    <n v="0"/>
    <n v="87091"/>
    <n v="12260"/>
    <n v="0"/>
    <n v="0"/>
    <n v="0"/>
  </r>
  <r>
    <x v="777"/>
    <s v="Gomukh Debka Vlc"/>
    <s v="vlc"/>
    <s v="Indirect"/>
    <n v="76.8"/>
    <n v="3314.7799999999997"/>
    <n v="0"/>
    <n v="0"/>
    <n v="0"/>
    <n v="0"/>
    <n v="0"/>
    <n v="0"/>
    <n v="3314.7799999999997"/>
    <n v="0"/>
    <n v="0"/>
    <n v="0"/>
    <n v="0"/>
    <n v="0"/>
    <n v="0"/>
    <n v="0"/>
    <n v="0"/>
    <n v="3314.7799999999997"/>
    <n v="0"/>
    <n v="0"/>
  </r>
  <r>
    <x v="778"/>
    <s v="Gomukh Azad Nagar"/>
    <s v="MPG"/>
    <s v="Direct"/>
    <n v="1012.08"/>
    <n v="40194.47"/>
    <n v="1020.3600000000001"/>
    <n v="41247.799999999996"/>
    <n v="0"/>
    <n v="0"/>
    <n v="1020.3600000000001"/>
    <n v="41247.799999999996"/>
    <n v="40194.47"/>
    <n v="0"/>
    <n v="0"/>
    <n v="1053.3299999999945"/>
    <n v="0"/>
    <n v="0"/>
    <n v="0"/>
    <n v="40194"/>
    <n v="0"/>
    <n v="0"/>
    <n v="0"/>
    <n v="0"/>
  </r>
  <r>
    <x v="779"/>
    <s v="Gomukh Uttari Hardia"/>
    <s v="vlc"/>
    <s v="Direct"/>
    <n v="338.32"/>
    <n v="16057.51"/>
    <n v="365.08000000000004"/>
    <n v="17158.940000000002"/>
    <n v="0"/>
    <n v="0"/>
    <n v="365.08000000000004"/>
    <n v="17158.940000000002"/>
    <n v="16057.51"/>
    <n v="0"/>
    <n v="0"/>
    <n v="1101.4300000000021"/>
    <n v="0"/>
    <n v="0"/>
    <n v="0"/>
    <n v="16058"/>
    <n v="0"/>
    <n v="0"/>
    <n v="0"/>
    <n v="0"/>
  </r>
  <r>
    <x v="780"/>
    <s v="Gomukh Nirpur Keshv Nagar"/>
    <s v="vlc"/>
    <s v="Direct"/>
    <n v="574.04000000000008"/>
    <n v="22872.93"/>
    <n v="576.09"/>
    <n v="22950.78"/>
    <n v="0"/>
    <n v="0"/>
    <n v="576.09"/>
    <n v="22950.78"/>
    <n v="22872.93"/>
    <n v="0"/>
    <n v="0"/>
    <n v="77.849999999998545"/>
    <n v="0"/>
    <n v="0"/>
    <n v="0"/>
    <n v="22873"/>
    <n v="0"/>
    <n v="0"/>
    <n v="0"/>
    <n v="0"/>
  </r>
  <r>
    <x v="781"/>
    <s v="Gomukh Thuthi Vlc"/>
    <s v="MPG"/>
    <s v="Indirect"/>
    <n v="309.62"/>
    <n v="13016.439999999999"/>
    <n v="309"/>
    <n v="12842.04"/>
    <n v="0"/>
    <n v="0"/>
    <n v="309"/>
    <n v="12842.04"/>
    <n v="13016.439999999999"/>
    <n v="0"/>
    <n v="0"/>
    <n v="0"/>
    <n v="0"/>
    <n v="0"/>
    <n v="0"/>
    <n v="0"/>
    <n v="0"/>
    <n v="13016.439999999999"/>
    <n v="0"/>
    <n v="0"/>
  </r>
  <r>
    <x v="782"/>
    <s v="Gomukh Nawadai Vlc"/>
    <s v="vlc"/>
    <s v="Indirect"/>
    <n v="58.86"/>
    <n v="2189.16"/>
    <n v="0"/>
    <n v="0"/>
    <n v="0"/>
    <n v="0"/>
    <n v="0"/>
    <n v="0"/>
    <n v="2189.16"/>
    <n v="0"/>
    <n v="0"/>
    <n v="0"/>
    <n v="2189"/>
    <n v="0"/>
    <n v="0"/>
    <n v="0"/>
    <n v="0"/>
    <n v="0.15999999999985448"/>
    <n v="0"/>
    <n v="0"/>
  </r>
  <r>
    <x v="783"/>
    <s v="Gomukh Kharra Basa"/>
    <s v="MPG"/>
    <s v="Direct"/>
    <n v="483.94000000000005"/>
    <n v="18121.3"/>
    <n v="487.06999999999994"/>
    <n v="17397.82"/>
    <n v="0"/>
    <n v="0"/>
    <n v="487.06999999999994"/>
    <n v="17397.82"/>
    <n v="17397.82"/>
    <n v="0"/>
    <n v="0"/>
    <n v="0"/>
    <n v="0"/>
    <n v="0"/>
    <n v="0"/>
    <n v="17398"/>
    <n v="0"/>
    <n v="0"/>
    <n v="723"/>
    <n v="0"/>
  </r>
  <r>
    <x v="784"/>
    <s v="Gomukh Bangalia"/>
    <s v="MPG"/>
    <s v="Direct"/>
    <n v="616.58000000000004"/>
    <n v="29163.279999999999"/>
    <n v="615.67999999999984"/>
    <n v="29258.829999999998"/>
    <n v="0"/>
    <n v="0"/>
    <n v="615.67999999999984"/>
    <n v="29258.829999999998"/>
    <n v="29163.279999999999"/>
    <n v="0"/>
    <n v="0"/>
    <n v="95.549999999999272"/>
    <n v="0"/>
    <n v="0"/>
    <n v="0"/>
    <n v="29163"/>
    <n v="0"/>
    <n v="0"/>
    <n v="0"/>
    <n v="0"/>
  </r>
  <r>
    <x v="785"/>
    <s v="Gomukh Soharba Purvi"/>
    <s v="MPG"/>
    <s v="Direct"/>
    <n v="243.72"/>
    <n v="9955.66"/>
    <n v="216.3"/>
    <n v="8615.58"/>
    <n v="71.259999999999991"/>
    <n v="2823.68"/>
    <n v="287.56"/>
    <n v="11439.26"/>
    <n v="9955.66"/>
    <n v="0"/>
    <n v="0"/>
    <n v="1483.6000000000004"/>
    <n v="0"/>
    <n v="0"/>
    <n v="0"/>
    <n v="7132"/>
    <n v="2824"/>
    <n v="0"/>
    <n v="0"/>
    <n v="0"/>
  </r>
  <r>
    <x v="786"/>
    <s v="Gommukh Khushbu Kumari Vlc"/>
    <s v="vlc"/>
    <s v="Indirect"/>
    <n v="319.72000000000008"/>
    <n v="11528.089999999998"/>
    <n v="0"/>
    <n v="0"/>
    <n v="0"/>
    <n v="0"/>
    <n v="0"/>
    <n v="0"/>
    <n v="11528.089999999998"/>
    <n v="0"/>
    <n v="0"/>
    <n v="0"/>
    <n v="0"/>
    <n v="0"/>
    <n v="0"/>
    <n v="0"/>
    <n v="0"/>
    <n v="11528.089999999998"/>
    <n v="0"/>
    <n v="0"/>
  </r>
  <r>
    <x v="787"/>
    <s v="Gomukh Saraiya Wad -5 Vlc"/>
    <s v="vlc"/>
    <s v="Indirect"/>
    <n v="138.16"/>
    <n v="5222.380000000001"/>
    <n v="0"/>
    <n v="0"/>
    <n v="0"/>
    <n v="0"/>
    <n v="0"/>
    <n v="0"/>
    <n v="5222.380000000001"/>
    <n v="0"/>
    <n v="0"/>
    <n v="0"/>
    <n v="0"/>
    <n v="0"/>
    <n v="0"/>
    <n v="0"/>
    <n v="0"/>
    <n v="5222.380000000001"/>
    <n v="0"/>
    <n v="0"/>
  </r>
  <r>
    <x v="788"/>
    <s v="Karian"/>
    <s v="MPG"/>
    <s v="Direct"/>
    <n v="66.400000000000006"/>
    <n v="2455.1500000000005"/>
    <n v="10.199999999999999"/>
    <n v="411.16"/>
    <n v="47.4"/>
    <n v="2008.6899999999998"/>
    <n v="57.599999999999994"/>
    <n v="2419.85"/>
    <n v="2419.85"/>
    <n v="0"/>
    <n v="26.85"/>
    <n v="0"/>
    <n v="0"/>
    <n v="500"/>
    <n v="0"/>
    <n v="0"/>
    <n v="1893"/>
    <n v="0"/>
    <n v="35"/>
    <s v="Release3"/>
  </r>
  <r>
    <x v="789"/>
    <s v="Teghara"/>
    <s v="MPG"/>
    <s v="Direct"/>
    <n v="308.39999999999998"/>
    <n v="12281.6"/>
    <n v="16.2"/>
    <n v="628.98"/>
    <n v="294.89999999999998"/>
    <n v="11898.85"/>
    <n v="311.09999999999997"/>
    <n v="12527.83"/>
    <n v="12281.6"/>
    <n v="0"/>
    <n v="31.36"/>
    <n v="246.22999999999956"/>
    <n v="7000"/>
    <n v="500"/>
    <n v="0"/>
    <n v="0"/>
    <n v="4750"/>
    <n v="0"/>
    <n v="0"/>
    <s v="Release3"/>
  </r>
  <r>
    <x v="790"/>
    <s v="Basantpur"/>
    <s v="MPG"/>
    <s v="Direct"/>
    <n v="814.00000000000011"/>
    <n v="36077.26"/>
    <n v="0"/>
    <n v="0"/>
    <n v="0"/>
    <n v="0"/>
    <n v="0"/>
    <n v="0"/>
    <n v="0"/>
    <n v="0"/>
    <n v="0"/>
    <n v="0"/>
    <n v="0"/>
    <n v="0"/>
    <n v="0"/>
    <n v="0"/>
    <n v="0"/>
    <n v="0"/>
    <n v="36077"/>
    <n v="0"/>
  </r>
  <r>
    <x v="791"/>
    <s v="Chakoti"/>
    <s v="MPG"/>
    <s v="Direct"/>
    <n v="1047.8999999999999"/>
    <n v="42386.43"/>
    <n v="73.61"/>
    <n v="3026.1899999999996"/>
    <n v="990.63000000000011"/>
    <n v="39324.830000000009"/>
    <n v="1064.24"/>
    <n v="42351.020000000011"/>
    <n v="42351.020000000011"/>
    <n v="0"/>
    <n v="809.43000000000006"/>
    <n v="0"/>
    <n v="3685"/>
    <n v="0"/>
    <n v="0"/>
    <n v="0"/>
    <n v="37856"/>
    <n v="0"/>
    <n v="36"/>
    <n v="0"/>
  </r>
  <r>
    <x v="792"/>
    <s v="Nathudawar"/>
    <s v="MPG"/>
    <s v="Direct"/>
    <n v="1639.3000000000002"/>
    <n v="64649.3"/>
    <n v="312.40000000000003"/>
    <n v="12308.89"/>
    <n v="1328.1"/>
    <n v="52302.559999999998"/>
    <n v="1640.5"/>
    <n v="64611.45"/>
    <n v="64611.45"/>
    <n v="0"/>
    <n v="35.799999999999997"/>
    <n v="0"/>
    <n v="748.5"/>
    <n v="0"/>
    <n v="0"/>
    <n v="11560"/>
    <n v="52266"/>
    <n v="0"/>
    <n v="39"/>
    <n v="0"/>
  </r>
  <r>
    <x v="793"/>
    <s v="Purnahi"/>
    <s v="vlc"/>
    <s v="Indirect"/>
    <n v="681.9"/>
    <n v="23789.289999999997"/>
    <n v="0"/>
    <n v="0"/>
    <n v="0"/>
    <n v="0"/>
    <n v="0"/>
    <n v="0"/>
    <n v="23789.289999999997"/>
    <n v="0"/>
    <n v="0"/>
    <n v="0"/>
    <n v="0"/>
    <n v="0"/>
    <n v="0"/>
    <n v="0"/>
    <n v="0"/>
    <n v="23789.289999999997"/>
    <n v="0"/>
    <n v="0"/>
  </r>
  <r>
    <x v="794"/>
    <s v="Baghopur "/>
    <s v="vlc"/>
    <s v="Indirect"/>
    <n v="1299.3"/>
    <n v="49973.919999999998"/>
    <n v="0"/>
    <n v="0"/>
    <n v="0"/>
    <n v="0"/>
    <n v="0"/>
    <n v="0"/>
    <n v="49973.919999999998"/>
    <n v="0"/>
    <n v="0"/>
    <n v="0"/>
    <n v="0"/>
    <n v="0"/>
    <n v="0"/>
    <n v="0"/>
    <n v="0"/>
    <n v="49973.919999999998"/>
    <n v="0"/>
    <n v="0"/>
  </r>
  <r>
    <x v="795"/>
    <s v="Dewanpur"/>
    <s v="MPG"/>
    <s v="Direct"/>
    <n v="214.2"/>
    <n v="10267.060000000001"/>
    <n v="43.75"/>
    <n v="4612.8499999999995"/>
    <n v="124.1"/>
    <n v="5654.08"/>
    <n v="167.85"/>
    <n v="10266.93"/>
    <n v="10266.93"/>
    <n v="0"/>
    <n v="0"/>
    <n v="0"/>
    <n v="0"/>
    <n v="500"/>
    <n v="0"/>
    <n v="4113"/>
    <n v="5654"/>
    <n v="0"/>
    <n v="0"/>
    <n v="0"/>
  </r>
  <r>
    <x v="797"/>
    <s v="Matua"/>
    <s v="MPG"/>
    <s v="Direct"/>
    <n v="590"/>
    <n v="27604.519999999997"/>
    <n v="156.80000000000001"/>
    <n v="6654.23"/>
    <n v="434.1"/>
    <n v="21014.44"/>
    <n v="590.90000000000009"/>
    <n v="27668.67"/>
    <n v="27604.519999999997"/>
    <n v="0"/>
    <n v="186.24"/>
    <n v="64.150000000001455"/>
    <n v="3687.75"/>
    <n v="0"/>
    <n v="0"/>
    <n v="2902"/>
    <n v="20828"/>
    <n v="0"/>
    <n v="1"/>
    <n v="0"/>
  </r>
  <r>
    <x v="798"/>
    <s v="Ratni Chouk"/>
    <s v="MPG"/>
    <s v="Direct"/>
    <n v="726"/>
    <n v="33142.460000000006"/>
    <n v="725.7"/>
    <n v="33084.199999999997"/>
    <n v="0.5"/>
    <n v="18.350000000000001"/>
    <n v="726.2"/>
    <n v="33102.549999999996"/>
    <n v="33102.549999999996"/>
    <n v="0"/>
    <n v="18.350000000000001"/>
    <n v="0"/>
    <n v="0"/>
    <n v="0"/>
    <n v="0"/>
    <n v="33084"/>
    <n v="0"/>
    <n v="0"/>
    <n v="40"/>
    <n v="0"/>
  </r>
  <r>
    <x v="799"/>
    <s v="Balahi 2"/>
    <s v="MPG"/>
    <s v="Direct"/>
    <n v="556"/>
    <n v="21479.64"/>
    <n v="484.7"/>
    <n v="18807.8"/>
    <n v="70.2"/>
    <n v="2688.3900000000003"/>
    <n v="554.9"/>
    <n v="21496.19"/>
    <n v="21479.64"/>
    <n v="0"/>
    <n v="91.13"/>
    <n v="16.549999999999272"/>
    <n v="0"/>
    <n v="0"/>
    <n v="0"/>
    <n v="18792"/>
    <n v="2597"/>
    <n v="0"/>
    <n v="0"/>
    <n v="0"/>
  </r>
  <r>
    <x v="800"/>
    <s v="Chandauli"/>
    <s v="vlc"/>
    <s v="Indirect"/>
    <n v="185.5"/>
    <n v="8484.3499999999985"/>
    <n v="0"/>
    <n v="0"/>
    <n v="0"/>
    <n v="0"/>
    <n v="0"/>
    <n v="0"/>
    <n v="8484.3499999999985"/>
    <n v="0"/>
    <n v="0"/>
    <n v="0"/>
    <n v="0"/>
    <n v="0"/>
    <n v="0"/>
    <n v="0"/>
    <n v="0"/>
    <n v="8484.3499999999985"/>
    <n v="0"/>
    <n v="0"/>
  </r>
  <r>
    <x v="801"/>
    <s v="Gulabi Choak"/>
    <s v="vlc"/>
    <s v="Indirect"/>
    <n v="1024.8999999999999"/>
    <n v="40176.57"/>
    <n v="0"/>
    <n v="0"/>
    <n v="0"/>
    <n v="0"/>
    <n v="0"/>
    <n v="0"/>
    <n v="40176.57"/>
    <n v="0"/>
    <n v="0"/>
    <n v="0"/>
    <n v="0"/>
    <n v="0"/>
    <n v="0"/>
    <n v="0"/>
    <n v="0"/>
    <n v="40176.57"/>
    <n v="0"/>
    <n v="0"/>
  </r>
  <r>
    <x v="802"/>
    <s v="Satmalpur"/>
    <s v="vlc"/>
    <s v="Indirect"/>
    <n v="853.00000000000011"/>
    <n v="33054.910000000003"/>
    <n v="0"/>
    <n v="0"/>
    <n v="0"/>
    <n v="0"/>
    <n v="0"/>
    <n v="0"/>
    <n v="33054.910000000003"/>
    <n v="0"/>
    <n v="0"/>
    <n v="0"/>
    <n v="0"/>
    <n v="0"/>
    <n v="0"/>
    <n v="0"/>
    <n v="0"/>
    <n v="33054.910000000003"/>
    <n v="0"/>
    <n v="0"/>
  </r>
  <r>
    <x v="803"/>
    <s v="Chhatnesar 2"/>
    <s v="MPG"/>
    <s v="Direct"/>
    <n v="356.70000000000005"/>
    <n v="13464.66"/>
    <n v="13.799999999999999"/>
    <n v="506.31000000000006"/>
    <n v="343.99999999999994"/>
    <n v="12944.329999999998"/>
    <n v="357.79999999999995"/>
    <n v="13450.639999999998"/>
    <n v="13450.639999999998"/>
    <n v="0"/>
    <n v="32.11"/>
    <n v="0"/>
    <n v="0"/>
    <n v="0"/>
    <n v="0"/>
    <n v="506"/>
    <n v="12912"/>
    <n v="0"/>
    <n v="15"/>
    <n v="0"/>
  </r>
  <r>
    <x v="804"/>
    <s v="Hajpurwa"/>
    <s v="MPG"/>
    <s v="Direct"/>
    <n v="137.5"/>
    <n v="5884.2"/>
    <n v="20.5"/>
    <n v="860.59"/>
    <n v="120.77000000000001"/>
    <n v="5021.3899999999994"/>
    <n v="141.27000000000001"/>
    <n v="5881.98"/>
    <n v="5881.98"/>
    <n v="0"/>
    <n v="25.89"/>
    <n v="0"/>
    <n v="0"/>
    <n v="0"/>
    <n v="0"/>
    <n v="861"/>
    <n v="4994"/>
    <n v="0"/>
    <n v="3"/>
    <n v="0"/>
  </r>
  <r>
    <x v="805"/>
    <s v="Shekhopur"/>
    <s v="MPG"/>
    <s v="Direct"/>
    <n v="408.19999999999993"/>
    <n v="15651.199999999999"/>
    <n v="52.199999999999996"/>
    <n v="2009.09"/>
    <n v="353.89"/>
    <n v="13529.36"/>
    <n v="406.09"/>
    <n v="15538.45"/>
    <n v="15538.45"/>
    <n v="0"/>
    <n v="33.78"/>
    <n v="0"/>
    <n v="2009"/>
    <n v="0"/>
    <n v="0"/>
    <n v="0"/>
    <n v="13495"/>
    <n v="0"/>
    <n v="113"/>
    <n v="0"/>
  </r>
  <r>
    <x v="806"/>
    <s v="Dharampur"/>
    <s v="MPG"/>
    <s v="Direct"/>
    <n v="133.20000000000002"/>
    <n v="5577.62"/>
    <n v="133.19999999999999"/>
    <n v="5473.380000000001"/>
    <n v="1.4000000000000001"/>
    <n v="52.59"/>
    <n v="134.6"/>
    <n v="5525.9700000000012"/>
    <n v="5525.9700000000012"/>
    <n v="0"/>
    <n v="52.59"/>
    <n v="0"/>
    <n v="0"/>
    <n v="500"/>
    <n v="0"/>
    <n v="4973"/>
    <n v="0"/>
    <n v="0"/>
    <n v="52"/>
    <n v="0"/>
  </r>
  <r>
    <x v="807"/>
    <s v="Pauriya 2"/>
    <s v="vlc"/>
    <s v="Indirect"/>
    <n v="732"/>
    <n v="32410.44"/>
    <n v="0"/>
    <n v="0"/>
    <n v="0"/>
    <n v="0"/>
    <n v="0"/>
    <n v="0"/>
    <n v="32410.44"/>
    <n v="0"/>
    <n v="0"/>
    <n v="0"/>
    <n v="0"/>
    <n v="0"/>
    <n v="0"/>
    <n v="0"/>
    <n v="0"/>
    <n v="32410.44"/>
    <n v="0"/>
    <n v="0"/>
  </r>
  <r>
    <x v="808"/>
    <s v="Hajpurwa Pachim"/>
    <s v="MPG"/>
    <s v="Direct"/>
    <n v="302.7"/>
    <n v="14363.96"/>
    <n v="292.5"/>
    <n v="14280.77"/>
    <n v="0.79"/>
    <n v="26.51"/>
    <n v="293.29000000000002"/>
    <n v="14307.28"/>
    <n v="14307.28"/>
    <n v="0"/>
    <n v="0"/>
    <n v="0"/>
    <n v="0"/>
    <n v="0"/>
    <n v="0"/>
    <n v="14281"/>
    <n v="27"/>
    <n v="0"/>
    <n v="56"/>
    <n v="0"/>
  </r>
  <r>
    <x v="809"/>
    <s v="Almasnagar"/>
    <s v="vlc"/>
    <s v="Indirect"/>
    <n v="177.1"/>
    <n v="6985.27"/>
    <n v="0"/>
    <n v="0"/>
    <n v="0"/>
    <n v="0"/>
    <n v="0"/>
    <n v="0"/>
    <n v="6985.27"/>
    <n v="0"/>
    <n v="0"/>
    <n v="0"/>
    <n v="0"/>
    <n v="0"/>
    <n v="0"/>
    <n v="0"/>
    <n v="0"/>
    <n v="6985.27"/>
    <n v="0"/>
    <n v="0"/>
  </r>
  <r>
    <x v="810"/>
    <s v="Kadarchak"/>
    <s v="vlc"/>
    <s v="Indirect"/>
    <n v="36.800000000000004"/>
    <n v="1486.62"/>
    <n v="0"/>
    <n v="0"/>
    <n v="0"/>
    <n v="0"/>
    <n v="0"/>
    <n v="0"/>
    <n v="1486.62"/>
    <n v="0"/>
    <n v="0"/>
    <n v="0"/>
    <n v="0"/>
    <n v="0"/>
    <n v="0"/>
    <n v="0"/>
    <n v="0"/>
    <n v="1486.62"/>
    <n v="0"/>
    <n v="0"/>
  </r>
  <r>
    <x v="811"/>
    <s v="Rahua"/>
    <s v="MPG"/>
    <s v="Direct"/>
    <n v="152.4"/>
    <n v="6186.7300000000005"/>
    <n v="152.39999999999998"/>
    <n v="6191.5599999999995"/>
    <n v="0"/>
    <n v="0"/>
    <n v="152.39999999999998"/>
    <n v="6191.5599999999995"/>
    <n v="6186.7300000000005"/>
    <n v="0"/>
    <n v="0"/>
    <n v="4.8299999999990177"/>
    <n v="0"/>
    <n v="0"/>
    <n v="0"/>
    <n v="6187"/>
    <n v="0"/>
    <n v="0"/>
    <n v="0"/>
    <n v="0"/>
  </r>
  <r>
    <x v="812"/>
    <s v="Dagrua"/>
    <s v="MPG"/>
    <s v="Direct"/>
    <n v="145.29999999999998"/>
    <n v="7038.36"/>
    <n v="145.30000000000001"/>
    <n v="7043.31"/>
    <n v="0"/>
    <n v="0"/>
    <n v="145.30000000000001"/>
    <n v="7043.31"/>
    <n v="7038.36"/>
    <n v="0"/>
    <n v="0"/>
    <n v="4.9500000000007276"/>
    <n v="748.5"/>
    <n v="0"/>
    <n v="0"/>
    <n v="6290"/>
    <n v="0"/>
    <n v="0"/>
    <n v="0"/>
    <n v="0"/>
  </r>
  <r>
    <x v="813"/>
    <s v="Buzurgdoar"/>
    <s v="MPG"/>
    <s v="Direct"/>
    <n v="1043.4000000000001"/>
    <n v="42073.42"/>
    <n v="1043.2"/>
    <n v="42498.119999999995"/>
    <n v="0"/>
    <n v="0"/>
    <n v="1043.2"/>
    <n v="42498.119999999995"/>
    <n v="42073.42"/>
    <n v="0"/>
    <n v="0"/>
    <n v="424.69999999999709"/>
    <n v="0"/>
    <n v="0"/>
    <n v="0"/>
    <n v="42073"/>
    <n v="0"/>
    <n v="0"/>
    <n v="0"/>
    <n v="0"/>
  </r>
  <r>
    <x v="814"/>
    <s v="Patpara"/>
    <s v="vlc"/>
    <s v="Indirect"/>
    <n v="491.9"/>
    <n v="17016.53"/>
    <n v="0"/>
    <n v="0"/>
    <n v="0"/>
    <n v="0"/>
    <n v="0"/>
    <n v="0"/>
    <n v="17016.53"/>
    <n v="0"/>
    <n v="0"/>
    <n v="0"/>
    <n v="0"/>
    <n v="0"/>
    <n v="0"/>
    <n v="0"/>
    <n v="0"/>
    <n v="17016.53"/>
    <n v="0"/>
    <n v="0"/>
  </r>
  <r>
    <x v="815"/>
    <s v="Kamopur"/>
    <s v="MPG"/>
    <s v="Direct"/>
    <n v="395.7"/>
    <n v="17267.25"/>
    <n v="374.09999999999997"/>
    <n v="15101.750000000002"/>
    <n v="77.000000000000014"/>
    <n v="4546.93"/>
    <n v="451.09999999999997"/>
    <n v="19648.68"/>
    <n v="17267.25"/>
    <n v="0"/>
    <n v="100.14"/>
    <n v="2381.4300000000003"/>
    <n v="0"/>
    <n v="0"/>
    <n v="0"/>
    <n v="12721"/>
    <n v="4446"/>
    <n v="0"/>
    <n v="0"/>
    <s v="Release3"/>
  </r>
  <r>
    <x v="816"/>
    <s v="Kussaiya"/>
    <s v="MPG"/>
    <s v="Direct"/>
    <n v="448.5"/>
    <n v="19512.439999999995"/>
    <n v="101.00000000000001"/>
    <n v="4230.2600000000011"/>
    <n v="355.7"/>
    <n v="15308.189999999999"/>
    <n v="456.7"/>
    <n v="19538.45"/>
    <n v="19512.439999999995"/>
    <n v="0"/>
    <n v="0"/>
    <n v="26.010000000005675"/>
    <n v="2800"/>
    <n v="0"/>
    <n v="0"/>
    <n v="1405"/>
    <n v="15307"/>
    <n v="0"/>
    <n v="0"/>
    <n v="0"/>
  </r>
  <r>
    <x v="817"/>
    <s v="Jagdishpur"/>
    <s v="MPG"/>
    <s v="Direct"/>
    <n v="128.29999999999998"/>
    <n v="4800.6299999999992"/>
    <n v="110.3"/>
    <n v="3935.8799999999997"/>
    <n v="21.5"/>
    <n v="817.36"/>
    <n v="131.80000000000001"/>
    <n v="4753.24"/>
    <n v="4753.24"/>
    <n v="0"/>
    <n v="0"/>
    <n v="0"/>
    <n v="4754"/>
    <n v="0"/>
    <n v="0"/>
    <n v="0"/>
    <n v="0"/>
    <n v="0"/>
    <n v="47"/>
    <n v="0"/>
  </r>
  <r>
    <x v="818"/>
    <s v="Kanu Bisanpur"/>
    <s v="vlc"/>
    <s v="Indirect"/>
    <n v="300.2"/>
    <n v="11983.18"/>
    <n v="0"/>
    <n v="0"/>
    <n v="0"/>
    <n v="0"/>
    <n v="0"/>
    <n v="0"/>
    <n v="11983.18"/>
    <n v="0"/>
    <n v="0"/>
    <n v="0"/>
    <n v="0"/>
    <n v="0"/>
    <n v="0"/>
    <n v="0"/>
    <n v="0"/>
    <n v="11983.18"/>
    <n v="0"/>
    <n v="0"/>
  </r>
  <r>
    <x v="819"/>
    <s v="Raini 2"/>
    <s v="MPG"/>
    <s v="Direct"/>
    <n v="479.9"/>
    <n v="19213.259999999998"/>
    <n v="39.4"/>
    <n v="1572.8500000000001"/>
    <n v="440.49999999999994"/>
    <n v="17628.169999999995"/>
    <n v="479.89999999999992"/>
    <n v="19201.019999999993"/>
    <n v="19201.019999999993"/>
    <n v="0"/>
    <n v="0"/>
    <n v="0"/>
    <n v="0"/>
    <n v="0"/>
    <n v="0"/>
    <n v="1573"/>
    <n v="17628"/>
    <n v="0"/>
    <n v="12"/>
    <n v="0"/>
  </r>
  <r>
    <x v="820"/>
    <s v="Babupur"/>
    <s v="vlc"/>
    <s v="Indirect"/>
    <n v="1255.4000000000001"/>
    <n v="48115.010000000009"/>
    <n v="0"/>
    <n v="0"/>
    <n v="0"/>
    <n v="0"/>
    <n v="0"/>
    <n v="0"/>
    <n v="48115.010000000009"/>
    <n v="0"/>
    <n v="0"/>
    <n v="0"/>
    <n v="0"/>
    <n v="0"/>
    <n v="0"/>
    <n v="0"/>
    <n v="0"/>
    <n v="48115.010000000009"/>
    <n v="0"/>
    <n v="0"/>
  </r>
  <r>
    <x v="821"/>
    <s v="Rahua 2"/>
    <s v="vlc"/>
    <s v="Indirect"/>
    <n v="1682.7"/>
    <n v="73543.959999999992"/>
    <n v="0"/>
    <n v="0"/>
    <n v="0"/>
    <n v="0"/>
    <n v="0"/>
    <n v="0"/>
    <n v="73543.959999999992"/>
    <n v="0"/>
    <n v="0"/>
    <n v="0"/>
    <n v="0"/>
    <n v="0"/>
    <n v="0"/>
    <n v="0"/>
    <n v="0"/>
    <n v="73543.959999999992"/>
    <n v="0"/>
    <n v="0"/>
  </r>
  <r>
    <x v="822"/>
    <s v="Madhopur"/>
    <s v="vlc"/>
    <s v="Indirect"/>
    <n v="591.59999999999991"/>
    <n v="26296.899999999998"/>
    <n v="0"/>
    <n v="0"/>
    <n v="0"/>
    <n v="0"/>
    <n v="0"/>
    <n v="0"/>
    <n v="26296.899999999998"/>
    <n v="0"/>
    <n v="0"/>
    <n v="0"/>
    <n v="0"/>
    <n v="0"/>
    <n v="0"/>
    <n v="0"/>
    <n v="0"/>
    <n v="26296.899999999998"/>
    <n v="0"/>
    <n v="0"/>
  </r>
  <r>
    <x v="823"/>
    <s v="Ekdara"/>
    <s v="vlc"/>
    <s v="Indirect"/>
    <n v="2803.1000000000004"/>
    <n v="108250.01000000001"/>
    <n v="0"/>
    <n v="0"/>
    <n v="0"/>
    <n v="0"/>
    <n v="0"/>
    <n v="0"/>
    <n v="108250.01000000001"/>
    <n v="0"/>
    <n v="0"/>
    <n v="0"/>
    <n v="0"/>
    <n v="0"/>
    <n v="0"/>
    <n v="0"/>
    <n v="0"/>
    <n v="108250.01000000001"/>
    <n v="0"/>
    <n v="0"/>
  </r>
  <r>
    <x v="824"/>
    <s v="Khokasaha"/>
    <s v="vlc"/>
    <s v="Indirect"/>
    <n v="971.39999999999986"/>
    <n v="37949.80999999999"/>
    <n v="0"/>
    <n v="0"/>
    <n v="0"/>
    <n v="0"/>
    <n v="0"/>
    <n v="0"/>
    <n v="37949.80999999999"/>
    <n v="0"/>
    <n v="0"/>
    <n v="0"/>
    <n v="0"/>
    <n v="0"/>
    <n v="0"/>
    <n v="0"/>
    <n v="0"/>
    <n v="37949.80999999999"/>
    <n v="0"/>
    <n v="0"/>
  </r>
  <r>
    <x v="825"/>
    <s v="Madhopur 2"/>
    <s v="vlc"/>
    <s v="Indirect"/>
    <n v="1018.8000000000001"/>
    <n v="39355.4"/>
    <n v="0"/>
    <n v="0"/>
    <n v="0"/>
    <n v="0"/>
    <n v="0"/>
    <n v="0"/>
    <n v="39355.4"/>
    <n v="0"/>
    <n v="0"/>
    <n v="0"/>
    <n v="0"/>
    <n v="0"/>
    <n v="0"/>
    <n v="0"/>
    <n v="0"/>
    <n v="39355.4"/>
    <n v="0"/>
    <n v="0"/>
  </r>
  <r>
    <x v="826"/>
    <s v="Kadarchak 2"/>
    <s v="vlc"/>
    <s v="Indirect"/>
    <n v="243.9"/>
    <n v="9141.9900000000016"/>
    <n v="0"/>
    <n v="0"/>
    <n v="0"/>
    <n v="0"/>
    <n v="0"/>
    <n v="0"/>
    <n v="9141.9900000000016"/>
    <n v="0"/>
    <n v="0"/>
    <n v="0"/>
    <n v="377.25"/>
    <n v="0"/>
    <n v="0"/>
    <n v="0"/>
    <n v="0"/>
    <n v="8764.7400000000016"/>
    <n v="0"/>
    <n v="0"/>
  </r>
  <r>
    <x v="827"/>
    <s v="Madhopur Dih"/>
    <s v="vlc"/>
    <s v="Indirect"/>
    <n v="363.80000000000007"/>
    <n v="14682.190000000002"/>
    <n v="0"/>
    <n v="0"/>
    <n v="0"/>
    <n v="0"/>
    <n v="0"/>
    <n v="0"/>
    <n v="14682.190000000002"/>
    <n v="0"/>
    <n v="0"/>
    <n v="0"/>
    <n v="0"/>
    <n v="0"/>
    <n v="0"/>
    <n v="0"/>
    <n v="0"/>
    <n v="14682.190000000002"/>
    <n v="0"/>
    <n v="0"/>
  </r>
  <r>
    <x v="828"/>
    <s v="Alampur"/>
    <s v="vlc"/>
    <s v="Indirect"/>
    <n v="987.8"/>
    <n v="38117.39"/>
    <n v="0"/>
    <n v="0"/>
    <n v="0"/>
    <n v="0"/>
    <n v="0"/>
    <n v="0"/>
    <n v="38117.39"/>
    <n v="0"/>
    <n v="0"/>
    <n v="0"/>
    <n v="748.5"/>
    <n v="0"/>
    <n v="0"/>
    <n v="0"/>
    <n v="0"/>
    <n v="37368.89"/>
    <n v="0"/>
    <n v="0"/>
  </r>
  <r>
    <x v="829"/>
    <s v="Satmalpur Pachim"/>
    <s v="vlc"/>
    <s v="Indirect"/>
    <n v="76.799999999999983"/>
    <n v="2727.42"/>
    <n v="0"/>
    <n v="0"/>
    <n v="0"/>
    <n v="0"/>
    <n v="0"/>
    <n v="0"/>
    <n v="2727.42"/>
    <n v="0"/>
    <n v="0"/>
    <n v="0"/>
    <n v="0"/>
    <n v="0"/>
    <n v="0"/>
    <n v="0"/>
    <n v="0"/>
    <n v="2727.42"/>
    <n v="0"/>
    <n v="0"/>
  </r>
  <r>
    <x v="830"/>
    <s v="Ganopur"/>
    <s v="vlc"/>
    <s v="Indirect"/>
    <n v="168.9"/>
    <n v="6137.1500000000015"/>
    <n v="0"/>
    <n v="0"/>
    <n v="0"/>
    <n v="0"/>
    <n v="0"/>
    <n v="0"/>
    <n v="6137.1500000000015"/>
    <n v="0"/>
    <n v="0"/>
    <n v="0"/>
    <n v="0"/>
    <n v="0"/>
    <n v="0"/>
    <n v="0"/>
    <n v="0"/>
    <n v="6137.1500000000015"/>
    <n v="0"/>
    <n v="0"/>
  </r>
  <r>
    <x v="831"/>
    <s v="Mahuli"/>
    <s v="MPG"/>
    <s v="Direct"/>
    <n v="504.17"/>
    <n v="21930.51"/>
    <n v="489.99999999999994"/>
    <n v="20966.439999999995"/>
    <n v="8.5999999999999979"/>
    <n v="368.15000000000003"/>
    <n v="498.59999999999997"/>
    <n v="21334.589999999997"/>
    <n v="21334.589999999997"/>
    <n v="0"/>
    <n v="368.15000000000003"/>
    <n v="0"/>
    <n v="0"/>
    <n v="0"/>
    <n v="0"/>
    <n v="20967"/>
    <n v="0"/>
    <n v="0"/>
    <n v="595"/>
    <n v="0"/>
  </r>
  <r>
    <x v="832"/>
    <s v="Sakhwa Ghat"/>
    <s v="MPG"/>
    <s v="Direct"/>
    <n v="429.55999999999995"/>
    <n v="19202.519999999997"/>
    <n v="421.30000000000007"/>
    <n v="18914.889999999996"/>
    <n v="7.6000000000000005"/>
    <n v="313.14999999999998"/>
    <n v="428.90000000000009"/>
    <n v="19228.039999999997"/>
    <n v="19202.519999999997"/>
    <n v="0"/>
    <n v="313.14999999999998"/>
    <n v="25.520000000000437"/>
    <n v="0"/>
    <n v="0"/>
    <n v="0"/>
    <n v="18889"/>
    <n v="0"/>
    <n v="0"/>
    <n v="0"/>
    <n v="0"/>
  </r>
  <r>
    <x v="833"/>
    <s v="Patiya"/>
    <s v="MPG"/>
    <s v="Direct"/>
    <n v="246.42000000000002"/>
    <n v="10297.61"/>
    <n v="253.99999999999997"/>
    <n v="10421.049999999999"/>
    <n v="1.1000000000000001"/>
    <n v="46.17"/>
    <n v="255.09999999999997"/>
    <n v="10467.219999999999"/>
    <n v="10297.61"/>
    <n v="0"/>
    <n v="46.17"/>
    <n v="169.60999999999876"/>
    <n v="0"/>
    <n v="0"/>
    <n v="0"/>
    <n v="10251"/>
    <n v="0"/>
    <n v="0"/>
    <n v="0"/>
    <n v="0"/>
  </r>
  <r>
    <x v="834"/>
    <s v="Kasiya"/>
    <s v="MPG"/>
    <s v="Direct"/>
    <n v="623.55999999999995"/>
    <n v="25997.960000000003"/>
    <n v="590.29999999999995"/>
    <n v="25383.800000000003"/>
    <n v="7.6999999999999993"/>
    <n v="313.33000000000004"/>
    <n v="598"/>
    <n v="25697.130000000005"/>
    <n v="25697.130000000005"/>
    <n v="0"/>
    <n v="313.33000000000004"/>
    <n v="0"/>
    <n v="0"/>
    <n v="0"/>
    <n v="0"/>
    <n v="25384"/>
    <n v="0"/>
    <n v="0"/>
    <n v="301"/>
    <n v="0"/>
  </r>
  <r>
    <x v="835"/>
    <s v="Godah"/>
    <s v="MPG"/>
    <s v="Direct"/>
    <n v="474.29"/>
    <n v="21387.62"/>
    <n v="519.4"/>
    <n v="25242.359999999997"/>
    <n v="0"/>
    <n v="0"/>
    <n v="519.4"/>
    <n v="25242.359999999997"/>
    <n v="21387.62"/>
    <n v="0"/>
    <n v="0"/>
    <n v="3854.739999999998"/>
    <n v="0"/>
    <n v="0"/>
    <n v="0"/>
    <n v="21388"/>
    <n v="0"/>
    <n v="0"/>
    <n v="0"/>
    <n v="0"/>
  </r>
  <r>
    <x v="836"/>
    <s v="Ballahpur"/>
    <s v="MPG"/>
    <s v="Direct"/>
    <n v="478.56999999999994"/>
    <n v="18191.66"/>
    <n v="522.16000000000008"/>
    <n v="21009.93"/>
    <n v="0"/>
    <n v="0"/>
    <n v="522.16000000000008"/>
    <n v="21009.93"/>
    <n v="18191.66"/>
    <n v="0"/>
    <n v="0"/>
    <n v="2818.2700000000004"/>
    <n v="0"/>
    <n v="500"/>
    <n v="0"/>
    <n v="17692"/>
    <n v="0"/>
    <n v="0"/>
    <n v="0"/>
    <n v="0"/>
  </r>
  <r>
    <x v="837"/>
    <s v="Laxmipur-VLC"/>
    <s v="vlc"/>
    <s v="Indirect"/>
    <n v="175.18"/>
    <n v="6204.19"/>
    <n v="0"/>
    <n v="0"/>
    <n v="0"/>
    <n v="0"/>
    <n v="0"/>
    <n v="0"/>
    <n v="6204.19"/>
    <n v="0"/>
    <n v="0"/>
    <n v="0"/>
    <n v="0"/>
    <n v="0"/>
    <n v="0"/>
    <n v="0"/>
    <n v="0"/>
    <n v="6204.19"/>
    <n v="0"/>
    <n v="0"/>
  </r>
  <r>
    <x v="838"/>
    <s v="Birpur"/>
    <s v="MPG"/>
    <s v="Direct"/>
    <n v="480.5800000000001"/>
    <n v="18196.310000000001"/>
    <n v="472.47"/>
    <n v="18049.080000000002"/>
    <n v="0"/>
    <n v="0"/>
    <n v="472.47"/>
    <n v="18049.080000000002"/>
    <n v="18049.080000000002"/>
    <n v="0"/>
    <n v="0"/>
    <n v="0"/>
    <n v="0"/>
    <n v="0"/>
    <n v="0"/>
    <n v="18050"/>
    <n v="0"/>
    <n v="0"/>
    <n v="146"/>
    <n v="0"/>
  </r>
  <r>
    <x v="839"/>
    <s v="Ahilwar"/>
    <s v="MPG"/>
    <s v="Direct"/>
    <n v="974.13999999999987"/>
    <n v="40889.329999999994"/>
    <n v="723.09999999999991"/>
    <n v="30935.859999999993"/>
    <n v="238.99999999999997"/>
    <n v="8906.86"/>
    <n v="962.09999999999991"/>
    <n v="39842.719999999994"/>
    <n v="39842.719999999994"/>
    <n v="0"/>
    <n v="194.6"/>
    <n v="0"/>
    <n v="0"/>
    <n v="0"/>
    <n v="0"/>
    <n v="30936"/>
    <n v="8713"/>
    <n v="0"/>
    <n v="1046"/>
    <n v="0"/>
  </r>
  <r>
    <x v="840"/>
    <s v="Paridah"/>
    <s v="MPG"/>
    <s v="Direct"/>
    <n v="359.98999999999995"/>
    <n v="14435.210000000001"/>
    <n v="345.05999999999995"/>
    <n v="14106.279999999999"/>
    <n v="2.84"/>
    <n v="114.64999999999999"/>
    <n v="347.89999999999992"/>
    <n v="14220.929999999998"/>
    <n v="14220.929999999998"/>
    <n v="0"/>
    <n v="114.64999999999999"/>
    <n v="0"/>
    <n v="0"/>
    <n v="500"/>
    <n v="0"/>
    <n v="13606"/>
    <n v="0"/>
    <n v="0"/>
    <n v="215"/>
    <s v="Release2"/>
  </r>
  <r>
    <x v="841"/>
    <s v="KOLAWARI"/>
    <s v="MPG"/>
    <s v="Direct"/>
    <n v="575.38"/>
    <n v="23657.350000000002"/>
    <n v="566.4"/>
    <n v="23171.089999999997"/>
    <n v="6"/>
    <n v="270.24"/>
    <n v="572.4"/>
    <n v="23441.329999999998"/>
    <n v="23441.329999999998"/>
    <n v="0"/>
    <n v="270.24"/>
    <n v="0"/>
    <n v="0"/>
    <n v="0"/>
    <n v="0"/>
    <n v="23171"/>
    <n v="0"/>
    <n v="0"/>
    <n v="216"/>
    <n v="0"/>
  </r>
  <r>
    <x v="842"/>
    <s v="MALDAH"/>
    <s v="vlc"/>
    <s v="Indirect"/>
    <n v="789.20000000000016"/>
    <n v="31540.070000000003"/>
    <n v="0"/>
    <n v="0"/>
    <n v="0"/>
    <n v="0"/>
    <n v="0"/>
    <n v="0"/>
    <n v="31540.070000000003"/>
    <n v="0"/>
    <n v="0"/>
    <n v="0"/>
    <n v="0"/>
    <n v="0"/>
    <n v="0"/>
    <n v="0"/>
    <n v="0"/>
    <n v="31540.070000000003"/>
    <n v="0"/>
    <n v="0"/>
  </r>
  <r>
    <x v="843"/>
    <s v="KARANCHI"/>
    <s v="MPG"/>
    <s v="Direct"/>
    <n v="678.31999999999994"/>
    <n v="26899.49"/>
    <n v="653.8000000000003"/>
    <n v="28614.329999999987"/>
    <n v="0"/>
    <n v="0"/>
    <n v="653.8000000000003"/>
    <n v="28614.329999999987"/>
    <n v="26899.49"/>
    <n v="0"/>
    <n v="0"/>
    <n v="1714.8399999999856"/>
    <n v="0"/>
    <n v="0"/>
    <n v="0"/>
    <n v="26899"/>
    <n v="0"/>
    <n v="0"/>
    <n v="0"/>
    <s v="Release2"/>
  </r>
  <r>
    <x v="844"/>
    <s v="MARTHUA"/>
    <s v="MPG"/>
    <s v="Direct"/>
    <n v="860.17"/>
    <n v="38369.179999999993"/>
    <n v="865.15999999999985"/>
    <n v="39647.75"/>
    <n v="0"/>
    <n v="0"/>
    <n v="865.15999999999985"/>
    <n v="39647.75"/>
    <n v="38369.179999999993"/>
    <n v="0"/>
    <n v="0"/>
    <n v="1278.570000000007"/>
    <n v="0"/>
    <n v="0"/>
    <n v="0"/>
    <n v="38369"/>
    <n v="0"/>
    <n v="0"/>
    <n v="0"/>
    <n v="0"/>
  </r>
  <r>
    <x v="845"/>
    <s v="GARHPURA "/>
    <s v="MPG"/>
    <s v="Direct"/>
    <n v="130.29"/>
    <n v="5763.2"/>
    <n v="108.00000000000001"/>
    <n v="4867.8500000000004"/>
    <n v="0"/>
    <n v="0"/>
    <n v="108.00000000000001"/>
    <n v="4867.8500000000004"/>
    <n v="4867.8500000000004"/>
    <n v="0"/>
    <n v="0"/>
    <n v="0"/>
    <n v="0"/>
    <n v="0"/>
    <n v="0"/>
    <n v="4868"/>
    <n v="0"/>
    <n v="0"/>
    <n v="895"/>
    <n v="0"/>
  </r>
  <r>
    <x v="846"/>
    <s v="KOKANI"/>
    <s v="MPG"/>
    <s v="Direct"/>
    <n v="119.04999999999998"/>
    <n v="4847.9800000000005"/>
    <n v="103.36999999999999"/>
    <n v="4295.74"/>
    <n v="0"/>
    <n v="0"/>
    <n v="103.36999999999999"/>
    <n v="4295.74"/>
    <n v="4295.74"/>
    <n v="0"/>
    <n v="0"/>
    <n v="0"/>
    <n v="0"/>
    <n v="0"/>
    <n v="0"/>
    <n v="4296"/>
    <n v="0"/>
    <n v="0"/>
    <n v="552"/>
    <n v="0"/>
  </r>
  <r>
    <x v="847"/>
    <s v="DURGAPUR "/>
    <s v="MPG"/>
    <s v="Direct"/>
    <n v="438.15"/>
    <n v="17526.879999999997"/>
    <n v="438.40000000000003"/>
    <n v="17586.09"/>
    <n v="0"/>
    <n v="0"/>
    <n v="438.40000000000003"/>
    <n v="17586.09"/>
    <n v="17526.879999999997"/>
    <n v="0"/>
    <n v="0"/>
    <n v="59.210000000002765"/>
    <n v="0"/>
    <n v="0"/>
    <n v="0"/>
    <n v="17527"/>
    <n v="0"/>
    <n v="0"/>
    <n v="0"/>
    <n v="0"/>
  </r>
  <r>
    <x v="848"/>
    <s v="Chandauli"/>
    <s v="MPG"/>
    <s v="Direct"/>
    <n v="284.54000000000002"/>
    <n v="12689.990000000002"/>
    <n v="264.99999999999994"/>
    <n v="12303.630000000001"/>
    <n v="0"/>
    <n v="0"/>
    <n v="264.99999999999994"/>
    <n v="12303.630000000001"/>
    <n v="12303.630000000001"/>
    <n v="0"/>
    <n v="0"/>
    <n v="0"/>
    <n v="0"/>
    <n v="0"/>
    <n v="0"/>
    <n v="12305"/>
    <n v="0"/>
    <n v="0"/>
    <n v="385"/>
    <n v="0"/>
  </r>
  <r>
    <x v="850"/>
    <s v="MISHRBIGHA"/>
    <s v="MPG"/>
    <s v="Direct"/>
    <n v="895.6"/>
    <n v="42513.04"/>
    <n v="992.8"/>
    <n v="49127.659999999989"/>
    <n v="0"/>
    <n v="0"/>
    <n v="992.8"/>
    <n v="49127.659999999989"/>
    <n v="42513.04"/>
    <n v="0"/>
    <n v="0"/>
    <n v="6614.6199999999881"/>
    <n v="0"/>
    <n v="0"/>
    <n v="0"/>
    <n v="42513"/>
    <n v="0"/>
    <n v="0"/>
    <n v="0"/>
    <n v="0"/>
  </r>
  <r>
    <x v="851"/>
    <s v="DIGHOI"/>
    <s v="MPG"/>
    <s v="Direct"/>
    <n v="58.1"/>
    <n v="3894.19"/>
    <n v="58.099999999999994"/>
    <n v="3890.25"/>
    <n v="0"/>
    <n v="0"/>
    <n v="58.099999999999994"/>
    <n v="3890.25"/>
    <n v="3890.25"/>
    <n v="0"/>
    <n v="0"/>
    <n v="0"/>
    <n v="0"/>
    <n v="500"/>
    <n v="0"/>
    <n v="3390"/>
    <n v="0"/>
    <n v="0"/>
    <n v="4"/>
    <n v="0"/>
  </r>
  <r>
    <x v="852"/>
    <s v="PRATAPUR"/>
    <s v="MPG"/>
    <s v="Direct"/>
    <n v="913.69999999999993"/>
    <n v="35455.25"/>
    <n v="913.7"/>
    <n v="35489.350000000006"/>
    <n v="0"/>
    <n v="0"/>
    <n v="913.7"/>
    <n v="35489.350000000006"/>
    <n v="35455.25"/>
    <n v="0"/>
    <n v="0"/>
    <n v="34.100000000005821"/>
    <n v="0"/>
    <n v="0"/>
    <n v="0"/>
    <n v="35455"/>
    <n v="0"/>
    <n v="0"/>
    <n v="0"/>
    <n v="0"/>
  </r>
  <r>
    <x v="853"/>
    <s v="GOPALPUR"/>
    <s v="MPG"/>
    <s v="Direct"/>
    <n v="2152.6"/>
    <n v="98843.35"/>
    <n v="2178.8999999999996"/>
    <n v="98970.74"/>
    <n v="0"/>
    <n v="0"/>
    <n v="2178.8999999999996"/>
    <n v="98970.74"/>
    <n v="98843.35"/>
    <n v="0"/>
    <n v="0"/>
    <n v="127.38999999999942"/>
    <n v="0"/>
    <n v="0"/>
    <n v="0"/>
    <n v="98843"/>
    <n v="0"/>
    <n v="0"/>
    <n v="0"/>
    <n v="0"/>
  </r>
  <r>
    <x v="854"/>
    <s v="NARMDA"/>
    <s v="MPG"/>
    <s v="Direct"/>
    <n v="324.60000000000002"/>
    <n v="15698.539999999999"/>
    <n v="351.8"/>
    <n v="17117.440000000002"/>
    <n v="0"/>
    <n v="0"/>
    <n v="351.8"/>
    <n v="17117.440000000002"/>
    <n v="15698.539999999999"/>
    <n v="0"/>
    <n v="0"/>
    <n v="1418.9000000000033"/>
    <n v="0"/>
    <n v="0"/>
    <n v="0"/>
    <n v="15699"/>
    <n v="0"/>
    <n v="0"/>
    <n v="0"/>
    <n v="0"/>
  </r>
  <r>
    <x v="855"/>
    <s v="AMRATH"/>
    <s v="MPG"/>
    <s v="Direct"/>
    <n v="1651.1000000000001"/>
    <n v="84388.19"/>
    <n v="1657.3000000000002"/>
    <n v="84259.75"/>
    <n v="0"/>
    <n v="0"/>
    <n v="1657.3000000000002"/>
    <n v="84259.75"/>
    <n v="84259.75"/>
    <n v="0"/>
    <n v="0"/>
    <n v="0"/>
    <n v="0"/>
    <n v="0"/>
    <n v="0"/>
    <n v="84259"/>
    <n v="0"/>
    <n v="0"/>
    <n v="129"/>
    <n v="0"/>
  </r>
  <r>
    <x v="856"/>
    <s v="PUTERIA"/>
    <s v="MPG"/>
    <s v="Direct"/>
    <n v="508.70000000000005"/>
    <n v="21680.100000000002"/>
    <n v="500.12"/>
    <n v="23236.729999999996"/>
    <n v="0"/>
    <n v="0"/>
    <n v="500.12"/>
    <n v="23236.729999999996"/>
    <n v="21680.100000000002"/>
    <n v="0"/>
    <n v="0"/>
    <n v="1556.6299999999937"/>
    <n v="0"/>
    <n v="0"/>
    <n v="0"/>
    <n v="21680"/>
    <n v="0"/>
    <n v="0"/>
    <n v="0"/>
    <n v="0"/>
  </r>
  <r>
    <x v="857"/>
    <s v="LAKHAPUR"/>
    <s v="MPG"/>
    <s v="Direct"/>
    <n v="1108.8999999999999"/>
    <n v="47555.78"/>
    <n v="1108.8999999999996"/>
    <n v="47496.419999999991"/>
    <n v="0"/>
    <n v="0"/>
    <n v="1108.8999999999996"/>
    <n v="47496.419999999991"/>
    <n v="47496.419999999991"/>
    <n v="0"/>
    <n v="0"/>
    <n v="0"/>
    <n v="0"/>
    <n v="0"/>
    <n v="0"/>
    <n v="47496"/>
    <n v="0"/>
    <n v="0"/>
    <n v="60"/>
    <n v="0"/>
  </r>
  <r>
    <x v="858"/>
    <s v="BARIYARPUR"/>
    <s v="MPG"/>
    <s v="Direct"/>
    <n v="580.19999999999993"/>
    <n v="28017.71"/>
    <n v="580.5"/>
    <n v="27067.579999999998"/>
    <n v="0"/>
    <n v="0"/>
    <n v="580.5"/>
    <n v="27067.579999999998"/>
    <n v="27067.579999999998"/>
    <n v="0"/>
    <n v="0"/>
    <n v="0"/>
    <n v="0"/>
    <n v="0"/>
    <n v="0"/>
    <n v="27068"/>
    <n v="0"/>
    <n v="0"/>
    <n v="950"/>
    <n v="0"/>
  </r>
  <r>
    <x v="859"/>
    <s v="BAGWANA"/>
    <s v="MPG"/>
    <s v="Direct"/>
    <n v="769.5"/>
    <n v="36819.300000000003"/>
    <n v="844.90000000000009"/>
    <n v="40510.590000000004"/>
    <n v="0"/>
    <n v="0"/>
    <n v="844.90000000000009"/>
    <n v="40510.590000000004"/>
    <n v="36819.300000000003"/>
    <n v="0"/>
    <n v="0"/>
    <n v="3691.2900000000009"/>
    <n v="0"/>
    <n v="0"/>
    <n v="0"/>
    <n v="36819"/>
    <n v="0"/>
    <n v="0"/>
    <n v="0"/>
    <n v="0"/>
  </r>
  <r>
    <x v="860"/>
    <s v="GOMUKH DAND"/>
    <s v="vlc"/>
    <s v="Indirect"/>
    <n v="375.90000000000003"/>
    <n v="20047.990000000002"/>
    <n v="0"/>
    <n v="0"/>
    <n v="0"/>
    <n v="0"/>
    <n v="0"/>
    <n v="0"/>
    <n v="20047.990000000002"/>
    <n v="0"/>
    <n v="0"/>
    <n v="0"/>
    <n v="0"/>
    <n v="0"/>
    <n v="0"/>
    <n v="0"/>
    <n v="0"/>
    <n v="20047.990000000002"/>
    <n v="0"/>
    <n v="0"/>
  </r>
  <r>
    <x v="1020"/>
    <s v="Gomukh Karisath"/>
    <s v="MPG"/>
    <s v="Direct"/>
    <n v="112.7"/>
    <n v="4397.24"/>
    <n v="112.5"/>
    <n v="4378.5"/>
    <n v="0"/>
    <n v="0"/>
    <n v="112.5"/>
    <n v="4378.5"/>
    <n v="4378.5"/>
    <n v="0"/>
    <n v="0"/>
    <n v="0"/>
    <n v="0"/>
    <n v="0"/>
    <n v="0"/>
    <n v="4379"/>
    <n v="0"/>
    <n v="0"/>
    <n v="18"/>
    <n v="0"/>
  </r>
  <r>
    <x v="861"/>
    <s v="Gomukh Ama"/>
    <s v="MPG"/>
    <s v="Direct"/>
    <n v="632.80000000000007"/>
    <n v="24847.55"/>
    <n v="606.29"/>
    <n v="24841.369999999995"/>
    <n v="0"/>
    <n v="0"/>
    <n v="606.29"/>
    <n v="24841.369999999995"/>
    <n v="24841.369999999995"/>
    <n v="0"/>
    <n v="0"/>
    <n v="0"/>
    <n v="0"/>
    <n v="0"/>
    <n v="0"/>
    <n v="24841"/>
    <n v="0"/>
    <n v="0"/>
    <n v="7"/>
    <n v="0"/>
  </r>
  <r>
    <x v="862"/>
    <s v="Gomukh Pawat"/>
    <s v="MPG"/>
    <s v="Direct"/>
    <n v="179.9"/>
    <n v="7365.119999999999"/>
    <n v="178.82"/>
    <n v="7353.63"/>
    <n v="0"/>
    <n v="0"/>
    <n v="178.82"/>
    <n v="7353.63"/>
    <n v="7353.63"/>
    <n v="0"/>
    <n v="0"/>
    <n v="0"/>
    <n v="2660"/>
    <n v="0"/>
    <n v="0"/>
    <n v="4694"/>
    <n v="0"/>
    <n v="0"/>
    <n v="11"/>
    <n v="0"/>
  </r>
  <r>
    <x v="863"/>
    <s v="Gomukh Barja"/>
    <s v="MPG"/>
    <s v="Direct"/>
    <n v="135.4"/>
    <n v="5189.37"/>
    <n v="134.6"/>
    <n v="5182.1000000000004"/>
    <n v="0"/>
    <n v="0"/>
    <n v="134.6"/>
    <n v="5182.1000000000004"/>
    <n v="5182.1000000000004"/>
    <n v="0"/>
    <n v="0"/>
    <n v="0"/>
    <n v="0"/>
    <n v="0"/>
    <n v="0"/>
    <n v="5182"/>
    <n v="0"/>
    <n v="0"/>
    <n v="7"/>
    <n v="0"/>
  </r>
  <r>
    <x v="864"/>
    <s v="Gomukh Charghat"/>
    <s v="MPG"/>
    <s v="Direct"/>
    <n v="40.400000000000006"/>
    <n v="1740.8400000000001"/>
    <n v="58.17"/>
    <n v="2360.0500000000002"/>
    <n v="0"/>
    <n v="0"/>
    <n v="58.17"/>
    <n v="2360.0500000000002"/>
    <n v="1740.8400000000001"/>
    <n v="0"/>
    <n v="0"/>
    <n v="619.21"/>
    <n v="0"/>
    <n v="0"/>
    <n v="0"/>
    <n v="1741"/>
    <n v="0"/>
    <n v="0"/>
    <n v="0"/>
    <n v="0"/>
  </r>
  <r>
    <x v="865"/>
    <s v="Gomukh Ramdihra"/>
    <s v="MPG"/>
    <s v="Direct"/>
    <n v="97.3"/>
    <n v="3503.79"/>
    <n v="97.2"/>
    <n v="3499.2"/>
    <n v="0"/>
    <n v="0"/>
    <n v="97.2"/>
    <n v="3499.2"/>
    <n v="3499.2"/>
    <n v="0"/>
    <n v="0"/>
    <n v="0"/>
    <n v="0"/>
    <n v="500"/>
    <n v="0"/>
    <n v="2999"/>
    <n v="0"/>
    <n v="0"/>
    <n v="5"/>
    <n v="0"/>
  </r>
  <r>
    <x v="866"/>
    <s v="Gomukh Bara"/>
    <s v="MPG"/>
    <s v="Direct"/>
    <n v="64.900000000000006"/>
    <n v="2416.79"/>
    <n v="62.580000000000005"/>
    <n v="2404.48"/>
    <n v="0"/>
    <n v="0"/>
    <n v="62.580000000000005"/>
    <n v="2404.48"/>
    <n v="2404.48"/>
    <n v="0"/>
    <n v="0"/>
    <n v="0"/>
    <n v="0"/>
    <n v="0"/>
    <n v="0"/>
    <n v="2404"/>
    <n v="0"/>
    <n v="0"/>
    <n v="13"/>
    <n v="0"/>
  </r>
  <r>
    <x v="867"/>
    <s v="Gumukh Khajuriya"/>
    <s v="MPG"/>
    <s v="Direct"/>
    <n v="219.10000000000002"/>
    <n v="8979.44"/>
    <n v="267.02000000000004"/>
    <n v="10536.269999999997"/>
    <n v="0"/>
    <n v="0"/>
    <n v="267.02000000000004"/>
    <n v="10536.269999999997"/>
    <n v="8979.44"/>
    <n v="0"/>
    <n v="0"/>
    <n v="1556.8299999999963"/>
    <n v="2660"/>
    <n v="0"/>
    <n v="0"/>
    <n v="6319"/>
    <n v="0"/>
    <n v="0"/>
    <n v="0"/>
    <n v="0"/>
  </r>
  <r>
    <x v="868"/>
    <s v="GOMUKH BHATOLIYA"/>
    <s v="MPG"/>
    <s v="Direct"/>
    <n v="636.70000000000005"/>
    <n v="30332.879999999997"/>
    <n v="654.79999999999995"/>
    <n v="30399.71"/>
    <n v="0.5"/>
    <n v="20.78"/>
    <n v="655.29999999999995"/>
    <n v="30420.489999999998"/>
    <n v="30332.879999999997"/>
    <n v="0"/>
    <n v="20.78"/>
    <n v="87.610000000000582"/>
    <n v="0"/>
    <n v="0"/>
    <n v="0"/>
    <n v="30312"/>
    <n v="0"/>
    <n v="0"/>
    <n v="0"/>
    <n v="0"/>
  </r>
  <r>
    <x v="869"/>
    <s v="GOMUKH CHEHRAKALA"/>
    <s v="MPG"/>
    <s v="Direct"/>
    <n v="403.09999999999997"/>
    <n v="18498.18"/>
    <n v="406.40000000000003"/>
    <n v="19422.710000000003"/>
    <n v="0"/>
    <n v="0"/>
    <n v="406.40000000000003"/>
    <n v="19422.710000000003"/>
    <n v="18498.18"/>
    <n v="0"/>
    <n v="0"/>
    <n v="924.53000000000247"/>
    <n v="0"/>
    <n v="0"/>
    <n v="0"/>
    <n v="18498"/>
    <n v="0"/>
    <n v="0"/>
    <n v="0"/>
    <n v="0"/>
  </r>
  <r>
    <x v="870"/>
    <s v="GOMUKH KHAJECHAND"/>
    <s v="MPG"/>
    <s v="Direct"/>
    <n v="254.60000000000005"/>
    <n v="10135.120000000001"/>
    <n v="257.8"/>
    <n v="10512.97"/>
    <n v="0"/>
    <n v="0"/>
    <n v="257.8"/>
    <n v="10512.97"/>
    <n v="10135.120000000001"/>
    <n v="0"/>
    <n v="0"/>
    <n v="377.84999999999854"/>
    <n v="0"/>
    <n v="0"/>
    <n v="0"/>
    <n v="10135"/>
    <n v="0"/>
    <n v="0"/>
    <n v="0"/>
    <n v="0"/>
  </r>
  <r>
    <x v="871"/>
    <s v="GOMUKH SALEMPUR"/>
    <s v="MPG"/>
    <s v="Direct"/>
    <n v="354.4"/>
    <n v="15684.02"/>
    <n v="344.59999999999991"/>
    <n v="15862.27"/>
    <n v="7.8"/>
    <n v="344.98"/>
    <n v="352.39999999999992"/>
    <n v="16207.25"/>
    <n v="15684.02"/>
    <n v="0"/>
    <n v="344.98"/>
    <n v="523.22999999999956"/>
    <n v="7336"/>
    <n v="0"/>
    <n v="0"/>
    <n v="8003"/>
    <n v="0"/>
    <n v="0"/>
    <n v="0"/>
    <s v="Release3"/>
  </r>
  <r>
    <x v="872"/>
    <s v="Gomukh Paharpur"/>
    <s v="MPG"/>
    <s v="Direct"/>
    <n v="1024.5"/>
    <n v="45806.19"/>
    <n v="1056.7"/>
    <n v="45789.19000000001"/>
    <n v="0"/>
    <n v="0"/>
    <n v="1056.7"/>
    <n v="45789.19000000001"/>
    <n v="45789.19000000001"/>
    <n v="0"/>
    <n v="0"/>
    <n v="0"/>
    <n v="0"/>
    <n v="0"/>
    <n v="0"/>
    <n v="45790"/>
    <n v="0"/>
    <n v="0"/>
    <n v="16"/>
    <n v="0"/>
  </r>
  <r>
    <x v="873"/>
    <s v="GOMUKH PREMRAJ"/>
    <s v="MPG"/>
    <s v="Direct"/>
    <n v="359.5"/>
    <n v="18040.739999999998"/>
    <n v="359.6"/>
    <n v="17576.53"/>
    <n v="0"/>
    <n v="0"/>
    <n v="359.6"/>
    <n v="17576.53"/>
    <n v="17576.53"/>
    <n v="0"/>
    <n v="0"/>
    <n v="0"/>
    <n v="0"/>
    <n v="0"/>
    <n v="0"/>
    <n v="17576"/>
    <n v="0"/>
    <n v="0"/>
    <n v="465"/>
    <n v="0"/>
  </r>
  <r>
    <x v="874"/>
    <s v="GOMUKH GANGATI"/>
    <s v="MPG"/>
    <s v="Direct"/>
    <n v="402.09999999999991"/>
    <n v="18694.46"/>
    <n v="404.1"/>
    <n v="18326.64"/>
    <n v="0"/>
    <n v="0"/>
    <n v="404.1"/>
    <n v="18326.64"/>
    <n v="18326.64"/>
    <n v="0"/>
    <n v="0"/>
    <n v="0"/>
    <n v="0"/>
    <n v="0"/>
    <n v="0"/>
    <n v="18326"/>
    <n v="0"/>
    <n v="0"/>
    <n v="368"/>
    <n v="0"/>
  </r>
  <r>
    <x v="875"/>
    <s v="GOMUKH Khanpatti"/>
    <s v="MPG"/>
    <s v="Direct"/>
    <n v="1311.3999999999999"/>
    <n v="62263.560000000005"/>
    <n v="1330.0999999999997"/>
    <n v="63008.990000000005"/>
    <n v="16.400000000000002"/>
    <n v="747.66"/>
    <n v="1346.4999999999998"/>
    <n v="63756.650000000009"/>
    <n v="62263.560000000005"/>
    <n v="0"/>
    <n v="747.66"/>
    <n v="1493.0900000000038"/>
    <n v="6050"/>
    <n v="0"/>
    <n v="0"/>
    <n v="55466"/>
    <n v="0"/>
    <n v="0"/>
    <n v="0"/>
    <s v="Release1"/>
  </r>
  <r>
    <x v="876"/>
    <s v="GOMUKH Bhagwatpur"/>
    <s v="MPG"/>
    <s v="Direct"/>
    <n v="447.50000000000006"/>
    <n v="21820.819999999996"/>
    <n v="494.79999999999995"/>
    <n v="23095.01"/>
    <n v="0"/>
    <n v="0"/>
    <n v="494.79999999999995"/>
    <n v="23095.01"/>
    <n v="21820.819999999996"/>
    <n v="0"/>
    <n v="0"/>
    <n v="1274.1900000000023"/>
    <n v="0"/>
    <n v="0"/>
    <n v="0"/>
    <n v="21821"/>
    <n v="0"/>
    <n v="0"/>
    <n v="0"/>
    <n v="0"/>
  </r>
  <r>
    <x v="877"/>
    <s v="GOMUKH JIRWARA"/>
    <s v="vlc"/>
    <s v="Indirect"/>
    <n v="361.2"/>
    <n v="14362.16"/>
    <n v="0"/>
    <n v="0"/>
    <n v="0"/>
    <n v="0"/>
    <n v="0"/>
    <n v="0"/>
    <n v="14362.16"/>
    <n v="0"/>
    <n v="0"/>
    <n v="0"/>
    <n v="0"/>
    <n v="0"/>
    <n v="0"/>
    <n v="0"/>
    <n v="0"/>
    <n v="14362.16"/>
    <n v="0"/>
    <n v="0"/>
  </r>
  <r>
    <x v="878"/>
    <s v="GOMUKH Karhatiya"/>
    <s v="vlc"/>
    <s v="Indirect"/>
    <n v="162.69999999999999"/>
    <n v="5681.71"/>
    <n v="0"/>
    <n v="0"/>
    <n v="0"/>
    <n v="0"/>
    <n v="0"/>
    <n v="0"/>
    <n v="5681.71"/>
    <n v="0"/>
    <n v="0"/>
    <n v="0"/>
    <n v="0"/>
    <n v="0"/>
    <n v="0"/>
    <n v="0"/>
    <n v="0"/>
    <n v="5681.71"/>
    <n v="0"/>
    <n v="0"/>
  </r>
  <r>
    <x v="879"/>
    <s v="GOMUKH Bheraukhara"/>
    <s v="MPG"/>
    <s v="Direct"/>
    <n v="189.20000000000002"/>
    <n v="7998.9000000000005"/>
    <n v="187.59999999999997"/>
    <n v="7962.9999999999991"/>
    <n v="0"/>
    <n v="0"/>
    <n v="187.59999999999997"/>
    <n v="7962.9999999999991"/>
    <n v="7962.9999999999991"/>
    <n v="0"/>
    <n v="0"/>
    <n v="0"/>
    <n v="0"/>
    <n v="0"/>
    <n v="0"/>
    <n v="7963"/>
    <n v="0"/>
    <n v="0"/>
    <n v="36"/>
    <n v="0"/>
  </r>
  <r>
    <x v="880"/>
    <s v="GOMUKH SUPOLTARIYA"/>
    <s v="MPG"/>
    <s v="Direct"/>
    <n v="487.3"/>
    <n v="21942.970000000005"/>
    <n v="266.39999999999998"/>
    <n v="12931.76"/>
    <n v="247.6"/>
    <n v="9557.42"/>
    <n v="514"/>
    <n v="22489.18"/>
    <n v="21942.970000000005"/>
    <n v="0"/>
    <n v="0"/>
    <n v="546.20999999999549"/>
    <n v="0"/>
    <n v="0"/>
    <n v="0"/>
    <n v="12387"/>
    <n v="9556"/>
    <n v="0"/>
    <n v="0"/>
    <n v="0"/>
  </r>
  <r>
    <x v="881"/>
    <s v="GOMUKH Shravanapatti"/>
    <s v="MPG"/>
    <s v="Direct"/>
    <n v="48.3"/>
    <n v="2434.08"/>
    <n v="47.400000000000006"/>
    <n v="2278.0800000000004"/>
    <n v="0"/>
    <n v="0"/>
    <n v="47.400000000000006"/>
    <n v="2278.0800000000004"/>
    <n v="2278.0800000000004"/>
    <n v="0"/>
    <n v="0"/>
    <n v="0"/>
    <n v="0"/>
    <n v="0"/>
    <n v="0"/>
    <n v="2278"/>
    <n v="0"/>
    <n v="0"/>
    <n v="156"/>
    <n v="0"/>
  </r>
  <r>
    <x v="882"/>
    <s v="GOMUKH Jilwara"/>
    <s v="MPG"/>
    <s v="Direct"/>
    <n v="320.20000000000005"/>
    <n v="14010.720000000003"/>
    <n v="317.40000000000003"/>
    <n v="13729.810000000001"/>
    <n v="3"/>
    <n v="132.31"/>
    <n v="320.40000000000003"/>
    <n v="13862.12"/>
    <n v="13862.12"/>
    <n v="0"/>
    <n v="132.31"/>
    <n v="0"/>
    <n v="0"/>
    <n v="0"/>
    <n v="0"/>
    <n v="13731"/>
    <n v="0"/>
    <n v="0"/>
    <n v="147"/>
    <n v="0"/>
  </r>
  <r>
    <x v="883"/>
    <s v="GOMUKH ABBUCHAK"/>
    <s v="MPG"/>
    <s v="Direct"/>
    <n v="173.80000000000004"/>
    <n v="9748.5600000000013"/>
    <n v="177"/>
    <n v="9828.3100000000013"/>
    <n v="0"/>
    <n v="0"/>
    <n v="177"/>
    <n v="9828.3100000000013"/>
    <n v="9748.5600000000013"/>
    <n v="0"/>
    <n v="0"/>
    <n v="79.75"/>
    <n v="0"/>
    <n v="0"/>
    <n v="0"/>
    <n v="9749"/>
    <n v="0"/>
    <n v="0"/>
    <n v="0"/>
    <n v="0"/>
  </r>
  <r>
    <x v="884"/>
    <s v="GOMUKH KAILA JALALPUR"/>
    <s v="MPG"/>
    <s v="Direct"/>
    <n v="277.09999999999997"/>
    <n v="11071.089999999998"/>
    <n v="279.59999999999991"/>
    <n v="10874.19"/>
    <n v="2.6"/>
    <n v="126.06"/>
    <n v="282.19999999999993"/>
    <n v="11000.25"/>
    <n v="11000.25"/>
    <n v="0"/>
    <n v="126.06"/>
    <n v="0"/>
    <n v="7000"/>
    <n v="0"/>
    <n v="0"/>
    <n v="3874"/>
    <n v="0"/>
    <n v="0"/>
    <n v="71"/>
    <s v="Release1"/>
  </r>
  <r>
    <x v="886"/>
    <s v="Gomukh Jhitkahi East"/>
    <s v="MPG"/>
    <s v="Direct"/>
    <n v="155.5"/>
    <n v="8298.2200000000012"/>
    <n v="151.5"/>
    <n v="8262.4499999999989"/>
    <n v="0"/>
    <n v="0"/>
    <n v="151.5"/>
    <n v="8262.4499999999989"/>
    <n v="8262.4499999999989"/>
    <n v="0"/>
    <n v="0"/>
    <n v="0"/>
    <n v="0"/>
    <n v="0"/>
    <n v="0"/>
    <n v="8263"/>
    <n v="0"/>
    <n v="0"/>
    <n v="35"/>
    <n v="0"/>
  </r>
  <r>
    <x v="887"/>
    <s v="GOMUKH UPHRAUL"/>
    <s v="vlc"/>
    <s v="Indirect"/>
    <n v="1703.4999999999998"/>
    <n v="65933.69"/>
    <n v="0"/>
    <n v="0"/>
    <n v="0"/>
    <n v="0"/>
    <n v="0"/>
    <n v="0"/>
    <n v="65933.69"/>
    <n v="0"/>
    <n v="0"/>
    <n v="0"/>
    <n v="0"/>
    <n v="0"/>
    <n v="0"/>
    <n v="0"/>
    <n v="0"/>
    <n v="65933.69"/>
    <n v="0"/>
    <n v="0"/>
  </r>
  <r>
    <x v="888"/>
    <s v="GOMUKH SHERPUR"/>
    <s v="vlc"/>
    <s v="Indirect"/>
    <n v="181.39999999999998"/>
    <n v="7016.7"/>
    <n v="0"/>
    <n v="0"/>
    <n v="0"/>
    <n v="0"/>
    <n v="0"/>
    <n v="0"/>
    <n v="7016.7"/>
    <n v="0"/>
    <n v="0"/>
    <n v="0"/>
    <n v="0"/>
    <n v="0"/>
    <n v="0"/>
    <n v="0"/>
    <n v="0"/>
    <n v="7016.7"/>
    <n v="0"/>
    <n v="0"/>
  </r>
  <r>
    <x v="989"/>
    <s v="GOMUKH PANSALA"/>
    <s v="vlc"/>
    <s v="Indirect"/>
    <n v="622.9"/>
    <n v="25428.399999999998"/>
    <n v="0"/>
    <n v="0"/>
    <n v="0"/>
    <n v="0"/>
    <n v="0"/>
    <n v="0"/>
    <n v="25428.399999999998"/>
    <n v="0"/>
    <n v="0"/>
    <n v="0"/>
    <n v="0"/>
    <n v="0"/>
    <n v="0"/>
    <n v="0"/>
    <n v="0"/>
    <n v="25428.399999999998"/>
    <n v="0"/>
    <n v="0"/>
  </r>
  <r>
    <x v="990"/>
    <s v="GOMUKH KUSIYARI"/>
    <s v="vlc"/>
    <s v="Indirect"/>
    <n v="387.40000000000003"/>
    <n v="14745.93"/>
    <n v="0"/>
    <n v="0"/>
    <n v="0"/>
    <n v="0"/>
    <n v="0"/>
    <n v="0"/>
    <n v="14745.93"/>
    <n v="0"/>
    <n v="0"/>
    <n v="0"/>
    <n v="0"/>
    <n v="0"/>
    <n v="0"/>
    <n v="0"/>
    <n v="0"/>
    <n v="14745.93"/>
    <n v="0"/>
    <n v="0"/>
  </r>
  <r>
    <x v="991"/>
    <s v="GOMUKH PACHAI"/>
    <s v="vlc"/>
    <s v="Indirect"/>
    <n v="557.69999999999993"/>
    <n v="21807.730000000003"/>
    <n v="0"/>
    <n v="0"/>
    <n v="0"/>
    <n v="0"/>
    <n v="0"/>
    <n v="0"/>
    <n v="21807.730000000003"/>
    <n v="0"/>
    <n v="0"/>
    <n v="0"/>
    <n v="0"/>
    <n v="0"/>
    <n v="0"/>
    <n v="0"/>
    <n v="0"/>
    <n v="21807.730000000003"/>
    <n v="0"/>
    <n v="0"/>
  </r>
  <r>
    <x v="889"/>
    <s v="GOMUKH GARAHI"/>
    <s v="vlc"/>
    <s v="Indirect"/>
    <n v="338.7"/>
    <n v="11371.109999999999"/>
    <n v="0"/>
    <n v="0"/>
    <n v="0"/>
    <n v="0"/>
    <n v="0"/>
    <n v="0"/>
    <n v="11371.109999999999"/>
    <n v="0"/>
    <n v="0"/>
    <n v="0"/>
    <n v="0"/>
    <n v="0"/>
    <n v="0"/>
    <n v="0"/>
    <n v="0"/>
    <n v="11371.109999999999"/>
    <n v="0"/>
    <n v="0"/>
  </r>
  <r>
    <x v="890"/>
    <s v="GOMUKH BAIKUNTHPUR"/>
    <s v="vlc"/>
    <s v="Indirect"/>
    <n v="439.3"/>
    <n v="16211.98"/>
    <n v="0"/>
    <n v="0"/>
    <n v="0"/>
    <n v="0"/>
    <n v="0"/>
    <n v="0"/>
    <n v="16211.98"/>
    <n v="0"/>
    <n v="0"/>
    <n v="0"/>
    <n v="0"/>
    <n v="0"/>
    <n v="0"/>
    <n v="0"/>
    <n v="0"/>
    <n v="16211.98"/>
    <n v="0"/>
    <n v="0"/>
  </r>
  <r>
    <x v="891"/>
    <s v="GOMUKH BAHASHI"/>
    <s v="vlc"/>
    <s v="Indirect"/>
    <n v="1965.6999999999998"/>
    <n v="71310.450000000012"/>
    <n v="0"/>
    <n v="0"/>
    <n v="0"/>
    <n v="0"/>
    <n v="0"/>
    <n v="0"/>
    <n v="71310.450000000012"/>
    <n v="0"/>
    <n v="0"/>
    <n v="0"/>
    <n v="0"/>
    <n v="0"/>
    <n v="0"/>
    <n v="0"/>
    <n v="0"/>
    <n v="71310.450000000012"/>
    <n v="0"/>
    <n v="0"/>
  </r>
  <r>
    <x v="1021"/>
    <s v="GOMUKH BAKHRI"/>
    <s v="vlc"/>
    <s v="Indirect"/>
    <n v="1648.6000000000001"/>
    <n v="67442.570000000007"/>
    <n v="0"/>
    <n v="0"/>
    <n v="0"/>
    <n v="0"/>
    <n v="0"/>
    <n v="0"/>
    <n v="67442.570000000007"/>
    <n v="0"/>
    <n v="0"/>
    <n v="0"/>
    <n v="0"/>
    <n v="0"/>
    <n v="0"/>
    <n v="0"/>
    <n v="0"/>
    <n v="67442.570000000007"/>
    <n v="0"/>
    <n v="0"/>
  </r>
  <r>
    <x v="893"/>
    <s v="GOMUKH KHARIKA"/>
    <s v="vlc"/>
    <s v="Indirect"/>
    <n v="543.5"/>
    <n v="21205.230000000003"/>
    <n v="0"/>
    <n v="0"/>
    <n v="0"/>
    <n v="0"/>
    <n v="0"/>
    <n v="0"/>
    <n v="21205.230000000003"/>
    <n v="0"/>
    <n v="0"/>
    <n v="0"/>
    <n v="0"/>
    <n v="0"/>
    <n v="0"/>
    <n v="0"/>
    <n v="0"/>
    <n v="21205.230000000003"/>
    <n v="0"/>
    <n v="0"/>
  </r>
  <r>
    <x v="992"/>
    <s v="GOMUKH GOVINDPUR"/>
    <s v="vlc"/>
    <s v="Indirect"/>
    <n v="407.8"/>
    <n v="14635.050000000001"/>
    <n v="0"/>
    <n v="0"/>
    <n v="0"/>
    <n v="0"/>
    <n v="0"/>
    <n v="0"/>
    <n v="14635.050000000001"/>
    <n v="0"/>
    <n v="0"/>
    <n v="0"/>
    <n v="0"/>
    <n v="0"/>
    <n v="0"/>
    <n v="0"/>
    <n v="0"/>
    <n v="14635.050000000001"/>
    <n v="0"/>
    <n v="0"/>
  </r>
  <r>
    <x v="896"/>
    <s v="GOMUKH HARPUR RAJESH"/>
    <s v="vlc"/>
    <s v="Indirect"/>
    <n v="441.2"/>
    <n v="18355.080000000002"/>
    <n v="0"/>
    <n v="0"/>
    <n v="0"/>
    <n v="0"/>
    <n v="0"/>
    <n v="0"/>
    <n v="18355.080000000002"/>
    <n v="0"/>
    <n v="0"/>
    <n v="0"/>
    <n v="0"/>
    <n v="0"/>
    <n v="0"/>
    <n v="0"/>
    <n v="0"/>
    <n v="18355.080000000002"/>
    <n v="0"/>
    <n v="0"/>
  </r>
  <r>
    <x v="897"/>
    <s v="GOMUKH SANICHAR HATT"/>
    <s v="vlc"/>
    <s v="Indirect"/>
    <n v="264.39999999999998"/>
    <n v="9999.6500000000015"/>
    <n v="0"/>
    <n v="0"/>
    <n v="0"/>
    <n v="0"/>
    <n v="0"/>
    <n v="0"/>
    <n v="9999.6500000000015"/>
    <n v="0"/>
    <n v="0"/>
    <n v="0"/>
    <n v="0"/>
    <n v="0"/>
    <n v="0"/>
    <n v="0"/>
    <n v="0"/>
    <n v="9999.6500000000015"/>
    <n v="0"/>
    <n v="0"/>
  </r>
  <r>
    <x v="898"/>
    <s v="GOMUKH SAHARIYA"/>
    <s v="vlc"/>
    <s v="Indirect"/>
    <n v="704.20000000000016"/>
    <n v="27249.179999999997"/>
    <n v="0"/>
    <n v="0"/>
    <n v="0"/>
    <n v="0"/>
    <n v="0"/>
    <n v="0"/>
    <n v="27249.179999999997"/>
    <n v="0"/>
    <n v="0"/>
    <n v="0"/>
    <n v="0"/>
    <n v="0"/>
    <n v="0"/>
    <n v="0"/>
    <n v="0"/>
    <n v="27249.179999999997"/>
    <n v="0"/>
    <n v="0"/>
  </r>
  <r>
    <x v="899"/>
    <s v="GOMUKH TAJPUR BUZURG"/>
    <s v="MPG"/>
    <s v="Direct"/>
    <n v="679"/>
    <n v="26789.479999999996"/>
    <n v="680"/>
    <n v="25859.530000000002"/>
    <n v="0"/>
    <n v="0"/>
    <n v="680"/>
    <n v="25859.530000000002"/>
    <n v="25859.530000000002"/>
    <n v="0"/>
    <n v="0"/>
    <n v="0"/>
    <n v="0"/>
    <n v="0"/>
    <n v="0"/>
    <n v="25859"/>
    <n v="0"/>
    <n v="0"/>
    <n v="930"/>
    <n v="0"/>
  </r>
  <r>
    <x v="900"/>
    <s v="GOMUKH PAITRAPUR"/>
    <s v="MPG"/>
    <s v="Direct"/>
    <n v="253.9"/>
    <n v="12643.569999999998"/>
    <n v="234.79999999999998"/>
    <n v="11461.140000000001"/>
    <n v="20"/>
    <n v="1183.1300000000001"/>
    <n v="254.79999999999998"/>
    <n v="12644.27"/>
    <n v="12643.569999999998"/>
    <n v="0"/>
    <n v="0"/>
    <n v="0.70000000000254659"/>
    <n v="0"/>
    <n v="0"/>
    <n v="0"/>
    <n v="11460"/>
    <n v="1183"/>
    <n v="0"/>
    <n v="1"/>
    <n v="0"/>
  </r>
  <r>
    <x v="901"/>
    <s v="GOMUKH JAI MATA DI MILK CENTER"/>
    <s v="vlc"/>
    <s v="Indirect"/>
    <n v="2141.3000000000002"/>
    <n v="83271.02"/>
    <n v="0"/>
    <n v="0"/>
    <n v="0"/>
    <n v="0"/>
    <n v="0"/>
    <n v="0"/>
    <n v="83271.02"/>
    <n v="0"/>
    <n v="0"/>
    <n v="0"/>
    <n v="0"/>
    <n v="0"/>
    <n v="0"/>
    <n v="0"/>
    <n v="0"/>
    <n v="83271.02"/>
    <n v="0"/>
    <n v="0"/>
  </r>
  <r>
    <x v="902"/>
    <s v="GOMUKH NEW GANGAJAL"/>
    <s v="vlc"/>
    <s v="Indirect"/>
    <n v="72.7"/>
    <n v="2287.87"/>
    <n v="0"/>
    <n v="0"/>
    <n v="0"/>
    <n v="0"/>
    <n v="0"/>
    <n v="0"/>
    <n v="2287.87"/>
    <n v="0"/>
    <n v="0"/>
    <n v="0"/>
    <n v="0"/>
    <n v="0"/>
    <n v="0"/>
    <n v="0"/>
    <n v="0"/>
    <n v="2287.87"/>
    <n v="0"/>
    <n v="0"/>
  </r>
  <r>
    <x v="904"/>
    <s v="GOMUKH BAHJRANGI"/>
    <s v="vlc"/>
    <s v="Indirect"/>
    <n v="1038.5999999999999"/>
    <n v="44150.37000000001"/>
    <n v="0"/>
    <n v="0"/>
    <n v="0"/>
    <n v="0"/>
    <n v="0"/>
    <n v="0"/>
    <n v="44150.37000000001"/>
    <n v="0"/>
    <n v="0"/>
    <n v="0"/>
    <n v="0"/>
    <n v="0"/>
    <n v="0"/>
    <n v="0"/>
    <n v="0"/>
    <n v="44150.37000000001"/>
    <n v="0"/>
    <n v="0"/>
  </r>
  <r>
    <x v="993"/>
    <s v="GOMUKH CHAKABDUL"/>
    <s v="vlc"/>
    <s v="Indirect"/>
    <n v="242.10000000000002"/>
    <n v="8808.24"/>
    <n v="0"/>
    <n v="0"/>
    <n v="0"/>
    <n v="0"/>
    <n v="0"/>
    <n v="0"/>
    <n v="8808.24"/>
    <n v="0"/>
    <n v="0"/>
    <n v="0"/>
    <n v="0"/>
    <n v="0"/>
    <n v="0"/>
    <n v="0"/>
    <n v="0"/>
    <n v="8808.24"/>
    <n v="0"/>
    <n v="0"/>
  </r>
  <r>
    <x v="994"/>
    <s v="GOMUKH BAJITPUR"/>
    <s v="vlc"/>
    <s v="Indirect"/>
    <n v="281.40000000000003"/>
    <n v="11067.849999999999"/>
    <n v="0"/>
    <n v="0"/>
    <n v="0"/>
    <n v="0"/>
    <n v="0"/>
    <n v="0"/>
    <n v="11067.849999999999"/>
    <n v="0"/>
    <n v="0"/>
    <n v="0"/>
    <n v="0"/>
    <n v="0"/>
    <n v="0"/>
    <n v="0"/>
    <n v="0"/>
    <n v="11067.849999999999"/>
    <n v="0"/>
    <n v="0"/>
  </r>
  <r>
    <x v="995"/>
    <s v="GOMUKH SHAHPUR TOI"/>
    <s v="vlc"/>
    <s v="Indirect"/>
    <n v="328.59999999999997"/>
    <n v="13843.560000000001"/>
    <n v="0"/>
    <n v="0"/>
    <n v="0"/>
    <n v="0"/>
    <n v="0"/>
    <n v="0"/>
    <n v="13843.560000000001"/>
    <n v="0"/>
    <n v="0"/>
    <n v="0"/>
    <n v="0"/>
    <n v="0"/>
    <n v="0"/>
    <n v="0"/>
    <n v="0"/>
    <n v="13843.560000000001"/>
    <n v="0"/>
    <n v="0"/>
  </r>
  <r>
    <x v="996"/>
    <s v="GOMUKH SUPAYAN"/>
    <s v="vlc"/>
    <s v="Indirect"/>
    <n v="787.6"/>
    <n v="33292.67"/>
    <n v="0"/>
    <n v="0"/>
    <n v="0"/>
    <n v="0"/>
    <n v="0"/>
    <n v="0"/>
    <n v="33292.67"/>
    <n v="0"/>
    <n v="0"/>
    <n v="0"/>
    <n v="0"/>
    <n v="0"/>
    <n v="0"/>
    <n v="0"/>
    <n v="0"/>
    <n v="33292.67"/>
    <n v="0"/>
    <n v="0"/>
  </r>
  <r>
    <x v="1022"/>
    <s v="GOMUKH RAJAPAKAR PURBI"/>
    <s v="vlc"/>
    <s v="Indirect"/>
    <n v="31.7"/>
    <n v="1258.1600000000001"/>
    <n v="0"/>
    <n v="0"/>
    <n v="0"/>
    <n v="0"/>
    <n v="0"/>
    <n v="0"/>
    <n v="1258.1600000000001"/>
    <n v="0"/>
    <n v="0"/>
    <n v="0"/>
    <n v="0"/>
    <n v="0"/>
    <n v="0"/>
    <n v="0"/>
    <n v="0"/>
    <n v="1258.1600000000001"/>
    <n v="0"/>
    <n v="0"/>
  </r>
  <r>
    <x v="1023"/>
    <s v="GOMUKH SAIDPUR"/>
    <s v="vlc"/>
    <s v="Indirect"/>
    <n v="57.8"/>
    <n v="2504.6499999999996"/>
    <n v="0"/>
    <n v="0"/>
    <n v="0"/>
    <n v="0"/>
    <n v="0"/>
    <n v="0"/>
    <n v="2504.6499999999996"/>
    <n v="0"/>
    <n v="0"/>
    <n v="0"/>
    <n v="0"/>
    <n v="0"/>
    <n v="0"/>
    <n v="0"/>
    <n v="0"/>
    <n v="2504.6499999999996"/>
    <n v="0"/>
    <n v="0"/>
  </r>
  <r>
    <x v="905"/>
    <s v="Karua"/>
    <s v="MPG"/>
    <s v="Direct"/>
    <n v="198.79999999999998"/>
    <n v="8565.17"/>
    <n v="0"/>
    <n v="0"/>
    <n v="198.29999999999998"/>
    <n v="8253.57"/>
    <n v="198.29999999999998"/>
    <n v="8253.57"/>
    <n v="8253.57"/>
    <n v="0"/>
    <n v="1792.8200000000002"/>
    <n v="0"/>
    <n v="0"/>
    <n v="0"/>
    <n v="0"/>
    <n v="0"/>
    <n v="6460"/>
    <n v="0"/>
    <n v="312"/>
    <n v="0"/>
  </r>
  <r>
    <x v="907"/>
    <s v="Murli"/>
    <s v="MPG"/>
    <s v="Direct"/>
    <n v="310.40000000000003"/>
    <n v="12963.65"/>
    <n v="311.49999999999994"/>
    <n v="13858.67"/>
    <n v="0.48"/>
    <n v="21.62"/>
    <n v="311.97999999999996"/>
    <n v="13880.29"/>
    <n v="12963.65"/>
    <n v="0"/>
    <n v="21.62"/>
    <n v="916.64000000000124"/>
    <n v="0"/>
    <n v="0"/>
    <n v="0"/>
    <n v="12942"/>
    <n v="0"/>
    <n v="0"/>
    <n v="0"/>
    <n v="0"/>
  </r>
  <r>
    <x v="909"/>
    <s v="Nauapokhar"/>
    <s v="MPG"/>
    <s v="Direct"/>
    <n v="1369.8999999999999"/>
    <n v="55040.409999999996"/>
    <n v="754.05"/>
    <n v="54980.089999999989"/>
    <n v="0.99999999999999989"/>
    <n v="47.850000000000009"/>
    <n v="755.05"/>
    <n v="55027.939999999988"/>
    <n v="55027.939999999988"/>
    <n v="0"/>
    <n v="47.850000000000009"/>
    <n v="0"/>
    <n v="0"/>
    <n v="0"/>
    <n v="0"/>
    <n v="54980"/>
    <n v="0"/>
    <n v="0"/>
    <n v="13"/>
    <n v="0"/>
  </r>
  <r>
    <x v="910"/>
    <s v="Erout 2"/>
    <s v="vlc"/>
    <s v="Indirect"/>
    <n v="783.00000000000011"/>
    <n v="34240.269999999997"/>
    <n v="0"/>
    <n v="0"/>
    <n v="0"/>
    <n v="0"/>
    <n v="0"/>
    <n v="0"/>
    <n v="34240.269999999997"/>
    <n v="0"/>
    <n v="0"/>
    <n v="0"/>
    <n v="0"/>
    <n v="0"/>
    <n v="0"/>
    <n v="0"/>
    <n v="0"/>
    <n v="34240.269999999997"/>
    <n v="0"/>
    <n v="0"/>
  </r>
  <r>
    <x v="911"/>
    <s v="Parsuram"/>
    <s v="vlc"/>
    <s v="Indirect"/>
    <n v="123.89999999999999"/>
    <n v="3932.0299999999997"/>
    <n v="0"/>
    <n v="0"/>
    <n v="0"/>
    <n v="0"/>
    <n v="0"/>
    <n v="0"/>
    <n v="3932.0299999999997"/>
    <n v="0"/>
    <n v="0"/>
    <n v="0"/>
    <n v="0"/>
    <n v="0"/>
    <n v="0"/>
    <n v="0"/>
    <n v="0"/>
    <n v="3932.0299999999997"/>
    <n v="0"/>
    <n v="0"/>
  </r>
  <r>
    <x v="913"/>
    <s v="Sedukha"/>
    <s v="MPG"/>
    <s v="Direct"/>
    <n v="395.7"/>
    <n v="15039.28"/>
    <n v="390"/>
    <n v="15401.649999999998"/>
    <n v="0"/>
    <n v="0"/>
    <n v="390"/>
    <n v="15401.649999999998"/>
    <n v="15039.28"/>
    <n v="0"/>
    <n v="0"/>
    <n v="362.36999999999716"/>
    <n v="0"/>
    <n v="0"/>
    <n v="0"/>
    <n v="15039"/>
    <n v="0"/>
    <n v="0"/>
    <n v="0"/>
    <s v="Release3"/>
  </r>
  <r>
    <x v="914"/>
    <s v="Madhuban 2"/>
    <s v="vlc"/>
    <s v="Indirect"/>
    <n v="488.49999999999994"/>
    <n v="18897.53"/>
    <n v="0"/>
    <n v="0"/>
    <n v="0"/>
    <n v="0"/>
    <n v="0"/>
    <n v="0"/>
    <n v="18897.53"/>
    <n v="0"/>
    <n v="0"/>
    <n v="0"/>
    <n v="0"/>
    <n v="0"/>
    <n v="0"/>
    <n v="0"/>
    <n v="0"/>
    <n v="18897.53"/>
    <n v="0"/>
    <n v="0"/>
  </r>
  <r>
    <x v="915"/>
    <s v="Yadav Jee"/>
    <s v="vlc"/>
    <s v="Indirect"/>
    <n v="282.7"/>
    <n v="11412.94"/>
    <n v="0"/>
    <n v="0"/>
    <n v="0"/>
    <n v="0"/>
    <n v="0"/>
    <n v="0"/>
    <n v="11412.94"/>
    <n v="0"/>
    <n v="0"/>
    <n v="0"/>
    <n v="0"/>
    <n v="0"/>
    <n v="0"/>
    <n v="0"/>
    <n v="0"/>
    <n v="11412.94"/>
    <n v="0"/>
    <n v="0"/>
  </r>
  <r>
    <x v="916"/>
    <s v="Durgaashtan 2"/>
    <s v="vlc"/>
    <s v="Indirect"/>
    <n v="1472.6000000000001"/>
    <n v="56450.16"/>
    <n v="0"/>
    <n v="0"/>
    <n v="0"/>
    <n v="0"/>
    <n v="0"/>
    <n v="0"/>
    <n v="56450.16"/>
    <n v="0"/>
    <n v="0"/>
    <n v="0"/>
    <n v="0"/>
    <n v="0"/>
    <n v="0"/>
    <n v="0"/>
    <n v="0"/>
    <n v="56450.16"/>
    <n v="0"/>
    <n v="0"/>
  </r>
  <r>
    <x v="917"/>
    <s v="Durgaashtan "/>
    <s v="vlc"/>
    <s v="Indirect"/>
    <n v="821.6"/>
    <n v="31396.809999999998"/>
    <n v="0"/>
    <n v="0"/>
    <n v="0"/>
    <n v="0"/>
    <n v="0"/>
    <n v="0"/>
    <n v="31396.809999999998"/>
    <n v="0"/>
    <n v="0"/>
    <n v="0"/>
    <n v="0"/>
    <n v="0"/>
    <n v="0"/>
    <n v="0"/>
    <n v="0"/>
    <n v="31396.809999999998"/>
    <n v="0"/>
    <n v="0"/>
  </r>
  <r>
    <x v="918"/>
    <s v="Motipur"/>
    <s v="vlc"/>
    <s v="Indirect"/>
    <n v="340.20000000000005"/>
    <n v="12181.119999999999"/>
    <n v="0"/>
    <n v="0"/>
    <n v="0"/>
    <n v="0"/>
    <n v="0"/>
    <n v="0"/>
    <n v="12181.119999999999"/>
    <n v="0"/>
    <n v="0"/>
    <n v="0"/>
    <n v="0"/>
    <n v="0"/>
    <n v="0"/>
    <n v="0"/>
    <n v="0"/>
    <n v="12181.119999999999"/>
    <n v="0"/>
    <n v="0"/>
  </r>
  <r>
    <x v="998"/>
    <s v="Bhatandi"/>
    <s v="vlc"/>
    <s v="Direct"/>
    <n v="94.100000000000009"/>
    <n v="4774.37"/>
    <n v="91.75"/>
    <n v="4776.87"/>
    <n v="0"/>
    <n v="0"/>
    <n v="91.75"/>
    <n v="4776.87"/>
    <n v="4774.37"/>
    <n v="0"/>
    <n v="0"/>
    <n v="2.5"/>
    <n v="0"/>
    <n v="0"/>
    <n v="0"/>
    <n v="4774"/>
    <n v="0"/>
    <n v="0"/>
    <n v="0"/>
    <n v="0"/>
  </r>
  <r>
    <x v="919"/>
    <s v="Haripur"/>
    <s v="vlc"/>
    <s v="Direct"/>
    <n v="331.12"/>
    <n v="13486.48"/>
    <n v="225.70999999999998"/>
    <n v="13486.299999999996"/>
    <n v="0"/>
    <n v="0"/>
    <n v="225.70999999999998"/>
    <n v="13486.299999999996"/>
    <n v="13486.299999999996"/>
    <n v="0"/>
    <n v="0"/>
    <n v="0"/>
    <n v="0"/>
    <n v="0"/>
    <n v="0"/>
    <n v="13486"/>
    <n v="0"/>
    <n v="0"/>
    <n v="0"/>
    <n v="0"/>
  </r>
  <r>
    <x v="920"/>
    <s v="Jakhar"/>
    <s v="vlc"/>
    <s v="Indirect"/>
    <n v="57"/>
    <n v="1646.1599999999999"/>
    <n v="0"/>
    <n v="0"/>
    <n v="0"/>
    <n v="0"/>
    <n v="0"/>
    <n v="0"/>
    <n v="1646.1599999999999"/>
    <n v="0"/>
    <n v="0"/>
    <n v="0"/>
    <n v="0"/>
    <n v="0"/>
    <n v="0"/>
    <n v="0"/>
    <n v="0"/>
    <n v="1646.1599999999999"/>
    <n v="0"/>
    <n v="0"/>
  </r>
  <r>
    <x v="922"/>
    <s v="Jandaha"/>
    <s v="vlc"/>
    <s v="Indirect"/>
    <n v="59"/>
    <n v="2140.3000000000002"/>
    <n v="0"/>
    <n v="0"/>
    <n v="0"/>
    <n v="0"/>
    <n v="0"/>
    <n v="0"/>
    <n v="2140.3000000000002"/>
    <n v="0"/>
    <n v="0"/>
    <n v="0"/>
    <n v="0"/>
    <n v="0"/>
    <n v="0"/>
    <n v="0"/>
    <n v="0"/>
    <n v="2140.3000000000002"/>
    <n v="0"/>
    <n v="0"/>
  </r>
  <r>
    <x v="923"/>
    <s v="Bhoraha"/>
    <s v="vlc"/>
    <s v="Indirect"/>
    <n v="135.4"/>
    <n v="6055.1200000000008"/>
    <n v="0"/>
    <n v="0"/>
    <n v="0"/>
    <n v="0"/>
    <n v="0"/>
    <n v="0"/>
    <n v="6055.1200000000008"/>
    <n v="0"/>
    <n v="0"/>
    <n v="0"/>
    <n v="0"/>
    <n v="0"/>
    <n v="0"/>
    <n v="0"/>
    <n v="0"/>
    <n v="6055.1200000000008"/>
    <n v="0"/>
    <n v="0"/>
  </r>
  <r>
    <x v="999"/>
    <s v="Dharha"/>
    <s v="vlc"/>
    <s v="Indirect"/>
    <n v="226.8"/>
    <n v="8481.68"/>
    <n v="0"/>
    <n v="0"/>
    <n v="0"/>
    <n v="0"/>
    <n v="0"/>
    <n v="0"/>
    <n v="8481.68"/>
    <n v="0"/>
    <n v="0"/>
    <n v="0"/>
    <n v="0"/>
    <n v="0"/>
    <n v="0"/>
    <n v="0"/>
    <n v="0"/>
    <n v="8481.68"/>
    <n v="0"/>
    <n v="0"/>
  </r>
  <r>
    <x v="924"/>
    <s v="Shivnagar"/>
    <s v="vlc"/>
    <s v="Indirect"/>
    <n v="41.900000000000006"/>
    <n v="1364.49"/>
    <n v="0"/>
    <n v="0"/>
    <n v="0"/>
    <n v="0"/>
    <n v="0"/>
    <n v="0"/>
    <n v="1364.49"/>
    <n v="0"/>
    <n v="0"/>
    <n v="0"/>
    <n v="0"/>
    <n v="0"/>
    <n v="0"/>
    <n v="0"/>
    <n v="0"/>
    <n v="1364.49"/>
    <n v="0"/>
    <n v="0"/>
  </r>
  <r>
    <x v="925"/>
    <s v="Baritha"/>
    <s v="vlc"/>
    <s v="Indirect"/>
    <n v="1032.4000000000001"/>
    <n v="43692.07"/>
    <n v="0"/>
    <n v="0"/>
    <n v="0"/>
    <n v="0"/>
    <n v="0"/>
    <n v="0"/>
    <n v="43692.07"/>
    <n v="0"/>
    <n v="0"/>
    <n v="0"/>
    <n v="0"/>
    <n v="0"/>
    <n v="0"/>
    <n v="0"/>
    <n v="0"/>
    <n v="43692.07"/>
    <n v="0"/>
    <n v="0"/>
  </r>
  <r>
    <x v="926"/>
    <s v="Tolapur Erout"/>
    <s v="vlc"/>
    <s v="Indirect"/>
    <n v="437.1"/>
    <n v="14553.53"/>
    <n v="0"/>
    <n v="0"/>
    <n v="0"/>
    <n v="0"/>
    <n v="0"/>
    <n v="0"/>
    <n v="14553.53"/>
    <n v="0"/>
    <n v="0"/>
    <n v="0"/>
    <n v="0"/>
    <n v="0"/>
    <n v="0"/>
    <n v="0"/>
    <n v="0"/>
    <n v="14553.53"/>
    <n v="0"/>
    <n v="0"/>
  </r>
  <r>
    <x v="927"/>
    <s v="Sunil Erout"/>
    <s v="vlc"/>
    <s v="Indirect"/>
    <n v="110.8"/>
    <n v="3905.9700000000003"/>
    <n v="0"/>
    <n v="0"/>
    <n v="0"/>
    <n v="0"/>
    <n v="0"/>
    <n v="0"/>
    <n v="3905.9700000000003"/>
    <n v="0"/>
    <n v="0"/>
    <n v="0"/>
    <n v="0"/>
    <n v="0"/>
    <n v="0"/>
    <n v="0"/>
    <n v="0"/>
    <n v="3905.9700000000003"/>
    <n v="0"/>
    <n v="0"/>
  </r>
  <r>
    <x v="1000"/>
    <s v="Fatepur 2"/>
    <s v="vlc"/>
    <s v="Indirect"/>
    <n v="384.1"/>
    <n v="12430.64"/>
    <n v="0"/>
    <n v="0"/>
    <n v="0"/>
    <n v="0"/>
    <n v="0"/>
    <n v="0"/>
    <n v="12430.64"/>
    <n v="0"/>
    <n v="0"/>
    <n v="0"/>
    <n v="0"/>
    <n v="0"/>
    <n v="0"/>
    <n v="0"/>
    <n v="0"/>
    <n v="12430.64"/>
    <n v="0"/>
    <n v="0"/>
  </r>
  <r>
    <x v="1001"/>
    <s v="Shivram"/>
    <s v="vlc"/>
    <s v="Indirect"/>
    <n v="421.2"/>
    <n v="14548.310000000001"/>
    <n v="0"/>
    <n v="0"/>
    <n v="0"/>
    <n v="0"/>
    <n v="0"/>
    <n v="0"/>
    <n v="14548.310000000001"/>
    <n v="0"/>
    <n v="0"/>
    <n v="0"/>
    <n v="0"/>
    <n v="0"/>
    <n v="0"/>
    <n v="0"/>
    <n v="0"/>
    <n v="14548.310000000001"/>
    <n v="0"/>
    <n v="0"/>
  </r>
  <r>
    <x v="1002"/>
    <s v="Sonupur"/>
    <s v="vlc"/>
    <s v="Indirect"/>
    <n v="204.39999999999998"/>
    <n v="6218.6799999999994"/>
    <n v="0"/>
    <n v="0"/>
    <n v="0"/>
    <n v="0"/>
    <n v="0"/>
    <n v="0"/>
    <n v="6218.6799999999994"/>
    <n v="0"/>
    <n v="0"/>
    <n v="0"/>
    <n v="0"/>
    <n v="0"/>
    <n v="0"/>
    <n v="0"/>
    <n v="0"/>
    <n v="6218.6799999999994"/>
    <n v="0"/>
    <n v="0"/>
  </r>
  <r>
    <x v="1004"/>
    <s v="Jahangirpur"/>
    <s v="vlc"/>
    <s v="Indirect"/>
    <n v="218.6"/>
    <n v="7160.71"/>
    <n v="0"/>
    <n v="0"/>
    <n v="0"/>
    <n v="0"/>
    <n v="0"/>
    <n v="0"/>
    <n v="7160.71"/>
    <n v="0"/>
    <n v="0"/>
    <n v="0"/>
    <n v="0"/>
    <n v="0"/>
    <n v="0"/>
    <n v="0"/>
    <n v="0"/>
    <n v="7160.71"/>
    <n v="0"/>
    <n v="0"/>
  </r>
  <r>
    <x v="1005"/>
    <s v="Tolapur Durgasthan"/>
    <s v="vlc"/>
    <s v="Indirect"/>
    <n v="46.4"/>
    <n v="1551.71"/>
    <n v="0"/>
    <n v="0"/>
    <n v="0"/>
    <n v="0"/>
    <n v="0"/>
    <n v="0"/>
    <n v="1551.71"/>
    <n v="0"/>
    <n v="0"/>
    <n v="0"/>
    <n v="0"/>
    <n v="0"/>
    <n v="0"/>
    <n v="0"/>
    <n v="0"/>
    <n v="1551.71"/>
    <n v="0"/>
    <n v="0"/>
  </r>
  <r>
    <x v="928"/>
    <s v="DUMRA "/>
    <s v="MPG"/>
    <s v="Direct"/>
    <n v="1118.8599999999999"/>
    <n v="46286.62"/>
    <n v="1139.6000000000004"/>
    <n v="46533.049999999996"/>
    <n v="0"/>
    <n v="0"/>
    <n v="1139.6000000000004"/>
    <n v="46533.049999999996"/>
    <n v="46286.62"/>
    <n v="0"/>
    <n v="0"/>
    <n v="246.42999999999302"/>
    <n v="0"/>
    <n v="0"/>
    <n v="0"/>
    <n v="46287"/>
    <n v="0"/>
    <n v="0"/>
    <n v="0"/>
    <n v="0"/>
  </r>
  <r>
    <x v="929"/>
    <s v="BALHA"/>
    <s v="MPG"/>
    <s v="Direct"/>
    <n v="1750.7"/>
    <n v="78631.739999999991"/>
    <n v="1741.1"/>
    <n v="78020.800000000017"/>
    <n v="16.8"/>
    <n v="740.09999999999991"/>
    <n v="1757.8999999999999"/>
    <n v="78760.900000000023"/>
    <n v="78631.739999999991"/>
    <n v="0"/>
    <n v="740.09999999999991"/>
    <n v="129.1600000000326"/>
    <n v="0"/>
    <n v="0"/>
    <n v="0"/>
    <n v="77892"/>
    <n v="0"/>
    <n v="0"/>
    <n v="0"/>
    <n v="0"/>
  </r>
  <r>
    <x v="930"/>
    <s v="BARA"/>
    <s v="MPG"/>
    <s v="Direct"/>
    <n v="149.83000000000001"/>
    <n v="6164.9099999999989"/>
    <n v="147.89999999999998"/>
    <n v="6085.12"/>
    <n v="1.3"/>
    <n v="54.000000000000007"/>
    <n v="149.19999999999999"/>
    <n v="6139.12"/>
    <n v="6139.12"/>
    <n v="0"/>
    <n v="54.000000000000007"/>
    <n v="0"/>
    <n v="0"/>
    <n v="0"/>
    <n v="0"/>
    <n v="6085"/>
    <n v="0"/>
    <n v="0"/>
    <n v="26"/>
    <n v="0"/>
  </r>
  <r>
    <x v="931"/>
    <s v="KABILASHI"/>
    <s v="MPG"/>
    <s v="Direct"/>
    <n v="366.71"/>
    <n v="18163.690000000002"/>
    <n v="359.9"/>
    <n v="18651.54"/>
    <n v="8.4999999999999982"/>
    <n v="400.1699999999999"/>
    <n v="368.4"/>
    <n v="19051.71"/>
    <n v="18163.690000000002"/>
    <n v="0"/>
    <n v="400.1699999999999"/>
    <n v="888.0199999999968"/>
    <n v="0"/>
    <n v="0"/>
    <n v="0"/>
    <n v="17764"/>
    <n v="0"/>
    <n v="0"/>
    <n v="0"/>
    <n v="0"/>
  </r>
  <r>
    <x v="932"/>
    <s v="SULTANPUR"/>
    <s v="vlc"/>
    <s v="Indirect"/>
    <n v="136.07"/>
    <n v="6444.1399999999994"/>
    <n v="0"/>
    <n v="0"/>
    <n v="0"/>
    <n v="0"/>
    <n v="0"/>
    <n v="0"/>
    <n v="6444.1399999999994"/>
    <n v="0"/>
    <n v="0"/>
    <n v="0"/>
    <n v="0"/>
    <n v="0"/>
    <n v="0"/>
    <n v="0"/>
    <n v="0"/>
    <n v="6444.1399999999994"/>
    <n v="0"/>
    <n v="0"/>
  </r>
  <r>
    <x v="933"/>
    <s v="BHUSNA"/>
    <s v="vlc"/>
    <s v="Direct"/>
    <n v="170.94999999999996"/>
    <n v="7937.31"/>
    <n v="171.10000000000002"/>
    <n v="7832.45"/>
    <n v="0"/>
    <n v="0"/>
    <n v="171.10000000000002"/>
    <n v="7832.45"/>
    <n v="7832.45"/>
    <n v="0"/>
    <n v="0"/>
    <n v="0"/>
    <n v="0"/>
    <n v="0"/>
    <n v="0"/>
    <n v="7832"/>
    <n v="0"/>
    <n v="0"/>
    <n v="105"/>
    <n v="0"/>
  </r>
  <r>
    <x v="934"/>
    <s v="SUKUMARPUR"/>
    <s v="MPG"/>
    <s v="Direct"/>
    <n v="384.35999999999996"/>
    <n v="18377.330000000002"/>
    <n v="381.59999999999997"/>
    <n v="18240.93"/>
    <n v="0"/>
    <n v="0"/>
    <n v="381.59999999999997"/>
    <n v="18240.93"/>
    <n v="18240.93"/>
    <n v="0"/>
    <n v="0"/>
    <n v="0"/>
    <n v="0"/>
    <n v="0"/>
    <n v="0"/>
    <n v="18241"/>
    <n v="0"/>
    <n v="0"/>
    <n v="136"/>
    <n v="0"/>
  </r>
  <r>
    <x v="935"/>
    <s v="SISAUNA VLC"/>
    <s v="vlc"/>
    <s v="Indirect"/>
    <n v="234.75000000000003"/>
    <n v="8930.2000000000007"/>
    <n v="0"/>
    <n v="0"/>
    <n v="0"/>
    <n v="0"/>
    <n v="0"/>
    <n v="0"/>
    <n v="8930.2000000000007"/>
    <n v="0"/>
    <n v="0"/>
    <n v="0"/>
    <n v="0"/>
    <n v="0"/>
    <n v="0"/>
    <n v="0"/>
    <n v="0"/>
    <n v="8930.2000000000007"/>
    <n v="0"/>
    <n v="0"/>
  </r>
  <r>
    <x v="936"/>
    <s v="Aditya Bishwas "/>
    <s v="vlc"/>
    <s v="Indirect"/>
    <n v="229.44999999999996"/>
    <n v="11052.759999999998"/>
    <n v="0"/>
    <n v="0"/>
    <n v="0"/>
    <n v="0"/>
    <n v="0"/>
    <n v="0"/>
    <n v="11052.759999999998"/>
    <n v="0"/>
    <n v="0"/>
    <n v="0"/>
    <n v="0"/>
    <n v="0"/>
    <n v="0"/>
    <n v="0"/>
    <n v="0"/>
    <n v="11052.759999999998"/>
    <n v="0"/>
    <n v="0"/>
  </r>
  <r>
    <x v="937"/>
    <s v="Gomukh Vijaiya"/>
    <s v="MPG"/>
    <s v="Direct"/>
    <n v="310.05"/>
    <n v="12671.279999999999"/>
    <n v="310.5"/>
    <n v="13346.839999999998"/>
    <n v="0"/>
    <n v="0"/>
    <n v="310.5"/>
    <n v="13346.839999999998"/>
    <n v="12671.279999999999"/>
    <n v="0"/>
    <n v="0"/>
    <n v="675.55999999999949"/>
    <n v="0"/>
    <n v="0"/>
    <n v="0"/>
    <n v="12671"/>
    <n v="0"/>
    <n v="0"/>
    <n v="0"/>
    <n v="0"/>
  </r>
  <r>
    <x v="938"/>
    <s v="Gomukh Gangauli"/>
    <s v="MPG"/>
    <s v="Direct"/>
    <n v="1129.2"/>
    <n v="47788.44000000001"/>
    <n v="1140.2"/>
    <n v="47839.3"/>
    <n v="0"/>
    <n v="0"/>
    <n v="1140.2"/>
    <n v="47839.3"/>
    <n v="47788.44000000001"/>
    <n v="0"/>
    <n v="0"/>
    <n v="50.859999999993306"/>
    <n v="0"/>
    <n v="0"/>
    <n v="0"/>
    <n v="47788"/>
    <n v="0"/>
    <n v="0"/>
    <n v="0"/>
    <n v="0"/>
  </r>
  <r>
    <x v="939"/>
    <s v="Gomukh KARRAKH"/>
    <s v="MPG"/>
    <s v="Direct"/>
    <n v="540.44999999999993"/>
    <n v="21347.099999999995"/>
    <n v="402.00000000000017"/>
    <n v="16727.679999999997"/>
    <n v="168.79999999999998"/>
    <n v="7038.9499999999989"/>
    <n v="570.80000000000018"/>
    <n v="23766.629999999997"/>
    <n v="21347.099999999995"/>
    <n v="0"/>
    <n v="0"/>
    <n v="2419.5300000000025"/>
    <n v="0"/>
    <n v="0"/>
    <n v="0"/>
    <n v="14308"/>
    <n v="7039"/>
    <n v="0"/>
    <n v="0"/>
    <n v="0"/>
  </r>
  <r>
    <x v="941"/>
    <s v="Gomukh Manda"/>
    <s v="MPG"/>
    <s v="Direct"/>
    <n v="562.25"/>
    <n v="22616.69"/>
    <n v="559.20000000000005"/>
    <n v="23024.990000000005"/>
    <n v="0"/>
    <n v="0"/>
    <n v="559.20000000000005"/>
    <n v="23024.990000000005"/>
    <n v="22616.69"/>
    <n v="0"/>
    <n v="0"/>
    <n v="408.30000000000655"/>
    <n v="0"/>
    <n v="0"/>
    <n v="0"/>
    <n v="22617"/>
    <n v="0"/>
    <n v="0"/>
    <n v="0"/>
    <n v="0"/>
  </r>
  <r>
    <x v="942"/>
    <s v="Gomukh NAVTOL"/>
    <s v="MPG"/>
    <s v="Direct"/>
    <n v="280.95"/>
    <n v="10639.390000000001"/>
    <n v="285.80000000000007"/>
    <n v="10145.950000000001"/>
    <n v="0"/>
    <n v="0"/>
    <n v="285.80000000000007"/>
    <n v="10145.950000000001"/>
    <n v="10145.950000000001"/>
    <n v="0"/>
    <n v="0"/>
    <n v="0"/>
    <n v="0"/>
    <n v="0"/>
    <n v="0"/>
    <n v="10146"/>
    <n v="0"/>
    <n v="0"/>
    <n v="493"/>
    <n v="0"/>
  </r>
  <r>
    <x v="1006"/>
    <s v="Gomukh KAIDRABAD"/>
    <s v="MPG"/>
    <s v="Direct"/>
    <n v="605.94999999999993"/>
    <n v="23844.550000000003"/>
    <n v="604.50000000000011"/>
    <n v="23839.399999999991"/>
    <n v="0"/>
    <n v="0"/>
    <n v="604.50000000000011"/>
    <n v="23839.399999999991"/>
    <n v="23839.399999999991"/>
    <n v="0"/>
    <n v="0"/>
    <n v="0"/>
    <n v="0"/>
    <n v="0"/>
    <n v="0"/>
    <n v="23839"/>
    <n v="0"/>
    <n v="0"/>
    <n v="6"/>
    <n v="0"/>
  </r>
  <r>
    <x v="944"/>
    <s v="Gomukh KASTOLI"/>
    <s v="MPG"/>
    <s v="Direct"/>
    <n v="328.5"/>
    <n v="12289.579999999998"/>
    <n v="207"/>
    <n v="7824.4"/>
    <n v="124.5"/>
    <n v="4371.8600000000006"/>
    <n v="331.5"/>
    <n v="12196.26"/>
    <n v="12196.26"/>
    <n v="0"/>
    <n v="0"/>
    <n v="0"/>
    <n v="0"/>
    <n v="0"/>
    <n v="0"/>
    <n v="7824"/>
    <n v="4372"/>
    <n v="0"/>
    <n v="94"/>
    <n v="0"/>
  </r>
  <r>
    <x v="945"/>
    <s v="GANPATI DAIRY"/>
    <s v="vlc"/>
    <s v="Indirect"/>
    <n v="980.3"/>
    <n v="38033.32"/>
    <n v="0"/>
    <n v="0"/>
    <n v="0"/>
    <n v="0"/>
    <n v="0"/>
    <n v="0"/>
    <n v="38033.32"/>
    <n v="0"/>
    <n v="0"/>
    <n v="0"/>
    <n v="0"/>
    <n v="0"/>
    <n v="0"/>
    <n v="0"/>
    <n v="0"/>
    <n v="38033.32"/>
    <n v="0"/>
    <n v="0"/>
  </r>
  <r>
    <x v="946"/>
    <s v="GOMUKH CHATAUNA W-2"/>
    <s v="MPG"/>
    <s v="Direct"/>
    <n v="923.9"/>
    <n v="53160.08"/>
    <n v="915.80000000000007"/>
    <n v="52690.92"/>
    <n v="8.9000000000000021"/>
    <n v="477.99"/>
    <n v="924.7"/>
    <n v="53168.909999999996"/>
    <n v="53160.08"/>
    <n v="0"/>
    <n v="477.99"/>
    <n v="8.8299999999944703"/>
    <n v="0"/>
    <n v="0"/>
    <n v="0"/>
    <n v="52682"/>
    <n v="0"/>
    <n v="0"/>
    <n v="0"/>
    <n v="0"/>
  </r>
  <r>
    <x v="947"/>
    <s v="GOMUKH TEERA JATMALPUR"/>
    <s v="MPG"/>
    <s v="Direct"/>
    <n v="436.89999999999992"/>
    <n v="20418.190000000002"/>
    <n v="423.2"/>
    <n v="20338.919999999998"/>
    <n v="36.800000000000004"/>
    <n v="1619.68"/>
    <n v="460"/>
    <n v="21958.6"/>
    <n v="20418.190000000002"/>
    <n v="0"/>
    <n v="1619.68"/>
    <n v="1540.4099999999962"/>
    <n v="0"/>
    <n v="0"/>
    <n v="0"/>
    <n v="18798"/>
    <n v="0"/>
    <n v="0"/>
    <n v="1"/>
    <n v="0"/>
  </r>
  <r>
    <x v="948"/>
    <s v="GOMUKH GOBARSITTHA"/>
    <s v="MPG"/>
    <s v="Direct"/>
    <n v="735.50000000000011"/>
    <n v="32255.440000000006"/>
    <n v="718.2"/>
    <n v="31552.39000000001"/>
    <n v="15.899999999999999"/>
    <n v="696.87"/>
    <n v="734.1"/>
    <n v="32249.260000000009"/>
    <n v="32249.260000000009"/>
    <n v="0"/>
    <n v="696.87"/>
    <n v="0"/>
    <n v="2599"/>
    <n v="0"/>
    <n v="0"/>
    <n v="28955"/>
    <n v="0"/>
    <n v="0"/>
    <n v="5"/>
    <n v="0"/>
  </r>
  <r>
    <x v="949"/>
    <s v="GOMUKH UGHRA"/>
    <s v="MPG"/>
    <s v="Direct"/>
    <n v="668.90000000000009"/>
    <n v="32655.750000000004"/>
    <n v="648.40000000000009"/>
    <n v="32633.570000000003"/>
    <n v="0.6"/>
    <n v="31.41"/>
    <n v="649.00000000000011"/>
    <n v="32664.980000000003"/>
    <n v="32655.750000000004"/>
    <n v="0"/>
    <n v="31.41"/>
    <n v="9.2299999999995634"/>
    <n v="1550"/>
    <n v="0"/>
    <n v="0"/>
    <n v="31074"/>
    <n v="0"/>
    <n v="0"/>
    <n v="0"/>
    <n v="0"/>
  </r>
  <r>
    <x v="950"/>
    <s v="GOMUKH BALUAHA"/>
    <s v="MPG"/>
    <s v="Direct"/>
    <n v="352.8"/>
    <n v="16056.520000000002"/>
    <n v="343.3"/>
    <n v="15785.979999999998"/>
    <n v="6.0000000000000009"/>
    <n v="268.37"/>
    <n v="349.3"/>
    <n v="16054.349999999999"/>
    <n v="16054.349999999999"/>
    <n v="0"/>
    <n v="268.37"/>
    <n v="0"/>
    <n v="0"/>
    <n v="0"/>
    <n v="0"/>
    <n v="15786"/>
    <n v="0"/>
    <n v="0"/>
    <n v="2"/>
    <n v="0"/>
  </r>
  <r>
    <x v="952"/>
    <s v="GOMUKH HAYAGHAT WEST"/>
    <s v="vlc"/>
    <s v="Indirect"/>
    <n v="2100.1"/>
    <n v="84777.65"/>
    <n v="0"/>
    <n v="0"/>
    <n v="0"/>
    <n v="0"/>
    <n v="0"/>
    <n v="0"/>
    <n v="84777.65"/>
    <n v="0"/>
    <n v="0"/>
    <n v="0"/>
    <n v="0"/>
    <n v="0"/>
    <n v="0"/>
    <n v="0"/>
    <n v="0"/>
    <n v="84777.65"/>
    <n v="0"/>
    <n v="0"/>
  </r>
  <r>
    <x v="953"/>
    <s v="GOMUKH GHOGHARAHA"/>
    <s v="vlc"/>
    <s v="Indirect"/>
    <n v="1439.6"/>
    <n v="60936.98"/>
    <n v="0"/>
    <n v="0"/>
    <n v="0"/>
    <n v="0"/>
    <n v="0"/>
    <n v="0"/>
    <n v="60936.98"/>
    <n v="0"/>
    <n v="0"/>
    <n v="0"/>
    <n v="0"/>
    <n v="0"/>
    <n v="0"/>
    <n v="0"/>
    <n v="0"/>
    <n v="60936.98"/>
    <n v="0"/>
    <n v="0"/>
  </r>
  <r>
    <x v="954"/>
    <s v="Gomukh Jatmalpur Dhab"/>
    <s v="vlc"/>
    <s v="Indirect"/>
    <n v="117.49999999999999"/>
    <n v="6190.5300000000007"/>
    <n v="0"/>
    <n v="0"/>
    <n v="0"/>
    <n v="0"/>
    <n v="0"/>
    <n v="0"/>
    <n v="6190.5300000000007"/>
    <n v="0"/>
    <n v="0"/>
    <n v="0"/>
    <n v="0"/>
    <n v="0"/>
    <n v="0"/>
    <n v="0"/>
    <n v="0"/>
    <n v="6190.5300000000007"/>
    <n v="0"/>
    <n v="0"/>
  </r>
  <r>
    <x v="955"/>
    <s v="GOMUKH MORWARA"/>
    <s v="MPG"/>
    <s v="Direct"/>
    <n v="606.39999999999986"/>
    <n v="24837.16"/>
    <n v="641.9"/>
    <n v="24819.93"/>
    <n v="0"/>
    <n v="0"/>
    <n v="641.9"/>
    <n v="24819.93"/>
    <n v="24819.93"/>
    <n v="0"/>
    <n v="0"/>
    <n v="0"/>
    <n v="8838"/>
    <n v="0"/>
    <n v="0"/>
    <n v="15982"/>
    <n v="0"/>
    <n v="0"/>
    <n v="17"/>
    <n v="0"/>
  </r>
  <r>
    <x v="1024"/>
    <s v="GOMUKH SABAUL"/>
    <s v="vlc"/>
    <s v="Direct"/>
    <n v="40.299999999999997"/>
    <n v="1804.71"/>
    <n v="40"/>
    <n v="1768.6999999999998"/>
    <n v="0"/>
    <n v="0"/>
    <n v="40"/>
    <n v="1768.6999999999998"/>
    <n v="1768.6999999999998"/>
    <n v="0"/>
    <n v="0"/>
    <n v="0"/>
    <n v="0"/>
    <n v="0"/>
    <n v="0"/>
    <n v="1769"/>
    <n v="0"/>
    <n v="0"/>
    <n v="36"/>
    <n v="0"/>
  </r>
  <r>
    <x v="956"/>
    <s v="GOMUKH NIYAMCHAKHAIDAR"/>
    <s v="vlc"/>
    <s v="Indirect"/>
    <n v="1866.6999999999998"/>
    <n v="78193.98000000001"/>
    <n v="0"/>
    <n v="0"/>
    <n v="0"/>
    <n v="0"/>
    <n v="0"/>
    <n v="0"/>
    <n v="78193.98000000001"/>
    <n v="0"/>
    <n v="0"/>
    <n v="0"/>
    <n v="0"/>
    <n v="0"/>
    <n v="0"/>
    <n v="0"/>
    <n v="0"/>
    <n v="78193.98000000001"/>
    <n v="0"/>
    <n v="0"/>
  </r>
  <r>
    <x v="957"/>
    <s v="GOMUKH JATMAPUR WARD 1"/>
    <s v="vlc"/>
    <s v="Indirect"/>
    <n v="732.30000000000007"/>
    <n v="29682.52"/>
    <n v="0"/>
    <n v="0"/>
    <n v="0"/>
    <n v="0"/>
    <n v="0"/>
    <n v="0"/>
    <n v="29682.52"/>
    <n v="0"/>
    <n v="0"/>
    <n v="0"/>
    <n v="0"/>
    <n v="0"/>
    <n v="0"/>
    <n v="0"/>
    <n v="0"/>
    <n v="29682.52"/>
    <n v="0"/>
    <n v="0"/>
  </r>
  <r>
    <x v="958"/>
    <s v="GOMUKH JATMALPUR"/>
    <s v="MPG"/>
    <s v="Direct"/>
    <n v="208.6"/>
    <n v="9430.7000000000007"/>
    <n v="199.70000000000002"/>
    <n v="9256.41"/>
    <n v="3.8999999999999995"/>
    <n v="172.5"/>
    <n v="203.60000000000002"/>
    <n v="9428.91"/>
    <n v="9428.91"/>
    <n v="0"/>
    <n v="172.5"/>
    <n v="0"/>
    <n v="3100"/>
    <n v="0"/>
    <n v="0"/>
    <n v="6156"/>
    <n v="0"/>
    <n v="0"/>
    <n v="2"/>
    <n v="0"/>
  </r>
  <r>
    <x v="960"/>
    <s v="Gomukh Barhetta"/>
    <s v="vlc"/>
    <s v="Indirect"/>
    <n v="131.69999999999999"/>
    <n v="5061.55"/>
    <n v="0"/>
    <n v="0"/>
    <n v="0"/>
    <n v="0"/>
    <n v="0"/>
    <n v="0"/>
    <n v="5061.55"/>
    <n v="0"/>
    <n v="0"/>
    <n v="0"/>
    <n v="1400"/>
    <n v="0"/>
    <n v="0"/>
    <n v="0"/>
    <n v="0"/>
    <n v="3661.55"/>
    <n v="0"/>
    <n v="0"/>
  </r>
  <r>
    <x v="1007"/>
    <s v="GOMUKH  MANORATHPUR"/>
    <s v="vlc"/>
    <s v="Indirect"/>
    <n v="102.9"/>
    <n v="4505.99"/>
    <n v="0"/>
    <n v="0"/>
    <n v="0"/>
    <n v="0"/>
    <n v="0"/>
    <n v="0"/>
    <n v="4505.99"/>
    <n v="0"/>
    <n v="0"/>
    <n v="0"/>
    <n v="0"/>
    <n v="0"/>
    <n v="0"/>
    <n v="0"/>
    <n v="0"/>
    <n v="4505.99"/>
    <n v="0"/>
    <n v="0"/>
  </r>
  <r>
    <x v="961"/>
    <s v="GOMUKH BHADOGHAT"/>
    <s v="vlc"/>
    <s v="Indirect"/>
    <n v="8605.2999999999993"/>
    <n v="355056.72999999992"/>
    <n v="0"/>
    <n v="0"/>
    <n v="0"/>
    <n v="0"/>
    <n v="0"/>
    <n v="0"/>
    <n v="355056.72999999992"/>
    <n v="0"/>
    <n v="0"/>
    <n v="0"/>
    <n v="0"/>
    <n v="0"/>
    <n v="0"/>
    <n v="0"/>
    <n v="0"/>
    <n v="355056.72999999992"/>
    <n v="0"/>
    <n v="0"/>
  </r>
  <r>
    <x v="962"/>
    <s v="GOMUKH BALUAHA"/>
    <s v="vlc"/>
    <s v="Indirect"/>
    <n v="177.29999999999998"/>
    <n v="7020.4699999999993"/>
    <n v="0"/>
    <n v="0"/>
    <n v="0"/>
    <n v="0"/>
    <n v="0"/>
    <n v="0"/>
    <n v="7020.4699999999993"/>
    <n v="0"/>
    <n v="0"/>
    <n v="0"/>
    <n v="0"/>
    <n v="0"/>
    <n v="0"/>
    <n v="0"/>
    <n v="0"/>
    <n v="7020.4699999999993"/>
    <n v="0"/>
    <n v="0"/>
  </r>
  <r>
    <x v="1025"/>
    <s v="GOMUKH  JATMALPUR DHAB"/>
    <s v="vlc"/>
    <s v="Indirect"/>
    <n v="104.39999999999999"/>
    <n v="4608.7300000000005"/>
    <n v="0"/>
    <n v="0"/>
    <n v="0"/>
    <n v="0"/>
    <n v="0"/>
    <n v="0"/>
    <n v="4608.7300000000005"/>
    <n v="0"/>
    <n v="0"/>
    <n v="0"/>
    <n v="0"/>
    <n v="0"/>
    <n v="0"/>
    <n v="0"/>
    <n v="0"/>
    <n v="4608.7300000000005"/>
    <n v="0"/>
    <n v="0"/>
  </r>
  <r>
    <x v="1008"/>
    <s v="GOMUKH  DAGHRAUL"/>
    <s v="vlc"/>
    <s v="Direct"/>
    <n v="232.3"/>
    <n v="10395.459999999999"/>
    <n v="226.49999999999997"/>
    <n v="10235.470000000001"/>
    <n v="0"/>
    <n v="0"/>
    <n v="226.49999999999997"/>
    <n v="10235.470000000001"/>
    <n v="10235.470000000001"/>
    <n v="0"/>
    <n v="0"/>
    <n v="0"/>
    <n v="0"/>
    <n v="0"/>
    <n v="0"/>
    <n v="10234"/>
    <n v="0"/>
    <n v="0"/>
    <n v="161"/>
    <n v="0"/>
  </r>
  <r>
    <x v="1009"/>
    <s v="GOMUKH RUPAULI"/>
    <s v="vlc"/>
    <s v="Direct"/>
    <n v="312.40000000000003"/>
    <n v="15214.94"/>
    <n v="316.7"/>
    <n v="15128.329999999998"/>
    <n v="0"/>
    <n v="0"/>
    <n v="316.7"/>
    <n v="15128.329999999998"/>
    <n v="15128.329999999998"/>
    <n v="0"/>
    <n v="0"/>
    <n v="0"/>
    <n v="0"/>
    <n v="0"/>
    <n v="0"/>
    <n v="15129"/>
    <n v="0"/>
    <n v="0"/>
    <n v="86"/>
    <n v="0"/>
  </r>
  <r>
    <x v="963"/>
    <s v="GOMUKH CHHATAUNA W-1"/>
    <s v="vlc"/>
    <s v="Direct"/>
    <n v="906.3"/>
    <n v="47980.470000000008"/>
    <n v="888.79999999999984"/>
    <n v="48104.340000000011"/>
    <n v="0"/>
    <n v="0"/>
    <n v="888.79999999999984"/>
    <n v="48104.340000000011"/>
    <n v="47980.470000000008"/>
    <n v="0"/>
    <n v="0"/>
    <n v="123.87000000000262"/>
    <n v="3100"/>
    <n v="0"/>
    <n v="0"/>
    <n v="44880"/>
    <n v="0"/>
    <n v="0"/>
    <n v="0"/>
    <n v="0"/>
  </r>
  <r>
    <x v="1010"/>
    <s v="GOMUKH VISHANPUR MORO"/>
    <s v="vlc"/>
    <s v="Direct"/>
    <n v="169.4"/>
    <n v="7639.8000000000011"/>
    <n v="163.1"/>
    <n v="7299.3800000000019"/>
    <n v="0"/>
    <n v="0"/>
    <n v="163.1"/>
    <n v="7299.3800000000019"/>
    <n v="7299.3800000000019"/>
    <n v="0"/>
    <n v="0"/>
    <n v="0"/>
    <n v="0"/>
    <n v="0"/>
    <n v="0"/>
    <n v="7300"/>
    <n v="0"/>
    <n v="0"/>
    <n v="340"/>
    <n v="0"/>
  </r>
  <r>
    <x v="1026"/>
    <s v="Gomukh Bhagwanpur"/>
    <s v="vlc"/>
    <s v="Indirect"/>
    <n v="64.599999999999994"/>
    <n v="2789.08"/>
    <n v="0"/>
    <n v="0"/>
    <n v="0"/>
    <n v="0"/>
    <n v="0"/>
    <n v="0"/>
    <n v="2789.08"/>
    <n v="0"/>
    <n v="0"/>
    <n v="0"/>
    <n v="0"/>
    <n v="0"/>
    <n v="0"/>
    <n v="0"/>
    <n v="0"/>
    <n v="2789.08"/>
    <n v="0"/>
    <n v="0"/>
  </r>
  <r>
    <x v="964"/>
    <s v="GOMUKH MORWARA"/>
    <s v="vlc"/>
    <s v="Indirect"/>
    <n v="53.6"/>
    <n v="2224.6099999999997"/>
    <n v="0"/>
    <n v="0"/>
    <n v="0"/>
    <n v="0"/>
    <n v="0"/>
    <n v="0"/>
    <n v="2224.6099999999997"/>
    <n v="0"/>
    <n v="0"/>
    <n v="0"/>
    <n v="0"/>
    <n v="0"/>
    <n v="0"/>
    <n v="0"/>
    <n v="0"/>
    <n v="2224.6099999999997"/>
    <n v="0"/>
    <n v="0"/>
  </r>
  <r>
    <x v="1027"/>
    <s v="GOMUKH  RUPAULI GHAT"/>
    <s v="vlc"/>
    <s v="Direct"/>
    <n v="69.5"/>
    <n v="3800.6100000000006"/>
    <n v="68.999999999999986"/>
    <n v="3787.2000000000007"/>
    <n v="0"/>
    <n v="0"/>
    <n v="68.999999999999986"/>
    <n v="3787.2000000000007"/>
    <n v="3787.2000000000007"/>
    <n v="0"/>
    <n v="0"/>
    <n v="0"/>
    <n v="0"/>
    <n v="0"/>
    <n v="0"/>
    <n v="3788"/>
    <n v="0"/>
    <n v="0"/>
    <n v="13"/>
    <n v="0"/>
  </r>
  <r>
    <x v="1028"/>
    <s v="GOMUKH Dharampur"/>
    <s v="vlc"/>
    <s v="Indirect"/>
    <n v="2494.5999999999995"/>
    <n v="107516.56"/>
    <n v="0"/>
    <n v="0"/>
    <n v="0"/>
    <n v="0"/>
    <n v="0"/>
    <n v="0"/>
    <n v="107516.56"/>
    <n v="0"/>
    <n v="0"/>
    <n v="0"/>
    <n v="0"/>
    <n v="0"/>
    <n v="0"/>
    <n v="0"/>
    <n v="0"/>
    <n v="107516.56"/>
    <n v="0"/>
    <n v="0"/>
  </r>
  <r>
    <x v="0"/>
    <s v="Gomukh Kumbhi"/>
    <s v="MPG"/>
    <s v="Direct"/>
    <n v="492.29999999999995"/>
    <n v="18923.719999999998"/>
    <n v="486.43"/>
    <n v="18871.47"/>
    <n v="1.1000000000000001"/>
    <n v="43.05"/>
    <n v="487.53000000000003"/>
    <n v="18914.52"/>
    <n v="18914.52"/>
    <n v="0"/>
    <n v="43.05"/>
    <n v="0"/>
    <n v="0"/>
    <n v="0"/>
    <n v="0"/>
    <n v="18872"/>
    <n v="0"/>
    <n v="0"/>
    <n v="9"/>
    <n v="0"/>
  </r>
  <r>
    <x v="1"/>
    <s v="Gomukh Jagdar                                                                                       "/>
    <s v="MPG"/>
    <s v="Direct"/>
    <n v="907.29999999999984"/>
    <n v="36395.08"/>
    <n v="899.01999999999987"/>
    <n v="35837.31"/>
    <n v="13.599999999999998"/>
    <n v="505.41"/>
    <n v="912.61999999999989"/>
    <n v="36342.720000000001"/>
    <n v="36342.720000000001"/>
    <n v="0"/>
    <n v="505.41"/>
    <n v="0"/>
    <n v="0"/>
    <n v="0"/>
    <n v="0"/>
    <n v="35836"/>
    <n v="0"/>
    <n v="0"/>
    <n v="54"/>
    <n v="0"/>
  </r>
  <r>
    <x v="2"/>
    <s v="Gomukh Goriyari"/>
    <s v="MPG"/>
    <s v="Direct"/>
    <n v="887.9"/>
    <n v="36521.909999999996"/>
    <n v="791.2"/>
    <n v="32535.529999999992"/>
    <n v="97.5"/>
    <n v="3999.2000000000007"/>
    <n v="888.7"/>
    <n v="36534.729999999996"/>
    <n v="36521.909999999996"/>
    <n v="0"/>
    <n v="167.78"/>
    <n v="12.819999999999709"/>
    <n v="0"/>
    <n v="0"/>
    <n v="0"/>
    <n v="32523"/>
    <n v="3831"/>
    <n v="0"/>
    <n v="0"/>
    <n v="0"/>
  </r>
  <r>
    <x v="3"/>
    <s v="Gomukh Kanausi"/>
    <s v="MPG"/>
    <s v="Direct"/>
    <n v="254.28"/>
    <n v="10343.89"/>
    <n v="120"/>
    <n v="4865.2"/>
    <n v="135.5"/>
    <n v="5531.3600000000006"/>
    <n v="255.5"/>
    <n v="10396.560000000001"/>
    <n v="10343.89"/>
    <n v="0"/>
    <n v="201.55"/>
    <n v="52.670000000001892"/>
    <n v="0"/>
    <n v="0"/>
    <n v="0"/>
    <n v="4812"/>
    <n v="5330"/>
    <n v="0"/>
    <n v="0"/>
    <n v="0"/>
  </r>
  <r>
    <x v="4"/>
    <s v="Mohanpur - Chandan"/>
    <s v="vlc"/>
    <s v="Indirect"/>
    <n v="101.99999999999999"/>
    <n v="3863.81"/>
    <n v="0"/>
    <n v="0"/>
    <n v="0"/>
    <n v="0"/>
    <n v="0"/>
    <n v="0"/>
    <n v="3863.81"/>
    <n v="0"/>
    <n v="0"/>
    <n v="0"/>
    <n v="0"/>
    <n v="0"/>
    <n v="0"/>
    <n v="0"/>
    <n v="0"/>
    <n v="3863.81"/>
    <n v="0"/>
    <n v="0"/>
  </r>
  <r>
    <x v="5"/>
    <s v="Ekamba - Ashutosh"/>
    <s v="MPG"/>
    <s v="Indirect"/>
    <n v="1332.5599999999997"/>
    <n v="58960.030000000006"/>
    <n v="0"/>
    <n v="0"/>
    <n v="0"/>
    <n v="0"/>
    <n v="0"/>
    <n v="0"/>
    <n v="58960.030000000006"/>
    <n v="0"/>
    <n v="0"/>
    <n v="0"/>
    <n v="0"/>
    <n v="0"/>
    <n v="0"/>
    <n v="0"/>
    <n v="0"/>
    <n v="58960.030000000006"/>
    <n v="0"/>
    <n v="0"/>
  </r>
  <r>
    <x v="1029"/>
    <s v="Gomukh Dunahi"/>
    <s v="MPG"/>
    <s v="Direct"/>
    <n v="81.59"/>
    <n v="3336.3"/>
    <n v="79.599999999999994"/>
    <n v="3234.5200000000004"/>
    <n v="2.2999999999999998"/>
    <n v="79.17"/>
    <n v="81.899999999999991"/>
    <n v="3313.6900000000005"/>
    <n v="3313.6900000000005"/>
    <n v="0"/>
    <n v="79.17"/>
    <n v="0"/>
    <n v="0"/>
    <n v="0"/>
    <n v="0"/>
    <n v="3235"/>
    <n v="0"/>
    <n v="0"/>
    <n v="22"/>
    <n v="0"/>
  </r>
  <r>
    <x v="6"/>
    <s v="GOMUKH BIRPUR PASCHIM                                                                               "/>
    <s v="MPG"/>
    <s v="Direct"/>
    <n v="95.800000000000011"/>
    <n v="3979.5299999999997"/>
    <n v="93.8"/>
    <n v="3951.1500000000005"/>
    <n v="0"/>
    <n v="0"/>
    <n v="93.8"/>
    <n v="3951.1500000000005"/>
    <n v="3951.1500000000005"/>
    <n v="0"/>
    <n v="0"/>
    <n v="0"/>
    <n v="0"/>
    <n v="500"/>
    <n v="0"/>
    <n v="3451"/>
    <n v="0"/>
    <n v="0"/>
    <n v="29"/>
    <n v="0"/>
  </r>
  <r>
    <x v="7"/>
    <s v="Manish Dairy                                                                                        "/>
    <s v="vlc"/>
    <s v="Indirect"/>
    <n v="9342"/>
    <n v="362158.1100000001"/>
    <n v="0"/>
    <n v="0"/>
    <n v="0"/>
    <n v="0"/>
    <n v="0"/>
    <n v="0"/>
    <n v="362158.1100000001"/>
    <n v="0"/>
    <n v="0"/>
    <n v="0"/>
    <n v="0"/>
    <n v="0"/>
    <n v="0"/>
    <n v="0"/>
    <n v="0"/>
    <n v="362158.1100000001"/>
    <n v="0"/>
    <n v="0"/>
  </r>
  <r>
    <x v="8"/>
    <s v="Gomukh Bhith-02"/>
    <s v="MPG"/>
    <s v="Direct"/>
    <n v="844.19999999999993"/>
    <n v="36965.219999999994"/>
    <n v="378.30000000000007"/>
    <n v="16408.519999999997"/>
    <n v="468.32000000000005"/>
    <n v="20431.579999999994"/>
    <n v="846.62000000000012"/>
    <n v="36840.099999999991"/>
    <n v="36840.099999999991"/>
    <n v="0"/>
    <n v="0"/>
    <n v="0"/>
    <n v="0"/>
    <n v="0"/>
    <n v="0"/>
    <n v="16407"/>
    <n v="20430"/>
    <n v="0"/>
    <n v="128"/>
    <n v="0"/>
  </r>
  <r>
    <x v="966"/>
    <s v="Chandan Dairy"/>
    <s v="vlc"/>
    <s v="Indirect"/>
    <n v="455.86999999999995"/>
    <n v="19081.730000000003"/>
    <n v="0"/>
    <n v="0"/>
    <n v="0"/>
    <n v="0"/>
    <n v="0"/>
    <n v="0"/>
    <n v="19081.730000000003"/>
    <n v="0"/>
    <n v="0"/>
    <n v="0"/>
    <n v="0"/>
    <n v="0"/>
    <n v="0"/>
    <n v="0"/>
    <n v="0"/>
    <n v="19081.730000000003"/>
    <n v="0"/>
    <n v="0"/>
  </r>
  <r>
    <x v="9"/>
    <s v="Gomukh Sharmatola Sahuri"/>
    <s v="MPG"/>
    <s v="Direct"/>
    <n v="1265.7000000000003"/>
    <n v="49417.929999999993"/>
    <n v="1231.72"/>
    <n v="48269.249999999993"/>
    <n v="31.34"/>
    <n v="1224.27"/>
    <n v="1263.06"/>
    <n v="49493.51999999999"/>
    <n v="49417.929999999993"/>
    <n v="0"/>
    <n v="0"/>
    <n v="75.589999999996508"/>
    <n v="0"/>
    <n v="0"/>
    <n v="0"/>
    <n v="48194"/>
    <n v="1224"/>
    <n v="0"/>
    <n v="0"/>
    <n v="0"/>
  </r>
  <r>
    <x v="10"/>
    <s v="Sangat- Sanjeev Kumar"/>
    <s v="vlc"/>
    <s v="Indirect"/>
    <n v="165.8"/>
    <n v="6001.35"/>
    <n v="0"/>
    <n v="0"/>
    <n v="0"/>
    <n v="0"/>
    <n v="0"/>
    <n v="0"/>
    <n v="6001.35"/>
    <n v="0"/>
    <n v="0"/>
    <n v="0"/>
    <n v="0"/>
    <n v="0"/>
    <n v="0"/>
    <n v="0"/>
    <n v="0"/>
    <n v="6001.35"/>
    <n v="0"/>
    <n v="0"/>
  </r>
  <r>
    <x v="11"/>
    <s v="Gomukh Garhi Bisanpur"/>
    <s v="MPG"/>
    <s v="Direct"/>
    <n v="63.58"/>
    <n v="3047.44"/>
    <n v="68.69"/>
    <n v="3625.6600000000003"/>
    <n v="1.3"/>
    <n v="70.08"/>
    <n v="69.989999999999995"/>
    <n v="3695.7400000000002"/>
    <n v="3047.44"/>
    <n v="0"/>
    <n v="70.08"/>
    <n v="648.30000000000018"/>
    <n v="0"/>
    <n v="0"/>
    <n v="0"/>
    <n v="0"/>
    <n v="0"/>
    <n v="0"/>
    <n v="2977"/>
    <s v="Yes"/>
  </r>
  <r>
    <x v="13"/>
    <s v="Gomukh Barkurwa"/>
    <s v="MPG"/>
    <s v="Direct"/>
    <n v="581.48"/>
    <n v="24643.690000000002"/>
    <n v="280"/>
    <n v="11845.800000000001"/>
    <n v="300.59999999999997"/>
    <n v="12740.380000000001"/>
    <n v="580.59999999999991"/>
    <n v="24586.18"/>
    <n v="24586.18"/>
    <n v="0"/>
    <n v="189.89"/>
    <n v="0"/>
    <n v="0"/>
    <n v="0"/>
    <n v="0"/>
    <n v="11846"/>
    <n v="12550"/>
    <n v="0"/>
    <n v="58"/>
    <n v="0"/>
  </r>
  <r>
    <x v="14"/>
    <s v="Kamla- Amarjeet"/>
    <s v="vlc"/>
    <s v="Indirect"/>
    <n v="714.20000000000016"/>
    <n v="22746.78"/>
    <n v="0"/>
    <n v="0"/>
    <n v="0"/>
    <n v="0"/>
    <n v="0"/>
    <n v="0"/>
    <n v="22746.78"/>
    <n v="0"/>
    <n v="0"/>
    <n v="0"/>
    <n v="0"/>
    <n v="0"/>
    <n v="0"/>
    <n v="0"/>
    <n v="0"/>
    <n v="22746.78"/>
    <n v="0"/>
    <n v="0"/>
  </r>
  <r>
    <x v="15"/>
    <s v="Gomukh Goha-02"/>
    <s v="MPG"/>
    <s v="Direct"/>
    <n v="220.08"/>
    <n v="9183.3599999999988"/>
    <n v="214.70000000000002"/>
    <n v="8947.9199999999983"/>
    <n v="5"/>
    <n v="209.9"/>
    <n v="219.70000000000002"/>
    <n v="9157.8199999999979"/>
    <n v="9157.8199999999979"/>
    <n v="0"/>
    <n v="209.9"/>
    <n v="0"/>
    <n v="0"/>
    <n v="0"/>
    <n v="0"/>
    <n v="8948"/>
    <n v="0"/>
    <n v="0"/>
    <n v="25"/>
    <n v="0"/>
  </r>
  <r>
    <x v="16"/>
    <s v="Gomukh Cheria Bariarpur"/>
    <s v="MPG"/>
    <s v="Direct"/>
    <n v="1200.1000000000001"/>
    <n v="47021.899999999994"/>
    <n v="1193.49"/>
    <n v="48433.569999999992"/>
    <n v="1.2900000000000005"/>
    <n v="51.72"/>
    <n v="1194.78"/>
    <n v="48485.289999999994"/>
    <n v="47021.899999999994"/>
    <n v="0"/>
    <n v="51.72"/>
    <n v="1463.3899999999994"/>
    <n v="0"/>
    <n v="0"/>
    <n v="0"/>
    <n v="46970"/>
    <n v="0"/>
    <n v="0"/>
    <n v="0"/>
    <n v="0"/>
  </r>
  <r>
    <x v="17"/>
    <s v="Gomukh Bagraha-01"/>
    <s v="MPG"/>
    <s v="Direct"/>
    <n v="152.05000000000001"/>
    <n v="6484.7900000000009"/>
    <n v="142.19999999999999"/>
    <n v="6061.37"/>
    <n v="5"/>
    <n v="207.1"/>
    <n v="147.19999999999999"/>
    <n v="6268.47"/>
    <n v="6268.47"/>
    <n v="0"/>
    <n v="207.1"/>
    <n v="0"/>
    <n v="0"/>
    <n v="0"/>
    <n v="0"/>
    <n v="0"/>
    <n v="0"/>
    <n v="0"/>
    <n v="6278"/>
    <s v="Yes"/>
  </r>
  <r>
    <x v="18"/>
    <s v="Gomukh Pirauna"/>
    <s v="MPG"/>
    <s v="Direct"/>
    <n v="203.39999999999998"/>
    <n v="7408.06"/>
    <n v="236.36999999999998"/>
    <n v="8659.4399999999987"/>
    <n v="0"/>
    <n v="0"/>
    <n v="236.36999999999998"/>
    <n v="8659.4399999999987"/>
    <n v="7408.06"/>
    <n v="0"/>
    <n v="0"/>
    <n v="1251.3799999999983"/>
    <n v="0"/>
    <n v="500"/>
    <n v="0"/>
    <n v="6908"/>
    <n v="0"/>
    <n v="0"/>
    <n v="0"/>
    <n v="0"/>
  </r>
  <r>
    <x v="19"/>
    <s v="Parra- Nagendra Kumar"/>
    <s v="vlc"/>
    <s v="Indirect"/>
    <n v="285.7"/>
    <n v="10417.179999999998"/>
    <n v="0"/>
    <n v="0"/>
    <n v="0"/>
    <n v="0"/>
    <n v="0"/>
    <n v="0"/>
    <n v="10417.179999999998"/>
    <n v="0"/>
    <n v="0"/>
    <n v="0"/>
    <n v="0"/>
    <n v="0"/>
    <n v="0"/>
    <n v="0"/>
    <n v="0"/>
    <n v="10417.179999999998"/>
    <n v="0"/>
    <n v="0"/>
  </r>
  <r>
    <x v="20"/>
    <s v="Gomukh Basahi"/>
    <s v="MPG"/>
    <s v="Direct"/>
    <n v="834.4"/>
    <n v="33248.17"/>
    <n v="833.8599999999999"/>
    <n v="34197.249999999993"/>
    <n v="2.17"/>
    <n v="95.03"/>
    <n v="836.02999999999986"/>
    <n v="34292.279999999992"/>
    <n v="33248.17"/>
    <n v="0"/>
    <n v="95.03"/>
    <n v="1044.1099999999933"/>
    <n v="0"/>
    <n v="0"/>
    <n v="0"/>
    <n v="33153"/>
    <n v="0"/>
    <n v="0"/>
    <n v="0"/>
    <n v="0"/>
  </r>
  <r>
    <x v="21"/>
    <s v="Gomukh Sawantpur"/>
    <s v="MPG"/>
    <s v="Direct"/>
    <n v="1171.2000000000003"/>
    <n v="45795.619999999995"/>
    <n v="875.56999999999994"/>
    <n v="34224.160000000003"/>
    <n v="385.1"/>
    <n v="15097.79"/>
    <n v="1260.67"/>
    <n v="49321.950000000004"/>
    <n v="45795.619999999995"/>
    <n v="0"/>
    <n v="61.220000000000006"/>
    <n v="3526.330000000009"/>
    <n v="0"/>
    <n v="0"/>
    <n v="0"/>
    <n v="30697"/>
    <n v="15037"/>
    <n v="0"/>
    <n v="0"/>
    <n v="0"/>
  </r>
  <r>
    <x v="22"/>
    <s v="Maida- Ram Kumar"/>
    <s v="vlc"/>
    <s v="Indirect"/>
    <n v="394.29999999999995"/>
    <n v="17944.77"/>
    <n v="0"/>
    <n v="0"/>
    <n v="0"/>
    <n v="0"/>
    <n v="0"/>
    <n v="0"/>
    <n v="17944.77"/>
    <n v="0"/>
    <n v="0"/>
    <n v="0"/>
    <n v="0"/>
    <n v="0"/>
    <n v="0"/>
    <n v="0"/>
    <n v="0"/>
    <n v="17944.77"/>
    <n v="0"/>
    <n v="0"/>
  </r>
  <r>
    <x v="23"/>
    <s v="Gomukh Aure Bikrampur"/>
    <s v="MPG"/>
    <s v="Direct"/>
    <n v="969.49999999999989"/>
    <n v="41972.15"/>
    <n v="957.4000000000002"/>
    <n v="41605.629999999997"/>
    <n v="0"/>
    <n v="0"/>
    <n v="957.4000000000002"/>
    <n v="41605.629999999997"/>
    <n v="41605.629999999997"/>
    <n v="0"/>
    <n v="0"/>
    <n v="0"/>
    <n v="0"/>
    <n v="0"/>
    <n v="0"/>
    <n v="41601"/>
    <n v="0"/>
    <n v="0"/>
    <n v="371"/>
    <n v="0"/>
  </r>
  <r>
    <x v="24"/>
    <s v="Manjhaul- Gulshan Kumar"/>
    <s v="vlc"/>
    <s v="Indirect"/>
    <n v="433.6"/>
    <n v="20276.55"/>
    <n v="0"/>
    <n v="0"/>
    <n v="0"/>
    <n v="0"/>
    <n v="0"/>
    <n v="0"/>
    <n v="20276.55"/>
    <n v="0"/>
    <n v="0"/>
    <n v="0"/>
    <n v="0"/>
    <n v="0"/>
    <n v="0"/>
    <n v="0"/>
    <n v="0"/>
    <n v="20276.55"/>
    <n v="0"/>
    <n v="0"/>
  </r>
  <r>
    <x v="25"/>
    <s v="Khaira Manjhaul"/>
    <s v="vlc"/>
    <s v="Indirect"/>
    <n v="375.8"/>
    <n v="13347.770000000002"/>
    <n v="0"/>
    <n v="0"/>
    <n v="0"/>
    <n v="0"/>
    <n v="0"/>
    <n v="0"/>
    <n v="13347.770000000002"/>
    <n v="0"/>
    <n v="0"/>
    <n v="0"/>
    <n v="0"/>
    <n v="0"/>
    <n v="0"/>
    <n v="0"/>
    <n v="0"/>
    <n v="13347.770000000002"/>
    <n v="0"/>
    <n v="0"/>
  </r>
  <r>
    <x v="26"/>
    <s v="Mehda Shahpur"/>
    <s v="vlc"/>
    <s v="Indirect"/>
    <n v="609"/>
    <n v="25248.79"/>
    <n v="0"/>
    <n v="0"/>
    <n v="0"/>
    <n v="0"/>
    <n v="0"/>
    <n v="0"/>
    <n v="25248.79"/>
    <n v="0"/>
    <n v="0"/>
    <n v="0"/>
    <n v="0"/>
    <n v="0"/>
    <n v="0"/>
    <n v="0"/>
    <n v="0"/>
    <n v="25248.79"/>
    <n v="0"/>
    <n v="0"/>
  </r>
  <r>
    <x v="27"/>
    <s v="Shri Bhairav Laxmipur"/>
    <s v="MPG"/>
    <s v="Direct"/>
    <n v="215.5"/>
    <n v="9548.630000000001"/>
    <n v="204.88"/>
    <n v="9514.2200000000012"/>
    <n v="0"/>
    <n v="0"/>
    <n v="204.88"/>
    <n v="9514.2200000000012"/>
    <n v="9514.2200000000012"/>
    <n v="0"/>
    <n v="0"/>
    <n v="0"/>
    <n v="0"/>
    <n v="0"/>
    <n v="0"/>
    <n v="9514"/>
    <n v="0"/>
    <n v="0"/>
    <n v="35"/>
    <n v="0"/>
  </r>
  <r>
    <x v="29"/>
    <s v="Gomukh Akaha"/>
    <s v="MPG"/>
    <s v="Direct"/>
    <n v="185.70000000000002"/>
    <n v="6470.4799999999987"/>
    <n v="184.39999999999998"/>
    <n v="6441.5099999999993"/>
    <n v="0"/>
    <n v="0"/>
    <n v="184.39999999999998"/>
    <n v="6441.5099999999993"/>
    <n v="6441.5099999999993"/>
    <n v="0"/>
    <n v="0"/>
    <n v="0"/>
    <n v="0"/>
    <n v="0"/>
    <n v="0"/>
    <n v="6440"/>
    <n v="0"/>
    <n v="0"/>
    <n v="30"/>
    <n v="0"/>
  </r>
  <r>
    <x v="30"/>
    <s v="Gomukh Rajakpur"/>
    <s v="MPG"/>
    <s v="Direct"/>
    <n v="114.9"/>
    <n v="4126.1499999999996"/>
    <n v="122.44999999999999"/>
    <n v="4087.83"/>
    <n v="0"/>
    <n v="0"/>
    <n v="122.44999999999999"/>
    <n v="4087.83"/>
    <n v="4087.83"/>
    <n v="0"/>
    <n v="0"/>
    <n v="0"/>
    <n v="0"/>
    <n v="0"/>
    <n v="0"/>
    <n v="4088"/>
    <n v="0"/>
    <n v="0"/>
    <n v="38"/>
    <n v="0"/>
  </r>
  <r>
    <x v="31"/>
    <s v="Gomukh Mohanpur"/>
    <s v="MPG"/>
    <s v="Direct"/>
    <n v="203.9"/>
    <n v="8175.68"/>
    <n v="199.79"/>
    <n v="8371.39"/>
    <n v="3.4500000000000006"/>
    <n v="128.71"/>
    <n v="203.23999999999998"/>
    <n v="8500.0999999999985"/>
    <n v="8175.68"/>
    <n v="0"/>
    <n v="128.71"/>
    <n v="324.41999999999825"/>
    <n v="0"/>
    <n v="0"/>
    <n v="0"/>
    <n v="8047"/>
    <n v="0"/>
    <n v="0"/>
    <n v="0"/>
    <n v="0"/>
  </r>
  <r>
    <x v="32"/>
    <s v="Gomukh Chakka"/>
    <s v="MPG"/>
    <s v="Direct"/>
    <n v="193.4"/>
    <n v="7807.45"/>
    <n v="193.78999999999996"/>
    <n v="7953.2999999999993"/>
    <n v="0"/>
    <n v="0"/>
    <n v="193.78999999999996"/>
    <n v="7953.2999999999993"/>
    <n v="7807.45"/>
    <n v="0"/>
    <n v="0"/>
    <n v="145.84999999999945"/>
    <n v="0"/>
    <n v="0"/>
    <n v="0"/>
    <n v="7807"/>
    <n v="0"/>
    <n v="0"/>
    <n v="0"/>
    <n v="0"/>
  </r>
  <r>
    <x v="33"/>
    <s v="Gamharia"/>
    <s v="vlc"/>
    <s v="Indirect"/>
    <n v="91.1"/>
    <n v="3998.5999999999995"/>
    <n v="0"/>
    <n v="0"/>
    <n v="0"/>
    <n v="0"/>
    <n v="0"/>
    <n v="0"/>
    <n v="3998.5999999999995"/>
    <n v="0"/>
    <n v="0"/>
    <n v="0"/>
    <n v="0"/>
    <n v="0"/>
    <n v="0"/>
    <n v="0"/>
    <n v="0"/>
    <n v="3998.5999999999995"/>
    <n v="0"/>
    <n v="0"/>
  </r>
  <r>
    <x v="34"/>
    <s v="Gomukh Meghaul-02"/>
    <s v="MPG"/>
    <s v="Direct"/>
    <n v="219.6"/>
    <n v="9482.4900000000016"/>
    <n v="223.78"/>
    <n v="9691.15"/>
    <n v="6.38"/>
    <n v="261.25"/>
    <n v="230.16"/>
    <n v="9952.4"/>
    <n v="9482.4900000000016"/>
    <n v="0"/>
    <n v="261.25"/>
    <n v="469.90999999999804"/>
    <n v="0"/>
    <n v="0"/>
    <n v="0"/>
    <n v="9221"/>
    <n v="0"/>
    <n v="0"/>
    <n v="0"/>
    <n v="0"/>
  </r>
  <r>
    <x v="35"/>
    <s v="Gomukh Meida"/>
    <s v="MPG"/>
    <s v="Direct"/>
    <n v="138.4"/>
    <n v="5458.3499999999995"/>
    <n v="143.89999999999998"/>
    <n v="5619.9099999999962"/>
    <n v="0"/>
    <n v="0"/>
    <n v="143.89999999999998"/>
    <n v="5619.9099999999962"/>
    <n v="5458.3499999999995"/>
    <n v="0"/>
    <n v="0"/>
    <n v="161.55999999999676"/>
    <n v="0"/>
    <n v="0"/>
    <n v="0"/>
    <n v="5458"/>
    <n v="0"/>
    <n v="0"/>
    <n v="0"/>
    <n v="0"/>
  </r>
  <r>
    <x v="1030"/>
    <s v="Kamla Nagar"/>
    <s v="vlc"/>
    <s v="Indirect"/>
    <n v="205.89999999999998"/>
    <n v="7377.1"/>
    <n v="0"/>
    <n v="0"/>
    <n v="0"/>
    <n v="0"/>
    <n v="0"/>
    <n v="0"/>
    <n v="7377.1"/>
    <n v="0"/>
    <n v="0"/>
    <n v="0"/>
    <n v="0"/>
    <n v="0"/>
    <n v="0"/>
    <n v="0"/>
    <n v="0"/>
    <n v="7377.1"/>
    <n v="0"/>
    <n v="0"/>
  </r>
  <r>
    <x v="36"/>
    <s v="PIPARIYA DIH -2"/>
    <s v="MPG"/>
    <s v="Direct"/>
    <n v="2851.9999999999995"/>
    <n v="129991.73"/>
    <n v="1775.1999999999998"/>
    <n v="86570.979999999981"/>
    <n v="1072.6999999999998"/>
    <n v="45404.89"/>
    <n v="2847.8999999999996"/>
    <n v="131975.87"/>
    <n v="129991.73"/>
    <n v="0"/>
    <n v="983.69000000000017"/>
    <n v="1984.1399999999994"/>
    <n v="0"/>
    <n v="0"/>
    <n v="0"/>
    <n v="84587"/>
    <n v="44421"/>
    <n v="0"/>
    <n v="0"/>
    <n v="0"/>
  </r>
  <r>
    <x v="37"/>
    <s v="LAL DIYARA -1"/>
    <s v="MPG"/>
    <s v="Direct"/>
    <n v="533"/>
    <n v="21473.049999999996"/>
    <n v="532.79999999999995"/>
    <n v="21465.43"/>
    <n v="0"/>
    <n v="0"/>
    <n v="532.79999999999995"/>
    <n v="21465.43"/>
    <n v="21465.43"/>
    <n v="0"/>
    <n v="0"/>
    <n v="0"/>
    <n v="0"/>
    <n v="0"/>
    <n v="0"/>
    <n v="21465"/>
    <n v="0"/>
    <n v="0"/>
    <n v="8"/>
    <n v="0"/>
  </r>
  <r>
    <x v="38"/>
    <s v="GANGA KINARE KHUTHA"/>
    <s v="vlc"/>
    <s v="Indirect"/>
    <n v="150.80000000000001"/>
    <n v="5856.4599999999991"/>
    <n v="0"/>
    <n v="0"/>
    <n v="0"/>
    <n v="0"/>
    <n v="0"/>
    <n v="0"/>
    <n v="5856.4599999999991"/>
    <n v="0"/>
    <n v="0"/>
    <n v="0"/>
    <n v="0"/>
    <n v="0"/>
    <n v="0"/>
    <n v="0"/>
    <n v="0"/>
    <n v="5856.4599999999991"/>
    <n v="0"/>
    <n v="0"/>
  </r>
  <r>
    <x v="39"/>
    <s v="Gomukh ID Khutaha Ganga"/>
    <s v="vlc"/>
    <s v="Indirect"/>
    <n v="222.60000000000002"/>
    <n v="9162.61"/>
    <n v="0"/>
    <n v="0"/>
    <n v="0"/>
    <n v="0"/>
    <n v="0"/>
    <n v="0"/>
    <n v="9162.61"/>
    <n v="0"/>
    <n v="0"/>
    <n v="0"/>
    <n v="0"/>
    <n v="0"/>
    <n v="0"/>
    <n v="0"/>
    <n v="0"/>
    <n v="9162.61"/>
    <n v="0"/>
    <n v="0"/>
  </r>
  <r>
    <x v="40"/>
    <s v="Gomukh ID Khutaha Dhih"/>
    <s v="vlc"/>
    <s v="Indirect"/>
    <n v="1486"/>
    <n v="61446.54"/>
    <n v="0"/>
    <n v="0"/>
    <n v="0"/>
    <n v="0"/>
    <n v="0"/>
    <n v="0"/>
    <n v="61446.54"/>
    <n v="0"/>
    <n v="0"/>
    <n v="0"/>
    <n v="0"/>
    <n v="0"/>
    <n v="0"/>
    <n v="0"/>
    <n v="0"/>
    <n v="61446.54"/>
    <n v="0"/>
    <n v="0"/>
  </r>
  <r>
    <x v="41"/>
    <s v="GOMUKH RAHATPUR"/>
    <s v="MPG"/>
    <s v="Direct"/>
    <n v="58.5"/>
    <n v="2396.66"/>
    <n v="58.5"/>
    <n v="2342.54"/>
    <n v="0.4"/>
    <n v="14.489999999999998"/>
    <n v="58.9"/>
    <n v="2357.0299999999997"/>
    <n v="2357.0299999999997"/>
    <n v="0"/>
    <n v="14.489999999999998"/>
    <n v="0"/>
    <n v="0"/>
    <n v="0"/>
    <n v="0"/>
    <n v="2342"/>
    <n v="0"/>
    <n v="0"/>
    <n v="40"/>
    <n v="0"/>
  </r>
  <r>
    <x v="42"/>
    <s v="Vikash Kumar"/>
    <s v="vlc"/>
    <s v="Indirect"/>
    <n v="1343.3"/>
    <n v="54733.83"/>
    <n v="0"/>
    <n v="0"/>
    <n v="0"/>
    <n v="0"/>
    <n v="0"/>
    <n v="0"/>
    <n v="54733.83"/>
    <n v="0"/>
    <n v="0"/>
    <n v="0"/>
    <n v="0"/>
    <n v="0"/>
    <n v="0"/>
    <n v="0"/>
    <n v="0"/>
    <n v="54733.83"/>
    <n v="0"/>
    <n v="0"/>
  </r>
  <r>
    <x v="43"/>
    <s v="GOMUKH  LALDIYARA TIRASHI                                                                           "/>
    <s v="vlc"/>
    <s v="Indirect"/>
    <n v="28921"/>
    <n v="1156143.8"/>
    <n v="0"/>
    <n v="0"/>
    <n v="0"/>
    <n v="0"/>
    <n v="0"/>
    <n v="0"/>
    <n v="1156143.8"/>
    <n v="0"/>
    <n v="0"/>
    <n v="0"/>
    <n v="0"/>
    <n v="0"/>
    <n v="0"/>
    <n v="0"/>
    <n v="0"/>
    <n v="1156143.8"/>
    <n v="0"/>
    <n v="0"/>
  </r>
  <r>
    <x v="44"/>
    <s v="GOMUKH  LALDIYARA PURBI"/>
    <s v="vlc"/>
    <s v="Indirect"/>
    <n v="28930.800000000003"/>
    <n v="1155498.9200000002"/>
    <n v="0"/>
    <n v="0"/>
    <n v="0"/>
    <n v="0"/>
    <n v="0"/>
    <n v="0"/>
    <n v="1155498.9200000002"/>
    <n v="0"/>
    <n v="0"/>
    <n v="0"/>
    <n v="0"/>
    <n v="0"/>
    <n v="0"/>
    <n v="0"/>
    <n v="0"/>
    <n v="1155498.9200000002"/>
    <n v="0"/>
    <n v="0"/>
  </r>
  <r>
    <x v="45"/>
    <s v="GOMUKH RAMCHANDARPUR II"/>
    <s v="MPG"/>
    <s v="Direct"/>
    <n v="3960.5000000000005"/>
    <n v="164438.74"/>
    <n v="4458.800000000002"/>
    <n v="163624.92000000001"/>
    <n v="33.1"/>
    <n v="1518.32"/>
    <n v="4491.9000000000024"/>
    <n v="165143.24000000002"/>
    <n v="164438.74"/>
    <n v="0"/>
    <n v="1518.32"/>
    <n v="704.5000000000291"/>
    <n v="0"/>
    <n v="0"/>
    <n v="0"/>
    <n v="162920"/>
    <n v="0"/>
    <n v="0"/>
    <n v="0"/>
    <n v="0"/>
  </r>
  <r>
    <x v="1011"/>
    <s v="WAKIL YADAV VLC"/>
    <s v="vlc"/>
    <s v="Indirect"/>
    <n v="31"/>
    <n v="1521.17"/>
    <n v="0"/>
    <n v="0"/>
    <n v="0"/>
    <n v="0"/>
    <n v="0"/>
    <n v="0"/>
    <n v="1521.17"/>
    <n v="0"/>
    <n v="0"/>
    <n v="0"/>
    <n v="0"/>
    <n v="0"/>
    <n v="0"/>
    <n v="0"/>
    <n v="0"/>
    <n v="1521.17"/>
    <n v="0"/>
    <n v="0"/>
  </r>
  <r>
    <x v="46"/>
    <s v="MOHANPUR"/>
    <s v="MPG"/>
    <s v="Direct"/>
    <n v="3741.2000000000003"/>
    <n v="161981.51"/>
    <n v="3439.3"/>
    <n v="150010.46000000002"/>
    <n v="387.70000000000005"/>
    <n v="15971.059999999998"/>
    <n v="3827"/>
    <n v="165981.52000000002"/>
    <n v="161981.51"/>
    <n v="0"/>
    <n v="1319.48"/>
    <n v="4000.0100000000093"/>
    <n v="0"/>
    <n v="0"/>
    <n v="0"/>
    <n v="146011"/>
    <n v="14651"/>
    <n v="0"/>
    <n v="0"/>
    <n v="0"/>
  </r>
  <r>
    <x v="47"/>
    <s v="Juwas"/>
    <s v="MPG"/>
    <s v="Direct"/>
    <n v="857.80000000000018"/>
    <n v="33634.810000000005"/>
    <n v="845.0999999999998"/>
    <n v="32867.550000000003"/>
    <n v="7"/>
    <n v="263.63"/>
    <n v="852.0999999999998"/>
    <n v="33131.18"/>
    <n v="33131.18"/>
    <n v="0"/>
    <n v="263.63"/>
    <n v="0"/>
    <n v="0"/>
    <n v="0"/>
    <n v="0"/>
    <n v="32869"/>
    <n v="0"/>
    <n v="0"/>
    <n v="502"/>
    <n v="0"/>
  </r>
  <r>
    <x v="48"/>
    <s v="Morwariya"/>
    <s v="MPG"/>
    <s v="Direct"/>
    <n v="2923.8999999999996"/>
    <n v="119845.64"/>
    <n v="2906.2799999999988"/>
    <n v="122038.67000000001"/>
    <n v="0"/>
    <n v="0"/>
    <n v="2906.2799999999988"/>
    <n v="122038.67000000001"/>
    <n v="119845.64"/>
    <n v="0"/>
    <n v="0"/>
    <n v="2193.0300000000134"/>
    <n v="0"/>
    <n v="0"/>
    <n v="0"/>
    <n v="119846"/>
    <n v="0"/>
    <n v="0"/>
    <n v="0"/>
    <n v="0"/>
  </r>
  <r>
    <x v="49"/>
    <s v="Dumri 2"/>
    <s v="MPG"/>
    <s v="Direct"/>
    <n v="714"/>
    <n v="29874.6"/>
    <n v="706.35"/>
    <n v="29575.280000000002"/>
    <n v="9.65"/>
    <n v="400.83"/>
    <n v="716"/>
    <n v="29976.110000000004"/>
    <n v="29874.6"/>
    <n v="0"/>
    <n v="400.83"/>
    <n v="101.51000000000568"/>
    <n v="0"/>
    <n v="0"/>
    <n v="0"/>
    <n v="29474"/>
    <n v="0"/>
    <n v="0"/>
    <n v="0"/>
    <n v="0"/>
  </r>
  <r>
    <x v="50"/>
    <s v="Gomukh Jhakhaur"/>
    <s v="MPG"/>
    <s v="Direct"/>
    <n v="450"/>
    <n v="18470.16"/>
    <n v="464.51"/>
    <n v="19152.11"/>
    <n v="1.2999999999999998"/>
    <n v="52.64"/>
    <n v="465.81"/>
    <n v="19204.75"/>
    <n v="18470.16"/>
    <n v="0"/>
    <n v="52.64"/>
    <n v="734.59000000000015"/>
    <n v="0"/>
    <n v="0"/>
    <n v="0"/>
    <n v="18417"/>
    <n v="0"/>
    <n v="0"/>
    <n v="1"/>
    <n v="0"/>
  </r>
  <r>
    <x v="51"/>
    <s v="Gomukh Repura"/>
    <s v="MPG"/>
    <s v="Direct"/>
    <n v="641"/>
    <n v="27466.240000000002"/>
    <n v="641"/>
    <n v="27475.01"/>
    <n v="0"/>
    <n v="0"/>
    <n v="641"/>
    <n v="27475.01"/>
    <n v="27466.240000000002"/>
    <n v="0"/>
    <n v="0"/>
    <n v="8.7699999999967986"/>
    <n v="0"/>
    <n v="0"/>
    <n v="0"/>
    <n v="27466"/>
    <n v="0"/>
    <n v="0"/>
    <n v="0"/>
    <n v="0"/>
  </r>
  <r>
    <x v="52"/>
    <s v="Gomukh Virupur"/>
    <s v="MPG"/>
    <s v="Direct"/>
    <n v="327.99999999999994"/>
    <n v="13574.36"/>
    <n v="318.01"/>
    <n v="14039.060000000001"/>
    <n v="5.8900000000000006"/>
    <n v="232.61"/>
    <n v="323.89999999999998"/>
    <n v="14271.670000000002"/>
    <n v="13574.36"/>
    <n v="734"/>
    <n v="232.61"/>
    <n v="697.31000000000131"/>
    <n v="0"/>
    <n v="0"/>
    <n v="0"/>
    <n v="12607"/>
    <n v="0"/>
    <n v="0"/>
    <n v="1"/>
    <n v="0"/>
  </r>
  <r>
    <x v="53"/>
    <s v="Gomukh Diyarapipariya                                                                               "/>
    <s v="MPG"/>
    <s v="Direct"/>
    <n v="1253.8999999999999"/>
    <n v="56348.34"/>
    <n v="1246.1100000000001"/>
    <n v="56482.509999999995"/>
    <n v="14.780000000000001"/>
    <n v="704.42000000000007"/>
    <n v="1260.8900000000001"/>
    <n v="57186.929999999993"/>
    <n v="56348.34"/>
    <n v="0"/>
    <n v="704.42000000000007"/>
    <n v="838.58999999999651"/>
    <n v="0"/>
    <n v="0"/>
    <n v="0"/>
    <n v="55644"/>
    <n v="0"/>
    <n v="0"/>
    <n v="0"/>
    <n v="0"/>
  </r>
  <r>
    <x v="54"/>
    <s v="TAJPUR"/>
    <s v="MPG"/>
    <s v="Direct"/>
    <n v="815"/>
    <n v="37266.29"/>
    <n v="801.00000000000011"/>
    <n v="35361.78"/>
    <n v="9.2000000000000011"/>
    <n v="372.5"/>
    <n v="810.20000000000016"/>
    <n v="35734.28"/>
    <n v="35734.28"/>
    <n v="0"/>
    <n v="372.5"/>
    <n v="0"/>
    <n v="0"/>
    <n v="0"/>
    <n v="0"/>
    <n v="35362"/>
    <n v="0"/>
    <n v="0"/>
    <n v="1532"/>
    <s v="Release2"/>
  </r>
  <r>
    <x v="55"/>
    <s v="PATHUA"/>
    <s v="MPG"/>
    <s v="Direct"/>
    <n v="2300.4"/>
    <n v="99974.5"/>
    <n v="2366.8000000000002"/>
    <n v="104628.92000000001"/>
    <n v="62.3"/>
    <n v="2800.43"/>
    <n v="2429.1000000000004"/>
    <n v="107429.35"/>
    <n v="99974.5"/>
    <n v="0"/>
    <n v="1183.6799999999998"/>
    <n v="7454.8500000000058"/>
    <n v="0"/>
    <n v="0"/>
    <n v="0"/>
    <n v="97173"/>
    <n v="1617"/>
    <n v="0"/>
    <n v="1"/>
    <n v="0"/>
  </r>
  <r>
    <x v="56"/>
    <s v="LODIYA"/>
    <s v="MPG"/>
    <s v="Direct"/>
    <n v="622.69999999999993"/>
    <n v="25359.670000000002"/>
    <n v="617.21999999999991"/>
    <n v="25099.509999999995"/>
    <n v="5.46"/>
    <n v="230.76000000000002"/>
    <n v="622.67999999999995"/>
    <n v="25330.269999999993"/>
    <n v="25330.269999999993"/>
    <n v="0"/>
    <n v="230.76000000000002"/>
    <n v="0"/>
    <n v="0"/>
    <n v="0"/>
    <n v="0"/>
    <n v="25101"/>
    <n v="0"/>
    <n v="0"/>
    <n v="28"/>
    <n v="0"/>
  </r>
  <r>
    <x v="57"/>
    <s v="ADARSH LAXMIPUR-3"/>
    <s v="MPG"/>
    <s v="Direct"/>
    <n v="163.20000000000002"/>
    <n v="8589.7200000000012"/>
    <n v="164.64000000000001"/>
    <n v="8679.4399999999987"/>
    <n v="0"/>
    <n v="0"/>
    <n v="164.64000000000001"/>
    <n v="8679.4399999999987"/>
    <n v="8589.7200000000012"/>
    <n v="0"/>
    <n v="0"/>
    <n v="89.719999999997526"/>
    <n v="0"/>
    <n v="500"/>
    <n v="0"/>
    <n v="8090"/>
    <n v="0"/>
    <n v="0"/>
    <n v="0"/>
    <n v="0"/>
  </r>
  <r>
    <x v="58"/>
    <s v="BHANPUR"/>
    <s v="MPG"/>
    <s v="Direct"/>
    <n v="685.89999999999986"/>
    <n v="26625.73"/>
    <n v="685.8"/>
    <n v="26536.71"/>
    <n v="0"/>
    <n v="0"/>
    <n v="685.8"/>
    <n v="26536.71"/>
    <n v="26536.71"/>
    <n v="0"/>
    <n v="0"/>
    <n v="0"/>
    <n v="0"/>
    <n v="0"/>
    <n v="0"/>
    <n v="26537"/>
    <n v="0"/>
    <n v="0"/>
    <n v="89"/>
    <n v="0"/>
  </r>
  <r>
    <x v="59"/>
    <s v="Karari Pipariya 2"/>
    <s v="MPG"/>
    <s v="Direct"/>
    <n v="621.5"/>
    <n v="27408.929999999997"/>
    <n v="620.97"/>
    <n v="27902.719999999998"/>
    <n v="9.74"/>
    <n v="429.69999999999993"/>
    <n v="630.71"/>
    <n v="28332.42"/>
    <n v="27408.929999999997"/>
    <n v="0"/>
    <n v="429.69999999999993"/>
    <n v="923.4900000000016"/>
    <n v="0"/>
    <n v="0"/>
    <n v="0"/>
    <n v="26979"/>
    <n v="0"/>
    <n v="0"/>
    <n v="0"/>
    <n v="0"/>
  </r>
  <r>
    <x v="60"/>
    <s v="DIYARA PIPARIYA-THANA                                                                               "/>
    <s v="MPG"/>
    <s v="Direct"/>
    <n v="1311.9"/>
    <n v="59376.87"/>
    <n v="1305.7300000000002"/>
    <n v="58737.62000000001"/>
    <n v="7.7399999999999993"/>
    <n v="344.72999999999996"/>
    <n v="1313.4700000000003"/>
    <n v="59082.350000000013"/>
    <n v="59082.350000000013"/>
    <n v="0"/>
    <n v="344.72999999999996"/>
    <n v="0"/>
    <n v="0"/>
    <n v="0"/>
    <n v="0"/>
    <n v="58739"/>
    <n v="0"/>
    <n v="0"/>
    <n v="293"/>
    <n v="0"/>
  </r>
  <r>
    <x v="61"/>
    <s v="SRI RAM SINGH(VLC)"/>
    <s v="vlc"/>
    <s v="Indirect"/>
    <n v="3343.8"/>
    <n v="144252.51999999999"/>
    <n v="0"/>
    <n v="0"/>
    <n v="0"/>
    <n v="0"/>
    <n v="0"/>
    <n v="0"/>
    <n v="144252.51999999999"/>
    <n v="0"/>
    <n v="0"/>
    <n v="0"/>
    <n v="0"/>
    <n v="0"/>
    <n v="0"/>
    <n v="0"/>
    <n v="0"/>
    <n v="144252.51999999999"/>
    <n v="0"/>
    <n v="0"/>
  </r>
  <r>
    <x v="62"/>
    <s v="GADHTOLA"/>
    <s v="MPG"/>
    <s v="Direct"/>
    <n v="950.30000000000007"/>
    <n v="45024.739999999991"/>
    <n v="944.53"/>
    <n v="44850.580000000009"/>
    <n v="4.4399999999999995"/>
    <n v="198.03"/>
    <n v="948.97"/>
    <n v="45048.610000000008"/>
    <n v="45024.739999999991"/>
    <n v="0"/>
    <n v="198.03"/>
    <n v="23.870000000017171"/>
    <n v="0"/>
    <n v="0"/>
    <n v="0"/>
    <n v="44850"/>
    <n v="0"/>
    <n v="0"/>
    <n v="-23"/>
    <s v="Release2"/>
  </r>
  <r>
    <x v="63"/>
    <s v="Chetan Tola - Ravi"/>
    <s v="vlc"/>
    <s v="Indirect"/>
    <n v="310.70000000000005"/>
    <n v="16981.560000000001"/>
    <n v="0"/>
    <n v="0"/>
    <n v="0"/>
    <n v="0"/>
    <n v="0"/>
    <n v="0"/>
    <n v="16981.560000000001"/>
    <n v="0"/>
    <n v="0"/>
    <n v="0"/>
    <n v="0"/>
    <n v="0"/>
    <n v="0"/>
    <n v="0"/>
    <n v="0"/>
    <n v="16981.560000000001"/>
    <n v="0"/>
    <n v="0"/>
  </r>
  <r>
    <x v="64"/>
    <s v="Diyara-Pipariya-Utri - Chandan"/>
    <s v="vlc"/>
    <s v="Indirect"/>
    <n v="1970.7999999999997"/>
    <n v="86763.119999999981"/>
    <n v="0"/>
    <n v="0"/>
    <n v="0"/>
    <n v="0"/>
    <n v="0"/>
    <n v="0"/>
    <n v="86763.119999999981"/>
    <n v="0"/>
    <n v="0"/>
    <n v="0"/>
    <n v="0"/>
    <n v="0"/>
    <n v="0"/>
    <n v="0"/>
    <n v="0"/>
    <n v="86763.119999999981"/>
    <n v="0"/>
    <n v="0"/>
  </r>
  <r>
    <x v="967"/>
    <s v="Chetan Tola-Dakshin - Hari Om"/>
    <s v="vlc"/>
    <s v="Indirect"/>
    <n v="422.5"/>
    <n v="23327.65"/>
    <n v="0"/>
    <n v="0"/>
    <n v="0"/>
    <n v="0"/>
    <n v="0"/>
    <n v="0"/>
    <n v="23327.65"/>
    <n v="0"/>
    <n v="0"/>
    <n v="0"/>
    <n v="0"/>
    <n v="0"/>
    <n v="0"/>
    <n v="0"/>
    <n v="0"/>
    <n v="23327.65"/>
    <n v="0"/>
    <n v="0"/>
  </r>
  <r>
    <x v="65"/>
    <s v="KANHARPUR-2"/>
    <s v="MPG"/>
    <s v="Direct"/>
    <n v="2706.6"/>
    <n v="125229.05000000002"/>
    <n v="2289.69"/>
    <n v="109086.89"/>
    <n v="421.21000000000004"/>
    <n v="18293.07"/>
    <n v="2710.9"/>
    <n v="127379.95999999999"/>
    <n v="125229.05000000002"/>
    <n v="0"/>
    <n v="1782.8300000000002"/>
    <n v="2150.9099999999744"/>
    <n v="0"/>
    <n v="0"/>
    <n v="0"/>
    <n v="106936"/>
    <n v="16510"/>
    <n v="0"/>
    <n v="0"/>
    <n v="0"/>
  </r>
  <r>
    <x v="66"/>
    <s v="BASAUNA"/>
    <s v="MPG"/>
    <s v="Direct"/>
    <n v="676.30000000000007"/>
    <n v="28291.100000000002"/>
    <n v="455.90999999999997"/>
    <n v="20724.449999999997"/>
    <n v="222.71999999999997"/>
    <n v="8735.6899999999987"/>
    <n v="678.62999999999988"/>
    <n v="29460.139999999996"/>
    <n v="28291.100000000002"/>
    <n v="0"/>
    <n v="204.36999999999995"/>
    <n v="1169.0399999999936"/>
    <n v="0"/>
    <n v="0"/>
    <n v="0"/>
    <n v="19555"/>
    <n v="8532"/>
    <n v="0"/>
    <n v="0"/>
    <n v="0"/>
  </r>
  <r>
    <x v="67"/>
    <s v="GANGA-SARAI"/>
    <s v="MPG"/>
    <s v="Direct"/>
    <n v="985.89999999999986"/>
    <n v="43096.58"/>
    <n v="689.52"/>
    <n v="28932.780000000002"/>
    <n v="322.60000000000002"/>
    <n v="14178.570000000002"/>
    <n v="1012.12"/>
    <n v="43111.350000000006"/>
    <n v="43096.58"/>
    <n v="0"/>
    <n v="471.76000000000005"/>
    <n v="14.770000000004075"/>
    <n v="0"/>
    <n v="0"/>
    <n v="0"/>
    <n v="28918"/>
    <n v="13707"/>
    <n v="0"/>
    <n v="0"/>
    <n v="0"/>
  </r>
  <r>
    <x v="68"/>
    <s v="GOVIND-BIGHA                                                                                        "/>
    <s v="MPG"/>
    <s v="Direct"/>
    <n v="272"/>
    <n v="11111.43"/>
    <n v="272.75"/>
    <n v="11140.6"/>
    <n v="3.96"/>
    <n v="166.17999999999998"/>
    <n v="276.70999999999998"/>
    <n v="11306.78"/>
    <n v="11111.43"/>
    <n v="0"/>
    <n v="166.17999999999998"/>
    <n v="195.35000000000036"/>
    <n v="0"/>
    <n v="0"/>
    <n v="0"/>
    <n v="10945"/>
    <n v="0"/>
    <n v="0"/>
    <n v="0"/>
    <n v="0"/>
  </r>
  <r>
    <x v="69"/>
    <s v="MALPUR                                                                                              "/>
    <s v="MPG"/>
    <s v="Direct"/>
    <n v="991.89999999999986"/>
    <n v="46269.420000000013"/>
    <n v="595.88"/>
    <n v="30911.58"/>
    <n v="398.67000000000007"/>
    <n v="17171.940000000002"/>
    <n v="994.55000000000007"/>
    <n v="48083.520000000004"/>
    <n v="46269.420000000013"/>
    <n v="0"/>
    <n v="281.75"/>
    <n v="1814.0999999999913"/>
    <n v="0"/>
    <n v="0"/>
    <n v="0"/>
    <n v="29097"/>
    <n v="16890"/>
    <n v="0"/>
    <n v="1"/>
    <n v="0"/>
  </r>
  <r>
    <x v="70"/>
    <s v="Gomukh Hasanpur"/>
    <s v="vlc"/>
    <s v="Indirect"/>
    <n v="121.00000000000001"/>
    <n v="4836.51"/>
    <n v="0"/>
    <n v="0"/>
    <n v="0"/>
    <n v="0"/>
    <n v="0"/>
    <n v="0"/>
    <n v="4836.51"/>
    <n v="0"/>
    <n v="0"/>
    <n v="0"/>
    <n v="0"/>
    <n v="0"/>
    <n v="0"/>
    <n v="0"/>
    <n v="0"/>
    <n v="4836.51"/>
    <n v="0"/>
    <n v="0"/>
  </r>
  <r>
    <x v="72"/>
    <s v="SABIKPUR"/>
    <s v="MPG"/>
    <s v="Direct"/>
    <n v="1443.2"/>
    <n v="62918.219999999994"/>
    <n v="1452.2299999999998"/>
    <n v="65808.000000000015"/>
    <n v="0"/>
    <n v="0"/>
    <n v="1452.2299999999998"/>
    <n v="65808.000000000015"/>
    <n v="62918.219999999994"/>
    <n v="0"/>
    <n v="0"/>
    <n v="2889.7800000000207"/>
    <n v="0"/>
    <n v="0"/>
    <n v="0"/>
    <n v="62918"/>
    <n v="0"/>
    <n v="0"/>
    <n v="0"/>
    <n v="0"/>
  </r>
  <r>
    <x v="73"/>
    <s v="CHETAN-TOLA-KHUTHA"/>
    <s v="MPG"/>
    <s v="Direct"/>
    <n v="183.4"/>
    <n v="7982.37"/>
    <n v="183.29"/>
    <n v="7981.8200000000015"/>
    <n v="0.61999999999999988"/>
    <n v="24.649999999999995"/>
    <n v="183.91"/>
    <n v="8006.4700000000012"/>
    <n v="7982.37"/>
    <n v="0"/>
    <n v="24.649999999999995"/>
    <n v="24.100000000001273"/>
    <n v="0"/>
    <n v="500"/>
    <n v="0"/>
    <n v="7457"/>
    <n v="0"/>
    <n v="0"/>
    <n v="1"/>
    <n v="0"/>
  </r>
  <r>
    <x v="74"/>
    <s v="LAXMIPUR"/>
    <s v="MPG"/>
    <s v="Direct"/>
    <n v="697.69999999999993"/>
    <n v="28059.13"/>
    <n v="698.8"/>
    <n v="32336.3"/>
    <n v="0"/>
    <n v="0"/>
    <n v="698.8"/>
    <n v="32336.3"/>
    <n v="28059.13"/>
    <n v="0"/>
    <n v="0"/>
    <n v="4277.1699999999983"/>
    <n v="0"/>
    <n v="0"/>
    <n v="0"/>
    <n v="28059"/>
    <n v="0"/>
    <n v="0"/>
    <n v="0"/>
    <s v="Release2"/>
  </r>
  <r>
    <x v="75"/>
    <s v="REHUA RK"/>
    <s v="vlc"/>
    <s v="Indirect"/>
    <n v="1044.5"/>
    <n v="40110.860000000015"/>
    <n v="0"/>
    <n v="0"/>
    <n v="0"/>
    <n v="0"/>
    <n v="0"/>
    <n v="0"/>
    <n v="40110.860000000015"/>
    <n v="0"/>
    <n v="0"/>
    <n v="0"/>
    <n v="0"/>
    <n v="0"/>
    <n v="0"/>
    <n v="0"/>
    <n v="0"/>
    <n v="40110.860000000015"/>
    <n v="0"/>
    <n v="0"/>
  </r>
  <r>
    <x v="76"/>
    <s v="RAMNAGAR"/>
    <s v="MPG"/>
    <s v="Direct"/>
    <n v="266.2"/>
    <n v="12207.55"/>
    <n v="273.09999999999997"/>
    <n v="12868.38"/>
    <n v="0.6"/>
    <n v="21.52"/>
    <n v="273.7"/>
    <n v="12889.9"/>
    <n v="12207.55"/>
    <n v="0"/>
    <n v="21.52"/>
    <n v="682.35000000000036"/>
    <n v="0"/>
    <n v="0"/>
    <n v="0"/>
    <n v="12186"/>
    <n v="0"/>
    <n v="0"/>
    <n v="0"/>
    <s v="Release2"/>
  </r>
  <r>
    <x v="77"/>
    <s v="BANSIPUR"/>
    <s v="MPG"/>
    <s v="Direct"/>
    <n v="294.99999999999994"/>
    <n v="14494.289999999999"/>
    <n v="295"/>
    <n v="14526.189999999999"/>
    <n v="0"/>
    <n v="0"/>
    <n v="295"/>
    <n v="14526.189999999999"/>
    <n v="14494.289999999999"/>
    <n v="0"/>
    <n v="0"/>
    <n v="31.899999999999636"/>
    <n v="0"/>
    <n v="500"/>
    <n v="0"/>
    <n v="13994"/>
    <n v="0"/>
    <n v="0"/>
    <n v="0"/>
    <n v="0"/>
  </r>
  <r>
    <x v="78"/>
    <s v="GODIH"/>
    <s v="MPG"/>
    <s v="Direct"/>
    <n v="480.79999999999995"/>
    <n v="20551.119999999995"/>
    <n v="478.15999999999997"/>
    <n v="28198.720000000001"/>
    <n v="0"/>
    <n v="0"/>
    <n v="478.15999999999997"/>
    <n v="28198.720000000001"/>
    <n v="20551.119999999995"/>
    <n v="0"/>
    <n v="0"/>
    <n v="7647.6000000000058"/>
    <n v="0"/>
    <n v="0"/>
    <n v="0"/>
    <n v="20551"/>
    <n v="0"/>
    <n v="0"/>
    <n v="0"/>
    <n v="0"/>
  </r>
  <r>
    <x v="79"/>
    <s v="SINGARPUR"/>
    <s v="MPG"/>
    <s v="Direct"/>
    <n v="32.5"/>
    <n v="1435.93"/>
    <n v="33.19"/>
    <n v="1621.5200000000002"/>
    <n v="0"/>
    <n v="0"/>
    <n v="33.19"/>
    <n v="1621.5200000000002"/>
    <n v="1435.93"/>
    <n v="0"/>
    <n v="0"/>
    <n v="185.59000000000015"/>
    <n v="0"/>
    <n v="500"/>
    <n v="0"/>
    <n v="936"/>
    <n v="0"/>
    <n v="0"/>
    <n v="0"/>
    <n v="0"/>
  </r>
  <r>
    <x v="80"/>
    <s v="G WOLIPUR"/>
    <s v="MPG"/>
    <s v="Indirect"/>
    <n v="2010.1999999999998"/>
    <n v="85996.23"/>
    <n v="0"/>
    <n v="0"/>
    <n v="0"/>
    <n v="0"/>
    <n v="0"/>
    <n v="0"/>
    <n v="85996.23"/>
    <n v="0"/>
    <n v="0"/>
    <n v="0"/>
    <n v="0"/>
    <n v="0"/>
    <n v="0"/>
    <n v="0"/>
    <n v="0"/>
    <n v="85996.23"/>
    <n v="0"/>
    <n v="0"/>
  </r>
  <r>
    <x v="81"/>
    <s v="REHUA 3"/>
    <s v="MPG"/>
    <s v="Indirect"/>
    <n v="1827.8999999999994"/>
    <n v="79196.239999999991"/>
    <n v="0"/>
    <n v="0"/>
    <n v="0"/>
    <n v="0"/>
    <n v="0"/>
    <n v="0"/>
    <n v="79196.239999999991"/>
    <n v="0"/>
    <n v="0"/>
    <n v="0"/>
    <n v="0"/>
    <n v="0"/>
    <n v="0"/>
    <n v="0"/>
    <n v="0"/>
    <n v="79196.239999999991"/>
    <n v="0"/>
    <n v="0"/>
  </r>
  <r>
    <x v="82"/>
    <s v="BICHWAY"/>
    <s v="MPG"/>
    <s v="Direct"/>
    <n v="468.79999999999995"/>
    <n v="18672.39"/>
    <n v="468.4"/>
    <n v="19466.039999999997"/>
    <n v="0"/>
    <n v="0"/>
    <n v="468.4"/>
    <n v="19466.039999999997"/>
    <n v="18672.39"/>
    <n v="0"/>
    <n v="0"/>
    <n v="793.64999999999782"/>
    <n v="0"/>
    <n v="0"/>
    <n v="0"/>
    <n v="18672"/>
    <n v="0"/>
    <n v="0"/>
    <n v="0"/>
    <n v="0"/>
  </r>
  <r>
    <x v="83"/>
    <s v="MANOHARPUR"/>
    <s v="MPG"/>
    <s v="Direct"/>
    <n v="564.59999999999991"/>
    <n v="23309.969999999998"/>
    <n v="145.94"/>
    <n v="5755.0199999999995"/>
    <n v="421.61999999999995"/>
    <n v="17126.61"/>
    <n v="567.55999999999995"/>
    <n v="22881.63"/>
    <n v="22881.63"/>
    <n v="0"/>
    <n v="0"/>
    <n v="0"/>
    <n v="0"/>
    <n v="0"/>
    <n v="0"/>
    <n v="5755"/>
    <n v="17126"/>
    <n v="0"/>
    <n v="429"/>
    <n v="0"/>
  </r>
  <r>
    <x v="84"/>
    <s v="HIRDANBIGHA"/>
    <s v="MPG"/>
    <s v="Direct"/>
    <n v="807.99999999999989"/>
    <n v="33378.130000000005"/>
    <n v="806.71"/>
    <n v="33526.509999999995"/>
    <n v="0"/>
    <n v="0"/>
    <n v="806.71"/>
    <n v="33526.509999999995"/>
    <n v="33378.130000000005"/>
    <n v="0"/>
    <n v="0"/>
    <n v="148.3799999999901"/>
    <n v="0"/>
    <n v="0"/>
    <n v="0"/>
    <n v="33378"/>
    <n v="0"/>
    <n v="0"/>
    <n v="0"/>
    <n v="0"/>
  </r>
  <r>
    <x v="85"/>
    <s v="KHUTAHA DIH C"/>
    <s v="MPG"/>
    <s v="Direct"/>
    <n v="297.10000000000002"/>
    <n v="11684.41"/>
    <n v="297.09999999999997"/>
    <n v="11633.44"/>
    <n v="0"/>
    <n v="0"/>
    <n v="297.09999999999997"/>
    <n v="11633.44"/>
    <n v="11633.44"/>
    <n v="0"/>
    <n v="0"/>
    <n v="0"/>
    <n v="0"/>
    <n v="0"/>
    <n v="0"/>
    <n v="11633"/>
    <n v="0"/>
    <n v="0"/>
    <n v="51"/>
    <n v="0"/>
  </r>
  <r>
    <x v="86"/>
    <s v="MOHANPUR"/>
    <s v="vlc"/>
    <s v="Indirect"/>
    <n v="540.9"/>
    <n v="22967.77"/>
    <n v="0"/>
    <n v="0"/>
    <n v="0"/>
    <n v="0"/>
    <n v="0"/>
    <n v="0"/>
    <n v="22967.77"/>
    <n v="0"/>
    <n v="0"/>
    <n v="0"/>
    <n v="0"/>
    <n v="0"/>
    <n v="0"/>
    <n v="0"/>
    <n v="0"/>
    <n v="22967.77"/>
    <n v="0"/>
    <n v="0"/>
  </r>
  <r>
    <x v="87"/>
    <s v="CHATMADIH"/>
    <s v="MPG"/>
    <s v="Direct"/>
    <n v="1852.3999999999996"/>
    <n v="88781.940000000017"/>
    <n v="1837.6000000000001"/>
    <n v="84533.65"/>
    <n v="26.2"/>
    <n v="1873.64"/>
    <n v="1863.8000000000002"/>
    <n v="86407.29"/>
    <n v="86407.29"/>
    <n v="0"/>
    <n v="1873.64"/>
    <n v="0"/>
    <n v="0"/>
    <n v="0"/>
    <n v="0"/>
    <n v="84534"/>
    <n v="0"/>
    <n v="0"/>
    <n v="2374"/>
    <n v="0"/>
  </r>
  <r>
    <x v="88"/>
    <s v="SIYADIH"/>
    <s v="vlc"/>
    <s v="Indirect"/>
    <n v="747.44999999999993"/>
    <n v="22919.429999999997"/>
    <n v="0"/>
    <n v="0"/>
    <n v="0"/>
    <n v="0"/>
    <n v="0"/>
    <n v="0"/>
    <n v="22919.429999999997"/>
    <n v="0"/>
    <n v="0"/>
    <n v="0"/>
    <n v="0"/>
    <n v="0"/>
    <n v="0"/>
    <n v="0"/>
    <n v="0"/>
    <n v="22919.429999999997"/>
    <n v="0"/>
    <n v="0"/>
  </r>
  <r>
    <x v="89"/>
    <s v="Gomukh ID Laldiyara"/>
    <s v="vlc"/>
    <s v="Indirect"/>
    <n v="11037.800000000001"/>
    <n v="472029.31"/>
    <n v="0"/>
    <n v="0"/>
    <n v="0"/>
    <n v="0"/>
    <n v="0"/>
    <n v="0"/>
    <n v="472029.31"/>
    <n v="0"/>
    <n v="0"/>
    <n v="0"/>
    <n v="0"/>
    <n v="0"/>
    <n v="0"/>
    <n v="0"/>
    <n v="0"/>
    <n v="472029.31"/>
    <n v="0"/>
    <n v="0"/>
  </r>
  <r>
    <x v="90"/>
    <s v="KATHNI"/>
    <s v="MPG"/>
    <s v="Direct"/>
    <n v="225.00000000000006"/>
    <n v="8000.74"/>
    <n v="217.6"/>
    <n v="8038.43"/>
    <n v="5.5"/>
    <n v="235.46"/>
    <n v="223.1"/>
    <n v="8273.89"/>
    <n v="8000.74"/>
    <n v="0"/>
    <n v="0"/>
    <n v="273.14999999999964"/>
    <n v="0"/>
    <n v="0"/>
    <n v="0"/>
    <n v="7766"/>
    <n v="235"/>
    <n v="0"/>
    <n v="0"/>
    <n v="0"/>
  </r>
  <r>
    <x v="91"/>
    <s v="DEVDHA GOMUKH MPG"/>
    <s v="MPG"/>
    <s v="Direct"/>
    <n v="1407.1"/>
    <n v="61002.689999999995"/>
    <n v="1396.9"/>
    <n v="60514.520000000011"/>
    <n v="6.6"/>
    <n v="289.48"/>
    <n v="1403.5"/>
    <n v="60804.000000000015"/>
    <n v="60804.000000000015"/>
    <n v="0"/>
    <n v="289.48"/>
    <n v="0"/>
    <n v="0"/>
    <n v="0"/>
    <n v="0"/>
    <n v="60515"/>
    <n v="0"/>
    <n v="0"/>
    <n v="198"/>
    <n v="0"/>
  </r>
  <r>
    <x v="92"/>
    <s v="KASBA(MANGOAN)"/>
    <s v="vlc"/>
    <s v="Indirect"/>
    <n v="407.85000000000008"/>
    <n v="15290.54"/>
    <n v="0"/>
    <n v="0"/>
    <n v="0"/>
    <n v="0"/>
    <n v="0"/>
    <n v="0"/>
    <n v="15290.54"/>
    <n v="0"/>
    <n v="0"/>
    <n v="0"/>
    <n v="0"/>
    <n v="0"/>
    <n v="0"/>
    <n v="0"/>
    <n v="0"/>
    <n v="15290.54"/>
    <n v="0"/>
    <n v="0"/>
  </r>
  <r>
    <x v="93"/>
    <s v="LOHRA"/>
    <s v="MPG"/>
    <s v="Direct"/>
    <n v="747.95"/>
    <n v="40933.129999999997"/>
    <n v="733.4"/>
    <n v="41313.19"/>
    <n v="17.100000000000001"/>
    <n v="909.99"/>
    <n v="750.5"/>
    <n v="42223.18"/>
    <n v="40933.129999999997"/>
    <n v="0"/>
    <n v="909.99"/>
    <n v="1290.0500000000029"/>
    <n v="0"/>
    <n v="0"/>
    <n v="0"/>
    <n v="40023"/>
    <n v="0"/>
    <n v="0"/>
    <n v="0"/>
    <n v="0"/>
  </r>
  <r>
    <x v="95"/>
    <s v="GIRDHARA"/>
    <s v="MPG"/>
    <s v="Direct"/>
    <n v="1191.5000000000002"/>
    <n v="52530.339999999989"/>
    <n v="153.30000000000001"/>
    <n v="7995.9500000000007"/>
    <n v="1052.67"/>
    <n v="46542.15"/>
    <n v="1205.97"/>
    <n v="54538.100000000006"/>
    <n v="52530.339999999989"/>
    <n v="0"/>
    <n v="377.54"/>
    <n v="2007.7600000000166"/>
    <n v="0"/>
    <n v="0"/>
    <n v="0"/>
    <n v="5987"/>
    <n v="46165"/>
    <n v="0"/>
    <n v="1"/>
    <n v="0"/>
  </r>
  <r>
    <x v="96"/>
    <s v="RATNI"/>
    <s v="MPG"/>
    <s v="Direct"/>
    <n v="1411.9499999999998"/>
    <n v="72187.610000000015"/>
    <n v="1388.1799999999998"/>
    <n v="70526.990000000005"/>
    <n v="38.22"/>
    <n v="2017.7599999999998"/>
    <n v="1426.3999999999999"/>
    <n v="72544.75"/>
    <n v="72187.610000000015"/>
    <n v="0"/>
    <n v="2017.7599999999998"/>
    <n v="357.13999999998487"/>
    <n v="0"/>
    <n v="0"/>
    <n v="0"/>
    <n v="70170"/>
    <n v="0"/>
    <n v="0"/>
    <n v="0"/>
    <n v="0"/>
  </r>
  <r>
    <x v="97"/>
    <s v="DHAPARI"/>
    <s v="MPG"/>
    <s v="Direct"/>
    <n v="792.4"/>
    <n v="33820.1"/>
    <n v="778.21"/>
    <n v="34782.300000000003"/>
    <n v="25.440000000000005"/>
    <n v="1054.1699999999998"/>
    <n v="803.65000000000009"/>
    <n v="35836.47"/>
    <n v="33820.1"/>
    <n v="0"/>
    <n v="1054.1699999999998"/>
    <n v="2016.3700000000026"/>
    <n v="0"/>
    <n v="0"/>
    <n v="0"/>
    <n v="32766"/>
    <n v="0"/>
    <n v="0"/>
    <n v="0"/>
    <n v="0"/>
  </r>
  <r>
    <x v="98"/>
    <s v="KHARUI"/>
    <s v="MPG"/>
    <s v="Direct"/>
    <n v="309"/>
    <n v="13465.65"/>
    <n v="295.77"/>
    <n v="13322.65"/>
    <n v="15.469999999999999"/>
    <n v="1055.6000000000001"/>
    <n v="311.24"/>
    <n v="14378.25"/>
    <n v="13465.65"/>
    <n v="0"/>
    <n v="1055.6000000000001"/>
    <n v="912.60000000000036"/>
    <n v="0"/>
    <n v="0"/>
    <n v="0"/>
    <n v="12410"/>
    <n v="0"/>
    <n v="0"/>
    <n v="0"/>
    <n v="0"/>
  </r>
  <r>
    <x v="99"/>
    <s v="KHAIRA"/>
    <s v="MPG"/>
    <s v="Direct"/>
    <n v="443.10000000000008"/>
    <n v="18614.97"/>
    <n v="476.67000000000007"/>
    <n v="20643.360000000004"/>
    <n v="24.519999999999996"/>
    <n v="1004.9399999999999"/>
    <n v="501.19000000000005"/>
    <n v="21648.300000000003"/>
    <n v="18614.97"/>
    <n v="0"/>
    <n v="1004.9399999999999"/>
    <n v="3033.3300000000017"/>
    <n v="0"/>
    <n v="0"/>
    <n v="0"/>
    <n v="17610"/>
    <n v="0"/>
    <n v="0"/>
    <n v="0"/>
    <n v="0"/>
  </r>
  <r>
    <x v="100"/>
    <s v="SISUA"/>
    <s v="MPG"/>
    <s v="Direct"/>
    <n v="1396.3499999999997"/>
    <n v="57707.850000000013"/>
    <n v="1302.6199999999999"/>
    <n v="55346.200000000012"/>
    <n v="122.35000000000001"/>
    <n v="4864.7099999999991"/>
    <n v="1424.9699999999998"/>
    <n v="60210.910000000011"/>
    <n v="57707.850000000013"/>
    <n v="0"/>
    <n v="784.21999999999991"/>
    <n v="2503.0599999999977"/>
    <n v="0"/>
    <n v="0"/>
    <n v="0"/>
    <n v="52844"/>
    <n v="4080"/>
    <n v="0"/>
    <n v="0"/>
    <n v="0"/>
  </r>
  <r>
    <x v="101"/>
    <s v="BISAI"/>
    <s v="MPG"/>
    <s v="Direct"/>
    <n v="387.35"/>
    <n v="16020.740000000002"/>
    <n v="384.98"/>
    <n v="16210.779999999999"/>
    <n v="10.65"/>
    <n v="455.25"/>
    <n v="395.63"/>
    <n v="16666.03"/>
    <n v="16020.740000000002"/>
    <n v="0"/>
    <n v="455.25"/>
    <n v="645.28999999999724"/>
    <n v="0"/>
    <n v="0"/>
    <n v="0"/>
    <n v="15565"/>
    <n v="0"/>
    <n v="0"/>
    <n v="0"/>
    <n v="0"/>
  </r>
  <r>
    <x v="102"/>
    <s v="SAJUA-1"/>
    <s v="MPG"/>
    <s v="Direct"/>
    <n v="690.05000000000007"/>
    <n v="27584.18"/>
    <n v="688.04000000000008"/>
    <n v="27898.639999999999"/>
    <n v="10.560000000000002"/>
    <n v="425.91"/>
    <n v="698.60000000000014"/>
    <n v="28324.55"/>
    <n v="27584.18"/>
    <n v="0"/>
    <n v="425.91"/>
    <n v="740.36999999999898"/>
    <n v="0"/>
    <n v="0"/>
    <n v="0"/>
    <n v="27158"/>
    <n v="0"/>
    <n v="0"/>
    <n v="0"/>
    <n v="0"/>
  </r>
  <r>
    <x v="103"/>
    <s v="SAJUA-2"/>
    <s v="MPG"/>
    <s v="Direct"/>
    <n v="804.55000000000018"/>
    <n v="33246.53"/>
    <n v="844.42"/>
    <n v="35640.319999999992"/>
    <n v="0"/>
    <n v="0"/>
    <n v="844.42"/>
    <n v="35640.319999999992"/>
    <n v="33246.53"/>
    <n v="0"/>
    <n v="0"/>
    <n v="2393.7899999999936"/>
    <n v="0"/>
    <n v="0"/>
    <n v="0"/>
    <n v="34851"/>
    <n v="0"/>
    <n v="0"/>
    <n v="-1604"/>
    <s v="Release2"/>
  </r>
  <r>
    <x v="104"/>
    <s v="CHORGAUN"/>
    <s v="MPG"/>
    <s v="Direct"/>
    <n v="853.20000000000016"/>
    <n v="33891.060000000005"/>
    <n v="810.4"/>
    <n v="32527.260000000002"/>
    <n v="28.000000000000004"/>
    <n v="1116.8100000000002"/>
    <n v="838.4"/>
    <n v="33644.07"/>
    <n v="33644.07"/>
    <n v="0"/>
    <n v="1116.8100000000002"/>
    <n v="0"/>
    <n v="0"/>
    <n v="0"/>
    <n v="0"/>
    <n v="32532"/>
    <n v="0"/>
    <n v="0"/>
    <n v="242"/>
    <n v="0"/>
  </r>
  <r>
    <x v="105"/>
    <s v="PADARATHPUR"/>
    <s v="MPG"/>
    <s v="Direct"/>
    <n v="1001.4000000000001"/>
    <n v="42617.039999999994"/>
    <n v="997.39999999999986"/>
    <n v="42718.8"/>
    <n v="19.100000000000001"/>
    <n v="767.78000000000009"/>
    <n v="1016.4999999999999"/>
    <n v="43486.58"/>
    <n v="42617.039999999994"/>
    <n v="0"/>
    <n v="767.78000000000009"/>
    <n v="869.54000000000815"/>
    <n v="0"/>
    <n v="0"/>
    <n v="0"/>
    <n v="41849"/>
    <n v="0"/>
    <n v="0"/>
    <n v="0"/>
    <n v="0"/>
  </r>
  <r>
    <x v="968"/>
    <s v="MACHIDIH"/>
    <s v="MPG"/>
    <s v="Direct"/>
    <n v="96.850000000000009"/>
    <n v="4588.13"/>
    <n v="97"/>
    <n v="4616.43"/>
    <n v="0"/>
    <n v="0"/>
    <n v="97"/>
    <n v="4616.43"/>
    <n v="4588.13"/>
    <n v="0"/>
    <n v="0"/>
    <n v="28.300000000000182"/>
    <n v="0"/>
    <n v="0"/>
    <n v="0"/>
    <n v="4588"/>
    <n v="0"/>
    <n v="0"/>
    <n v="0"/>
    <n v="0"/>
  </r>
  <r>
    <x v="106"/>
    <s v="BADARKHA"/>
    <s v="MPG"/>
    <s v="Direct"/>
    <n v="733.05"/>
    <n v="27539.78"/>
    <n v="729.62"/>
    <n v="27889.869999999995"/>
    <n v="0"/>
    <n v="0"/>
    <n v="729.62"/>
    <n v="27889.869999999995"/>
    <n v="27539.78"/>
    <n v="0"/>
    <n v="0"/>
    <n v="350.08999999999651"/>
    <n v="0"/>
    <n v="0"/>
    <n v="0"/>
    <n v="27540"/>
    <n v="0"/>
    <n v="0"/>
    <n v="0"/>
    <n v="0"/>
  </r>
  <r>
    <x v="107"/>
    <s v="MAHDMADPUR                                                                                          "/>
    <s v="MPG"/>
    <s v="Direct"/>
    <n v="1126"/>
    <n v="39686.65"/>
    <n v="1191.3999999999999"/>
    <n v="45327.799999999996"/>
    <n v="8.6999999999999993"/>
    <n v="369.88"/>
    <n v="1200.0999999999999"/>
    <n v="45697.679999999993"/>
    <n v="39686.65"/>
    <n v="0"/>
    <n v="369.88"/>
    <n v="6011.0299999999916"/>
    <n v="0"/>
    <n v="0"/>
    <n v="0"/>
    <n v="39317"/>
    <n v="0"/>
    <n v="0"/>
    <n v="0"/>
    <n v="0"/>
  </r>
  <r>
    <x v="108"/>
    <s v="MUSKIPUR                                                                                            "/>
    <s v="MPG"/>
    <s v="Direct"/>
    <n v="1254.2"/>
    <n v="54300.459999999992"/>
    <n v="1263.8600000000001"/>
    <n v="54733.329999999994"/>
    <n v="0"/>
    <n v="0"/>
    <n v="1263.8600000000001"/>
    <n v="54733.329999999994"/>
    <n v="54300.459999999992"/>
    <n v="0"/>
    <n v="0"/>
    <n v="432.87000000000262"/>
    <n v="0"/>
    <n v="0"/>
    <n v="0"/>
    <n v="54300"/>
    <n v="0"/>
    <n v="0"/>
    <n v="0"/>
    <n v="0"/>
  </r>
  <r>
    <x v="109"/>
    <s v="NAYAGAUN                                                                                            "/>
    <s v="MPG"/>
    <s v="Direct"/>
    <n v="651.85"/>
    <n v="27374.259999999995"/>
    <n v="647.57999999999993"/>
    <n v="27298.779999999995"/>
    <n v="3.1599999999999997"/>
    <n v="138.07999999999998"/>
    <n v="650.7399999999999"/>
    <n v="27436.859999999997"/>
    <n v="27374.259999999995"/>
    <n v="0"/>
    <n v="138.07999999999998"/>
    <n v="62.600000000002183"/>
    <n v="0"/>
    <n v="0"/>
    <n v="0"/>
    <n v="27236"/>
    <n v="0"/>
    <n v="0"/>
    <n v="0"/>
    <n v="0"/>
  </r>
  <r>
    <x v="110"/>
    <s v="LAUNA                                                                                               "/>
    <s v="MPG"/>
    <s v="Direct"/>
    <n v="1555.8500000000001"/>
    <n v="59036.240000000005"/>
    <n v="1507.3400000000001"/>
    <n v="58440.270000000004"/>
    <n v="14.45"/>
    <n v="554.36"/>
    <n v="1521.7900000000002"/>
    <n v="58994.630000000005"/>
    <n v="58994.630000000005"/>
    <n v="0"/>
    <n v="554.36"/>
    <n v="0"/>
    <n v="0"/>
    <n v="0"/>
    <n v="0"/>
    <n v="58442"/>
    <n v="0"/>
    <n v="0"/>
    <n v="40"/>
    <n v="0"/>
  </r>
  <r>
    <x v="111"/>
    <s v="DULHAR"/>
    <s v="MPG"/>
    <s v="Direct"/>
    <n v="696.94999999999993"/>
    <n v="30037.299999999996"/>
    <n v="637.45999999999992"/>
    <n v="31467.35"/>
    <n v="0"/>
    <n v="0"/>
    <n v="637.45999999999992"/>
    <n v="31467.35"/>
    <n v="30037.299999999996"/>
    <n v="0"/>
    <n v="0"/>
    <n v="1430.0500000000029"/>
    <n v="0"/>
    <n v="0"/>
    <n v="0"/>
    <n v="30037"/>
    <n v="0"/>
    <n v="0"/>
    <n v="0"/>
    <n v="0"/>
  </r>
  <r>
    <x v="112"/>
    <s v="Ghorpithiya - Vikas"/>
    <s v="vlc"/>
    <s v="Indirect"/>
    <n v="373.95000000000005"/>
    <n v="16671.87"/>
    <n v="0"/>
    <n v="0"/>
    <n v="0"/>
    <n v="0"/>
    <n v="0"/>
    <n v="0"/>
    <n v="16671.87"/>
    <n v="0"/>
    <n v="0"/>
    <n v="0"/>
    <n v="0"/>
    <n v="0"/>
    <n v="0"/>
    <n v="0"/>
    <n v="0"/>
    <n v="16671.87"/>
    <n v="0"/>
    <n v="0"/>
  </r>
  <r>
    <x v="113"/>
    <s v="Akbarnagar - Rakhi"/>
    <s v="vlc"/>
    <s v="Indirect"/>
    <n v="1143"/>
    <n v="46415.89"/>
    <n v="0"/>
    <n v="0"/>
    <n v="0"/>
    <n v="0"/>
    <n v="0"/>
    <n v="0"/>
    <n v="46415.89"/>
    <n v="0"/>
    <n v="0"/>
    <n v="0"/>
    <n v="0"/>
    <n v="0"/>
    <n v="0"/>
    <n v="0"/>
    <n v="0"/>
    <n v="46415.89"/>
    <n v="0"/>
    <n v="0"/>
  </r>
  <r>
    <x v="969"/>
    <s v="Maheshi - Chamcham"/>
    <s v="vlc"/>
    <s v="Indirect"/>
    <n v="709.2"/>
    <n v="29037.729999999996"/>
    <n v="0"/>
    <n v="0"/>
    <n v="0"/>
    <n v="0"/>
    <n v="0"/>
    <n v="0"/>
    <n v="29037.729999999996"/>
    <n v="0"/>
    <n v="0"/>
    <n v="0"/>
    <n v="0"/>
    <n v="0"/>
    <n v="0"/>
    <n v="0"/>
    <n v="0"/>
    <n v="29037.729999999996"/>
    <n v="0"/>
    <n v="0"/>
  </r>
  <r>
    <x v="114"/>
    <s v="Ghorpithiya - Dheeraj"/>
    <s v="vlc"/>
    <s v="Indirect"/>
    <n v="9168.9499999999989"/>
    <n v="391229.94999999995"/>
    <n v="0"/>
    <n v="0"/>
    <n v="0"/>
    <n v="0"/>
    <n v="0"/>
    <n v="0"/>
    <n v="391229.94999999995"/>
    <n v="0"/>
    <n v="0"/>
    <n v="0"/>
    <n v="0"/>
    <n v="0"/>
    <n v="0"/>
    <n v="0"/>
    <n v="0"/>
    <n v="391229.94999999995"/>
    <n v="0"/>
    <n v="0"/>
  </r>
  <r>
    <x v="115"/>
    <s v="Asarganj Chhotki Tola - Akash"/>
    <s v="vlc"/>
    <s v="Indirect"/>
    <n v="9013.5499999999993"/>
    <n v="385225.29"/>
    <n v="0"/>
    <n v="0"/>
    <n v="0"/>
    <n v="0"/>
    <n v="0"/>
    <n v="0"/>
    <n v="385225.29"/>
    <n v="0"/>
    <n v="0"/>
    <n v="0"/>
    <n v="0"/>
    <n v="0"/>
    <n v="0"/>
    <n v="0"/>
    <n v="0"/>
    <n v="385225.29"/>
    <n v="0"/>
    <n v="0"/>
  </r>
  <r>
    <x v="116"/>
    <s v="Manikpur - Golu"/>
    <s v="vlc"/>
    <s v="Indirect"/>
    <n v="809.7"/>
    <n v="33103.049999999996"/>
    <n v="0"/>
    <n v="0"/>
    <n v="0"/>
    <n v="0"/>
    <n v="0"/>
    <n v="0"/>
    <n v="33103.049999999996"/>
    <n v="0"/>
    <n v="0"/>
    <n v="0"/>
    <n v="0"/>
    <n v="0"/>
    <n v="0"/>
    <n v="0"/>
    <n v="0"/>
    <n v="33103.049999999996"/>
    <n v="0"/>
    <n v="0"/>
  </r>
  <r>
    <x v="117"/>
    <s v="Rangaon - Jayram"/>
    <s v="vlc"/>
    <s v="Indirect"/>
    <n v="709.2"/>
    <n v="29037.729999999996"/>
    <n v="0"/>
    <n v="0"/>
    <n v="0"/>
    <n v="0"/>
    <n v="0"/>
    <n v="0"/>
    <n v="29037.729999999996"/>
    <n v="0"/>
    <n v="0"/>
    <n v="0"/>
    <n v="0"/>
    <n v="0"/>
    <n v="0"/>
    <n v="0"/>
    <n v="0"/>
    <n v="29037.729999999996"/>
    <n v="0"/>
    <n v="0"/>
  </r>
  <r>
    <x v="970"/>
    <s v="Karso - Aparajita"/>
    <s v="vlc"/>
    <s v="Indirect"/>
    <n v="709.2"/>
    <n v="29037.729999999996"/>
    <n v="0"/>
    <n v="0"/>
    <n v="0"/>
    <n v="0"/>
    <n v="0"/>
    <n v="0"/>
    <n v="29037.729999999996"/>
    <n v="0"/>
    <n v="0"/>
    <n v="0"/>
    <n v="0"/>
    <n v="0"/>
    <n v="0"/>
    <n v="0"/>
    <n v="0"/>
    <n v="29037.729999999996"/>
    <n v="0"/>
    <n v="0"/>
  </r>
  <r>
    <x v="971"/>
    <s v="Unchagaon - Niraj"/>
    <s v="vlc"/>
    <s v="Indirect"/>
    <n v="709.2"/>
    <n v="29037.729999999996"/>
    <n v="0"/>
    <n v="0"/>
    <n v="0"/>
    <n v="0"/>
    <n v="0"/>
    <n v="0"/>
    <n v="29037.729999999996"/>
    <n v="0"/>
    <n v="0"/>
    <n v="0"/>
    <n v="0"/>
    <n v="0"/>
    <n v="0"/>
    <n v="0"/>
    <n v="0"/>
    <n v="29037.729999999996"/>
    <n v="0"/>
    <n v="0"/>
  </r>
  <r>
    <x v="118"/>
    <s v="PAIN"/>
    <s v="MPG"/>
    <s v="Direct"/>
    <n v="712.90000000000009"/>
    <n v="25963.37"/>
    <n v="708.41000000000008"/>
    <n v="28112.99"/>
    <n v="3.0700000000000003"/>
    <n v="117.86"/>
    <n v="711.48000000000013"/>
    <n v="28230.850000000002"/>
    <n v="25963.37"/>
    <n v="0"/>
    <n v="117.86"/>
    <n v="2267.4800000000032"/>
    <n v="0"/>
    <n v="0"/>
    <n v="0"/>
    <n v="25845"/>
    <n v="0"/>
    <n v="0"/>
    <n v="1"/>
    <n v="0"/>
  </r>
  <r>
    <x v="119"/>
    <s v="MOTICHAK"/>
    <s v="MPG"/>
    <s v="Direct"/>
    <n v="3959.4"/>
    <n v="149673.35999999999"/>
    <n v="3902.8399999999992"/>
    <n v="149121.34"/>
    <n v="76.399999999999991"/>
    <n v="2831.8100000000004"/>
    <n v="3979.2399999999993"/>
    <n v="151953.15"/>
    <n v="149673.35999999999"/>
    <n v="0"/>
    <n v="2831.8100000000004"/>
    <n v="2279.7900000000081"/>
    <n v="0"/>
    <n v="0"/>
    <n v="0"/>
    <n v="146841"/>
    <n v="0"/>
    <n v="0"/>
    <n v="1"/>
    <n v="0"/>
  </r>
  <r>
    <x v="120"/>
    <s v="MIRATTHI"/>
    <s v="MPG"/>
    <s v="Direct"/>
    <n v="304.8"/>
    <n v="12454.31"/>
    <n v="305.10000000000002"/>
    <n v="12039.04"/>
    <n v="0"/>
    <n v="0"/>
    <n v="305.10000000000002"/>
    <n v="12039.04"/>
    <n v="12039.04"/>
    <n v="0"/>
    <n v="0"/>
    <n v="0"/>
    <n v="0"/>
    <n v="0"/>
    <n v="0"/>
    <n v="12039"/>
    <n v="0"/>
    <n v="0"/>
    <n v="415"/>
    <n v="0"/>
  </r>
  <r>
    <x v="121"/>
    <s v="DAULATPUR"/>
    <s v="MPG"/>
    <s v="Direct"/>
    <n v="194.94999999999996"/>
    <n v="8267.25"/>
    <n v="191.39000000000001"/>
    <n v="8451.01"/>
    <n v="2.9700000000000006"/>
    <n v="125.64999999999998"/>
    <n v="194.36"/>
    <n v="8576.66"/>
    <n v="8267.25"/>
    <n v="0"/>
    <n v="125.64999999999998"/>
    <n v="309.40999999999985"/>
    <n v="0"/>
    <n v="0"/>
    <n v="0"/>
    <n v="8141"/>
    <n v="0"/>
    <n v="0"/>
    <n v="1"/>
    <n v="0"/>
  </r>
  <r>
    <x v="122"/>
    <s v="MOHADDIPUR"/>
    <s v="MPG"/>
    <s v="Direct"/>
    <n v="216.85000000000002"/>
    <n v="7469.7999999999993"/>
    <n v="248.8"/>
    <n v="11122.7"/>
    <n v="0"/>
    <n v="0"/>
    <n v="248.8"/>
    <n v="11122.7"/>
    <n v="7469.7999999999993"/>
    <n v="0"/>
    <n v="0"/>
    <n v="3652.9000000000015"/>
    <n v="0"/>
    <n v="500"/>
    <n v="0"/>
    <n v="6970"/>
    <n v="0"/>
    <n v="0"/>
    <n v="0"/>
    <s v="Release2"/>
  </r>
  <r>
    <x v="123"/>
    <s v="JHAJHA"/>
    <s v="MPG"/>
    <s v="Direct"/>
    <n v="644.79999999999995"/>
    <n v="28299.969999999998"/>
    <n v="680.28000000000009"/>
    <n v="31283.24"/>
    <n v="0"/>
    <n v="0"/>
    <n v="680.28000000000009"/>
    <n v="31283.24"/>
    <n v="28299.969999999998"/>
    <n v="0"/>
    <n v="0"/>
    <n v="2983.2700000000041"/>
    <n v="0"/>
    <n v="0"/>
    <n v="0"/>
    <n v="28300"/>
    <n v="0"/>
    <n v="0"/>
    <n v="0"/>
    <n v="0"/>
  </r>
  <r>
    <x v="125"/>
    <s v="BARSABAD"/>
    <s v="MPG"/>
    <s v="Direct"/>
    <n v="458.49999999999989"/>
    <n v="17381.73"/>
    <n v="473.51000000000005"/>
    <n v="17394.11"/>
    <n v="8.0499999999999989"/>
    <n v="279.11"/>
    <n v="481.56000000000006"/>
    <n v="17673.22"/>
    <n v="17381.73"/>
    <n v="0"/>
    <n v="279.11"/>
    <n v="291.4900000000016"/>
    <n v="0"/>
    <n v="0"/>
    <n v="0"/>
    <n v="17103"/>
    <n v="0"/>
    <n v="0"/>
    <n v="0"/>
    <n v="0"/>
  </r>
  <r>
    <x v="126"/>
    <s v="GONAI"/>
    <s v="MPG"/>
    <s v="Direct"/>
    <n v="1557.05"/>
    <n v="65497.499999999985"/>
    <n v="1587.9599999999998"/>
    <n v="67123.199999999997"/>
    <n v="9.4599999999999991"/>
    <n v="411.84000000000003"/>
    <n v="1597.4199999999998"/>
    <n v="67535.039999999994"/>
    <n v="65497.499999999985"/>
    <n v="0"/>
    <n v="411.84000000000003"/>
    <n v="2037.5400000000081"/>
    <n v="0"/>
    <n v="0"/>
    <n v="0"/>
    <n v="65085"/>
    <n v="0"/>
    <n v="0"/>
    <n v="1"/>
    <n v="0"/>
  </r>
  <r>
    <x v="127"/>
    <s v="SHIKARITOLA"/>
    <s v="MPG"/>
    <s v="Direct"/>
    <n v="1231.05"/>
    <n v="50660.86"/>
    <n v="1258.26"/>
    <n v="54579.44999999999"/>
    <n v="0"/>
    <n v="0"/>
    <n v="1258.26"/>
    <n v="54579.44999999999"/>
    <n v="50660.86"/>
    <n v="0"/>
    <n v="0"/>
    <n v="3918.5899999999892"/>
    <n v="0"/>
    <n v="0"/>
    <n v="0"/>
    <n v="50661"/>
    <n v="0"/>
    <n v="0"/>
    <n v="0"/>
    <n v="0"/>
  </r>
  <r>
    <x v="128"/>
    <s v="BAIKUNTHPUR"/>
    <s v="MPG"/>
    <s v="Direct"/>
    <n v="324.85000000000002"/>
    <n v="12655.240000000002"/>
    <n v="330.37"/>
    <n v="12620.11"/>
    <n v="3.589999999999999"/>
    <n v="137.19"/>
    <n v="333.96"/>
    <n v="12757.300000000001"/>
    <n v="12655.240000000002"/>
    <n v="0"/>
    <n v="137.19"/>
    <n v="102.05999999999949"/>
    <n v="0"/>
    <n v="500"/>
    <n v="0"/>
    <n v="12018"/>
    <n v="0"/>
    <n v="0"/>
    <n v="0"/>
    <n v="0"/>
  </r>
  <r>
    <x v="129"/>
    <s v="KAITHA"/>
    <s v="MPG"/>
    <s v="Direct"/>
    <n v="3887.5500000000006"/>
    <n v="173465.28"/>
    <n v="2391.0600000000004"/>
    <n v="124654.06"/>
    <n v="1560.44"/>
    <n v="65458.19999999999"/>
    <n v="3951.5000000000005"/>
    <n v="190112.25999999998"/>
    <n v="173465.28"/>
    <n v="0"/>
    <n v="1872.7199999999998"/>
    <n v="16646.979999999981"/>
    <n v="0"/>
    <n v="0"/>
    <n v="0"/>
    <n v="108006"/>
    <n v="63586"/>
    <n v="0"/>
    <n v="1"/>
    <n v="0"/>
  </r>
  <r>
    <x v="130"/>
    <s v="DORAI"/>
    <s v="MPG"/>
    <s v="Direct"/>
    <n v="658"/>
    <n v="25383.170000000002"/>
    <n v="775.58"/>
    <n v="31542.859999999997"/>
    <n v="31.7"/>
    <n v="1544.07"/>
    <n v="807.28000000000009"/>
    <n v="33086.93"/>
    <n v="25383.170000000002"/>
    <n v="0"/>
    <n v="1544.07"/>
    <n v="7703.7599999999984"/>
    <n v="0"/>
    <n v="0"/>
    <n v="0"/>
    <n v="23839"/>
    <n v="0"/>
    <n v="0"/>
    <n v="0"/>
    <s v="Release2"/>
  </r>
  <r>
    <x v="131"/>
    <s v="RAGHUNATHPUR"/>
    <s v="MPG"/>
    <s v="Indirect"/>
    <n v="984.09999999999991"/>
    <n v="35578.810000000005"/>
    <n v="0"/>
    <n v="0"/>
    <n v="0"/>
    <n v="0"/>
    <n v="0"/>
    <n v="0"/>
    <n v="35578.810000000005"/>
    <n v="0"/>
    <n v="0"/>
    <n v="0"/>
    <n v="0"/>
    <n v="0"/>
    <n v="0"/>
    <n v="0"/>
    <n v="0"/>
    <n v="35578.810000000005"/>
    <n v="0"/>
    <n v="0"/>
  </r>
  <r>
    <x v="132"/>
    <s v="BANGAMA"/>
    <s v="MPG"/>
    <s v="Direct"/>
    <n v="662.35"/>
    <n v="29125.18"/>
    <n v="670"/>
    <n v="30592.190000000002"/>
    <n v="15"/>
    <n v="735.33999999999992"/>
    <n v="685"/>
    <n v="31327.530000000002"/>
    <n v="29125.18"/>
    <n v="0"/>
    <n v="735.33999999999992"/>
    <n v="2202.3500000000022"/>
    <n v="0"/>
    <n v="0"/>
    <n v="0"/>
    <n v="28390"/>
    <n v="0"/>
    <n v="0"/>
    <n v="0"/>
    <n v="0"/>
  </r>
  <r>
    <x v="133"/>
    <s v="KORIYA"/>
    <s v="MPG"/>
    <s v="Direct"/>
    <n v="242.50000000000003"/>
    <n v="10793.859999999999"/>
    <n v="247.76"/>
    <n v="11074.010000000002"/>
    <n v="0"/>
    <n v="0"/>
    <n v="247.76"/>
    <n v="11074.010000000002"/>
    <n v="10793.859999999999"/>
    <n v="0"/>
    <n v="0"/>
    <n v="280.15000000000327"/>
    <n v="0"/>
    <n v="500"/>
    <n v="0"/>
    <n v="10294"/>
    <n v="0"/>
    <n v="0"/>
    <n v="0"/>
    <s v="Release2"/>
  </r>
  <r>
    <x v="134"/>
    <s v="HARLACHAK"/>
    <s v="MPG"/>
    <s v="Direct"/>
    <n v="1362.3000000000002"/>
    <n v="55672.560000000005"/>
    <n v="1341.21"/>
    <n v="55634.69"/>
    <n v="12.870000000000001"/>
    <n v="533.47"/>
    <n v="1354.08"/>
    <n v="56168.160000000003"/>
    <n v="55672.560000000005"/>
    <n v="0"/>
    <n v="533.47"/>
    <n v="495.59999999999854"/>
    <n v="0"/>
    <n v="0"/>
    <n v="0"/>
    <n v="55139"/>
    <n v="0"/>
    <n v="0"/>
    <n v="0"/>
    <n v="0"/>
  </r>
  <r>
    <x v="135"/>
    <s v="Jangle Jhakra"/>
    <s v="MPG"/>
    <s v="Direct"/>
    <n v="1568.3999999999999"/>
    <n v="66871.290000000008"/>
    <n v="1686.74"/>
    <n v="73813.36"/>
    <n v="1"/>
    <n v="38.92"/>
    <n v="1687.74"/>
    <n v="73852.28"/>
    <n v="66871.290000000008"/>
    <n v="0"/>
    <n v="38.92"/>
    <n v="6980.9899999999907"/>
    <n v="0"/>
    <n v="0"/>
    <n v="0"/>
    <n v="66832"/>
    <n v="0"/>
    <n v="0"/>
    <n v="0"/>
    <n v="0"/>
  </r>
  <r>
    <x v="136"/>
    <s v="KATAHRA"/>
    <s v="MPG"/>
    <s v="Direct"/>
    <n v="502.5"/>
    <n v="23350.870000000003"/>
    <n v="552.75"/>
    <n v="25466.97"/>
    <n v="0"/>
    <n v="0"/>
    <n v="552.75"/>
    <n v="25466.97"/>
    <n v="23350.870000000003"/>
    <n v="0"/>
    <n v="0"/>
    <n v="2116.0999999999985"/>
    <n v="0"/>
    <n v="0"/>
    <n v="0"/>
    <n v="23351"/>
    <n v="0"/>
    <n v="0"/>
    <n v="0"/>
    <n v="0"/>
  </r>
  <r>
    <x v="137"/>
    <s v="KARHARIA V"/>
    <s v="vlc"/>
    <s v="Indirect"/>
    <n v="179.95000000000002"/>
    <n v="6705"/>
    <n v="0"/>
    <n v="0"/>
    <n v="0"/>
    <n v="0"/>
    <n v="0"/>
    <n v="0"/>
    <n v="6705"/>
    <n v="0"/>
    <n v="0"/>
    <n v="0"/>
    <n v="0"/>
    <n v="0"/>
    <n v="0"/>
    <n v="0"/>
    <n v="0"/>
    <n v="6705"/>
    <n v="0"/>
    <n v="0"/>
  </r>
  <r>
    <x v="138"/>
    <s v="BALADEV ITAHARI"/>
    <s v="MPG"/>
    <s v="Direct"/>
    <n v="973.84999999999991"/>
    <n v="43931.010000000009"/>
    <n v="989.59"/>
    <n v="53081.149999999994"/>
    <n v="0"/>
    <n v="0"/>
    <n v="989.59"/>
    <n v="53081.149999999994"/>
    <n v="43931.010000000009"/>
    <n v="0"/>
    <n v="0"/>
    <n v="9150.1399999999849"/>
    <n v="0"/>
    <n v="0"/>
    <n v="0"/>
    <n v="43931"/>
    <n v="0"/>
    <n v="0"/>
    <n v="0"/>
    <n v="0"/>
  </r>
  <r>
    <x v="139"/>
    <s v="PAHALANPUR"/>
    <s v="MPG"/>
    <s v="Direct"/>
    <n v="915.5"/>
    <n v="37735.000000000007"/>
    <n v="917.12000000000023"/>
    <n v="36620.35"/>
    <n v="0"/>
    <n v="0"/>
    <n v="917.12000000000023"/>
    <n v="36620.35"/>
    <n v="36620.35"/>
    <n v="0"/>
    <n v="0"/>
    <n v="0"/>
    <n v="0"/>
    <n v="0"/>
    <n v="0"/>
    <n v="36619"/>
    <n v="0"/>
    <n v="0"/>
    <n v="1116"/>
    <n v="0"/>
  </r>
  <r>
    <x v="140"/>
    <s v="RAMBRAN YADAV"/>
    <s v="MPG"/>
    <s v="Direct"/>
    <n v="671.65"/>
    <n v="28431.01"/>
    <n v="665.54000000000008"/>
    <n v="28211.130000000005"/>
    <n v="0"/>
    <n v="0"/>
    <n v="665.54000000000008"/>
    <n v="28211.130000000005"/>
    <n v="28211.130000000005"/>
    <n v="0"/>
    <n v="0"/>
    <n v="0"/>
    <n v="0"/>
    <n v="0"/>
    <n v="0"/>
    <n v="28211"/>
    <n v="0"/>
    <n v="0"/>
    <n v="220"/>
    <n v="0"/>
  </r>
  <r>
    <x v="141"/>
    <s v="Gomukh Beldra"/>
    <s v="MPG"/>
    <s v="Direct"/>
    <n v="326.59999999999997"/>
    <n v="16524.46"/>
    <n v="394.58000000000004"/>
    <n v="20639.889999999996"/>
    <n v="0"/>
    <n v="0"/>
    <n v="394.58000000000004"/>
    <n v="20639.889999999996"/>
    <n v="16524.46"/>
    <n v="0"/>
    <n v="0"/>
    <n v="4115.4299999999967"/>
    <n v="0"/>
    <n v="0"/>
    <n v="0"/>
    <n v="16524"/>
    <n v="0"/>
    <n v="0"/>
    <n v="0"/>
    <n v="0"/>
  </r>
  <r>
    <x v="142"/>
    <s v="Gomukh Chandanpura"/>
    <s v="MPG"/>
    <s v="Direct"/>
    <n v="914.25000000000011"/>
    <n v="44789.079999999994"/>
    <n v="911.77999999999975"/>
    <n v="45616.4"/>
    <n v="0"/>
    <n v="0"/>
    <n v="911.77999999999975"/>
    <n v="45616.4"/>
    <n v="44789.079999999994"/>
    <n v="0"/>
    <n v="0"/>
    <n v="827.32000000000698"/>
    <n v="0"/>
    <n v="0"/>
    <n v="0"/>
    <n v="44789"/>
    <n v="0"/>
    <n v="0"/>
    <n v="0"/>
    <n v="0"/>
  </r>
  <r>
    <x v="143"/>
    <s v="DARIYAPUR R"/>
    <s v="MPG"/>
    <s v="Direct"/>
    <n v="409.2"/>
    <n v="22401.67"/>
    <n v="459.11"/>
    <n v="24219.519999999997"/>
    <n v="0"/>
    <n v="0"/>
    <n v="459.11"/>
    <n v="24219.519999999997"/>
    <n v="22401.67"/>
    <n v="0"/>
    <n v="0"/>
    <n v="1817.8499999999985"/>
    <n v="0"/>
    <n v="0"/>
    <n v="0"/>
    <n v="22402"/>
    <n v="0"/>
    <n v="0"/>
    <n v="0"/>
    <n v="0"/>
  </r>
  <r>
    <x v="144"/>
    <s v="MUZAFFARGANJ"/>
    <s v="MPG"/>
    <s v="Direct"/>
    <n v="433.25000000000006"/>
    <n v="15828.070000000002"/>
    <n v="422.90000000000003"/>
    <n v="15376.170000000002"/>
    <n v="0"/>
    <n v="0"/>
    <n v="422.90000000000003"/>
    <n v="15376.170000000002"/>
    <n v="15376.170000000002"/>
    <n v="0"/>
    <n v="0"/>
    <n v="0"/>
    <n v="0"/>
    <n v="0"/>
    <n v="0"/>
    <n v="15376"/>
    <n v="0"/>
    <n v="0"/>
    <n v="452"/>
    <n v="0"/>
  </r>
  <r>
    <x v="145"/>
    <s v="SARHA"/>
    <s v="MPG"/>
    <s v="Direct"/>
    <n v="882.50000000000011"/>
    <n v="45216.52"/>
    <n v="908.99"/>
    <n v="45458.26"/>
    <n v="0"/>
    <n v="0"/>
    <n v="908.99"/>
    <n v="45458.26"/>
    <n v="45216.52"/>
    <n v="0"/>
    <n v="0"/>
    <n v="241.74000000000524"/>
    <n v="0"/>
    <n v="0"/>
    <n v="0"/>
    <n v="45217"/>
    <n v="0"/>
    <n v="0"/>
    <n v="0"/>
    <n v="0"/>
  </r>
  <r>
    <x v="146"/>
    <s v="KUSUMBHA"/>
    <s v="MPG"/>
    <s v="Direct"/>
    <n v="464.34999999999997"/>
    <n v="21361.759999999998"/>
    <n v="513.29999999999995"/>
    <n v="23946.539999999997"/>
    <n v="0"/>
    <n v="0"/>
    <n v="513.29999999999995"/>
    <n v="23946.539999999997"/>
    <n v="21361.759999999998"/>
    <n v="0"/>
    <n v="0"/>
    <n v="2584.7799999999988"/>
    <n v="0"/>
    <n v="0"/>
    <n v="0"/>
    <n v="21362"/>
    <n v="0"/>
    <n v="0"/>
    <n v="0"/>
    <n v="0"/>
  </r>
  <r>
    <x v="147"/>
    <s v="MANO"/>
    <s v="vlc"/>
    <s v="Indirect"/>
    <n v="805.3"/>
    <n v="34098.869999999995"/>
    <n v="0"/>
    <n v="0"/>
    <n v="0"/>
    <n v="0"/>
    <n v="0"/>
    <n v="0"/>
    <n v="34098.869999999995"/>
    <n v="0"/>
    <n v="0"/>
    <n v="0"/>
    <n v="0"/>
    <n v="0"/>
    <n v="0"/>
    <n v="0"/>
    <n v="0"/>
    <n v="34098.869999999995"/>
    <n v="0"/>
    <n v="0"/>
  </r>
  <r>
    <x v="148"/>
    <s v="PURANI SALEMPUR"/>
    <s v="vlc"/>
    <s v="Indirect"/>
    <n v="1578.1999999999998"/>
    <n v="63823.23"/>
    <n v="0"/>
    <n v="0"/>
    <n v="0"/>
    <n v="0"/>
    <n v="0"/>
    <n v="0"/>
    <n v="63823.23"/>
    <n v="0"/>
    <n v="0"/>
    <n v="0"/>
    <n v="0"/>
    <n v="0"/>
    <n v="0"/>
    <n v="0"/>
    <n v="0"/>
    <n v="63823.23"/>
    <n v="0"/>
    <n v="0"/>
  </r>
  <r>
    <x v="149"/>
    <s v="DHANDHHA"/>
    <s v="MPG"/>
    <s v="Indirect"/>
    <n v="2812.4"/>
    <n v="113789.31000000001"/>
    <n v="0"/>
    <n v="0"/>
    <n v="0"/>
    <n v="0"/>
    <n v="0"/>
    <n v="0"/>
    <n v="113789.31000000001"/>
    <n v="0"/>
    <n v="0"/>
    <n v="0"/>
    <n v="0"/>
    <n v="0"/>
    <n v="0"/>
    <n v="0"/>
    <n v="0"/>
    <n v="113789.31000000001"/>
    <n v="0"/>
    <n v="0"/>
  </r>
  <r>
    <x v="150"/>
    <s v="CHALISH"/>
    <s v="vlc"/>
    <s v="Indirect"/>
    <n v="705.00000000000011"/>
    <n v="29514.090000000004"/>
    <n v="0"/>
    <n v="0"/>
    <n v="0"/>
    <n v="0"/>
    <n v="0"/>
    <n v="0"/>
    <n v="29514.090000000004"/>
    <n v="0"/>
    <n v="0"/>
    <n v="0"/>
    <n v="0"/>
    <n v="0"/>
    <n v="0"/>
    <n v="0"/>
    <n v="0"/>
    <n v="29514.090000000004"/>
    <n v="0"/>
    <n v="0"/>
  </r>
  <r>
    <x v="151"/>
    <s v="MAA BHAGWATI"/>
    <s v="vlc"/>
    <s v="Indirect"/>
    <n v="782.00000000000011"/>
    <n v="30131.55"/>
    <n v="0"/>
    <n v="0"/>
    <n v="0"/>
    <n v="0"/>
    <n v="0"/>
    <n v="0"/>
    <n v="30131.55"/>
    <n v="0"/>
    <n v="0"/>
    <n v="0"/>
    <n v="0"/>
    <n v="0"/>
    <n v="0"/>
    <n v="0"/>
    <n v="0"/>
    <n v="30131.55"/>
    <n v="0"/>
    <n v="0"/>
  </r>
  <r>
    <x v="152"/>
    <s v="MAIDINICHOKI"/>
    <s v="vlc"/>
    <s v="Indirect"/>
    <n v="523.5"/>
    <n v="21278.54"/>
    <n v="0"/>
    <n v="0"/>
    <n v="0"/>
    <n v="0"/>
    <n v="0"/>
    <n v="0"/>
    <n v="21278.54"/>
    <n v="0"/>
    <n v="0"/>
    <n v="0"/>
    <n v="0"/>
    <n v="0"/>
    <n v="0"/>
    <n v="0"/>
    <n v="0"/>
    <n v="21278.54"/>
    <n v="0"/>
    <n v="0"/>
  </r>
  <r>
    <x v="153"/>
    <s v="GOMUKH JAJWARA"/>
    <s v="vlc"/>
    <s v="Indirect"/>
    <n v="1135.4000000000001"/>
    <n v="49525.349999999991"/>
    <n v="0"/>
    <n v="0"/>
    <n v="0"/>
    <n v="0"/>
    <n v="0"/>
    <n v="0"/>
    <n v="49525.349999999991"/>
    <n v="0"/>
    <n v="0"/>
    <n v="0"/>
    <n v="0"/>
    <n v="0"/>
    <n v="0"/>
    <n v="0"/>
    <n v="0"/>
    <n v="49525.349999999991"/>
    <n v="0"/>
    <n v="0"/>
  </r>
  <r>
    <x v="154"/>
    <s v="Gomukh ID Sonvarsha"/>
    <s v="vlc"/>
    <s v="Indirect"/>
    <n v="1942.8999999999999"/>
    <n v="84104.3"/>
    <n v="0"/>
    <n v="0"/>
    <n v="0"/>
    <n v="0"/>
    <n v="0"/>
    <n v="0"/>
    <n v="84104.3"/>
    <n v="0"/>
    <n v="0"/>
    <n v="0"/>
    <n v="0"/>
    <n v="0"/>
    <n v="0"/>
    <n v="0"/>
    <n v="0"/>
    <n v="84104.3"/>
    <n v="0"/>
    <n v="0"/>
  </r>
  <r>
    <x v="155"/>
    <s v="BALHAPUR"/>
    <s v="MPG"/>
    <s v="Direct"/>
    <n v="468.29999999999995"/>
    <n v="21686.87"/>
    <n v="463.76000000000005"/>
    <n v="21389.07"/>
    <n v="10.130000000000001"/>
    <n v="466.70000000000005"/>
    <n v="473.89000000000004"/>
    <n v="21855.77"/>
    <n v="21686.87"/>
    <n v="0"/>
    <n v="466.70000000000005"/>
    <n v="168.90000000000146"/>
    <n v="0"/>
    <n v="0"/>
    <n v="0"/>
    <n v="21220"/>
    <n v="0"/>
    <n v="0"/>
    <n v="0"/>
    <s v="Release1"/>
  </r>
  <r>
    <x v="156"/>
    <s v="Gomukh ID Husaina"/>
    <s v="vlc"/>
    <s v="Indirect"/>
    <n v="860.10000000000014"/>
    <n v="31337.33"/>
    <n v="0"/>
    <n v="0"/>
    <n v="0"/>
    <n v="0"/>
    <n v="0"/>
    <n v="0"/>
    <n v="31337.33"/>
    <n v="0"/>
    <n v="0"/>
    <n v="0"/>
    <n v="0"/>
    <n v="0"/>
    <n v="0"/>
    <n v="0"/>
    <n v="0"/>
    <n v="31337.33"/>
    <n v="0"/>
    <n v="0"/>
  </r>
  <r>
    <x v="157"/>
    <s v="Gomukh ID Prarotol"/>
    <s v="vlc"/>
    <s v="Indirect"/>
    <n v="207.4"/>
    <n v="9024.7199999999993"/>
    <n v="0"/>
    <n v="0"/>
    <n v="0"/>
    <n v="0"/>
    <n v="0"/>
    <n v="0"/>
    <n v="9024.7199999999993"/>
    <n v="0"/>
    <n v="0"/>
    <n v="0"/>
    <n v="0"/>
    <n v="0"/>
    <n v="0"/>
    <n v="0"/>
    <n v="0"/>
    <n v="9024.7199999999993"/>
    <n v="0"/>
    <n v="0"/>
  </r>
  <r>
    <x v="158"/>
    <s v="MAA SARDE"/>
    <s v="vlc"/>
    <s v="Indirect"/>
    <n v="1194.5000000000002"/>
    <n v="45553.49"/>
    <n v="0"/>
    <n v="0"/>
    <n v="0"/>
    <n v="0"/>
    <n v="0"/>
    <n v="0"/>
    <n v="45553.49"/>
    <n v="0"/>
    <n v="0"/>
    <n v="0"/>
    <n v="0"/>
    <n v="0"/>
    <n v="0"/>
    <n v="0"/>
    <n v="0"/>
    <n v="45553.49"/>
    <n v="0"/>
    <n v="0"/>
  </r>
  <r>
    <x v="159"/>
    <s v="PURANI DIH"/>
    <s v="vlc"/>
    <s v="Indirect"/>
    <n v="2064.4"/>
    <n v="89122.669999999969"/>
    <n v="0"/>
    <n v="0"/>
    <n v="0"/>
    <n v="0"/>
    <n v="0"/>
    <n v="0"/>
    <n v="89122.669999999969"/>
    <n v="0"/>
    <n v="0"/>
    <n v="0"/>
    <n v="21000"/>
    <n v="0"/>
    <n v="0"/>
    <n v="0"/>
    <n v="0"/>
    <n v="68122.669999999969"/>
    <n v="0"/>
    <n v="0"/>
  </r>
  <r>
    <x v="160"/>
    <s v="Farda Ravi Tola"/>
    <s v="MPG"/>
    <s v="Direct"/>
    <n v="750.7"/>
    <n v="29655.960000000003"/>
    <n v="561.59999999999991"/>
    <n v="22775.58"/>
    <n v="232.6"/>
    <n v="9298.69"/>
    <n v="794.19999999999993"/>
    <n v="32074.270000000004"/>
    <n v="29655.960000000003"/>
    <n v="0"/>
    <n v="594.94999999999993"/>
    <n v="2418.3100000000013"/>
    <n v="0"/>
    <n v="0"/>
    <n v="0"/>
    <n v="20357"/>
    <n v="8704"/>
    <n v="0"/>
    <n v="0"/>
    <n v="0"/>
  </r>
  <r>
    <x v="161"/>
    <s v="Gomukh Puranidih 2"/>
    <s v="MPG"/>
    <s v="Indirect"/>
    <n v="120.9"/>
    <n v="5556.36"/>
    <n v="0"/>
    <n v="0"/>
    <n v="0"/>
    <n v="0"/>
    <n v="0"/>
    <n v="0"/>
    <n v="5556.36"/>
    <n v="0"/>
    <n v="0"/>
    <n v="0"/>
    <n v="0"/>
    <n v="0"/>
    <n v="0"/>
    <n v="0"/>
    <n v="0"/>
    <n v="5556.36"/>
    <n v="0"/>
    <n v="0"/>
  </r>
  <r>
    <x v="162"/>
    <s v="Gomukh Arma"/>
    <s v="MPG"/>
    <s v="Direct"/>
    <n v="731.49999999999989"/>
    <n v="38400.619999999995"/>
    <n v="517.19999999999993"/>
    <n v="29575.24"/>
    <n v="224.39999999999998"/>
    <n v="10276.59"/>
    <n v="741.59999999999991"/>
    <n v="39851.83"/>
    <n v="38400.619999999995"/>
    <n v="0"/>
    <n v="0"/>
    <n v="1451.2100000000064"/>
    <n v="0"/>
    <n v="0"/>
    <n v="0"/>
    <n v="28125"/>
    <n v="10276"/>
    <n v="0"/>
    <n v="0"/>
    <n v="0"/>
  </r>
  <r>
    <x v="163"/>
    <s v="Singhchak"/>
    <s v="MPG"/>
    <s v="Direct"/>
    <n v="1538.8999999999996"/>
    <n v="67571.750000000015"/>
    <n v="1542.9199999999998"/>
    <n v="68307.049999999974"/>
    <n v="16.7"/>
    <n v="734.15000000000009"/>
    <n v="1559.62"/>
    <n v="69041.199999999968"/>
    <n v="67571.750000000015"/>
    <n v="0"/>
    <n v="734.15000000000009"/>
    <n v="1469.4499999999534"/>
    <n v="0"/>
    <n v="0"/>
    <n v="0"/>
    <n v="0"/>
    <n v="0"/>
    <n v="0"/>
    <n v="66838"/>
    <s v="Yes"/>
  </r>
  <r>
    <x v="164"/>
    <s v="MAHA-LAXMI"/>
    <s v="vlc"/>
    <s v="Indirect"/>
    <n v="330.5"/>
    <n v="12570.699999999997"/>
    <n v="0"/>
    <n v="0"/>
    <n v="0"/>
    <n v="0"/>
    <n v="0"/>
    <n v="0"/>
    <n v="12570.699999999997"/>
    <n v="0"/>
    <n v="0"/>
    <n v="0"/>
    <n v="0"/>
    <n v="0"/>
    <n v="0"/>
    <n v="0"/>
    <n v="0"/>
    <n v="12570.699999999997"/>
    <n v="0"/>
    <n v="0"/>
  </r>
  <r>
    <x v="165"/>
    <s v="PAWAI"/>
    <s v="MPG"/>
    <s v="Direct"/>
    <n v="2170.7999999999997"/>
    <n v="103702.68000000002"/>
    <n v="1900.6899999999998"/>
    <n v="90011.859999999986"/>
    <n v="325.29000000000002"/>
    <n v="15684"/>
    <n v="2225.98"/>
    <n v="105695.85999999999"/>
    <n v="103702.68000000002"/>
    <n v="0"/>
    <n v="1089.3699999999999"/>
    <n v="1993.1799999999639"/>
    <n v="0"/>
    <n v="0"/>
    <n v="0"/>
    <n v="88019"/>
    <n v="14594"/>
    <n v="0"/>
    <n v="0"/>
    <n v="0"/>
  </r>
  <r>
    <x v="166"/>
    <s v="LAKHOCHAK                                                                                           "/>
    <s v="MPG"/>
    <s v="Direct"/>
    <n v="391.9"/>
    <n v="17269.14"/>
    <n v="402.59000000000003"/>
    <n v="16990.54"/>
    <n v="0"/>
    <n v="0"/>
    <n v="402.59000000000003"/>
    <n v="16990.54"/>
    <n v="16990.54"/>
    <n v="0"/>
    <n v="0"/>
    <n v="0"/>
    <n v="0"/>
    <n v="0"/>
    <n v="0"/>
    <n v="16990"/>
    <n v="0"/>
    <n v="0"/>
    <n v="279"/>
    <n v="0"/>
  </r>
  <r>
    <x v="167"/>
    <s v="BATTA RAMPUR                                                                                        "/>
    <s v="MPG"/>
    <s v="Direct"/>
    <n v="3073.6"/>
    <n v="171859.99"/>
    <n v="3095.9500000000007"/>
    <n v="173259.02999999994"/>
    <n v="26.950000000000003"/>
    <n v="1830.8700000000001"/>
    <n v="3122.9000000000005"/>
    <n v="175089.89999999994"/>
    <n v="171859.99"/>
    <n v="0"/>
    <n v="1830.8700000000001"/>
    <n v="3229.9099999999453"/>
    <n v="5107.5"/>
    <n v="0"/>
    <n v="0"/>
    <n v="164921"/>
    <n v="0"/>
    <n v="0"/>
    <n v="1"/>
    <s v="Release1"/>
  </r>
  <r>
    <x v="168"/>
    <s v="URAIN"/>
    <s v="MPG"/>
    <s v="Direct"/>
    <n v="1347.8999999999999"/>
    <n v="68088.45"/>
    <n v="495.38000000000005"/>
    <n v="30192.98"/>
    <n v="780.04"/>
    <n v="43788.6"/>
    <n v="1275.42"/>
    <n v="73981.58"/>
    <n v="68088.45"/>
    <n v="0"/>
    <n v="0"/>
    <n v="5893.1300000000047"/>
    <n v="0"/>
    <n v="0"/>
    <n v="0"/>
    <n v="24299"/>
    <n v="43789"/>
    <n v="0"/>
    <n v="0"/>
    <n v="0"/>
  </r>
  <r>
    <x v="169"/>
    <s v="RANDHIR KUMAR(VLC)"/>
    <s v="vlc"/>
    <s v="Indirect"/>
    <n v="293.8"/>
    <n v="11456.37"/>
    <n v="0"/>
    <n v="0"/>
    <n v="0"/>
    <n v="0"/>
    <n v="0"/>
    <n v="0"/>
    <n v="11456.37"/>
    <n v="0"/>
    <n v="0"/>
    <n v="0"/>
    <n v="0"/>
    <n v="0"/>
    <n v="0"/>
    <n v="0"/>
    <n v="0"/>
    <n v="11456.37"/>
    <n v="0"/>
    <n v="0"/>
  </r>
  <r>
    <x v="972"/>
    <s v="Abgil-2 - Sheshnath"/>
    <s v="vlc"/>
    <s v="Indirect"/>
    <n v="632.79999999999995"/>
    <n v="27152.41"/>
    <n v="0"/>
    <n v="0"/>
    <n v="0"/>
    <n v="0"/>
    <n v="0"/>
    <n v="0"/>
    <n v="27152.41"/>
    <n v="0"/>
    <n v="0"/>
    <n v="0"/>
    <n v="0"/>
    <n v="0"/>
    <n v="0"/>
    <n v="0"/>
    <n v="0"/>
    <n v="27152.41"/>
    <n v="0"/>
    <n v="0"/>
  </r>
  <r>
    <x v="170"/>
    <s v="MALIYA"/>
    <s v="MPG"/>
    <s v="Direct"/>
    <n v="767.09999999999991"/>
    <n v="36369.230000000003"/>
    <n v="760.92999999999984"/>
    <n v="36209.250000000007"/>
    <n v="7.0000000000000009"/>
    <n v="375.08"/>
    <n v="767.92999999999984"/>
    <n v="36584.330000000009"/>
    <n v="36369.230000000003"/>
    <n v="0"/>
    <n v="375.08"/>
    <n v="215.10000000000582"/>
    <n v="774"/>
    <n v="0"/>
    <n v="0"/>
    <n v="35220"/>
    <n v="0"/>
    <n v="0"/>
    <n v="0"/>
    <s v="Release1"/>
  </r>
  <r>
    <x v="171"/>
    <s v="MAHULIYA"/>
    <s v="MPG"/>
    <s v="Direct"/>
    <n v="573.4"/>
    <n v="27540.539999999994"/>
    <n v="581.57999999999981"/>
    <n v="27535.78000000001"/>
    <n v="8.1000000000000014"/>
    <n v="380.32000000000005"/>
    <n v="589.67999999999984"/>
    <n v="27916.100000000009"/>
    <n v="27540.539999999994"/>
    <n v="0"/>
    <n v="380.32000000000005"/>
    <n v="375.56000000001586"/>
    <n v="0"/>
    <n v="0"/>
    <n v="0"/>
    <n v="27536"/>
    <n v="0"/>
    <n v="0"/>
    <n v="-376"/>
    <s v="Release2"/>
  </r>
  <r>
    <x v="172"/>
    <s v="ABGIL RAMPUR"/>
    <s v="vlc"/>
    <s v="Indirect"/>
    <n v="418.3"/>
    <n v="17548.64"/>
    <n v="0"/>
    <n v="0"/>
    <n v="0"/>
    <n v="0"/>
    <n v="0"/>
    <n v="0"/>
    <n v="17548.64"/>
    <n v="0"/>
    <n v="0"/>
    <n v="0"/>
    <n v="0"/>
    <n v="0"/>
    <n v="0"/>
    <n v="0"/>
    <n v="0"/>
    <n v="17548.64"/>
    <n v="0"/>
    <n v="0"/>
  </r>
  <r>
    <x v="1012"/>
    <s v="ABGIL"/>
    <s v="vlc"/>
    <s v="Indirect"/>
    <n v="563.4"/>
    <n v="21768.7"/>
    <n v="0"/>
    <n v="0"/>
    <n v="0"/>
    <n v="0"/>
    <n v="0"/>
    <n v="0"/>
    <n v="21768.7"/>
    <n v="0"/>
    <n v="0"/>
    <n v="0"/>
    <n v="0"/>
    <n v="0"/>
    <n v="0"/>
    <n v="0"/>
    <n v="0"/>
    <n v="21768.7"/>
    <n v="0"/>
    <n v="0"/>
  </r>
  <r>
    <x v="173"/>
    <s v="RUPESH KUMAR"/>
    <s v="vlc"/>
    <s v="Indirect"/>
    <n v="117.39999999999999"/>
    <n v="4530.9000000000005"/>
    <n v="0"/>
    <n v="0"/>
    <n v="0"/>
    <n v="0"/>
    <n v="0"/>
    <n v="0"/>
    <n v="4530.9000000000005"/>
    <n v="0"/>
    <n v="0"/>
    <n v="0"/>
    <n v="0"/>
    <n v="0"/>
    <n v="0"/>
    <n v="0"/>
    <n v="0"/>
    <n v="4530.9000000000005"/>
    <n v="0"/>
    <n v="0"/>
  </r>
  <r>
    <x v="174"/>
    <s v="ABGIL HUSSAINA-2                                                                                    "/>
    <s v="MPG"/>
    <s v="Direct"/>
    <n v="364.40000000000003"/>
    <n v="14635.74"/>
    <n v="244.04000000000002"/>
    <n v="10070.109999999997"/>
    <n v="122.47"/>
    <n v="5100.5900000000011"/>
    <n v="366.51"/>
    <n v="15170.699999999997"/>
    <n v="14635.74"/>
    <n v="0"/>
    <n v="150.42000000000002"/>
    <n v="534.95999999999731"/>
    <n v="0"/>
    <n v="0"/>
    <n v="0"/>
    <n v="9535"/>
    <n v="4950"/>
    <n v="0"/>
    <n v="0"/>
    <n v="0"/>
  </r>
  <r>
    <x v="175"/>
    <s v="Manish Kumar                                                                                        "/>
    <s v="vlc"/>
    <s v="Indirect"/>
    <n v="104.5"/>
    <n v="3953.9999999999995"/>
    <n v="0"/>
    <n v="0"/>
    <n v="0"/>
    <n v="0"/>
    <n v="0"/>
    <n v="0"/>
    <n v="3953.9999999999995"/>
    <n v="0"/>
    <n v="0"/>
    <n v="0"/>
    <n v="0"/>
    <n v="0"/>
    <n v="0"/>
    <n v="0"/>
    <n v="0"/>
    <n v="3953.9999999999995"/>
    <n v="0"/>
    <n v="0"/>
  </r>
  <r>
    <x v="176"/>
    <s v="AKHA-KURHA"/>
    <s v="vlc"/>
    <s v="Indirect"/>
    <n v="307.8"/>
    <n v="13260.75"/>
    <n v="0"/>
    <n v="0"/>
    <n v="0"/>
    <n v="0"/>
    <n v="0"/>
    <n v="0"/>
    <n v="13260.75"/>
    <n v="0"/>
    <n v="0"/>
    <n v="0"/>
    <n v="0"/>
    <n v="0"/>
    <n v="0"/>
    <n v="0"/>
    <n v="0"/>
    <n v="13260.75"/>
    <n v="0"/>
    <n v="0"/>
  </r>
  <r>
    <x v="177"/>
    <s v="BHANDAR"/>
    <s v="MPG"/>
    <s v="Direct"/>
    <n v="241.79999999999998"/>
    <n v="11867.820000000002"/>
    <n v="249.96"/>
    <n v="12042.730000000001"/>
    <n v="0"/>
    <n v="0"/>
    <n v="249.96"/>
    <n v="12042.730000000001"/>
    <n v="11867.820000000002"/>
    <n v="0"/>
    <n v="0"/>
    <n v="174.90999999999985"/>
    <n v="846"/>
    <n v="0"/>
    <n v="0"/>
    <n v="11197"/>
    <n v="0"/>
    <n v="0"/>
    <n v="-175"/>
    <s v="Release2"/>
  </r>
  <r>
    <x v="178"/>
    <s v="BASMATIYA"/>
    <s v="MPG"/>
    <s v="Direct"/>
    <n v="332.49999999999994"/>
    <n v="14455.369999999999"/>
    <n v="321.97000000000003"/>
    <n v="14586.909999999998"/>
    <n v="6.21"/>
    <n v="269.92"/>
    <n v="328.18"/>
    <n v="14856.829999999998"/>
    <n v="14455.369999999999"/>
    <n v="0"/>
    <n v="269.92"/>
    <n v="401.45999999999913"/>
    <n v="0"/>
    <n v="0"/>
    <n v="0"/>
    <n v="0"/>
    <n v="0"/>
    <n v="0"/>
    <n v="14185"/>
    <s v="Yes"/>
  </r>
  <r>
    <x v="179"/>
    <s v="AKHA KURHA"/>
    <s v="MPG"/>
    <s v="Direct"/>
    <n v="364.89999999999992"/>
    <n v="15562.42"/>
    <n v="365"/>
    <n v="15656.33"/>
    <n v="0"/>
    <n v="0"/>
    <n v="365"/>
    <n v="15656.33"/>
    <n v="15562.42"/>
    <n v="0"/>
    <n v="0"/>
    <n v="93.909999999999854"/>
    <n v="0"/>
    <n v="0"/>
    <n v="0"/>
    <n v="15562"/>
    <n v="0"/>
    <n v="0"/>
    <n v="0"/>
    <n v="0"/>
  </r>
  <r>
    <x v="180"/>
    <s v="TILATHI"/>
    <s v="MPG"/>
    <s v="Direct"/>
    <n v="1485.8000000000002"/>
    <n v="64667.670000000006"/>
    <n v="1346.0000000000005"/>
    <n v="57990.84"/>
    <n v="176.44"/>
    <n v="7673.5499999999993"/>
    <n v="1522.4400000000005"/>
    <n v="65664.39"/>
    <n v="64667.670000000006"/>
    <n v="0"/>
    <n v="890.78000000000009"/>
    <n v="996.71999999999389"/>
    <n v="0"/>
    <n v="0"/>
    <n v="0"/>
    <n v="56994"/>
    <n v="6783"/>
    <n v="0"/>
    <n v="0"/>
    <n v="0"/>
  </r>
  <r>
    <x v="1031"/>
    <s v="RAVIRAJ "/>
    <s v="vlc"/>
    <s v="Indirect"/>
    <n v="1212.5"/>
    <n v="49609.17"/>
    <n v="0"/>
    <n v="0"/>
    <n v="0"/>
    <n v="0"/>
    <n v="0"/>
    <n v="0"/>
    <n v="49609.17"/>
    <n v="0"/>
    <n v="0"/>
    <n v="0"/>
    <n v="0"/>
    <n v="0"/>
    <n v="0"/>
    <n v="0"/>
    <n v="0"/>
    <n v="49609.17"/>
    <n v="0"/>
    <n v="0"/>
  </r>
  <r>
    <x v="181"/>
    <s v="GOMUKH WESTOL"/>
    <s v="vlc"/>
    <s v="Indirect"/>
    <n v="2818.6000000000004"/>
    <n v="113050.46999999999"/>
    <n v="0"/>
    <n v="0"/>
    <n v="0"/>
    <n v="0"/>
    <n v="0"/>
    <n v="0"/>
    <n v="113050.46999999999"/>
    <n v="0"/>
    <n v="0"/>
    <n v="0"/>
    <n v="0"/>
    <n v="0"/>
    <n v="0"/>
    <n v="0"/>
    <n v="0"/>
    <n v="113050.46999999999"/>
    <n v="0"/>
    <n v="0"/>
  </r>
  <r>
    <x v="182"/>
    <s v="GOMUKH NAWTOLIYA(OM PRAKASH)"/>
    <s v="vlc"/>
    <s v="Indirect"/>
    <n v="480.9"/>
    <n v="17003.37"/>
    <n v="0"/>
    <n v="0"/>
    <n v="0"/>
    <n v="0"/>
    <n v="0"/>
    <n v="0"/>
    <n v="17003.37"/>
    <n v="0"/>
    <n v="0"/>
    <n v="0"/>
    <n v="0"/>
    <n v="0"/>
    <n v="0"/>
    <n v="0"/>
    <n v="0"/>
    <n v="17003.37"/>
    <n v="0"/>
    <n v="0"/>
  </r>
  <r>
    <x v="183"/>
    <s v="SANGRAMPUR"/>
    <s v="MPG"/>
    <s v="Direct"/>
    <n v="562.40000000000009"/>
    <n v="25955.68"/>
    <n v="583.42000000000007"/>
    <n v="26020.989999999998"/>
    <n v="0"/>
    <n v="0"/>
    <n v="583.42000000000007"/>
    <n v="26020.989999999998"/>
    <n v="25955.68"/>
    <n v="0"/>
    <n v="0"/>
    <n v="65.309999999997672"/>
    <n v="1152.75"/>
    <n v="0"/>
    <n v="0"/>
    <n v="24803"/>
    <n v="0"/>
    <n v="0"/>
    <n v="0"/>
    <n v="0"/>
  </r>
  <r>
    <x v="184"/>
    <s v="GOMUKH CHASMASKAN"/>
    <s v="vlc"/>
    <s v="Indirect"/>
    <n v="690.80000000000007"/>
    <n v="26854.89"/>
    <n v="0"/>
    <n v="0"/>
    <n v="0"/>
    <n v="0"/>
    <n v="0"/>
    <n v="0"/>
    <n v="26854.89"/>
    <n v="0"/>
    <n v="0"/>
    <n v="0"/>
    <n v="0"/>
    <n v="0"/>
    <n v="0"/>
    <n v="0"/>
    <n v="0"/>
    <n v="26854.89"/>
    <n v="0"/>
    <n v="0"/>
  </r>
  <r>
    <x v="973"/>
    <s v="GOMUKH KAJITOLA"/>
    <s v="vlc"/>
    <s v="Indirect"/>
    <n v="1197"/>
    <n v="48720.46"/>
    <n v="0"/>
    <n v="0"/>
    <n v="0"/>
    <n v="0"/>
    <n v="0"/>
    <n v="0"/>
    <n v="48720.46"/>
    <n v="0"/>
    <n v="0"/>
    <n v="0"/>
    <n v="0"/>
    <n v="0"/>
    <n v="0"/>
    <n v="0"/>
    <n v="0"/>
    <n v="48720.46"/>
    <n v="0"/>
    <n v="0"/>
  </r>
  <r>
    <x v="185"/>
    <s v="RAMDEV TOLA"/>
    <s v="MPG"/>
    <s v="Direct"/>
    <n v="1935.1999999999996"/>
    <n v="88158.329999999987"/>
    <n v="1238.4400000000005"/>
    <n v="60631.61"/>
    <n v="702.37"/>
    <n v="29132.27"/>
    <n v="1940.8100000000004"/>
    <n v="89763.88"/>
    <n v="88158.329999999987"/>
    <n v="0"/>
    <n v="572.70000000000016"/>
    <n v="1605.5500000000175"/>
    <n v="1350"/>
    <n v="0"/>
    <n v="0"/>
    <n v="59026"/>
    <n v="27209"/>
    <n v="0"/>
    <n v="1"/>
    <s v="Release1"/>
  </r>
  <r>
    <x v="186"/>
    <s v="GOMUKH KATEHAR"/>
    <s v="vlc"/>
    <s v="Indirect"/>
    <n v="1844.1000000000001"/>
    <n v="74403.850000000006"/>
    <n v="0"/>
    <n v="0"/>
    <n v="0"/>
    <n v="0"/>
    <n v="0"/>
    <n v="0"/>
    <n v="74403.850000000006"/>
    <n v="0"/>
    <n v="0"/>
    <n v="0"/>
    <n v="0"/>
    <n v="0"/>
    <n v="0"/>
    <n v="0"/>
    <n v="0"/>
    <n v="74403.850000000006"/>
    <n v="0"/>
    <n v="0"/>
  </r>
  <r>
    <x v="187"/>
    <s v="PIPARPATI"/>
    <s v="MPG"/>
    <s v="Direct"/>
    <n v="864.90000000000009"/>
    <n v="43511.840000000004"/>
    <n v="854.02"/>
    <n v="47893.500000000007"/>
    <n v="8.5900000000000016"/>
    <n v="378.03"/>
    <n v="862.61"/>
    <n v="48271.530000000006"/>
    <n v="43511.840000000004"/>
    <n v="0"/>
    <n v="378.03"/>
    <n v="4759.6900000000023"/>
    <n v="0"/>
    <n v="0"/>
    <n v="0"/>
    <n v="43134"/>
    <n v="0"/>
    <n v="0"/>
    <n v="0"/>
    <n v="0"/>
  </r>
  <r>
    <x v="188"/>
    <s v="GOMUKH JAGMAGLA"/>
    <s v="vlc"/>
    <s v="Indirect"/>
    <n v="1121.6999999999998"/>
    <n v="46564.43"/>
    <n v="0"/>
    <n v="0"/>
    <n v="0"/>
    <n v="0"/>
    <n v="0"/>
    <n v="0"/>
    <n v="46564.43"/>
    <n v="0"/>
    <n v="0"/>
    <n v="0"/>
    <n v="0"/>
    <n v="0"/>
    <n v="0"/>
    <n v="0"/>
    <n v="0"/>
    <n v="46564.43"/>
    <n v="0"/>
    <n v="0"/>
  </r>
  <r>
    <x v="189"/>
    <s v="ORABAGICHA"/>
    <s v="MPG"/>
    <s v="Direct"/>
    <n v="470.7"/>
    <n v="20116.389999999996"/>
    <n v="275.3"/>
    <n v="12185"/>
    <n v="215.14"/>
    <n v="9037.2899999999991"/>
    <n v="490.44"/>
    <n v="21222.29"/>
    <n v="20116.389999999996"/>
    <n v="0"/>
    <n v="147.09"/>
    <n v="1105.9000000000051"/>
    <n v="0"/>
    <n v="500"/>
    <n v="0"/>
    <n v="10578"/>
    <n v="8891"/>
    <n v="0"/>
    <n v="0"/>
    <n v="0"/>
  </r>
  <r>
    <x v="190"/>
    <s v="KHAJURIYA"/>
    <s v="MPG"/>
    <s v="Direct"/>
    <n v="390"/>
    <n v="16177.859999999999"/>
    <n v="472.87"/>
    <n v="28843.56"/>
    <n v="0"/>
    <n v="0"/>
    <n v="472.87"/>
    <n v="28843.56"/>
    <n v="16177.859999999999"/>
    <n v="0"/>
    <n v="0"/>
    <n v="12665.700000000003"/>
    <n v="6750"/>
    <n v="0"/>
    <n v="0"/>
    <n v="9428"/>
    <n v="0"/>
    <n v="0"/>
    <n v="0"/>
    <s v="Release2"/>
  </r>
  <r>
    <x v="191"/>
    <s v="NAYA SALEMPUR"/>
    <s v="vlc"/>
    <s v="Indirect"/>
    <n v="769.9"/>
    <n v="31363.960000000006"/>
    <n v="0"/>
    <n v="0"/>
    <n v="0"/>
    <n v="0"/>
    <n v="0"/>
    <n v="0"/>
    <n v="31363.960000000006"/>
    <n v="0"/>
    <n v="0"/>
    <n v="0"/>
    <n v="0"/>
    <n v="0"/>
    <n v="0"/>
    <n v="0"/>
    <n v="0"/>
    <n v="31363.960000000006"/>
    <n v="0"/>
    <n v="0"/>
  </r>
  <r>
    <x v="192"/>
    <s v="MANO 2"/>
    <s v="MPG"/>
    <s v="Direct"/>
    <n v="168.10000000000002"/>
    <n v="7922.5099999999993"/>
    <n v="168.6"/>
    <n v="7915.4800000000005"/>
    <n v="0"/>
    <n v="0"/>
    <n v="168.6"/>
    <n v="7915.4800000000005"/>
    <n v="7915.4800000000005"/>
    <n v="0"/>
    <n v="0"/>
    <n v="0"/>
    <n v="0"/>
    <n v="0"/>
    <n v="0"/>
    <n v="7915"/>
    <n v="0"/>
    <n v="0"/>
    <n v="8"/>
    <n v="0"/>
  </r>
  <r>
    <x v="193"/>
    <s v="Champanagar"/>
    <s v="MPG"/>
    <s v="Direct"/>
    <n v="221.4"/>
    <n v="11515.150000000001"/>
    <n v="232.7"/>
    <n v="12490.64"/>
    <n v="0"/>
    <n v="0"/>
    <n v="232.7"/>
    <n v="12490.64"/>
    <n v="11515.150000000001"/>
    <n v="0"/>
    <n v="0"/>
    <n v="975.48999999999796"/>
    <n v="0"/>
    <n v="500"/>
    <n v="0"/>
    <n v="11015"/>
    <n v="0"/>
    <n v="0"/>
    <n v="0"/>
    <n v="0"/>
  </r>
  <r>
    <x v="194"/>
    <s v="LOSDHANI"/>
    <s v="MPG"/>
    <s v="Direct"/>
    <n v="119.4"/>
    <n v="4397.880000000001"/>
    <n v="119.5"/>
    <n v="4513.6200000000008"/>
    <n v="0"/>
    <n v="0"/>
    <n v="119.5"/>
    <n v="4513.6200000000008"/>
    <n v="4397.880000000001"/>
    <n v="0"/>
    <n v="0"/>
    <n v="115.73999999999978"/>
    <n v="0"/>
    <n v="0"/>
    <n v="0"/>
    <n v="4398"/>
    <n v="0"/>
    <n v="0"/>
    <n v="0"/>
    <n v="0"/>
  </r>
  <r>
    <x v="1032"/>
    <s v="GOMUKH MAHGAMA"/>
    <s v="vlc"/>
    <s v="Indirect"/>
    <n v="207"/>
    <n v="9764.23"/>
    <n v="0"/>
    <n v="0"/>
    <n v="0"/>
    <n v="0"/>
    <n v="0"/>
    <n v="0"/>
    <n v="9764.23"/>
    <n v="0"/>
    <n v="0"/>
    <n v="0"/>
    <n v="0"/>
    <n v="0"/>
    <n v="0"/>
    <n v="0"/>
    <n v="0"/>
    <n v="9764.23"/>
    <n v="0"/>
    <n v="0"/>
  </r>
  <r>
    <x v="195"/>
    <s v="GOMUKH BAGALWA"/>
    <s v="MPG"/>
    <s v="Direct"/>
    <n v="507.6"/>
    <n v="26765.000000000007"/>
    <n v="381.50000000000006"/>
    <n v="23939.420000000002"/>
    <n v="154.38999999999999"/>
    <n v="10128.849999999999"/>
    <n v="535.8900000000001"/>
    <n v="34068.270000000004"/>
    <n v="26765.000000000007"/>
    <n v="0"/>
    <n v="0"/>
    <n v="7303.2699999999968"/>
    <n v="0"/>
    <n v="0"/>
    <n v="0"/>
    <n v="16637"/>
    <n v="10128"/>
    <n v="0"/>
    <n v="0"/>
    <n v="0"/>
  </r>
  <r>
    <x v="196"/>
    <s v="GOMUKH BHITAKITA"/>
    <s v="vlc"/>
    <s v="Indirect"/>
    <n v="71.5"/>
    <n v="2645.4300000000003"/>
    <n v="0"/>
    <n v="0"/>
    <n v="0"/>
    <n v="0"/>
    <n v="0"/>
    <n v="0"/>
    <n v="2645.4300000000003"/>
    <n v="0"/>
    <n v="0"/>
    <n v="0"/>
    <n v="0"/>
    <n v="0"/>
    <n v="0"/>
    <n v="0"/>
    <n v="0"/>
    <n v="2645.4300000000003"/>
    <n v="0"/>
    <n v="0"/>
  </r>
  <r>
    <x v="197"/>
    <s v="GOMUKH OJONTOLA"/>
    <s v="vlc"/>
    <s v="Indirect"/>
    <n v="119.20000000000002"/>
    <n v="4808.2100000000009"/>
    <n v="0"/>
    <n v="0"/>
    <n v="0"/>
    <n v="0"/>
    <n v="0"/>
    <n v="0"/>
    <n v="4808.2100000000009"/>
    <n v="0"/>
    <n v="0"/>
    <n v="0"/>
    <n v="0"/>
    <n v="0"/>
    <n v="0"/>
    <n v="0"/>
    <n v="0"/>
    <n v="4808.2100000000009"/>
    <n v="0"/>
    <n v="0"/>
  </r>
  <r>
    <x v="198"/>
    <s v="KHUDDIBAN SHIVNAGAR"/>
    <s v="MPG"/>
    <s v="Direct"/>
    <n v="758.6"/>
    <n v="27241.93"/>
    <n v="276.90000000000003"/>
    <n v="10045.719999999999"/>
    <n v="523.20000000000005"/>
    <n v="18919.300000000003"/>
    <n v="800.10000000000014"/>
    <n v="28965.020000000004"/>
    <n v="27241.93"/>
    <n v="0"/>
    <n v="0"/>
    <n v="1723.0900000000038"/>
    <n v="0"/>
    <n v="0"/>
    <n v="0"/>
    <n v="8322"/>
    <n v="18920"/>
    <n v="0"/>
    <n v="0"/>
    <n v="0"/>
  </r>
  <r>
    <x v="199"/>
    <s v="BARIYARPUR"/>
    <s v="MPG"/>
    <s v="Direct"/>
    <n v="451.10000000000008"/>
    <n v="19295.349999999995"/>
    <n v="348.3"/>
    <n v="15418.539999999997"/>
    <n v="92.1"/>
    <n v="3882.7099999999996"/>
    <n v="440.4"/>
    <n v="19301.249999999996"/>
    <n v="19295.349999999995"/>
    <n v="0"/>
    <n v="172.01999999999998"/>
    <n v="5.9000000000014552"/>
    <n v="0"/>
    <n v="0"/>
    <n v="0"/>
    <n v="15412"/>
    <n v="3711"/>
    <n v="0"/>
    <n v="0"/>
    <n v="0"/>
  </r>
  <r>
    <x v="200"/>
    <s v="MASUDAN"/>
    <s v="MPG"/>
    <s v="Direct"/>
    <n v="2082.9"/>
    <n v="92017.489999999991"/>
    <n v="1816.3699999999997"/>
    <n v="85443.12000000001"/>
    <n v="177.92999999999995"/>
    <n v="8757.43"/>
    <n v="1994.2999999999997"/>
    <n v="94200.550000000017"/>
    <n v="92017.489999999991"/>
    <n v="0"/>
    <n v="951.37999999999988"/>
    <n v="2183.0600000000268"/>
    <n v="0"/>
    <n v="0"/>
    <n v="0"/>
    <n v="83260"/>
    <n v="7806"/>
    <n v="0"/>
    <n v="0"/>
    <n v="0"/>
  </r>
  <r>
    <x v="201"/>
    <s v="GOMUKH BOHLA"/>
    <s v="vlc"/>
    <s v="Indirect"/>
    <n v="572.89999999999986"/>
    <n v="20311.050000000003"/>
    <n v="0"/>
    <n v="0"/>
    <n v="0"/>
    <n v="0"/>
    <n v="0"/>
    <n v="0"/>
    <n v="20311.050000000003"/>
    <n v="0"/>
    <n v="0"/>
    <n v="0"/>
    <n v="0"/>
    <n v="0"/>
    <n v="0"/>
    <n v="0"/>
    <n v="0"/>
    <n v="20311.050000000003"/>
    <n v="0"/>
    <n v="0"/>
  </r>
  <r>
    <x v="974"/>
    <s v="TOTAHA"/>
    <s v="vlc"/>
    <s v="Direct"/>
    <n v="408"/>
    <n v="17359.249999999996"/>
    <n v="341.15"/>
    <n v="14180.2"/>
    <n v="69.92"/>
    <n v="2739.95"/>
    <n v="411.07"/>
    <n v="16920.150000000001"/>
    <n v="16920.150000000001"/>
    <n v="0"/>
    <n v="0"/>
    <n v="0"/>
    <n v="0"/>
    <n v="0"/>
    <n v="0"/>
    <n v="14180"/>
    <n v="2740"/>
    <n v="0"/>
    <n v="439"/>
    <n v="0"/>
  </r>
  <r>
    <x v="202"/>
    <s v="GOMUKH RAMPUR"/>
    <s v="vlc"/>
    <s v="Indirect"/>
    <n v="603.29999999999995"/>
    <n v="21134.42"/>
    <n v="0"/>
    <n v="0"/>
    <n v="0"/>
    <n v="0"/>
    <n v="0"/>
    <n v="0"/>
    <n v="21134.42"/>
    <n v="0"/>
    <n v="0"/>
    <n v="0"/>
    <n v="0"/>
    <n v="0"/>
    <n v="0"/>
    <n v="0"/>
    <n v="0"/>
    <n v="21134.42"/>
    <n v="0"/>
    <n v="0"/>
  </r>
  <r>
    <x v="1033"/>
    <s v="GOMUKH GAHILSTHAN"/>
    <s v="vlc"/>
    <s v="Indirect"/>
    <n v="5563.8"/>
    <n v="234627.50999999995"/>
    <n v="0"/>
    <n v="0"/>
    <n v="0"/>
    <n v="0"/>
    <n v="0"/>
    <n v="0"/>
    <n v="234627.50999999995"/>
    <n v="0"/>
    <n v="0"/>
    <n v="0"/>
    <n v="0"/>
    <n v="0"/>
    <n v="0"/>
    <n v="0"/>
    <n v="0"/>
    <n v="234627.50999999995"/>
    <n v="0"/>
    <n v="0"/>
  </r>
  <r>
    <x v="203"/>
    <s v="Gomukh ID Araria"/>
    <s v="vlc"/>
    <s v="Indirect"/>
    <n v="4557.5"/>
    <n v="186965.49000000002"/>
    <n v="0"/>
    <n v="0"/>
    <n v="0"/>
    <n v="0"/>
    <n v="0"/>
    <n v="0"/>
    <n v="186965.49000000002"/>
    <n v="0"/>
    <n v="0"/>
    <n v="0"/>
    <n v="0"/>
    <n v="0"/>
    <n v="0"/>
    <n v="0"/>
    <n v="0"/>
    <n v="186965.49000000002"/>
    <n v="0"/>
    <n v="0"/>
  </r>
  <r>
    <x v="204"/>
    <s v="Gomukh ID Chaidha"/>
    <s v="vlc"/>
    <s v="Indirect"/>
    <n v="700.60000000000014"/>
    <n v="25360.280000000002"/>
    <n v="0"/>
    <n v="0"/>
    <n v="0"/>
    <n v="0"/>
    <n v="0"/>
    <n v="0"/>
    <n v="25360.280000000002"/>
    <n v="0"/>
    <n v="0"/>
    <n v="0"/>
    <n v="0"/>
    <n v="0"/>
    <n v="0"/>
    <n v="0"/>
    <n v="0"/>
    <n v="25360.280000000002"/>
    <n v="0"/>
    <n v="0"/>
  </r>
  <r>
    <x v="206"/>
    <s v="Gomukh ID Pipra"/>
    <s v="MPG"/>
    <s v="Indirect"/>
    <n v="281.91999999999996"/>
    <n v="10452.929999999998"/>
    <n v="0"/>
    <n v="0"/>
    <n v="0"/>
    <n v="0"/>
    <n v="0"/>
    <n v="0"/>
    <n v="10452.929999999998"/>
    <n v="0"/>
    <n v="0"/>
    <n v="0"/>
    <n v="10453"/>
    <n v="0"/>
    <n v="0"/>
    <n v="0"/>
    <n v="0"/>
    <n v="-7.0000000001527951E-2"/>
    <n v="0"/>
    <n v="0"/>
  </r>
  <r>
    <x v="207"/>
    <s v="Gomukh Fatepur                                                                                      "/>
    <s v="MPG"/>
    <s v="Direct"/>
    <n v="230"/>
    <n v="9498.5600000000013"/>
    <n v="210.42000000000002"/>
    <n v="8489.49"/>
    <n v="21.36"/>
    <n v="875.73"/>
    <n v="231.78000000000003"/>
    <n v="9365.2199999999993"/>
    <n v="9365.2199999999993"/>
    <n v="0"/>
    <n v="105.85"/>
    <n v="0"/>
    <n v="0"/>
    <n v="0"/>
    <n v="0"/>
    <n v="8490"/>
    <n v="771"/>
    <n v="0"/>
    <n v="132"/>
    <n v="0"/>
  </r>
  <r>
    <x v="208"/>
    <s v="Gomukh Gauchhari"/>
    <s v="MPG"/>
    <s v="Direct"/>
    <n v="284.40000000000003"/>
    <n v="11436.35"/>
    <n v="283.75"/>
    <n v="11433.43"/>
    <n v="0.65"/>
    <n v="26.249999999999996"/>
    <n v="284.39999999999998"/>
    <n v="11459.68"/>
    <n v="11436.35"/>
    <n v="0"/>
    <n v="26.249999999999996"/>
    <n v="23.329999999999927"/>
    <n v="0"/>
    <n v="0"/>
    <n v="0"/>
    <n v="11410"/>
    <n v="0"/>
    <n v="0"/>
    <n v="0"/>
    <n v="0"/>
  </r>
  <r>
    <x v="209"/>
    <s v="Gomukh Arariya Karjaniya"/>
    <s v="vlc"/>
    <s v="Indirect"/>
    <n v="11829.1"/>
    <n v="467460"/>
    <n v="0"/>
    <n v="0"/>
    <n v="0"/>
    <n v="0"/>
    <n v="0"/>
    <n v="0"/>
    <n v="467460"/>
    <n v="0"/>
    <n v="0"/>
    <n v="0"/>
    <n v="0"/>
    <n v="0"/>
    <n v="0"/>
    <n v="0"/>
    <n v="0"/>
    <n v="467460"/>
    <n v="0"/>
    <n v="0"/>
  </r>
  <r>
    <x v="210"/>
    <s v="Gomukh Aariya Dummer Kothi"/>
    <s v="vlc"/>
    <s v="Indirect"/>
    <n v="6942.0999999999995"/>
    <n v="272155.30000000005"/>
    <n v="0"/>
    <n v="0"/>
    <n v="0"/>
    <n v="0"/>
    <n v="0"/>
    <n v="0"/>
    <n v="272155.30000000005"/>
    <n v="0"/>
    <n v="0"/>
    <n v="0"/>
    <n v="0"/>
    <n v="0"/>
    <n v="0"/>
    <n v="0"/>
    <n v="0"/>
    <n v="272155.30000000005"/>
    <n v="0"/>
    <n v="0"/>
  </r>
  <r>
    <x v="211"/>
    <s v="Gomukh Balha"/>
    <s v="vlc"/>
    <s v="Indirect"/>
    <n v="6065.1"/>
    <n v="234386.56"/>
    <n v="0"/>
    <n v="0"/>
    <n v="0"/>
    <n v="0"/>
    <n v="0"/>
    <n v="0"/>
    <n v="234386.56"/>
    <n v="0"/>
    <n v="0"/>
    <n v="0"/>
    <n v="0"/>
    <n v="0"/>
    <n v="0"/>
    <n v="0"/>
    <n v="0"/>
    <n v="234386.56"/>
    <n v="0"/>
    <n v="0"/>
  </r>
  <r>
    <x v="212"/>
    <s v="Haripur - Sanjay"/>
    <s v="vlc"/>
    <s v="Indirect"/>
    <n v="611.20000000000005"/>
    <n v="23439.730000000003"/>
    <n v="0"/>
    <n v="0"/>
    <n v="0"/>
    <n v="0"/>
    <n v="0"/>
    <n v="0"/>
    <n v="23439.730000000003"/>
    <n v="0"/>
    <n v="0"/>
    <n v="0"/>
    <n v="0"/>
    <n v="0"/>
    <n v="0"/>
    <n v="0"/>
    <n v="0"/>
    <n v="23439.730000000003"/>
    <n v="0"/>
    <n v="0"/>
  </r>
  <r>
    <x v="213"/>
    <s v="Araria - Ankesh"/>
    <s v="vlc"/>
    <s v="Indirect"/>
    <n v="5049.0999999999995"/>
    <n v="192423.56"/>
    <n v="0"/>
    <n v="0"/>
    <n v="0"/>
    <n v="0"/>
    <n v="0"/>
    <n v="0"/>
    <n v="192423.56"/>
    <n v="0"/>
    <n v="0"/>
    <n v="0"/>
    <n v="0"/>
    <n v="0"/>
    <n v="0"/>
    <n v="0"/>
    <n v="0"/>
    <n v="192423.56"/>
    <n v="0"/>
    <n v="0"/>
  </r>
  <r>
    <x v="214"/>
    <s v="Gomukh Kabela                                                                                       "/>
    <s v="MPG"/>
    <s v="Direct"/>
    <n v="376.5"/>
    <n v="19177.7"/>
    <n v="479.7"/>
    <n v="23943.809999999998"/>
    <n v="0"/>
    <n v="0"/>
    <n v="479.7"/>
    <n v="23943.809999999998"/>
    <n v="19177.7"/>
    <n v="0"/>
    <n v="0"/>
    <n v="4766.1099999999969"/>
    <n v="0"/>
    <n v="0"/>
    <n v="0"/>
    <n v="19178"/>
    <n v="0"/>
    <n v="0"/>
    <n v="0"/>
    <n v="0"/>
  </r>
  <r>
    <x v="215"/>
    <s v="Gomukh Malpa Uttari                                                                                 "/>
    <s v="vlc"/>
    <s v="Indirect"/>
    <n v="117.38"/>
    <n v="3986.25"/>
    <n v="0"/>
    <n v="0"/>
    <n v="0"/>
    <n v="0"/>
    <n v="0"/>
    <n v="0"/>
    <n v="3986.25"/>
    <n v="0"/>
    <n v="0"/>
    <n v="0"/>
    <n v="3986"/>
    <n v="0"/>
    <n v="0"/>
    <n v="0"/>
    <n v="0"/>
    <n v="0.25"/>
    <n v="0"/>
    <n v="0"/>
  </r>
  <r>
    <x v="216"/>
    <s v="Gomukh Sapha"/>
    <s v="MPG"/>
    <s v="Direct"/>
    <n v="203.20000000000002"/>
    <n v="8285.11"/>
    <n v="198.16999999999996"/>
    <n v="8175.83"/>
    <n v="5.03"/>
    <n v="208.8"/>
    <n v="203.19999999999996"/>
    <n v="8384.6299999999992"/>
    <n v="8285.11"/>
    <n v="0"/>
    <n v="208.8"/>
    <n v="99.519999999998618"/>
    <n v="0"/>
    <n v="0"/>
    <n v="0"/>
    <n v="8076"/>
    <n v="0"/>
    <n v="0"/>
    <n v="0"/>
    <n v="0"/>
  </r>
  <r>
    <x v="217"/>
    <s v="Araria"/>
    <s v="vlc"/>
    <s v="Indirect"/>
    <n v="14324.199999999997"/>
    <n v="572514.35"/>
    <n v="0"/>
    <n v="0"/>
    <n v="0"/>
    <n v="0"/>
    <n v="0"/>
    <n v="0"/>
    <n v="572514.35"/>
    <n v="0"/>
    <n v="0"/>
    <n v="0"/>
    <n v="0"/>
    <n v="0"/>
    <n v="0"/>
    <n v="0"/>
    <n v="0"/>
    <n v="572514.35"/>
    <n v="0"/>
    <n v="0"/>
  </r>
  <r>
    <x v="218"/>
    <s v="Gomukh Gauchhari"/>
    <s v="MPG"/>
    <s v="Direct"/>
    <n v="107.49999999999999"/>
    <n v="4037.55"/>
    <n v="107.5"/>
    <n v="4064.58"/>
    <n v="0"/>
    <n v="0"/>
    <n v="107.5"/>
    <n v="4064.58"/>
    <n v="4037.55"/>
    <n v="0"/>
    <n v="0"/>
    <n v="27.029999999999745"/>
    <n v="0"/>
    <n v="0"/>
    <n v="0"/>
    <n v="4038"/>
    <n v="0"/>
    <n v="0"/>
    <n v="0"/>
    <n v="0"/>
  </r>
  <r>
    <x v="219"/>
    <s v="Telouch"/>
    <s v="MPG"/>
    <s v="Direct"/>
    <n v="1332.32"/>
    <n v="53637.72"/>
    <n v="1351.6"/>
    <n v="55065.040000000008"/>
    <n v="5.6000000000000005"/>
    <n v="204.33000000000004"/>
    <n v="1357.1999999999998"/>
    <n v="55269.37000000001"/>
    <n v="53637.72"/>
    <n v="0"/>
    <n v="204.33000000000004"/>
    <n v="1631.6500000000087"/>
    <n v="0"/>
    <n v="0"/>
    <n v="0"/>
    <n v="53433"/>
    <n v="0"/>
    <n v="0"/>
    <n v="0"/>
    <n v="0"/>
  </r>
  <r>
    <x v="220"/>
    <s v="Gomukh Jhangara B"/>
    <s v="MPG"/>
    <s v="Direct"/>
    <n v="1464.4999999999998"/>
    <n v="59098.089999999989"/>
    <n v="1501.06"/>
    <n v="63458.329999999994"/>
    <n v="0"/>
    <n v="0"/>
    <n v="1501.06"/>
    <n v="63458.329999999994"/>
    <n v="59098.089999999989"/>
    <n v="0"/>
    <n v="0"/>
    <n v="4360.2400000000052"/>
    <n v="0"/>
    <n v="0"/>
    <n v="0"/>
    <n v="59098"/>
    <n v="0"/>
    <n v="0"/>
    <n v="0"/>
    <n v="0"/>
  </r>
  <r>
    <x v="221"/>
    <s v="Gomukh Saraiya"/>
    <s v="MPG"/>
    <s v="Direct"/>
    <n v="321.68"/>
    <n v="11606.36"/>
    <n v="396.96999999999997"/>
    <n v="16664.830000000002"/>
    <n v="0"/>
    <n v="0"/>
    <n v="396.96999999999997"/>
    <n v="16664.830000000002"/>
    <n v="11606.36"/>
    <n v="0"/>
    <n v="0"/>
    <n v="5058.4700000000012"/>
    <n v="0"/>
    <n v="0"/>
    <n v="0"/>
    <n v="12762"/>
    <n v="0"/>
    <n v="0"/>
    <n v="-1156"/>
    <s v="Release2"/>
  </r>
  <r>
    <x v="222"/>
    <s v=" Gomukh Nauranga"/>
    <s v="vlc"/>
    <s v="Indirect"/>
    <n v="149.01999999999998"/>
    <n v="6185.6500000000005"/>
    <n v="0"/>
    <n v="0"/>
    <n v="0"/>
    <n v="0"/>
    <n v="0"/>
    <n v="0"/>
    <n v="6185.6500000000005"/>
    <n v="0"/>
    <n v="0"/>
    <n v="0"/>
    <n v="0"/>
    <n v="0"/>
    <n v="0"/>
    <n v="0"/>
    <n v="0"/>
    <n v="6185.6500000000005"/>
    <n v="0"/>
    <n v="0"/>
  </r>
  <r>
    <x v="223"/>
    <s v="Gomukh Malpa Dhutauli VLC"/>
    <s v="vlc"/>
    <s v="Indirect"/>
    <n v="37.32"/>
    <n v="1342.45"/>
    <n v="0"/>
    <n v="0"/>
    <n v="0"/>
    <n v="0"/>
    <n v="0"/>
    <n v="0"/>
    <n v="1342.45"/>
    <n v="0"/>
    <n v="0"/>
    <n v="0"/>
    <n v="0"/>
    <n v="0"/>
    <n v="0"/>
    <n v="0"/>
    <n v="0"/>
    <n v="1342.45"/>
    <n v="0"/>
    <n v="0"/>
  </r>
  <r>
    <x v="224"/>
    <s v="Gomukh Pakrail Vijay Nagar VLC"/>
    <s v="vlc"/>
    <s v="Direct"/>
    <n v="684.74"/>
    <n v="26525.51"/>
    <n v="0"/>
    <n v="0"/>
    <n v="0"/>
    <n v="0"/>
    <n v="0"/>
    <n v="0"/>
    <n v="0"/>
    <n v="0"/>
    <n v="0"/>
    <n v="0"/>
    <n v="0"/>
    <n v="0"/>
    <n v="0"/>
    <n v="0"/>
    <n v="0"/>
    <n v="0"/>
    <n v="26526"/>
    <n v="0"/>
  </r>
  <r>
    <x v="225"/>
    <s v="Gomukh Pakrail Shirnia VLC"/>
    <s v="vlc"/>
    <s v="Indirect"/>
    <n v="43.16"/>
    <n v="1860.62"/>
    <n v="0"/>
    <n v="0"/>
    <n v="0"/>
    <n v="0"/>
    <n v="0"/>
    <n v="0"/>
    <n v="1860.62"/>
    <n v="0"/>
    <n v="0"/>
    <n v="0"/>
    <n v="0"/>
    <n v="0"/>
    <n v="0"/>
    <n v="0"/>
    <n v="0"/>
    <n v="1860.62"/>
    <n v="0"/>
    <n v="0"/>
  </r>
  <r>
    <x v="226"/>
    <s v="Gomukh Godhiyasi Nayagow VLC"/>
    <s v="vlc"/>
    <s v="Indirect"/>
    <n v="252.2"/>
    <n v="9191.9200000000019"/>
    <n v="0"/>
    <n v="0"/>
    <n v="0"/>
    <n v="0"/>
    <n v="0"/>
    <n v="0"/>
    <n v="9191.9200000000019"/>
    <n v="0"/>
    <n v="0"/>
    <n v="0"/>
    <n v="4050"/>
    <n v="0"/>
    <n v="0"/>
    <n v="0"/>
    <n v="0"/>
    <n v="5141.9200000000019"/>
    <n v="0"/>
    <n v="0"/>
  </r>
  <r>
    <x v="227"/>
    <s v="Gomukh Bandehra Purbi"/>
    <s v="MPG"/>
    <s v="Direct"/>
    <n v="329.3"/>
    <n v="12539.049999999997"/>
    <n v="329.3"/>
    <n v="12794.099999999999"/>
    <n v="0"/>
    <n v="0"/>
    <n v="329.3"/>
    <n v="12794.099999999999"/>
    <n v="12539.049999999997"/>
    <n v="0"/>
    <n v="0"/>
    <n v="255.05000000000109"/>
    <n v="0"/>
    <n v="0"/>
    <n v="0"/>
    <n v="12539"/>
    <n v="0"/>
    <n v="0"/>
    <n v="0"/>
    <n v="0"/>
  </r>
  <r>
    <x v="228"/>
    <s v="Gomukh Tila Tol"/>
    <s v="MPG"/>
    <s v="Direct"/>
    <n v="715.98"/>
    <n v="29603.429999999997"/>
    <n v="557.72"/>
    <n v="22893.35"/>
    <n v="252.64"/>
    <n v="11320.47"/>
    <n v="810.36"/>
    <n v="34213.82"/>
    <n v="29603.429999999997"/>
    <n v="0"/>
    <n v="136.62"/>
    <n v="4610.3900000000031"/>
    <n v="0"/>
    <n v="0"/>
    <n v="0"/>
    <n v="18282"/>
    <n v="11184"/>
    <n v="0"/>
    <n v="1"/>
    <n v="0"/>
  </r>
  <r>
    <x v="229"/>
    <s v="Gomukh Gulshan Kumar VLC"/>
    <s v="vlc"/>
    <s v="Indirect"/>
    <n v="1689.6000000000001"/>
    <n v="66989.669999999984"/>
    <n v="0"/>
    <n v="0"/>
    <n v="0"/>
    <n v="0"/>
    <n v="0"/>
    <n v="0"/>
    <n v="66989.669999999984"/>
    <n v="0"/>
    <n v="0"/>
    <n v="0"/>
    <n v="0"/>
    <n v="0"/>
    <n v="0"/>
    <n v="0"/>
    <n v="0"/>
    <n v="66989.669999999984"/>
    <n v="0"/>
    <n v="0"/>
  </r>
  <r>
    <x v="1034"/>
    <s v="Gomukh Purani Tola"/>
    <s v="vlc"/>
    <s v="Indirect"/>
    <n v="297"/>
    <n v="11154.220000000001"/>
    <n v="297"/>
    <n v="11271.15"/>
    <n v="0"/>
    <n v="0"/>
    <n v="297"/>
    <n v="11271.15"/>
    <n v="11154.220000000001"/>
    <n v="0"/>
    <n v="0"/>
    <n v="116.92999999999847"/>
    <n v="0"/>
    <n v="0"/>
    <n v="0"/>
    <n v="0"/>
    <n v="0"/>
    <n v="11154.220000000001"/>
    <n v="0"/>
    <n v="0"/>
  </r>
  <r>
    <x v="230"/>
    <s v="Gomukh Gogri VLC"/>
    <s v="vlc"/>
    <s v="Indirect"/>
    <n v="363.1"/>
    <n v="14240.59"/>
    <n v="0"/>
    <n v="0"/>
    <n v="0"/>
    <n v="0"/>
    <n v="0"/>
    <n v="0"/>
    <n v="14240.59"/>
    <n v="0"/>
    <n v="0"/>
    <n v="0"/>
    <n v="0"/>
    <n v="0"/>
    <n v="0"/>
    <n v="0"/>
    <n v="0"/>
    <n v="14240.59"/>
    <n v="0"/>
    <n v="0"/>
  </r>
  <r>
    <x v="231"/>
    <s v="Gomukh Bari Chak Gogri"/>
    <s v="MPG"/>
    <s v="Direct"/>
    <n v="501"/>
    <n v="19341.969999999994"/>
    <n v="395.51000000000005"/>
    <n v="15703.58"/>
    <n v="106.94"/>
    <n v="5053.5600000000004"/>
    <n v="502.45000000000005"/>
    <n v="20757.14"/>
    <n v="19341.969999999994"/>
    <n v="0"/>
    <n v="0"/>
    <n v="1415.1700000000055"/>
    <n v="6750"/>
    <n v="500"/>
    <n v="0"/>
    <n v="7039"/>
    <n v="5053"/>
    <n v="0"/>
    <n v="0"/>
    <n v="0"/>
  </r>
  <r>
    <x v="232"/>
    <s v="Gomukh Khatha"/>
    <s v="MPG"/>
    <s v="Direct"/>
    <n v="777.9"/>
    <n v="29080.530000000002"/>
    <n v="777.9"/>
    <n v="28556.71"/>
    <n v="0"/>
    <n v="0"/>
    <n v="777.9"/>
    <n v="28556.71"/>
    <n v="28556.71"/>
    <n v="0"/>
    <n v="0"/>
    <n v="0"/>
    <n v="0"/>
    <n v="0"/>
    <n v="0"/>
    <n v="28557"/>
    <n v="0"/>
    <n v="0"/>
    <n v="524"/>
    <n v="0"/>
  </r>
  <r>
    <x v="233"/>
    <s v="Gomukh Shailesh Yadav Vlc"/>
    <s v="vlc"/>
    <s v="Indirect"/>
    <n v="62.5"/>
    <n v="3176.38"/>
    <n v="0"/>
    <n v="0"/>
    <n v="0"/>
    <n v="0"/>
    <n v="0"/>
    <n v="0"/>
    <n v="3176.38"/>
    <n v="0"/>
    <n v="0"/>
    <n v="0"/>
    <n v="0"/>
    <n v="0"/>
    <n v="0"/>
    <n v="0"/>
    <n v="0"/>
    <n v="3176.38"/>
    <n v="0"/>
    <n v="0"/>
  </r>
  <r>
    <x v="1035"/>
    <s v="Gomukh Banni"/>
    <s v="vlc"/>
    <s v="Direct"/>
    <n v="450.5"/>
    <n v="18746.670000000002"/>
    <n v="481.47999999999996"/>
    <n v="20006.420000000002"/>
    <n v="0"/>
    <n v="0"/>
    <n v="481.47999999999996"/>
    <n v="20006.420000000002"/>
    <n v="18746.670000000002"/>
    <n v="0"/>
    <n v="0"/>
    <n v="1259.75"/>
    <n v="0"/>
    <n v="0"/>
    <n v="0"/>
    <n v="18747"/>
    <n v="0"/>
    <n v="0"/>
    <n v="0"/>
    <n v="0"/>
  </r>
  <r>
    <x v="234"/>
    <s v="Chak Punervas"/>
    <s v="vlc"/>
    <s v="Indirect"/>
    <n v="652.20000000000005"/>
    <n v="26620.050000000003"/>
    <n v="0"/>
    <n v="0"/>
    <n v="0"/>
    <n v="0"/>
    <n v="0"/>
    <n v="0"/>
    <n v="26620.050000000003"/>
    <n v="0"/>
    <n v="0"/>
    <n v="0"/>
    <n v="0"/>
    <n v="0"/>
    <n v="0"/>
    <n v="0"/>
    <n v="0"/>
    <n v="26620.050000000003"/>
    <n v="0"/>
    <n v="0"/>
  </r>
  <r>
    <x v="235"/>
    <s v="Labherchak"/>
    <s v="MPG"/>
    <s v="Indirect"/>
    <n v="286.65000000000003"/>
    <n v="11070.96"/>
    <n v="0"/>
    <n v="0"/>
    <n v="0"/>
    <n v="0"/>
    <n v="0"/>
    <n v="0"/>
    <n v="11070.96"/>
    <n v="0"/>
    <n v="0"/>
    <n v="0"/>
    <n v="0"/>
    <n v="0"/>
    <n v="0"/>
    <n v="0"/>
    <n v="0"/>
    <n v="11070.96"/>
    <n v="0"/>
    <n v="0"/>
  </r>
  <r>
    <x v="237"/>
    <s v="Gomukh Godhna"/>
    <s v="vlc"/>
    <s v="Indirect"/>
    <n v="11.25"/>
    <n v="430.88"/>
    <n v="0"/>
    <n v="0"/>
    <n v="0"/>
    <n v="0"/>
    <n v="0"/>
    <n v="0"/>
    <n v="430.88"/>
    <n v="0"/>
    <n v="0"/>
    <n v="0"/>
    <n v="0"/>
    <n v="0"/>
    <n v="0"/>
    <n v="0"/>
    <n v="0"/>
    <n v="430.88"/>
    <n v="0"/>
    <n v="0"/>
  </r>
  <r>
    <x v="238"/>
    <s v="Gomukh Sihma 2"/>
    <s v="vlc"/>
    <s v="Indirect"/>
    <n v="222.39999999999995"/>
    <n v="8372.9299999999985"/>
    <n v="0"/>
    <n v="0"/>
    <n v="0"/>
    <n v="0"/>
    <n v="0"/>
    <n v="0"/>
    <n v="8372.9299999999985"/>
    <n v="0"/>
    <n v="0"/>
    <n v="0"/>
    <n v="0"/>
    <n v="0"/>
    <n v="0"/>
    <n v="0"/>
    <n v="0"/>
    <n v="8372.9299999999985"/>
    <n v="0"/>
    <n v="0"/>
  </r>
  <r>
    <x v="239"/>
    <s v="Gomukh ID Marsaito"/>
    <s v="vlc"/>
    <s v="Indirect"/>
    <n v="543.35"/>
    <n v="19909.59"/>
    <n v="0"/>
    <n v="0"/>
    <n v="0"/>
    <n v="0"/>
    <n v="0"/>
    <n v="0"/>
    <n v="19909.59"/>
    <n v="0"/>
    <n v="0"/>
    <n v="0"/>
    <n v="0"/>
    <n v="0"/>
    <n v="0"/>
    <n v="0"/>
    <n v="0"/>
    <n v="19909.59"/>
    <n v="0"/>
    <n v="0"/>
  </r>
  <r>
    <x v="240"/>
    <s v="Gomukh ID Akashpur-2"/>
    <s v="vlc"/>
    <s v="Indirect"/>
    <n v="77.400000000000006"/>
    <n v="2893.77"/>
    <n v="0"/>
    <n v="0"/>
    <n v="0"/>
    <n v="0"/>
    <n v="0"/>
    <n v="0"/>
    <n v="2893.77"/>
    <n v="0"/>
    <n v="0"/>
    <n v="0"/>
    <n v="0"/>
    <n v="0"/>
    <n v="0"/>
    <n v="0"/>
    <n v="0"/>
    <n v="2893.77"/>
    <n v="0"/>
    <n v="0"/>
  </r>
  <r>
    <x v="241"/>
    <s v="Gomukh ID Akashpur"/>
    <s v="vlc"/>
    <s v="Indirect"/>
    <n v="358.24999999999994"/>
    <n v="14433.29"/>
    <n v="0"/>
    <n v="0"/>
    <n v="0"/>
    <n v="0"/>
    <n v="0"/>
    <n v="0"/>
    <n v="14433.29"/>
    <n v="0"/>
    <n v="0"/>
    <n v="0"/>
    <n v="0"/>
    <n v="0"/>
    <n v="0"/>
    <n v="0"/>
    <n v="0"/>
    <n v="14433.29"/>
    <n v="0"/>
    <n v="0"/>
  </r>
  <r>
    <x v="242"/>
    <s v="Gomukh ID Rachiyahi"/>
    <s v="vlc"/>
    <s v="Indirect"/>
    <n v="30.05"/>
    <n v="1155.2199999999998"/>
    <n v="0"/>
    <n v="0"/>
    <n v="0"/>
    <n v="0"/>
    <n v="0"/>
    <n v="0"/>
    <n v="1155.2199999999998"/>
    <n v="0"/>
    <n v="0"/>
    <n v="0"/>
    <n v="0"/>
    <n v="0"/>
    <n v="0"/>
    <n v="0"/>
    <n v="0"/>
    <n v="1155.2199999999998"/>
    <n v="0"/>
    <n v="0"/>
  </r>
  <r>
    <x v="243"/>
    <s v="GomukhBariyahi Chanan"/>
    <s v="MPG"/>
    <s v="Direct"/>
    <n v="918.25"/>
    <n v="32763.93"/>
    <n v="921.09999999999991"/>
    <n v="34615.380000000005"/>
    <n v="1.9"/>
    <n v="66.539999999999992"/>
    <n v="922.99999999999989"/>
    <n v="34681.920000000006"/>
    <n v="32763.93"/>
    <n v="0"/>
    <n v="66.539999999999992"/>
    <n v="1917.9900000000052"/>
    <n v="0"/>
    <n v="0"/>
    <n v="0"/>
    <n v="32697"/>
    <n v="0"/>
    <n v="0"/>
    <n v="0"/>
    <n v="0"/>
  </r>
  <r>
    <x v="244"/>
    <s v="GomukhGehuni"/>
    <s v="MPG"/>
    <s v="Direct"/>
    <n v="139.75"/>
    <n v="5280.03"/>
    <n v="139"/>
    <n v="5251.3600000000006"/>
    <n v="0.7"/>
    <n v="25.91"/>
    <n v="139.69999999999999"/>
    <n v="5277.27"/>
    <n v="5277.27"/>
    <n v="0"/>
    <n v="25.91"/>
    <n v="0"/>
    <n v="0"/>
    <n v="500"/>
    <n v="0"/>
    <n v="4751"/>
    <n v="0"/>
    <n v="0"/>
    <n v="3"/>
    <n v="0"/>
  </r>
  <r>
    <x v="245"/>
    <s v="Gomukh Bakhatpur"/>
    <s v="MPG"/>
    <s v="Direct"/>
    <n v="200.89999999999998"/>
    <n v="8986.2899999999991"/>
    <n v="194.39000000000004"/>
    <n v="8840.2099999999991"/>
    <n v="2.1300000000000003"/>
    <n v="92.41"/>
    <n v="196.52000000000004"/>
    <n v="8932.619999999999"/>
    <n v="8932.619999999999"/>
    <n v="0"/>
    <n v="92.41"/>
    <n v="0"/>
    <n v="0"/>
    <n v="0"/>
    <n v="0"/>
    <n v="8840"/>
    <n v="0"/>
    <n v="0"/>
    <n v="54"/>
    <n v="0"/>
  </r>
  <r>
    <x v="246"/>
    <s v="Ananaya Dairy"/>
    <s v="vlc"/>
    <s v="Indirect"/>
    <n v="800.59999999999991"/>
    <n v="31584.489999999998"/>
    <n v="0"/>
    <n v="0"/>
    <n v="0"/>
    <n v="0"/>
    <n v="0"/>
    <n v="0"/>
    <n v="31584.489999999998"/>
    <n v="0"/>
    <n v="0"/>
    <n v="0"/>
    <n v="0"/>
    <n v="0"/>
    <n v="0"/>
    <n v="0"/>
    <n v="0"/>
    <n v="31584.489999999998"/>
    <n v="0"/>
    <n v="0"/>
  </r>
  <r>
    <x v="247"/>
    <s v="Gomukh Bishanpur"/>
    <s v="MPG"/>
    <s v="Direct"/>
    <n v="833.6"/>
    <n v="29365.13"/>
    <n v="757.66"/>
    <n v="28751.900000000009"/>
    <n v="13.09"/>
    <n v="499.22"/>
    <n v="770.75"/>
    <n v="29251.12000000001"/>
    <n v="29251.12000000001"/>
    <n v="0"/>
    <n v="499.22"/>
    <n v="0"/>
    <n v="0"/>
    <n v="0"/>
    <n v="0"/>
    <n v="28749"/>
    <n v="0"/>
    <n v="0"/>
    <n v="117"/>
    <n v="0"/>
  </r>
  <r>
    <x v="248"/>
    <s v="GOMUKH BEGAMSARAI"/>
    <s v="MPG"/>
    <s v="Direct"/>
    <n v="318.34999999999997"/>
    <n v="13978.189999999999"/>
    <n v="62.45"/>
    <n v="2781.24"/>
    <n v="250.13999999999996"/>
    <n v="11143.899999999998"/>
    <n v="312.58999999999997"/>
    <n v="13925.139999999998"/>
    <n v="13925.139999999998"/>
    <n v="0"/>
    <n v="255.07"/>
    <n v="0"/>
    <n v="0"/>
    <n v="0"/>
    <n v="0"/>
    <n v="2781"/>
    <n v="10889"/>
    <n v="0"/>
    <n v="53"/>
    <n v="0"/>
  </r>
  <r>
    <x v="249"/>
    <s v="Bariyahi - Ramvaran"/>
    <s v="vlc"/>
    <s v="Indirect"/>
    <n v="250.2"/>
    <n v="10555.429999999998"/>
    <n v="0"/>
    <n v="0"/>
    <n v="0"/>
    <n v="0"/>
    <n v="0"/>
    <n v="0"/>
    <n v="10555.429999999998"/>
    <n v="0"/>
    <n v="0"/>
    <n v="0"/>
    <n v="0"/>
    <n v="0"/>
    <n v="0"/>
    <n v="0"/>
    <n v="0"/>
    <n v="10555.429999999998"/>
    <n v="0"/>
    <n v="0"/>
  </r>
  <r>
    <x v="250"/>
    <s v="Hasanpur - Abhijeet"/>
    <s v="vlc"/>
    <s v="Indirect"/>
    <n v="11094.2"/>
    <n v="438498.83"/>
    <n v="0"/>
    <n v="0"/>
    <n v="0"/>
    <n v="0"/>
    <n v="0"/>
    <n v="0"/>
    <n v="438498.83"/>
    <n v="0"/>
    <n v="0"/>
    <n v="0"/>
    <n v="0"/>
    <n v="0"/>
    <n v="0"/>
    <n v="0"/>
    <n v="0"/>
    <n v="438498.83"/>
    <n v="0"/>
    <n v="0"/>
  </r>
  <r>
    <x v="251"/>
    <s v="Adharpur - Manish"/>
    <s v="vlc"/>
    <s v="Indirect"/>
    <n v="666.45"/>
    <n v="27958.35"/>
    <n v="0"/>
    <n v="0"/>
    <n v="0"/>
    <n v="0"/>
    <n v="0"/>
    <n v="0"/>
    <n v="27958.35"/>
    <n v="0"/>
    <n v="0"/>
    <n v="0"/>
    <n v="0"/>
    <n v="0"/>
    <n v="0"/>
    <n v="0"/>
    <n v="0"/>
    <n v="27958.35"/>
    <n v="0"/>
    <n v="0"/>
  </r>
  <r>
    <x v="252"/>
    <s v="Rani - Surender"/>
    <s v="vlc"/>
    <s v="Indirect"/>
    <n v="110.05000000000001"/>
    <n v="4476.34"/>
    <n v="0"/>
    <n v="0"/>
    <n v="0"/>
    <n v="0"/>
    <n v="0"/>
    <n v="0"/>
    <n v="4476.34"/>
    <n v="0"/>
    <n v="0"/>
    <n v="0"/>
    <n v="0"/>
    <n v="0"/>
    <n v="0"/>
    <n v="0"/>
    <n v="0"/>
    <n v="4476.34"/>
    <n v="0"/>
    <n v="0"/>
  </r>
  <r>
    <x v="253"/>
    <s v="GOMUKH RANI 3"/>
    <s v="MPG"/>
    <s v="Direct"/>
    <n v="58.7"/>
    <n v="2441.9900000000002"/>
    <n v="59.38000000000001"/>
    <n v="2418.8999999999996"/>
    <n v="0.33999999999999997"/>
    <n v="13.790000000000001"/>
    <n v="59.720000000000013"/>
    <n v="2432.6899999999996"/>
    <n v="2432.6899999999996"/>
    <n v="0"/>
    <n v="13.790000000000001"/>
    <n v="0"/>
    <n v="0"/>
    <n v="138"/>
    <n v="0"/>
    <n v="2281"/>
    <n v="0"/>
    <n v="0"/>
    <n v="9"/>
    <s v="Release1"/>
  </r>
  <r>
    <x v="254"/>
    <s v="GOMUKH NONPUR"/>
    <s v="MPG"/>
    <s v="Direct"/>
    <n v="582.65000000000009"/>
    <n v="22698.780000000002"/>
    <n v="572.14"/>
    <n v="23012.510000000002"/>
    <n v="1.7599999999999998"/>
    <n v="70.72"/>
    <n v="573.9"/>
    <n v="23083.230000000003"/>
    <n v="22698.780000000002"/>
    <n v="0"/>
    <n v="70.72"/>
    <n v="384.45000000000073"/>
    <n v="0"/>
    <n v="0"/>
    <n v="0"/>
    <n v="22628"/>
    <n v="0"/>
    <n v="0"/>
    <n v="0"/>
    <n v="0"/>
  </r>
  <r>
    <x v="255"/>
    <s v="GOMUKH FATEHA"/>
    <s v="MPG"/>
    <s v="Direct"/>
    <n v="20.75"/>
    <n v="830.62"/>
    <n v="20"/>
    <n v="786.8"/>
    <n v="0"/>
    <n v="0"/>
    <n v="20"/>
    <n v="786.8"/>
    <n v="786.8"/>
    <n v="0"/>
    <n v="0"/>
    <n v="0"/>
    <n v="0"/>
    <n v="0"/>
    <n v="0"/>
    <n v="787"/>
    <n v="0"/>
    <n v="0"/>
    <n v="44"/>
    <n v="0"/>
  </r>
  <r>
    <x v="256"/>
    <s v="Bablu Singh"/>
    <s v="vlc"/>
    <s v="Indirect"/>
    <n v="1123.9499999999998"/>
    <n v="43628.250000000007"/>
    <n v="0"/>
    <n v="0"/>
    <n v="0"/>
    <n v="0"/>
    <n v="0"/>
    <n v="0"/>
    <n v="43628.250000000007"/>
    <n v="0"/>
    <n v="0"/>
    <n v="0"/>
    <n v="0"/>
    <n v="0"/>
    <n v="0"/>
    <n v="0"/>
    <n v="0"/>
    <n v="43628.250000000007"/>
    <n v="0"/>
    <n v="0"/>
  </r>
  <r>
    <x v="257"/>
    <s v="Gomukh Rani                                                                                         "/>
    <s v="MPG"/>
    <s v="Direct"/>
    <n v="337.45000000000005"/>
    <n v="13371.61"/>
    <n v="215.72"/>
    <n v="9114.7099999999991"/>
    <n v="100.32000000000001"/>
    <n v="4280.05"/>
    <n v="316.04000000000002"/>
    <n v="13394.759999999998"/>
    <n v="13371.61"/>
    <n v="0"/>
    <n v="0"/>
    <n v="23.149999999997817"/>
    <n v="0"/>
    <n v="0"/>
    <n v="0"/>
    <n v="9093"/>
    <n v="4279"/>
    <n v="0"/>
    <n v="0"/>
    <n v="0"/>
  </r>
  <r>
    <x v="258"/>
    <s v="GOMUKH ROOPNAGAR"/>
    <s v="vlc"/>
    <s v="Direct"/>
    <n v="353.45"/>
    <n v="12885.390000000001"/>
    <n v="353.2"/>
    <n v="12876.05"/>
    <n v="0"/>
    <n v="0"/>
    <n v="353.2"/>
    <n v="12876.05"/>
    <n v="12876.05"/>
    <n v="0"/>
    <n v="0"/>
    <n v="0"/>
    <n v="0"/>
    <n v="0"/>
    <n v="0"/>
    <n v="12876"/>
    <n v="0"/>
    <n v="0"/>
    <n v="9"/>
    <n v="0"/>
  </r>
  <r>
    <x v="259"/>
    <s v="GOMUKH HADIPUR"/>
    <s v="MPG"/>
    <s v="Direct"/>
    <n v="403.15000000000003"/>
    <n v="15265.640000000001"/>
    <n v="399.13"/>
    <n v="15176.82"/>
    <n v="0.63"/>
    <n v="23.75"/>
    <n v="399.76"/>
    <n v="15200.57"/>
    <n v="15200.57"/>
    <n v="0"/>
    <n v="23.75"/>
    <n v="0"/>
    <n v="0"/>
    <n v="500"/>
    <n v="0"/>
    <n v="14677"/>
    <n v="0"/>
    <n v="0"/>
    <n v="65"/>
    <n v="0"/>
  </r>
  <r>
    <x v="260"/>
    <s v="Gomukh Harichak"/>
    <s v="MPG"/>
    <s v="Direct"/>
    <n v="131.9"/>
    <n v="5291.8100000000013"/>
    <n v="138.36999999999998"/>
    <n v="5237.68"/>
    <n v="0"/>
    <n v="0"/>
    <n v="138.36999999999998"/>
    <n v="5237.68"/>
    <n v="5237.68"/>
    <n v="0"/>
    <n v="0"/>
    <n v="0"/>
    <n v="0"/>
    <n v="500"/>
    <n v="0"/>
    <n v="4737"/>
    <n v="0"/>
    <n v="0"/>
    <n v="55"/>
    <n v="0"/>
  </r>
  <r>
    <x v="261"/>
    <s v="PAWAN RAY"/>
    <s v="vlc"/>
    <s v="Indirect"/>
    <n v="5080.7000000000007"/>
    <n v="200555.78000000003"/>
    <n v="0"/>
    <n v="0"/>
    <n v="0"/>
    <n v="0"/>
    <n v="0"/>
    <n v="0"/>
    <n v="200555.78000000003"/>
    <n v="0"/>
    <n v="0"/>
    <n v="0"/>
    <n v="0"/>
    <n v="0"/>
    <n v="0"/>
    <n v="0"/>
    <n v="0"/>
    <n v="200555.78000000003"/>
    <n v="0"/>
    <n v="0"/>
  </r>
  <r>
    <x v="262"/>
    <s v="RAJ BHARDWAJ"/>
    <s v="vlc"/>
    <s v="Indirect"/>
    <n v="207.20000000000002"/>
    <n v="8087.16"/>
    <n v="0"/>
    <n v="0"/>
    <n v="0"/>
    <n v="0"/>
    <n v="0"/>
    <n v="0"/>
    <n v="8087.16"/>
    <n v="0"/>
    <n v="0"/>
    <n v="0"/>
    <n v="0"/>
    <n v="0"/>
    <n v="0"/>
    <n v="0"/>
    <n v="0"/>
    <n v="8087.16"/>
    <n v="0"/>
    <n v="0"/>
  </r>
  <r>
    <x v="264"/>
    <s v="Prashant Kumar"/>
    <s v="vlc"/>
    <s v="Indirect"/>
    <n v="13.6"/>
    <n v="529.30999999999995"/>
    <n v="0"/>
    <n v="0"/>
    <n v="0"/>
    <n v="0"/>
    <n v="0"/>
    <n v="0"/>
    <n v="529.30999999999995"/>
    <n v="0"/>
    <n v="0"/>
    <n v="0"/>
    <n v="0"/>
    <n v="0"/>
    <n v="0"/>
    <n v="0"/>
    <n v="0"/>
    <n v="529.30999999999995"/>
    <n v="0"/>
    <n v="0"/>
  </r>
  <r>
    <x v="266"/>
    <s v="CHANDAN YADAV"/>
    <s v="vlc"/>
    <s v="Indirect"/>
    <n v="284.8"/>
    <n v="10800.42"/>
    <n v="0"/>
    <n v="0"/>
    <n v="0"/>
    <n v="0"/>
    <n v="0"/>
    <n v="0"/>
    <n v="10800.42"/>
    <n v="0"/>
    <n v="0"/>
    <n v="0"/>
    <n v="0"/>
    <n v="0"/>
    <n v="0"/>
    <n v="0"/>
    <n v="0"/>
    <n v="10800.42"/>
    <n v="0"/>
    <n v="0"/>
  </r>
  <r>
    <x v="267"/>
    <s v="ANITA DEVI"/>
    <s v="vlc"/>
    <s v="Indirect"/>
    <n v="225"/>
    <n v="8523.98"/>
    <n v="0"/>
    <n v="0"/>
    <n v="0"/>
    <n v="0"/>
    <n v="0"/>
    <n v="0"/>
    <n v="8523.98"/>
    <n v="0"/>
    <n v="0"/>
    <n v="0"/>
    <n v="0"/>
    <n v="0"/>
    <n v="0"/>
    <n v="0"/>
    <n v="0"/>
    <n v="8523.98"/>
    <n v="0"/>
    <n v="0"/>
  </r>
  <r>
    <x v="268"/>
    <s v="GOMUKH FATEHA SALEMPUR"/>
    <s v="MPG"/>
    <s v="Direct"/>
    <n v="274.75"/>
    <n v="10201.260000000002"/>
    <n v="275.10000000000002"/>
    <n v="10214.039999999999"/>
    <n v="6.6"/>
    <n v="245.27"/>
    <n v="281.70000000000005"/>
    <n v="10459.31"/>
    <n v="10201.260000000002"/>
    <n v="0"/>
    <n v="245.27"/>
    <n v="258.04999999999745"/>
    <n v="0"/>
    <n v="500"/>
    <n v="0"/>
    <n v="9456"/>
    <n v="0"/>
    <n v="0"/>
    <n v="0"/>
    <n v="0"/>
  </r>
  <r>
    <x v="269"/>
    <s v="GOMUKH GEHUNI 2"/>
    <s v="MPG"/>
    <s v="Direct"/>
    <n v="617.74999999999989"/>
    <n v="25268.070000000003"/>
    <n v="616.88000000000011"/>
    <n v="24682.15"/>
    <n v="0.43999999999999995"/>
    <n v="17.62"/>
    <n v="617.32000000000016"/>
    <n v="24699.77"/>
    <n v="24699.77"/>
    <n v="0"/>
    <n v="17.62"/>
    <n v="0"/>
    <n v="0"/>
    <n v="0"/>
    <n v="0"/>
    <n v="24682"/>
    <n v="0"/>
    <n v="0"/>
    <n v="568"/>
    <n v="0"/>
  </r>
  <r>
    <x v="270"/>
    <s v="GOMUKH MALHIPUR"/>
    <s v="MPG"/>
    <s v="Direct"/>
    <n v="633.35000000000014"/>
    <n v="22789.379999999997"/>
    <n v="632"/>
    <n v="22068.159999999996"/>
    <n v="0.8"/>
    <n v="28.330000000000002"/>
    <n v="632.79999999999995"/>
    <n v="22096.489999999998"/>
    <n v="22096.489999999998"/>
    <n v="0"/>
    <n v="28.330000000000002"/>
    <n v="0"/>
    <n v="0"/>
    <n v="0"/>
    <n v="0"/>
    <n v="22067"/>
    <n v="0"/>
    <n v="0"/>
    <n v="694"/>
    <n v="0"/>
  </r>
  <r>
    <x v="1036"/>
    <s v="Bihat - Sonu Kumar"/>
    <s v="vlc"/>
    <s v="Indirect"/>
    <n v="250.5"/>
    <n v="9184.92"/>
    <n v="0"/>
    <n v="0"/>
    <n v="0"/>
    <n v="0"/>
    <n v="0"/>
    <n v="0"/>
    <n v="9184.92"/>
    <n v="0"/>
    <n v="0"/>
    <n v="0"/>
    <n v="0"/>
    <n v="0"/>
    <n v="0"/>
    <n v="0"/>
    <n v="0"/>
    <n v="9184.92"/>
    <n v="0"/>
    <n v="0"/>
  </r>
  <r>
    <x v="271"/>
    <s v="Rasalpur - Durgesh Kumar"/>
    <s v="vlc"/>
    <s v="Indirect"/>
    <n v="381.8"/>
    <n v="14682.019999999999"/>
    <n v="0"/>
    <n v="0"/>
    <n v="0"/>
    <n v="0"/>
    <n v="0"/>
    <n v="0"/>
    <n v="14682.019999999999"/>
    <n v="0"/>
    <n v="0"/>
    <n v="0"/>
    <n v="0"/>
    <n v="0"/>
    <n v="0"/>
    <n v="0"/>
    <n v="0"/>
    <n v="14682.019999999999"/>
    <n v="0"/>
    <n v="0"/>
  </r>
  <r>
    <x v="272"/>
    <s v="Barauni Bariyarpur"/>
    <s v="MPG"/>
    <s v="Direct"/>
    <n v="319.90000000000003"/>
    <n v="12222.83"/>
    <n v="319.89999999999998"/>
    <n v="12316.15"/>
    <n v="0"/>
    <n v="0"/>
    <n v="319.89999999999998"/>
    <n v="12316.15"/>
    <n v="12222.83"/>
    <n v="0"/>
    <n v="0"/>
    <n v="93.319999999999709"/>
    <n v="0"/>
    <n v="0"/>
    <n v="0"/>
    <n v="12223"/>
    <n v="0"/>
    <n v="0"/>
    <n v="0"/>
    <n v="0"/>
  </r>
  <r>
    <x v="274"/>
    <s v="Fateha - Anil Yadav"/>
    <s v="vlc"/>
    <s v="Indirect"/>
    <n v="191.20000000000002"/>
    <n v="7598.8499999999995"/>
    <n v="0"/>
    <n v="0"/>
    <n v="0"/>
    <n v="0"/>
    <n v="0"/>
    <n v="0"/>
    <n v="7598.8499999999995"/>
    <n v="0"/>
    <n v="0"/>
    <n v="0"/>
    <n v="0"/>
    <n v="0"/>
    <n v="0"/>
    <n v="0"/>
    <n v="0"/>
    <n v="7598.8499999999995"/>
    <n v="0"/>
    <n v="0"/>
  </r>
  <r>
    <x v="275"/>
    <s v="Bihat - Chakballi"/>
    <s v="MPG"/>
    <s v="Direct"/>
    <n v="154.24999999999997"/>
    <n v="6192.2000000000007"/>
    <n v="154"/>
    <n v="6123.04"/>
    <n v="0"/>
    <n v="0"/>
    <n v="154"/>
    <n v="6123.04"/>
    <n v="6123.04"/>
    <n v="0"/>
    <n v="0"/>
    <n v="0"/>
    <n v="0"/>
    <n v="0"/>
    <n v="0"/>
    <n v="6123"/>
    <n v="0"/>
    <n v="0"/>
    <n v="69"/>
    <n v="0"/>
  </r>
  <r>
    <x v="277"/>
    <s v="Rasalpur"/>
    <s v="vlc"/>
    <s v="Indirect"/>
    <n v="1245.6000000000001"/>
    <n v="44936.799999999996"/>
    <n v="0"/>
    <n v="0"/>
    <n v="0"/>
    <n v="0"/>
    <n v="0"/>
    <n v="0"/>
    <n v="44936.799999999996"/>
    <n v="0"/>
    <n v="0"/>
    <n v="0"/>
    <n v="0"/>
    <n v="0"/>
    <n v="0"/>
    <n v="0"/>
    <n v="0"/>
    <n v="44936.799999999996"/>
    <n v="0"/>
    <n v="0"/>
  </r>
  <r>
    <x v="278"/>
    <s v="Samsa"/>
    <s v="vlc"/>
    <s v="Indirect"/>
    <n v="1430.2999999999997"/>
    <n v="58097.63"/>
    <n v="0"/>
    <n v="0"/>
    <n v="0"/>
    <n v="0"/>
    <n v="0"/>
    <n v="0"/>
    <n v="58097.63"/>
    <n v="0"/>
    <n v="0"/>
    <n v="0"/>
    <n v="0"/>
    <n v="0"/>
    <n v="0"/>
    <n v="0"/>
    <n v="0"/>
    <n v="58097.63"/>
    <n v="0"/>
    <n v="0"/>
  </r>
  <r>
    <x v="279"/>
    <s v="Dahiya"/>
    <s v="vlc"/>
    <s v="Indirect"/>
    <n v="335.84999999999997"/>
    <n v="12546.94"/>
    <n v="0"/>
    <n v="0"/>
    <n v="0"/>
    <n v="0"/>
    <n v="0"/>
    <n v="0"/>
    <n v="12546.94"/>
    <n v="0"/>
    <n v="0"/>
    <n v="0"/>
    <n v="0"/>
    <n v="0"/>
    <n v="0"/>
    <n v="0"/>
    <n v="0"/>
    <n v="12546.94"/>
    <n v="0"/>
    <n v="0"/>
  </r>
  <r>
    <x v="280"/>
    <s v="Gaura"/>
    <s v="MPG"/>
    <s v="Direct"/>
    <n v="204.9"/>
    <n v="7843.16"/>
    <n v="204"/>
    <n v="7770.36"/>
    <n v="0"/>
    <n v="0"/>
    <n v="204"/>
    <n v="7770.36"/>
    <n v="7770.36"/>
    <n v="0"/>
    <n v="0"/>
    <n v="0"/>
    <n v="0"/>
    <n v="0"/>
    <n v="0"/>
    <n v="7770"/>
    <n v="0"/>
    <n v="0"/>
    <n v="73"/>
    <n v="0"/>
  </r>
  <r>
    <x v="281"/>
    <s v="Mukhtiyarpur"/>
    <s v="MPG"/>
    <s v="Direct"/>
    <n v="188.20000000000002"/>
    <n v="7245.62"/>
    <n v="171.61999999999998"/>
    <n v="7260.65"/>
    <n v="0"/>
    <n v="0"/>
    <n v="171.61999999999998"/>
    <n v="7260.65"/>
    <n v="7245.62"/>
    <n v="0"/>
    <n v="0"/>
    <n v="15.029999999999745"/>
    <n v="0"/>
    <n v="0"/>
    <n v="0"/>
    <n v="7246"/>
    <n v="0"/>
    <n v="0"/>
    <n v="0"/>
    <n v="0"/>
  </r>
  <r>
    <x v="282"/>
    <s v="Gomukh Rudauli-02"/>
    <s v="MPG"/>
    <s v="Direct"/>
    <n v="586.29999999999995"/>
    <n v="22885.16"/>
    <n v="535.04999999999995"/>
    <n v="20377.739999999998"/>
    <n v="50.67"/>
    <n v="2016.37"/>
    <n v="585.71999999999991"/>
    <n v="22394.109999999997"/>
    <n v="22394.109999999997"/>
    <n v="0"/>
    <n v="0"/>
    <n v="0"/>
    <n v="0"/>
    <n v="0"/>
    <n v="0"/>
    <n v="20377"/>
    <n v="2016"/>
    <n v="0"/>
    <n v="492"/>
    <n v="0"/>
  </r>
  <r>
    <x v="283"/>
    <s v="Gomukh Puranatol Raichiahi"/>
    <s v="MPG"/>
    <s v="Direct"/>
    <n v="584.00000000000011"/>
    <n v="23155.350000000002"/>
    <n v="581.6"/>
    <n v="23063.33"/>
    <n v="0"/>
    <n v="0"/>
    <n v="581.6"/>
    <n v="23063.33"/>
    <n v="23063.33"/>
    <n v="0"/>
    <n v="0"/>
    <n v="0"/>
    <n v="0"/>
    <n v="0"/>
    <n v="0"/>
    <n v="23063"/>
    <n v="0"/>
    <n v="0"/>
    <n v="92"/>
    <n v="0"/>
  </r>
  <r>
    <x v="284"/>
    <s v="Bihat-Gududaspur"/>
    <s v="MPG"/>
    <s v="Direct"/>
    <n v="228.10000000000002"/>
    <n v="9276.49"/>
    <n v="80"/>
    <n v="3224.8"/>
    <n v="148"/>
    <n v="5965.88"/>
    <n v="228"/>
    <n v="9190.68"/>
    <n v="9190.68"/>
    <n v="0"/>
    <n v="0"/>
    <n v="0"/>
    <n v="0"/>
    <n v="0"/>
    <n v="0"/>
    <n v="3224"/>
    <n v="5965"/>
    <n v="0"/>
    <n v="87"/>
    <n v="0"/>
  </r>
  <r>
    <x v="285"/>
    <s v="Labharchak-2"/>
    <s v="MPG"/>
    <s v="Direct"/>
    <n v="248.6"/>
    <n v="9590.81"/>
    <n v="248"/>
    <n v="9515.76"/>
    <n v="0"/>
    <n v="0"/>
    <n v="248"/>
    <n v="9515.76"/>
    <n v="9515.76"/>
    <n v="0"/>
    <n v="0"/>
    <n v="0"/>
    <n v="0"/>
    <n v="0"/>
    <n v="0"/>
    <n v="9516"/>
    <n v="0"/>
    <n v="0"/>
    <n v="75"/>
    <n v="0"/>
  </r>
  <r>
    <x v="286"/>
    <s v="Shamar Kasha"/>
    <s v="MPG"/>
    <s v="Indirect"/>
    <n v="249.7"/>
    <n v="9799.9"/>
    <n v="0"/>
    <n v="0"/>
    <n v="0"/>
    <n v="0"/>
    <n v="0"/>
    <n v="0"/>
    <n v="9799.9"/>
    <n v="0"/>
    <n v="0"/>
    <n v="0"/>
    <n v="0"/>
    <n v="0"/>
    <n v="0"/>
    <n v="0"/>
    <n v="0"/>
    <n v="9799.9"/>
    <n v="0"/>
    <n v="0"/>
  </r>
  <r>
    <x v="287"/>
    <s v="POHE"/>
    <s v="MPG"/>
    <s v="Indirect"/>
    <n v="597.59999999999991"/>
    <n v="25641.379999999997"/>
    <n v="0"/>
    <n v="0"/>
    <n v="0"/>
    <n v="0"/>
    <n v="0"/>
    <n v="0"/>
    <n v="25641.379999999997"/>
    <n v="0"/>
    <n v="0"/>
    <n v="0"/>
    <n v="0"/>
    <n v="0"/>
    <n v="0"/>
    <n v="0"/>
    <n v="0"/>
    <n v="25641.379999999997"/>
    <n v="0"/>
    <n v="0"/>
  </r>
  <r>
    <x v="288"/>
    <s v="AURO"/>
    <s v="MPG"/>
    <s v="Direct"/>
    <n v="1041.6999999999998"/>
    <n v="44977.049999999988"/>
    <n v="831.76999999999987"/>
    <n v="36959.900000000009"/>
    <n v="212"/>
    <n v="8998.2400000000016"/>
    <n v="1043.77"/>
    <n v="45958.140000000014"/>
    <n v="44977.049999999988"/>
    <n v="0"/>
    <n v="332.97"/>
    <n v="981.09000000002561"/>
    <n v="0"/>
    <n v="0"/>
    <n v="0"/>
    <n v="35979"/>
    <n v="8665"/>
    <n v="0"/>
    <n v="0"/>
    <n v="0"/>
  </r>
  <r>
    <x v="289"/>
    <s v="PARSHAMA"/>
    <s v="MPG"/>
    <s v="Direct"/>
    <n v="44.000000000000007"/>
    <n v="1512.75"/>
    <n v="43"/>
    <n v="1496.82"/>
    <n v="0.7"/>
    <n v="23.910000000000004"/>
    <n v="43.7"/>
    <n v="1520.73"/>
    <n v="1512.75"/>
    <n v="0"/>
    <n v="23.910000000000004"/>
    <n v="7.9800000000000182"/>
    <n v="0"/>
    <n v="0"/>
    <n v="0"/>
    <n v="1489"/>
    <n v="0"/>
    <n v="0"/>
    <n v="0"/>
    <n v="0"/>
  </r>
  <r>
    <x v="291"/>
    <s v="BALLOPUR"/>
    <s v="MPG"/>
    <s v="Direct"/>
    <n v="1463.5"/>
    <n v="62197.549999999988"/>
    <n v="1388.7"/>
    <n v="62154.100000000006"/>
    <n v="0"/>
    <n v="0"/>
    <n v="1388.7"/>
    <n v="62154.100000000006"/>
    <n v="62154.100000000006"/>
    <n v="0"/>
    <n v="0"/>
    <n v="0"/>
    <n v="0"/>
    <n v="0"/>
    <n v="0"/>
    <n v="62156"/>
    <n v="0"/>
    <n v="0"/>
    <n v="42"/>
    <n v="0"/>
  </r>
  <r>
    <x v="292"/>
    <s v="KHAIRMA"/>
    <s v="MPG"/>
    <s v="Direct"/>
    <n v="477.70000000000005"/>
    <n v="18175.13"/>
    <n v="553.29999999999995"/>
    <n v="22266.429999999997"/>
    <n v="2.4000000000000004"/>
    <n v="96.190000000000012"/>
    <n v="555.69999999999993"/>
    <n v="22362.619999999995"/>
    <n v="18175.13"/>
    <n v="0"/>
    <n v="96.190000000000012"/>
    <n v="4187.4899999999943"/>
    <n v="0"/>
    <n v="0"/>
    <n v="0"/>
    <n v="18079"/>
    <n v="0"/>
    <n v="0"/>
    <n v="0"/>
    <n v="0"/>
  </r>
  <r>
    <x v="293"/>
    <s v="MAHASONI"/>
    <s v="MPG"/>
    <s v="Direct"/>
    <n v="686.60000000000014"/>
    <n v="27677.709999999995"/>
    <n v="700.3"/>
    <n v="27158.679999999997"/>
    <n v="5.9"/>
    <n v="217.94"/>
    <n v="706.19999999999993"/>
    <n v="27376.619999999995"/>
    <n v="27376.619999999995"/>
    <n v="0"/>
    <n v="217.94"/>
    <n v="0"/>
    <n v="0"/>
    <n v="0"/>
    <n v="0"/>
    <n v="27158"/>
    <n v="0"/>
    <n v="0"/>
    <n v="302"/>
    <n v="0"/>
  </r>
  <r>
    <x v="294"/>
    <s v="SONDHI"/>
    <s v="MPG"/>
    <s v="Direct"/>
    <n v="500.19999999999987"/>
    <n v="19853.349999999999"/>
    <n v="516.89999999999986"/>
    <n v="20713.579999999998"/>
    <n v="4.8999999999999995"/>
    <n v="202.36000000000004"/>
    <n v="521.79999999999984"/>
    <n v="20915.939999999999"/>
    <n v="19853.349999999999"/>
    <n v="0"/>
    <n v="202.36000000000004"/>
    <n v="1062.5900000000001"/>
    <n v="0"/>
    <n v="0"/>
    <n v="0"/>
    <n v="19651"/>
    <n v="0"/>
    <n v="0"/>
    <n v="0"/>
    <n v="0"/>
  </r>
  <r>
    <x v="295"/>
    <s v="BELDARAYA"/>
    <s v="vlc"/>
    <s v="Indirect"/>
    <n v="700.2"/>
    <n v="27065.27"/>
    <n v="0"/>
    <n v="0"/>
    <n v="0"/>
    <n v="0"/>
    <n v="0"/>
    <n v="0"/>
    <n v="27065.27"/>
    <n v="0"/>
    <n v="0"/>
    <n v="0"/>
    <n v="0"/>
    <n v="0"/>
    <n v="0"/>
    <n v="0"/>
    <n v="0"/>
    <n v="27065.27"/>
    <n v="0"/>
    <n v="0"/>
  </r>
  <r>
    <x v="296"/>
    <s v="Gomukh ID Aure-2"/>
    <s v="vlc"/>
    <s v="Indirect"/>
    <n v="1000.1"/>
    <n v="38765.89"/>
    <n v="0"/>
    <n v="0"/>
    <n v="0"/>
    <n v="0"/>
    <n v="0"/>
    <n v="0"/>
    <n v="38765.89"/>
    <n v="0"/>
    <n v="0"/>
    <n v="0"/>
    <n v="0"/>
    <n v="0"/>
    <n v="0"/>
    <n v="0"/>
    <n v="0"/>
    <n v="38765.89"/>
    <n v="0"/>
    <n v="0"/>
  </r>
  <r>
    <x v="297"/>
    <s v="Gomukh Karma"/>
    <s v="vlc"/>
    <s v="Indirect"/>
    <n v="712.10000000000014"/>
    <n v="30936.969999999994"/>
    <n v="0"/>
    <n v="0"/>
    <n v="0"/>
    <n v="0"/>
    <n v="0"/>
    <n v="0"/>
    <n v="30936.969999999994"/>
    <n v="0"/>
    <n v="0"/>
    <n v="0"/>
    <n v="0"/>
    <n v="0"/>
    <n v="0"/>
    <n v="0"/>
    <n v="0"/>
    <n v="30936.969999999994"/>
    <n v="0"/>
    <n v="0"/>
  </r>
  <r>
    <x v="298"/>
    <s v="GOMUKH UKSI"/>
    <s v="MPG"/>
    <s v="Indirect"/>
    <n v="555.69999999999982"/>
    <n v="23889.29"/>
    <n v="0"/>
    <n v="0"/>
    <n v="0"/>
    <n v="0"/>
    <n v="0"/>
    <n v="0"/>
    <n v="23889.29"/>
    <n v="0"/>
    <n v="0"/>
    <n v="0"/>
    <n v="0"/>
    <n v="0"/>
    <n v="0"/>
    <n v="0"/>
    <n v="0"/>
    <n v="23889.29"/>
    <n v="0"/>
    <n v="0"/>
  </r>
  <r>
    <x v="299"/>
    <s v="Gomukh ID Halsi"/>
    <s v="vlc"/>
    <s v="Indirect"/>
    <n v="4611.6000000000013"/>
    <n v="170511.59000000003"/>
    <n v="0"/>
    <n v="0"/>
    <n v="0"/>
    <n v="0"/>
    <n v="0"/>
    <n v="0"/>
    <n v="170511.59000000003"/>
    <n v="0"/>
    <n v="0"/>
    <n v="0"/>
    <n v="0"/>
    <n v="0"/>
    <n v="0"/>
    <n v="0"/>
    <n v="0"/>
    <n v="170511.59000000003"/>
    <n v="0"/>
    <n v="0"/>
  </r>
  <r>
    <x v="300"/>
    <s v="Gomukh ID Lalpur"/>
    <s v="vlc"/>
    <s v="Indirect"/>
    <n v="579.69999999999993"/>
    <n v="23766.789999999997"/>
    <n v="0"/>
    <n v="0"/>
    <n v="0"/>
    <n v="0"/>
    <n v="0"/>
    <n v="0"/>
    <n v="23766.789999999997"/>
    <n v="0"/>
    <n v="0"/>
    <n v="0"/>
    <n v="0"/>
    <n v="0"/>
    <n v="0"/>
    <n v="0"/>
    <n v="0"/>
    <n v="23766.789999999997"/>
    <n v="0"/>
    <n v="0"/>
  </r>
  <r>
    <x v="301"/>
    <s v="KHURIYARI"/>
    <s v="MPG"/>
    <s v="Direct"/>
    <n v="1177.3"/>
    <n v="55042.000000000007"/>
    <n v="1193.8"/>
    <n v="58112.79"/>
    <n v="1.2000000000000002"/>
    <n v="58.680000000000007"/>
    <n v="1195"/>
    <n v="58171.47"/>
    <n v="55042.000000000007"/>
    <n v="0"/>
    <n v="58.680000000000007"/>
    <n v="3129.4699999999939"/>
    <n v="0"/>
    <n v="0"/>
    <n v="0"/>
    <n v="54983"/>
    <n v="0"/>
    <n v="0"/>
    <n v="0"/>
    <n v="0"/>
  </r>
  <r>
    <x v="302"/>
    <s v="BISANPUR"/>
    <s v="MPG"/>
    <s v="Indirect"/>
    <n v="476.7"/>
    <n v="19167.420000000002"/>
    <n v="0"/>
    <n v="0"/>
    <n v="0"/>
    <n v="0"/>
    <n v="0"/>
    <n v="0"/>
    <n v="19167.420000000002"/>
    <n v="0"/>
    <n v="0"/>
    <n v="0"/>
    <n v="0"/>
    <n v="0"/>
    <n v="0"/>
    <n v="0"/>
    <n v="0"/>
    <n v="19167.420000000002"/>
    <n v="0"/>
    <n v="0"/>
  </r>
  <r>
    <x v="303"/>
    <s v="BEHRAMA"/>
    <s v="MPG"/>
    <s v="Indirect"/>
    <n v="123.30000000000003"/>
    <n v="4958.88"/>
    <n v="0"/>
    <n v="0"/>
    <n v="0"/>
    <n v="0"/>
    <n v="0"/>
    <n v="0"/>
    <n v="4958.88"/>
    <n v="0"/>
    <n v="0"/>
    <n v="0"/>
    <n v="0"/>
    <n v="0"/>
    <n v="0"/>
    <n v="0"/>
    <n v="0"/>
    <n v="4958.88"/>
    <n v="0"/>
    <n v="0"/>
  </r>
  <r>
    <x v="304"/>
    <s v="Gomukh ID Mathurapur"/>
    <s v="vlc"/>
    <s v="Indirect"/>
    <n v="501.40000000000003"/>
    <n v="18484.55"/>
    <n v="0"/>
    <n v="0"/>
    <n v="0"/>
    <n v="0"/>
    <n v="0"/>
    <n v="0"/>
    <n v="18484.55"/>
    <n v="0"/>
    <n v="0"/>
    <n v="0"/>
    <n v="0"/>
    <n v="0"/>
    <n v="0"/>
    <n v="0"/>
    <n v="0"/>
    <n v="18484.55"/>
    <n v="0"/>
    <n v="0"/>
  </r>
  <r>
    <x v="1037"/>
    <s v="Gomukh ID Nawadih"/>
    <s v="vlc"/>
    <s v="Indirect"/>
    <n v="12.5"/>
    <n v="524.75"/>
    <n v="0"/>
    <n v="0"/>
    <n v="0"/>
    <n v="0"/>
    <n v="0"/>
    <n v="0"/>
    <n v="524.75"/>
    <n v="0"/>
    <n v="0"/>
    <n v="0"/>
    <n v="0"/>
    <n v="0"/>
    <n v="0"/>
    <n v="0"/>
    <n v="0"/>
    <n v="524.75"/>
    <n v="0"/>
    <n v="0"/>
  </r>
  <r>
    <x v="305"/>
    <s v="Gomukh ID Kurha Dih"/>
    <s v="vlc"/>
    <s v="Indirect"/>
    <n v="1641.5000000000002"/>
    <n v="73369.539999999994"/>
    <n v="0"/>
    <n v="0"/>
    <n v="0"/>
    <n v="0"/>
    <n v="0"/>
    <n v="0"/>
    <n v="73369.539999999994"/>
    <n v="0"/>
    <n v="0"/>
    <n v="0"/>
    <n v="0"/>
    <n v="0"/>
    <n v="0"/>
    <n v="0"/>
    <n v="0"/>
    <n v="73369.539999999994"/>
    <n v="0"/>
    <n v="0"/>
  </r>
  <r>
    <x v="306"/>
    <s v="RAMNAGAR"/>
    <s v="MPG"/>
    <s v="Direct"/>
    <n v="647.6"/>
    <n v="29059.32"/>
    <n v="666.79000000000019"/>
    <n v="29004.51"/>
    <n v="7.22"/>
    <n v="306.13"/>
    <n v="674.01000000000022"/>
    <n v="29310.639999999999"/>
    <n v="29059.32"/>
    <n v="0"/>
    <n v="306.13"/>
    <n v="251.31999999999971"/>
    <n v="0"/>
    <n v="0"/>
    <n v="0"/>
    <n v="28753"/>
    <n v="0"/>
    <n v="0"/>
    <n v="0"/>
    <n v="0"/>
  </r>
  <r>
    <x v="307"/>
    <s v="SANDH MAAF 2"/>
    <s v="MPG"/>
    <s v="Direct"/>
    <n v="1203.5999999999999"/>
    <n v="53629.919999999998"/>
    <n v="1103.9299999999998"/>
    <n v="52118.560000000019"/>
    <n v="5.2"/>
    <n v="241.61"/>
    <n v="1109.1299999999999"/>
    <n v="52360.17000000002"/>
    <n v="52360.17000000002"/>
    <n v="0"/>
    <n v="241.61"/>
    <n v="0"/>
    <n v="0"/>
    <n v="0"/>
    <n v="0"/>
    <n v="52119"/>
    <n v="0"/>
    <n v="0"/>
    <n v="1269"/>
    <n v="0"/>
  </r>
  <r>
    <x v="308"/>
    <s v="TAAL-SHAHARSHA                                                                                      "/>
    <s v="MPG"/>
    <s v="Direct"/>
    <n v="1723.6999999999996"/>
    <n v="75766.289999999994"/>
    <n v="1699.6200000000001"/>
    <n v="77842.67"/>
    <n v="39.080000000000005"/>
    <n v="1772.3500000000001"/>
    <n v="1738.7"/>
    <n v="79615.02"/>
    <n v="75766.289999999994"/>
    <n v="0"/>
    <n v="1772.3500000000001"/>
    <n v="3848.7300000000105"/>
    <n v="0"/>
    <n v="0"/>
    <n v="0"/>
    <n v="73994"/>
    <n v="0"/>
    <n v="0"/>
    <n v="0"/>
    <n v="0"/>
  </r>
  <r>
    <x v="309"/>
    <s v="Dhira"/>
    <s v="MPG"/>
    <s v="Direct"/>
    <n v="676.5"/>
    <n v="34855.240000000005"/>
    <n v="476.65000000000003"/>
    <n v="25580.2"/>
    <n v="214.49"/>
    <n v="13287.030000000002"/>
    <n v="691.1400000000001"/>
    <n v="38867.230000000003"/>
    <n v="34855.240000000005"/>
    <n v="0"/>
    <n v="249.52999999999994"/>
    <n v="4011.989999999998"/>
    <n v="0"/>
    <n v="0"/>
    <n v="0"/>
    <n v="21568"/>
    <n v="13037"/>
    <n v="0"/>
    <n v="1"/>
    <n v="0"/>
  </r>
  <r>
    <x v="310"/>
    <s v="SHARMA"/>
    <s v="vlc"/>
    <s v="Direct"/>
    <n v="310.90000000000003"/>
    <n v="12430.7"/>
    <n v="308.86"/>
    <n v="12219.88"/>
    <n v="0"/>
    <n v="0"/>
    <n v="308.86"/>
    <n v="12219.88"/>
    <n v="12219.88"/>
    <n v="0"/>
    <n v="0"/>
    <n v="0"/>
    <n v="0"/>
    <n v="0"/>
    <n v="0"/>
    <n v="12221"/>
    <n v="0"/>
    <n v="0"/>
    <n v="210"/>
    <n v="0"/>
  </r>
  <r>
    <x v="311"/>
    <s v="AZADNAGAR(VLC)"/>
    <s v="vlc"/>
    <s v="Indirect"/>
    <n v="307.89999999999998"/>
    <n v="9558.130000000001"/>
    <n v="0"/>
    <n v="0"/>
    <n v="0"/>
    <n v="0"/>
    <n v="0"/>
    <n v="0"/>
    <n v="9558.130000000001"/>
    <n v="0"/>
    <n v="0"/>
    <n v="0"/>
    <n v="0"/>
    <n v="0"/>
    <n v="0"/>
    <n v="0"/>
    <n v="0"/>
    <n v="9558.130000000001"/>
    <n v="0"/>
    <n v="0"/>
  </r>
  <r>
    <x v="312"/>
    <s v="REWAI"/>
    <s v="MPG"/>
    <s v="Direct"/>
    <n v="975"/>
    <n v="41530.57"/>
    <n v="1014.6399999999999"/>
    <n v="44745.29"/>
    <n v="0.87000000000000011"/>
    <n v="40.43"/>
    <n v="1015.5099999999999"/>
    <n v="44785.72"/>
    <n v="41530.57"/>
    <n v="0"/>
    <n v="40.43"/>
    <n v="3255.1500000000015"/>
    <n v="0"/>
    <n v="0"/>
    <n v="0"/>
    <n v="41490"/>
    <n v="0"/>
    <n v="0"/>
    <n v="0"/>
    <n v="0"/>
  </r>
  <r>
    <x v="313"/>
    <s v="MANJOS"/>
    <s v="MPG"/>
    <s v="Direct"/>
    <n v="67.3"/>
    <n v="3044.22"/>
    <n v="61.4"/>
    <n v="2718.32"/>
    <n v="0"/>
    <n v="0"/>
    <n v="61.4"/>
    <n v="2718.32"/>
    <n v="2718.32"/>
    <n v="0"/>
    <n v="0"/>
    <n v="0"/>
    <n v="0"/>
    <n v="0"/>
    <n v="0"/>
    <n v="2718"/>
    <n v="0"/>
    <n v="0"/>
    <n v="326"/>
    <n v="0"/>
  </r>
  <r>
    <x v="314"/>
    <s v="RATA"/>
    <s v="MPG"/>
    <s v="Direct"/>
    <n v="431.20000000000005"/>
    <n v="19713.740000000002"/>
    <n v="444.45"/>
    <n v="21425.519999999997"/>
    <n v="0"/>
    <n v="0"/>
    <n v="444.45"/>
    <n v="21425.519999999997"/>
    <n v="19713.740000000002"/>
    <n v="0"/>
    <n v="0"/>
    <n v="1711.7799999999952"/>
    <n v="0"/>
    <n v="0"/>
    <n v="0"/>
    <n v="19714"/>
    <n v="0"/>
    <n v="0"/>
    <n v="0"/>
    <n v="0"/>
  </r>
  <r>
    <x v="315"/>
    <s v="BARUI"/>
    <s v="MPG"/>
    <s v="Direct"/>
    <n v="280.90000000000003"/>
    <n v="12381.44"/>
    <n v="285.15000000000003"/>
    <n v="12115.230000000001"/>
    <n v="9.4"/>
    <n v="406.78"/>
    <n v="294.55"/>
    <n v="12522.010000000002"/>
    <n v="12381.44"/>
    <n v="0"/>
    <n v="406.78"/>
    <n v="140.57000000000153"/>
    <n v="0"/>
    <n v="0"/>
    <n v="0"/>
    <n v="11974"/>
    <n v="0"/>
    <n v="0"/>
    <n v="1"/>
    <n v="0"/>
  </r>
  <r>
    <x v="316"/>
    <s v="LAHUARA                                                                                             "/>
    <s v="MPG"/>
    <s v="Direct"/>
    <n v="720.09999999999991"/>
    <n v="37020.92"/>
    <n v="720.49"/>
    <n v="39687.120000000003"/>
    <n v="6.45"/>
    <n v="371.36"/>
    <n v="726.94"/>
    <n v="40058.480000000003"/>
    <n v="37020.92"/>
    <n v="0"/>
    <n v="371.36"/>
    <n v="3037.5600000000049"/>
    <n v="0"/>
    <n v="0"/>
    <n v="0"/>
    <n v="36650"/>
    <n v="0"/>
    <n v="0"/>
    <n v="0"/>
    <n v="0"/>
  </r>
  <r>
    <x v="317"/>
    <s v="RAMDIH Ajit Kumar"/>
    <s v="vlc"/>
    <s v="Indirect"/>
    <n v="298.39999999999998"/>
    <n v="12709.390000000001"/>
    <n v="0"/>
    <n v="0"/>
    <n v="0"/>
    <n v="0"/>
    <n v="0"/>
    <n v="0"/>
    <n v="12709.390000000001"/>
    <n v="0"/>
    <n v="0"/>
    <n v="0"/>
    <n v="0"/>
    <n v="0"/>
    <n v="0"/>
    <n v="0"/>
    <n v="0"/>
    <n v="12709.390000000001"/>
    <n v="0"/>
    <n v="0"/>
  </r>
  <r>
    <x v="318"/>
    <s v="NARAYANPUR"/>
    <s v="MPG"/>
    <s v="Direct"/>
    <n v="218.60000000000002"/>
    <n v="9563.65"/>
    <n v="287.83999999999997"/>
    <n v="12849.15"/>
    <n v="1.25"/>
    <n v="57.360000000000014"/>
    <n v="289.08999999999997"/>
    <n v="12906.51"/>
    <n v="9563.65"/>
    <n v="4000"/>
    <n v="57.360000000000014"/>
    <n v="3342.8600000000006"/>
    <n v="0"/>
    <n v="0"/>
    <n v="0"/>
    <n v="5506"/>
    <n v="0"/>
    <n v="0"/>
    <n v="0"/>
    <n v="0"/>
  </r>
  <r>
    <x v="319"/>
    <s v="NAWKADIH"/>
    <s v="MPG"/>
    <s v="Direct"/>
    <n v="833"/>
    <n v="35981.060000000005"/>
    <n v="802.66"/>
    <n v="35505.99"/>
    <n v="0"/>
    <n v="0"/>
    <n v="802.66"/>
    <n v="35505.99"/>
    <n v="35505.99"/>
    <n v="0"/>
    <n v="0"/>
    <n v="0"/>
    <n v="0"/>
    <n v="0"/>
    <n v="0"/>
    <n v="35507"/>
    <n v="0"/>
    <n v="0"/>
    <n v="474"/>
    <n v="0"/>
  </r>
  <r>
    <x v="320"/>
    <s v="CHOTAHA"/>
    <s v="MPG"/>
    <s v="Direct"/>
    <n v="157.30000000000001"/>
    <n v="6980.2800000000007"/>
    <n v="235.57"/>
    <n v="19249.739999999998"/>
    <n v="0"/>
    <n v="0"/>
    <n v="235.57"/>
    <n v="19249.739999999998"/>
    <n v="6980.2800000000007"/>
    <n v="0"/>
    <n v="0"/>
    <n v="12269.459999999997"/>
    <n v="0"/>
    <n v="0"/>
    <n v="0"/>
    <n v="6980"/>
    <n v="0"/>
    <n v="0"/>
    <n v="0"/>
    <n v="0"/>
  </r>
  <r>
    <x v="321"/>
    <s v="KHARAGWADA "/>
    <s v="MPG"/>
    <s v="Direct"/>
    <n v="96.300000000000011"/>
    <n v="4761"/>
    <n v="93.600000000000009"/>
    <n v="4559.7299999999996"/>
    <n v="0"/>
    <n v="0"/>
    <n v="93.600000000000009"/>
    <n v="4559.7299999999996"/>
    <n v="4559.7299999999996"/>
    <n v="0"/>
    <n v="0"/>
    <n v="0"/>
    <n v="0"/>
    <n v="500"/>
    <n v="0"/>
    <n v="4060"/>
    <n v="0"/>
    <n v="0"/>
    <n v="201"/>
    <n v="0"/>
  </r>
  <r>
    <x v="322"/>
    <s v="UFFAPUR"/>
    <s v="MPG"/>
    <s v="Direct"/>
    <n v="137.5"/>
    <n v="5933.4"/>
    <n v="166.32000000000002"/>
    <n v="7152.82"/>
    <n v="0"/>
    <n v="0"/>
    <n v="166.32000000000002"/>
    <n v="7152.82"/>
    <n v="5933.4"/>
    <n v="0"/>
    <n v="0"/>
    <n v="1219.42"/>
    <n v="0"/>
    <n v="500"/>
    <n v="0"/>
    <n v="5433"/>
    <n v="0"/>
    <n v="0"/>
    <n v="0"/>
    <n v="0"/>
  </r>
  <r>
    <x v="323"/>
    <s v="BIHRAURA"/>
    <s v="MPG"/>
    <s v="Direct"/>
    <n v="137.5"/>
    <n v="7590.49"/>
    <n v="137.50000000000003"/>
    <n v="7582.1699999999992"/>
    <n v="0"/>
    <n v="0"/>
    <n v="137.50000000000003"/>
    <n v="7582.1699999999992"/>
    <n v="7582.1699999999992"/>
    <n v="0"/>
    <n v="0"/>
    <n v="0"/>
    <n v="0"/>
    <n v="500"/>
    <n v="0"/>
    <n v="7082"/>
    <n v="0"/>
    <n v="0"/>
    <n v="8"/>
    <n v="0"/>
  </r>
  <r>
    <x v="324"/>
    <s v="SHIJHORI"/>
    <s v="MPG"/>
    <s v="Direct"/>
    <n v="539.9"/>
    <n v="26152.199999999997"/>
    <n v="309.68999999999994"/>
    <n v="16629.25"/>
    <n v="259.49"/>
    <n v="12450.92"/>
    <n v="569.17999999999995"/>
    <n v="29080.17"/>
    <n v="26152.199999999997"/>
    <n v="0"/>
    <n v="0"/>
    <n v="2927.9700000000012"/>
    <n v="0"/>
    <n v="0"/>
    <n v="0"/>
    <n v="13701"/>
    <n v="12451"/>
    <n v="0"/>
    <n v="0"/>
    <n v="0"/>
  </r>
  <r>
    <x v="325"/>
    <s v="RAM PRAVESH YADAV"/>
    <s v="MPG"/>
    <s v="Direct"/>
    <n v="692.00000000000011"/>
    <n v="29392.280000000002"/>
    <n v="701.75999999999988"/>
    <n v="31281.870000000006"/>
    <n v="0"/>
    <n v="0"/>
    <n v="701.75999999999988"/>
    <n v="31281.870000000006"/>
    <n v="29392.280000000002"/>
    <n v="0"/>
    <n v="0"/>
    <n v="1889.5900000000038"/>
    <n v="0"/>
    <n v="0"/>
    <n v="0"/>
    <n v="29392"/>
    <n v="0"/>
    <n v="0"/>
    <n v="0"/>
    <n v="0"/>
  </r>
  <r>
    <x v="326"/>
    <s v="MAHMADPUR VL"/>
    <s v="vlc"/>
    <s v="Indirect"/>
    <n v="725.6"/>
    <n v="34025.230000000003"/>
    <n v="0"/>
    <n v="0"/>
    <n v="0"/>
    <n v="0"/>
    <n v="0"/>
    <n v="0"/>
    <n v="34025.230000000003"/>
    <n v="0"/>
    <n v="0"/>
    <n v="0"/>
    <n v="0"/>
    <n v="0"/>
    <n v="0"/>
    <n v="0"/>
    <n v="0"/>
    <n v="34025.230000000003"/>
    <n v="0"/>
    <n v="0"/>
  </r>
  <r>
    <x v="327"/>
    <s v="BOUDHNAGAR"/>
    <s v="MPG"/>
    <s v="Direct"/>
    <n v="305.09999999999997"/>
    <n v="11928.67"/>
    <n v="323.55"/>
    <n v="12728.19"/>
    <n v="0"/>
    <n v="0"/>
    <n v="323.55"/>
    <n v="12728.19"/>
    <n v="11928.67"/>
    <n v="0"/>
    <n v="0"/>
    <n v="799.52000000000044"/>
    <n v="0"/>
    <n v="0"/>
    <n v="0"/>
    <n v="11929"/>
    <n v="0"/>
    <n v="0"/>
    <n v="0"/>
    <n v="0"/>
  </r>
  <r>
    <x v="328"/>
    <s v="MOHADDINGAR"/>
    <s v="MPG"/>
    <s v="Direct"/>
    <n v="336.19999999999993"/>
    <n v="14616.489999999998"/>
    <n v="357.35"/>
    <n v="15259.56"/>
    <n v="0"/>
    <n v="0"/>
    <n v="357.35"/>
    <n v="15259.56"/>
    <n v="14616.489999999998"/>
    <n v="0"/>
    <n v="0"/>
    <n v="643.07000000000153"/>
    <n v="0"/>
    <n v="0"/>
    <n v="0"/>
    <n v="14616"/>
    <n v="0"/>
    <n v="0"/>
    <n v="0"/>
    <n v="0"/>
  </r>
  <r>
    <x v="329"/>
    <s v="PACHAUTA"/>
    <s v="MPG"/>
    <s v="Direct"/>
    <n v="65.2"/>
    <n v="2480.3199999999997"/>
    <n v="71.199999999999989"/>
    <n v="3140.49"/>
    <n v="0"/>
    <n v="0"/>
    <n v="71.199999999999989"/>
    <n v="3140.49"/>
    <n v="2480.3199999999997"/>
    <n v="0"/>
    <n v="0"/>
    <n v="660.17000000000007"/>
    <n v="0"/>
    <n v="0"/>
    <n v="0"/>
    <n v="2480"/>
    <n v="0"/>
    <n v="0"/>
    <n v="0"/>
    <n v="0"/>
  </r>
  <r>
    <x v="330"/>
    <s v="Gomukh Champa"/>
    <s v="vlc"/>
    <s v="Indirect"/>
    <n v="12800"/>
    <n v="523191"/>
    <n v="0"/>
    <n v="0"/>
    <n v="0"/>
    <n v="0"/>
    <n v="0"/>
    <n v="0"/>
    <n v="523191"/>
    <n v="0"/>
    <n v="0"/>
    <n v="0"/>
    <n v="0"/>
    <n v="0"/>
    <n v="0"/>
    <n v="0"/>
    <n v="0"/>
    <n v="523191"/>
    <n v="0"/>
    <n v="0"/>
  </r>
  <r>
    <x v="331"/>
    <s v="GOMUKH DAKRA"/>
    <s v="vlc"/>
    <s v="Indirect"/>
    <n v="13200"/>
    <n v="544347"/>
    <n v="0"/>
    <n v="0"/>
    <n v="0"/>
    <n v="0"/>
    <n v="0"/>
    <n v="0"/>
    <n v="544347"/>
    <n v="0"/>
    <n v="0"/>
    <n v="0"/>
    <n v="0"/>
    <n v="0"/>
    <n v="0"/>
    <n v="0"/>
    <n v="0"/>
    <n v="544347"/>
    <n v="0"/>
    <n v="0"/>
  </r>
  <r>
    <x v="332"/>
    <s v="TIYAY"/>
    <s v="MPG"/>
    <s v="Direct"/>
    <n v="290.2"/>
    <n v="10067.649999999998"/>
    <n v="298.79999999999995"/>
    <n v="10867.089999999998"/>
    <n v="0"/>
    <n v="0"/>
    <n v="298.79999999999995"/>
    <n v="10867.089999999998"/>
    <n v="10067.649999999998"/>
    <n v="0"/>
    <n v="0"/>
    <n v="799.44000000000051"/>
    <n v="0"/>
    <n v="0"/>
    <n v="0"/>
    <n v="10068"/>
    <n v="0"/>
    <n v="0"/>
    <n v="0"/>
    <n v="0"/>
  </r>
  <r>
    <x v="333"/>
    <s v="BILLO 2"/>
    <s v="MPG"/>
    <s v="Direct"/>
    <n v="237.09999999999997"/>
    <n v="9003.98"/>
    <n v="240.39999999999998"/>
    <n v="9349.0300000000025"/>
    <n v="0"/>
    <n v="0"/>
    <n v="240.39999999999998"/>
    <n v="9349.0300000000025"/>
    <n v="9003.98"/>
    <n v="0"/>
    <n v="0"/>
    <n v="345.05000000000291"/>
    <n v="0"/>
    <n v="0"/>
    <n v="0"/>
    <n v="9004"/>
    <n v="0"/>
    <n v="0"/>
    <n v="0"/>
    <n v="0"/>
  </r>
  <r>
    <x v="334"/>
    <s v="NAWADIH 2"/>
    <s v="MPG"/>
    <s v="Direct"/>
    <n v="559.29999999999995"/>
    <n v="27807.199999999993"/>
    <n v="402.59999999999997"/>
    <n v="20124.97"/>
    <n v="168.4"/>
    <n v="8080.74"/>
    <n v="571"/>
    <n v="28205.71"/>
    <n v="27807.199999999993"/>
    <n v="0"/>
    <n v="0"/>
    <n v="398.51000000000568"/>
    <n v="0"/>
    <n v="0"/>
    <n v="0"/>
    <n v="19727"/>
    <n v="8080"/>
    <n v="0"/>
    <n v="0"/>
    <n v="0"/>
  </r>
  <r>
    <x v="335"/>
    <s v="Vishan Pur"/>
    <s v="MPG"/>
    <s v="Direct"/>
    <n v="847.4"/>
    <n v="34026.730000000003"/>
    <n v="806.7"/>
    <n v="33348.54"/>
    <n v="7"/>
    <n v="282.03000000000003"/>
    <n v="813.7"/>
    <n v="33630.57"/>
    <n v="33630.57"/>
    <n v="0"/>
    <n v="282.03000000000003"/>
    <n v="0"/>
    <n v="0"/>
    <n v="0"/>
    <n v="0"/>
    <n v="33348"/>
    <n v="0"/>
    <n v="0"/>
    <n v="397"/>
    <n v="0"/>
  </r>
  <r>
    <x v="336"/>
    <s v="Gomukh Madhawpur"/>
    <s v="MPG"/>
    <s v="Direct"/>
    <n v="1856.2000000000003"/>
    <n v="77996.819999999992"/>
    <n v="1864.7"/>
    <n v="82274.989999999991"/>
    <n v="7"/>
    <n v="340.54999999999995"/>
    <n v="1871.7"/>
    <n v="82615.539999999994"/>
    <n v="77996.819999999992"/>
    <n v="0"/>
    <n v="340.54999999999995"/>
    <n v="4618.7200000000012"/>
    <n v="13500"/>
    <n v="0"/>
    <n v="0"/>
    <n v="64156"/>
    <n v="0"/>
    <n v="0"/>
    <n v="0"/>
    <n v="0"/>
  </r>
  <r>
    <x v="337"/>
    <s v="Gomukh Muradpur"/>
    <s v="vlc"/>
    <s v="Indirect"/>
    <n v="139.5"/>
    <n v="5328.58"/>
    <n v="0"/>
    <n v="0"/>
    <n v="0"/>
    <n v="0"/>
    <n v="0"/>
    <n v="0"/>
    <n v="5328.58"/>
    <n v="0"/>
    <n v="0"/>
    <n v="0"/>
    <n v="0"/>
    <n v="0"/>
    <n v="0"/>
    <n v="0"/>
    <n v="0"/>
    <n v="5328.58"/>
    <n v="0"/>
    <n v="0"/>
  </r>
  <r>
    <x v="338"/>
    <s v="Gomukh Kanhaiyachak Pachhim"/>
    <s v="MPG"/>
    <s v="Direct"/>
    <n v="1344.5"/>
    <n v="56399.249999999993"/>
    <n v="1373.26"/>
    <n v="63324.610000000008"/>
    <n v="0"/>
    <n v="0"/>
    <n v="1373.26"/>
    <n v="63324.610000000008"/>
    <n v="56399.249999999993"/>
    <n v="0"/>
    <n v="0"/>
    <n v="6925.3600000000151"/>
    <n v="0"/>
    <n v="0"/>
    <n v="0"/>
    <n v="56399"/>
    <n v="0"/>
    <n v="0"/>
    <n v="0"/>
    <n v="0"/>
  </r>
  <r>
    <x v="339"/>
    <s v="Gomukh Srirampur Thuthi"/>
    <s v="MPG"/>
    <s v="Direct"/>
    <n v="336.20000000000005"/>
    <n v="14223.709999999997"/>
    <n v="346.43999999999994"/>
    <n v="14192.11"/>
    <n v="0"/>
    <n v="0"/>
    <n v="346.43999999999994"/>
    <n v="14192.11"/>
    <n v="14192.11"/>
    <n v="0"/>
    <n v="0"/>
    <n v="0"/>
    <n v="0"/>
    <n v="0"/>
    <n v="0"/>
    <n v="14192"/>
    <n v="0"/>
    <n v="0"/>
    <n v="32"/>
    <n v="0"/>
  </r>
  <r>
    <x v="340"/>
    <s v="Gomukh Dumariya Bujurg Madhay"/>
    <s v="MPG"/>
    <s v="Direct"/>
    <n v="281.10000000000002"/>
    <n v="11929.279999999999"/>
    <n v="281.10000000000002"/>
    <n v="11880.699999999999"/>
    <n v="0"/>
    <n v="0"/>
    <n v="281.10000000000002"/>
    <n v="11880.699999999999"/>
    <n v="11880.699999999999"/>
    <n v="0"/>
    <n v="0"/>
    <n v="0"/>
    <n v="0"/>
    <n v="0"/>
    <n v="0"/>
    <n v="11881"/>
    <n v="0"/>
    <n v="0"/>
    <n v="48"/>
    <n v="0"/>
  </r>
  <r>
    <x v="341"/>
    <s v="Gomukh Bandahera                                                                                    "/>
    <s v="MPG"/>
    <s v="Direct"/>
    <n v="575.1"/>
    <n v="23747.690000000002"/>
    <n v="573.70000000000005"/>
    <n v="23689.85"/>
    <n v="1.4000000000000001"/>
    <n v="57.830000000000005"/>
    <n v="575.1"/>
    <n v="23747.68"/>
    <n v="23747.68"/>
    <n v="0"/>
    <n v="57.830000000000005"/>
    <n v="0"/>
    <n v="0"/>
    <n v="0"/>
    <n v="0"/>
    <n v="23690"/>
    <n v="0"/>
    <n v="0"/>
    <n v="0"/>
    <n v="0"/>
  </r>
  <r>
    <x v="342"/>
    <s v="Gomukh Badi Lagar-1 Kiran"/>
    <s v="vlc"/>
    <s v="Indirect"/>
    <n v="1072.8000000000002"/>
    <n v="49438.849999999991"/>
    <n v="0"/>
    <n v="0"/>
    <n v="0"/>
    <n v="0"/>
    <n v="0"/>
    <n v="0"/>
    <n v="49438.849999999991"/>
    <n v="0"/>
    <n v="0"/>
    <n v="0"/>
    <n v="0"/>
    <n v="0"/>
    <n v="0"/>
    <n v="0"/>
    <n v="0"/>
    <n v="49438.849999999991"/>
    <n v="0"/>
    <n v="0"/>
  </r>
  <r>
    <x v="343"/>
    <s v="Gomukh Muradpur Deepak"/>
    <s v="vlc"/>
    <s v="Indirect"/>
    <n v="396.40000000000003"/>
    <n v="14421.279999999999"/>
    <n v="0"/>
    <n v="0"/>
    <n v="0"/>
    <n v="0"/>
    <n v="0"/>
    <n v="0"/>
    <n v="14421.279999999999"/>
    <n v="0"/>
    <n v="0"/>
    <n v="0"/>
    <n v="0"/>
    <n v="0"/>
    <n v="0"/>
    <n v="0"/>
    <n v="0"/>
    <n v="14421.279999999999"/>
    <n v="0"/>
    <n v="0"/>
  </r>
  <r>
    <x v="345"/>
    <s v="Gomukh Fudkichak"/>
    <s v="MPG"/>
    <s v="Direct"/>
    <n v="151.69999999999999"/>
    <n v="7095.68"/>
    <n v="272"/>
    <n v="14055.74"/>
    <n v="0"/>
    <n v="0"/>
    <n v="272"/>
    <n v="14055.74"/>
    <n v="7095.68"/>
    <n v="0"/>
    <n v="0"/>
    <n v="6960.0599999999995"/>
    <n v="0"/>
    <n v="500"/>
    <n v="0"/>
    <n v="6596"/>
    <n v="0"/>
    <n v="0"/>
    <n v="0"/>
    <n v="0"/>
  </r>
  <r>
    <x v="346"/>
    <s v="Gomukh Tehay"/>
    <s v="MPG"/>
    <s v="Direct"/>
    <n v="262.3"/>
    <n v="12138.380000000001"/>
    <n v="319.5"/>
    <n v="15196.27"/>
    <n v="0"/>
    <n v="0"/>
    <n v="319.5"/>
    <n v="15196.27"/>
    <n v="12138.380000000001"/>
    <n v="0"/>
    <n v="0"/>
    <n v="3057.8899999999994"/>
    <n v="0"/>
    <n v="500"/>
    <n v="0"/>
    <n v="11638"/>
    <n v="0"/>
    <n v="0"/>
    <n v="0"/>
    <n v="0"/>
  </r>
  <r>
    <x v="347"/>
    <s v="Gomukh Buddhnagar"/>
    <s v="vlc"/>
    <s v="Indirect"/>
    <n v="953.49999999999989"/>
    <n v="37352.409999999996"/>
    <n v="0"/>
    <n v="0"/>
    <n v="0"/>
    <n v="0"/>
    <n v="0"/>
    <n v="0"/>
    <n v="37352.409999999996"/>
    <n v="0"/>
    <n v="0"/>
    <n v="0"/>
    <n v="0"/>
    <n v="0"/>
    <n v="0"/>
    <n v="0"/>
    <n v="0"/>
    <n v="37352.409999999996"/>
    <n v="0"/>
    <n v="0"/>
  </r>
  <r>
    <x v="348"/>
    <s v="Gomukh Krochaka Dudhela"/>
    <s v="MPG"/>
    <s v="Direct"/>
    <n v="2226"/>
    <n v="83432.010000000009"/>
    <n v="2243.56"/>
    <n v="86588.83"/>
    <n v="3.7699999999999996"/>
    <n v="145.72"/>
    <n v="2247.33"/>
    <n v="86734.55"/>
    <n v="83432.010000000009"/>
    <n v="0"/>
    <n v="145.72"/>
    <n v="3302.5399999999936"/>
    <n v="0"/>
    <n v="0"/>
    <n v="0"/>
    <n v="83286"/>
    <n v="0"/>
    <n v="0"/>
    <n v="0"/>
    <n v="0"/>
  </r>
  <r>
    <x v="349"/>
    <s v="Gomukh Govind Pur"/>
    <s v="MPG"/>
    <s v="Direct"/>
    <n v="949.19999999999993"/>
    <n v="37038.759999999995"/>
    <n v="949.2"/>
    <n v="37075.75"/>
    <n v="0"/>
    <n v="0"/>
    <n v="949.2"/>
    <n v="37075.75"/>
    <n v="37038.759999999995"/>
    <n v="0"/>
    <n v="0"/>
    <n v="36.990000000005239"/>
    <n v="0"/>
    <n v="0"/>
    <n v="0"/>
    <n v="37039"/>
    <n v="0"/>
    <n v="0"/>
    <n v="0"/>
    <n v="0"/>
  </r>
  <r>
    <x v="350"/>
    <s v="Gomukh Sondiha"/>
    <s v="MPG"/>
    <s v="Direct"/>
    <n v="1570.7000000000003"/>
    <n v="62573.11"/>
    <n v="1579"/>
    <n v="63125.41"/>
    <n v="0"/>
    <n v="0"/>
    <n v="1579"/>
    <n v="63125.41"/>
    <n v="62573.11"/>
    <n v="0"/>
    <n v="0"/>
    <n v="552.30000000000291"/>
    <n v="0"/>
    <n v="0"/>
    <n v="0"/>
    <n v="62573"/>
    <n v="0"/>
    <n v="0"/>
    <n v="0"/>
    <n v="0"/>
  </r>
  <r>
    <x v="351"/>
    <s v="Gomukh Thebhay B"/>
    <s v="MPG"/>
    <s v="Direct"/>
    <n v="354.4"/>
    <n v="15993.2"/>
    <n v="443.2"/>
    <n v="19103.12"/>
    <n v="3.04"/>
    <n v="130.78"/>
    <n v="446.24"/>
    <n v="19233.899999999998"/>
    <n v="15993.2"/>
    <n v="0"/>
    <n v="130.78"/>
    <n v="3240.6999999999971"/>
    <n v="0"/>
    <n v="0"/>
    <n v="0"/>
    <n v="15862"/>
    <n v="0"/>
    <n v="0"/>
    <n v="0"/>
    <n v="0"/>
  </r>
  <r>
    <x v="1014"/>
    <s v="Gomukh Bandehra"/>
    <s v="vlc"/>
    <s v="Indirect"/>
    <n v="680"/>
    <n v="31538.100000000002"/>
    <n v="0"/>
    <n v="0"/>
    <n v="0"/>
    <n v="0"/>
    <n v="0"/>
    <n v="0"/>
    <n v="31538.100000000002"/>
    <n v="0"/>
    <n v="0"/>
    <n v="0"/>
    <n v="0"/>
    <n v="0"/>
    <n v="0"/>
    <n v="0"/>
    <n v="0"/>
    <n v="31538.100000000002"/>
    <n v="0"/>
    <n v="0"/>
  </r>
  <r>
    <x v="977"/>
    <s v="Gomukh Rahempur"/>
    <s v="vlc"/>
    <s v="Indirect"/>
    <n v="1184.3"/>
    <n v="56871.739999999991"/>
    <n v="0"/>
    <n v="0"/>
    <n v="0"/>
    <n v="0"/>
    <n v="0"/>
    <n v="0"/>
    <n v="56871.739999999991"/>
    <n v="0"/>
    <n v="0"/>
    <n v="0"/>
    <n v="0"/>
    <n v="0"/>
    <n v="0"/>
    <n v="0"/>
    <n v="0"/>
    <n v="56871.739999999991"/>
    <n v="0"/>
    <n v="0"/>
  </r>
  <r>
    <x v="352"/>
    <s v="Gomukh Baisa"/>
    <s v="MPG"/>
    <s v="Direct"/>
    <n v="194.9"/>
    <n v="7586.24"/>
    <n v="194.9"/>
    <n v="7581.76"/>
    <n v="0.1"/>
    <n v="3.95"/>
    <n v="195"/>
    <n v="7585.71"/>
    <n v="7585.71"/>
    <n v="0"/>
    <n v="3.95"/>
    <n v="0"/>
    <n v="0"/>
    <n v="0"/>
    <n v="0"/>
    <n v="7581"/>
    <n v="0"/>
    <n v="0"/>
    <n v="1"/>
    <n v="0"/>
  </r>
  <r>
    <x v="353"/>
    <s v="Gomukh Khutha VLC"/>
    <s v="vlc"/>
    <s v="Indirect"/>
    <n v="5498.4"/>
    <n v="225968.65"/>
    <n v="0"/>
    <n v="0"/>
    <n v="0"/>
    <n v="0"/>
    <n v="0"/>
    <n v="0"/>
    <n v="225968.65"/>
    <n v="0"/>
    <n v="0"/>
    <n v="0"/>
    <n v="0"/>
    <n v="0"/>
    <n v="0"/>
    <n v="0"/>
    <n v="0"/>
    <n v="225968.65"/>
    <n v="0"/>
    <n v="0"/>
  </r>
  <r>
    <x v="354"/>
    <s v="Gomukh Kabela Vlc"/>
    <s v="vlc"/>
    <s v="Indirect"/>
    <n v="198.60000000000002"/>
    <n v="7626.21"/>
    <n v="0"/>
    <n v="0"/>
    <n v="0"/>
    <n v="0"/>
    <n v="0"/>
    <n v="0"/>
    <n v="7626.21"/>
    <n v="0"/>
    <n v="0"/>
    <n v="0"/>
    <n v="0"/>
    <n v="0"/>
    <n v="0"/>
    <n v="0"/>
    <n v="0"/>
    <n v="7626.21"/>
    <n v="0"/>
    <n v="0"/>
  </r>
  <r>
    <x v="1015"/>
    <s v="RaJu Kumar(MOR)"/>
    <s v="vlc"/>
    <s v="Indirect"/>
    <n v="986.70000000000016"/>
    <n v="51014.259999999995"/>
    <n v="0"/>
    <n v="0"/>
    <n v="0"/>
    <n v="0"/>
    <n v="0"/>
    <n v="0"/>
    <n v="51014.259999999995"/>
    <n v="0"/>
    <n v="0"/>
    <n v="0"/>
    <n v="0"/>
    <n v="0"/>
    <n v="0"/>
    <n v="0"/>
    <n v="0"/>
    <n v="51014.259999999995"/>
    <n v="0"/>
    <n v="0"/>
  </r>
  <r>
    <x v="355"/>
    <s v="Gomukh Lagar Wad-13 Vlc"/>
    <s v="vlc"/>
    <s v="Indirect"/>
    <n v="440.4"/>
    <n v="24412.560000000001"/>
    <n v="0"/>
    <n v="0"/>
    <n v="0"/>
    <n v="0"/>
    <n v="0"/>
    <n v="0"/>
    <n v="24412.560000000001"/>
    <n v="0"/>
    <n v="0"/>
    <n v="0"/>
    <n v="0"/>
    <n v="0"/>
    <n v="0"/>
    <n v="0"/>
    <n v="0"/>
    <n v="24412.560000000001"/>
    <n v="0"/>
    <n v="0"/>
  </r>
  <r>
    <x v="356"/>
    <s v="Gomukh Manish Vlc"/>
    <s v="vlc"/>
    <s v="Indirect"/>
    <n v="1917.9999999999998"/>
    <n v="104569.92"/>
    <n v="0"/>
    <n v="0"/>
    <n v="0"/>
    <n v="0"/>
    <n v="0"/>
    <n v="0"/>
    <n v="104569.92"/>
    <n v="0"/>
    <n v="0"/>
    <n v="0"/>
    <n v="0"/>
    <n v="0"/>
    <n v="0"/>
    <n v="0"/>
    <n v="0"/>
    <n v="104569.92"/>
    <n v="0"/>
    <n v="0"/>
  </r>
  <r>
    <x v="357"/>
    <s v="Gomukh Parbatta Vlc"/>
    <s v="vlc"/>
    <s v="Indirect"/>
    <n v="1994.1"/>
    <n v="96831.98000000001"/>
    <n v="0"/>
    <n v="0"/>
    <n v="0"/>
    <n v="0"/>
    <n v="0"/>
    <n v="0"/>
    <n v="96831.98000000001"/>
    <n v="0"/>
    <n v="0"/>
    <n v="0"/>
    <n v="0"/>
    <n v="0"/>
    <n v="0"/>
    <n v="0"/>
    <n v="0"/>
    <n v="96831.98000000001"/>
    <n v="0"/>
    <n v="0"/>
  </r>
  <r>
    <x v="358"/>
    <s v="Gomukh Mahendrapur"/>
    <s v="MPG"/>
    <s v="Direct"/>
    <n v="2221.2000000000003"/>
    <n v="93263.610000000015"/>
    <n v="2178.8000000000002"/>
    <n v="94756.069999999963"/>
    <n v="56"/>
    <n v="2432.5999999999995"/>
    <n v="2234.8000000000002"/>
    <n v="97188.669999999969"/>
    <n v="93263.610000000015"/>
    <n v="0"/>
    <n v="2432.5999999999995"/>
    <n v="3925.059999999954"/>
    <n v="5450"/>
    <n v="0"/>
    <n v="0"/>
    <n v="85381"/>
    <n v="0"/>
    <n v="0"/>
    <n v="0"/>
    <n v="0"/>
  </r>
  <r>
    <x v="359"/>
    <s v="Gomukh Balahpur"/>
    <s v="vlc"/>
    <s v="Direct"/>
    <n v="395.6"/>
    <n v="15174.110000000002"/>
    <n v="396.99999999999994"/>
    <n v="15399.7"/>
    <n v="0"/>
    <n v="0"/>
    <n v="396.99999999999994"/>
    <n v="15399.7"/>
    <n v="15174.110000000002"/>
    <n v="0"/>
    <n v="0"/>
    <n v="225.58999999999833"/>
    <n v="0"/>
    <n v="0"/>
    <n v="0"/>
    <n v="15174"/>
    <n v="0"/>
    <n v="0"/>
    <n v="0"/>
    <n v="0"/>
  </r>
  <r>
    <x v="360"/>
    <s v="Gomukh Danauli"/>
    <s v="MPG"/>
    <s v="Direct"/>
    <n v="476.40000000000003"/>
    <n v="18155.36"/>
    <n v="476.1"/>
    <n v="18304.32"/>
    <n v="1.4000000000000001"/>
    <n v="53.410000000000004"/>
    <n v="477.5"/>
    <n v="18357.73"/>
    <n v="18155.36"/>
    <n v="0"/>
    <n v="53.410000000000004"/>
    <n v="202.36999999999898"/>
    <n v="0"/>
    <n v="0"/>
    <n v="0"/>
    <n v="18102"/>
    <n v="0"/>
    <n v="0"/>
    <n v="0"/>
    <n v="0"/>
  </r>
  <r>
    <x v="361"/>
    <s v="NAYAGAW"/>
    <s v="MPG"/>
    <s v="Direct"/>
    <n v="3703.5"/>
    <n v="161760.84"/>
    <n v="3665.14"/>
    <n v="159230.58000000002"/>
    <n v="35.650000000000006"/>
    <n v="2612.3900000000003"/>
    <n v="3700.79"/>
    <n v="161842.97000000003"/>
    <n v="161760.84"/>
    <n v="0"/>
    <n v="2612.3900000000003"/>
    <n v="82.13000000003376"/>
    <n v="0"/>
    <n v="0"/>
    <n v="0"/>
    <n v="159148"/>
    <n v="0"/>
    <n v="0"/>
    <n v="0"/>
    <n v="0"/>
  </r>
  <r>
    <x v="362"/>
    <s v="Dandari"/>
    <s v="MPG"/>
    <s v="Direct"/>
    <n v="371.89999999999992"/>
    <n v="13682.83"/>
    <n v="351.70000000000005"/>
    <n v="13621.51"/>
    <n v="2.6"/>
    <n v="101.49000000000001"/>
    <n v="354.30000000000007"/>
    <n v="13723"/>
    <n v="13682.83"/>
    <n v="0"/>
    <n v="101.49000000000001"/>
    <n v="40.170000000000073"/>
    <n v="0"/>
    <n v="0"/>
    <n v="0"/>
    <n v="13581"/>
    <n v="0"/>
    <n v="0"/>
    <n v="0"/>
    <n v="0"/>
  </r>
  <r>
    <x v="363"/>
    <s v="Rahimpur Pachkhutti"/>
    <s v="MPG"/>
    <s v="Indirect"/>
    <n v="7827.6000000000013"/>
    <n v="310838.36"/>
    <n v="0"/>
    <n v="0"/>
    <n v="0"/>
    <n v="0"/>
    <n v="0"/>
    <n v="0"/>
    <n v="310838.36"/>
    <n v="0"/>
    <n v="0"/>
    <n v="0"/>
    <n v="310838"/>
    <n v="0"/>
    <n v="0"/>
    <n v="0"/>
    <n v="0"/>
    <n v="0.35999999998603016"/>
    <n v="0"/>
    <n v="0"/>
  </r>
  <r>
    <x v="364"/>
    <s v="Gomukh Mohanpur                                                                                     "/>
    <s v="MPG"/>
    <s v="Direct"/>
    <n v="850.7"/>
    <n v="32172.52"/>
    <n v="825"/>
    <n v="31761.65"/>
    <n v="1.1000000000000001"/>
    <n v="42.489999999999995"/>
    <n v="826.1"/>
    <n v="31804.140000000003"/>
    <n v="31804.140000000003"/>
    <n v="0"/>
    <n v="42.489999999999995"/>
    <n v="0"/>
    <n v="0"/>
    <n v="0"/>
    <n v="0"/>
    <n v="31761"/>
    <n v="0"/>
    <n v="0"/>
    <n v="369"/>
    <n v="0"/>
  </r>
  <r>
    <x v="365"/>
    <s v="Gomukh Raghunathpur"/>
    <s v="MPG"/>
    <s v="Direct"/>
    <n v="1045.2"/>
    <n v="47092.87"/>
    <n v="1043.1000000000001"/>
    <n v="46176.590000000011"/>
    <n v="18.999999999999996"/>
    <n v="827.42"/>
    <n v="1062.1000000000001"/>
    <n v="47004.010000000009"/>
    <n v="47004.010000000009"/>
    <n v="0"/>
    <n v="827.42"/>
    <n v="0"/>
    <n v="0"/>
    <n v="0"/>
    <n v="0"/>
    <n v="46177"/>
    <n v="0"/>
    <n v="0"/>
    <n v="88"/>
    <n v="0"/>
  </r>
  <r>
    <x v="366"/>
    <s v="Gomukh Chhitraur"/>
    <s v="MPG"/>
    <s v="Direct"/>
    <n v="474.79999999999995"/>
    <n v="20580.690000000002"/>
    <n v="496.83000000000004"/>
    <n v="21572.29"/>
    <n v="0"/>
    <n v="0"/>
    <n v="496.83000000000004"/>
    <n v="21572.29"/>
    <n v="20580.690000000002"/>
    <n v="0"/>
    <n v="0"/>
    <n v="991.59999999999854"/>
    <n v="0"/>
    <n v="0"/>
    <n v="0"/>
    <n v="20581"/>
    <n v="0"/>
    <n v="0"/>
    <n v="0"/>
    <n v="0"/>
  </r>
  <r>
    <x v="367"/>
    <s v="Gomukh Khorampur Chakaur"/>
    <s v="MPG"/>
    <s v="Direct"/>
    <n v="425.79999999999995"/>
    <n v="18181.13"/>
    <n v="423.4"/>
    <n v="18220.14"/>
    <n v="3.5"/>
    <n v="153.73999999999998"/>
    <n v="426.9"/>
    <n v="18373.88"/>
    <n v="18181.13"/>
    <n v="0"/>
    <n v="153.73999999999998"/>
    <n v="192.75"/>
    <n v="0"/>
    <n v="0"/>
    <n v="0"/>
    <n v="18027"/>
    <n v="0"/>
    <n v="0"/>
    <n v="0"/>
    <n v="0"/>
  </r>
  <r>
    <x v="368"/>
    <s v="GOMUKH Mathar"/>
    <s v="MPG"/>
    <s v="Direct"/>
    <n v="206.50000000000003"/>
    <n v="9204.69"/>
    <n v="204.55"/>
    <n v="9102.8900000000012"/>
    <n v="1.7400000000000002"/>
    <n v="75.669999999999987"/>
    <n v="206.29000000000002"/>
    <n v="9178.5600000000013"/>
    <n v="9178.5600000000013"/>
    <n v="0"/>
    <n v="75.669999999999987"/>
    <n v="0"/>
    <n v="2700"/>
    <n v="0"/>
    <n v="0"/>
    <n v="6402"/>
    <n v="0"/>
    <n v="0"/>
    <n v="27"/>
    <n v="0"/>
  </r>
  <r>
    <x v="369"/>
    <s v="Gomukh Kumar Chakki"/>
    <s v="MPG"/>
    <s v="Direct"/>
    <n v="30.5"/>
    <n v="1254.3800000000001"/>
    <n v="35.700000000000003"/>
    <n v="1548.31"/>
    <n v="0.2"/>
    <n v="8.67"/>
    <n v="35.900000000000006"/>
    <n v="1556.98"/>
    <n v="1254.3800000000001"/>
    <n v="0"/>
    <n v="8.67"/>
    <n v="302.59999999999991"/>
    <n v="0"/>
    <n v="500"/>
    <n v="0"/>
    <n v="745"/>
    <n v="0"/>
    <n v="0"/>
    <n v="1"/>
    <n v="0"/>
  </r>
  <r>
    <x v="1038"/>
    <s v="Gomukh Samastipur Kundan                                                                            "/>
    <s v="vlc"/>
    <s v="Indirect"/>
    <n v="420.20000000000005"/>
    <n v="16629.84"/>
    <n v="0"/>
    <n v="0"/>
    <n v="0"/>
    <n v="0"/>
    <n v="0"/>
    <n v="0"/>
    <n v="16629.84"/>
    <n v="0"/>
    <n v="0"/>
    <n v="0"/>
    <n v="0"/>
    <n v="0"/>
    <n v="0"/>
    <n v="0"/>
    <n v="0"/>
    <n v="16629.84"/>
    <n v="0"/>
    <n v="0"/>
  </r>
  <r>
    <x v="370"/>
    <s v="Gomukh Sonapur"/>
    <s v="vlc"/>
    <s v="Indirect"/>
    <n v="396.99999999999994"/>
    <n v="15364.649999999996"/>
    <n v="0"/>
    <n v="0"/>
    <n v="0"/>
    <n v="0"/>
    <n v="0"/>
    <n v="0"/>
    <n v="15364.649999999996"/>
    <n v="0"/>
    <n v="0"/>
    <n v="0"/>
    <n v="0"/>
    <n v="0"/>
    <n v="0"/>
    <n v="0"/>
    <n v="0"/>
    <n v="15364.649999999996"/>
    <n v="0"/>
    <n v="0"/>
  </r>
  <r>
    <x v="371"/>
    <s v="Gomukh Barkhandi 2"/>
    <s v="MPG"/>
    <s v="Indirect"/>
    <n v="898.19999999999993"/>
    <n v="40489.83"/>
    <n v="0"/>
    <n v="0"/>
    <n v="0"/>
    <n v="0"/>
    <n v="0"/>
    <n v="0"/>
    <n v="40489.83"/>
    <n v="0"/>
    <n v="0"/>
    <n v="0"/>
    <n v="0"/>
    <n v="0"/>
    <n v="0"/>
    <n v="0"/>
    <n v="0"/>
    <n v="40489.83"/>
    <n v="0"/>
    <n v="0"/>
  </r>
  <r>
    <x v="372"/>
    <s v="Gomukh Kalyanpur                                                                                    "/>
    <s v="MPG"/>
    <s v="Direct"/>
    <n v="732.5"/>
    <n v="28577.29"/>
    <n v="712.1"/>
    <n v="28586.54"/>
    <n v="2.8000000000000003"/>
    <n v="112.12000000000002"/>
    <n v="714.9"/>
    <n v="28698.66"/>
    <n v="28577.29"/>
    <n v="0"/>
    <n v="112.12000000000002"/>
    <n v="121.36999999999898"/>
    <n v="0"/>
    <n v="0"/>
    <n v="0"/>
    <n v="28465"/>
    <n v="0"/>
    <n v="0"/>
    <n v="0"/>
    <n v="0"/>
  </r>
  <r>
    <x v="373"/>
    <s v="Gomukh Fatehpur                                                                                     "/>
    <s v="MPG"/>
    <s v="Direct"/>
    <n v="1123.8"/>
    <n v="50609.27"/>
    <n v="1123"/>
    <n v="50422.7"/>
    <n v="0"/>
    <n v="0"/>
    <n v="1123"/>
    <n v="50422.7"/>
    <n v="50422.7"/>
    <n v="0"/>
    <n v="0"/>
    <n v="0"/>
    <n v="0"/>
    <n v="0"/>
    <n v="0"/>
    <n v="50423"/>
    <n v="0"/>
    <n v="0"/>
    <n v="186"/>
    <n v="0"/>
  </r>
  <r>
    <x v="374"/>
    <s v="GOMUKH KATAHRI"/>
    <s v="MPG"/>
    <s v="Direct"/>
    <n v="372.1"/>
    <n v="14896.580000000002"/>
    <n v="370.4"/>
    <n v="14813.55"/>
    <n v="2.8000000000000007"/>
    <n v="114.6"/>
    <n v="373.2"/>
    <n v="14928.15"/>
    <n v="14896.580000000002"/>
    <n v="0"/>
    <n v="114.6"/>
    <n v="31.56999999999789"/>
    <n v="1644"/>
    <n v="500"/>
    <n v="0"/>
    <n v="12638"/>
    <n v="0"/>
    <n v="0"/>
    <n v="0"/>
    <n v="0"/>
  </r>
  <r>
    <x v="375"/>
    <s v="GOMUKH Mathar Ward 10"/>
    <s v="MPG"/>
    <s v="Direct"/>
    <n v="1077.9000000000001"/>
    <n v="50588.650000000009"/>
    <n v="847.45999999999992"/>
    <n v="40206.879999999997"/>
    <n v="223.58"/>
    <n v="10381.470000000001"/>
    <n v="1071.04"/>
    <n v="50588.35"/>
    <n v="50588.35"/>
    <n v="0"/>
    <n v="0"/>
    <n v="0"/>
    <n v="0"/>
    <n v="0"/>
    <n v="0"/>
    <n v="40206"/>
    <n v="10381"/>
    <n v="0"/>
    <n v="2"/>
    <n v="0"/>
  </r>
  <r>
    <x v="376"/>
    <s v="GOMUKH Tartor 2"/>
    <s v="vlc"/>
    <s v="Direct"/>
    <n v="270.89999999999998"/>
    <n v="11700.36"/>
    <n v="253.5"/>
    <n v="11665.439999999997"/>
    <n v="0"/>
    <n v="0"/>
    <n v="253.5"/>
    <n v="11665.439999999997"/>
    <n v="11665.439999999997"/>
    <n v="0"/>
    <n v="0"/>
    <n v="0"/>
    <n v="0"/>
    <n v="0"/>
    <n v="0"/>
    <n v="11665"/>
    <n v="0"/>
    <n v="0"/>
    <n v="35"/>
    <n v="0"/>
  </r>
  <r>
    <x v="377"/>
    <s v="Gomukh Chaidha"/>
    <s v="MPG"/>
    <s v="Direct"/>
    <n v="611.69999999999993"/>
    <n v="24273.179999999993"/>
    <n v="616.29999999999995"/>
    <n v="23965.9"/>
    <n v="0"/>
    <n v="0"/>
    <n v="616.29999999999995"/>
    <n v="23965.9"/>
    <n v="23965.9"/>
    <n v="0"/>
    <n v="0"/>
    <n v="0"/>
    <n v="1.7999999999999998"/>
    <n v="0"/>
    <n v="0"/>
    <n v="23963"/>
    <n v="0"/>
    <n v="0"/>
    <n v="308"/>
    <n v="0"/>
  </r>
  <r>
    <x v="378"/>
    <s v="Gomukh Bakiya"/>
    <s v="MPG"/>
    <s v="Direct"/>
    <n v="700.30000000000018"/>
    <n v="29808.36"/>
    <n v="686.7"/>
    <n v="29592.99"/>
    <n v="4.72"/>
    <n v="193.6"/>
    <n v="691.42000000000007"/>
    <n v="29786.59"/>
    <n v="29786.59"/>
    <n v="0"/>
    <n v="193.6"/>
    <n v="0"/>
    <n v="0"/>
    <n v="0"/>
    <n v="0"/>
    <n v="29593"/>
    <n v="0"/>
    <n v="0"/>
    <n v="22"/>
    <n v="0"/>
  </r>
  <r>
    <x v="379"/>
    <s v="Gomukh Sadpur"/>
    <s v="MPG"/>
    <s v="Direct"/>
    <n v="164.70000000000002"/>
    <n v="5691.35"/>
    <n v="145"/>
    <n v="5722.8"/>
    <n v="0"/>
    <n v="0"/>
    <n v="145"/>
    <n v="5722.8"/>
    <n v="5691.35"/>
    <n v="0"/>
    <n v="0"/>
    <n v="31.449999999999818"/>
    <n v="0"/>
    <n v="500"/>
    <n v="0"/>
    <n v="5191"/>
    <n v="0"/>
    <n v="0"/>
    <n v="0"/>
    <n v="0"/>
  </r>
  <r>
    <x v="380"/>
    <s v="GOMUKH Nista Tol"/>
    <s v="MPG"/>
    <s v="Direct"/>
    <n v="187.79999999999998"/>
    <n v="7019.1900000000005"/>
    <n v="171.52999999999997"/>
    <n v="6884.6599999999989"/>
    <n v="0"/>
    <n v="0"/>
    <n v="171.52999999999997"/>
    <n v="6884.6599999999989"/>
    <n v="6884.6599999999989"/>
    <n v="0"/>
    <n v="0"/>
    <n v="0"/>
    <n v="0"/>
    <n v="0"/>
    <n v="0"/>
    <n v="6885"/>
    <n v="0"/>
    <n v="0"/>
    <n v="134"/>
    <s v="Release1"/>
  </r>
  <r>
    <x v="381"/>
    <s v="GOMUKH SRINAGAR"/>
    <s v="MPG"/>
    <s v="Direct"/>
    <n v="2240.2000000000003"/>
    <n v="96784.919999999984"/>
    <n v="1650.46"/>
    <n v="79222.850000000006"/>
    <n v="617.78000000000009"/>
    <n v="27756.489999999998"/>
    <n v="2268.2400000000002"/>
    <n v="106979.34"/>
    <n v="96784.919999999984"/>
    <n v="0"/>
    <n v="219.8"/>
    <n v="10194.420000000013"/>
    <n v="0"/>
    <n v="0"/>
    <n v="0"/>
    <n v="69028"/>
    <n v="27537"/>
    <n v="0"/>
    <n v="0"/>
    <n v="0"/>
  </r>
  <r>
    <x v="382"/>
    <s v="GOMUKH THATHA"/>
    <s v="vlc"/>
    <s v="Direct"/>
    <n v="240.29999999999998"/>
    <n v="9262.6600000000017"/>
    <n v="216"/>
    <n v="9197.630000000001"/>
    <n v="0"/>
    <n v="0"/>
    <n v="216"/>
    <n v="9197.630000000001"/>
    <n v="9197.630000000001"/>
    <n v="0"/>
    <n v="0"/>
    <n v="0"/>
    <n v="0"/>
    <n v="0"/>
    <n v="0"/>
    <n v="9198"/>
    <n v="0"/>
    <n v="0"/>
    <n v="65"/>
    <n v="0"/>
  </r>
  <r>
    <x v="383"/>
    <s v="GOMUKH GARHIYA"/>
    <s v="MPG"/>
    <s v="Direct"/>
    <n v="39.9"/>
    <n v="1481.49"/>
    <n v="39"/>
    <n v="1469.13"/>
    <n v="0"/>
    <n v="0"/>
    <n v="39"/>
    <n v="1469.13"/>
    <n v="1469.13"/>
    <n v="0"/>
    <n v="0"/>
    <n v="0"/>
    <n v="0"/>
    <n v="0"/>
    <n v="0"/>
    <n v="1469"/>
    <n v="0"/>
    <n v="0"/>
    <n v="12"/>
    <n v="0"/>
  </r>
  <r>
    <x v="384"/>
    <s v="GOMUKH SANHA NAYATOLA"/>
    <s v="MPG"/>
    <s v="Direct"/>
    <n v="223.99999999999997"/>
    <n v="8829.7099999999991"/>
    <n v="224"/>
    <n v="8998.08"/>
    <n v="0"/>
    <n v="0"/>
    <n v="224"/>
    <n v="8998.08"/>
    <n v="8829.7099999999991"/>
    <n v="0"/>
    <n v="0"/>
    <n v="168.3700000000008"/>
    <n v="0"/>
    <n v="0"/>
    <n v="0"/>
    <n v="8830"/>
    <n v="0"/>
    <n v="0"/>
    <n v="0"/>
    <n v="0"/>
  </r>
  <r>
    <x v="385"/>
    <s v="Gomukh Durgapur"/>
    <s v="MPG"/>
    <s v="Direct"/>
    <n v="252.2"/>
    <n v="10007.42"/>
    <n v="239.4"/>
    <n v="9803.4499999999989"/>
    <n v="1.8"/>
    <n v="73.87"/>
    <n v="241.20000000000002"/>
    <n v="9877.32"/>
    <n v="9877.32"/>
    <n v="0"/>
    <n v="73.87"/>
    <n v="0"/>
    <n v="0"/>
    <n v="0"/>
    <n v="0"/>
    <n v="9803"/>
    <n v="0"/>
    <n v="0"/>
    <n v="131"/>
    <n v="0"/>
  </r>
  <r>
    <x v="386"/>
    <s v="Gomukh Koniya"/>
    <s v="MPG"/>
    <s v="Direct"/>
    <n v="437.09999999999997"/>
    <n v="16471.169999999998"/>
    <n v="474.99999999999994"/>
    <n v="18746.459999999995"/>
    <n v="12"/>
    <n v="473.2700000000001"/>
    <n v="486.99999999999994"/>
    <n v="19219.729999999996"/>
    <n v="16471.169999999998"/>
    <n v="0"/>
    <n v="473.2700000000001"/>
    <n v="2748.5599999999977"/>
    <n v="0"/>
    <n v="0"/>
    <n v="0"/>
    <n v="15998"/>
    <n v="0"/>
    <n v="0"/>
    <n v="0"/>
    <n v="0"/>
  </r>
  <r>
    <x v="387"/>
    <s v="GOMUKH ROHUA"/>
    <s v="MPG"/>
    <s v="Direct"/>
    <n v="382.3"/>
    <n v="15171.079999999996"/>
    <n v="376.90999999999997"/>
    <n v="14904.91"/>
    <n v="5.87"/>
    <n v="231.8"/>
    <n v="382.78"/>
    <n v="15136.71"/>
    <n v="15136.71"/>
    <n v="0"/>
    <n v="231.8"/>
    <n v="0"/>
    <n v="0"/>
    <n v="0"/>
    <n v="0"/>
    <n v="14905"/>
    <n v="0"/>
    <n v="0"/>
    <n v="34"/>
    <n v="0"/>
  </r>
  <r>
    <x v="388"/>
    <s v="GOMUKH LAXMIPUR"/>
    <s v="MPG"/>
    <s v="Direct"/>
    <n v="266"/>
    <n v="12149.810000000001"/>
    <n v="251.57999999999998"/>
    <n v="11859.250000000002"/>
    <n v="5.69"/>
    <n v="260.44"/>
    <n v="257.27"/>
    <n v="12119.690000000002"/>
    <n v="12119.690000000002"/>
    <n v="0"/>
    <n v="260.44"/>
    <n v="0"/>
    <n v="0"/>
    <n v="0"/>
    <n v="0"/>
    <n v="11859"/>
    <n v="0"/>
    <n v="0"/>
    <n v="30"/>
    <n v="0"/>
  </r>
  <r>
    <x v="389"/>
    <s v="GOMUKH CHATAR"/>
    <s v="MPG"/>
    <s v="Direct"/>
    <n v="140.5"/>
    <n v="5309.03"/>
    <n v="140.5"/>
    <n v="5554.06"/>
    <n v="0"/>
    <n v="0"/>
    <n v="140.5"/>
    <n v="5554.06"/>
    <n v="5309.03"/>
    <n v="0"/>
    <n v="0"/>
    <n v="245.03000000000065"/>
    <n v="0"/>
    <n v="500"/>
    <n v="0"/>
    <n v="4809"/>
    <n v="0"/>
    <n v="0"/>
    <n v="0"/>
    <n v="0"/>
  </r>
  <r>
    <x v="390"/>
    <s v="GOMUKH BATHNAMA"/>
    <s v="MPG"/>
    <s v="Direct"/>
    <n v="5555.6"/>
    <n v="227078.40999999995"/>
    <n v="5463.53"/>
    <n v="227424.77000000002"/>
    <n v="0"/>
    <n v="0"/>
    <n v="5463.53"/>
    <n v="227424.77000000002"/>
    <n v="227078.40999999995"/>
    <n v="0"/>
    <n v="0"/>
    <n v="346.36000000007334"/>
    <n v="3461"/>
    <n v="0"/>
    <n v="0"/>
    <n v="223617"/>
    <n v="0"/>
    <n v="0"/>
    <n v="0"/>
    <n v="0"/>
  </r>
  <r>
    <x v="391"/>
    <s v="GOMUKH TILAK NAGAR"/>
    <s v="MPG"/>
    <s v="Direct"/>
    <n v="323.39999999999998"/>
    <n v="14703.500000000002"/>
    <n v="345.17000000000007"/>
    <n v="14732.82"/>
    <n v="0"/>
    <n v="0"/>
    <n v="345.17000000000007"/>
    <n v="14732.82"/>
    <n v="14703.500000000002"/>
    <n v="0"/>
    <n v="0"/>
    <n v="29.31999999999789"/>
    <n v="0"/>
    <n v="0"/>
    <n v="0"/>
    <n v="14704"/>
    <n v="0"/>
    <n v="0"/>
    <n v="0"/>
    <n v="0"/>
  </r>
  <r>
    <x v="392"/>
    <s v="Gomukh Rahimpur Dakshin"/>
    <s v="MPG"/>
    <s v="Direct"/>
    <n v="6747"/>
    <n v="275686.65000000002"/>
    <n v="1307.2800000000002"/>
    <n v="53813.73"/>
    <n v="5442.1800000000012"/>
    <n v="223726.98000000004"/>
    <n v="6749.4600000000009"/>
    <n v="277540.71000000002"/>
    <n v="275686.65000000002"/>
    <n v="0"/>
    <n v="517.04000000000008"/>
    <n v="1854.0599999999977"/>
    <n v="0"/>
    <n v="0"/>
    <n v="0"/>
    <n v="51958"/>
    <n v="223212"/>
    <n v="0"/>
    <n v="0"/>
    <n v="0"/>
  </r>
  <r>
    <x v="393"/>
    <s v="GOMUKH MORKAHI"/>
    <s v="MPG"/>
    <s v="Direct"/>
    <n v="705.5"/>
    <n v="28052.640000000003"/>
    <n v="782.38000000000011"/>
    <n v="31344.870000000003"/>
    <n v="1.5400000000000005"/>
    <n v="61.930000000000007"/>
    <n v="783.92000000000007"/>
    <n v="31406.800000000003"/>
    <n v="28052.640000000003"/>
    <n v="0"/>
    <n v="61.930000000000007"/>
    <n v="3354.16"/>
    <n v="0"/>
    <n v="0"/>
    <n v="0"/>
    <n v="27991"/>
    <n v="0"/>
    <n v="0"/>
    <n v="0"/>
    <s v="Release2"/>
  </r>
  <r>
    <x v="394"/>
    <s v="GOMUKH HANSPUR"/>
    <s v="MPG"/>
    <s v="Direct"/>
    <n v="41.5"/>
    <n v="1785.7"/>
    <n v="41.599999999999994"/>
    <n v="1786.7499999999995"/>
    <n v="0"/>
    <n v="0"/>
    <n v="41.599999999999994"/>
    <n v="1786.7499999999995"/>
    <n v="1785.7"/>
    <n v="0"/>
    <n v="0"/>
    <n v="1.0499999999994998"/>
    <n v="0"/>
    <n v="500"/>
    <n v="0"/>
    <n v="1286"/>
    <n v="0"/>
    <n v="0"/>
    <n v="0"/>
    <n v="0"/>
  </r>
  <r>
    <x v="395"/>
    <s v="GOMUKH NAYAGAON 2"/>
    <s v="MPG"/>
    <s v="Direct"/>
    <n v="132.19999999999999"/>
    <n v="7019.5300000000007"/>
    <n v="127.78"/>
    <n v="6971.9900000000007"/>
    <n v="2.2000000000000002"/>
    <n v="150.19"/>
    <n v="129.97999999999999"/>
    <n v="7122.18"/>
    <n v="7019.5300000000007"/>
    <n v="0"/>
    <n v="150.19"/>
    <n v="102.64999999999964"/>
    <n v="0"/>
    <n v="0"/>
    <n v="0"/>
    <n v="6869"/>
    <n v="0"/>
    <n v="0"/>
    <n v="0"/>
    <n v="0"/>
  </r>
  <r>
    <x v="978"/>
    <s v="GOMUKH ALOLI"/>
    <s v="MPG"/>
    <s v="Direct"/>
    <n v="213.8"/>
    <n v="8112.4800000000014"/>
    <n v="213.8"/>
    <n v="9332.3700000000008"/>
    <n v="0"/>
    <n v="0"/>
    <n v="213.8"/>
    <n v="9332.3700000000008"/>
    <n v="8112.4800000000014"/>
    <n v="0"/>
    <n v="0"/>
    <n v="1219.8899999999994"/>
    <n v="0"/>
    <n v="500"/>
    <n v="0"/>
    <n v="7612"/>
    <n v="0"/>
    <n v="0"/>
    <n v="0"/>
    <n v="0"/>
  </r>
  <r>
    <x v="396"/>
    <s v="GOMUKH LABHGAON"/>
    <s v="MPG"/>
    <s v="Direct"/>
    <n v="409.2000000000001"/>
    <n v="16349.170000000002"/>
    <n v="381.61999999999995"/>
    <n v="15380.640000000001"/>
    <n v="24.59"/>
    <n v="993.66"/>
    <n v="406.20999999999992"/>
    <n v="16374.300000000001"/>
    <n v="16349.170000000002"/>
    <n v="0"/>
    <n v="0"/>
    <n v="25.1299999999992"/>
    <n v="0"/>
    <n v="0"/>
    <n v="0"/>
    <n v="15355"/>
    <n v="994"/>
    <n v="0"/>
    <n v="0"/>
    <n v="0"/>
  </r>
  <r>
    <x v="397"/>
    <s v="GOMUKH CHANDPURA"/>
    <s v="MPG"/>
    <s v="Direct"/>
    <n v="769.00000000000011"/>
    <n v="29052.280000000002"/>
    <n v="376"/>
    <n v="14217.420000000002"/>
    <n v="396"/>
    <n v="14949.000000000002"/>
    <n v="772"/>
    <n v="29166.420000000006"/>
    <n v="29052.280000000002"/>
    <n v="0"/>
    <n v="0"/>
    <n v="114.14000000000306"/>
    <n v="0"/>
    <n v="0"/>
    <n v="0"/>
    <n v="14100"/>
    <n v="14952"/>
    <n v="0"/>
    <n v="0"/>
    <n v="0"/>
  </r>
  <r>
    <x v="398"/>
    <s v="GOMUKH BADIL TOL"/>
    <s v="MPG"/>
    <s v="Direct"/>
    <n v="538.5"/>
    <n v="22681.439999999999"/>
    <n v="293.01000000000005"/>
    <n v="12024.61"/>
    <n v="277.09000000000003"/>
    <n v="10652.64"/>
    <n v="570.10000000000014"/>
    <n v="22677.25"/>
    <n v="22677.25"/>
    <n v="0"/>
    <n v="436.85999999999996"/>
    <n v="0"/>
    <n v="0"/>
    <n v="0"/>
    <n v="0"/>
    <n v="12025"/>
    <n v="10216"/>
    <n v="0"/>
    <n v="4"/>
    <n v="0"/>
  </r>
  <r>
    <x v="399"/>
    <s v="GOMUKH TRIBHUVAN TOLA"/>
    <s v="MPG"/>
    <s v="Direct"/>
    <n v="426.09999999999997"/>
    <n v="16222.920000000002"/>
    <n v="444.6"/>
    <n v="16222.679999999998"/>
    <n v="0"/>
    <n v="0"/>
    <n v="444.6"/>
    <n v="16222.679999999998"/>
    <n v="16222.679999999998"/>
    <n v="0"/>
    <n v="0"/>
    <n v="0"/>
    <n v="0"/>
    <n v="0"/>
    <n v="0"/>
    <n v="16223"/>
    <n v="0"/>
    <n v="0"/>
    <n v="0"/>
    <n v="0"/>
  </r>
  <r>
    <x v="400"/>
    <s v="GOMUKH SANTOSHPUL"/>
    <s v="MPG"/>
    <s v="Direct"/>
    <n v="1078.5999999999999"/>
    <n v="50634.990000000005"/>
    <n v="30.500000000000004"/>
    <n v="1417.8000000000002"/>
    <n v="1075.0999999999999"/>
    <n v="50103.39"/>
    <n v="1105.5999999999999"/>
    <n v="51521.19"/>
    <n v="50634.990000000005"/>
    <n v="0"/>
    <n v="0"/>
    <n v="886.19999999999709"/>
    <n v="0"/>
    <n v="0"/>
    <n v="0"/>
    <n v="531"/>
    <n v="50104"/>
    <n v="0"/>
    <n v="0"/>
    <n v="0"/>
  </r>
  <r>
    <x v="401"/>
    <s v="GOMUKH AHUNA"/>
    <s v="MPG"/>
    <s v="Direct"/>
    <n v="332.3"/>
    <n v="13219.850000000002"/>
    <n v="334.39000000000004"/>
    <n v="13558.17"/>
    <n v="0"/>
    <n v="0"/>
    <n v="334.39000000000004"/>
    <n v="13558.17"/>
    <n v="13219.850000000002"/>
    <n v="0"/>
    <n v="0"/>
    <n v="338.31999999999789"/>
    <n v="0"/>
    <n v="0"/>
    <n v="0"/>
    <n v="13220"/>
    <n v="0"/>
    <n v="0"/>
    <n v="0"/>
    <n v="0"/>
  </r>
  <r>
    <x v="402"/>
    <s v="GOMUKH SHADIPUR"/>
    <s v="MPG"/>
    <s v="Direct"/>
    <n v="972.80000000000007"/>
    <n v="41193.199999999997"/>
    <n v="998.57999999999993"/>
    <n v="40634.6"/>
    <n v="13.459999999999999"/>
    <n v="535.92999999999995"/>
    <n v="1012.04"/>
    <n v="41170.53"/>
    <n v="41170.53"/>
    <n v="0"/>
    <n v="535.92999999999995"/>
    <n v="0"/>
    <n v="9800"/>
    <n v="0"/>
    <n v="0"/>
    <n v="30835"/>
    <n v="0"/>
    <n v="0"/>
    <n v="22"/>
    <n v="0"/>
  </r>
  <r>
    <x v="403"/>
    <s v="GOMUKH ASHRAPHA DIYARA"/>
    <s v="MPG"/>
    <s v="Direct"/>
    <n v="1233"/>
    <n v="52957.810000000005"/>
    <n v="1211.8900000000001"/>
    <n v="52596.54"/>
    <n v="8.2899999999999991"/>
    <n v="353.43"/>
    <n v="1220.18"/>
    <n v="52949.97"/>
    <n v="52949.97"/>
    <n v="0"/>
    <n v="353.43"/>
    <n v="0"/>
    <n v="4200"/>
    <n v="0"/>
    <n v="0"/>
    <n v="48397"/>
    <n v="0"/>
    <n v="0"/>
    <n v="7"/>
    <n v="0"/>
  </r>
  <r>
    <x v="404"/>
    <s v="GOMUKH MANIAPPA"/>
    <s v="MPG"/>
    <s v="Direct"/>
    <n v="360.30000000000007"/>
    <n v="15438.440000000002"/>
    <n v="357.18"/>
    <n v="14936.979999999996"/>
    <n v="3.0300000000000007"/>
    <n v="116.90000000000002"/>
    <n v="360.21"/>
    <n v="15053.879999999996"/>
    <n v="15053.879999999996"/>
    <n v="0"/>
    <n v="116.90000000000002"/>
    <n v="0"/>
    <n v="0"/>
    <n v="0"/>
    <n v="0"/>
    <n v="14937"/>
    <n v="0"/>
    <n v="0"/>
    <n v="385"/>
    <n v="0"/>
  </r>
  <r>
    <x v="405"/>
    <s v="GOMUKH D SANJHAUTI"/>
    <s v="MPG"/>
    <s v="Direct"/>
    <n v="618.79999999999995"/>
    <n v="23020.559999999998"/>
    <n v="681.5"/>
    <n v="28701.57"/>
    <n v="0"/>
    <n v="0"/>
    <n v="681.5"/>
    <n v="28701.57"/>
    <n v="23020.559999999998"/>
    <n v="0"/>
    <n v="0"/>
    <n v="5681.010000000002"/>
    <n v="0"/>
    <n v="0"/>
    <n v="0"/>
    <n v="23021"/>
    <n v="0"/>
    <n v="0"/>
    <n v="0"/>
    <n v="0"/>
  </r>
  <r>
    <x v="406"/>
    <s v="GOMUKH DHUSMURI BISHANPUR"/>
    <s v="MPG"/>
    <s v="Direct"/>
    <n v="293.60000000000002"/>
    <n v="12090.130000000001"/>
    <n v="191.91"/>
    <n v="8036.84"/>
    <n v="118.53999999999999"/>
    <n v="5134.3399999999992"/>
    <n v="310.45"/>
    <n v="13171.18"/>
    <n v="12090.130000000001"/>
    <n v="0"/>
    <n v="0"/>
    <n v="1081.0499999999993"/>
    <n v="0"/>
    <n v="500"/>
    <n v="0"/>
    <n v="6455"/>
    <n v="5135"/>
    <n v="0"/>
    <n v="0"/>
    <n v="0"/>
  </r>
  <r>
    <x v="407"/>
    <s v="GOMUKH ANANDPUR PARAS"/>
    <s v="MPG"/>
    <s v="Direct"/>
    <n v="3193.5000000000005"/>
    <n v="131554.54999999999"/>
    <n v="393.5"/>
    <n v="16135.740000000002"/>
    <n v="2800"/>
    <n v="115432"/>
    <n v="3193.5"/>
    <n v="131567.74"/>
    <n v="131554.54999999999"/>
    <n v="0"/>
    <n v="0"/>
    <n v="13.190000000002328"/>
    <n v="0"/>
    <n v="0"/>
    <n v="0"/>
    <n v="16123"/>
    <n v="115432"/>
    <n v="0"/>
    <n v="0"/>
    <n v="0"/>
  </r>
  <r>
    <x v="408"/>
    <s v="Gomukh Bishanpur"/>
    <s v="MPG"/>
    <s v="Direct"/>
    <n v="266.2"/>
    <n v="11096.920000000002"/>
    <n v="263.10000000000002"/>
    <n v="11036.58"/>
    <n v="4.55"/>
    <n v="186.97000000000003"/>
    <n v="267.65000000000003"/>
    <n v="11223.55"/>
    <n v="11096.920000000002"/>
    <n v="0"/>
    <n v="186.97000000000003"/>
    <n v="126.62999999999738"/>
    <n v="0"/>
    <n v="0"/>
    <n v="0"/>
    <n v="10910"/>
    <n v="0"/>
    <n v="0"/>
    <n v="0"/>
    <n v="0"/>
  </r>
  <r>
    <x v="409"/>
    <s v="GOMUKH BISHANPUR 2"/>
    <s v="MPG"/>
    <s v="Direct"/>
    <n v="749"/>
    <n v="29946.120000000003"/>
    <n v="645.76"/>
    <n v="25023.050000000003"/>
    <n v="110.65"/>
    <n v="4921.1500000000005"/>
    <n v="756.41"/>
    <n v="29944.200000000004"/>
    <n v="29944.200000000004"/>
    <n v="0"/>
    <n v="0"/>
    <n v="0"/>
    <n v="950"/>
    <n v="0"/>
    <n v="0"/>
    <n v="24074"/>
    <n v="4921"/>
    <n v="0"/>
    <n v="1"/>
    <n v="0"/>
  </r>
  <r>
    <x v="410"/>
    <s v="GOMUKH GHAMARIYA"/>
    <s v="MPG"/>
    <s v="Direct"/>
    <n v="105.2"/>
    <n v="5218.43"/>
    <n v="109.4"/>
    <n v="5259.6100000000006"/>
    <n v="1.3599999999999999"/>
    <n v="67.040000000000006"/>
    <n v="110.76"/>
    <n v="5326.6500000000005"/>
    <n v="5218.43"/>
    <n v="0"/>
    <n v="67.040000000000006"/>
    <n v="108.22000000000025"/>
    <n v="0"/>
    <n v="0"/>
    <n v="0"/>
    <n v="5151"/>
    <n v="0"/>
    <n v="0"/>
    <n v="0"/>
    <n v="0"/>
  </r>
  <r>
    <x v="411"/>
    <s v="GOMUKH MEGHAUMA"/>
    <s v="MPG"/>
    <s v="Direct"/>
    <n v="769.4"/>
    <n v="32088"/>
    <n v="756.72000000000014"/>
    <n v="32503.289999999997"/>
    <n v="9.4799999999999986"/>
    <n v="411.26"/>
    <n v="766.20000000000016"/>
    <n v="32914.549999999996"/>
    <n v="32088"/>
    <n v="0"/>
    <n v="411.26"/>
    <n v="826.54999999999563"/>
    <n v="0"/>
    <n v="0"/>
    <n v="0"/>
    <n v="31677"/>
    <n v="0"/>
    <n v="0"/>
    <n v="0"/>
    <n v="0"/>
  </r>
  <r>
    <x v="412"/>
    <s v="GOMUKH AURA"/>
    <s v="MPG"/>
    <s v="Direct"/>
    <n v="724.69999999999993"/>
    <n v="27690.629999999997"/>
    <n v="918.99999999999989"/>
    <n v="37985.33"/>
    <n v="0"/>
    <n v="0"/>
    <n v="918.99999999999989"/>
    <n v="37985.33"/>
    <n v="27690.629999999997"/>
    <n v="0"/>
    <n v="0"/>
    <n v="10294.700000000004"/>
    <n v="0"/>
    <n v="0"/>
    <n v="0"/>
    <n v="27691"/>
    <n v="0"/>
    <n v="0"/>
    <n v="0"/>
    <n v="0"/>
  </r>
  <r>
    <x v="413"/>
    <s v="GOMUKH BEHORBA"/>
    <s v="MPG"/>
    <s v="Direct"/>
    <n v="732.10000000000014"/>
    <n v="29045.1"/>
    <n v="784.09"/>
    <n v="30161.48"/>
    <n v="0"/>
    <n v="0"/>
    <n v="784.09"/>
    <n v="30161.48"/>
    <n v="29045.1"/>
    <n v="0"/>
    <n v="0"/>
    <n v="1116.380000000001"/>
    <n v="3601"/>
    <n v="0"/>
    <n v="0"/>
    <n v="25444"/>
    <n v="0"/>
    <n v="0"/>
    <n v="0"/>
    <n v="0"/>
  </r>
  <r>
    <x v="414"/>
    <s v="GOMUKH SAIDPUR SAMASTIPUR"/>
    <s v="MPG"/>
    <s v="Direct"/>
    <n v="1629.5000000000002"/>
    <n v="63118.13"/>
    <n v="1629.1"/>
    <n v="64064.900000000009"/>
    <n v="0"/>
    <n v="0"/>
    <n v="1629.1"/>
    <n v="64064.900000000009"/>
    <n v="63118.13"/>
    <n v="0"/>
    <n v="0"/>
    <n v="946.77000000001135"/>
    <n v="0"/>
    <n v="0"/>
    <n v="0"/>
    <n v="63118"/>
    <n v="0"/>
    <n v="0"/>
    <n v="0"/>
    <n v="0"/>
  </r>
  <r>
    <x v="1016"/>
    <s v="GOMUKH SAHARBANNI"/>
    <s v="MPG"/>
    <s v="Direct"/>
    <n v="415.6"/>
    <n v="16783.349999999999"/>
    <n v="415.6"/>
    <n v="19524.89"/>
    <n v="0"/>
    <n v="0"/>
    <n v="415.6"/>
    <n v="19524.89"/>
    <n v="16783.349999999999"/>
    <n v="0"/>
    <n v="0"/>
    <n v="2741.5400000000009"/>
    <n v="9542"/>
    <n v="500"/>
    <n v="0"/>
    <n v="6741"/>
    <n v="0"/>
    <n v="0"/>
    <n v="0"/>
    <s v="Release1"/>
  </r>
  <r>
    <x v="415"/>
    <s v="GOMUKH PHULTAURA"/>
    <s v="MPG"/>
    <s v="Direct"/>
    <n v="570.30000000000007"/>
    <n v="22352.620000000003"/>
    <n v="67.45"/>
    <n v="3350.65"/>
    <n v="478.01"/>
    <n v="22017.53"/>
    <n v="545.46"/>
    <n v="25368.18"/>
    <n v="22352.620000000003"/>
    <n v="0"/>
    <n v="0"/>
    <n v="3015.5599999999977"/>
    <n v="0"/>
    <n v="0"/>
    <n v="0"/>
    <n v="336"/>
    <n v="22017"/>
    <n v="0"/>
    <n v="0"/>
    <n v="0"/>
  </r>
  <r>
    <x v="416"/>
    <s v="Jangli Tol Vlc "/>
    <s v="vlc"/>
    <s v="Indirect"/>
    <n v="1689.8"/>
    <n v="67800.02"/>
    <n v="0"/>
    <n v="0"/>
    <n v="0"/>
    <n v="0"/>
    <n v="0"/>
    <n v="0"/>
    <n v="67800.02"/>
    <n v="0"/>
    <n v="0"/>
    <n v="0"/>
    <n v="0"/>
    <n v="0"/>
    <n v="0"/>
    <n v="0"/>
    <n v="0"/>
    <n v="67800.02"/>
    <n v="0"/>
    <n v="0"/>
  </r>
  <r>
    <x v="417"/>
    <s v="DILKHUSH KUMAR "/>
    <s v="vlc"/>
    <s v="Indirect"/>
    <n v="515.9"/>
    <n v="20475.95"/>
    <n v="0"/>
    <n v="0"/>
    <n v="0"/>
    <n v="0"/>
    <n v="0"/>
    <n v="0"/>
    <n v="20475.95"/>
    <n v="0"/>
    <n v="0"/>
    <n v="0"/>
    <n v="0"/>
    <n v="0"/>
    <n v="0"/>
    <n v="0"/>
    <n v="0"/>
    <n v="20475.95"/>
    <n v="0"/>
    <n v="0"/>
  </r>
  <r>
    <x v="418"/>
    <s v="GOMUKH CHOWKI 2"/>
    <s v="MPG"/>
    <s v="Direct"/>
    <n v="6666"/>
    <n v="261721.90000000002"/>
    <n v="5416.7400000000007"/>
    <n v="213841.37000000002"/>
    <n v="1175.8600000000001"/>
    <n v="47782.229999999996"/>
    <n v="6592.6"/>
    <n v="261623.60000000003"/>
    <n v="261623.60000000003"/>
    <n v="0"/>
    <n v="0"/>
    <n v="0"/>
    <n v="0"/>
    <n v="0"/>
    <n v="0"/>
    <n v="213841"/>
    <n v="47782"/>
    <n v="0"/>
    <n v="99"/>
    <n v="0"/>
  </r>
  <r>
    <x v="419"/>
    <s v="GOMUKH MOHABA"/>
    <s v="MPG"/>
    <s v="Direct"/>
    <n v="1712.3"/>
    <n v="66509.87999999999"/>
    <n v="731.09999999999991"/>
    <n v="28626.309999999998"/>
    <n v="984.40000000000009"/>
    <n v="38568.67"/>
    <n v="1715.5"/>
    <n v="67194.98"/>
    <n v="66509.87999999999"/>
    <n v="0"/>
    <n v="165.65999999999997"/>
    <n v="685.10000000000582"/>
    <n v="0"/>
    <n v="0"/>
    <n v="0"/>
    <n v="27940"/>
    <n v="38404"/>
    <n v="0"/>
    <n v="0"/>
    <n v="0"/>
  </r>
  <r>
    <x v="420"/>
    <s v="SANHA VLC"/>
    <s v="vlc"/>
    <s v="Indirect"/>
    <n v="517.30000000000007"/>
    <n v="19044.469999999998"/>
    <n v="0"/>
    <n v="0"/>
    <n v="0"/>
    <n v="0"/>
    <n v="0"/>
    <n v="0"/>
    <n v="19044.469999999998"/>
    <n v="0"/>
    <n v="0"/>
    <n v="0"/>
    <n v="0"/>
    <n v="0"/>
    <n v="0"/>
    <n v="0"/>
    <n v="0"/>
    <n v="19044.469999999998"/>
    <n v="0"/>
    <n v="0"/>
  </r>
  <r>
    <x v="421"/>
    <s v="MOHANPUR VLC"/>
    <s v="vlc"/>
    <s v="Indirect"/>
    <n v="670"/>
    <n v="24683.7"/>
    <n v="0"/>
    <n v="0"/>
    <n v="0"/>
    <n v="0"/>
    <n v="0"/>
    <n v="0"/>
    <n v="24683.7"/>
    <n v="0"/>
    <n v="0"/>
    <n v="0"/>
    <n v="0"/>
    <n v="0"/>
    <n v="0"/>
    <n v="0"/>
    <n v="0"/>
    <n v="24683.7"/>
    <n v="0"/>
    <n v="0"/>
  </r>
  <r>
    <x v="422"/>
    <s v="GOMUKH JANGLITOL"/>
    <s v="MPG"/>
    <s v="Direct"/>
    <n v="247.10000000000002"/>
    <n v="10370.269999999999"/>
    <n v="247"/>
    <n v="10065.549999999999"/>
    <n v="0"/>
    <n v="0"/>
    <n v="247"/>
    <n v="10065.549999999999"/>
    <n v="10065.549999999999"/>
    <n v="0"/>
    <n v="0"/>
    <n v="0"/>
    <n v="0"/>
    <n v="0"/>
    <n v="0"/>
    <n v="10067"/>
    <n v="0"/>
    <n v="0"/>
    <n v="303"/>
    <n v="0"/>
  </r>
  <r>
    <x v="423"/>
    <s v="Hiratol VLC"/>
    <s v="vlc"/>
    <s v="Indirect"/>
    <n v="276.89999999999998"/>
    <n v="9876.3000000000011"/>
    <n v="0"/>
    <n v="0"/>
    <n v="0"/>
    <n v="0"/>
    <n v="0"/>
    <n v="0"/>
    <n v="9876.3000000000011"/>
    <n v="0"/>
    <n v="0"/>
    <n v="0"/>
    <n v="0"/>
    <n v="0"/>
    <n v="0"/>
    <n v="0"/>
    <n v="0"/>
    <n v="9876.3000000000011"/>
    <n v="0"/>
    <n v="0"/>
  </r>
  <r>
    <x v="424"/>
    <s v="GOMUKH BARBIGHI"/>
    <s v="MPG"/>
    <s v="Direct"/>
    <n v="1431.6999999999998"/>
    <n v="55112.13"/>
    <n v="1394.3999999999999"/>
    <n v="55211.049999999996"/>
    <n v="4.5"/>
    <n v="179.24"/>
    <n v="1398.8999999999999"/>
    <n v="55390.289999999994"/>
    <n v="55112.13"/>
    <n v="0"/>
    <n v="179.24"/>
    <n v="278.15999999999622"/>
    <n v="0"/>
    <n v="0"/>
    <n v="0"/>
    <n v="54933"/>
    <n v="0"/>
    <n v="0"/>
    <n v="0"/>
    <n v="0"/>
  </r>
  <r>
    <x v="425"/>
    <s v="Dandari-2"/>
    <s v="MPG"/>
    <s v="Direct"/>
    <n v="279"/>
    <n v="10743.13"/>
    <n v="279"/>
    <n v="10705.23"/>
    <n v="0"/>
    <n v="0"/>
    <n v="279"/>
    <n v="10705.23"/>
    <n v="10705.23"/>
    <n v="0"/>
    <n v="0"/>
    <n v="0"/>
    <n v="0"/>
    <n v="0"/>
    <n v="0"/>
    <n v="10705"/>
    <n v="0"/>
    <n v="0"/>
    <n v="38"/>
    <n v="0"/>
  </r>
  <r>
    <x v="426"/>
    <s v="Barkhanditol"/>
    <s v="vlc"/>
    <s v="Indirect"/>
    <n v="1140.3"/>
    <n v="47820.020000000004"/>
    <n v="0"/>
    <n v="0"/>
    <n v="0"/>
    <n v="0"/>
    <n v="0"/>
    <n v="0"/>
    <n v="47820.020000000004"/>
    <n v="0"/>
    <n v="0"/>
    <n v="0"/>
    <n v="0"/>
    <n v="0"/>
    <n v="0"/>
    <n v="0"/>
    <n v="0"/>
    <n v="47820.020000000004"/>
    <n v="0"/>
    <n v="0"/>
  </r>
  <r>
    <x v="427"/>
    <s v="Chauki-VLC"/>
    <s v="vlc"/>
    <s v="Indirect"/>
    <n v="522.9"/>
    <n v="21435.989999999998"/>
    <n v="0"/>
    <n v="0"/>
    <n v="0"/>
    <n v="0"/>
    <n v="0"/>
    <n v="0"/>
    <n v="21435.989999999998"/>
    <n v="0"/>
    <n v="0"/>
    <n v="0"/>
    <n v="0"/>
    <n v="0"/>
    <n v="0"/>
    <n v="0"/>
    <n v="0"/>
    <n v="21435.989999999998"/>
    <n v="0"/>
    <n v="0"/>
  </r>
  <r>
    <x v="428"/>
    <s v="Hardia"/>
    <s v="MPG"/>
    <s v="Direct"/>
    <n v="923.1"/>
    <n v="39242.79"/>
    <n v="919.7"/>
    <n v="39160.839999999997"/>
    <n v="3.4999999999999996"/>
    <n v="172.36"/>
    <n v="923.2"/>
    <n v="39333.199999999997"/>
    <n v="39242.79"/>
    <n v="0"/>
    <n v="172.36"/>
    <n v="90.409999999996217"/>
    <n v="0"/>
    <n v="0"/>
    <n v="0"/>
    <n v="39070"/>
    <n v="0"/>
    <n v="0"/>
    <n v="0"/>
    <n v="0"/>
  </r>
  <r>
    <x v="429"/>
    <s v="Pachveer"/>
    <s v="vlc"/>
    <s v="Indirect"/>
    <n v="16414.200000000004"/>
    <n v="648868.43000000005"/>
    <n v="0"/>
    <n v="0"/>
    <n v="0"/>
    <n v="0"/>
    <n v="0"/>
    <n v="0"/>
    <n v="648868.43000000005"/>
    <n v="0"/>
    <n v="0"/>
    <n v="0"/>
    <n v="0"/>
    <n v="0"/>
    <n v="0"/>
    <n v="0"/>
    <n v="0"/>
    <n v="648868.43000000005"/>
    <n v="0"/>
    <n v="0"/>
  </r>
  <r>
    <x v="979"/>
    <s v="Barkhaditol-3"/>
    <s v="vlc"/>
    <s v="Indirect"/>
    <n v="891.69999999999993"/>
    <n v="37216.050000000003"/>
    <n v="0"/>
    <n v="0"/>
    <n v="0"/>
    <n v="0"/>
    <n v="0"/>
    <n v="0"/>
    <n v="37216.050000000003"/>
    <n v="0"/>
    <n v="0"/>
    <n v="0"/>
    <n v="0"/>
    <n v="0"/>
    <n v="0"/>
    <n v="0"/>
    <n v="0"/>
    <n v="37216.050000000003"/>
    <n v="0"/>
    <n v="0"/>
  </r>
  <r>
    <x v="430"/>
    <s v="Mathar-3"/>
    <s v="vlc"/>
    <s v="Indirect"/>
    <n v="2459"/>
    <n v="101113.62"/>
    <n v="0"/>
    <n v="0"/>
    <n v="0"/>
    <n v="0"/>
    <n v="0"/>
    <n v="0"/>
    <n v="101113.62"/>
    <n v="0"/>
    <n v="0"/>
    <n v="0"/>
    <n v="0"/>
    <n v="0"/>
    <n v="0"/>
    <n v="0"/>
    <n v="0"/>
    <n v="101113.62"/>
    <n v="0"/>
    <n v="0"/>
  </r>
  <r>
    <x v="431"/>
    <s v="Ahoghat"/>
    <s v="vlc"/>
    <s v="Indirect"/>
    <n v="400.9"/>
    <n v="17335.36"/>
    <n v="0"/>
    <n v="0"/>
    <n v="0"/>
    <n v="0"/>
    <n v="0"/>
    <n v="0"/>
    <n v="17335.36"/>
    <n v="0"/>
    <n v="0"/>
    <n v="0"/>
    <n v="0"/>
    <n v="0"/>
    <n v="0"/>
    <n v="0"/>
    <n v="0"/>
    <n v="17335.36"/>
    <n v="0"/>
    <s v="Release2"/>
  </r>
  <r>
    <x v="432"/>
    <s v="Mathar-4"/>
    <s v="vlc"/>
    <s v="Indirect"/>
    <n v="308.8"/>
    <n v="12529.329999999998"/>
    <n v="0"/>
    <n v="0"/>
    <n v="0"/>
    <n v="0"/>
    <n v="0"/>
    <n v="0"/>
    <n v="12529.329999999998"/>
    <n v="0"/>
    <n v="0"/>
    <n v="0"/>
    <n v="0"/>
    <n v="0"/>
    <n v="0"/>
    <n v="0"/>
    <n v="0"/>
    <n v="12529.329999999998"/>
    <n v="0"/>
    <n v="0"/>
  </r>
  <r>
    <x v="433"/>
    <s v="Sadpur-2"/>
    <s v="vlc"/>
    <s v="Direct"/>
    <n v="875.5"/>
    <n v="32114.51"/>
    <n v="875.5"/>
    <n v="32612.38"/>
    <n v="0"/>
    <n v="0"/>
    <n v="875.5"/>
    <n v="32612.38"/>
    <n v="32114.51"/>
    <n v="0"/>
    <n v="0"/>
    <n v="497.87000000000262"/>
    <n v="0"/>
    <n v="0"/>
    <n v="0"/>
    <n v="32115"/>
    <n v="0"/>
    <n v="0"/>
    <n v="0"/>
    <n v="0"/>
  </r>
  <r>
    <x v="435"/>
    <s v="Baliya"/>
    <s v="vlc"/>
    <s v="Indirect"/>
    <n v="7499.5999999999995"/>
    <n v="292629.06"/>
    <n v="0"/>
    <n v="0"/>
    <n v="0"/>
    <n v="0"/>
    <n v="0"/>
    <n v="0"/>
    <n v="292629.06"/>
    <n v="0"/>
    <n v="0"/>
    <n v="0"/>
    <n v="0"/>
    <n v="0"/>
    <n v="0"/>
    <n v="0"/>
    <n v="0"/>
    <n v="292629.06"/>
    <n v="0"/>
    <n v="0"/>
  </r>
  <r>
    <x v="436"/>
    <s v="GOMUKH SUBHANPUR"/>
    <s v="MPG"/>
    <s v="Indirect"/>
    <n v="239.4"/>
    <n v="9730.6"/>
    <n v="0"/>
    <n v="0"/>
    <n v="0"/>
    <n v="0"/>
    <n v="0"/>
    <n v="0"/>
    <n v="9730.6"/>
    <n v="0"/>
    <n v="0"/>
    <n v="0"/>
    <n v="1400"/>
    <n v="0"/>
    <n v="0"/>
    <n v="0"/>
    <n v="0"/>
    <n v="8330.6"/>
    <n v="0"/>
    <n v="0"/>
  </r>
  <r>
    <x v="437"/>
    <s v="GOMUKH  BHAJANGAMA"/>
    <s v="MPG"/>
    <s v="Indirect"/>
    <n v="518.04999999999995"/>
    <n v="20346.110000000004"/>
    <n v="0"/>
    <n v="0"/>
    <n v="0"/>
    <n v="0"/>
    <n v="0"/>
    <n v="0"/>
    <n v="20346.110000000004"/>
    <n v="0"/>
    <n v="0"/>
    <n v="0"/>
    <n v="7000"/>
    <n v="0"/>
    <n v="0"/>
    <n v="0"/>
    <n v="0"/>
    <n v="13346.110000000004"/>
    <n v="0"/>
    <n v="0"/>
  </r>
  <r>
    <x v="438"/>
    <s v="Gomukh Basadhiya Kurni"/>
    <s v="MPG"/>
    <s v="Direct"/>
    <n v="595.04999999999995"/>
    <n v="22965.25"/>
    <n v="590.17000000000007"/>
    <n v="22965.07"/>
    <n v="0"/>
    <n v="0"/>
    <n v="590.17000000000007"/>
    <n v="22965.07"/>
    <n v="22965.07"/>
    <n v="0"/>
    <n v="0"/>
    <n v="0"/>
    <n v="0"/>
    <n v="0"/>
    <n v="0"/>
    <n v="22965"/>
    <n v="0"/>
    <n v="0"/>
    <n v="0"/>
    <n v="0"/>
  </r>
  <r>
    <x v="439"/>
    <s v="KHAJURI"/>
    <s v="MPG"/>
    <s v="Direct"/>
    <n v="283.3"/>
    <n v="10668.75"/>
    <n v="267.95"/>
    <n v="10135.41"/>
    <n v="14.2"/>
    <n v="532.25"/>
    <n v="282.14999999999998"/>
    <n v="10667.66"/>
    <n v="10667.66"/>
    <n v="0"/>
    <n v="0"/>
    <n v="0"/>
    <n v="0"/>
    <n v="0"/>
    <n v="0"/>
    <n v="10135"/>
    <n v="532"/>
    <n v="0"/>
    <n v="2"/>
    <n v="0"/>
  </r>
  <r>
    <x v="440"/>
    <s v="ARMAULI-2"/>
    <s v="MPG"/>
    <s v="Direct"/>
    <n v="1147.4000000000001"/>
    <n v="47464.330000000016"/>
    <n v="1126.3699999999999"/>
    <n v="46793.319999999992"/>
    <n v="14.55"/>
    <n v="598.34"/>
    <n v="1140.9199999999998"/>
    <n v="47391.659999999989"/>
    <n v="47391.659999999989"/>
    <n v="0"/>
    <n v="598.34"/>
    <n v="0"/>
    <n v="5540"/>
    <n v="0"/>
    <n v="0"/>
    <n v="41252"/>
    <n v="0"/>
    <n v="0"/>
    <n v="74"/>
    <n v="0"/>
  </r>
  <r>
    <x v="441"/>
    <s v="MUSAPUR - 2"/>
    <s v="MPG"/>
    <s v="Indirect"/>
    <n v="74.150000000000006"/>
    <n v="2642.1499999999996"/>
    <n v="0"/>
    <n v="0"/>
    <n v="0"/>
    <n v="0"/>
    <n v="0"/>
    <n v="0"/>
    <n v="2642.1499999999996"/>
    <n v="0"/>
    <n v="0"/>
    <n v="0"/>
    <n v="0"/>
    <n v="0"/>
    <n v="0"/>
    <n v="0"/>
    <n v="0"/>
    <n v="2642.1499999999996"/>
    <n v="0"/>
    <n v="0"/>
  </r>
  <r>
    <x v="442"/>
    <s v="Janganath Pur"/>
    <s v="MPG"/>
    <s v="Indirect"/>
    <n v="1976.7500000000002"/>
    <n v="86439.95"/>
    <n v="0"/>
    <n v="0"/>
    <n v="0"/>
    <n v="0"/>
    <n v="0"/>
    <n v="0"/>
    <n v="86439.95"/>
    <n v="0"/>
    <n v="0"/>
    <n v="0"/>
    <n v="2800"/>
    <n v="0"/>
    <n v="0"/>
    <n v="0"/>
    <n v="0"/>
    <n v="83639.95"/>
    <n v="0"/>
    <n v="0"/>
  </r>
  <r>
    <x v="443"/>
    <s v="Nagargama"/>
    <s v="MPG"/>
    <s v="Indirect"/>
    <n v="579.90000000000009"/>
    <n v="23742.740000000005"/>
    <n v="0"/>
    <n v="0"/>
    <n v="0"/>
    <n v="0"/>
    <n v="0"/>
    <n v="0"/>
    <n v="23742.740000000005"/>
    <n v="0"/>
    <n v="0"/>
    <n v="0"/>
    <n v="0"/>
    <n v="0"/>
    <n v="0"/>
    <n v="0"/>
    <n v="0"/>
    <n v="23742.740000000005"/>
    <n v="0"/>
    <n v="0"/>
  </r>
  <r>
    <x v="444"/>
    <s v="Sato Ghachchhi"/>
    <s v="MPG"/>
    <s v="Direct"/>
    <n v="646.54999999999984"/>
    <n v="32088.309999999998"/>
    <n v="662.9"/>
    <n v="31721.99"/>
    <n v="7.9"/>
    <n v="364.91"/>
    <n v="670.8"/>
    <n v="32086.9"/>
    <n v="32086.9"/>
    <n v="1965"/>
    <n v="364.91"/>
    <n v="0"/>
    <n v="0"/>
    <n v="0"/>
    <n v="0"/>
    <n v="29758"/>
    <n v="0"/>
    <n v="0"/>
    <n v="0"/>
    <n v="0"/>
  </r>
  <r>
    <x v="445"/>
    <s v="Bhatgama"/>
    <s v="MPG"/>
    <s v="Indirect"/>
    <n v="394.35"/>
    <n v="12970.43"/>
    <n v="0"/>
    <n v="0"/>
    <n v="0"/>
    <n v="0"/>
    <n v="0"/>
    <n v="0"/>
    <n v="12970.43"/>
    <n v="0"/>
    <n v="0"/>
    <n v="0"/>
    <n v="2800"/>
    <n v="0"/>
    <n v="0"/>
    <n v="0"/>
    <n v="0"/>
    <n v="10170.43"/>
    <n v="0"/>
    <n v="0"/>
  </r>
  <r>
    <x v="446"/>
    <s v="Borna Rasalpur"/>
    <s v="MPG"/>
    <s v="Direct"/>
    <n v="994.05000000000007"/>
    <n v="42771.869999999995"/>
    <n v="406.90000000000003"/>
    <n v="18451.86"/>
    <n v="563.20000000000005"/>
    <n v="24320.239999999998"/>
    <n v="970.10000000000014"/>
    <n v="42772.1"/>
    <n v="42771.869999999995"/>
    <n v="0"/>
    <n v="54.88"/>
    <n v="0.23000000000320142"/>
    <n v="0"/>
    <n v="0"/>
    <n v="0"/>
    <n v="18451"/>
    <n v="24266"/>
    <n v="0"/>
    <n v="0"/>
    <n v="0"/>
  </r>
  <r>
    <x v="447"/>
    <s v="Rasalpur"/>
    <s v="MPG"/>
    <s v="Direct"/>
    <n v="1232.1499999999999"/>
    <n v="48379.66"/>
    <n v="1081.3899999999999"/>
    <n v="40787.94"/>
    <n v="195.38"/>
    <n v="7590.38"/>
    <n v="1276.77"/>
    <n v="48378.32"/>
    <n v="48378.32"/>
    <n v="0"/>
    <n v="0"/>
    <n v="0"/>
    <n v="0"/>
    <n v="0"/>
    <n v="0"/>
    <n v="40788"/>
    <n v="7590"/>
    <n v="0"/>
    <n v="2"/>
    <n v="0"/>
  </r>
  <r>
    <x v="448"/>
    <s v="Narahan"/>
    <s v="MPG"/>
    <s v="Direct"/>
    <n v="228.39999999999998"/>
    <n v="7858.6799999999994"/>
    <n v="211.73000000000002"/>
    <n v="7691.86"/>
    <n v="4.49"/>
    <n v="166.57000000000002"/>
    <n v="216.22000000000003"/>
    <n v="7858.4299999999994"/>
    <n v="7858.4299999999994"/>
    <n v="0"/>
    <n v="166.57000000000002"/>
    <n v="0"/>
    <n v="2428"/>
    <n v="0"/>
    <n v="0"/>
    <n v="5263"/>
    <n v="0"/>
    <n v="0"/>
    <n v="1"/>
    <n v="0"/>
  </r>
  <r>
    <x v="449"/>
    <s v="Gomukh Dumduma"/>
    <s v="MPG"/>
    <s v="Direct"/>
    <n v="407.8"/>
    <n v="15437.81"/>
    <n v="415.85"/>
    <n v="15920.73"/>
    <n v="0"/>
    <n v="0"/>
    <n v="415.85"/>
    <n v="15920.73"/>
    <n v="15437.81"/>
    <n v="0"/>
    <n v="0"/>
    <n v="482.92000000000007"/>
    <n v="0"/>
    <n v="0"/>
    <n v="0"/>
    <n v="15438"/>
    <n v="0"/>
    <n v="0"/>
    <n v="0"/>
    <n v="0"/>
  </r>
  <r>
    <x v="450"/>
    <s v="SUPOL"/>
    <s v="MPG"/>
    <s v="Direct"/>
    <n v="439"/>
    <n v="19484.550000000003"/>
    <n v="420.7"/>
    <n v="18737.68"/>
    <n v="15.8"/>
    <n v="730.16"/>
    <n v="436.5"/>
    <n v="19467.84"/>
    <n v="19467.84"/>
    <n v="0"/>
    <n v="259.60000000000002"/>
    <n v="0"/>
    <n v="0"/>
    <n v="0"/>
    <n v="0"/>
    <n v="18738"/>
    <n v="473"/>
    <n v="0"/>
    <n v="14"/>
    <n v="0"/>
  </r>
  <r>
    <x v="451"/>
    <s v="BHUSARAI"/>
    <s v="MPG"/>
    <s v="Direct"/>
    <n v="224.40000000000003"/>
    <n v="10155.019999999999"/>
    <n v="129.91"/>
    <n v="5716.77"/>
    <n v="96.84"/>
    <n v="4229.1900000000005"/>
    <n v="226.75"/>
    <n v="9945.9600000000009"/>
    <n v="9945.9600000000009"/>
    <n v="0"/>
    <n v="151.35"/>
    <n v="0"/>
    <n v="1400"/>
    <n v="0"/>
    <n v="0"/>
    <n v="4316"/>
    <n v="4078"/>
    <n v="0"/>
    <n v="210"/>
    <n v="0"/>
  </r>
  <r>
    <x v="452"/>
    <s v="Gomukha Jounapur"/>
    <s v="MPG"/>
    <s v="Indirect"/>
    <n v="161.75000000000003"/>
    <n v="7478.84"/>
    <n v="0"/>
    <n v="0"/>
    <n v="0"/>
    <n v="0"/>
    <n v="0"/>
    <n v="0"/>
    <n v="7478.84"/>
    <n v="0"/>
    <n v="0"/>
    <n v="0"/>
    <n v="7479"/>
    <n v="0"/>
    <n v="0"/>
    <n v="0"/>
    <n v="0"/>
    <n v="-0.15999999999985448"/>
    <n v="0"/>
    <n v="0"/>
  </r>
  <r>
    <x v="453"/>
    <s v="Patailliya"/>
    <s v="MPG"/>
    <s v="Indirect"/>
    <n v="185.60000000000002"/>
    <n v="7012.15"/>
    <n v="0"/>
    <n v="0"/>
    <n v="0"/>
    <n v="0"/>
    <n v="0"/>
    <n v="0"/>
    <n v="7012.15"/>
    <n v="0"/>
    <n v="0"/>
    <n v="0"/>
    <n v="0"/>
    <n v="0"/>
    <n v="0"/>
    <n v="0"/>
    <n v="0"/>
    <n v="7012.15"/>
    <n v="0"/>
    <n v="0"/>
  </r>
  <r>
    <x v="454"/>
    <s v="Badiya"/>
    <s v="MPG"/>
    <s v="Indirect"/>
    <n v="147.9"/>
    <n v="5134.42"/>
    <n v="0"/>
    <n v="0"/>
    <n v="0"/>
    <n v="0"/>
    <n v="0"/>
    <n v="0"/>
    <n v="5134.42"/>
    <n v="0"/>
    <n v="0"/>
    <n v="0"/>
    <n v="0"/>
    <n v="0"/>
    <n v="0"/>
    <n v="0"/>
    <n v="0"/>
    <n v="5134.42"/>
    <n v="0"/>
    <n v="0"/>
  </r>
  <r>
    <x v="455"/>
    <s v="Gomukh Tabhka"/>
    <s v="MPG"/>
    <s v="Direct"/>
    <n v="2574.6"/>
    <n v="108368.29"/>
    <n v="1345.9"/>
    <n v="63995.479999999996"/>
    <n v="1048.78"/>
    <n v="44369.609999999993"/>
    <n v="2394.6800000000003"/>
    <n v="108365.09"/>
    <n v="108365.09"/>
    <n v="0"/>
    <n v="862.80000000000007"/>
    <n v="0"/>
    <n v="0"/>
    <n v="0"/>
    <n v="0"/>
    <n v="63995"/>
    <n v="43507"/>
    <n v="0"/>
    <n v="3"/>
    <n v="0"/>
  </r>
  <r>
    <x v="456"/>
    <s v="Ghato"/>
    <s v="MPG"/>
    <s v="Indirect"/>
    <n v="33.050000000000004"/>
    <n v="1193.1000000000001"/>
    <n v="0"/>
    <n v="0"/>
    <n v="0"/>
    <n v="0"/>
    <n v="0"/>
    <n v="0"/>
    <n v="1193.1000000000001"/>
    <n v="0"/>
    <n v="0"/>
    <n v="0"/>
    <n v="0"/>
    <n v="0"/>
    <n v="0"/>
    <n v="0"/>
    <n v="0"/>
    <n v="1193.1000000000001"/>
    <n v="0"/>
    <n v="0"/>
  </r>
  <r>
    <x v="457"/>
    <s v="RAMNATHPUR                                                                                          "/>
    <s v="MPG"/>
    <s v="Direct"/>
    <n v="628.6"/>
    <n v="25257.61"/>
    <n v="415.98000000000008"/>
    <n v="16723.170000000002"/>
    <n v="217.42"/>
    <n v="8532.8700000000008"/>
    <n v="633.40000000000009"/>
    <n v="25256.04"/>
    <n v="25256.04"/>
    <n v="0"/>
    <n v="241.72000000000003"/>
    <n v="0"/>
    <n v="0"/>
    <n v="0"/>
    <n v="0"/>
    <n v="16723"/>
    <n v="8292"/>
    <n v="0"/>
    <n v="1"/>
    <n v="0"/>
  </r>
  <r>
    <x v="458"/>
    <s v="DESUA"/>
    <s v="MPG"/>
    <s v="Direct"/>
    <n v="453.9"/>
    <n v="20483.98"/>
    <n v="137.43"/>
    <n v="6422.2800000000007"/>
    <n v="318.09999999999997"/>
    <n v="14060.499999999996"/>
    <n v="455.53"/>
    <n v="20482.78"/>
    <n v="20482.78"/>
    <n v="0"/>
    <n v="208.98999999999998"/>
    <n v="0"/>
    <n v="0"/>
    <n v="0"/>
    <n v="0"/>
    <n v="6422"/>
    <n v="13852"/>
    <n v="0"/>
    <n v="1"/>
    <n v="0"/>
  </r>
  <r>
    <x v="459"/>
    <s v="Matior"/>
    <s v="MPG"/>
    <s v="Direct"/>
    <n v="235.1"/>
    <n v="8766.57"/>
    <n v="89.6"/>
    <n v="3536.7"/>
    <n v="137.52000000000001"/>
    <n v="5229.6299999999992"/>
    <n v="227.12"/>
    <n v="8766.3299999999981"/>
    <n v="8766.3299999999981"/>
    <n v="0"/>
    <n v="0"/>
    <n v="0"/>
    <n v="0"/>
    <n v="0"/>
    <n v="0"/>
    <n v="3537"/>
    <n v="5229"/>
    <n v="0"/>
    <n v="1"/>
    <n v="0"/>
  </r>
  <r>
    <x v="460"/>
    <s v="TELGAMA"/>
    <s v="MPG"/>
    <s v="Indirect"/>
    <n v="317.54999999999995"/>
    <n v="13131.24"/>
    <n v="0"/>
    <n v="0"/>
    <n v="0"/>
    <n v="0"/>
    <n v="0"/>
    <n v="0"/>
    <n v="13131.24"/>
    <n v="0"/>
    <n v="0"/>
    <n v="0"/>
    <n v="0"/>
    <n v="0"/>
    <n v="0"/>
    <n v="0"/>
    <n v="0"/>
    <n v="13131.24"/>
    <n v="0"/>
    <n v="0"/>
  </r>
  <r>
    <x v="461"/>
    <s v="GOMUKH TATARPUR"/>
    <s v="MPG"/>
    <s v="Direct"/>
    <n v="143.14999999999998"/>
    <n v="7882.51"/>
    <n v="135.9"/>
    <n v="7558.9699999999993"/>
    <n v="8.1000000000000014"/>
    <n v="321.04000000000002"/>
    <n v="144"/>
    <n v="7880.0099999999993"/>
    <n v="7880.0099999999993"/>
    <n v="0"/>
    <n v="0"/>
    <n v="0"/>
    <n v="0"/>
    <n v="500"/>
    <n v="0"/>
    <n v="7059"/>
    <n v="321"/>
    <n v="0"/>
    <n v="3"/>
    <n v="0"/>
  </r>
  <r>
    <x v="462"/>
    <s v="Gomukh Ghataho"/>
    <s v="MPG"/>
    <s v="Direct"/>
    <n v="2347.5499999999997"/>
    <n v="93253.92"/>
    <n v="1622.91"/>
    <n v="64972.570000000007"/>
    <n v="678.77"/>
    <n v="28278.49"/>
    <n v="2301.6800000000003"/>
    <n v="93251.060000000012"/>
    <n v="93251.060000000012"/>
    <n v="0"/>
    <n v="786.40999999999985"/>
    <n v="0"/>
    <n v="0"/>
    <n v="0"/>
    <n v="0"/>
    <n v="64974"/>
    <n v="27491"/>
    <n v="0"/>
    <n v="3"/>
    <n v="0"/>
  </r>
  <r>
    <x v="463"/>
    <s v="Kacha - Amarjeet"/>
    <s v="vlc"/>
    <s v="Indirect"/>
    <n v="275.84999999999997"/>
    <n v="12441.53"/>
    <n v="0"/>
    <n v="0"/>
    <n v="0"/>
    <n v="0"/>
    <n v="0"/>
    <n v="0"/>
    <n v="12441.53"/>
    <n v="0"/>
    <n v="0"/>
    <n v="0"/>
    <n v="3500"/>
    <n v="0"/>
    <n v="0"/>
    <n v="0"/>
    <n v="0"/>
    <n v="8941.5300000000007"/>
    <n v="0"/>
    <n v="0"/>
  </r>
  <r>
    <x v="464"/>
    <s v="Simri - Suman"/>
    <s v="vlc"/>
    <s v="Indirect"/>
    <n v="700"/>
    <n v="27734"/>
    <n v="0"/>
    <n v="0"/>
    <n v="0"/>
    <n v="0"/>
    <n v="0"/>
    <n v="0"/>
    <n v="27734"/>
    <n v="0"/>
    <n v="0"/>
    <n v="0"/>
    <n v="0"/>
    <n v="0"/>
    <n v="0"/>
    <n v="0"/>
    <n v="0"/>
    <n v="27734"/>
    <n v="0"/>
    <n v="0"/>
  </r>
  <r>
    <x v="465"/>
    <s v="Narenpur"/>
    <s v="MPG"/>
    <s v="Direct"/>
    <n v="339.1"/>
    <n v="13984.759999999998"/>
    <n v="78.210000000000008"/>
    <n v="3636.5399999999995"/>
    <n v="238.58"/>
    <n v="10342.730000000001"/>
    <n v="316.79000000000002"/>
    <n v="13979.27"/>
    <n v="13979.27"/>
    <n v="0"/>
    <n v="0"/>
    <n v="0"/>
    <n v="0"/>
    <n v="0"/>
    <n v="0"/>
    <n v="3636"/>
    <n v="10343"/>
    <n v="0"/>
    <n v="6"/>
    <n v="0"/>
  </r>
  <r>
    <x v="466"/>
    <s v="Mordiba"/>
    <s v="MPG"/>
    <s v="Direct"/>
    <n v="1614.3500000000001"/>
    <n v="66099.790000000008"/>
    <n v="1018.11"/>
    <n v="41756.520000000004"/>
    <n v="599.04000000000133"/>
    <n v="24342.65000000002"/>
    <n v="1617.1500000000015"/>
    <n v="66099.170000000027"/>
    <n v="66099.170000000027"/>
    <n v="0"/>
    <n v="53.98"/>
    <n v="0"/>
    <n v="4225"/>
    <n v="0"/>
    <n v="0"/>
    <n v="37528"/>
    <n v="24293"/>
    <n v="0"/>
    <n v="0"/>
    <n v="0"/>
  </r>
  <r>
    <x v="467"/>
    <s v="Jagdispur"/>
    <s v="MPG"/>
    <s v="Direct"/>
    <n v="144.35"/>
    <n v="5696.91"/>
    <n v="146.97999999999999"/>
    <n v="5581.1699999999992"/>
    <n v="0"/>
    <n v="0"/>
    <n v="146.97999999999999"/>
    <n v="5581.1699999999992"/>
    <n v="5581.1699999999992"/>
    <n v="0"/>
    <n v="0"/>
    <n v="0"/>
    <n v="0"/>
    <n v="0"/>
    <n v="0"/>
    <n v="5581"/>
    <n v="0"/>
    <n v="0"/>
    <n v="116"/>
    <n v="0"/>
  </r>
  <r>
    <x v="468"/>
    <s v="Chaklal Sahi_Vikrant"/>
    <s v="vlc"/>
    <s v="Indirect"/>
    <n v="4100"/>
    <n v="161224"/>
    <n v="0"/>
    <n v="0"/>
    <n v="0"/>
    <n v="0"/>
    <n v="0"/>
    <n v="0"/>
    <n v="161224"/>
    <n v="0"/>
    <n v="0"/>
    <n v="0"/>
    <n v="0"/>
    <n v="0"/>
    <n v="0"/>
    <n v="0"/>
    <n v="0"/>
    <n v="161224"/>
    <n v="0"/>
    <n v="0"/>
  </r>
  <r>
    <x v="470"/>
    <s v="Sarhad-Subodh"/>
    <s v="vlc"/>
    <s v="Indirect"/>
    <n v="183.75000000000003"/>
    <n v="6505.7000000000007"/>
    <n v="0"/>
    <n v="0"/>
    <n v="0"/>
    <n v="0"/>
    <n v="0"/>
    <n v="0"/>
    <n v="6505.7000000000007"/>
    <n v="0"/>
    <n v="0"/>
    <n v="0"/>
    <n v="0"/>
    <n v="0"/>
    <n v="0"/>
    <n v="0"/>
    <n v="0"/>
    <n v="6505.7000000000007"/>
    <n v="0"/>
    <n v="0"/>
  </r>
  <r>
    <x v="471"/>
    <s v="Suratpur"/>
    <s v="MPG"/>
    <s v="Direct"/>
    <n v="1034.2"/>
    <n v="41486.620000000003"/>
    <n v="136.84"/>
    <n v="5569.2000000000007"/>
    <n v="896.61999999999989"/>
    <n v="35915.800000000003"/>
    <n v="1033.4599999999998"/>
    <n v="41485"/>
    <n v="41485"/>
    <n v="0"/>
    <n v="0"/>
    <n v="0"/>
    <n v="1400"/>
    <n v="0"/>
    <n v="0"/>
    <n v="4169"/>
    <n v="35915"/>
    <n v="0"/>
    <n v="3"/>
    <n v="0"/>
  </r>
  <r>
    <x v="472"/>
    <s v="Beri"/>
    <s v="MPG"/>
    <s v="Direct"/>
    <n v="60.949999999999996"/>
    <n v="2797.02"/>
    <n v="50.05"/>
    <n v="2244.17"/>
    <n v="10.8"/>
    <n v="552.96"/>
    <n v="60.849999999999994"/>
    <n v="2797.13"/>
    <n v="2797.02"/>
    <n v="0"/>
    <n v="0"/>
    <n v="0.11000000000012733"/>
    <n v="2244"/>
    <n v="0"/>
    <n v="0"/>
    <n v="0"/>
    <n v="553"/>
    <n v="0"/>
    <n v="0"/>
    <n v="0"/>
  </r>
  <r>
    <x v="473"/>
    <s v="Mahmmadipur"/>
    <s v="MPG"/>
    <s v="Direct"/>
    <n v="2617.3000000000006"/>
    <n v="136352.97"/>
    <n v="620.46"/>
    <n v="33563.25"/>
    <n v="1925.2800000000002"/>
    <n v="102717.80999999998"/>
    <n v="2545.7400000000002"/>
    <n v="136281.06"/>
    <n v="136281.06"/>
    <n v="0"/>
    <n v="0"/>
    <n v="0"/>
    <n v="0"/>
    <n v="0"/>
    <n v="0"/>
    <n v="33564"/>
    <n v="102716"/>
    <n v="0"/>
    <n v="73"/>
    <n v="0"/>
  </r>
  <r>
    <x v="474"/>
    <s v="Simri-Rupesh"/>
    <s v="vlc"/>
    <s v="Indirect"/>
    <n v="157.25"/>
    <n v="6530.2099999999991"/>
    <n v="0"/>
    <n v="0"/>
    <n v="0"/>
    <n v="0"/>
    <n v="0"/>
    <n v="0"/>
    <n v="6530.2099999999991"/>
    <n v="0"/>
    <n v="0"/>
    <n v="0"/>
    <n v="0"/>
    <n v="0"/>
    <n v="0"/>
    <n v="0"/>
    <n v="0"/>
    <n v="6530.2099999999991"/>
    <n v="0"/>
    <n v="0"/>
  </r>
  <r>
    <x v="475"/>
    <s v="Mithilanchal Dairy Products"/>
    <s v="vlc"/>
    <s v="Indirect"/>
    <n v="7711.74"/>
    <n v="330602.36"/>
    <n v="0"/>
    <n v="0"/>
    <n v="0"/>
    <n v="0"/>
    <n v="0"/>
    <n v="0"/>
    <n v="330602.36"/>
    <n v="100000"/>
    <n v="0"/>
    <n v="0"/>
    <n v="0"/>
    <n v="0"/>
    <n v="0"/>
    <n v="0"/>
    <n v="0"/>
    <n v="230602.36"/>
    <n v="0"/>
    <s v="Release2"/>
  </r>
  <r>
    <x v="476"/>
    <s v="Gomukh Jhaura Tabhka"/>
    <s v="MPG"/>
    <s v="Direct"/>
    <n v="542.70000000000005"/>
    <n v="21088.61"/>
    <n v="507.95"/>
    <n v="20897.199999999993"/>
    <n v="5.2"/>
    <n v="191.29000000000002"/>
    <n v="513.15"/>
    <n v="21088.489999999994"/>
    <n v="21088.489999999994"/>
    <n v="0"/>
    <n v="57.74"/>
    <n v="0"/>
    <n v="1400"/>
    <n v="0"/>
    <n v="0"/>
    <n v="19497"/>
    <n v="133"/>
    <n v="0"/>
    <n v="1"/>
    <n v="0"/>
  </r>
  <r>
    <x v="477"/>
    <s v="Gomukh Mohanpur"/>
    <s v="MPG"/>
    <s v="Direct"/>
    <n v="390.94999999999993"/>
    <n v="15076.009999999998"/>
    <n v="148.07999999999998"/>
    <n v="5526.4699999999993"/>
    <n v="255.31"/>
    <n v="9543.56"/>
    <n v="403.39"/>
    <n v="15070.029999999999"/>
    <n v="15070.029999999999"/>
    <n v="0"/>
    <n v="672.9799999999999"/>
    <n v="0"/>
    <n v="0"/>
    <n v="0"/>
    <n v="0"/>
    <n v="5527"/>
    <n v="8870"/>
    <n v="0"/>
    <n v="6"/>
    <n v="0"/>
  </r>
  <r>
    <x v="478"/>
    <s v="Gomukh Bochaha"/>
    <s v="MPG"/>
    <s v="Direct"/>
    <n v="1264.5999999999999"/>
    <n v="58919.270000000004"/>
    <n v="240.76"/>
    <n v="10705.28"/>
    <n v="1086.77"/>
    <n v="48328.12"/>
    <n v="1327.53"/>
    <n v="59033.4"/>
    <n v="58919.270000000004"/>
    <n v="0"/>
    <n v="0"/>
    <n v="114.12999999999738"/>
    <n v="0"/>
    <n v="0"/>
    <n v="0"/>
    <n v="10590"/>
    <n v="48329"/>
    <n v="0"/>
    <n v="0"/>
    <n v="0"/>
  </r>
  <r>
    <x v="479"/>
    <s v="Gomukh Terganj"/>
    <s v="MPG"/>
    <s v="Direct"/>
    <n v="179.55"/>
    <n v="7681.37"/>
    <n v="179.55"/>
    <n v="7471.6900000000005"/>
    <n v="5.3000000000000007"/>
    <n v="194.56"/>
    <n v="184.85000000000002"/>
    <n v="7666.2500000000009"/>
    <n v="7666.2500000000009"/>
    <n v="0"/>
    <n v="0"/>
    <n v="0"/>
    <n v="0"/>
    <n v="500"/>
    <n v="0"/>
    <n v="6972"/>
    <n v="195"/>
    <n v="0"/>
    <n v="14"/>
    <n v="0"/>
  </r>
  <r>
    <x v="480"/>
    <s v="Gomukh Chapra"/>
    <s v="vlc"/>
    <s v="Indirect"/>
    <n v="2069.0500000000002"/>
    <n v="105630.45"/>
    <n v="0"/>
    <n v="0"/>
    <n v="0"/>
    <n v="0"/>
    <n v="0"/>
    <n v="0"/>
    <n v="105630.45"/>
    <n v="0"/>
    <n v="0"/>
    <n v="0"/>
    <n v="0"/>
    <n v="0"/>
    <n v="0"/>
    <n v="0"/>
    <n v="0"/>
    <n v="105630.45"/>
    <n v="0"/>
    <n v="0"/>
  </r>
  <r>
    <x v="481"/>
    <s v="GOMUKH Chiranjipur"/>
    <s v="vlc"/>
    <s v="Indirect"/>
    <n v="9908"/>
    <n v="397709.66000000003"/>
    <n v="0"/>
    <n v="0"/>
    <n v="0"/>
    <n v="0"/>
    <n v="0"/>
    <n v="0"/>
    <n v="397709.66000000003"/>
    <n v="0"/>
    <n v="0"/>
    <n v="0"/>
    <n v="0"/>
    <n v="0"/>
    <n v="0"/>
    <n v="0"/>
    <n v="0"/>
    <n v="397709.66000000003"/>
    <n v="0"/>
    <n v="0"/>
  </r>
  <r>
    <x v="482"/>
    <s v="Gomukh Sahu Tol"/>
    <s v="vlc"/>
    <s v="Indirect"/>
    <n v="1824.3"/>
    <n v="74623.649999999994"/>
    <n v="0"/>
    <n v="0"/>
    <n v="0"/>
    <n v="0"/>
    <n v="0"/>
    <n v="0"/>
    <n v="74623.649999999994"/>
    <n v="0"/>
    <n v="0"/>
    <n v="0"/>
    <n v="1855"/>
    <n v="0"/>
    <n v="0"/>
    <n v="0"/>
    <n v="0"/>
    <n v="72768.649999999994"/>
    <n v="0"/>
    <n v="0"/>
  </r>
  <r>
    <x v="483"/>
    <s v="Gomukh Mordiwa East"/>
    <s v="MPG"/>
    <s v="Direct"/>
    <n v="1283"/>
    <n v="51816.860000000008"/>
    <n v="265.24"/>
    <n v="10594.02"/>
    <n v="1027.4299999999998"/>
    <n v="41210.69000000001"/>
    <n v="1292.6699999999998"/>
    <n v="51804.710000000006"/>
    <n v="51804.710000000006"/>
    <n v="0"/>
    <n v="0"/>
    <n v="0"/>
    <n v="2800"/>
    <n v="0"/>
    <n v="0"/>
    <n v="7794"/>
    <n v="41210"/>
    <n v="0"/>
    <n v="13"/>
    <n v="0"/>
  </r>
  <r>
    <x v="484"/>
    <s v="Gomukh Belamegh"/>
    <s v="vlc"/>
    <s v="Indirect"/>
    <n v="1150"/>
    <n v="44615.199999999997"/>
    <n v="0"/>
    <n v="0"/>
    <n v="0"/>
    <n v="0"/>
    <n v="0"/>
    <n v="0"/>
    <n v="44615.199999999997"/>
    <n v="0"/>
    <n v="0"/>
    <n v="0"/>
    <n v="0"/>
    <n v="0"/>
    <n v="0"/>
    <n v="0"/>
    <n v="0"/>
    <n v="44615.199999999997"/>
    <n v="0"/>
    <n v="0"/>
  </r>
  <r>
    <x v="485"/>
    <s v="Gomukh Ramaiya"/>
    <s v="MPG"/>
    <s v="Direct"/>
    <n v="701.45"/>
    <n v="28445.009999999995"/>
    <n v="671.44999999999993"/>
    <n v="27023.010000000006"/>
    <n v="33.6"/>
    <n v="1418.4499999999998"/>
    <n v="705.05"/>
    <n v="28441.460000000006"/>
    <n v="28441.460000000006"/>
    <n v="0"/>
    <n v="0"/>
    <n v="0"/>
    <n v="0"/>
    <n v="0"/>
    <n v="0"/>
    <n v="27023"/>
    <n v="1420"/>
    <n v="0"/>
    <n v="2"/>
    <n v="0"/>
  </r>
  <r>
    <x v="486"/>
    <s v="GOMUKH MANIKA EAST"/>
    <s v="MPG"/>
    <s v="Direct"/>
    <n v="573.15000000000009"/>
    <n v="22187.139999999996"/>
    <n v="347.2"/>
    <n v="14405.84"/>
    <n v="181.89999999999998"/>
    <n v="7758.8700000000008"/>
    <n v="529.09999999999991"/>
    <n v="22164.71"/>
    <n v="22164.71"/>
    <n v="0"/>
    <n v="0"/>
    <n v="0"/>
    <n v="0"/>
    <n v="0"/>
    <n v="0"/>
    <n v="14405"/>
    <n v="7759"/>
    <n v="0"/>
    <n v="23"/>
    <n v="0"/>
  </r>
  <r>
    <x v="487"/>
    <s v="IMADPUR"/>
    <s v="vlc"/>
    <s v="Indirect"/>
    <n v="1565.6000000000001"/>
    <n v="59082.510000000009"/>
    <n v="0"/>
    <n v="0"/>
    <n v="0"/>
    <n v="0"/>
    <n v="0"/>
    <n v="0"/>
    <n v="59082.510000000009"/>
    <n v="0"/>
    <n v="0"/>
    <n v="0"/>
    <n v="0"/>
    <n v="0"/>
    <n v="0"/>
    <n v="0"/>
    <n v="0"/>
    <n v="59082.510000000009"/>
    <n v="0"/>
    <n v="0"/>
  </r>
  <r>
    <x v="488"/>
    <s v="GOMUKH Kisanpur Tabhka"/>
    <s v="MPG"/>
    <s v="Direct"/>
    <n v="983.6"/>
    <n v="40514.870000000003"/>
    <n v="183"/>
    <n v="7448.42"/>
    <n v="800.75000000000011"/>
    <n v="33065.619999999995"/>
    <n v="983.75000000000011"/>
    <n v="40514.039999999994"/>
    <n v="40514.039999999994"/>
    <n v="0"/>
    <n v="55.85"/>
    <n v="0"/>
    <n v="0"/>
    <n v="0"/>
    <n v="0"/>
    <n v="7449"/>
    <n v="33010"/>
    <n v="0"/>
    <n v="0"/>
    <n v="0"/>
  </r>
  <r>
    <x v="489"/>
    <s v="GOMUKH BIBHUTIPUR"/>
    <s v="MPG"/>
    <s v="Direct"/>
    <n v="75.050000000000011"/>
    <n v="2913.0099999999998"/>
    <n v="74.56"/>
    <n v="2912.0699999999997"/>
    <n v="0"/>
    <n v="0"/>
    <n v="74.56"/>
    <n v="2912.0699999999997"/>
    <n v="2912.0699999999997"/>
    <n v="0"/>
    <n v="0"/>
    <n v="0"/>
    <n v="0"/>
    <n v="500"/>
    <n v="0"/>
    <n v="2412"/>
    <n v="0"/>
    <n v="0"/>
    <n v="1"/>
    <s v="Release2"/>
  </r>
  <r>
    <x v="490"/>
    <s v="GOMUKH PATHAKTOL"/>
    <s v="MPG"/>
    <s v="Direct"/>
    <n v="156.95000000000002"/>
    <n v="6680.9999999999991"/>
    <n v="106.3"/>
    <n v="4599.57"/>
    <n v="54.899999999999991"/>
    <n v="2017.09"/>
    <n v="161.19999999999999"/>
    <n v="6616.66"/>
    <n v="6616.66"/>
    <n v="0"/>
    <n v="0"/>
    <n v="0"/>
    <n v="0"/>
    <n v="500"/>
    <n v="0"/>
    <n v="4100"/>
    <n v="2017"/>
    <n v="0"/>
    <n v="64"/>
    <n v="0"/>
  </r>
  <r>
    <x v="491"/>
    <s v="Gomukh Musapur West"/>
    <s v="vlc"/>
    <s v="Indirect"/>
    <n v="1745.55"/>
    <n v="69044.44"/>
    <n v="0"/>
    <n v="0"/>
    <n v="0"/>
    <n v="0"/>
    <n v="0"/>
    <n v="0"/>
    <n v="69044.44"/>
    <n v="0"/>
    <n v="0"/>
    <n v="0"/>
    <n v="0"/>
    <n v="0"/>
    <n v="0"/>
    <n v="0"/>
    <n v="0"/>
    <n v="69044.44"/>
    <n v="0"/>
    <n v="0"/>
  </r>
  <r>
    <x v="492"/>
    <s v="GOMUKH DADHIYA RAMKRISHANPUR"/>
    <s v="MPG"/>
    <s v="Direct"/>
    <n v="1460.5999999999995"/>
    <n v="64066.520000000019"/>
    <n v="374.59999999999997"/>
    <n v="14754.14"/>
    <n v="1139.0999999999999"/>
    <n v="49307.68"/>
    <n v="1513.6999999999998"/>
    <n v="64061.82"/>
    <n v="64061.82"/>
    <n v="0"/>
    <n v="2841.32"/>
    <n v="0"/>
    <n v="0"/>
    <n v="0"/>
    <n v="0"/>
    <n v="14753"/>
    <n v="46466"/>
    <n v="0"/>
    <n v="6"/>
    <n v="0"/>
  </r>
  <r>
    <x v="494"/>
    <s v="GOMUKH BALTHARA"/>
    <s v="MPG"/>
    <s v="Direct"/>
    <n v="403.70000000000005"/>
    <n v="16323.510000000002"/>
    <n v="251.48999999999998"/>
    <n v="10112.759999999998"/>
    <n v="155.46"/>
    <n v="6203.920000000001"/>
    <n v="406.95"/>
    <n v="16316.68"/>
    <n v="16316.68"/>
    <n v="0"/>
    <n v="0"/>
    <n v="0"/>
    <n v="0"/>
    <n v="0"/>
    <n v="0"/>
    <n v="10113"/>
    <n v="6203"/>
    <n v="0"/>
    <n v="8"/>
    <n v="0"/>
  </r>
  <r>
    <x v="495"/>
    <s v="GOMUKH BHASINGPUR"/>
    <s v="MPG"/>
    <s v="Direct"/>
    <n v="1177.6999999999998"/>
    <n v="50680.229999999989"/>
    <n v="505.43999999999994"/>
    <n v="20911.810000000001"/>
    <n v="690.31"/>
    <n v="29761.919999999995"/>
    <n v="1195.75"/>
    <n v="50673.729999999996"/>
    <n v="50673.729999999996"/>
    <n v="0"/>
    <n v="0"/>
    <n v="0"/>
    <n v="108"/>
    <n v="0"/>
    <n v="0"/>
    <n v="20804"/>
    <n v="29761"/>
    <n v="0"/>
    <n v="7"/>
    <n v="0"/>
  </r>
  <r>
    <x v="496"/>
    <s v="GOMUKH Chakhale Dad"/>
    <s v="MPG"/>
    <s v="Direct"/>
    <n v="984.14999999999975"/>
    <n v="38918.709999999992"/>
    <n v="609.79"/>
    <n v="24729.29"/>
    <n v="370.00000000000011"/>
    <n v="14179.220000000003"/>
    <n v="979.79000000000008"/>
    <n v="38908.51"/>
    <n v="38908.51"/>
    <n v="0"/>
    <n v="135.54999999999998"/>
    <n v="0"/>
    <n v="0"/>
    <n v="0"/>
    <n v="0"/>
    <n v="24730"/>
    <n v="14042"/>
    <n v="0"/>
    <n v="11"/>
    <n v="0"/>
  </r>
  <r>
    <x v="497"/>
    <s v="Gomukh Simri"/>
    <s v="vlc"/>
    <s v="Indirect"/>
    <n v="844.79999999999984"/>
    <n v="35082.22"/>
    <n v="0"/>
    <n v="0"/>
    <n v="0"/>
    <n v="0"/>
    <n v="0"/>
    <n v="0"/>
    <n v="35082.22"/>
    <n v="0"/>
    <n v="0"/>
    <n v="0"/>
    <n v="0"/>
    <n v="0"/>
    <n v="0"/>
    <n v="0"/>
    <n v="0"/>
    <n v="35082.22"/>
    <n v="0"/>
    <n v="0"/>
  </r>
  <r>
    <x v="498"/>
    <s v="GOMUKH BANGHARH KISHANPUR"/>
    <s v="MPG"/>
    <s v="Direct"/>
    <n v="606.79999999999995"/>
    <n v="22422.09"/>
    <n v="173.22"/>
    <n v="6223.6200000000008"/>
    <n v="546.02"/>
    <n v="20361.070000000003"/>
    <n v="719.24"/>
    <n v="26584.690000000002"/>
    <n v="22422.09"/>
    <n v="0"/>
    <n v="59.980000000000004"/>
    <n v="4162.6000000000022"/>
    <n v="0"/>
    <n v="0"/>
    <n v="0"/>
    <n v="2061"/>
    <n v="20301"/>
    <n v="0"/>
    <n v="0"/>
    <n v="0"/>
  </r>
  <r>
    <x v="499"/>
    <s v="Gomukh Serpur Narsari"/>
    <s v="vlc"/>
    <s v="Indirect"/>
    <n v="264.10000000000002"/>
    <n v="10082.560000000001"/>
    <n v="0"/>
    <n v="0"/>
    <n v="0"/>
    <n v="0"/>
    <n v="0"/>
    <n v="0"/>
    <n v="10082.560000000001"/>
    <n v="0"/>
    <n v="0"/>
    <n v="0"/>
    <n v="0"/>
    <n v="0"/>
    <n v="0"/>
    <n v="0"/>
    <n v="0"/>
    <n v="10082.560000000001"/>
    <n v="0"/>
    <n v="0"/>
  </r>
  <r>
    <x v="500"/>
    <s v="PARORIYA"/>
    <s v="MPG"/>
    <s v="Direct"/>
    <n v="81"/>
    <n v="2548.0100000000002"/>
    <n v="80.5"/>
    <n v="2519.0200000000004"/>
    <n v="0.8"/>
    <n v="22.560000000000002"/>
    <n v="81.3"/>
    <n v="2541.5800000000004"/>
    <n v="2541.5800000000004"/>
    <n v="0"/>
    <n v="22.560000000000002"/>
    <n v="0"/>
    <n v="0"/>
    <n v="0"/>
    <n v="0"/>
    <n v="2519"/>
    <n v="0"/>
    <n v="0"/>
    <n v="6"/>
    <n v="0"/>
  </r>
  <r>
    <x v="501"/>
    <s v="JHAKHRA"/>
    <s v="MPG"/>
    <s v="Indirect"/>
    <n v="47.399999999999991"/>
    <n v="1709.88"/>
    <n v="0"/>
    <n v="0"/>
    <n v="0"/>
    <n v="0"/>
    <n v="0"/>
    <n v="0"/>
    <n v="1709.88"/>
    <n v="0"/>
    <n v="0"/>
    <n v="0"/>
    <n v="0"/>
    <n v="0"/>
    <n v="0"/>
    <n v="0"/>
    <n v="0"/>
    <n v="1709.88"/>
    <n v="0"/>
    <n v="0"/>
  </r>
  <r>
    <x v="502"/>
    <s v="GOMUKH ANDAHA"/>
    <s v="MPG"/>
    <s v="Direct"/>
    <n v="481.79999999999995"/>
    <n v="18994.999999999996"/>
    <n v="486.99"/>
    <n v="18985.34"/>
    <n v="0"/>
    <n v="0"/>
    <n v="486.99"/>
    <n v="18985.34"/>
    <n v="18985.34"/>
    <n v="0"/>
    <n v="0"/>
    <n v="0"/>
    <n v="822"/>
    <n v="0"/>
    <n v="0"/>
    <n v="18164"/>
    <n v="0"/>
    <n v="0"/>
    <n v="9"/>
    <n v="0"/>
  </r>
  <r>
    <x v="503"/>
    <s v="Gomukha Rohua"/>
    <s v="MPG"/>
    <s v="Direct"/>
    <n v="425.6"/>
    <n v="17514.099999999999"/>
    <n v="408.31000000000006"/>
    <n v="17207.66"/>
    <n v="6.6800000000000006"/>
    <n v="279.5"/>
    <n v="414.99000000000007"/>
    <n v="17487.16"/>
    <n v="17487.16"/>
    <n v="0"/>
    <n v="201.74"/>
    <n v="0"/>
    <n v="0"/>
    <n v="0"/>
    <n v="0"/>
    <n v="17207"/>
    <n v="78"/>
    <n v="0"/>
    <n v="27"/>
    <n v="0"/>
  </r>
  <r>
    <x v="504"/>
    <s v="Gomukha Arniya Ganj"/>
    <s v="MPG"/>
    <s v="Direct"/>
    <n v="2683.8"/>
    <n v="102840.04000000001"/>
    <n v="1353.7000000000003"/>
    <n v="53438.489999999991"/>
    <n v="1283.9000000000001"/>
    <n v="49398.639999999992"/>
    <n v="2637.6000000000004"/>
    <n v="102837.12999999998"/>
    <n v="102837.12999999998"/>
    <n v="0"/>
    <n v="1305.4600000000003"/>
    <n v="0"/>
    <n v="0"/>
    <n v="0"/>
    <n v="0"/>
    <n v="53438"/>
    <n v="48092"/>
    <n v="0"/>
    <n v="5"/>
    <n v="0"/>
  </r>
  <r>
    <x v="505"/>
    <s v="Gomukha Vishanupatti II"/>
    <s v="MPG"/>
    <s v="Indirect"/>
    <n v="653.79999999999995"/>
    <n v="25405.309999999998"/>
    <n v="0"/>
    <n v="0"/>
    <n v="0"/>
    <n v="0"/>
    <n v="0"/>
    <n v="0"/>
    <n v="25405.309999999998"/>
    <n v="0"/>
    <n v="0"/>
    <n v="0"/>
    <n v="1400"/>
    <n v="0"/>
    <n v="0"/>
    <n v="0"/>
    <n v="0"/>
    <n v="24005.309999999998"/>
    <n v="0"/>
    <n v="0"/>
  </r>
  <r>
    <x v="506"/>
    <s v="Gomukh Khesarhiya"/>
    <s v="MPG"/>
    <s v="Indirect"/>
    <n v="234"/>
    <n v="10283.49"/>
    <n v="0"/>
    <n v="0"/>
    <n v="0"/>
    <n v="0"/>
    <n v="0"/>
    <n v="0"/>
    <n v="10283.49"/>
    <n v="0"/>
    <n v="0"/>
    <n v="0"/>
    <n v="0"/>
    <n v="0"/>
    <n v="0"/>
    <n v="0"/>
    <n v="0"/>
    <n v="10283.49"/>
    <n v="0"/>
    <n v="0"/>
  </r>
  <r>
    <x v="507"/>
    <s v="Harsingpur"/>
    <s v="MPG"/>
    <s v="Indirect"/>
    <n v="443.49999999999994"/>
    <n v="14588.98"/>
    <n v="0"/>
    <n v="0"/>
    <n v="0"/>
    <n v="0"/>
    <n v="0"/>
    <n v="0"/>
    <n v="14588.98"/>
    <n v="0"/>
    <n v="0"/>
    <n v="0"/>
    <n v="1400"/>
    <n v="0"/>
    <n v="0"/>
    <n v="0"/>
    <n v="0"/>
    <n v="13188.98"/>
    <n v="0"/>
    <n v="0"/>
  </r>
  <r>
    <x v="508"/>
    <s v="Gomukh ID Mahathi"/>
    <s v="vlc"/>
    <s v="Indirect"/>
    <n v="598.30000000000007"/>
    <n v="24401.760000000002"/>
    <n v="0"/>
    <n v="0"/>
    <n v="0"/>
    <n v="0"/>
    <n v="0"/>
    <n v="0"/>
    <n v="24401.760000000002"/>
    <n v="0"/>
    <n v="0"/>
    <n v="0"/>
    <n v="0"/>
    <n v="0"/>
    <n v="0"/>
    <n v="0"/>
    <n v="0"/>
    <n v="24401.760000000002"/>
    <n v="0"/>
    <n v="0"/>
  </r>
  <r>
    <x v="509"/>
    <s v="MURTUJAPUR"/>
    <s v="MPG"/>
    <s v="Indirect"/>
    <n v="530"/>
    <n v="21021.989999999998"/>
    <n v="0"/>
    <n v="0"/>
    <n v="0"/>
    <n v="0"/>
    <n v="0"/>
    <n v="0"/>
    <n v="21021.989999999998"/>
    <n v="0"/>
    <n v="0"/>
    <n v="0"/>
    <n v="3100"/>
    <n v="0"/>
    <n v="0"/>
    <n v="0"/>
    <n v="0"/>
    <n v="17921.989999999998"/>
    <n v="0"/>
    <n v="0"/>
  </r>
  <r>
    <x v="510"/>
    <s v="Rasalpur"/>
    <s v="MPG"/>
    <s v="Direct"/>
    <n v="234"/>
    <n v="10990.8"/>
    <n v="69.429999999999993"/>
    <n v="3434.62"/>
    <n v="159.79999999999998"/>
    <n v="7630.9"/>
    <n v="229.22999999999996"/>
    <n v="11065.52"/>
    <n v="10990.8"/>
    <n v="0"/>
    <n v="119.64"/>
    <n v="74.720000000001164"/>
    <n v="0"/>
    <n v="500"/>
    <n v="0"/>
    <n v="2859"/>
    <n v="7512"/>
    <n v="0"/>
    <n v="0"/>
    <n v="0"/>
  </r>
  <r>
    <x v="511"/>
    <s v="Gomukh VISHNUPATTI"/>
    <s v="MPG"/>
    <s v="Indirect"/>
    <n v="79.3"/>
    <n v="3026.1899999999996"/>
    <n v="0"/>
    <n v="0"/>
    <n v="0"/>
    <n v="0"/>
    <n v="0"/>
    <n v="0"/>
    <n v="3026.1899999999996"/>
    <n v="0"/>
    <n v="0"/>
    <n v="0"/>
    <n v="0"/>
    <n v="0"/>
    <n v="0"/>
    <n v="0"/>
    <n v="0"/>
    <n v="3026.1899999999996"/>
    <n v="0"/>
    <n v="0"/>
  </r>
  <r>
    <x v="512"/>
    <s v="Chhuchhipur                                                                                         "/>
    <s v="MPG"/>
    <s v="Direct"/>
    <n v="136.19999999999999"/>
    <n v="5164.9000000000005"/>
    <n v="96.2"/>
    <n v="3682.18"/>
    <n v="39.5"/>
    <n v="1471.3000000000002"/>
    <n v="135.69999999999999"/>
    <n v="5153.4799999999996"/>
    <n v="5153.4799999999996"/>
    <n v="0"/>
    <n v="16.07"/>
    <n v="0"/>
    <n v="0"/>
    <n v="0"/>
    <n v="0"/>
    <n v="3682"/>
    <n v="1455"/>
    <n v="0"/>
    <n v="12"/>
    <n v="0"/>
  </r>
  <r>
    <x v="513"/>
    <s v="Gomukh ID Sararanjan"/>
    <s v="vlc"/>
    <s v="Indirect"/>
    <n v="84.6"/>
    <n v="2981.35"/>
    <n v="0"/>
    <n v="0"/>
    <n v="0"/>
    <n v="0"/>
    <n v="0"/>
    <n v="0"/>
    <n v="2981.35"/>
    <n v="0"/>
    <n v="0"/>
    <n v="0"/>
    <n v="2981"/>
    <n v="0"/>
    <n v="0"/>
    <n v="0"/>
    <n v="0"/>
    <n v="0.34999999999990905"/>
    <n v="0"/>
    <n v="0"/>
  </r>
  <r>
    <x v="515"/>
    <s v="Birnama"/>
    <s v="vlc"/>
    <s v="Indirect"/>
    <n v="1334.1"/>
    <n v="37223.019999999997"/>
    <n v="0"/>
    <n v="0"/>
    <n v="0"/>
    <n v="0"/>
    <n v="0"/>
    <n v="0"/>
    <n v="37223.019999999997"/>
    <n v="0"/>
    <n v="0"/>
    <n v="0"/>
    <n v="0"/>
    <n v="0"/>
    <n v="0"/>
    <n v="0"/>
    <n v="0"/>
    <n v="37223.019999999997"/>
    <n v="0"/>
    <n v="0"/>
  </r>
  <r>
    <x v="516"/>
    <s v="Maraie - Rubi"/>
    <s v="vlc"/>
    <s v="Indirect"/>
    <n v="54.7"/>
    <n v="2208.09"/>
    <n v="0"/>
    <n v="0"/>
    <n v="0"/>
    <n v="0"/>
    <n v="0"/>
    <n v="0"/>
    <n v="2208.09"/>
    <n v="0"/>
    <n v="0"/>
    <n v="0"/>
    <n v="0"/>
    <n v="0"/>
    <n v="0"/>
    <n v="0"/>
    <n v="0"/>
    <n v="2208.09"/>
    <n v="0"/>
    <n v="0"/>
  </r>
  <r>
    <x v="517"/>
    <s v="Arniya East Tola - Seema"/>
    <s v="vlc"/>
    <s v="Indirect"/>
    <n v="6.6"/>
    <n v="242.22"/>
    <n v="0"/>
    <n v="0"/>
    <n v="0"/>
    <n v="0"/>
    <n v="0"/>
    <n v="0"/>
    <n v="242.22"/>
    <n v="0"/>
    <n v="0"/>
    <n v="0"/>
    <n v="0"/>
    <n v="0"/>
    <n v="0"/>
    <n v="0"/>
    <n v="0"/>
    <n v="242.22"/>
    <n v="0"/>
    <n v="0"/>
  </r>
  <r>
    <x v="518"/>
    <s v="Lakshmipur Western Tol - Rajeev"/>
    <s v="MPG"/>
    <s v="Indirect"/>
    <n v="1988.9"/>
    <n v="90062.02"/>
    <n v="0"/>
    <n v="0"/>
    <n v="0"/>
    <n v="0"/>
    <n v="0"/>
    <n v="0"/>
    <n v="90062.02"/>
    <n v="0"/>
    <n v="0"/>
    <n v="0"/>
    <n v="0"/>
    <n v="0"/>
    <n v="0"/>
    <n v="0"/>
    <n v="0"/>
    <n v="90062.02"/>
    <n v="0"/>
    <n v="0"/>
  </r>
  <r>
    <x v="519"/>
    <s v="Jahangipur Salkhanni"/>
    <s v="MPG"/>
    <s v="Direct"/>
    <n v="287.40000000000003"/>
    <n v="13226.19"/>
    <n v="424.14"/>
    <n v="20201.41"/>
    <n v="25.43"/>
    <n v="1645.8000000000002"/>
    <n v="449.57"/>
    <n v="21847.21"/>
    <n v="13226.19"/>
    <n v="0"/>
    <n v="0"/>
    <n v="8621.0199999999986"/>
    <n v="1400"/>
    <n v="0"/>
    <n v="0"/>
    <n v="10180"/>
    <n v="1646"/>
    <n v="0"/>
    <n v="0"/>
    <n v="0"/>
  </r>
  <r>
    <x v="520"/>
    <s v="Sekhpura"/>
    <s v="MPG"/>
    <s v="Direct"/>
    <n v="261.2"/>
    <n v="10244.079999999998"/>
    <n v="263.48"/>
    <n v="10149.969999999998"/>
    <n v="2.72"/>
    <n v="102.17"/>
    <n v="266.20000000000005"/>
    <n v="10252.139999999998"/>
    <n v="10244.079999999998"/>
    <n v="0"/>
    <n v="102.17"/>
    <n v="8.0599999999994907"/>
    <n v="0"/>
    <n v="0"/>
    <n v="0"/>
    <n v="10142"/>
    <n v="0"/>
    <n v="0"/>
    <n v="0"/>
    <n v="0"/>
  </r>
  <r>
    <x v="521"/>
    <s v="Songar"/>
    <s v="MPG"/>
    <s v="Direct"/>
    <n v="1049.3"/>
    <n v="38040.33"/>
    <n v="822.49999999999989"/>
    <n v="30008.280000000006"/>
    <n v="219.3"/>
    <n v="8004.6"/>
    <n v="1041.8"/>
    <n v="38012.880000000005"/>
    <n v="38012.880000000005"/>
    <n v="0"/>
    <n v="398.65000000000003"/>
    <n v="0"/>
    <n v="15500"/>
    <n v="0"/>
    <n v="0"/>
    <n v="18793"/>
    <n v="3323"/>
    <n v="0"/>
    <n v="26"/>
    <s v="Release1"/>
  </r>
  <r>
    <x v="522"/>
    <s v="Rampur Maheshpur"/>
    <s v="MPG"/>
    <s v="Direct"/>
    <n v="808.1"/>
    <n v="33355.020000000004"/>
    <n v="168.94"/>
    <n v="8589.0499999999993"/>
    <n v="638.25"/>
    <n v="24784.04"/>
    <n v="807.19"/>
    <n v="33373.089999999997"/>
    <n v="33355.020000000004"/>
    <n v="0"/>
    <n v="0"/>
    <n v="18.069999999992433"/>
    <n v="0"/>
    <n v="0"/>
    <n v="0"/>
    <n v="8570"/>
    <n v="24785"/>
    <n v="0"/>
    <n v="0"/>
    <n v="0"/>
  </r>
  <r>
    <x v="523"/>
    <s v="Godhiyari"/>
    <s v="vlc"/>
    <s v="Indirect"/>
    <n v="1386.8"/>
    <n v="44834.66"/>
    <n v="0"/>
    <n v="0"/>
    <n v="0"/>
    <n v="0"/>
    <n v="0"/>
    <n v="0"/>
    <n v="44834.66"/>
    <n v="0"/>
    <n v="0"/>
    <n v="0"/>
    <n v="1400"/>
    <n v="0"/>
    <n v="0"/>
    <n v="0"/>
    <n v="0"/>
    <n v="43434.66"/>
    <n v="0"/>
    <n v="0"/>
  </r>
  <r>
    <x v="524"/>
    <s v="Hussainipur Gobindpur"/>
    <s v="vlc"/>
    <s v="Indirect"/>
    <n v="678"/>
    <n v="28235.5"/>
    <n v="0"/>
    <n v="0"/>
    <n v="0"/>
    <n v="0"/>
    <n v="0"/>
    <n v="0"/>
    <n v="28235.5"/>
    <n v="0"/>
    <n v="0"/>
    <n v="0"/>
    <n v="0"/>
    <n v="0"/>
    <n v="0"/>
    <n v="0"/>
    <n v="0"/>
    <n v="28235.5"/>
    <n v="0"/>
    <n v="0"/>
  </r>
  <r>
    <x v="525"/>
    <s v="Jhakhra-Rambilash"/>
    <s v="vlc"/>
    <s v="Indirect"/>
    <n v="476.90000000000003"/>
    <n v="19376.549999999996"/>
    <n v="0"/>
    <n v="0"/>
    <n v="0"/>
    <n v="0"/>
    <n v="0"/>
    <n v="0"/>
    <n v="19376.549999999996"/>
    <n v="0"/>
    <n v="0"/>
    <n v="0"/>
    <n v="0"/>
    <n v="0"/>
    <n v="0"/>
    <n v="0"/>
    <n v="0"/>
    <n v="19376.549999999996"/>
    <n v="0"/>
    <n v="0"/>
  </r>
  <r>
    <x v="526"/>
    <s v="Dagarua"/>
    <s v="MPG"/>
    <s v="Direct"/>
    <n v="940.59999999999991"/>
    <n v="36088.959999999999"/>
    <n v="384.24000000000007"/>
    <n v="14143.539999999997"/>
    <n v="550.32000000000005"/>
    <n v="21924.859999999997"/>
    <n v="934.56000000000017"/>
    <n v="36068.399999999994"/>
    <n v="36068.399999999994"/>
    <n v="0"/>
    <n v="111.78999999999999"/>
    <n v="0"/>
    <n v="0"/>
    <n v="0"/>
    <n v="0"/>
    <n v="14144"/>
    <n v="21815"/>
    <n v="0"/>
    <n v="18"/>
    <n v="0"/>
  </r>
  <r>
    <x v="527"/>
    <s v="Chakmilki"/>
    <s v="MPG"/>
    <s v="Direct"/>
    <n v="221.60000000000002"/>
    <n v="8217.89"/>
    <n v="92.009999999999991"/>
    <n v="3632.6399999999994"/>
    <n v="126.71"/>
    <n v="4567.6799999999994"/>
    <n v="218.71999999999997"/>
    <n v="8200.32"/>
    <n v="8200.32"/>
    <n v="0"/>
    <n v="208.79"/>
    <n v="0"/>
    <n v="0"/>
    <n v="0"/>
    <n v="0"/>
    <n v="3633"/>
    <n v="4359"/>
    <n v="0"/>
    <n v="17"/>
    <n v="0"/>
  </r>
  <r>
    <x v="528"/>
    <s v="Gomukh Akaha"/>
    <s v="MPG"/>
    <s v="Direct"/>
    <n v="336.00000000000006"/>
    <n v="12209.580000000002"/>
    <n v="261.89999999999998"/>
    <n v="9106.9"/>
    <n v="77.179999999999993"/>
    <n v="3093.2699999999995"/>
    <n v="339.08"/>
    <n v="12200.169999999998"/>
    <n v="12200.169999999998"/>
    <n v="0"/>
    <n v="60.52"/>
    <n v="0"/>
    <n v="2950"/>
    <n v="500"/>
    <n v="0"/>
    <n v="5657"/>
    <n v="3033"/>
    <n v="0"/>
    <n v="9"/>
    <n v="0"/>
  </r>
  <r>
    <x v="529"/>
    <s v="Nauachak-Pankaj"/>
    <s v="vlc"/>
    <s v="Indirect"/>
    <n v="30.6"/>
    <n v="1379.0499999999997"/>
    <n v="0"/>
    <n v="0"/>
    <n v="0"/>
    <n v="0"/>
    <n v="0"/>
    <n v="0"/>
    <n v="1379.0499999999997"/>
    <n v="0"/>
    <n v="0"/>
    <n v="0"/>
    <n v="0"/>
    <n v="0"/>
    <n v="0"/>
    <n v="0"/>
    <n v="0"/>
    <n v="1379.0499999999997"/>
    <n v="0"/>
    <n v="0"/>
  </r>
  <r>
    <x v="530"/>
    <s v="Jitwarpur-Manisha"/>
    <s v="vlc"/>
    <s v="Indirect"/>
    <n v="166.00000000000003"/>
    <n v="5308.14"/>
    <n v="0"/>
    <n v="0"/>
    <n v="0"/>
    <n v="0"/>
    <n v="0"/>
    <n v="0"/>
    <n v="5308.14"/>
    <n v="0"/>
    <n v="0"/>
    <n v="0"/>
    <n v="217"/>
    <n v="0"/>
    <n v="0"/>
    <n v="0"/>
    <n v="0"/>
    <n v="5091.1400000000003"/>
    <n v="0"/>
    <n v="0"/>
  </r>
  <r>
    <x v="531"/>
    <s v="Gomukh Sirdulpur 2"/>
    <s v="vlc"/>
    <s v="Indirect"/>
    <n v="959.6"/>
    <n v="30092.880000000005"/>
    <n v="0"/>
    <n v="0"/>
    <n v="0"/>
    <n v="0"/>
    <n v="0"/>
    <n v="0"/>
    <n v="30092.880000000005"/>
    <n v="0"/>
    <n v="0"/>
    <n v="0"/>
    <n v="0"/>
    <n v="0"/>
    <n v="0"/>
    <n v="0"/>
    <n v="0"/>
    <n v="30092.880000000005"/>
    <n v="0"/>
    <n v="0"/>
  </r>
  <r>
    <x v="532"/>
    <s v="Gomukh Patepur"/>
    <s v="vlc"/>
    <s v="Indirect"/>
    <n v="311.59999999999997"/>
    <n v="11421.07"/>
    <n v="0"/>
    <n v="0"/>
    <n v="0"/>
    <n v="0"/>
    <n v="0"/>
    <n v="0"/>
    <n v="11421.07"/>
    <n v="0"/>
    <n v="0"/>
    <n v="0"/>
    <n v="0"/>
    <n v="0"/>
    <n v="0"/>
    <n v="0"/>
    <n v="0"/>
    <n v="11421.07"/>
    <n v="0"/>
    <n v="0"/>
  </r>
  <r>
    <x v="980"/>
    <s v="Gomukh Akowahi Purvi Tol"/>
    <s v="MPG"/>
    <s v="Direct"/>
    <n v="31.7"/>
    <n v="1034.1199999999999"/>
    <n v="31"/>
    <n v="1010.3199999999999"/>
    <n v="0"/>
    <n v="0"/>
    <n v="31"/>
    <n v="1010.3199999999999"/>
    <n v="1010.3199999999999"/>
    <n v="0"/>
    <n v="0"/>
    <n v="0"/>
    <n v="0"/>
    <n v="0"/>
    <n v="0"/>
    <n v="1010"/>
    <n v="0"/>
    <n v="0"/>
    <n v="24"/>
    <n v="0"/>
  </r>
  <r>
    <x v="533"/>
    <s v="Gomukh Sherpur Narsari East"/>
    <s v="MPG"/>
    <s v="Direct"/>
    <n v="263.90000000000003"/>
    <n v="11626.739999999998"/>
    <n v="180.79000000000002"/>
    <n v="7500.7400000000007"/>
    <n v="79.69"/>
    <n v="4127.96"/>
    <n v="260.48"/>
    <n v="11628.7"/>
    <n v="11626.739999999998"/>
    <n v="0"/>
    <n v="0"/>
    <n v="1.9600000000027649"/>
    <n v="0"/>
    <n v="0"/>
    <n v="0"/>
    <n v="7499"/>
    <n v="4128"/>
    <n v="0"/>
    <n v="0"/>
    <n v="0"/>
  </r>
  <r>
    <x v="534"/>
    <s v="Gomukh Karhatti"/>
    <s v="MPG"/>
    <s v="Direct"/>
    <n v="86.5"/>
    <n v="2838.03"/>
    <n v="85.699999999999989"/>
    <n v="2851.72"/>
    <n v="0"/>
    <n v="0"/>
    <n v="85.699999999999989"/>
    <n v="2851.72"/>
    <n v="2838.03"/>
    <n v="0"/>
    <n v="0"/>
    <n v="13.6899999999996"/>
    <n v="0"/>
    <n v="500"/>
    <n v="0"/>
    <n v="2338"/>
    <n v="0"/>
    <n v="0"/>
    <n v="0"/>
    <n v="0"/>
  </r>
  <r>
    <x v="535"/>
    <s v="Gomukh Gaopur Bhagwatpur"/>
    <s v="MPG"/>
    <s v="Direct"/>
    <n v="262.2"/>
    <n v="12913.18"/>
    <n v="265.09000000000003"/>
    <n v="12895.58"/>
    <n v="0"/>
    <n v="0"/>
    <n v="265.09000000000003"/>
    <n v="12895.58"/>
    <n v="12895.58"/>
    <n v="0"/>
    <n v="0"/>
    <n v="0"/>
    <n v="0"/>
    <n v="0"/>
    <n v="0"/>
    <n v="12896"/>
    <n v="0"/>
    <n v="0"/>
    <n v="17"/>
    <n v="0"/>
  </r>
  <r>
    <x v="536"/>
    <s v="Gomukh Rajwara"/>
    <s v="MPG"/>
    <s v="Direct"/>
    <n v="93.700000000000017"/>
    <n v="3806.2800000000007"/>
    <n v="92.32"/>
    <n v="3795.24"/>
    <n v="0"/>
    <n v="0"/>
    <n v="92.32"/>
    <n v="3795.24"/>
    <n v="3795.24"/>
    <n v="0"/>
    <n v="0"/>
    <n v="0"/>
    <n v="0"/>
    <n v="500"/>
    <n v="0"/>
    <n v="3296"/>
    <n v="0"/>
    <n v="0"/>
    <n v="10"/>
    <n v="0"/>
  </r>
  <r>
    <x v="537"/>
    <s v="Gomukh Karhatiya Bujurg"/>
    <s v="vlc"/>
    <s v="Indirect"/>
    <n v="800.10000000000014"/>
    <n v="33060.35"/>
    <n v="0"/>
    <n v="0"/>
    <n v="0"/>
    <n v="0"/>
    <n v="0"/>
    <n v="0"/>
    <n v="33060.35"/>
    <n v="0"/>
    <n v="0"/>
    <n v="0"/>
    <n v="0"/>
    <n v="0"/>
    <n v="0"/>
    <n v="0"/>
    <n v="0"/>
    <n v="33060.35"/>
    <n v="0"/>
    <n v="0"/>
  </r>
  <r>
    <x v="538"/>
    <s v="GOMUKH NIKASPUR"/>
    <s v="vlc"/>
    <s v="Indirect"/>
    <n v="50.4"/>
    <n v="1809.16"/>
    <n v="0"/>
    <n v="0"/>
    <n v="0"/>
    <n v="0"/>
    <n v="0"/>
    <n v="0"/>
    <n v="1809.16"/>
    <n v="0"/>
    <n v="0"/>
    <n v="0"/>
    <n v="0"/>
    <n v="0"/>
    <n v="0"/>
    <n v="0"/>
    <n v="0"/>
    <n v="1809.16"/>
    <n v="0"/>
    <n v="0"/>
  </r>
  <r>
    <x v="1017"/>
    <s v="NAUACHAUK W-04"/>
    <s v="vlc"/>
    <s v="Indirect"/>
    <n v="100.10000000000001"/>
    <n v="3596.0099999999993"/>
    <n v="0"/>
    <n v="0"/>
    <n v="0"/>
    <n v="0"/>
    <n v="0"/>
    <n v="0"/>
    <n v="3596.0099999999993"/>
    <n v="0"/>
    <n v="0"/>
    <n v="0"/>
    <n v="0"/>
    <n v="0"/>
    <n v="0"/>
    <n v="0"/>
    <n v="0"/>
    <n v="3596.0099999999993"/>
    <n v="0"/>
    <n v="0"/>
  </r>
  <r>
    <x v="539"/>
    <s v="Gomukh Morwa Mohanpur"/>
    <s v="vlc"/>
    <s v="Indirect"/>
    <n v="384"/>
    <n v="16296.78"/>
    <n v="0"/>
    <n v="0"/>
    <n v="0"/>
    <n v="0"/>
    <n v="0"/>
    <n v="0"/>
    <n v="16296.78"/>
    <n v="0"/>
    <n v="0"/>
    <n v="0"/>
    <n v="0"/>
    <n v="0"/>
    <n v="0"/>
    <n v="0"/>
    <n v="0"/>
    <n v="16296.78"/>
    <n v="0"/>
    <n v="0"/>
  </r>
  <r>
    <x v="981"/>
    <s v="Gomukh Gangapur East"/>
    <s v="vlc"/>
    <s v="Indirect"/>
    <n v="1120.4000000000001"/>
    <n v="38117.65"/>
    <n v="0"/>
    <n v="0"/>
    <n v="0"/>
    <n v="0"/>
    <n v="0"/>
    <n v="0"/>
    <n v="38117.65"/>
    <n v="0"/>
    <n v="0"/>
    <n v="0"/>
    <n v="0"/>
    <n v="0"/>
    <n v="0"/>
    <n v="0"/>
    <n v="0"/>
    <n v="38117.65"/>
    <n v="0"/>
    <n v="0"/>
  </r>
  <r>
    <x v="540"/>
    <s v="GOMUKH Laguniya"/>
    <s v="vlc"/>
    <s v="Indirect"/>
    <n v="1182.5"/>
    <n v="48349.06"/>
    <n v="0"/>
    <n v="0"/>
    <n v="0"/>
    <n v="0"/>
    <n v="0"/>
    <n v="0"/>
    <n v="48349.06"/>
    <n v="0"/>
    <n v="0"/>
    <n v="0"/>
    <n v="0"/>
    <n v="0"/>
    <n v="0"/>
    <n v="0"/>
    <n v="0"/>
    <n v="48349.06"/>
    <n v="0"/>
    <n v="0"/>
  </r>
  <r>
    <x v="541"/>
    <s v="GOMUKH MAHINDWARA"/>
    <s v="vlc"/>
    <s v="Indirect"/>
    <n v="289.59999999999997"/>
    <n v="11320.949999999999"/>
    <n v="0"/>
    <n v="0"/>
    <n v="0"/>
    <n v="0"/>
    <n v="0"/>
    <n v="0"/>
    <n v="11320.949999999999"/>
    <n v="0"/>
    <n v="0"/>
    <n v="0"/>
    <n v="0"/>
    <n v="0"/>
    <n v="0"/>
    <n v="0"/>
    <n v="0"/>
    <n v="11320.949999999999"/>
    <n v="0"/>
    <n v="0"/>
  </r>
  <r>
    <x v="542"/>
    <s v="GOMUKH MISHRAULIA"/>
    <s v="MPG"/>
    <s v="Direct"/>
    <n v="497.09999999999997"/>
    <n v="23029.239999999998"/>
    <n v="463.69999999999993"/>
    <n v="22600.44"/>
    <n v="11"/>
    <n v="424.8"/>
    <n v="474.69999999999993"/>
    <n v="23025.239999999998"/>
    <n v="23025.239999999998"/>
    <n v="0"/>
    <n v="0"/>
    <n v="0"/>
    <n v="1400"/>
    <n v="0"/>
    <n v="0"/>
    <n v="21200"/>
    <n v="426"/>
    <n v="0"/>
    <n v="3"/>
    <n v="0"/>
  </r>
  <r>
    <x v="543"/>
    <s v="GOMUKH Bhagwatpur East"/>
    <s v="vlc"/>
    <s v="Direct"/>
    <n v="293.8"/>
    <n v="9073.35"/>
    <n v="293.2"/>
    <n v="9054.9699999999993"/>
    <n v="0"/>
    <n v="0"/>
    <n v="293.2"/>
    <n v="9054.9699999999993"/>
    <n v="9054.9699999999993"/>
    <n v="0"/>
    <n v="0"/>
    <n v="0"/>
    <n v="4350"/>
    <n v="0"/>
    <n v="0"/>
    <n v="4705"/>
    <n v="0"/>
    <n v="0"/>
    <n v="18"/>
    <s v="Release1"/>
  </r>
  <r>
    <x v="544"/>
    <s v="Gomukh Rupauli Buzurg"/>
    <s v="vlc"/>
    <s v="Indirect"/>
    <n v="8022"/>
    <n v="308629.66000000003"/>
    <n v="0"/>
    <n v="0"/>
    <n v="0"/>
    <n v="0"/>
    <n v="0"/>
    <n v="0"/>
    <n v="308629.66000000003"/>
    <n v="0"/>
    <n v="0"/>
    <n v="0"/>
    <n v="0"/>
    <n v="0"/>
    <n v="0"/>
    <n v="0"/>
    <n v="0"/>
    <n v="308629.66000000003"/>
    <n v="0"/>
    <n v="0"/>
  </r>
  <r>
    <x v="545"/>
    <s v="GOMUKH BAKHRI"/>
    <s v="vlc"/>
    <s v="Indirect"/>
    <n v="40"/>
    <n v="1747.85"/>
    <n v="0"/>
    <n v="0"/>
    <n v="0"/>
    <n v="0"/>
    <n v="0"/>
    <n v="0"/>
    <n v="1747.85"/>
    <n v="0"/>
    <n v="0"/>
    <n v="0"/>
    <n v="0"/>
    <n v="0"/>
    <n v="0"/>
    <n v="0"/>
    <n v="0"/>
    <n v="1747.85"/>
    <n v="0"/>
    <n v="0"/>
  </r>
  <r>
    <x v="546"/>
    <s v="GOMUKH KAMTAUL"/>
    <s v="MPG"/>
    <s v="Direct"/>
    <n v="586.6"/>
    <n v="24219.600000000002"/>
    <n v="562.66999999999996"/>
    <n v="23348.12"/>
    <n v="20.82"/>
    <n v="831.46000000000015"/>
    <n v="583.49"/>
    <n v="24179.579999999998"/>
    <n v="24179.579999999998"/>
    <n v="0"/>
    <n v="309.45000000000005"/>
    <n v="0"/>
    <n v="0"/>
    <n v="0"/>
    <n v="0"/>
    <n v="23347"/>
    <n v="523"/>
    <n v="0"/>
    <n v="40"/>
    <n v="0"/>
  </r>
  <r>
    <x v="547"/>
    <s v="GOMUKH MIRJAPUR NISFI"/>
    <s v="vlc"/>
    <s v="Indirect"/>
    <n v="472.10000000000008"/>
    <n v="16169.08"/>
    <n v="0"/>
    <n v="0"/>
    <n v="0"/>
    <n v="0"/>
    <n v="0"/>
    <n v="0"/>
    <n v="16169.08"/>
    <n v="0"/>
    <n v="0"/>
    <n v="0"/>
    <n v="0"/>
    <n v="0"/>
    <n v="0"/>
    <n v="0"/>
    <n v="0"/>
    <n v="16169.08"/>
    <n v="0"/>
    <n v="0"/>
  </r>
  <r>
    <x v="548"/>
    <s v="Dumri Purvi Tola"/>
    <s v="MPG"/>
    <s v="Direct"/>
    <n v="597.9"/>
    <n v="19780.729999999996"/>
    <n v="403.9"/>
    <n v="19742.920000000002"/>
    <n v="0"/>
    <n v="0"/>
    <n v="403.9"/>
    <n v="19742.920000000002"/>
    <n v="19742.920000000002"/>
    <n v="0"/>
    <n v="0"/>
    <n v="0"/>
    <n v="13300"/>
    <n v="0"/>
    <n v="0"/>
    <n v="6442"/>
    <n v="0"/>
    <n v="0"/>
    <n v="39"/>
    <s v="Release1"/>
  </r>
  <r>
    <x v="549"/>
    <s v="Simri"/>
    <s v="MPG"/>
    <s v="Direct"/>
    <n v="619.30000000000007"/>
    <n v="24284.670000000002"/>
    <n v="661.49"/>
    <n v="25621.350000000006"/>
    <n v="0"/>
    <n v="0"/>
    <n v="661.49"/>
    <n v="25621.350000000006"/>
    <n v="24284.670000000002"/>
    <n v="0"/>
    <n v="0"/>
    <n v="1336.6800000000039"/>
    <n v="0"/>
    <n v="0"/>
    <n v="0"/>
    <n v="24285"/>
    <n v="0"/>
    <n v="0"/>
    <n v="0"/>
    <n v="0"/>
  </r>
  <r>
    <x v="550"/>
    <s v="Sahiyar"/>
    <s v="MPG"/>
    <s v="Direct"/>
    <n v="1044.1999999999998"/>
    <n v="43286.21"/>
    <n v="966.89999999999986"/>
    <n v="41985.689999999995"/>
    <n v="34.799999999999997"/>
    <n v="1415.56"/>
    <n v="1001.6999999999998"/>
    <n v="43401.249999999993"/>
    <n v="43286.21"/>
    <n v="0"/>
    <n v="1415.56"/>
    <n v="115.0399999999936"/>
    <n v="0"/>
    <n v="0"/>
    <n v="0"/>
    <n v="41870"/>
    <n v="0"/>
    <n v="0"/>
    <n v="1"/>
    <n v="0"/>
  </r>
  <r>
    <x v="551"/>
    <s v="ENGLISH DUBAULI"/>
    <s v="MPG"/>
    <s v="Direct"/>
    <n v="703.5"/>
    <n v="26419.88"/>
    <n v="691.21"/>
    <n v="27892.29"/>
    <n v="28.88"/>
    <n v="1406.79"/>
    <n v="720.09"/>
    <n v="29299.08"/>
    <n v="26419.88"/>
    <n v="0"/>
    <n v="1406.79"/>
    <n v="2879.2000000000007"/>
    <n v="0"/>
    <n v="0"/>
    <n v="0"/>
    <n v="27890"/>
    <n v="0"/>
    <n v="0"/>
    <n v="-2877"/>
    <s v="Release2"/>
  </r>
  <r>
    <x v="552"/>
    <s v="Ramo Bariya"/>
    <s v="MPG"/>
    <s v="Direct"/>
    <n v="461.6"/>
    <n v="17822.53"/>
    <n v="466.27"/>
    <n v="17822.089999999997"/>
    <n v="0"/>
    <n v="0"/>
    <n v="466.27"/>
    <n v="17822.089999999997"/>
    <n v="17822.089999999997"/>
    <n v="0"/>
    <n v="0"/>
    <n v="0"/>
    <n v="0"/>
    <n v="0"/>
    <n v="0"/>
    <n v="17823"/>
    <n v="0"/>
    <n v="0"/>
    <n v="0"/>
    <n v="0"/>
  </r>
  <r>
    <x v="553"/>
    <s v="HITAN PARARI"/>
    <s v="MPG"/>
    <s v="Direct"/>
    <n v="1229.1000000000004"/>
    <n v="52481.650000000009"/>
    <n v="1228.8899999999999"/>
    <n v="55322.25"/>
    <n v="0"/>
    <n v="0"/>
    <n v="1228.8899999999999"/>
    <n v="55322.25"/>
    <n v="52481.650000000009"/>
    <n v="0"/>
    <n v="0"/>
    <n v="2840.5999999999913"/>
    <n v="0"/>
    <n v="0"/>
    <n v="0"/>
    <n v="52482"/>
    <n v="0"/>
    <n v="0"/>
    <n v="0"/>
    <n v="0"/>
  </r>
  <r>
    <x v="554"/>
    <s v="DULLAHPUR2"/>
    <s v="MPG"/>
    <s v="Direct"/>
    <n v="210.1"/>
    <n v="6637.1899999999987"/>
    <n v="210"/>
    <n v="6636"/>
    <n v="0"/>
    <n v="0"/>
    <n v="210"/>
    <n v="6636"/>
    <n v="6636"/>
    <n v="0"/>
    <n v="0"/>
    <n v="0"/>
    <n v="30"/>
    <n v="0"/>
    <n v="0"/>
    <n v="6606"/>
    <n v="0"/>
    <n v="0"/>
    <n v="1"/>
    <s v="Release1"/>
  </r>
  <r>
    <x v="555"/>
    <s v="Gangauli"/>
    <s v="MPG"/>
    <s v="Direct"/>
    <n v="1527.6999999999998"/>
    <n v="71371.080000000016"/>
    <n v="1499.71"/>
    <n v="71734.44"/>
    <n v="8.9599999999999991"/>
    <n v="339.92"/>
    <n v="1508.67"/>
    <n v="72074.36"/>
    <n v="71371.080000000016"/>
    <n v="0"/>
    <n v="339.92"/>
    <n v="703.27999999998428"/>
    <n v="0"/>
    <n v="0"/>
    <n v="0"/>
    <n v="71031"/>
    <n v="0"/>
    <n v="0"/>
    <n v="0"/>
    <n v="0"/>
  </r>
  <r>
    <x v="556"/>
    <s v="MATHURA DERA"/>
    <s v="MPG"/>
    <s v="Direct"/>
    <n v="2035.1"/>
    <n v="84224.949999999983"/>
    <n v="2345.1999999999998"/>
    <n v="84034.6"/>
    <n v="4"/>
    <n v="136.24"/>
    <n v="2349.1999999999998"/>
    <n v="84170.840000000011"/>
    <n v="84170.840000000011"/>
    <n v="0"/>
    <n v="136.24"/>
    <n v="0"/>
    <n v="0"/>
    <n v="0"/>
    <n v="0"/>
    <n v="84034"/>
    <n v="0"/>
    <n v="0"/>
    <n v="55"/>
    <n v="0"/>
  </r>
  <r>
    <x v="557"/>
    <s v="NANDAN"/>
    <s v="MPG"/>
    <s v="Direct"/>
    <n v="234.1"/>
    <n v="12558.23"/>
    <n v="234"/>
    <n v="12556.44"/>
    <n v="0"/>
    <n v="0"/>
    <n v="234"/>
    <n v="12556.44"/>
    <n v="12556.44"/>
    <n v="0"/>
    <n v="0"/>
    <n v="0"/>
    <n v="0"/>
    <n v="0"/>
    <n v="0"/>
    <n v="12556"/>
    <n v="0"/>
    <n v="0"/>
    <n v="2"/>
    <n v="0"/>
  </r>
  <r>
    <x v="559"/>
    <s v="HEMDAPUR"/>
    <s v="MPG"/>
    <s v="Direct"/>
    <n v="502.09999999999997"/>
    <n v="18764.47"/>
    <n v="506.87999999999994"/>
    <n v="19657.559999999998"/>
    <n v="0"/>
    <n v="0"/>
    <n v="506.87999999999994"/>
    <n v="19657.559999999998"/>
    <n v="18764.47"/>
    <n v="0"/>
    <n v="0"/>
    <n v="893.08999999999651"/>
    <n v="0"/>
    <n v="0"/>
    <n v="0"/>
    <n v="18764"/>
    <n v="0"/>
    <n v="0"/>
    <n v="0"/>
    <n v="0"/>
  </r>
  <r>
    <x v="560"/>
    <s v="Chaugain"/>
    <s v="MPG"/>
    <s v="Direct"/>
    <n v="80.900000000000006"/>
    <n v="2695.95"/>
    <n v="91"/>
    <n v="2989.35"/>
    <n v="0"/>
    <n v="0"/>
    <n v="91"/>
    <n v="2989.35"/>
    <n v="2695.95"/>
    <n v="0"/>
    <n v="0"/>
    <n v="293.40000000000009"/>
    <n v="0"/>
    <n v="500"/>
    <n v="0"/>
    <n v="2196"/>
    <n v="0"/>
    <n v="0"/>
    <n v="0"/>
    <n v="0"/>
  </r>
  <r>
    <x v="561"/>
    <s v="Akalupur"/>
    <s v="MPG"/>
    <s v="Direct"/>
    <n v="55.3"/>
    <n v="1896.09"/>
    <n v="55.4"/>
    <n v="1865.87"/>
    <n v="0"/>
    <n v="0"/>
    <n v="55.4"/>
    <n v="1865.87"/>
    <n v="1865.87"/>
    <n v="0"/>
    <n v="0"/>
    <n v="0"/>
    <n v="0"/>
    <n v="0"/>
    <n v="0"/>
    <n v="1866"/>
    <n v="0"/>
    <n v="0"/>
    <n v="30"/>
    <n v="0"/>
  </r>
  <r>
    <x v="562"/>
    <s v="Chhotka Sihanpura"/>
    <s v="MPG"/>
    <s v="Direct"/>
    <n v="442.29999999999995"/>
    <n v="16220.840000000002"/>
    <n v="444.4"/>
    <n v="17859.22"/>
    <n v="2.5"/>
    <n v="107.94"/>
    <n v="446.9"/>
    <n v="17967.16"/>
    <n v="16220.840000000002"/>
    <n v="0"/>
    <n v="107.94"/>
    <n v="1746.3199999999979"/>
    <n v="0"/>
    <n v="0"/>
    <n v="0"/>
    <n v="16113"/>
    <n v="0"/>
    <n v="0"/>
    <n v="0"/>
    <n v="0"/>
  </r>
  <r>
    <x v="563"/>
    <s v="Dharauli"/>
    <s v="MPG"/>
    <s v="Direct"/>
    <n v="217.30000000000004"/>
    <n v="8408.23"/>
    <n v="218"/>
    <n v="8268.7599999999984"/>
    <n v="3.5999999999999996"/>
    <n v="127.01000000000002"/>
    <n v="221.6"/>
    <n v="8395.7699999999986"/>
    <n v="8395.7699999999986"/>
    <n v="0"/>
    <n v="127.01000000000002"/>
    <n v="0"/>
    <n v="0"/>
    <n v="0"/>
    <n v="0"/>
    <n v="8269"/>
    <n v="0"/>
    <n v="0"/>
    <n v="12"/>
    <n v="0"/>
  </r>
  <r>
    <x v="564"/>
    <s v="Ramopatti"/>
    <s v="MPG"/>
    <s v="Direct"/>
    <n v="506.40000000000009"/>
    <n v="18274.95"/>
    <n v="510.6"/>
    <n v="18264.16"/>
    <n v="0"/>
    <n v="0"/>
    <n v="510.6"/>
    <n v="18264.16"/>
    <n v="18264.16"/>
    <n v="0"/>
    <n v="0"/>
    <n v="0"/>
    <n v="0"/>
    <n v="500"/>
    <n v="0"/>
    <n v="17764"/>
    <n v="0"/>
    <n v="0"/>
    <n v="11"/>
    <n v="0"/>
  </r>
  <r>
    <x v="565"/>
    <s v="Kaithi"/>
    <s v="MPG"/>
    <s v="Direct"/>
    <n v="216.9"/>
    <n v="9180.4599999999991"/>
    <n v="216.5"/>
    <n v="9179.6"/>
    <n v="0"/>
    <n v="0"/>
    <n v="216.5"/>
    <n v="9179.6"/>
    <n v="9179.6"/>
    <n v="0"/>
    <n v="0"/>
    <n v="0"/>
    <n v="0"/>
    <n v="500"/>
    <n v="0"/>
    <n v="8680"/>
    <n v="0"/>
    <n v="0"/>
    <n v="0"/>
    <n v="0"/>
  </r>
  <r>
    <x v="566"/>
    <s v="Rangi Dera"/>
    <s v="MPG"/>
    <s v="Direct"/>
    <n v="145.9"/>
    <n v="5929.19"/>
    <n v="145"/>
    <n v="5905.8499999999995"/>
    <n v="0"/>
    <n v="0"/>
    <n v="145"/>
    <n v="5905.8499999999995"/>
    <n v="5905.8499999999995"/>
    <n v="0"/>
    <n v="0"/>
    <n v="0"/>
    <n v="0"/>
    <n v="0"/>
    <n v="0"/>
    <n v="5906"/>
    <n v="0"/>
    <n v="0"/>
    <n v="23"/>
    <n v="0"/>
  </r>
  <r>
    <x v="567"/>
    <s v="Dubki"/>
    <s v="MPG"/>
    <s v="Direct"/>
    <n v="402.4"/>
    <n v="19971.79"/>
    <n v="404.28999999999996"/>
    <n v="19962.53"/>
    <n v="1.5699999999999998"/>
    <n v="62.75"/>
    <n v="405.85999999999996"/>
    <n v="20025.28"/>
    <n v="19971.79"/>
    <n v="0"/>
    <n v="62.75"/>
    <n v="53.489999999997963"/>
    <n v="0"/>
    <n v="0"/>
    <n v="0"/>
    <n v="19909"/>
    <n v="0"/>
    <n v="0"/>
    <n v="0"/>
    <n v="0"/>
  </r>
  <r>
    <x v="568"/>
    <s v="Sonvarsa"/>
    <s v="MPG"/>
    <s v="Direct"/>
    <n v="318.8"/>
    <n v="12784.090000000002"/>
    <n v="317.35999999999996"/>
    <n v="12697.329999999998"/>
    <n v="0"/>
    <n v="0"/>
    <n v="317.35999999999996"/>
    <n v="12697.329999999998"/>
    <n v="12697.329999999998"/>
    <n v="0"/>
    <n v="0"/>
    <n v="0"/>
    <n v="0"/>
    <n v="0"/>
    <n v="0"/>
    <n v="12697"/>
    <n v="0"/>
    <n v="0"/>
    <n v="87"/>
    <n v="0"/>
  </r>
  <r>
    <x v="569"/>
    <s v="Soan"/>
    <s v="MPG"/>
    <s v="Direct"/>
    <n v="90.000000000000014"/>
    <n v="4334.3900000000003"/>
    <n v="110.94999999999999"/>
    <n v="4554.32"/>
    <n v="1.53"/>
    <n v="59.08"/>
    <n v="112.47999999999999"/>
    <n v="4613.3999999999996"/>
    <n v="4334.3900000000003"/>
    <n v="0"/>
    <n v="59.08"/>
    <n v="279.00999999999931"/>
    <n v="0"/>
    <n v="0"/>
    <n v="0"/>
    <n v="4275"/>
    <n v="0"/>
    <n v="0"/>
    <n v="0"/>
    <n v="0"/>
  </r>
  <r>
    <x v="570"/>
    <s v="PURANA BHOJPUR                                                                                      "/>
    <s v="MPG"/>
    <s v="Direct"/>
    <n v="220.7"/>
    <n v="8513.17"/>
    <n v="221"/>
    <n v="8508.5"/>
    <n v="0"/>
    <n v="0"/>
    <n v="221"/>
    <n v="8508.5"/>
    <n v="8508.5"/>
    <n v="0"/>
    <n v="0"/>
    <n v="0"/>
    <n v="2660"/>
    <n v="0"/>
    <n v="0"/>
    <n v="5849"/>
    <n v="0"/>
    <n v="0"/>
    <n v="4"/>
    <n v="0"/>
  </r>
  <r>
    <x v="1018"/>
    <s v="Gomukh Lewar"/>
    <s v="MPG"/>
    <s v="Direct"/>
    <n v="102.10000000000001"/>
    <n v="3932.92"/>
    <n v="102"/>
    <n v="3917.98"/>
    <n v="0"/>
    <n v="0"/>
    <n v="102"/>
    <n v="3917.98"/>
    <n v="3917.98"/>
    <n v="0"/>
    <n v="0"/>
    <n v="0"/>
    <n v="0"/>
    <n v="0"/>
    <n v="0"/>
    <n v="3918"/>
    <n v="0"/>
    <n v="0"/>
    <n v="15"/>
    <n v="0"/>
  </r>
  <r>
    <x v="571"/>
    <s v="Gomukh Kant"/>
    <s v="MPG"/>
    <s v="Direct"/>
    <n v="44"/>
    <n v="2474.92"/>
    <n v="65"/>
    <n v="4151.62"/>
    <n v="0.2"/>
    <n v="14.35"/>
    <n v="65.2"/>
    <n v="4165.97"/>
    <n v="2474.92"/>
    <n v="0"/>
    <n v="14.35"/>
    <n v="1691.0500000000002"/>
    <n v="0"/>
    <n v="500"/>
    <n v="0"/>
    <n v="1961"/>
    <n v="0"/>
    <n v="0"/>
    <n v="0"/>
    <n v="0"/>
  </r>
  <r>
    <x v="572"/>
    <s v="Gomukh Naat"/>
    <s v="MPG"/>
    <s v="Direct"/>
    <n v="348.1"/>
    <n v="13166.76"/>
    <n v="347.14"/>
    <n v="13423.580000000002"/>
    <n v="0"/>
    <n v="0"/>
    <n v="347.14"/>
    <n v="13423.580000000002"/>
    <n v="13166.76"/>
    <n v="0"/>
    <n v="0"/>
    <n v="256.82000000000153"/>
    <n v="0"/>
    <n v="0"/>
    <n v="0"/>
    <n v="13167"/>
    <n v="0"/>
    <n v="0"/>
    <n v="0"/>
    <n v="0"/>
  </r>
  <r>
    <x v="573"/>
    <s v="Gomukh Raghunathpur"/>
    <s v="MPG"/>
    <s v="Direct"/>
    <n v="283.60000000000002"/>
    <n v="11521.970000000001"/>
    <n v="291.3"/>
    <n v="11515.2"/>
    <n v="0"/>
    <n v="0"/>
    <n v="291.3"/>
    <n v="11515.2"/>
    <n v="11515.2"/>
    <n v="0"/>
    <n v="0"/>
    <n v="0"/>
    <n v="0"/>
    <n v="0"/>
    <n v="0"/>
    <n v="11515"/>
    <n v="0"/>
    <n v="0"/>
    <n v="7"/>
    <n v="0"/>
  </r>
  <r>
    <x v="574"/>
    <s v="Gomukh Tilakraika Hata 1 - Manoj"/>
    <s v="vlc"/>
    <s v="Indirect"/>
    <n v="209.6"/>
    <n v="7864.04"/>
    <n v="0"/>
    <n v="0"/>
    <n v="0"/>
    <n v="0"/>
    <n v="0"/>
    <n v="0"/>
    <n v="7864.04"/>
    <n v="0"/>
    <n v="0"/>
    <n v="0"/>
    <n v="0"/>
    <n v="0"/>
    <n v="0"/>
    <n v="0"/>
    <n v="0"/>
    <n v="7864.04"/>
    <n v="0"/>
    <n v="0"/>
  </r>
  <r>
    <x v="575"/>
    <s v="Gomukh Murar"/>
    <s v="MPG"/>
    <s v="Direct"/>
    <n v="721.50000000000011"/>
    <n v="29699.03000000001"/>
    <n v="527.5"/>
    <n v="21805.530000000006"/>
    <n v="373.2"/>
    <n v="17661.829999999998"/>
    <n v="900.7"/>
    <n v="39467.360000000001"/>
    <n v="29699.03000000001"/>
    <n v="0"/>
    <n v="225.36"/>
    <n v="9768.3299999999908"/>
    <n v="0"/>
    <n v="0"/>
    <n v="0"/>
    <n v="12036"/>
    <n v="17438"/>
    <n v="0"/>
    <n v="0"/>
    <n v="0"/>
  </r>
  <r>
    <x v="576"/>
    <s v="Gomukh Churamanpur                                                                                  "/>
    <s v="MPG"/>
    <s v="Direct"/>
    <n v="197.3"/>
    <n v="8338.26"/>
    <n v="171.88000000000002"/>
    <n v="8325.1899999999987"/>
    <n v="0"/>
    <n v="0"/>
    <n v="171.88000000000002"/>
    <n v="8325.1899999999987"/>
    <n v="8325.1899999999987"/>
    <n v="0"/>
    <n v="0"/>
    <n v="0"/>
    <n v="0"/>
    <n v="0"/>
    <n v="0"/>
    <n v="8325"/>
    <n v="0"/>
    <n v="0"/>
    <n v="13"/>
    <n v="0"/>
  </r>
  <r>
    <x v="577"/>
    <s v="Gomukh Ekauni Karuwaj"/>
    <s v="MPG"/>
    <s v="Direct"/>
    <n v="22.6"/>
    <n v="838.73"/>
    <n v="23"/>
    <n v="837.66"/>
    <n v="0"/>
    <n v="0"/>
    <n v="23"/>
    <n v="837.66"/>
    <n v="837.66"/>
    <n v="0"/>
    <n v="0"/>
    <n v="0"/>
    <n v="0"/>
    <n v="500"/>
    <n v="0"/>
    <n v="338"/>
    <n v="0"/>
    <n v="0"/>
    <n v="1"/>
    <n v="0"/>
  </r>
  <r>
    <x v="578"/>
    <s v="Kulharia Agriculture Producer Company Limited"/>
    <s v="MPG"/>
    <s v="Direct"/>
    <n v="789.80000000000007"/>
    <n v="32545.820000000007"/>
    <n v="776.61999999999989"/>
    <n v="32004.959999999999"/>
    <n v="13.15"/>
    <n v="537.2700000000001"/>
    <n v="789.76999999999987"/>
    <n v="32542.23"/>
    <n v="32542.23"/>
    <n v="0"/>
    <n v="537.2700000000001"/>
    <n v="0"/>
    <n v="13300"/>
    <n v="0"/>
    <n v="0"/>
    <n v="18704"/>
    <n v="0"/>
    <n v="0"/>
    <n v="5"/>
    <n v="0"/>
  </r>
  <r>
    <x v="579"/>
    <s v="Gomukh Dhakaich"/>
    <s v="MPG"/>
    <s v="Direct"/>
    <n v="118.69999999999999"/>
    <n v="4709.0199999999995"/>
    <n v="123.73"/>
    <n v="4443.59"/>
    <n v="0"/>
    <n v="0"/>
    <n v="123.73"/>
    <n v="4443.59"/>
    <n v="4443.59"/>
    <n v="0"/>
    <n v="0"/>
    <n v="0"/>
    <n v="0"/>
    <n v="0"/>
    <n v="0"/>
    <n v="4444"/>
    <n v="0"/>
    <n v="0"/>
    <n v="265"/>
    <n v="0"/>
  </r>
  <r>
    <x v="580"/>
    <s v="Gomukh Kajipura Chandan"/>
    <s v="vlc"/>
    <s v="Indirect"/>
    <n v="591.79999999999995"/>
    <n v="21614.969999999998"/>
    <n v="0"/>
    <n v="0"/>
    <n v="0"/>
    <n v="0"/>
    <n v="0"/>
    <n v="0"/>
    <n v="21614.969999999998"/>
    <n v="0"/>
    <n v="0"/>
    <n v="0"/>
    <n v="0"/>
    <n v="0"/>
    <n v="0"/>
    <n v="0"/>
    <n v="0"/>
    <n v="21614.969999999998"/>
    <n v="0"/>
    <n v="0"/>
  </r>
  <r>
    <x v="581"/>
    <s v="Gomukh Sikraul Lakh"/>
    <s v="MPG"/>
    <s v="Direct"/>
    <n v="578.4"/>
    <n v="23803.499999999996"/>
    <n v="570.45000000000005"/>
    <n v="23867.439999999999"/>
    <n v="9.77"/>
    <n v="384.53000000000003"/>
    <n v="580.22"/>
    <n v="24251.969999999998"/>
    <n v="23803.499999999996"/>
    <n v="0"/>
    <n v="384.53000000000003"/>
    <n v="448.47000000000116"/>
    <n v="6650"/>
    <n v="0"/>
    <n v="0"/>
    <n v="16768"/>
    <n v="0"/>
    <n v="0"/>
    <n v="1"/>
    <n v="0"/>
  </r>
  <r>
    <x v="582"/>
    <s v="Gomukh Dafadihari"/>
    <s v="MPG"/>
    <s v="Direct"/>
    <n v="155.5"/>
    <n v="5670.4699999999993"/>
    <n v="151.69999999999999"/>
    <n v="5595.9400000000005"/>
    <n v="1.5999999999999999"/>
    <n v="65.070000000000007"/>
    <n v="153.29999999999998"/>
    <n v="5661.01"/>
    <n v="5661.01"/>
    <n v="0"/>
    <n v="65.070000000000007"/>
    <n v="0"/>
    <n v="0"/>
    <n v="0"/>
    <n v="0"/>
    <n v="5596"/>
    <n v="0"/>
    <n v="0"/>
    <n v="9"/>
    <n v="0"/>
  </r>
  <r>
    <x v="583"/>
    <s v="Gomukh Paharpur"/>
    <s v="MPG"/>
    <s v="Direct"/>
    <n v="90.6"/>
    <n v="3302.6099999999997"/>
    <n v="91"/>
    <n v="3302.39"/>
    <n v="0"/>
    <n v="0"/>
    <n v="91"/>
    <n v="3302.39"/>
    <n v="3302.39"/>
    <n v="0"/>
    <n v="0"/>
    <n v="0"/>
    <n v="0"/>
    <n v="500"/>
    <n v="0"/>
    <n v="2802"/>
    <n v="0"/>
    <n v="0"/>
    <n v="1"/>
    <n v="0"/>
  </r>
  <r>
    <x v="584"/>
    <s v="Gomukh Basaon Kalan"/>
    <s v="MPG"/>
    <s v="Direct"/>
    <n v="74.800000000000011"/>
    <n v="2680.87"/>
    <n v="75.399999999999991"/>
    <n v="2678.07"/>
    <n v="0"/>
    <n v="0"/>
    <n v="75.399999999999991"/>
    <n v="2678.07"/>
    <n v="2678.07"/>
    <n v="0"/>
    <n v="0"/>
    <n v="0"/>
    <n v="0"/>
    <n v="0"/>
    <n v="0"/>
    <n v="2678"/>
    <n v="0"/>
    <n v="0"/>
    <n v="3"/>
    <n v="0"/>
  </r>
  <r>
    <x v="585"/>
    <s v="Gomukh Mangolpur"/>
    <s v="MPG"/>
    <s v="Direct"/>
    <n v="369.1"/>
    <n v="13162.3"/>
    <n v="367.5"/>
    <n v="12932.45"/>
    <n v="5.6000000000000005"/>
    <n v="194.48999999999998"/>
    <n v="373.1"/>
    <n v="13126.94"/>
    <n v="13126.94"/>
    <n v="0"/>
    <n v="194.48999999999998"/>
    <n v="0"/>
    <n v="5320"/>
    <n v="0"/>
    <n v="0"/>
    <n v="7612"/>
    <n v="0"/>
    <n v="0"/>
    <n v="36"/>
    <n v="0"/>
  </r>
  <r>
    <x v="586"/>
    <s v="Gomukh Dhanipur"/>
    <s v="MPG"/>
    <s v="Direct"/>
    <n v="410.6"/>
    <n v="16412.34"/>
    <n v="410.03"/>
    <n v="16410.36"/>
    <n v="0"/>
    <n v="0"/>
    <n v="410.03"/>
    <n v="16410.36"/>
    <n v="16410.36"/>
    <n v="0"/>
    <n v="0"/>
    <n v="0"/>
    <n v="0"/>
    <n v="0"/>
    <n v="0"/>
    <n v="16411"/>
    <n v="0"/>
    <n v="0"/>
    <n v="1"/>
    <n v="0"/>
  </r>
  <r>
    <x v="587"/>
    <s v="Gomukh Rakshanagar_tola"/>
    <s v="MPG"/>
    <s v="Direct"/>
    <n v="307.40000000000003"/>
    <n v="13132.63"/>
    <n v="427.20000000000005"/>
    <n v="17302.84"/>
    <n v="0"/>
    <n v="0"/>
    <n v="427.20000000000005"/>
    <n v="17302.84"/>
    <n v="13132.63"/>
    <n v="0"/>
    <n v="0"/>
    <n v="4170.2100000000009"/>
    <n v="0"/>
    <n v="0"/>
    <n v="0"/>
    <n v="13133"/>
    <n v="0"/>
    <n v="0"/>
    <n v="0"/>
    <n v="0"/>
  </r>
  <r>
    <x v="588"/>
    <s v="Gomukh Nadaon"/>
    <s v="MPG"/>
    <s v="Direct"/>
    <n v="342.1"/>
    <n v="9445.9699999999993"/>
    <n v="358.4"/>
    <n v="9987.93"/>
    <n v="0"/>
    <n v="0"/>
    <n v="358.4"/>
    <n v="9987.93"/>
    <n v="9445.9699999999993"/>
    <n v="0"/>
    <n v="0"/>
    <n v="541.96000000000095"/>
    <n v="0"/>
    <n v="500"/>
    <n v="0"/>
    <n v="8946"/>
    <n v="0"/>
    <n v="0"/>
    <n v="0"/>
    <n v="0"/>
  </r>
  <r>
    <x v="589"/>
    <s v="Gomukh Mathuradera Upendra "/>
    <s v="vlc"/>
    <s v="Indirect"/>
    <n v="326.80000000000007"/>
    <n v="14244.600000000002"/>
    <n v="0"/>
    <n v="0"/>
    <n v="0"/>
    <n v="0"/>
    <n v="0"/>
    <n v="0"/>
    <n v="14244.600000000002"/>
    <n v="0"/>
    <n v="0"/>
    <n v="0"/>
    <n v="0"/>
    <n v="0"/>
    <n v="0"/>
    <n v="0"/>
    <n v="0"/>
    <n v="14244.600000000002"/>
    <n v="0"/>
    <n v="0"/>
  </r>
  <r>
    <x v="590"/>
    <s v="Gomukh Bramhpur"/>
    <s v="MPG"/>
    <s v="Direct"/>
    <n v="43.9"/>
    <n v="1665.93"/>
    <n v="63.56"/>
    <n v="3227.9799999999996"/>
    <n v="0"/>
    <n v="0"/>
    <n v="63.56"/>
    <n v="3227.9799999999996"/>
    <n v="1665.93"/>
    <n v="0"/>
    <n v="0"/>
    <n v="1562.0499999999995"/>
    <n v="0"/>
    <n v="500"/>
    <n v="0"/>
    <n v="1166"/>
    <n v="0"/>
    <n v="0"/>
    <n v="0"/>
    <n v="0"/>
  </r>
  <r>
    <x v="591"/>
    <s v="Gomukh Mashariya"/>
    <s v="MPG"/>
    <s v="Direct"/>
    <n v="374.49999999999994"/>
    <n v="13649.039999999999"/>
    <n v="417.83999999999992"/>
    <n v="15683.07"/>
    <n v="24.469999999999995"/>
    <n v="1074.5899999999999"/>
    <n v="442.30999999999989"/>
    <n v="16757.66"/>
    <n v="13649.039999999999"/>
    <n v="0"/>
    <n v="969.37999999999988"/>
    <n v="3108.6200000000008"/>
    <n v="0"/>
    <n v="0"/>
    <n v="0"/>
    <n v="12575"/>
    <n v="105"/>
    <n v="0"/>
    <n v="0"/>
    <n v="0"/>
  </r>
  <r>
    <x v="592"/>
    <s v="Gomukh Basawkala Sudhir Kumar"/>
    <s v="vlc"/>
    <s v="Indirect"/>
    <n v="3"/>
    <n v="81.900000000000006"/>
    <n v="0"/>
    <n v="0"/>
    <n v="0"/>
    <n v="0"/>
    <n v="0"/>
    <n v="0"/>
    <n v="81.900000000000006"/>
    <n v="0"/>
    <n v="0"/>
    <n v="0"/>
    <n v="0"/>
    <n v="0"/>
    <n v="0"/>
    <n v="0"/>
    <n v="0"/>
    <n v="81.900000000000006"/>
    <n v="0"/>
    <n v="0"/>
  </r>
  <r>
    <x v="593"/>
    <s v="Gomukh KritSagar"/>
    <s v="MPG"/>
    <s v="Direct"/>
    <n v="240.7"/>
    <n v="12808.62"/>
    <n v="242.3"/>
    <n v="12805.56"/>
    <n v="0"/>
    <n v="0"/>
    <n v="242.3"/>
    <n v="12805.56"/>
    <n v="12805.56"/>
    <n v="0"/>
    <n v="0"/>
    <n v="0"/>
    <n v="0"/>
    <n v="0"/>
    <n v="0"/>
    <n v="12806"/>
    <n v="0"/>
    <n v="0"/>
    <n v="3"/>
    <n v="0"/>
  </r>
  <r>
    <x v="594"/>
    <s v="Gomukh Navdera Jaipraksh"/>
    <s v="vlc"/>
    <s v="Indirect"/>
    <n v="1835.1000000000001"/>
    <n v="70059.81"/>
    <n v="0"/>
    <n v="0"/>
    <n v="0"/>
    <n v="0"/>
    <n v="0"/>
    <n v="0"/>
    <n v="70059.81"/>
    <n v="0"/>
    <n v="0"/>
    <n v="0"/>
    <n v="0"/>
    <n v="0"/>
    <n v="0"/>
    <n v="0"/>
    <n v="0"/>
    <n v="70059.81"/>
    <n v="0"/>
    <n v="0"/>
  </r>
  <r>
    <x v="595"/>
    <s v="Gomukh Ataon"/>
    <s v="MPG"/>
    <s v="Direct"/>
    <n v="293"/>
    <n v="13623.800000000001"/>
    <n v="299.5"/>
    <n v="13699.3"/>
    <n v="0"/>
    <n v="0"/>
    <n v="299.5"/>
    <n v="13699.3"/>
    <n v="13623.800000000001"/>
    <n v="0"/>
    <n v="0"/>
    <n v="75.499999999998181"/>
    <n v="0"/>
    <n v="0"/>
    <n v="0"/>
    <n v="13624"/>
    <n v="0"/>
    <n v="0"/>
    <n v="0"/>
    <n v="0"/>
  </r>
  <r>
    <x v="596"/>
    <s v="Gumukh Gayghat"/>
    <s v="MPG"/>
    <s v="Direct"/>
    <n v="814.9"/>
    <n v="30227.059999999994"/>
    <n v="823.12"/>
    <n v="35762.559999999998"/>
    <n v="0"/>
    <n v="0"/>
    <n v="823.12"/>
    <n v="35762.559999999998"/>
    <n v="30227.059999999994"/>
    <n v="0"/>
    <n v="0"/>
    <n v="5535.5000000000036"/>
    <n v="2660"/>
    <n v="0"/>
    <n v="0"/>
    <n v="27567"/>
    <n v="0"/>
    <n v="0"/>
    <n v="0"/>
    <n v="0"/>
  </r>
  <r>
    <x v="597"/>
    <s v="Gomukh Chakki Janardan Yadav"/>
    <s v="vlc"/>
    <s v="Indirect"/>
    <n v="104.2"/>
    <n v="4028.5699999999997"/>
    <n v="0"/>
    <n v="0"/>
    <n v="0"/>
    <n v="0"/>
    <n v="0"/>
    <n v="0"/>
    <n v="4028.5699999999997"/>
    <n v="0"/>
    <n v="0"/>
    <n v="0"/>
    <n v="0"/>
    <n v="0"/>
    <n v="0"/>
    <n v="0"/>
    <n v="0"/>
    <n v="4028.5699999999997"/>
    <n v="0"/>
    <n v="0"/>
  </r>
  <r>
    <x v="598"/>
    <s v="Gomukh Rajpur"/>
    <s v="MPG"/>
    <s v="Direct"/>
    <n v="870.30000000000018"/>
    <n v="36793.39"/>
    <n v="932.18000000000018"/>
    <n v="40118.300000000003"/>
    <n v="10.290000000000001"/>
    <n v="434.73"/>
    <n v="942.47000000000014"/>
    <n v="40553.030000000006"/>
    <n v="36793.39"/>
    <n v="0"/>
    <n v="434.73"/>
    <n v="3759.6400000000067"/>
    <n v="0"/>
    <n v="0"/>
    <n v="0"/>
    <n v="0"/>
    <n v="0"/>
    <n v="0"/>
    <n v="36359"/>
    <s v="Yes"/>
  </r>
  <r>
    <x v="599"/>
    <s v="Gomukh Gangauli Dubha"/>
    <s v="MPG"/>
    <s v="Direct"/>
    <n v="186.70000000000002"/>
    <n v="7725.61"/>
    <n v="190.4"/>
    <n v="7654.93"/>
    <n v="2.6999999999999997"/>
    <n v="113"/>
    <n v="193.1"/>
    <n v="7767.93"/>
    <n v="7725.61"/>
    <n v="0"/>
    <n v="113"/>
    <n v="42.320000000000618"/>
    <n v="1330"/>
    <n v="0"/>
    <n v="0"/>
    <n v="6283"/>
    <n v="0"/>
    <n v="0"/>
    <n v="0"/>
    <n v="0"/>
  </r>
  <r>
    <x v="600"/>
    <s v="Gomukh Jagdishpur"/>
    <s v="MPG"/>
    <s v="Direct"/>
    <n v="318.10000000000002"/>
    <n v="10478.209999999999"/>
    <n v="317.8"/>
    <n v="10474.69"/>
    <n v="0"/>
    <n v="0"/>
    <n v="317.8"/>
    <n v="10474.69"/>
    <n v="10474.69"/>
    <n v="0"/>
    <n v="0"/>
    <n v="0"/>
    <n v="3990"/>
    <n v="0"/>
    <n v="0"/>
    <n v="6485"/>
    <n v="0"/>
    <n v="0"/>
    <n v="3"/>
    <n v="0"/>
  </r>
  <r>
    <x v="601"/>
    <s v="Gumukk JP Dera"/>
    <s v="vlc"/>
    <s v="Indirect"/>
    <n v="442.60000000000008"/>
    <n v="17503.57"/>
    <n v="0"/>
    <n v="0"/>
    <n v="0"/>
    <n v="0"/>
    <n v="0"/>
    <n v="0"/>
    <n v="17503.57"/>
    <n v="0"/>
    <n v="0"/>
    <n v="0"/>
    <n v="0"/>
    <n v="0"/>
    <n v="0"/>
    <n v="0"/>
    <n v="0"/>
    <n v="17503.57"/>
    <n v="0"/>
    <n v="0"/>
  </r>
  <r>
    <x v="602"/>
    <s v="Gumukh Orap Khurd"/>
    <s v="MPG"/>
    <s v="Direct"/>
    <n v="349.8"/>
    <n v="13904.449999999997"/>
    <n v="358.61"/>
    <n v="14054.42"/>
    <n v="0"/>
    <n v="0"/>
    <n v="358.61"/>
    <n v="14054.42"/>
    <n v="13904.449999999997"/>
    <n v="0"/>
    <n v="0"/>
    <n v="149.97000000000298"/>
    <n v="0"/>
    <n v="0"/>
    <n v="0"/>
    <n v="13904"/>
    <n v="0"/>
    <n v="0"/>
    <n v="0"/>
    <n v="0"/>
  </r>
  <r>
    <x v="603"/>
    <s v="Gomukh Daunpura Manendra"/>
    <s v="vlc"/>
    <s v="Indirect"/>
    <n v="386.09999999999997"/>
    <n v="15171.209999999997"/>
    <n v="0"/>
    <n v="0"/>
    <n v="0"/>
    <n v="0"/>
    <n v="0"/>
    <n v="0"/>
    <n v="15171.209999999997"/>
    <n v="0"/>
    <n v="0"/>
    <n v="0"/>
    <n v="0"/>
    <n v="0"/>
    <n v="0"/>
    <n v="0"/>
    <n v="0"/>
    <n v="15171.209999999997"/>
    <n v="0"/>
    <n v="0"/>
  </r>
  <r>
    <x v="604"/>
    <s v="Gumukh Mathiyapur"/>
    <s v="MPG"/>
    <s v="Direct"/>
    <n v="110.60000000000001"/>
    <n v="4812.9399999999996"/>
    <n v="112.4"/>
    <n v="4811.84"/>
    <n v="0"/>
    <n v="0"/>
    <n v="112.4"/>
    <n v="4811.84"/>
    <n v="4811.84"/>
    <n v="0"/>
    <n v="0"/>
    <n v="0"/>
    <n v="1330"/>
    <n v="0"/>
    <n v="0"/>
    <n v="3482"/>
    <n v="0"/>
    <n v="0"/>
    <n v="1"/>
    <n v="0"/>
  </r>
  <r>
    <x v="605"/>
    <s v="Gomukh Raghunathpur Dasrath"/>
    <s v="vlc"/>
    <s v="Indirect"/>
    <n v="571.6"/>
    <n v="24556.33"/>
    <n v="0"/>
    <n v="0"/>
    <n v="0"/>
    <n v="0"/>
    <n v="0"/>
    <n v="0"/>
    <n v="24556.33"/>
    <n v="0"/>
    <n v="0"/>
    <n v="0"/>
    <n v="0"/>
    <n v="0"/>
    <n v="0"/>
    <n v="0"/>
    <n v="0"/>
    <n v="24556.33"/>
    <n v="0"/>
    <n v="0"/>
  </r>
  <r>
    <x v="606"/>
    <s v="Gomukh Lakshman Dera Raja"/>
    <s v="vlc"/>
    <s v="Indirect"/>
    <n v="119.1"/>
    <n v="4607.88"/>
    <n v="0"/>
    <n v="0"/>
    <n v="0"/>
    <n v="0"/>
    <n v="0"/>
    <n v="0"/>
    <n v="4607.88"/>
    <n v="0"/>
    <n v="0"/>
    <n v="0"/>
    <n v="0"/>
    <n v="0"/>
    <n v="0"/>
    <n v="0"/>
    <n v="0"/>
    <n v="4607.88"/>
    <n v="0"/>
    <n v="0"/>
  </r>
  <r>
    <x v="607"/>
    <s v="Sohan Narayan Farmer Dairy Producer Company Ltd"/>
    <s v="vlc"/>
    <s v="Indirect"/>
    <n v="1519"/>
    <n v="56750.39"/>
    <n v="0"/>
    <n v="0"/>
    <n v="0"/>
    <n v="0"/>
    <n v="0"/>
    <n v="0"/>
    <n v="56750.39"/>
    <n v="0"/>
    <n v="0"/>
    <n v="0"/>
    <n v="0"/>
    <n v="0"/>
    <n v="0"/>
    <n v="0"/>
    <n v="0"/>
    <n v="56750.39"/>
    <n v="0"/>
    <n v="0"/>
  </r>
  <r>
    <x v="608"/>
    <s v="Gomukh Arion Govind "/>
    <s v="vlc"/>
    <s v="Indirect"/>
    <n v="11.899999999999999"/>
    <n v="484.07"/>
    <n v="0"/>
    <n v="0"/>
    <n v="0"/>
    <n v="0"/>
    <n v="0"/>
    <n v="0"/>
    <n v="484.07"/>
    <n v="0"/>
    <n v="0"/>
    <n v="0"/>
    <n v="0"/>
    <n v="0"/>
    <n v="0"/>
    <n v="0"/>
    <n v="0"/>
    <n v="484.07"/>
    <n v="0"/>
    <n v="0"/>
  </r>
  <r>
    <x v="610"/>
    <s v="GomukhSimari Bakulha Patti"/>
    <s v="vlc"/>
    <s v="Indirect"/>
    <n v="424.8"/>
    <n v="15436.56"/>
    <n v="0"/>
    <n v="0"/>
    <n v="0"/>
    <n v="0"/>
    <n v="0"/>
    <n v="0"/>
    <n v="15436.56"/>
    <n v="0"/>
    <n v="0"/>
    <n v="0"/>
    <n v="0"/>
    <n v="0"/>
    <n v="0"/>
    <n v="0"/>
    <n v="0"/>
    <n v="15436.56"/>
    <n v="0"/>
    <n v="0"/>
  </r>
  <r>
    <x v="611"/>
    <s v="Gomukh Baijnathpur"/>
    <s v="MPG"/>
    <s v="Direct"/>
    <n v="843.19999999999982"/>
    <n v="34556.06"/>
    <n v="844.45"/>
    <n v="34994.910000000003"/>
    <n v="0"/>
    <n v="0"/>
    <n v="844.45"/>
    <n v="34994.910000000003"/>
    <n v="34556.06"/>
    <n v="0"/>
    <n v="0"/>
    <n v="438.85000000000582"/>
    <n v="0"/>
    <n v="0"/>
    <n v="0"/>
    <n v="34556"/>
    <n v="0"/>
    <n v="0"/>
    <n v="0"/>
    <n v="0"/>
  </r>
  <r>
    <x v="613"/>
    <s v="Gaachhi Tola"/>
    <s v="MPG"/>
    <s v="Indirect"/>
    <n v="641.29999999999995"/>
    <n v="26622.949999999997"/>
    <n v="0"/>
    <n v="0"/>
    <n v="0"/>
    <n v="0"/>
    <n v="0"/>
    <n v="0"/>
    <n v="26622.949999999997"/>
    <n v="0"/>
    <n v="0"/>
    <n v="0"/>
    <n v="0"/>
    <n v="0"/>
    <n v="0"/>
    <n v="0"/>
    <n v="0"/>
    <n v="26622.949999999997"/>
    <n v="0"/>
    <n v="0"/>
  </r>
  <r>
    <x v="983"/>
    <s v="SHIVNAR-2"/>
    <s v="MPG"/>
    <s v="Direct"/>
    <n v="631.20000000000005"/>
    <n v="23777.3"/>
    <n v="634"/>
    <n v="23882.78"/>
    <n v="0"/>
    <n v="0"/>
    <n v="634"/>
    <n v="23882.78"/>
    <n v="23777.3"/>
    <n v="0"/>
    <n v="0"/>
    <n v="105.47999999999956"/>
    <n v="0"/>
    <n v="0"/>
    <n v="0"/>
    <n v="23777"/>
    <n v="0"/>
    <n v="0"/>
    <n v="0"/>
    <n v="0"/>
  </r>
  <r>
    <x v="614"/>
    <s v="KUMARPUIR KATHARA"/>
    <s v="MPG"/>
    <s v="Direct"/>
    <n v="2143.4"/>
    <n v="80357.290000000008"/>
    <n v="2186.3999999999992"/>
    <n v="79039.599999999991"/>
    <n v="25.899999999999995"/>
    <n v="1307.1899999999998"/>
    <n v="2212.2999999999993"/>
    <n v="80346.789999999994"/>
    <n v="80346.789999999994"/>
    <n v="0"/>
    <n v="1307.1899999999998"/>
    <n v="0"/>
    <n v="0"/>
    <n v="0"/>
    <n v="0"/>
    <n v="79042"/>
    <n v="0"/>
    <n v="0"/>
    <n v="8"/>
    <n v="0"/>
  </r>
  <r>
    <x v="615"/>
    <s v="KUDHIYA MPG"/>
    <s v="MPG"/>
    <s v="Direct"/>
    <n v="2094.1"/>
    <n v="91848.29"/>
    <n v="2089.9"/>
    <n v="91750.16"/>
    <n v="13.399999999999999"/>
    <n v="589.6"/>
    <n v="2103.3000000000002"/>
    <n v="92339.760000000009"/>
    <n v="91848.29"/>
    <n v="0"/>
    <n v="589.6"/>
    <n v="491.47000000001572"/>
    <n v="3651"/>
    <n v="0"/>
    <n v="0"/>
    <n v="87607"/>
    <n v="0"/>
    <n v="0"/>
    <n v="1"/>
    <s v="Release1"/>
  </r>
  <r>
    <x v="616"/>
    <s v="SHAHJADPUR MPG"/>
    <s v="MPG"/>
    <s v="Direct"/>
    <n v="1415.3"/>
    <n v="54000.88"/>
    <n v="1527.8999999999999"/>
    <n v="66993.319999999992"/>
    <n v="6.8000000000000007"/>
    <n v="295.92"/>
    <n v="1534.6999999999998"/>
    <n v="67289.239999999991"/>
    <n v="54000.88"/>
    <n v="0"/>
    <n v="295.92"/>
    <n v="13288.359999999993"/>
    <n v="0"/>
    <n v="0"/>
    <n v="0"/>
    <n v="53705"/>
    <n v="0"/>
    <n v="0"/>
    <n v="0"/>
    <s v="Release2"/>
  </r>
  <r>
    <x v="617"/>
    <s v="FARDA - 3"/>
    <s v="MPG"/>
    <s v="Direct"/>
    <n v="1634.9"/>
    <n v="61460.619999999995"/>
    <n v="374.2"/>
    <n v="14197.890000000003"/>
    <n v="1384.3"/>
    <n v="51892.12999999999"/>
    <n v="1758.5"/>
    <n v="66090.01999999999"/>
    <n v="61460.619999999995"/>
    <n v="0"/>
    <n v="284.19000000000005"/>
    <n v="4629.3999999999942"/>
    <n v="0"/>
    <n v="0"/>
    <n v="0"/>
    <n v="9569"/>
    <n v="51607"/>
    <n v="0"/>
    <n v="0"/>
    <n v="0"/>
  </r>
  <r>
    <x v="618"/>
    <s v="CHANDANPURA"/>
    <s v="MPG"/>
    <s v="Indirect"/>
    <n v="1453.2000000000003"/>
    <n v="61510.38"/>
    <n v="0"/>
    <n v="0"/>
    <n v="0"/>
    <n v="0"/>
    <n v="0"/>
    <n v="0"/>
    <n v="61510.38"/>
    <n v="0"/>
    <n v="0"/>
    <n v="0"/>
    <n v="0"/>
    <n v="0"/>
    <n v="0"/>
    <n v="0"/>
    <n v="0"/>
    <n v="61510.38"/>
    <n v="0"/>
    <n v="0"/>
  </r>
  <r>
    <x v="619"/>
    <s v="MANIKPUR"/>
    <s v="MPG"/>
    <s v="Direct"/>
    <n v="848.70000000000016"/>
    <n v="35405.78"/>
    <n v="124.3"/>
    <n v="5240.5600000000004"/>
    <n v="725"/>
    <n v="30190.440000000002"/>
    <n v="849.3"/>
    <n v="35431"/>
    <n v="35405.78"/>
    <n v="0"/>
    <n v="208.38"/>
    <n v="25.220000000001164"/>
    <n v="0"/>
    <n v="0"/>
    <n v="0"/>
    <n v="5217"/>
    <n v="29980"/>
    <n v="0"/>
    <n v="0"/>
    <n v="0"/>
  </r>
  <r>
    <x v="620"/>
    <s v="JAKARPURA"/>
    <s v="MPG"/>
    <s v="Indirect"/>
    <n v="1219.5"/>
    <n v="48672.530000000006"/>
    <n v="0"/>
    <n v="0"/>
    <n v="0"/>
    <n v="0"/>
    <n v="0"/>
    <n v="0"/>
    <n v="48672.530000000006"/>
    <n v="0"/>
    <n v="0"/>
    <n v="0"/>
    <n v="0"/>
    <n v="0"/>
    <n v="0"/>
    <n v="0"/>
    <n v="0"/>
    <n v="48672.530000000006"/>
    <n v="0"/>
    <n v="0"/>
  </r>
  <r>
    <x v="621"/>
    <s v="KISHANPUR"/>
    <s v="MPG"/>
    <s v="Indirect"/>
    <n v="2707.9"/>
    <n v="109188.67000000001"/>
    <n v="0"/>
    <n v="0"/>
    <n v="0"/>
    <n v="0"/>
    <n v="0"/>
    <n v="0"/>
    <n v="109188.67000000001"/>
    <n v="0"/>
    <n v="0"/>
    <n v="0"/>
    <n v="0"/>
    <n v="0"/>
    <n v="0"/>
    <n v="0"/>
    <n v="0"/>
    <n v="109188.67000000001"/>
    <n v="0"/>
    <n v="0"/>
  </r>
  <r>
    <x v="622"/>
    <s v="NANDPUR"/>
    <s v="MPG"/>
    <s v="Indirect"/>
    <n v="1384.1"/>
    <n v="53089.090000000004"/>
    <n v="0"/>
    <n v="0"/>
    <n v="0"/>
    <n v="0"/>
    <n v="0"/>
    <n v="0"/>
    <n v="53089.090000000004"/>
    <n v="0"/>
    <n v="0"/>
    <n v="0"/>
    <n v="0"/>
    <n v="0"/>
    <n v="0"/>
    <n v="0"/>
    <n v="0"/>
    <n v="53089.090000000004"/>
    <n v="0"/>
    <n v="0"/>
  </r>
  <r>
    <x v="623"/>
    <s v="NOWAGADHI"/>
    <s v="MPG"/>
    <s v="Direct"/>
    <n v="1395.1"/>
    <n v="63005.36"/>
    <n v="1671.2000000000005"/>
    <n v="64599.520000000004"/>
    <n v="14.7"/>
    <n v="662.09"/>
    <n v="1685.9000000000005"/>
    <n v="65261.61"/>
    <n v="63005.36"/>
    <n v="0"/>
    <n v="662.09"/>
    <n v="2256.25"/>
    <n v="0"/>
    <n v="0"/>
    <n v="0"/>
    <n v="62343"/>
    <n v="0"/>
    <n v="0"/>
    <n v="0"/>
    <n v="0"/>
  </r>
  <r>
    <x v="624"/>
    <s v="MAHADAT PUR 2"/>
    <s v="MPG"/>
    <s v="Direct"/>
    <n v="1942.1999999999998"/>
    <n v="75707.62999999999"/>
    <n v="1894.3"/>
    <n v="73880.33"/>
    <n v="47.9"/>
    <n v="1827.3"/>
    <n v="1942.2"/>
    <n v="75707.63"/>
    <n v="75707.62999999999"/>
    <n v="0"/>
    <n v="1827.3"/>
    <n v="0"/>
    <n v="0"/>
    <n v="0"/>
    <n v="0"/>
    <n v="73879"/>
    <n v="0"/>
    <n v="0"/>
    <n v="1"/>
    <n v="0"/>
  </r>
  <r>
    <x v="625"/>
    <s v="SONBARSHA 1"/>
    <s v="MPG"/>
    <s v="Direct"/>
    <n v="1080"/>
    <n v="38596.28"/>
    <n v="701"/>
    <n v="25056.42"/>
    <n v="377"/>
    <n v="13467.86"/>
    <n v="1078"/>
    <n v="38524.28"/>
    <n v="38524.28"/>
    <n v="0"/>
    <n v="179.18"/>
    <n v="0"/>
    <n v="0"/>
    <n v="0"/>
    <n v="0"/>
    <n v="25055"/>
    <n v="13288"/>
    <n v="0"/>
    <n v="74"/>
    <n v="0"/>
  </r>
  <r>
    <x v="626"/>
    <s v="GANOUL"/>
    <s v="vlc"/>
    <s v="Indirect"/>
    <n v="412"/>
    <n v="15005.04"/>
    <n v="305"/>
    <n v="11108.099999999999"/>
    <n v="0"/>
    <n v="0"/>
    <n v="305"/>
    <n v="11108.099999999999"/>
    <n v="15005.04"/>
    <n v="0"/>
    <n v="94.69"/>
    <n v="0"/>
    <n v="0"/>
    <n v="0"/>
    <n v="0"/>
    <n v="0"/>
    <n v="0"/>
    <n v="14910.35"/>
    <n v="0"/>
    <n v="0"/>
  </r>
  <r>
    <x v="627"/>
    <s v="Gauripur"/>
    <s v="MPG"/>
    <s v="Direct"/>
    <n v="2447"/>
    <n v="88647.17"/>
    <n v="1903"/>
    <n v="69036.27"/>
    <n v="544"/>
    <n v="19802.260000000002"/>
    <n v="2447"/>
    <n v="88838.53"/>
    <n v="88647.17"/>
    <n v="0"/>
    <n v="292.22000000000003"/>
    <n v="191.36000000000058"/>
    <n v="0"/>
    <n v="0"/>
    <n v="0"/>
    <n v="68845"/>
    <n v="19510"/>
    <n v="0"/>
    <n v="0"/>
    <n v="0"/>
  </r>
  <r>
    <x v="628"/>
    <s v="Bhramarpur"/>
    <s v="MPG"/>
    <s v="Direct"/>
    <n v="3134"/>
    <n v="110460.5"/>
    <n v="900"/>
    <n v="31653"/>
    <n v="2238"/>
    <n v="78949.02"/>
    <n v="3138"/>
    <n v="110602.02"/>
    <n v="110460.5"/>
    <n v="0"/>
    <n v="211.02"/>
    <n v="141.52000000000407"/>
    <n v="0"/>
    <n v="0"/>
    <n v="0"/>
    <n v="31510"/>
    <n v="78739"/>
    <n v="0"/>
    <n v="0"/>
    <n v="0"/>
  </r>
  <r>
    <x v="629"/>
    <s v="Gomukh Bariyarpur"/>
    <s v="MPG"/>
    <s v="Direct"/>
    <n v="331.9"/>
    <n v="12918.59"/>
    <n v="341.6"/>
    <n v="13295.07"/>
    <n v="0"/>
    <n v="0"/>
    <n v="341.6"/>
    <n v="13295.07"/>
    <n v="12918.59"/>
    <n v="0"/>
    <n v="0"/>
    <n v="376.47999999999956"/>
    <n v="0"/>
    <n v="0"/>
    <n v="0"/>
    <n v="12919"/>
    <n v="0"/>
    <n v="0"/>
    <n v="0"/>
    <n v="0"/>
  </r>
  <r>
    <x v="630"/>
    <s v="Gomukh Sadananpur"/>
    <s v="MPG"/>
    <s v="Direct"/>
    <n v="53"/>
    <n v="1933.89"/>
    <n v="53.000000000000007"/>
    <n v="1999.5"/>
    <n v="0"/>
    <n v="0"/>
    <n v="53.000000000000007"/>
    <n v="1999.5"/>
    <n v="1933.89"/>
    <n v="0"/>
    <n v="0"/>
    <n v="65.6099999999999"/>
    <n v="0"/>
    <n v="0"/>
    <n v="0"/>
    <n v="2000"/>
    <n v="0"/>
    <n v="0"/>
    <n v="-66"/>
    <s v="Release1"/>
  </r>
  <r>
    <x v="631"/>
    <s v="TILAKPUR  2"/>
    <s v="MPG"/>
    <s v="Direct"/>
    <n v="540.9"/>
    <n v="19172.71"/>
    <n v="572.69999999999993"/>
    <n v="21397.570000000003"/>
    <n v="2.2999999999999998"/>
    <n v="87.899999999999991"/>
    <n v="574.99999999999989"/>
    <n v="21485.470000000005"/>
    <n v="19172.71"/>
    <n v="0"/>
    <n v="87.899999999999991"/>
    <n v="2312.7600000000057"/>
    <n v="0"/>
    <n v="0"/>
    <n v="0"/>
    <n v="19085"/>
    <n v="0"/>
    <n v="0"/>
    <n v="0"/>
    <n v="0"/>
  </r>
  <r>
    <x v="632"/>
    <s v="TILAKPUR"/>
    <s v="MPG"/>
    <s v="Direct"/>
    <n v="689.15"/>
    <n v="21872.57"/>
    <n v="675.1"/>
    <n v="22280.639999999996"/>
    <n v="7.3000000000000007"/>
    <n v="211.68"/>
    <n v="682.4"/>
    <n v="22492.319999999996"/>
    <n v="21872.57"/>
    <n v="0"/>
    <n v="30.18"/>
    <n v="619.74999999999636"/>
    <n v="0"/>
    <n v="0"/>
    <n v="0"/>
    <n v="21660"/>
    <n v="182"/>
    <n v="0"/>
    <n v="0"/>
    <n v="0"/>
  </r>
  <r>
    <x v="633"/>
    <s v="Prasharpur Kadwa Gomukh"/>
    <s v="MPG"/>
    <s v="Direct"/>
    <n v="367.3"/>
    <n v="14675.940000000002"/>
    <n v="363.6"/>
    <n v="14639.3"/>
    <n v="3.1000000000000005"/>
    <n v="124.57000000000002"/>
    <n v="366.70000000000005"/>
    <n v="14763.869999999999"/>
    <n v="14675.940000000002"/>
    <n v="0"/>
    <n v="124.57000000000002"/>
    <n v="87.929999999996653"/>
    <n v="0"/>
    <n v="0"/>
    <n v="0"/>
    <n v="14551"/>
    <n v="0"/>
    <n v="0"/>
    <n v="0"/>
    <n v="0"/>
  </r>
  <r>
    <x v="634"/>
    <s v="Borwa Tola Gomukh"/>
    <s v="MPG"/>
    <s v="Indirect"/>
    <n v="285.40000000000003"/>
    <n v="10366.31"/>
    <n v="285.40000000000003"/>
    <n v="10529.82"/>
    <n v="0"/>
    <n v="0"/>
    <n v="285.40000000000003"/>
    <n v="10529.82"/>
    <n v="10366.31"/>
    <n v="0"/>
    <n v="0"/>
    <n v="163.51000000000022"/>
    <n v="0"/>
    <n v="0"/>
    <n v="0"/>
    <n v="0"/>
    <n v="0"/>
    <n v="10366.31"/>
    <n v="0"/>
    <n v="0"/>
  </r>
  <r>
    <x v="635"/>
    <s v="Sheela Devi"/>
    <s v="MPG"/>
    <s v="Indirect"/>
    <n v="1437"/>
    <n v="48177.64"/>
    <n v="0"/>
    <n v="0"/>
    <n v="0"/>
    <n v="0"/>
    <n v="0"/>
    <n v="0"/>
    <n v="48177.64"/>
    <n v="0"/>
    <n v="0"/>
    <n v="0"/>
    <n v="0"/>
    <n v="0"/>
    <n v="0"/>
    <n v="0"/>
    <n v="0"/>
    <n v="48177.64"/>
    <n v="0"/>
    <n v="0"/>
  </r>
  <r>
    <x v="636"/>
    <s v="Gomukh Vijay Lalganj"/>
    <s v="MPG"/>
    <s v="Direct"/>
    <n v="315"/>
    <n v="13289.79"/>
    <n v="337.1"/>
    <n v="14482.429999999998"/>
    <n v="1.4000000000000001"/>
    <n v="60.050000000000004"/>
    <n v="338.5"/>
    <n v="14542.479999999998"/>
    <n v="13289.79"/>
    <n v="0"/>
    <n v="60.050000000000004"/>
    <n v="1252.6899999999969"/>
    <n v="0"/>
    <n v="0"/>
    <n v="0"/>
    <n v="13230"/>
    <n v="0"/>
    <n v="0"/>
    <n v="0"/>
    <n v="0"/>
  </r>
  <r>
    <x v="637"/>
    <s v="Gomukh Sarswati Nagar Nakdahri"/>
    <s v="MPG"/>
    <s v="Direct"/>
    <n v="470.40000000000003"/>
    <n v="19480.869999999995"/>
    <n v="223.07"/>
    <n v="9758.64"/>
    <n v="263.93"/>
    <n v="11634.039999999999"/>
    <n v="487"/>
    <n v="21392.68"/>
    <n v="19480.869999999995"/>
    <n v="0"/>
    <n v="132.22999999999999"/>
    <n v="1911.8100000000049"/>
    <n v="0"/>
    <n v="0"/>
    <n v="0"/>
    <n v="7846"/>
    <n v="11503"/>
    <n v="0"/>
    <n v="0"/>
    <n v="0"/>
  </r>
  <r>
    <x v="638"/>
    <s v="Dhobina Basa"/>
    <s v="MPG"/>
    <s v="Direct"/>
    <n v="380.50000000000006"/>
    <n v="14793.33"/>
    <n v="226.7"/>
    <n v="9870.7100000000009"/>
    <n v="207.60000000000002"/>
    <n v="9061.8100000000031"/>
    <n v="434.3"/>
    <n v="18932.520000000004"/>
    <n v="14793.33"/>
    <n v="0"/>
    <n v="52.439999999999991"/>
    <n v="4139.1900000000041"/>
    <n v="0"/>
    <n v="0"/>
    <n v="0"/>
    <n v="5732"/>
    <n v="9009"/>
    <n v="0"/>
    <n v="0"/>
    <n v="0"/>
  </r>
  <r>
    <x v="639"/>
    <s v="Gomukh Shreepur Madhay"/>
    <s v="MPG"/>
    <s v="Direct"/>
    <n v="1761.7"/>
    <n v="71227.23000000001"/>
    <n v="1421"/>
    <n v="57751.19"/>
    <n v="346.64"/>
    <n v="14094.69"/>
    <n v="1767.6399999999999"/>
    <n v="71845.88"/>
    <n v="71227.23000000001"/>
    <n v="0"/>
    <n v="3026.5699999999997"/>
    <n v="618.64999999999418"/>
    <n v="0"/>
    <n v="0"/>
    <n v="0"/>
    <n v="57132"/>
    <n v="11068"/>
    <n v="0"/>
    <n v="1"/>
    <n v="0"/>
  </r>
  <r>
    <x v="640"/>
    <s v="Gomukh Dhoriya Dadpur -VLC"/>
    <s v="vlc"/>
    <s v="Indirect"/>
    <n v="227.4"/>
    <n v="8883.98"/>
    <n v="0"/>
    <n v="0"/>
    <n v="0"/>
    <n v="0"/>
    <n v="0"/>
    <n v="0"/>
    <n v="8883.98"/>
    <n v="0"/>
    <n v="0"/>
    <n v="0"/>
    <n v="0"/>
    <n v="0"/>
    <n v="0"/>
    <n v="0"/>
    <n v="0"/>
    <n v="8883.98"/>
    <n v="0"/>
    <n v="0"/>
  </r>
  <r>
    <x v="641"/>
    <s v="Gomukh Mohanpur  VLC"/>
    <s v="vlc"/>
    <s v="Indirect"/>
    <n v="130.89999999999998"/>
    <n v="4750.42"/>
    <n v="0"/>
    <n v="0"/>
    <n v="0"/>
    <n v="0"/>
    <n v="0"/>
    <n v="0"/>
    <n v="4750.42"/>
    <n v="0"/>
    <n v="0"/>
    <n v="0"/>
    <n v="0"/>
    <n v="0"/>
    <n v="0"/>
    <n v="0"/>
    <n v="0"/>
    <n v="4750.42"/>
    <n v="0"/>
    <n v="0"/>
  </r>
  <r>
    <x v="642"/>
    <s v="Gomukh Abhirampur VLC"/>
    <s v="vlc"/>
    <s v="Indirect"/>
    <n v="242.5"/>
    <n v="10081.17"/>
    <n v="0"/>
    <n v="0"/>
    <n v="0"/>
    <n v="0"/>
    <n v="0"/>
    <n v="0"/>
    <n v="10081.17"/>
    <n v="0"/>
    <n v="0"/>
    <n v="0"/>
    <n v="0"/>
    <n v="0"/>
    <n v="0"/>
    <n v="0"/>
    <n v="0"/>
    <n v="10081.17"/>
    <n v="0"/>
    <n v="0"/>
  </r>
  <r>
    <x v="643"/>
    <s v="KUNTHA M"/>
    <s v="MPG"/>
    <s v="Direct"/>
    <n v="883.3"/>
    <n v="33644.9"/>
    <n v="979.09999999999991"/>
    <n v="38831.31"/>
    <n v="12.700000000000001"/>
    <n v="466.04"/>
    <n v="991.8"/>
    <n v="39297.35"/>
    <n v="33644.9"/>
    <n v="0"/>
    <n v="466.04"/>
    <n v="5652.4499999999971"/>
    <n v="0"/>
    <n v="0"/>
    <n v="0"/>
    <n v="33179"/>
    <n v="0"/>
    <n v="0"/>
    <n v="0"/>
    <s v="Release2"/>
  </r>
  <r>
    <x v="644"/>
    <s v="ARAK"/>
    <s v="MPG"/>
    <s v="Direct"/>
    <n v="2126.2999999999997"/>
    <n v="80586.85000000002"/>
    <n v="2091.2999999999997"/>
    <n v="80946.510000000009"/>
    <n v="14.8"/>
    <n v="706.43999999999994"/>
    <n v="2106.1"/>
    <n v="81652.950000000012"/>
    <n v="80586.85000000002"/>
    <n v="0"/>
    <n v="706.43999999999994"/>
    <n v="1066.0999999999913"/>
    <n v="0"/>
    <n v="0"/>
    <n v="0"/>
    <n v="79880"/>
    <n v="0"/>
    <n v="0"/>
    <n v="0"/>
    <n v="0"/>
  </r>
  <r>
    <x v="645"/>
    <s v="Diyaman"/>
    <s v="MPG"/>
    <s v="Direct"/>
    <n v="1154.7"/>
    <n v="48147.5"/>
    <n v="1143.7700000000002"/>
    <n v="47877.05"/>
    <n v="6.1500000000000012"/>
    <n v="257.79000000000002"/>
    <n v="1149.9200000000003"/>
    <n v="48134.840000000004"/>
    <n v="48134.840000000004"/>
    <n v="0"/>
    <n v="257.79000000000002"/>
    <n v="0"/>
    <n v="6650"/>
    <n v="0"/>
    <n v="0"/>
    <n v="41227"/>
    <n v="0"/>
    <n v="0"/>
    <n v="13"/>
    <n v="0"/>
  </r>
  <r>
    <x v="646"/>
    <s v="HENHA"/>
    <s v="MPG"/>
    <s v="Direct"/>
    <n v="2044.6000000000001"/>
    <n v="80147.69"/>
    <n v="2376.1999999999998"/>
    <n v="105045.34999999999"/>
    <n v="23.799999999999994"/>
    <n v="1290.0299999999997"/>
    <n v="2400"/>
    <n v="106335.37999999999"/>
    <n v="80147.69"/>
    <n v="0"/>
    <n v="1290.0299999999997"/>
    <n v="26187.689999999988"/>
    <n v="0"/>
    <n v="0"/>
    <n v="0"/>
    <n v="78858"/>
    <n v="0"/>
    <n v="0"/>
    <n v="0"/>
    <n v="0"/>
  </r>
  <r>
    <x v="647"/>
    <s v="Suddh Dairy"/>
    <s v="vlc"/>
    <s v="Indirect"/>
    <n v="31160"/>
    <n v="1181901.3999999999"/>
    <n v="0"/>
    <n v="0"/>
    <n v="0"/>
    <n v="0"/>
    <n v="0"/>
    <n v="0"/>
    <n v="1181901.3999999999"/>
    <n v="0"/>
    <n v="0"/>
    <n v="0"/>
    <n v="0"/>
    <n v="0"/>
    <n v="0"/>
    <n v="0"/>
    <n v="0"/>
    <n v="1181901.3999999999"/>
    <n v="0"/>
    <n v="0"/>
  </r>
  <r>
    <x v="648"/>
    <s v="Anik Kumar"/>
    <s v="vlc"/>
    <s v="Indirect"/>
    <n v="5005"/>
    <n v="203853.65000000002"/>
    <n v="0"/>
    <n v="0"/>
    <n v="0"/>
    <n v="0"/>
    <n v="0"/>
    <n v="0"/>
    <n v="203853.65000000002"/>
    <n v="0"/>
    <n v="0"/>
    <n v="0"/>
    <n v="0"/>
    <n v="0"/>
    <n v="0"/>
    <n v="0"/>
    <n v="0"/>
    <n v="203853.65000000002"/>
    <n v="0"/>
    <n v="0"/>
  </r>
  <r>
    <x v="649"/>
    <s v="Nand Kishor Kumar"/>
    <s v="MPG"/>
    <s v="Indirect"/>
    <n v="10737"/>
    <n v="410333.24"/>
    <n v="0"/>
    <n v="0"/>
    <n v="0"/>
    <n v="0"/>
    <n v="0"/>
    <n v="0"/>
    <n v="410333.24"/>
    <n v="0"/>
    <n v="0"/>
    <n v="0"/>
    <n v="0"/>
    <n v="0"/>
    <n v="0"/>
    <n v="0"/>
    <n v="0"/>
    <n v="410333.24"/>
    <n v="0"/>
    <n v="0"/>
  </r>
  <r>
    <x v="650"/>
    <s v="Gomukh CHANDAULI"/>
    <s v="MPG"/>
    <s v="Direct"/>
    <n v="1437.25"/>
    <n v="61595.41"/>
    <n v="1431.0200000000002"/>
    <n v="60914.470000000008"/>
    <n v="14.940000000000001"/>
    <n v="651.85"/>
    <n v="1445.9600000000003"/>
    <n v="61566.320000000007"/>
    <n v="61566.320000000007"/>
    <n v="0"/>
    <n v="651.85"/>
    <n v="0"/>
    <n v="0"/>
    <n v="0"/>
    <n v="0"/>
    <n v="60916"/>
    <n v="0"/>
    <n v="0"/>
    <n v="28"/>
    <n v="0"/>
  </r>
  <r>
    <x v="651"/>
    <s v="GOMUKH HATHA"/>
    <s v="MPG"/>
    <s v="Direct"/>
    <n v="2128.9500000000003"/>
    <n v="85163.639999999985"/>
    <n v="2153.63"/>
    <n v="84629.210000000021"/>
    <n v="13.27"/>
    <n v="530.59999999999991"/>
    <n v="2166.9"/>
    <n v="85159.810000000027"/>
    <n v="85159.810000000027"/>
    <n v="0"/>
    <n v="530.59999999999991"/>
    <n v="0"/>
    <n v="8995"/>
    <n v="0"/>
    <n v="0"/>
    <n v="75638"/>
    <n v="0"/>
    <n v="0"/>
    <n v="0"/>
    <n v="0"/>
  </r>
  <r>
    <x v="652"/>
    <s v="GOMUKH VADEYA"/>
    <s v="MPG"/>
    <s v="Direct"/>
    <n v="1269.1000000000001"/>
    <n v="56247.000000000015"/>
    <n v="1268.2199999999996"/>
    <n v="55704.76999999999"/>
    <n v="11.77"/>
    <n v="538.76"/>
    <n v="1279.9899999999996"/>
    <n v="56243.529999999992"/>
    <n v="56243.529999999992"/>
    <n v="0"/>
    <n v="538.76"/>
    <n v="0"/>
    <n v="6700"/>
    <n v="0"/>
    <n v="0"/>
    <n v="49006"/>
    <n v="0"/>
    <n v="0"/>
    <n v="2"/>
    <n v="0"/>
  </r>
  <r>
    <x v="653"/>
    <s v="GOMUKH CHANDPURA"/>
    <s v="MPG"/>
    <s v="Direct"/>
    <n v="691.95000000000016"/>
    <n v="33695.42"/>
    <n v="685.18"/>
    <n v="32669.589999999997"/>
    <n v="22.67"/>
    <n v="998.44000000000017"/>
    <n v="707.84999999999991"/>
    <n v="33668.03"/>
    <n v="33668.03"/>
    <n v="0"/>
    <n v="998.44000000000017"/>
    <n v="0"/>
    <n v="2440"/>
    <n v="0"/>
    <n v="0"/>
    <n v="30231"/>
    <n v="0"/>
    <n v="0"/>
    <n v="26"/>
    <n v="0"/>
  </r>
  <r>
    <x v="654"/>
    <s v="GOMUKH BARGAMA"/>
    <s v="MPG"/>
    <s v="Direct"/>
    <n v="1319.3000000000002"/>
    <n v="61965.419999999991"/>
    <n v="1309.3899999999996"/>
    <n v="59326.929999999978"/>
    <n v="65.12"/>
    <n v="4199.4100000000008"/>
    <n v="1374.5099999999998"/>
    <n v="63526.339999999982"/>
    <n v="61965.419999999991"/>
    <n v="0"/>
    <n v="4199.4100000000008"/>
    <n v="1560.919999999991"/>
    <n v="0"/>
    <n v="0"/>
    <n v="0"/>
    <n v="57766"/>
    <n v="0"/>
    <n v="0"/>
    <n v="0"/>
    <s v="Release2"/>
  </r>
  <r>
    <x v="655"/>
    <s v="Gomukh Gograha Tola"/>
    <s v="MPG"/>
    <s v="Direct"/>
    <n v="552.79999999999984"/>
    <n v="25313.15"/>
    <n v="544.33999999999992"/>
    <n v="25290.850000000002"/>
    <n v="0.57000000000000006"/>
    <n v="19.670000000000002"/>
    <n v="544.91"/>
    <n v="25310.52"/>
    <n v="25310.52"/>
    <n v="0"/>
    <n v="19.670000000000002"/>
    <n v="0"/>
    <n v="0"/>
    <n v="0"/>
    <n v="0"/>
    <n v="25289"/>
    <n v="0"/>
    <n v="0"/>
    <n v="4"/>
    <n v="0"/>
  </r>
  <r>
    <x v="656"/>
    <s v="Gomukh Patsara"/>
    <s v="MPG"/>
    <s v="Direct"/>
    <n v="352.35"/>
    <n v="16473.62"/>
    <n v="349.27"/>
    <n v="16409.55"/>
    <n v="1.5300000000000002"/>
    <n v="61.65"/>
    <n v="350.79999999999995"/>
    <n v="16471.2"/>
    <n v="16471.2"/>
    <n v="0"/>
    <n v="61.65"/>
    <n v="0"/>
    <n v="9991"/>
    <n v="0"/>
    <n v="0"/>
    <n v="6419"/>
    <n v="0"/>
    <n v="0"/>
    <n v="2"/>
    <n v="0"/>
  </r>
  <r>
    <x v="657"/>
    <s v="Gomukh Singhiya"/>
    <s v="vlc"/>
    <s v="Indirect"/>
    <n v="6230.1"/>
    <n v="259423.24"/>
    <n v="0"/>
    <n v="0"/>
    <n v="0"/>
    <n v="0"/>
    <n v="0"/>
    <n v="0"/>
    <n v="259423.24"/>
    <n v="0"/>
    <n v="0"/>
    <n v="0"/>
    <n v="0"/>
    <n v="0"/>
    <n v="0"/>
    <n v="0"/>
    <n v="0"/>
    <n v="259423.24"/>
    <n v="0"/>
    <n v="0"/>
  </r>
  <r>
    <x v="658"/>
    <s v="Gomukh BALHA "/>
    <s v="vlc"/>
    <s v="Indirect"/>
    <n v="3134.4500000000003"/>
    <n v="136904.46000000002"/>
    <n v="0"/>
    <n v="0"/>
    <n v="0"/>
    <n v="0"/>
    <n v="0"/>
    <n v="0"/>
    <n v="136904.46000000002"/>
    <n v="0"/>
    <n v="0"/>
    <n v="0"/>
    <n v="0"/>
    <n v="0"/>
    <n v="0"/>
    <n v="0"/>
    <n v="0"/>
    <n v="136904.46000000002"/>
    <n v="0"/>
    <n v="0"/>
  </r>
  <r>
    <x v="659"/>
    <s v="Gomukh Namapur 2"/>
    <s v="vlc"/>
    <s v="Indirect"/>
    <n v="2375.6999999999998"/>
    <n v="93195.589999999982"/>
    <n v="0"/>
    <n v="0"/>
    <n v="0"/>
    <n v="0"/>
    <n v="0"/>
    <n v="0"/>
    <n v="93195.589999999982"/>
    <n v="0"/>
    <n v="0"/>
    <n v="0"/>
    <n v="0"/>
    <n v="0"/>
    <n v="0"/>
    <n v="0"/>
    <n v="0"/>
    <n v="93195.589999999982"/>
    <n v="0"/>
    <n v="0"/>
  </r>
  <r>
    <x v="660"/>
    <s v="Gomukh Madhopur"/>
    <s v="vlc"/>
    <s v="Indirect"/>
    <n v="651.15000000000009"/>
    <n v="28462.239999999998"/>
    <n v="0"/>
    <n v="0"/>
    <n v="0"/>
    <n v="0"/>
    <n v="0"/>
    <n v="0"/>
    <n v="28462.239999999998"/>
    <n v="0"/>
    <n v="0"/>
    <n v="0"/>
    <n v="0"/>
    <n v="0"/>
    <n v="0"/>
    <n v="0"/>
    <n v="0"/>
    <n v="28462.239999999998"/>
    <n v="0"/>
    <n v="0"/>
  </r>
  <r>
    <x v="661"/>
    <s v="Gomukh Kalyanpur East"/>
    <s v="vlc"/>
    <s v="Indirect"/>
    <n v="867.15"/>
    <n v="36287.81"/>
    <n v="0"/>
    <n v="0"/>
    <n v="0"/>
    <n v="0"/>
    <n v="0"/>
    <n v="0"/>
    <n v="36287.81"/>
    <n v="0"/>
    <n v="0"/>
    <n v="0"/>
    <n v="0"/>
    <n v="0"/>
    <n v="0"/>
    <n v="0"/>
    <n v="0"/>
    <n v="36287.81"/>
    <n v="0"/>
    <n v="0"/>
  </r>
  <r>
    <x v="662"/>
    <s v="Gomukh Bazidpur"/>
    <s v="vlc"/>
    <s v="Indirect"/>
    <n v="2743.7499999999995"/>
    <n v="124055.01000000001"/>
    <n v="0"/>
    <n v="0"/>
    <n v="0"/>
    <n v="0"/>
    <n v="0"/>
    <n v="0"/>
    <n v="124055.01000000001"/>
    <n v="0"/>
    <n v="0"/>
    <n v="0"/>
    <n v="7750"/>
    <n v="0"/>
    <n v="0"/>
    <n v="0"/>
    <n v="0"/>
    <n v="116305.01000000001"/>
    <n v="0"/>
    <n v="0"/>
  </r>
  <r>
    <x v="663"/>
    <s v="Gomukh Belsandi"/>
    <s v="vlc"/>
    <s v="Indirect"/>
    <n v="1139.4000000000001"/>
    <n v="47587.78"/>
    <n v="0"/>
    <n v="0"/>
    <n v="0"/>
    <n v="0"/>
    <n v="0"/>
    <n v="0"/>
    <n v="47587.78"/>
    <n v="0"/>
    <n v="0"/>
    <n v="0"/>
    <n v="1400"/>
    <n v="0"/>
    <n v="0"/>
    <n v="0"/>
    <n v="0"/>
    <n v="46187.78"/>
    <n v="0"/>
    <n v="0"/>
  </r>
  <r>
    <x v="984"/>
    <s v="Gomukh Namapur Ward 8"/>
    <s v="vlc"/>
    <s v="Indirect"/>
    <n v="987.10000000000014"/>
    <n v="41107.409999999996"/>
    <n v="0"/>
    <n v="0"/>
    <n v="0"/>
    <n v="0"/>
    <n v="0"/>
    <n v="0"/>
    <n v="41107.409999999996"/>
    <n v="0"/>
    <n v="0"/>
    <n v="0"/>
    <n v="0"/>
    <n v="0"/>
    <n v="0"/>
    <n v="0"/>
    <n v="0"/>
    <n v="41107.409999999996"/>
    <n v="0"/>
    <n v="0"/>
  </r>
  <r>
    <x v="664"/>
    <s v="Belsandi"/>
    <s v="vlc"/>
    <s v="Indirect"/>
    <n v="519.85"/>
    <n v="23768.83"/>
    <n v="0"/>
    <n v="0"/>
    <n v="0"/>
    <n v="0"/>
    <n v="0"/>
    <n v="0"/>
    <n v="23768.83"/>
    <n v="0"/>
    <n v="0"/>
    <n v="0"/>
    <n v="0"/>
    <n v="0"/>
    <n v="0"/>
    <n v="0"/>
    <n v="0"/>
    <n v="23768.83"/>
    <n v="0"/>
    <n v="0"/>
  </r>
  <r>
    <x v="665"/>
    <s v="Gomukh Belsandi East"/>
    <s v="vlc"/>
    <s v="Indirect"/>
    <n v="653.35000000000014"/>
    <n v="31232.849999999991"/>
    <n v="0"/>
    <n v="0"/>
    <n v="0"/>
    <n v="0"/>
    <n v="0"/>
    <n v="0"/>
    <n v="31232.849999999991"/>
    <n v="0"/>
    <n v="0"/>
    <n v="0"/>
    <n v="0"/>
    <n v="0"/>
    <n v="0"/>
    <n v="0"/>
    <n v="0"/>
    <n v="31232.849999999991"/>
    <n v="0"/>
    <n v="0"/>
  </r>
  <r>
    <x v="666"/>
    <s v="Gomukh Belsandi West Tola"/>
    <s v="vlc"/>
    <s v="Indirect"/>
    <n v="335.6"/>
    <n v="13641.040000000003"/>
    <n v="0"/>
    <n v="0"/>
    <n v="0"/>
    <n v="0"/>
    <n v="0"/>
    <n v="0"/>
    <n v="13641.040000000003"/>
    <n v="0"/>
    <n v="0"/>
    <n v="0"/>
    <n v="0"/>
    <n v="0"/>
    <n v="0"/>
    <n v="0"/>
    <n v="0"/>
    <n v="13641.040000000003"/>
    <n v="0"/>
    <n v="0"/>
  </r>
  <r>
    <x v="667"/>
    <s v="Gomukh Gopalpur"/>
    <s v="vlc"/>
    <s v="Indirect"/>
    <n v="3441.7000000000003"/>
    <n v="145874.81000000003"/>
    <n v="0"/>
    <n v="0"/>
    <n v="0"/>
    <n v="0"/>
    <n v="0"/>
    <n v="0"/>
    <n v="145874.81000000003"/>
    <n v="0"/>
    <n v="0"/>
    <n v="0"/>
    <n v="0"/>
    <n v="0"/>
    <n v="0"/>
    <n v="0"/>
    <n v="0"/>
    <n v="145874.81000000003"/>
    <n v="0"/>
    <n v="0"/>
  </r>
  <r>
    <x v="668"/>
    <s v="Gomukh Bharav"/>
    <s v="MPG"/>
    <s v="Direct"/>
    <n v="815.99999999999989"/>
    <n v="41269.83"/>
    <n v="819.76"/>
    <n v="40169.339999999989"/>
    <n v="20.88"/>
    <n v="1071.6199999999999"/>
    <n v="840.64"/>
    <n v="41240.959999999992"/>
    <n v="41240.959999999992"/>
    <n v="0"/>
    <n v="1071.6199999999999"/>
    <n v="0"/>
    <n v="1442"/>
    <n v="0"/>
    <n v="0"/>
    <n v="38726"/>
    <n v="0"/>
    <n v="0"/>
    <n v="30"/>
    <n v="0"/>
  </r>
  <r>
    <x v="669"/>
    <s v="Gomukh Harpur"/>
    <s v="MPG"/>
    <s v="Direct"/>
    <n v="792.50000000000011"/>
    <n v="36489.619999999995"/>
    <n v="787.00000000000011"/>
    <n v="35661.879999999997"/>
    <n v="13.44"/>
    <n v="592.94000000000005"/>
    <n v="800.44000000000017"/>
    <n v="36254.82"/>
    <n v="36254.82"/>
    <n v="0"/>
    <n v="592.94000000000005"/>
    <n v="0"/>
    <n v="3108"/>
    <n v="0"/>
    <n v="0"/>
    <n v="32554"/>
    <n v="0"/>
    <n v="0"/>
    <n v="235"/>
    <n v="0"/>
  </r>
  <r>
    <x v="670"/>
    <s v="Gomukh Fulhatta"/>
    <s v="MPG"/>
    <s v="Direct"/>
    <n v="2120.2000000000003"/>
    <n v="110865.69"/>
    <n v="2122.2000000000007"/>
    <n v="110861.68999999997"/>
    <n v="0"/>
    <n v="0"/>
    <n v="2122.2000000000007"/>
    <n v="110861.68999999997"/>
    <n v="110861.68999999997"/>
    <n v="0"/>
    <n v="0"/>
    <n v="0"/>
    <n v="0"/>
    <n v="0"/>
    <n v="0"/>
    <n v="110860"/>
    <n v="0"/>
    <n v="0"/>
    <n v="6"/>
    <n v="0"/>
  </r>
  <r>
    <x v="671"/>
    <s v="Gomukh Birauli Khurd"/>
    <s v="MPG"/>
    <s v="Direct"/>
    <n v="820.60000000000014"/>
    <n v="41022.590000000011"/>
    <n v="829.34999999999991"/>
    <n v="39305.859999999993"/>
    <n v="36.910000000000011"/>
    <n v="1664.6899999999996"/>
    <n v="866.25999999999988"/>
    <n v="40970.549999999996"/>
    <n v="40970.549999999996"/>
    <n v="0"/>
    <n v="1664.6899999999996"/>
    <n v="0"/>
    <n v="0"/>
    <n v="0"/>
    <n v="0"/>
    <n v="39305"/>
    <n v="0"/>
    <n v="0"/>
    <n v="53"/>
    <n v="0"/>
  </r>
  <r>
    <x v="672"/>
    <s v="Gomukh Bedauliya"/>
    <s v="vlc"/>
    <s v="Indirect"/>
    <n v="512.94999999999993"/>
    <n v="23804.95"/>
    <n v="0"/>
    <n v="0"/>
    <n v="0"/>
    <n v="0"/>
    <n v="0"/>
    <n v="0"/>
    <n v="23804.95"/>
    <n v="0"/>
    <n v="0"/>
    <n v="0"/>
    <n v="0"/>
    <n v="0"/>
    <n v="0"/>
    <n v="0"/>
    <n v="0"/>
    <n v="23804.95"/>
    <n v="0"/>
    <n v="0"/>
  </r>
  <r>
    <x v="673"/>
    <s v="Gomukh Khanua"/>
    <s v="MPG"/>
    <s v="Direct"/>
    <n v="512.85"/>
    <n v="25516.100000000002"/>
    <n v="505.61"/>
    <n v="24316.889999999996"/>
    <n v="25.29"/>
    <n v="1171.8400000000001"/>
    <n v="530.9"/>
    <n v="25488.729999999996"/>
    <n v="25488.729999999996"/>
    <n v="0"/>
    <n v="1171.8400000000001"/>
    <n v="0"/>
    <n v="0"/>
    <n v="0"/>
    <n v="0"/>
    <n v="24315"/>
    <n v="0"/>
    <n v="0"/>
    <n v="29"/>
    <n v="0"/>
  </r>
  <r>
    <x v="674"/>
    <s v="Gomukh Punas"/>
    <s v="MPG"/>
    <s v="Direct"/>
    <n v="1375.0500000000002"/>
    <n v="64961.67"/>
    <n v="1365.4899999999996"/>
    <n v="63680.829999999987"/>
    <n v="15.959999999999999"/>
    <n v="744.14999999999986"/>
    <n v="1381.4499999999996"/>
    <n v="64424.979999999989"/>
    <n v="64424.979999999989"/>
    <n v="0"/>
    <n v="744.14999999999986"/>
    <n v="0"/>
    <n v="0"/>
    <n v="0"/>
    <n v="0"/>
    <n v="63679"/>
    <n v="0"/>
    <n v="0"/>
    <n v="539"/>
    <n v="0"/>
  </r>
  <r>
    <x v="675"/>
    <s v="Gomukh Loharkha"/>
    <s v="MPG"/>
    <s v="Direct"/>
    <n v="351.95"/>
    <n v="16942.009999999998"/>
    <n v="329.95"/>
    <n v="16937.050000000003"/>
    <n v="0"/>
    <n v="0"/>
    <n v="329.95"/>
    <n v="16937.050000000003"/>
    <n v="16937.050000000003"/>
    <n v="0"/>
    <n v="0"/>
    <n v="0"/>
    <n v="0"/>
    <n v="0"/>
    <n v="0"/>
    <n v="16935"/>
    <n v="0"/>
    <n v="0"/>
    <n v="7"/>
    <n v="0"/>
  </r>
  <r>
    <x v="676"/>
    <s v="Gomukh Dighra"/>
    <s v="MPG"/>
    <s v="Direct"/>
    <n v="305.54999999999995"/>
    <n v="11250.630000000001"/>
    <n v="293.10000000000008"/>
    <n v="10952.75"/>
    <n v="7.51"/>
    <n v="294.51"/>
    <n v="300.61000000000007"/>
    <n v="11247.26"/>
    <n v="11247.26"/>
    <n v="0"/>
    <n v="294.51"/>
    <n v="0"/>
    <n v="0"/>
    <n v="0"/>
    <n v="0"/>
    <n v="10952"/>
    <n v="0"/>
    <n v="0"/>
    <n v="4"/>
    <n v="0"/>
  </r>
  <r>
    <x v="677"/>
    <s v="Basuwari"/>
    <s v="MPG"/>
    <s v="Direct"/>
    <n v="307.25000000000006"/>
    <n v="12970.649999999998"/>
    <n v="301.17"/>
    <n v="12501.829999999998"/>
    <n v="9.77"/>
    <n v="427.35999999999996"/>
    <n v="310.94"/>
    <n v="12929.189999999999"/>
    <n v="12929.189999999999"/>
    <n v="0"/>
    <n v="427.35999999999996"/>
    <n v="0"/>
    <n v="1400"/>
    <n v="0"/>
    <n v="0"/>
    <n v="11101"/>
    <n v="0"/>
    <n v="0"/>
    <n v="42"/>
    <n v="0"/>
  </r>
  <r>
    <x v="678"/>
    <s v="Belsandi 3"/>
    <s v="vlc"/>
    <s v="Indirect"/>
    <n v="2272.35"/>
    <n v="91109.059999999983"/>
    <n v="0"/>
    <n v="0"/>
    <n v="0"/>
    <n v="0"/>
    <n v="0"/>
    <n v="0"/>
    <n v="91109.059999999983"/>
    <n v="0"/>
    <n v="0"/>
    <n v="0"/>
    <n v="0"/>
    <n v="0"/>
    <n v="0"/>
    <n v="0"/>
    <n v="0"/>
    <n v="91109.059999999983"/>
    <n v="0"/>
    <n v="0"/>
  </r>
  <r>
    <x v="679"/>
    <s v="Gomukh Bhagwanpur"/>
    <s v="vlc"/>
    <s v="Indirect"/>
    <n v="270.5"/>
    <n v="14548.98"/>
    <n v="0"/>
    <n v="0"/>
    <n v="0"/>
    <n v="0"/>
    <n v="0"/>
    <n v="0"/>
    <n v="14548.98"/>
    <n v="0"/>
    <n v="0"/>
    <n v="0"/>
    <n v="0"/>
    <n v="0"/>
    <n v="0"/>
    <n v="0"/>
    <n v="0"/>
    <n v="14548.98"/>
    <n v="0"/>
    <n v="0"/>
  </r>
  <r>
    <x v="985"/>
    <s v="Gomukh PARAN"/>
    <s v="vlc"/>
    <s v="Indirect"/>
    <n v="3066.2000000000003"/>
    <n v="123882.29999999999"/>
    <n v="0"/>
    <n v="0"/>
    <n v="0"/>
    <n v="0"/>
    <n v="0"/>
    <n v="0"/>
    <n v="123882.29999999999"/>
    <n v="0"/>
    <n v="0"/>
    <n v="0"/>
    <n v="0"/>
    <n v="0"/>
    <n v="0"/>
    <n v="0"/>
    <n v="0"/>
    <n v="123882.29999999999"/>
    <n v="0"/>
    <n v="0"/>
  </r>
  <r>
    <x v="681"/>
    <s v="GOMUKH HARPUR W-13"/>
    <s v="MPG"/>
    <s v="Direct"/>
    <n v="1712.3500000000001"/>
    <n v="72801.03"/>
    <n v="1697.5400000000002"/>
    <n v="71154.689999999988"/>
    <n v="24.78"/>
    <n v="1050.45"/>
    <n v="1722.3200000000002"/>
    <n v="72205.139999999985"/>
    <n v="72205.139999999985"/>
    <n v="0"/>
    <n v="1050.45"/>
    <n v="0"/>
    <n v="5276"/>
    <n v="0"/>
    <n v="0"/>
    <n v="65877"/>
    <n v="0"/>
    <n v="0"/>
    <n v="598"/>
    <n v="0"/>
  </r>
  <r>
    <x v="682"/>
    <s v="GOMUKH MILKI"/>
    <s v="vlc"/>
    <s v="Indirect"/>
    <n v="76.2"/>
    <n v="3260.38"/>
    <n v="0"/>
    <n v="0"/>
    <n v="0"/>
    <n v="0"/>
    <n v="0"/>
    <n v="0"/>
    <n v="3260.38"/>
    <n v="0"/>
    <n v="0"/>
    <n v="0"/>
    <n v="0"/>
    <n v="0"/>
    <n v="0"/>
    <n v="0"/>
    <n v="0"/>
    <n v="3260.38"/>
    <n v="0"/>
    <n v="0"/>
  </r>
  <r>
    <x v="683"/>
    <s v="Gomukh Ratwara"/>
    <s v="MPG"/>
    <s v="Direct"/>
    <n v="112.15"/>
    <n v="4150.0599999999995"/>
    <n v="109.62"/>
    <n v="4147.3"/>
    <n v="0"/>
    <n v="0"/>
    <n v="109.62"/>
    <n v="4147.3"/>
    <n v="4147.3"/>
    <n v="0"/>
    <n v="0"/>
    <n v="0"/>
    <n v="0"/>
    <n v="500"/>
    <n v="0"/>
    <n v="3647"/>
    <n v="0"/>
    <n v="0"/>
    <n v="3"/>
    <s v="Release2"/>
  </r>
  <r>
    <x v="684"/>
    <s v="Gomukh Fulhara"/>
    <s v="vlc"/>
    <s v="Indirect"/>
    <n v="1683.1999999999998"/>
    <n v="76244.559999999983"/>
    <n v="0"/>
    <n v="0"/>
    <n v="0"/>
    <n v="0"/>
    <n v="0"/>
    <n v="0"/>
    <n v="76244.559999999983"/>
    <n v="0"/>
    <n v="0"/>
    <n v="0"/>
    <n v="0"/>
    <n v="0"/>
    <n v="0"/>
    <n v="0"/>
    <n v="0"/>
    <n v="76244.559999999983"/>
    <n v="0"/>
    <n v="0"/>
  </r>
  <r>
    <x v="685"/>
    <s v="Gomukh Ranitola"/>
    <s v="vlc"/>
    <s v="Indirect"/>
    <n v="2242.2999999999997"/>
    <n v="95147.26999999999"/>
    <n v="0"/>
    <n v="0"/>
    <n v="0"/>
    <n v="0"/>
    <n v="0"/>
    <n v="0"/>
    <n v="95147.26999999999"/>
    <n v="0"/>
    <n v="0"/>
    <n v="0"/>
    <n v="0"/>
    <n v="0"/>
    <n v="0"/>
    <n v="0"/>
    <n v="0"/>
    <n v="95147.26999999999"/>
    <n v="0"/>
    <n v="0"/>
  </r>
  <r>
    <x v="686"/>
    <s v="Gomukh Malinagar East"/>
    <s v="MPG"/>
    <s v="Direct"/>
    <n v="1229.6499999999999"/>
    <n v="54345.520000000004"/>
    <n v="1228.5600000000002"/>
    <n v="53739.360000000008"/>
    <n v="5.9600000000000009"/>
    <n v="291.69"/>
    <n v="1234.5200000000002"/>
    <n v="54031.05000000001"/>
    <n v="54031.05000000001"/>
    <n v="0"/>
    <n v="291.69"/>
    <n v="0"/>
    <n v="0"/>
    <n v="0"/>
    <n v="0"/>
    <n v="53740"/>
    <n v="0"/>
    <n v="0"/>
    <n v="314"/>
    <n v="0"/>
  </r>
  <r>
    <x v="687"/>
    <s v="GOMUKH Singhiya Ward 11"/>
    <s v="vlc"/>
    <s v="Indirect"/>
    <n v="247.85"/>
    <n v="12029.869999999999"/>
    <n v="0"/>
    <n v="0"/>
    <n v="0"/>
    <n v="0"/>
    <n v="0"/>
    <n v="0"/>
    <n v="12029.869999999999"/>
    <n v="0"/>
    <n v="0"/>
    <n v="0"/>
    <n v="1650"/>
    <n v="0"/>
    <n v="0"/>
    <n v="0"/>
    <n v="0"/>
    <n v="10379.869999999999"/>
    <n v="0"/>
    <n v="0"/>
  </r>
  <r>
    <x v="688"/>
    <s v="GOMUKH MANIYARPUR"/>
    <s v="MPG"/>
    <s v="Direct"/>
    <n v="1066.3"/>
    <n v="47363.14"/>
    <n v="1069.6400000000003"/>
    <n v="45699.17"/>
    <n v="34.540000000000006"/>
    <n v="1547.08"/>
    <n v="1104.1800000000003"/>
    <n v="47246.25"/>
    <n v="47246.25"/>
    <n v="0"/>
    <n v="1547.08"/>
    <n v="0"/>
    <n v="4611.5"/>
    <n v="0"/>
    <n v="0"/>
    <n v="41088"/>
    <n v="0"/>
    <n v="0"/>
    <n v="117"/>
    <n v="0"/>
  </r>
  <r>
    <x v="689"/>
    <s v="GOMUKH DIGHRA W-6"/>
    <s v="MPG"/>
    <s v="Direct"/>
    <n v="909.75"/>
    <n v="36645.42"/>
    <n v="902.19999999999993"/>
    <n v="36092.29"/>
    <n v="9.85"/>
    <n v="413.48000000000008"/>
    <n v="912.05"/>
    <n v="36505.770000000004"/>
    <n v="36505.770000000004"/>
    <n v="748"/>
    <n v="413.48000000000008"/>
    <n v="0"/>
    <n v="9996.7999999999993"/>
    <n v="0"/>
    <n v="0"/>
    <n v="25346"/>
    <n v="0"/>
    <n v="0"/>
    <n v="141"/>
    <n v="0"/>
  </r>
  <r>
    <x v="690"/>
    <s v="GOMUKH BANDRA W-6"/>
    <s v="MPG"/>
    <s v="Direct"/>
    <n v="477.34999999999997"/>
    <n v="22086.91"/>
    <n v="495.01"/>
    <n v="21482.969999999998"/>
    <n v="13.55"/>
    <n v="593.17000000000007"/>
    <n v="508.56"/>
    <n v="22076.14"/>
    <n v="22076.14"/>
    <n v="0"/>
    <n v="593.17000000000007"/>
    <n v="0"/>
    <n v="1550"/>
    <n v="0"/>
    <n v="0"/>
    <n v="19933"/>
    <n v="0"/>
    <n v="0"/>
    <n v="11"/>
    <n v="0"/>
  </r>
  <r>
    <x v="691"/>
    <s v="BELSANDI W-9"/>
    <s v="vlc"/>
    <s v="Indirect"/>
    <n v="786.40000000000009"/>
    <n v="33246.730000000003"/>
    <n v="0"/>
    <n v="0"/>
    <n v="0"/>
    <n v="0"/>
    <n v="0"/>
    <n v="0"/>
    <n v="33246.730000000003"/>
    <n v="0"/>
    <n v="0"/>
    <n v="0"/>
    <n v="1400"/>
    <n v="0"/>
    <n v="0"/>
    <n v="0"/>
    <n v="0"/>
    <n v="31846.730000000003"/>
    <n v="0"/>
    <n v="0"/>
  </r>
  <r>
    <x v="692"/>
    <s v="GOMUKH PARAN 2"/>
    <s v="MPG"/>
    <s v="Direct"/>
    <n v="353.40000000000003"/>
    <n v="17647.36"/>
    <n v="357.85999999999996"/>
    <n v="17306.66"/>
    <n v="6.7999999999999989"/>
    <n v="338.35000000000008"/>
    <n v="364.65999999999997"/>
    <n v="17645.009999999998"/>
    <n v="17645.009999999998"/>
    <n v="0"/>
    <n v="338.35000000000008"/>
    <n v="0"/>
    <n v="1293"/>
    <n v="500"/>
    <n v="0"/>
    <n v="15516"/>
    <n v="0"/>
    <n v="0"/>
    <n v="0"/>
    <n v="0"/>
  </r>
  <r>
    <x v="693"/>
    <s v="GOMUKH KHARAGPUR"/>
    <s v="MPG"/>
    <s v="Direct"/>
    <n v="453.25"/>
    <n v="22379.960000000003"/>
    <n v="458.4799999999999"/>
    <n v="22296.080000000002"/>
    <n v="0"/>
    <n v="0"/>
    <n v="458.4799999999999"/>
    <n v="22296.080000000002"/>
    <n v="22296.080000000002"/>
    <n v="0"/>
    <n v="0"/>
    <n v="0"/>
    <n v="0"/>
    <n v="0"/>
    <n v="0"/>
    <n v="22294"/>
    <n v="0"/>
    <n v="0"/>
    <n v="86"/>
    <n v="0"/>
  </r>
  <r>
    <x v="694"/>
    <s v="KAMARGAMA"/>
    <s v="vlc"/>
    <s v="Indirect"/>
    <n v="793.19999999999993"/>
    <n v="47734.21"/>
    <n v="0"/>
    <n v="0"/>
    <n v="0"/>
    <n v="0"/>
    <n v="0"/>
    <n v="0"/>
    <n v="47734.21"/>
    <n v="0"/>
    <n v="0"/>
    <n v="0"/>
    <n v="0"/>
    <n v="0"/>
    <n v="0"/>
    <n v="0"/>
    <n v="0"/>
    <n v="47734.21"/>
    <n v="0"/>
    <n v="0"/>
  </r>
  <r>
    <x v="695"/>
    <s v="GOMUKH BALAHA W-9"/>
    <s v="MPG"/>
    <s v="Direct"/>
    <n v="845.25"/>
    <n v="35629.370000000003"/>
    <n v="832.27"/>
    <n v="35013.93"/>
    <n v="14.740000000000004"/>
    <n v="611.97"/>
    <n v="847.01"/>
    <n v="35625.9"/>
    <n v="35625.9"/>
    <n v="0"/>
    <n v="611.97"/>
    <n v="0"/>
    <n v="0"/>
    <n v="0"/>
    <n v="0"/>
    <n v="35014"/>
    <n v="0"/>
    <n v="0"/>
    <n v="3"/>
    <n v="0"/>
  </r>
  <r>
    <x v="697"/>
    <s v="GOMUKH Madanpur W-3"/>
    <s v="MPG"/>
    <s v="Direct"/>
    <n v="2505.9499999999998"/>
    <n v="122228.6"/>
    <n v="2512.7700000000004"/>
    <n v="120480.32000000002"/>
    <n v="30.26"/>
    <n v="1377.2700000000002"/>
    <n v="2543.0300000000007"/>
    <n v="121857.59000000003"/>
    <n v="121857.59000000003"/>
    <n v="0"/>
    <n v="1377.2700000000002"/>
    <n v="0"/>
    <n v="9400"/>
    <n v="0"/>
    <n v="0"/>
    <n v="111077"/>
    <n v="0"/>
    <n v="0"/>
    <n v="374"/>
    <n v="0"/>
  </r>
  <r>
    <x v="698"/>
    <s v="Gomukh Namapur East (08)"/>
    <s v="vlc"/>
    <s v="Indirect"/>
    <n v="935.90000000000009"/>
    <n v="38358.1"/>
    <n v="0"/>
    <n v="0"/>
    <n v="0"/>
    <n v="0"/>
    <n v="0"/>
    <n v="0"/>
    <n v="38358.1"/>
    <n v="0"/>
    <n v="0"/>
    <n v="0"/>
    <n v="0"/>
    <n v="0"/>
    <n v="0"/>
    <n v="0"/>
    <n v="0"/>
    <n v="38358.1"/>
    <n v="0"/>
    <n v="0"/>
  </r>
  <r>
    <x v="699"/>
    <s v="GOMUKH Kalaunjar"/>
    <s v="MPG"/>
    <s v="Direct"/>
    <n v="954.65"/>
    <n v="41139.81"/>
    <n v="943.79999999999973"/>
    <n v="39900.189999999995"/>
    <n v="26.860000000000003"/>
    <n v="1203.32"/>
    <n v="970.65999999999974"/>
    <n v="41103.509999999995"/>
    <n v="41103.509999999995"/>
    <n v="0"/>
    <n v="1203.32"/>
    <n v="0"/>
    <n v="853"/>
    <n v="0"/>
    <n v="0"/>
    <n v="39051"/>
    <n v="0"/>
    <n v="0"/>
    <n v="32"/>
    <n v="0"/>
  </r>
  <r>
    <x v="700"/>
    <s v="Jitwariya W-11"/>
    <s v="vlc"/>
    <s v="Indirect"/>
    <n v="109.50000000000001"/>
    <n v="5481.41"/>
    <n v="0"/>
    <n v="0"/>
    <n v="0"/>
    <n v="0"/>
    <n v="0"/>
    <n v="0"/>
    <n v="5481.41"/>
    <n v="0"/>
    <n v="0"/>
    <n v="0"/>
    <n v="0"/>
    <n v="0"/>
    <n v="0"/>
    <n v="0"/>
    <n v="0"/>
    <n v="5481.41"/>
    <n v="0"/>
    <n v="0"/>
  </r>
  <r>
    <x v="701"/>
    <s v="Pastara Lakshman"/>
    <s v="vlc"/>
    <s v="Indirect"/>
    <n v="124.25000000000001"/>
    <n v="4311.99"/>
    <n v="0"/>
    <n v="0"/>
    <n v="0"/>
    <n v="0"/>
    <n v="0"/>
    <n v="0"/>
    <n v="4311.99"/>
    <n v="0"/>
    <n v="0"/>
    <n v="0"/>
    <n v="0"/>
    <n v="0"/>
    <n v="0"/>
    <n v="0"/>
    <n v="0"/>
    <n v="4311.99"/>
    <n v="0"/>
    <n v="0"/>
  </r>
  <r>
    <x v="702"/>
    <s v="GOMUKH DADHIYA-2"/>
    <s v="MPG"/>
    <s v="Direct"/>
    <n v="1507.7499999999995"/>
    <n v="66378.049999999988"/>
    <n v="1518.75"/>
    <n v="64803.459999999985"/>
    <n v="20.329999999999998"/>
    <n v="898.48"/>
    <n v="1539.08"/>
    <n v="65701.939999999988"/>
    <n v="65701.939999999988"/>
    <n v="0"/>
    <n v="898.48"/>
    <n v="0"/>
    <n v="0"/>
    <n v="0"/>
    <n v="0"/>
    <n v="64805"/>
    <n v="0"/>
    <n v="0"/>
    <n v="675"/>
    <n v="0"/>
  </r>
  <r>
    <x v="703"/>
    <s v="GOMUKH PREMNAGAR"/>
    <s v="MPG"/>
    <s v="Direct"/>
    <n v="1157.7000000000003"/>
    <n v="47968.830000000009"/>
    <n v="1130.8899999999999"/>
    <n v="47686.819999999985"/>
    <n v="6.4899999999999993"/>
    <n v="279"/>
    <n v="1137.3799999999999"/>
    <n v="47965.819999999985"/>
    <n v="47965.819999999985"/>
    <n v="0"/>
    <n v="182.82"/>
    <n v="0"/>
    <n v="4204"/>
    <n v="0"/>
    <n v="0"/>
    <n v="43484"/>
    <n v="96"/>
    <n v="0"/>
    <n v="2"/>
    <n v="0"/>
  </r>
  <r>
    <x v="704"/>
    <s v="GOMUKH JITWARIYA W-6"/>
    <s v="MPG"/>
    <s v="Direct"/>
    <n v="2415"/>
    <n v="100089.66000000003"/>
    <n v="2419.6800000000007"/>
    <n v="98249.49000000002"/>
    <n v="43.449999999999996"/>
    <n v="1797.7800000000002"/>
    <n v="2463.1300000000006"/>
    <n v="100047.27000000002"/>
    <n v="100047.27000000002"/>
    <n v="0"/>
    <n v="1797.7800000000002"/>
    <n v="0"/>
    <n v="3910"/>
    <n v="0"/>
    <n v="0"/>
    <n v="94344"/>
    <n v="0"/>
    <n v="0"/>
    <n v="38"/>
    <n v="0"/>
  </r>
  <r>
    <x v="705"/>
    <s v="GOMUKH SUSTA"/>
    <s v="MPG"/>
    <s v="Direct"/>
    <n v="597.20000000000005"/>
    <n v="28066.549999999996"/>
    <n v="608.92000000000007"/>
    <n v="27413.99"/>
    <n v="12"/>
    <n v="638.04"/>
    <n v="620.92000000000007"/>
    <n v="28052.030000000002"/>
    <n v="28052.030000000002"/>
    <n v="0"/>
    <n v="638.04"/>
    <n v="0"/>
    <n v="725"/>
    <n v="0"/>
    <n v="0"/>
    <n v="26692"/>
    <n v="0"/>
    <n v="0"/>
    <n v="12"/>
    <n v="0"/>
  </r>
  <r>
    <x v="707"/>
    <s v="BHATGAMA W-5"/>
    <s v="vlc"/>
    <s v="Indirect"/>
    <n v="448.59999999999991"/>
    <n v="14422.87"/>
    <n v="0"/>
    <n v="0"/>
    <n v="0"/>
    <n v="0"/>
    <n v="0"/>
    <n v="0"/>
    <n v="14422.87"/>
    <n v="0"/>
    <n v="0"/>
    <n v="0"/>
    <n v="0"/>
    <n v="0"/>
    <n v="0"/>
    <n v="0"/>
    <n v="0"/>
    <n v="14422.87"/>
    <n v="0"/>
    <n v="0"/>
  </r>
  <r>
    <x v="708"/>
    <s v="GOMUKH TOKE"/>
    <s v="MPG"/>
    <s v="Direct"/>
    <n v="59.5"/>
    <n v="2641.3099999999995"/>
    <n v="58.600000000000009"/>
    <n v="2560.27"/>
    <n v="0"/>
    <n v="0"/>
    <n v="58.600000000000009"/>
    <n v="2560.27"/>
    <n v="2560.27"/>
    <n v="0"/>
    <n v="0"/>
    <n v="0"/>
    <n v="0"/>
    <n v="0"/>
    <n v="0"/>
    <n v="2560"/>
    <n v="0"/>
    <n v="0"/>
    <n v="81"/>
    <n v="0"/>
  </r>
  <r>
    <x v="709"/>
    <s v="GOMUKH SHIVNAGAR"/>
    <s v="MPG"/>
    <s v="Direct"/>
    <n v="1051.1000000000001"/>
    <n v="44067"/>
    <n v="848.76999999999987"/>
    <n v="34680.969999999994"/>
    <n v="200.2"/>
    <n v="9768.11"/>
    <n v="1048.9699999999998"/>
    <n v="44449.079999999994"/>
    <n v="44067"/>
    <n v="0"/>
    <n v="0"/>
    <n v="382.07999999999447"/>
    <n v="0"/>
    <n v="0"/>
    <n v="0"/>
    <n v="34300"/>
    <n v="9767"/>
    <n v="0"/>
    <n v="0"/>
    <n v="0"/>
  </r>
  <r>
    <x v="710"/>
    <s v="GOMUKH BAKHITIYARPUR"/>
    <s v="MPG"/>
    <s v="Direct"/>
    <n v="1299.7499999999993"/>
    <n v="60103.819999999992"/>
    <n v="1279.3000000000002"/>
    <n v="58284.499999999993"/>
    <n v="40.900000000000006"/>
    <n v="1806.5200000000002"/>
    <n v="1320.2000000000003"/>
    <n v="60091.01999999999"/>
    <n v="60091.01999999999"/>
    <n v="0"/>
    <n v="1806.5200000000002"/>
    <n v="0"/>
    <n v="7256"/>
    <n v="0"/>
    <n v="0"/>
    <n v="51031"/>
    <n v="0"/>
    <n v="0"/>
    <n v="10"/>
    <n v="0"/>
  </r>
  <r>
    <x v="711"/>
    <s v="Gomukh Bhagwanpur East "/>
    <s v="vlc"/>
    <s v="Indirect"/>
    <n v="346.00000000000006"/>
    <n v="13243.05"/>
    <n v="0"/>
    <n v="0"/>
    <n v="0"/>
    <n v="0"/>
    <n v="0"/>
    <n v="0"/>
    <n v="13243.05"/>
    <n v="0"/>
    <n v="0"/>
    <n v="0"/>
    <n v="2950"/>
    <n v="0"/>
    <n v="0"/>
    <n v="0"/>
    <n v="0"/>
    <n v="10293.049999999999"/>
    <n v="0"/>
    <n v="0"/>
  </r>
  <r>
    <x v="712"/>
    <s v="GOMUKH BHARJA"/>
    <s v="MPG"/>
    <s v="Direct"/>
    <n v="2636.55"/>
    <n v="132559.16"/>
    <n v="2642.9"/>
    <n v="129257.27999999996"/>
    <n v="72.5"/>
    <n v="3250.47"/>
    <n v="2715.4"/>
    <n v="132507.74999999994"/>
    <n v="132507.74999999994"/>
    <n v="0"/>
    <n v="425.36"/>
    <n v="0"/>
    <n v="26020"/>
    <n v="0"/>
    <n v="0"/>
    <n v="103241"/>
    <n v="2826"/>
    <n v="0"/>
    <n v="47"/>
    <n v="0"/>
  </r>
  <r>
    <x v="713"/>
    <s v="GOMUKH NAWABGANJ"/>
    <s v="MPG"/>
    <s v="Direct"/>
    <n v="750.6"/>
    <n v="30946.589999999997"/>
    <n v="749.5"/>
    <n v="30439.05999999999"/>
    <n v="9.5999999999999979"/>
    <n v="383.61000000000007"/>
    <n v="759.1"/>
    <n v="30822.669999999991"/>
    <n v="30822.669999999991"/>
    <n v="0"/>
    <n v="383.61000000000007"/>
    <n v="0"/>
    <n v="2079"/>
    <n v="0"/>
    <n v="0"/>
    <n v="28357"/>
    <n v="0"/>
    <n v="0"/>
    <n v="127"/>
    <n v="0"/>
  </r>
  <r>
    <x v="714"/>
    <s v="GOMUKH CHAKKI"/>
    <s v="MPG"/>
    <s v="Direct"/>
    <n v="143.40000000000003"/>
    <n v="6458.119999999999"/>
    <n v="150.94999999999999"/>
    <n v="6406"/>
    <n v="1.2"/>
    <n v="47.36999999999999"/>
    <n v="152.14999999999998"/>
    <n v="6453.37"/>
    <n v="6453.37"/>
    <n v="0"/>
    <n v="47.36999999999999"/>
    <n v="0"/>
    <n v="0"/>
    <n v="0"/>
    <n v="0"/>
    <n v="6406"/>
    <n v="0"/>
    <n v="0"/>
    <n v="5"/>
    <n v="0"/>
  </r>
  <r>
    <x v="715"/>
    <s v="GOMUKH LAKSHMAN NAGAR"/>
    <s v="MPG"/>
    <s v="Direct"/>
    <n v="400.15"/>
    <n v="17685.59"/>
    <n v="423.4"/>
    <n v="17423.460000000003"/>
    <n v="0"/>
    <n v="0"/>
    <n v="423.4"/>
    <n v="17423.460000000003"/>
    <n v="17423.460000000003"/>
    <n v="0"/>
    <n v="0"/>
    <n v="0"/>
    <n v="0"/>
    <n v="0"/>
    <n v="0"/>
    <n v="17425"/>
    <n v="0"/>
    <n v="0"/>
    <n v="261"/>
    <n v="0"/>
  </r>
  <r>
    <x v="716"/>
    <s v="GOMUKH KOTHIYA"/>
    <s v="MPG"/>
    <s v="Direct"/>
    <n v="92.000000000000014"/>
    <n v="4125.18"/>
    <n v="90.399999999999991"/>
    <n v="3834.9399999999996"/>
    <n v="1.3"/>
    <n v="55.860000000000007"/>
    <n v="91.699999999999989"/>
    <n v="3890.7999999999997"/>
    <n v="3890.7999999999997"/>
    <n v="0"/>
    <n v="55.860000000000007"/>
    <n v="0"/>
    <n v="0"/>
    <n v="500"/>
    <n v="0"/>
    <n v="3335"/>
    <n v="0"/>
    <n v="0"/>
    <n v="234"/>
    <n v="0"/>
  </r>
  <r>
    <x v="717"/>
    <s v="GOMUKH JHAHURI"/>
    <s v="MPG"/>
    <s v="Direct"/>
    <n v="2763.1499999999987"/>
    <n v="122926.54000000001"/>
    <n v="2763.400000000001"/>
    <n v="119138.12999999999"/>
    <n v="82.7"/>
    <n v="3681.7100000000009"/>
    <n v="2846.1000000000008"/>
    <n v="122819.84"/>
    <n v="122819.84"/>
    <n v="0"/>
    <n v="3681.7100000000009"/>
    <n v="0"/>
    <n v="14029"/>
    <n v="0"/>
    <n v="0"/>
    <n v="105110"/>
    <n v="0"/>
    <n v="0"/>
    <n v="106"/>
    <n v="0"/>
  </r>
  <r>
    <x v="986"/>
    <s v="Belsandi Dihtola"/>
    <s v="vlc"/>
    <s v="Indirect"/>
    <n v="44.05"/>
    <n v="1870.91"/>
    <n v="0"/>
    <n v="0"/>
    <n v="0"/>
    <n v="0"/>
    <n v="0"/>
    <n v="0"/>
    <n v="1870.91"/>
    <n v="0"/>
    <n v="0"/>
    <n v="0"/>
    <n v="0"/>
    <n v="0"/>
    <n v="0"/>
    <n v="0"/>
    <n v="0"/>
    <n v="1870.91"/>
    <n v="0"/>
    <n v="0"/>
  </r>
  <r>
    <x v="718"/>
    <s v="GOMUKH Keotsa"/>
    <s v="MPG"/>
    <s v="Direct"/>
    <n v="653.8499999999998"/>
    <n v="29298.859999999997"/>
    <n v="548.01"/>
    <n v="23925.910000000003"/>
    <n v="132.96"/>
    <n v="5361.8600000000006"/>
    <n v="680.97"/>
    <n v="29287.770000000004"/>
    <n v="29287.770000000004"/>
    <n v="0"/>
    <n v="1487.58"/>
    <n v="0"/>
    <n v="0"/>
    <n v="0"/>
    <n v="0"/>
    <n v="23926"/>
    <n v="3874"/>
    <n v="0"/>
    <n v="11"/>
    <n v="0"/>
  </r>
  <r>
    <x v="719"/>
    <s v="Gomukh Namapur East"/>
    <s v="vlc"/>
    <s v="Indirect"/>
    <n v="288.04999999999995"/>
    <n v="17798.59"/>
    <n v="0"/>
    <n v="0"/>
    <n v="0"/>
    <n v="0"/>
    <n v="0"/>
    <n v="0"/>
    <n v="17798.59"/>
    <n v="0"/>
    <n v="0"/>
    <n v="0"/>
    <n v="0"/>
    <n v="0"/>
    <n v="0"/>
    <n v="0"/>
    <n v="0"/>
    <n v="17798.59"/>
    <n v="0"/>
    <n v="0"/>
  </r>
  <r>
    <x v="720"/>
    <s v="GOMUKH Waini"/>
    <s v="MPG"/>
    <s v="Direct"/>
    <n v="517.19999999999993"/>
    <n v="21092.339999999997"/>
    <n v="504.32000000000005"/>
    <n v="20560.969999999994"/>
    <n v="8.6000000000000014"/>
    <n v="346.68999999999994"/>
    <n v="512.92000000000007"/>
    <n v="20907.659999999993"/>
    <n v="20907.659999999993"/>
    <n v="0"/>
    <n v="346.68999999999994"/>
    <n v="0"/>
    <n v="0"/>
    <n v="0"/>
    <n v="0"/>
    <n v="20562"/>
    <n v="0"/>
    <n v="0"/>
    <n v="184"/>
    <n v="0"/>
  </r>
  <r>
    <x v="721"/>
    <s v="GOMUKH SAKARI"/>
    <s v="MPG"/>
    <s v="Direct"/>
    <n v="1709.8500000000001"/>
    <n v="77101.010000000024"/>
    <n v="1714.0100000000002"/>
    <n v="75825.919999999998"/>
    <n v="27.58"/>
    <n v="1254.76"/>
    <n v="1741.5900000000001"/>
    <n v="77080.679999999993"/>
    <n v="77080.679999999993"/>
    <n v="0"/>
    <n v="1254.76"/>
    <n v="0"/>
    <n v="22896"/>
    <n v="0"/>
    <n v="0"/>
    <n v="52932"/>
    <n v="0"/>
    <n v="0"/>
    <n v="18"/>
    <n v="0"/>
  </r>
  <r>
    <x v="722"/>
    <s v="GOMUKH DHOBGAMA"/>
    <s v="MPG"/>
    <s v="Direct"/>
    <n v="766.69999999999993"/>
    <n v="32552.89"/>
    <n v="747.49999999999989"/>
    <n v="30988.86"/>
    <n v="23.049999999999997"/>
    <n v="955.78999999999985"/>
    <n v="770.54999999999984"/>
    <n v="31944.65"/>
    <n v="31944.65"/>
    <n v="0"/>
    <n v="955.78999999999985"/>
    <n v="0"/>
    <n v="0"/>
    <n v="0"/>
    <n v="0"/>
    <n v="30989"/>
    <n v="0"/>
    <n v="0"/>
    <n v="608"/>
    <n v="0"/>
  </r>
  <r>
    <x v="723"/>
    <s v="GOMUKH BHUSKOUL"/>
    <s v="MPG"/>
    <s v="Direct"/>
    <n v="477.7"/>
    <n v="19684.719999999998"/>
    <n v="494.45000000000005"/>
    <n v="19053.690000000002"/>
    <n v="11.52"/>
    <n v="451.99"/>
    <n v="505.97"/>
    <n v="19505.680000000004"/>
    <n v="19505.680000000004"/>
    <n v="0"/>
    <n v="451.99"/>
    <n v="0"/>
    <n v="0"/>
    <n v="0"/>
    <n v="0"/>
    <n v="19052"/>
    <n v="0"/>
    <n v="0"/>
    <n v="181"/>
    <n v="0"/>
  </r>
  <r>
    <x v="724"/>
    <s v="GOMUKH BIRSINGHPUR"/>
    <s v="MPG"/>
    <s v="Direct"/>
    <n v="695"/>
    <n v="28429.75"/>
    <n v="696.18"/>
    <n v="27927.590000000004"/>
    <n v="11.8"/>
    <n v="483.28"/>
    <n v="707.9799999999999"/>
    <n v="28410.870000000003"/>
    <n v="28410.870000000003"/>
    <n v="0"/>
    <n v="461.78"/>
    <n v="0"/>
    <n v="0"/>
    <n v="0"/>
    <n v="0"/>
    <n v="27929"/>
    <n v="22"/>
    <n v="0"/>
    <n v="17"/>
    <n v="0"/>
  </r>
  <r>
    <x v="725"/>
    <s v="GOMUKH GHOSRAWAN"/>
    <s v="MPG"/>
    <s v="Direct"/>
    <n v="497.59999999999997"/>
    <n v="20324.759999999995"/>
    <n v="453.4"/>
    <n v="17917.499999999996"/>
    <n v="56.800000000000004"/>
    <n v="2381.4999999999995"/>
    <n v="510.2"/>
    <n v="20298.999999999996"/>
    <n v="20298.999999999996"/>
    <n v="0"/>
    <n v="213.26999999999995"/>
    <n v="0"/>
    <n v="4650"/>
    <n v="0"/>
    <n v="0"/>
    <n v="13267"/>
    <n v="2168"/>
    <n v="0"/>
    <n v="26"/>
    <n v="0"/>
  </r>
  <r>
    <x v="726"/>
    <s v="GOMUKH BANDRA W-9"/>
    <s v="MPG"/>
    <s v="Direct"/>
    <n v="506.55000000000007"/>
    <n v="22826.799999999999"/>
    <n v="506.68000000000006"/>
    <n v="22052.449999999997"/>
    <n v="15.870000000000003"/>
    <n v="740.3599999999999"/>
    <n v="522.55000000000007"/>
    <n v="22792.809999999998"/>
    <n v="22792.809999999998"/>
    <n v="0"/>
    <n v="740.3599999999999"/>
    <n v="0"/>
    <n v="0"/>
    <n v="0"/>
    <n v="0"/>
    <n v="22053"/>
    <n v="0"/>
    <n v="0"/>
    <n v="33"/>
    <n v="0"/>
  </r>
  <r>
    <x v="727"/>
    <s v="AMI Dairy"/>
    <s v="vlc"/>
    <s v="Indirect"/>
    <n v="1232.8999999999999"/>
    <n v="51125.42"/>
    <n v="0"/>
    <n v="0"/>
    <n v="0"/>
    <n v="0"/>
    <n v="0"/>
    <n v="0"/>
    <n v="51125.42"/>
    <n v="0"/>
    <n v="0"/>
    <n v="0"/>
    <n v="0"/>
    <n v="0"/>
    <n v="0"/>
    <n v="0"/>
    <n v="0"/>
    <n v="51125.42"/>
    <n v="0"/>
    <n v="0"/>
  </r>
  <r>
    <x v="987"/>
    <s v="Gomukh Simra"/>
    <s v="vlc"/>
    <s v="Indirect"/>
    <n v="1486.3000000000002"/>
    <n v="58619.979999999996"/>
    <n v="0"/>
    <n v="0"/>
    <n v="0"/>
    <n v="0"/>
    <n v="0"/>
    <n v="0"/>
    <n v="58619.979999999996"/>
    <n v="0"/>
    <n v="0"/>
    <n v="0"/>
    <n v="23250"/>
    <n v="0"/>
    <n v="0"/>
    <n v="0"/>
    <n v="0"/>
    <n v="35369.979999999996"/>
    <n v="0"/>
    <n v="0"/>
  </r>
  <r>
    <x v="728"/>
    <s v="GOMUKH ANANDPUR PARAS 2"/>
    <s v="MPG"/>
    <s v="Direct"/>
    <n v="3542.7000000000003"/>
    <n v="146338.76999999999"/>
    <n v="2003.3"/>
    <n v="83012.39"/>
    <n v="1568.7000000000003"/>
    <n v="64487.259999999987"/>
    <n v="3572"/>
    <n v="147499.65"/>
    <n v="146338.76999999999"/>
    <n v="0"/>
    <n v="0"/>
    <n v="1160.8800000000047"/>
    <n v="0"/>
    <n v="0"/>
    <n v="0"/>
    <n v="81851"/>
    <n v="64488"/>
    <n v="0"/>
    <n v="0"/>
    <n v="0"/>
  </r>
  <r>
    <x v="729"/>
    <s v="GOMUKH GADBANNI"/>
    <s v="MPG"/>
    <s v="Direct"/>
    <n v="361.6"/>
    <n v="15720.399999999998"/>
    <n v="398.33"/>
    <n v="17625.939999999999"/>
    <n v="0"/>
    <n v="0"/>
    <n v="398.33"/>
    <n v="17625.939999999999"/>
    <n v="15720.399999999998"/>
    <n v="0"/>
    <n v="0"/>
    <n v="1905.5400000000009"/>
    <n v="0"/>
    <n v="0"/>
    <n v="0"/>
    <n v="15720"/>
    <n v="0"/>
    <n v="0"/>
    <n v="0"/>
    <s v="Release2"/>
  </r>
  <r>
    <x v="988"/>
    <s v="GOMUKH GORIYAMI"/>
    <s v="MPG"/>
    <s v="Direct"/>
    <n v="418.59999999999997"/>
    <n v="18508.09"/>
    <n v="491.18000000000006"/>
    <n v="22493.59"/>
    <n v="2.97"/>
    <n v="113.54"/>
    <n v="494.15000000000009"/>
    <n v="22607.13"/>
    <n v="18508.09"/>
    <n v="0"/>
    <n v="113.54"/>
    <n v="4099.0400000000009"/>
    <n v="0"/>
    <n v="0"/>
    <n v="0"/>
    <n v="18394"/>
    <n v="0"/>
    <n v="0"/>
    <n v="1"/>
    <n v="0"/>
  </r>
  <r>
    <x v="730"/>
    <s v="GOMUKH PARRI"/>
    <s v="MPG"/>
    <s v="Direct"/>
    <n v="81.599999999999994"/>
    <n v="3784.97"/>
    <n v="86.81"/>
    <n v="4121.5200000000004"/>
    <n v="0"/>
    <n v="0"/>
    <n v="86.81"/>
    <n v="4121.5200000000004"/>
    <n v="3784.97"/>
    <n v="0"/>
    <n v="0"/>
    <n v="336.55000000000064"/>
    <n v="1511"/>
    <n v="0"/>
    <n v="0"/>
    <n v="0"/>
    <n v="0"/>
    <n v="0"/>
    <n v="2274"/>
    <s v="Yes"/>
  </r>
  <r>
    <x v="731"/>
    <s v="GOMUKH BHIKHARI GHAT"/>
    <s v="MPG"/>
    <s v="Direct"/>
    <n v="1213.6000000000001"/>
    <n v="52986.98"/>
    <n v="1252.1499999999996"/>
    <n v="57299.319999999992"/>
    <n v="0"/>
    <n v="0"/>
    <n v="1252.1499999999996"/>
    <n v="57299.319999999992"/>
    <n v="52986.98"/>
    <n v="0"/>
    <n v="0"/>
    <n v="4312.3399999999892"/>
    <n v="2029"/>
    <n v="0"/>
    <n v="0"/>
    <n v="50958"/>
    <n v="0"/>
    <n v="0"/>
    <n v="0"/>
    <s v="Release2"/>
  </r>
  <r>
    <x v="732"/>
    <s v="Vikash Kumar"/>
    <s v="vlc"/>
    <s v="Indirect"/>
    <n v="1740.8"/>
    <n v="73027.53"/>
    <n v="0"/>
    <n v="0"/>
    <n v="0"/>
    <n v="0"/>
    <n v="0"/>
    <n v="0"/>
    <n v="73027.53"/>
    <n v="0"/>
    <n v="0"/>
    <n v="0"/>
    <n v="0"/>
    <n v="0"/>
    <n v="0"/>
    <n v="0"/>
    <n v="0"/>
    <n v="73027.53"/>
    <n v="0"/>
    <n v="0"/>
  </r>
  <r>
    <x v="733"/>
    <s v="Rajkishore Yadav"/>
    <s v="vlc"/>
    <s v="Indirect"/>
    <n v="363.49999999999994"/>
    <n v="12749.45"/>
    <n v="0"/>
    <n v="0"/>
    <n v="0"/>
    <n v="0"/>
    <n v="0"/>
    <n v="0"/>
    <n v="12749.45"/>
    <n v="0"/>
    <n v="0"/>
    <n v="0"/>
    <n v="0"/>
    <n v="0"/>
    <n v="0"/>
    <n v="0"/>
    <n v="0"/>
    <n v="12749.45"/>
    <n v="0"/>
    <n v="0"/>
  </r>
  <r>
    <x v="734"/>
    <s v="BHADAS VLC"/>
    <s v="vlc"/>
    <s v="Indirect"/>
    <n v="51.4"/>
    <n v="2970.29"/>
    <n v="0"/>
    <n v="0"/>
    <n v="0"/>
    <n v="0"/>
    <n v="0"/>
    <n v="0"/>
    <n v="2970.29"/>
    <n v="0"/>
    <n v="0"/>
    <n v="0"/>
    <n v="0"/>
    <n v="0"/>
    <n v="0"/>
    <n v="0"/>
    <n v="0"/>
    <n v="2970.29"/>
    <n v="0"/>
    <n v="0"/>
  </r>
  <r>
    <x v="735"/>
    <s v="GOMUKH BENHER"/>
    <s v="MPG"/>
    <s v="Direct"/>
    <n v="493.9"/>
    <n v="26327.230000000003"/>
    <n v="400.7"/>
    <n v="21307.469999999998"/>
    <n v="116.35999999999999"/>
    <n v="6204.8499999999985"/>
    <n v="517.05999999999995"/>
    <n v="27512.319999999996"/>
    <n v="26327.230000000003"/>
    <n v="0"/>
    <n v="47.36"/>
    <n v="1185.0899999999929"/>
    <n v="0"/>
    <n v="0"/>
    <n v="0"/>
    <n v="20122"/>
    <n v="6158"/>
    <n v="0"/>
    <n v="0"/>
    <n v="0"/>
  </r>
  <r>
    <x v="736"/>
    <s v="GOMUKH LADORA"/>
    <s v="MPG"/>
    <s v="Direct"/>
    <n v="721.20000000000016"/>
    <n v="27455.119999999999"/>
    <n v="721"/>
    <n v="28162.26"/>
    <n v="0"/>
    <n v="0"/>
    <n v="721"/>
    <n v="28162.26"/>
    <n v="27455.119999999999"/>
    <n v="0"/>
    <n v="0"/>
    <n v="707.13999999999942"/>
    <n v="27455"/>
    <n v="0"/>
    <n v="0"/>
    <n v="0"/>
    <n v="0"/>
    <n v="0"/>
    <n v="0"/>
    <n v="0"/>
  </r>
  <r>
    <x v="737"/>
    <s v="GOMUKH SAHSI"/>
    <s v="MPG"/>
    <s v="Direct"/>
    <n v="385.7"/>
    <n v="17971.72"/>
    <n v="400.36"/>
    <n v="18443.18"/>
    <n v="0"/>
    <n v="0"/>
    <n v="400.36"/>
    <n v="18443.18"/>
    <n v="17971.72"/>
    <n v="0"/>
    <n v="0"/>
    <n v="471.45999999999913"/>
    <n v="0"/>
    <n v="500"/>
    <n v="0"/>
    <n v="17472"/>
    <n v="0"/>
    <n v="0"/>
    <n v="0"/>
    <n v="0"/>
  </r>
  <r>
    <x v="738"/>
    <s v="Gomukh Chikni"/>
    <s v="MPG"/>
    <s v="Direct"/>
    <n v="142.39999999999998"/>
    <n v="4800.18"/>
    <n v="142.07"/>
    <n v="6081.26"/>
    <n v="0"/>
    <n v="0"/>
    <n v="142.07"/>
    <n v="6081.26"/>
    <n v="4800.18"/>
    <n v="0"/>
    <n v="0"/>
    <n v="1281.08"/>
    <n v="0"/>
    <n v="500"/>
    <n v="0"/>
    <n v="4300"/>
    <n v="0"/>
    <n v="0"/>
    <n v="0"/>
    <n v="0"/>
  </r>
  <r>
    <x v="739"/>
    <s v="GOMUKH BUDWA"/>
    <s v="MPG"/>
    <s v="Direct"/>
    <n v="123.60000000000001"/>
    <n v="4855.9500000000007"/>
    <n v="135.34"/>
    <n v="5449.66"/>
    <n v="0"/>
    <n v="0"/>
    <n v="135.34"/>
    <n v="5449.66"/>
    <n v="4855.9500000000007"/>
    <n v="0"/>
    <n v="0"/>
    <n v="593.70999999999913"/>
    <n v="0"/>
    <n v="0"/>
    <n v="0"/>
    <n v="0"/>
    <n v="0"/>
    <n v="0"/>
    <n v="4856"/>
    <s v="Yes"/>
  </r>
  <r>
    <x v="740"/>
    <s v="GOMUKH GANGIYA"/>
    <s v="vlc"/>
    <s v="Indirect"/>
    <n v="689.2"/>
    <n v="23969.270000000004"/>
    <n v="0"/>
    <n v="0"/>
    <n v="0"/>
    <n v="0"/>
    <n v="0"/>
    <n v="0"/>
    <n v="23969.270000000004"/>
    <n v="0"/>
    <n v="0"/>
    <n v="0"/>
    <n v="0"/>
    <n v="0"/>
    <n v="0"/>
    <n v="0"/>
    <n v="0"/>
    <n v="23969.270000000004"/>
    <n v="0"/>
    <n v="0"/>
  </r>
  <r>
    <x v="741"/>
    <s v="GOMUKH AMBA ICHARUA"/>
    <s v="MPG"/>
    <s v="Direct"/>
    <n v="475.5"/>
    <n v="18481.32"/>
    <n v="13.98"/>
    <n v="554.92000000000007"/>
    <n v="445.71999999999997"/>
    <n v="18103.23"/>
    <n v="459.7"/>
    <n v="18658.150000000001"/>
    <n v="18481.32"/>
    <n v="0"/>
    <n v="0"/>
    <n v="176.83000000000175"/>
    <n v="0"/>
    <n v="0"/>
    <n v="0"/>
    <n v="380"/>
    <n v="18101"/>
    <n v="0"/>
    <n v="0"/>
    <n v="0"/>
  </r>
  <r>
    <x v="742"/>
    <s v="RAJAURA VLC"/>
    <s v="vlc"/>
    <s v="Indirect"/>
    <n v="881"/>
    <n v="33092.97"/>
    <n v="0"/>
    <n v="0"/>
    <n v="0"/>
    <n v="0"/>
    <n v="0"/>
    <n v="0"/>
    <n v="33092.97"/>
    <n v="0"/>
    <n v="0"/>
    <n v="0"/>
    <n v="0"/>
    <n v="0"/>
    <n v="0"/>
    <n v="0"/>
    <n v="0"/>
    <n v="33092.97"/>
    <n v="0"/>
    <n v="0"/>
  </r>
  <r>
    <x v="743"/>
    <s v="GOMUKH JWALAPUR"/>
    <s v="MPG"/>
    <s v="Direct"/>
    <n v="192.4"/>
    <n v="7411.69"/>
    <n v="192.8"/>
    <n v="8415.7199999999993"/>
    <n v="0"/>
    <n v="0"/>
    <n v="192.8"/>
    <n v="8415.7199999999993"/>
    <n v="7411.69"/>
    <n v="0"/>
    <n v="0"/>
    <n v="1004.0299999999997"/>
    <n v="0"/>
    <n v="500"/>
    <n v="0"/>
    <n v="6912"/>
    <n v="0"/>
    <n v="0"/>
    <n v="0"/>
    <n v="0"/>
  </r>
  <r>
    <x v="744"/>
    <s v="VLC Dhushmuri Bishanpur"/>
    <s v="vlc"/>
    <s v="Indirect"/>
    <n v="435.2"/>
    <n v="14600.730000000001"/>
    <n v="0"/>
    <n v="0"/>
    <n v="0"/>
    <n v="0"/>
    <n v="0"/>
    <n v="0"/>
    <n v="14600.730000000001"/>
    <n v="0"/>
    <n v="0"/>
    <n v="0"/>
    <n v="0"/>
    <n v="0"/>
    <n v="0"/>
    <n v="0"/>
    <n v="0"/>
    <n v="14600.730000000001"/>
    <n v="0"/>
    <n v="0"/>
  </r>
  <r>
    <x v="746"/>
    <s v="Gomukh Darhi Mor"/>
    <s v="vlc"/>
    <s v="Indirect"/>
    <n v="108"/>
    <n v="4229.5200000000004"/>
    <n v="0"/>
    <n v="0"/>
    <n v="0"/>
    <n v="0"/>
    <n v="0"/>
    <n v="0"/>
    <n v="4229.5200000000004"/>
    <n v="0"/>
    <n v="0"/>
    <n v="0"/>
    <n v="0"/>
    <n v="0"/>
    <n v="0"/>
    <n v="0"/>
    <n v="0"/>
    <n v="4229.5200000000004"/>
    <n v="0"/>
    <n v="0"/>
  </r>
  <r>
    <x v="747"/>
    <s v="Gomukh Balaur"/>
    <s v="MPG"/>
    <s v="Direct"/>
    <n v="1820.5"/>
    <n v="97543.07"/>
    <n v="505.27"/>
    <n v="32046.329999999998"/>
    <n v="1315"/>
    <n v="68800.800000000003"/>
    <n v="1820.27"/>
    <n v="100847.13"/>
    <n v="97543.07"/>
    <n v="0"/>
    <n v="0"/>
    <n v="3304.0599999999977"/>
    <n v="0"/>
    <n v="0"/>
    <n v="0"/>
    <n v="28741"/>
    <n v="68802"/>
    <n v="0"/>
    <n v="0"/>
    <n v="0"/>
  </r>
  <r>
    <x v="748"/>
    <s v="Gomukh Usri"/>
    <s v="vlc"/>
    <s v="Direct"/>
    <n v="303.59999999999997"/>
    <n v="13978.119999999999"/>
    <n v="296.54000000000002"/>
    <n v="14241.690000000002"/>
    <n v="0"/>
    <n v="0"/>
    <n v="296.54000000000002"/>
    <n v="14241.690000000002"/>
    <n v="13978.119999999999"/>
    <n v="0"/>
    <n v="0"/>
    <n v="263.57000000000335"/>
    <n v="5827"/>
    <n v="0"/>
    <n v="0"/>
    <n v="8151"/>
    <n v="0"/>
    <n v="0"/>
    <n v="0"/>
    <n v="0"/>
  </r>
  <r>
    <x v="749"/>
    <s v="Gomukh Hathwan - 2"/>
    <s v="MPG"/>
    <s v="Direct"/>
    <n v="180.20000000000005"/>
    <n v="7395.57"/>
    <n v="185"/>
    <n v="8075.25"/>
    <n v="0"/>
    <n v="0"/>
    <n v="185"/>
    <n v="8075.25"/>
    <n v="7395.57"/>
    <n v="0"/>
    <n v="0"/>
    <n v="679.68000000000029"/>
    <n v="0"/>
    <n v="0"/>
    <n v="0"/>
    <n v="7396"/>
    <n v="0"/>
    <n v="0"/>
    <n v="0"/>
    <n v="0"/>
  </r>
  <r>
    <x v="750"/>
    <s v="VLC Sunil Khas"/>
    <s v="vlc"/>
    <s v="Indirect"/>
    <n v="775.2"/>
    <n v="32944.590000000004"/>
    <n v="0"/>
    <n v="0"/>
    <n v="0"/>
    <n v="0"/>
    <n v="0"/>
    <n v="0"/>
    <n v="32944.590000000004"/>
    <n v="0"/>
    <n v="0"/>
    <n v="0"/>
    <n v="8400"/>
    <n v="0"/>
    <n v="0"/>
    <n v="0"/>
    <n v="0"/>
    <n v="24544.590000000004"/>
    <n v="0"/>
    <n v="0"/>
  </r>
  <r>
    <x v="751"/>
    <s v="Gomukh Hathwan "/>
    <s v="MPG"/>
    <s v="Direct"/>
    <n v="530.20000000000005"/>
    <n v="22130"/>
    <n v="594.75"/>
    <n v="28755.07"/>
    <n v="0"/>
    <n v="0"/>
    <n v="594.75"/>
    <n v="28755.07"/>
    <n v="22130"/>
    <n v="0"/>
    <n v="0"/>
    <n v="6625.07"/>
    <n v="0"/>
    <n v="0"/>
    <n v="0"/>
    <n v="22130"/>
    <n v="0"/>
    <n v="0"/>
    <n v="0"/>
    <n v="0"/>
  </r>
  <r>
    <x v="752"/>
    <s v="Gomukh Bekhari Ghat-2"/>
    <s v="MPG"/>
    <s v="Direct"/>
    <n v="100.89999999999999"/>
    <n v="3453.2399999999993"/>
    <n v="100"/>
    <n v="4365"/>
    <n v="0"/>
    <n v="0"/>
    <n v="100"/>
    <n v="4365"/>
    <n v="3453.2399999999993"/>
    <n v="0"/>
    <n v="0"/>
    <n v="911.76000000000067"/>
    <n v="1400"/>
    <n v="0"/>
    <n v="0"/>
    <n v="2053"/>
    <n v="0"/>
    <n v="0"/>
    <n v="0"/>
    <n v="0"/>
  </r>
  <r>
    <x v="753"/>
    <s v="Gomukh Rahul VLC"/>
    <s v="vlc"/>
    <s v="Indirect"/>
    <n v="2008.3000000000004"/>
    <n v="87785.250000000015"/>
    <n v="0"/>
    <n v="0"/>
    <n v="0"/>
    <n v="0"/>
    <n v="0"/>
    <n v="0"/>
    <n v="87785.250000000015"/>
    <n v="0"/>
    <n v="0"/>
    <n v="0"/>
    <n v="0"/>
    <n v="0"/>
    <n v="0"/>
    <n v="0"/>
    <n v="0"/>
    <n v="87785.250000000015"/>
    <n v="0"/>
    <n v="0"/>
  </r>
  <r>
    <x v="754"/>
    <s v="Gomukh Sachin VLC"/>
    <s v="vlc"/>
    <s v="Indirect"/>
    <n v="644.80000000000007"/>
    <n v="24845.170000000002"/>
    <n v="0"/>
    <n v="0"/>
    <n v="0"/>
    <n v="0"/>
    <n v="0"/>
    <n v="0"/>
    <n v="24845.170000000002"/>
    <n v="0"/>
    <n v="0"/>
    <n v="0"/>
    <n v="24845"/>
    <n v="0"/>
    <n v="0"/>
    <n v="0"/>
    <n v="0"/>
    <n v="0.17000000000189175"/>
    <n v="0"/>
    <n v="0"/>
  </r>
  <r>
    <x v="755"/>
    <s v="Gomukh Khutauna"/>
    <s v="MPG"/>
    <s v="Direct"/>
    <n v="359.60000000000008"/>
    <n v="13003.699999999997"/>
    <n v="112.76"/>
    <n v="3985.67"/>
    <n v="278.48"/>
    <n v="9067.9800000000014"/>
    <n v="391.24"/>
    <n v="13053.650000000001"/>
    <n v="13003.699999999997"/>
    <n v="0"/>
    <n v="0"/>
    <n v="49.950000000004366"/>
    <n v="3936"/>
    <n v="0"/>
    <n v="0"/>
    <n v="0"/>
    <n v="9068"/>
    <n v="0"/>
    <n v="0"/>
    <s v="Release2"/>
  </r>
  <r>
    <x v="756"/>
    <s v="Gomukh Bathnaha VLC"/>
    <s v="vlc"/>
    <s v="Indirect"/>
    <n v="238.9"/>
    <n v="8296.9699999999993"/>
    <n v="0"/>
    <n v="0"/>
    <n v="0"/>
    <n v="0"/>
    <n v="0"/>
    <n v="0"/>
    <n v="8296.9699999999993"/>
    <n v="0"/>
    <n v="0"/>
    <n v="0"/>
    <n v="0"/>
    <n v="0"/>
    <n v="0"/>
    <n v="0"/>
    <n v="0"/>
    <n v="8296.9699999999993"/>
    <n v="0"/>
    <n v="0"/>
  </r>
  <r>
    <x v="1039"/>
    <s v="Ahok VLC"/>
    <s v="vlc"/>
    <s v="Indirect"/>
    <n v="207.29999999999998"/>
    <n v="6932.25"/>
    <n v="0"/>
    <n v="0"/>
    <n v="0"/>
    <n v="0"/>
    <n v="0"/>
    <n v="0"/>
    <n v="6932.25"/>
    <n v="0"/>
    <n v="0"/>
    <n v="0"/>
    <n v="0"/>
    <n v="0"/>
    <n v="0"/>
    <n v="0"/>
    <n v="0"/>
    <n v="6932.25"/>
    <n v="0"/>
    <n v="0"/>
  </r>
  <r>
    <x v="757"/>
    <s v="Balahpur-Anil Yadav"/>
    <s v="vlc"/>
    <s v="Indirect"/>
    <n v="26118.2"/>
    <n v="998373.24"/>
    <n v="0"/>
    <n v="0"/>
    <n v="0"/>
    <n v="0"/>
    <n v="0"/>
    <n v="0"/>
    <n v="998373.24"/>
    <n v="0"/>
    <n v="0"/>
    <n v="0"/>
    <n v="0"/>
    <n v="0"/>
    <n v="0"/>
    <n v="0"/>
    <n v="0"/>
    <n v="998373.24"/>
    <n v="0"/>
    <n v="0"/>
  </r>
  <r>
    <x v="758"/>
    <s v="Bagdobh"/>
    <s v="vlc"/>
    <s v="Indirect"/>
    <n v="143.5"/>
    <n v="5572.7200000000012"/>
    <n v="0"/>
    <n v="0"/>
    <n v="0"/>
    <n v="0"/>
    <n v="0"/>
    <n v="0"/>
    <n v="5572.7200000000012"/>
    <n v="0"/>
    <n v="0"/>
    <n v="0"/>
    <n v="0"/>
    <n v="0"/>
    <n v="0"/>
    <n v="0"/>
    <n v="0"/>
    <n v="5572.7200000000012"/>
    <n v="0"/>
    <n v="0"/>
  </r>
  <r>
    <x v="759"/>
    <s v="Gomukh Matihani"/>
    <s v="MPG"/>
    <s v="Direct"/>
    <n v="130"/>
    <n v="5365.58"/>
    <n v="122.7"/>
    <n v="5204.9400000000005"/>
    <n v="4.5999999999999996"/>
    <n v="183.49"/>
    <n v="127.3"/>
    <n v="5388.43"/>
    <n v="5365.58"/>
    <n v="0"/>
    <n v="183.49"/>
    <n v="22.850000000000364"/>
    <n v="0"/>
    <n v="0"/>
    <n v="0"/>
    <n v="5182"/>
    <n v="0"/>
    <n v="0"/>
    <n v="0"/>
    <n v="0"/>
  </r>
  <r>
    <x v="760"/>
    <s v="Jalalpur"/>
    <s v="vlc"/>
    <s v="Indirect"/>
    <n v="1649.3999999999999"/>
    <n v="60430.979999999996"/>
    <n v="0"/>
    <n v="0"/>
    <n v="0"/>
    <n v="0"/>
    <n v="0"/>
    <n v="0"/>
    <n v="60430.979999999996"/>
    <n v="0"/>
    <n v="0"/>
    <n v="0"/>
    <n v="0"/>
    <n v="0"/>
    <n v="0"/>
    <n v="0"/>
    <n v="0"/>
    <n v="60430.979999999996"/>
    <n v="0"/>
    <n v="0"/>
  </r>
  <r>
    <x v="761"/>
    <s v="Saidpur"/>
    <s v="vlc"/>
    <s v="Indirect"/>
    <n v="302.2"/>
    <n v="11088.320000000002"/>
    <n v="0"/>
    <n v="0"/>
    <n v="0"/>
    <n v="0"/>
    <n v="0"/>
    <n v="0"/>
    <n v="11088.320000000002"/>
    <n v="0"/>
    <n v="0"/>
    <n v="0"/>
    <n v="0"/>
    <n v="0"/>
    <n v="0"/>
    <n v="0"/>
    <n v="0"/>
    <n v="11088.320000000002"/>
    <n v="0"/>
    <n v="0"/>
  </r>
  <r>
    <x v="762"/>
    <s v="Chak"/>
    <s v="vlc"/>
    <s v="Indirect"/>
    <n v="1242.0999999999999"/>
    <n v="47829.09"/>
    <n v="0"/>
    <n v="0"/>
    <n v="0"/>
    <n v="0"/>
    <n v="0"/>
    <n v="0"/>
    <n v="47829.09"/>
    <n v="0"/>
    <n v="0"/>
    <n v="0"/>
    <n v="0"/>
    <n v="0"/>
    <n v="0"/>
    <n v="0"/>
    <n v="0"/>
    <n v="47829.09"/>
    <n v="0"/>
    <n v="0"/>
  </r>
  <r>
    <x v="763"/>
    <s v="Manmana Dhala"/>
    <s v="MPG"/>
    <s v="Direct"/>
    <n v="272.09999999999997"/>
    <n v="11552.77"/>
    <n v="271.26000000000005"/>
    <n v="11386.2"/>
    <n v="3.0900000000000003"/>
    <n v="135.51"/>
    <n v="274.35000000000002"/>
    <n v="11521.710000000001"/>
    <n v="11521.710000000001"/>
    <n v="0"/>
    <n v="135.51"/>
    <n v="0"/>
    <n v="0"/>
    <n v="0"/>
    <n v="0"/>
    <n v="11386"/>
    <n v="0"/>
    <n v="0"/>
    <n v="31"/>
    <n v="0"/>
  </r>
  <r>
    <x v="764"/>
    <s v="Mahendarpur 2"/>
    <s v="MPG"/>
    <s v="Direct"/>
    <n v="279.90000000000003"/>
    <n v="11182.480000000001"/>
    <n v="265.98"/>
    <n v="11005.7"/>
    <n v="2.8699999999999997"/>
    <n v="116.41000000000001"/>
    <n v="268.85000000000002"/>
    <n v="11122.11"/>
    <n v="11122.11"/>
    <n v="0"/>
    <n v="116.41000000000001"/>
    <n v="0"/>
    <n v="0"/>
    <n v="0"/>
    <n v="0"/>
    <n v="11006"/>
    <n v="0"/>
    <n v="0"/>
    <n v="60"/>
    <n v="0"/>
  </r>
  <r>
    <x v="1040"/>
    <s v="Badalpura"/>
    <s v="MPG"/>
    <s v="Direct"/>
    <n v="46.4"/>
    <n v="1899.6100000000001"/>
    <n v="46.399999999999991"/>
    <n v="1869.68"/>
    <n v="0.2"/>
    <n v="7.7"/>
    <n v="46.599999999999994"/>
    <n v="1877.38"/>
    <n v="1877.38"/>
    <n v="0"/>
    <n v="7.7"/>
    <n v="0"/>
    <n v="0"/>
    <n v="0"/>
    <n v="0"/>
    <n v="1870"/>
    <n v="0"/>
    <n v="0"/>
    <n v="22"/>
    <n v="0"/>
  </r>
  <r>
    <x v="765"/>
    <s v="Gomukh Chautham(Mithun Kumar VLC)"/>
    <s v="MPG"/>
    <s v="Indirect"/>
    <n v="2656.06"/>
    <n v="104162.86"/>
    <n v="0"/>
    <n v="0"/>
    <n v="0"/>
    <n v="0"/>
    <n v="0"/>
    <n v="0"/>
    <n v="104162.86"/>
    <n v="0"/>
    <n v="0"/>
    <n v="0"/>
    <n v="0"/>
    <n v="0"/>
    <n v="0"/>
    <n v="0"/>
    <n v="0"/>
    <n v="104162.86"/>
    <n v="0"/>
    <n v="0"/>
  </r>
  <r>
    <x v="766"/>
    <s v="Gomukh Pansalwa"/>
    <s v="vlc"/>
    <s v="Indirect"/>
    <n v="313.18000000000006"/>
    <n v="11731.36"/>
    <n v="0"/>
    <n v="0"/>
    <n v="0"/>
    <n v="0"/>
    <n v="0"/>
    <n v="0"/>
    <n v="11731.36"/>
    <n v="0"/>
    <n v="0"/>
    <n v="0"/>
    <n v="0"/>
    <n v="0"/>
    <n v="0"/>
    <n v="0"/>
    <n v="0"/>
    <n v="11731.36"/>
    <n v="0"/>
    <n v="0"/>
  </r>
  <r>
    <x v="767"/>
    <s v="Gomukh Nawada"/>
    <s v="MPG"/>
    <s v="Direct"/>
    <n v="979.12"/>
    <n v="35846.219999999994"/>
    <n v="1043.52"/>
    <n v="38642.330000000009"/>
    <n v="0"/>
    <n v="0"/>
    <n v="1043.52"/>
    <n v="38642.330000000009"/>
    <n v="35846.219999999994"/>
    <n v="0"/>
    <n v="0"/>
    <n v="2796.1100000000151"/>
    <n v="0"/>
    <n v="0"/>
    <n v="0"/>
    <n v="35846"/>
    <n v="0"/>
    <n v="0"/>
    <n v="0"/>
    <n v="0"/>
  </r>
  <r>
    <x v="768"/>
    <s v="Gomukh Yadav Tol Kanauli"/>
    <s v="MPG"/>
    <s v="Direct"/>
    <n v="1527.6999999999998"/>
    <n v="65262.98"/>
    <n v="22.34"/>
    <n v="957.12000000000012"/>
    <n v="1505"/>
    <n v="64345.55000000001"/>
    <n v="1527.34"/>
    <n v="65302.670000000013"/>
    <n v="65262.98"/>
    <n v="0"/>
    <n v="0"/>
    <n v="39.690000000009604"/>
    <n v="0"/>
    <n v="0"/>
    <n v="0"/>
    <n v="917"/>
    <n v="64346"/>
    <n v="0"/>
    <n v="0"/>
    <n v="0"/>
  </r>
  <r>
    <x v="769"/>
    <s v="Gomukh Hardia"/>
    <s v="MPG"/>
    <s v="Direct"/>
    <n v="262.38000000000005"/>
    <n v="10397.17"/>
    <n v="336.53"/>
    <n v="13988.240000000002"/>
    <n v="0"/>
    <n v="0"/>
    <n v="336.53"/>
    <n v="13988.240000000002"/>
    <n v="10397.17"/>
    <n v="0"/>
    <n v="0"/>
    <n v="3591.0700000000015"/>
    <n v="0"/>
    <n v="500"/>
    <n v="0"/>
    <n v="9897"/>
    <n v="0"/>
    <n v="0"/>
    <n v="0"/>
    <n v="0"/>
  </r>
  <r>
    <x v="770"/>
    <s v="Gomukh Ashatol Paharpur"/>
    <s v="MPG"/>
    <s v="Direct"/>
    <n v="2017"/>
    <n v="83184.12999999999"/>
    <n v="2017.0599999999995"/>
    <n v="87324.169999999984"/>
    <n v="0"/>
    <n v="0"/>
    <n v="2017.0599999999995"/>
    <n v="87324.169999999984"/>
    <n v="83184.12999999999"/>
    <n v="0"/>
    <n v="0"/>
    <n v="4140.0399999999936"/>
    <n v="0"/>
    <n v="0"/>
    <n v="0"/>
    <n v="83362"/>
    <n v="0"/>
    <n v="0"/>
    <n v="-178"/>
    <s v="Release2"/>
  </r>
  <r>
    <x v="771"/>
    <s v="Gomukh Kharawa"/>
    <s v="MPG"/>
    <s v="Direct"/>
    <n v="1369.28"/>
    <n v="56916.359999999986"/>
    <n v="1373.2299999999998"/>
    <n v="58117.79"/>
    <n v="0"/>
    <n v="0"/>
    <n v="1373.2299999999998"/>
    <n v="58117.79"/>
    <n v="56916.359999999986"/>
    <n v="0"/>
    <n v="0"/>
    <n v="1201.4300000000148"/>
    <n v="0"/>
    <n v="0"/>
    <n v="0"/>
    <n v="56916"/>
    <n v="0"/>
    <n v="0"/>
    <n v="0"/>
    <n v="0"/>
  </r>
  <r>
    <x v="772"/>
    <s v="Gomukh Patel Nagar"/>
    <s v="vlc"/>
    <s v="Indirect"/>
    <n v="152.56"/>
    <n v="5870.4699999999993"/>
    <n v="0"/>
    <n v="0"/>
    <n v="0"/>
    <n v="0"/>
    <n v="0"/>
    <n v="0"/>
    <n v="5870.4699999999993"/>
    <n v="0"/>
    <n v="0"/>
    <n v="0"/>
    <n v="0"/>
    <n v="0"/>
    <n v="0"/>
    <n v="0"/>
    <n v="0"/>
    <n v="5870.4699999999993"/>
    <n v="0"/>
    <n v="0"/>
  </r>
  <r>
    <x v="773"/>
    <s v="Gomukh Pachout"/>
    <s v="MPG"/>
    <s v="Direct"/>
    <n v="954.78"/>
    <n v="34763.769999999997"/>
    <n v="1134.4599999999998"/>
    <n v="41326.1"/>
    <n v="0"/>
    <n v="0"/>
    <n v="1134.4599999999998"/>
    <n v="41326.1"/>
    <n v="34763.769999999997"/>
    <n v="0"/>
    <n v="0"/>
    <n v="6562.3300000000017"/>
    <n v="0"/>
    <n v="0"/>
    <n v="0"/>
    <n v="34764"/>
    <n v="0"/>
    <n v="0"/>
    <n v="0"/>
    <n v="0"/>
  </r>
  <r>
    <x v="774"/>
    <s v="Gomukh Telihar"/>
    <s v="MPG"/>
    <s v="Direct"/>
    <n v="718.86"/>
    <n v="29582.969999999998"/>
    <n v="718.05000000000007"/>
    <n v="28714.59"/>
    <n v="0"/>
    <n v="0"/>
    <n v="718.05000000000007"/>
    <n v="28714.59"/>
    <n v="28714.59"/>
    <n v="0"/>
    <n v="0"/>
    <n v="0"/>
    <n v="0"/>
    <n v="0"/>
    <n v="0"/>
    <n v="28716"/>
    <n v="0"/>
    <n v="0"/>
    <n v="867"/>
    <s v="Release2"/>
  </r>
  <r>
    <x v="775"/>
    <s v="Gomukh Pansalba Ward No 05"/>
    <s v="vlc"/>
    <s v="Indirect"/>
    <n v="1152.3799999999999"/>
    <n v="43007.98"/>
    <n v="0"/>
    <n v="0"/>
    <n v="0"/>
    <n v="0"/>
    <n v="0"/>
    <n v="0"/>
    <n v="43007.98"/>
    <n v="0"/>
    <n v="0"/>
    <n v="0"/>
    <n v="5400"/>
    <n v="0"/>
    <n v="0"/>
    <n v="0"/>
    <n v="0"/>
    <n v="37607.980000000003"/>
    <n v="0"/>
    <n v="0"/>
  </r>
  <r>
    <x v="776"/>
    <s v="Gomukh Paharpur Jilebya "/>
    <s v="MPG"/>
    <s v="Direct"/>
    <n v="2196.48"/>
    <n v="95020.349999999977"/>
    <n v="2197.08"/>
    <n v="95045.62000000001"/>
    <n v="0"/>
    <n v="0"/>
    <n v="2197.08"/>
    <n v="95045.62000000001"/>
    <n v="95020.349999999977"/>
    <n v="0"/>
    <n v="0"/>
    <n v="25.270000000033178"/>
    <n v="0"/>
    <n v="0"/>
    <n v="0"/>
    <n v="95020"/>
    <n v="0"/>
    <n v="0"/>
    <n v="0"/>
    <n v="0"/>
  </r>
  <r>
    <x v="777"/>
    <s v="Gomukh Debka Vlc"/>
    <s v="vlc"/>
    <s v="Indirect"/>
    <n v="82.48"/>
    <n v="3628.2799999999997"/>
    <n v="0"/>
    <n v="0"/>
    <n v="0"/>
    <n v="0"/>
    <n v="0"/>
    <n v="0"/>
    <n v="3628.2799999999997"/>
    <n v="0"/>
    <n v="0"/>
    <n v="0"/>
    <n v="1350"/>
    <n v="0"/>
    <n v="0"/>
    <n v="0"/>
    <n v="0"/>
    <n v="2278.2799999999997"/>
    <n v="0"/>
    <n v="0"/>
  </r>
  <r>
    <x v="778"/>
    <s v="Gomukh Azad Nagar"/>
    <s v="MPG"/>
    <s v="Direct"/>
    <n v="1016.68"/>
    <n v="40450.94"/>
    <n v="1016.78"/>
    <n v="40855.229999999996"/>
    <n v="0"/>
    <n v="0"/>
    <n v="1016.78"/>
    <n v="40855.229999999996"/>
    <n v="40450.94"/>
    <n v="0"/>
    <n v="0"/>
    <n v="404.2899999999936"/>
    <n v="0"/>
    <n v="0"/>
    <n v="0"/>
    <n v="40451"/>
    <n v="0"/>
    <n v="0"/>
    <n v="0"/>
    <n v="0"/>
  </r>
  <r>
    <x v="779"/>
    <s v="Gomukh Uttari Hardia"/>
    <s v="vlc"/>
    <s v="Direct"/>
    <n v="257.53999999999996"/>
    <n v="12399.029999999999"/>
    <n v="262.71999999999997"/>
    <n v="12638.189999999999"/>
    <n v="0"/>
    <n v="0"/>
    <n v="262.71999999999997"/>
    <n v="12638.189999999999"/>
    <n v="12399.029999999999"/>
    <n v="0"/>
    <n v="0"/>
    <n v="239.15999999999985"/>
    <n v="12399"/>
    <n v="0"/>
    <n v="0"/>
    <n v="0"/>
    <n v="0"/>
    <n v="0"/>
    <n v="0"/>
    <s v="Release1"/>
  </r>
  <r>
    <x v="780"/>
    <s v="Gomukh Nirpur Keshv Nagar"/>
    <s v="vlc"/>
    <s v="Direct"/>
    <n v="511.05999999999995"/>
    <n v="20448.160000000003"/>
    <n v="508.06"/>
    <n v="20338.509999999995"/>
    <n v="0"/>
    <n v="0"/>
    <n v="508.06"/>
    <n v="20338.509999999995"/>
    <n v="20338.509999999995"/>
    <n v="0"/>
    <n v="0"/>
    <n v="0"/>
    <n v="0"/>
    <n v="0"/>
    <n v="0"/>
    <n v="20339"/>
    <n v="0"/>
    <n v="0"/>
    <n v="109"/>
    <n v="0"/>
  </r>
  <r>
    <x v="781"/>
    <s v="Gomukh Thuthi Vlc"/>
    <s v="MPG"/>
    <s v="Indirect"/>
    <n v="323.49999999999994"/>
    <n v="13199.640000000001"/>
    <n v="323.5"/>
    <n v="13130.87"/>
    <n v="0"/>
    <n v="0"/>
    <n v="323.5"/>
    <n v="13130.87"/>
    <n v="13199.640000000001"/>
    <n v="0"/>
    <n v="0"/>
    <n v="0"/>
    <n v="0"/>
    <n v="0"/>
    <n v="0"/>
    <n v="0"/>
    <n v="0"/>
    <n v="13199.640000000001"/>
    <n v="0"/>
    <n v="0"/>
  </r>
  <r>
    <x v="782"/>
    <s v="Gomukh Nawadai Vlc"/>
    <s v="vlc"/>
    <s v="Indirect"/>
    <n v="20.58"/>
    <n v="733.01"/>
    <n v="0"/>
    <n v="0"/>
    <n v="0"/>
    <n v="0"/>
    <n v="0"/>
    <n v="0"/>
    <n v="733.01"/>
    <n v="0"/>
    <n v="0"/>
    <n v="0"/>
    <n v="733"/>
    <n v="0"/>
    <n v="0"/>
    <n v="0"/>
    <n v="0"/>
    <n v="9.9999999999909051E-3"/>
    <n v="0"/>
    <n v="0"/>
  </r>
  <r>
    <x v="783"/>
    <s v="Gomukh Kharra Basa"/>
    <s v="MPG"/>
    <s v="Direct"/>
    <n v="485.90000000000003"/>
    <n v="18568.509999999998"/>
    <n v="493.82000000000005"/>
    <n v="17886.150000000001"/>
    <n v="0"/>
    <n v="0"/>
    <n v="493.82000000000005"/>
    <n v="17886.150000000001"/>
    <n v="17886.150000000001"/>
    <n v="0"/>
    <n v="0"/>
    <n v="0"/>
    <n v="0"/>
    <n v="0"/>
    <n v="0"/>
    <n v="17886"/>
    <n v="0"/>
    <n v="0"/>
    <n v="683"/>
    <n v="0"/>
  </r>
  <r>
    <x v="784"/>
    <s v="Gomukh Bangalia"/>
    <s v="MPG"/>
    <s v="Direct"/>
    <n v="525.57999999999993"/>
    <n v="24289.23"/>
    <n v="568.88"/>
    <n v="25647.549999999996"/>
    <n v="0"/>
    <n v="0"/>
    <n v="568.88"/>
    <n v="25647.549999999996"/>
    <n v="24289.23"/>
    <n v="0"/>
    <n v="0"/>
    <n v="1358.3199999999961"/>
    <n v="0"/>
    <n v="0"/>
    <n v="0"/>
    <n v="24289"/>
    <n v="0"/>
    <n v="0"/>
    <n v="0"/>
    <n v="0"/>
  </r>
  <r>
    <x v="785"/>
    <s v="Gomukh Soharba Purvi"/>
    <s v="MPG"/>
    <s v="Direct"/>
    <n v="149.30000000000001"/>
    <n v="5910.79"/>
    <n v="92.170000000000016"/>
    <n v="3596.3199999999997"/>
    <n v="57.78"/>
    <n v="2219.92"/>
    <n v="149.95000000000002"/>
    <n v="5816.24"/>
    <n v="5816.24"/>
    <n v="0"/>
    <n v="0"/>
    <n v="0"/>
    <n v="0"/>
    <n v="0"/>
    <n v="0"/>
    <n v="3596"/>
    <n v="2219"/>
    <n v="0"/>
    <n v="96"/>
    <n v="0"/>
  </r>
  <r>
    <x v="786"/>
    <s v="Gommukh Khushbu Kumari Vlc"/>
    <s v="vlc"/>
    <s v="Indirect"/>
    <n v="23.08"/>
    <n v="818.42"/>
    <n v="0"/>
    <n v="0"/>
    <n v="0"/>
    <n v="0"/>
    <n v="0"/>
    <n v="0"/>
    <n v="818.42"/>
    <n v="0"/>
    <n v="0"/>
    <n v="0"/>
    <n v="0"/>
    <n v="0"/>
    <n v="0"/>
    <n v="0"/>
    <n v="0"/>
    <n v="818.42"/>
    <n v="0"/>
    <n v="0"/>
  </r>
  <r>
    <x v="787"/>
    <s v="Gomukh Saraiya Wad -5 Vlc"/>
    <s v="vlc"/>
    <s v="Indirect"/>
    <n v="129.52000000000001"/>
    <n v="5118.32"/>
    <n v="0"/>
    <n v="0"/>
    <n v="0"/>
    <n v="0"/>
    <n v="0"/>
    <n v="0"/>
    <n v="5118.32"/>
    <n v="0"/>
    <n v="0"/>
    <n v="0"/>
    <n v="0"/>
    <n v="0"/>
    <n v="0"/>
    <n v="0"/>
    <n v="0"/>
    <n v="5118.32"/>
    <n v="0"/>
    <n v="0"/>
  </r>
  <r>
    <x v="1041"/>
    <s v="Gomukh Baltara Wad-2 Vlc"/>
    <s v="vlc"/>
    <s v="Indirect"/>
    <n v="324.14"/>
    <n v="11941.32"/>
    <n v="0"/>
    <n v="0"/>
    <n v="0"/>
    <n v="0"/>
    <n v="0"/>
    <n v="0"/>
    <n v="11941.32"/>
    <n v="0"/>
    <n v="0"/>
    <n v="0"/>
    <n v="0"/>
    <n v="0"/>
    <n v="0"/>
    <n v="0"/>
    <n v="0"/>
    <n v="11941.32"/>
    <n v="0"/>
    <n v="0"/>
  </r>
  <r>
    <x v="1042"/>
    <s v="Gomukh Koila"/>
    <s v="vlc"/>
    <s v="Direct"/>
    <n v="97.5"/>
    <n v="4168.74"/>
    <n v="96.170000000000016"/>
    <n v="4477.45"/>
    <n v="0"/>
    <n v="0"/>
    <n v="96.170000000000016"/>
    <n v="4477.45"/>
    <n v="4168.74"/>
    <n v="0"/>
    <n v="0"/>
    <n v="308.71000000000004"/>
    <n v="0"/>
    <n v="0"/>
    <n v="0"/>
    <n v="4477"/>
    <n v="0"/>
    <n v="0"/>
    <n v="-308"/>
    <s v="Release2"/>
  </r>
  <r>
    <x v="1043"/>
    <s v="Gomukh Aakash Milk And Milk Producers.company"/>
    <s v="vlc"/>
    <s v="Indirect"/>
    <n v="523.29999999999995"/>
    <n v="22311.02"/>
    <n v="0"/>
    <n v="0"/>
    <n v="0"/>
    <n v="0"/>
    <n v="0"/>
    <n v="0"/>
    <n v="22311.02"/>
    <n v="0"/>
    <n v="0"/>
    <n v="0"/>
    <n v="0"/>
    <n v="0"/>
    <n v="0"/>
    <n v="0"/>
    <n v="0"/>
    <n v="22311.02"/>
    <n v="0"/>
    <n v="0"/>
  </r>
  <r>
    <x v="1044"/>
    <s v="Gomukh Paharpur Vlc"/>
    <s v="vlc"/>
    <s v="Indirect"/>
    <n v="39.340000000000003"/>
    <n v="1427.65"/>
    <n v="0"/>
    <n v="0"/>
    <n v="0"/>
    <n v="0"/>
    <n v="0"/>
    <n v="0"/>
    <n v="1427.65"/>
    <n v="0"/>
    <n v="0"/>
    <n v="0"/>
    <n v="0"/>
    <n v="0"/>
    <n v="0"/>
    <n v="0"/>
    <n v="0"/>
    <n v="1427.65"/>
    <n v="0"/>
    <n v="0"/>
  </r>
  <r>
    <x v="788"/>
    <s v="Karian"/>
    <s v="MPG"/>
    <s v="Direct"/>
    <n v="67.199999999999989"/>
    <n v="2765.7400000000002"/>
    <n v="65.199999999999989"/>
    <n v="2673.5800000000004"/>
    <n v="2"/>
    <n v="89.8"/>
    <n v="67.199999999999989"/>
    <n v="2763.3800000000006"/>
    <n v="2763.3800000000006"/>
    <n v="0"/>
    <n v="8.98"/>
    <n v="0"/>
    <n v="0"/>
    <n v="500"/>
    <n v="0"/>
    <n v="2174"/>
    <n v="79"/>
    <n v="0"/>
    <n v="4"/>
    <n v="0"/>
  </r>
  <r>
    <x v="789"/>
    <s v="Teghara"/>
    <s v="MPG"/>
    <s v="Direct"/>
    <n v="291.5"/>
    <n v="11617.7"/>
    <n v="39.6"/>
    <n v="1572.1599999999999"/>
    <n v="249.8"/>
    <n v="9984.75"/>
    <n v="289.40000000000003"/>
    <n v="11556.91"/>
    <n v="11556.91"/>
    <n v="0"/>
    <n v="227.03"/>
    <n v="0"/>
    <n v="0"/>
    <n v="500"/>
    <n v="0"/>
    <n v="1072"/>
    <n v="9759"/>
    <n v="0"/>
    <n v="60"/>
    <n v="0"/>
  </r>
  <r>
    <x v="790"/>
    <s v="Basantpur"/>
    <s v="MPG"/>
    <s v="Indirect"/>
    <n v="946.9"/>
    <n v="41276.420000000006"/>
    <n v="0"/>
    <n v="0"/>
    <n v="0"/>
    <n v="0"/>
    <n v="0"/>
    <n v="0"/>
    <n v="41276.420000000006"/>
    <n v="0"/>
    <n v="0"/>
    <n v="0"/>
    <n v="0"/>
    <n v="0"/>
    <n v="0"/>
    <n v="0"/>
    <n v="0"/>
    <n v="41276.420000000006"/>
    <n v="0"/>
    <s v="Release1"/>
  </r>
  <r>
    <x v="791"/>
    <s v="Chakoti"/>
    <s v="MPG"/>
    <s v="Direct"/>
    <n v="1074.8"/>
    <n v="42897.42"/>
    <n v="50.31"/>
    <n v="2020.7200000000003"/>
    <n v="1022.1000000000001"/>
    <n v="40864.220000000008"/>
    <n v="1072.4100000000001"/>
    <n v="42884.94000000001"/>
    <n v="42884.94000000001"/>
    <n v="0"/>
    <n v="752.76"/>
    <n v="0"/>
    <n v="0"/>
    <n v="0"/>
    <n v="0"/>
    <n v="2021"/>
    <n v="40114"/>
    <n v="0"/>
    <n v="10"/>
    <n v="0"/>
  </r>
  <r>
    <x v="792"/>
    <s v="Nathudawar"/>
    <s v="MPG"/>
    <s v="Direct"/>
    <n v="1230.7"/>
    <n v="48476.76"/>
    <n v="308.39999999999998"/>
    <n v="12534.309999999998"/>
    <n v="922"/>
    <n v="35902.1"/>
    <n v="1230.4000000000001"/>
    <n v="48436.409999999996"/>
    <n v="48436.409999999996"/>
    <n v="0"/>
    <n v="596.49"/>
    <n v="0"/>
    <n v="0"/>
    <n v="0"/>
    <n v="0"/>
    <n v="12534"/>
    <n v="35306"/>
    <n v="0"/>
    <n v="40"/>
    <n v="0"/>
  </r>
  <r>
    <x v="793"/>
    <s v="Purnahi"/>
    <s v="vlc"/>
    <s v="Indirect"/>
    <n v="110.79999999999998"/>
    <n v="4098"/>
    <n v="0"/>
    <n v="0"/>
    <n v="0"/>
    <n v="0"/>
    <n v="0"/>
    <n v="0"/>
    <n v="4098"/>
    <n v="0"/>
    <n v="0"/>
    <n v="0"/>
    <n v="0"/>
    <n v="0"/>
    <n v="0"/>
    <n v="0"/>
    <n v="0"/>
    <n v="4098"/>
    <n v="0"/>
    <n v="0"/>
  </r>
  <r>
    <x v="794"/>
    <s v="Baghopur "/>
    <s v="vlc"/>
    <s v="Indirect"/>
    <n v="1385.9999999999998"/>
    <n v="52559.479999999996"/>
    <n v="0"/>
    <n v="0"/>
    <n v="0"/>
    <n v="0"/>
    <n v="0"/>
    <n v="0"/>
    <n v="52559.479999999996"/>
    <n v="0"/>
    <n v="0"/>
    <n v="0"/>
    <n v="0"/>
    <n v="0"/>
    <n v="0"/>
    <n v="0"/>
    <n v="0"/>
    <n v="52559.479999999996"/>
    <n v="0"/>
    <n v="0"/>
  </r>
  <r>
    <x v="795"/>
    <s v="Dewanpur"/>
    <s v="MPG"/>
    <s v="Direct"/>
    <n v="256.7"/>
    <n v="12043.819999999998"/>
    <n v="184.79999999999995"/>
    <n v="8898.1600000000017"/>
    <n v="71.100000000000009"/>
    <n v="3115.5"/>
    <n v="255.89999999999998"/>
    <n v="12013.660000000002"/>
    <n v="12013.660000000002"/>
    <n v="0"/>
    <n v="240.78"/>
    <n v="0"/>
    <n v="0"/>
    <n v="500"/>
    <n v="0"/>
    <n v="8398"/>
    <n v="2874"/>
    <n v="0"/>
    <n v="31"/>
    <n v="0"/>
  </r>
  <r>
    <x v="797"/>
    <s v="Matua"/>
    <s v="MPG"/>
    <s v="Direct"/>
    <n v="676.1"/>
    <n v="30951.350000000002"/>
    <n v="173.5"/>
    <n v="7418.4599999999991"/>
    <n v="501.7"/>
    <n v="23405.280000000002"/>
    <n v="675.2"/>
    <n v="30823.74"/>
    <n v="30823.74"/>
    <n v="0"/>
    <n v="153.57999999999998"/>
    <n v="0"/>
    <n v="0"/>
    <n v="0"/>
    <n v="0"/>
    <n v="7419"/>
    <n v="23253"/>
    <n v="0"/>
    <n v="126"/>
    <n v="0"/>
  </r>
  <r>
    <x v="798"/>
    <s v="Ratni Chouk"/>
    <s v="MPG"/>
    <s v="Direct"/>
    <n v="680.3"/>
    <n v="30713.949999999997"/>
    <n v="680.3"/>
    <n v="30703.040000000001"/>
    <n v="0"/>
    <n v="0"/>
    <n v="680.3"/>
    <n v="30703.040000000001"/>
    <n v="30703.040000000001"/>
    <n v="0"/>
    <n v="0"/>
    <n v="0"/>
    <n v="0"/>
    <n v="0"/>
    <n v="0"/>
    <n v="30703"/>
    <n v="0"/>
    <n v="0"/>
    <n v="11"/>
    <n v="0"/>
  </r>
  <r>
    <x v="799"/>
    <s v="Balahi 2"/>
    <s v="MPG"/>
    <s v="Direct"/>
    <n v="471.29999999999995"/>
    <n v="17635.489999999998"/>
    <n v="426.09999999999997"/>
    <n v="16149.460000000001"/>
    <n v="39.900000000000006"/>
    <n v="1473.27"/>
    <n v="466"/>
    <n v="17622.73"/>
    <n v="17622.73"/>
    <n v="0"/>
    <n v="0"/>
    <n v="0"/>
    <n v="0"/>
    <n v="0"/>
    <n v="0"/>
    <n v="16150"/>
    <n v="1473"/>
    <n v="0"/>
    <n v="12"/>
    <n v="0"/>
  </r>
  <r>
    <x v="800"/>
    <s v="Chandauli"/>
    <s v="vlc"/>
    <s v="Indirect"/>
    <n v="203"/>
    <n v="9908.44"/>
    <n v="0"/>
    <n v="0"/>
    <n v="0"/>
    <n v="0"/>
    <n v="0"/>
    <n v="0"/>
    <n v="9908.44"/>
    <n v="0"/>
    <n v="0"/>
    <n v="0"/>
    <n v="0"/>
    <n v="0"/>
    <n v="0"/>
    <n v="0"/>
    <n v="0"/>
    <n v="9908.44"/>
    <n v="0"/>
    <n v="0"/>
  </r>
  <r>
    <x v="1045"/>
    <s v="Nakta"/>
    <s v="vlc"/>
    <s v="Indirect"/>
    <n v="122.8"/>
    <n v="5138.6200000000008"/>
    <n v="0"/>
    <n v="0"/>
    <n v="0"/>
    <n v="0"/>
    <n v="0"/>
    <n v="0"/>
    <n v="5138.6200000000008"/>
    <n v="0"/>
    <n v="0"/>
    <n v="0"/>
    <n v="0"/>
    <n v="0"/>
    <n v="0"/>
    <n v="0"/>
    <n v="0"/>
    <n v="5138.6200000000008"/>
    <n v="0"/>
    <n v="0"/>
  </r>
  <r>
    <x v="801"/>
    <s v="Gulabi Choak"/>
    <s v="vlc"/>
    <s v="Indirect"/>
    <n v="1036.7"/>
    <n v="39462.109999999993"/>
    <n v="0"/>
    <n v="0"/>
    <n v="0"/>
    <n v="0"/>
    <n v="0"/>
    <n v="0"/>
    <n v="39462.109999999993"/>
    <n v="0"/>
    <n v="0"/>
    <n v="0"/>
    <n v="0"/>
    <n v="0"/>
    <n v="0"/>
    <n v="0"/>
    <n v="0"/>
    <n v="39462.109999999993"/>
    <n v="0"/>
    <n v="0"/>
  </r>
  <r>
    <x v="802"/>
    <s v="Satmalpur"/>
    <s v="vlc"/>
    <s v="Indirect"/>
    <n v="1050.1000000000001"/>
    <n v="40474.950000000004"/>
    <n v="0"/>
    <n v="0"/>
    <n v="0"/>
    <n v="0"/>
    <n v="0"/>
    <n v="0"/>
    <n v="40474.950000000004"/>
    <n v="0"/>
    <n v="0"/>
    <n v="0"/>
    <n v="0"/>
    <n v="0"/>
    <n v="0"/>
    <n v="0"/>
    <n v="0"/>
    <n v="40474.950000000004"/>
    <n v="0"/>
    <n v="0"/>
  </r>
  <r>
    <x v="803"/>
    <s v="Chhatnesar 2"/>
    <s v="MPG"/>
    <s v="Direct"/>
    <n v="335.99999999999994"/>
    <n v="12500.36"/>
    <n v="47.8"/>
    <n v="1775.89"/>
    <n v="290.09999999999991"/>
    <n v="10734.120000000003"/>
    <n v="337.89999999999992"/>
    <n v="12510.010000000002"/>
    <n v="12500.36"/>
    <n v="0"/>
    <n v="155.25"/>
    <n v="9.6500000000014552"/>
    <n v="0"/>
    <n v="0"/>
    <n v="0"/>
    <n v="1770"/>
    <n v="10575"/>
    <n v="0"/>
    <n v="0"/>
    <n v="0"/>
  </r>
  <r>
    <x v="804"/>
    <s v="Hajpurwa"/>
    <s v="MPG"/>
    <s v="Direct"/>
    <n v="160.50000000000003"/>
    <n v="6948.6900000000005"/>
    <n v="23"/>
    <n v="955.88"/>
    <n v="139.6"/>
    <n v="5896.45"/>
    <n v="162.6"/>
    <n v="6852.33"/>
    <n v="6852.33"/>
    <n v="0"/>
    <n v="110.94"/>
    <n v="0"/>
    <n v="0"/>
    <n v="0"/>
    <n v="0"/>
    <n v="0"/>
    <n v="0"/>
    <n v="0"/>
    <n v="6838"/>
    <s v="Yes"/>
  </r>
  <r>
    <x v="805"/>
    <s v="Shekhopur"/>
    <s v="MPG"/>
    <s v="Direct"/>
    <n v="419.8"/>
    <n v="16046.46"/>
    <n v="128"/>
    <n v="4790.7199999999993"/>
    <n v="292.29999999999995"/>
    <n v="11240.949999999999"/>
    <n v="420.29999999999995"/>
    <n v="16031.669999999998"/>
    <n v="16031.669999999998"/>
    <n v="0"/>
    <n v="426.22999999999996"/>
    <n v="0"/>
    <n v="0"/>
    <n v="0"/>
    <n v="0"/>
    <n v="4791"/>
    <n v="10816"/>
    <n v="0"/>
    <n v="13"/>
    <n v="0"/>
  </r>
  <r>
    <x v="807"/>
    <s v="Pauriya 2"/>
    <s v="vlc"/>
    <s v="Indirect"/>
    <n v="720.09999999999991"/>
    <n v="30846.44"/>
    <n v="0"/>
    <n v="0"/>
    <n v="0"/>
    <n v="0"/>
    <n v="0"/>
    <n v="0"/>
    <n v="30846.44"/>
    <n v="0"/>
    <n v="0"/>
    <n v="0"/>
    <n v="0"/>
    <n v="0"/>
    <n v="0"/>
    <n v="0"/>
    <n v="0"/>
    <n v="30846.44"/>
    <n v="0"/>
    <n v="0"/>
  </r>
  <r>
    <x v="808"/>
    <s v="Hajpurwa Pachim"/>
    <s v="MPG"/>
    <s v="Direct"/>
    <n v="330"/>
    <n v="14726.96"/>
    <n v="326.29999999999995"/>
    <n v="14537.899999999998"/>
    <n v="6.1"/>
    <n v="171.97"/>
    <n v="332.4"/>
    <n v="14709.869999999997"/>
    <n v="14709.869999999997"/>
    <n v="0"/>
    <n v="26.88"/>
    <n v="0"/>
    <n v="100"/>
    <n v="0"/>
    <n v="0"/>
    <n v="14438"/>
    <n v="145"/>
    <n v="0"/>
    <n v="17"/>
    <n v="0"/>
  </r>
  <r>
    <x v="809"/>
    <s v="Almasnagar"/>
    <s v="vlc"/>
    <s v="Indirect"/>
    <n v="189.59999999999997"/>
    <n v="7343.04"/>
    <n v="0"/>
    <n v="0"/>
    <n v="0"/>
    <n v="0"/>
    <n v="0"/>
    <n v="0"/>
    <n v="7343.04"/>
    <n v="0"/>
    <n v="0"/>
    <n v="0"/>
    <n v="0"/>
    <n v="0"/>
    <n v="0"/>
    <n v="0"/>
    <n v="0"/>
    <n v="7343.04"/>
    <n v="0"/>
    <n v="0"/>
  </r>
  <r>
    <x v="810"/>
    <s v="Kadarchak"/>
    <s v="vlc"/>
    <s v="Indirect"/>
    <n v="118.9"/>
    <n v="4581.46"/>
    <n v="0"/>
    <n v="0"/>
    <n v="0"/>
    <n v="0"/>
    <n v="0"/>
    <n v="0"/>
    <n v="4581.46"/>
    <n v="0"/>
    <n v="0"/>
    <n v="0"/>
    <n v="0"/>
    <n v="0"/>
    <n v="0"/>
    <n v="0"/>
    <n v="0"/>
    <n v="4581.46"/>
    <n v="0"/>
    <n v="0"/>
  </r>
  <r>
    <x v="811"/>
    <s v="Rahua"/>
    <s v="MPG"/>
    <s v="Direct"/>
    <n v="171.49999999999997"/>
    <n v="7353.2100000000019"/>
    <n v="43.8"/>
    <n v="1857.12"/>
    <n v="123.4"/>
    <n v="5436.98"/>
    <n v="167.2"/>
    <n v="7294.0999999999995"/>
    <n v="7294.0999999999995"/>
    <n v="0"/>
    <n v="61.68"/>
    <n v="0"/>
    <n v="0"/>
    <n v="0"/>
    <n v="0"/>
    <n v="1857"/>
    <n v="5375"/>
    <n v="0"/>
    <n v="60"/>
    <n v="0"/>
  </r>
  <r>
    <x v="812"/>
    <s v="Dagrua"/>
    <s v="MPG"/>
    <s v="Direct"/>
    <n v="141.10000000000002"/>
    <n v="6564.9900000000007"/>
    <n v="17.7"/>
    <n v="838.98"/>
    <n v="120.00000000000001"/>
    <n v="5688"/>
    <n v="137.70000000000002"/>
    <n v="6526.98"/>
    <n v="6526.98"/>
    <n v="0"/>
    <n v="142.19999999999999"/>
    <n v="0"/>
    <n v="0"/>
    <n v="0"/>
    <n v="0"/>
    <n v="839"/>
    <n v="5550"/>
    <n v="0"/>
    <n v="34"/>
    <n v="0"/>
  </r>
  <r>
    <x v="813"/>
    <s v="Buzurgdoar"/>
    <s v="MPG"/>
    <s v="Direct"/>
    <n v="1008.8000000000001"/>
    <n v="40829.9"/>
    <n v="1005.6999999999996"/>
    <n v="40593.680000000008"/>
    <n v="2.5"/>
    <n v="97.45"/>
    <n v="1008.1999999999996"/>
    <n v="40691.130000000005"/>
    <n v="40691.130000000005"/>
    <n v="0"/>
    <n v="97.45"/>
    <n v="0"/>
    <n v="0"/>
    <n v="0"/>
    <n v="0"/>
    <n v="40596"/>
    <n v="0"/>
    <n v="0"/>
    <n v="136"/>
    <n v="0"/>
  </r>
  <r>
    <x v="814"/>
    <s v="Patpara"/>
    <s v="vlc"/>
    <s v="Indirect"/>
    <n v="415.79999999999995"/>
    <n v="15179.439999999999"/>
    <n v="0"/>
    <n v="0"/>
    <n v="0"/>
    <n v="0"/>
    <n v="0"/>
    <n v="0"/>
    <n v="15179.439999999999"/>
    <n v="0"/>
    <n v="0"/>
    <n v="0"/>
    <n v="0"/>
    <n v="0"/>
    <n v="0"/>
    <n v="0"/>
    <n v="0"/>
    <n v="15179.439999999999"/>
    <n v="0"/>
    <n v="0"/>
  </r>
  <r>
    <x v="815"/>
    <s v="Kamopur"/>
    <s v="MPG"/>
    <s v="Direct"/>
    <n v="355.7"/>
    <n v="15447.7"/>
    <n v="281.39999999999998"/>
    <n v="11174.64"/>
    <n v="74.599999999999994"/>
    <n v="4265.1000000000004"/>
    <n v="356"/>
    <n v="15439.74"/>
    <n v="15439.74"/>
    <n v="0"/>
    <n v="177.39000000000001"/>
    <n v="0"/>
    <n v="0"/>
    <n v="0"/>
    <n v="0"/>
    <n v="11175"/>
    <n v="4088"/>
    <n v="0"/>
    <n v="7"/>
    <n v="0"/>
  </r>
  <r>
    <x v="816"/>
    <s v="Kussaiya"/>
    <s v="MPG"/>
    <s v="Direct"/>
    <n v="468.9"/>
    <n v="20229.05"/>
    <n v="69.90000000000002"/>
    <n v="2872.8799999999997"/>
    <n v="400.8"/>
    <n v="17343.059999999998"/>
    <n v="470.70000000000005"/>
    <n v="20215.939999999999"/>
    <n v="20215.939999999999"/>
    <n v="0"/>
    <n v="67.55"/>
    <n v="0"/>
    <n v="0"/>
    <n v="0"/>
    <n v="0"/>
    <n v="2873"/>
    <n v="17276"/>
    <n v="0"/>
    <n v="13"/>
    <n v="0"/>
  </r>
  <r>
    <x v="817"/>
    <s v="Jagdishpur"/>
    <s v="MPG"/>
    <s v="Direct"/>
    <n v="121.19999999999997"/>
    <n v="4451.5"/>
    <n v="120.99999999999999"/>
    <n v="4205.670000000001"/>
    <n v="6.2"/>
    <n v="224.07000000000002"/>
    <n v="127.19999999999999"/>
    <n v="4429.7400000000007"/>
    <n v="4429.7400000000007"/>
    <n v="0"/>
    <n v="0"/>
    <n v="0"/>
    <n v="0"/>
    <n v="0"/>
    <n v="0"/>
    <n v="4206"/>
    <n v="224"/>
    <n v="0"/>
    <n v="22"/>
    <n v="0"/>
  </r>
  <r>
    <x v="818"/>
    <s v="Kanu Bisanpur"/>
    <s v="vlc"/>
    <s v="Indirect"/>
    <n v="207.8"/>
    <n v="7706.2800000000007"/>
    <n v="0"/>
    <n v="0"/>
    <n v="0"/>
    <n v="0"/>
    <n v="0"/>
    <n v="0"/>
    <n v="7706.2800000000007"/>
    <n v="0"/>
    <n v="0"/>
    <n v="0"/>
    <n v="0"/>
    <n v="0"/>
    <n v="0"/>
    <n v="0"/>
    <n v="0"/>
    <n v="7706.2800000000007"/>
    <n v="0"/>
    <n v="0"/>
  </r>
  <r>
    <x v="819"/>
    <s v="Raini 2"/>
    <s v="MPG"/>
    <s v="Direct"/>
    <n v="708.19999999999993"/>
    <n v="27968"/>
    <n v="33.9"/>
    <n v="1500.7499999999998"/>
    <n v="674.30000000000018"/>
    <n v="26338.989999999998"/>
    <n v="708.20000000000016"/>
    <n v="27839.739999999998"/>
    <n v="27839.739999999998"/>
    <n v="0"/>
    <n v="98.05"/>
    <n v="0"/>
    <n v="0"/>
    <n v="0"/>
    <n v="0"/>
    <n v="1501"/>
    <n v="26240"/>
    <n v="0"/>
    <n v="129"/>
    <n v="0"/>
  </r>
  <r>
    <x v="820"/>
    <s v="Babupur"/>
    <s v="vlc"/>
    <s v="Indirect"/>
    <n v="1350.6999999999998"/>
    <n v="51272.790000000008"/>
    <n v="0"/>
    <n v="0"/>
    <n v="0"/>
    <n v="0"/>
    <n v="0"/>
    <n v="0"/>
    <n v="51272.790000000008"/>
    <n v="0"/>
    <n v="0"/>
    <n v="0"/>
    <n v="0"/>
    <n v="0"/>
    <n v="0"/>
    <n v="0"/>
    <n v="0"/>
    <n v="51272.790000000008"/>
    <n v="0"/>
    <n v="0"/>
  </r>
  <r>
    <x v="821"/>
    <s v="Rahua 2"/>
    <s v="vlc"/>
    <s v="Indirect"/>
    <n v="1497.5000000000002"/>
    <n v="65704.25"/>
    <n v="0"/>
    <n v="0"/>
    <n v="0"/>
    <n v="0"/>
    <n v="0"/>
    <n v="0"/>
    <n v="65704.25"/>
    <n v="0"/>
    <n v="0"/>
    <n v="0"/>
    <n v="0"/>
    <n v="0"/>
    <n v="0"/>
    <n v="0"/>
    <n v="0"/>
    <n v="65704.25"/>
    <n v="0"/>
    <n v="0"/>
  </r>
  <r>
    <x v="822"/>
    <s v="Madhopur"/>
    <s v="vlc"/>
    <s v="Indirect"/>
    <n v="47"/>
    <n v="1979.64"/>
    <n v="0"/>
    <n v="0"/>
    <n v="0"/>
    <n v="0"/>
    <n v="0"/>
    <n v="0"/>
    <n v="1979.64"/>
    <n v="0"/>
    <n v="0"/>
    <n v="0"/>
    <n v="0"/>
    <n v="0"/>
    <n v="0"/>
    <n v="0"/>
    <n v="0"/>
    <n v="1979.64"/>
    <n v="0"/>
    <n v="0"/>
  </r>
  <r>
    <x v="823"/>
    <s v="Ekdara"/>
    <s v="vlc"/>
    <s v="Indirect"/>
    <n v="3066.0000000000005"/>
    <n v="115825.53000000001"/>
    <n v="0"/>
    <n v="0"/>
    <n v="0"/>
    <n v="0"/>
    <n v="0"/>
    <n v="0"/>
    <n v="115825.53000000001"/>
    <n v="0"/>
    <n v="0"/>
    <n v="0"/>
    <n v="0"/>
    <n v="0"/>
    <n v="0"/>
    <n v="0"/>
    <n v="0"/>
    <n v="115825.53000000001"/>
    <n v="0"/>
    <n v="0"/>
  </r>
  <r>
    <x v="824"/>
    <s v="Khokasaha"/>
    <s v="vlc"/>
    <s v="Indirect"/>
    <n v="166.20000000000002"/>
    <n v="6168.07"/>
    <n v="0"/>
    <n v="0"/>
    <n v="0"/>
    <n v="0"/>
    <n v="0"/>
    <n v="0"/>
    <n v="6168.07"/>
    <n v="0"/>
    <n v="0"/>
    <n v="0"/>
    <n v="0"/>
    <n v="0"/>
    <n v="0"/>
    <n v="0"/>
    <n v="0"/>
    <n v="6168.07"/>
    <n v="0"/>
    <n v="0"/>
  </r>
  <r>
    <x v="825"/>
    <s v="Madhopur 2"/>
    <s v="vlc"/>
    <s v="Indirect"/>
    <n v="128.4"/>
    <n v="4557.37"/>
    <n v="0"/>
    <n v="0"/>
    <n v="0"/>
    <n v="0"/>
    <n v="0"/>
    <n v="0"/>
    <n v="4557.37"/>
    <n v="0"/>
    <n v="0"/>
    <n v="0"/>
    <n v="0"/>
    <n v="0"/>
    <n v="0"/>
    <n v="0"/>
    <n v="0"/>
    <n v="4557.37"/>
    <n v="0"/>
    <n v="0"/>
  </r>
  <r>
    <x v="826"/>
    <s v="Kadarchak 2"/>
    <s v="vlc"/>
    <s v="Indirect"/>
    <n v="272.5"/>
    <n v="10112.18"/>
    <n v="0"/>
    <n v="0"/>
    <n v="0"/>
    <n v="0"/>
    <n v="0"/>
    <n v="0"/>
    <n v="10112.18"/>
    <n v="0"/>
    <n v="0"/>
    <n v="0"/>
    <n v="0"/>
    <n v="0"/>
    <n v="0"/>
    <n v="0"/>
    <n v="0"/>
    <n v="10112.18"/>
    <n v="0"/>
    <n v="0"/>
  </r>
  <r>
    <x v="827"/>
    <s v="Madhopur Dih"/>
    <s v="vlc"/>
    <s v="Indirect"/>
    <n v="1066.1999999999998"/>
    <n v="44879.57"/>
    <n v="0"/>
    <n v="0"/>
    <n v="0"/>
    <n v="0"/>
    <n v="0"/>
    <n v="0"/>
    <n v="44879.57"/>
    <n v="0"/>
    <n v="0"/>
    <n v="0"/>
    <n v="0"/>
    <n v="0"/>
    <n v="0"/>
    <n v="0"/>
    <n v="0"/>
    <n v="44879.57"/>
    <n v="0"/>
    <n v="0"/>
  </r>
  <r>
    <x v="828"/>
    <s v="Alampur"/>
    <s v="vlc"/>
    <s v="Indirect"/>
    <n v="1264.9000000000001"/>
    <n v="49851.159999999996"/>
    <n v="0"/>
    <n v="0"/>
    <n v="0"/>
    <n v="0"/>
    <n v="0"/>
    <n v="0"/>
    <n v="49851.159999999996"/>
    <n v="0"/>
    <n v="0"/>
    <n v="0"/>
    <n v="0"/>
    <n v="0"/>
    <n v="0"/>
    <n v="0"/>
    <n v="0"/>
    <n v="49851.159999999996"/>
    <n v="0"/>
    <n v="0"/>
  </r>
  <r>
    <x v="829"/>
    <s v="Satmalpur Pachim"/>
    <s v="vlc"/>
    <s v="Indirect"/>
    <n v="71"/>
    <n v="2691.24"/>
    <n v="0"/>
    <n v="0"/>
    <n v="0"/>
    <n v="0"/>
    <n v="0"/>
    <n v="0"/>
    <n v="2691.24"/>
    <n v="0"/>
    <n v="0"/>
    <n v="0"/>
    <n v="0"/>
    <n v="0"/>
    <n v="0"/>
    <n v="0"/>
    <n v="0"/>
    <n v="2691.24"/>
    <n v="0"/>
    <n v="0"/>
  </r>
  <r>
    <x v="830"/>
    <s v="Ganopur"/>
    <s v="vlc"/>
    <s v="Indirect"/>
    <n v="185.70000000000002"/>
    <n v="6801.1099999999988"/>
    <n v="0"/>
    <n v="0"/>
    <n v="0"/>
    <n v="0"/>
    <n v="0"/>
    <n v="0"/>
    <n v="6801.1099999999988"/>
    <n v="0"/>
    <n v="0"/>
    <n v="0"/>
    <n v="0"/>
    <n v="0"/>
    <n v="0"/>
    <n v="0"/>
    <n v="0"/>
    <n v="6801.1099999999988"/>
    <n v="0"/>
    <n v="0"/>
  </r>
  <r>
    <x v="1046"/>
    <s v="Ratanpur"/>
    <s v="MPG"/>
    <s v="Direct"/>
    <n v="19.600000000000001"/>
    <n v="836.33"/>
    <n v="18.77"/>
    <n v="728.74999999999989"/>
    <n v="1"/>
    <n v="26.88"/>
    <n v="19.77"/>
    <n v="755.62999999999988"/>
    <n v="755.62999999999988"/>
    <n v="0"/>
    <n v="0"/>
    <n v="0"/>
    <n v="0"/>
    <n v="0"/>
    <n v="0"/>
    <n v="729"/>
    <n v="27"/>
    <n v="0"/>
    <n v="80"/>
    <n v="0"/>
  </r>
  <r>
    <x v="1047"/>
    <s v="Ratanpur 2"/>
    <s v="vlc"/>
    <s v="Indirect"/>
    <n v="103.69999999999999"/>
    <n v="4325.57"/>
    <n v="0"/>
    <n v="0"/>
    <n v="0"/>
    <n v="0"/>
    <n v="0"/>
    <n v="0"/>
    <n v="4325.57"/>
    <n v="0"/>
    <n v="0"/>
    <n v="0"/>
    <n v="0"/>
    <n v="0"/>
    <n v="0"/>
    <n v="0"/>
    <n v="0"/>
    <n v="4325.57"/>
    <n v="0"/>
    <n v="0"/>
  </r>
  <r>
    <x v="831"/>
    <s v="Mahuli"/>
    <s v="MPG"/>
    <s v="Direct"/>
    <n v="488.09999999999991"/>
    <n v="21626.280000000002"/>
    <n v="487.4"/>
    <n v="21362.07"/>
    <n v="8.9999999999999982"/>
    <n v="396.26"/>
    <n v="496.4"/>
    <n v="21758.329999999998"/>
    <n v="21626.280000000002"/>
    <n v="0"/>
    <n v="396.26"/>
    <n v="132.04999999999563"/>
    <n v="0"/>
    <n v="0"/>
    <n v="0"/>
    <n v="21230"/>
    <n v="0"/>
    <n v="0"/>
    <n v="0"/>
    <n v="0"/>
  </r>
  <r>
    <x v="832"/>
    <s v="Sakhwa Ghat"/>
    <s v="MPG"/>
    <s v="Direct"/>
    <n v="437.17999999999995"/>
    <n v="19029.5"/>
    <n v="444.1"/>
    <n v="19693.240000000002"/>
    <n v="3.2"/>
    <n v="132.69"/>
    <n v="447.3"/>
    <n v="19825.93"/>
    <n v="19029.5"/>
    <n v="0"/>
    <n v="132.69"/>
    <n v="796.43000000000029"/>
    <n v="0"/>
    <n v="0"/>
    <n v="0"/>
    <n v="18896"/>
    <n v="0"/>
    <n v="0"/>
    <n v="1"/>
    <n v="0"/>
  </r>
  <r>
    <x v="833"/>
    <s v="Patiya"/>
    <s v="MPG"/>
    <s v="Direct"/>
    <n v="255.16999999999996"/>
    <n v="10751.14"/>
    <n v="258.39999999999998"/>
    <n v="10664.659999999998"/>
    <n v="1.4000000000000001"/>
    <n v="60.94"/>
    <n v="259.79999999999995"/>
    <n v="10725.599999999999"/>
    <n v="10725.599999999999"/>
    <n v="0"/>
    <n v="60.94"/>
    <n v="0"/>
    <n v="0"/>
    <n v="0"/>
    <n v="0"/>
    <n v="10665"/>
    <n v="0"/>
    <n v="0"/>
    <n v="25"/>
    <n v="0"/>
  </r>
  <r>
    <x v="834"/>
    <s v="Kasiya"/>
    <s v="MPG"/>
    <s v="Direct"/>
    <n v="562.95000000000005"/>
    <n v="24255.17"/>
    <n v="543"/>
    <n v="23826.95"/>
    <n v="9.1999999999999993"/>
    <n v="382.05999999999995"/>
    <n v="552.20000000000005"/>
    <n v="24209.010000000002"/>
    <n v="24209.010000000002"/>
    <n v="0"/>
    <n v="382.05999999999995"/>
    <n v="0"/>
    <n v="0"/>
    <n v="0"/>
    <n v="0"/>
    <n v="23827"/>
    <n v="0"/>
    <n v="0"/>
    <n v="46"/>
    <n v="0"/>
  </r>
  <r>
    <x v="835"/>
    <s v="Godah"/>
    <s v="MPG"/>
    <s v="Direct"/>
    <n v="550.53"/>
    <n v="25042.050000000003"/>
    <n v="578.6"/>
    <n v="30043.369999999995"/>
    <n v="0"/>
    <n v="0"/>
    <n v="578.6"/>
    <n v="30043.369999999995"/>
    <n v="25042.050000000003"/>
    <n v="0"/>
    <n v="0"/>
    <n v="5001.3199999999924"/>
    <n v="0"/>
    <n v="0"/>
    <n v="0"/>
    <n v="25042"/>
    <n v="0"/>
    <n v="0"/>
    <n v="0"/>
    <n v="0"/>
  </r>
  <r>
    <x v="836"/>
    <s v="Ballahpur"/>
    <s v="MPG"/>
    <s v="Direct"/>
    <n v="558.73"/>
    <n v="22175.010000000002"/>
    <n v="567.64"/>
    <n v="22985.18"/>
    <n v="0"/>
    <n v="0"/>
    <n v="567.64"/>
    <n v="22985.18"/>
    <n v="22175.010000000002"/>
    <n v="0"/>
    <n v="0"/>
    <n v="810.16999999999825"/>
    <n v="0"/>
    <n v="500"/>
    <n v="0"/>
    <n v="21675"/>
    <n v="0"/>
    <n v="0"/>
    <n v="0"/>
    <n v="0"/>
  </r>
  <r>
    <x v="837"/>
    <s v="Laxmipur-VLC"/>
    <s v="vlc"/>
    <s v="Indirect"/>
    <n v="160.57999999999996"/>
    <n v="5784.4900000000007"/>
    <n v="0"/>
    <n v="0"/>
    <n v="0"/>
    <n v="0"/>
    <n v="0"/>
    <n v="0"/>
    <n v="5784.4900000000007"/>
    <n v="0"/>
    <n v="0"/>
    <n v="0"/>
    <n v="0"/>
    <n v="0"/>
    <n v="0"/>
    <n v="0"/>
    <n v="0"/>
    <n v="5784.4900000000007"/>
    <n v="0"/>
    <n v="0"/>
  </r>
  <r>
    <x v="838"/>
    <s v="Birpur"/>
    <s v="MPG"/>
    <s v="Direct"/>
    <n v="427.08000000000004"/>
    <n v="16946.98"/>
    <n v="438.77"/>
    <n v="17948.45"/>
    <n v="0"/>
    <n v="0"/>
    <n v="438.77"/>
    <n v="17948.45"/>
    <n v="16946.98"/>
    <n v="0"/>
    <n v="0"/>
    <n v="1001.4700000000012"/>
    <n v="0"/>
    <n v="0"/>
    <n v="0"/>
    <n v="16947"/>
    <n v="0"/>
    <n v="0"/>
    <n v="0"/>
    <n v="0"/>
  </r>
  <r>
    <x v="839"/>
    <s v="Ahilwar"/>
    <s v="MPG"/>
    <s v="Direct"/>
    <n v="927.34999999999991"/>
    <n v="38692.68"/>
    <n v="645.80000000000007"/>
    <n v="27343.87"/>
    <n v="260.2"/>
    <n v="10073.370000000001"/>
    <n v="906"/>
    <n v="37417.24"/>
    <n v="37417.24"/>
    <n v="0"/>
    <n v="243.25"/>
    <n v="0"/>
    <n v="0"/>
    <n v="0"/>
    <n v="0"/>
    <n v="27344"/>
    <n v="9830"/>
    <n v="0"/>
    <n v="1275"/>
    <n v="0"/>
  </r>
  <r>
    <x v="840"/>
    <s v="Paridah"/>
    <s v="MPG"/>
    <s v="Direct"/>
    <n v="389.25"/>
    <n v="15837.500000000002"/>
    <n v="382.34000000000003"/>
    <n v="15686.560000000001"/>
    <n v="3.0100000000000007"/>
    <n v="122.85000000000001"/>
    <n v="385.35"/>
    <n v="15809.410000000002"/>
    <n v="15809.410000000002"/>
    <n v="0"/>
    <n v="122.85000000000001"/>
    <n v="0"/>
    <n v="0"/>
    <n v="0"/>
    <n v="0"/>
    <n v="0"/>
    <n v="0"/>
    <n v="0"/>
    <n v="15715"/>
    <s v="Yes"/>
  </r>
  <r>
    <x v="841"/>
    <s v="KOLAWARI"/>
    <s v="MPG"/>
    <s v="Direct"/>
    <n v="519.27"/>
    <n v="20865.97"/>
    <n v="476.59999999999991"/>
    <n v="20810.820000000007"/>
    <n v="0"/>
    <n v="0"/>
    <n v="476.59999999999991"/>
    <n v="20810.820000000007"/>
    <n v="20810.820000000007"/>
    <n v="0"/>
    <n v="0"/>
    <n v="0"/>
    <n v="0"/>
    <n v="0"/>
    <n v="0"/>
    <n v="20810"/>
    <n v="0"/>
    <n v="0"/>
    <n v="56"/>
    <n v="0"/>
  </r>
  <r>
    <x v="842"/>
    <s v="MALDAH"/>
    <s v="vlc"/>
    <s v="Indirect"/>
    <n v="757.78999999999985"/>
    <n v="31085.41"/>
    <n v="0"/>
    <n v="0"/>
    <n v="0"/>
    <n v="0"/>
    <n v="0"/>
    <n v="0"/>
    <n v="31085.41"/>
    <n v="0"/>
    <n v="0"/>
    <n v="0"/>
    <n v="0"/>
    <n v="0"/>
    <n v="0"/>
    <n v="0"/>
    <n v="0"/>
    <n v="31085.41"/>
    <n v="0"/>
    <n v="0"/>
  </r>
  <r>
    <x v="843"/>
    <s v="KARANCHI"/>
    <s v="MPG"/>
    <s v="Direct"/>
    <n v="597.01"/>
    <n v="23634.38"/>
    <n v="558"/>
    <n v="23587.859999999997"/>
    <n v="0"/>
    <n v="0"/>
    <n v="558"/>
    <n v="23587.859999999997"/>
    <n v="23587.859999999997"/>
    <n v="0"/>
    <n v="0"/>
    <n v="0"/>
    <n v="0"/>
    <n v="0"/>
    <n v="0"/>
    <n v="23588"/>
    <n v="0"/>
    <n v="0"/>
    <n v="46"/>
    <n v="0"/>
  </r>
  <r>
    <x v="844"/>
    <s v="MARTHUA"/>
    <s v="MPG"/>
    <s v="Direct"/>
    <n v="872.05000000000007"/>
    <n v="39299.11"/>
    <n v="879.40000000000009"/>
    <n v="40542.629999999997"/>
    <n v="0"/>
    <n v="0"/>
    <n v="879.40000000000009"/>
    <n v="40542.629999999997"/>
    <n v="39299.11"/>
    <n v="0"/>
    <n v="0"/>
    <n v="1243.5199999999968"/>
    <n v="0"/>
    <n v="0"/>
    <n v="0"/>
    <n v="39299"/>
    <n v="0"/>
    <n v="0"/>
    <n v="0"/>
    <n v="0"/>
  </r>
  <r>
    <x v="845"/>
    <s v="GARHPURA "/>
    <s v="MPG"/>
    <s v="Direct"/>
    <n v="81.749999999999986"/>
    <n v="3630.6699999999996"/>
    <n v="82.7"/>
    <n v="3670.4100000000003"/>
    <n v="0"/>
    <n v="0"/>
    <n v="82.7"/>
    <n v="3670.4100000000003"/>
    <n v="3630.6699999999996"/>
    <n v="0"/>
    <n v="0"/>
    <n v="39.740000000000691"/>
    <n v="0"/>
    <n v="0"/>
    <n v="0"/>
    <n v="3631"/>
    <n v="0"/>
    <n v="0"/>
    <n v="0"/>
    <n v="0"/>
  </r>
  <r>
    <x v="846"/>
    <s v="KOKANI"/>
    <s v="MPG"/>
    <s v="Direct"/>
    <n v="160.24"/>
    <n v="6512.25"/>
    <n v="167.92"/>
    <n v="6891.16"/>
    <n v="0"/>
    <n v="0"/>
    <n v="167.92"/>
    <n v="6891.16"/>
    <n v="6512.25"/>
    <n v="0"/>
    <n v="0"/>
    <n v="378.90999999999985"/>
    <n v="0"/>
    <n v="0"/>
    <n v="0"/>
    <n v="6512"/>
    <n v="0"/>
    <n v="0"/>
    <n v="0"/>
    <n v="0"/>
  </r>
  <r>
    <x v="847"/>
    <s v="DURGAPUR "/>
    <s v="MPG"/>
    <s v="Direct"/>
    <n v="402.17"/>
    <n v="16572.8"/>
    <n v="400.7"/>
    <n v="16496.699999999997"/>
    <n v="0"/>
    <n v="0"/>
    <n v="400.7"/>
    <n v="16496.699999999997"/>
    <n v="16496.699999999997"/>
    <n v="0"/>
    <n v="0"/>
    <n v="0"/>
    <n v="0"/>
    <n v="0"/>
    <n v="0"/>
    <n v="16497"/>
    <n v="0"/>
    <n v="0"/>
    <n v="76"/>
    <n v="0"/>
  </r>
  <r>
    <x v="848"/>
    <s v="Chandauli"/>
    <s v="MPG"/>
    <s v="Direct"/>
    <n v="200.7"/>
    <n v="9270.91"/>
    <n v="210.39999999999995"/>
    <n v="9896.4700000000012"/>
    <n v="0"/>
    <n v="0"/>
    <n v="210.39999999999995"/>
    <n v="9896.4700000000012"/>
    <n v="9270.91"/>
    <n v="0"/>
    <n v="0"/>
    <n v="625.56000000000131"/>
    <n v="0"/>
    <n v="0"/>
    <n v="0"/>
    <n v="0"/>
    <n v="0"/>
    <n v="0"/>
    <n v="9271"/>
    <s v="Yes"/>
  </r>
  <r>
    <x v="1048"/>
    <s v="Gomukh Baliyar"/>
    <s v="MPG"/>
    <s v="Direct"/>
    <n v="323.18999999999994"/>
    <n v="14096.87"/>
    <n v="320.7"/>
    <n v="14030.400000000001"/>
    <n v="0"/>
    <n v="0"/>
    <n v="320.7"/>
    <n v="14030.400000000001"/>
    <n v="14030.400000000001"/>
    <n v="0"/>
    <n v="0"/>
    <n v="0"/>
    <n v="0"/>
    <n v="0"/>
    <n v="0"/>
    <n v="14030"/>
    <n v="0"/>
    <n v="0"/>
    <n v="67"/>
    <n v="0"/>
  </r>
  <r>
    <x v="850"/>
    <s v="MISHRBIGHA"/>
    <s v="MPG"/>
    <s v="Direct"/>
    <n v="716.10000000000025"/>
    <n v="34132.89"/>
    <n v="834.14"/>
    <n v="41266.239999999991"/>
    <n v="0"/>
    <n v="0"/>
    <n v="834.14"/>
    <n v="41266.239999999991"/>
    <n v="34132.89"/>
    <n v="0"/>
    <n v="0"/>
    <n v="7133.3499999999913"/>
    <n v="0"/>
    <n v="0"/>
    <n v="0"/>
    <n v="34133"/>
    <n v="0"/>
    <n v="0"/>
    <n v="0"/>
    <n v="0"/>
  </r>
  <r>
    <x v="851"/>
    <s v="DIGHOI"/>
    <s v="MPG"/>
    <s v="Direct"/>
    <n v="60.1"/>
    <n v="3981.2"/>
    <n v="65.399999999999991"/>
    <n v="4019.65"/>
    <n v="0"/>
    <n v="0"/>
    <n v="65.399999999999991"/>
    <n v="4019.65"/>
    <n v="3981.2"/>
    <n v="0"/>
    <n v="0"/>
    <n v="38.450000000000273"/>
    <n v="0"/>
    <n v="500"/>
    <n v="0"/>
    <n v="3481"/>
    <n v="0"/>
    <n v="0"/>
    <n v="0"/>
    <n v="0"/>
  </r>
  <r>
    <x v="852"/>
    <s v="PRATAPUR"/>
    <s v="MPG"/>
    <s v="Direct"/>
    <n v="931.7"/>
    <n v="36125.579999999994"/>
    <n v="934.7"/>
    <n v="36266.83"/>
    <n v="0"/>
    <n v="0"/>
    <n v="934.7"/>
    <n v="36266.83"/>
    <n v="36125.579999999994"/>
    <n v="0"/>
    <n v="0"/>
    <n v="141.25000000000728"/>
    <n v="7714.75"/>
    <n v="0"/>
    <n v="0"/>
    <n v="28552"/>
    <n v="0"/>
    <n v="0"/>
    <n v="-141"/>
    <s v="Release2"/>
  </r>
  <r>
    <x v="853"/>
    <s v="GOPALPUR"/>
    <s v="MPG"/>
    <s v="Direct"/>
    <n v="1288.4000000000001"/>
    <n v="59224.51"/>
    <n v="1351"/>
    <n v="59420.37999999999"/>
    <n v="0"/>
    <n v="0"/>
    <n v="1351"/>
    <n v="59420.37999999999"/>
    <n v="59224.51"/>
    <n v="0"/>
    <n v="0"/>
    <n v="195.86999999998807"/>
    <n v="0"/>
    <n v="0"/>
    <n v="0"/>
    <n v="59225"/>
    <n v="0"/>
    <n v="0"/>
    <n v="0"/>
    <n v="0"/>
  </r>
  <r>
    <x v="1049"/>
    <s v="LAXMIPUR"/>
    <s v="MPG"/>
    <s v="Direct"/>
    <n v="202.8"/>
    <n v="9163.4500000000007"/>
    <n v="202.79999999999998"/>
    <n v="8946.18"/>
    <n v="0"/>
    <n v="0"/>
    <n v="202.79999999999998"/>
    <n v="8946.18"/>
    <n v="8946.18"/>
    <n v="0"/>
    <n v="0"/>
    <n v="0"/>
    <n v="0"/>
    <n v="0"/>
    <n v="0"/>
    <n v="8946"/>
    <n v="0"/>
    <n v="0"/>
    <n v="217"/>
    <n v="0"/>
  </r>
  <r>
    <x v="854"/>
    <s v="NARMDA"/>
    <s v="MPG"/>
    <s v="Direct"/>
    <n v="315.5"/>
    <n v="15201.209999999995"/>
    <n v="317"/>
    <n v="15306.5"/>
    <n v="0"/>
    <n v="0"/>
    <n v="317"/>
    <n v="15306.5"/>
    <n v="15201.209999999995"/>
    <n v="0"/>
    <n v="0"/>
    <n v="105.29000000000451"/>
    <n v="675"/>
    <n v="0"/>
    <n v="0"/>
    <n v="14526"/>
    <n v="0"/>
    <n v="0"/>
    <n v="0"/>
    <n v="0"/>
  </r>
  <r>
    <x v="1050"/>
    <s v="LAKHANPUR"/>
    <s v="MPG"/>
    <s v="Direct"/>
    <n v="722.10000000000014"/>
    <n v="39839.340000000004"/>
    <n v="724.09999999999991"/>
    <n v="39778.019999999997"/>
    <n v="0"/>
    <n v="0"/>
    <n v="724.09999999999991"/>
    <n v="39778.019999999997"/>
    <n v="39778.019999999997"/>
    <n v="0"/>
    <n v="0"/>
    <n v="0"/>
    <n v="0"/>
    <n v="0"/>
    <n v="0"/>
    <n v="39778"/>
    <n v="0"/>
    <n v="0"/>
    <n v="61"/>
    <n v="0"/>
  </r>
  <r>
    <x v="855"/>
    <s v="AMRATH"/>
    <s v="MPG"/>
    <s v="Direct"/>
    <n v="1338.3999999999999"/>
    <n v="66709.45"/>
    <n v="1353.3999999999999"/>
    <n v="66706.880000000005"/>
    <n v="0"/>
    <n v="0"/>
    <n v="1353.3999999999999"/>
    <n v="66706.880000000005"/>
    <n v="66706.880000000005"/>
    <n v="0"/>
    <n v="0"/>
    <n v="0"/>
    <n v="0"/>
    <n v="0"/>
    <n v="0"/>
    <n v="66707"/>
    <n v="0"/>
    <n v="0"/>
    <n v="2"/>
    <n v="0"/>
  </r>
  <r>
    <x v="856"/>
    <s v="PUTERIA"/>
    <s v="MPG"/>
    <s v="Direct"/>
    <n v="405.50000000000011"/>
    <n v="16920.460000000003"/>
    <n v="395.24000000000007"/>
    <n v="17524.550000000003"/>
    <n v="0"/>
    <n v="0"/>
    <n v="395.24000000000007"/>
    <n v="17524.550000000003"/>
    <n v="16920.460000000003"/>
    <n v="0"/>
    <n v="0"/>
    <n v="604.09000000000015"/>
    <n v="0"/>
    <n v="0"/>
    <n v="0"/>
    <n v="16920"/>
    <n v="0"/>
    <n v="0"/>
    <n v="0"/>
    <n v="0"/>
  </r>
  <r>
    <x v="857"/>
    <s v="LAKHAPUR"/>
    <s v="MPG"/>
    <s v="Direct"/>
    <n v="1254.3"/>
    <n v="53016.059999999983"/>
    <n v="1254.2"/>
    <n v="53012.099999999991"/>
    <n v="0"/>
    <n v="0"/>
    <n v="1254.2"/>
    <n v="53012.099999999991"/>
    <n v="53012.099999999991"/>
    <n v="0"/>
    <n v="0"/>
    <n v="0"/>
    <n v="2001.5"/>
    <n v="0"/>
    <n v="0"/>
    <n v="51011"/>
    <n v="0"/>
    <n v="0"/>
    <n v="4"/>
    <n v="0"/>
  </r>
  <r>
    <x v="858"/>
    <s v="BARIYARPUR"/>
    <s v="MPG"/>
    <s v="Direct"/>
    <n v="542.80000000000007"/>
    <n v="26219.100000000002"/>
    <n v="542.90000000000009"/>
    <n v="25451.25"/>
    <n v="0"/>
    <n v="0"/>
    <n v="542.90000000000009"/>
    <n v="25451.25"/>
    <n v="25451.25"/>
    <n v="0"/>
    <n v="0"/>
    <n v="0"/>
    <n v="0"/>
    <n v="0"/>
    <n v="0"/>
    <n v="25451"/>
    <n v="0"/>
    <n v="0"/>
    <n v="768"/>
    <n v="0"/>
  </r>
  <r>
    <x v="859"/>
    <s v="BAGWANA"/>
    <s v="MPG"/>
    <s v="Direct"/>
    <n v="695.69999999999993"/>
    <n v="33153.160000000003"/>
    <n v="695.1"/>
    <n v="32808.020000000004"/>
    <n v="0"/>
    <n v="0"/>
    <n v="695.1"/>
    <n v="32808.020000000004"/>
    <n v="32808.020000000004"/>
    <n v="0"/>
    <n v="0"/>
    <n v="0"/>
    <n v="0"/>
    <n v="0"/>
    <n v="0"/>
    <n v="32808"/>
    <n v="0"/>
    <n v="0"/>
    <n v="345"/>
    <n v="0"/>
  </r>
  <r>
    <x v="860"/>
    <s v="GOMUKH DAND"/>
    <s v="vlc"/>
    <s v="Indirect"/>
    <n v="368.09999999999997"/>
    <n v="20052.710000000003"/>
    <n v="0"/>
    <n v="0"/>
    <n v="0"/>
    <n v="0"/>
    <n v="0"/>
    <n v="0"/>
    <n v="20052.710000000003"/>
    <n v="0"/>
    <n v="0"/>
    <n v="0"/>
    <n v="0"/>
    <n v="0"/>
    <n v="0"/>
    <n v="0"/>
    <n v="0"/>
    <n v="20052.710000000003"/>
    <n v="0"/>
    <n v="0"/>
  </r>
  <r>
    <x v="1020"/>
    <s v="Gomukh Karisath"/>
    <s v="MPG"/>
    <s v="Direct"/>
    <n v="17"/>
    <n v="667.17000000000007"/>
    <n v="17.100000000000001"/>
    <n v="665.53"/>
    <n v="0"/>
    <n v="0"/>
    <n v="17.100000000000001"/>
    <n v="665.53"/>
    <n v="665.53"/>
    <n v="0"/>
    <n v="0"/>
    <n v="0"/>
    <n v="0"/>
    <n v="0"/>
    <n v="0"/>
    <n v="666"/>
    <n v="0"/>
    <n v="0"/>
    <n v="1"/>
    <n v="0"/>
  </r>
  <r>
    <x v="861"/>
    <s v="Gomukh Ama"/>
    <s v="MPG"/>
    <s v="Direct"/>
    <n v="471.8"/>
    <n v="18487.670000000002"/>
    <n v="552.31000000000006"/>
    <n v="23103.239999999998"/>
    <n v="0"/>
    <n v="0"/>
    <n v="552.31000000000006"/>
    <n v="23103.239999999998"/>
    <n v="18487.670000000002"/>
    <n v="0"/>
    <n v="0"/>
    <n v="4615.5699999999961"/>
    <n v="0"/>
    <n v="0"/>
    <n v="0"/>
    <n v="18488"/>
    <n v="0"/>
    <n v="0"/>
    <n v="0"/>
    <n v="0"/>
  </r>
  <r>
    <x v="862"/>
    <s v="Gomukh Pawat"/>
    <s v="MPG"/>
    <s v="Direct"/>
    <n v="114.7"/>
    <n v="4584.9799999999996"/>
    <n v="146.82000000000002"/>
    <n v="6406.92"/>
    <n v="0"/>
    <n v="0"/>
    <n v="146.82000000000002"/>
    <n v="6406.92"/>
    <n v="4584.9799999999996"/>
    <n v="0"/>
    <n v="0"/>
    <n v="1821.9400000000005"/>
    <n v="0"/>
    <n v="0"/>
    <n v="0"/>
    <n v="4727"/>
    <n v="0"/>
    <n v="0"/>
    <n v="-142"/>
    <s v="Release1"/>
  </r>
  <r>
    <x v="863"/>
    <s v="Gomukh Barja"/>
    <s v="MPG"/>
    <s v="Direct"/>
    <n v="75.2"/>
    <n v="2900.1800000000003"/>
    <n v="75.3"/>
    <n v="2899.05"/>
    <n v="0"/>
    <n v="0"/>
    <n v="75.3"/>
    <n v="2899.05"/>
    <n v="2899.05"/>
    <n v="0"/>
    <n v="0"/>
    <n v="0"/>
    <n v="0"/>
    <n v="0"/>
    <n v="0"/>
    <n v="2899"/>
    <n v="0"/>
    <n v="0"/>
    <n v="1"/>
    <n v="0"/>
  </r>
  <r>
    <x v="864"/>
    <s v="Gomukh Charghat"/>
    <s v="MPG"/>
    <s v="Direct"/>
    <n v="113.9"/>
    <n v="4827.7599999999993"/>
    <n v="140.20999999999998"/>
    <n v="5873.28"/>
    <n v="0"/>
    <n v="0"/>
    <n v="140.20999999999998"/>
    <n v="5873.28"/>
    <n v="4827.7599999999993"/>
    <n v="0"/>
    <n v="0"/>
    <n v="1045.5200000000004"/>
    <n v="0"/>
    <n v="0"/>
    <n v="0"/>
    <n v="4828"/>
    <n v="0"/>
    <n v="0"/>
    <n v="0"/>
    <n v="0"/>
  </r>
  <r>
    <x v="865"/>
    <s v="Gomukh Ramdihra"/>
    <s v="MPG"/>
    <s v="Direct"/>
    <n v="62.4"/>
    <n v="2229.6000000000004"/>
    <n v="62.6"/>
    <n v="2229.19"/>
    <n v="0"/>
    <n v="0"/>
    <n v="62.6"/>
    <n v="2229.19"/>
    <n v="2229.19"/>
    <n v="0"/>
    <n v="0"/>
    <n v="0"/>
    <n v="0"/>
    <n v="500"/>
    <n v="0"/>
    <n v="1729"/>
    <n v="0"/>
    <n v="0"/>
    <n v="1"/>
    <n v="0"/>
  </r>
  <r>
    <x v="866"/>
    <s v="Gomukh Bara"/>
    <s v="MPG"/>
    <s v="Direct"/>
    <n v="44.53"/>
    <n v="1761.73"/>
    <n v="42.13"/>
    <n v="1744.08"/>
    <n v="0"/>
    <n v="0"/>
    <n v="42.13"/>
    <n v="1744.08"/>
    <n v="1744.08"/>
    <n v="0"/>
    <n v="0"/>
    <n v="0"/>
    <n v="0"/>
    <n v="0"/>
    <n v="0"/>
    <n v="1744"/>
    <n v="0"/>
    <n v="0"/>
    <n v="18"/>
    <n v="0"/>
  </r>
  <r>
    <x v="867"/>
    <s v="Gumukh Khajuriya"/>
    <s v="MPG"/>
    <s v="Direct"/>
    <n v="182.7"/>
    <n v="7292.09"/>
    <n v="231.21000000000004"/>
    <n v="9308.0600000000013"/>
    <n v="0"/>
    <n v="0"/>
    <n v="231.21000000000004"/>
    <n v="9308.0600000000013"/>
    <n v="7292.09"/>
    <n v="0"/>
    <n v="0"/>
    <n v="2015.9700000000012"/>
    <n v="0"/>
    <n v="0"/>
    <n v="0"/>
    <n v="7292"/>
    <n v="0"/>
    <n v="0"/>
    <n v="0"/>
    <n v="0"/>
  </r>
  <r>
    <x v="868"/>
    <s v="GOMUKH BHATOLIYA"/>
    <s v="MPG"/>
    <s v="Direct"/>
    <n v="679.59999999999991"/>
    <n v="32665.700000000004"/>
    <n v="690.19999999999993"/>
    <n v="32592.289999999994"/>
    <n v="0.5"/>
    <n v="27.41"/>
    <n v="690.69999999999993"/>
    <n v="32619.699999999993"/>
    <n v="32619.699999999993"/>
    <n v="0"/>
    <n v="27.41"/>
    <n v="0"/>
    <n v="0"/>
    <n v="0"/>
    <n v="0"/>
    <n v="32590"/>
    <n v="0"/>
    <n v="0"/>
    <n v="48"/>
    <n v="0"/>
  </r>
  <r>
    <x v="869"/>
    <s v="GOMUKH CHEHRAKALA"/>
    <s v="MPG"/>
    <s v="Direct"/>
    <n v="444.60000000000008"/>
    <n v="21556.46"/>
    <n v="445.00000000000006"/>
    <n v="22006.75"/>
    <n v="0"/>
    <n v="0"/>
    <n v="445.00000000000006"/>
    <n v="22006.75"/>
    <n v="21556.46"/>
    <n v="0"/>
    <n v="0"/>
    <n v="450.29000000000087"/>
    <n v="0"/>
    <n v="0"/>
    <n v="0"/>
    <n v="21556"/>
    <n v="0"/>
    <n v="0"/>
    <n v="0"/>
    <n v="0"/>
  </r>
  <r>
    <x v="870"/>
    <s v="GOMUKH KHAJECHAND"/>
    <s v="MPG"/>
    <s v="Direct"/>
    <n v="251.4"/>
    <n v="9913.58"/>
    <n v="258.89999999999998"/>
    <n v="10186.140000000001"/>
    <n v="0"/>
    <n v="0"/>
    <n v="258.89999999999998"/>
    <n v="10186.140000000001"/>
    <n v="9913.58"/>
    <n v="0"/>
    <n v="0"/>
    <n v="272.56000000000131"/>
    <n v="0"/>
    <n v="0"/>
    <n v="0"/>
    <n v="9914"/>
    <n v="0"/>
    <n v="0"/>
    <n v="0"/>
    <n v="0"/>
  </r>
  <r>
    <x v="871"/>
    <s v="GOMUKH SALEMPUR"/>
    <s v="MPG"/>
    <s v="Direct"/>
    <n v="324.39999999999998"/>
    <n v="14876.62"/>
    <n v="318.3"/>
    <n v="14541.56"/>
    <n v="6.3000000000000007"/>
    <n v="275.7"/>
    <n v="324.60000000000002"/>
    <n v="14817.26"/>
    <n v="14817.26"/>
    <n v="0"/>
    <n v="275.7"/>
    <n v="0"/>
    <n v="0"/>
    <n v="0"/>
    <n v="0"/>
    <n v="14542"/>
    <n v="0"/>
    <n v="0"/>
    <n v="59"/>
    <s v="Release1"/>
  </r>
  <r>
    <x v="872"/>
    <s v="Gomukh Paharpur"/>
    <s v="MPG"/>
    <s v="Direct"/>
    <n v="1076.3"/>
    <n v="49071.96"/>
    <n v="1101.5999999999999"/>
    <n v="48515.4"/>
    <n v="0"/>
    <n v="0"/>
    <n v="1101.5999999999999"/>
    <n v="48515.4"/>
    <n v="48515.4"/>
    <n v="0"/>
    <n v="0"/>
    <n v="0"/>
    <n v="0"/>
    <n v="0"/>
    <n v="0"/>
    <n v="48516"/>
    <n v="0"/>
    <n v="0"/>
    <n v="556"/>
    <n v="0"/>
  </r>
  <r>
    <x v="873"/>
    <s v="GOMUKH PREMRAJ"/>
    <s v="MPG"/>
    <s v="Direct"/>
    <n v="346.00000000000011"/>
    <n v="17376.760000000006"/>
    <n v="352.4"/>
    <n v="17766.580000000002"/>
    <n v="0"/>
    <n v="0"/>
    <n v="352.4"/>
    <n v="17766.580000000002"/>
    <n v="17376.760000000006"/>
    <n v="0"/>
    <n v="0"/>
    <n v="389.81999999999607"/>
    <n v="0"/>
    <n v="0"/>
    <n v="0"/>
    <n v="17377"/>
    <n v="0"/>
    <n v="0"/>
    <n v="0"/>
    <n v="0"/>
  </r>
  <r>
    <x v="874"/>
    <s v="GOMUKH GANGATI"/>
    <s v="MPG"/>
    <s v="Direct"/>
    <n v="342.5"/>
    <n v="15455.479999999998"/>
    <n v="348.79999999999995"/>
    <n v="15608.869999999997"/>
    <n v="0"/>
    <n v="0"/>
    <n v="348.79999999999995"/>
    <n v="15608.869999999997"/>
    <n v="15455.479999999998"/>
    <n v="0"/>
    <n v="0"/>
    <n v="153.38999999999942"/>
    <n v="0"/>
    <n v="0"/>
    <n v="0"/>
    <n v="15455"/>
    <n v="0"/>
    <n v="0"/>
    <n v="0"/>
    <n v="0"/>
  </r>
  <r>
    <x v="875"/>
    <s v="GOMUKH Khanpatti"/>
    <s v="MPG"/>
    <s v="Direct"/>
    <n v="1272.3999999999999"/>
    <n v="61546.280000000013"/>
    <n v="1302.7000000000003"/>
    <n v="61725.329999999987"/>
    <n v="15.000000000000002"/>
    <n v="686.07999999999993"/>
    <n v="1317.7000000000003"/>
    <n v="62411.409999999989"/>
    <n v="61546.280000000013"/>
    <n v="0"/>
    <n v="686.07999999999993"/>
    <n v="865.12999999997555"/>
    <n v="0"/>
    <n v="0"/>
    <n v="0"/>
    <n v="60860"/>
    <n v="0"/>
    <n v="0"/>
    <n v="0"/>
    <s v="Release1"/>
  </r>
  <r>
    <x v="876"/>
    <s v="GOMUKH Bhagwatpur"/>
    <s v="MPG"/>
    <s v="Direct"/>
    <n v="438.3"/>
    <n v="21791.440000000002"/>
    <n v="473"/>
    <n v="21824.190000000002"/>
    <n v="0"/>
    <n v="0"/>
    <n v="473"/>
    <n v="21824.190000000002"/>
    <n v="21791.440000000002"/>
    <n v="0"/>
    <n v="0"/>
    <n v="32.75"/>
    <n v="0"/>
    <n v="0"/>
    <n v="0"/>
    <n v="21791"/>
    <n v="0"/>
    <n v="0"/>
    <n v="0"/>
    <n v="0"/>
  </r>
  <r>
    <x v="877"/>
    <s v="GOMUKH JIRWARA"/>
    <s v="vlc"/>
    <s v="Indirect"/>
    <n v="338.79999999999995"/>
    <n v="13495.039999999999"/>
    <n v="0"/>
    <n v="0"/>
    <n v="0"/>
    <n v="0"/>
    <n v="0"/>
    <n v="0"/>
    <n v="13495.039999999999"/>
    <n v="0"/>
    <n v="0"/>
    <n v="0"/>
    <n v="0"/>
    <n v="0"/>
    <n v="0"/>
    <n v="0"/>
    <n v="0"/>
    <n v="13495.039999999999"/>
    <n v="0"/>
    <n v="0"/>
  </r>
  <r>
    <x v="878"/>
    <s v="GOMUKH Karhatiya"/>
    <s v="vlc"/>
    <s v="Indirect"/>
    <n v="107.80000000000001"/>
    <n v="3925.11"/>
    <n v="0"/>
    <n v="0"/>
    <n v="0"/>
    <n v="0"/>
    <n v="0"/>
    <n v="0"/>
    <n v="3925.11"/>
    <n v="0"/>
    <n v="0"/>
    <n v="0"/>
    <n v="0"/>
    <n v="0"/>
    <n v="0"/>
    <n v="0"/>
    <n v="0"/>
    <n v="3925.11"/>
    <n v="0"/>
    <n v="0"/>
  </r>
  <r>
    <x v="879"/>
    <s v="GOMUKH Bheraukhara"/>
    <s v="MPG"/>
    <s v="Direct"/>
    <n v="277.3"/>
    <n v="13085.089999999998"/>
    <n v="270.30000000000007"/>
    <n v="11740.370000000003"/>
    <n v="0"/>
    <n v="0"/>
    <n v="270.30000000000007"/>
    <n v="11740.370000000003"/>
    <n v="11740.370000000003"/>
    <n v="0"/>
    <n v="0"/>
    <n v="0"/>
    <n v="0"/>
    <n v="0"/>
    <n v="0"/>
    <n v="11739"/>
    <n v="0"/>
    <n v="0"/>
    <n v="1346"/>
    <n v="0"/>
  </r>
  <r>
    <x v="880"/>
    <s v="GOMUKH SUPOLTARIYA"/>
    <s v="MPG"/>
    <s v="Direct"/>
    <n v="485.3"/>
    <n v="22067.19"/>
    <n v="278.3"/>
    <n v="13469.97"/>
    <n v="212.79999999999995"/>
    <n v="8375.2499999999982"/>
    <n v="491.09999999999997"/>
    <n v="21845.219999999998"/>
    <n v="21845.219999999998"/>
    <n v="0"/>
    <n v="0"/>
    <n v="0"/>
    <n v="1056"/>
    <n v="0"/>
    <n v="0"/>
    <n v="12414"/>
    <n v="8375"/>
    <n v="0"/>
    <n v="222"/>
    <s v="Release1"/>
  </r>
  <r>
    <x v="881"/>
    <s v="GOMUKH Shravanapatti"/>
    <s v="MPG"/>
    <s v="Direct"/>
    <n v="46.2"/>
    <n v="2347.2199999999998"/>
    <n v="46.199999999999996"/>
    <n v="2365.38"/>
    <n v="0"/>
    <n v="0"/>
    <n v="46.199999999999996"/>
    <n v="2365.38"/>
    <n v="2347.2199999999998"/>
    <n v="0"/>
    <n v="0"/>
    <n v="18.160000000000309"/>
    <n v="0"/>
    <n v="0"/>
    <n v="0"/>
    <n v="2347"/>
    <n v="0"/>
    <n v="0"/>
    <n v="0"/>
    <n v="0"/>
  </r>
  <r>
    <x v="882"/>
    <s v="GOMUKH Jilwara"/>
    <s v="MPG"/>
    <s v="Direct"/>
    <n v="324.7"/>
    <n v="14404.029999999999"/>
    <n v="319.60000000000002"/>
    <n v="13936.54"/>
    <n v="6.2"/>
    <n v="278"/>
    <n v="325.8"/>
    <n v="14214.54"/>
    <n v="14214.54"/>
    <n v="0"/>
    <n v="278"/>
    <n v="0"/>
    <n v="0"/>
    <n v="0"/>
    <n v="0"/>
    <n v="13935"/>
    <n v="0"/>
    <n v="0"/>
    <n v="191"/>
    <n v="0"/>
  </r>
  <r>
    <x v="883"/>
    <s v="GOMUKH ABBUCHAK"/>
    <s v="MPG"/>
    <s v="Direct"/>
    <n v="189"/>
    <n v="9501.4"/>
    <n v="187.9"/>
    <n v="9583.010000000002"/>
    <n v="0"/>
    <n v="0"/>
    <n v="187.9"/>
    <n v="9583.010000000002"/>
    <n v="9501.4"/>
    <n v="0"/>
    <n v="0"/>
    <n v="81.610000000002401"/>
    <n v="0"/>
    <n v="0"/>
    <n v="0"/>
    <n v="9501"/>
    <n v="0"/>
    <n v="0"/>
    <n v="0"/>
    <n v="0"/>
  </r>
  <r>
    <x v="884"/>
    <s v="GOMUKH KAILA JALALPUR"/>
    <s v="MPG"/>
    <s v="Direct"/>
    <n v="226.4"/>
    <n v="9365.3499999999985"/>
    <n v="247.5"/>
    <n v="9693.630000000001"/>
    <n v="7.1000000000000014"/>
    <n v="260.42"/>
    <n v="254.6"/>
    <n v="9954.0500000000011"/>
    <n v="9365.3499999999985"/>
    <n v="0"/>
    <n v="260.42"/>
    <n v="588.70000000000255"/>
    <n v="0"/>
    <n v="0"/>
    <n v="0"/>
    <n v="9447"/>
    <n v="0"/>
    <n v="0"/>
    <n v="-342"/>
    <s v="Release1"/>
  </r>
  <r>
    <x v="886"/>
    <s v="Gomukh Jhitkahi East"/>
    <s v="MPG"/>
    <s v="Direct"/>
    <n v="186.30000000000004"/>
    <n v="9916.17"/>
    <n v="181.00000000000003"/>
    <n v="9863.380000000001"/>
    <n v="0"/>
    <n v="0"/>
    <n v="181.00000000000003"/>
    <n v="9863.380000000001"/>
    <n v="9863.380000000001"/>
    <n v="0"/>
    <n v="0"/>
    <n v="0"/>
    <n v="0"/>
    <n v="0"/>
    <n v="0"/>
    <n v="9862"/>
    <n v="0"/>
    <n v="0"/>
    <n v="54"/>
    <n v="0"/>
  </r>
  <r>
    <x v="887"/>
    <s v="GOMUKH UPHRAUL"/>
    <s v="vlc"/>
    <s v="Indirect"/>
    <n v="1128.5"/>
    <n v="40915.380000000005"/>
    <n v="0"/>
    <n v="0"/>
    <n v="0"/>
    <n v="0"/>
    <n v="0"/>
    <n v="0"/>
    <n v="40915.380000000005"/>
    <n v="0"/>
    <n v="0"/>
    <n v="0"/>
    <n v="0"/>
    <n v="0"/>
    <n v="0"/>
    <n v="0"/>
    <n v="0"/>
    <n v="40915.380000000005"/>
    <n v="0"/>
    <n v="0"/>
  </r>
  <r>
    <x v="888"/>
    <s v="GOMUKH SHERPUR"/>
    <s v="vlc"/>
    <s v="Indirect"/>
    <n v="199.1"/>
    <n v="7800.6400000000012"/>
    <n v="0"/>
    <n v="0"/>
    <n v="0"/>
    <n v="0"/>
    <n v="0"/>
    <n v="0"/>
    <n v="7800.6400000000012"/>
    <n v="0"/>
    <n v="0"/>
    <n v="0"/>
    <n v="0"/>
    <n v="0"/>
    <n v="0"/>
    <n v="0"/>
    <n v="0"/>
    <n v="7800.6400000000012"/>
    <n v="0"/>
    <n v="0"/>
  </r>
  <r>
    <x v="989"/>
    <s v="GOMUKH PANSALA"/>
    <s v="vlc"/>
    <s v="Indirect"/>
    <n v="422.70000000000005"/>
    <n v="16120.330000000002"/>
    <n v="0"/>
    <n v="0"/>
    <n v="0"/>
    <n v="0"/>
    <n v="0"/>
    <n v="0"/>
    <n v="16120.330000000002"/>
    <n v="0"/>
    <n v="0"/>
    <n v="0"/>
    <n v="0"/>
    <n v="0"/>
    <n v="0"/>
    <n v="0"/>
    <n v="0"/>
    <n v="16120.330000000002"/>
    <n v="0"/>
    <n v="0"/>
  </r>
  <r>
    <x v="990"/>
    <s v="GOMUKH KUSIYARI"/>
    <s v="vlc"/>
    <s v="Indirect"/>
    <n v="250.9"/>
    <n v="9746.7100000000009"/>
    <n v="0"/>
    <n v="0"/>
    <n v="0"/>
    <n v="0"/>
    <n v="0"/>
    <n v="0"/>
    <n v="9746.7100000000009"/>
    <n v="0"/>
    <n v="0"/>
    <n v="0"/>
    <n v="0"/>
    <n v="0"/>
    <n v="0"/>
    <n v="0"/>
    <n v="0"/>
    <n v="9746.7100000000009"/>
    <n v="0"/>
    <n v="0"/>
  </r>
  <r>
    <x v="991"/>
    <s v="GOMUKH PACHAI"/>
    <s v="vlc"/>
    <s v="Indirect"/>
    <n v="481.5"/>
    <n v="18723.740000000002"/>
    <n v="0"/>
    <n v="0"/>
    <n v="0"/>
    <n v="0"/>
    <n v="0"/>
    <n v="0"/>
    <n v="18723.740000000002"/>
    <n v="0"/>
    <n v="0"/>
    <n v="0"/>
    <n v="0"/>
    <n v="0"/>
    <n v="0"/>
    <n v="0"/>
    <n v="0"/>
    <n v="18723.740000000002"/>
    <n v="0"/>
    <n v="0"/>
  </r>
  <r>
    <x v="889"/>
    <s v="GOMUKH GARAHI"/>
    <s v="vlc"/>
    <s v="Indirect"/>
    <n v="248.80000000000004"/>
    <n v="8446.32"/>
    <n v="0"/>
    <n v="0"/>
    <n v="0"/>
    <n v="0"/>
    <n v="0"/>
    <n v="0"/>
    <n v="8446.32"/>
    <n v="0"/>
    <n v="0"/>
    <n v="0"/>
    <n v="0"/>
    <n v="0"/>
    <n v="0"/>
    <n v="0"/>
    <n v="0"/>
    <n v="8446.32"/>
    <n v="0"/>
    <n v="0"/>
  </r>
  <r>
    <x v="890"/>
    <s v="GOMUKH BAIKUNTHPUR"/>
    <s v="vlc"/>
    <s v="Indirect"/>
    <n v="376.79999999999995"/>
    <n v="13523.360000000002"/>
    <n v="0"/>
    <n v="0"/>
    <n v="0"/>
    <n v="0"/>
    <n v="0"/>
    <n v="0"/>
    <n v="13523.360000000002"/>
    <n v="0"/>
    <n v="0"/>
    <n v="0"/>
    <n v="0"/>
    <n v="0"/>
    <n v="0"/>
    <n v="0"/>
    <n v="0"/>
    <n v="13523.360000000002"/>
    <n v="0"/>
    <n v="0"/>
  </r>
  <r>
    <x v="891"/>
    <s v="GOMUKH BAHASHI"/>
    <s v="vlc"/>
    <s v="Indirect"/>
    <n v="227.9"/>
    <n v="8007.83"/>
    <n v="0"/>
    <n v="0"/>
    <n v="0"/>
    <n v="0"/>
    <n v="0"/>
    <n v="0"/>
    <n v="8007.83"/>
    <n v="0"/>
    <n v="0"/>
    <n v="0"/>
    <n v="0"/>
    <n v="0"/>
    <n v="0"/>
    <n v="0"/>
    <n v="0"/>
    <n v="8007.83"/>
    <n v="0"/>
    <n v="0"/>
  </r>
  <r>
    <x v="893"/>
    <s v="GOMUKH KHARIKA"/>
    <s v="vlc"/>
    <s v="Indirect"/>
    <n v="174.6"/>
    <n v="6654.82"/>
    <n v="0"/>
    <n v="0"/>
    <n v="0"/>
    <n v="0"/>
    <n v="0"/>
    <n v="0"/>
    <n v="6654.82"/>
    <n v="0"/>
    <n v="0"/>
    <n v="0"/>
    <n v="0"/>
    <n v="0"/>
    <n v="0"/>
    <n v="0"/>
    <n v="0"/>
    <n v="6654.82"/>
    <n v="0"/>
    <n v="0"/>
  </r>
  <r>
    <x v="896"/>
    <s v="GOMUKH HARPUR RAJESH"/>
    <s v="vlc"/>
    <s v="Indirect"/>
    <n v="468.4"/>
    <n v="19015.010000000002"/>
    <n v="0"/>
    <n v="0"/>
    <n v="0"/>
    <n v="0"/>
    <n v="0"/>
    <n v="0"/>
    <n v="19015.010000000002"/>
    <n v="0"/>
    <n v="0"/>
    <n v="0"/>
    <n v="0"/>
    <n v="0"/>
    <n v="0"/>
    <n v="0"/>
    <n v="0"/>
    <n v="19015.010000000002"/>
    <n v="0"/>
    <n v="0"/>
  </r>
  <r>
    <x v="897"/>
    <s v="GOMUKH SANICHAR HATT"/>
    <s v="vlc"/>
    <s v="Indirect"/>
    <n v="310.5"/>
    <n v="11278.76"/>
    <n v="0"/>
    <n v="0"/>
    <n v="0"/>
    <n v="0"/>
    <n v="0"/>
    <n v="0"/>
    <n v="11278.76"/>
    <n v="0"/>
    <n v="0"/>
    <n v="0"/>
    <n v="0"/>
    <n v="0"/>
    <n v="0"/>
    <n v="0"/>
    <n v="0"/>
    <n v="11278.76"/>
    <n v="0"/>
    <n v="0"/>
  </r>
  <r>
    <x v="898"/>
    <s v="GOMUKH SAHARIYA"/>
    <s v="vlc"/>
    <s v="Indirect"/>
    <n v="648.00000000000011"/>
    <n v="25495.32"/>
    <n v="0"/>
    <n v="0"/>
    <n v="0"/>
    <n v="0"/>
    <n v="0"/>
    <n v="0"/>
    <n v="25495.32"/>
    <n v="0"/>
    <n v="0"/>
    <n v="0"/>
    <n v="0"/>
    <n v="0"/>
    <n v="0"/>
    <n v="0"/>
    <n v="0"/>
    <n v="25495.32"/>
    <n v="0"/>
    <n v="0"/>
  </r>
  <r>
    <x v="899"/>
    <s v="GOMUKH TAJPUR BUZURG"/>
    <s v="MPG"/>
    <s v="Direct"/>
    <n v="580.29999999999995"/>
    <n v="22330.46"/>
    <n v="617.19999999999993"/>
    <n v="23072.98"/>
    <n v="0"/>
    <n v="0"/>
    <n v="617.19999999999993"/>
    <n v="23072.98"/>
    <n v="22330.46"/>
    <n v="0"/>
    <n v="0"/>
    <n v="742.52000000000044"/>
    <n v="0"/>
    <n v="0"/>
    <n v="0"/>
    <n v="22330"/>
    <n v="0"/>
    <n v="0"/>
    <n v="0"/>
    <n v="0"/>
  </r>
  <r>
    <x v="900"/>
    <s v="GOMUKH PAITRAPUR"/>
    <s v="MPG"/>
    <s v="Direct"/>
    <n v="248.39999999999995"/>
    <n v="12380.439999999999"/>
    <n v="242.7"/>
    <n v="11370.25"/>
    <n v="15.6"/>
    <n v="962.31"/>
    <n v="258.3"/>
    <n v="12332.56"/>
    <n v="12332.56"/>
    <n v="0"/>
    <n v="0"/>
    <n v="0"/>
    <n v="962"/>
    <n v="0"/>
    <n v="0"/>
    <n v="11371"/>
    <n v="0"/>
    <n v="0"/>
    <n v="47"/>
    <n v="0"/>
  </r>
  <r>
    <x v="901"/>
    <s v="GOMUKH JAI MATA DI MILK CENTER"/>
    <s v="vlc"/>
    <s v="Indirect"/>
    <n v="620.49999999999989"/>
    <n v="25830.970000000005"/>
    <n v="0"/>
    <n v="0"/>
    <n v="0"/>
    <n v="0"/>
    <n v="0"/>
    <n v="0"/>
    <n v="25830.970000000005"/>
    <n v="0"/>
    <n v="0"/>
    <n v="0"/>
    <n v="0"/>
    <n v="0"/>
    <n v="0"/>
    <n v="0"/>
    <n v="0"/>
    <n v="25830.970000000005"/>
    <n v="0"/>
    <n v="0"/>
  </r>
  <r>
    <x v="904"/>
    <s v="GOMUKH BAHJRANGI"/>
    <s v="vlc"/>
    <s v="Indirect"/>
    <n v="1251.3"/>
    <n v="52306.410000000011"/>
    <n v="0"/>
    <n v="0"/>
    <n v="0"/>
    <n v="0"/>
    <n v="0"/>
    <n v="0"/>
    <n v="52306.410000000011"/>
    <n v="0"/>
    <n v="0"/>
    <n v="0"/>
    <n v="0"/>
    <n v="0"/>
    <n v="0"/>
    <n v="0"/>
    <n v="0"/>
    <n v="52306.410000000011"/>
    <n v="0"/>
    <n v="0"/>
  </r>
  <r>
    <x v="994"/>
    <s v="GOMUKH BAJITPUR"/>
    <s v="vlc"/>
    <s v="Indirect"/>
    <n v="115.09999999999998"/>
    <n v="4460.57"/>
    <n v="0"/>
    <n v="0"/>
    <n v="0"/>
    <n v="0"/>
    <n v="0"/>
    <n v="0"/>
    <n v="4460.57"/>
    <n v="0"/>
    <n v="0"/>
    <n v="0"/>
    <n v="0"/>
    <n v="0"/>
    <n v="0"/>
    <n v="0"/>
    <n v="0"/>
    <n v="4460.57"/>
    <n v="0"/>
    <n v="0"/>
  </r>
  <r>
    <x v="995"/>
    <s v="GOMUKH SHAHPUR TOI"/>
    <s v="vlc"/>
    <s v="Indirect"/>
    <n v="412.5"/>
    <n v="17194.86"/>
    <n v="0"/>
    <n v="0"/>
    <n v="0"/>
    <n v="0"/>
    <n v="0"/>
    <n v="0"/>
    <n v="17194.86"/>
    <n v="0"/>
    <n v="0"/>
    <n v="0"/>
    <n v="0"/>
    <n v="0"/>
    <n v="0"/>
    <n v="0"/>
    <n v="0"/>
    <n v="17194.86"/>
    <n v="0"/>
    <n v="0"/>
  </r>
  <r>
    <x v="996"/>
    <s v="GOMUKH SUPAYAN"/>
    <s v="vlc"/>
    <s v="Indirect"/>
    <n v="1057.0999999999999"/>
    <n v="44291.369999999995"/>
    <n v="0"/>
    <n v="0"/>
    <n v="0"/>
    <n v="0"/>
    <n v="0"/>
    <n v="0"/>
    <n v="44291.369999999995"/>
    <n v="0"/>
    <n v="0"/>
    <n v="0"/>
    <n v="0"/>
    <n v="0"/>
    <n v="0"/>
    <n v="0"/>
    <n v="0"/>
    <n v="44291.369999999995"/>
    <n v="0"/>
    <n v="0"/>
  </r>
  <r>
    <x v="1051"/>
    <s v="GOMUKH SURYANSH"/>
    <s v="vlc"/>
    <s v="Indirect"/>
    <n v="110.7"/>
    <n v="5263.869999999999"/>
    <n v="0"/>
    <n v="0"/>
    <n v="0"/>
    <n v="0"/>
    <n v="0"/>
    <n v="0"/>
    <n v="5263.869999999999"/>
    <n v="0"/>
    <n v="0"/>
    <n v="0"/>
    <n v="0"/>
    <n v="0"/>
    <n v="0"/>
    <n v="0"/>
    <n v="0"/>
    <n v="5263.869999999999"/>
    <n v="0"/>
    <n v="0"/>
  </r>
  <r>
    <x v="1022"/>
    <s v="GOMUKH RAJAPAKAR PURBI"/>
    <s v="vlc"/>
    <s v="Indirect"/>
    <n v="253.60000000000002"/>
    <n v="10213.51"/>
    <n v="0"/>
    <n v="0"/>
    <n v="0"/>
    <n v="0"/>
    <n v="0"/>
    <n v="0"/>
    <n v="10213.51"/>
    <n v="0"/>
    <n v="0"/>
    <n v="0"/>
    <n v="0"/>
    <n v="0"/>
    <n v="0"/>
    <n v="0"/>
    <n v="0"/>
    <n v="10213.51"/>
    <n v="0"/>
    <n v="0"/>
  </r>
  <r>
    <x v="1023"/>
    <s v="GOMUKH SAIDPUR"/>
    <s v="vlc"/>
    <s v="Indirect"/>
    <n v="170.2"/>
    <n v="7406.5399999999991"/>
    <n v="0"/>
    <n v="0"/>
    <n v="0"/>
    <n v="0"/>
    <n v="0"/>
    <n v="0"/>
    <n v="7406.5399999999991"/>
    <n v="0"/>
    <n v="0"/>
    <n v="0"/>
    <n v="0"/>
    <n v="0"/>
    <n v="0"/>
    <n v="0"/>
    <n v="0"/>
    <n v="7406.5399999999991"/>
    <n v="0"/>
    <n v="0"/>
  </r>
  <r>
    <x v="905"/>
    <s v="Karua"/>
    <s v="MPG"/>
    <s v="Direct"/>
    <n v="142.19999999999999"/>
    <n v="6157.03"/>
    <n v="3"/>
    <n v="165.84"/>
    <n v="130.22"/>
    <n v="6052.43"/>
    <n v="133.22"/>
    <n v="6218.27"/>
    <n v="6157.03"/>
    <n v="0"/>
    <n v="41.56"/>
    <n v="61.240000000000691"/>
    <n v="0"/>
    <n v="0"/>
    <n v="0"/>
    <n v="102"/>
    <n v="6013"/>
    <n v="0"/>
    <n v="0"/>
    <n v="0"/>
  </r>
  <r>
    <x v="907"/>
    <s v="Murli"/>
    <s v="MPG"/>
    <s v="Direct"/>
    <n v="326.5"/>
    <n v="13344.1"/>
    <n v="286.29999999999995"/>
    <n v="14225.199999999997"/>
    <n v="0.2"/>
    <n v="10.14"/>
    <n v="286.49999999999994"/>
    <n v="14235.339999999997"/>
    <n v="13344.1"/>
    <n v="0"/>
    <n v="10.14"/>
    <n v="891.23999999999614"/>
    <n v="0"/>
    <n v="0"/>
    <n v="0"/>
    <n v="13334"/>
    <n v="0"/>
    <n v="0"/>
    <n v="0"/>
    <n v="0"/>
  </r>
  <r>
    <x v="909"/>
    <s v="Nauapokhar"/>
    <s v="MPG"/>
    <s v="Direct"/>
    <n v="2041.2999999999997"/>
    <n v="78695.829999999973"/>
    <n v="1546.1"/>
    <n v="78370.889999999985"/>
    <n v="5"/>
    <n v="251.09000000000003"/>
    <n v="1551.1"/>
    <n v="78621.979999999981"/>
    <n v="78621.979999999981"/>
    <n v="0"/>
    <n v="251.09000000000003"/>
    <n v="0"/>
    <n v="0"/>
    <n v="0"/>
    <n v="0"/>
    <n v="78371"/>
    <n v="0"/>
    <n v="0"/>
    <n v="74"/>
    <n v="0"/>
  </r>
  <r>
    <x v="910"/>
    <s v="Erout 2"/>
    <s v="vlc"/>
    <s v="Indirect"/>
    <n v="794.00000000000023"/>
    <n v="33817.120000000003"/>
    <n v="0"/>
    <n v="0"/>
    <n v="0"/>
    <n v="0"/>
    <n v="0"/>
    <n v="0"/>
    <n v="33817.120000000003"/>
    <n v="0"/>
    <n v="0"/>
    <n v="0"/>
    <n v="0"/>
    <n v="0"/>
    <n v="0"/>
    <n v="0"/>
    <n v="0"/>
    <n v="33817.120000000003"/>
    <n v="0"/>
    <n v="0"/>
  </r>
  <r>
    <x v="911"/>
    <s v="Parsuram"/>
    <s v="vlc"/>
    <s v="Indirect"/>
    <n v="141"/>
    <n v="4475.46"/>
    <n v="0"/>
    <n v="0"/>
    <n v="0"/>
    <n v="0"/>
    <n v="0"/>
    <n v="0"/>
    <n v="4475.46"/>
    <n v="0"/>
    <n v="0"/>
    <n v="0"/>
    <n v="0"/>
    <n v="0"/>
    <n v="0"/>
    <n v="0"/>
    <n v="0"/>
    <n v="4475.46"/>
    <n v="0"/>
    <n v="0"/>
  </r>
  <r>
    <x v="913"/>
    <s v="Sedukha"/>
    <s v="MPG"/>
    <s v="Direct"/>
    <n v="506.5"/>
    <n v="19624.86"/>
    <n v="492.90000000000003"/>
    <n v="19623.84"/>
    <n v="0"/>
    <n v="0"/>
    <n v="492.90000000000003"/>
    <n v="19623.84"/>
    <n v="19623.84"/>
    <n v="0"/>
    <n v="0"/>
    <n v="0"/>
    <n v="0"/>
    <n v="0"/>
    <n v="0"/>
    <n v="19623"/>
    <n v="0"/>
    <n v="0"/>
    <n v="2"/>
    <n v="0"/>
  </r>
  <r>
    <x v="914"/>
    <s v="Madhuban 2"/>
    <s v="vlc"/>
    <s v="Indirect"/>
    <n v="339.2"/>
    <n v="13359.129999999997"/>
    <n v="0"/>
    <n v="0"/>
    <n v="0"/>
    <n v="0"/>
    <n v="0"/>
    <n v="0"/>
    <n v="13359.129999999997"/>
    <n v="0"/>
    <n v="0"/>
    <n v="0"/>
    <n v="0"/>
    <n v="0"/>
    <n v="0"/>
    <n v="0"/>
    <n v="0"/>
    <n v="13359.129999999997"/>
    <n v="0"/>
    <n v="0"/>
  </r>
  <r>
    <x v="915"/>
    <s v="Yadav Jee"/>
    <s v="vlc"/>
    <s v="Indirect"/>
    <n v="180.60000000000002"/>
    <n v="7830.02"/>
    <n v="0"/>
    <n v="0"/>
    <n v="0"/>
    <n v="0"/>
    <n v="0"/>
    <n v="0"/>
    <n v="7830.02"/>
    <n v="0"/>
    <n v="0"/>
    <n v="0"/>
    <n v="0"/>
    <n v="0"/>
    <n v="0"/>
    <n v="0"/>
    <n v="0"/>
    <n v="7830.02"/>
    <n v="0"/>
    <n v="0"/>
  </r>
  <r>
    <x v="916"/>
    <s v="Durgaashtan 2"/>
    <s v="vlc"/>
    <s v="Indirect"/>
    <n v="875.39999999999986"/>
    <n v="34565.760000000002"/>
    <n v="0"/>
    <n v="0"/>
    <n v="0"/>
    <n v="0"/>
    <n v="0"/>
    <n v="0"/>
    <n v="34565.760000000002"/>
    <n v="0"/>
    <n v="0"/>
    <n v="0"/>
    <n v="0"/>
    <n v="0"/>
    <n v="0"/>
    <n v="0"/>
    <n v="0"/>
    <n v="34565.760000000002"/>
    <n v="0"/>
    <n v="0"/>
  </r>
  <r>
    <x v="917"/>
    <s v="Durgaashtan "/>
    <s v="vlc"/>
    <s v="Indirect"/>
    <n v="1444.3999999999999"/>
    <n v="55128.52"/>
    <n v="0"/>
    <n v="0"/>
    <n v="0"/>
    <n v="0"/>
    <n v="0"/>
    <n v="0"/>
    <n v="55128.52"/>
    <n v="0"/>
    <n v="0"/>
    <n v="0"/>
    <n v="0"/>
    <n v="0"/>
    <n v="0"/>
    <n v="0"/>
    <n v="0"/>
    <n v="55128.52"/>
    <n v="0"/>
    <n v="0"/>
  </r>
  <r>
    <x v="918"/>
    <s v="Motipur"/>
    <s v="vlc"/>
    <s v="Indirect"/>
    <n v="280.60000000000002"/>
    <n v="10074.9"/>
    <n v="0"/>
    <n v="0"/>
    <n v="0"/>
    <n v="0"/>
    <n v="0"/>
    <n v="0"/>
    <n v="10074.9"/>
    <n v="0"/>
    <n v="0"/>
    <n v="0"/>
    <n v="0"/>
    <n v="0"/>
    <n v="0"/>
    <n v="0"/>
    <n v="0"/>
    <n v="10074.9"/>
    <n v="0"/>
    <n v="0"/>
  </r>
  <r>
    <x v="998"/>
    <s v="Bhatandi"/>
    <s v="vlc"/>
    <s v="Direct"/>
    <n v="157.80000000000001"/>
    <n v="7520.98"/>
    <n v="148.35"/>
    <n v="7507.7899999999981"/>
    <n v="0"/>
    <n v="0"/>
    <n v="148.35"/>
    <n v="7507.7899999999981"/>
    <n v="7507.7899999999981"/>
    <n v="0"/>
    <n v="0"/>
    <n v="0"/>
    <n v="0"/>
    <n v="0"/>
    <n v="0"/>
    <n v="7508"/>
    <n v="0"/>
    <n v="0"/>
    <n v="13"/>
    <n v="0"/>
  </r>
  <r>
    <x v="919"/>
    <s v="Haripur"/>
    <s v="vlc"/>
    <s v="Direct"/>
    <n v="298.10000000000008"/>
    <n v="12319.980000000001"/>
    <n v="253.79999999999993"/>
    <n v="12319.73"/>
    <n v="0"/>
    <n v="0"/>
    <n v="253.79999999999993"/>
    <n v="12319.73"/>
    <n v="12319.73"/>
    <n v="0"/>
    <n v="0"/>
    <n v="0"/>
    <n v="0"/>
    <n v="0"/>
    <n v="0"/>
    <n v="12319"/>
    <n v="0"/>
    <n v="0"/>
    <n v="1"/>
    <n v="0"/>
  </r>
  <r>
    <x v="920"/>
    <s v="Jakhar"/>
    <s v="vlc"/>
    <s v="Indirect"/>
    <n v="78.7"/>
    <n v="2617.56"/>
    <n v="0"/>
    <n v="0"/>
    <n v="0"/>
    <n v="0"/>
    <n v="0"/>
    <n v="0"/>
    <n v="2617.56"/>
    <n v="0"/>
    <n v="0"/>
    <n v="0"/>
    <n v="0"/>
    <n v="0"/>
    <n v="0"/>
    <n v="0"/>
    <n v="0"/>
    <n v="2617.56"/>
    <n v="0"/>
    <n v="0"/>
  </r>
  <r>
    <x v="923"/>
    <s v="Bhoraha"/>
    <s v="vlc"/>
    <s v="Indirect"/>
    <n v="135.1"/>
    <n v="5904.07"/>
    <n v="0"/>
    <n v="0"/>
    <n v="0"/>
    <n v="0"/>
    <n v="0"/>
    <n v="0"/>
    <n v="5904.07"/>
    <n v="0"/>
    <n v="0"/>
    <n v="0"/>
    <n v="0"/>
    <n v="0"/>
    <n v="0"/>
    <n v="0"/>
    <n v="0"/>
    <n v="5904.07"/>
    <n v="0"/>
    <n v="0"/>
  </r>
  <r>
    <x v="999"/>
    <s v="Dharha"/>
    <s v="vlc"/>
    <s v="Indirect"/>
    <n v="140.1"/>
    <n v="5177.9900000000007"/>
    <n v="0"/>
    <n v="0"/>
    <n v="0"/>
    <n v="0"/>
    <n v="0"/>
    <n v="0"/>
    <n v="5177.9900000000007"/>
    <n v="0"/>
    <n v="0"/>
    <n v="0"/>
    <n v="0"/>
    <n v="0"/>
    <n v="0"/>
    <n v="0"/>
    <n v="0"/>
    <n v="5177.9900000000007"/>
    <n v="0"/>
    <n v="0"/>
  </r>
  <r>
    <x v="926"/>
    <s v="Tolapur Erout"/>
    <s v="vlc"/>
    <s v="Indirect"/>
    <n v="242.3"/>
    <n v="8380.8599999999988"/>
    <n v="0"/>
    <n v="0"/>
    <n v="0"/>
    <n v="0"/>
    <n v="0"/>
    <n v="0"/>
    <n v="8380.8599999999988"/>
    <n v="0"/>
    <n v="0"/>
    <n v="0"/>
    <n v="0"/>
    <n v="0"/>
    <n v="0"/>
    <n v="0"/>
    <n v="0"/>
    <n v="8380.8599999999988"/>
    <n v="0"/>
    <n v="0"/>
  </r>
  <r>
    <x v="927"/>
    <s v="Sunil Erout"/>
    <s v="vlc"/>
    <s v="Indirect"/>
    <n v="15.1"/>
    <n v="440.77"/>
    <n v="0"/>
    <n v="0"/>
    <n v="0"/>
    <n v="0"/>
    <n v="0"/>
    <n v="0"/>
    <n v="440.77"/>
    <n v="0"/>
    <n v="0"/>
    <n v="0"/>
    <n v="0"/>
    <n v="0"/>
    <n v="0"/>
    <n v="0"/>
    <n v="0"/>
    <n v="440.77"/>
    <n v="0"/>
    <n v="0"/>
  </r>
  <r>
    <x v="1000"/>
    <s v="Fatepur 2"/>
    <s v="vlc"/>
    <s v="Indirect"/>
    <n v="456.4"/>
    <n v="15841.93"/>
    <n v="0"/>
    <n v="0"/>
    <n v="0"/>
    <n v="0"/>
    <n v="0"/>
    <n v="0"/>
    <n v="15841.93"/>
    <n v="0"/>
    <n v="0"/>
    <n v="0"/>
    <n v="0"/>
    <n v="0"/>
    <n v="0"/>
    <n v="0"/>
    <n v="0"/>
    <n v="15841.93"/>
    <n v="0"/>
    <n v="0"/>
  </r>
  <r>
    <x v="1001"/>
    <s v="Shivram"/>
    <s v="vlc"/>
    <s v="Indirect"/>
    <n v="674.00000000000011"/>
    <n v="23553.690000000002"/>
    <n v="0"/>
    <n v="0"/>
    <n v="0"/>
    <n v="0"/>
    <n v="0"/>
    <n v="0"/>
    <n v="23553.690000000002"/>
    <n v="0"/>
    <n v="0"/>
    <n v="0"/>
    <n v="0"/>
    <n v="0"/>
    <n v="0"/>
    <n v="0"/>
    <n v="0"/>
    <n v="23553.690000000002"/>
    <n v="0"/>
    <n v="0"/>
  </r>
  <r>
    <x v="1002"/>
    <s v="Sonupur"/>
    <s v="vlc"/>
    <s v="Indirect"/>
    <n v="214"/>
    <n v="6381.2100000000009"/>
    <n v="0"/>
    <n v="0"/>
    <n v="0"/>
    <n v="0"/>
    <n v="0"/>
    <n v="0"/>
    <n v="6381.2100000000009"/>
    <n v="0"/>
    <n v="0"/>
    <n v="0"/>
    <n v="0"/>
    <n v="0"/>
    <n v="0"/>
    <n v="0"/>
    <n v="0"/>
    <n v="6381.2100000000009"/>
    <n v="0"/>
    <n v="0"/>
  </r>
  <r>
    <x v="1004"/>
    <s v="Jahangirpur"/>
    <s v="vlc"/>
    <s v="Indirect"/>
    <n v="129.79999999999998"/>
    <n v="4081.8599999999997"/>
    <n v="0"/>
    <n v="0"/>
    <n v="0"/>
    <n v="0"/>
    <n v="0"/>
    <n v="0"/>
    <n v="4081.8599999999997"/>
    <n v="0"/>
    <n v="0"/>
    <n v="0"/>
    <n v="0"/>
    <n v="0"/>
    <n v="0"/>
    <n v="0"/>
    <n v="0"/>
    <n v="4081.8599999999997"/>
    <n v="0"/>
    <n v="0"/>
  </r>
  <r>
    <x v="1005"/>
    <s v="Tolapur Durgasthan"/>
    <s v="vlc"/>
    <s v="Indirect"/>
    <n v="36.4"/>
    <n v="1213.1199999999999"/>
    <n v="0"/>
    <n v="0"/>
    <n v="0"/>
    <n v="0"/>
    <n v="0"/>
    <n v="0"/>
    <n v="1213.1199999999999"/>
    <n v="0"/>
    <n v="0"/>
    <n v="0"/>
    <n v="0"/>
    <n v="0"/>
    <n v="0"/>
    <n v="0"/>
    <n v="0"/>
    <n v="1213.1199999999999"/>
    <n v="0"/>
    <n v="0"/>
  </r>
  <r>
    <x v="928"/>
    <s v="DUMRA "/>
    <s v="MPG"/>
    <s v="Direct"/>
    <n v="1218.9199999999998"/>
    <n v="48958.599999999991"/>
    <n v="1220"/>
    <n v="48623.489999999991"/>
    <n v="0"/>
    <n v="0"/>
    <n v="1220"/>
    <n v="48623.489999999991"/>
    <n v="48623.489999999991"/>
    <n v="0"/>
    <n v="0"/>
    <n v="0"/>
    <n v="0"/>
    <n v="0"/>
    <n v="0"/>
    <n v="48624"/>
    <n v="0"/>
    <n v="0"/>
    <n v="335"/>
    <n v="0"/>
  </r>
  <r>
    <x v="929"/>
    <s v="BALHA"/>
    <s v="MPG"/>
    <s v="Direct"/>
    <n v="2246"/>
    <n v="99780.36"/>
    <n v="2224.4000000000005"/>
    <n v="100318.24999999999"/>
    <n v="16.499999999999996"/>
    <n v="728.14999999999986"/>
    <n v="2240.9000000000005"/>
    <n v="101046.39999999998"/>
    <n v="99780.36"/>
    <n v="0"/>
    <n v="728.14999999999986"/>
    <n v="1266.039999999979"/>
    <n v="0"/>
    <n v="0"/>
    <n v="0"/>
    <n v="99052"/>
    <n v="0"/>
    <n v="0"/>
    <n v="0"/>
    <n v="0"/>
  </r>
  <r>
    <x v="930"/>
    <s v="BARA"/>
    <s v="MPG"/>
    <s v="Direct"/>
    <n v="247.39000000000001"/>
    <n v="9839.42"/>
    <n v="245.4"/>
    <n v="9761.1700000000019"/>
    <n v="1.4000000000000001"/>
    <n v="55.370000000000005"/>
    <n v="246.8"/>
    <n v="9816.5400000000027"/>
    <n v="9816.5400000000027"/>
    <n v="0"/>
    <n v="55.370000000000005"/>
    <n v="0"/>
    <n v="0"/>
    <n v="0"/>
    <n v="0"/>
    <n v="9761"/>
    <n v="0"/>
    <n v="0"/>
    <n v="23"/>
    <n v="0"/>
  </r>
  <r>
    <x v="931"/>
    <s v="KABILASHI"/>
    <s v="MPG"/>
    <s v="Direct"/>
    <n v="415.17000000000007"/>
    <n v="19625.959999999995"/>
    <n v="404.2"/>
    <n v="21196.969999999998"/>
    <n v="10.4"/>
    <n v="499.26000000000005"/>
    <n v="414.59999999999997"/>
    <n v="21696.229999999996"/>
    <n v="19625.959999999995"/>
    <n v="0"/>
    <n v="499.26000000000005"/>
    <n v="2070.2700000000004"/>
    <n v="0"/>
    <n v="0"/>
    <n v="0"/>
    <n v="19127"/>
    <n v="0"/>
    <n v="0"/>
    <n v="0"/>
    <n v="0"/>
  </r>
  <r>
    <x v="932"/>
    <s v="SULTANPUR"/>
    <s v="vlc"/>
    <s v="Indirect"/>
    <n v="89.53"/>
    <n v="3856.29"/>
    <n v="0"/>
    <n v="0"/>
    <n v="0"/>
    <n v="0"/>
    <n v="0"/>
    <n v="0"/>
    <n v="3856.29"/>
    <n v="0"/>
    <n v="0"/>
    <n v="0"/>
    <n v="0"/>
    <n v="0"/>
    <n v="0"/>
    <n v="0"/>
    <n v="0"/>
    <n v="3856.29"/>
    <n v="0"/>
    <n v="0"/>
  </r>
  <r>
    <x v="933"/>
    <s v="BHUSNA"/>
    <s v="vlc"/>
    <s v="Direct"/>
    <n v="215.64"/>
    <n v="9482.1200000000026"/>
    <n v="214.89999999999998"/>
    <n v="9449.36"/>
    <n v="0"/>
    <n v="0"/>
    <n v="214.89999999999998"/>
    <n v="9449.36"/>
    <n v="9449.36"/>
    <n v="0"/>
    <n v="0"/>
    <n v="0"/>
    <n v="0"/>
    <n v="0"/>
    <n v="0"/>
    <n v="9449"/>
    <n v="0"/>
    <n v="0"/>
    <n v="33"/>
    <n v="0"/>
  </r>
  <r>
    <x v="934"/>
    <s v="SUKUMARPUR"/>
    <s v="MPG"/>
    <s v="Direct"/>
    <n v="344.64000000000004"/>
    <n v="15416.99"/>
    <n v="373.40000000000003"/>
    <n v="16746.75"/>
    <n v="0"/>
    <n v="0"/>
    <n v="373.40000000000003"/>
    <n v="16746.75"/>
    <n v="15416.99"/>
    <n v="0"/>
    <n v="0"/>
    <n v="1329.7600000000002"/>
    <n v="0"/>
    <n v="0"/>
    <n v="0"/>
    <n v="15417"/>
    <n v="0"/>
    <n v="0"/>
    <n v="0"/>
    <n v="0"/>
  </r>
  <r>
    <x v="935"/>
    <s v="SISAUNA VLC"/>
    <s v="vlc"/>
    <s v="Indirect"/>
    <n v="219.77000000000004"/>
    <n v="7401.7799999999988"/>
    <n v="0"/>
    <n v="0"/>
    <n v="0"/>
    <n v="0"/>
    <n v="0"/>
    <n v="0"/>
    <n v="7401.7799999999988"/>
    <n v="0"/>
    <n v="0"/>
    <n v="0"/>
    <n v="0"/>
    <n v="0"/>
    <n v="0"/>
    <n v="0"/>
    <n v="0"/>
    <n v="7401.7799999999988"/>
    <n v="0"/>
    <n v="0"/>
  </r>
  <r>
    <x v="936"/>
    <s v="Aditya Bishwas "/>
    <s v="vlc"/>
    <s v="Indirect"/>
    <n v="184.54000000000002"/>
    <n v="8862.07"/>
    <n v="0"/>
    <n v="0"/>
    <n v="0"/>
    <n v="0"/>
    <n v="0"/>
    <n v="0"/>
    <n v="8862.07"/>
    <n v="0"/>
    <n v="0"/>
    <n v="0"/>
    <n v="0"/>
    <n v="0"/>
    <n v="0"/>
    <n v="0"/>
    <n v="0"/>
    <n v="8862.07"/>
    <n v="0"/>
    <n v="0"/>
  </r>
  <r>
    <x v="937"/>
    <s v="Gomukh Vijaiya"/>
    <s v="MPG"/>
    <s v="Direct"/>
    <n v="321.95"/>
    <n v="12636.59"/>
    <n v="329.1"/>
    <n v="13280.109999999999"/>
    <n v="0"/>
    <n v="0"/>
    <n v="329.1"/>
    <n v="13280.109999999999"/>
    <n v="12636.59"/>
    <n v="0"/>
    <n v="0"/>
    <n v="643.51999999999862"/>
    <n v="0"/>
    <n v="0"/>
    <n v="0"/>
    <n v="12637"/>
    <n v="0"/>
    <n v="0"/>
    <n v="0"/>
    <n v="0"/>
  </r>
  <r>
    <x v="938"/>
    <s v="Gomukh Gangauli"/>
    <s v="MPG"/>
    <s v="Direct"/>
    <n v="1238.5999999999999"/>
    <n v="52545.500000000007"/>
    <n v="1260.3999999999999"/>
    <n v="53229.329999999994"/>
    <n v="0"/>
    <n v="0"/>
    <n v="1260.3999999999999"/>
    <n v="53229.329999999994"/>
    <n v="52545.500000000007"/>
    <n v="0"/>
    <n v="0"/>
    <n v="683.82999999998719"/>
    <n v="0"/>
    <n v="0"/>
    <n v="0"/>
    <n v="52546"/>
    <n v="0"/>
    <n v="0"/>
    <n v="0"/>
    <n v="0"/>
  </r>
  <r>
    <x v="939"/>
    <s v="Gomukh KARRAKH"/>
    <s v="MPG"/>
    <s v="Direct"/>
    <n v="556.54999999999995"/>
    <n v="21767.03"/>
    <n v="327.20000000000005"/>
    <n v="13490.439999999997"/>
    <n v="233.89999999999998"/>
    <n v="9510.26"/>
    <n v="561.1"/>
    <n v="23000.699999999997"/>
    <n v="21767.03"/>
    <n v="0"/>
    <n v="0"/>
    <n v="1233.6699999999983"/>
    <n v="0"/>
    <n v="0"/>
    <n v="0"/>
    <n v="12257"/>
    <n v="9510"/>
    <n v="0"/>
    <n v="0"/>
    <n v="0"/>
  </r>
  <r>
    <x v="941"/>
    <s v="Gomukh Manda"/>
    <s v="MPG"/>
    <s v="Direct"/>
    <n v="601.5"/>
    <n v="23819.629999999997"/>
    <n v="602.59999999999991"/>
    <n v="24864.649999999994"/>
    <n v="0"/>
    <n v="0"/>
    <n v="602.59999999999991"/>
    <n v="24864.649999999994"/>
    <n v="23819.629999999997"/>
    <n v="0"/>
    <n v="0"/>
    <n v="1045.0199999999968"/>
    <n v="0"/>
    <n v="0"/>
    <n v="0"/>
    <n v="23820"/>
    <n v="0"/>
    <n v="0"/>
    <n v="0"/>
    <n v="0"/>
  </r>
  <r>
    <x v="942"/>
    <s v="Gomukh NAVTOL"/>
    <s v="MPG"/>
    <s v="Direct"/>
    <n v="295.84999999999997"/>
    <n v="11303.57"/>
    <n v="312.2"/>
    <n v="11291.05"/>
    <n v="0"/>
    <n v="0"/>
    <n v="312.2"/>
    <n v="11291.05"/>
    <n v="11291.05"/>
    <n v="0"/>
    <n v="0"/>
    <n v="0"/>
    <n v="0"/>
    <n v="0"/>
    <n v="0"/>
    <n v="11292"/>
    <n v="0"/>
    <n v="0"/>
    <n v="12"/>
    <n v="0"/>
  </r>
  <r>
    <x v="1006"/>
    <s v="Gomukh KAIDRABAD"/>
    <s v="MPG"/>
    <s v="Direct"/>
    <n v="709.44999999999993"/>
    <n v="27686.460000000003"/>
    <n v="701.9000000000002"/>
    <n v="29051.350000000002"/>
    <n v="0"/>
    <n v="0"/>
    <n v="701.9000000000002"/>
    <n v="29051.350000000002"/>
    <n v="27686.460000000003"/>
    <n v="0"/>
    <n v="0"/>
    <n v="1364.8899999999994"/>
    <n v="0"/>
    <n v="0"/>
    <n v="0"/>
    <n v="27686"/>
    <n v="0"/>
    <n v="0"/>
    <n v="0"/>
    <n v="0"/>
  </r>
  <r>
    <x v="944"/>
    <s v="Gomukh KASTOLI"/>
    <s v="MPG"/>
    <s v="Direct"/>
    <n v="385.6"/>
    <n v="13726.630000000001"/>
    <n v="266"/>
    <n v="9551.119999999999"/>
    <n v="126.30000000000001"/>
    <n v="4312.2299999999996"/>
    <n v="392.3"/>
    <n v="13863.349999999999"/>
    <n v="13726.630000000001"/>
    <n v="0"/>
    <n v="0"/>
    <n v="136.71999999999753"/>
    <n v="0"/>
    <n v="0"/>
    <n v="0"/>
    <n v="9414"/>
    <n v="4313"/>
    <n v="0"/>
    <n v="0"/>
    <n v="0"/>
  </r>
  <r>
    <x v="945"/>
    <s v="GANPATI DAIRY"/>
    <s v="vlc"/>
    <s v="Indirect"/>
    <n v="853.65000000000009"/>
    <n v="33987.449999999997"/>
    <n v="0"/>
    <n v="0"/>
    <n v="0"/>
    <n v="0"/>
    <n v="0"/>
    <n v="0"/>
    <n v="33987.449999999997"/>
    <n v="0"/>
    <n v="0"/>
    <n v="0"/>
    <n v="0"/>
    <n v="0"/>
    <n v="0"/>
    <n v="0"/>
    <n v="0"/>
    <n v="33987.449999999997"/>
    <n v="0"/>
    <n v="0"/>
  </r>
  <r>
    <x v="1052"/>
    <s v="Gomukh Sakh Mohan"/>
    <s v="MPG"/>
    <s v="Direct"/>
    <n v="27.65"/>
    <n v="1109.96"/>
    <n v="43.02"/>
    <n v="1706.8199999999997"/>
    <n v="0"/>
    <n v="0"/>
    <n v="43.02"/>
    <n v="1706.8199999999997"/>
    <n v="1109.96"/>
    <n v="0"/>
    <n v="0"/>
    <n v="596.85999999999967"/>
    <n v="0"/>
    <n v="0"/>
    <n v="0"/>
    <n v="1110"/>
    <n v="0"/>
    <n v="0"/>
    <n v="0"/>
    <n v="0"/>
  </r>
  <r>
    <x v="946"/>
    <s v="GOMUKH CHATAUNA W-2"/>
    <s v="MPG"/>
    <s v="Direct"/>
    <n v="1198.0999999999999"/>
    <n v="66461.149999999994"/>
    <n v="1183.2"/>
    <n v="66220.329999999987"/>
    <n v="5.4"/>
    <n v="265.93"/>
    <n v="1188.6000000000001"/>
    <n v="66486.25999999998"/>
    <n v="66461.149999999994"/>
    <n v="0"/>
    <n v="265.93"/>
    <n v="25.10999999998603"/>
    <n v="0"/>
    <n v="0"/>
    <n v="0"/>
    <n v="66195"/>
    <n v="0"/>
    <n v="0"/>
    <n v="0"/>
    <n v="0"/>
  </r>
  <r>
    <x v="947"/>
    <s v="GOMUKH TEERA JATMALPUR"/>
    <s v="MPG"/>
    <s v="Direct"/>
    <n v="663.9"/>
    <n v="30147.800000000007"/>
    <n v="645.70000000000005"/>
    <n v="29910.750000000004"/>
    <n v="6"/>
    <n v="270.97000000000003"/>
    <n v="651.70000000000005"/>
    <n v="30181.720000000005"/>
    <n v="30147.800000000007"/>
    <n v="0"/>
    <n v="270.97000000000003"/>
    <n v="33.919999999998254"/>
    <n v="0"/>
    <n v="0"/>
    <n v="0"/>
    <n v="29877"/>
    <n v="0"/>
    <n v="0"/>
    <n v="0"/>
    <n v="0"/>
  </r>
  <r>
    <x v="948"/>
    <s v="GOMUKH GOBARSITTHA"/>
    <s v="MPG"/>
    <s v="Direct"/>
    <n v="726.90000000000009"/>
    <n v="31451.85"/>
    <n v="704.8"/>
    <n v="31034.040000000005"/>
    <n v="16.2"/>
    <n v="717.13"/>
    <n v="721"/>
    <n v="31751.170000000006"/>
    <n v="31451.85"/>
    <n v="0"/>
    <n v="717.13"/>
    <n v="299.32000000000698"/>
    <n v="1901"/>
    <n v="0"/>
    <n v="0"/>
    <n v="28834"/>
    <n v="0"/>
    <n v="0"/>
    <n v="0"/>
    <n v="0"/>
  </r>
  <r>
    <x v="949"/>
    <s v="GOMUKH UGHRA"/>
    <s v="MPG"/>
    <s v="Direct"/>
    <n v="681.49999999999989"/>
    <n v="32141.689999999995"/>
    <n v="663.39999999999986"/>
    <n v="32163.57"/>
    <n v="0.5"/>
    <n v="32.409999999999997"/>
    <n v="663.89999999999986"/>
    <n v="32195.98"/>
    <n v="32141.689999999995"/>
    <n v="0"/>
    <n v="32.409999999999997"/>
    <n v="54.290000000004511"/>
    <n v="1550"/>
    <n v="0"/>
    <n v="0"/>
    <n v="30559"/>
    <n v="0"/>
    <n v="0"/>
    <n v="0"/>
    <n v="0"/>
  </r>
  <r>
    <x v="950"/>
    <s v="GOMUKH BALUAHA"/>
    <s v="MPG"/>
    <s v="Direct"/>
    <n v="449.6"/>
    <n v="19193.820000000003"/>
    <n v="443.3"/>
    <n v="19017.259999999998"/>
    <n v="4"/>
    <n v="177.75"/>
    <n v="447.3"/>
    <n v="19195.009999999998"/>
    <n v="19193.820000000003"/>
    <n v="0"/>
    <n v="177.75"/>
    <n v="1.1899999999950523"/>
    <n v="1550"/>
    <n v="0"/>
    <n v="0"/>
    <n v="17466"/>
    <n v="0"/>
    <n v="0"/>
    <n v="0"/>
    <n v="0"/>
  </r>
  <r>
    <x v="951"/>
    <s v="GOMUKH DHAB WEST"/>
    <s v="vlc"/>
    <s v="Indirect"/>
    <n v="211.89999999999998"/>
    <n v="8577.01"/>
    <n v="0"/>
    <n v="0"/>
    <n v="0"/>
    <n v="0"/>
    <n v="0"/>
    <n v="0"/>
    <n v="8577.01"/>
    <n v="0"/>
    <n v="0"/>
    <n v="0"/>
    <n v="0"/>
    <n v="0"/>
    <n v="0"/>
    <n v="0"/>
    <n v="0"/>
    <n v="8577.01"/>
    <n v="0"/>
    <n v="0"/>
  </r>
  <r>
    <x v="952"/>
    <s v="GOMUKH HAYAGHAT WEST"/>
    <s v="vlc"/>
    <s v="Indirect"/>
    <n v="2225.1000000000004"/>
    <n v="89921.58"/>
    <n v="0"/>
    <n v="0"/>
    <n v="0"/>
    <n v="0"/>
    <n v="0"/>
    <n v="0"/>
    <n v="89921.58"/>
    <n v="0"/>
    <n v="0"/>
    <n v="0"/>
    <n v="0"/>
    <n v="0"/>
    <n v="0"/>
    <n v="0"/>
    <n v="0"/>
    <n v="89921.58"/>
    <n v="0"/>
    <n v="0"/>
  </r>
  <r>
    <x v="953"/>
    <s v="GOMUKH GHOGHARAHA"/>
    <s v="vlc"/>
    <s v="Indirect"/>
    <n v="1246.5"/>
    <n v="51863.540000000008"/>
    <n v="0"/>
    <n v="0"/>
    <n v="0"/>
    <n v="0"/>
    <n v="0"/>
    <n v="0"/>
    <n v="51863.540000000008"/>
    <n v="0"/>
    <n v="0"/>
    <n v="0"/>
    <n v="0"/>
    <n v="0"/>
    <n v="0"/>
    <n v="0"/>
    <n v="0"/>
    <n v="51863.540000000008"/>
    <n v="0"/>
    <n v="0"/>
  </r>
  <r>
    <x v="954"/>
    <s v="Gomukh Jatmalpur Dhab"/>
    <s v="vlc"/>
    <s v="Indirect"/>
    <n v="182.5"/>
    <n v="8570.9499999999989"/>
    <n v="0"/>
    <n v="0"/>
    <n v="0"/>
    <n v="0"/>
    <n v="0"/>
    <n v="0"/>
    <n v="8570.9499999999989"/>
    <n v="0"/>
    <n v="0"/>
    <n v="0"/>
    <n v="0"/>
    <n v="0"/>
    <n v="0"/>
    <n v="0"/>
    <n v="0"/>
    <n v="8570.9499999999989"/>
    <n v="0"/>
    <n v="0"/>
  </r>
  <r>
    <x v="955"/>
    <s v="GOMUKH MORWARA"/>
    <s v="MPG"/>
    <s v="Direct"/>
    <n v="671.9"/>
    <n v="27430.5"/>
    <n v="690.8"/>
    <n v="27112.22"/>
    <n v="0"/>
    <n v="0"/>
    <n v="690.8"/>
    <n v="27112.22"/>
    <n v="27112.22"/>
    <n v="0"/>
    <n v="0"/>
    <n v="0"/>
    <n v="3100"/>
    <n v="0"/>
    <n v="0"/>
    <n v="24012"/>
    <n v="0"/>
    <n v="0"/>
    <n v="319"/>
    <n v="0"/>
  </r>
  <r>
    <x v="1024"/>
    <s v="GOMUKH SABAUL"/>
    <s v="vlc"/>
    <s v="Direct"/>
    <n v="47.800000000000004"/>
    <n v="2072.67"/>
    <n v="45.7"/>
    <n v="1982.6100000000001"/>
    <n v="0"/>
    <n v="0"/>
    <n v="45.7"/>
    <n v="1982.6100000000001"/>
    <n v="1982.6100000000001"/>
    <n v="0"/>
    <n v="0"/>
    <n v="0"/>
    <n v="0"/>
    <n v="0"/>
    <n v="0"/>
    <n v="1982"/>
    <n v="0"/>
    <n v="0"/>
    <n v="91"/>
    <n v="0"/>
  </r>
  <r>
    <x v="956"/>
    <s v="GOMUKH NIYAMCHAKHAIDAR"/>
    <s v="vlc"/>
    <s v="Indirect"/>
    <n v="1872.3000000000002"/>
    <n v="79802.03"/>
    <n v="0"/>
    <n v="0"/>
    <n v="0"/>
    <n v="0"/>
    <n v="0"/>
    <n v="0"/>
    <n v="79802.03"/>
    <n v="0"/>
    <n v="0"/>
    <n v="0"/>
    <n v="0"/>
    <n v="0"/>
    <n v="0"/>
    <n v="0"/>
    <n v="0"/>
    <n v="79802.03"/>
    <n v="0"/>
    <n v="0"/>
  </r>
  <r>
    <x v="957"/>
    <s v="GOMUKH JATMAPUR WARD 1"/>
    <s v="vlc"/>
    <s v="Indirect"/>
    <n v="685.40000000000009"/>
    <n v="27920.460000000003"/>
    <n v="0"/>
    <n v="0"/>
    <n v="0"/>
    <n v="0"/>
    <n v="0"/>
    <n v="0"/>
    <n v="27920.460000000003"/>
    <n v="0"/>
    <n v="0"/>
    <n v="0"/>
    <n v="0"/>
    <n v="0"/>
    <n v="0"/>
    <n v="0"/>
    <n v="0"/>
    <n v="27920.460000000003"/>
    <n v="0"/>
    <n v="0"/>
  </r>
  <r>
    <x v="958"/>
    <s v="GOMUKH JATMALPUR"/>
    <s v="MPG"/>
    <s v="Direct"/>
    <n v="293.7"/>
    <n v="12597.080000000002"/>
    <n v="272"/>
    <n v="12508.36"/>
    <n v="2.9"/>
    <n v="123.21"/>
    <n v="274.89999999999998"/>
    <n v="12631.57"/>
    <n v="12597.080000000002"/>
    <n v="0"/>
    <n v="123.21"/>
    <n v="34.489999999997963"/>
    <n v="3100"/>
    <n v="0"/>
    <n v="0"/>
    <n v="9374"/>
    <n v="0"/>
    <n v="0"/>
    <n v="0"/>
    <n v="0"/>
  </r>
  <r>
    <x v="961"/>
    <s v="GOMUKH BHADOGHAT"/>
    <s v="vlc"/>
    <s v="Indirect"/>
    <n v="8695.9000000000015"/>
    <n v="354613.97"/>
    <n v="0"/>
    <n v="0"/>
    <n v="0"/>
    <n v="0"/>
    <n v="0"/>
    <n v="0"/>
    <n v="354613.97"/>
    <n v="0"/>
    <n v="0"/>
    <n v="0"/>
    <n v="0"/>
    <n v="0"/>
    <n v="0"/>
    <n v="0"/>
    <n v="0"/>
    <n v="354613.97"/>
    <n v="0"/>
    <n v="0"/>
  </r>
  <r>
    <x v="1025"/>
    <s v="GOMUKH  JATMALPUR DHAB"/>
    <s v="vlc"/>
    <s v="Indirect"/>
    <n v="133.4"/>
    <n v="5699.36"/>
    <n v="0"/>
    <n v="0"/>
    <n v="0"/>
    <n v="0"/>
    <n v="0"/>
    <n v="0"/>
    <n v="5699.36"/>
    <n v="0"/>
    <n v="0"/>
    <n v="0"/>
    <n v="0"/>
    <n v="0"/>
    <n v="0"/>
    <n v="0"/>
    <n v="0"/>
    <n v="5699.36"/>
    <n v="0"/>
    <n v="0"/>
  </r>
  <r>
    <x v="1008"/>
    <s v="GOMUKH  DAGHRAUL"/>
    <s v="vlc"/>
    <s v="Direct"/>
    <n v="206.79999999999998"/>
    <n v="9380.09"/>
    <n v="200.3"/>
    <n v="9523.0499999999993"/>
    <n v="0"/>
    <n v="0"/>
    <n v="200.3"/>
    <n v="9523.0499999999993"/>
    <n v="9380.09"/>
    <n v="0"/>
    <n v="0"/>
    <n v="142.95999999999913"/>
    <n v="0"/>
    <n v="0"/>
    <n v="0"/>
    <n v="9380"/>
    <n v="0"/>
    <n v="0"/>
    <n v="0"/>
    <n v="0"/>
  </r>
  <r>
    <x v="1009"/>
    <s v="GOMUKH RUPAULI"/>
    <s v="vlc"/>
    <s v="Direct"/>
    <n v="666.2"/>
    <n v="26461.699999999997"/>
    <n v="664.9"/>
    <n v="26455.120000000003"/>
    <n v="0"/>
    <n v="0"/>
    <n v="664.9"/>
    <n v="26455.120000000003"/>
    <n v="26455.120000000003"/>
    <n v="0"/>
    <n v="0"/>
    <n v="0"/>
    <n v="0"/>
    <n v="0"/>
    <n v="0"/>
    <n v="26454"/>
    <n v="0"/>
    <n v="0"/>
    <n v="8"/>
    <n v="0"/>
  </r>
  <r>
    <x v="963"/>
    <s v="GOMUKH CHHATAUNA W-1"/>
    <s v="vlc"/>
    <s v="Direct"/>
    <n v="1350.8"/>
    <n v="68898.44"/>
    <n v="1337.2"/>
    <n v="69107.63"/>
    <n v="0"/>
    <n v="0"/>
    <n v="1337.2"/>
    <n v="69107.63"/>
    <n v="68898.44"/>
    <n v="0"/>
    <n v="0"/>
    <n v="209.19000000000233"/>
    <n v="0"/>
    <n v="0"/>
    <n v="0"/>
    <n v="68898"/>
    <n v="0"/>
    <n v="0"/>
    <n v="0"/>
    <n v="0"/>
  </r>
  <r>
    <x v="1010"/>
    <s v="GOMUKH VISHANPUR MORO"/>
    <s v="vlc"/>
    <s v="Direct"/>
    <n v="220.3"/>
    <n v="9605.14"/>
    <n v="220.49999999999997"/>
    <n v="9616.73"/>
    <n v="0"/>
    <n v="0"/>
    <n v="220.49999999999997"/>
    <n v="9616.73"/>
    <n v="9605.14"/>
    <n v="0"/>
    <n v="0"/>
    <n v="11.590000000000146"/>
    <n v="0"/>
    <n v="0"/>
    <n v="0"/>
    <n v="9605"/>
    <n v="0"/>
    <n v="0"/>
    <n v="0"/>
    <n v="0"/>
  </r>
  <r>
    <x v="1026"/>
    <s v="Gomukh Bhagwanpur"/>
    <s v="vlc"/>
    <s v="Indirect"/>
    <n v="27.5"/>
    <n v="1246.3"/>
    <n v="0"/>
    <n v="0"/>
    <n v="0"/>
    <n v="0"/>
    <n v="0"/>
    <n v="0"/>
    <n v="1246.3"/>
    <n v="0"/>
    <n v="0"/>
    <n v="0"/>
    <n v="0"/>
    <n v="0"/>
    <n v="0"/>
    <n v="0"/>
    <n v="0"/>
    <n v="1246.3"/>
    <n v="0"/>
    <n v="0"/>
  </r>
  <r>
    <x v="964"/>
    <s v="GOMUKH MORWARA"/>
    <s v="vlc"/>
    <s v="Indirect"/>
    <n v="81.5"/>
    <n v="3209.19"/>
    <n v="0"/>
    <n v="0"/>
    <n v="0"/>
    <n v="0"/>
    <n v="0"/>
    <n v="0"/>
    <n v="3209.19"/>
    <n v="0"/>
    <n v="0"/>
    <n v="0"/>
    <n v="0"/>
    <n v="0"/>
    <n v="0"/>
    <n v="0"/>
    <n v="0"/>
    <n v="3209.19"/>
    <n v="0"/>
    <n v="0"/>
  </r>
  <r>
    <x v="1027"/>
    <s v="GOMUKH  RUPAULI GHAT"/>
    <s v="vlc"/>
    <s v="Direct"/>
    <n v="145"/>
    <n v="8390.409999999998"/>
    <n v="142.6"/>
    <n v="8502.8600000000024"/>
    <n v="0"/>
    <n v="0"/>
    <n v="142.6"/>
    <n v="8502.8600000000024"/>
    <n v="8390.409999999998"/>
    <n v="0"/>
    <n v="0"/>
    <n v="112.45000000000437"/>
    <n v="0"/>
    <n v="0"/>
    <n v="0"/>
    <n v="8390"/>
    <n v="0"/>
    <n v="0"/>
    <n v="0"/>
    <n v="0"/>
  </r>
  <r>
    <x v="1053"/>
    <s v="GOMUKH  DIHLAHI 2"/>
    <s v="vlc"/>
    <s v="Indirect"/>
    <n v="22"/>
    <n v="889.9"/>
    <n v="0"/>
    <n v="0"/>
    <n v="0"/>
    <n v="0"/>
    <n v="0"/>
    <n v="0"/>
    <n v="889.9"/>
    <n v="0"/>
    <n v="0"/>
    <n v="0"/>
    <n v="0"/>
    <n v="0"/>
    <n v="0"/>
    <n v="0"/>
    <n v="0"/>
    <n v="889.9"/>
    <n v="0"/>
    <n v="0"/>
  </r>
  <r>
    <x v="1028"/>
    <s v="GOMUKH Dharampur"/>
    <s v="vlc"/>
    <s v="Indirect"/>
    <n v="3017.2"/>
    <n v="122325.69"/>
    <n v="0"/>
    <n v="0"/>
    <n v="0"/>
    <n v="0"/>
    <n v="0"/>
    <n v="0"/>
    <n v="122325.69"/>
    <n v="0"/>
    <n v="0"/>
    <n v="0"/>
    <n v="0"/>
    <n v="0"/>
    <n v="0"/>
    <n v="0"/>
    <n v="0"/>
    <n v="122325.69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D438E-017D-4B19-8D16-7E48160E8FBC}" name="PivotTable3" cacheId="2" applyNumberFormats="0" applyBorderFormats="0" applyFontFormats="0" applyPatternFormats="0" applyAlignmentFormats="0" applyWidthHeightFormats="1" dataCaption="Values" updatedVersion="8" itemPrintTitles="1" createdVersion="8" indent="0" compact="0" compactData="0" gridDropZones="1" multipleFieldFilters="0">
  <location ref="A3:R8" firstHeaderRow="1" firstDataRow="2" firstDataCol="2" rowPageCount="1" colPageCount="1"/>
  <pivotFields count="31">
    <pivotField compact="0" numFmtId="166" outline="0" showAll="0"/>
    <pivotField compact="0" numFmtId="166" outline="0" showAll="0"/>
    <pivotField compact="0" numFmtId="166" outline="0" showAll="0"/>
    <pivotField axis="axisRow" compact="0" outline="0" showAll="0" insertBlankRow="1" insertPageBreak="1">
      <items count="1165">
        <item h="1" x="0"/>
        <item h="1" x="1"/>
        <item h="1" m="1" x="1133"/>
        <item h="1" x="2"/>
        <item h="1" x="3"/>
        <item h="1" x="4"/>
        <item h="1" m="1" x="1005"/>
        <item h="1" m="1" x="1121"/>
        <item h="1" m="1" x="1039"/>
        <item h="1" m="1" x="938"/>
        <item h="1" x="5"/>
        <item h="1" m="1" x="1006"/>
        <item h="1" x="6"/>
        <item h="1" m="1" x="1120"/>
        <item h="1" x="7"/>
        <item h="1" x="8"/>
        <item h="1" x="9"/>
        <item h="1" x="10"/>
        <item h="1" x="11"/>
        <item h="1" x="12"/>
        <item h="1" m="1" x="1126"/>
        <item h="1" x="13"/>
        <item h="1" m="1" x="1040"/>
        <item h="1" x="14"/>
        <item h="1" m="1" x="1122"/>
        <item h="1" x="15"/>
        <item h="1" m="1" x="1136"/>
        <item h="1" m="1" x="826"/>
        <item h="1" m="1" x="1075"/>
        <item h="1" m="1" x="1007"/>
        <item h="1" x="16"/>
        <item h="1" m="1" x="1123"/>
        <item h="1" x="17"/>
        <item h="1" x="18"/>
        <item h="1" x="19"/>
        <item h="1" m="1" x="1008"/>
        <item h="1" x="20"/>
        <item h="1" m="1" x="903"/>
        <item h="1" m="1" x="1124"/>
        <item h="1" x="21"/>
        <item h="1" m="1" x="1041"/>
        <item h="1" x="22"/>
        <item h="1" x="23"/>
        <item h="1" m="1" x="974"/>
        <item h="1" x="24"/>
        <item h="1" x="25"/>
        <item h="1" x="26"/>
        <item h="1" m="1" x="975"/>
        <item h="1" x="823"/>
        <item h="1" x="27"/>
        <item h="1" x="28"/>
        <item h="1" m="1" x="1009"/>
        <item h="1" m="1" x="976"/>
        <item h="1" m="1" x="939"/>
        <item h="1" m="1" x="977"/>
        <item h="1" x="29"/>
        <item h="1" x="30"/>
        <item h="1" m="1" x="1010"/>
        <item h="1" m="1" x="904"/>
        <item h="1" x="31"/>
        <item h="1" x="32"/>
        <item h="1" x="33"/>
        <item h="1" x="34"/>
        <item h="1" m="1" x="1033"/>
        <item h="1" x="42"/>
        <item h="1" m="1" x="1110"/>
        <item h="1" x="43"/>
        <item h="1" x="44"/>
        <item h="1" x="45"/>
        <item h="1" x="46"/>
        <item h="1" m="1" x="1076"/>
        <item h="1" m="1" x="943"/>
        <item h="1" m="1" x="829"/>
        <item h="1" m="1" x="906"/>
        <item h="1" x="47"/>
        <item h="1" x="48"/>
        <item h="1" x="49"/>
        <item h="1" x="50"/>
        <item h="1" x="786"/>
        <item h="1" x="51"/>
        <item h="1" x="52"/>
        <item h="1" m="1" x="944"/>
        <item h="1" x="53"/>
        <item h="1" x="54"/>
        <item h="1" x="55"/>
        <item h="1" x="56"/>
        <item h="1" m="1" x="1111"/>
        <item h="1" x="57"/>
        <item h="1" x="58"/>
        <item h="1" x="59"/>
        <item h="1" x="60"/>
        <item h="1" x="61"/>
        <item h="1" x="62"/>
        <item h="1" x="63"/>
        <item h="1" m="1" x="907"/>
        <item h="1" x="64"/>
        <item h="1" x="65"/>
        <item h="1" x="66"/>
        <item h="1" x="67"/>
        <item h="1" x="68"/>
        <item h="1" x="69"/>
        <item h="1" x="70"/>
        <item h="1" m="1" x="830"/>
        <item h="1" x="71"/>
        <item h="1" m="1" x="831"/>
        <item h="1" x="72"/>
        <item h="1" x="73"/>
        <item h="1" x="74"/>
        <item h="1" m="1" x="1042"/>
        <item h="1" x="75"/>
        <item h="1" x="76"/>
        <item h="1" x="77"/>
        <item h="1" x="78"/>
        <item h="1" x="79"/>
        <item h="1" x="80"/>
        <item h="1" x="81"/>
        <item h="1" x="82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m="1" x="1155"/>
        <item h="1" x="98"/>
        <item h="1" x="99"/>
        <item h="1" x="100"/>
        <item h="1" x="101"/>
        <item h="1" x="102"/>
        <item h="1" x="103"/>
        <item h="1" x="104"/>
        <item h="1" x="105"/>
        <item h="1" m="1" x="1154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m="1" x="1152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m="1" x="908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m="1" x="832"/>
        <item h="1" x="141"/>
        <item h="1" x="142"/>
        <item h="1" x="143"/>
        <item h="1" m="1" x="833"/>
        <item h="1" m="1" x="978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787"/>
        <item h="1" x="156"/>
        <item h="1" x="157"/>
        <item h="1" x="158"/>
        <item h="1" x="159"/>
        <item h="1" x="160"/>
        <item h="1" x="161"/>
        <item h="1" m="1" x="1077"/>
        <item h="1" x="162"/>
        <item h="1" x="163"/>
        <item h="1" x="164"/>
        <item h="1" x="165"/>
        <item h="1" x="166"/>
        <item h="1" m="1" x="945"/>
        <item h="1" x="167"/>
        <item h="1" x="168"/>
        <item h="1" x="169"/>
        <item h="1" m="1" x="909"/>
        <item h="1" m="1" x="1138"/>
        <item h="1" x="170"/>
        <item h="1" x="171"/>
        <item h="1" m="1" x="1148"/>
        <item h="1" m="1" x="979"/>
        <item h="1" m="1" x="946"/>
        <item h="1" x="172"/>
        <item h="1" m="1" x="834"/>
        <item h="1" x="173"/>
        <item h="1" x="174"/>
        <item h="1" x="175"/>
        <item h="1" x="176"/>
        <item h="1" x="177"/>
        <item h="1" x="178"/>
        <item h="1" x="179"/>
        <item h="1" m="1" x="1011"/>
        <item h="1" m="1" x="980"/>
        <item h="1" x="180"/>
        <item h="1" x="181"/>
        <item h="1" m="1" x="835"/>
        <item h="1" x="182"/>
        <item h="1" x="183"/>
        <item h="1" m="1" x="1043"/>
        <item h="1" x="184"/>
        <item h="1" m="1" x="947"/>
        <item h="1" x="185"/>
        <item h="1" x="186"/>
        <item h="1" x="187"/>
        <item h="1" x="188"/>
        <item h="1" x="189"/>
        <item h="1" m="1" x="1149"/>
        <item h="1" m="1" x="836"/>
        <item h="1" m="1" x="837"/>
        <item h="1" x="190"/>
        <item h="1" x="191"/>
        <item h="1" x="192"/>
        <item h="1" x="193"/>
        <item h="1" x="194"/>
        <item h="1" m="1" x="981"/>
        <item h="1" m="1" x="910"/>
        <item h="1" x="195"/>
        <item h="1" m="1" x="838"/>
        <item h="1" m="1" x="1012"/>
        <item h="1" m="1" x="982"/>
        <item h="1" x="196"/>
        <item h="1" x="197"/>
        <item h="1" x="198"/>
        <item h="1" x="199"/>
        <item h="1" m="1" x="839"/>
        <item h="1" x="200"/>
        <item h="1" m="1" x="840"/>
        <item h="1" m="1" x="911"/>
        <item h="1" x="201"/>
        <item h="1" m="1" x="841"/>
        <item h="1" x="202"/>
        <item h="1" m="1" x="912"/>
        <item h="1" x="204"/>
        <item h="1" x="205"/>
        <item h="1" x="206"/>
        <item h="1" m="1" x="948"/>
        <item h="1" x="209"/>
        <item h="1" x="210"/>
        <item h="1" x="211"/>
        <item h="1" x="212"/>
        <item h="1" m="1" x="1044"/>
        <item h="1" m="1" x="983"/>
        <item h="1" x="213"/>
        <item h="1" m="1" x="1115"/>
        <item h="1" x="790"/>
        <item h="1" x="214"/>
        <item h="1" m="1" x="1045"/>
        <item h="1" x="215"/>
        <item h="1" x="216"/>
        <item h="1" x="217"/>
        <item h="1" x="218"/>
        <item h="1" x="219"/>
        <item h="1" m="1" x="1113"/>
        <item h="1" x="220"/>
        <item h="1" x="221"/>
        <item h="1" m="1" x="1046"/>
        <item h="1" x="222"/>
        <item h="1" x="223"/>
        <item h="1" m="1" x="842"/>
        <item h="1" x="224"/>
        <item h="1" x="225"/>
        <item h="1" x="226"/>
        <item h="1" x="227"/>
        <item h="1" x="228"/>
        <item h="1" m="1" x="1078"/>
        <item h="1" x="229"/>
        <item h="1" x="230"/>
        <item h="1" m="1" x="1079"/>
        <item h="1" m="1" x="1112"/>
        <item h="1" m="1" x="949"/>
        <item h="1" m="1" x="1047"/>
        <item h="1" m="1" x="1048"/>
        <item h="1" m="1" x="1080"/>
        <item h="1" x="231"/>
        <item h="1" x="232"/>
        <item h="1" x="233"/>
        <item h="1" x="234"/>
        <item h="1" x="235"/>
        <item h="1" m="1" x="984"/>
        <item h="1" x="236"/>
        <item h="1" x="237"/>
        <item h="1" x="238"/>
        <item h="1" m="1" x="843"/>
        <item h="1" m="1" x="844"/>
        <item h="1" m="1" x="913"/>
        <item h="1" x="241"/>
        <item h="1" x="242"/>
        <item h="1" x="243"/>
        <item h="1" x="244"/>
        <item h="1" x="818"/>
        <item h="1" x="245"/>
        <item h="1" x="246"/>
        <item h="1" m="1" x="950"/>
        <item h="1" m="1" x="1049"/>
        <item h="1" x="824"/>
        <item h="1" x="247"/>
        <item h="1" x="248"/>
        <item h="1" x="249"/>
        <item h="1" x="250"/>
        <item h="1" m="1" x="1034"/>
        <item h="1" m="1" x="1013"/>
        <item h="1" x="251"/>
        <item h="1" x="252"/>
        <item h="1" m="1" x="1014"/>
        <item h="1" x="253"/>
        <item h="1" x="254"/>
        <item h="1" m="1" x="846"/>
        <item h="1" m="1" x="985"/>
        <item h="1" x="255"/>
        <item h="1" m="1" x="986"/>
        <item h="1" m="1" x="987"/>
        <item h="1" x="256"/>
        <item h="1" x="257"/>
        <item h="1" x="258"/>
        <item h="1" x="259"/>
        <item h="1" x="260"/>
        <item h="1" m="1" x="1159"/>
        <item h="1" x="261"/>
        <item h="1" x="262"/>
        <item h="1" x="263"/>
        <item h="1" x="264"/>
        <item h="1" x="265"/>
        <item h="1" x="266"/>
        <item h="1" m="1" x="1158"/>
        <item h="1" m="1" x="847"/>
        <item h="1" m="1" x="1156"/>
        <item h="1" m="1" x="1081"/>
        <item h="1" m="1" x="848"/>
        <item h="1" x="267"/>
        <item h="1" m="1" x="1160"/>
        <item h="1" m="1" x="1050"/>
        <item h="1" x="268"/>
        <item h="1" m="1" x="988"/>
        <item h="1" x="269"/>
        <item h="1" x="270"/>
        <item h="1" m="1" x="1161"/>
        <item h="1" x="271"/>
        <item h="1" x="272"/>
        <item h="1" m="1" x="1157"/>
        <item h="1" m="1" x="849"/>
        <item h="1" x="273"/>
        <item h="1" x="274"/>
        <item h="1" x="275"/>
        <item h="1" x="276"/>
        <item h="1" x="277"/>
        <item h="1" m="1" x="1015"/>
        <item h="1" x="278"/>
        <item h="1" x="279"/>
        <item h="1" m="1" x="989"/>
        <item h="1" m="1" x="1016"/>
        <item h="1" x="280"/>
        <item h="1" x="281"/>
        <item h="1" x="282"/>
        <item h="1" m="1" x="850"/>
        <item h="1" x="283"/>
        <item h="1" m="1" x="1051"/>
        <item h="1" x="284"/>
        <item h="1" m="1" x="990"/>
        <item h="1" x="285"/>
        <item h="1" x="286"/>
        <item h="1" x="287"/>
        <item h="1" x="288"/>
        <item h="1" x="289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m="1" x="1082"/>
        <item h="1" x="305"/>
        <item h="1" x="306"/>
        <item h="1" x="307"/>
        <item h="1" x="764"/>
        <item h="1" x="308"/>
        <item h="1" x="309"/>
        <item h="1" m="1" x="1052"/>
        <item h="1" x="310"/>
        <item h="1" x="311"/>
        <item h="1" x="312"/>
        <item h="1" x="313"/>
        <item h="1" x="314"/>
        <item h="1" x="315"/>
        <item h="1" x="316"/>
        <item h="1" m="1" x="1125"/>
        <item h="1" m="1" x="953"/>
        <item h="1" x="317"/>
        <item h="1" x="318"/>
        <item h="1" m="1" x="1118"/>
        <item h="1" x="319"/>
        <item h="1" x="320"/>
        <item h="1" x="804"/>
        <item h="1" x="321"/>
        <item h="1" x="322"/>
        <item h="1" x="323"/>
        <item h="1" x="324"/>
        <item h="1" m="1" x="1053"/>
        <item h="1" x="325"/>
        <item h="1" x="326"/>
        <item h="1" x="327"/>
        <item h="1" m="1" x="1083"/>
        <item h="1" x="328"/>
        <item h="1" m="1" x="1119"/>
        <item h="1" x="329"/>
        <item h="1" x="330"/>
        <item h="1" x="331"/>
        <item h="1" x="332"/>
        <item h="1" x="333"/>
        <item h="1" x="334"/>
        <item h="1" x="819"/>
        <item h="1" x="335"/>
        <item h="1" x="336"/>
        <item h="1" m="1" x="954"/>
        <item h="1" x="337"/>
        <item h="1" x="338"/>
        <item h="1" x="339"/>
        <item h="1" x="342"/>
        <item h="1" x="343"/>
        <item h="1" m="1" x="853"/>
        <item h="1" m="1" x="854"/>
        <item h="1" m="1" x="901"/>
        <item h="1" x="344"/>
        <item h="1" m="1" x="855"/>
        <item h="1" m="1" x="856"/>
        <item h="1" m="1" x="857"/>
        <item h="1" x="345"/>
        <item h="1" x="346"/>
        <item h="1" x="347"/>
        <item h="1" m="1" x="1054"/>
        <item h="1" m="1" x="955"/>
        <item h="1" x="348"/>
        <item h="1" x="349"/>
        <item h="1" m="1" x="1108"/>
        <item h="1" x="350"/>
        <item h="1" x="820"/>
        <item h="1" x="351"/>
        <item h="1" x="352"/>
        <item h="1" x="353"/>
        <item h="1" m="1" x="1109"/>
        <item h="1" x="354"/>
        <item h="1" m="1" x="1017"/>
        <item h="1" m="1" x="1107"/>
        <item h="1" x="355"/>
        <item h="1" m="1" x="858"/>
        <item h="1" x="778"/>
        <item h="1" x="356"/>
        <item h="1" x="357"/>
        <item h="1" x="358"/>
        <item h="1" x="359"/>
        <item h="1" m="1" x="915"/>
        <item h="1" x="360"/>
        <item h="1" x="361"/>
        <item h="1" m="1" x="1055"/>
        <item h="1" x="362"/>
        <item h="1" x="363"/>
        <item h="1" m="1" x="1038"/>
        <item h="1" x="364"/>
        <item h="1" x="365"/>
        <item h="1" x="366"/>
        <item h="1" x="367"/>
        <item h="1" x="368"/>
        <item h="1" m="1" x="1084"/>
        <item h="1" x="369"/>
        <item h="1" m="1" x="956"/>
        <item h="1" m="1" x="991"/>
        <item h="1" x="791"/>
        <item h="1" x="370"/>
        <item h="1" m="1" x="1150"/>
        <item h="1" m="1" x="1085"/>
        <item h="1" m="1" x="992"/>
        <item h="1" m="1" x="1056"/>
        <item h="1" x="371"/>
        <item h="1" x="372"/>
        <item h="1" m="1" x="916"/>
        <item h="1" m="1" x="957"/>
        <item h="1" x="792"/>
        <item h="1" m="1" x="859"/>
        <item h="1" x="373"/>
        <item h="1" m="1" x="1057"/>
        <item h="1" x="374"/>
        <item h="1" x="375"/>
        <item h="1" m="1" x="860"/>
        <item h="1" x="376"/>
        <item h="1" x="377"/>
        <item h="1" m="1" x="959"/>
        <item h="1" x="378"/>
        <item h="1" x="379"/>
        <item h="1" x="380"/>
        <item h="1" x="381"/>
        <item h="1" m="1" x="993"/>
        <item h="1" x="382"/>
        <item h="1" x="383"/>
        <item h="1" m="1" x="960"/>
        <item h="1" m="1" x="861"/>
        <item h="1" m="1" x="1058"/>
        <item h="1" x="384"/>
        <item h="1" m="1" x="1059"/>
        <item h="1" m="1" x="1153"/>
        <item h="1" m="1" x="994"/>
        <item h="1" m="1" x="1151"/>
        <item h="1" x="385"/>
        <item h="1" x="386"/>
        <item h="1" x="387"/>
        <item h="1" x="388"/>
        <item h="1" x="389"/>
        <item h="1" x="390"/>
        <item h="1" m="1" x="1086"/>
        <item h="1" x="391"/>
        <item h="1" x="392"/>
        <item h="1" m="1" x="961"/>
        <item h="1" m="1" x="917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m="1" x="995"/>
        <item h="1" x="403"/>
        <item h="1" x="404"/>
        <item h="1" x="405"/>
        <item h="1" x="406"/>
        <item h="1" m="1" x="1018"/>
        <item h="1" x="407"/>
        <item h="1" x="408"/>
        <item h="1" m="1" x="1019"/>
        <item h="1" m="1" x="1020"/>
        <item h="1" x="409"/>
        <item h="1" x="410"/>
        <item h="1" x="411"/>
        <item h="1" x="412"/>
        <item h="1" x="413"/>
        <item h="1" x="414"/>
        <item h="1" x="415"/>
        <item h="1" x="416"/>
        <item h="1" m="1" x="963"/>
        <item h="1" m="1" x="1060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m="1" x="964"/>
        <item h="1" m="1" x="862"/>
        <item h="1" x="429"/>
        <item h="1" x="434"/>
        <item h="1" x="435"/>
        <item h="1" m="1" x="1116"/>
        <item h="1" x="436"/>
        <item h="1" x="437"/>
        <item h="1" x="438"/>
        <item h="1" x="439"/>
        <item h="1" x="440"/>
        <item h="1" m="1" x="1061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m="1" x="1021"/>
        <item h="1" x="460"/>
        <item h="1" x="461"/>
        <item h="1" m="1" x="1114"/>
        <item h="1" x="825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m="1" x="1062"/>
        <item h="1" x="471"/>
        <item h="1" m="1" x="919"/>
        <item h="1" x="472"/>
        <item h="1" x="473"/>
        <item h="1" m="1" x="863"/>
        <item h="1" m="1" x="1087"/>
        <item h="1" m="1" x="864"/>
        <item h="1" x="474"/>
        <item h="1" m="1" x="865"/>
        <item h="1" m="1" x="920"/>
        <item h="1" m="1" x="1117"/>
        <item h="1" x="475"/>
        <item h="1" x="476"/>
        <item h="1" m="1" x="866"/>
        <item h="1" x="477"/>
        <item h="1" x="478"/>
        <item h="1" x="793"/>
        <item h="1" x="479"/>
        <item h="1" m="1" x="921"/>
        <item h="1" m="1" x="887"/>
        <item h="1" x="480"/>
        <item h="1" x="481"/>
        <item h="1" x="482"/>
        <item h="1" m="1" x="1088"/>
        <item h="1" x="483"/>
        <item h="1" x="484"/>
        <item h="1" x="485"/>
        <item h="1" x="805"/>
        <item h="1" m="1" x="922"/>
        <item x="486"/>
        <item h="1" m="1" x="1089"/>
        <item h="1" m="1" x="996"/>
        <item h="1" m="1" x="1090"/>
        <item h="1" x="487"/>
        <item h="1" x="488"/>
        <item h="1" x="489"/>
        <item h="1" x="490"/>
        <item h="1" x="491"/>
        <item h="1" x="493"/>
        <item h="1" x="496"/>
        <item h="1" x="497"/>
        <item h="1" x="498"/>
        <item h="1" m="1" x="867"/>
        <item h="1" x="499"/>
        <item h="1" x="500"/>
        <item h="1" m="1" x="868"/>
        <item h="1" x="501"/>
        <item h="1" m="1" x="869"/>
        <item h="1" x="502"/>
        <item h="1" x="503"/>
        <item h="1" x="504"/>
        <item h="1" x="505"/>
        <item h="1" x="506"/>
        <item h="1" x="507"/>
        <item h="1" x="508"/>
        <item h="1" m="1" x="997"/>
        <item h="1" m="1" x="870"/>
        <item h="1" x="509"/>
        <item h="1" x="510"/>
        <item h="1" x="511"/>
        <item h="1" m="1" x="1022"/>
        <item h="1" x="512"/>
        <item h="1" x="513"/>
        <item h="1" x="514"/>
        <item h="1" m="1" x="1163"/>
        <item h="1" m="1" x="998"/>
        <item h="1" x="515"/>
        <item h="1" x="516"/>
        <item h="1" x="517"/>
        <item h="1" x="518"/>
        <item h="1" x="519"/>
        <item h="1" x="520"/>
        <item h="1" m="1" x="1103"/>
        <item h="1" m="1" x="1023"/>
        <item h="1" x="521"/>
        <item h="1" m="1" x="1063"/>
        <item h="1" x="522"/>
        <item h="1" m="1" x="1105"/>
        <item h="1" x="523"/>
        <item h="1" m="1" x="1162"/>
        <item h="1" x="524"/>
        <item h="1" x="525"/>
        <item h="1" m="1" x="1064"/>
        <item h="1" m="1" x="1065"/>
        <item h="1" x="526"/>
        <item h="1" m="1" x="1104"/>
        <item h="1" x="527"/>
        <item h="1" x="528"/>
        <item h="1" m="1" x="1091"/>
        <item h="1" m="1" x="924"/>
        <item h="1" x="529"/>
        <item h="1" m="1" x="1066"/>
        <item h="1" m="1" x="871"/>
        <item h="1" x="530"/>
        <item h="1" m="1" x="1024"/>
        <item h="1" m="1" x="902"/>
        <item h="1" x="531"/>
        <item h="1" m="1" x="999"/>
        <item h="1" x="532"/>
        <item h="1" m="1" x="1106"/>
        <item h="1" m="1" x="925"/>
        <item h="1" x="747"/>
        <item h="1" m="1" x="926"/>
        <item h="1" x="533"/>
        <item h="1" m="1" x="1067"/>
        <item h="1" x="534"/>
        <item h="1" x="535"/>
        <item h="1" m="1" x="872"/>
        <item h="1" m="1" x="967"/>
        <item h="1" x="536"/>
        <item h="1" x="537"/>
        <item h="1" x="538"/>
        <item h="1" x="539"/>
        <item h="1" x="541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748"/>
        <item h="1" x="553"/>
        <item h="1" x="554"/>
        <item h="1" x="555"/>
        <item h="1" m="1" x="928"/>
        <item h="1" x="556"/>
        <item h="1" m="1" x="1025"/>
        <item h="1" x="557"/>
        <item h="1" m="1" x="1068"/>
        <item h="1" m="1" x="1134"/>
        <item h="1" m="1" x="874"/>
        <item h="1" m="1" x="1092"/>
        <item h="1" m="1" x="875"/>
        <item h="1" x="558"/>
        <item h="1" x="559"/>
        <item h="1" x="560"/>
        <item h="1" m="1" x="1000"/>
        <item h="1" m="1" x="1127"/>
        <item h="1" x="561"/>
        <item h="1" x="562"/>
        <item h="1" x="563"/>
        <item h="1" x="564"/>
        <item h="1" x="565"/>
        <item h="1" x="566"/>
        <item h="1" x="567"/>
        <item h="1" m="1" x="1135"/>
        <item h="1" m="1" x="968"/>
        <item h="1" m="1" x="876"/>
        <item h="1" x="568"/>
        <item h="1" x="569"/>
        <item h="1" x="570"/>
        <item h="1" m="1" x="1132"/>
        <item h="1" m="1" x="1128"/>
        <item h="1" x="571"/>
        <item h="1" m="1" x="877"/>
        <item h="1" x="572"/>
        <item h="1" x="573"/>
        <item h="1" m="1" x="1143"/>
        <item h="1" x="574"/>
        <item h="1" m="1" x="1144"/>
        <item h="1" x="575"/>
        <item h="1" m="1" x="1145"/>
        <item h="1" x="576"/>
        <item h="1" x="577"/>
        <item h="1" x="578"/>
        <item h="1" x="579"/>
        <item h="1" m="1" x="969"/>
        <item h="1" m="1" x="1139"/>
        <item h="1" m="1" x="1093"/>
        <item h="1" x="580"/>
        <item h="1" x="581"/>
        <item h="1" m="1" x="1094"/>
        <item h="1" m="1" x="1140"/>
        <item h="1" m="1" x="1095"/>
        <item h="1" x="582"/>
        <item h="1" m="1" x="1001"/>
        <item h="1" x="583"/>
        <item h="1" x="584"/>
        <item h="1" x="585"/>
        <item h="1" m="1" x="1130"/>
        <item h="1" x="586"/>
        <item h="1" m="1" x="1141"/>
        <item h="1" x="587"/>
        <item h="1" x="588"/>
        <item h="1" x="589"/>
        <item h="1" x="590"/>
        <item h="1" m="1" x="1146"/>
        <item h="1" x="591"/>
        <item h="1" m="1" x="1026"/>
        <item h="1" x="592"/>
        <item h="1" x="593"/>
        <item h="1" x="594"/>
        <item h="1" m="1" x="1131"/>
        <item h="1" x="595"/>
        <item h="1" m="1" x="1147"/>
        <item h="1" m="1" x="1069"/>
        <item h="1" x="596"/>
        <item h="1" m="1" x="1096"/>
        <item h="1" x="597"/>
        <item h="1" m="1" x="1097"/>
        <item h="1" m="1" x="1027"/>
        <item h="1" m="1" x="1028"/>
        <item h="1" x="598"/>
        <item h="1" x="599"/>
        <item h="1" m="1" x="1029"/>
        <item h="1" x="600"/>
        <item h="1" x="601"/>
        <item h="1" m="1" x="1129"/>
        <item h="1" x="602"/>
        <item h="1" m="1" x="929"/>
        <item h="1" m="1" x="1098"/>
        <item h="1" m="1" x="1070"/>
        <item h="1" m="1" x="1030"/>
        <item h="1" m="1" x="1031"/>
        <item h="1" x="603"/>
        <item h="1" x="604"/>
        <item h="1" m="1" x="930"/>
        <item h="1" m="1" x="878"/>
        <item h="1" x="605"/>
        <item h="1" x="821"/>
        <item h="1" x="606"/>
        <item h="1" x="607"/>
        <item h="1" x="608"/>
        <item h="1" x="609"/>
        <item h="1" x="610"/>
        <item h="1" m="1" x="1002"/>
        <item h="1" x="611"/>
        <item h="1" x="612"/>
        <item h="1" x="613"/>
        <item h="1" x="614"/>
        <item h="1" m="1" x="931"/>
        <item h="1" x="615"/>
        <item h="1" m="1" x="879"/>
        <item h="1" x="617"/>
        <item h="1" m="1" x="880"/>
        <item h="1" x="618"/>
        <item h="1" x="619"/>
        <item h="1" x="620"/>
        <item h="1" x="621"/>
        <item h="1" x="622"/>
        <item h="1" x="623"/>
        <item h="1" m="1" x="1099"/>
        <item h="1" x="624"/>
        <item h="1" x="625"/>
        <item h="1" x="626"/>
        <item h="1" x="627"/>
        <item h="1" x="780"/>
        <item h="1" x="628"/>
        <item h="1" x="629"/>
        <item h="1" x="630"/>
        <item h="1" x="631"/>
        <item h="1" x="632"/>
        <item h="1" x="633"/>
        <item h="1" x="634"/>
        <item h="1" x="635"/>
        <item h="1" m="1" x="932"/>
        <item h="1" x="636"/>
        <item h="1" x="637"/>
        <item h="1" x="638"/>
        <item h="1" m="1" x="1100"/>
        <item h="1" x="639"/>
        <item h="1" x="640"/>
        <item h="1" x="641"/>
        <item h="1" m="1" x="1101"/>
        <item h="1" x="642"/>
        <item h="1" m="1" x="890"/>
        <item h="1" x="643"/>
        <item h="1" x="644"/>
        <item h="1" x="645"/>
        <item h="1" x="646"/>
        <item h="1" m="1" x="1142"/>
        <item h="1" m="1" x="1137"/>
        <item h="1" x="647"/>
        <item h="1" x="648"/>
        <item h="1" m="1" x="1071"/>
        <item h="1" m="1" x="971"/>
        <item h="1" x="649"/>
        <item h="1" x="750"/>
        <item h="1" m="1" x="1072"/>
        <item h="1" m="1" x="1032"/>
        <item h="1" x="652"/>
        <item h="1" x="653"/>
        <item h="1" x="654"/>
        <item h="1" m="1" x="933"/>
        <item h="1" x="655"/>
        <item h="1" x="656"/>
        <item h="1" x="657"/>
        <item h="1" m="1" x="1003"/>
        <item h="1" m="1" x="972"/>
        <item h="1" x="658"/>
        <item h="1" x="659"/>
        <item h="1" x="660"/>
        <item h="1" m="1" x="881"/>
        <item h="1" x="661"/>
        <item h="1" x="662"/>
        <item h="1" x="663"/>
        <item h="1" x="664"/>
        <item h="1" x="665"/>
        <item h="1" x="666"/>
        <item h="1" m="1" x="891"/>
        <item h="1" m="1" x="882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m="1" x="1102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m="1" x="973"/>
        <item h="1" x="687"/>
        <item h="1" x="688"/>
        <item h="1" m="1" x="898"/>
        <item h="1" x="689"/>
        <item h="1" x="690"/>
        <item h="1" m="1" x="883"/>
        <item h="1" m="1" x="1073"/>
        <item h="1" x="691"/>
        <item h="1" m="1" x="934"/>
        <item h="1" x="692"/>
        <item h="1" x="693"/>
        <item h="1" x="694"/>
        <item h="1" x="695"/>
        <item h="1" x="696"/>
        <item h="1" m="1" x="1074"/>
        <item h="1" m="1" x="1004"/>
        <item h="1" x="697"/>
        <item h="1" x="698"/>
        <item h="1" x="699"/>
        <item h="1" m="1" x="935"/>
        <item h="1" x="700"/>
        <item h="1" x="701"/>
        <item h="1" x="702"/>
        <item h="1" x="703"/>
        <item h="1" m="1" x="1035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5"/>
        <item h="1" m="1" x="1036"/>
        <item h="1" m="1" x="1037"/>
        <item h="1" x="720"/>
        <item h="1" x="721"/>
        <item h="1" x="722"/>
        <item h="1" x="724"/>
        <item h="1" x="725"/>
        <item h="1" x="726"/>
        <item h="1" m="1" x="884"/>
        <item h="1" x="735"/>
        <item h="1" m="1" x="937"/>
        <item h="1" m="1" x="940"/>
        <item h="1" m="1" x="941"/>
        <item h="1" x="35"/>
        <item h="1" m="1" x="905"/>
        <item h="1" m="1" x="827"/>
        <item h="1" x="36"/>
        <item h="1" x="37"/>
        <item h="1" m="1" x="894"/>
        <item h="1" m="1" x="942"/>
        <item h="1" x="38"/>
        <item h="1" x="39"/>
        <item h="1" x="83"/>
        <item h="1" x="84"/>
        <item h="1" x="85"/>
        <item h="1" x="86"/>
        <item h="1" x="87"/>
        <item h="1" x="144"/>
        <item h="1" x="145"/>
        <item h="1" x="742"/>
        <item h="1" x="146"/>
        <item h="1" x="203"/>
        <item h="1" x="207"/>
        <item h="1" x="208"/>
        <item h="1" m="1" x="845"/>
        <item h="1" x="239"/>
        <item h="1" x="290"/>
        <item h="1" m="1" x="951"/>
        <item h="1" m="1" x="952"/>
        <item h="1" m="1" x="958"/>
        <item h="1" m="1" x="962"/>
        <item h="1" x="428"/>
        <item h="1" x="430"/>
        <item h="1" x="431"/>
        <item h="1" m="1" x="889"/>
        <item h="1" m="1" x="965"/>
        <item h="1" m="1" x="918"/>
        <item h="1" x="432"/>
        <item h="1" x="433"/>
        <item h="1" x="492"/>
        <item h="1" m="1" x="923"/>
        <item h="1" x="495"/>
        <item h="1" m="1" x="966"/>
        <item h="1" x="540"/>
        <item h="1" m="1" x="927"/>
        <item h="1" m="1" x="873"/>
        <item h="1" x="542"/>
        <item h="1" x="543"/>
        <item h="1" m="1" x="970"/>
        <item h="1" x="616"/>
        <item h="1" x="650"/>
        <item h="1" x="651"/>
        <item h="1" x="714"/>
        <item h="1" x="716"/>
        <item h="1" x="723"/>
        <item h="1" x="727"/>
        <item h="1" m="1" x="936"/>
        <item h="1" x="728"/>
        <item h="1" x="729"/>
        <item h="1" x="730"/>
        <item h="1" x="753"/>
        <item h="1" x="731"/>
        <item h="1" x="732"/>
        <item h="1" m="1" x="885"/>
        <item h="1" x="733"/>
        <item h="1" x="760"/>
        <item h="1" x="736"/>
        <item h="1" x="737"/>
        <item h="1" x="40"/>
        <item h="1" x="41"/>
        <item h="1" m="1" x="828"/>
        <item h="1" m="1" x="914"/>
        <item h="1" x="240"/>
        <item h="1" m="1" x="851"/>
        <item h="1" x="291"/>
        <item h="1" x="292"/>
        <item h="1" x="340"/>
        <item h="1" x="341"/>
        <item h="1" m="1" x="852"/>
        <item h="1" x="494"/>
        <item h="1" x="717"/>
        <item h="1" x="718"/>
        <item h="1" x="719"/>
        <item h="1" x="734"/>
        <item h="1" x="738"/>
        <item h="1" x="739"/>
        <item h="1" m="1" x="886"/>
        <item h="1" x="740"/>
        <item h="1" x="741"/>
        <item h="1" x="743"/>
        <item h="1" x="744"/>
        <item h="1" x="745"/>
        <item h="1" x="746"/>
        <item h="1" x="749"/>
        <item h="1" m="1" x="888"/>
        <item h="1" x="751"/>
        <item h="1" x="752"/>
        <item h="1" x="754"/>
        <item h="1" x="755"/>
        <item h="1" x="756"/>
        <item h="1" x="757"/>
        <item h="1" x="758"/>
        <item h="1" x="759"/>
        <item h="1" m="1" x="892"/>
        <item h="1" x="761"/>
        <item h="1" x="762"/>
        <item h="1" x="763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m="1" x="893"/>
        <item h="1" m="1" x="895"/>
        <item h="1" m="1" x="896"/>
        <item h="1" x="776"/>
        <item h="1" m="1" x="897"/>
        <item h="1" x="777"/>
        <item h="1" x="779"/>
        <item h="1" x="781"/>
        <item h="1" m="1" x="899"/>
        <item h="1" x="782"/>
        <item h="1" x="783"/>
        <item h="1" m="1" x="900"/>
        <item h="1" x="784"/>
        <item h="1" x="785"/>
        <item h="1" x="788"/>
        <item h="1" x="789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22"/>
        <item t="default"/>
      </items>
    </pivotField>
    <pivotField axis="axisRow" compact="0" outline="0" showAll="0">
      <items count="1146">
        <item x="228"/>
        <item m="1" x="1071"/>
        <item x="178"/>
        <item x="180"/>
        <item x="177"/>
        <item x="172"/>
        <item x="173"/>
        <item m="1" x="1068"/>
        <item x="78"/>
        <item x="64"/>
        <item x="254"/>
        <item x="552"/>
        <item x="117"/>
        <item x="187"/>
        <item x="181"/>
        <item x="283"/>
        <item m="1" x="1093"/>
        <item x="250"/>
        <item x="276"/>
        <item x="645"/>
        <item x="223"/>
        <item x="218"/>
        <item x="224"/>
        <item x="545"/>
        <item x="434"/>
        <item x="510"/>
        <item x="120"/>
        <item x="291"/>
        <item x="318"/>
        <item x="179"/>
        <item x="262"/>
        <item x="110"/>
        <item x="448"/>
        <item x="31"/>
        <item m="1" x="1043"/>
        <item x="19"/>
        <item m="1" x="1078"/>
        <item x="293"/>
        <item x="137"/>
        <item x="320"/>
        <item m="1" x="1096"/>
        <item x="154"/>
        <item m="1" x="850"/>
        <item x="295"/>
        <item x="141"/>
        <item m="1" x="1088"/>
        <item m="1" x="1143"/>
        <item x="256"/>
        <item x="281"/>
        <item x="317"/>
        <item m="1" x="967"/>
        <item x="133"/>
        <item x="323"/>
        <item x="464"/>
        <item x="73"/>
        <item x="186"/>
        <item m="1" x="1137"/>
        <item m="1" x="1020"/>
        <item x="685"/>
        <item x="167"/>
        <item x="307"/>
        <item x="300"/>
        <item x="182"/>
        <item x="329"/>
        <item x="669"/>
        <item x="686"/>
        <item x="699"/>
        <item x="700"/>
        <item x="471"/>
        <item x="183"/>
        <item x="65"/>
        <item x="439"/>
        <item x="314"/>
        <item m="1" x="890"/>
        <item m="1" x="1036"/>
        <item x="627"/>
        <item x="444"/>
        <item x="286"/>
        <item m="1" x="836"/>
        <item x="333"/>
        <item m="1" x="1091"/>
        <item x="508"/>
        <item x="809"/>
        <item x="104"/>
        <item x="306"/>
        <item m="1" x="901"/>
        <item m="1" x="849"/>
        <item x="440"/>
        <item x="632"/>
        <item x="804"/>
        <item x="238"/>
        <item x="465"/>
        <item x="521"/>
        <item m="1" x="1038"/>
        <item m="1" x="1040"/>
        <item m="1" x="1039"/>
        <item x="519"/>
        <item x="149"/>
        <item m="1" x="812"/>
        <item x="274"/>
        <item x="617"/>
        <item m="1" x="963"/>
        <item x="88"/>
        <item m="1" x="859"/>
        <item x="551"/>
        <item m="1" x="816"/>
        <item m="1" x="817"/>
        <item x="80"/>
        <item m="1" x="1098"/>
        <item x="553"/>
        <item x="505"/>
        <item m="1" x="1069"/>
        <item m="1" x="942"/>
        <item x="107"/>
        <item x="805"/>
        <item x="520"/>
        <item m="1" x="1109"/>
        <item x="358"/>
        <item x="168"/>
        <item x="129"/>
        <item m="1" x="851"/>
        <item x="453"/>
        <item x="94"/>
        <item m="1" x="891"/>
        <item x="148"/>
        <item x="100"/>
        <item m="1" x="1135"/>
        <item x="555"/>
        <item m="1" x="934"/>
        <item x="316"/>
        <item x="639"/>
        <item x="422"/>
        <item x="275"/>
        <item x="646"/>
        <item x="67"/>
        <item x="71"/>
        <item m="1" x="818"/>
        <item x="559"/>
        <item x="115"/>
        <item x="738"/>
        <item x="55"/>
        <item x="537"/>
        <item x="8"/>
        <item x="541"/>
        <item x="542"/>
        <item x="616"/>
        <item x="159"/>
        <item x="284"/>
        <item x="609"/>
        <item x="69"/>
        <item x="44"/>
        <item x="257"/>
        <item x="74"/>
        <item x="546"/>
        <item x="625"/>
        <item m="1" x="968"/>
        <item x="626"/>
        <item x="466"/>
        <item x="450"/>
        <item x="119"/>
        <item x="116"/>
        <item x="98"/>
        <item x="516"/>
        <item x="70"/>
        <item x="430"/>
        <item x="49"/>
        <item x="48"/>
        <item x="192"/>
        <item x="214"/>
        <item m="1" x="1055"/>
        <item m="1" x="833"/>
        <item x="343"/>
        <item m="1" x="1025"/>
        <item m="1" x="1138"/>
        <item x="373"/>
        <item x="402"/>
        <item x="522"/>
        <item x="191"/>
        <item m="1" x="907"/>
        <item x="394"/>
        <item x="271"/>
        <item m="1" x="969"/>
        <item x="2"/>
        <item x="637"/>
        <item x="410"/>
        <item x="710"/>
        <item x="494"/>
        <item m="1" x="1021"/>
        <item m="1" x="964"/>
        <item x="213"/>
        <item m="1" x="1022"/>
        <item x="162"/>
        <item x="404"/>
        <item x="597"/>
        <item x="415"/>
        <item x="193"/>
        <item m="1" x="998"/>
        <item m="1" x="1004"/>
        <item m="1" x="1086"/>
        <item m="1" x="1011"/>
        <item x="385"/>
        <item x="341"/>
        <item x="399"/>
        <item x="580"/>
        <item x="590"/>
        <item m="1" x="1090"/>
        <item m="1" x="1063"/>
        <item x="26"/>
        <item x="353"/>
        <item m="1" x="1032"/>
        <item x="249"/>
        <item x="375"/>
        <item x="687"/>
        <item x="355"/>
        <item x="215"/>
        <item x="657"/>
        <item m="1" x="1033"/>
        <item x="342"/>
        <item x="233"/>
        <item m="1" x="915"/>
        <item x="698"/>
        <item x="490"/>
        <item x="575"/>
        <item m="1" x="1107"/>
        <item x="273"/>
        <item m="1" x="854"/>
        <item x="653"/>
        <item x="219"/>
        <item x="747"/>
        <item x="368"/>
        <item m="1" x="1034"/>
        <item x="20"/>
        <item m="1" x="1072"/>
        <item x="432"/>
        <item m="1" x="948"/>
        <item x="32"/>
        <item x="581"/>
        <item m="1" x="1129"/>
        <item x="344"/>
        <item x="387"/>
        <item x="662"/>
        <item x="679"/>
        <item x="252"/>
        <item x="416"/>
        <item x="484"/>
        <item x="663"/>
        <item x="671"/>
        <item x="672"/>
        <item m="1" x="1073"/>
        <item m="1" x="1046"/>
        <item x="665"/>
        <item m="1" x="962"/>
        <item m="1" x="897"/>
        <item x="229"/>
        <item x="674"/>
        <item m="1" x="1008"/>
        <item m="1" x="1139"/>
        <item m="1" x="1017"/>
        <item m="1" x="1114"/>
        <item x="714"/>
        <item x="15"/>
        <item m="1" x="1056"/>
        <item m="1" x="1066"/>
        <item m="1" x="950"/>
        <item x="189"/>
        <item x="587"/>
        <item m="1" x="1065"/>
        <item x="677"/>
        <item m="1" x="1106"/>
        <item x="10"/>
        <item x="251"/>
        <item x="411"/>
        <item m="1" x="1130"/>
        <item x="352"/>
        <item m="1" x="1103"/>
        <item x="477"/>
        <item m="1" x="1047"/>
        <item m="1" x="1140"/>
        <item x="591"/>
        <item m="1" x="1076"/>
        <item x="806"/>
        <item x="374"/>
        <item m="1" x="1108"/>
        <item x="602"/>
        <item x="650"/>
        <item x="398"/>
        <item m="1" x="955"/>
        <item m="1" x="1089"/>
        <item x="479"/>
        <item x="196"/>
        <item x="386"/>
        <item m="1" x="983"/>
        <item x="725"/>
        <item x="24"/>
        <item x="572"/>
        <item m="1" x="1044"/>
        <item m="1" x="976"/>
        <item x="363"/>
        <item x="480"/>
        <item x="268"/>
        <item x="431"/>
        <item m="1" x="845"/>
        <item x="568"/>
        <item x="407"/>
        <item x="578"/>
        <item m="1" x="910"/>
        <item x="589"/>
        <item x="356"/>
        <item m="1" x="925"/>
        <item m="1" x="1116"/>
        <item x="571"/>
        <item x="583"/>
        <item m="1" x="987"/>
        <item x="641"/>
        <item x="409"/>
        <item x="684"/>
        <item x="697"/>
        <item m="1" x="1127"/>
        <item x="235"/>
        <item x="59"/>
        <item m="1" x="1094"/>
        <item m="1" x="842"/>
        <item m="1" x="843"/>
        <item m="1" x="1023"/>
        <item x="442"/>
        <item x="9"/>
        <item x="380"/>
        <item m="1" x="861"/>
        <item x="569"/>
        <item x="574"/>
        <item m="1" x="920"/>
        <item x="261"/>
        <item x="277"/>
        <item x="369"/>
        <item x="211"/>
        <item x="345"/>
        <item x="692"/>
        <item x="676"/>
        <item x="711"/>
        <item x="778"/>
        <item x="348"/>
        <item m="1" x="1117"/>
        <item m="1" x="819"/>
        <item m="1" x="979"/>
        <item x="605"/>
        <item x="530"/>
        <item x="18"/>
        <item m="1" x="941"/>
        <item m="1" x="1136"/>
        <item m="1" x="1085"/>
        <item m="1" x="1007"/>
        <item x="212"/>
        <item x="278"/>
        <item x="412"/>
        <item x="0"/>
        <item x="457"/>
        <item m="1" x="982"/>
        <item x="232"/>
        <item x="241"/>
        <item x="654"/>
        <item m="1" x="965"/>
        <item m="1" x="919"/>
        <item x="23"/>
        <item x="673"/>
        <item m="1" x="1012"/>
        <item m="1" x="865"/>
        <item m="1" x="866"/>
        <item x="666"/>
        <item x="712"/>
        <item x="5"/>
        <item m="1" x="952"/>
        <item x="349"/>
        <item m="1" x="988"/>
        <item m="1" x="830"/>
        <item x="265"/>
        <item x="248"/>
        <item x="392"/>
        <item x="483"/>
        <item x="266"/>
        <item x="11"/>
        <item x="675"/>
        <item x="689"/>
        <item x="77"/>
        <item m="1" x="1110"/>
        <item x="651"/>
        <item m="1" x="954"/>
        <item x="681"/>
        <item m="1" x="1062"/>
        <item x="244"/>
        <item x="810"/>
        <item x="207"/>
        <item m="1" x="1058"/>
        <item x="301"/>
        <item x="208"/>
        <item m="1" x="1133"/>
        <item x="304"/>
        <item x="155"/>
        <item m="1" x="1026"/>
        <item x="775"/>
        <item x="46"/>
        <item x="45"/>
        <item m="1" x="1053"/>
        <item x="310"/>
        <item x="92"/>
        <item x="754"/>
        <item m="1" x="1141"/>
        <item x="502"/>
        <item x="243"/>
        <item x="308"/>
        <item m="1" x="1100"/>
        <item x="309"/>
        <item x="209"/>
        <item m="1" x="931"/>
        <item x="210"/>
        <item x="156"/>
        <item x="245"/>
        <item x="506"/>
        <item m="1" x="1003"/>
        <item x="153"/>
        <item m="1" x="992"/>
        <item x="3"/>
        <item m="1" x="1125"/>
        <item x="200"/>
        <item x="152"/>
        <item m="1" x="904"/>
        <item m="1" x="832"/>
        <item x="678"/>
        <item m="1" x="1048"/>
        <item m="1" x="1049"/>
        <item m="1" x="1083"/>
        <item m="1" x="991"/>
        <item m="1" x="984"/>
        <item x="56"/>
        <item x="226"/>
        <item x="474"/>
        <item m="1" x="1005"/>
        <item x="667"/>
        <item x="220"/>
        <item x="767"/>
        <item x="573"/>
        <item x="197"/>
        <item x="658"/>
        <item x="661"/>
        <item m="1" x="844"/>
        <item x="408"/>
        <item x="6"/>
        <item x="340"/>
        <item x="564"/>
        <item x="532"/>
        <item x="529"/>
        <item x="302"/>
        <item m="1" x="975"/>
        <item m="1" x="973"/>
        <item x="370"/>
        <item x="199"/>
        <item x="594"/>
        <item m="1" x="966"/>
        <item m="1" x="981"/>
        <item x="475"/>
        <item x="27"/>
        <item x="680"/>
        <item x="702"/>
        <item m="1" x="957"/>
        <item m="1" x="1027"/>
        <item x="668"/>
        <item x="500"/>
        <item x="364"/>
        <item x="601"/>
        <item x="670"/>
        <item x="382"/>
        <item m="1" x="1074"/>
        <item x="636"/>
        <item x="595"/>
        <item x="347"/>
        <item x="779"/>
        <item x="1"/>
        <item m="1" x="1115"/>
        <item m="1" x="1006"/>
        <item x="396"/>
        <item x="638"/>
        <item m="1" x="1101"/>
        <item x="598"/>
        <item x="384"/>
        <item x="563"/>
        <item x="683"/>
        <item m="1" x="1087"/>
        <item x="339"/>
        <item x="660"/>
        <item m="1" x="916"/>
        <item x="585"/>
        <item x="354"/>
        <item m="1" x="853"/>
        <item m="1" x="956"/>
        <item m="1" x="1104"/>
        <item m="1" x="1118"/>
        <item x="279"/>
        <item m="1" x="1081"/>
        <item x="694"/>
        <item m="1" x="867"/>
        <item m="1" x="828"/>
        <item x="582"/>
        <item x="406"/>
        <item m="1" x="1128"/>
        <item x="696"/>
        <item m="1" x="940"/>
        <item x="267"/>
        <item x="593"/>
        <item x="365"/>
        <item m="1" x="937"/>
        <item x="371"/>
        <item m="1" x="1075"/>
        <item x="413"/>
        <item x="13"/>
        <item x="690"/>
        <item x="424"/>
        <item x="476"/>
        <item x="361"/>
        <item m="1" x="1009"/>
        <item m="1" x="1080"/>
        <item m="1" x="938"/>
        <item x="4"/>
        <item x="482"/>
        <item x="391"/>
        <item x="536"/>
        <item m="1" x="1067"/>
        <item x="807"/>
        <item m="1" x="887"/>
        <item m="1" x="839"/>
        <item x="567"/>
        <item x="811"/>
        <item x="565"/>
        <item x="586"/>
        <item x="659"/>
        <item x="705"/>
        <item x="664"/>
        <item x="528"/>
        <item m="1" x="1119"/>
        <item x="577"/>
        <item x="596"/>
        <item x="221"/>
        <item m="1" x="892"/>
        <item x="393"/>
        <item x="57"/>
        <item x="526"/>
        <item x="377"/>
        <item m="1" x="1082"/>
        <item x="260"/>
        <item m="1" x="1144"/>
        <item m="1" x="930"/>
        <item m="1" x="971"/>
        <item m="1" x="1051"/>
        <item x="579"/>
        <item x="231"/>
        <item x="230"/>
        <item m="1" x="1052"/>
        <item m="1" x="912"/>
        <item x="688"/>
        <item x="701"/>
        <item m="1" x="985"/>
        <item m="1" x="1120"/>
        <item x="360"/>
        <item x="737"/>
        <item x="655"/>
        <item m="1" x="1016"/>
        <item x="420"/>
        <item x="29"/>
        <item x="588"/>
        <item x="161"/>
        <item x="682"/>
        <item x="160"/>
        <item m="1" x="1099"/>
        <item x="362"/>
        <item m="1" x="924"/>
        <item x="390"/>
        <item m="1" x="1112"/>
        <item x="25"/>
        <item m="1" x="1113"/>
        <item x="604"/>
        <item x="592"/>
        <item m="1" x="873"/>
        <item x="531"/>
        <item x="584"/>
        <item x="485"/>
        <item x="259"/>
        <item x="50"/>
        <item m="1" x="993"/>
        <item m="1" x="1121"/>
        <item m="1" x="1045"/>
        <item m="1" x="958"/>
        <item x="780"/>
        <item x="258"/>
        <item x="263"/>
        <item x="693"/>
        <item m="1" x="829"/>
        <item m="1" x="894"/>
        <item x="691"/>
        <item x="195"/>
        <item x="525"/>
        <item x="383"/>
        <item m="1" x="899"/>
        <item m="1" x="834"/>
        <item x="628"/>
        <item x="376"/>
        <item x="419"/>
        <item m="1" x="898"/>
        <item x="481"/>
        <item m="1" x="986"/>
        <item m="1" x="857"/>
        <item x="418"/>
        <item m="1" x="824"/>
        <item m="1" x="1054"/>
        <item m="1" x="840"/>
        <item m="1" x="1111"/>
        <item m="1" x="825"/>
        <item m="1" x="1061"/>
        <item m="1" x="846"/>
        <item x="366"/>
        <item x="405"/>
        <item x="401"/>
        <item x="222"/>
        <item m="1" x="1024"/>
        <item x="497"/>
        <item x="635"/>
        <item m="1" x="996"/>
        <item m="1" x="862"/>
        <item x="491"/>
        <item m="1" x="972"/>
        <item x="403"/>
        <item m="1" x="974"/>
        <item m="1" x="826"/>
        <item x="16"/>
        <item x="14"/>
        <item x="527"/>
        <item x="600"/>
        <item x="28"/>
        <item x="640"/>
        <item m="1" x="997"/>
        <item x="264"/>
        <item m="1" x="989"/>
        <item x="242"/>
        <item x="576"/>
        <item x="656"/>
        <item x="695"/>
        <item x="381"/>
        <item x="524"/>
        <item x="507"/>
        <item m="1" x="874"/>
        <item x="367"/>
        <item x="417"/>
        <item x="350"/>
        <item x="227"/>
        <item x="395"/>
        <item x="378"/>
        <item m="1" x="841"/>
        <item x="792"/>
        <item x="429"/>
        <item m="1" x="1042"/>
        <item m="1" x="1126"/>
        <item m="1" x="895"/>
        <item m="1" x="911"/>
        <item x="22"/>
        <item x="449"/>
        <item m="1" x="1057"/>
        <item x="498"/>
        <item m="1" x="1015"/>
        <item x="372"/>
        <item x="456"/>
        <item x="397"/>
        <item m="1" x="1084"/>
        <item x="346"/>
        <item m="1" x="884"/>
        <item x="478"/>
        <item m="1" x="881"/>
        <item x="379"/>
        <item x="389"/>
        <item x="351"/>
        <item x="234"/>
        <item x="388"/>
        <item x="566"/>
        <item x="603"/>
        <item m="1" x="827"/>
        <item x="400"/>
        <item x="740"/>
        <item m="1" x="1079"/>
        <item x="303"/>
        <item x="607"/>
        <item x="652"/>
        <item x="634"/>
        <item x="58"/>
        <item x="504"/>
        <item m="1" x="995"/>
        <item m="1" x="864"/>
        <item x="190"/>
        <item x="496"/>
        <item x="445"/>
        <item x="446"/>
        <item x="495"/>
        <item x="499"/>
        <item x="246"/>
        <item x="247"/>
        <item x="135"/>
        <item x="414"/>
        <item m="1" x="1060"/>
        <item x="75"/>
        <item x="599"/>
        <item x="312"/>
        <item m="1" x="909"/>
        <item x="34"/>
        <item m="1" x="980"/>
        <item x="217"/>
        <item m="1" x="860"/>
        <item m="1" x="1070"/>
        <item x="91"/>
        <item x="501"/>
        <item x="253"/>
        <item x="550"/>
        <item x="647"/>
        <item x="544"/>
        <item m="1" x="959"/>
        <item m="1" x="1097"/>
        <item x="487"/>
        <item x="554"/>
        <item m="1" x="928"/>
        <item x="463"/>
        <item x="512"/>
        <item x="62"/>
        <item x="619"/>
        <item m="1" x="1030"/>
        <item m="1" x="868"/>
        <item x="436"/>
        <item x="421"/>
        <item x="185"/>
        <item x="282"/>
        <item x="131"/>
        <item x="493"/>
        <item x="518"/>
        <item m="1" x="1002"/>
        <item x="53"/>
        <item x="459"/>
        <item x="138"/>
        <item x="557"/>
        <item m="1" x="949"/>
        <item m="1" x="970"/>
        <item x="132"/>
        <item x="703"/>
        <item x="97"/>
        <item x="21"/>
        <item m="1" x="1001"/>
        <item m="1" x="1124"/>
        <item m="1" x="815"/>
        <item x="72"/>
        <item x="66"/>
        <item x="123"/>
        <item x="95"/>
        <item m="1" x="913"/>
        <item x="623"/>
        <item x="93"/>
        <item x="452"/>
        <item x="102"/>
        <item x="296"/>
        <item x="433"/>
        <item x="203"/>
        <item x="331"/>
        <item m="1" x="1077"/>
        <item x="612"/>
        <item x="101"/>
        <item x="305"/>
        <item x="769"/>
        <item x="142"/>
        <item x="649"/>
        <item x="614"/>
        <item x="570"/>
        <item x="311"/>
        <item x="613"/>
        <item x="89"/>
        <item x="644"/>
        <item m="1" x="903"/>
        <item x="239"/>
        <item x="325"/>
        <item m="1" x="893"/>
        <item x="324"/>
        <item x="166"/>
        <item m="1" x="1131"/>
        <item x="511"/>
        <item x="43"/>
        <item m="1" x="1019"/>
        <item m="1" x="847"/>
        <item x="114"/>
        <item x="81"/>
        <item x="63"/>
        <item x="96"/>
        <item x="150"/>
        <item x="157"/>
        <item x="109"/>
        <item x="458"/>
        <item x="622"/>
        <item x="164"/>
        <item x="297"/>
        <item x="111"/>
        <item x="118"/>
        <item x="184"/>
        <item x="472"/>
        <item x="176"/>
        <item x="151"/>
        <item x="540"/>
        <item x="175"/>
        <item x="76"/>
        <item x="469"/>
        <item x="618"/>
        <item x="121"/>
        <item x="12"/>
        <item m="1" x="821"/>
        <item m="1" x="953"/>
        <item x="321"/>
        <item x="146"/>
        <item m="1" x="1105"/>
        <item x="509"/>
        <item x="547"/>
        <item x="454"/>
        <item m="1" x="820"/>
        <item x="139"/>
        <item x="128"/>
        <item m="1" x="871"/>
        <item x="130"/>
        <item x="52"/>
        <item x="7"/>
        <item x="33"/>
        <item x="462"/>
        <item m="1" x="999"/>
        <item x="54"/>
        <item x="127"/>
        <item m="1" x="1031"/>
        <item m="1" x="929"/>
        <item x="51"/>
        <item x="216"/>
        <item x="503"/>
        <item x="435"/>
        <item x="470"/>
        <item x="112"/>
        <item x="437"/>
        <item x="548"/>
        <item x="299"/>
        <item x="326"/>
        <item x="620"/>
        <item x="441"/>
        <item x="328"/>
        <item x="461"/>
        <item m="1" x="1092"/>
        <item m="1" x="1132"/>
        <item x="523"/>
        <item x="534"/>
        <item x="330"/>
        <item x="204"/>
        <item x="113"/>
        <item x="357"/>
        <item x="170"/>
        <item m="1" x="1059"/>
        <item x="621"/>
        <item x="202"/>
        <item m="1" x="852"/>
        <item x="108"/>
        <item x="126"/>
        <item m="1" x="1028"/>
        <item m="1" x="1014"/>
        <item x="492"/>
        <item x="30"/>
        <item x="292"/>
        <item x="240"/>
        <item x="447"/>
        <item x="61"/>
        <item x="165"/>
        <item x="269"/>
        <item m="1" x="906"/>
        <item x="42"/>
        <item x="467"/>
        <item m="1" x="1010"/>
        <item x="290"/>
        <item m="1" x="990"/>
        <item x="272"/>
        <item m="1" x="1035"/>
        <item x="631"/>
        <item x="294"/>
        <item m="1" x="1095"/>
        <item x="562"/>
        <item x="158"/>
        <item x="147"/>
        <item x="140"/>
        <item x="359"/>
        <item x="270"/>
        <item m="1" x="960"/>
        <item x="549"/>
        <item x="716"/>
        <item m="1" x="1018"/>
        <item m="1" x="835"/>
        <item x="335"/>
        <item x="198"/>
        <item x="327"/>
        <item x="83"/>
        <item x="451"/>
        <item x="543"/>
        <item x="556"/>
        <item x="515"/>
        <item x="517"/>
        <item m="1" x="926"/>
        <item x="171"/>
        <item x="122"/>
        <item x="134"/>
        <item x="558"/>
        <item x="255"/>
        <item x="285"/>
        <item x="288"/>
        <item x="280"/>
        <item x="322"/>
        <item x="99"/>
        <item m="1" x="823"/>
        <item m="1" x="1013"/>
        <item m="1" x="863"/>
        <item x="82"/>
        <item m="1" x="885"/>
        <item x="319"/>
        <item x="781"/>
        <item m="1" x="902"/>
        <item m="1" x="961"/>
        <item m="1" x="927"/>
        <item x="79"/>
        <item x="758"/>
        <item m="1" x="944"/>
        <item x="539"/>
        <item m="1" x="935"/>
        <item x="105"/>
        <item x="106"/>
        <item m="1" x="1122"/>
        <item m="1" x="1041"/>
        <item m="1" x="977"/>
        <item m="1" x="1064"/>
        <item x="313"/>
        <item x="17"/>
        <item x="194"/>
        <item m="1" x="945"/>
        <item m="1" x="848"/>
        <item m="1" x="1123"/>
        <item x="438"/>
        <item m="1" x="1050"/>
        <item x="513"/>
        <item x="615"/>
        <item x="791"/>
        <item x="633"/>
        <item x="334"/>
        <item x="136"/>
        <item m="1" x="855"/>
        <item x="610"/>
        <item m="1" x="936"/>
        <item m="1" x="978"/>
        <item x="538"/>
        <item x="460"/>
        <item x="473"/>
        <item x="163"/>
        <item x="103"/>
        <item m="1" x="1037"/>
        <item x="90"/>
        <item x="561"/>
        <item x="624"/>
        <item x="298"/>
        <item x="514"/>
        <item m="1" x="886"/>
        <item x="560"/>
        <item x="68"/>
        <item x="125"/>
        <item m="1" x="914"/>
        <item m="1" x="1000"/>
        <item x="443"/>
        <item x="468"/>
        <item m="1" x="994"/>
        <item x="315"/>
        <item x="60"/>
        <item x="455"/>
        <item x="225"/>
        <item m="1" x="1029"/>
        <item x="630"/>
        <item x="629"/>
        <item x="188"/>
        <item x="174"/>
        <item m="1" x="1142"/>
        <item x="606"/>
        <item m="1" x="1102"/>
        <item x="332"/>
        <item m="1" x="889"/>
        <item x="124"/>
        <item x="169"/>
        <item x="715"/>
        <item x="338"/>
        <item m="1" x="1134"/>
        <item m="1" x="856"/>
        <item x="611"/>
        <item x="774"/>
        <item x="47"/>
        <item m="1" x="822"/>
        <item m="1" x="918"/>
        <item m="1" x="921"/>
        <item m="1" x="922"/>
        <item x="35"/>
        <item m="1" x="888"/>
        <item m="1" x="813"/>
        <item x="36"/>
        <item x="37"/>
        <item m="1" x="877"/>
        <item m="1" x="923"/>
        <item x="38"/>
        <item x="39"/>
        <item x="84"/>
        <item x="85"/>
        <item x="86"/>
        <item x="87"/>
        <item x="143"/>
        <item x="144"/>
        <item x="732"/>
        <item x="145"/>
        <item x="201"/>
        <item x="205"/>
        <item x="206"/>
        <item m="1" x="831"/>
        <item x="236"/>
        <item x="287"/>
        <item m="1" x="932"/>
        <item m="1" x="933"/>
        <item m="1" x="939"/>
        <item m="1" x="943"/>
        <item x="423"/>
        <item x="425"/>
        <item x="426"/>
        <item m="1" x="872"/>
        <item m="1" x="946"/>
        <item m="1" x="900"/>
        <item x="427"/>
        <item x="428"/>
        <item x="486"/>
        <item m="1" x="905"/>
        <item x="489"/>
        <item m="1" x="947"/>
        <item x="533"/>
        <item m="1" x="908"/>
        <item m="1" x="858"/>
        <item x="535"/>
        <item m="1" x="951"/>
        <item x="608"/>
        <item x="642"/>
        <item x="643"/>
        <item x="704"/>
        <item x="706"/>
        <item x="713"/>
        <item x="717"/>
        <item m="1" x="917"/>
        <item x="718"/>
        <item x="719"/>
        <item x="720"/>
        <item x="743"/>
        <item x="721"/>
        <item x="722"/>
        <item m="1" x="869"/>
        <item x="723"/>
        <item x="750"/>
        <item x="726"/>
        <item x="727"/>
        <item x="40"/>
        <item x="41"/>
        <item m="1" x="814"/>
        <item m="1" x="896"/>
        <item x="237"/>
        <item m="1" x="837"/>
        <item x="289"/>
        <item x="336"/>
        <item x="337"/>
        <item m="1" x="838"/>
        <item x="488"/>
        <item x="707"/>
        <item x="708"/>
        <item x="709"/>
        <item x="724"/>
        <item x="728"/>
        <item x="729"/>
        <item m="1" x="870"/>
        <item x="730"/>
        <item x="648"/>
        <item x="731"/>
        <item x="733"/>
        <item x="734"/>
        <item x="735"/>
        <item x="736"/>
        <item x="739"/>
        <item x="741"/>
        <item x="742"/>
        <item x="744"/>
        <item x="745"/>
        <item x="746"/>
        <item x="748"/>
        <item x="749"/>
        <item m="1" x="875"/>
        <item x="751"/>
        <item x="752"/>
        <item x="753"/>
        <item x="755"/>
        <item x="756"/>
        <item x="757"/>
        <item x="759"/>
        <item x="760"/>
        <item x="761"/>
        <item x="762"/>
        <item x="763"/>
        <item x="764"/>
        <item x="765"/>
        <item m="1" x="876"/>
        <item m="1" x="878"/>
        <item m="1" x="879"/>
        <item m="1" x="880"/>
        <item x="766"/>
        <item x="768"/>
        <item x="770"/>
        <item m="1" x="882"/>
        <item x="771"/>
        <item m="1" x="883"/>
        <item x="772"/>
        <item x="773"/>
        <item x="776"/>
        <item x="777"/>
        <item x="782"/>
        <item x="783"/>
        <item x="784"/>
        <item x="785"/>
        <item x="786"/>
        <item x="787"/>
        <item x="788"/>
        <item x="789"/>
        <item x="790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8"/>
        <item t="default"/>
      </items>
    </pivotField>
    <pivotField compact="0" numFmtId="164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23">
        <item x="11"/>
        <item m="1" x="18"/>
        <item x="5"/>
        <item x="3"/>
        <item x="6"/>
        <item x="12"/>
        <item x="14"/>
        <item x="8"/>
        <item m="1" x="19"/>
        <item x="15"/>
        <item x="2"/>
        <item x="9"/>
        <item x="1"/>
        <item x="10"/>
        <item x="13"/>
        <item m="1" x="21"/>
        <item x="7"/>
        <item x="4"/>
        <item x="0"/>
        <item m="1" x="17"/>
        <item m="1" x="20"/>
        <item x="16"/>
        <item t="default"/>
      </items>
    </pivotField>
    <pivotField compact="0" outline="0" showAll="0"/>
    <pivotField compact="0" numFmtId="14" outline="0" showAll="0"/>
    <pivotField dataField="1" compact="0" numFmtId="165" outline="0" showAll="0"/>
    <pivotField dataField="1" compact="0" numFmtId="165" outline="0" showAll="0"/>
    <pivotField dataField="1" compact="0" numFmtId="165" outline="0" showAll="0"/>
    <pivotField dataField="1" compact="0" numFmtId="165" outline="0" showAll="0"/>
    <pivotField dataField="1" compact="0" numFmtId="165" outline="0" showAll="0"/>
    <pivotField compact="0" numFmtId="165" outline="0" showAll="0"/>
    <pivotField compact="0" numFmtId="165" outline="0" showAll="0"/>
    <pivotField dataField="1" compact="0" numFmtId="165" outline="0" showAll="0"/>
    <pivotField dataField="1" compact="0" numFmtId="166" outline="0" showAll="0"/>
    <pivotField dataField="1" compact="0" numFmtId="165" outline="0" showAll="0"/>
    <pivotField dataField="1" compact="0" numFmtId="166" outline="0" showAll="0"/>
    <pivotField dataField="1" compact="0" numFmtId="166" outline="0" showAll="0"/>
    <pivotField dataField="1" compact="0" numFmtId="166" outline="0" showAll="0"/>
    <pivotField dataField="1" compact="0" numFmtId="166" outline="0" showAll="0"/>
    <pivotField dataField="1" compact="0" numFmtId="165" outline="0" showAll="0"/>
    <pivotField dataField="1" compact="0" numFmtId="166" outline="0" showAll="0"/>
    <pivotField dataField="1" compact="0" numFmtId="166" outline="0" showAll="0"/>
    <pivotField dataField="1" compact="0" numFmtId="166" outline="0" showAll="0"/>
    <pivotField compact="0" outline="0" showAll="0"/>
  </pivotFields>
  <rowFields count="2">
    <field x="3"/>
    <field x="4"/>
  </rowFields>
  <rowItems count="4">
    <i>
      <x v="664"/>
      <x v="298"/>
    </i>
    <i t="default">
      <x v="664"/>
    </i>
    <i t="blank">
      <x v="664"/>
    </i>
    <i t="grand">
      <x/>
    </i>
  </rowItems>
  <colFields count="1">
    <field x="-2"/>
  </colFields>
  <col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colItems>
  <pageFields count="1">
    <pageField fld="9" hier="-1"/>
  </pageFields>
  <dataFields count="16">
    <dataField name=" BMC Volume" fld="12" baseField="0" baseItem="0" numFmtId="165"/>
    <dataField name=" BMC Amount" fld="13" baseField="0" baseItem="0" numFmtId="165"/>
    <dataField name=" Sahayak Comission @ 0.75/-" fld="14" baseField="0" baseItem="0" numFmtId="165"/>
    <dataField name=" Std gain @ 0.95/-" fld="15" baseField="0" baseItem="0" numFmtId="165"/>
    <dataField name=" Farmer Sample Milk" fld="16" baseField="0" baseItem="0" numFmtId="165"/>
    <dataField name="AMC from MPG @ 0.10/- " fld="19" baseField="0" baseItem="0" numFmtId="165"/>
    <dataField name=" Actual Volume Penalty" fld="20" baseField="0" baseItem="0" numFmtId="166"/>
    <dataField name=" Net Sahayak Income" fld="21" baseField="0" baseItem="0" numFmtId="165"/>
    <dataField name=" New Assets EMI" fld="22" baseField="0" baseItem="0" numFmtId="166"/>
    <dataField name=" Can Deduction" fld="23" baseField="0" baseItem="0" numFmtId="166"/>
    <dataField name=" PCB Ded" fld="24" baseField="0" baseItem="0" numFmtId="166"/>
    <dataField name=" Other" fld="25" baseField="0" baseItem="0" numFmtId="166"/>
    <dataField name=" Consumables" fld="26" baseField="0" baseItem="0" numFmtId="165"/>
    <dataField name=" Payble to Sahyak" fld="27" baseField="0" baseItem="0" numFmtId="166"/>
    <dataField name=" Hold" fld="28" baseField="0" baseItem="0" numFmtId="166"/>
    <dataField name=" Net Payble" fld="29" baseField="0" baseItem="0" numFmtId="166"/>
  </dataFields>
  <formats count="2">
    <format dxfId="109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08">
      <pivotArea dataOnly="0" labelOnly="1" outline="0" fieldPosition="0">
        <references count="1">
          <reference field="4294967294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BE4A9D-4AC2-45ED-B426-D43D2F487A1B}" name="PivotTable1" cacheId="4" applyNumberFormats="0" applyBorderFormats="0" applyFontFormats="0" applyPatternFormats="0" applyAlignmentFormats="0" applyWidthHeightFormats="1" dataCaption="Values" updatedVersion="8" useAutoFormatting="1" itemPrintTitles="1" createdVersion="8" indent="0" compact="0" compactData="0" gridDropZones="1" multipleFieldFilters="0">
  <location ref="A3:C1059" firstHeaderRow="1" firstDataRow="2" firstDataCol="1"/>
  <pivotFields count="24">
    <pivotField axis="axisRow" compact="0" outline="0" showAll="0">
      <items count="1131">
        <item x="0"/>
        <item m="1" x="1054"/>
        <item x="1"/>
        <item x="2"/>
        <item x="4"/>
        <item x="5"/>
        <item x="1029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1056"/>
        <item x="21"/>
        <item x="22"/>
        <item x="23"/>
        <item x="24"/>
        <item x="25"/>
        <item x="26"/>
        <item x="36"/>
        <item x="37"/>
        <item x="38"/>
        <item x="39"/>
        <item x="40"/>
        <item m="1" x="1057"/>
        <item x="43"/>
        <item x="44"/>
        <item x="45"/>
        <item x="46"/>
        <item x="47"/>
        <item x="48"/>
        <item x="49"/>
        <item x="50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6"/>
        <item x="87"/>
        <item x="88"/>
        <item m="1" x="1059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969"/>
        <item x="114"/>
        <item x="115"/>
        <item x="116"/>
        <item x="117"/>
        <item x="970"/>
        <item x="971"/>
        <item m="1" x="1060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1"/>
        <item x="132"/>
        <item x="133"/>
        <item x="134"/>
        <item x="13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9"/>
        <item x="170"/>
        <item x="171"/>
        <item x="174"/>
        <item x="176"/>
        <item x="177"/>
        <item x="178"/>
        <item x="180"/>
        <item x="181"/>
        <item x="183"/>
        <item x="184"/>
        <item x="973"/>
        <item x="185"/>
        <item x="186"/>
        <item x="188"/>
        <item m="1" x="1064"/>
        <item x="189"/>
        <item x="190"/>
        <item x="191"/>
        <item x="19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2"/>
        <item x="224"/>
        <item x="226"/>
        <item x="227"/>
        <item x="228"/>
        <item m="1" x="1065"/>
        <item x="230"/>
        <item m="1" x="1066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50"/>
        <item x="251"/>
        <item m="1" x="1067"/>
        <item x="253"/>
        <item x="254"/>
        <item x="255"/>
        <item x="256"/>
        <item x="257"/>
        <item x="258"/>
        <item m="1" x="1068"/>
        <item x="260"/>
        <item x="262"/>
        <item x="263"/>
        <item x="264"/>
        <item x="265"/>
        <item x="266"/>
        <item x="97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1"/>
        <item x="302"/>
        <item x="303"/>
        <item x="304"/>
        <item x="305"/>
        <item x="306"/>
        <item x="307"/>
        <item x="308"/>
        <item x="309"/>
        <item x="311"/>
        <item x="312"/>
        <item x="313"/>
        <item x="314"/>
        <item x="315"/>
        <item x="316"/>
        <item m="1" x="1072"/>
        <item x="317"/>
        <item x="318"/>
        <item x="319"/>
        <item x="321"/>
        <item x="322"/>
        <item x="323"/>
        <item x="324"/>
        <item x="325"/>
        <item x="335"/>
        <item x="336"/>
        <item x="338"/>
        <item x="339"/>
        <item x="341"/>
        <item x="344"/>
        <item x="345"/>
        <item x="346"/>
        <item x="348"/>
        <item x="349"/>
        <item x="350"/>
        <item x="351"/>
        <item x="352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0"/>
        <item x="371"/>
        <item x="373"/>
        <item x="374"/>
        <item x="375"/>
        <item x="376"/>
        <item x="377"/>
        <item x="378"/>
        <item x="379"/>
        <item x="380"/>
        <item x="381"/>
        <item x="382"/>
        <item x="384"/>
        <item x="385"/>
        <item x="386"/>
        <item x="387"/>
        <item x="388"/>
        <item m="1" x="1076"/>
        <item x="389"/>
        <item x="390"/>
        <item x="391"/>
        <item m="1" x="1077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1"/>
        <item x="472"/>
        <item x="473"/>
        <item x="474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8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5"/>
        <item x="527"/>
        <item x="528"/>
        <item x="529"/>
        <item x="531"/>
        <item x="533"/>
        <item x="534"/>
        <item x="535"/>
        <item x="536"/>
        <item x="538"/>
        <item x="539"/>
        <item x="548"/>
        <item x="549"/>
        <item x="550"/>
        <item x="551"/>
        <item x="552"/>
        <item x="553"/>
        <item x="555"/>
        <item x="556"/>
        <item x="557"/>
        <item x="559"/>
        <item x="560"/>
        <item x="561"/>
        <item x="562"/>
        <item x="563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m="1" x="1081"/>
        <item m="1" x="1082"/>
        <item x="590"/>
        <item x="591"/>
        <item x="593"/>
        <item x="594"/>
        <item x="595"/>
        <item x="596"/>
        <item x="597"/>
        <item x="598"/>
        <item x="599"/>
        <item x="600"/>
        <item x="613"/>
        <item x="614"/>
        <item x="615"/>
        <item x="616"/>
        <item x="617"/>
        <item x="618"/>
        <item x="619"/>
        <item x="620"/>
        <item x="622"/>
        <item x="623"/>
        <item x="624"/>
        <item x="625"/>
        <item x="626"/>
        <item x="627"/>
        <item x="628"/>
        <item x="630"/>
        <item x="631"/>
        <item x="632"/>
        <item x="633"/>
        <item x="634"/>
        <item x="635"/>
        <item x="636"/>
        <item x="637"/>
        <item m="1" x="1087"/>
        <item m="1" x="1088"/>
        <item x="638"/>
        <item x="639"/>
        <item x="640"/>
        <item x="642"/>
        <item x="643"/>
        <item x="644"/>
        <item x="645"/>
        <item x="646"/>
        <item x="647"/>
        <item x="650"/>
        <item x="651"/>
        <item x="652"/>
        <item x="653"/>
        <item x="654"/>
        <item x="655"/>
        <item x="656"/>
        <item x="657"/>
        <item x="658"/>
        <item m="1" x="1091"/>
        <item x="659"/>
        <item x="660"/>
        <item x="661"/>
        <item x="662"/>
        <item x="663"/>
        <item x="984"/>
        <item x="664"/>
        <item x="665"/>
        <item x="666"/>
        <item x="667"/>
        <item x="668"/>
        <item x="669"/>
        <item x="670"/>
        <item x="671"/>
        <item x="672"/>
        <item x="673"/>
        <item m="1" x="1092"/>
        <item x="674"/>
        <item x="675"/>
        <item x="676"/>
        <item x="677"/>
        <item x="678"/>
        <item x="679"/>
        <item x="681"/>
        <item x="682"/>
        <item x="683"/>
        <item x="684"/>
        <item x="685"/>
        <item x="686"/>
        <item x="687"/>
        <item x="688"/>
        <item x="689"/>
        <item x="690"/>
        <item m="1" x="1093"/>
        <item x="692"/>
        <item x="693"/>
        <item x="694"/>
        <item x="695"/>
        <item x="696"/>
        <item x="697"/>
        <item x="700"/>
        <item x="702"/>
        <item x="703"/>
        <item x="728"/>
        <item x="729"/>
        <item x="730"/>
        <item x="731"/>
        <item x="732"/>
        <item x="733"/>
        <item x="734"/>
        <item x="735"/>
        <item x="736"/>
        <item x="737"/>
        <item x="739"/>
        <item x="740"/>
        <item x="765"/>
        <item x="766"/>
        <item x="767"/>
        <item x="768"/>
        <item x="769"/>
        <item x="135"/>
        <item x="194"/>
        <item x="699"/>
        <item x="701"/>
        <item x="738"/>
        <item x="195"/>
        <item x="757"/>
        <item x="80"/>
        <item x="81"/>
        <item x="137"/>
        <item x="300"/>
        <item x="707"/>
        <item x="788"/>
        <item x="789"/>
        <item x="791"/>
        <item x="792"/>
        <item x="793"/>
        <item x="621"/>
        <item x="705"/>
        <item x="790"/>
        <item x="965"/>
        <item x="196"/>
        <item x="490"/>
        <item x="758"/>
        <item x="794"/>
        <item x="278"/>
        <item x="279"/>
        <item x="491"/>
        <item x="709"/>
        <item x="710"/>
        <item x="743"/>
        <item m="1" x="1101"/>
        <item x="831"/>
        <item x="320"/>
        <item x="708"/>
        <item x="240"/>
        <item x="772"/>
        <item x="833"/>
        <item x="41"/>
        <item x="774"/>
        <item x="775"/>
        <item x="796"/>
        <item x="797"/>
        <item x="798"/>
        <item x="799"/>
        <item x="800"/>
        <item x="801"/>
        <item x="832"/>
        <item x="42"/>
        <item x="83"/>
        <item x="138"/>
        <item x="187"/>
        <item x="422"/>
        <item x="424"/>
        <item x="426"/>
        <item x="641"/>
        <item x="802"/>
        <item m="1" x="1102"/>
        <item x="82"/>
        <item m="1" x="1061"/>
        <item x="139"/>
        <item m="1" x="1062"/>
        <item x="489"/>
        <item x="704"/>
        <item x="130"/>
        <item x="280"/>
        <item x="369"/>
        <item x="372"/>
        <item x="425"/>
        <item m="1" x="1079"/>
        <item x="492"/>
        <item x="530"/>
        <item x="981"/>
        <item x="558"/>
        <item x="629"/>
        <item x="712"/>
        <item x="713"/>
        <item x="741"/>
        <item x="770"/>
        <item x="771"/>
        <item x="795"/>
        <item x="834"/>
        <item m="1" x="1105"/>
        <item x="27"/>
        <item x="1036"/>
        <item x="340"/>
        <item x="347"/>
        <item x="427"/>
        <item x="532"/>
        <item x="592"/>
        <item m="1" x="1085"/>
        <item x="742"/>
        <item x="223"/>
        <item m="1" x="1071"/>
        <item x="327"/>
        <item x="744"/>
        <item x="745"/>
        <item x="803"/>
        <item x="804"/>
        <item x="805"/>
        <item x="806"/>
        <item m="1" x="1103"/>
        <item x="221"/>
        <item x="429"/>
        <item x="540"/>
        <item x="603"/>
        <item x="698"/>
        <item x="197"/>
        <item x="198"/>
        <item x="328"/>
        <item x="493"/>
        <item x="602"/>
        <item x="604"/>
        <item x="605"/>
        <item x="777"/>
        <item x="809"/>
        <item x="810"/>
        <item x="140"/>
        <item x="281"/>
        <item x="329"/>
        <item x="541"/>
        <item x="589"/>
        <item m="1" x="1089"/>
        <item x="648"/>
        <item m="1" x="1097"/>
        <item x="746"/>
        <item x="141"/>
        <item x="142"/>
        <item x="330"/>
        <item x="331"/>
        <item x="715"/>
        <item x="717"/>
        <item x="776"/>
        <item x="778"/>
        <item x="850"/>
        <item x="851"/>
        <item x="852"/>
        <item x="28"/>
        <item x="225"/>
        <item x="231"/>
        <item x="232"/>
        <item x="606"/>
        <item x="714"/>
        <item x="716"/>
        <item x="835"/>
        <item x="836"/>
        <item x="838"/>
        <item x="839"/>
        <item x="853"/>
        <item x="337"/>
        <item x="342"/>
        <item x="353"/>
        <item x="495"/>
        <item x="747"/>
        <item x="840"/>
        <item x="332"/>
        <item x="542"/>
        <item m="1" x="1080"/>
        <item m="1" x="1094"/>
        <item x="749"/>
        <item x="808"/>
        <item x="1020"/>
        <item x="861"/>
        <item x="862"/>
        <item x="864"/>
        <item x="865"/>
        <item x="866"/>
        <item x="869"/>
        <item x="873"/>
        <item m="1" x="1108"/>
        <item x="874"/>
        <item x="876"/>
        <item x="200"/>
        <item x="354"/>
        <item x="607"/>
        <item m="1" x="1095"/>
        <item x="863"/>
        <item x="51"/>
        <item x="282"/>
        <item x="428"/>
        <item x="475"/>
        <item x="543"/>
        <item x="719"/>
        <item x="750"/>
        <item x="782"/>
        <item x="813"/>
        <item x="814"/>
        <item x="841"/>
        <item x="842"/>
        <item x="875"/>
        <item x="199"/>
        <item x="283"/>
        <item x="430"/>
        <item x="431"/>
        <item x="544"/>
        <item x="721"/>
        <item x="906"/>
        <item m="1" x="1111"/>
        <item x="908"/>
        <item x="909"/>
        <item x="910"/>
        <item x="911"/>
        <item x="912"/>
        <item x="172"/>
        <item x="284"/>
        <item x="432"/>
        <item x="494"/>
        <item x="496"/>
        <item m="1" x="1086"/>
        <item x="759"/>
        <item x="760"/>
        <item x="854"/>
        <item x="855"/>
        <item x="856"/>
        <item x="857"/>
        <item x="173"/>
        <item x="609"/>
        <item x="718"/>
        <item x="720"/>
        <item x="722"/>
        <item x="773"/>
        <item m="1" x="1100"/>
        <item x="815"/>
        <item x="907"/>
        <item x="928"/>
        <item x="929"/>
        <item m="1" x="1114"/>
        <item x="930"/>
        <item x="931"/>
        <item x="932"/>
        <item x="175"/>
        <item m="1" x="1074"/>
        <item x="537"/>
        <item x="779"/>
        <item x="780"/>
        <item x="812"/>
        <item x="816"/>
        <item x="867"/>
        <item x="868"/>
        <item x="870"/>
        <item x="871"/>
        <item x="872"/>
        <item x="877"/>
        <item x="878"/>
        <item x="879"/>
        <item x="880"/>
        <item x="882"/>
        <item x="883"/>
        <item x="885"/>
        <item x="914"/>
        <item x="915"/>
        <item x="917"/>
        <item x="937"/>
        <item x="938"/>
        <item x="434"/>
        <item x="751"/>
        <item x="761"/>
        <item x="818"/>
        <item x="881"/>
        <item m="1" x="1110"/>
        <item x="884"/>
        <item m="1" x="1113"/>
        <item x="935"/>
        <item x="936"/>
        <item x="29"/>
        <item x="30"/>
        <item x="31"/>
        <item x="32"/>
        <item x="33"/>
        <item x="34"/>
        <item x="35"/>
        <item x="285"/>
        <item x="333"/>
        <item x="355"/>
        <item x="356"/>
        <item m="1" x="1078"/>
        <item x="433"/>
        <item x="487"/>
        <item x="723"/>
        <item x="724"/>
        <item x="753"/>
        <item x="754"/>
        <item x="781"/>
        <item x="784"/>
        <item x="785"/>
        <item x="819"/>
        <item m="1" x="1104"/>
        <item x="843"/>
        <item x="844"/>
        <item x="845"/>
        <item x="846"/>
        <item x="847"/>
        <item x="848"/>
        <item x="849"/>
        <item x="858"/>
        <item x="859"/>
        <item m="1" x="1107"/>
        <item x="886"/>
        <item x="887"/>
        <item x="888"/>
        <item x="989"/>
        <item x="991"/>
        <item x="889"/>
        <item x="890"/>
        <item x="891"/>
        <item x="905"/>
        <item x="934"/>
        <item x="939"/>
        <item x="545"/>
        <item x="783"/>
        <item x="811"/>
        <item x="893"/>
        <item x="894"/>
        <item m="1" x="1112"/>
        <item x="913"/>
        <item x="201"/>
        <item x="608"/>
        <item x="649"/>
        <item m="1" x="1096"/>
        <item x="762"/>
        <item x="820"/>
        <item x="821"/>
        <item x="822"/>
        <item x="860"/>
        <item x="916"/>
        <item x="940"/>
        <item x="725"/>
        <item x="896"/>
        <item x="897"/>
        <item x="941"/>
        <item x="511"/>
        <item x="898"/>
        <item m="1" x="1063"/>
        <item x="143"/>
        <item x="144"/>
        <item x="145"/>
        <item x="146"/>
        <item x="334"/>
        <item x="823"/>
        <item x="837"/>
        <item x="933"/>
        <item x="63"/>
        <item x="84"/>
        <item x="343"/>
        <item m="1" x="1117"/>
        <item x="546"/>
        <item m="1" x="1090"/>
        <item x="706"/>
        <item x="726"/>
        <item m="1" x="1098"/>
        <item x="892"/>
        <item x="946"/>
        <item x="947"/>
        <item x="948"/>
        <item x="949"/>
        <item x="950"/>
        <item x="951"/>
        <item x="952"/>
        <item x="953"/>
        <item x="955"/>
        <item x="956"/>
        <item x="957"/>
        <item x="958"/>
        <item x="959"/>
        <item x="960"/>
        <item x="1007"/>
        <item x="961"/>
        <item x="962"/>
        <item x="168"/>
        <item x="182"/>
        <item x="261"/>
        <item m="1" x="1069"/>
        <item x="357"/>
        <item m="1" x="1084"/>
        <item x="983"/>
        <item x="807"/>
        <item x="900"/>
        <item x="901"/>
        <item x="954"/>
        <item m="1" x="1055"/>
        <item x="179"/>
        <item x="229"/>
        <item m="1" x="1070"/>
        <item m="1" x="1075"/>
        <item x="383"/>
        <item m="1" x="1083"/>
        <item x="601"/>
        <item x="1006"/>
        <item x="944"/>
        <item m="1" x="1115"/>
        <item x="3"/>
        <item m="1" x="1058"/>
        <item x="85"/>
        <item x="193"/>
        <item x="233"/>
        <item x="252"/>
        <item x="259"/>
        <item m="1" x="1073"/>
        <item x="610"/>
        <item x="752"/>
        <item m="1" x="1099"/>
        <item x="1041"/>
        <item x="817"/>
        <item m="1" x="1106"/>
        <item m="1" x="1109"/>
        <item x="902"/>
        <item x="918"/>
        <item x="945"/>
        <item m="1" x="1116"/>
        <item x="249"/>
        <item x="547"/>
        <item x="680"/>
        <item x="727"/>
        <item x="1019"/>
        <item x="764"/>
        <item x="786"/>
        <item x="787"/>
        <item m="1" x="1118"/>
        <item x="824"/>
        <item x="825"/>
        <item m="1" x="1119"/>
        <item x="899"/>
        <item x="943"/>
        <item m="1" x="1120"/>
        <item m="1" x="1121"/>
        <item x="966"/>
        <item m="1" x="1122"/>
        <item x="326"/>
        <item x="978"/>
        <item x="980"/>
        <item x="564"/>
        <item x="611"/>
        <item m="1" x="1123"/>
        <item x="711"/>
        <item x="763"/>
        <item m="1" x="1124"/>
        <item x="1026"/>
        <item m="1" x="1125"/>
        <item x="964"/>
        <item x="470"/>
        <item x="497"/>
        <item x="524"/>
        <item m="1" x="1126"/>
        <item x="756"/>
        <item x="998"/>
        <item x="922"/>
        <item x="923"/>
        <item x="999"/>
        <item x="924"/>
        <item x="925"/>
        <item x="942"/>
        <item x="202"/>
        <item x="310"/>
        <item x="435"/>
        <item m="1" x="1127"/>
        <item m="1" x="1128"/>
        <item x="554"/>
        <item x="612"/>
        <item x="986"/>
        <item x="755"/>
        <item x="826"/>
        <item x="827"/>
        <item x="829"/>
        <item x="830"/>
        <item m="1" x="1129"/>
        <item x="895"/>
        <item x="904"/>
        <item x="921"/>
        <item x="926"/>
        <item x="963"/>
        <item x="286"/>
        <item x="423"/>
        <item x="526"/>
        <item x="691"/>
        <item x="748"/>
        <item x="828"/>
        <item x="903"/>
        <item x="919"/>
        <item x="920"/>
        <item x="927"/>
        <item x="967"/>
        <item x="968"/>
        <item x="972"/>
        <item x="974"/>
        <item x="975"/>
        <item x="977"/>
        <item x="979"/>
        <item x="982"/>
        <item x="985"/>
        <item x="987"/>
        <item x="988"/>
        <item x="990"/>
        <item x="992"/>
        <item x="993"/>
        <item x="994"/>
        <item x="995"/>
        <item x="996"/>
        <item x="997"/>
        <item x="1000"/>
        <item x="1001"/>
        <item x="1002"/>
        <item x="1003"/>
        <item x="1004"/>
        <item x="1005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21"/>
        <item x="1022"/>
        <item x="1023"/>
        <item x="1024"/>
        <item x="1025"/>
        <item x="1027"/>
        <item x="1028"/>
        <item x="1030"/>
        <item x="1031"/>
        <item x="1032"/>
        <item x="1033"/>
        <item x="1034"/>
        <item x="1035"/>
        <item x="1037"/>
        <item x="1038"/>
        <item x="1039"/>
        <item x="1040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" outline="0" showAll="0"/>
    <pivotField dataField="1"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outline="0" showAll="0"/>
  </pivotFields>
  <rowFields count="1">
    <field x="0"/>
  </rowFields>
  <rowItems count="1055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9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8"/>
    </i>
    <i>
      <x v="209"/>
    </i>
    <i>
      <x v="210"/>
    </i>
    <i>
      <x v="211"/>
    </i>
    <i>
      <x v="212"/>
    </i>
    <i>
      <x v="213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2"/>
    </i>
    <i>
      <x v="313"/>
    </i>
    <i>
      <x v="314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4"/>
    </i>
    <i>
      <x v="646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7"/>
    </i>
    <i>
      <x v="678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9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6"/>
    </i>
    <i>
      <x v="757"/>
    </i>
    <i>
      <x v="758"/>
    </i>
    <i>
      <x v="759"/>
    </i>
    <i>
      <x v="760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8"/>
    </i>
    <i>
      <x v="809"/>
    </i>
    <i>
      <x v="810"/>
    </i>
    <i>
      <x v="811"/>
    </i>
    <i>
      <x v="813"/>
    </i>
    <i>
      <x v="814"/>
    </i>
    <i>
      <x v="815"/>
    </i>
    <i>
      <x v="816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6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900"/>
    </i>
    <i>
      <x v="901"/>
    </i>
    <i>
      <x v="902"/>
    </i>
    <i>
      <x v="903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1"/>
    </i>
    <i>
      <x v="933"/>
    </i>
    <i>
      <x v="934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8"/>
    </i>
    <i>
      <x v="960"/>
    </i>
    <i>
      <x v="961"/>
    </i>
    <i>
      <x v="962"/>
    </i>
    <i>
      <x v="963"/>
    </i>
    <i>
      <x v="964"/>
    </i>
    <i>
      <x v="966"/>
    </i>
    <i>
      <x v="967"/>
    </i>
    <i>
      <x v="970"/>
    </i>
    <i>
      <x v="972"/>
    </i>
    <i>
      <x v="973"/>
    </i>
    <i>
      <x v="974"/>
    </i>
    <i>
      <x v="976"/>
    </i>
    <i>
      <x v="978"/>
    </i>
    <i>
      <x v="979"/>
    </i>
    <i>
      <x v="980"/>
    </i>
    <i>
      <x v="981"/>
    </i>
    <i>
      <x v="982"/>
    </i>
    <i>
      <x v="984"/>
    </i>
    <i>
      <x v="985"/>
    </i>
    <i>
      <x v="987"/>
    </i>
    <i>
      <x v="988"/>
    </i>
    <i>
      <x v="991"/>
    </i>
    <i>
      <x v="992"/>
    </i>
    <i>
      <x v="993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4"/>
    </i>
    <i>
      <x v="1005"/>
    </i>
    <i>
      <x v="1007"/>
    </i>
    <i>
      <x v="1008"/>
    </i>
    <i>
      <x v="1011"/>
    </i>
    <i>
      <x v="1013"/>
    </i>
    <i>
      <x v="1014"/>
    </i>
    <i>
      <x v="1015"/>
    </i>
    <i>
      <x v="1016"/>
    </i>
    <i>
      <x v="1017"/>
    </i>
    <i>
      <x v="1019"/>
    </i>
    <i>
      <x v="1020"/>
    </i>
    <i>
      <x v="1022"/>
    </i>
    <i>
      <x v="1024"/>
    </i>
    <i>
      <x v="1025"/>
    </i>
    <i>
      <x v="1026"/>
    </i>
    <i>
      <x v="1027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MC Volume" fld="4" baseField="0" baseItem="0" numFmtId="1"/>
    <dataField name="Sum of BMC 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C5B52-0787-4DC0-BFC6-A56EC31409A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58" firstHeaderRow="1" firstDataRow="1" firstDataCol="1"/>
  <pivotFields count="36">
    <pivotField showAll="0"/>
    <pivotField showAll="0"/>
    <pivotField showAll="0"/>
    <pivotField showAll="0"/>
    <pivotField axis="axisRow" showAll="0">
      <items count="1224">
        <item x="0"/>
        <item m="1" x="1054"/>
        <item x="1"/>
        <item x="2"/>
        <item x="3"/>
        <item x="4"/>
        <item x="965"/>
        <item x="5"/>
        <item x="1029"/>
        <item x="6"/>
        <item m="1" x="1055"/>
        <item x="7"/>
        <item x="8"/>
        <item x="966"/>
        <item m="1" x="1210"/>
        <item x="9"/>
        <item x="10"/>
        <item x="11"/>
        <item x="12"/>
        <item x="13"/>
        <item x="14"/>
        <item x="15"/>
        <item x="16"/>
        <item m="1" x="1056"/>
        <item x="17"/>
        <item m="1" x="1057"/>
        <item x="18"/>
        <item x="19"/>
        <item x="20"/>
        <item m="1" x="1058"/>
        <item x="21"/>
        <item x="22"/>
        <item x="23"/>
        <item x="24"/>
        <item x="25"/>
        <item x="26"/>
        <item m="1" x="1059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m="1" x="1178"/>
        <item x="42"/>
        <item m="1" x="1060"/>
        <item x="43"/>
        <item x="44"/>
        <item x="45"/>
        <item x="1011"/>
        <item m="1" x="1061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m="1" x="1062"/>
        <item x="64"/>
        <item x="967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m="1" x="1063"/>
        <item x="77"/>
        <item x="78"/>
        <item x="79"/>
        <item m="1" x="1064"/>
        <item x="80"/>
        <item x="81"/>
        <item x="82"/>
        <item x="83"/>
        <item x="86"/>
        <item x="87"/>
        <item x="88"/>
        <item m="1" x="1065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969"/>
        <item x="114"/>
        <item x="115"/>
        <item x="116"/>
        <item x="117"/>
        <item x="970"/>
        <item x="971"/>
        <item m="1" x="1066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m="1" x="1067"/>
        <item x="139"/>
        <item m="1" x="1068"/>
        <item x="140"/>
        <item x="141"/>
        <item x="142"/>
        <item m="1" x="1069"/>
        <item x="147"/>
        <item x="148"/>
        <item x="149"/>
        <item x="150"/>
        <item x="151"/>
        <item x="152"/>
        <item x="153"/>
        <item x="154"/>
        <item x="155"/>
        <item m="1" x="1070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m="1" x="1071"/>
        <item m="1" x="1072"/>
        <item x="169"/>
        <item m="1" x="1073"/>
        <item x="170"/>
        <item x="171"/>
        <item x="172"/>
        <item x="1012"/>
        <item x="173"/>
        <item x="174"/>
        <item x="175"/>
        <item x="176"/>
        <item x="177"/>
        <item x="178"/>
        <item x="180"/>
        <item x="181"/>
        <item m="1" x="1211"/>
        <item x="183"/>
        <item x="184"/>
        <item x="973"/>
        <item x="185"/>
        <item x="186"/>
        <item x="187"/>
        <item x="188"/>
        <item m="1" x="1074"/>
        <item x="189"/>
        <item x="190"/>
        <item x="191"/>
        <item x="192"/>
        <item x="193"/>
        <item x="194"/>
        <item x="1032"/>
        <item x="195"/>
        <item m="1" x="1075"/>
        <item m="1" x="1076"/>
        <item x="196"/>
        <item m="1" x="1077"/>
        <item x="197"/>
        <item x="198"/>
        <item m="1" x="1212"/>
        <item x="199"/>
        <item x="200"/>
        <item m="1" x="1179"/>
        <item x="201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m="1" x="1078"/>
        <item x="214"/>
        <item x="215"/>
        <item x="216"/>
        <item x="217"/>
        <item x="218"/>
        <item x="219"/>
        <item m="1" x="1079"/>
        <item x="220"/>
        <item x="221"/>
        <item x="222"/>
        <item x="223"/>
        <item x="224"/>
        <item x="225"/>
        <item x="226"/>
        <item x="227"/>
        <item x="228"/>
        <item m="1" x="1080"/>
        <item x="230"/>
        <item m="1" x="1081"/>
        <item x="231"/>
        <item x="232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50"/>
        <item x="251"/>
        <item x="252"/>
        <item m="1" x="1082"/>
        <item x="253"/>
        <item x="254"/>
        <item x="255"/>
        <item x="256"/>
        <item x="257"/>
        <item x="258"/>
        <item m="1" x="1083"/>
        <item x="259"/>
        <item x="260"/>
        <item m="1" x="1084"/>
        <item x="262"/>
        <item x="263"/>
        <item x="264"/>
        <item x="265"/>
        <item x="266"/>
        <item x="976"/>
        <item x="267"/>
        <item x="268"/>
        <item x="269"/>
        <item x="270"/>
        <item x="1036"/>
        <item x="271"/>
        <item x="272"/>
        <item x="273"/>
        <item x="274"/>
        <item x="275"/>
        <item x="276"/>
        <item x="277"/>
        <item m="1" x="1085"/>
        <item x="278"/>
        <item x="279"/>
        <item x="280"/>
        <item m="1" x="1180"/>
        <item x="281"/>
        <item x="282"/>
        <item m="1" x="1086"/>
        <item x="283"/>
        <item x="284"/>
        <item x="285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m="1" x="1087"/>
        <item x="308"/>
        <item x="309"/>
        <item m="1" x="1088"/>
        <item x="311"/>
        <item x="312"/>
        <item m="1" x="1089"/>
        <item x="313"/>
        <item x="314"/>
        <item x="315"/>
        <item x="316"/>
        <item m="1" x="1090"/>
        <item x="317"/>
        <item x="318"/>
        <item x="319"/>
        <item x="320"/>
        <item x="321"/>
        <item x="322"/>
        <item x="323"/>
        <item x="324"/>
        <item x="325"/>
        <item m="1" x="1091"/>
        <item x="327"/>
        <item x="328"/>
        <item x="329"/>
        <item x="330"/>
        <item x="331"/>
        <item x="332"/>
        <item x="333"/>
        <item m="1" x="1213"/>
        <item x="335"/>
        <item x="336"/>
        <item x="337"/>
        <item x="338"/>
        <item x="339"/>
        <item m="1" x="1092"/>
        <item x="340"/>
        <item x="341"/>
        <item x="342"/>
        <item x="344"/>
        <item x="345"/>
        <item x="346"/>
        <item x="347"/>
        <item x="348"/>
        <item x="349"/>
        <item x="350"/>
        <item m="1" x="1220"/>
        <item x="351"/>
        <item x="977"/>
        <item x="352"/>
        <item m="1" x="1093"/>
        <item x="353"/>
        <item x="354"/>
        <item m="1" x="1218"/>
        <item x="355"/>
        <item x="356"/>
        <item x="358"/>
        <item x="359"/>
        <item x="360"/>
        <item x="361"/>
        <item x="362"/>
        <item x="363"/>
        <item x="364"/>
        <item x="365"/>
        <item x="366"/>
        <item x="367"/>
        <item m="1" x="1094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4"/>
        <item x="385"/>
        <item m="1" x="1095"/>
        <item x="386"/>
        <item x="387"/>
        <item x="388"/>
        <item m="1" x="1096"/>
        <item x="389"/>
        <item x="390"/>
        <item x="391"/>
        <item m="1" x="1097"/>
        <item x="392"/>
        <item x="393"/>
        <item x="394"/>
        <item x="395"/>
        <item x="978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m="1" x="1098"/>
        <item x="410"/>
        <item x="411"/>
        <item x="412"/>
        <item x="413"/>
        <item m="1" x="1099"/>
        <item x="414"/>
        <item x="1016"/>
        <item x="415"/>
        <item x="416"/>
        <item x="417"/>
        <item x="418"/>
        <item x="419"/>
        <item x="420"/>
        <item x="421"/>
        <item x="422"/>
        <item x="423"/>
        <item m="1" x="1100"/>
        <item x="424"/>
        <item m="1" x="1101"/>
        <item x="425"/>
        <item x="426"/>
        <item x="427"/>
        <item x="428"/>
        <item x="429"/>
        <item x="979"/>
        <item m="1" x="1102"/>
        <item x="430"/>
        <item x="431"/>
        <item x="432"/>
        <item m="1" x="1181"/>
        <item x="433"/>
        <item x="434"/>
        <item x="436"/>
        <item x="437"/>
        <item m="1" x="1103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m="1" x="1182"/>
        <item x="457"/>
        <item m="1" x="1104"/>
        <item x="458"/>
        <item x="459"/>
        <item x="460"/>
        <item x="461"/>
        <item x="462"/>
        <item m="1" x="1105"/>
        <item x="463"/>
        <item x="464"/>
        <item x="465"/>
        <item x="466"/>
        <item x="467"/>
        <item m="1" x="1221"/>
        <item x="468"/>
        <item x="469"/>
        <item x="470"/>
        <item m="1" x="1183"/>
        <item x="471"/>
        <item m="1" x="1184"/>
        <item m="1" x="1106"/>
        <item x="472"/>
        <item x="473"/>
        <item x="474"/>
        <item m="1" x="1185"/>
        <item x="475"/>
        <item x="476"/>
        <item x="477"/>
        <item m="1" x="1186"/>
        <item x="478"/>
        <item x="479"/>
        <item x="480"/>
        <item x="481"/>
        <item x="482"/>
        <item x="483"/>
        <item m="1" x="1187"/>
        <item x="484"/>
        <item x="485"/>
        <item x="486"/>
        <item x="487"/>
        <item m="1" x="1107"/>
        <item x="488"/>
        <item x="489"/>
        <item x="490"/>
        <item x="491"/>
        <item x="492"/>
        <item m="1" x="1188"/>
        <item m="1" x="1189"/>
        <item x="493"/>
        <item x="494"/>
        <item x="495"/>
        <item x="496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m="1" x="1190"/>
        <item x="515"/>
        <item x="516"/>
        <item x="517"/>
        <item x="518"/>
        <item x="519"/>
        <item x="520"/>
        <item x="521"/>
        <item x="522"/>
        <item x="523"/>
        <item m="1" x="1191"/>
        <item x="525"/>
        <item m="1" x="1108"/>
        <item x="526"/>
        <item x="527"/>
        <item x="528"/>
        <item x="529"/>
        <item x="530"/>
        <item x="531"/>
        <item m="1" x="1109"/>
        <item m="1" x="1192"/>
        <item x="532"/>
        <item m="1" x="1110"/>
        <item x="533"/>
        <item m="1" x="1111"/>
        <item x="534"/>
        <item x="535"/>
        <item x="536"/>
        <item x="537"/>
        <item x="538"/>
        <item x="1017"/>
        <item m="1" x="1193"/>
        <item m="1" x="1194"/>
        <item x="539"/>
        <item m="1" x="1195"/>
        <item x="981"/>
        <item m="1" x="1196"/>
        <item x="540"/>
        <item x="541"/>
        <item x="542"/>
        <item m="1" x="1112"/>
        <item x="543"/>
        <item x="544"/>
        <item x="545"/>
        <item x="548"/>
        <item x="549"/>
        <item x="550"/>
        <item x="551"/>
        <item x="552"/>
        <item x="553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m="1" x="1113"/>
        <item x="580"/>
        <item m="1" x="1114"/>
        <item x="581"/>
        <item x="582"/>
        <item x="583"/>
        <item x="584"/>
        <item x="585"/>
        <item x="586"/>
        <item x="587"/>
        <item x="588"/>
        <item m="1" x="1115"/>
        <item x="589"/>
        <item m="1" x="1219"/>
        <item m="1" x="1116"/>
        <item x="590"/>
        <item x="591"/>
        <item x="592"/>
        <item x="593"/>
        <item x="594"/>
        <item x="595"/>
        <item x="596"/>
        <item m="1" x="1117"/>
        <item x="597"/>
        <item x="598"/>
        <item x="599"/>
        <item m="1" x="1118"/>
        <item m="1" x="1119"/>
        <item x="600"/>
        <item m="1" x="1120"/>
        <item x="602"/>
        <item x="603"/>
        <item x="604"/>
        <item x="605"/>
        <item x="606"/>
        <item x="607"/>
        <item x="608"/>
        <item m="1" x="1121"/>
        <item x="609"/>
        <item x="613"/>
        <item m="1" x="1122"/>
        <item m="1" x="112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m="1" x="1197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m="1" x="1124"/>
        <item m="1" x="1125"/>
        <item x="638"/>
        <item x="639"/>
        <item x="640"/>
        <item x="641"/>
        <item x="642"/>
        <item m="1" x="1126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m="1" x="1198"/>
        <item m="1" x="1199"/>
        <item m="1" x="1127"/>
        <item x="659"/>
        <item x="660"/>
        <item x="661"/>
        <item x="662"/>
        <item x="663"/>
        <item x="984"/>
        <item m="1" x="1200"/>
        <item x="664"/>
        <item m="1" x="1201"/>
        <item m="1" x="1128"/>
        <item x="665"/>
        <item x="666"/>
        <item x="667"/>
        <item x="668"/>
        <item x="669"/>
        <item x="670"/>
        <item x="671"/>
        <item x="672"/>
        <item x="673"/>
        <item m="1" x="1129"/>
        <item m="1" x="1202"/>
        <item x="674"/>
        <item x="675"/>
        <item x="676"/>
        <item x="677"/>
        <item x="678"/>
        <item x="679"/>
        <item m="1" x="1203"/>
        <item x="680"/>
        <item x="985"/>
        <item x="681"/>
        <item m="1" x="1204"/>
        <item x="682"/>
        <item x="683"/>
        <item x="684"/>
        <item x="685"/>
        <item x="686"/>
        <item x="687"/>
        <item x="688"/>
        <item x="689"/>
        <item x="690"/>
        <item m="1" x="1130"/>
        <item x="691"/>
        <item x="692"/>
        <item x="693"/>
        <item x="694"/>
        <item m="1" x="1131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m="1" x="1132"/>
        <item x="707"/>
        <item x="708"/>
        <item x="709"/>
        <item x="710"/>
        <item x="711"/>
        <item x="712"/>
        <item x="713"/>
        <item m="1" x="1133"/>
        <item x="714"/>
        <item x="715"/>
        <item x="716"/>
        <item x="717"/>
        <item x="986"/>
        <item m="1" x="1134"/>
        <item x="718"/>
        <item x="719"/>
        <item x="720"/>
        <item x="721"/>
        <item x="722"/>
        <item x="723"/>
        <item x="724"/>
        <item x="725"/>
        <item m="1" x="1214"/>
        <item x="728"/>
        <item x="729"/>
        <item x="730"/>
        <item x="731"/>
        <item x="732"/>
        <item x="733"/>
        <item x="734"/>
        <item m="1" x="1135"/>
        <item x="735"/>
        <item x="736"/>
        <item x="737"/>
        <item x="738"/>
        <item x="739"/>
        <item x="740"/>
        <item x="741"/>
        <item x="742"/>
        <item m="1" x="1136"/>
        <item m="1" x="1137"/>
        <item x="743"/>
        <item m="1" x="1138"/>
        <item x="1019"/>
        <item x="744"/>
        <item x="745"/>
        <item x="746"/>
        <item x="747"/>
        <item x="749"/>
        <item x="750"/>
        <item x="751"/>
        <item x="753"/>
        <item x="754"/>
        <item x="757"/>
        <item x="758"/>
        <item x="759"/>
        <item x="760"/>
        <item x="761"/>
        <item x="762"/>
        <item x="765"/>
        <item x="766"/>
        <item x="767"/>
        <item x="768"/>
        <item m="1" x="1139"/>
        <item x="769"/>
        <item x="770"/>
        <item x="771"/>
        <item x="772"/>
        <item x="773"/>
        <item x="774"/>
        <item x="775"/>
        <item x="776"/>
        <item x="777"/>
        <item x="778"/>
        <item m="1" x="1140"/>
        <item x="779"/>
        <item m="1" x="1141"/>
        <item x="780"/>
        <item m="1" x="1142"/>
        <item x="781"/>
        <item x="782"/>
        <item x="783"/>
        <item x="784"/>
        <item x="785"/>
        <item x="788"/>
        <item x="789"/>
        <item m="1" x="1222"/>
        <item x="790"/>
        <item x="791"/>
        <item x="792"/>
        <item x="793"/>
        <item x="794"/>
        <item m="1" x="1143"/>
        <item m="1" x="1144"/>
        <item x="795"/>
        <item x="796"/>
        <item x="797"/>
        <item x="798"/>
        <item x="799"/>
        <item x="800"/>
        <item x="801"/>
        <item x="802"/>
        <item m="1" x="1145"/>
        <item x="803"/>
        <item x="804"/>
        <item x="805"/>
        <item x="806"/>
        <item m="1" x="1146"/>
        <item m="1" x="1215"/>
        <item x="808"/>
        <item x="809"/>
        <item x="810"/>
        <item x="811"/>
        <item x="812"/>
        <item x="813"/>
        <item x="814"/>
        <item x="815"/>
        <item x="816"/>
        <item x="818"/>
        <item m="1" x="1147"/>
        <item x="819"/>
        <item m="1" x="1148"/>
        <item m="1" x="1149"/>
        <item x="820"/>
        <item x="821"/>
        <item x="822"/>
        <item x="831"/>
        <item x="832"/>
        <item x="833"/>
        <item x="834"/>
        <item m="1" x="1150"/>
        <item m="1" x="1151"/>
        <item x="835"/>
        <item x="836"/>
        <item m="1" x="1216"/>
        <item x="838"/>
        <item x="839"/>
        <item x="840"/>
        <item m="1" x="1152"/>
        <item m="1" x="1205"/>
        <item x="841"/>
        <item x="842"/>
        <item x="843"/>
        <item x="844"/>
        <item x="845"/>
        <item x="846"/>
        <item x="847"/>
        <item x="848"/>
        <item x="849"/>
        <item m="1" x="1153"/>
        <item m="1" x="1154"/>
        <item m="1" x="1155"/>
        <item m="1" x="1156"/>
        <item x="850"/>
        <item x="851"/>
        <item x="852"/>
        <item x="853"/>
        <item x="1049"/>
        <item x="854"/>
        <item x="1050"/>
        <item x="855"/>
        <item x="856"/>
        <item x="857"/>
        <item x="858"/>
        <item x="859"/>
        <item m="1" x="1157"/>
        <item x="860"/>
        <item x="1020"/>
        <item x="861"/>
        <item x="862"/>
        <item x="863"/>
        <item x="864"/>
        <item m="1" x="1158"/>
        <item x="865"/>
        <item x="866"/>
        <item m="1" x="1159"/>
        <item x="867"/>
        <item m="1" x="1160"/>
        <item x="868"/>
        <item x="869"/>
        <item x="870"/>
        <item x="871"/>
        <item x="872"/>
        <item x="873"/>
        <item m="1" x="1161"/>
        <item x="874"/>
        <item x="875"/>
        <item x="876"/>
        <item x="877"/>
        <item x="878"/>
        <item m="1" x="1162"/>
        <item m="1" x="1163"/>
        <item x="879"/>
        <item x="880"/>
        <item x="881"/>
        <item x="882"/>
        <item m="1" x="1164"/>
        <item x="883"/>
        <item m="1" x="1165"/>
        <item x="884"/>
        <item x="885"/>
        <item x="886"/>
        <item x="887"/>
        <item x="888"/>
        <item m="1" x="1166"/>
        <item x="989"/>
        <item x="990"/>
        <item x="991"/>
        <item x="889"/>
        <item x="890"/>
        <item x="891"/>
        <item x="1021"/>
        <item m="1" x="1167"/>
        <item m="1" x="1168"/>
        <item m="1" x="1169"/>
        <item m="1" x="1206"/>
        <item x="893"/>
        <item x="894"/>
        <item x="992"/>
        <item x="895"/>
        <item m="1" x="1207"/>
        <item x="896"/>
        <item x="897"/>
        <item x="898"/>
        <item m="1" x="1170"/>
        <item x="905"/>
        <item x="906"/>
        <item x="907"/>
        <item m="1" x="1171"/>
        <item x="908"/>
        <item x="909"/>
        <item x="910"/>
        <item x="911"/>
        <item x="912"/>
        <item m="1" x="1208"/>
        <item x="913"/>
        <item m="1" x="1172"/>
        <item x="914"/>
        <item x="915"/>
        <item x="916"/>
        <item x="917"/>
        <item m="1" x="1173"/>
        <item x="928"/>
        <item m="1" x="1217"/>
        <item x="929"/>
        <item m="1" x="1174"/>
        <item x="930"/>
        <item x="931"/>
        <item x="932"/>
        <item x="934"/>
        <item x="935"/>
        <item x="936"/>
        <item x="937"/>
        <item x="938"/>
        <item x="939"/>
        <item m="1" x="1175"/>
        <item m="1" x="1176"/>
        <item x="940"/>
        <item m="1" x="1177"/>
        <item x="941"/>
        <item m="1" x="1209"/>
        <item x="63"/>
        <item x="84"/>
        <item x="85"/>
        <item x="143"/>
        <item x="144"/>
        <item x="145"/>
        <item x="146"/>
        <item x="168"/>
        <item x="179"/>
        <item x="182"/>
        <item x="202"/>
        <item x="229"/>
        <item x="233"/>
        <item x="249"/>
        <item x="261"/>
        <item x="286"/>
        <item x="310"/>
        <item x="326"/>
        <item x="334"/>
        <item x="343"/>
        <item x="357"/>
        <item x="383"/>
        <item x="435"/>
        <item x="497"/>
        <item x="524"/>
        <item x="546"/>
        <item x="547"/>
        <item x="554"/>
        <item x="601"/>
        <item x="610"/>
        <item x="611"/>
        <item x="612"/>
        <item x="706"/>
        <item x="726"/>
        <item x="727"/>
        <item x="748"/>
        <item x="752"/>
        <item x="755"/>
        <item x="756"/>
        <item x="763"/>
        <item x="764"/>
        <item x="786"/>
        <item x="787"/>
        <item x="807"/>
        <item x="817"/>
        <item x="823"/>
        <item x="824"/>
        <item x="825"/>
        <item x="826"/>
        <item x="827"/>
        <item x="828"/>
        <item x="829"/>
        <item x="830"/>
        <item x="837"/>
        <item x="892"/>
        <item x="899"/>
        <item x="900"/>
        <item x="901"/>
        <item x="902"/>
        <item x="903"/>
        <item x="904"/>
        <item x="918"/>
        <item x="919"/>
        <item x="920"/>
        <item x="921"/>
        <item x="922"/>
        <item x="923"/>
        <item x="924"/>
        <item x="925"/>
        <item x="926"/>
        <item x="927"/>
        <item x="933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8"/>
        <item x="972"/>
        <item x="974"/>
        <item x="975"/>
        <item x="980"/>
        <item x="982"/>
        <item x="983"/>
        <item x="987"/>
        <item x="988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3"/>
        <item x="1014"/>
        <item x="1015"/>
        <item x="1018"/>
        <item x="1022"/>
        <item x="1023"/>
        <item x="1024"/>
        <item x="1025"/>
        <item x="1026"/>
        <item x="1027"/>
        <item x="1028"/>
        <item x="1030"/>
        <item x="1031"/>
        <item x="1033"/>
        <item x="1034"/>
        <item x="1035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51"/>
        <item x="1052"/>
        <item x="1053"/>
        <item t="default"/>
      </items>
    </pivotField>
    <pivotField showAll="0"/>
    <pivotField showAll="0"/>
    <pivotField showAll="0"/>
    <pivotField numFmtId="1" showAll="0"/>
    <pivotField numFmtId="1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numFmtId="168" showAll="0"/>
    <pivotField numFmtId="168" showAll="0"/>
    <pivotField numFmtId="9" showAll="0"/>
    <pivotField showAll="0"/>
    <pivotField showAll="0"/>
    <pivotField showAll="0"/>
    <pivotField showAll="0"/>
    <pivotField dataField="1" numFmtId="166" showAll="0"/>
  </pivotFields>
  <rowFields count="1">
    <field x="4"/>
  </rowFields>
  <rowItems count="1055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4"/>
    </i>
    <i>
      <x v="26"/>
    </i>
    <i>
      <x v="27"/>
    </i>
    <i>
      <x v="28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>
      <x v="55"/>
    </i>
    <i>
      <x v="56"/>
    </i>
    <i>
      <x v="57"/>
    </i>
    <i>
      <x v="58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3"/>
    </i>
    <i>
      <x v="94"/>
    </i>
    <i>
      <x v="95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60"/>
    </i>
    <i>
      <x v="162"/>
    </i>
    <i>
      <x v="163"/>
    </i>
    <i>
      <x v="164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90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3"/>
    </i>
    <i>
      <x v="225"/>
    </i>
    <i>
      <x v="226"/>
    </i>
    <i>
      <x v="228"/>
    </i>
    <i>
      <x v="229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4"/>
    </i>
    <i>
      <x v="245"/>
    </i>
    <i>
      <x v="246"/>
    </i>
    <i>
      <x v="247"/>
    </i>
    <i>
      <x v="248"/>
    </i>
    <i>
      <x v="249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1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4"/>
    </i>
    <i>
      <x v="285"/>
    </i>
    <i>
      <x v="286"/>
    </i>
    <i>
      <x v="287"/>
    </i>
    <i>
      <x v="288"/>
    </i>
    <i>
      <x v="289"/>
    </i>
    <i>
      <x v="291"/>
    </i>
    <i>
      <x v="292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3"/>
    </i>
    <i>
      <x v="314"/>
    </i>
    <i>
      <x v="315"/>
    </i>
    <i>
      <x v="317"/>
    </i>
    <i>
      <x v="318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5"/>
    </i>
    <i>
      <x v="346"/>
    </i>
    <i>
      <x v="348"/>
    </i>
    <i>
      <x v="349"/>
    </i>
    <i>
      <x v="351"/>
    </i>
    <i>
      <x v="352"/>
    </i>
    <i>
      <x v="353"/>
    </i>
    <i>
      <x v="354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4"/>
    </i>
    <i>
      <x v="375"/>
    </i>
    <i>
      <x v="376"/>
    </i>
    <i>
      <x v="377"/>
    </i>
    <i>
      <x v="378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1"/>
    </i>
    <i>
      <x v="392"/>
    </i>
    <i>
      <x v="393"/>
    </i>
    <i>
      <x v="395"/>
    </i>
    <i>
      <x v="396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9"/>
    </i>
    <i>
      <x v="430"/>
    </i>
    <i>
      <x v="431"/>
    </i>
    <i>
      <x v="433"/>
    </i>
    <i>
      <x v="434"/>
    </i>
    <i>
      <x v="435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7"/>
    </i>
    <i>
      <x v="458"/>
    </i>
    <i>
      <x v="459"/>
    </i>
    <i>
      <x v="460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4"/>
    </i>
    <i>
      <x v="476"/>
    </i>
    <i>
      <x v="477"/>
    </i>
    <i>
      <x v="478"/>
    </i>
    <i>
      <x v="479"/>
    </i>
    <i>
      <x v="480"/>
    </i>
    <i>
      <x v="481"/>
    </i>
    <i>
      <x v="483"/>
    </i>
    <i>
      <x v="484"/>
    </i>
    <i>
      <x v="485"/>
    </i>
    <i>
      <x v="487"/>
    </i>
    <i>
      <x v="488"/>
    </i>
    <i>
      <x v="489"/>
    </i>
    <i>
      <x v="490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2"/>
    </i>
    <i>
      <x v="514"/>
    </i>
    <i>
      <x v="515"/>
    </i>
    <i>
      <x v="516"/>
    </i>
    <i>
      <x v="517"/>
    </i>
    <i>
      <x v="518"/>
    </i>
    <i>
      <x v="520"/>
    </i>
    <i>
      <x v="521"/>
    </i>
    <i>
      <x v="522"/>
    </i>
    <i>
      <x v="523"/>
    </i>
    <i>
      <x v="524"/>
    </i>
    <i>
      <x v="526"/>
    </i>
    <i>
      <x v="527"/>
    </i>
    <i>
      <x v="528"/>
    </i>
    <i>
      <x v="530"/>
    </i>
    <i>
      <x v="533"/>
    </i>
    <i>
      <x v="534"/>
    </i>
    <i>
      <x v="535"/>
    </i>
    <i>
      <x v="537"/>
    </i>
    <i>
      <x v="538"/>
    </i>
    <i>
      <x v="539"/>
    </i>
    <i>
      <x v="541"/>
    </i>
    <i>
      <x v="542"/>
    </i>
    <i>
      <x v="543"/>
    </i>
    <i>
      <x v="544"/>
    </i>
    <i>
      <x v="545"/>
    </i>
    <i>
      <x v="546"/>
    </i>
    <i>
      <x v="548"/>
    </i>
    <i>
      <x v="549"/>
    </i>
    <i>
      <x v="550"/>
    </i>
    <i>
      <x v="551"/>
    </i>
    <i>
      <x v="553"/>
    </i>
    <i>
      <x v="554"/>
    </i>
    <i>
      <x v="555"/>
    </i>
    <i>
      <x v="556"/>
    </i>
    <i>
      <x v="557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2"/>
    </i>
    <i>
      <x v="594"/>
    </i>
    <i>
      <x v="595"/>
    </i>
    <i>
      <x v="596"/>
    </i>
    <i>
      <x v="597"/>
    </i>
    <i>
      <x v="598"/>
    </i>
    <i>
      <x v="599"/>
    </i>
    <i>
      <x v="602"/>
    </i>
    <i>
      <x v="604"/>
    </i>
    <i>
      <x v="606"/>
    </i>
    <i>
      <x v="607"/>
    </i>
    <i>
      <x v="608"/>
    </i>
    <i>
      <x v="609"/>
    </i>
    <i>
      <x v="610"/>
    </i>
    <i>
      <x v="611"/>
    </i>
    <i>
      <x v="614"/>
    </i>
    <i>
      <x v="616"/>
    </i>
    <i>
      <x v="618"/>
    </i>
    <i>
      <x v="619"/>
    </i>
    <i>
      <x v="620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7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8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9"/>
    </i>
    <i>
      <x v="680"/>
    </i>
    <i>
      <x v="681"/>
    </i>
    <i>
      <x v="684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4"/>
    </i>
    <i>
      <x v="695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5"/>
    </i>
    <i>
      <x v="726"/>
    </i>
    <i>
      <x v="727"/>
    </i>
    <i>
      <x v="728"/>
    </i>
    <i>
      <x v="729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50"/>
    </i>
    <i>
      <x v="751"/>
    </i>
    <i>
      <x v="752"/>
    </i>
    <i>
      <x v="753"/>
    </i>
    <i>
      <x v="754"/>
    </i>
    <i>
      <x v="755"/>
    </i>
    <i>
      <x v="757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71"/>
    </i>
    <i>
      <x v="772"/>
    </i>
    <i>
      <x v="773"/>
    </i>
    <i>
      <x v="774"/>
    </i>
    <i>
      <x v="775"/>
    </i>
    <i>
      <x v="776"/>
    </i>
    <i>
      <x v="778"/>
    </i>
    <i>
      <x v="779"/>
    </i>
    <i>
      <x v="780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2"/>
    </i>
    <i>
      <x v="793"/>
    </i>
    <i>
      <x v="794"/>
    </i>
    <i>
      <x v="795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7"/>
    </i>
    <i>
      <x v="818"/>
    </i>
    <i>
      <x v="819"/>
    </i>
    <i>
      <x v="820"/>
    </i>
    <i>
      <x v="821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50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4"/>
    </i>
    <i>
      <x v="886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6"/>
    </i>
    <i>
      <x v="897"/>
    </i>
    <i>
      <x v="898"/>
    </i>
    <i>
      <x v="899"/>
    </i>
    <i>
      <x v="900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2"/>
    </i>
    <i>
      <x v="913"/>
    </i>
    <i>
      <x v="914"/>
    </i>
    <i>
      <x v="915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9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41"/>
    </i>
    <i>
      <x v="942"/>
    </i>
    <i>
      <x v="944"/>
    </i>
    <i>
      <x v="945"/>
    </i>
    <i>
      <x v="946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5"/>
    </i>
    <i>
      <x v="976"/>
    </i>
    <i>
      <x v="977"/>
    </i>
    <i>
      <x v="978"/>
    </i>
    <i>
      <x v="979"/>
    </i>
    <i>
      <x v="980"/>
    </i>
    <i>
      <x v="982"/>
    </i>
    <i>
      <x v="983"/>
    </i>
    <i>
      <x v="985"/>
    </i>
    <i>
      <x v="987"/>
    </i>
    <i>
      <x v="988"/>
    </i>
    <i>
      <x v="989"/>
    </i>
    <i>
      <x v="990"/>
    </i>
    <i>
      <x v="991"/>
    </i>
    <i>
      <x v="992"/>
    </i>
    <i>
      <x v="994"/>
    </i>
    <i>
      <x v="995"/>
    </i>
    <i>
      <x v="996"/>
    </i>
    <i>
      <x v="997"/>
    </i>
    <i>
      <x v="998"/>
    </i>
    <i>
      <x v="1001"/>
    </i>
    <i>
      <x v="1002"/>
    </i>
    <i>
      <x v="1003"/>
    </i>
    <i>
      <x v="1004"/>
    </i>
    <i>
      <x v="1006"/>
    </i>
    <i>
      <x v="1008"/>
    </i>
    <i>
      <x v="1009"/>
    </i>
    <i>
      <x v="1010"/>
    </i>
    <i>
      <x v="1011"/>
    </i>
    <i>
      <x v="1012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5"/>
    </i>
    <i>
      <x v="1026"/>
    </i>
    <i>
      <x v="1027"/>
    </i>
    <i>
      <x v="1028"/>
    </i>
    <i>
      <x v="1030"/>
    </i>
    <i>
      <x v="1031"/>
    </i>
    <i>
      <x v="1032"/>
    </i>
    <i>
      <x v="1034"/>
    </i>
    <i>
      <x v="1035"/>
    </i>
    <i>
      <x v="1036"/>
    </i>
    <i>
      <x v="1038"/>
    </i>
    <i>
      <x v="1039"/>
    </i>
    <i>
      <x v="1040"/>
    </i>
    <i>
      <x v="1041"/>
    </i>
    <i>
      <x v="1042"/>
    </i>
    <i>
      <x v="1044"/>
    </i>
    <i>
      <x v="1046"/>
    </i>
    <i>
      <x v="1047"/>
    </i>
    <i>
      <x v="1048"/>
    </i>
    <i>
      <x v="1049"/>
    </i>
    <i>
      <x v="1051"/>
    </i>
    <i>
      <x v="1053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6"/>
    </i>
    <i>
      <x v="1068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 t="grand">
      <x/>
    </i>
  </rowItems>
  <colItems count="1">
    <i/>
  </colItems>
  <dataFields count="1">
    <dataField name="Sum of EMI Recovery" fld="35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1">
    <wetp:webextensionref xmlns:r="http://schemas.openxmlformats.org/officeDocument/2006/relationships" r:id="rId1"/>
  </wetp:taskpane>
  <wetp:taskpane dockstate="right" visibility="0" width="350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D78EE1E-0BF7-4485-AB61-341C369628D4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E9C7C25E-CD88-41B5-857E-8A3AD6459070}">
  <we:reference id="wa200001584" version="2.8.1.5" store="en-US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9DFC-757A-43C5-8C36-52D9FA71593F}">
  <dimension ref="A1:R8"/>
  <sheetViews>
    <sheetView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4" sqref="A4:R6"/>
    </sheetView>
  </sheetViews>
  <sheetFormatPr defaultRowHeight="15" x14ac:dyDescent="0.25"/>
  <cols>
    <col min="1" max="1" width="15.5703125" bestFit="1" customWidth="1"/>
    <col min="2" max="2" width="33" customWidth="1"/>
    <col min="3" max="3" width="12" customWidth="1"/>
    <col min="4" max="4" width="12.7109375" customWidth="1"/>
    <col min="5" max="5" width="12.5703125" customWidth="1"/>
    <col min="6" max="6" width="11.42578125" customWidth="1"/>
    <col min="7" max="7" width="12.42578125" customWidth="1"/>
    <col min="8" max="8" width="10.42578125" customWidth="1"/>
    <col min="9" max="9" width="11" customWidth="1"/>
    <col min="10" max="10" width="12" customWidth="1"/>
    <col min="11" max="11" width="10.42578125" customWidth="1"/>
    <col min="12" max="12" width="10.5703125" customWidth="1"/>
    <col min="13" max="13" width="9.28515625" customWidth="1"/>
    <col min="14" max="14" width="8.5703125" bestFit="1" customWidth="1"/>
    <col min="15" max="15" width="12.85546875" customWidth="1"/>
    <col min="16" max="16" width="11.28515625" customWidth="1"/>
    <col min="17" max="17" width="10" customWidth="1"/>
    <col min="18" max="18" width="11.7109375" bestFit="1" customWidth="1"/>
  </cols>
  <sheetData>
    <row r="1" spans="1:18" x14ac:dyDescent="0.25">
      <c r="A1" t="s">
        <v>78</v>
      </c>
      <c r="B1" t="s">
        <v>1203</v>
      </c>
      <c r="C1" s="245" t="s">
        <v>1201</v>
      </c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186"/>
    </row>
    <row r="3" spans="1:18" hidden="1" x14ac:dyDescent="0.25">
      <c r="C3" t="s">
        <v>77</v>
      </c>
    </row>
    <row r="4" spans="1:18" ht="41.25" customHeight="1" x14ac:dyDescent="0.25">
      <c r="A4" t="s">
        <v>0</v>
      </c>
      <c r="B4" t="s">
        <v>1</v>
      </c>
      <c r="C4" s="3" t="s">
        <v>79</v>
      </c>
      <c r="D4" s="3" t="s">
        <v>80</v>
      </c>
      <c r="E4" s="3" t="s">
        <v>81</v>
      </c>
      <c r="F4" s="3" t="s">
        <v>82</v>
      </c>
      <c r="G4" s="3" t="s">
        <v>83</v>
      </c>
      <c r="H4" s="3" t="s">
        <v>1149</v>
      </c>
      <c r="I4" s="3" t="s">
        <v>84</v>
      </c>
      <c r="J4" s="3" t="s">
        <v>85</v>
      </c>
      <c r="K4" s="3" t="s">
        <v>86</v>
      </c>
      <c r="L4" s="3" t="s">
        <v>87</v>
      </c>
      <c r="M4" s="3" t="s">
        <v>88</v>
      </c>
      <c r="N4" s="3" t="s">
        <v>1146</v>
      </c>
      <c r="O4" s="3" t="s">
        <v>89</v>
      </c>
      <c r="P4" s="3" t="s">
        <v>1147</v>
      </c>
      <c r="Q4" s="3" t="s">
        <v>1148</v>
      </c>
      <c r="R4" s="3" t="s">
        <v>90</v>
      </c>
    </row>
    <row r="5" spans="1:18" x14ac:dyDescent="0.25">
      <c r="A5">
        <v>10120099</v>
      </c>
      <c r="B5" t="s">
        <v>525</v>
      </c>
      <c r="C5" s="6">
        <v>11844.5</v>
      </c>
      <c r="D5" s="6">
        <v>450545.24</v>
      </c>
      <c r="E5" s="6">
        <v>8883.375</v>
      </c>
      <c r="F5" s="6">
        <v>11252.275</v>
      </c>
      <c r="G5" s="6">
        <v>0</v>
      </c>
      <c r="H5" s="6">
        <v>1184.45</v>
      </c>
      <c r="I5" s="92">
        <v>0</v>
      </c>
      <c r="J5" s="6">
        <v>18951</v>
      </c>
      <c r="K5" s="92">
        <v>0</v>
      </c>
      <c r="L5" s="92">
        <v>0</v>
      </c>
      <c r="M5" s="92">
        <v>0</v>
      </c>
      <c r="N5" s="92">
        <v>0</v>
      </c>
      <c r="O5" s="6">
        <v>0</v>
      </c>
      <c r="P5" s="92">
        <v>18951</v>
      </c>
      <c r="Q5" s="92">
        <v>0</v>
      </c>
      <c r="R5" s="92">
        <v>18951</v>
      </c>
    </row>
    <row r="6" spans="1:18" x14ac:dyDescent="0.25">
      <c r="A6" t="s">
        <v>1202</v>
      </c>
      <c r="C6" s="6">
        <v>11844.5</v>
      </c>
      <c r="D6" s="6">
        <v>450545.24</v>
      </c>
      <c r="E6" s="6">
        <v>8883.375</v>
      </c>
      <c r="F6" s="6">
        <v>11252.275</v>
      </c>
      <c r="G6" s="6">
        <v>0</v>
      </c>
      <c r="H6" s="6">
        <v>1184.45</v>
      </c>
      <c r="I6" s="92">
        <v>0</v>
      </c>
      <c r="J6" s="6">
        <v>18951</v>
      </c>
      <c r="K6" s="92">
        <v>0</v>
      </c>
      <c r="L6" s="92">
        <v>0</v>
      </c>
      <c r="M6" s="92">
        <v>0</v>
      </c>
      <c r="N6" s="92">
        <v>0</v>
      </c>
      <c r="O6" s="6">
        <v>0</v>
      </c>
      <c r="P6" s="92">
        <v>18951</v>
      </c>
      <c r="Q6" s="92">
        <v>0</v>
      </c>
      <c r="R6" s="92">
        <v>18951</v>
      </c>
    </row>
    <row r="7" spans="1:18" x14ac:dyDescent="0.25">
      <c r="C7" s="6"/>
      <c r="D7" s="6"/>
      <c r="E7" s="6"/>
      <c r="F7" s="6"/>
      <c r="G7" s="6"/>
      <c r="H7" s="6"/>
      <c r="I7" s="92"/>
      <c r="J7" s="6"/>
      <c r="K7" s="92"/>
      <c r="L7" s="92"/>
      <c r="M7" s="92"/>
      <c r="N7" s="92"/>
      <c r="O7" s="6"/>
      <c r="P7" s="92"/>
      <c r="Q7" s="92"/>
      <c r="R7" s="92"/>
    </row>
    <row r="8" spans="1:18" x14ac:dyDescent="0.25">
      <c r="A8" t="s">
        <v>76</v>
      </c>
      <c r="C8" s="6">
        <v>11844.5</v>
      </c>
      <c r="D8" s="6">
        <v>450545.24</v>
      </c>
      <c r="E8" s="6">
        <v>8883.375</v>
      </c>
      <c r="F8" s="6">
        <v>11252.275</v>
      </c>
      <c r="G8" s="6">
        <v>0</v>
      </c>
      <c r="H8" s="6">
        <v>1184.45</v>
      </c>
      <c r="I8" s="92">
        <v>0</v>
      </c>
      <c r="J8" s="6">
        <v>18951</v>
      </c>
      <c r="K8" s="92">
        <v>0</v>
      </c>
      <c r="L8" s="92">
        <v>0</v>
      </c>
      <c r="M8" s="92">
        <v>0</v>
      </c>
      <c r="N8" s="92">
        <v>0</v>
      </c>
      <c r="O8" s="6">
        <v>0</v>
      </c>
      <c r="P8" s="92">
        <v>18951</v>
      </c>
      <c r="Q8" s="92">
        <v>0</v>
      </c>
      <c r="R8" s="92">
        <v>18951</v>
      </c>
    </row>
  </sheetData>
  <mergeCells count="1">
    <mergeCell ref="C1:Q1"/>
  </mergeCells>
  <pageMargins left="0.118110236220472" right="0.15748031496063" top="0.39370078740157499" bottom="0.74803149606299202" header="0.196850393700787" footer="0.31496062992126"/>
  <pageSetup scale="6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V1083"/>
  <sheetViews>
    <sheetView tabSelected="1" topLeftCell="A2" zoomScale="85" zoomScaleNormal="80" workbookViewId="0">
      <pane xSplit="5" ySplit="2" topLeftCell="Q4" activePane="bottomRight" state="frozen"/>
      <selection activeCell="A2" sqref="A2"/>
      <selection pane="topRight" activeCell="F1" sqref="F1"/>
      <selection pane="bottomLeft" activeCell="A4" sqref="A4"/>
      <selection pane="bottomRight" activeCell="D3" sqref="D3"/>
    </sheetView>
  </sheetViews>
  <sheetFormatPr defaultColWidth="6.28515625" defaultRowHeight="15" x14ac:dyDescent="0.25"/>
  <cols>
    <col min="1" max="1" width="12.140625" bestFit="1" customWidth="1"/>
    <col min="2" max="2" width="15.140625" bestFit="1" customWidth="1"/>
    <col min="3" max="3" width="13.7109375" customWidth="1"/>
    <col min="4" max="4" width="11.7109375" style="15" bestFit="1" customWidth="1"/>
    <col min="5" max="5" width="43" customWidth="1"/>
    <col min="6" max="6" width="16.85546875" style="15" customWidth="1"/>
    <col min="7" max="9" width="12.42578125" customWidth="1"/>
    <col min="10" max="10" width="16.7109375" bestFit="1" customWidth="1"/>
    <col min="11" max="11" width="12.42578125" style="15" customWidth="1"/>
    <col min="12" max="13" width="12.42578125" customWidth="1"/>
    <col min="14" max="14" width="19.140625" bestFit="1" customWidth="1"/>
    <col min="15" max="15" width="12.42578125" customWidth="1"/>
    <col min="16" max="17" width="14.5703125" customWidth="1"/>
    <col min="18" max="18" width="13" customWidth="1"/>
    <col min="19" max="19" width="13.85546875" customWidth="1"/>
    <col min="20" max="20" width="15.85546875" customWidth="1"/>
    <col min="21" max="21" width="12" customWidth="1"/>
    <col min="22" max="22" width="14.42578125" customWidth="1"/>
    <col min="23" max="23" width="13.5703125" customWidth="1"/>
    <col min="24" max="24" width="13" customWidth="1"/>
    <col min="25" max="25" width="11.28515625" customWidth="1"/>
    <col min="26" max="26" width="12.42578125" bestFit="1" customWidth="1"/>
    <col min="27" max="27" width="13" customWidth="1"/>
    <col min="28" max="28" width="13.140625" customWidth="1"/>
    <col min="29" max="29" width="18.85546875" bestFit="1" customWidth="1"/>
    <col min="30" max="30" width="17.140625" bestFit="1" customWidth="1"/>
    <col min="31" max="31" width="13" customWidth="1"/>
    <col min="32" max="32" width="9.85546875" customWidth="1"/>
    <col min="33" max="33" width="10.7109375" style="99" customWidth="1"/>
    <col min="34" max="34" width="51.7109375" style="99" bestFit="1" customWidth="1"/>
    <col min="35" max="35" width="10.7109375" style="99" customWidth="1"/>
    <col min="36" max="36" width="46" style="99" customWidth="1"/>
    <col min="37" max="39" width="10.7109375" style="20" customWidth="1"/>
    <col min="40" max="40" width="11.28515625" bestFit="1" customWidth="1"/>
    <col min="41" max="42" width="10.7109375" customWidth="1"/>
    <col min="43" max="43" width="20.140625" bestFit="1" customWidth="1"/>
    <col min="44" max="44" width="10.140625" bestFit="1" customWidth="1"/>
    <col min="45" max="45" width="8.5703125" bestFit="1" customWidth="1"/>
    <col min="46" max="46" width="9.140625" bestFit="1" customWidth="1"/>
    <col min="47" max="47" width="10.28515625" bestFit="1" customWidth="1"/>
    <col min="48" max="48" width="12" bestFit="1" customWidth="1"/>
    <col min="126" max="126" width="7.7109375" bestFit="1" customWidth="1"/>
    <col min="127" max="127" width="37.7109375" bestFit="1" customWidth="1"/>
    <col min="128" max="128" width="12" customWidth="1"/>
    <col min="129" max="129" width="11.28515625" customWidth="1"/>
    <col min="130" max="130" width="8.42578125" bestFit="1" customWidth="1"/>
    <col min="131" max="131" width="6.28515625" customWidth="1"/>
    <col min="132" max="132" width="15.28515625" customWidth="1"/>
    <col min="133" max="133" width="12.7109375" customWidth="1"/>
    <col min="134" max="134" width="15.7109375" customWidth="1"/>
    <col min="135" max="144" width="12.7109375" customWidth="1"/>
    <col min="382" max="382" width="7.7109375" bestFit="1" customWidth="1"/>
    <col min="383" max="383" width="37.7109375" bestFit="1" customWidth="1"/>
    <col min="384" max="384" width="12" customWidth="1"/>
    <col min="385" max="385" width="11.28515625" customWidth="1"/>
    <col min="386" max="386" width="8.42578125" bestFit="1" customWidth="1"/>
    <col min="387" max="387" width="6.28515625" customWidth="1"/>
    <col min="388" max="388" width="15.28515625" customWidth="1"/>
    <col min="389" max="389" width="12.7109375" customWidth="1"/>
    <col min="390" max="390" width="15.7109375" customWidth="1"/>
    <col min="391" max="400" width="12.7109375" customWidth="1"/>
    <col min="638" max="638" width="7.7109375" bestFit="1" customWidth="1"/>
    <col min="639" max="639" width="37.7109375" bestFit="1" customWidth="1"/>
    <col min="640" max="640" width="12" customWidth="1"/>
    <col min="641" max="641" width="11.28515625" customWidth="1"/>
    <col min="642" max="642" width="8.42578125" bestFit="1" customWidth="1"/>
    <col min="643" max="643" width="6.28515625" customWidth="1"/>
    <col min="644" max="644" width="15.28515625" customWidth="1"/>
    <col min="645" max="645" width="12.7109375" customWidth="1"/>
    <col min="646" max="646" width="15.7109375" customWidth="1"/>
    <col min="647" max="656" width="12.7109375" customWidth="1"/>
    <col min="894" max="894" width="7.7109375" bestFit="1" customWidth="1"/>
    <col min="895" max="895" width="37.7109375" bestFit="1" customWidth="1"/>
    <col min="896" max="896" width="12" customWidth="1"/>
    <col min="897" max="897" width="11.28515625" customWidth="1"/>
    <col min="898" max="898" width="8.42578125" bestFit="1" customWidth="1"/>
    <col min="899" max="899" width="6.28515625" customWidth="1"/>
    <col min="900" max="900" width="15.28515625" customWidth="1"/>
    <col min="901" max="901" width="12.7109375" customWidth="1"/>
    <col min="902" max="902" width="15.7109375" customWidth="1"/>
    <col min="903" max="912" width="12.7109375" customWidth="1"/>
    <col min="1150" max="1150" width="7.7109375" bestFit="1" customWidth="1"/>
    <col min="1151" max="1151" width="37.7109375" bestFit="1" customWidth="1"/>
    <col min="1152" max="1152" width="12" customWidth="1"/>
    <col min="1153" max="1153" width="11.28515625" customWidth="1"/>
    <col min="1154" max="1154" width="8.42578125" bestFit="1" customWidth="1"/>
    <col min="1155" max="1155" width="6.28515625" customWidth="1"/>
    <col min="1156" max="1156" width="15.28515625" customWidth="1"/>
    <col min="1157" max="1157" width="12.7109375" customWidth="1"/>
    <col min="1158" max="1158" width="15.7109375" customWidth="1"/>
    <col min="1159" max="1168" width="12.7109375" customWidth="1"/>
    <col min="1406" max="1406" width="7.7109375" bestFit="1" customWidth="1"/>
    <col min="1407" max="1407" width="37.7109375" bestFit="1" customWidth="1"/>
    <col min="1408" max="1408" width="12" customWidth="1"/>
    <col min="1409" max="1409" width="11.28515625" customWidth="1"/>
    <col min="1410" max="1410" width="8.42578125" bestFit="1" customWidth="1"/>
    <col min="1411" max="1411" width="6.28515625" customWidth="1"/>
    <col min="1412" max="1412" width="15.28515625" customWidth="1"/>
    <col min="1413" max="1413" width="12.7109375" customWidth="1"/>
    <col min="1414" max="1414" width="15.7109375" customWidth="1"/>
    <col min="1415" max="1424" width="12.7109375" customWidth="1"/>
    <col min="1662" max="1662" width="7.7109375" bestFit="1" customWidth="1"/>
    <col min="1663" max="1663" width="37.7109375" bestFit="1" customWidth="1"/>
    <col min="1664" max="1664" width="12" customWidth="1"/>
    <col min="1665" max="1665" width="11.28515625" customWidth="1"/>
    <col min="1666" max="1666" width="8.42578125" bestFit="1" customWidth="1"/>
    <col min="1667" max="1667" width="6.28515625" customWidth="1"/>
    <col min="1668" max="1668" width="15.28515625" customWidth="1"/>
    <col min="1669" max="1669" width="12.7109375" customWidth="1"/>
    <col min="1670" max="1670" width="15.7109375" customWidth="1"/>
    <col min="1671" max="1680" width="12.7109375" customWidth="1"/>
    <col min="1918" max="1918" width="7.7109375" bestFit="1" customWidth="1"/>
    <col min="1919" max="1919" width="37.7109375" bestFit="1" customWidth="1"/>
    <col min="1920" max="1920" width="12" customWidth="1"/>
    <col min="1921" max="1921" width="11.28515625" customWidth="1"/>
    <col min="1922" max="1922" width="8.42578125" bestFit="1" customWidth="1"/>
    <col min="1923" max="1923" width="6.28515625" customWidth="1"/>
    <col min="1924" max="1924" width="15.28515625" customWidth="1"/>
    <col min="1925" max="1925" width="12.7109375" customWidth="1"/>
    <col min="1926" max="1926" width="15.7109375" customWidth="1"/>
    <col min="1927" max="1936" width="12.7109375" customWidth="1"/>
    <col min="2174" max="2174" width="7.7109375" bestFit="1" customWidth="1"/>
    <col min="2175" max="2175" width="37.7109375" bestFit="1" customWidth="1"/>
    <col min="2176" max="2176" width="12" customWidth="1"/>
    <col min="2177" max="2177" width="11.28515625" customWidth="1"/>
    <col min="2178" max="2178" width="8.42578125" bestFit="1" customWidth="1"/>
    <col min="2179" max="2179" width="6.28515625" customWidth="1"/>
    <col min="2180" max="2180" width="15.28515625" customWidth="1"/>
    <col min="2181" max="2181" width="12.7109375" customWidth="1"/>
    <col min="2182" max="2182" width="15.7109375" customWidth="1"/>
    <col min="2183" max="2192" width="12.7109375" customWidth="1"/>
    <col min="2430" max="2430" width="7.7109375" bestFit="1" customWidth="1"/>
    <col min="2431" max="2431" width="37.7109375" bestFit="1" customWidth="1"/>
    <col min="2432" max="2432" width="12" customWidth="1"/>
    <col min="2433" max="2433" width="11.28515625" customWidth="1"/>
    <col min="2434" max="2434" width="8.42578125" bestFit="1" customWidth="1"/>
    <col min="2435" max="2435" width="6.28515625" customWidth="1"/>
    <col min="2436" max="2436" width="15.28515625" customWidth="1"/>
    <col min="2437" max="2437" width="12.7109375" customWidth="1"/>
    <col min="2438" max="2438" width="15.7109375" customWidth="1"/>
    <col min="2439" max="2448" width="12.7109375" customWidth="1"/>
    <col min="2686" max="2686" width="7.7109375" bestFit="1" customWidth="1"/>
    <col min="2687" max="2687" width="37.7109375" bestFit="1" customWidth="1"/>
    <col min="2688" max="2688" width="12" customWidth="1"/>
    <col min="2689" max="2689" width="11.28515625" customWidth="1"/>
    <col min="2690" max="2690" width="8.42578125" bestFit="1" customWidth="1"/>
    <col min="2691" max="2691" width="6.28515625" customWidth="1"/>
    <col min="2692" max="2692" width="15.28515625" customWidth="1"/>
    <col min="2693" max="2693" width="12.7109375" customWidth="1"/>
    <col min="2694" max="2694" width="15.7109375" customWidth="1"/>
    <col min="2695" max="2704" width="12.7109375" customWidth="1"/>
    <col min="2942" max="2942" width="7.7109375" bestFit="1" customWidth="1"/>
    <col min="2943" max="2943" width="37.7109375" bestFit="1" customWidth="1"/>
    <col min="2944" max="2944" width="12" customWidth="1"/>
    <col min="2945" max="2945" width="11.28515625" customWidth="1"/>
    <col min="2946" max="2946" width="8.42578125" bestFit="1" customWidth="1"/>
    <col min="2947" max="2947" width="6.28515625" customWidth="1"/>
    <col min="2948" max="2948" width="15.28515625" customWidth="1"/>
    <col min="2949" max="2949" width="12.7109375" customWidth="1"/>
    <col min="2950" max="2950" width="15.7109375" customWidth="1"/>
    <col min="2951" max="2960" width="12.7109375" customWidth="1"/>
    <col min="3198" max="3198" width="7.7109375" bestFit="1" customWidth="1"/>
    <col min="3199" max="3199" width="37.7109375" bestFit="1" customWidth="1"/>
    <col min="3200" max="3200" width="12" customWidth="1"/>
    <col min="3201" max="3201" width="11.28515625" customWidth="1"/>
    <col min="3202" max="3202" width="8.42578125" bestFit="1" customWidth="1"/>
    <col min="3203" max="3203" width="6.28515625" customWidth="1"/>
    <col min="3204" max="3204" width="15.28515625" customWidth="1"/>
    <col min="3205" max="3205" width="12.7109375" customWidth="1"/>
    <col min="3206" max="3206" width="15.7109375" customWidth="1"/>
    <col min="3207" max="3216" width="12.7109375" customWidth="1"/>
    <col min="3454" max="3454" width="7.7109375" bestFit="1" customWidth="1"/>
    <col min="3455" max="3455" width="37.7109375" bestFit="1" customWidth="1"/>
    <col min="3456" max="3456" width="12" customWidth="1"/>
    <col min="3457" max="3457" width="11.28515625" customWidth="1"/>
    <col min="3458" max="3458" width="8.42578125" bestFit="1" customWidth="1"/>
    <col min="3459" max="3459" width="6.28515625" customWidth="1"/>
    <col min="3460" max="3460" width="15.28515625" customWidth="1"/>
    <col min="3461" max="3461" width="12.7109375" customWidth="1"/>
    <col min="3462" max="3462" width="15.7109375" customWidth="1"/>
    <col min="3463" max="3472" width="12.7109375" customWidth="1"/>
    <col min="3710" max="3710" width="7.7109375" bestFit="1" customWidth="1"/>
    <col min="3711" max="3711" width="37.7109375" bestFit="1" customWidth="1"/>
    <col min="3712" max="3712" width="12" customWidth="1"/>
    <col min="3713" max="3713" width="11.28515625" customWidth="1"/>
    <col min="3714" max="3714" width="8.42578125" bestFit="1" customWidth="1"/>
    <col min="3715" max="3715" width="6.28515625" customWidth="1"/>
    <col min="3716" max="3716" width="15.28515625" customWidth="1"/>
    <col min="3717" max="3717" width="12.7109375" customWidth="1"/>
    <col min="3718" max="3718" width="15.7109375" customWidth="1"/>
    <col min="3719" max="3728" width="12.7109375" customWidth="1"/>
    <col min="3966" max="3966" width="7.7109375" bestFit="1" customWidth="1"/>
    <col min="3967" max="3967" width="37.7109375" bestFit="1" customWidth="1"/>
    <col min="3968" max="3968" width="12" customWidth="1"/>
    <col min="3969" max="3969" width="11.28515625" customWidth="1"/>
    <col min="3970" max="3970" width="8.42578125" bestFit="1" customWidth="1"/>
    <col min="3971" max="3971" width="6.28515625" customWidth="1"/>
    <col min="3972" max="3972" width="15.28515625" customWidth="1"/>
    <col min="3973" max="3973" width="12.7109375" customWidth="1"/>
    <col min="3974" max="3974" width="15.7109375" customWidth="1"/>
    <col min="3975" max="3984" width="12.7109375" customWidth="1"/>
    <col min="4222" max="4222" width="7.7109375" bestFit="1" customWidth="1"/>
    <col min="4223" max="4223" width="37.7109375" bestFit="1" customWidth="1"/>
    <col min="4224" max="4224" width="12" customWidth="1"/>
    <col min="4225" max="4225" width="11.28515625" customWidth="1"/>
    <col min="4226" max="4226" width="8.42578125" bestFit="1" customWidth="1"/>
    <col min="4227" max="4227" width="6.28515625" customWidth="1"/>
    <col min="4228" max="4228" width="15.28515625" customWidth="1"/>
    <col min="4229" max="4229" width="12.7109375" customWidth="1"/>
    <col min="4230" max="4230" width="15.7109375" customWidth="1"/>
    <col min="4231" max="4240" width="12.7109375" customWidth="1"/>
    <col min="4478" max="4478" width="7.7109375" bestFit="1" customWidth="1"/>
    <col min="4479" max="4479" width="37.7109375" bestFit="1" customWidth="1"/>
    <col min="4480" max="4480" width="12" customWidth="1"/>
    <col min="4481" max="4481" width="11.28515625" customWidth="1"/>
    <col min="4482" max="4482" width="8.42578125" bestFit="1" customWidth="1"/>
    <col min="4483" max="4483" width="6.28515625" customWidth="1"/>
    <col min="4484" max="4484" width="15.28515625" customWidth="1"/>
    <col min="4485" max="4485" width="12.7109375" customWidth="1"/>
    <col min="4486" max="4486" width="15.7109375" customWidth="1"/>
    <col min="4487" max="4496" width="12.7109375" customWidth="1"/>
    <col min="4734" max="4734" width="7.7109375" bestFit="1" customWidth="1"/>
    <col min="4735" max="4735" width="37.7109375" bestFit="1" customWidth="1"/>
    <col min="4736" max="4736" width="12" customWidth="1"/>
    <col min="4737" max="4737" width="11.28515625" customWidth="1"/>
    <col min="4738" max="4738" width="8.42578125" bestFit="1" customWidth="1"/>
    <col min="4739" max="4739" width="6.28515625" customWidth="1"/>
    <col min="4740" max="4740" width="15.28515625" customWidth="1"/>
    <col min="4741" max="4741" width="12.7109375" customWidth="1"/>
    <col min="4742" max="4742" width="15.7109375" customWidth="1"/>
    <col min="4743" max="4752" width="12.7109375" customWidth="1"/>
    <col min="4990" max="4990" width="7.7109375" bestFit="1" customWidth="1"/>
    <col min="4991" max="4991" width="37.7109375" bestFit="1" customWidth="1"/>
    <col min="4992" max="4992" width="12" customWidth="1"/>
    <col min="4993" max="4993" width="11.28515625" customWidth="1"/>
    <col min="4994" max="4994" width="8.42578125" bestFit="1" customWidth="1"/>
    <col min="4995" max="4995" width="6.28515625" customWidth="1"/>
    <col min="4996" max="4996" width="15.28515625" customWidth="1"/>
    <col min="4997" max="4997" width="12.7109375" customWidth="1"/>
    <col min="4998" max="4998" width="15.7109375" customWidth="1"/>
    <col min="4999" max="5008" width="12.7109375" customWidth="1"/>
    <col min="5246" max="5246" width="7.7109375" bestFit="1" customWidth="1"/>
    <col min="5247" max="5247" width="37.7109375" bestFit="1" customWidth="1"/>
    <col min="5248" max="5248" width="12" customWidth="1"/>
    <col min="5249" max="5249" width="11.28515625" customWidth="1"/>
    <col min="5250" max="5250" width="8.42578125" bestFit="1" customWidth="1"/>
    <col min="5251" max="5251" width="6.28515625" customWidth="1"/>
    <col min="5252" max="5252" width="15.28515625" customWidth="1"/>
    <col min="5253" max="5253" width="12.7109375" customWidth="1"/>
    <col min="5254" max="5254" width="15.7109375" customWidth="1"/>
    <col min="5255" max="5264" width="12.7109375" customWidth="1"/>
    <col min="5502" max="5502" width="7.7109375" bestFit="1" customWidth="1"/>
    <col min="5503" max="5503" width="37.7109375" bestFit="1" customWidth="1"/>
    <col min="5504" max="5504" width="12" customWidth="1"/>
    <col min="5505" max="5505" width="11.28515625" customWidth="1"/>
    <col min="5506" max="5506" width="8.42578125" bestFit="1" customWidth="1"/>
    <col min="5507" max="5507" width="6.28515625" customWidth="1"/>
    <col min="5508" max="5508" width="15.28515625" customWidth="1"/>
    <col min="5509" max="5509" width="12.7109375" customWidth="1"/>
    <col min="5510" max="5510" width="15.7109375" customWidth="1"/>
    <col min="5511" max="5520" width="12.7109375" customWidth="1"/>
    <col min="5758" max="5758" width="7.7109375" bestFit="1" customWidth="1"/>
    <col min="5759" max="5759" width="37.7109375" bestFit="1" customWidth="1"/>
    <col min="5760" max="5760" width="12" customWidth="1"/>
    <col min="5761" max="5761" width="11.28515625" customWidth="1"/>
    <col min="5762" max="5762" width="8.42578125" bestFit="1" customWidth="1"/>
    <col min="5763" max="5763" width="6.28515625" customWidth="1"/>
    <col min="5764" max="5764" width="15.28515625" customWidth="1"/>
    <col min="5765" max="5765" width="12.7109375" customWidth="1"/>
    <col min="5766" max="5766" width="15.7109375" customWidth="1"/>
    <col min="5767" max="5776" width="12.7109375" customWidth="1"/>
    <col min="6014" max="6014" width="7.7109375" bestFit="1" customWidth="1"/>
    <col min="6015" max="6015" width="37.7109375" bestFit="1" customWidth="1"/>
    <col min="6016" max="6016" width="12" customWidth="1"/>
    <col min="6017" max="6017" width="11.28515625" customWidth="1"/>
    <col min="6018" max="6018" width="8.42578125" bestFit="1" customWidth="1"/>
    <col min="6019" max="6019" width="6.28515625" customWidth="1"/>
    <col min="6020" max="6020" width="15.28515625" customWidth="1"/>
    <col min="6021" max="6021" width="12.7109375" customWidth="1"/>
    <col min="6022" max="6022" width="15.7109375" customWidth="1"/>
    <col min="6023" max="6032" width="12.7109375" customWidth="1"/>
    <col min="6270" max="6270" width="7.7109375" bestFit="1" customWidth="1"/>
    <col min="6271" max="6271" width="37.7109375" bestFit="1" customWidth="1"/>
    <col min="6272" max="6272" width="12" customWidth="1"/>
    <col min="6273" max="6273" width="11.28515625" customWidth="1"/>
    <col min="6274" max="6274" width="8.42578125" bestFit="1" customWidth="1"/>
    <col min="6275" max="6275" width="6.28515625" customWidth="1"/>
    <col min="6276" max="6276" width="15.28515625" customWidth="1"/>
    <col min="6277" max="6277" width="12.7109375" customWidth="1"/>
    <col min="6278" max="6278" width="15.7109375" customWidth="1"/>
    <col min="6279" max="6288" width="12.7109375" customWidth="1"/>
    <col min="6526" max="6526" width="7.7109375" bestFit="1" customWidth="1"/>
    <col min="6527" max="6527" width="37.7109375" bestFit="1" customWidth="1"/>
    <col min="6528" max="6528" width="12" customWidth="1"/>
    <col min="6529" max="6529" width="11.28515625" customWidth="1"/>
    <col min="6530" max="6530" width="8.42578125" bestFit="1" customWidth="1"/>
    <col min="6531" max="6531" width="6.28515625" customWidth="1"/>
    <col min="6532" max="6532" width="15.28515625" customWidth="1"/>
    <col min="6533" max="6533" width="12.7109375" customWidth="1"/>
    <col min="6534" max="6534" width="15.7109375" customWidth="1"/>
    <col min="6535" max="6544" width="12.7109375" customWidth="1"/>
    <col min="6782" max="6782" width="7.7109375" bestFit="1" customWidth="1"/>
    <col min="6783" max="6783" width="37.7109375" bestFit="1" customWidth="1"/>
    <col min="6784" max="6784" width="12" customWidth="1"/>
    <col min="6785" max="6785" width="11.28515625" customWidth="1"/>
    <col min="6786" max="6786" width="8.42578125" bestFit="1" customWidth="1"/>
    <col min="6787" max="6787" width="6.28515625" customWidth="1"/>
    <col min="6788" max="6788" width="15.28515625" customWidth="1"/>
    <col min="6789" max="6789" width="12.7109375" customWidth="1"/>
    <col min="6790" max="6790" width="15.7109375" customWidth="1"/>
    <col min="6791" max="6800" width="12.7109375" customWidth="1"/>
    <col min="7038" max="7038" width="7.7109375" bestFit="1" customWidth="1"/>
    <col min="7039" max="7039" width="37.7109375" bestFit="1" customWidth="1"/>
    <col min="7040" max="7040" width="12" customWidth="1"/>
    <col min="7041" max="7041" width="11.28515625" customWidth="1"/>
    <col min="7042" max="7042" width="8.42578125" bestFit="1" customWidth="1"/>
    <col min="7043" max="7043" width="6.28515625" customWidth="1"/>
    <col min="7044" max="7044" width="15.28515625" customWidth="1"/>
    <col min="7045" max="7045" width="12.7109375" customWidth="1"/>
    <col min="7046" max="7046" width="15.7109375" customWidth="1"/>
    <col min="7047" max="7056" width="12.7109375" customWidth="1"/>
    <col min="7294" max="7294" width="7.7109375" bestFit="1" customWidth="1"/>
    <col min="7295" max="7295" width="37.7109375" bestFit="1" customWidth="1"/>
    <col min="7296" max="7296" width="12" customWidth="1"/>
    <col min="7297" max="7297" width="11.28515625" customWidth="1"/>
    <col min="7298" max="7298" width="8.42578125" bestFit="1" customWidth="1"/>
    <col min="7299" max="7299" width="6.28515625" customWidth="1"/>
    <col min="7300" max="7300" width="15.28515625" customWidth="1"/>
    <col min="7301" max="7301" width="12.7109375" customWidth="1"/>
    <col min="7302" max="7302" width="15.7109375" customWidth="1"/>
    <col min="7303" max="7312" width="12.7109375" customWidth="1"/>
    <col min="7550" max="7550" width="7.7109375" bestFit="1" customWidth="1"/>
    <col min="7551" max="7551" width="37.7109375" bestFit="1" customWidth="1"/>
    <col min="7552" max="7552" width="12" customWidth="1"/>
    <col min="7553" max="7553" width="11.28515625" customWidth="1"/>
    <col min="7554" max="7554" width="8.42578125" bestFit="1" customWidth="1"/>
    <col min="7555" max="7555" width="6.28515625" customWidth="1"/>
    <col min="7556" max="7556" width="15.28515625" customWidth="1"/>
    <col min="7557" max="7557" width="12.7109375" customWidth="1"/>
    <col min="7558" max="7558" width="15.7109375" customWidth="1"/>
    <col min="7559" max="7568" width="12.7109375" customWidth="1"/>
    <col min="7806" max="7806" width="7.7109375" bestFit="1" customWidth="1"/>
    <col min="7807" max="7807" width="37.7109375" bestFit="1" customWidth="1"/>
    <col min="7808" max="7808" width="12" customWidth="1"/>
    <col min="7809" max="7809" width="11.28515625" customWidth="1"/>
    <col min="7810" max="7810" width="8.42578125" bestFit="1" customWidth="1"/>
    <col min="7811" max="7811" width="6.28515625" customWidth="1"/>
    <col min="7812" max="7812" width="15.28515625" customWidth="1"/>
    <col min="7813" max="7813" width="12.7109375" customWidth="1"/>
    <col min="7814" max="7814" width="15.7109375" customWidth="1"/>
    <col min="7815" max="7824" width="12.7109375" customWidth="1"/>
    <col min="8062" max="8062" width="7.7109375" bestFit="1" customWidth="1"/>
    <col min="8063" max="8063" width="37.7109375" bestFit="1" customWidth="1"/>
    <col min="8064" max="8064" width="12" customWidth="1"/>
    <col min="8065" max="8065" width="11.28515625" customWidth="1"/>
    <col min="8066" max="8066" width="8.42578125" bestFit="1" customWidth="1"/>
    <col min="8067" max="8067" width="6.28515625" customWidth="1"/>
    <col min="8068" max="8068" width="15.28515625" customWidth="1"/>
    <col min="8069" max="8069" width="12.7109375" customWidth="1"/>
    <col min="8070" max="8070" width="15.7109375" customWidth="1"/>
    <col min="8071" max="8080" width="12.7109375" customWidth="1"/>
    <col min="8318" max="8318" width="7.7109375" bestFit="1" customWidth="1"/>
    <col min="8319" max="8319" width="37.7109375" bestFit="1" customWidth="1"/>
    <col min="8320" max="8320" width="12" customWidth="1"/>
    <col min="8321" max="8321" width="11.28515625" customWidth="1"/>
    <col min="8322" max="8322" width="8.42578125" bestFit="1" customWidth="1"/>
    <col min="8323" max="8323" width="6.28515625" customWidth="1"/>
    <col min="8324" max="8324" width="15.28515625" customWidth="1"/>
    <col min="8325" max="8325" width="12.7109375" customWidth="1"/>
    <col min="8326" max="8326" width="15.7109375" customWidth="1"/>
    <col min="8327" max="8336" width="12.7109375" customWidth="1"/>
    <col min="8574" max="8574" width="7.7109375" bestFit="1" customWidth="1"/>
    <col min="8575" max="8575" width="37.7109375" bestFit="1" customWidth="1"/>
    <col min="8576" max="8576" width="12" customWidth="1"/>
    <col min="8577" max="8577" width="11.28515625" customWidth="1"/>
    <col min="8578" max="8578" width="8.42578125" bestFit="1" customWidth="1"/>
    <col min="8579" max="8579" width="6.28515625" customWidth="1"/>
    <col min="8580" max="8580" width="15.28515625" customWidth="1"/>
    <col min="8581" max="8581" width="12.7109375" customWidth="1"/>
    <col min="8582" max="8582" width="15.7109375" customWidth="1"/>
    <col min="8583" max="8592" width="12.7109375" customWidth="1"/>
    <col min="8830" max="8830" width="7.7109375" bestFit="1" customWidth="1"/>
    <col min="8831" max="8831" width="37.7109375" bestFit="1" customWidth="1"/>
    <col min="8832" max="8832" width="12" customWidth="1"/>
    <col min="8833" max="8833" width="11.28515625" customWidth="1"/>
    <col min="8834" max="8834" width="8.42578125" bestFit="1" customWidth="1"/>
    <col min="8835" max="8835" width="6.28515625" customWidth="1"/>
    <col min="8836" max="8836" width="15.28515625" customWidth="1"/>
    <col min="8837" max="8837" width="12.7109375" customWidth="1"/>
    <col min="8838" max="8838" width="15.7109375" customWidth="1"/>
    <col min="8839" max="8848" width="12.7109375" customWidth="1"/>
    <col min="9086" max="9086" width="7.7109375" bestFit="1" customWidth="1"/>
    <col min="9087" max="9087" width="37.7109375" bestFit="1" customWidth="1"/>
    <col min="9088" max="9088" width="12" customWidth="1"/>
    <col min="9089" max="9089" width="11.28515625" customWidth="1"/>
    <col min="9090" max="9090" width="8.42578125" bestFit="1" customWidth="1"/>
    <col min="9091" max="9091" width="6.28515625" customWidth="1"/>
    <col min="9092" max="9092" width="15.28515625" customWidth="1"/>
    <col min="9093" max="9093" width="12.7109375" customWidth="1"/>
    <col min="9094" max="9094" width="15.7109375" customWidth="1"/>
    <col min="9095" max="9104" width="12.7109375" customWidth="1"/>
    <col min="9342" max="9342" width="7.7109375" bestFit="1" customWidth="1"/>
    <col min="9343" max="9343" width="37.7109375" bestFit="1" customWidth="1"/>
    <col min="9344" max="9344" width="12" customWidth="1"/>
    <col min="9345" max="9345" width="11.28515625" customWidth="1"/>
    <col min="9346" max="9346" width="8.42578125" bestFit="1" customWidth="1"/>
    <col min="9347" max="9347" width="6.28515625" customWidth="1"/>
    <col min="9348" max="9348" width="15.28515625" customWidth="1"/>
    <col min="9349" max="9349" width="12.7109375" customWidth="1"/>
    <col min="9350" max="9350" width="15.7109375" customWidth="1"/>
    <col min="9351" max="9360" width="12.7109375" customWidth="1"/>
    <col min="9598" max="9598" width="7.7109375" bestFit="1" customWidth="1"/>
    <col min="9599" max="9599" width="37.7109375" bestFit="1" customWidth="1"/>
    <col min="9600" max="9600" width="12" customWidth="1"/>
    <col min="9601" max="9601" width="11.28515625" customWidth="1"/>
    <col min="9602" max="9602" width="8.42578125" bestFit="1" customWidth="1"/>
    <col min="9603" max="9603" width="6.28515625" customWidth="1"/>
    <col min="9604" max="9604" width="15.28515625" customWidth="1"/>
    <col min="9605" max="9605" width="12.7109375" customWidth="1"/>
    <col min="9606" max="9606" width="15.7109375" customWidth="1"/>
    <col min="9607" max="9616" width="12.7109375" customWidth="1"/>
    <col min="9854" max="9854" width="7.7109375" bestFit="1" customWidth="1"/>
    <col min="9855" max="9855" width="37.7109375" bestFit="1" customWidth="1"/>
    <col min="9856" max="9856" width="12" customWidth="1"/>
    <col min="9857" max="9857" width="11.28515625" customWidth="1"/>
    <col min="9858" max="9858" width="8.42578125" bestFit="1" customWidth="1"/>
    <col min="9859" max="9859" width="6.28515625" customWidth="1"/>
    <col min="9860" max="9860" width="15.28515625" customWidth="1"/>
    <col min="9861" max="9861" width="12.7109375" customWidth="1"/>
    <col min="9862" max="9862" width="15.7109375" customWidth="1"/>
    <col min="9863" max="9872" width="12.7109375" customWidth="1"/>
    <col min="10110" max="10110" width="7.7109375" bestFit="1" customWidth="1"/>
    <col min="10111" max="10111" width="37.7109375" bestFit="1" customWidth="1"/>
    <col min="10112" max="10112" width="12" customWidth="1"/>
    <col min="10113" max="10113" width="11.28515625" customWidth="1"/>
    <col min="10114" max="10114" width="8.42578125" bestFit="1" customWidth="1"/>
    <col min="10115" max="10115" width="6.28515625" customWidth="1"/>
    <col min="10116" max="10116" width="15.28515625" customWidth="1"/>
    <col min="10117" max="10117" width="12.7109375" customWidth="1"/>
    <col min="10118" max="10118" width="15.7109375" customWidth="1"/>
    <col min="10119" max="10128" width="12.7109375" customWidth="1"/>
    <col min="10366" max="10366" width="7.7109375" bestFit="1" customWidth="1"/>
    <col min="10367" max="10367" width="37.7109375" bestFit="1" customWidth="1"/>
    <col min="10368" max="10368" width="12" customWidth="1"/>
    <col min="10369" max="10369" width="11.28515625" customWidth="1"/>
    <col min="10370" max="10370" width="8.42578125" bestFit="1" customWidth="1"/>
    <col min="10371" max="10371" width="6.28515625" customWidth="1"/>
    <col min="10372" max="10372" width="15.28515625" customWidth="1"/>
    <col min="10373" max="10373" width="12.7109375" customWidth="1"/>
    <col min="10374" max="10374" width="15.7109375" customWidth="1"/>
    <col min="10375" max="10384" width="12.7109375" customWidth="1"/>
    <col min="10622" max="10622" width="7.7109375" bestFit="1" customWidth="1"/>
    <col min="10623" max="10623" width="37.7109375" bestFit="1" customWidth="1"/>
    <col min="10624" max="10624" width="12" customWidth="1"/>
    <col min="10625" max="10625" width="11.28515625" customWidth="1"/>
    <col min="10626" max="10626" width="8.42578125" bestFit="1" customWidth="1"/>
    <col min="10627" max="10627" width="6.28515625" customWidth="1"/>
    <col min="10628" max="10628" width="15.28515625" customWidth="1"/>
    <col min="10629" max="10629" width="12.7109375" customWidth="1"/>
    <col min="10630" max="10630" width="15.7109375" customWidth="1"/>
    <col min="10631" max="10640" width="12.7109375" customWidth="1"/>
    <col min="10878" max="10878" width="7.7109375" bestFit="1" customWidth="1"/>
    <col min="10879" max="10879" width="37.7109375" bestFit="1" customWidth="1"/>
    <col min="10880" max="10880" width="12" customWidth="1"/>
    <col min="10881" max="10881" width="11.28515625" customWidth="1"/>
    <col min="10882" max="10882" width="8.42578125" bestFit="1" customWidth="1"/>
    <col min="10883" max="10883" width="6.28515625" customWidth="1"/>
    <col min="10884" max="10884" width="15.28515625" customWidth="1"/>
    <col min="10885" max="10885" width="12.7109375" customWidth="1"/>
    <col min="10886" max="10886" width="15.7109375" customWidth="1"/>
    <col min="10887" max="10896" width="12.7109375" customWidth="1"/>
    <col min="11134" max="11134" width="7.7109375" bestFit="1" customWidth="1"/>
    <col min="11135" max="11135" width="37.7109375" bestFit="1" customWidth="1"/>
    <col min="11136" max="11136" width="12" customWidth="1"/>
    <col min="11137" max="11137" width="11.28515625" customWidth="1"/>
    <col min="11138" max="11138" width="8.42578125" bestFit="1" customWidth="1"/>
    <col min="11139" max="11139" width="6.28515625" customWidth="1"/>
    <col min="11140" max="11140" width="15.28515625" customWidth="1"/>
    <col min="11141" max="11141" width="12.7109375" customWidth="1"/>
    <col min="11142" max="11142" width="15.7109375" customWidth="1"/>
    <col min="11143" max="11152" width="12.7109375" customWidth="1"/>
    <col min="11390" max="11390" width="7.7109375" bestFit="1" customWidth="1"/>
    <col min="11391" max="11391" width="37.7109375" bestFit="1" customWidth="1"/>
    <col min="11392" max="11392" width="12" customWidth="1"/>
    <col min="11393" max="11393" width="11.28515625" customWidth="1"/>
    <col min="11394" max="11394" width="8.42578125" bestFit="1" customWidth="1"/>
    <col min="11395" max="11395" width="6.28515625" customWidth="1"/>
    <col min="11396" max="11396" width="15.28515625" customWidth="1"/>
    <col min="11397" max="11397" width="12.7109375" customWidth="1"/>
    <col min="11398" max="11398" width="15.7109375" customWidth="1"/>
    <col min="11399" max="11408" width="12.7109375" customWidth="1"/>
    <col min="11646" max="11646" width="7.7109375" bestFit="1" customWidth="1"/>
    <col min="11647" max="11647" width="37.7109375" bestFit="1" customWidth="1"/>
    <col min="11648" max="11648" width="12" customWidth="1"/>
    <col min="11649" max="11649" width="11.28515625" customWidth="1"/>
    <col min="11650" max="11650" width="8.42578125" bestFit="1" customWidth="1"/>
    <col min="11651" max="11651" width="6.28515625" customWidth="1"/>
    <col min="11652" max="11652" width="15.28515625" customWidth="1"/>
    <col min="11653" max="11653" width="12.7109375" customWidth="1"/>
    <col min="11654" max="11654" width="15.7109375" customWidth="1"/>
    <col min="11655" max="11664" width="12.7109375" customWidth="1"/>
    <col min="11902" max="11902" width="7.7109375" bestFit="1" customWidth="1"/>
    <col min="11903" max="11903" width="37.7109375" bestFit="1" customWidth="1"/>
    <col min="11904" max="11904" width="12" customWidth="1"/>
    <col min="11905" max="11905" width="11.28515625" customWidth="1"/>
    <col min="11906" max="11906" width="8.42578125" bestFit="1" customWidth="1"/>
    <col min="11907" max="11907" width="6.28515625" customWidth="1"/>
    <col min="11908" max="11908" width="15.28515625" customWidth="1"/>
    <col min="11909" max="11909" width="12.7109375" customWidth="1"/>
    <col min="11910" max="11910" width="15.7109375" customWidth="1"/>
    <col min="11911" max="11920" width="12.7109375" customWidth="1"/>
    <col min="12158" max="12158" width="7.7109375" bestFit="1" customWidth="1"/>
    <col min="12159" max="12159" width="37.7109375" bestFit="1" customWidth="1"/>
    <col min="12160" max="12160" width="12" customWidth="1"/>
    <col min="12161" max="12161" width="11.28515625" customWidth="1"/>
    <col min="12162" max="12162" width="8.42578125" bestFit="1" customWidth="1"/>
    <col min="12163" max="12163" width="6.28515625" customWidth="1"/>
    <col min="12164" max="12164" width="15.28515625" customWidth="1"/>
    <col min="12165" max="12165" width="12.7109375" customWidth="1"/>
    <col min="12166" max="12166" width="15.7109375" customWidth="1"/>
    <col min="12167" max="12176" width="12.7109375" customWidth="1"/>
    <col min="12414" max="12414" width="7.7109375" bestFit="1" customWidth="1"/>
    <col min="12415" max="12415" width="37.7109375" bestFit="1" customWidth="1"/>
    <col min="12416" max="12416" width="12" customWidth="1"/>
    <col min="12417" max="12417" width="11.28515625" customWidth="1"/>
    <col min="12418" max="12418" width="8.42578125" bestFit="1" customWidth="1"/>
    <col min="12419" max="12419" width="6.28515625" customWidth="1"/>
    <col min="12420" max="12420" width="15.28515625" customWidth="1"/>
    <col min="12421" max="12421" width="12.7109375" customWidth="1"/>
    <col min="12422" max="12422" width="15.7109375" customWidth="1"/>
    <col min="12423" max="12432" width="12.7109375" customWidth="1"/>
    <col min="12670" max="12670" width="7.7109375" bestFit="1" customWidth="1"/>
    <col min="12671" max="12671" width="37.7109375" bestFit="1" customWidth="1"/>
    <col min="12672" max="12672" width="12" customWidth="1"/>
    <col min="12673" max="12673" width="11.28515625" customWidth="1"/>
    <col min="12674" max="12674" width="8.42578125" bestFit="1" customWidth="1"/>
    <col min="12675" max="12675" width="6.28515625" customWidth="1"/>
    <col min="12676" max="12676" width="15.28515625" customWidth="1"/>
    <col min="12677" max="12677" width="12.7109375" customWidth="1"/>
    <col min="12678" max="12678" width="15.7109375" customWidth="1"/>
    <col min="12679" max="12688" width="12.7109375" customWidth="1"/>
    <col min="12926" max="12926" width="7.7109375" bestFit="1" customWidth="1"/>
    <col min="12927" max="12927" width="37.7109375" bestFit="1" customWidth="1"/>
    <col min="12928" max="12928" width="12" customWidth="1"/>
    <col min="12929" max="12929" width="11.28515625" customWidth="1"/>
    <col min="12930" max="12930" width="8.42578125" bestFit="1" customWidth="1"/>
    <col min="12931" max="12931" width="6.28515625" customWidth="1"/>
    <col min="12932" max="12932" width="15.28515625" customWidth="1"/>
    <col min="12933" max="12933" width="12.7109375" customWidth="1"/>
    <col min="12934" max="12934" width="15.7109375" customWidth="1"/>
    <col min="12935" max="12944" width="12.7109375" customWidth="1"/>
    <col min="13182" max="13182" width="7.7109375" bestFit="1" customWidth="1"/>
    <col min="13183" max="13183" width="37.7109375" bestFit="1" customWidth="1"/>
    <col min="13184" max="13184" width="12" customWidth="1"/>
    <col min="13185" max="13185" width="11.28515625" customWidth="1"/>
    <col min="13186" max="13186" width="8.42578125" bestFit="1" customWidth="1"/>
    <col min="13187" max="13187" width="6.28515625" customWidth="1"/>
    <col min="13188" max="13188" width="15.28515625" customWidth="1"/>
    <col min="13189" max="13189" width="12.7109375" customWidth="1"/>
    <col min="13190" max="13190" width="15.7109375" customWidth="1"/>
    <col min="13191" max="13200" width="12.7109375" customWidth="1"/>
    <col min="13438" max="13438" width="7.7109375" bestFit="1" customWidth="1"/>
    <col min="13439" max="13439" width="37.7109375" bestFit="1" customWidth="1"/>
    <col min="13440" max="13440" width="12" customWidth="1"/>
    <col min="13441" max="13441" width="11.28515625" customWidth="1"/>
    <col min="13442" max="13442" width="8.42578125" bestFit="1" customWidth="1"/>
    <col min="13443" max="13443" width="6.28515625" customWidth="1"/>
    <col min="13444" max="13444" width="15.28515625" customWidth="1"/>
    <col min="13445" max="13445" width="12.7109375" customWidth="1"/>
    <col min="13446" max="13446" width="15.7109375" customWidth="1"/>
    <col min="13447" max="13456" width="12.7109375" customWidth="1"/>
    <col min="13694" max="13694" width="7.7109375" bestFit="1" customWidth="1"/>
    <col min="13695" max="13695" width="37.7109375" bestFit="1" customWidth="1"/>
    <col min="13696" max="13696" width="12" customWidth="1"/>
    <col min="13697" max="13697" width="11.28515625" customWidth="1"/>
    <col min="13698" max="13698" width="8.42578125" bestFit="1" customWidth="1"/>
    <col min="13699" max="13699" width="6.28515625" customWidth="1"/>
    <col min="13700" max="13700" width="15.28515625" customWidth="1"/>
    <col min="13701" max="13701" width="12.7109375" customWidth="1"/>
    <col min="13702" max="13702" width="15.7109375" customWidth="1"/>
    <col min="13703" max="13712" width="12.7109375" customWidth="1"/>
    <col min="13950" max="13950" width="7.7109375" bestFit="1" customWidth="1"/>
    <col min="13951" max="13951" width="37.7109375" bestFit="1" customWidth="1"/>
    <col min="13952" max="13952" width="12" customWidth="1"/>
    <col min="13953" max="13953" width="11.28515625" customWidth="1"/>
    <col min="13954" max="13954" width="8.42578125" bestFit="1" customWidth="1"/>
    <col min="13955" max="13955" width="6.28515625" customWidth="1"/>
    <col min="13956" max="13956" width="15.28515625" customWidth="1"/>
    <col min="13957" max="13957" width="12.7109375" customWidth="1"/>
    <col min="13958" max="13958" width="15.7109375" customWidth="1"/>
    <col min="13959" max="13968" width="12.7109375" customWidth="1"/>
    <col min="14206" max="14206" width="7.7109375" bestFit="1" customWidth="1"/>
    <col min="14207" max="14207" width="37.7109375" bestFit="1" customWidth="1"/>
    <col min="14208" max="14208" width="12" customWidth="1"/>
    <col min="14209" max="14209" width="11.28515625" customWidth="1"/>
    <col min="14210" max="14210" width="8.42578125" bestFit="1" customWidth="1"/>
    <col min="14211" max="14211" width="6.28515625" customWidth="1"/>
    <col min="14212" max="14212" width="15.28515625" customWidth="1"/>
    <col min="14213" max="14213" width="12.7109375" customWidth="1"/>
    <col min="14214" max="14214" width="15.7109375" customWidth="1"/>
    <col min="14215" max="14224" width="12.7109375" customWidth="1"/>
    <col min="14462" max="14462" width="7.7109375" bestFit="1" customWidth="1"/>
    <col min="14463" max="14463" width="37.7109375" bestFit="1" customWidth="1"/>
    <col min="14464" max="14464" width="12" customWidth="1"/>
    <col min="14465" max="14465" width="11.28515625" customWidth="1"/>
    <col min="14466" max="14466" width="8.42578125" bestFit="1" customWidth="1"/>
    <col min="14467" max="14467" width="6.28515625" customWidth="1"/>
    <col min="14468" max="14468" width="15.28515625" customWidth="1"/>
    <col min="14469" max="14469" width="12.7109375" customWidth="1"/>
    <col min="14470" max="14470" width="15.7109375" customWidth="1"/>
    <col min="14471" max="14480" width="12.7109375" customWidth="1"/>
    <col min="14718" max="14718" width="7.7109375" bestFit="1" customWidth="1"/>
    <col min="14719" max="14719" width="37.7109375" bestFit="1" customWidth="1"/>
    <col min="14720" max="14720" width="12" customWidth="1"/>
    <col min="14721" max="14721" width="11.28515625" customWidth="1"/>
    <col min="14722" max="14722" width="8.42578125" bestFit="1" customWidth="1"/>
    <col min="14723" max="14723" width="6.28515625" customWidth="1"/>
    <col min="14724" max="14724" width="15.28515625" customWidth="1"/>
    <col min="14725" max="14725" width="12.7109375" customWidth="1"/>
    <col min="14726" max="14726" width="15.7109375" customWidth="1"/>
    <col min="14727" max="14736" width="12.7109375" customWidth="1"/>
    <col min="14974" max="14974" width="7.7109375" bestFit="1" customWidth="1"/>
    <col min="14975" max="14975" width="37.7109375" bestFit="1" customWidth="1"/>
    <col min="14976" max="14976" width="12" customWidth="1"/>
    <col min="14977" max="14977" width="11.28515625" customWidth="1"/>
    <col min="14978" max="14978" width="8.42578125" bestFit="1" customWidth="1"/>
    <col min="14979" max="14979" width="6.28515625" customWidth="1"/>
    <col min="14980" max="14980" width="15.28515625" customWidth="1"/>
    <col min="14981" max="14981" width="12.7109375" customWidth="1"/>
    <col min="14982" max="14982" width="15.7109375" customWidth="1"/>
    <col min="14983" max="14992" width="12.7109375" customWidth="1"/>
    <col min="15230" max="15230" width="7.7109375" bestFit="1" customWidth="1"/>
    <col min="15231" max="15231" width="37.7109375" bestFit="1" customWidth="1"/>
    <col min="15232" max="15232" width="12" customWidth="1"/>
    <col min="15233" max="15233" width="11.28515625" customWidth="1"/>
    <col min="15234" max="15234" width="8.42578125" bestFit="1" customWidth="1"/>
    <col min="15235" max="15235" width="6.28515625" customWidth="1"/>
    <col min="15236" max="15236" width="15.28515625" customWidth="1"/>
    <col min="15237" max="15237" width="12.7109375" customWidth="1"/>
    <col min="15238" max="15238" width="15.7109375" customWidth="1"/>
    <col min="15239" max="15248" width="12.7109375" customWidth="1"/>
    <col min="15486" max="15486" width="7.7109375" bestFit="1" customWidth="1"/>
    <col min="15487" max="15487" width="37.7109375" bestFit="1" customWidth="1"/>
    <col min="15488" max="15488" width="12" customWidth="1"/>
    <col min="15489" max="15489" width="11.28515625" customWidth="1"/>
    <col min="15490" max="15490" width="8.42578125" bestFit="1" customWidth="1"/>
    <col min="15491" max="15491" width="6.28515625" customWidth="1"/>
    <col min="15492" max="15492" width="15.28515625" customWidth="1"/>
    <col min="15493" max="15493" width="12.7109375" customWidth="1"/>
    <col min="15494" max="15494" width="15.7109375" customWidth="1"/>
    <col min="15495" max="15504" width="12.7109375" customWidth="1"/>
    <col min="15742" max="15742" width="7.7109375" bestFit="1" customWidth="1"/>
    <col min="15743" max="15743" width="37.7109375" bestFit="1" customWidth="1"/>
    <col min="15744" max="15744" width="12" customWidth="1"/>
    <col min="15745" max="15745" width="11.28515625" customWidth="1"/>
    <col min="15746" max="15746" width="8.42578125" bestFit="1" customWidth="1"/>
    <col min="15747" max="15747" width="6.28515625" customWidth="1"/>
    <col min="15748" max="15748" width="15.28515625" customWidth="1"/>
    <col min="15749" max="15749" width="12.7109375" customWidth="1"/>
    <col min="15750" max="15750" width="15.7109375" customWidth="1"/>
    <col min="15751" max="15760" width="12.7109375" customWidth="1"/>
    <col min="15998" max="15998" width="7.7109375" bestFit="1" customWidth="1"/>
    <col min="15999" max="15999" width="37.7109375" bestFit="1" customWidth="1"/>
    <col min="16000" max="16000" width="12" customWidth="1"/>
    <col min="16001" max="16001" width="11.28515625" customWidth="1"/>
    <col min="16002" max="16002" width="8.42578125" bestFit="1" customWidth="1"/>
    <col min="16003" max="16003" width="6.28515625" customWidth="1"/>
    <col min="16004" max="16004" width="15.28515625" customWidth="1"/>
    <col min="16005" max="16005" width="12.7109375" customWidth="1"/>
    <col min="16006" max="16006" width="15.7109375" customWidth="1"/>
    <col min="16007" max="16016" width="12.7109375" customWidth="1"/>
  </cols>
  <sheetData>
    <row r="1" spans="1:48" s="148" customFormat="1" hidden="1" x14ac:dyDescent="0.25">
      <c r="A1" s="147"/>
      <c r="B1" s="147"/>
      <c r="C1" s="147"/>
      <c r="D1" s="2"/>
      <c r="E1" s="147"/>
      <c r="F1" s="2"/>
      <c r="G1" s="147"/>
      <c r="H1" s="147"/>
      <c r="I1" s="147"/>
      <c r="J1" s="147"/>
      <c r="K1" s="2"/>
      <c r="L1" s="147"/>
      <c r="M1" s="241" t="s">
        <v>46</v>
      </c>
      <c r="N1" s="241"/>
      <c r="O1" s="147"/>
      <c r="P1" s="147"/>
      <c r="Q1" s="147" t="s">
        <v>45</v>
      </c>
      <c r="R1" s="241" t="s">
        <v>31</v>
      </c>
      <c r="S1" s="241"/>
      <c r="T1" s="241" t="s">
        <v>32</v>
      </c>
      <c r="U1" s="241"/>
      <c r="V1" s="147"/>
      <c r="W1" s="241" t="s">
        <v>33</v>
      </c>
      <c r="X1" s="241"/>
      <c r="Y1" s="147"/>
      <c r="Z1" s="147"/>
      <c r="AA1" s="147"/>
      <c r="AB1" s="147"/>
      <c r="AC1" s="147"/>
      <c r="AD1" s="147"/>
      <c r="AE1" s="147"/>
      <c r="AG1" s="149">
        <v>-1</v>
      </c>
      <c r="AH1" s="149"/>
      <c r="AI1" s="149"/>
      <c r="AJ1" s="149"/>
    </row>
    <row r="2" spans="1:48" s="5" customFormat="1" ht="15.75" thickBot="1" x14ac:dyDescent="0.3">
      <c r="A2" s="243" t="s">
        <v>666</v>
      </c>
      <c r="B2" s="243"/>
      <c r="C2" s="1"/>
      <c r="D2" s="2"/>
      <c r="E2" s="147"/>
      <c r="F2" s="2"/>
      <c r="G2" s="147"/>
      <c r="H2" s="147"/>
      <c r="I2" s="147"/>
      <c r="J2" s="147"/>
      <c r="K2" s="2"/>
      <c r="L2" s="147"/>
      <c r="M2" s="168">
        <f>SUBTOTAL(9,M4:M1057)</f>
        <v>4064088.6099999952</v>
      </c>
      <c r="N2" s="168">
        <f>SUBTOTAL(9,N4:N1057)</f>
        <v>166455017.78999987</v>
      </c>
      <c r="O2" s="244" t="s">
        <v>30</v>
      </c>
      <c r="P2" s="244"/>
      <c r="Q2" s="244"/>
      <c r="R2" s="241"/>
      <c r="S2" s="241"/>
      <c r="T2" s="241"/>
      <c r="U2" s="241"/>
      <c r="V2" s="163"/>
      <c r="W2" s="164">
        <f t="shared" ref="W2:AD2" si="0">SUBTOTAL(9,W4:W1057)</f>
        <v>828722.81132704183</v>
      </c>
      <c r="X2" s="164">
        <f t="shared" si="0"/>
        <v>88989.117737269538</v>
      </c>
      <c r="Y2" s="164">
        <f t="shared" si="0"/>
        <v>46315</v>
      </c>
      <c r="Z2" s="164">
        <f t="shared" si="0"/>
        <v>77099.34</v>
      </c>
      <c r="AA2" s="164">
        <f t="shared" si="0"/>
        <v>53086.634090745836</v>
      </c>
      <c r="AB2" s="164">
        <f t="shared" si="0"/>
        <v>5314485</v>
      </c>
      <c r="AC2" s="164">
        <f t="shared" si="0"/>
        <v>254097</v>
      </c>
      <c r="AD2" s="164">
        <f t="shared" si="0"/>
        <v>5060388</v>
      </c>
      <c r="AE2" s="150"/>
      <c r="AG2" s="100">
        <v>-1</v>
      </c>
      <c r="AH2" s="100"/>
      <c r="AI2" s="100"/>
      <c r="AJ2" s="100"/>
      <c r="AN2" s="164">
        <f>SUBTOTAL(9,AN4:AN1057)</f>
        <v>1239371.5185844067</v>
      </c>
      <c r="AO2" s="164">
        <f>SUBTOTAL(9,AO4:AO1057)</f>
        <v>130688</v>
      </c>
      <c r="AP2" s="164">
        <f>SUBTOTAL(9,AP4:AP1057)</f>
        <v>828722.81132704183</v>
      </c>
      <c r="AQ2" s="164">
        <f>SUBTOTAL(9,AQ4:AQ1057)</f>
        <v>959410.81132704194</v>
      </c>
    </row>
    <row r="3" spans="1:48" s="142" customFormat="1" ht="29.1" customHeight="1" thickBot="1" x14ac:dyDescent="0.3">
      <c r="A3" s="135" t="s">
        <v>421</v>
      </c>
      <c r="B3" s="136" t="s">
        <v>420</v>
      </c>
      <c r="C3" s="136" t="s">
        <v>432</v>
      </c>
      <c r="D3" s="137" t="s">
        <v>0</v>
      </c>
      <c r="E3" s="137" t="s">
        <v>1</v>
      </c>
      <c r="F3" s="137" t="s">
        <v>61</v>
      </c>
      <c r="G3" s="137" t="s">
        <v>17</v>
      </c>
      <c r="H3" s="137" t="s">
        <v>19</v>
      </c>
      <c r="I3" s="137" t="s">
        <v>2</v>
      </c>
      <c r="J3" s="137" t="s">
        <v>78</v>
      </c>
      <c r="K3" s="137" t="s">
        <v>3</v>
      </c>
      <c r="L3" s="137" t="s">
        <v>11</v>
      </c>
      <c r="M3" s="137" t="s">
        <v>4</v>
      </c>
      <c r="N3" s="137" t="s">
        <v>5</v>
      </c>
      <c r="O3" s="138" t="s">
        <v>15</v>
      </c>
      <c r="P3" s="138" t="s">
        <v>69</v>
      </c>
      <c r="Q3" s="138" t="s">
        <v>12</v>
      </c>
      <c r="R3" s="139" t="s">
        <v>16</v>
      </c>
      <c r="S3" s="139" t="s">
        <v>10</v>
      </c>
      <c r="T3" s="140" t="s">
        <v>75</v>
      </c>
      <c r="U3" s="140" t="s">
        <v>36</v>
      </c>
      <c r="V3" s="138" t="s">
        <v>7</v>
      </c>
      <c r="W3" s="140" t="s">
        <v>13</v>
      </c>
      <c r="X3" s="140" t="s">
        <v>14</v>
      </c>
      <c r="Y3" s="140" t="s">
        <v>57</v>
      </c>
      <c r="Z3" s="140" t="s">
        <v>502</v>
      </c>
      <c r="AA3" s="140" t="s">
        <v>64</v>
      </c>
      <c r="AB3" s="138" t="s">
        <v>8</v>
      </c>
      <c r="AC3" s="141" t="s">
        <v>67</v>
      </c>
      <c r="AD3" s="138" t="s">
        <v>58</v>
      </c>
      <c r="AE3" s="165" t="s">
        <v>52</v>
      </c>
      <c r="AF3" s="160"/>
      <c r="AG3" s="162" t="s">
        <v>44</v>
      </c>
      <c r="AH3" s="156" t="s">
        <v>433</v>
      </c>
      <c r="AI3" s="156" t="s">
        <v>1145</v>
      </c>
      <c r="AJ3" s="156" t="s">
        <v>596</v>
      </c>
      <c r="AK3" s="157" t="s">
        <v>1677</v>
      </c>
      <c r="AL3" s="158" t="s">
        <v>458</v>
      </c>
      <c r="AM3" s="156" t="s">
        <v>459</v>
      </c>
      <c r="AN3" s="156" t="s">
        <v>441</v>
      </c>
      <c r="AO3" s="156" t="s">
        <v>442</v>
      </c>
      <c r="AP3" s="156" t="s">
        <v>450</v>
      </c>
      <c r="AQ3" s="159" t="s">
        <v>449</v>
      </c>
      <c r="AT3" s="143" t="s">
        <v>503</v>
      </c>
      <c r="AU3" s="144" t="s">
        <v>504</v>
      </c>
      <c r="AV3" s="145" t="s">
        <v>433</v>
      </c>
    </row>
    <row r="4" spans="1:48" s="20" customFormat="1" x14ac:dyDescent="0.25">
      <c r="A4" s="121">
        <f>IFERROR(VLOOKUP(D4,'Monthly Deduction'!$I$3:$J$957,2,0),0)</f>
        <v>19281.575556958909</v>
      </c>
      <c r="B4" s="121">
        <f>IFERROR(VLOOKUP(D4,'Monthly Deduction'!$E$3:$F$957,2,0),0)</f>
        <v>16000</v>
      </c>
      <c r="C4" s="121">
        <f>A4+B4</f>
        <v>35281.575556958909</v>
      </c>
      <c r="D4" s="47">
        <v>10010013</v>
      </c>
      <c r="E4" s="122" t="str">
        <f>VLOOKUP(D4,'MPG Payment '!$E$3:$G$497305,2,0)</f>
        <v>Gomukh Kumbhi</v>
      </c>
      <c r="F4" s="146">
        <f>IFERROR(_xlfn.XLOOKUP(D4,'Monthly Deduction'!$I$3:$I$957,'Monthly Deduction'!$H$3:$H$957),0)</f>
        <v>0</v>
      </c>
      <c r="G4" s="123" t="str">
        <f>VLOOKUP(D4,'MPG Payment '!$E$3:$G$333666,3,0)</f>
        <v>MPG</v>
      </c>
      <c r="H4" s="124" t="str">
        <f>VLOOKUP(D4,'MPG Payment '!$E$3:$H$333666,4,0)</f>
        <v>Direct</v>
      </c>
      <c r="I4" s="124">
        <f>INDEX('MPG Payment '!$C:$C,MATCH('Shayak Income '!D4,'MPG Payment '!E:E,0))</f>
        <v>1001</v>
      </c>
      <c r="J4" s="124" t="str">
        <f>INDEX('MPG Payment '!$D:$D,MATCH('Shayak Income '!D4,'MPG Payment '!E:E,0))</f>
        <v>Majhaul</v>
      </c>
      <c r="K4" s="125" t="s">
        <v>1594</v>
      </c>
      <c r="L4" s="125">
        <v>45013</v>
      </c>
      <c r="M4" s="126">
        <f>SUMIF('MPG Payment '!$E$3:$E$344841,'Shayak Income '!D4,'MPG Payment '!$I$3:$I$344841)</f>
        <v>2231.3000000000002</v>
      </c>
      <c r="N4" s="126">
        <f>SUMIF('MPG Payment '!$E$3:$E$344841,'Shayak Income '!D4,'MPG Payment '!$J$3:$J$344841)</f>
        <v>84420.7</v>
      </c>
      <c r="O4" s="126">
        <f>+M4*0.75</f>
        <v>1673.4750000000001</v>
      </c>
      <c r="P4" s="126">
        <f>+M4*0.95</f>
        <v>2119.7350000000001</v>
      </c>
      <c r="Q4" s="126">
        <f>SUMIF('MPG Payment '!$E$3:$E$344841,'Shayak Income '!D4,'MPG Payment '!$S$3:$S$344841)</f>
        <v>265.21999999999997</v>
      </c>
      <c r="R4" s="126">
        <f t="shared" ref="R4:R67" si="1">+N4*3%</f>
        <v>2532.6209999999996</v>
      </c>
      <c r="S4" s="126">
        <f t="shared" ref="S4:S67" si="2">R4-P4</f>
        <v>412.88599999999951</v>
      </c>
      <c r="T4" s="126">
        <f>M4*0.1</f>
        <v>223.13000000000002</v>
      </c>
      <c r="U4" s="127">
        <f>((((((IF(K4="New",0,SUMIF('MPG Payment '!$E$3:$E$344841,'Shayak Income '!D4,'MPG Payment '!$AC$3:$AC$344841))))+0)+0)+0)+0)+0</f>
        <v>431.93841237189486</v>
      </c>
      <c r="V4" s="127">
        <f>ROUND((SUM(O4:Q4)-SUM(T4:U4)),0)</f>
        <v>3403</v>
      </c>
      <c r="W4" s="19">
        <f>(((AN4-AO4)))+0</f>
        <v>1861</v>
      </c>
      <c r="X4" s="19">
        <v>0</v>
      </c>
      <c r="Y4" s="128">
        <f>IFERROR(VLOOKUP(D4,'Monthly Deduction'!$M$2:$N$640,2,0),0)</f>
        <v>0</v>
      </c>
      <c r="Z4" s="128">
        <v>0</v>
      </c>
      <c r="AA4" s="126">
        <f>IFERROR(VLOOKUP(D4,'Monthly Deduction'!A:B,2,0),0)</f>
        <v>0</v>
      </c>
      <c r="AB4" s="129">
        <f t="shared" ref="AB4:AB67" si="3">ROUND(IFERROR(V4-SUM(W4:AA4),0),0)</f>
        <v>1542</v>
      </c>
      <c r="AC4" s="130">
        <v>0</v>
      </c>
      <c r="AD4" s="131">
        <f>ROUND(AB4-AC4,0)</f>
        <v>1542</v>
      </c>
      <c r="AE4" s="166" t="str">
        <f>IF(AC4&lt;&gt;0,"Yes","Release")</f>
        <v>Release</v>
      </c>
      <c r="AF4" s="127"/>
      <c r="AG4" s="127">
        <v>0</v>
      </c>
      <c r="AH4" s="132"/>
      <c r="AI4" s="238">
        <v>0</v>
      </c>
      <c r="AJ4" s="132"/>
      <c r="AK4" s="151">
        <v>372.89999999999992</v>
      </c>
      <c r="AL4" s="152">
        <f t="shared" ref="AL4:AL67" si="4">COUNTIF(AK4:AK4,"=NA")</f>
        <v>0</v>
      </c>
      <c r="AM4" s="153"/>
      <c r="AN4" s="128">
        <f t="shared" ref="AN4:AN67" si="5">((MIN(IF(A4&gt;0,MAX(N4*2%,1861),0),A4)))+0</f>
        <v>1861</v>
      </c>
      <c r="AO4" s="133">
        <f>SUMIF('MPG Payment '!E:E,'Shayak Income '!D4,'MPG Payment '!AJ:AJ)</f>
        <v>0</v>
      </c>
      <c r="AP4" s="128">
        <f t="shared" ref="AP4:AP67" si="6">W4</f>
        <v>1861</v>
      </c>
      <c r="AQ4" s="134">
        <f>AO4+AP4</f>
        <v>1861</v>
      </c>
      <c r="AR4" s="91" t="s">
        <v>1144</v>
      </c>
      <c r="AS4" s="91">
        <f t="shared" ref="AS4:AS67" si="7">B4-X4</f>
        <v>16000</v>
      </c>
      <c r="AT4" s="133"/>
      <c r="AU4" s="133"/>
      <c r="AV4" s="133"/>
    </row>
    <row r="5" spans="1:48" s="20" customFormat="1" x14ac:dyDescent="0.25">
      <c r="A5" s="121">
        <f>IFERROR(VLOOKUP(D5,'Monthly Deduction'!$I$3:$J$957,2,0),0)</f>
        <v>24418.274438618479</v>
      </c>
      <c r="B5" s="121">
        <f>IFERROR(VLOOKUP(D5,'Monthly Deduction'!$E$3:$F$957,2,0),0)</f>
        <v>6400</v>
      </c>
      <c r="C5" s="121">
        <f t="shared" ref="C5:C8" si="8">A5+B5</f>
        <v>30818.274438618479</v>
      </c>
      <c r="D5" s="41">
        <v>10010019</v>
      </c>
      <c r="E5" s="122" t="str">
        <f>VLOOKUP(D5,'MPG Payment '!$E$3:$G$497305,2,0)</f>
        <v xml:space="preserve">Gomukh Jagdar                                                                                       </v>
      </c>
      <c r="F5" s="146">
        <f>IFERROR(_xlfn.XLOOKUP(D5,'Monthly Deduction'!$I$3:$I$957,'Monthly Deduction'!$H$3:$H$957),0)</f>
        <v>0</v>
      </c>
      <c r="G5" s="123" t="str">
        <f>VLOOKUP(D5,'MPG Payment '!$E$3:$G$333666,3,0)</f>
        <v>MPG</v>
      </c>
      <c r="H5" s="124" t="str">
        <f>VLOOKUP(D5,'MPG Payment '!$E$3:$H$333666,4,0)</f>
        <v>Direct</v>
      </c>
      <c r="I5" s="88">
        <f>INDEX('MPG Payment '!$C:$C,MATCH('Shayak Income '!D5,'MPG Payment '!E:E,0))</f>
        <v>1001</v>
      </c>
      <c r="J5" s="88" t="str">
        <f>INDEX('MPG Payment '!$D:$D,MATCH('Shayak Income '!D5,'MPG Payment '!E:E,0))</f>
        <v>Majhaul</v>
      </c>
      <c r="K5" s="125" t="s">
        <v>1594</v>
      </c>
      <c r="L5" s="125">
        <v>45040</v>
      </c>
      <c r="M5" s="126">
        <f>SUMIF('MPG Payment '!$E$3:$E$344841,'Shayak Income '!D5,'MPG Payment '!$I$3:$I$344841)</f>
        <v>3615.7</v>
      </c>
      <c r="N5" s="126">
        <f>SUMIF('MPG Payment '!$E$3:$E$344841,'Shayak Income '!D5,'MPG Payment '!$J$3:$J$344841)</f>
        <v>140356.53999999998</v>
      </c>
      <c r="O5" s="126">
        <f t="shared" ref="O5:O68" si="9">+M5*0.75</f>
        <v>2711.7749999999996</v>
      </c>
      <c r="P5" s="126">
        <f t="shared" ref="P5:P68" si="10">+M5*0.95</f>
        <v>3434.9149999999995</v>
      </c>
      <c r="Q5" s="126">
        <f>SUMIF('MPG Payment '!$E$3:$E$344841,'Shayak Income '!D5,'MPG Payment '!$S$3:$S$344841)</f>
        <v>1821.46</v>
      </c>
      <c r="R5" s="126">
        <f t="shared" si="1"/>
        <v>4210.6961999999994</v>
      </c>
      <c r="S5" s="126">
        <f>R5-P5</f>
        <v>775.7811999999999</v>
      </c>
      <c r="T5" s="126">
        <f t="shared" ref="T5:T68" si="11">M5*0.1</f>
        <v>361.57</v>
      </c>
      <c r="U5" s="127">
        <f>((((((IF(K5="New",0,SUMIF('MPG Payment '!$E$3:$E$344841,'Shayak Income '!D5,'MPG Payment '!$AC$3:$AC$344841))))+0)+0)+0)+0)+0</f>
        <v>0</v>
      </c>
      <c r="V5" s="127">
        <f t="shared" ref="V5:V68" si="12">ROUND((SUM(O5:Q5)-SUM(T5:U5)),0)</f>
        <v>7607</v>
      </c>
      <c r="W5" s="19">
        <f t="shared" ref="W5:W66" si="13">(((AN5-AO5)))+0</f>
        <v>2807.1307999999995</v>
      </c>
      <c r="X5" s="19">
        <v>0</v>
      </c>
      <c r="Y5" s="128">
        <f>IFERROR(VLOOKUP(D5,'Monthly Deduction'!$M$2:$N$640,2,0),0)</f>
        <v>0</v>
      </c>
      <c r="Z5" s="128">
        <v>0</v>
      </c>
      <c r="AA5" s="126">
        <f>IFERROR(VLOOKUP(D5,'Monthly Deduction'!A:B,2,0),0)</f>
        <v>0</v>
      </c>
      <c r="AB5" s="129">
        <f t="shared" si="3"/>
        <v>4800</v>
      </c>
      <c r="AC5" s="130">
        <v>0</v>
      </c>
      <c r="AD5" s="35">
        <f t="shared" ref="AD5:AD68" si="14">ROUND(AB5-AC5,0)</f>
        <v>4800</v>
      </c>
      <c r="AE5" s="166" t="str">
        <f t="shared" ref="AE5:AE68" si="15">IF(AC5&lt;&gt;0,"Yes","Release")</f>
        <v>Release</v>
      </c>
      <c r="AF5" s="127"/>
      <c r="AG5" s="18">
        <v>0</v>
      </c>
      <c r="AH5" s="132"/>
      <c r="AI5" s="238">
        <v>0</v>
      </c>
      <c r="AJ5" s="132"/>
      <c r="AK5" s="151">
        <v>822.19999999999993</v>
      </c>
      <c r="AL5" s="154">
        <f>COUNTIF(AK5:AK5,"=NA")</f>
        <v>0</v>
      </c>
      <c r="AM5" s="155"/>
      <c r="AN5" s="19">
        <f t="shared" si="5"/>
        <v>2807.1307999999995</v>
      </c>
      <c r="AO5" s="118">
        <f>SUMIF('MPG Payment '!E:E,'Shayak Income '!D5,'MPG Payment '!AJ:AJ)</f>
        <v>0</v>
      </c>
      <c r="AP5" s="19">
        <f t="shared" si="6"/>
        <v>2807.1307999999995</v>
      </c>
      <c r="AQ5" s="119">
        <f>AO5+AP5</f>
        <v>2807.1307999999995</v>
      </c>
      <c r="AR5" s="91" t="s">
        <v>1144</v>
      </c>
      <c r="AS5" s="91">
        <f t="shared" si="7"/>
        <v>6400</v>
      </c>
      <c r="AT5" s="118"/>
      <c r="AU5" s="118"/>
      <c r="AV5" s="118"/>
    </row>
    <row r="6" spans="1:48" s="20" customFormat="1" x14ac:dyDescent="0.25">
      <c r="A6" s="121">
        <f>IFERROR(VLOOKUP(D6,'Monthly Deduction'!$I$3:$J$957,2,0),0)</f>
        <v>29772.487118673584</v>
      </c>
      <c r="B6" s="121">
        <f>IFERROR(VLOOKUP(D6,'Monthly Deduction'!$E$3:$F$957,2,0),0)</f>
        <v>5744.9159999999993</v>
      </c>
      <c r="C6" s="121">
        <f t="shared" si="8"/>
        <v>35517.403118673581</v>
      </c>
      <c r="D6" s="41">
        <v>10010038</v>
      </c>
      <c r="E6" s="122" t="str">
        <f>VLOOKUP(D6,'MPG Payment '!$E$3:$G$497305,2,0)</f>
        <v>Gomukh Goriyari</v>
      </c>
      <c r="F6" s="146">
        <f>IFERROR(_xlfn.XLOOKUP(D6,'Monthly Deduction'!$I$3:$I$957,'Monthly Deduction'!$H$3:$H$957),0)</f>
        <v>0</v>
      </c>
      <c r="G6" s="123" t="str">
        <f>VLOOKUP(D6,'MPG Payment '!$E$3:$G$333666,3,0)</f>
        <v>MPG</v>
      </c>
      <c r="H6" s="124" t="str">
        <f>VLOOKUP(D6,'MPG Payment '!$E$3:$H$333666,4,0)</f>
        <v>Direct</v>
      </c>
      <c r="I6" s="88">
        <f>INDEX('MPG Payment '!$C:$C,MATCH('Shayak Income '!D6,'MPG Payment '!E:E,0))</f>
        <v>1058</v>
      </c>
      <c r="J6" s="88" t="str">
        <f>INDEX('MPG Payment '!$D:$D,MATCH('Shayak Income '!D6,'MPG Payment '!E:E,0))</f>
        <v>Hasanpur</v>
      </c>
      <c r="K6" s="125" t="s">
        <v>1594</v>
      </c>
      <c r="L6" s="125">
        <v>45128</v>
      </c>
      <c r="M6" s="126">
        <f>SUMIF('MPG Payment '!$E$3:$E$344841,'Shayak Income '!D6,'MPG Payment '!$I$3:$I$344841)</f>
        <v>3578.5800000000004</v>
      </c>
      <c r="N6" s="126">
        <f>SUMIF('MPG Payment '!$E$3:$E$344841,'Shayak Income '!D6,'MPG Payment '!$J$3:$J$344841)</f>
        <v>143943.16999999998</v>
      </c>
      <c r="O6" s="126">
        <f t="shared" si="9"/>
        <v>2683.9350000000004</v>
      </c>
      <c r="P6" s="126">
        <f t="shared" si="10"/>
        <v>3399.6510000000003</v>
      </c>
      <c r="Q6" s="126">
        <f>SUMIF('MPG Payment '!$E$3:$E$344841,'Shayak Income '!D6,'MPG Payment '!$S$3:$S$344841)</f>
        <v>862.01</v>
      </c>
      <c r="R6" s="126">
        <f t="shared" si="1"/>
        <v>4318.2950999999994</v>
      </c>
      <c r="S6" s="126">
        <f>R6-P6</f>
        <v>918.64409999999907</v>
      </c>
      <c r="T6" s="126">
        <f t="shared" si="11"/>
        <v>357.85800000000006</v>
      </c>
      <c r="U6" s="127">
        <f>((((((IF(K6="New",0,SUMIF('MPG Payment '!$E$3:$E$344841,'Shayak Income '!D6,'MPG Payment '!$AC$3:$AC$344841))))+0)+0)+0)+0)+0</f>
        <v>0</v>
      </c>
      <c r="V6" s="127">
        <f t="shared" si="12"/>
        <v>6588</v>
      </c>
      <c r="W6" s="19">
        <f t="shared" si="13"/>
        <v>2878.8633999999997</v>
      </c>
      <c r="X6" s="19">
        <v>0</v>
      </c>
      <c r="Y6" s="128">
        <f>IFERROR(VLOOKUP(D6,'Monthly Deduction'!$M$2:$N$640,2,0),0)</f>
        <v>0</v>
      </c>
      <c r="Z6" s="128">
        <v>413</v>
      </c>
      <c r="AA6" s="126">
        <f>IFERROR(VLOOKUP(D6,'Monthly Deduction'!A:B,2,0),0)</f>
        <v>0</v>
      </c>
      <c r="AB6" s="129">
        <f t="shared" si="3"/>
        <v>3296</v>
      </c>
      <c r="AC6" s="130">
        <v>0</v>
      </c>
      <c r="AD6" s="35">
        <f t="shared" si="14"/>
        <v>3296</v>
      </c>
      <c r="AE6" s="166" t="str">
        <f t="shared" si="15"/>
        <v>Release</v>
      </c>
      <c r="AF6" s="127"/>
      <c r="AG6" s="127">
        <v>0</v>
      </c>
      <c r="AH6" s="132" t="s">
        <v>1680</v>
      </c>
      <c r="AI6" s="238">
        <v>0</v>
      </c>
      <c r="AJ6" s="132"/>
      <c r="AK6" s="151">
        <v>763.02</v>
      </c>
      <c r="AL6" s="154">
        <f t="shared" si="4"/>
        <v>0</v>
      </c>
      <c r="AM6" s="155"/>
      <c r="AN6" s="19">
        <f t="shared" si="5"/>
        <v>2878.8633999999997</v>
      </c>
      <c r="AO6" s="118">
        <f>SUMIF('MPG Payment '!E:E,'Shayak Income '!D6,'MPG Payment '!AJ:AJ)</f>
        <v>0</v>
      </c>
      <c r="AP6" s="19">
        <f t="shared" si="6"/>
        <v>2878.8633999999997</v>
      </c>
      <c r="AQ6" s="119">
        <f t="shared" ref="AQ6:AQ68" si="16">AO6+AP6</f>
        <v>2878.8633999999997</v>
      </c>
      <c r="AR6" s="91"/>
      <c r="AS6" s="91">
        <f t="shared" si="7"/>
        <v>5744.9159999999993</v>
      </c>
      <c r="AT6" s="118"/>
      <c r="AU6" s="118"/>
      <c r="AV6" s="118"/>
    </row>
    <row r="7" spans="1:48" s="20" customFormat="1" x14ac:dyDescent="0.25">
      <c r="A7" s="121">
        <f>IFERROR(VLOOKUP(D7,'Monthly Deduction'!$I$3:$J$957,2,0),0)</f>
        <v>0</v>
      </c>
      <c r="B7" s="121">
        <f>IFERROR(VLOOKUP(D7,'Monthly Deduction'!$E$3:$F$957,2,0),0)</f>
        <v>0</v>
      </c>
      <c r="C7" s="121">
        <f t="shared" si="8"/>
        <v>0</v>
      </c>
      <c r="D7" s="41">
        <v>10010047</v>
      </c>
      <c r="E7" s="122" t="str">
        <f>VLOOKUP(D7,'MPG Payment '!$E$3:$G$497305,2,0)</f>
        <v>Mohanpur - Chandan</v>
      </c>
      <c r="F7" s="146">
        <f>IFERROR(_xlfn.XLOOKUP(D7,'Monthly Deduction'!$I$3:$I$957,'Monthly Deduction'!$H$3:$H$957),0)</f>
        <v>0</v>
      </c>
      <c r="G7" s="123" t="str">
        <f>VLOOKUP(D7,'MPG Payment '!$E$3:$G$333666,3,0)</f>
        <v>vlc</v>
      </c>
      <c r="H7" s="124" t="str">
        <f>VLOOKUP(D7,'MPG Payment '!$E$3:$H$333666,4,0)</f>
        <v>Indirect</v>
      </c>
      <c r="I7" s="88">
        <f>INDEX('MPG Payment '!$C:$C,MATCH('Shayak Income '!D7,'MPG Payment '!E:E,0))</f>
        <v>1001</v>
      </c>
      <c r="J7" s="88" t="str">
        <f>INDEX('MPG Payment '!$D:$D,MATCH('Shayak Income '!D7,'MPG Payment '!E:E,0))</f>
        <v>Majhaul</v>
      </c>
      <c r="K7" s="125" t="s">
        <v>1594</v>
      </c>
      <c r="L7" s="125">
        <v>45121</v>
      </c>
      <c r="M7" s="126">
        <f>SUMIF('MPG Payment '!$E$3:$E$344841,'Shayak Income '!D7,'MPG Payment '!$I$3:$I$344841)</f>
        <v>527.9</v>
      </c>
      <c r="N7" s="126">
        <f>SUMIF('MPG Payment '!$E$3:$E$344841,'Shayak Income '!D7,'MPG Payment '!$J$3:$J$344841)</f>
        <v>20684.890000000003</v>
      </c>
      <c r="O7" s="126">
        <f t="shared" si="9"/>
        <v>395.92499999999995</v>
      </c>
      <c r="P7" s="126">
        <f t="shared" si="10"/>
        <v>501.50499999999994</v>
      </c>
      <c r="Q7" s="126">
        <f>SUMIF('MPG Payment '!$E$3:$E$344841,'Shayak Income '!D7,'MPG Payment '!$S$3:$S$344841)</f>
        <v>0</v>
      </c>
      <c r="R7" s="126">
        <f t="shared" si="1"/>
        <v>620.5467000000001</v>
      </c>
      <c r="S7" s="126">
        <f t="shared" si="2"/>
        <v>119.04170000000016</v>
      </c>
      <c r="T7" s="126">
        <f t="shared" si="11"/>
        <v>52.79</v>
      </c>
      <c r="U7" s="127">
        <f>((((((IF(K7="New",0,SUMIF('MPG Payment '!$E$3:$E$344841,'Shayak Income '!D7,'MPG Payment '!$AC$3:$AC$344841))))+0)+0)+0)+0)+-952</f>
        <v>844.17392476875148</v>
      </c>
      <c r="V7" s="127">
        <f t="shared" si="12"/>
        <v>0</v>
      </c>
      <c r="W7" s="19">
        <v>0</v>
      </c>
      <c r="X7" s="19">
        <v>0</v>
      </c>
      <c r="Y7" s="128">
        <v>0</v>
      </c>
      <c r="Z7" s="128">
        <v>0</v>
      </c>
      <c r="AA7" s="126">
        <v>0</v>
      </c>
      <c r="AB7" s="129">
        <f t="shared" si="3"/>
        <v>0</v>
      </c>
      <c r="AC7" s="130">
        <v>0</v>
      </c>
      <c r="AD7" s="35">
        <f t="shared" si="14"/>
        <v>0</v>
      </c>
      <c r="AE7" s="166" t="str">
        <f t="shared" si="15"/>
        <v>Release</v>
      </c>
      <c r="AF7" s="127"/>
      <c r="AG7" s="18">
        <v>0</v>
      </c>
      <c r="AH7" s="132"/>
      <c r="AI7" s="238">
        <v>0</v>
      </c>
      <c r="AJ7" s="132"/>
      <c r="AK7" s="151">
        <v>28.13</v>
      </c>
      <c r="AL7" s="154">
        <f t="shared" si="4"/>
        <v>0</v>
      </c>
      <c r="AM7" s="155"/>
      <c r="AN7" s="19">
        <f t="shared" si="5"/>
        <v>0</v>
      </c>
      <c r="AO7" s="118">
        <f>SUMIF('MPG Payment '!E:E,'Shayak Income '!D7,'MPG Payment '!AJ:AJ)</f>
        <v>0</v>
      </c>
      <c r="AP7" s="19">
        <f t="shared" si="6"/>
        <v>0</v>
      </c>
      <c r="AQ7" s="119">
        <f t="shared" si="16"/>
        <v>0</v>
      </c>
      <c r="AR7" s="91"/>
      <c r="AS7" s="91">
        <f t="shared" si="7"/>
        <v>0</v>
      </c>
      <c r="AT7" s="118"/>
      <c r="AU7" s="118"/>
      <c r="AV7" s="118"/>
    </row>
    <row r="8" spans="1:48" s="20" customFormat="1" x14ac:dyDescent="0.25">
      <c r="A8" s="121">
        <f>IFERROR(VLOOKUP(D8,'Monthly Deduction'!$I$3:$J$957,2,0),0)</f>
        <v>30233.600332837523</v>
      </c>
      <c r="B8" s="121">
        <f>IFERROR(VLOOKUP(D8,'Monthly Deduction'!$E$3:$F$957,2,0),0)</f>
        <v>0</v>
      </c>
      <c r="C8" s="121">
        <f t="shared" si="8"/>
        <v>30233.600332837523</v>
      </c>
      <c r="D8" s="41">
        <v>10010050</v>
      </c>
      <c r="E8" s="122" t="str">
        <f>VLOOKUP(D8,'MPG Payment '!$E$3:$G$497305,2,0)</f>
        <v>Ekamba - Ashutosh</v>
      </c>
      <c r="F8" s="146">
        <f>IFERROR(_xlfn.XLOOKUP(D8,'Monthly Deduction'!$I$3:$I$957,'Monthly Deduction'!$H$3:$H$957),0)</f>
        <v>0</v>
      </c>
      <c r="G8" s="123" t="str">
        <f>VLOOKUP(D8,'MPG Payment '!$E$3:$G$333666,3,0)</f>
        <v>vlc</v>
      </c>
      <c r="H8" s="124" t="str">
        <f>VLOOKUP(D8,'MPG Payment '!$E$3:$H$333666,4,0)</f>
        <v>Indirect</v>
      </c>
      <c r="I8" s="88">
        <f>INDEX('MPG Payment '!$C:$C,MATCH('Shayak Income '!D8,'MPG Payment '!E:E,0))</f>
        <v>1058</v>
      </c>
      <c r="J8" s="88" t="str">
        <f>INDEX('MPG Payment '!$D:$D,MATCH('Shayak Income '!D8,'MPG Payment '!E:E,0))</f>
        <v>Hasanpur</v>
      </c>
      <c r="K8" s="125" t="s">
        <v>1594</v>
      </c>
      <c r="L8" s="125">
        <v>45098</v>
      </c>
      <c r="M8" s="126">
        <f>SUMIF('MPG Payment '!$E$3:$E$344841,'Shayak Income '!D8,'MPG Payment '!$I$3:$I$344841)</f>
        <v>5015.62</v>
      </c>
      <c r="N8" s="126">
        <f>SUMIF('MPG Payment '!$E$3:$E$344841,'Shayak Income '!D8,'MPG Payment '!$J$3:$J$344841)</f>
        <v>217108.75</v>
      </c>
      <c r="O8" s="126">
        <f t="shared" si="9"/>
        <v>3761.7150000000001</v>
      </c>
      <c r="P8" s="126">
        <f t="shared" si="10"/>
        <v>4764.8389999999999</v>
      </c>
      <c r="Q8" s="126">
        <f>SUMIF('MPG Payment '!$E$3:$E$344841,'Shayak Income '!D8,'MPG Payment '!$S$3:$S$344841)</f>
        <v>0</v>
      </c>
      <c r="R8" s="126">
        <f t="shared" si="1"/>
        <v>6513.2624999999998</v>
      </c>
      <c r="S8" s="126">
        <f t="shared" si="2"/>
        <v>1748.4234999999999</v>
      </c>
      <c r="T8" s="126">
        <f t="shared" si="11"/>
        <v>501.56200000000001</v>
      </c>
      <c r="U8" s="127">
        <f>((((((IF(K8="New",0,SUMIF('MPG Payment '!$E$3:$E$344841,'Shayak Income '!D8,'MPG Payment '!$AC$3:$AC$344841))))+0)+0)+0)+0)+0</f>
        <v>0</v>
      </c>
      <c r="V8" s="127">
        <f t="shared" si="12"/>
        <v>8025</v>
      </c>
      <c r="W8" s="19">
        <f t="shared" si="13"/>
        <v>4342.1750000000002</v>
      </c>
      <c r="X8" s="19">
        <v>0</v>
      </c>
      <c r="Y8" s="128">
        <f>IFERROR(VLOOKUP(D8,'Monthly Deduction'!$M$2:$N$640,2,0),0)</f>
        <v>0</v>
      </c>
      <c r="Z8" s="128">
        <v>0</v>
      </c>
      <c r="AA8" s="126">
        <f>IFERROR(VLOOKUP(D8,'Monthly Deduction'!A:B,2,0),0)</f>
        <v>0</v>
      </c>
      <c r="AB8" s="129">
        <f t="shared" si="3"/>
        <v>3683</v>
      </c>
      <c r="AC8" s="130">
        <v>0</v>
      </c>
      <c r="AD8" s="35">
        <f t="shared" si="14"/>
        <v>3683</v>
      </c>
      <c r="AE8" s="166" t="str">
        <f t="shared" si="15"/>
        <v>Release</v>
      </c>
      <c r="AF8" s="127"/>
      <c r="AG8" s="127">
        <v>0</v>
      </c>
      <c r="AH8" s="132"/>
      <c r="AI8" s="238">
        <v>0</v>
      </c>
      <c r="AJ8" s="132"/>
      <c r="AK8" s="151">
        <v>977.33</v>
      </c>
      <c r="AL8" s="154">
        <f t="shared" si="4"/>
        <v>0</v>
      </c>
      <c r="AM8" s="155"/>
      <c r="AN8" s="19">
        <f t="shared" si="5"/>
        <v>4342.1750000000002</v>
      </c>
      <c r="AO8" s="118">
        <f>SUMIF('MPG Payment '!E:E,'Shayak Income '!D8,'MPG Payment '!AJ:AJ)</f>
        <v>0</v>
      </c>
      <c r="AP8" s="19">
        <f t="shared" si="6"/>
        <v>4342.1750000000002</v>
      </c>
      <c r="AQ8" s="119">
        <f t="shared" si="16"/>
        <v>4342.1750000000002</v>
      </c>
      <c r="AR8" s="91"/>
      <c r="AS8" s="91">
        <f t="shared" si="7"/>
        <v>0</v>
      </c>
      <c r="AT8" s="118"/>
      <c r="AU8" s="118"/>
      <c r="AV8" s="118"/>
    </row>
    <row r="9" spans="1:48" s="20" customFormat="1" x14ac:dyDescent="0.25">
      <c r="A9" s="17">
        <f>IFERROR(VLOOKUP(D9,'Monthly Deduction'!$I$3:$J$957,2,0),0)</f>
        <v>22582.277062670037</v>
      </c>
      <c r="B9" s="17">
        <f>IFERROR(VLOOKUP(D9,'Monthly Deduction'!$E$3:$F$957,2,0),0)</f>
        <v>6970.1517999999996</v>
      </c>
      <c r="C9" s="17">
        <f t="shared" ref="C9:C68" si="17">A9+B9</f>
        <v>29552.428862670036</v>
      </c>
      <c r="D9" s="41">
        <v>10010051</v>
      </c>
      <c r="E9" s="122" t="str">
        <f>VLOOKUP(D9,'MPG Payment '!$E$3:$G$497305,2,0)</f>
        <v>Gomukh Dunahi</v>
      </c>
      <c r="F9" s="146">
        <f>IFERROR(_xlfn.XLOOKUP(D9,'Monthly Deduction'!$I$3:$I$957,'Monthly Deduction'!$H$3:$H$957),0)</f>
        <v>0</v>
      </c>
      <c r="G9" s="123" t="str">
        <f>VLOOKUP(D9,'MPG Payment '!$E$3:$G$333666,3,0)</f>
        <v>MPG</v>
      </c>
      <c r="H9" s="124" t="str">
        <f>VLOOKUP(D9,'MPG Payment '!$E$3:$H$333666,4,0)</f>
        <v>Direct</v>
      </c>
      <c r="I9" s="88">
        <f>INDEX('MPG Payment '!$C:$C,MATCH('Shayak Income '!D9,'MPG Payment '!E:E,0))</f>
        <v>1058</v>
      </c>
      <c r="J9" s="88" t="str">
        <f>INDEX('MPG Payment '!$D:$D,MATCH('Shayak Income '!D9,'MPG Payment '!E:E,0))</f>
        <v>Hasanpur</v>
      </c>
      <c r="K9" s="125" t="s">
        <v>1594</v>
      </c>
      <c r="L9" s="125">
        <v>45219</v>
      </c>
      <c r="M9" s="126">
        <f>SUMIF('MPG Payment '!$E$3:$E$344841,'Shayak Income '!D9,'MPG Payment '!$I$3:$I$344841)</f>
        <v>81.59</v>
      </c>
      <c r="N9" s="126">
        <f>SUMIF('MPG Payment '!$E$3:$E$344841,'Shayak Income '!D9,'MPG Payment '!$J$3:$J$344841)</f>
        <v>3336.3</v>
      </c>
      <c r="O9" s="126">
        <f t="shared" si="9"/>
        <v>61.192500000000003</v>
      </c>
      <c r="P9" s="126">
        <f t="shared" si="10"/>
        <v>77.510499999999993</v>
      </c>
      <c r="Q9" s="126">
        <f>SUMIF('MPG Payment '!$E$3:$E$344841,'Shayak Income '!D9,'MPG Payment '!$S$3:$S$344841)</f>
        <v>79.17</v>
      </c>
      <c r="R9" s="126">
        <f t="shared" si="1"/>
        <v>100.089</v>
      </c>
      <c r="S9" s="126">
        <f t="shared" si="2"/>
        <v>22.578500000000005</v>
      </c>
      <c r="T9" s="126">
        <f t="shared" si="11"/>
        <v>8.1590000000000007</v>
      </c>
      <c r="U9" s="127">
        <f>((((((IF(K9="New",0,SUMIF('MPG Payment '!$E$3:$E$344841,'Shayak Income '!D9,'MPG Payment '!$AC$3:$AC$344841))))+0)+0)+0)+0)+-296</f>
        <v>209.74856796176005</v>
      </c>
      <c r="V9" s="127">
        <f t="shared" si="12"/>
        <v>0</v>
      </c>
      <c r="W9" s="19">
        <v>0</v>
      </c>
      <c r="X9" s="19">
        <v>0</v>
      </c>
      <c r="Y9" s="128">
        <v>0</v>
      </c>
      <c r="Z9" s="128">
        <v>0</v>
      </c>
      <c r="AA9" s="126">
        <v>0</v>
      </c>
      <c r="AB9" s="129">
        <f t="shared" si="3"/>
        <v>0</v>
      </c>
      <c r="AC9" s="130">
        <v>0</v>
      </c>
      <c r="AD9" s="35">
        <f t="shared" si="14"/>
        <v>0</v>
      </c>
      <c r="AE9" s="166" t="str">
        <f t="shared" si="15"/>
        <v>Release</v>
      </c>
      <c r="AF9" s="127"/>
      <c r="AG9" s="127">
        <v>0</v>
      </c>
      <c r="AH9" s="215"/>
      <c r="AI9" s="238">
        <v>0</v>
      </c>
      <c r="AJ9" s="132"/>
      <c r="AK9" s="151">
        <v>155.27000000000001</v>
      </c>
      <c r="AL9" s="154">
        <f t="shared" si="4"/>
        <v>0</v>
      </c>
      <c r="AM9" s="155"/>
      <c r="AN9" s="19">
        <f t="shared" si="5"/>
        <v>1861</v>
      </c>
      <c r="AO9" s="118">
        <f>SUMIF('MPG Payment '!E:E,'Shayak Income '!D9,'MPG Payment '!AJ:AJ)</f>
        <v>0</v>
      </c>
      <c r="AP9" s="19">
        <f t="shared" si="6"/>
        <v>0</v>
      </c>
      <c r="AQ9" s="119">
        <f t="shared" si="16"/>
        <v>0</v>
      </c>
      <c r="AR9" s="91"/>
      <c r="AS9" s="91">
        <f t="shared" si="7"/>
        <v>6970.1517999999996</v>
      </c>
      <c r="AT9" s="118"/>
      <c r="AU9" s="118"/>
      <c r="AV9" s="118"/>
    </row>
    <row r="10" spans="1:48" s="20" customFormat="1" x14ac:dyDescent="0.25">
      <c r="A10" s="17">
        <f>IFERROR(VLOOKUP(D10,'Monthly Deduction'!$I$3:$J$957,2,0),0)</f>
        <v>78375.427423580782</v>
      </c>
      <c r="B10" s="17">
        <f>IFERROR(VLOOKUP(D10,'Monthly Deduction'!$E$3:$F$957,2,0),0)</f>
        <v>6400</v>
      </c>
      <c r="C10" s="17">
        <f t="shared" si="17"/>
        <v>84775.427423580782</v>
      </c>
      <c r="D10" s="41">
        <v>10010055</v>
      </c>
      <c r="E10" s="122" t="str">
        <f>VLOOKUP(D10,'MPG Payment '!$E$3:$G$497305,2,0)</f>
        <v xml:space="preserve">GOMUKH BIRPUR PASCHIM                                                                               </v>
      </c>
      <c r="F10" s="146">
        <f>IFERROR(_xlfn.XLOOKUP(D10,'Monthly Deduction'!$I$3:$I$957,'Monthly Deduction'!$H$3:$H$957),0)</f>
        <v>0</v>
      </c>
      <c r="G10" s="123" t="str">
        <f>VLOOKUP(D10,'MPG Payment '!$E$3:$G$333666,3,0)</f>
        <v>MPG</v>
      </c>
      <c r="H10" s="124" t="str">
        <f>VLOOKUP(D10,'MPG Payment '!$E$3:$H$333666,4,0)</f>
        <v>Direct</v>
      </c>
      <c r="I10" s="88">
        <f>INDEX('MPG Payment '!$C:$C,MATCH('Shayak Income '!D10,'MPG Payment '!E:E,0))</f>
        <v>1001</v>
      </c>
      <c r="J10" s="88" t="str">
        <f>INDEX('MPG Payment '!$D:$D,MATCH('Shayak Income '!D10,'MPG Payment '!E:E,0))</f>
        <v>Majhaul</v>
      </c>
      <c r="K10" s="125" t="s">
        <v>1594</v>
      </c>
      <c r="L10" s="125">
        <v>45231</v>
      </c>
      <c r="M10" s="126">
        <f>SUMIF('MPG Payment '!$E$3:$E$344841,'Shayak Income '!D10,'MPG Payment '!$I$3:$I$344841)</f>
        <v>398.20000000000005</v>
      </c>
      <c r="N10" s="126">
        <f>SUMIF('MPG Payment '!$E$3:$E$344841,'Shayak Income '!D10,'MPG Payment '!$J$3:$J$344841)</f>
        <v>16578.310000000001</v>
      </c>
      <c r="O10" s="126">
        <f t="shared" si="9"/>
        <v>298.65000000000003</v>
      </c>
      <c r="P10" s="126">
        <f t="shared" si="10"/>
        <v>378.29</v>
      </c>
      <c r="Q10" s="126">
        <f>SUMIF('MPG Payment '!$E$3:$E$344841,'Shayak Income '!D10,'MPG Payment '!$S$3:$S$344841)</f>
        <v>0</v>
      </c>
      <c r="R10" s="126">
        <f t="shared" si="1"/>
        <v>497.34930000000003</v>
      </c>
      <c r="S10" s="126">
        <f t="shared" si="2"/>
        <v>119.05930000000001</v>
      </c>
      <c r="T10" s="126">
        <f t="shared" si="11"/>
        <v>39.820000000000007</v>
      </c>
      <c r="U10" s="127">
        <f>((((((IF(K10="New",0,SUMIF('MPG Payment '!$E$3:$E$344841,'Shayak Income '!D10,'MPG Payment '!$AC$3:$AC$344841))))+0)+0)+0)+0)+-1363</f>
        <v>637.05970837836048</v>
      </c>
      <c r="V10" s="127">
        <f t="shared" si="12"/>
        <v>0</v>
      </c>
      <c r="W10" s="19">
        <v>0</v>
      </c>
      <c r="X10" s="19">
        <v>0</v>
      </c>
      <c r="Y10" s="128">
        <v>0</v>
      </c>
      <c r="Z10" s="128">
        <v>0</v>
      </c>
      <c r="AA10" s="126">
        <v>0</v>
      </c>
      <c r="AB10" s="129">
        <f t="shared" si="3"/>
        <v>0</v>
      </c>
      <c r="AC10" s="130">
        <v>0</v>
      </c>
      <c r="AD10" s="35">
        <f t="shared" si="14"/>
        <v>0</v>
      </c>
      <c r="AE10" s="166" t="str">
        <f t="shared" si="15"/>
        <v>Release</v>
      </c>
      <c r="AF10" s="127"/>
      <c r="AG10" s="18">
        <v>0</v>
      </c>
      <c r="AH10" s="132"/>
      <c r="AI10" s="238">
        <v>0</v>
      </c>
      <c r="AJ10" s="132"/>
      <c r="AK10" s="151">
        <v>93.830000000000013</v>
      </c>
      <c r="AL10" s="154">
        <f t="shared" si="4"/>
        <v>0</v>
      </c>
      <c r="AM10" s="155"/>
      <c r="AN10" s="19">
        <f t="shared" si="5"/>
        <v>1861</v>
      </c>
      <c r="AO10" s="118">
        <f>SUMIF('MPG Payment '!E:E,'Shayak Income '!D10,'MPG Payment '!AJ:AJ)</f>
        <v>2000</v>
      </c>
      <c r="AP10" s="19">
        <f t="shared" si="6"/>
        <v>0</v>
      </c>
      <c r="AQ10" s="119">
        <f t="shared" si="16"/>
        <v>2000</v>
      </c>
      <c r="AR10" s="91" t="s">
        <v>1144</v>
      </c>
      <c r="AS10" s="91">
        <f t="shared" si="7"/>
        <v>6400</v>
      </c>
      <c r="AT10" s="118"/>
      <c r="AU10" s="118"/>
      <c r="AV10" s="118"/>
    </row>
    <row r="11" spans="1:48" s="20" customFormat="1" x14ac:dyDescent="0.25">
      <c r="A11" s="17">
        <f>IFERROR(VLOOKUP(D11,'Monthly Deduction'!$I$3:$J$957,2,0),0)</f>
        <v>0</v>
      </c>
      <c r="B11" s="17">
        <f>IFERROR(VLOOKUP(D11,'Monthly Deduction'!$E$3:$F$957,2,0),0)</f>
        <v>0</v>
      </c>
      <c r="C11" s="17">
        <f t="shared" si="17"/>
        <v>0</v>
      </c>
      <c r="D11" s="41">
        <v>10010057</v>
      </c>
      <c r="E11" s="122" t="str">
        <f>VLOOKUP(D11,'MPG Payment '!$E$3:$G$497305,2,0)</f>
        <v xml:space="preserve">Manish Dairy                                                                                        </v>
      </c>
      <c r="F11" s="146">
        <f>IFERROR(_xlfn.XLOOKUP(D11,'Monthly Deduction'!$I$3:$I$957,'Monthly Deduction'!$H$3:$H$957),0)</f>
        <v>0</v>
      </c>
      <c r="G11" s="123" t="str">
        <f>VLOOKUP(D11,'MPG Payment '!$E$3:$G$333666,3,0)</f>
        <v>vlc</v>
      </c>
      <c r="H11" s="124" t="str">
        <f>VLOOKUP(D11,'MPG Payment '!$E$3:$H$333666,4,0)</f>
        <v>Indirect</v>
      </c>
      <c r="I11" s="88">
        <f>INDEX('MPG Payment '!$C:$C,MATCH('Shayak Income '!D11,'MPG Payment '!E:E,0))</f>
        <v>1001</v>
      </c>
      <c r="J11" s="88" t="str">
        <f>INDEX('MPG Payment '!$D:$D,MATCH('Shayak Income '!D11,'MPG Payment '!E:E,0))</f>
        <v>Majhaul</v>
      </c>
      <c r="K11" s="125" t="s">
        <v>1594</v>
      </c>
      <c r="L11" s="125">
        <v>45000</v>
      </c>
      <c r="M11" s="126">
        <f>SUMIF('MPG Payment '!$E$3:$E$344841,'Shayak Income '!D11,'MPG Payment '!$I$3:$I$344841)</f>
        <v>36779.800000000003</v>
      </c>
      <c r="N11" s="126">
        <f>SUMIF('MPG Payment '!$E$3:$E$344841,'Shayak Income '!D11,'MPG Payment '!$J$3:$J$344841)</f>
        <v>1389812.1600000001</v>
      </c>
      <c r="O11" s="126">
        <f t="shared" si="9"/>
        <v>27584.850000000002</v>
      </c>
      <c r="P11" s="126">
        <f t="shared" si="10"/>
        <v>34940.81</v>
      </c>
      <c r="Q11" s="126">
        <f>SUMIF('MPG Payment '!$E$3:$E$344841,'Shayak Income '!D11,'MPG Payment '!$S$3:$S$344841)</f>
        <v>0</v>
      </c>
      <c r="R11" s="126">
        <f t="shared" si="1"/>
        <v>41694.364800000003</v>
      </c>
      <c r="S11" s="126">
        <f t="shared" si="2"/>
        <v>6753.5548000000053</v>
      </c>
      <c r="T11" s="126">
        <f t="shared" si="11"/>
        <v>3677.9800000000005</v>
      </c>
      <c r="U11" s="127">
        <f>((((((IF(K11="New",0,SUMIF('MPG Payment '!$E$3:$E$344841,'Shayak Income '!D11,'MPG Payment '!$AC$3:$AC$344841))))+0)+0)+0)+0)+0</f>
        <v>0</v>
      </c>
      <c r="V11" s="127">
        <f t="shared" si="12"/>
        <v>58848</v>
      </c>
      <c r="W11" s="19">
        <f t="shared" si="13"/>
        <v>0</v>
      </c>
      <c r="X11" s="19">
        <f t="shared" ref="X11:X66" si="18">((MIN(IF(B11&gt;0,MAX(N11*2%),0),B11)))+0</f>
        <v>0</v>
      </c>
      <c r="Y11" s="128">
        <f>IFERROR(VLOOKUP(D11,'Monthly Deduction'!$M$2:$N$640,2,0),0)</f>
        <v>0</v>
      </c>
      <c r="Z11" s="128">
        <v>0</v>
      </c>
      <c r="AA11" s="126">
        <f>IFERROR(VLOOKUP(D11,'Monthly Deduction'!A:B,2,0),0)</f>
        <v>0</v>
      </c>
      <c r="AB11" s="129">
        <f t="shared" si="3"/>
        <v>58848</v>
      </c>
      <c r="AC11" s="130">
        <v>0</v>
      </c>
      <c r="AD11" s="35">
        <f t="shared" si="14"/>
        <v>58848</v>
      </c>
      <c r="AE11" s="166" t="str">
        <f t="shared" si="15"/>
        <v>Release</v>
      </c>
      <c r="AF11" s="127"/>
      <c r="AG11" s="18">
        <v>0</v>
      </c>
      <c r="AH11" s="132"/>
      <c r="AI11" s="238">
        <v>0</v>
      </c>
      <c r="AJ11" s="132"/>
      <c r="AK11" s="151">
        <v>6216</v>
      </c>
      <c r="AL11" s="154">
        <f t="shared" si="4"/>
        <v>0</v>
      </c>
      <c r="AM11" s="155"/>
      <c r="AN11" s="19">
        <f t="shared" si="5"/>
        <v>0</v>
      </c>
      <c r="AO11" s="118">
        <f>SUMIF('MPG Payment '!E:E,'Shayak Income '!D11,'MPG Payment '!AJ:AJ)</f>
        <v>0</v>
      </c>
      <c r="AP11" s="19">
        <f t="shared" si="6"/>
        <v>0</v>
      </c>
      <c r="AQ11" s="119">
        <f t="shared" si="16"/>
        <v>0</v>
      </c>
      <c r="AR11" s="91" t="s">
        <v>1144</v>
      </c>
      <c r="AS11" s="91">
        <f t="shared" si="7"/>
        <v>0</v>
      </c>
      <c r="AT11" s="118"/>
      <c r="AU11" s="118"/>
      <c r="AV11" s="118"/>
    </row>
    <row r="12" spans="1:48" s="20" customFormat="1" x14ac:dyDescent="0.25">
      <c r="A12" s="17">
        <f>IFERROR(VLOOKUP(D12,'Monthly Deduction'!$I$3:$J$957,2,0),0)</f>
        <v>42586.742821923763</v>
      </c>
      <c r="B12" s="17">
        <f>IFERROR(VLOOKUP(D12,'Monthly Deduction'!$E$3:$F$957,2,0),0)</f>
        <v>16599</v>
      </c>
      <c r="C12" s="17">
        <f t="shared" si="17"/>
        <v>59185.742821923763</v>
      </c>
      <c r="D12" s="41">
        <v>10010076</v>
      </c>
      <c r="E12" s="122" t="str">
        <f>VLOOKUP(D12,'MPG Payment '!$E$3:$G$497305,2,0)</f>
        <v>Gomukh Bhith-02</v>
      </c>
      <c r="F12" s="146">
        <f>IFERROR(_xlfn.XLOOKUP(D12,'Monthly Deduction'!$I$3:$I$957,'Monthly Deduction'!$H$3:$H$957),0)</f>
        <v>0</v>
      </c>
      <c r="G12" s="123" t="str">
        <f>VLOOKUP(D12,'MPG Payment '!$E$3:$G$333666,3,0)</f>
        <v>MPG</v>
      </c>
      <c r="H12" s="124" t="str">
        <f>VLOOKUP(D12,'MPG Payment '!$E$3:$H$333666,4,0)</f>
        <v>Direct</v>
      </c>
      <c r="I12" s="88">
        <f>INDEX('MPG Payment '!$C:$C,MATCH('Shayak Income '!D12,'MPG Payment '!E:E,0))</f>
        <v>1001</v>
      </c>
      <c r="J12" s="88" t="str">
        <f>INDEX('MPG Payment '!$D:$D,MATCH('Shayak Income '!D12,'MPG Payment '!E:E,0))</f>
        <v>Majhaul</v>
      </c>
      <c r="K12" s="125" t="s">
        <v>1594</v>
      </c>
      <c r="L12" s="125">
        <v>45471</v>
      </c>
      <c r="M12" s="126">
        <f>SUMIF('MPG Payment '!$E$3:$E$344841,'Shayak Income '!D12,'MPG Payment '!$I$3:$I$344841)</f>
        <v>3203.3999999999996</v>
      </c>
      <c r="N12" s="126">
        <f>SUMIF('MPG Payment '!$E$3:$E$344841,'Shayak Income '!D12,'MPG Payment '!$J$3:$J$344841)</f>
        <v>140070.81</v>
      </c>
      <c r="O12" s="126">
        <f t="shared" si="9"/>
        <v>2402.5499999999997</v>
      </c>
      <c r="P12" s="126">
        <f t="shared" si="10"/>
        <v>3043.2299999999996</v>
      </c>
      <c r="Q12" s="126">
        <f>SUMIF('MPG Payment '!$E$3:$E$344841,'Shayak Income '!D12,'MPG Payment '!$S$3:$S$344841)</f>
        <v>0</v>
      </c>
      <c r="R12" s="126">
        <f t="shared" si="1"/>
        <v>4202.1242999999995</v>
      </c>
      <c r="S12" s="126">
        <f t="shared" si="2"/>
        <v>1158.8942999999999</v>
      </c>
      <c r="T12" s="126">
        <f t="shared" si="11"/>
        <v>320.33999999999997</v>
      </c>
      <c r="U12" s="127">
        <f>((((((IF(K12="New",0,SUMIF('MPG Payment '!$E$3:$E$344841,'Shayak Income '!D12,'MPG Payment '!$AC$3:$AC$344841))))+0)+0)+0)+0)+0</f>
        <v>98.084929041143084</v>
      </c>
      <c r="V12" s="127">
        <f t="shared" si="12"/>
        <v>5027</v>
      </c>
      <c r="W12" s="19">
        <f t="shared" si="13"/>
        <v>2801.4162000000001</v>
      </c>
      <c r="X12" s="19">
        <v>0</v>
      </c>
      <c r="Y12" s="128">
        <v>2226</v>
      </c>
      <c r="Z12" s="128">
        <v>0</v>
      </c>
      <c r="AA12" s="126">
        <f>IFERROR(VLOOKUP(D12,'Monthly Deduction'!A:B,2,0),0)</f>
        <v>0</v>
      </c>
      <c r="AB12" s="129">
        <f t="shared" si="3"/>
        <v>0</v>
      </c>
      <c r="AC12" s="130">
        <v>0</v>
      </c>
      <c r="AD12" s="35">
        <f t="shared" si="14"/>
        <v>0</v>
      </c>
      <c r="AE12" s="166" t="str">
        <f t="shared" si="15"/>
        <v>Release</v>
      </c>
      <c r="AF12" s="127"/>
      <c r="AG12" s="18">
        <v>0</v>
      </c>
      <c r="AH12" s="132"/>
      <c r="AI12" s="238">
        <v>0</v>
      </c>
      <c r="AJ12" s="132"/>
      <c r="AK12" s="151">
        <v>722.58</v>
      </c>
      <c r="AL12" s="154">
        <f t="shared" si="4"/>
        <v>0</v>
      </c>
      <c r="AM12" s="155"/>
      <c r="AN12" s="19">
        <f t="shared" si="5"/>
        <v>2801.4162000000001</v>
      </c>
      <c r="AO12" s="118">
        <f>SUMIF('MPG Payment '!E:E,'Shayak Income '!D12,'MPG Payment '!AJ:AJ)</f>
        <v>0</v>
      </c>
      <c r="AP12" s="19">
        <f t="shared" si="6"/>
        <v>2801.4162000000001</v>
      </c>
      <c r="AQ12" s="119">
        <f t="shared" si="16"/>
        <v>2801.4162000000001</v>
      </c>
      <c r="AR12" s="91" t="s">
        <v>1144</v>
      </c>
      <c r="AS12" s="91">
        <f t="shared" si="7"/>
        <v>16599</v>
      </c>
      <c r="AT12" s="118"/>
      <c r="AU12" s="118"/>
      <c r="AV12" s="118"/>
    </row>
    <row r="13" spans="1:48" s="20" customFormat="1" x14ac:dyDescent="0.25">
      <c r="A13" s="17">
        <f>IFERROR(VLOOKUP(D13,'Monthly Deduction'!$I$3:$J$957,2,0),0)</f>
        <v>17208.325264177576</v>
      </c>
      <c r="B13" s="17">
        <f>IFERROR(VLOOKUP(D13,'Monthly Deduction'!$E$3:$F$957,2,0),0)</f>
        <v>25600</v>
      </c>
      <c r="C13" s="17">
        <f t="shared" si="17"/>
        <v>42808.325264177576</v>
      </c>
      <c r="D13" s="41">
        <v>10010082</v>
      </c>
      <c r="E13" s="122" t="str">
        <f>VLOOKUP(D13,'MPG Payment '!$E$3:$G$497305,2,0)</f>
        <v>Gomukh Sharmatola Sahuri</v>
      </c>
      <c r="F13" s="146">
        <f>IFERROR(_xlfn.XLOOKUP(D13,'Monthly Deduction'!$I$3:$I$957,'Monthly Deduction'!$H$3:$H$957),0)</f>
        <v>0</v>
      </c>
      <c r="G13" s="123" t="str">
        <f>VLOOKUP(D13,'MPG Payment '!$E$3:$G$333666,3,0)</f>
        <v>MPG</v>
      </c>
      <c r="H13" s="124" t="str">
        <f>VLOOKUP(D13,'MPG Payment '!$E$3:$H$333666,4,0)</f>
        <v>Direct</v>
      </c>
      <c r="I13" s="88">
        <f>INDEX('MPG Payment '!$C:$C,MATCH('Shayak Income '!D13,'MPG Payment '!E:E,0))</f>
        <v>1001</v>
      </c>
      <c r="J13" s="88" t="str">
        <f>INDEX('MPG Payment '!$D:$D,MATCH('Shayak Income '!D13,'MPG Payment '!E:E,0))</f>
        <v>Majhaul</v>
      </c>
      <c r="K13" s="125" t="s">
        <v>1594</v>
      </c>
      <c r="L13" s="125">
        <v>45568</v>
      </c>
      <c r="M13" s="126">
        <f>SUMIF('MPG Payment '!$E$3:$E$344841,'Shayak Income '!D13,'MPG Payment '!$I$3:$I$344841)</f>
        <v>4784.1000000000004</v>
      </c>
      <c r="N13" s="126">
        <f>SUMIF('MPG Payment '!$E$3:$E$344841,'Shayak Income '!D13,'MPG Payment '!$J$3:$J$344841)</f>
        <v>186101.66</v>
      </c>
      <c r="O13" s="126">
        <f t="shared" si="9"/>
        <v>3588.0750000000003</v>
      </c>
      <c r="P13" s="126">
        <f t="shared" si="10"/>
        <v>4544.8950000000004</v>
      </c>
      <c r="Q13" s="126">
        <f>SUMIF('MPG Payment '!$E$3:$E$344841,'Shayak Income '!D13,'MPG Payment '!$S$3:$S$344841)</f>
        <v>0</v>
      </c>
      <c r="R13" s="126">
        <f t="shared" si="1"/>
        <v>5583.0497999999998</v>
      </c>
      <c r="S13" s="126">
        <f t="shared" si="2"/>
        <v>1038.1547999999993</v>
      </c>
      <c r="T13" s="126">
        <f t="shared" si="11"/>
        <v>478.41000000000008</v>
      </c>
      <c r="U13" s="127">
        <f>((((((IF(K13="New",0,SUMIF('MPG Payment '!$E$3:$E$344841,'Shayak Income '!D13,'MPG Payment '!$AC$3:$AC$344841))))+0)+0)+0)+0)+0</f>
        <v>0</v>
      </c>
      <c r="V13" s="127">
        <f t="shared" si="12"/>
        <v>7655</v>
      </c>
      <c r="W13" s="19">
        <f t="shared" si="13"/>
        <v>3722.0332000000003</v>
      </c>
      <c r="X13" s="19">
        <v>0</v>
      </c>
      <c r="Y13" s="128">
        <f>IFERROR(VLOOKUP(D13,'Monthly Deduction'!$M$2:$N$640,2,0),0)</f>
        <v>0</v>
      </c>
      <c r="Z13" s="128">
        <v>0</v>
      </c>
      <c r="AA13" s="126">
        <f>IFERROR(VLOOKUP(D13,'Monthly Deduction'!A:B,2,0),0)</f>
        <v>0</v>
      </c>
      <c r="AB13" s="129">
        <f t="shared" si="3"/>
        <v>3933</v>
      </c>
      <c r="AC13" s="130">
        <v>0</v>
      </c>
      <c r="AD13" s="35">
        <f t="shared" si="14"/>
        <v>3933</v>
      </c>
      <c r="AE13" s="166" t="str">
        <f t="shared" si="15"/>
        <v>Release</v>
      </c>
      <c r="AF13" s="127"/>
      <c r="AG13" s="127">
        <v>0</v>
      </c>
      <c r="AH13" s="132"/>
      <c r="AI13" s="238">
        <v>0</v>
      </c>
      <c r="AJ13" s="132"/>
      <c r="AK13" s="151">
        <v>1160.54</v>
      </c>
      <c r="AL13" s="154">
        <f t="shared" si="4"/>
        <v>0</v>
      </c>
      <c r="AM13" s="155"/>
      <c r="AN13" s="19">
        <f t="shared" si="5"/>
        <v>3722.0332000000003</v>
      </c>
      <c r="AO13" s="118">
        <f>SUMIF('MPG Payment '!E:E,'Shayak Income '!D13,'MPG Payment '!AJ:AJ)</f>
        <v>0</v>
      </c>
      <c r="AP13" s="19">
        <f t="shared" si="6"/>
        <v>3722.0332000000003</v>
      </c>
      <c r="AQ13" s="119">
        <f t="shared" si="16"/>
        <v>3722.0332000000003</v>
      </c>
      <c r="AR13" s="91" t="s">
        <v>1144</v>
      </c>
      <c r="AS13" s="91">
        <f t="shared" si="7"/>
        <v>25600</v>
      </c>
      <c r="AT13" s="118"/>
      <c r="AU13" s="118"/>
      <c r="AV13" s="118"/>
    </row>
    <row r="14" spans="1:48" s="20" customFormat="1" x14ac:dyDescent="0.25">
      <c r="A14" s="17">
        <f>IFERROR(VLOOKUP(D14,'Monthly Deduction'!$I$3:$J$957,2,0),0)</f>
        <v>0</v>
      </c>
      <c r="B14" s="17">
        <f>IFERROR(VLOOKUP(D14,'Monthly Deduction'!$E$3:$F$957,2,0),0)</f>
        <v>0</v>
      </c>
      <c r="C14" s="17">
        <f t="shared" si="17"/>
        <v>0</v>
      </c>
      <c r="D14" s="41">
        <v>10010084</v>
      </c>
      <c r="E14" s="122" t="str">
        <f>VLOOKUP(D14,'MPG Payment '!$E$3:$G$497305,2,0)</f>
        <v>Sangat- Sanjeev Kumar</v>
      </c>
      <c r="F14" s="146">
        <f>IFERROR(_xlfn.XLOOKUP(D14,'Monthly Deduction'!$I$3:$I$957,'Monthly Deduction'!$H$3:$H$957),0)</f>
        <v>0</v>
      </c>
      <c r="G14" s="123" t="str">
        <f>VLOOKUP(D14,'MPG Payment '!$E$3:$G$333666,3,0)</f>
        <v>vlc</v>
      </c>
      <c r="H14" s="124" t="str">
        <f>VLOOKUP(D14,'MPG Payment '!$E$3:$H$333666,4,0)</f>
        <v>Indirect</v>
      </c>
      <c r="I14" s="88">
        <f>INDEX('MPG Payment '!$C:$C,MATCH('Shayak Income '!D14,'MPG Payment '!E:E,0))</f>
        <v>1001</v>
      </c>
      <c r="J14" s="88" t="str">
        <f>INDEX('MPG Payment '!$D:$D,MATCH('Shayak Income '!D14,'MPG Payment '!E:E,0))</f>
        <v>Majhaul</v>
      </c>
      <c r="K14" s="125" t="s">
        <v>1594</v>
      </c>
      <c r="L14" s="125">
        <v>45567</v>
      </c>
      <c r="M14" s="126">
        <f>SUMIF('MPG Payment '!$E$3:$E$344841,'Shayak Income '!D14,'MPG Payment '!$I$3:$I$344841)</f>
        <v>1017.7</v>
      </c>
      <c r="N14" s="126">
        <f>SUMIF('MPG Payment '!$E$3:$E$344841,'Shayak Income '!D14,'MPG Payment '!$J$3:$J$344841)</f>
        <v>34594.479999999996</v>
      </c>
      <c r="O14" s="126">
        <f t="shared" si="9"/>
        <v>763.27500000000009</v>
      </c>
      <c r="P14" s="126">
        <f t="shared" si="10"/>
        <v>966.81500000000005</v>
      </c>
      <c r="Q14" s="126">
        <f>SUMIF('MPG Payment '!$E$3:$E$344841,'Shayak Income '!D14,'MPG Payment '!$S$3:$S$344841)</f>
        <v>0</v>
      </c>
      <c r="R14" s="126">
        <f t="shared" si="1"/>
        <v>1037.8343999999997</v>
      </c>
      <c r="S14" s="126">
        <f t="shared" si="2"/>
        <v>71.019399999999678</v>
      </c>
      <c r="T14" s="126">
        <f t="shared" si="11"/>
        <v>101.77000000000001</v>
      </c>
      <c r="U14" s="127">
        <f>((((((IF(K14="New",0,SUMIF('MPG Payment '!$E$3:$E$344841,'Shayak Income '!D14,'MPG Payment '!$AC$3:$AC$344841))))+0)+0)+0)+0)+0</f>
        <v>1227.1777461172499</v>
      </c>
      <c r="V14" s="127">
        <f t="shared" si="12"/>
        <v>401</v>
      </c>
      <c r="W14" s="19">
        <f t="shared" si="13"/>
        <v>0</v>
      </c>
      <c r="X14" s="19">
        <f t="shared" si="18"/>
        <v>0</v>
      </c>
      <c r="Y14" s="128">
        <f>IFERROR(VLOOKUP(D14,'Monthly Deduction'!$M$2:$N$640,2,0),0)</f>
        <v>0</v>
      </c>
      <c r="Z14" s="128">
        <v>0</v>
      </c>
      <c r="AA14" s="126">
        <f>IFERROR(VLOOKUP(D14,'Monthly Deduction'!A:B,2,0),0)</f>
        <v>0</v>
      </c>
      <c r="AB14" s="129">
        <f t="shared" si="3"/>
        <v>401</v>
      </c>
      <c r="AC14" s="130">
        <v>0</v>
      </c>
      <c r="AD14" s="35">
        <f t="shared" si="14"/>
        <v>401</v>
      </c>
      <c r="AE14" s="166" t="str">
        <f t="shared" si="15"/>
        <v>Release</v>
      </c>
      <c r="AF14" s="127"/>
      <c r="AG14" s="18">
        <v>0</v>
      </c>
      <c r="AH14" s="120"/>
      <c r="AI14" s="238">
        <v>0</v>
      </c>
      <c r="AJ14" s="132"/>
      <c r="AK14" s="151">
        <v>156.29999999999998</v>
      </c>
      <c r="AL14" s="154">
        <f t="shared" si="4"/>
        <v>0</v>
      </c>
      <c r="AM14" s="155"/>
      <c r="AN14" s="19">
        <f t="shared" si="5"/>
        <v>0</v>
      </c>
      <c r="AO14" s="118">
        <f>SUMIF('MPG Payment '!E:E,'Shayak Income '!D14,'MPG Payment '!AJ:AJ)</f>
        <v>0</v>
      </c>
      <c r="AP14" s="19">
        <f t="shared" si="6"/>
        <v>0</v>
      </c>
      <c r="AQ14" s="119">
        <f t="shared" si="16"/>
        <v>0</v>
      </c>
      <c r="AR14" s="91" t="s">
        <v>1144</v>
      </c>
      <c r="AS14" s="91">
        <f t="shared" si="7"/>
        <v>0</v>
      </c>
      <c r="AT14" s="118"/>
      <c r="AU14" s="118"/>
      <c r="AV14" s="118"/>
    </row>
    <row r="15" spans="1:48" s="20" customFormat="1" x14ac:dyDescent="0.25">
      <c r="A15" s="17">
        <f>IFERROR(VLOOKUP(D15,'Monthly Deduction'!$I$3:$J$957,2,0),0)</f>
        <v>66070</v>
      </c>
      <c r="B15" s="17">
        <f>IFERROR(VLOOKUP(D15,'Monthly Deduction'!$E$3:$F$957,2,0),0)</f>
        <v>6400</v>
      </c>
      <c r="C15" s="17">
        <f t="shared" si="17"/>
        <v>72470</v>
      </c>
      <c r="D15" s="41">
        <v>10010086</v>
      </c>
      <c r="E15" s="122" t="str">
        <f>VLOOKUP(D15,'MPG Payment '!$E$3:$G$497305,2,0)</f>
        <v>Gomukh Garhi Bisanpur</v>
      </c>
      <c r="F15" s="146">
        <f>IFERROR(_xlfn.XLOOKUP(D15,'Monthly Deduction'!$I$3:$I$957,'Monthly Deduction'!$H$3:$H$957),0)</f>
        <v>0</v>
      </c>
      <c r="G15" s="123" t="str">
        <f>VLOOKUP(D15,'MPG Payment '!$E$3:$G$333666,3,0)</f>
        <v>MPG</v>
      </c>
      <c r="H15" s="124" t="str">
        <f>VLOOKUP(D15,'MPG Payment '!$E$3:$H$333666,4,0)</f>
        <v>Direct</v>
      </c>
      <c r="I15" s="88">
        <f>INDEX('MPG Payment '!$C:$C,MATCH('Shayak Income '!D15,'MPG Payment '!E:E,0))</f>
        <v>1058</v>
      </c>
      <c r="J15" s="88" t="str">
        <f>INDEX('MPG Payment '!$D:$D,MATCH('Shayak Income '!D15,'MPG Payment '!E:E,0))</f>
        <v>Hasanpur</v>
      </c>
      <c r="K15" s="125" t="s">
        <v>1594</v>
      </c>
      <c r="L15" s="125">
        <v>45631</v>
      </c>
      <c r="M15" s="126">
        <f>SUMIF('MPG Payment '!$E$3:$E$344841,'Shayak Income '!D15,'MPG Payment '!$I$3:$I$344841)</f>
        <v>340.43</v>
      </c>
      <c r="N15" s="126">
        <f>SUMIF('MPG Payment '!$E$3:$E$344841,'Shayak Income '!D15,'MPG Payment '!$J$3:$J$344841)</f>
        <v>16211.800000000001</v>
      </c>
      <c r="O15" s="126">
        <f t="shared" si="9"/>
        <v>255.32249999999999</v>
      </c>
      <c r="P15" s="126">
        <f t="shared" si="10"/>
        <v>323.4085</v>
      </c>
      <c r="Q15" s="126">
        <f>SUMIF('MPG Payment '!$E$3:$E$344841,'Shayak Income '!D15,'MPG Payment '!$S$3:$S$344841)</f>
        <v>360.83</v>
      </c>
      <c r="R15" s="126">
        <f t="shared" si="1"/>
        <v>486.35400000000004</v>
      </c>
      <c r="S15" s="126">
        <f t="shared" si="2"/>
        <v>162.94550000000004</v>
      </c>
      <c r="T15" s="126">
        <f t="shared" si="11"/>
        <v>34.042999999999999</v>
      </c>
      <c r="U15" s="127">
        <f>((((((IF(K15="New",0,SUMIF('MPG Payment '!$E$3:$E$344841,'Shayak Income '!D15,'MPG Payment '!$AC$3:$AC$344841))))+0)+0)+0)+0)+-1441</f>
        <v>906.00265142231956</v>
      </c>
      <c r="V15" s="127">
        <f t="shared" si="12"/>
        <v>0</v>
      </c>
      <c r="W15" s="19">
        <v>0</v>
      </c>
      <c r="X15" s="19">
        <v>0</v>
      </c>
      <c r="Y15" s="128">
        <v>0</v>
      </c>
      <c r="Z15" s="128">
        <v>0</v>
      </c>
      <c r="AA15" s="126">
        <v>0</v>
      </c>
      <c r="AB15" s="129">
        <f t="shared" si="3"/>
        <v>0</v>
      </c>
      <c r="AC15" s="130">
        <v>0</v>
      </c>
      <c r="AD15" s="35">
        <f t="shared" si="14"/>
        <v>0</v>
      </c>
      <c r="AE15" s="166" t="str">
        <f t="shared" si="15"/>
        <v>Release</v>
      </c>
      <c r="AF15" s="127"/>
      <c r="AG15" s="18">
        <v>0</v>
      </c>
      <c r="AH15" s="120"/>
      <c r="AI15" s="238">
        <v>0</v>
      </c>
      <c r="AJ15" s="132"/>
      <c r="AK15" s="151">
        <v>58.25</v>
      </c>
      <c r="AL15" s="154">
        <f t="shared" si="4"/>
        <v>0</v>
      </c>
      <c r="AM15" s="155"/>
      <c r="AN15" s="19">
        <f t="shared" si="5"/>
        <v>1861</v>
      </c>
      <c r="AO15" s="118">
        <f>SUMIF('MPG Payment '!E:E,'Shayak Income '!D15,'MPG Payment '!AJ:AJ)</f>
        <v>1500</v>
      </c>
      <c r="AP15" s="19">
        <f t="shared" si="6"/>
        <v>0</v>
      </c>
      <c r="AQ15" s="119">
        <f t="shared" si="16"/>
        <v>1500</v>
      </c>
      <c r="AR15" s="91" t="s">
        <v>1144</v>
      </c>
      <c r="AS15" s="91">
        <f t="shared" si="7"/>
        <v>6400</v>
      </c>
      <c r="AT15" s="118"/>
      <c r="AU15" s="118"/>
      <c r="AV15" s="118"/>
    </row>
    <row r="16" spans="1:48" s="20" customFormat="1" x14ac:dyDescent="0.25">
      <c r="A16" s="17">
        <f>IFERROR(VLOOKUP(D16,'Monthly Deduction'!$I$3:$J$957,2,0),0)</f>
        <v>0</v>
      </c>
      <c r="B16" s="17">
        <f>IFERROR(VLOOKUP(D16,'Monthly Deduction'!$E$3:$F$957,2,0),0)</f>
        <v>0</v>
      </c>
      <c r="C16" s="17">
        <f t="shared" si="17"/>
        <v>0</v>
      </c>
      <c r="D16" s="41">
        <v>10010087</v>
      </c>
      <c r="E16" s="122" t="str">
        <f>VLOOKUP(D16,'MPG Payment '!$E$3:$G$497305,2,0)</f>
        <v>Bagaraha-Gopal Yadav</v>
      </c>
      <c r="F16" s="146">
        <f>IFERROR(_xlfn.XLOOKUP(D16,'Monthly Deduction'!$I$3:$I$957,'Monthly Deduction'!$H$3:$H$957),0)</f>
        <v>0</v>
      </c>
      <c r="G16" s="123" t="str">
        <f>VLOOKUP(D16,'MPG Payment '!$E$3:$G$333666,3,0)</f>
        <v>vlc</v>
      </c>
      <c r="H16" s="124" t="str">
        <f>VLOOKUP(D16,'MPG Payment '!$E$3:$H$333666,4,0)</f>
        <v>Indirect</v>
      </c>
      <c r="I16" s="88">
        <f>INDEX('MPG Payment '!$C:$C,MATCH('Shayak Income '!D16,'MPG Payment '!E:E,0))</f>
        <v>1058</v>
      </c>
      <c r="J16" s="88" t="str">
        <f>INDEX('MPG Payment '!$D:$D,MATCH('Shayak Income '!D16,'MPG Payment '!E:E,0))</f>
        <v>Hasanpur</v>
      </c>
      <c r="K16" s="125" t="s">
        <v>1594</v>
      </c>
      <c r="L16" s="125">
        <v>45597</v>
      </c>
      <c r="M16" s="126">
        <f>SUMIF('MPG Payment '!$E$3:$E$344841,'Shayak Income '!D16,'MPG Payment '!$I$3:$I$344841)</f>
        <v>133.74</v>
      </c>
      <c r="N16" s="126">
        <f>SUMIF('MPG Payment '!$E$3:$E$344841,'Shayak Income '!D16,'MPG Payment '!$J$3:$J$344841)</f>
        <v>4762.38</v>
      </c>
      <c r="O16" s="126">
        <f t="shared" si="9"/>
        <v>100.30500000000001</v>
      </c>
      <c r="P16" s="126">
        <f t="shared" si="10"/>
        <v>127.053</v>
      </c>
      <c r="Q16" s="126">
        <f>SUMIF('MPG Payment '!$E$3:$E$344841,'Shayak Income '!D16,'MPG Payment '!$S$3:$S$344841)</f>
        <v>0</v>
      </c>
      <c r="R16" s="126">
        <f t="shared" si="1"/>
        <v>142.87139999999999</v>
      </c>
      <c r="S16" s="126">
        <f t="shared" si="2"/>
        <v>15.818399999999997</v>
      </c>
      <c r="T16" s="126">
        <f t="shared" si="11"/>
        <v>13.374000000000002</v>
      </c>
      <c r="U16" s="127">
        <f>((((((IF(K16="New",0,SUMIF('MPG Payment '!$E$3:$E$344841,'Shayak Income '!D16,'MPG Payment '!$AC$3:$AC$344841))))+0)+0)+0)+0)+-189</f>
        <v>214.28178537460741</v>
      </c>
      <c r="V16" s="127">
        <f t="shared" si="12"/>
        <v>0</v>
      </c>
      <c r="W16" s="19">
        <v>0</v>
      </c>
      <c r="X16" s="19">
        <v>0</v>
      </c>
      <c r="Y16" s="128">
        <v>0</v>
      </c>
      <c r="Z16" s="128">
        <v>0</v>
      </c>
      <c r="AA16" s="126">
        <v>0</v>
      </c>
      <c r="AB16" s="129">
        <f t="shared" si="3"/>
        <v>0</v>
      </c>
      <c r="AC16" s="130">
        <f>AB16</f>
        <v>0</v>
      </c>
      <c r="AD16" s="35">
        <f t="shared" si="14"/>
        <v>0</v>
      </c>
      <c r="AE16" s="166" t="str">
        <f t="shared" si="15"/>
        <v>Release</v>
      </c>
      <c r="AF16" s="127"/>
      <c r="AG16" s="18">
        <v>0</v>
      </c>
      <c r="AH16" s="132" t="s">
        <v>1597</v>
      </c>
      <c r="AI16" s="238">
        <v>0</v>
      </c>
      <c r="AJ16" s="132"/>
      <c r="AK16" s="151">
        <v>0</v>
      </c>
      <c r="AL16" s="154">
        <f t="shared" si="4"/>
        <v>0</v>
      </c>
      <c r="AM16" s="155"/>
      <c r="AN16" s="19">
        <f t="shared" si="5"/>
        <v>0</v>
      </c>
      <c r="AO16" s="118">
        <f>SUMIF('MPG Payment '!E:E,'Shayak Income '!D16,'MPG Payment '!AJ:AJ)</f>
        <v>0</v>
      </c>
      <c r="AP16" s="19">
        <f t="shared" si="6"/>
        <v>0</v>
      </c>
      <c r="AQ16" s="119">
        <f t="shared" si="16"/>
        <v>0</v>
      </c>
      <c r="AR16" s="91" t="s">
        <v>1144</v>
      </c>
      <c r="AS16" s="91">
        <f t="shared" si="7"/>
        <v>0</v>
      </c>
      <c r="AT16" s="118"/>
      <c r="AU16" s="118"/>
      <c r="AV16" s="118"/>
    </row>
    <row r="17" spans="1:48" s="20" customFormat="1" x14ac:dyDescent="0.25">
      <c r="A17" s="17">
        <f>IFERROR(VLOOKUP(D17,'Monthly Deduction'!$I$3:$J$957,2,0),0)</f>
        <v>72787.046799999996</v>
      </c>
      <c r="B17" s="17">
        <f>IFERROR(VLOOKUP(D17,'Monthly Deduction'!$E$3:$F$957,2,0),0)</f>
        <v>5699</v>
      </c>
      <c r="C17" s="17">
        <f t="shared" si="17"/>
        <v>78486.046799999996</v>
      </c>
      <c r="D17" s="41">
        <v>10010089</v>
      </c>
      <c r="E17" s="122" t="str">
        <f>VLOOKUP(D17,'MPG Payment '!$E$3:$G$497305,2,0)</f>
        <v>Gomukh Barkurwa</v>
      </c>
      <c r="F17" s="146">
        <f>IFERROR(_xlfn.XLOOKUP(D17,'Monthly Deduction'!$I$3:$I$957,'Monthly Deduction'!$H$3:$H$957),0)</f>
        <v>0</v>
      </c>
      <c r="G17" s="123" t="str">
        <f>VLOOKUP(D17,'MPG Payment '!$E$3:$G$333666,3,0)</f>
        <v>MPG</v>
      </c>
      <c r="H17" s="124" t="str">
        <f>VLOOKUP(D17,'MPG Payment '!$E$3:$H$333666,4,0)</f>
        <v>Direct</v>
      </c>
      <c r="I17" s="88">
        <f>INDEX('MPG Payment '!$C:$C,MATCH('Shayak Income '!D17,'MPG Payment '!E:E,0))</f>
        <v>1058</v>
      </c>
      <c r="J17" s="88" t="str">
        <f>INDEX('MPG Payment '!$D:$D,MATCH('Shayak Income '!D17,'MPG Payment '!E:E,0))</f>
        <v>Hasanpur</v>
      </c>
      <c r="K17" s="125" t="s">
        <v>1594</v>
      </c>
      <c r="L17" s="125">
        <v>45627</v>
      </c>
      <c r="M17" s="126">
        <f>SUMIF('MPG Payment '!$E$3:$E$344841,'Shayak Income '!D17,'MPG Payment '!$I$3:$I$344841)</f>
        <v>1985.29</v>
      </c>
      <c r="N17" s="126">
        <f>SUMIF('MPG Payment '!$E$3:$E$344841,'Shayak Income '!D17,'MPG Payment '!$J$3:$J$344841)</f>
        <v>84683.87000000001</v>
      </c>
      <c r="O17" s="126">
        <f t="shared" si="9"/>
        <v>1488.9675</v>
      </c>
      <c r="P17" s="126">
        <f t="shared" si="10"/>
        <v>1886.0255</v>
      </c>
      <c r="Q17" s="126">
        <f>SUMIF('MPG Payment '!$E$3:$E$344841,'Shayak Income '!D17,'MPG Payment '!$S$3:$S$344841)</f>
        <v>490.08999999999992</v>
      </c>
      <c r="R17" s="126">
        <f t="shared" si="1"/>
        <v>2540.5161000000003</v>
      </c>
      <c r="S17" s="126">
        <f t="shared" si="2"/>
        <v>654.49060000000031</v>
      </c>
      <c r="T17" s="126">
        <f t="shared" si="11"/>
        <v>198.529</v>
      </c>
      <c r="U17" s="127">
        <f>((((((IF(K17="New",0,SUMIF('MPG Payment '!$E$3:$E$344841,'Shayak Income '!D17,'MPG Payment '!$AC$3:$AC$344841))))+0)+0)+0)+0)+0</f>
        <v>696.14463217344155</v>
      </c>
      <c r="V17" s="127">
        <f t="shared" si="12"/>
        <v>2970</v>
      </c>
      <c r="W17" s="19">
        <f t="shared" si="13"/>
        <v>1861</v>
      </c>
      <c r="X17" s="19">
        <v>0</v>
      </c>
      <c r="Y17" s="128">
        <f>IFERROR(VLOOKUP(D17,'Monthly Deduction'!$M$2:$N$640,2,0),0)</f>
        <v>0</v>
      </c>
      <c r="Z17" s="128">
        <v>0</v>
      </c>
      <c r="AA17" s="126">
        <f>IFERROR(VLOOKUP(D17,'Monthly Deduction'!A:B,2,0),0)</f>
        <v>0</v>
      </c>
      <c r="AB17" s="129">
        <f t="shared" si="3"/>
        <v>1109</v>
      </c>
      <c r="AC17" s="130">
        <v>0</v>
      </c>
      <c r="AD17" s="35">
        <f t="shared" si="14"/>
        <v>1109</v>
      </c>
      <c r="AE17" s="166" t="str">
        <f t="shared" si="15"/>
        <v>Release</v>
      </c>
      <c r="AF17" s="127"/>
      <c r="AG17" s="18">
        <v>0</v>
      </c>
      <c r="AH17" s="120"/>
      <c r="AI17" s="238">
        <v>0</v>
      </c>
      <c r="AJ17" s="132"/>
      <c r="AK17" s="151">
        <v>468.16999999999996</v>
      </c>
      <c r="AL17" s="154">
        <f t="shared" si="4"/>
        <v>0</v>
      </c>
      <c r="AM17" s="155"/>
      <c r="AN17" s="19">
        <f t="shared" si="5"/>
        <v>1861</v>
      </c>
      <c r="AO17" s="118">
        <f>SUMIF('MPG Payment '!E:E,'Shayak Income '!D17,'MPG Payment '!AJ:AJ)</f>
        <v>0</v>
      </c>
      <c r="AP17" s="19">
        <f t="shared" si="6"/>
        <v>1861</v>
      </c>
      <c r="AQ17" s="119">
        <f t="shared" si="16"/>
        <v>1861</v>
      </c>
      <c r="AR17" s="91" t="s">
        <v>1144</v>
      </c>
      <c r="AS17" s="91">
        <f t="shared" si="7"/>
        <v>5699</v>
      </c>
      <c r="AT17" s="118"/>
      <c r="AU17" s="118"/>
      <c r="AV17" s="118"/>
    </row>
    <row r="18" spans="1:48" s="20" customFormat="1" x14ac:dyDescent="0.25">
      <c r="A18" s="17">
        <f>IFERROR(VLOOKUP(D18,'Monthly Deduction'!$I$3:$J$957,2,0),0)</f>
        <v>0</v>
      </c>
      <c r="B18" s="17">
        <f>IFERROR(VLOOKUP(D18,'Monthly Deduction'!$E$3:$F$957,2,0),0)</f>
        <v>0</v>
      </c>
      <c r="C18" s="17">
        <f t="shared" si="17"/>
        <v>0</v>
      </c>
      <c r="D18" s="41">
        <v>10010092</v>
      </c>
      <c r="E18" s="122" t="str">
        <f>VLOOKUP(D18,'MPG Payment '!$E$3:$G$497305,2,0)</f>
        <v>Kamla- Amarjeet</v>
      </c>
      <c r="F18" s="146">
        <f>IFERROR(_xlfn.XLOOKUP(D18,'Monthly Deduction'!$I$3:$I$957,'Monthly Deduction'!$H$3:$H$957),0)</f>
        <v>0</v>
      </c>
      <c r="G18" s="123" t="str">
        <f>VLOOKUP(D18,'MPG Payment '!$E$3:$G$333666,3,0)</f>
        <v>vlc</v>
      </c>
      <c r="H18" s="124" t="str">
        <f>VLOOKUP(D18,'MPG Payment '!$E$3:$H$333666,4,0)</f>
        <v>Indirect</v>
      </c>
      <c r="I18" s="88">
        <f>INDEX('MPG Payment '!$C:$C,MATCH('Shayak Income '!D18,'MPG Payment '!E:E,0))</f>
        <v>1001</v>
      </c>
      <c r="J18" s="88" t="str">
        <f>INDEX('MPG Payment '!$D:$D,MATCH('Shayak Income '!D18,'MPG Payment '!E:E,0))</f>
        <v>Majhaul</v>
      </c>
      <c r="K18" s="125" t="s">
        <v>1594</v>
      </c>
      <c r="L18" s="125">
        <v>45689</v>
      </c>
      <c r="M18" s="126">
        <f>SUMIF('MPG Payment '!$E$3:$E$344841,'Shayak Income '!D18,'MPG Payment '!$I$3:$I$344841)</f>
        <v>2867.6</v>
      </c>
      <c r="N18" s="126">
        <f>SUMIF('MPG Payment '!$E$3:$E$344841,'Shayak Income '!D18,'MPG Payment '!$J$3:$J$344841)</f>
        <v>92714.09</v>
      </c>
      <c r="O18" s="126">
        <f t="shared" si="9"/>
        <v>2150.6999999999998</v>
      </c>
      <c r="P18" s="126">
        <f t="shared" si="10"/>
        <v>2724.22</v>
      </c>
      <c r="Q18" s="126">
        <f>SUMIF('MPG Payment '!$E$3:$E$344841,'Shayak Income '!D18,'MPG Payment '!$S$3:$S$344841)</f>
        <v>0</v>
      </c>
      <c r="R18" s="126">
        <f t="shared" si="1"/>
        <v>2781.4226999999996</v>
      </c>
      <c r="S18" s="126">
        <f t="shared" si="2"/>
        <v>57.202699999999822</v>
      </c>
      <c r="T18" s="126">
        <f t="shared" si="11"/>
        <v>286.76</v>
      </c>
      <c r="U18" s="127">
        <f>((((((IF(K18="New",0,SUMIF('MPG Payment '!$E$3:$E$344841,'Shayak Income '!D18,'MPG Payment '!$AC$3:$AC$344841))))+0)+0)+0)+0)+0</f>
        <v>92.58166329113925</v>
      </c>
      <c r="V18" s="127">
        <f t="shared" si="12"/>
        <v>4496</v>
      </c>
      <c r="W18" s="19">
        <f t="shared" si="13"/>
        <v>0</v>
      </c>
      <c r="X18" s="19">
        <f t="shared" si="18"/>
        <v>0</v>
      </c>
      <c r="Y18" s="128">
        <f>IFERROR(VLOOKUP(D18,'Monthly Deduction'!$M$2:$N$640,2,0),0)</f>
        <v>0</v>
      </c>
      <c r="Z18" s="128">
        <v>0</v>
      </c>
      <c r="AA18" s="126">
        <f>IFERROR(VLOOKUP(D18,'Monthly Deduction'!A:B,2,0),0)</f>
        <v>0</v>
      </c>
      <c r="AB18" s="129">
        <f t="shared" si="3"/>
        <v>4496</v>
      </c>
      <c r="AC18" s="130">
        <v>0</v>
      </c>
      <c r="AD18" s="35">
        <f t="shared" si="14"/>
        <v>4496</v>
      </c>
      <c r="AE18" s="166" t="str">
        <f t="shared" si="15"/>
        <v>Release</v>
      </c>
      <c r="AF18" s="127"/>
      <c r="AG18" s="18">
        <v>0</v>
      </c>
      <c r="AH18" s="132"/>
      <c r="AI18" s="238">
        <v>0</v>
      </c>
      <c r="AJ18" s="132"/>
      <c r="AK18" s="151">
        <v>406.89999999999992</v>
      </c>
      <c r="AL18" s="154">
        <f t="shared" si="4"/>
        <v>0</v>
      </c>
      <c r="AM18" s="155"/>
      <c r="AN18" s="19">
        <f t="shared" si="5"/>
        <v>0</v>
      </c>
      <c r="AO18" s="118">
        <f>SUMIF('MPG Payment '!E:E,'Shayak Income '!D18,'MPG Payment '!AJ:AJ)</f>
        <v>0</v>
      </c>
      <c r="AP18" s="19">
        <f t="shared" si="6"/>
        <v>0</v>
      </c>
      <c r="AQ18" s="119">
        <f t="shared" si="16"/>
        <v>0</v>
      </c>
      <c r="AR18" s="91" t="s">
        <v>1144</v>
      </c>
      <c r="AS18" s="91">
        <f t="shared" si="7"/>
        <v>0</v>
      </c>
      <c r="AT18" s="118"/>
      <c r="AU18" s="118"/>
      <c r="AV18" s="118"/>
    </row>
    <row r="19" spans="1:48" s="20" customFormat="1" x14ac:dyDescent="0.25">
      <c r="A19" s="17">
        <f>IFERROR(VLOOKUP(D19,'Monthly Deduction'!$I$3:$J$957,2,0),0)</f>
        <v>71548</v>
      </c>
      <c r="B19" s="17">
        <f>IFERROR(VLOOKUP(D19,'Monthly Deduction'!$E$3:$F$957,2,0),0)</f>
        <v>3016.2027782248006</v>
      </c>
      <c r="C19" s="17">
        <f t="shared" si="17"/>
        <v>74564.202778224804</v>
      </c>
      <c r="D19" s="41">
        <v>10010095</v>
      </c>
      <c r="E19" s="122" t="str">
        <f>VLOOKUP(D19,'MPG Payment '!$E$3:$G$497305,2,0)</f>
        <v>Gomukh Goha-02</v>
      </c>
      <c r="F19" s="146">
        <f>IFERROR(_xlfn.XLOOKUP(D19,'Monthly Deduction'!$I$3:$I$957,'Monthly Deduction'!$H$3:$H$957),0)</f>
        <v>0</v>
      </c>
      <c r="G19" s="123" t="str">
        <f>VLOOKUP(D19,'MPG Payment '!$E$3:$G$333666,3,0)</f>
        <v>MPG</v>
      </c>
      <c r="H19" s="124" t="str">
        <f>VLOOKUP(D19,'MPG Payment '!$E$3:$H$333666,4,0)</f>
        <v>Direct</v>
      </c>
      <c r="I19" s="88">
        <f>INDEX('MPG Payment '!$C:$C,MATCH('Shayak Income '!D19,'MPG Payment '!E:E,0))</f>
        <v>1058</v>
      </c>
      <c r="J19" s="88" t="str">
        <f>INDEX('MPG Payment '!$D:$D,MATCH('Shayak Income '!D19,'MPG Payment '!E:E,0))</f>
        <v>Hasanpur</v>
      </c>
      <c r="K19" s="125" t="s">
        <v>1594</v>
      </c>
      <c r="L19" s="125">
        <v>45700</v>
      </c>
      <c r="M19" s="126">
        <f>SUMIF('MPG Payment '!$E$3:$E$344841,'Shayak Income '!D19,'MPG Payment '!$I$3:$I$344841)</f>
        <v>1004.1000000000001</v>
      </c>
      <c r="N19" s="126">
        <f>SUMIF('MPG Payment '!$E$3:$E$344841,'Shayak Income '!D19,'MPG Payment '!$J$3:$J$344841)</f>
        <v>42066.850000000006</v>
      </c>
      <c r="O19" s="126">
        <f t="shared" si="9"/>
        <v>753.07500000000005</v>
      </c>
      <c r="P19" s="126">
        <f t="shared" si="10"/>
        <v>953.8950000000001</v>
      </c>
      <c r="Q19" s="126">
        <f>SUMIF('MPG Payment '!$E$3:$E$344841,'Shayak Income '!D19,'MPG Payment '!$S$3:$S$344841)</f>
        <v>776.04</v>
      </c>
      <c r="R19" s="126">
        <f t="shared" si="1"/>
        <v>1262.0055000000002</v>
      </c>
      <c r="S19" s="126">
        <f t="shared" si="2"/>
        <v>308.11050000000012</v>
      </c>
      <c r="T19" s="126">
        <f t="shared" si="11"/>
        <v>100.41000000000003</v>
      </c>
      <c r="U19" s="127">
        <f>((((((IF(K19="New",0,SUMIF('MPG Payment '!$E$3:$E$344841,'Shayak Income '!D19,'MPG Payment '!$AC$3:$AC$344841))))+0)+0)+0)+0)+0</f>
        <v>1502.803286178563</v>
      </c>
      <c r="V19" s="127">
        <f t="shared" si="12"/>
        <v>880</v>
      </c>
      <c r="W19" s="19">
        <v>880</v>
      </c>
      <c r="X19" s="19">
        <v>0</v>
      </c>
      <c r="Y19" s="128">
        <f>IFERROR(VLOOKUP(D19,'Monthly Deduction'!$M$2:$N$640,2,0),0)</f>
        <v>0</v>
      </c>
      <c r="Z19" s="128">
        <v>0</v>
      </c>
      <c r="AA19" s="126">
        <f>IFERROR(VLOOKUP(D19,'Monthly Deduction'!A:B,2,0),0)</f>
        <v>0</v>
      </c>
      <c r="AB19" s="129">
        <f t="shared" si="3"/>
        <v>0</v>
      </c>
      <c r="AC19" s="130">
        <v>0</v>
      </c>
      <c r="AD19" s="35">
        <f t="shared" si="14"/>
        <v>0</v>
      </c>
      <c r="AE19" s="166" t="str">
        <f t="shared" si="15"/>
        <v>Release</v>
      </c>
      <c r="AF19" s="127"/>
      <c r="AG19" s="127">
        <v>0</v>
      </c>
      <c r="AH19" s="120"/>
      <c r="AI19" s="238">
        <v>0</v>
      </c>
      <c r="AJ19" s="132"/>
      <c r="AK19" s="151">
        <v>201.57</v>
      </c>
      <c r="AL19" s="154">
        <f t="shared" si="4"/>
        <v>0</v>
      </c>
      <c r="AM19" s="155"/>
      <c r="AN19" s="19">
        <f t="shared" si="5"/>
        <v>1861</v>
      </c>
      <c r="AO19" s="118">
        <f>SUMIF('MPG Payment '!E:E,'Shayak Income '!D19,'MPG Payment '!AJ:AJ)</f>
        <v>0</v>
      </c>
      <c r="AP19" s="19">
        <f t="shared" si="6"/>
        <v>880</v>
      </c>
      <c r="AQ19" s="119">
        <f t="shared" si="16"/>
        <v>880</v>
      </c>
      <c r="AR19" s="91" t="s">
        <v>1144</v>
      </c>
      <c r="AS19" s="91">
        <f t="shared" si="7"/>
        <v>3016.2027782248006</v>
      </c>
      <c r="AT19" s="118"/>
      <c r="AU19" s="118"/>
      <c r="AV19" s="118"/>
    </row>
    <row r="20" spans="1:48" s="20" customFormat="1" x14ac:dyDescent="0.25">
      <c r="A20" s="17">
        <f>IFERROR(VLOOKUP(D20,'Monthly Deduction'!$I$3:$J$957,2,0),0)</f>
        <v>44473.396705996798</v>
      </c>
      <c r="B20" s="17">
        <f>IFERROR(VLOOKUP(D20,'Monthly Deduction'!$E$3:$F$957,2,0),0)</f>
        <v>17290.9666</v>
      </c>
      <c r="C20" s="17">
        <f t="shared" si="17"/>
        <v>61764.363305996798</v>
      </c>
      <c r="D20" s="41">
        <v>10010097</v>
      </c>
      <c r="E20" s="122" t="str">
        <f>VLOOKUP(D20,'MPG Payment '!$E$3:$G$497305,2,0)</f>
        <v>Gomukh Cheria Bariarpur</v>
      </c>
      <c r="F20" s="146">
        <f>IFERROR(_xlfn.XLOOKUP(D20,'Monthly Deduction'!$I$3:$I$957,'Monthly Deduction'!$H$3:$H$957),0)</f>
        <v>0</v>
      </c>
      <c r="G20" s="123" t="str">
        <f>VLOOKUP(D20,'MPG Payment '!$E$3:$G$333666,3,0)</f>
        <v>MPG</v>
      </c>
      <c r="H20" s="124" t="str">
        <f>VLOOKUP(D20,'MPG Payment '!$E$3:$H$333666,4,0)</f>
        <v>Direct</v>
      </c>
      <c r="I20" s="88">
        <f>INDEX('MPG Payment '!$C:$C,MATCH('Shayak Income '!D20,'MPG Payment '!E:E,0))</f>
        <v>1001</v>
      </c>
      <c r="J20" s="88" t="str">
        <f>INDEX('MPG Payment '!$D:$D,MATCH('Shayak Income '!D20,'MPG Payment '!E:E,0))</f>
        <v>Majhaul</v>
      </c>
      <c r="K20" s="125" t="s">
        <v>1594</v>
      </c>
      <c r="L20" s="125">
        <v>45708</v>
      </c>
      <c r="M20" s="126">
        <f>SUMIF('MPG Payment '!$E$3:$E$344841,'Shayak Income '!D20,'MPG Payment '!$I$3:$I$344841)</f>
        <v>4607.6000000000004</v>
      </c>
      <c r="N20" s="126">
        <f>SUMIF('MPG Payment '!$E$3:$E$344841,'Shayak Income '!D20,'MPG Payment '!$J$3:$J$344841)</f>
        <v>178316.71</v>
      </c>
      <c r="O20" s="126">
        <f t="shared" si="9"/>
        <v>3455.7000000000003</v>
      </c>
      <c r="P20" s="126">
        <f t="shared" si="10"/>
        <v>4377.22</v>
      </c>
      <c r="Q20" s="126">
        <f>SUMIF('MPG Payment '!$E$3:$E$344841,'Shayak Income '!D20,'MPG Payment '!$S$3:$S$344841)</f>
        <v>343.56999999999994</v>
      </c>
      <c r="R20" s="126">
        <f t="shared" si="1"/>
        <v>5349.5012999999999</v>
      </c>
      <c r="S20" s="126">
        <f t="shared" si="2"/>
        <v>972.28129999999965</v>
      </c>
      <c r="T20" s="126">
        <f t="shared" si="11"/>
        <v>460.76000000000005</v>
      </c>
      <c r="U20" s="127">
        <f>((((((IF(K20="New",0,SUMIF('MPG Payment '!$E$3:$E$344841,'Shayak Income '!D20,'MPG Payment '!$AC$3:$AC$344841))))+0)+0)+0)+0)+0</f>
        <v>0</v>
      </c>
      <c r="V20" s="127">
        <f t="shared" si="12"/>
        <v>7716</v>
      </c>
      <c r="W20" s="19">
        <f t="shared" si="13"/>
        <v>3566.3341999999998</v>
      </c>
      <c r="X20" s="19">
        <v>0</v>
      </c>
      <c r="Y20" s="128">
        <f>IFERROR(VLOOKUP(D20,'Monthly Deduction'!$M$2:$N$640,2,0),0)</f>
        <v>0</v>
      </c>
      <c r="Z20" s="128">
        <v>0</v>
      </c>
      <c r="AA20" s="126">
        <f>IFERROR(VLOOKUP(D20,'Monthly Deduction'!A:B,2,0),0)</f>
        <v>0</v>
      </c>
      <c r="AB20" s="129">
        <f t="shared" si="3"/>
        <v>4150</v>
      </c>
      <c r="AC20" s="130">
        <v>0</v>
      </c>
      <c r="AD20" s="35">
        <f t="shared" si="14"/>
        <v>4150</v>
      </c>
      <c r="AE20" s="166" t="str">
        <f t="shared" si="15"/>
        <v>Release</v>
      </c>
      <c r="AF20" s="127"/>
      <c r="AG20" s="18">
        <v>0</v>
      </c>
      <c r="AH20" s="120"/>
      <c r="AI20" s="238">
        <v>0</v>
      </c>
      <c r="AJ20" s="132"/>
      <c r="AK20" s="151">
        <v>973.59999999999991</v>
      </c>
      <c r="AL20" s="154">
        <f t="shared" si="4"/>
        <v>0</v>
      </c>
      <c r="AM20" s="155"/>
      <c r="AN20" s="19">
        <f t="shared" si="5"/>
        <v>3566.3341999999998</v>
      </c>
      <c r="AO20" s="118">
        <f>SUMIF('MPG Payment '!E:E,'Shayak Income '!D20,'MPG Payment '!AJ:AJ)</f>
        <v>0</v>
      </c>
      <c r="AP20" s="19">
        <f t="shared" si="6"/>
        <v>3566.3341999999998</v>
      </c>
      <c r="AQ20" s="119">
        <f t="shared" si="16"/>
        <v>3566.3341999999998</v>
      </c>
      <c r="AR20" s="91" t="s">
        <v>1144</v>
      </c>
      <c r="AS20" s="91">
        <f t="shared" si="7"/>
        <v>17290.9666</v>
      </c>
      <c r="AT20" s="118"/>
      <c r="AU20" s="118"/>
      <c r="AV20" s="118"/>
    </row>
    <row r="21" spans="1:48" s="20" customFormat="1" x14ac:dyDescent="0.25">
      <c r="A21" s="17">
        <f>IFERROR(VLOOKUP(D21,'Monthly Deduction'!$I$3:$J$957,2,0),0)</f>
        <v>68485</v>
      </c>
      <c r="B21" s="17">
        <f>IFERROR(VLOOKUP(D21,'Monthly Deduction'!$E$3:$F$957,2,0),0)</f>
        <v>6400</v>
      </c>
      <c r="C21" s="17">
        <f t="shared" si="17"/>
        <v>74885</v>
      </c>
      <c r="D21" s="41">
        <v>10010099</v>
      </c>
      <c r="E21" s="122" t="str">
        <f>VLOOKUP(D21,'MPG Payment '!$E$3:$G$497305,2,0)</f>
        <v>Gomukh Bagraha-01</v>
      </c>
      <c r="F21" s="146">
        <f>IFERROR(_xlfn.XLOOKUP(D21,'Monthly Deduction'!$I$3:$I$957,'Monthly Deduction'!$H$3:$H$957),0)</f>
        <v>0</v>
      </c>
      <c r="G21" s="123" t="str">
        <f>VLOOKUP(D21,'MPG Payment '!$E$3:$G$333666,3,0)</f>
        <v>MPG</v>
      </c>
      <c r="H21" s="124" t="str">
        <f>VLOOKUP(D21,'MPG Payment '!$E$3:$H$333666,4,0)</f>
        <v>Direct</v>
      </c>
      <c r="I21" s="88">
        <f>INDEX('MPG Payment '!$C:$C,MATCH('Shayak Income '!D21,'MPG Payment '!E:E,0))</f>
        <v>1058</v>
      </c>
      <c r="J21" s="88" t="str">
        <f>INDEX('MPG Payment '!$D:$D,MATCH('Shayak Income '!D21,'MPG Payment '!E:E,0))</f>
        <v>Hasanpur</v>
      </c>
      <c r="K21" s="125" t="s">
        <v>1594</v>
      </c>
      <c r="L21" s="125">
        <v>45736</v>
      </c>
      <c r="M21" s="126">
        <f>SUMIF('MPG Payment '!$E$3:$E$344841,'Shayak Income '!D21,'MPG Payment '!$I$3:$I$344841)</f>
        <v>780.52</v>
      </c>
      <c r="N21" s="126">
        <f>SUMIF('MPG Payment '!$E$3:$E$344841,'Shayak Income '!D21,'MPG Payment '!$J$3:$J$344841)</f>
        <v>33748.800000000003</v>
      </c>
      <c r="O21" s="126">
        <f t="shared" si="9"/>
        <v>585.39</v>
      </c>
      <c r="P21" s="126">
        <f t="shared" si="10"/>
        <v>741.49399999999991</v>
      </c>
      <c r="Q21" s="126">
        <f>SUMIF('MPG Payment '!$E$3:$E$344841,'Shayak Income '!D21,'MPG Payment '!$S$3:$S$344841)</f>
        <v>583.79</v>
      </c>
      <c r="R21" s="126">
        <f t="shared" si="1"/>
        <v>1012.4640000000001</v>
      </c>
      <c r="S21" s="126">
        <f t="shared" si="2"/>
        <v>270.97000000000014</v>
      </c>
      <c r="T21" s="126">
        <f t="shared" si="11"/>
        <v>78.052000000000007</v>
      </c>
      <c r="U21" s="127">
        <f>((((((IF(K21="New",0,SUMIF('MPG Payment '!$E$3:$E$344841,'Shayak Income '!D21,'MPG Payment '!$AC$3:$AC$344841))))+0)+0)+0)+0)+0</f>
        <v>1735.6631976490498</v>
      </c>
      <c r="V21" s="127">
        <f t="shared" si="12"/>
        <v>97</v>
      </c>
      <c r="W21" s="19">
        <v>97</v>
      </c>
      <c r="X21" s="19">
        <v>0</v>
      </c>
      <c r="Y21" s="128">
        <f>IFERROR(VLOOKUP(D21,'Monthly Deduction'!$M$2:$N$640,2,0),0)</f>
        <v>0</v>
      </c>
      <c r="Z21" s="128">
        <v>0</v>
      </c>
      <c r="AA21" s="126">
        <f>IFERROR(VLOOKUP(D21,'Monthly Deduction'!A:B,2,0),0)</f>
        <v>0</v>
      </c>
      <c r="AB21" s="129">
        <f t="shared" si="3"/>
        <v>0</v>
      </c>
      <c r="AC21" s="130">
        <v>0</v>
      </c>
      <c r="AD21" s="35">
        <f t="shared" si="14"/>
        <v>0</v>
      </c>
      <c r="AE21" s="166" t="str">
        <f t="shared" si="15"/>
        <v>Release</v>
      </c>
      <c r="AF21" s="127"/>
      <c r="AG21" s="127">
        <v>0</v>
      </c>
      <c r="AH21" s="120"/>
      <c r="AI21" s="238">
        <v>0</v>
      </c>
      <c r="AJ21" s="132"/>
      <c r="AK21" s="151">
        <v>125.19</v>
      </c>
      <c r="AL21" s="154">
        <f t="shared" si="4"/>
        <v>0</v>
      </c>
      <c r="AM21" s="155"/>
      <c r="AN21" s="19">
        <f t="shared" si="5"/>
        <v>1861</v>
      </c>
      <c r="AO21" s="118">
        <f>SUMIF('MPG Payment '!E:E,'Shayak Income '!D21,'MPG Payment '!AJ:AJ)</f>
        <v>1500</v>
      </c>
      <c r="AP21" s="19">
        <f t="shared" si="6"/>
        <v>97</v>
      </c>
      <c r="AQ21" s="119">
        <f t="shared" si="16"/>
        <v>1597</v>
      </c>
      <c r="AR21" s="91"/>
      <c r="AS21" s="91">
        <f t="shared" si="7"/>
        <v>6400</v>
      </c>
      <c r="AT21" s="118"/>
      <c r="AU21" s="118"/>
      <c r="AV21" s="118"/>
    </row>
    <row r="22" spans="1:48" s="20" customFormat="1" x14ac:dyDescent="0.25">
      <c r="A22" s="17">
        <f>IFERROR(VLOOKUP(D22,'Monthly Deduction'!$I$3:$J$957,2,0),0)</f>
        <v>87749</v>
      </c>
      <c r="B22" s="17">
        <f>IFERROR(VLOOKUP(D22,'Monthly Deduction'!$E$3:$F$957,2,0),0)</f>
        <v>6400</v>
      </c>
      <c r="C22" s="17">
        <f t="shared" si="17"/>
        <v>94149</v>
      </c>
      <c r="D22" s="41">
        <v>10010108</v>
      </c>
      <c r="E22" s="122" t="str">
        <f>VLOOKUP(D22,'MPG Payment '!$E$3:$G$497305,2,0)</f>
        <v>Gomukh Pirauna</v>
      </c>
      <c r="F22" s="146">
        <f>IFERROR(_xlfn.XLOOKUP(D22,'Monthly Deduction'!$I$3:$I$957,'Monthly Deduction'!$H$3:$H$957),0)</f>
        <v>0</v>
      </c>
      <c r="G22" s="123" t="str">
        <f>VLOOKUP(D22,'MPG Payment '!$E$3:$G$333666,3,0)</f>
        <v>MPG</v>
      </c>
      <c r="H22" s="124" t="str">
        <f>VLOOKUP(D22,'MPG Payment '!$E$3:$H$333666,4,0)</f>
        <v>Direct</v>
      </c>
      <c r="I22" s="88">
        <f>INDEX('MPG Payment '!$C:$C,MATCH('Shayak Income '!D22,'MPG Payment '!E:E,0))</f>
        <v>1001</v>
      </c>
      <c r="J22" s="88" t="str">
        <f>INDEX('MPG Payment '!$D:$D,MATCH('Shayak Income '!D22,'MPG Payment '!E:E,0))</f>
        <v>Majhaul</v>
      </c>
      <c r="K22" s="125" t="s">
        <v>1594</v>
      </c>
      <c r="L22" s="125">
        <v>45777</v>
      </c>
      <c r="M22" s="126">
        <f>SUMIF('MPG Payment '!$E$3:$E$344841,'Shayak Income '!D22,'MPG Payment '!$I$3:$I$344841)</f>
        <v>956.09999999999991</v>
      </c>
      <c r="N22" s="126">
        <f>SUMIF('MPG Payment '!$E$3:$E$344841,'Shayak Income '!D22,'MPG Payment '!$J$3:$J$344841)</f>
        <v>34333.040000000001</v>
      </c>
      <c r="O22" s="126">
        <f t="shared" si="9"/>
        <v>717.07499999999993</v>
      </c>
      <c r="P22" s="126">
        <f t="shared" si="10"/>
        <v>908.29499999999985</v>
      </c>
      <c r="Q22" s="126">
        <f>SUMIF('MPG Payment '!$E$3:$E$344841,'Shayak Income '!D22,'MPG Payment '!$S$3:$S$344841)</f>
        <v>30.590000000000003</v>
      </c>
      <c r="R22" s="126">
        <f t="shared" si="1"/>
        <v>1029.9911999999999</v>
      </c>
      <c r="S22" s="126">
        <f t="shared" si="2"/>
        <v>121.69620000000009</v>
      </c>
      <c r="T22" s="126">
        <f t="shared" si="11"/>
        <v>95.61</v>
      </c>
      <c r="U22" s="127">
        <f>((((((IF(K22="New",0,SUMIF('MPG Payment '!$E$3:$E$344841,'Shayak Income '!D22,'MPG Payment '!$AC$3:$AC$344841))))+0)+0)+0)+0)+0</f>
        <v>1327.2895839265752</v>
      </c>
      <c r="V22" s="127">
        <f t="shared" si="12"/>
        <v>233</v>
      </c>
      <c r="W22" s="19">
        <v>233</v>
      </c>
      <c r="X22" s="19">
        <v>0</v>
      </c>
      <c r="Y22" s="128">
        <f>IFERROR(VLOOKUP(D22,'Monthly Deduction'!$M$2:$N$640,2,0),0)</f>
        <v>0</v>
      </c>
      <c r="Z22" s="128">
        <v>0</v>
      </c>
      <c r="AA22" s="126">
        <f>IFERROR(VLOOKUP(D22,'Monthly Deduction'!A:B,2,0),0)</f>
        <v>0</v>
      </c>
      <c r="AB22" s="129">
        <f t="shared" si="3"/>
        <v>0</v>
      </c>
      <c r="AC22" s="130">
        <f>AB22</f>
        <v>0</v>
      </c>
      <c r="AD22" s="35">
        <f t="shared" si="14"/>
        <v>0</v>
      </c>
      <c r="AE22" s="166" t="str">
        <f t="shared" si="15"/>
        <v>Release</v>
      </c>
      <c r="AF22" s="127"/>
      <c r="AG22" s="18">
        <v>0</v>
      </c>
      <c r="AH22" s="120" t="s">
        <v>1686</v>
      </c>
      <c r="AI22" s="238">
        <v>9803</v>
      </c>
      <c r="AJ22" s="132"/>
      <c r="AK22" s="151">
        <v>106.57</v>
      </c>
      <c r="AL22" s="154">
        <f t="shared" si="4"/>
        <v>0</v>
      </c>
      <c r="AM22" s="155"/>
      <c r="AN22" s="19">
        <f t="shared" si="5"/>
        <v>1861</v>
      </c>
      <c r="AO22" s="118">
        <f>SUMIF('MPG Payment '!E:E,'Shayak Income '!D22,'MPG Payment '!AJ:AJ)</f>
        <v>1500</v>
      </c>
      <c r="AP22" s="19">
        <f t="shared" si="6"/>
        <v>233</v>
      </c>
      <c r="AQ22" s="119">
        <f t="shared" si="16"/>
        <v>1733</v>
      </c>
      <c r="AR22" s="91" t="s">
        <v>1144</v>
      </c>
      <c r="AS22" s="91">
        <f t="shared" si="7"/>
        <v>6400</v>
      </c>
      <c r="AT22" s="118"/>
      <c r="AU22" s="118"/>
      <c r="AV22" s="118"/>
    </row>
    <row r="23" spans="1:48" s="20" customFormat="1" x14ac:dyDescent="0.25">
      <c r="A23" s="17">
        <f>IFERROR(VLOOKUP(D23,'Monthly Deduction'!$I$3:$J$957,2,0),0)</f>
        <v>0</v>
      </c>
      <c r="B23" s="17">
        <f>IFERROR(VLOOKUP(D23,'Monthly Deduction'!$E$3:$F$957,2,0),0)</f>
        <v>0</v>
      </c>
      <c r="C23" s="17">
        <f t="shared" si="17"/>
        <v>0</v>
      </c>
      <c r="D23" s="41">
        <v>10010109</v>
      </c>
      <c r="E23" s="122" t="str">
        <f>VLOOKUP(D23,'MPG Payment '!$E$3:$G$497305,2,0)</f>
        <v>Parra- Nagendra Kumar</v>
      </c>
      <c r="F23" s="146">
        <f>IFERROR(_xlfn.XLOOKUP(D23,'Monthly Deduction'!$I$3:$I$957,'Monthly Deduction'!$H$3:$H$957),0)</f>
        <v>0</v>
      </c>
      <c r="G23" s="123" t="str">
        <f>VLOOKUP(D23,'MPG Payment '!$E$3:$G$333666,3,0)</f>
        <v>vlc</v>
      </c>
      <c r="H23" s="124" t="str">
        <f>VLOOKUP(D23,'MPG Payment '!$E$3:$H$333666,4,0)</f>
        <v>Indirect</v>
      </c>
      <c r="I23" s="88">
        <f>INDEX('MPG Payment '!$C:$C,MATCH('Shayak Income '!D23,'MPG Payment '!E:E,0))</f>
        <v>1001</v>
      </c>
      <c r="J23" s="88" t="str">
        <f>INDEX('MPG Payment '!$D:$D,MATCH('Shayak Income '!D23,'MPG Payment '!E:E,0))</f>
        <v>Majhaul</v>
      </c>
      <c r="K23" s="125" t="s">
        <v>1594</v>
      </c>
      <c r="L23" s="125">
        <v>45777</v>
      </c>
      <c r="M23" s="126">
        <f>SUMIF('MPG Payment '!$E$3:$E$344841,'Shayak Income '!D23,'MPG Payment '!$I$3:$I$344841)</f>
        <v>1139.5999999999999</v>
      </c>
      <c r="N23" s="126">
        <f>SUMIF('MPG Payment '!$E$3:$E$344841,'Shayak Income '!D23,'MPG Payment '!$J$3:$J$344841)</f>
        <v>39508.1</v>
      </c>
      <c r="O23" s="126">
        <f t="shared" si="9"/>
        <v>854.69999999999993</v>
      </c>
      <c r="P23" s="126">
        <f t="shared" si="10"/>
        <v>1082.6199999999999</v>
      </c>
      <c r="Q23" s="126">
        <f>SUMIF('MPG Payment '!$E$3:$E$344841,'Shayak Income '!D23,'MPG Payment '!$S$3:$S$344841)</f>
        <v>0</v>
      </c>
      <c r="R23" s="126">
        <f t="shared" si="1"/>
        <v>1185.2429999999999</v>
      </c>
      <c r="S23" s="126">
        <f t="shared" si="2"/>
        <v>102.62300000000005</v>
      </c>
      <c r="T23" s="126">
        <f t="shared" si="11"/>
        <v>113.96</v>
      </c>
      <c r="U23" s="127">
        <f>((((((IF(K23="New",0,SUMIF('MPG Payment '!$E$3:$E$344841,'Shayak Income '!D23,'MPG Payment '!$AC$3:$AC$344841))))+0)+0)+0)+0)+0</f>
        <v>1151.263458235806</v>
      </c>
      <c r="V23" s="127">
        <f t="shared" si="12"/>
        <v>672</v>
      </c>
      <c r="W23" s="19">
        <f t="shared" si="13"/>
        <v>0</v>
      </c>
      <c r="X23" s="19">
        <f t="shared" si="18"/>
        <v>0</v>
      </c>
      <c r="Y23" s="128">
        <f>IFERROR(VLOOKUP(D23,'Monthly Deduction'!$M$2:$N$640,2,0),0)</f>
        <v>0</v>
      </c>
      <c r="Z23" s="128">
        <v>0</v>
      </c>
      <c r="AA23" s="126">
        <f>IFERROR(VLOOKUP(D23,'Monthly Deduction'!A:B,2,0),0)</f>
        <v>0</v>
      </c>
      <c r="AB23" s="129">
        <f t="shared" si="3"/>
        <v>672</v>
      </c>
      <c r="AC23" s="130">
        <v>0</v>
      </c>
      <c r="AD23" s="35">
        <f t="shared" si="14"/>
        <v>672</v>
      </c>
      <c r="AE23" s="166" t="str">
        <f t="shared" si="15"/>
        <v>Release</v>
      </c>
      <c r="AF23" s="127"/>
      <c r="AG23" s="127">
        <v>0</v>
      </c>
      <c r="AH23" s="132"/>
      <c r="AI23" s="238">
        <v>0</v>
      </c>
      <c r="AJ23" s="132"/>
      <c r="AK23" s="151">
        <v>244.63</v>
      </c>
      <c r="AL23" s="154">
        <f t="shared" si="4"/>
        <v>0</v>
      </c>
      <c r="AM23" s="155"/>
      <c r="AN23" s="19">
        <f t="shared" si="5"/>
        <v>0</v>
      </c>
      <c r="AO23" s="118">
        <f>SUMIF('MPG Payment '!E:E,'Shayak Income '!D23,'MPG Payment '!AJ:AJ)</f>
        <v>0</v>
      </c>
      <c r="AP23" s="19">
        <f t="shared" si="6"/>
        <v>0</v>
      </c>
      <c r="AQ23" s="119">
        <f t="shared" si="16"/>
        <v>0</v>
      </c>
      <c r="AR23" s="91" t="s">
        <v>1144</v>
      </c>
      <c r="AS23" s="91">
        <f t="shared" si="7"/>
        <v>0</v>
      </c>
      <c r="AT23" s="118"/>
      <c r="AU23" s="118"/>
      <c r="AV23" s="118"/>
    </row>
    <row r="24" spans="1:48" s="20" customFormat="1" x14ac:dyDescent="0.25">
      <c r="A24" s="17">
        <f>IFERROR(VLOOKUP(D24,'Monthly Deduction'!$I$3:$J$957,2,0),0)</f>
        <v>68205.747269015395</v>
      </c>
      <c r="B24" s="17">
        <f>IFERROR(VLOOKUP(D24,'Monthly Deduction'!$E$3:$F$957,2,0),0)</f>
        <v>12800</v>
      </c>
      <c r="C24" s="17">
        <f t="shared" si="17"/>
        <v>81005.747269015395</v>
      </c>
      <c r="D24" s="41">
        <v>10010113</v>
      </c>
      <c r="E24" s="122" t="str">
        <f>VLOOKUP(D24,'MPG Payment '!$E$3:$G$497305,2,0)</f>
        <v>Gomukh Basahi</v>
      </c>
      <c r="F24" s="146">
        <f>IFERROR(_xlfn.XLOOKUP(D24,'Monthly Deduction'!$I$3:$I$957,'Monthly Deduction'!$H$3:$H$957),0)</f>
        <v>0</v>
      </c>
      <c r="G24" s="123" t="str">
        <f>VLOOKUP(D24,'MPG Payment '!$E$3:$G$333666,3,0)</f>
        <v>MPG</v>
      </c>
      <c r="H24" s="124" t="str">
        <f>VLOOKUP(D24,'MPG Payment '!$E$3:$H$333666,4,0)</f>
        <v>Direct</v>
      </c>
      <c r="I24" s="88">
        <f>INDEX('MPG Payment '!$C:$C,MATCH('Shayak Income '!D24,'MPG Payment '!E:E,0))</f>
        <v>1001</v>
      </c>
      <c r="J24" s="88" t="str">
        <f>INDEX('MPG Payment '!$D:$D,MATCH('Shayak Income '!D24,'MPG Payment '!E:E,0))</f>
        <v>Majhaul</v>
      </c>
      <c r="K24" s="125" t="s">
        <v>1594</v>
      </c>
      <c r="L24" s="125">
        <v>45810</v>
      </c>
      <c r="M24" s="126">
        <f>SUMIF('MPG Payment '!$E$3:$E$344841,'Shayak Income '!D24,'MPG Payment '!$I$3:$I$344841)</f>
        <v>3405.2000000000003</v>
      </c>
      <c r="N24" s="126">
        <f>SUMIF('MPG Payment '!$E$3:$E$344841,'Shayak Income '!D24,'MPG Payment '!$J$3:$J$344841)</f>
        <v>137136.07</v>
      </c>
      <c r="O24" s="126">
        <f t="shared" si="9"/>
        <v>2553.9</v>
      </c>
      <c r="P24" s="126">
        <f t="shared" si="10"/>
        <v>3234.94</v>
      </c>
      <c r="Q24" s="126">
        <f>SUMIF('MPG Payment '!$E$3:$E$344841,'Shayak Income '!D24,'MPG Payment '!$S$3:$S$344841)</f>
        <v>413.65</v>
      </c>
      <c r="R24" s="126">
        <f t="shared" si="1"/>
        <v>4114.0820999999996</v>
      </c>
      <c r="S24" s="126">
        <f t="shared" si="2"/>
        <v>879.14209999999957</v>
      </c>
      <c r="T24" s="126">
        <f t="shared" si="11"/>
        <v>340.52000000000004</v>
      </c>
      <c r="U24" s="127">
        <f>((((((IF(K24="New",0,SUMIF('MPG Payment '!$E$3:$E$344841,'Shayak Income '!D24,'MPG Payment '!$AC$3:$AC$344841))))+0)+0)+0)+0)+0</f>
        <v>0</v>
      </c>
      <c r="V24" s="127">
        <f t="shared" si="12"/>
        <v>5862</v>
      </c>
      <c r="W24" s="19">
        <f t="shared" si="13"/>
        <v>2742.7214000000004</v>
      </c>
      <c r="X24" s="19">
        <v>0</v>
      </c>
      <c r="Y24" s="128">
        <f>IFERROR(VLOOKUP(D24,'Monthly Deduction'!$M$2:$N$640,2,0),0)</f>
        <v>0</v>
      </c>
      <c r="Z24" s="128">
        <v>0</v>
      </c>
      <c r="AA24" s="126">
        <f>IFERROR(VLOOKUP(D24,'Monthly Deduction'!A:B,2,0),0)</f>
        <v>0</v>
      </c>
      <c r="AB24" s="129">
        <f t="shared" si="3"/>
        <v>3119</v>
      </c>
      <c r="AC24" s="130">
        <v>0</v>
      </c>
      <c r="AD24" s="35">
        <f t="shared" si="14"/>
        <v>3119</v>
      </c>
      <c r="AE24" s="166" t="str">
        <f t="shared" si="15"/>
        <v>Release</v>
      </c>
      <c r="AF24" s="127"/>
      <c r="AG24" s="18">
        <v>0</v>
      </c>
      <c r="AH24" s="120"/>
      <c r="AI24" s="238">
        <v>0</v>
      </c>
      <c r="AJ24" s="132"/>
      <c r="AK24" s="151">
        <v>696.2</v>
      </c>
      <c r="AL24" s="154">
        <f t="shared" si="4"/>
        <v>0</v>
      </c>
      <c r="AM24" s="155"/>
      <c r="AN24" s="19">
        <f t="shared" si="5"/>
        <v>2742.7214000000004</v>
      </c>
      <c r="AO24" s="118">
        <f>SUMIF('MPG Payment '!E:E,'Shayak Income '!D24,'MPG Payment '!AJ:AJ)</f>
        <v>0</v>
      </c>
      <c r="AP24" s="19">
        <f t="shared" si="6"/>
        <v>2742.7214000000004</v>
      </c>
      <c r="AQ24" s="119">
        <f t="shared" si="16"/>
        <v>2742.7214000000004</v>
      </c>
      <c r="AR24" s="91" t="s">
        <v>1144</v>
      </c>
      <c r="AS24" s="91">
        <f t="shared" si="7"/>
        <v>12800</v>
      </c>
      <c r="AT24" s="118"/>
      <c r="AU24" s="118"/>
      <c r="AV24" s="118"/>
    </row>
    <row r="25" spans="1:48" s="20" customFormat="1" x14ac:dyDescent="0.25">
      <c r="A25" s="17">
        <f>IFERROR(VLOOKUP(D25,'Monthly Deduction'!$I$3:$J$957,2,0),0)</f>
        <v>42701.196395517196</v>
      </c>
      <c r="B25" s="17">
        <f>IFERROR(VLOOKUP(D25,'Monthly Deduction'!$E$3:$F$957,2,0),0)</f>
        <v>16000</v>
      </c>
      <c r="C25" s="17">
        <f t="shared" si="17"/>
        <v>58701.196395517196</v>
      </c>
      <c r="D25" s="41">
        <v>10010121</v>
      </c>
      <c r="E25" s="122" t="str">
        <f>VLOOKUP(D25,'MPG Payment '!$E$3:$G$497305,2,0)</f>
        <v>Gomukh Sawantpur</v>
      </c>
      <c r="F25" s="146">
        <f>IFERROR(_xlfn.XLOOKUP(D25,'Monthly Deduction'!$I$3:$I$957,'Monthly Deduction'!$H$3:$H$957),0)</f>
        <v>0</v>
      </c>
      <c r="G25" s="123" t="str">
        <f>VLOOKUP(D25,'MPG Payment '!$E$3:$G$333666,3,0)</f>
        <v>MPG</v>
      </c>
      <c r="H25" s="124" t="str">
        <f>VLOOKUP(D25,'MPG Payment '!$E$3:$H$333666,4,0)</f>
        <v>Direct</v>
      </c>
      <c r="I25" s="88">
        <f>INDEX('MPG Payment '!$C:$C,MATCH('Shayak Income '!D25,'MPG Payment '!E:E,0))</f>
        <v>1001</v>
      </c>
      <c r="J25" s="88" t="str">
        <f>INDEX('MPG Payment '!$D:$D,MATCH('Shayak Income '!D25,'MPG Payment '!E:E,0))</f>
        <v>Majhaul</v>
      </c>
      <c r="K25" s="125" t="s">
        <v>1594</v>
      </c>
      <c r="L25" s="125">
        <v>45842</v>
      </c>
      <c r="M25" s="126">
        <f>SUMIF('MPG Payment '!$E$3:$E$344841,'Shayak Income '!D25,'MPG Payment '!$I$3:$I$344841)</f>
        <v>5378.7000000000007</v>
      </c>
      <c r="N25" s="126">
        <f>SUMIF('MPG Payment '!$E$3:$E$344841,'Shayak Income '!D25,'MPG Payment '!$J$3:$J$344841)</f>
        <v>207037.88</v>
      </c>
      <c r="O25" s="126">
        <f t="shared" si="9"/>
        <v>4034.0250000000005</v>
      </c>
      <c r="P25" s="126">
        <f t="shared" si="10"/>
        <v>5109.7650000000003</v>
      </c>
      <c r="Q25" s="126">
        <f>SUMIF('MPG Payment '!$E$3:$E$344841,'Shayak Income '!D25,'MPG Payment '!$S$3:$S$344841)</f>
        <v>208.24</v>
      </c>
      <c r="R25" s="126">
        <f t="shared" si="1"/>
        <v>6211.1364000000003</v>
      </c>
      <c r="S25" s="126">
        <f t="shared" si="2"/>
        <v>1101.3714</v>
      </c>
      <c r="T25" s="126">
        <f t="shared" si="11"/>
        <v>537.87000000000012</v>
      </c>
      <c r="U25" s="127">
        <f>((((((IF(K25="New",0,SUMIF('MPG Payment '!$E$3:$E$344841,'Shayak Income '!D25,'MPG Payment '!$AC$3:$AC$344841))))+0)+0)+0)+0)+0</f>
        <v>0</v>
      </c>
      <c r="V25" s="127">
        <f t="shared" si="12"/>
        <v>8814</v>
      </c>
      <c r="W25" s="19">
        <f t="shared" si="13"/>
        <v>4140.7575999999999</v>
      </c>
      <c r="X25" s="19">
        <v>0</v>
      </c>
      <c r="Y25" s="128">
        <f>IFERROR(VLOOKUP(D25,'Monthly Deduction'!$M$2:$N$640,2,0),0)</f>
        <v>0</v>
      </c>
      <c r="Z25" s="128">
        <v>0</v>
      </c>
      <c r="AA25" s="126">
        <f>IFERROR(VLOOKUP(D25,'Monthly Deduction'!A:B,2,0),0)</f>
        <v>0</v>
      </c>
      <c r="AB25" s="129">
        <f t="shared" si="3"/>
        <v>4673</v>
      </c>
      <c r="AC25" s="130">
        <v>0</v>
      </c>
      <c r="AD25" s="35">
        <f t="shared" si="14"/>
        <v>4673</v>
      </c>
      <c r="AE25" s="166" t="str">
        <f t="shared" si="15"/>
        <v>Release</v>
      </c>
      <c r="AF25" s="127"/>
      <c r="AG25" s="18">
        <v>0</v>
      </c>
      <c r="AH25" s="132"/>
      <c r="AI25" s="238">
        <v>0</v>
      </c>
      <c r="AJ25" s="132"/>
      <c r="AK25" s="151">
        <v>1080.5</v>
      </c>
      <c r="AL25" s="154">
        <f t="shared" si="4"/>
        <v>0</v>
      </c>
      <c r="AM25" s="155"/>
      <c r="AN25" s="19">
        <f t="shared" si="5"/>
        <v>4140.7575999999999</v>
      </c>
      <c r="AO25" s="118">
        <f>SUMIF('MPG Payment '!E:E,'Shayak Income '!D25,'MPG Payment '!AJ:AJ)</f>
        <v>0</v>
      </c>
      <c r="AP25" s="19">
        <f t="shared" si="6"/>
        <v>4140.7575999999999</v>
      </c>
      <c r="AQ25" s="119">
        <f t="shared" si="16"/>
        <v>4140.7575999999999</v>
      </c>
      <c r="AR25" s="91" t="s">
        <v>1144</v>
      </c>
      <c r="AS25" s="91">
        <f t="shared" si="7"/>
        <v>16000</v>
      </c>
      <c r="AT25" s="118"/>
      <c r="AU25" s="118"/>
      <c r="AV25" s="118"/>
    </row>
    <row r="26" spans="1:48" s="20" customFormat="1" x14ac:dyDescent="0.25">
      <c r="A26" s="17">
        <f>IFERROR(VLOOKUP(D26,'Monthly Deduction'!$I$3:$J$957,2,0),0)</f>
        <v>0</v>
      </c>
      <c r="B26" s="17">
        <f>IFERROR(VLOOKUP(D26,'Monthly Deduction'!$E$3:$F$957,2,0),0)</f>
        <v>0</v>
      </c>
      <c r="C26" s="17">
        <f t="shared" si="17"/>
        <v>0</v>
      </c>
      <c r="D26" s="41">
        <v>10010125</v>
      </c>
      <c r="E26" s="122" t="str">
        <f>VLOOKUP(D26,'MPG Payment '!$E$3:$G$497305,2,0)</f>
        <v>Maida- Ram Kumar</v>
      </c>
      <c r="F26" s="146">
        <f>IFERROR(_xlfn.XLOOKUP(D26,'Monthly Deduction'!$I$3:$I$957,'Monthly Deduction'!$H$3:$H$957),0)</f>
        <v>0</v>
      </c>
      <c r="G26" s="123" t="str">
        <f>VLOOKUP(D26,'MPG Payment '!$E$3:$G$333666,3,0)</f>
        <v>vlc</v>
      </c>
      <c r="H26" s="124" t="str">
        <f>VLOOKUP(D26,'MPG Payment '!$E$3:$H$333666,4,0)</f>
        <v>Indirect</v>
      </c>
      <c r="I26" s="88">
        <f>INDEX('MPG Payment '!$C:$C,MATCH('Shayak Income '!D26,'MPG Payment '!E:E,0))</f>
        <v>1001</v>
      </c>
      <c r="J26" s="88" t="str">
        <f>INDEX('MPG Payment '!$D:$D,MATCH('Shayak Income '!D26,'MPG Payment '!E:E,0))</f>
        <v>Majhaul</v>
      </c>
      <c r="K26" s="125" t="s">
        <v>1594</v>
      </c>
      <c r="L26" s="125">
        <v>45869</v>
      </c>
      <c r="M26" s="126">
        <f>SUMIF('MPG Payment '!$E$3:$E$344841,'Shayak Income '!D26,'MPG Payment '!$I$3:$I$344841)</f>
        <v>1174.5999999999999</v>
      </c>
      <c r="N26" s="126">
        <f>SUMIF('MPG Payment '!$E$3:$E$344841,'Shayak Income '!D26,'MPG Payment '!$J$3:$J$344841)</f>
        <v>50962.270000000004</v>
      </c>
      <c r="O26" s="126">
        <f t="shared" si="9"/>
        <v>880.94999999999993</v>
      </c>
      <c r="P26" s="126">
        <f t="shared" si="10"/>
        <v>1115.8699999999999</v>
      </c>
      <c r="Q26" s="126">
        <f>SUMIF('MPG Payment '!$E$3:$E$344841,'Shayak Income '!D26,'MPG Payment '!$S$3:$S$344841)</f>
        <v>0</v>
      </c>
      <c r="R26" s="126">
        <f t="shared" si="1"/>
        <v>1528.8681000000001</v>
      </c>
      <c r="S26" s="126">
        <f t="shared" si="2"/>
        <v>412.99810000000025</v>
      </c>
      <c r="T26" s="126">
        <f t="shared" si="11"/>
        <v>117.46</v>
      </c>
      <c r="U26" s="127">
        <f>((((((IF(K26="New",0,SUMIF('MPG Payment '!$E$3:$E$344841,'Shayak Income '!D26,'MPG Payment '!$AC$3:$AC$344841))))+0)+0)+0)+0)+0</f>
        <v>1330.1852489985583</v>
      </c>
      <c r="V26" s="127">
        <f t="shared" si="12"/>
        <v>549</v>
      </c>
      <c r="W26" s="19">
        <f t="shared" si="13"/>
        <v>0</v>
      </c>
      <c r="X26" s="19">
        <f t="shared" si="18"/>
        <v>0</v>
      </c>
      <c r="Y26" s="128">
        <f>IFERROR(VLOOKUP(D26,'Monthly Deduction'!$M$2:$N$640,2,0),0)</f>
        <v>0</v>
      </c>
      <c r="Z26" s="128">
        <v>0</v>
      </c>
      <c r="AA26" s="126">
        <f>IFERROR(VLOOKUP(D26,'Monthly Deduction'!A:B,2,0),0)</f>
        <v>0</v>
      </c>
      <c r="AB26" s="129">
        <f t="shared" si="3"/>
        <v>549</v>
      </c>
      <c r="AC26" s="130">
        <v>0</v>
      </c>
      <c r="AD26" s="35">
        <f t="shared" si="14"/>
        <v>549</v>
      </c>
      <c r="AE26" s="166" t="str">
        <f t="shared" si="15"/>
        <v>Release</v>
      </c>
      <c r="AF26" s="127"/>
      <c r="AG26" s="18">
        <v>0</v>
      </c>
      <c r="AH26" s="132"/>
      <c r="AI26" s="238">
        <v>0</v>
      </c>
      <c r="AJ26" s="132"/>
      <c r="AK26" s="151">
        <v>317.60000000000002</v>
      </c>
      <c r="AL26" s="154">
        <f t="shared" si="4"/>
        <v>0</v>
      </c>
      <c r="AM26" s="155"/>
      <c r="AN26" s="19">
        <f t="shared" si="5"/>
        <v>0</v>
      </c>
      <c r="AO26" s="118">
        <f>SUMIF('MPG Payment '!E:E,'Shayak Income '!D26,'MPG Payment '!AJ:AJ)</f>
        <v>0</v>
      </c>
      <c r="AP26" s="19">
        <f t="shared" si="6"/>
        <v>0</v>
      </c>
      <c r="AQ26" s="119">
        <f t="shared" si="16"/>
        <v>0</v>
      </c>
      <c r="AR26" s="91" t="s">
        <v>1144</v>
      </c>
      <c r="AS26" s="91">
        <f t="shared" si="7"/>
        <v>0</v>
      </c>
      <c r="AT26" s="118"/>
      <c r="AU26" s="118"/>
      <c r="AV26" s="118"/>
    </row>
    <row r="27" spans="1:48" s="20" customFormat="1" x14ac:dyDescent="0.25">
      <c r="A27" s="17">
        <f>IFERROR(VLOOKUP(D27,'Monthly Deduction'!$I$3:$J$957,2,0),0)</f>
        <v>41865.424786639807</v>
      </c>
      <c r="B27" s="17">
        <f>IFERROR(VLOOKUP(D27,'Monthly Deduction'!$E$3:$F$957,2,0),0)</f>
        <v>16000</v>
      </c>
      <c r="C27" s="17">
        <f t="shared" si="17"/>
        <v>57865.424786639807</v>
      </c>
      <c r="D27" s="41">
        <v>10010128</v>
      </c>
      <c r="E27" s="122" t="str">
        <f>VLOOKUP(D27,'MPG Payment '!$E$3:$G$497305,2,0)</f>
        <v>Gomukh Aure Bikrampur</v>
      </c>
      <c r="F27" s="146">
        <f>IFERROR(_xlfn.XLOOKUP(D27,'Monthly Deduction'!$I$3:$I$957,'Monthly Deduction'!$H$3:$H$957),0)</f>
        <v>0</v>
      </c>
      <c r="G27" s="123" t="str">
        <f>VLOOKUP(D27,'MPG Payment '!$E$3:$G$333666,3,0)</f>
        <v>MPG</v>
      </c>
      <c r="H27" s="124" t="str">
        <f>VLOOKUP(D27,'MPG Payment '!$E$3:$H$333666,4,0)</f>
        <v>Direct</v>
      </c>
      <c r="I27" s="88">
        <f>INDEX('MPG Payment '!$C:$C,MATCH('Shayak Income '!D27,'MPG Payment '!E:E,0))</f>
        <v>1001</v>
      </c>
      <c r="J27" s="88" t="str">
        <f>INDEX('MPG Payment '!$D:$D,MATCH('Shayak Income '!D27,'MPG Payment '!E:E,0))</f>
        <v>Majhaul</v>
      </c>
      <c r="K27" s="125" t="s">
        <v>1594</v>
      </c>
      <c r="L27" s="125">
        <v>45869</v>
      </c>
      <c r="M27" s="126">
        <f>SUMIF('MPG Payment '!$E$3:$E$344841,'Shayak Income '!D27,'MPG Payment '!$I$3:$I$344841)</f>
        <v>3903.3999999999996</v>
      </c>
      <c r="N27" s="126">
        <f>SUMIF('MPG Payment '!$E$3:$E$344841,'Shayak Income '!D27,'MPG Payment '!$J$3:$J$344841)</f>
        <v>167166.49</v>
      </c>
      <c r="O27" s="126">
        <f t="shared" si="9"/>
        <v>2927.5499999999997</v>
      </c>
      <c r="P27" s="126">
        <f t="shared" si="10"/>
        <v>3708.2299999999996</v>
      </c>
      <c r="Q27" s="126">
        <f>SUMIF('MPG Payment '!$E$3:$E$344841,'Shayak Income '!D27,'MPG Payment '!$S$3:$S$344841)</f>
        <v>0</v>
      </c>
      <c r="R27" s="126">
        <f t="shared" si="1"/>
        <v>5014.9946999999993</v>
      </c>
      <c r="S27" s="126">
        <f t="shared" si="2"/>
        <v>1306.7646999999997</v>
      </c>
      <c r="T27" s="126">
        <f t="shared" si="11"/>
        <v>390.34</v>
      </c>
      <c r="U27" s="127">
        <f>((((((IF(K27="New",0,SUMIF('MPG Payment '!$E$3:$E$344841,'Shayak Income '!D27,'MPG Payment '!$AC$3:$AC$344841))))+0)+0)+0)+0)+0</f>
        <v>0</v>
      </c>
      <c r="V27" s="127">
        <f t="shared" si="12"/>
        <v>6245</v>
      </c>
      <c r="W27" s="19">
        <f t="shared" si="13"/>
        <v>3343.3298</v>
      </c>
      <c r="X27" s="19">
        <v>0</v>
      </c>
      <c r="Y27" s="128">
        <f>IFERROR(VLOOKUP(D27,'Monthly Deduction'!$M$2:$N$640,2,0),0)</f>
        <v>0</v>
      </c>
      <c r="Z27" s="128">
        <v>0</v>
      </c>
      <c r="AA27" s="126">
        <f>IFERROR(VLOOKUP(D27,'Monthly Deduction'!A:B,2,0),0)</f>
        <v>0</v>
      </c>
      <c r="AB27" s="129">
        <f t="shared" si="3"/>
        <v>2902</v>
      </c>
      <c r="AC27" s="130">
        <v>0</v>
      </c>
      <c r="AD27" s="35">
        <f t="shared" si="14"/>
        <v>2902</v>
      </c>
      <c r="AE27" s="166" t="str">
        <f t="shared" si="15"/>
        <v>Release</v>
      </c>
      <c r="AF27" s="127"/>
      <c r="AG27" s="127">
        <v>0</v>
      </c>
      <c r="AH27" s="120"/>
      <c r="AI27" s="238">
        <v>0</v>
      </c>
      <c r="AJ27" s="132"/>
      <c r="AK27" s="151">
        <v>1227.3999999999999</v>
      </c>
      <c r="AL27" s="154">
        <f t="shared" si="4"/>
        <v>0</v>
      </c>
      <c r="AM27" s="155"/>
      <c r="AN27" s="19">
        <f t="shared" si="5"/>
        <v>3343.3298</v>
      </c>
      <c r="AO27" s="118">
        <f>SUMIF('MPG Payment '!E:E,'Shayak Income '!D27,'MPG Payment '!AJ:AJ)</f>
        <v>0</v>
      </c>
      <c r="AP27" s="19">
        <f t="shared" si="6"/>
        <v>3343.3298</v>
      </c>
      <c r="AQ27" s="119">
        <f t="shared" si="16"/>
        <v>3343.3298</v>
      </c>
      <c r="AR27" s="91" t="s">
        <v>1144</v>
      </c>
      <c r="AS27" s="91">
        <f t="shared" si="7"/>
        <v>16000</v>
      </c>
      <c r="AT27" s="118"/>
      <c r="AU27" s="118"/>
      <c r="AV27" s="118"/>
    </row>
    <row r="28" spans="1:48" s="20" customFormat="1" x14ac:dyDescent="0.25">
      <c r="A28" s="17">
        <f>IFERROR(VLOOKUP(D28,'Monthly Deduction'!$I$3:$J$957,2,0),0)</f>
        <v>0</v>
      </c>
      <c r="B28" s="17">
        <f>IFERROR(VLOOKUP(D28,'Monthly Deduction'!$E$3:$F$957,2,0),0)</f>
        <v>0</v>
      </c>
      <c r="C28" s="17">
        <f t="shared" si="17"/>
        <v>0</v>
      </c>
      <c r="D28" s="41">
        <v>10010129</v>
      </c>
      <c r="E28" s="122" t="str">
        <f>VLOOKUP(D28,'MPG Payment '!$E$3:$G$497305,2,0)</f>
        <v>Manjhaul- Gulshan Kumar</v>
      </c>
      <c r="F28" s="146">
        <f>IFERROR(_xlfn.XLOOKUP(D28,'Monthly Deduction'!$I$3:$I$957,'Monthly Deduction'!$H$3:$H$957),0)</f>
        <v>0</v>
      </c>
      <c r="G28" s="123" t="str">
        <f>VLOOKUP(D28,'MPG Payment '!$E$3:$G$333666,3,0)</f>
        <v>vlc</v>
      </c>
      <c r="H28" s="124" t="str">
        <f>VLOOKUP(D28,'MPG Payment '!$E$3:$H$333666,4,0)</f>
        <v>Indirect</v>
      </c>
      <c r="I28" s="88">
        <f>INDEX('MPG Payment '!$C:$C,MATCH('Shayak Income '!D28,'MPG Payment '!E:E,0))</f>
        <v>1001</v>
      </c>
      <c r="J28" s="88" t="str">
        <f>INDEX('MPG Payment '!$D:$D,MATCH('Shayak Income '!D28,'MPG Payment '!E:E,0))</f>
        <v>Majhaul</v>
      </c>
      <c r="K28" s="125" t="s">
        <v>1594</v>
      </c>
      <c r="L28" s="125">
        <v>45869</v>
      </c>
      <c r="M28" s="126">
        <f>SUMIF('MPG Payment '!$E$3:$E$344841,'Shayak Income '!D28,'MPG Payment '!$I$3:$I$344841)</f>
        <v>3307.2000000000003</v>
      </c>
      <c r="N28" s="126">
        <f>SUMIF('MPG Payment '!$E$3:$E$344841,'Shayak Income '!D28,'MPG Payment '!$J$3:$J$344841)</f>
        <v>139788.43999999997</v>
      </c>
      <c r="O28" s="126">
        <f t="shared" si="9"/>
        <v>2480.4</v>
      </c>
      <c r="P28" s="126">
        <f t="shared" si="10"/>
        <v>3141.84</v>
      </c>
      <c r="Q28" s="126">
        <f>SUMIF('MPG Payment '!$E$3:$E$344841,'Shayak Income '!D28,'MPG Payment '!$S$3:$S$344841)</f>
        <v>0</v>
      </c>
      <c r="R28" s="126">
        <f t="shared" si="1"/>
        <v>4193.6531999999988</v>
      </c>
      <c r="S28" s="126">
        <f t="shared" si="2"/>
        <v>1051.8131999999987</v>
      </c>
      <c r="T28" s="126">
        <f t="shared" si="11"/>
        <v>330.72</v>
      </c>
      <c r="U28" s="127">
        <f>((((((IF(K28="New",0,SUMIF('MPG Payment '!$E$3:$E$344841,'Shayak Income '!D28,'MPG Payment '!$AC$3:$AC$344841))))+0)+0)+0)+0)+0</f>
        <v>249.15465498154975</v>
      </c>
      <c r="V28" s="127">
        <f t="shared" si="12"/>
        <v>5042</v>
      </c>
      <c r="W28" s="19">
        <f t="shared" si="13"/>
        <v>0</v>
      </c>
      <c r="X28" s="19">
        <f t="shared" si="18"/>
        <v>0</v>
      </c>
      <c r="Y28" s="128">
        <f>IFERROR(VLOOKUP(D28,'Monthly Deduction'!$M$2:$N$640,2,0),0)</f>
        <v>0</v>
      </c>
      <c r="Z28" s="128">
        <v>0</v>
      </c>
      <c r="AA28" s="126">
        <f>IFERROR(VLOOKUP(D28,'Monthly Deduction'!A:B,2,0),0)</f>
        <v>0</v>
      </c>
      <c r="AB28" s="129">
        <f t="shared" si="3"/>
        <v>5042</v>
      </c>
      <c r="AC28" s="130">
        <v>0</v>
      </c>
      <c r="AD28" s="35">
        <f t="shared" si="14"/>
        <v>5042</v>
      </c>
      <c r="AE28" s="166" t="str">
        <f t="shared" si="15"/>
        <v>Release</v>
      </c>
      <c r="AF28" s="127"/>
      <c r="AG28" s="18">
        <v>0</v>
      </c>
      <c r="AH28" s="132"/>
      <c r="AI28" s="238">
        <v>0</v>
      </c>
      <c r="AJ28" s="132"/>
      <c r="AK28" s="151">
        <v>452.7</v>
      </c>
      <c r="AL28" s="154">
        <f t="shared" si="4"/>
        <v>0</v>
      </c>
      <c r="AM28" s="155"/>
      <c r="AN28" s="19">
        <f t="shared" si="5"/>
        <v>0</v>
      </c>
      <c r="AO28" s="118">
        <f>SUMIF('MPG Payment '!E:E,'Shayak Income '!D28,'MPG Payment '!AJ:AJ)</f>
        <v>0</v>
      </c>
      <c r="AP28" s="19">
        <f t="shared" si="6"/>
        <v>0</v>
      </c>
      <c r="AQ28" s="119">
        <f t="shared" si="16"/>
        <v>0</v>
      </c>
      <c r="AR28" s="91" t="s">
        <v>1144</v>
      </c>
      <c r="AS28" s="91">
        <f t="shared" si="7"/>
        <v>0</v>
      </c>
      <c r="AT28" s="118"/>
      <c r="AU28" s="118"/>
      <c r="AV28" s="118"/>
    </row>
    <row r="29" spans="1:48" s="20" customFormat="1" x14ac:dyDescent="0.25">
      <c r="A29" s="17">
        <f>IFERROR(VLOOKUP(D29,'Monthly Deduction'!$I$3:$J$957,2,0),0)</f>
        <v>0</v>
      </c>
      <c r="B29" s="17">
        <f>IFERROR(VLOOKUP(D29,'Monthly Deduction'!$E$3:$F$957,2,0),0)</f>
        <v>0</v>
      </c>
      <c r="C29" s="17">
        <f t="shared" si="17"/>
        <v>0</v>
      </c>
      <c r="D29" s="41">
        <v>10010130</v>
      </c>
      <c r="E29" s="122" t="str">
        <f>VLOOKUP(D29,'MPG Payment '!$E$3:$G$497305,2,0)</f>
        <v>Khaira Manjhaul</v>
      </c>
      <c r="F29" s="146">
        <f>IFERROR(_xlfn.XLOOKUP(D29,'Monthly Deduction'!$I$3:$I$957,'Monthly Deduction'!$H$3:$H$957),0)</f>
        <v>0</v>
      </c>
      <c r="G29" s="123" t="str">
        <f>VLOOKUP(D29,'MPG Payment '!$E$3:$G$333666,3,0)</f>
        <v>vlc</v>
      </c>
      <c r="H29" s="124" t="str">
        <f>VLOOKUP(D29,'MPG Payment '!$E$3:$H$333666,4,0)</f>
        <v>Indirect</v>
      </c>
      <c r="I29" s="88">
        <f>INDEX('MPG Payment '!$C:$C,MATCH('Shayak Income '!D29,'MPG Payment '!E:E,0))</f>
        <v>1001</v>
      </c>
      <c r="J29" s="88" t="str">
        <f>INDEX('MPG Payment '!$D:$D,MATCH('Shayak Income '!D29,'MPG Payment '!E:E,0))</f>
        <v>Majhaul</v>
      </c>
      <c r="K29" s="125" t="s">
        <v>1594</v>
      </c>
      <c r="L29" s="125">
        <v>45870</v>
      </c>
      <c r="M29" s="126">
        <f>SUMIF('MPG Payment '!$E$3:$E$344841,'Shayak Income '!D29,'MPG Payment '!$I$3:$I$344841)</f>
        <v>1784.9999999999998</v>
      </c>
      <c r="N29" s="126">
        <f>SUMIF('MPG Payment '!$E$3:$E$344841,'Shayak Income '!D29,'MPG Payment '!$J$3:$J$344841)</f>
        <v>65862.27</v>
      </c>
      <c r="O29" s="126">
        <f t="shared" si="9"/>
        <v>1338.7499999999998</v>
      </c>
      <c r="P29" s="126">
        <f t="shared" si="10"/>
        <v>1695.7499999999998</v>
      </c>
      <c r="Q29" s="126">
        <f>SUMIF('MPG Payment '!$E$3:$E$344841,'Shayak Income '!D29,'MPG Payment '!$S$3:$S$344841)</f>
        <v>0</v>
      </c>
      <c r="R29" s="126">
        <f t="shared" si="1"/>
        <v>1975.8681000000001</v>
      </c>
      <c r="S29" s="126">
        <f t="shared" si="2"/>
        <v>280.11810000000037</v>
      </c>
      <c r="T29" s="126">
        <f t="shared" si="11"/>
        <v>178.5</v>
      </c>
      <c r="U29" s="127">
        <f>((((((IF(K29="New",0,SUMIF('MPG Payment '!$E$3:$E$344841,'Shayak Income '!D29,'MPG Payment '!$AC$3:$AC$344841))))+0)+0)+0)+0)+0</f>
        <v>745.75340358709946</v>
      </c>
      <c r="V29" s="127">
        <f t="shared" si="12"/>
        <v>2110</v>
      </c>
      <c r="W29" s="19">
        <f t="shared" si="13"/>
        <v>0</v>
      </c>
      <c r="X29" s="19">
        <f t="shared" si="18"/>
        <v>0</v>
      </c>
      <c r="Y29" s="128">
        <f>IFERROR(VLOOKUP(D29,'Monthly Deduction'!$M$2:$N$640,2,0),0)</f>
        <v>0</v>
      </c>
      <c r="Z29" s="128">
        <v>0</v>
      </c>
      <c r="AA29" s="126">
        <f>IFERROR(VLOOKUP(D29,'Monthly Deduction'!A:B,2,0),0)</f>
        <v>0</v>
      </c>
      <c r="AB29" s="129">
        <f t="shared" si="3"/>
        <v>2110</v>
      </c>
      <c r="AC29" s="130">
        <v>0</v>
      </c>
      <c r="AD29" s="35">
        <f t="shared" si="14"/>
        <v>2110</v>
      </c>
      <c r="AE29" s="166" t="str">
        <f t="shared" si="15"/>
        <v>Release</v>
      </c>
      <c r="AF29" s="127"/>
      <c r="AG29" s="127">
        <v>0</v>
      </c>
      <c r="AH29" s="120"/>
      <c r="AI29" s="238">
        <v>0</v>
      </c>
      <c r="AJ29" s="132"/>
      <c r="AK29" s="151">
        <v>345.1</v>
      </c>
      <c r="AL29" s="154">
        <f t="shared" si="4"/>
        <v>0</v>
      </c>
      <c r="AM29" s="155"/>
      <c r="AN29" s="19">
        <f t="shared" si="5"/>
        <v>0</v>
      </c>
      <c r="AO29" s="118">
        <f>SUMIF('MPG Payment '!E:E,'Shayak Income '!D29,'MPG Payment '!AJ:AJ)</f>
        <v>0</v>
      </c>
      <c r="AP29" s="19">
        <f t="shared" si="6"/>
        <v>0</v>
      </c>
      <c r="AQ29" s="119">
        <f t="shared" si="16"/>
        <v>0</v>
      </c>
      <c r="AR29" s="91" t="s">
        <v>1144</v>
      </c>
      <c r="AS29" s="91">
        <f t="shared" si="7"/>
        <v>0</v>
      </c>
      <c r="AT29" s="118"/>
      <c r="AU29" s="118"/>
      <c r="AV29" s="118"/>
    </row>
    <row r="30" spans="1:48" s="20" customFormat="1" x14ac:dyDescent="0.25">
      <c r="A30" s="17">
        <f>IFERROR(VLOOKUP(D30,'Monthly Deduction'!$I$3:$J$957,2,0),0)</f>
        <v>0</v>
      </c>
      <c r="B30" s="17">
        <f>IFERROR(VLOOKUP(D30,'Monthly Deduction'!$E$3:$F$957,2,0),0)</f>
        <v>0</v>
      </c>
      <c r="C30" s="17">
        <f t="shared" si="17"/>
        <v>0</v>
      </c>
      <c r="D30" s="41">
        <v>10010131</v>
      </c>
      <c r="E30" s="122" t="str">
        <f>VLOOKUP(D30,'MPG Payment '!$E$3:$G$497305,2,0)</f>
        <v>Mehda Shahpur</v>
      </c>
      <c r="F30" s="146">
        <f>IFERROR(_xlfn.XLOOKUP(D30,'Monthly Deduction'!$I$3:$I$957,'Monthly Deduction'!$H$3:$H$957),0)</f>
        <v>0</v>
      </c>
      <c r="G30" s="123" t="str">
        <f>VLOOKUP(D30,'MPG Payment '!$E$3:$G$333666,3,0)</f>
        <v>vlc</v>
      </c>
      <c r="H30" s="124" t="str">
        <f>VLOOKUP(D30,'MPG Payment '!$E$3:$H$333666,4,0)</f>
        <v>Indirect</v>
      </c>
      <c r="I30" s="88">
        <f>INDEX('MPG Payment '!$C:$C,MATCH('Shayak Income '!D30,'MPG Payment '!E:E,0))</f>
        <v>1001</v>
      </c>
      <c r="J30" s="88" t="str">
        <f>INDEX('MPG Payment '!$D:$D,MATCH('Shayak Income '!D30,'MPG Payment '!E:E,0))</f>
        <v>Majhaul</v>
      </c>
      <c r="K30" s="125" t="s">
        <v>1594</v>
      </c>
      <c r="L30" s="125">
        <v>45870</v>
      </c>
      <c r="M30" s="126">
        <f>SUMIF('MPG Payment '!$E$3:$E$344841,'Shayak Income '!D30,'MPG Payment '!$I$3:$I$344841)</f>
        <v>2838.7999999999997</v>
      </c>
      <c r="N30" s="126">
        <f>SUMIF('MPG Payment '!$E$3:$E$344841,'Shayak Income '!D30,'MPG Payment '!$J$3:$J$344841)</f>
        <v>107591.78</v>
      </c>
      <c r="O30" s="126">
        <f t="shared" si="9"/>
        <v>2129.1</v>
      </c>
      <c r="P30" s="126">
        <f t="shared" si="10"/>
        <v>2696.8599999999997</v>
      </c>
      <c r="Q30" s="126">
        <f>SUMIF('MPG Payment '!$E$3:$E$344841,'Shayak Income '!D30,'MPG Payment '!$S$3:$S$344841)</f>
        <v>0</v>
      </c>
      <c r="R30" s="126">
        <f t="shared" si="1"/>
        <v>3227.7534000000001</v>
      </c>
      <c r="S30" s="126">
        <f t="shared" si="2"/>
        <v>530.89340000000038</v>
      </c>
      <c r="T30" s="126">
        <f t="shared" si="11"/>
        <v>283.88</v>
      </c>
      <c r="U30" s="127">
        <f>((((((IF(K30="New",0,SUMIF('MPG Payment '!$E$3:$E$344841,'Shayak Income '!D30,'MPG Payment '!$AC$3:$AC$344841))))+0)+0)+0)+0)+0</f>
        <v>215.66982724241649</v>
      </c>
      <c r="V30" s="127">
        <f t="shared" si="12"/>
        <v>4326</v>
      </c>
      <c r="W30" s="19">
        <f t="shared" si="13"/>
        <v>0</v>
      </c>
      <c r="X30" s="19">
        <f t="shared" si="18"/>
        <v>0</v>
      </c>
      <c r="Y30" s="128">
        <f>IFERROR(VLOOKUP(D30,'Monthly Deduction'!$M$2:$N$640,2,0),0)</f>
        <v>0</v>
      </c>
      <c r="Z30" s="128">
        <v>0</v>
      </c>
      <c r="AA30" s="126">
        <f>IFERROR(VLOOKUP(D30,'Monthly Deduction'!A:B,2,0),0)</f>
        <v>0</v>
      </c>
      <c r="AB30" s="129">
        <f t="shared" si="3"/>
        <v>4326</v>
      </c>
      <c r="AC30" s="130">
        <v>0</v>
      </c>
      <c r="AD30" s="35">
        <f t="shared" si="14"/>
        <v>4326</v>
      </c>
      <c r="AE30" s="166" t="str">
        <f t="shared" si="15"/>
        <v>Release</v>
      </c>
      <c r="AF30" s="127"/>
      <c r="AG30" s="18">
        <v>0</v>
      </c>
      <c r="AH30" s="132"/>
      <c r="AI30" s="238">
        <v>0</v>
      </c>
      <c r="AJ30" s="132"/>
      <c r="AK30" s="151">
        <v>324.59999999999997</v>
      </c>
      <c r="AL30" s="154">
        <f t="shared" si="4"/>
        <v>0</v>
      </c>
      <c r="AM30" s="155"/>
      <c r="AN30" s="19">
        <f t="shared" si="5"/>
        <v>0</v>
      </c>
      <c r="AO30" s="118">
        <f>SUMIF('MPG Payment '!E:E,'Shayak Income '!D30,'MPG Payment '!AJ:AJ)</f>
        <v>0</v>
      </c>
      <c r="AP30" s="19">
        <f t="shared" si="6"/>
        <v>0</v>
      </c>
      <c r="AQ30" s="119">
        <f t="shared" si="16"/>
        <v>0</v>
      </c>
      <c r="AR30" s="91"/>
      <c r="AS30" s="91">
        <f t="shared" si="7"/>
        <v>0</v>
      </c>
      <c r="AT30" s="118"/>
      <c r="AU30" s="118"/>
      <c r="AV30" s="118"/>
    </row>
    <row r="31" spans="1:48" s="20" customFormat="1" x14ac:dyDescent="0.25">
      <c r="A31" s="17">
        <f>IFERROR(VLOOKUP(D31,'Monthly Deduction'!$I$3:$J$957,2,0),0)</f>
        <v>0</v>
      </c>
      <c r="B31" s="17">
        <f>IFERROR(VLOOKUP(D31,'Monthly Deduction'!$E$3:$F$957,2,0),0)</f>
        <v>0</v>
      </c>
      <c r="C31" s="17">
        <f t="shared" si="17"/>
        <v>0</v>
      </c>
      <c r="D31" s="41">
        <v>10020002</v>
      </c>
      <c r="E31" s="122" t="str">
        <f>VLOOKUP(D31,'MPG Payment '!$E$3:$G$497305,2,0)</f>
        <v>PIPARIYA DIH -2</v>
      </c>
      <c r="F31" s="146">
        <f>IFERROR(_xlfn.XLOOKUP(D31,'Monthly Deduction'!$I$3:$I$957,'Monthly Deduction'!$H$3:$H$957),0)</f>
        <v>0</v>
      </c>
      <c r="G31" s="123" t="str">
        <f>VLOOKUP(D31,'MPG Payment '!$E$3:$G$333666,3,0)</f>
        <v>MPG</v>
      </c>
      <c r="H31" s="124" t="str">
        <f>VLOOKUP(D31,'MPG Payment '!$E$3:$H$333666,4,0)</f>
        <v>Direct</v>
      </c>
      <c r="I31" s="88">
        <f>INDEX('MPG Payment '!$C:$C,MATCH('Shayak Income '!D31,'MPG Payment '!E:E,0))</f>
        <v>1002</v>
      </c>
      <c r="J31" s="88" t="str">
        <f>INDEX('MPG Payment '!$D:$D,MATCH('Shayak Income '!D31,'MPG Payment '!E:E,0))</f>
        <v>Laldiyara</v>
      </c>
      <c r="K31" s="125" t="s">
        <v>1594</v>
      </c>
      <c r="L31" s="125">
        <v>42979</v>
      </c>
      <c r="M31" s="126">
        <f>SUMIF('MPG Payment '!$E$3:$E$344841,'Shayak Income '!D31,'MPG Payment '!$I$3:$I$344841)</f>
        <v>9646.5</v>
      </c>
      <c r="N31" s="126">
        <f>SUMIF('MPG Payment '!$E$3:$E$344841,'Shayak Income '!D31,'MPG Payment '!$J$3:$J$344841)</f>
        <v>445239.29</v>
      </c>
      <c r="O31" s="126">
        <f t="shared" si="9"/>
        <v>7234.875</v>
      </c>
      <c r="P31" s="126">
        <f t="shared" si="10"/>
        <v>9164.1749999999993</v>
      </c>
      <c r="Q31" s="126">
        <f>SUMIF('MPG Payment '!$E$3:$E$344841,'Shayak Income '!D31,'MPG Payment '!$S$3:$S$344841)</f>
        <v>4046.7100000000005</v>
      </c>
      <c r="R31" s="126">
        <f t="shared" si="1"/>
        <v>13357.178699999999</v>
      </c>
      <c r="S31" s="126">
        <f t="shared" si="2"/>
        <v>4193.0036999999993</v>
      </c>
      <c r="T31" s="126">
        <f t="shared" si="11"/>
        <v>964.65000000000009</v>
      </c>
      <c r="U31" s="127">
        <f>((((((IF(K31="New",0,SUMIF('MPG Payment '!$E$3:$E$344841,'Shayak Income '!D31,'MPG Payment '!$AC$3:$AC$344841))))+0)+0)+0)+0)+0</f>
        <v>0</v>
      </c>
      <c r="V31" s="127">
        <f t="shared" si="12"/>
        <v>19481</v>
      </c>
      <c r="W31" s="19">
        <f t="shared" si="13"/>
        <v>0</v>
      </c>
      <c r="X31" s="19">
        <f t="shared" si="18"/>
        <v>0</v>
      </c>
      <c r="Y31" s="128">
        <f>IFERROR(VLOOKUP(D31,'Monthly Deduction'!$M$2:$N$640,2,0),0)</f>
        <v>0</v>
      </c>
      <c r="Z31" s="128">
        <v>0</v>
      </c>
      <c r="AA31" s="126">
        <f>IFERROR(VLOOKUP(D31,'Monthly Deduction'!A:B,2,0),0)</f>
        <v>0</v>
      </c>
      <c r="AB31" s="129">
        <f t="shared" si="3"/>
        <v>19481</v>
      </c>
      <c r="AC31" s="130">
        <v>0</v>
      </c>
      <c r="AD31" s="35">
        <f t="shared" si="14"/>
        <v>19481</v>
      </c>
      <c r="AE31" s="166" t="str">
        <f t="shared" si="15"/>
        <v>Release</v>
      </c>
      <c r="AF31" s="127"/>
      <c r="AG31" s="127">
        <v>0</v>
      </c>
      <c r="AH31" s="120"/>
      <c r="AI31" s="238">
        <v>0</v>
      </c>
      <c r="AJ31" s="132"/>
      <c r="AK31" s="151">
        <v>2652.1000000000004</v>
      </c>
      <c r="AL31" s="154">
        <f t="shared" si="4"/>
        <v>0</v>
      </c>
      <c r="AM31" s="155"/>
      <c r="AN31" s="19">
        <f t="shared" si="5"/>
        <v>0</v>
      </c>
      <c r="AO31" s="118">
        <f>SUMIF('MPG Payment '!E:E,'Shayak Income '!D31,'MPG Payment '!AJ:AJ)</f>
        <v>0</v>
      </c>
      <c r="AP31" s="19">
        <f t="shared" si="6"/>
        <v>0</v>
      </c>
      <c r="AQ31" s="119">
        <f t="shared" si="16"/>
        <v>0</v>
      </c>
      <c r="AR31" s="91" t="s">
        <v>1144</v>
      </c>
      <c r="AS31" s="91">
        <f t="shared" si="7"/>
        <v>0</v>
      </c>
      <c r="AT31" s="118"/>
      <c r="AU31" s="118"/>
      <c r="AV31" s="118"/>
    </row>
    <row r="32" spans="1:48" s="20" customFormat="1" x14ac:dyDescent="0.25">
      <c r="A32" s="17">
        <f>IFERROR(VLOOKUP(D32,'Monthly Deduction'!$I$3:$J$957,2,0),0)</f>
        <v>0</v>
      </c>
      <c r="B32" s="17">
        <f>IFERROR(VLOOKUP(D32,'Monthly Deduction'!$E$3:$F$957,2,0),0)</f>
        <v>0</v>
      </c>
      <c r="C32" s="17">
        <f t="shared" si="17"/>
        <v>0</v>
      </c>
      <c r="D32" s="41">
        <v>10020004</v>
      </c>
      <c r="E32" s="122" t="str">
        <f>VLOOKUP(D32,'MPG Payment '!$E$3:$G$497305,2,0)</f>
        <v>LAL DIYARA -1</v>
      </c>
      <c r="F32" s="146">
        <f>IFERROR(_xlfn.XLOOKUP(D32,'Monthly Deduction'!$I$3:$I$957,'Monthly Deduction'!$H$3:$H$957),0)</f>
        <v>0</v>
      </c>
      <c r="G32" s="123" t="str">
        <f>VLOOKUP(D32,'MPG Payment '!$E$3:$G$333666,3,0)</f>
        <v>MPG</v>
      </c>
      <c r="H32" s="124" t="str">
        <f>VLOOKUP(D32,'MPG Payment '!$E$3:$H$333666,4,0)</f>
        <v>Direct</v>
      </c>
      <c r="I32" s="88">
        <f>INDEX('MPG Payment '!$C:$C,MATCH('Shayak Income '!D32,'MPG Payment '!E:E,0))</f>
        <v>1002</v>
      </c>
      <c r="J32" s="88" t="str">
        <f>INDEX('MPG Payment '!$D:$D,MATCH('Shayak Income '!D32,'MPG Payment '!E:E,0))</f>
        <v>Laldiyara</v>
      </c>
      <c r="K32" s="125" t="s">
        <v>1594</v>
      </c>
      <c r="L32" s="125">
        <v>42979</v>
      </c>
      <c r="M32" s="126">
        <f>SUMIF('MPG Payment '!$E$3:$E$344841,'Shayak Income '!D32,'MPG Payment '!$I$3:$I$344841)</f>
        <v>2196.6000000000004</v>
      </c>
      <c r="N32" s="126">
        <f>SUMIF('MPG Payment '!$E$3:$E$344841,'Shayak Income '!D32,'MPG Payment '!$J$3:$J$344841)</f>
        <v>88368.15</v>
      </c>
      <c r="O32" s="126">
        <f t="shared" si="9"/>
        <v>1647.4500000000003</v>
      </c>
      <c r="P32" s="126">
        <f t="shared" si="10"/>
        <v>2086.7700000000004</v>
      </c>
      <c r="Q32" s="126">
        <f>SUMIF('MPG Payment '!$E$3:$E$344841,'Shayak Income '!D32,'MPG Payment '!$S$3:$S$344841)</f>
        <v>0</v>
      </c>
      <c r="R32" s="126">
        <f t="shared" si="1"/>
        <v>2651.0444999999995</v>
      </c>
      <c r="S32" s="126">
        <f t="shared" si="2"/>
        <v>564.27449999999908</v>
      </c>
      <c r="T32" s="126">
        <f t="shared" si="11"/>
        <v>219.66000000000005</v>
      </c>
      <c r="U32" s="127">
        <f>((((((IF(K32="New",0,SUMIF('MPG Payment '!$E$3:$E$344841,'Shayak Income '!D32,'MPG Payment '!$AC$3:$AC$344841))))+0)+0)+0)+0)+0</f>
        <v>485.14123661143668</v>
      </c>
      <c r="V32" s="127">
        <f t="shared" si="12"/>
        <v>3029</v>
      </c>
      <c r="W32" s="19">
        <f t="shared" si="13"/>
        <v>0</v>
      </c>
      <c r="X32" s="19">
        <f t="shared" si="18"/>
        <v>0</v>
      </c>
      <c r="Y32" s="128">
        <f>IFERROR(VLOOKUP(D32,'Monthly Deduction'!$M$2:$N$640,2,0),0)</f>
        <v>0</v>
      </c>
      <c r="Z32" s="128">
        <v>0</v>
      </c>
      <c r="AA32" s="126">
        <f>IFERROR(VLOOKUP(D32,'Monthly Deduction'!A:B,2,0),0)</f>
        <v>0</v>
      </c>
      <c r="AB32" s="129">
        <f t="shared" si="3"/>
        <v>3029</v>
      </c>
      <c r="AC32" s="130">
        <v>0</v>
      </c>
      <c r="AD32" s="35">
        <f t="shared" si="14"/>
        <v>3029</v>
      </c>
      <c r="AE32" s="166" t="str">
        <f t="shared" si="15"/>
        <v>Release</v>
      </c>
      <c r="AF32" s="127"/>
      <c r="AG32" s="18">
        <v>0</v>
      </c>
      <c r="AH32" s="132"/>
      <c r="AI32" s="238">
        <v>0</v>
      </c>
      <c r="AJ32" s="132"/>
      <c r="AK32" s="151">
        <v>488.9</v>
      </c>
      <c r="AL32" s="154">
        <f t="shared" si="4"/>
        <v>0</v>
      </c>
      <c r="AM32" s="155"/>
      <c r="AN32" s="19">
        <f t="shared" si="5"/>
        <v>0</v>
      </c>
      <c r="AO32" s="118">
        <f>SUMIF('MPG Payment '!E:E,'Shayak Income '!D32,'MPG Payment '!AJ:AJ)</f>
        <v>0</v>
      </c>
      <c r="AP32" s="19">
        <f t="shared" si="6"/>
        <v>0</v>
      </c>
      <c r="AQ32" s="119">
        <f t="shared" si="16"/>
        <v>0</v>
      </c>
      <c r="AR32" s="91" t="s">
        <v>1144</v>
      </c>
      <c r="AS32" s="91">
        <f t="shared" si="7"/>
        <v>0</v>
      </c>
      <c r="AT32" s="118"/>
      <c r="AU32" s="118"/>
      <c r="AV32" s="118"/>
    </row>
    <row r="33" spans="1:48" s="20" customFormat="1" x14ac:dyDescent="0.25">
      <c r="A33" s="17">
        <f>IFERROR(VLOOKUP(D33,'Monthly Deduction'!$I$3:$J$957,2,0),0)</f>
        <v>0</v>
      </c>
      <c r="B33" s="17">
        <f>IFERROR(VLOOKUP(D33,'Monthly Deduction'!$E$3:$F$957,2,0),0)</f>
        <v>0</v>
      </c>
      <c r="C33" s="17">
        <f t="shared" si="17"/>
        <v>0</v>
      </c>
      <c r="D33" s="41">
        <v>10020006</v>
      </c>
      <c r="E33" s="122" t="str">
        <f>VLOOKUP(D33,'MPG Payment '!$E$3:$G$497305,2,0)</f>
        <v>GANGA KINARE KHUTHA</v>
      </c>
      <c r="F33" s="146">
        <f>IFERROR(_xlfn.XLOOKUP(D33,'Monthly Deduction'!$I$3:$I$957,'Monthly Deduction'!$H$3:$H$957),0)</f>
        <v>0</v>
      </c>
      <c r="G33" s="123" t="str">
        <f>VLOOKUP(D33,'MPG Payment '!$E$3:$G$333666,3,0)</f>
        <v>vlc</v>
      </c>
      <c r="H33" s="124" t="str">
        <f>VLOOKUP(D33,'MPG Payment '!$E$3:$H$333666,4,0)</f>
        <v>Indirect</v>
      </c>
      <c r="I33" s="88">
        <f>INDEX('MPG Payment '!$C:$C,MATCH('Shayak Income '!D33,'MPG Payment '!E:E,0))</f>
        <v>1002</v>
      </c>
      <c r="J33" s="88" t="str">
        <f>INDEX('MPG Payment '!$D:$D,MATCH('Shayak Income '!D33,'MPG Payment '!E:E,0))</f>
        <v>Laldiyara</v>
      </c>
      <c r="K33" s="125" t="s">
        <v>1594</v>
      </c>
      <c r="L33" s="125">
        <v>42979</v>
      </c>
      <c r="M33" s="126">
        <f>SUMIF('MPG Payment '!$E$3:$E$344841,'Shayak Income '!D33,'MPG Payment '!$I$3:$I$344841)</f>
        <v>684.60000000000014</v>
      </c>
      <c r="N33" s="126">
        <f>SUMIF('MPG Payment '!$E$3:$E$344841,'Shayak Income '!D33,'MPG Payment '!$J$3:$J$344841)</f>
        <v>26992.799999999999</v>
      </c>
      <c r="O33" s="126">
        <f t="shared" si="9"/>
        <v>513.45000000000005</v>
      </c>
      <c r="P33" s="126">
        <f t="shared" si="10"/>
        <v>650.37000000000012</v>
      </c>
      <c r="Q33" s="126">
        <f>SUMIF('MPG Payment '!$E$3:$E$344841,'Shayak Income '!D33,'MPG Payment '!$S$3:$S$344841)</f>
        <v>0</v>
      </c>
      <c r="R33" s="126">
        <f t="shared" si="1"/>
        <v>809.78399999999999</v>
      </c>
      <c r="S33" s="126">
        <f t="shared" si="2"/>
        <v>159.41399999999987</v>
      </c>
      <c r="T33" s="126">
        <f t="shared" si="11"/>
        <v>68.460000000000022</v>
      </c>
      <c r="U33" s="127">
        <f>((((((IF(K33="New",0,SUMIF('MPG Payment '!$E$3:$E$344841,'Shayak Income '!D33,'MPG Payment '!$AC$3:$AC$344841))))+0)+0)+0)+0)+-571</f>
        <v>1095.2296845930819</v>
      </c>
      <c r="V33" s="127">
        <f t="shared" si="12"/>
        <v>0</v>
      </c>
      <c r="W33" s="19">
        <v>0</v>
      </c>
      <c r="X33" s="19">
        <v>0</v>
      </c>
      <c r="Y33" s="128">
        <v>0</v>
      </c>
      <c r="Z33" s="128">
        <v>0</v>
      </c>
      <c r="AA33" s="126">
        <v>0</v>
      </c>
      <c r="AB33" s="129">
        <f t="shared" si="3"/>
        <v>0</v>
      </c>
      <c r="AC33" s="130">
        <v>0</v>
      </c>
      <c r="AD33" s="35">
        <f t="shared" si="14"/>
        <v>0</v>
      </c>
      <c r="AE33" s="166" t="str">
        <f t="shared" si="15"/>
        <v>Release</v>
      </c>
      <c r="AF33" s="127"/>
      <c r="AG33" s="18">
        <v>0</v>
      </c>
      <c r="AH33" s="120"/>
      <c r="AI33" s="238">
        <v>0</v>
      </c>
      <c r="AJ33" s="132"/>
      <c r="AK33" s="151">
        <v>134.6</v>
      </c>
      <c r="AL33" s="154">
        <f t="shared" si="4"/>
        <v>0</v>
      </c>
      <c r="AM33" s="155"/>
      <c r="AN33" s="19">
        <f t="shared" si="5"/>
        <v>0</v>
      </c>
      <c r="AO33" s="118">
        <f>SUMIF('MPG Payment '!E:E,'Shayak Income '!D33,'MPG Payment '!AJ:AJ)</f>
        <v>0</v>
      </c>
      <c r="AP33" s="19">
        <f t="shared" si="6"/>
        <v>0</v>
      </c>
      <c r="AQ33" s="119">
        <f t="shared" si="16"/>
        <v>0</v>
      </c>
      <c r="AR33" s="91" t="s">
        <v>1144</v>
      </c>
      <c r="AS33" s="91">
        <f t="shared" si="7"/>
        <v>0</v>
      </c>
      <c r="AT33" s="118"/>
      <c r="AU33" s="118"/>
      <c r="AV33" s="118"/>
    </row>
    <row r="34" spans="1:48" s="20" customFormat="1" x14ac:dyDescent="0.25">
      <c r="A34" s="17">
        <f>IFERROR(VLOOKUP(D34,'Monthly Deduction'!$I$3:$J$957,2,0),0)</f>
        <v>0</v>
      </c>
      <c r="B34" s="17">
        <f>IFERROR(VLOOKUP(D34,'Monthly Deduction'!$E$3:$F$957,2,0),0)</f>
        <v>0</v>
      </c>
      <c r="C34" s="17">
        <f t="shared" si="17"/>
        <v>0</v>
      </c>
      <c r="D34" s="41">
        <v>10020007</v>
      </c>
      <c r="E34" s="122" t="str">
        <f>VLOOKUP(D34,'MPG Payment '!$E$3:$G$497305,2,0)</f>
        <v>Gomukh ID Khutaha Ganga</v>
      </c>
      <c r="F34" s="146">
        <f>IFERROR(_xlfn.XLOOKUP(D34,'Monthly Deduction'!$I$3:$I$957,'Monthly Deduction'!$H$3:$H$957),0)</f>
        <v>0</v>
      </c>
      <c r="G34" s="123" t="str">
        <f>VLOOKUP(D34,'MPG Payment '!$E$3:$G$333666,3,0)</f>
        <v>vlc</v>
      </c>
      <c r="H34" s="124" t="str">
        <f>VLOOKUP(D34,'MPG Payment '!$E$3:$H$333666,4,0)</f>
        <v>Indirect</v>
      </c>
      <c r="I34" s="88">
        <f>INDEX('MPG Payment '!$C:$C,MATCH('Shayak Income '!D34,'MPG Payment '!E:E,0))</f>
        <v>1002</v>
      </c>
      <c r="J34" s="88" t="str">
        <f>INDEX('MPG Payment '!$D:$D,MATCH('Shayak Income '!D34,'MPG Payment '!E:E,0))</f>
        <v>Laldiyara</v>
      </c>
      <c r="K34" s="125" t="s">
        <v>1594</v>
      </c>
      <c r="L34" s="125">
        <v>42979</v>
      </c>
      <c r="M34" s="126">
        <f>SUMIF('MPG Payment '!$E$3:$E$344841,'Shayak Income '!D34,'MPG Payment '!$I$3:$I$344841)</f>
        <v>941.80000000000007</v>
      </c>
      <c r="N34" s="126">
        <f>SUMIF('MPG Payment '!$E$3:$E$344841,'Shayak Income '!D34,'MPG Payment '!$J$3:$J$344841)</f>
        <v>38313.509999999995</v>
      </c>
      <c r="O34" s="126">
        <f t="shared" si="9"/>
        <v>706.35</v>
      </c>
      <c r="P34" s="126">
        <f t="shared" si="10"/>
        <v>894.71</v>
      </c>
      <c r="Q34" s="126">
        <f>SUMIF('MPG Payment '!$E$3:$E$344841,'Shayak Income '!D34,'MPG Payment '!$S$3:$S$344841)</f>
        <v>0</v>
      </c>
      <c r="R34" s="126">
        <f t="shared" si="1"/>
        <v>1149.4052999999999</v>
      </c>
      <c r="S34" s="126">
        <f t="shared" si="2"/>
        <v>254.69529999999986</v>
      </c>
      <c r="T34" s="126">
        <f t="shared" si="11"/>
        <v>94.18</v>
      </c>
      <c r="U34" s="127">
        <f>((((((IF(K34="New",0,SUMIF('MPG Payment '!$E$3:$E$344841,'Shayak Income '!D34,'MPG Payment '!$AC$3:$AC$344841))))+0)+0)+0)+0)+0</f>
        <v>1437.8510270201045</v>
      </c>
      <c r="V34" s="127">
        <f t="shared" si="12"/>
        <v>69</v>
      </c>
      <c r="W34" s="19">
        <f t="shared" si="13"/>
        <v>0</v>
      </c>
      <c r="X34" s="19">
        <f t="shared" si="18"/>
        <v>0</v>
      </c>
      <c r="Y34" s="128">
        <f>IFERROR(VLOOKUP(D34,'Monthly Deduction'!$M$2:$N$640,2,0),0)</f>
        <v>0</v>
      </c>
      <c r="Z34" s="128">
        <v>0</v>
      </c>
      <c r="AA34" s="126">
        <f>IFERROR(VLOOKUP(D34,'Monthly Deduction'!A:B,2,0),0)</f>
        <v>0</v>
      </c>
      <c r="AB34" s="129">
        <f t="shared" si="3"/>
        <v>69</v>
      </c>
      <c r="AC34" s="130">
        <v>0</v>
      </c>
      <c r="AD34" s="35">
        <f t="shared" si="14"/>
        <v>69</v>
      </c>
      <c r="AE34" s="166" t="str">
        <f t="shared" si="15"/>
        <v>Release</v>
      </c>
      <c r="AF34" s="127"/>
      <c r="AG34" s="18">
        <v>0</v>
      </c>
      <c r="AH34" s="120"/>
      <c r="AI34" s="238">
        <v>0</v>
      </c>
      <c r="AJ34" s="132"/>
      <c r="AK34" s="151">
        <v>79.7</v>
      </c>
      <c r="AL34" s="154">
        <f t="shared" si="4"/>
        <v>0</v>
      </c>
      <c r="AM34" s="155"/>
      <c r="AN34" s="19">
        <f t="shared" si="5"/>
        <v>0</v>
      </c>
      <c r="AO34" s="118">
        <f>SUMIF('MPG Payment '!E:E,'Shayak Income '!D34,'MPG Payment '!AJ:AJ)</f>
        <v>0</v>
      </c>
      <c r="AP34" s="19">
        <f t="shared" si="6"/>
        <v>0</v>
      </c>
      <c r="AQ34" s="119">
        <f t="shared" si="16"/>
        <v>0</v>
      </c>
      <c r="AR34" s="91"/>
      <c r="AS34" s="91">
        <f t="shared" si="7"/>
        <v>0</v>
      </c>
      <c r="AT34" s="118"/>
      <c r="AU34" s="118"/>
      <c r="AV34" s="118"/>
    </row>
    <row r="35" spans="1:48" s="20" customFormat="1" x14ac:dyDescent="0.25">
      <c r="A35" s="17">
        <f>IFERROR(VLOOKUP(D35,'Monthly Deduction'!$I$3:$J$957,2,0),0)</f>
        <v>0</v>
      </c>
      <c r="B35" s="17">
        <f>IFERROR(VLOOKUP(D35,'Monthly Deduction'!$E$3:$F$957,2,0),0)</f>
        <v>0</v>
      </c>
      <c r="C35" s="17">
        <f t="shared" si="17"/>
        <v>0</v>
      </c>
      <c r="D35" s="41">
        <v>10020008</v>
      </c>
      <c r="E35" s="122" t="str">
        <f>VLOOKUP(D35,'MPG Payment '!$E$3:$G$497305,2,0)</f>
        <v>Gomukh ID Khutaha Dhih</v>
      </c>
      <c r="F35" s="146">
        <f>IFERROR(_xlfn.XLOOKUP(D35,'Monthly Deduction'!$I$3:$I$957,'Monthly Deduction'!$H$3:$H$957),0)</f>
        <v>0</v>
      </c>
      <c r="G35" s="123" t="str">
        <f>VLOOKUP(D35,'MPG Payment '!$E$3:$G$333666,3,0)</f>
        <v>vlc</v>
      </c>
      <c r="H35" s="124" t="str">
        <f>VLOOKUP(D35,'MPG Payment '!$E$3:$H$333666,4,0)</f>
        <v>Indirect</v>
      </c>
      <c r="I35" s="88">
        <f>INDEX('MPG Payment '!$C:$C,MATCH('Shayak Income '!D35,'MPG Payment '!E:E,0))</f>
        <v>1002</v>
      </c>
      <c r="J35" s="88" t="str">
        <f>INDEX('MPG Payment '!$D:$D,MATCH('Shayak Income '!D35,'MPG Payment '!E:E,0))</f>
        <v>Laldiyara</v>
      </c>
      <c r="K35" s="125" t="s">
        <v>1594</v>
      </c>
      <c r="L35" s="125">
        <v>44161</v>
      </c>
      <c r="M35" s="126">
        <f>SUMIF('MPG Payment '!$E$3:$E$344841,'Shayak Income '!D35,'MPG Payment '!$I$3:$I$344841)</f>
        <v>5635.1</v>
      </c>
      <c r="N35" s="126">
        <f>SUMIF('MPG Payment '!$E$3:$E$344841,'Shayak Income '!D35,'MPG Payment '!$J$3:$J$344841)</f>
        <v>234286.88</v>
      </c>
      <c r="O35" s="126">
        <f t="shared" si="9"/>
        <v>4226.3250000000007</v>
      </c>
      <c r="P35" s="126">
        <f t="shared" si="10"/>
        <v>5353.3450000000003</v>
      </c>
      <c r="Q35" s="126">
        <f>SUMIF('MPG Payment '!$E$3:$E$344841,'Shayak Income '!D35,'MPG Payment '!$S$3:$S$344841)</f>
        <v>0</v>
      </c>
      <c r="R35" s="126">
        <f t="shared" si="1"/>
        <v>7028.6063999999997</v>
      </c>
      <c r="S35" s="126">
        <f t="shared" si="2"/>
        <v>1675.2613999999994</v>
      </c>
      <c r="T35" s="126">
        <f t="shared" si="11"/>
        <v>563.5100000000001</v>
      </c>
      <c r="U35" s="127">
        <f>((((((IF(K35="New",0,SUMIF('MPG Payment '!$E$3:$E$344841,'Shayak Income '!D35,'MPG Payment '!$AC$3:$AC$344841))))+0)+0)+0)+0)+0</f>
        <v>0</v>
      </c>
      <c r="V35" s="127">
        <f t="shared" si="12"/>
        <v>9016</v>
      </c>
      <c r="W35" s="19">
        <f t="shared" si="13"/>
        <v>0</v>
      </c>
      <c r="X35" s="19">
        <f t="shared" si="18"/>
        <v>0</v>
      </c>
      <c r="Y35" s="128">
        <f>IFERROR(VLOOKUP(D35,'Monthly Deduction'!$M$2:$N$640,2,0),0)</f>
        <v>0</v>
      </c>
      <c r="Z35" s="128">
        <v>0</v>
      </c>
      <c r="AA35" s="126">
        <f>IFERROR(VLOOKUP(D35,'Monthly Deduction'!A:B,2,0),0)</f>
        <v>0</v>
      </c>
      <c r="AB35" s="129">
        <f t="shared" si="3"/>
        <v>9016</v>
      </c>
      <c r="AC35" s="130">
        <v>0</v>
      </c>
      <c r="AD35" s="35">
        <f t="shared" si="14"/>
        <v>9016</v>
      </c>
      <c r="AE35" s="166" t="str">
        <f t="shared" si="15"/>
        <v>Release</v>
      </c>
      <c r="AF35" s="127"/>
      <c r="AG35" s="127">
        <v>0</v>
      </c>
      <c r="AH35" s="120"/>
      <c r="AI35" s="238">
        <v>0</v>
      </c>
      <c r="AJ35" s="132"/>
      <c r="AK35" s="151">
        <v>1070.0999999999999</v>
      </c>
      <c r="AL35" s="154">
        <f t="shared" si="4"/>
        <v>0</v>
      </c>
      <c r="AM35" s="155"/>
      <c r="AN35" s="19">
        <f t="shared" si="5"/>
        <v>0</v>
      </c>
      <c r="AO35" s="118">
        <f>SUMIF('MPG Payment '!E:E,'Shayak Income '!D35,'MPG Payment '!AJ:AJ)</f>
        <v>0</v>
      </c>
      <c r="AP35" s="19">
        <f t="shared" si="6"/>
        <v>0</v>
      </c>
      <c r="AQ35" s="119">
        <f t="shared" si="16"/>
        <v>0</v>
      </c>
      <c r="AR35" s="91" t="s">
        <v>1144</v>
      </c>
      <c r="AS35" s="91">
        <f t="shared" si="7"/>
        <v>0</v>
      </c>
      <c r="AT35" s="118"/>
      <c r="AU35" s="118"/>
      <c r="AV35" s="118"/>
    </row>
    <row r="36" spans="1:48" s="20" customFormat="1" x14ac:dyDescent="0.25">
      <c r="A36" s="17">
        <f>IFERROR(VLOOKUP(D36,'Monthly Deduction'!$I$3:$J$957,2,0),0)</f>
        <v>0</v>
      </c>
      <c r="B36" s="17">
        <f>IFERROR(VLOOKUP(D36,'Monthly Deduction'!$E$3:$F$957,2,0),0)</f>
        <v>0</v>
      </c>
      <c r="C36" s="17">
        <f t="shared" si="17"/>
        <v>0</v>
      </c>
      <c r="D36" s="41">
        <v>10020015</v>
      </c>
      <c r="E36" s="122" t="str">
        <f>VLOOKUP(D36,'MPG Payment '!$E$3:$G$497305,2,0)</f>
        <v xml:space="preserve">GOMUKH  LALDIYARA TIRASHI                                                                           </v>
      </c>
      <c r="F36" s="146">
        <f>IFERROR(_xlfn.XLOOKUP(D36,'Monthly Deduction'!$I$3:$I$957,'Monthly Deduction'!$H$3:$H$957),0)</f>
        <v>0</v>
      </c>
      <c r="G36" s="123" t="str">
        <f>VLOOKUP(D36,'MPG Payment '!$E$3:$G$333666,3,0)</f>
        <v>vlc</v>
      </c>
      <c r="H36" s="124" t="str">
        <f>VLOOKUP(D36,'MPG Payment '!$E$3:$H$333666,4,0)</f>
        <v>Indirect</v>
      </c>
      <c r="I36" s="88">
        <f>INDEX('MPG Payment '!$C:$C,MATCH('Shayak Income '!D36,'MPG Payment '!E:E,0))</f>
        <v>1002</v>
      </c>
      <c r="J36" s="88" t="str">
        <f>INDEX('MPG Payment '!$D:$D,MATCH('Shayak Income '!D36,'MPG Payment '!E:E,0))</f>
        <v>Laldiyara</v>
      </c>
      <c r="K36" s="125" t="s">
        <v>1594</v>
      </c>
      <c r="L36" s="125">
        <v>44652</v>
      </c>
      <c r="M36" s="126">
        <f>SUMIF('MPG Payment '!$E$3:$E$344841,'Shayak Income '!D36,'MPG Payment '!$I$3:$I$344841)</f>
        <v>115041.09999999999</v>
      </c>
      <c r="N36" s="126">
        <f>SUMIF('MPG Payment '!$E$3:$E$344841,'Shayak Income '!D36,'MPG Payment '!$J$3:$J$344841)</f>
        <v>4623990.1399999997</v>
      </c>
      <c r="O36" s="126">
        <f t="shared" si="9"/>
        <v>86280.824999999997</v>
      </c>
      <c r="P36" s="126">
        <f t="shared" si="10"/>
        <v>109289.04499999998</v>
      </c>
      <c r="Q36" s="126">
        <f>SUMIF('MPG Payment '!$E$3:$E$344841,'Shayak Income '!D36,'MPG Payment '!$S$3:$S$344841)</f>
        <v>0</v>
      </c>
      <c r="R36" s="126">
        <f t="shared" si="1"/>
        <v>138719.70419999998</v>
      </c>
      <c r="S36" s="126">
        <f t="shared" si="2"/>
        <v>29430.659199999995</v>
      </c>
      <c r="T36" s="126">
        <f t="shared" si="11"/>
        <v>11504.11</v>
      </c>
      <c r="U36" s="127">
        <f>((((((IF(K36="New",0,SUMIF('MPG Payment '!$E$3:$E$344841,'Shayak Income '!D36,'MPG Payment '!$AC$3:$AC$344841))))+0)+0)+0)+0)+0</f>
        <v>0</v>
      </c>
      <c r="V36" s="127">
        <f t="shared" si="12"/>
        <v>184066</v>
      </c>
      <c r="W36" s="19">
        <f t="shared" si="13"/>
        <v>0</v>
      </c>
      <c r="X36" s="19">
        <f t="shared" si="18"/>
        <v>0</v>
      </c>
      <c r="Y36" s="128">
        <f>IFERROR(VLOOKUP(D36,'Monthly Deduction'!$M$2:$N$640,2,0),0)</f>
        <v>0</v>
      </c>
      <c r="Z36" s="128">
        <v>0</v>
      </c>
      <c r="AA36" s="126">
        <f>IFERROR(VLOOKUP(D36,'Monthly Deduction'!A:B,2,0),0)</f>
        <v>0</v>
      </c>
      <c r="AB36" s="129">
        <f t="shared" si="3"/>
        <v>184066</v>
      </c>
      <c r="AC36" s="130">
        <v>0</v>
      </c>
      <c r="AD36" s="35">
        <f t="shared" si="14"/>
        <v>184066</v>
      </c>
      <c r="AE36" s="166" t="str">
        <f t="shared" si="15"/>
        <v>Release</v>
      </c>
      <c r="AF36" s="127"/>
      <c r="AG36" s="18">
        <v>0</v>
      </c>
      <c r="AH36" s="120"/>
      <c r="AI36" s="238">
        <v>0</v>
      </c>
      <c r="AJ36" s="132"/>
      <c r="AK36" s="151">
        <v>28315.1</v>
      </c>
      <c r="AL36" s="154">
        <f t="shared" si="4"/>
        <v>0</v>
      </c>
      <c r="AM36" s="155"/>
      <c r="AN36" s="19">
        <f t="shared" si="5"/>
        <v>0</v>
      </c>
      <c r="AO36" s="118">
        <f>SUMIF('MPG Payment '!E:E,'Shayak Income '!D36,'MPG Payment '!AJ:AJ)</f>
        <v>0</v>
      </c>
      <c r="AP36" s="19">
        <f t="shared" si="6"/>
        <v>0</v>
      </c>
      <c r="AQ36" s="119">
        <f t="shared" si="16"/>
        <v>0</v>
      </c>
      <c r="AR36" s="91" t="s">
        <v>1144</v>
      </c>
      <c r="AS36" s="91">
        <f t="shared" si="7"/>
        <v>0</v>
      </c>
      <c r="AT36" s="118"/>
      <c r="AU36" s="118"/>
      <c r="AV36" s="118"/>
    </row>
    <row r="37" spans="1:48" s="20" customFormat="1" x14ac:dyDescent="0.25">
      <c r="A37" s="17">
        <f>IFERROR(VLOOKUP(D37,'Monthly Deduction'!$I$3:$J$957,2,0),0)</f>
        <v>0</v>
      </c>
      <c r="B37" s="17">
        <f>IFERROR(VLOOKUP(D37,'Monthly Deduction'!$E$3:$F$957,2,0),0)</f>
        <v>0</v>
      </c>
      <c r="C37" s="17">
        <f t="shared" si="17"/>
        <v>0</v>
      </c>
      <c r="D37" s="41">
        <v>10020016</v>
      </c>
      <c r="E37" s="122" t="str">
        <f>VLOOKUP(D37,'MPG Payment '!$E$3:$G$497305,2,0)</f>
        <v>GOMUKH  LALDIYARA PURBI</v>
      </c>
      <c r="F37" s="146">
        <f>IFERROR(_xlfn.XLOOKUP(D37,'Monthly Deduction'!$I$3:$I$957,'Monthly Deduction'!$H$3:$H$957),0)</f>
        <v>0</v>
      </c>
      <c r="G37" s="123" t="str">
        <f>VLOOKUP(D37,'MPG Payment '!$E$3:$G$333666,3,0)</f>
        <v>vlc</v>
      </c>
      <c r="H37" s="124" t="str">
        <f>VLOOKUP(D37,'MPG Payment '!$E$3:$H$333666,4,0)</f>
        <v>Indirect</v>
      </c>
      <c r="I37" s="88">
        <f>INDEX('MPG Payment '!$C:$C,MATCH('Shayak Income '!D37,'MPG Payment '!E:E,0))</f>
        <v>1002</v>
      </c>
      <c r="J37" s="88" t="str">
        <f>INDEX('MPG Payment '!$D:$D,MATCH('Shayak Income '!D37,'MPG Payment '!E:E,0))</f>
        <v>Laldiyara</v>
      </c>
      <c r="K37" s="125" t="s">
        <v>1594</v>
      </c>
      <c r="L37" s="125">
        <v>44652</v>
      </c>
      <c r="M37" s="126">
        <f>SUMIF('MPG Payment '!$E$3:$E$344841,'Shayak Income '!D37,'MPG Payment '!$I$3:$I$344841)</f>
        <v>115487.50000000001</v>
      </c>
      <c r="N37" s="126">
        <f>SUMIF('MPG Payment '!$E$3:$E$344841,'Shayak Income '!D37,'MPG Payment '!$J$3:$J$344841)</f>
        <v>4641678.7399999993</v>
      </c>
      <c r="O37" s="126">
        <f t="shared" si="9"/>
        <v>86615.625000000015</v>
      </c>
      <c r="P37" s="126">
        <f t="shared" si="10"/>
        <v>109713.12500000001</v>
      </c>
      <c r="Q37" s="126">
        <f>SUMIF('MPG Payment '!$E$3:$E$344841,'Shayak Income '!D37,'MPG Payment '!$S$3:$S$344841)</f>
        <v>0</v>
      </c>
      <c r="R37" s="126">
        <f t="shared" si="1"/>
        <v>139250.36219999997</v>
      </c>
      <c r="S37" s="126">
        <f t="shared" si="2"/>
        <v>29537.23719999996</v>
      </c>
      <c r="T37" s="126">
        <f t="shared" si="11"/>
        <v>11548.750000000002</v>
      </c>
      <c r="U37" s="127">
        <f>((((((IF(K37="New",0,SUMIF('MPG Payment '!$E$3:$E$344841,'Shayak Income '!D37,'MPG Payment '!$AC$3:$AC$344841))))+0)+0)+0)+0)+0</f>
        <v>0</v>
      </c>
      <c r="V37" s="127">
        <f t="shared" si="12"/>
        <v>184780</v>
      </c>
      <c r="W37" s="19">
        <f t="shared" si="13"/>
        <v>0</v>
      </c>
      <c r="X37" s="19">
        <f t="shared" si="18"/>
        <v>0</v>
      </c>
      <c r="Y37" s="128">
        <f>IFERROR(VLOOKUP(D37,'Monthly Deduction'!$M$2:$N$640,2,0),0)</f>
        <v>0</v>
      </c>
      <c r="Z37" s="128">
        <v>0</v>
      </c>
      <c r="AA37" s="126">
        <f>IFERROR(VLOOKUP(D37,'Monthly Deduction'!A:B,2,0),0)</f>
        <v>0</v>
      </c>
      <c r="AB37" s="129">
        <f t="shared" si="3"/>
        <v>184780</v>
      </c>
      <c r="AC37" s="130">
        <v>0</v>
      </c>
      <c r="AD37" s="35">
        <f t="shared" si="14"/>
        <v>184780</v>
      </c>
      <c r="AE37" s="166" t="str">
        <f t="shared" si="15"/>
        <v>Release</v>
      </c>
      <c r="AF37" s="127"/>
      <c r="AG37" s="18">
        <v>0</v>
      </c>
      <c r="AH37" s="120"/>
      <c r="AI37" s="238">
        <v>0</v>
      </c>
      <c r="AJ37" s="132"/>
      <c r="AK37" s="151">
        <v>28805.599999999995</v>
      </c>
      <c r="AL37" s="154">
        <f t="shared" si="4"/>
        <v>0</v>
      </c>
      <c r="AM37" s="155"/>
      <c r="AN37" s="19">
        <f t="shared" si="5"/>
        <v>0</v>
      </c>
      <c r="AO37" s="118">
        <f>SUMIF('MPG Payment '!E:E,'Shayak Income '!D37,'MPG Payment '!AJ:AJ)</f>
        <v>0</v>
      </c>
      <c r="AP37" s="19">
        <f t="shared" si="6"/>
        <v>0</v>
      </c>
      <c r="AQ37" s="119">
        <f t="shared" si="16"/>
        <v>0</v>
      </c>
      <c r="AR37" s="91"/>
      <c r="AS37" s="91">
        <f t="shared" si="7"/>
        <v>0</v>
      </c>
      <c r="AT37" s="118"/>
      <c r="AU37" s="118"/>
      <c r="AV37" s="118"/>
    </row>
    <row r="38" spans="1:48" s="20" customFormat="1" x14ac:dyDescent="0.25">
      <c r="A38" s="17">
        <f>IFERROR(VLOOKUP(D38,'Monthly Deduction'!$I$3:$J$957,2,0),0)</f>
        <v>0</v>
      </c>
      <c r="B38" s="17">
        <f>IFERROR(VLOOKUP(D38,'Monthly Deduction'!$E$3:$F$957,2,0),0)</f>
        <v>0</v>
      </c>
      <c r="C38" s="17">
        <f t="shared" si="17"/>
        <v>0</v>
      </c>
      <c r="D38" s="41">
        <v>10020017</v>
      </c>
      <c r="E38" s="122" t="str">
        <f>VLOOKUP(D38,'MPG Payment '!$E$3:$G$497305,2,0)</f>
        <v>GOMUKH RAMCHANDARPUR II</v>
      </c>
      <c r="F38" s="146">
        <f>IFERROR(_xlfn.XLOOKUP(D38,'Monthly Deduction'!$I$3:$I$957,'Monthly Deduction'!$H$3:$H$957),0)</f>
        <v>0</v>
      </c>
      <c r="G38" s="123" t="str">
        <f>VLOOKUP(D38,'MPG Payment '!$E$3:$G$333666,3,0)</f>
        <v>MPG</v>
      </c>
      <c r="H38" s="124" t="str">
        <f>VLOOKUP(D38,'MPG Payment '!$E$3:$H$333666,4,0)</f>
        <v>Direct</v>
      </c>
      <c r="I38" s="88">
        <f>INDEX('MPG Payment '!$C:$C,MATCH('Shayak Income '!D38,'MPG Payment '!E:E,0))</f>
        <v>1002</v>
      </c>
      <c r="J38" s="88" t="str">
        <f>INDEX('MPG Payment '!$D:$D,MATCH('Shayak Income '!D38,'MPG Payment '!E:E,0))</f>
        <v>Laldiyara</v>
      </c>
      <c r="K38" s="125" t="s">
        <v>1594</v>
      </c>
      <c r="L38" s="125">
        <v>44652</v>
      </c>
      <c r="M38" s="126">
        <f>SUMIF('MPG Payment '!$E$3:$E$344841,'Shayak Income '!D38,'MPG Payment '!$I$3:$I$344841)</f>
        <v>14908.4</v>
      </c>
      <c r="N38" s="126">
        <f>SUMIF('MPG Payment '!$E$3:$E$344841,'Shayak Income '!D38,'MPG Payment '!$J$3:$J$344841)</f>
        <v>625889.8899999999</v>
      </c>
      <c r="O38" s="126">
        <f t="shared" si="9"/>
        <v>11181.3</v>
      </c>
      <c r="P38" s="126">
        <f t="shared" si="10"/>
        <v>14162.98</v>
      </c>
      <c r="Q38" s="126">
        <f>SUMIF('MPG Payment '!$E$3:$E$344841,'Shayak Income '!D38,'MPG Payment '!$S$3:$S$344841)</f>
        <v>5619.7899999999991</v>
      </c>
      <c r="R38" s="126">
        <f t="shared" si="1"/>
        <v>18776.696699999997</v>
      </c>
      <c r="S38" s="126">
        <f t="shared" si="2"/>
        <v>4613.7166999999972</v>
      </c>
      <c r="T38" s="126">
        <f t="shared" si="11"/>
        <v>1490.8400000000001</v>
      </c>
      <c r="U38" s="127">
        <f>((((((IF(K38="New",0,SUMIF('MPG Payment '!$E$3:$E$344841,'Shayak Income '!D38,'MPG Payment '!$AC$3:$AC$344841))))+0)+0)+0)+0)+0</f>
        <v>0</v>
      </c>
      <c r="V38" s="127">
        <f t="shared" si="12"/>
        <v>29473</v>
      </c>
      <c r="W38" s="19">
        <f t="shared" si="13"/>
        <v>0</v>
      </c>
      <c r="X38" s="19">
        <f t="shared" si="18"/>
        <v>0</v>
      </c>
      <c r="Y38" s="128">
        <f>IFERROR(VLOOKUP(D38,'Monthly Deduction'!$M$2:$N$640,2,0),0)</f>
        <v>0</v>
      </c>
      <c r="Z38" s="128">
        <v>0</v>
      </c>
      <c r="AA38" s="126">
        <f>IFERROR(VLOOKUP(D38,'Monthly Deduction'!A:B,2,0),0)</f>
        <v>0</v>
      </c>
      <c r="AB38" s="129">
        <f t="shared" si="3"/>
        <v>29473</v>
      </c>
      <c r="AC38" s="130">
        <v>0</v>
      </c>
      <c r="AD38" s="35">
        <f t="shared" si="14"/>
        <v>29473</v>
      </c>
      <c r="AE38" s="166" t="str">
        <f t="shared" si="15"/>
        <v>Release</v>
      </c>
      <c r="AF38" s="127"/>
      <c r="AG38" s="127">
        <v>0</v>
      </c>
      <c r="AH38" s="132"/>
      <c r="AI38" s="238">
        <v>0</v>
      </c>
      <c r="AJ38" s="132"/>
      <c r="AK38" s="151">
        <v>3396.4000000000005</v>
      </c>
      <c r="AL38" s="154">
        <f t="shared" si="4"/>
        <v>0</v>
      </c>
      <c r="AM38" s="155"/>
      <c r="AN38" s="19">
        <f t="shared" si="5"/>
        <v>0</v>
      </c>
      <c r="AO38" s="118">
        <f>SUMIF('MPG Payment '!E:E,'Shayak Income '!D38,'MPG Payment '!AJ:AJ)</f>
        <v>0</v>
      </c>
      <c r="AP38" s="19">
        <f t="shared" si="6"/>
        <v>0</v>
      </c>
      <c r="AQ38" s="119">
        <f t="shared" si="16"/>
        <v>0</v>
      </c>
      <c r="AR38" s="91" t="s">
        <v>1144</v>
      </c>
      <c r="AS38" s="91">
        <f t="shared" si="7"/>
        <v>0</v>
      </c>
      <c r="AT38" s="118"/>
      <c r="AU38" s="118"/>
      <c r="AV38" s="118"/>
    </row>
    <row r="39" spans="1:48" s="20" customFormat="1" x14ac:dyDescent="0.25">
      <c r="A39" s="17">
        <f>IFERROR(VLOOKUP(D39,'Monthly Deduction'!$I$3:$J$957,2,0),0)</f>
        <v>0</v>
      </c>
      <c r="B39" s="17">
        <f>IFERROR(VLOOKUP(D39,'Monthly Deduction'!$E$3:$F$957,2,0),0)</f>
        <v>0</v>
      </c>
      <c r="C39" s="17">
        <f t="shared" si="17"/>
        <v>0</v>
      </c>
      <c r="D39" s="41">
        <v>10020021</v>
      </c>
      <c r="E39" s="122" t="str">
        <f>VLOOKUP(D39,'MPG Payment '!$E$3:$G$497305,2,0)</f>
        <v>MOHANPUR</v>
      </c>
      <c r="F39" s="146">
        <f>IFERROR(_xlfn.XLOOKUP(D39,'Monthly Deduction'!$I$3:$I$957,'Monthly Deduction'!$H$3:$H$957),0)</f>
        <v>0</v>
      </c>
      <c r="G39" s="123" t="str">
        <f>VLOOKUP(D39,'MPG Payment '!$E$3:$G$333666,3,0)</f>
        <v>MPG</v>
      </c>
      <c r="H39" s="124" t="str">
        <f>VLOOKUP(D39,'MPG Payment '!$E$3:$H$333666,4,0)</f>
        <v>Direct</v>
      </c>
      <c r="I39" s="88">
        <f>INDEX('MPG Payment '!$C:$C,MATCH('Shayak Income '!D39,'MPG Payment '!E:E,0))</f>
        <v>1002</v>
      </c>
      <c r="J39" s="88" t="str">
        <f>INDEX('MPG Payment '!$D:$D,MATCH('Shayak Income '!D39,'MPG Payment '!E:E,0))</f>
        <v>Laldiyara</v>
      </c>
      <c r="K39" s="125" t="s">
        <v>1594</v>
      </c>
      <c r="L39" s="125">
        <v>44694</v>
      </c>
      <c r="M39" s="126">
        <f>SUMIF('MPG Payment '!$E$3:$E$344841,'Shayak Income '!D39,'MPG Payment '!$I$3:$I$344841)</f>
        <v>15929.800000000001</v>
      </c>
      <c r="N39" s="126">
        <f>SUMIF('MPG Payment '!$E$3:$E$344841,'Shayak Income '!D39,'MPG Payment '!$J$3:$J$344841)</f>
        <v>695026.33</v>
      </c>
      <c r="O39" s="126">
        <f t="shared" si="9"/>
        <v>11947.35</v>
      </c>
      <c r="P39" s="126">
        <f t="shared" si="10"/>
        <v>15133.31</v>
      </c>
      <c r="Q39" s="126">
        <f>SUMIF('MPG Payment '!$E$3:$E$344841,'Shayak Income '!D39,'MPG Payment '!$S$3:$S$344841)</f>
        <v>6492</v>
      </c>
      <c r="R39" s="126">
        <f t="shared" si="1"/>
        <v>20850.7899</v>
      </c>
      <c r="S39" s="126">
        <f t="shared" si="2"/>
        <v>5717.4799000000003</v>
      </c>
      <c r="T39" s="126">
        <f t="shared" si="11"/>
        <v>1592.9800000000002</v>
      </c>
      <c r="U39" s="127">
        <f>((((((IF(K39="New",0,SUMIF('MPG Payment '!$E$3:$E$344841,'Shayak Income '!D39,'MPG Payment '!$AC$3:$AC$344841))))+0)+0)+0)+0)+0</f>
        <v>0</v>
      </c>
      <c r="V39" s="127">
        <f t="shared" si="12"/>
        <v>31980</v>
      </c>
      <c r="W39" s="19">
        <f t="shared" si="13"/>
        <v>0</v>
      </c>
      <c r="X39" s="19">
        <f t="shared" si="18"/>
        <v>0</v>
      </c>
      <c r="Y39" s="128">
        <f>IFERROR(VLOOKUP(D39,'Monthly Deduction'!$M$2:$N$640,2,0),0)</f>
        <v>0</v>
      </c>
      <c r="Z39" s="128">
        <v>0</v>
      </c>
      <c r="AA39" s="126">
        <f>IFERROR(VLOOKUP(D39,'Monthly Deduction'!A:B,2,0),0)</f>
        <v>0</v>
      </c>
      <c r="AB39" s="129">
        <f t="shared" si="3"/>
        <v>31980</v>
      </c>
      <c r="AC39" s="130">
        <v>0</v>
      </c>
      <c r="AD39" s="35">
        <f t="shared" si="14"/>
        <v>31980</v>
      </c>
      <c r="AE39" s="166" t="str">
        <f t="shared" si="15"/>
        <v>Release</v>
      </c>
      <c r="AF39" s="127"/>
      <c r="AG39" s="18">
        <v>0</v>
      </c>
      <c r="AH39" s="120"/>
      <c r="AI39" s="238">
        <v>0</v>
      </c>
      <c r="AJ39" s="132"/>
      <c r="AK39" s="151">
        <v>3485.8999999999996</v>
      </c>
      <c r="AL39" s="154">
        <f t="shared" si="4"/>
        <v>0</v>
      </c>
      <c r="AM39" s="155"/>
      <c r="AN39" s="19">
        <f t="shared" si="5"/>
        <v>0</v>
      </c>
      <c r="AO39" s="118">
        <f>SUMIF('MPG Payment '!E:E,'Shayak Income '!D39,'MPG Payment '!AJ:AJ)</f>
        <v>0</v>
      </c>
      <c r="AP39" s="19">
        <f t="shared" si="6"/>
        <v>0</v>
      </c>
      <c r="AQ39" s="119">
        <f t="shared" si="16"/>
        <v>0</v>
      </c>
      <c r="AR39" s="91" t="s">
        <v>1144</v>
      </c>
      <c r="AS39" s="91">
        <f t="shared" si="7"/>
        <v>0</v>
      </c>
      <c r="AT39" s="118"/>
      <c r="AU39" s="118"/>
      <c r="AV39" s="118"/>
    </row>
    <row r="40" spans="1:48" s="20" customFormat="1" x14ac:dyDescent="0.25">
      <c r="A40" s="17">
        <f>IFERROR(VLOOKUP(D40,'Monthly Deduction'!$I$3:$J$957,2,0),0)</f>
        <v>0</v>
      </c>
      <c r="B40" s="17">
        <f>IFERROR(VLOOKUP(D40,'Monthly Deduction'!$E$3:$F$957,2,0),0)</f>
        <v>0</v>
      </c>
      <c r="C40" s="17">
        <f t="shared" si="17"/>
        <v>0</v>
      </c>
      <c r="D40" s="41">
        <v>10020023</v>
      </c>
      <c r="E40" s="122" t="str">
        <f>VLOOKUP(D40,'MPG Payment '!$E$3:$G$497305,2,0)</f>
        <v>Juwas</v>
      </c>
      <c r="F40" s="146">
        <f>IFERROR(_xlfn.XLOOKUP(D40,'Monthly Deduction'!$I$3:$I$957,'Monthly Deduction'!$H$3:$H$957),0)</f>
        <v>0</v>
      </c>
      <c r="G40" s="123" t="str">
        <f>VLOOKUP(D40,'MPG Payment '!$E$3:$G$333666,3,0)</f>
        <v>MPG</v>
      </c>
      <c r="H40" s="124" t="str">
        <f>VLOOKUP(D40,'MPG Payment '!$E$3:$H$333666,4,0)</f>
        <v>Direct</v>
      </c>
      <c r="I40" s="88">
        <f>INDEX('MPG Payment '!$C:$C,MATCH('Shayak Income '!D40,'MPG Payment '!E:E,0))</f>
        <v>1002</v>
      </c>
      <c r="J40" s="88" t="str">
        <f>INDEX('MPG Payment '!$D:$D,MATCH('Shayak Income '!D40,'MPG Payment '!E:E,0))</f>
        <v>Laldiyara</v>
      </c>
      <c r="K40" s="125" t="s">
        <v>1594</v>
      </c>
      <c r="L40" s="125">
        <v>44779</v>
      </c>
      <c r="M40" s="126">
        <f>SUMIF('MPG Payment '!$E$3:$E$344841,'Shayak Income '!D40,'MPG Payment '!$I$3:$I$344841)</f>
        <v>3495.8</v>
      </c>
      <c r="N40" s="126">
        <f>SUMIF('MPG Payment '!$E$3:$E$344841,'Shayak Income '!D40,'MPG Payment '!$J$3:$J$344841)</f>
        <v>138826.33000000002</v>
      </c>
      <c r="O40" s="126">
        <f t="shared" si="9"/>
        <v>2621.8500000000004</v>
      </c>
      <c r="P40" s="126">
        <f t="shared" si="10"/>
        <v>3321.01</v>
      </c>
      <c r="Q40" s="126">
        <f>SUMIF('MPG Payment '!$E$3:$E$344841,'Shayak Income '!D40,'MPG Payment '!$S$3:$S$344841)</f>
        <v>1325.08</v>
      </c>
      <c r="R40" s="126">
        <f t="shared" si="1"/>
        <v>4164.7899000000007</v>
      </c>
      <c r="S40" s="126">
        <f t="shared" si="2"/>
        <v>843.77990000000045</v>
      </c>
      <c r="T40" s="126">
        <f t="shared" si="11"/>
        <v>349.58000000000004</v>
      </c>
      <c r="U40" s="127">
        <f>((((((IF(K40="New",0,SUMIF('MPG Payment '!$E$3:$E$344841,'Shayak Income '!D40,'MPG Payment '!$AC$3:$AC$344841))))+0)+0)+0)+0)+0</f>
        <v>0</v>
      </c>
      <c r="V40" s="127">
        <f t="shared" si="12"/>
        <v>6918</v>
      </c>
      <c r="W40" s="19">
        <f t="shared" si="13"/>
        <v>0</v>
      </c>
      <c r="X40" s="19">
        <f t="shared" si="18"/>
        <v>0</v>
      </c>
      <c r="Y40" s="128">
        <f>IFERROR(VLOOKUP(D40,'Monthly Deduction'!$M$2:$N$640,2,0),0)</f>
        <v>0</v>
      </c>
      <c r="Z40" s="128">
        <v>413</v>
      </c>
      <c r="AA40" s="126">
        <f>IFERROR(VLOOKUP(D40,'Monthly Deduction'!A:B,2,0),0)</f>
        <v>0</v>
      </c>
      <c r="AB40" s="129">
        <f t="shared" si="3"/>
        <v>6505</v>
      </c>
      <c r="AC40" s="130">
        <v>0</v>
      </c>
      <c r="AD40" s="35">
        <f t="shared" si="14"/>
        <v>6505</v>
      </c>
      <c r="AE40" s="166" t="str">
        <f t="shared" si="15"/>
        <v>Release</v>
      </c>
      <c r="AF40" s="127"/>
      <c r="AG40" s="18">
        <v>0</v>
      </c>
      <c r="AH40" s="132" t="s">
        <v>1680</v>
      </c>
      <c r="AI40" s="238">
        <v>0</v>
      </c>
      <c r="AJ40" s="132"/>
      <c r="AK40" s="151">
        <v>753.3</v>
      </c>
      <c r="AL40" s="154">
        <f t="shared" si="4"/>
        <v>0</v>
      </c>
      <c r="AM40" s="155"/>
      <c r="AN40" s="19">
        <f t="shared" si="5"/>
        <v>0</v>
      </c>
      <c r="AO40" s="118">
        <f>SUMIF('MPG Payment '!E:E,'Shayak Income '!D40,'MPG Payment '!AJ:AJ)</f>
        <v>0</v>
      </c>
      <c r="AP40" s="19">
        <f t="shared" si="6"/>
        <v>0</v>
      </c>
      <c r="AQ40" s="119">
        <f t="shared" si="16"/>
        <v>0</v>
      </c>
      <c r="AR40" s="91" t="s">
        <v>1144</v>
      </c>
      <c r="AS40" s="91">
        <f t="shared" si="7"/>
        <v>0</v>
      </c>
      <c r="AT40" s="118"/>
      <c r="AU40" s="118"/>
      <c r="AV40" s="118"/>
    </row>
    <row r="41" spans="1:48" s="20" customFormat="1" x14ac:dyDescent="0.25">
      <c r="A41" s="17">
        <f>IFERROR(VLOOKUP(D41,'Monthly Deduction'!$I$3:$J$957,2,0),0)</f>
        <v>0</v>
      </c>
      <c r="B41" s="17">
        <f>IFERROR(VLOOKUP(D41,'Monthly Deduction'!$E$3:$F$957,2,0),0)</f>
        <v>0</v>
      </c>
      <c r="C41" s="17">
        <f t="shared" si="17"/>
        <v>0</v>
      </c>
      <c r="D41" s="41">
        <v>10020024</v>
      </c>
      <c r="E41" s="122" t="str">
        <f>VLOOKUP(D41,'MPG Payment '!$E$3:$G$497305,2,0)</f>
        <v>Morwariya</v>
      </c>
      <c r="F41" s="146">
        <f>IFERROR(_xlfn.XLOOKUP(D41,'Monthly Deduction'!$I$3:$I$957,'Monthly Deduction'!$H$3:$H$957),0)</f>
        <v>0</v>
      </c>
      <c r="G41" s="123" t="str">
        <f>VLOOKUP(D41,'MPG Payment '!$E$3:$G$333666,3,0)</f>
        <v>MPG</v>
      </c>
      <c r="H41" s="124" t="str">
        <f>VLOOKUP(D41,'MPG Payment '!$E$3:$H$333666,4,0)</f>
        <v>Direct</v>
      </c>
      <c r="I41" s="88">
        <f>INDEX('MPG Payment '!$C:$C,MATCH('Shayak Income '!D41,'MPG Payment '!E:E,0))</f>
        <v>1002</v>
      </c>
      <c r="J41" s="88" t="str">
        <f>INDEX('MPG Payment '!$D:$D,MATCH('Shayak Income '!D41,'MPG Payment '!E:E,0))</f>
        <v>Laldiyara</v>
      </c>
      <c r="K41" s="125" t="s">
        <v>1594</v>
      </c>
      <c r="L41" s="125">
        <v>44801</v>
      </c>
      <c r="M41" s="126">
        <f>SUMIF('MPG Payment '!$E$3:$E$344841,'Shayak Income '!D41,'MPG Payment '!$I$3:$I$344841)</f>
        <v>10845.7</v>
      </c>
      <c r="N41" s="126">
        <f>SUMIF('MPG Payment '!$E$3:$E$344841,'Shayak Income '!D41,'MPG Payment '!$J$3:$J$344841)</f>
        <v>446700.11000000004</v>
      </c>
      <c r="O41" s="126">
        <f t="shared" si="9"/>
        <v>8134.2750000000005</v>
      </c>
      <c r="P41" s="126">
        <f t="shared" si="10"/>
        <v>10303.415000000001</v>
      </c>
      <c r="Q41" s="126">
        <f>SUMIF('MPG Payment '!$E$3:$E$344841,'Shayak Income '!D41,'MPG Payment '!$S$3:$S$344841)</f>
        <v>0</v>
      </c>
      <c r="R41" s="126">
        <f t="shared" si="1"/>
        <v>13401.0033</v>
      </c>
      <c r="S41" s="126">
        <f t="shared" si="2"/>
        <v>3097.5882999999994</v>
      </c>
      <c r="T41" s="126">
        <f t="shared" si="11"/>
        <v>1084.5700000000002</v>
      </c>
      <c r="U41" s="127">
        <f>((((((IF(K41="New",0,SUMIF('MPG Payment '!$E$3:$E$344841,'Shayak Income '!D41,'MPG Payment '!$AC$3:$AC$344841))))+0)+0)+0)+0)+0</f>
        <v>0</v>
      </c>
      <c r="V41" s="127">
        <f t="shared" si="12"/>
        <v>17353</v>
      </c>
      <c r="W41" s="19">
        <f t="shared" si="13"/>
        <v>0</v>
      </c>
      <c r="X41" s="19">
        <f t="shared" si="18"/>
        <v>0</v>
      </c>
      <c r="Y41" s="128">
        <f>IFERROR(VLOOKUP(D41,'Monthly Deduction'!$M$2:$N$640,2,0),0)</f>
        <v>0</v>
      </c>
      <c r="Z41" s="128">
        <v>0</v>
      </c>
      <c r="AA41" s="126">
        <f>IFERROR(VLOOKUP(D41,'Monthly Deduction'!A:B,2,0),0)</f>
        <v>0</v>
      </c>
      <c r="AB41" s="129">
        <f t="shared" si="3"/>
        <v>17353</v>
      </c>
      <c r="AC41" s="130">
        <v>0</v>
      </c>
      <c r="AD41" s="35">
        <f t="shared" si="14"/>
        <v>17353</v>
      </c>
      <c r="AE41" s="166" t="str">
        <f t="shared" si="15"/>
        <v>Release</v>
      </c>
      <c r="AF41" s="127"/>
      <c r="AG41" s="18">
        <v>0</v>
      </c>
      <c r="AH41" s="120"/>
      <c r="AI41" s="238">
        <v>0</v>
      </c>
      <c r="AJ41" s="132"/>
      <c r="AK41" s="151">
        <v>2708.2000000000003</v>
      </c>
      <c r="AL41" s="154">
        <f t="shared" si="4"/>
        <v>0</v>
      </c>
      <c r="AM41" s="155"/>
      <c r="AN41" s="19">
        <f t="shared" si="5"/>
        <v>0</v>
      </c>
      <c r="AO41" s="118">
        <f>SUMIF('MPG Payment '!E:E,'Shayak Income '!D41,'MPG Payment '!AJ:AJ)</f>
        <v>0</v>
      </c>
      <c r="AP41" s="19">
        <f t="shared" si="6"/>
        <v>0</v>
      </c>
      <c r="AQ41" s="119">
        <f t="shared" si="16"/>
        <v>0</v>
      </c>
      <c r="AR41" s="91" t="s">
        <v>1144</v>
      </c>
      <c r="AS41" s="91">
        <f t="shared" si="7"/>
        <v>0</v>
      </c>
      <c r="AT41" s="118"/>
      <c r="AU41" s="118"/>
      <c r="AV41" s="118"/>
    </row>
    <row r="42" spans="1:48" s="20" customFormat="1" x14ac:dyDescent="0.25">
      <c r="A42" s="17">
        <f>IFERROR(VLOOKUP(D42,'Monthly Deduction'!$I$3:$J$957,2,0),0)</f>
        <v>0</v>
      </c>
      <c r="B42" s="17">
        <f>IFERROR(VLOOKUP(D42,'Monthly Deduction'!$E$3:$F$957,2,0),0)</f>
        <v>0</v>
      </c>
      <c r="C42" s="17">
        <f t="shared" si="17"/>
        <v>0</v>
      </c>
      <c r="D42" s="41">
        <v>10020025</v>
      </c>
      <c r="E42" s="122" t="str">
        <f>VLOOKUP(D42,'MPG Payment '!$E$3:$G$497305,2,0)</f>
        <v>Dumri 2</v>
      </c>
      <c r="F42" s="146">
        <f>IFERROR(_xlfn.XLOOKUP(D42,'Monthly Deduction'!$I$3:$I$957,'Monthly Deduction'!$H$3:$H$957),0)</f>
        <v>0</v>
      </c>
      <c r="G42" s="123" t="str">
        <f>VLOOKUP(D42,'MPG Payment '!$E$3:$G$333666,3,0)</f>
        <v>MPG</v>
      </c>
      <c r="H42" s="124" t="str">
        <f>VLOOKUP(D42,'MPG Payment '!$E$3:$H$333666,4,0)</f>
        <v>Direct</v>
      </c>
      <c r="I42" s="88">
        <f>INDEX('MPG Payment '!$C:$C,MATCH('Shayak Income '!D42,'MPG Payment '!E:E,0))</f>
        <v>1002</v>
      </c>
      <c r="J42" s="88" t="str">
        <f>INDEX('MPG Payment '!$D:$D,MATCH('Shayak Income '!D42,'MPG Payment '!E:E,0))</f>
        <v>Laldiyara</v>
      </c>
      <c r="K42" s="125" t="s">
        <v>1594</v>
      </c>
      <c r="L42" s="125">
        <v>44866</v>
      </c>
      <c r="M42" s="126">
        <f>SUMIF('MPG Payment '!$E$3:$E$344841,'Shayak Income '!D42,'MPG Payment '!$I$3:$I$344841)</f>
        <v>3328.1000000000004</v>
      </c>
      <c r="N42" s="126">
        <f>SUMIF('MPG Payment '!$E$3:$E$344841,'Shayak Income '!D42,'MPG Payment '!$J$3:$J$344841)</f>
        <v>137251.33000000002</v>
      </c>
      <c r="O42" s="126">
        <f t="shared" si="9"/>
        <v>2496.0750000000003</v>
      </c>
      <c r="P42" s="126">
        <f t="shared" si="10"/>
        <v>3161.6950000000002</v>
      </c>
      <c r="Q42" s="126">
        <f>SUMIF('MPG Payment '!$E$3:$E$344841,'Shayak Income '!D42,'MPG Payment '!$S$3:$S$344841)</f>
        <v>1723.07</v>
      </c>
      <c r="R42" s="126">
        <f t="shared" si="1"/>
        <v>4117.5399000000007</v>
      </c>
      <c r="S42" s="126">
        <f t="shared" si="2"/>
        <v>955.84490000000051</v>
      </c>
      <c r="T42" s="126">
        <f t="shared" si="11"/>
        <v>332.81000000000006</v>
      </c>
      <c r="U42" s="127">
        <f>((((((IF(K42="New",0,SUMIF('MPG Payment '!$E$3:$E$344841,'Shayak Income '!D42,'MPG Payment '!$AC$3:$AC$344841))))+0)+0)+0)+0)+0</f>
        <v>0</v>
      </c>
      <c r="V42" s="127">
        <f t="shared" si="12"/>
        <v>7048</v>
      </c>
      <c r="W42" s="19">
        <f t="shared" si="13"/>
        <v>0</v>
      </c>
      <c r="X42" s="19">
        <f t="shared" si="18"/>
        <v>0</v>
      </c>
      <c r="Y42" s="128">
        <f>IFERROR(VLOOKUP(D42,'Monthly Deduction'!$M$2:$N$640,2,0),0)</f>
        <v>0</v>
      </c>
      <c r="Z42" s="128">
        <v>165.2</v>
      </c>
      <c r="AA42" s="126">
        <f>IFERROR(VLOOKUP(D42,'Monthly Deduction'!A:B,2,0),0)</f>
        <v>348.52</v>
      </c>
      <c r="AB42" s="129">
        <f t="shared" si="3"/>
        <v>6534</v>
      </c>
      <c r="AC42" s="130">
        <v>0</v>
      </c>
      <c r="AD42" s="35">
        <f t="shared" si="14"/>
        <v>6534</v>
      </c>
      <c r="AE42" s="166" t="str">
        <f t="shared" si="15"/>
        <v>Release</v>
      </c>
      <c r="AF42" s="127"/>
      <c r="AG42" s="18">
        <v>0</v>
      </c>
      <c r="AH42" s="132" t="s">
        <v>1680</v>
      </c>
      <c r="AI42" s="238">
        <v>0</v>
      </c>
      <c r="AJ42" s="132"/>
      <c r="AK42" s="151">
        <v>567.19999999999993</v>
      </c>
      <c r="AL42" s="154">
        <f t="shared" si="4"/>
        <v>0</v>
      </c>
      <c r="AM42" s="155"/>
      <c r="AN42" s="19">
        <f t="shared" si="5"/>
        <v>0</v>
      </c>
      <c r="AO42" s="118">
        <f>SUMIF('MPG Payment '!E:E,'Shayak Income '!D42,'MPG Payment '!AJ:AJ)</f>
        <v>0</v>
      </c>
      <c r="AP42" s="19">
        <f t="shared" si="6"/>
        <v>0</v>
      </c>
      <c r="AQ42" s="119">
        <f t="shared" si="16"/>
        <v>0</v>
      </c>
      <c r="AR42" s="91" t="s">
        <v>1144</v>
      </c>
      <c r="AS42" s="91">
        <f t="shared" si="7"/>
        <v>0</v>
      </c>
      <c r="AT42" s="118"/>
      <c r="AU42" s="118"/>
      <c r="AV42" s="118"/>
    </row>
    <row r="43" spans="1:48" s="20" customFormat="1" x14ac:dyDescent="0.25">
      <c r="A43" s="17">
        <f>IFERROR(VLOOKUP(D43,'Monthly Deduction'!$I$3:$J$957,2,0),0)</f>
        <v>0</v>
      </c>
      <c r="B43" s="17">
        <f>IFERROR(VLOOKUP(D43,'Monthly Deduction'!$E$3:$F$957,2,0),0)</f>
        <v>0</v>
      </c>
      <c r="C43" s="17">
        <f t="shared" si="17"/>
        <v>0</v>
      </c>
      <c r="D43" s="41">
        <v>10020026</v>
      </c>
      <c r="E43" s="122" t="str">
        <f>VLOOKUP(D43,'MPG Payment '!$E$3:$G$497305,2,0)</f>
        <v>Gomukh Jhakhaur</v>
      </c>
      <c r="F43" s="146">
        <f>IFERROR(_xlfn.XLOOKUP(D43,'Monthly Deduction'!$I$3:$I$957,'Monthly Deduction'!$H$3:$H$957),0)</f>
        <v>0</v>
      </c>
      <c r="G43" s="123" t="str">
        <f>VLOOKUP(D43,'MPG Payment '!$E$3:$G$333666,3,0)</f>
        <v>MPG</v>
      </c>
      <c r="H43" s="124" t="str">
        <f>VLOOKUP(D43,'MPG Payment '!$E$3:$H$333666,4,0)</f>
        <v>Direct</v>
      </c>
      <c r="I43" s="88">
        <f>INDEX('MPG Payment '!$C:$C,MATCH('Shayak Income '!D43,'MPG Payment '!E:E,0))</f>
        <v>1002</v>
      </c>
      <c r="J43" s="88" t="str">
        <f>INDEX('MPG Payment '!$D:$D,MATCH('Shayak Income '!D43,'MPG Payment '!E:E,0))</f>
        <v>Laldiyara</v>
      </c>
      <c r="K43" s="125" t="s">
        <v>1594</v>
      </c>
      <c r="L43" s="125">
        <v>44866</v>
      </c>
      <c r="M43" s="126">
        <f>SUMIF('MPG Payment '!$E$3:$E$344841,'Shayak Income '!D43,'MPG Payment '!$I$3:$I$344841)</f>
        <v>1892.3000000000002</v>
      </c>
      <c r="N43" s="126">
        <f>SUMIF('MPG Payment '!$E$3:$E$344841,'Shayak Income '!D43,'MPG Payment '!$J$3:$J$344841)</f>
        <v>77759.27</v>
      </c>
      <c r="O43" s="126">
        <f t="shared" si="9"/>
        <v>1419.2250000000001</v>
      </c>
      <c r="P43" s="126">
        <f t="shared" si="10"/>
        <v>1797.6850000000002</v>
      </c>
      <c r="Q43" s="126">
        <f>SUMIF('MPG Payment '!$E$3:$E$344841,'Shayak Income '!D43,'MPG Payment '!$S$3:$S$344841)</f>
        <v>165.57999999999998</v>
      </c>
      <c r="R43" s="126">
        <f t="shared" si="1"/>
        <v>2332.7781</v>
      </c>
      <c r="S43" s="126">
        <f t="shared" si="2"/>
        <v>535.09309999999982</v>
      </c>
      <c r="T43" s="126">
        <f t="shared" si="11"/>
        <v>189.23000000000002</v>
      </c>
      <c r="U43" s="127">
        <f>((((((IF(K43="New",0,SUMIF('MPG Payment '!$E$3:$E$344841,'Shayak Income '!D43,'MPG Payment '!$AC$3:$AC$344841))))+0)+0)+0)+0)+0</f>
        <v>745.52955549141848</v>
      </c>
      <c r="V43" s="127">
        <f t="shared" si="12"/>
        <v>2448</v>
      </c>
      <c r="W43" s="19">
        <f t="shared" si="13"/>
        <v>0</v>
      </c>
      <c r="X43" s="19">
        <f t="shared" si="18"/>
        <v>0</v>
      </c>
      <c r="Y43" s="128">
        <f>IFERROR(VLOOKUP(D43,'Monthly Deduction'!$M$2:$N$640,2,0),0)</f>
        <v>0</v>
      </c>
      <c r="Z43" s="128">
        <v>973.5</v>
      </c>
      <c r="AA43" s="126">
        <f>IFERROR(VLOOKUP(D43,'Monthly Deduction'!A:B,2,0),0)</f>
        <v>348.52</v>
      </c>
      <c r="AB43" s="129">
        <f t="shared" si="3"/>
        <v>1126</v>
      </c>
      <c r="AC43" s="130">
        <v>0</v>
      </c>
      <c r="AD43" s="35">
        <f t="shared" si="14"/>
        <v>1126</v>
      </c>
      <c r="AE43" s="166" t="str">
        <f t="shared" si="15"/>
        <v>Release</v>
      </c>
      <c r="AF43" s="127"/>
      <c r="AG43" s="18">
        <v>0</v>
      </c>
      <c r="AH43" s="132" t="s">
        <v>1680</v>
      </c>
      <c r="AI43" s="238">
        <v>0</v>
      </c>
      <c r="AJ43" s="132"/>
      <c r="AK43" s="151">
        <v>375.40000000000009</v>
      </c>
      <c r="AL43" s="154">
        <f t="shared" si="4"/>
        <v>0</v>
      </c>
      <c r="AM43" s="155"/>
      <c r="AN43" s="19">
        <f t="shared" si="5"/>
        <v>0</v>
      </c>
      <c r="AO43" s="118">
        <f>SUMIF('MPG Payment '!E:E,'Shayak Income '!D43,'MPG Payment '!AJ:AJ)</f>
        <v>0</v>
      </c>
      <c r="AP43" s="19">
        <f t="shared" si="6"/>
        <v>0</v>
      </c>
      <c r="AQ43" s="119">
        <f t="shared" si="16"/>
        <v>0</v>
      </c>
      <c r="AR43" s="91" t="s">
        <v>1144</v>
      </c>
      <c r="AS43" s="91">
        <f t="shared" si="7"/>
        <v>0</v>
      </c>
      <c r="AT43" s="118"/>
      <c r="AU43" s="118"/>
      <c r="AV43" s="118"/>
    </row>
    <row r="44" spans="1:48" s="20" customFormat="1" x14ac:dyDescent="0.25">
      <c r="A44" s="17">
        <f>IFERROR(VLOOKUP(D44,'Monthly Deduction'!$I$3:$J$957,2,0),0)</f>
        <v>0</v>
      </c>
      <c r="B44" s="17">
        <f>IFERROR(VLOOKUP(D44,'Monthly Deduction'!$E$3:$F$957,2,0),0)</f>
        <v>0</v>
      </c>
      <c r="C44" s="17">
        <f t="shared" si="17"/>
        <v>0</v>
      </c>
      <c r="D44" s="41">
        <v>10020029</v>
      </c>
      <c r="E44" s="122" t="str">
        <f>VLOOKUP(D44,'MPG Payment '!$E$3:$G$497305,2,0)</f>
        <v>Gomukh Virupur</v>
      </c>
      <c r="F44" s="146">
        <f>IFERROR(_xlfn.XLOOKUP(D44,'Monthly Deduction'!$I$3:$I$957,'Monthly Deduction'!$H$3:$H$957),0)</f>
        <v>0</v>
      </c>
      <c r="G44" s="123" t="str">
        <f>VLOOKUP(D44,'MPG Payment '!$E$3:$G$333666,3,0)</f>
        <v>MPG</v>
      </c>
      <c r="H44" s="124" t="str">
        <f>VLOOKUP(D44,'MPG Payment '!$E$3:$H$333666,4,0)</f>
        <v>Direct</v>
      </c>
      <c r="I44" s="88">
        <f>INDEX('MPG Payment '!$C:$C,MATCH('Shayak Income '!D44,'MPG Payment '!E:E,0))</f>
        <v>1002</v>
      </c>
      <c r="J44" s="88" t="str">
        <f>INDEX('MPG Payment '!$D:$D,MATCH('Shayak Income '!D44,'MPG Payment '!E:E,0))</f>
        <v>Laldiyara</v>
      </c>
      <c r="K44" s="125" t="s">
        <v>1594</v>
      </c>
      <c r="L44" s="125">
        <v>44899</v>
      </c>
      <c r="M44" s="126">
        <f>SUMIF('MPG Payment '!$E$3:$E$344841,'Shayak Income '!D44,'MPG Payment '!$I$3:$I$344841)</f>
        <v>1441.5</v>
      </c>
      <c r="N44" s="126">
        <f>SUMIF('MPG Payment '!$E$3:$E$344841,'Shayak Income '!D44,'MPG Payment '!$J$3:$J$344841)</f>
        <v>58828.259999999995</v>
      </c>
      <c r="O44" s="126">
        <f t="shared" si="9"/>
        <v>1081.125</v>
      </c>
      <c r="P44" s="126">
        <f t="shared" si="10"/>
        <v>1369.425</v>
      </c>
      <c r="Q44" s="126">
        <f>SUMIF('MPG Payment '!$E$3:$E$344841,'Shayak Income '!D44,'MPG Payment '!$S$3:$S$344841)</f>
        <v>419.97</v>
      </c>
      <c r="R44" s="126">
        <f t="shared" si="1"/>
        <v>1764.8477999999998</v>
      </c>
      <c r="S44" s="126">
        <f t="shared" si="2"/>
        <v>395.42279999999982</v>
      </c>
      <c r="T44" s="126">
        <f t="shared" si="11"/>
        <v>144.15</v>
      </c>
      <c r="U44" s="127">
        <f>((((((IF(K44="New",0,SUMIF('MPG Payment '!$E$3:$E$344841,'Shayak Income '!D44,'MPG Payment '!$AC$3:$AC$344841))))+0)+0)+0)+0)+0</f>
        <v>1110.9970902281962</v>
      </c>
      <c r="V44" s="127">
        <f t="shared" si="12"/>
        <v>1615</v>
      </c>
      <c r="W44" s="19">
        <f t="shared" si="13"/>
        <v>0</v>
      </c>
      <c r="X44" s="19">
        <f t="shared" si="18"/>
        <v>0</v>
      </c>
      <c r="Y44" s="128">
        <f>IFERROR(VLOOKUP(D44,'Monthly Deduction'!$M$2:$N$640,2,0),0)</f>
        <v>0</v>
      </c>
      <c r="Z44" s="128">
        <v>165.2</v>
      </c>
      <c r="AA44" s="126">
        <f>IFERROR(VLOOKUP(D44,'Monthly Deduction'!A:B,2,0),0)</f>
        <v>0</v>
      </c>
      <c r="AB44" s="129">
        <f t="shared" si="3"/>
        <v>1450</v>
      </c>
      <c r="AC44" s="130">
        <v>0</v>
      </c>
      <c r="AD44" s="35">
        <f t="shared" si="14"/>
        <v>1450</v>
      </c>
      <c r="AE44" s="166" t="str">
        <f t="shared" si="15"/>
        <v>Release</v>
      </c>
      <c r="AF44" s="127"/>
      <c r="AG44" s="18">
        <v>0</v>
      </c>
      <c r="AH44" s="132" t="s">
        <v>1680</v>
      </c>
      <c r="AI44" s="238">
        <v>0</v>
      </c>
      <c r="AJ44" s="132"/>
      <c r="AK44" s="151">
        <v>300.40000000000003</v>
      </c>
      <c r="AL44" s="154">
        <f t="shared" si="4"/>
        <v>0</v>
      </c>
      <c r="AM44" s="155"/>
      <c r="AN44" s="19">
        <f t="shared" si="5"/>
        <v>0</v>
      </c>
      <c r="AO44" s="118">
        <f>SUMIF('MPG Payment '!E:E,'Shayak Income '!D44,'MPG Payment '!AJ:AJ)</f>
        <v>0</v>
      </c>
      <c r="AP44" s="19">
        <f t="shared" si="6"/>
        <v>0</v>
      </c>
      <c r="AQ44" s="119">
        <f t="shared" si="16"/>
        <v>0</v>
      </c>
      <c r="AR44" s="91" t="s">
        <v>1144</v>
      </c>
      <c r="AS44" s="91">
        <f t="shared" si="7"/>
        <v>0</v>
      </c>
      <c r="AT44" s="118"/>
      <c r="AU44" s="118"/>
      <c r="AV44" s="118"/>
    </row>
    <row r="45" spans="1:48" s="20" customFormat="1" x14ac:dyDescent="0.25">
      <c r="A45" s="17">
        <f>IFERROR(VLOOKUP(D45,'Monthly Deduction'!$I$3:$J$957,2,0),0)</f>
        <v>0</v>
      </c>
      <c r="B45" s="17">
        <f>IFERROR(VLOOKUP(D45,'Monthly Deduction'!$E$3:$F$957,2,0),0)</f>
        <v>0</v>
      </c>
      <c r="C45" s="17">
        <f t="shared" si="17"/>
        <v>0</v>
      </c>
      <c r="D45" s="41">
        <v>10020032</v>
      </c>
      <c r="E45" s="122" t="str">
        <f>VLOOKUP(D45,'MPG Payment '!$E$3:$G$497305,2,0)</f>
        <v xml:space="preserve">Gomukh Diyarapipariya                                                                               </v>
      </c>
      <c r="F45" s="146">
        <f>IFERROR(_xlfn.XLOOKUP(D45,'Monthly Deduction'!$I$3:$I$957,'Monthly Deduction'!$H$3:$H$957),0)</f>
        <v>0</v>
      </c>
      <c r="G45" s="123" t="str">
        <f>VLOOKUP(D45,'MPG Payment '!$E$3:$G$333666,3,0)</f>
        <v>MPG</v>
      </c>
      <c r="H45" s="124" t="str">
        <f>VLOOKUP(D45,'MPG Payment '!$E$3:$H$333666,4,0)</f>
        <v>Direct</v>
      </c>
      <c r="I45" s="88">
        <f>INDEX('MPG Payment '!$C:$C,MATCH('Shayak Income '!D45,'MPG Payment '!E:E,0))</f>
        <v>1002</v>
      </c>
      <c r="J45" s="88" t="str">
        <f>INDEX('MPG Payment '!$D:$D,MATCH('Shayak Income '!D45,'MPG Payment '!E:E,0))</f>
        <v>Laldiyara</v>
      </c>
      <c r="K45" s="125" t="s">
        <v>1594</v>
      </c>
      <c r="L45" s="125">
        <v>44911</v>
      </c>
      <c r="M45" s="126">
        <f>SUMIF('MPG Payment '!$E$3:$E$344841,'Shayak Income '!D45,'MPG Payment '!$I$3:$I$344841)</f>
        <v>5207.8999999999996</v>
      </c>
      <c r="N45" s="126">
        <f>SUMIF('MPG Payment '!$E$3:$E$344841,'Shayak Income '!D45,'MPG Payment '!$J$3:$J$344841)</f>
        <v>233003.64999999997</v>
      </c>
      <c r="O45" s="126">
        <f t="shared" si="9"/>
        <v>3905.9249999999997</v>
      </c>
      <c r="P45" s="126">
        <f t="shared" si="10"/>
        <v>4947.5049999999992</v>
      </c>
      <c r="Q45" s="126">
        <f>SUMIF('MPG Payment '!$E$3:$E$344841,'Shayak Income '!D45,'MPG Payment '!$S$3:$S$344841)</f>
        <v>2631.2400000000002</v>
      </c>
      <c r="R45" s="126">
        <f t="shared" si="1"/>
        <v>6990.1094999999987</v>
      </c>
      <c r="S45" s="126">
        <f t="shared" si="2"/>
        <v>2042.6044999999995</v>
      </c>
      <c r="T45" s="126">
        <f t="shared" si="11"/>
        <v>520.79</v>
      </c>
      <c r="U45" s="127">
        <f>((((((IF(K45="New",0,SUMIF('MPG Payment '!$E$3:$E$344841,'Shayak Income '!D45,'MPG Payment '!$AC$3:$AC$344841))))+0)+0)+0)+0)+0</f>
        <v>0</v>
      </c>
      <c r="V45" s="127">
        <f t="shared" si="12"/>
        <v>10964</v>
      </c>
      <c r="W45" s="19">
        <f t="shared" si="13"/>
        <v>0</v>
      </c>
      <c r="X45" s="19">
        <f t="shared" si="18"/>
        <v>0</v>
      </c>
      <c r="Y45" s="128">
        <f>IFERROR(VLOOKUP(D45,'Monthly Deduction'!$M$2:$N$640,2,0),0)</f>
        <v>0</v>
      </c>
      <c r="Z45" s="128">
        <v>0</v>
      </c>
      <c r="AA45" s="126">
        <f>IFERROR(VLOOKUP(D45,'Monthly Deduction'!A:B,2,0),0)</f>
        <v>0</v>
      </c>
      <c r="AB45" s="129">
        <f t="shared" si="3"/>
        <v>10964</v>
      </c>
      <c r="AC45" s="130">
        <v>0</v>
      </c>
      <c r="AD45" s="35">
        <f t="shared" si="14"/>
        <v>10964</v>
      </c>
      <c r="AE45" s="166" t="str">
        <f t="shared" si="15"/>
        <v>Release</v>
      </c>
      <c r="AF45" s="127"/>
      <c r="AG45" s="18">
        <v>0</v>
      </c>
      <c r="AH45" s="120"/>
      <c r="AI45" s="238">
        <v>0</v>
      </c>
      <c r="AJ45" s="132"/>
      <c r="AK45" s="151">
        <v>1183.6000000000001</v>
      </c>
      <c r="AL45" s="154">
        <f t="shared" si="4"/>
        <v>0</v>
      </c>
      <c r="AM45" s="155"/>
      <c r="AN45" s="19">
        <f t="shared" si="5"/>
        <v>0</v>
      </c>
      <c r="AO45" s="118">
        <f>SUMIF('MPG Payment '!E:E,'Shayak Income '!D45,'MPG Payment '!AJ:AJ)</f>
        <v>0</v>
      </c>
      <c r="AP45" s="19">
        <f t="shared" si="6"/>
        <v>0</v>
      </c>
      <c r="AQ45" s="119">
        <f t="shared" si="16"/>
        <v>0</v>
      </c>
      <c r="AR45" s="91" t="s">
        <v>1144</v>
      </c>
      <c r="AS45" s="91">
        <f t="shared" si="7"/>
        <v>0</v>
      </c>
      <c r="AT45" s="118"/>
      <c r="AU45" s="118"/>
      <c r="AV45" s="118"/>
    </row>
    <row r="46" spans="1:48" s="20" customFormat="1" x14ac:dyDescent="0.25">
      <c r="A46" s="17">
        <f>IFERROR(VLOOKUP(D46,'Monthly Deduction'!$I$3:$J$957,2,0),0)</f>
        <v>0</v>
      </c>
      <c r="B46" s="17">
        <f>IFERROR(VLOOKUP(D46,'Monthly Deduction'!$E$3:$F$957,2,0),0)</f>
        <v>0</v>
      </c>
      <c r="C46" s="17">
        <f t="shared" si="17"/>
        <v>0</v>
      </c>
      <c r="D46" s="41">
        <v>10020034</v>
      </c>
      <c r="E46" s="122" t="str">
        <f>VLOOKUP(D46,'MPG Payment '!$E$3:$G$497305,2,0)</f>
        <v>TAJPUR</v>
      </c>
      <c r="F46" s="146">
        <f>IFERROR(_xlfn.XLOOKUP(D46,'Monthly Deduction'!$I$3:$I$957,'Monthly Deduction'!$H$3:$H$957),0)</f>
        <v>0</v>
      </c>
      <c r="G46" s="123" t="str">
        <f>VLOOKUP(D46,'MPG Payment '!$E$3:$G$333666,3,0)</f>
        <v>MPG</v>
      </c>
      <c r="H46" s="124" t="str">
        <f>VLOOKUP(D46,'MPG Payment '!$E$3:$H$333666,4,0)</f>
        <v>Direct</v>
      </c>
      <c r="I46" s="88">
        <f>INDEX('MPG Payment '!$C:$C,MATCH('Shayak Income '!D46,'MPG Payment '!E:E,0))</f>
        <v>1002</v>
      </c>
      <c r="J46" s="88" t="str">
        <f>INDEX('MPG Payment '!$D:$D,MATCH('Shayak Income '!D46,'MPG Payment '!E:E,0))</f>
        <v>Laldiyara</v>
      </c>
      <c r="K46" s="125" t="s">
        <v>1594</v>
      </c>
      <c r="L46" s="125">
        <v>44944</v>
      </c>
      <c r="M46" s="126">
        <f>SUMIF('MPG Payment '!$E$3:$E$344841,'Shayak Income '!D46,'MPG Payment '!$I$3:$I$344841)</f>
        <v>3612.5</v>
      </c>
      <c r="N46" s="126">
        <f>SUMIF('MPG Payment '!$E$3:$E$344841,'Shayak Income '!D46,'MPG Payment '!$J$3:$J$344841)</f>
        <v>162884.9</v>
      </c>
      <c r="O46" s="126">
        <f t="shared" si="9"/>
        <v>2709.375</v>
      </c>
      <c r="P46" s="126">
        <f t="shared" si="10"/>
        <v>3431.875</v>
      </c>
      <c r="Q46" s="126">
        <f>SUMIF('MPG Payment '!$E$3:$E$344841,'Shayak Income '!D46,'MPG Payment '!$S$3:$S$344841)</f>
        <v>1566.68</v>
      </c>
      <c r="R46" s="126">
        <f t="shared" si="1"/>
        <v>4886.5469999999996</v>
      </c>
      <c r="S46" s="126">
        <f t="shared" si="2"/>
        <v>1454.6719999999996</v>
      </c>
      <c r="T46" s="126">
        <f t="shared" si="11"/>
        <v>361.25</v>
      </c>
      <c r="U46" s="127">
        <f>((((((IF(K46="New",0,SUMIF('MPG Payment '!$E$3:$E$344841,'Shayak Income '!D46,'MPG Payment '!$AC$3:$AC$344841))))+0)+0)+0)+0)+0</f>
        <v>0</v>
      </c>
      <c r="V46" s="127">
        <f t="shared" si="12"/>
        <v>7347</v>
      </c>
      <c r="W46" s="19">
        <f t="shared" si="13"/>
        <v>0</v>
      </c>
      <c r="X46" s="19">
        <f t="shared" si="18"/>
        <v>0</v>
      </c>
      <c r="Y46" s="128">
        <f>IFERROR(VLOOKUP(D46,'Monthly Deduction'!$M$2:$N$640,2,0),0)</f>
        <v>3000</v>
      </c>
      <c r="Z46" s="128">
        <v>0</v>
      </c>
      <c r="AA46" s="126">
        <f>IFERROR(VLOOKUP(D46,'Monthly Deduction'!A:B,2,0),0)</f>
        <v>0</v>
      </c>
      <c r="AB46" s="129">
        <f t="shared" si="3"/>
        <v>4347</v>
      </c>
      <c r="AC46" s="130">
        <v>0</v>
      </c>
      <c r="AD46" s="35">
        <f t="shared" si="14"/>
        <v>4347</v>
      </c>
      <c r="AE46" s="166" t="str">
        <f t="shared" si="15"/>
        <v>Release</v>
      </c>
      <c r="AF46" s="127"/>
      <c r="AG46" s="18">
        <v>0</v>
      </c>
      <c r="AH46" s="120"/>
      <c r="AI46" s="238">
        <v>0</v>
      </c>
      <c r="AJ46" s="132"/>
      <c r="AK46" s="151">
        <v>713.8</v>
      </c>
      <c r="AL46" s="154">
        <f t="shared" si="4"/>
        <v>0</v>
      </c>
      <c r="AM46" s="155"/>
      <c r="AN46" s="19">
        <f t="shared" si="5"/>
        <v>0</v>
      </c>
      <c r="AO46" s="118">
        <f>SUMIF('MPG Payment '!E:E,'Shayak Income '!D46,'MPG Payment '!AJ:AJ)</f>
        <v>0</v>
      </c>
      <c r="AP46" s="19">
        <f t="shared" si="6"/>
        <v>0</v>
      </c>
      <c r="AQ46" s="119">
        <f t="shared" si="16"/>
        <v>0</v>
      </c>
      <c r="AR46" s="91" t="s">
        <v>1144</v>
      </c>
      <c r="AS46" s="91">
        <f t="shared" si="7"/>
        <v>0</v>
      </c>
      <c r="AT46" s="118"/>
      <c r="AU46" s="118"/>
      <c r="AV46" s="118"/>
    </row>
    <row r="47" spans="1:48" s="20" customFormat="1" x14ac:dyDescent="0.25">
      <c r="A47" s="17">
        <f>IFERROR(VLOOKUP(D47,'Monthly Deduction'!$I$3:$J$957,2,0),0)</f>
        <v>0</v>
      </c>
      <c r="B47" s="17">
        <f>IFERROR(VLOOKUP(D47,'Monthly Deduction'!$E$3:$F$957,2,0),0)</f>
        <v>0</v>
      </c>
      <c r="C47" s="17">
        <f t="shared" si="17"/>
        <v>0</v>
      </c>
      <c r="D47" s="41">
        <v>10020035</v>
      </c>
      <c r="E47" s="122" t="str">
        <f>VLOOKUP(D47,'MPG Payment '!$E$3:$G$497305,2,0)</f>
        <v>PATHUA</v>
      </c>
      <c r="F47" s="146">
        <f>IFERROR(_xlfn.XLOOKUP(D47,'Monthly Deduction'!$I$3:$I$957,'Monthly Deduction'!$H$3:$H$957),0)</f>
        <v>0</v>
      </c>
      <c r="G47" s="123" t="str">
        <f>VLOOKUP(D47,'MPG Payment '!$E$3:$G$333666,3,0)</f>
        <v>MPG</v>
      </c>
      <c r="H47" s="124" t="str">
        <f>VLOOKUP(D47,'MPG Payment '!$E$3:$H$333666,4,0)</f>
        <v>Direct</v>
      </c>
      <c r="I47" s="88">
        <f>INDEX('MPG Payment '!$C:$C,MATCH('Shayak Income '!D47,'MPG Payment '!E:E,0))</f>
        <v>1002</v>
      </c>
      <c r="J47" s="88" t="str">
        <f>INDEX('MPG Payment '!$D:$D,MATCH('Shayak Income '!D47,'MPG Payment '!E:E,0))</f>
        <v>Laldiyara</v>
      </c>
      <c r="K47" s="125" t="s">
        <v>1594</v>
      </c>
      <c r="L47" s="125">
        <v>44950</v>
      </c>
      <c r="M47" s="126">
        <f>SUMIF('MPG Payment '!$E$3:$E$344841,'Shayak Income '!D47,'MPG Payment '!$I$3:$I$344841)</f>
        <v>6870</v>
      </c>
      <c r="N47" s="126">
        <f>SUMIF('MPG Payment '!$E$3:$E$344841,'Shayak Income '!D47,'MPG Payment '!$J$3:$J$344841)</f>
        <v>298991</v>
      </c>
      <c r="O47" s="126">
        <f t="shared" si="9"/>
        <v>5152.5</v>
      </c>
      <c r="P47" s="126">
        <f t="shared" si="10"/>
        <v>6526.5</v>
      </c>
      <c r="Q47" s="126">
        <f>SUMIF('MPG Payment '!$E$3:$E$344841,'Shayak Income '!D47,'MPG Payment '!$S$3:$S$344841)</f>
        <v>6338.73</v>
      </c>
      <c r="R47" s="126">
        <f t="shared" si="1"/>
        <v>8969.73</v>
      </c>
      <c r="S47" s="126">
        <f t="shared" si="2"/>
        <v>2443.2299999999996</v>
      </c>
      <c r="T47" s="126">
        <f t="shared" si="11"/>
        <v>687</v>
      </c>
      <c r="U47" s="127">
        <f>((((((IF(K47="New",0,SUMIF('MPG Payment '!$E$3:$E$344841,'Shayak Income '!D47,'MPG Payment '!$AC$3:$AC$344841))))+0)+0)+0)+0)+0</f>
        <v>0</v>
      </c>
      <c r="V47" s="127">
        <f t="shared" si="12"/>
        <v>17331</v>
      </c>
      <c r="W47" s="19">
        <f t="shared" si="13"/>
        <v>0</v>
      </c>
      <c r="X47" s="19">
        <f t="shared" si="18"/>
        <v>0</v>
      </c>
      <c r="Y47" s="128">
        <f>IFERROR(VLOOKUP(D47,'Monthly Deduction'!$M$2:$N$640,2,0),0)</f>
        <v>0</v>
      </c>
      <c r="Z47" s="128">
        <v>0</v>
      </c>
      <c r="AA47" s="126">
        <f>IFERROR(VLOOKUP(D47,'Monthly Deduction'!A:B,2,0),0)</f>
        <v>0</v>
      </c>
      <c r="AB47" s="129">
        <f t="shared" si="3"/>
        <v>17331</v>
      </c>
      <c r="AC47" s="130">
        <v>0</v>
      </c>
      <c r="AD47" s="35">
        <f t="shared" si="14"/>
        <v>17331</v>
      </c>
      <c r="AE47" s="166" t="str">
        <f t="shared" si="15"/>
        <v>Release</v>
      </c>
      <c r="AF47" s="127"/>
      <c r="AG47" s="127">
        <v>0</v>
      </c>
      <c r="AH47" s="120"/>
      <c r="AI47" s="238">
        <v>0</v>
      </c>
      <c r="AJ47" s="132"/>
      <c r="AK47" s="151">
        <v>2250.2999999999993</v>
      </c>
      <c r="AL47" s="154">
        <f t="shared" si="4"/>
        <v>0</v>
      </c>
      <c r="AM47" s="155"/>
      <c r="AN47" s="19">
        <f t="shared" si="5"/>
        <v>0</v>
      </c>
      <c r="AO47" s="118">
        <f>SUMIF('MPG Payment '!E:E,'Shayak Income '!D47,'MPG Payment '!AJ:AJ)</f>
        <v>0</v>
      </c>
      <c r="AP47" s="19">
        <f t="shared" si="6"/>
        <v>0</v>
      </c>
      <c r="AQ47" s="119">
        <f t="shared" si="16"/>
        <v>0</v>
      </c>
      <c r="AR47" s="91" t="s">
        <v>1144</v>
      </c>
      <c r="AS47" s="91">
        <f t="shared" si="7"/>
        <v>0</v>
      </c>
      <c r="AT47" s="118"/>
      <c r="AU47" s="118"/>
      <c r="AV47" s="118"/>
    </row>
    <row r="48" spans="1:48" s="20" customFormat="1" x14ac:dyDescent="0.25">
      <c r="A48" s="17">
        <f>IFERROR(VLOOKUP(D48,'Monthly Deduction'!$I$3:$J$957,2,0),0)</f>
        <v>5970.9338898848073</v>
      </c>
      <c r="B48" s="17">
        <f>IFERROR(VLOOKUP(D48,'Monthly Deduction'!$E$3:$F$957,2,0),0)</f>
        <v>0</v>
      </c>
      <c r="C48" s="17">
        <f t="shared" si="17"/>
        <v>5970.9338898848073</v>
      </c>
      <c r="D48" s="41">
        <v>10020038</v>
      </c>
      <c r="E48" s="122" t="str">
        <f>VLOOKUP(D48,'MPG Payment '!$E$3:$G$497305,2,0)</f>
        <v>LODIYA</v>
      </c>
      <c r="F48" s="146">
        <f>IFERROR(_xlfn.XLOOKUP(D48,'Monthly Deduction'!$I$3:$I$957,'Monthly Deduction'!$H$3:$H$957),0)</f>
        <v>0</v>
      </c>
      <c r="G48" s="123" t="str">
        <f>VLOOKUP(D48,'MPG Payment '!$E$3:$G$333666,3,0)</f>
        <v>MPG</v>
      </c>
      <c r="H48" s="124" t="str">
        <f>VLOOKUP(D48,'MPG Payment '!$E$3:$H$333666,4,0)</f>
        <v>Direct</v>
      </c>
      <c r="I48" s="88">
        <f>INDEX('MPG Payment '!$C:$C,MATCH('Shayak Income '!D48,'MPG Payment '!E:E,0))</f>
        <v>1002</v>
      </c>
      <c r="J48" s="88" t="str">
        <f>INDEX('MPG Payment '!$D:$D,MATCH('Shayak Income '!D48,'MPG Payment '!E:E,0))</f>
        <v>Laldiyara</v>
      </c>
      <c r="K48" s="125" t="s">
        <v>1594</v>
      </c>
      <c r="L48" s="125">
        <v>44967</v>
      </c>
      <c r="M48" s="126">
        <f>SUMIF('MPG Payment '!$E$3:$E$344841,'Shayak Income '!D48,'MPG Payment '!$I$3:$I$344841)</f>
        <v>2476.9</v>
      </c>
      <c r="N48" s="126">
        <f>SUMIF('MPG Payment '!$E$3:$E$344841,'Shayak Income '!D48,'MPG Payment '!$J$3:$J$344841)</f>
        <v>104139.71999999999</v>
      </c>
      <c r="O48" s="126">
        <f t="shared" si="9"/>
        <v>1857.6750000000002</v>
      </c>
      <c r="P48" s="126">
        <f t="shared" si="10"/>
        <v>2353.0549999999998</v>
      </c>
      <c r="Q48" s="126">
        <f>SUMIF('MPG Payment '!$E$3:$E$344841,'Shayak Income '!D48,'MPG Payment '!$S$3:$S$344841)</f>
        <v>967</v>
      </c>
      <c r="R48" s="126">
        <f t="shared" si="1"/>
        <v>3124.1915999999997</v>
      </c>
      <c r="S48" s="126">
        <f t="shared" si="2"/>
        <v>771.13659999999982</v>
      </c>
      <c r="T48" s="126">
        <f t="shared" si="11"/>
        <v>247.69000000000003</v>
      </c>
      <c r="U48" s="127">
        <f>((((((IF(K48="New",0,SUMIF('MPG Payment '!$E$3:$E$344841,'Shayak Income '!D48,'MPG Payment '!$AC$3:$AC$344841))))+0)+0)+0)+0)+0</f>
        <v>272.81249624808834</v>
      </c>
      <c r="V48" s="127">
        <f t="shared" si="12"/>
        <v>4657</v>
      </c>
      <c r="W48" s="19">
        <f t="shared" si="13"/>
        <v>2082.7943999999998</v>
      </c>
      <c r="X48" s="19">
        <v>0</v>
      </c>
      <c r="Y48" s="128">
        <f>IFERROR(VLOOKUP(D48,'Monthly Deduction'!$M$2:$N$640,2,0),0)</f>
        <v>0</v>
      </c>
      <c r="Z48" s="128">
        <v>0</v>
      </c>
      <c r="AA48" s="126">
        <f>IFERROR(VLOOKUP(D48,'Monthly Deduction'!A:B,2,0),0)</f>
        <v>0</v>
      </c>
      <c r="AB48" s="129">
        <f t="shared" si="3"/>
        <v>2574</v>
      </c>
      <c r="AC48" s="130">
        <v>0</v>
      </c>
      <c r="AD48" s="35">
        <f t="shared" si="14"/>
        <v>2574</v>
      </c>
      <c r="AE48" s="166" t="str">
        <f t="shared" si="15"/>
        <v>Release</v>
      </c>
      <c r="AF48" s="127"/>
      <c r="AG48" s="18">
        <v>0</v>
      </c>
      <c r="AH48" s="120"/>
      <c r="AI48" s="238">
        <v>0</v>
      </c>
      <c r="AJ48" s="132"/>
      <c r="AK48" s="151">
        <v>542.5</v>
      </c>
      <c r="AL48" s="154">
        <f t="shared" si="4"/>
        <v>0</v>
      </c>
      <c r="AM48" s="155"/>
      <c r="AN48" s="19">
        <f t="shared" si="5"/>
        <v>2082.7943999999998</v>
      </c>
      <c r="AO48" s="118">
        <f>SUMIF('MPG Payment '!E:E,'Shayak Income '!D48,'MPG Payment '!AJ:AJ)</f>
        <v>0</v>
      </c>
      <c r="AP48" s="19">
        <f t="shared" si="6"/>
        <v>2082.7943999999998</v>
      </c>
      <c r="AQ48" s="119">
        <f t="shared" si="16"/>
        <v>2082.7943999999998</v>
      </c>
      <c r="AR48" s="91" t="s">
        <v>1144</v>
      </c>
      <c r="AS48" s="91">
        <f t="shared" si="7"/>
        <v>0</v>
      </c>
      <c r="AT48" s="118"/>
      <c r="AU48" s="118"/>
      <c r="AV48" s="118"/>
    </row>
    <row r="49" spans="1:48" s="20" customFormat="1" x14ac:dyDescent="0.25">
      <c r="A49" s="17">
        <f>IFERROR(VLOOKUP(D49,'Monthly Deduction'!$I$3:$J$957,2,0),0)</f>
        <v>0</v>
      </c>
      <c r="B49" s="17">
        <f>IFERROR(VLOOKUP(D49,'Monthly Deduction'!$E$3:$F$957,2,0),0)</f>
        <v>3669.676205136534</v>
      </c>
      <c r="C49" s="17">
        <f t="shared" si="17"/>
        <v>3669.676205136534</v>
      </c>
      <c r="D49" s="41">
        <v>10020041</v>
      </c>
      <c r="E49" s="122" t="str">
        <f>VLOOKUP(D49,'MPG Payment '!$E$3:$G$497305,2,0)</f>
        <v>ADARSH LAXMIPUR-3</v>
      </c>
      <c r="F49" s="146">
        <f>IFERROR(_xlfn.XLOOKUP(D49,'Monthly Deduction'!$I$3:$I$957,'Monthly Deduction'!$H$3:$H$957),0)</f>
        <v>0</v>
      </c>
      <c r="G49" s="123" t="str">
        <f>VLOOKUP(D49,'MPG Payment '!$E$3:$G$333666,3,0)</f>
        <v>MPG</v>
      </c>
      <c r="H49" s="124" t="str">
        <f>VLOOKUP(D49,'MPG Payment '!$E$3:$H$333666,4,0)</f>
        <v>Direct</v>
      </c>
      <c r="I49" s="88">
        <f>INDEX('MPG Payment '!$C:$C,MATCH('Shayak Income '!D49,'MPG Payment '!E:E,0))</f>
        <v>1002</v>
      </c>
      <c r="J49" s="88" t="str">
        <f>INDEX('MPG Payment '!$D:$D,MATCH('Shayak Income '!D49,'MPG Payment '!E:E,0))</f>
        <v>Laldiyara</v>
      </c>
      <c r="K49" s="125" t="s">
        <v>1594</v>
      </c>
      <c r="L49" s="125">
        <v>44986</v>
      </c>
      <c r="M49" s="126">
        <f>SUMIF('MPG Payment '!$E$3:$E$344841,'Shayak Income '!D49,'MPG Payment '!$I$3:$I$344841)</f>
        <v>832.10000000000014</v>
      </c>
      <c r="N49" s="126">
        <f>SUMIF('MPG Payment '!$E$3:$E$344841,'Shayak Income '!D49,'MPG Payment '!$J$3:$J$344841)</f>
        <v>41958.95</v>
      </c>
      <c r="O49" s="126">
        <f t="shared" si="9"/>
        <v>624.07500000000005</v>
      </c>
      <c r="P49" s="126">
        <f t="shared" si="10"/>
        <v>790.49500000000012</v>
      </c>
      <c r="Q49" s="126">
        <f>SUMIF('MPG Payment '!$E$3:$E$344841,'Shayak Income '!D49,'MPG Payment '!$S$3:$S$344841)</f>
        <v>106.51</v>
      </c>
      <c r="R49" s="126">
        <f t="shared" si="1"/>
        <v>1258.7684999999999</v>
      </c>
      <c r="S49" s="126">
        <f t="shared" si="2"/>
        <v>468.27349999999979</v>
      </c>
      <c r="T49" s="126">
        <f t="shared" si="11"/>
        <v>83.210000000000022</v>
      </c>
      <c r="U49" s="127">
        <f>((((((IF(K49="New",0,SUMIF('MPG Payment '!$E$3:$E$344841,'Shayak Income '!D49,'MPG Payment '!$AC$3:$AC$344841))))+0)+0)+0)+0)+-558</f>
        <v>1437.575893018706</v>
      </c>
      <c r="V49" s="127">
        <f t="shared" si="12"/>
        <v>0</v>
      </c>
      <c r="W49" s="19">
        <v>0</v>
      </c>
      <c r="X49" s="19">
        <v>0</v>
      </c>
      <c r="Y49" s="128">
        <v>0</v>
      </c>
      <c r="Z49" s="128">
        <v>0</v>
      </c>
      <c r="AA49" s="126">
        <v>0</v>
      </c>
      <c r="AB49" s="129">
        <f t="shared" si="3"/>
        <v>0</v>
      </c>
      <c r="AC49" s="130">
        <v>0</v>
      </c>
      <c r="AD49" s="35">
        <f t="shared" si="14"/>
        <v>0</v>
      </c>
      <c r="AE49" s="166" t="str">
        <f t="shared" si="15"/>
        <v>Release</v>
      </c>
      <c r="AF49" s="127"/>
      <c r="AG49" s="18">
        <v>0</v>
      </c>
      <c r="AH49" s="120"/>
      <c r="AI49" s="238">
        <v>0</v>
      </c>
      <c r="AJ49" s="132"/>
      <c r="AK49" s="151">
        <v>148</v>
      </c>
      <c r="AL49" s="154">
        <f t="shared" si="4"/>
        <v>0</v>
      </c>
      <c r="AM49" s="155"/>
      <c r="AN49" s="19">
        <f t="shared" si="5"/>
        <v>0</v>
      </c>
      <c r="AO49" s="118">
        <f>SUMIF('MPG Payment '!E:E,'Shayak Income '!D49,'MPG Payment '!AJ:AJ)</f>
        <v>2000</v>
      </c>
      <c r="AP49" s="19">
        <f t="shared" si="6"/>
        <v>0</v>
      </c>
      <c r="AQ49" s="119">
        <f t="shared" si="16"/>
        <v>2000</v>
      </c>
      <c r="AR49" s="91" t="s">
        <v>1144</v>
      </c>
      <c r="AS49" s="91">
        <f t="shared" si="7"/>
        <v>3669.676205136534</v>
      </c>
      <c r="AT49" s="118"/>
      <c r="AU49" s="118"/>
      <c r="AV49" s="118"/>
    </row>
    <row r="50" spans="1:48" s="20" customFormat="1" x14ac:dyDescent="0.25">
      <c r="A50" s="17">
        <f>IFERROR(VLOOKUP(D50,'Monthly Deduction'!$I$3:$J$957,2,0),0)</f>
        <v>3079.9225386926555</v>
      </c>
      <c r="B50" s="17">
        <f>IFERROR(VLOOKUP(D50,'Monthly Deduction'!$E$3:$F$957,2,0),0)</f>
        <v>8907</v>
      </c>
      <c r="C50" s="17">
        <f t="shared" si="17"/>
        <v>11986.922538692656</v>
      </c>
      <c r="D50" s="41">
        <v>10020042</v>
      </c>
      <c r="E50" s="122" t="str">
        <f>VLOOKUP(D50,'MPG Payment '!$E$3:$G$497305,2,0)</f>
        <v>BHANPUR</v>
      </c>
      <c r="F50" s="146">
        <f>IFERROR(_xlfn.XLOOKUP(D50,'Monthly Deduction'!$I$3:$I$957,'Monthly Deduction'!$H$3:$H$957),0)</f>
        <v>0</v>
      </c>
      <c r="G50" s="123" t="str">
        <f>VLOOKUP(D50,'MPG Payment '!$E$3:$G$333666,3,0)</f>
        <v>MPG</v>
      </c>
      <c r="H50" s="124" t="str">
        <f>VLOOKUP(D50,'MPG Payment '!$E$3:$H$333666,4,0)</f>
        <v>Direct</v>
      </c>
      <c r="I50" s="88">
        <f>INDEX('MPG Payment '!$C:$C,MATCH('Shayak Income '!D50,'MPG Payment '!E:E,0))</f>
        <v>1002</v>
      </c>
      <c r="J50" s="88" t="str">
        <f>INDEX('MPG Payment '!$D:$D,MATCH('Shayak Income '!D50,'MPG Payment '!E:E,0))</f>
        <v>Laldiyara</v>
      </c>
      <c r="K50" s="125" t="s">
        <v>1594</v>
      </c>
      <c r="L50" s="125">
        <v>45009</v>
      </c>
      <c r="M50" s="126">
        <f>SUMIF('MPG Payment '!$E$3:$E$344841,'Shayak Income '!D50,'MPG Payment '!$I$3:$I$344841)</f>
        <v>2991.8</v>
      </c>
      <c r="N50" s="126">
        <f>SUMIF('MPG Payment '!$E$3:$E$344841,'Shayak Income '!D50,'MPG Payment '!$J$3:$J$344841)</f>
        <v>114877.9</v>
      </c>
      <c r="O50" s="126">
        <f t="shared" si="9"/>
        <v>2243.8500000000004</v>
      </c>
      <c r="P50" s="126">
        <f t="shared" si="10"/>
        <v>2842.21</v>
      </c>
      <c r="Q50" s="126">
        <f>SUMIF('MPG Payment '!$E$3:$E$344841,'Shayak Income '!D50,'MPG Payment '!$S$3:$S$344841)</f>
        <v>0</v>
      </c>
      <c r="R50" s="126">
        <f t="shared" si="1"/>
        <v>3446.3369999999995</v>
      </c>
      <c r="S50" s="126">
        <f t="shared" si="2"/>
        <v>604.1269999999995</v>
      </c>
      <c r="T50" s="126">
        <f t="shared" si="11"/>
        <v>299.18</v>
      </c>
      <c r="U50" s="127">
        <f>((((((IF(K50="New",0,SUMIF('MPG Payment '!$E$3:$E$344841,'Shayak Income '!D50,'MPG Payment '!$AC$3:$AC$344841))))+0)+0)+0)+0)+0</f>
        <v>10.946866686105954</v>
      </c>
      <c r="V50" s="127">
        <f t="shared" si="12"/>
        <v>4776</v>
      </c>
      <c r="W50" s="19">
        <f t="shared" si="13"/>
        <v>2297.558</v>
      </c>
      <c r="X50" s="19">
        <v>0</v>
      </c>
      <c r="Y50" s="128">
        <f>IFERROR(VLOOKUP(D50,'Monthly Deduction'!$M$2:$N$640,2,0),0)</f>
        <v>0</v>
      </c>
      <c r="Z50" s="128">
        <v>2454.4</v>
      </c>
      <c r="AA50" s="126">
        <f>IFERROR(VLOOKUP(D50,'Monthly Deduction'!A:B,2,0),0)</f>
        <v>0</v>
      </c>
      <c r="AB50" s="129">
        <f t="shared" si="3"/>
        <v>24</v>
      </c>
      <c r="AC50" s="130">
        <v>0</v>
      </c>
      <c r="AD50" s="35">
        <f t="shared" si="14"/>
        <v>24</v>
      </c>
      <c r="AE50" s="166" t="str">
        <f t="shared" si="15"/>
        <v>Release</v>
      </c>
      <c r="AF50" s="127"/>
      <c r="AG50" s="18">
        <v>0</v>
      </c>
      <c r="AH50" s="132" t="s">
        <v>1680</v>
      </c>
      <c r="AI50" s="238">
        <v>0</v>
      </c>
      <c r="AJ50" s="132"/>
      <c r="AK50" s="151">
        <v>531.69999999999993</v>
      </c>
      <c r="AL50" s="154">
        <f t="shared" si="4"/>
        <v>0</v>
      </c>
      <c r="AM50" s="155"/>
      <c r="AN50" s="19">
        <f t="shared" si="5"/>
        <v>2297.558</v>
      </c>
      <c r="AO50" s="118">
        <f>SUMIF('MPG Payment '!E:E,'Shayak Income '!D50,'MPG Payment '!AJ:AJ)</f>
        <v>0</v>
      </c>
      <c r="AP50" s="19">
        <f t="shared" si="6"/>
        <v>2297.558</v>
      </c>
      <c r="AQ50" s="119">
        <f t="shared" si="16"/>
        <v>2297.558</v>
      </c>
      <c r="AR50" s="91" t="s">
        <v>1144</v>
      </c>
      <c r="AS50" s="91">
        <f t="shared" si="7"/>
        <v>8907</v>
      </c>
      <c r="AT50" s="118"/>
      <c r="AU50" s="118"/>
      <c r="AV50" s="118"/>
    </row>
    <row r="51" spans="1:48" s="20" customFormat="1" x14ac:dyDescent="0.25">
      <c r="A51" s="17">
        <f>IFERROR(VLOOKUP(D51,'Monthly Deduction'!$I$3:$J$957,2,0),0)</f>
        <v>0</v>
      </c>
      <c r="B51" s="17">
        <f>IFERROR(VLOOKUP(D51,'Monthly Deduction'!$E$3:$F$957,2,0),0)</f>
        <v>0</v>
      </c>
      <c r="C51" s="17">
        <f t="shared" si="17"/>
        <v>0</v>
      </c>
      <c r="D51" s="41">
        <v>10020043</v>
      </c>
      <c r="E51" s="122" t="str">
        <f>VLOOKUP(D51,'MPG Payment '!$E$3:$G$497305,2,0)</f>
        <v>Karari Pipariya 2</v>
      </c>
      <c r="F51" s="146">
        <f>IFERROR(_xlfn.XLOOKUP(D51,'Monthly Deduction'!$I$3:$I$957,'Monthly Deduction'!$H$3:$H$957),0)</f>
        <v>0</v>
      </c>
      <c r="G51" s="123" t="str">
        <f>VLOOKUP(D51,'MPG Payment '!$E$3:$G$333666,3,0)</f>
        <v>MPG</v>
      </c>
      <c r="H51" s="124" t="str">
        <f>VLOOKUP(D51,'MPG Payment '!$E$3:$H$333666,4,0)</f>
        <v>Direct</v>
      </c>
      <c r="I51" s="88">
        <f>INDEX('MPG Payment '!$C:$C,MATCH('Shayak Income '!D51,'MPG Payment '!E:E,0))</f>
        <v>1002</v>
      </c>
      <c r="J51" s="88" t="str">
        <f>INDEX('MPG Payment '!$D:$D,MATCH('Shayak Income '!D51,'MPG Payment '!E:E,0))</f>
        <v>Laldiyara</v>
      </c>
      <c r="K51" s="125" t="s">
        <v>1594</v>
      </c>
      <c r="L51" s="125">
        <v>45012</v>
      </c>
      <c r="M51" s="126">
        <f>SUMIF('MPG Payment '!$E$3:$E$344841,'Shayak Income '!D51,'MPG Payment '!$I$3:$I$344841)</f>
        <v>3269.5</v>
      </c>
      <c r="N51" s="126">
        <f>SUMIF('MPG Payment '!$E$3:$E$344841,'Shayak Income '!D51,'MPG Payment '!$J$3:$J$344841)</f>
        <v>145426.26999999999</v>
      </c>
      <c r="O51" s="126">
        <f t="shared" si="9"/>
        <v>2452.125</v>
      </c>
      <c r="P51" s="126">
        <f t="shared" si="10"/>
        <v>3106.0249999999996</v>
      </c>
      <c r="Q51" s="126">
        <f>SUMIF('MPG Payment '!$E$3:$E$344841,'Shayak Income '!D51,'MPG Payment '!$S$3:$S$344841)</f>
        <v>1882.48</v>
      </c>
      <c r="R51" s="126">
        <f t="shared" si="1"/>
        <v>4362.7880999999998</v>
      </c>
      <c r="S51" s="126">
        <f t="shared" si="2"/>
        <v>1256.7631000000001</v>
      </c>
      <c r="T51" s="126">
        <f t="shared" si="11"/>
        <v>326.95000000000005</v>
      </c>
      <c r="U51" s="127">
        <f>((((((IF(K51="New",0,SUMIF('MPG Payment '!$E$3:$E$344841,'Shayak Income '!D51,'MPG Payment '!$AC$3:$AC$344841))))+0)+0)+0)+0)+0</f>
        <v>69.238970394207513</v>
      </c>
      <c r="V51" s="127">
        <f t="shared" si="12"/>
        <v>7044</v>
      </c>
      <c r="W51" s="19">
        <f t="shared" si="13"/>
        <v>0</v>
      </c>
      <c r="X51" s="19">
        <f t="shared" si="18"/>
        <v>0</v>
      </c>
      <c r="Y51" s="128">
        <f>IFERROR(VLOOKUP(D51,'Monthly Deduction'!$M$2:$N$640,2,0),0)</f>
        <v>0</v>
      </c>
      <c r="Z51" s="128">
        <v>0</v>
      </c>
      <c r="AA51" s="126">
        <f>IFERROR(VLOOKUP(D51,'Monthly Deduction'!A:B,2,0),0)</f>
        <v>0</v>
      </c>
      <c r="AB51" s="129">
        <f t="shared" si="3"/>
        <v>7044</v>
      </c>
      <c r="AC51" s="130">
        <v>0</v>
      </c>
      <c r="AD51" s="35">
        <f t="shared" si="14"/>
        <v>7044</v>
      </c>
      <c r="AE51" s="166" t="str">
        <f t="shared" si="15"/>
        <v>Release</v>
      </c>
      <c r="AF51" s="127"/>
      <c r="AG51" s="18">
        <v>0</v>
      </c>
      <c r="AH51" s="132"/>
      <c r="AI51" s="238">
        <v>0</v>
      </c>
      <c r="AJ51" s="132"/>
      <c r="AK51" s="151">
        <v>909.59999999999991</v>
      </c>
      <c r="AL51" s="154">
        <f t="shared" si="4"/>
        <v>0</v>
      </c>
      <c r="AM51" s="155"/>
      <c r="AN51" s="19">
        <f t="shared" si="5"/>
        <v>0</v>
      </c>
      <c r="AO51" s="118">
        <f>SUMIF('MPG Payment '!E:E,'Shayak Income '!D51,'MPG Payment '!AJ:AJ)</f>
        <v>0</v>
      </c>
      <c r="AP51" s="19">
        <f t="shared" si="6"/>
        <v>0</v>
      </c>
      <c r="AQ51" s="119">
        <f t="shared" si="16"/>
        <v>0</v>
      </c>
      <c r="AR51" s="91"/>
      <c r="AS51" s="91">
        <f t="shared" si="7"/>
        <v>0</v>
      </c>
      <c r="AT51" s="118"/>
      <c r="AU51" s="118"/>
      <c r="AV51" s="118"/>
    </row>
    <row r="52" spans="1:48" s="20" customFormat="1" x14ac:dyDescent="0.25">
      <c r="A52" s="17">
        <f>IFERROR(VLOOKUP(D52,'Monthly Deduction'!$I$3:$J$957,2,0),0)</f>
        <v>0</v>
      </c>
      <c r="B52" s="17">
        <f>IFERROR(VLOOKUP(D52,'Monthly Deduction'!$E$3:$F$957,2,0),0)</f>
        <v>0</v>
      </c>
      <c r="C52" s="17">
        <f t="shared" si="17"/>
        <v>0</v>
      </c>
      <c r="D52" s="41">
        <v>10020044</v>
      </c>
      <c r="E52" s="122" t="str">
        <f>VLOOKUP(D52,'MPG Payment '!$E$3:$G$497305,2,0)</f>
        <v xml:space="preserve">DIYARA PIPARIYA-THANA                                                                               </v>
      </c>
      <c r="F52" s="146">
        <f>IFERROR(_xlfn.XLOOKUP(D52,'Monthly Deduction'!$I$3:$I$957,'Monthly Deduction'!$H$3:$H$957),0)</f>
        <v>0</v>
      </c>
      <c r="G52" s="123" t="str">
        <f>VLOOKUP(D52,'MPG Payment '!$E$3:$G$333666,3,0)</f>
        <v>MPG</v>
      </c>
      <c r="H52" s="124" t="str">
        <f>VLOOKUP(D52,'MPG Payment '!$E$3:$H$333666,4,0)</f>
        <v>Direct</v>
      </c>
      <c r="I52" s="88">
        <f>INDEX('MPG Payment '!$C:$C,MATCH('Shayak Income '!D52,'MPG Payment '!E:E,0))</f>
        <v>1002</v>
      </c>
      <c r="J52" s="88" t="str">
        <f>INDEX('MPG Payment '!$D:$D,MATCH('Shayak Income '!D52,'MPG Payment '!E:E,0))</f>
        <v>Laldiyara</v>
      </c>
      <c r="K52" s="125" t="s">
        <v>1594</v>
      </c>
      <c r="L52" s="125">
        <v>45064</v>
      </c>
      <c r="M52" s="126">
        <f>SUMIF('MPG Payment '!$E$3:$E$344841,'Shayak Income '!D52,'MPG Payment '!$I$3:$I$344841)</f>
        <v>5171.7999999999993</v>
      </c>
      <c r="N52" s="126">
        <f>SUMIF('MPG Payment '!$E$3:$E$344841,'Shayak Income '!D52,'MPG Payment '!$J$3:$J$344841)</f>
        <v>232499.72999999998</v>
      </c>
      <c r="O52" s="126">
        <f t="shared" si="9"/>
        <v>3878.8499999999995</v>
      </c>
      <c r="P52" s="126">
        <f t="shared" si="10"/>
        <v>4913.2099999999991</v>
      </c>
      <c r="Q52" s="126">
        <f>SUMIF('MPG Payment '!$E$3:$E$344841,'Shayak Income '!D52,'MPG Payment '!$S$3:$S$344841)</f>
        <v>2243.0700000000002</v>
      </c>
      <c r="R52" s="126">
        <f t="shared" si="1"/>
        <v>6974.9918999999991</v>
      </c>
      <c r="S52" s="126">
        <f t="shared" si="2"/>
        <v>2061.7819</v>
      </c>
      <c r="T52" s="126">
        <f t="shared" si="11"/>
        <v>517.17999999999995</v>
      </c>
      <c r="U52" s="127">
        <f>((((((IF(K52="New",0,SUMIF('MPG Payment '!$E$3:$E$344841,'Shayak Income '!D52,'MPG Payment '!$AC$3:$AC$344841))))+0)+0)+0)+0)+0</f>
        <v>0</v>
      </c>
      <c r="V52" s="127">
        <f t="shared" si="12"/>
        <v>10518</v>
      </c>
      <c r="W52" s="19">
        <f t="shared" si="13"/>
        <v>0</v>
      </c>
      <c r="X52" s="19">
        <f t="shared" si="18"/>
        <v>0</v>
      </c>
      <c r="Y52" s="128">
        <f>IFERROR(VLOOKUP(D52,'Monthly Deduction'!$M$2:$N$640,2,0),0)</f>
        <v>0</v>
      </c>
      <c r="Z52" s="128">
        <v>0</v>
      </c>
      <c r="AA52" s="126">
        <f>IFERROR(VLOOKUP(D52,'Monthly Deduction'!A:B,2,0),0)</f>
        <v>0</v>
      </c>
      <c r="AB52" s="129">
        <f t="shared" si="3"/>
        <v>10518</v>
      </c>
      <c r="AC52" s="130">
        <v>0</v>
      </c>
      <c r="AD52" s="35">
        <f t="shared" si="14"/>
        <v>10518</v>
      </c>
      <c r="AE52" s="166" t="str">
        <f t="shared" si="15"/>
        <v>Release</v>
      </c>
      <c r="AF52" s="127"/>
      <c r="AG52" s="18">
        <v>0</v>
      </c>
      <c r="AH52" s="132"/>
      <c r="AI52" s="238">
        <v>0</v>
      </c>
      <c r="AJ52" s="132"/>
      <c r="AK52" s="151">
        <v>1241.3999999999999</v>
      </c>
      <c r="AL52" s="154">
        <f t="shared" si="4"/>
        <v>0</v>
      </c>
      <c r="AM52" s="155"/>
      <c r="AN52" s="19">
        <f t="shared" si="5"/>
        <v>0</v>
      </c>
      <c r="AO52" s="118">
        <f>SUMIF('MPG Payment '!E:E,'Shayak Income '!D52,'MPG Payment '!AJ:AJ)</f>
        <v>0</v>
      </c>
      <c r="AP52" s="19">
        <f t="shared" si="6"/>
        <v>0</v>
      </c>
      <c r="AQ52" s="119">
        <f t="shared" si="16"/>
        <v>0</v>
      </c>
      <c r="AR52" s="91"/>
      <c r="AS52" s="91">
        <f t="shared" si="7"/>
        <v>0</v>
      </c>
      <c r="AT52" s="118"/>
      <c r="AU52" s="118"/>
      <c r="AV52" s="118"/>
    </row>
    <row r="53" spans="1:48" s="20" customFormat="1" x14ac:dyDescent="0.25">
      <c r="A53" s="17">
        <f>IFERROR(VLOOKUP(D53,'Monthly Deduction'!$I$3:$J$957,2,0),0)</f>
        <v>0</v>
      </c>
      <c r="B53" s="17">
        <f>IFERROR(VLOOKUP(D53,'Monthly Deduction'!$E$3:$F$957,2,0),0)</f>
        <v>0</v>
      </c>
      <c r="C53" s="17">
        <f t="shared" si="17"/>
        <v>0</v>
      </c>
      <c r="D53" s="41">
        <v>10020047</v>
      </c>
      <c r="E53" s="122" t="str">
        <f>VLOOKUP(D53,'MPG Payment '!$E$3:$G$497305,2,0)</f>
        <v>SRI RAM SINGH(VLC)</v>
      </c>
      <c r="F53" s="146">
        <f>IFERROR(_xlfn.XLOOKUP(D53,'Monthly Deduction'!$I$3:$I$957,'Monthly Deduction'!$H$3:$H$957),0)</f>
        <v>0</v>
      </c>
      <c r="G53" s="123" t="str">
        <f>VLOOKUP(D53,'MPG Payment '!$E$3:$G$333666,3,0)</f>
        <v>vlc</v>
      </c>
      <c r="H53" s="124" t="str">
        <f>VLOOKUP(D53,'MPG Payment '!$E$3:$H$333666,4,0)</f>
        <v>Indirect</v>
      </c>
      <c r="I53" s="88">
        <f>INDEX('MPG Payment '!$C:$C,MATCH('Shayak Income '!D53,'MPG Payment '!E:E,0))</f>
        <v>1002</v>
      </c>
      <c r="J53" s="88" t="str">
        <f>INDEX('MPG Payment '!$D:$D,MATCH('Shayak Income '!D53,'MPG Payment '!E:E,0))</f>
        <v>Laldiyara</v>
      </c>
      <c r="K53" s="125" t="s">
        <v>1594</v>
      </c>
      <c r="L53" s="125">
        <v>45156</v>
      </c>
      <c r="M53" s="126">
        <f>SUMIF('MPG Payment '!$E$3:$E$344841,'Shayak Income '!D53,'MPG Payment '!$I$3:$I$344841)</f>
        <v>12531.599999999999</v>
      </c>
      <c r="N53" s="126">
        <f>SUMIF('MPG Payment '!$E$3:$E$344841,'Shayak Income '!D53,'MPG Payment '!$J$3:$J$344841)</f>
        <v>537178.78</v>
      </c>
      <c r="O53" s="126">
        <f t="shared" si="9"/>
        <v>9398.6999999999989</v>
      </c>
      <c r="P53" s="126">
        <f t="shared" si="10"/>
        <v>11905.019999999999</v>
      </c>
      <c r="Q53" s="126">
        <f>SUMIF('MPG Payment '!$E$3:$E$344841,'Shayak Income '!D53,'MPG Payment '!$S$3:$S$344841)</f>
        <v>0</v>
      </c>
      <c r="R53" s="126">
        <f t="shared" si="1"/>
        <v>16115.3634</v>
      </c>
      <c r="S53" s="126">
        <f t="shared" si="2"/>
        <v>4210.3434000000016</v>
      </c>
      <c r="T53" s="126">
        <f t="shared" si="11"/>
        <v>1253.1599999999999</v>
      </c>
      <c r="U53" s="127">
        <f>((((((IF(K53="New",0,SUMIF('MPG Payment '!$E$3:$E$344841,'Shayak Income '!D53,'MPG Payment '!$AC$3:$AC$344841))))+0)+0)+0)+0)+0</f>
        <v>0</v>
      </c>
      <c r="V53" s="127">
        <f t="shared" si="12"/>
        <v>20051</v>
      </c>
      <c r="W53" s="19">
        <f t="shared" si="13"/>
        <v>0</v>
      </c>
      <c r="X53" s="19">
        <f t="shared" si="18"/>
        <v>0</v>
      </c>
      <c r="Y53" s="128">
        <f>IFERROR(VLOOKUP(D53,'Monthly Deduction'!$M$2:$N$640,2,0),0)</f>
        <v>0</v>
      </c>
      <c r="Z53" s="128">
        <v>0</v>
      </c>
      <c r="AA53" s="126">
        <f>IFERROR(VLOOKUP(D53,'Monthly Deduction'!A:B,2,0),0)</f>
        <v>0</v>
      </c>
      <c r="AB53" s="129">
        <f t="shared" si="3"/>
        <v>20051</v>
      </c>
      <c r="AC53" s="130">
        <v>0</v>
      </c>
      <c r="AD53" s="35">
        <f t="shared" si="14"/>
        <v>20051</v>
      </c>
      <c r="AE53" s="166" t="str">
        <f t="shared" si="15"/>
        <v>Release</v>
      </c>
      <c r="AF53" s="127"/>
      <c r="AG53" s="18">
        <v>0</v>
      </c>
      <c r="AH53" s="120"/>
      <c r="AI53" s="238">
        <v>0</v>
      </c>
      <c r="AJ53" s="132"/>
      <c r="AK53" s="151">
        <v>2826.5</v>
      </c>
      <c r="AL53" s="154">
        <f t="shared" si="4"/>
        <v>0</v>
      </c>
      <c r="AM53" s="155"/>
      <c r="AN53" s="19">
        <f t="shared" si="5"/>
        <v>0</v>
      </c>
      <c r="AO53" s="118">
        <f>SUMIF('MPG Payment '!E:E,'Shayak Income '!D53,'MPG Payment '!AJ:AJ)</f>
        <v>0</v>
      </c>
      <c r="AP53" s="19">
        <f t="shared" si="6"/>
        <v>0</v>
      </c>
      <c r="AQ53" s="119">
        <f t="shared" si="16"/>
        <v>0</v>
      </c>
      <c r="AR53" s="91" t="s">
        <v>1144</v>
      </c>
      <c r="AS53" s="91">
        <f t="shared" si="7"/>
        <v>0</v>
      </c>
      <c r="AT53" s="118"/>
      <c r="AU53" s="118"/>
      <c r="AV53" s="118"/>
    </row>
    <row r="54" spans="1:48" s="20" customFormat="1" x14ac:dyDescent="0.25">
      <c r="A54" s="17">
        <f>IFERROR(VLOOKUP(D54,'Monthly Deduction'!$I$3:$J$957,2,0),0)</f>
        <v>0</v>
      </c>
      <c r="B54" s="17">
        <f>IFERROR(VLOOKUP(D54,'Monthly Deduction'!$E$3:$F$957,2,0),0)</f>
        <v>0</v>
      </c>
      <c r="C54" s="17">
        <f t="shared" si="17"/>
        <v>0</v>
      </c>
      <c r="D54" s="41">
        <v>10020050</v>
      </c>
      <c r="E54" s="122" t="str">
        <f>VLOOKUP(D54,'MPG Payment '!$E$3:$G$497305,2,0)</f>
        <v>GADHTOLA</v>
      </c>
      <c r="F54" s="146">
        <f>IFERROR(_xlfn.XLOOKUP(D54,'Monthly Deduction'!$I$3:$I$957,'Monthly Deduction'!$H$3:$H$957),0)</f>
        <v>0</v>
      </c>
      <c r="G54" s="123" t="str">
        <f>VLOOKUP(D54,'MPG Payment '!$E$3:$G$333666,3,0)</f>
        <v>MPG</v>
      </c>
      <c r="H54" s="124" t="str">
        <f>VLOOKUP(D54,'MPG Payment '!$E$3:$H$333666,4,0)</f>
        <v>Direct</v>
      </c>
      <c r="I54" s="88">
        <f>INDEX('MPG Payment '!$C:$C,MATCH('Shayak Income '!D54,'MPG Payment '!E:E,0))</f>
        <v>1002</v>
      </c>
      <c r="J54" s="88" t="str">
        <f>INDEX('MPG Payment '!$D:$D,MATCH('Shayak Income '!D54,'MPG Payment '!E:E,0))</f>
        <v>Laldiyara</v>
      </c>
      <c r="K54" s="125" t="s">
        <v>1594</v>
      </c>
      <c r="L54" s="125">
        <v>45168</v>
      </c>
      <c r="M54" s="126">
        <f>SUMIF('MPG Payment '!$E$3:$E$344841,'Shayak Income '!D54,'MPG Payment '!$I$3:$I$344841)</f>
        <v>5121.3999999999996</v>
      </c>
      <c r="N54" s="126">
        <f>SUMIF('MPG Payment '!$E$3:$E$344841,'Shayak Income '!D54,'MPG Payment '!$J$3:$J$344841)</f>
        <v>240089.98</v>
      </c>
      <c r="O54" s="126">
        <f t="shared" si="9"/>
        <v>3841.0499999999997</v>
      </c>
      <c r="P54" s="126">
        <f t="shared" si="10"/>
        <v>4865.329999999999</v>
      </c>
      <c r="Q54" s="126">
        <f>SUMIF('MPG Payment '!$E$3:$E$344841,'Shayak Income '!D54,'MPG Payment '!$S$3:$S$344841)</f>
        <v>939.95</v>
      </c>
      <c r="R54" s="126">
        <f t="shared" si="1"/>
        <v>7202.6994000000004</v>
      </c>
      <c r="S54" s="126">
        <f t="shared" si="2"/>
        <v>2337.3694000000014</v>
      </c>
      <c r="T54" s="126">
        <f t="shared" si="11"/>
        <v>512.14</v>
      </c>
      <c r="U54" s="127">
        <f>((((((IF(K54="New",0,SUMIF('MPG Payment '!$E$3:$E$344841,'Shayak Income '!D54,'MPG Payment '!$AC$3:$AC$344841))))+0)+0)+0)+0)+0</f>
        <v>0</v>
      </c>
      <c r="V54" s="127">
        <f t="shared" si="12"/>
        <v>9134</v>
      </c>
      <c r="W54" s="19">
        <f t="shared" si="13"/>
        <v>0</v>
      </c>
      <c r="X54" s="19">
        <f t="shared" si="18"/>
        <v>0</v>
      </c>
      <c r="Y54" s="128">
        <f>IFERROR(VLOOKUP(D54,'Monthly Deduction'!$M$2:$N$640,2,0),0)</f>
        <v>0</v>
      </c>
      <c r="Z54" s="128">
        <v>0</v>
      </c>
      <c r="AA54" s="126">
        <f>IFERROR(VLOOKUP(D54,'Monthly Deduction'!A:B,2,0),0)</f>
        <v>980.24</v>
      </c>
      <c r="AB54" s="129">
        <f t="shared" si="3"/>
        <v>8154</v>
      </c>
      <c r="AC54" s="130">
        <v>0</v>
      </c>
      <c r="AD54" s="35">
        <f t="shared" si="14"/>
        <v>8154</v>
      </c>
      <c r="AE54" s="166" t="str">
        <f t="shared" si="15"/>
        <v>Release</v>
      </c>
      <c r="AF54" s="127"/>
      <c r="AG54" s="127">
        <v>0</v>
      </c>
      <c r="AH54" s="120"/>
      <c r="AI54" s="238">
        <v>0</v>
      </c>
      <c r="AJ54" s="132"/>
      <c r="AK54" s="151">
        <v>1004.0000000000001</v>
      </c>
      <c r="AL54" s="154">
        <f t="shared" si="4"/>
        <v>0</v>
      </c>
      <c r="AM54" s="155"/>
      <c r="AN54" s="19">
        <f t="shared" si="5"/>
        <v>0</v>
      </c>
      <c r="AO54" s="118">
        <f>SUMIF('MPG Payment '!E:E,'Shayak Income '!D54,'MPG Payment '!AJ:AJ)</f>
        <v>0</v>
      </c>
      <c r="AP54" s="19">
        <f t="shared" si="6"/>
        <v>0</v>
      </c>
      <c r="AQ54" s="119">
        <f t="shared" si="16"/>
        <v>0</v>
      </c>
      <c r="AR54" s="91" t="s">
        <v>1144</v>
      </c>
      <c r="AS54" s="91">
        <f t="shared" si="7"/>
        <v>0</v>
      </c>
      <c r="AT54" s="118"/>
      <c r="AU54" s="118"/>
      <c r="AV54" s="118"/>
    </row>
    <row r="55" spans="1:48" s="20" customFormat="1" x14ac:dyDescent="0.25">
      <c r="A55" s="17">
        <f>IFERROR(VLOOKUP(D55,'Monthly Deduction'!$I$3:$J$957,2,0),0)</f>
        <v>0</v>
      </c>
      <c r="B55" s="17">
        <f>IFERROR(VLOOKUP(D55,'Monthly Deduction'!$E$3:$F$957,2,0),0)</f>
        <v>0</v>
      </c>
      <c r="C55" s="17">
        <f t="shared" si="17"/>
        <v>0</v>
      </c>
      <c r="D55" s="41">
        <v>10020054</v>
      </c>
      <c r="E55" s="122" t="str">
        <f>VLOOKUP(D55,'MPG Payment '!$E$3:$G$497305,2,0)</f>
        <v>Diyara-Pipariya-Utri - Chandan</v>
      </c>
      <c r="F55" s="146">
        <f>IFERROR(_xlfn.XLOOKUP(D55,'Monthly Deduction'!$I$3:$I$957,'Monthly Deduction'!$H$3:$H$957),0)</f>
        <v>0</v>
      </c>
      <c r="G55" s="123" t="str">
        <f>VLOOKUP(D55,'MPG Payment '!$E$3:$G$333666,3,0)</f>
        <v>vlc</v>
      </c>
      <c r="H55" s="124" t="str">
        <f>VLOOKUP(D55,'MPG Payment '!$E$3:$H$333666,4,0)</f>
        <v>Indirect</v>
      </c>
      <c r="I55" s="88">
        <f>INDEX('MPG Payment '!$C:$C,MATCH('Shayak Income '!D55,'MPG Payment '!E:E,0))</f>
        <v>1002</v>
      </c>
      <c r="J55" s="88" t="str">
        <f>INDEX('MPG Payment '!$D:$D,MATCH('Shayak Income '!D55,'MPG Payment '!E:E,0))</f>
        <v>Laldiyara</v>
      </c>
      <c r="K55" s="125" t="s">
        <v>1594</v>
      </c>
      <c r="L55" s="125">
        <v>44710</v>
      </c>
      <c r="M55" s="126">
        <f>SUMIF('MPG Payment '!$E$3:$E$344841,'Shayak Income '!D55,'MPG Payment '!$I$3:$I$344841)</f>
        <v>7298.9</v>
      </c>
      <c r="N55" s="126">
        <f>SUMIF('MPG Payment '!$E$3:$E$344841,'Shayak Income '!D55,'MPG Payment '!$J$3:$J$344841)</f>
        <v>315060.40000000002</v>
      </c>
      <c r="O55" s="126">
        <f t="shared" si="9"/>
        <v>5474.1749999999993</v>
      </c>
      <c r="P55" s="126">
        <f t="shared" si="10"/>
        <v>6933.954999999999</v>
      </c>
      <c r="Q55" s="126">
        <f>SUMIF('MPG Payment '!$E$3:$E$344841,'Shayak Income '!D55,'MPG Payment '!$S$3:$S$344841)</f>
        <v>0</v>
      </c>
      <c r="R55" s="126">
        <f t="shared" si="1"/>
        <v>9451.8119999999999</v>
      </c>
      <c r="S55" s="126">
        <f t="shared" si="2"/>
        <v>2517.8570000000009</v>
      </c>
      <c r="T55" s="126">
        <f t="shared" si="11"/>
        <v>729.89</v>
      </c>
      <c r="U55" s="127">
        <f>((((((IF(K55="New",0,SUMIF('MPG Payment '!$E$3:$E$344841,'Shayak Income '!D55,'MPG Payment '!$AC$3:$AC$344841))))+0)+0)+0)+0)+0</f>
        <v>0</v>
      </c>
      <c r="V55" s="127">
        <f t="shared" si="12"/>
        <v>11678</v>
      </c>
      <c r="W55" s="19">
        <f t="shared" si="13"/>
        <v>0</v>
      </c>
      <c r="X55" s="19">
        <f t="shared" si="18"/>
        <v>0</v>
      </c>
      <c r="Y55" s="128">
        <f>IFERROR(VLOOKUP(D55,'Monthly Deduction'!$M$2:$N$640,2,0),0)</f>
        <v>0</v>
      </c>
      <c r="Z55" s="128">
        <v>0</v>
      </c>
      <c r="AA55" s="126">
        <f>IFERROR(VLOOKUP(D55,'Monthly Deduction'!A:B,2,0),0)</f>
        <v>0</v>
      </c>
      <c r="AB55" s="129">
        <f t="shared" si="3"/>
        <v>11678</v>
      </c>
      <c r="AC55" s="130">
        <v>0</v>
      </c>
      <c r="AD55" s="35">
        <f t="shared" si="14"/>
        <v>11678</v>
      </c>
      <c r="AE55" s="166" t="str">
        <f t="shared" si="15"/>
        <v>Release</v>
      </c>
      <c r="AF55" s="127"/>
      <c r="AG55" s="18">
        <v>0</v>
      </c>
      <c r="AH55" s="120"/>
      <c r="AI55" s="238">
        <v>0</v>
      </c>
      <c r="AJ55" s="132"/>
      <c r="AK55" s="151">
        <v>1386.9</v>
      </c>
      <c r="AL55" s="154">
        <f t="shared" si="4"/>
        <v>0</v>
      </c>
      <c r="AM55" s="155"/>
      <c r="AN55" s="19">
        <f t="shared" si="5"/>
        <v>0</v>
      </c>
      <c r="AO55" s="118">
        <f>SUMIF('MPG Payment '!E:E,'Shayak Income '!D55,'MPG Payment '!AJ:AJ)</f>
        <v>0</v>
      </c>
      <c r="AP55" s="19">
        <f t="shared" si="6"/>
        <v>0</v>
      </c>
      <c r="AQ55" s="119">
        <f t="shared" si="16"/>
        <v>0</v>
      </c>
      <c r="AR55" s="91" t="s">
        <v>1144</v>
      </c>
      <c r="AS55" s="91">
        <f t="shared" si="7"/>
        <v>0</v>
      </c>
      <c r="AT55" s="118"/>
      <c r="AU55" s="118"/>
      <c r="AV55" s="118"/>
    </row>
    <row r="56" spans="1:48" s="20" customFormat="1" x14ac:dyDescent="0.25">
      <c r="A56" s="17">
        <f>IFERROR(VLOOKUP(D56,'Monthly Deduction'!$I$3:$J$957,2,0),0)</f>
        <v>0</v>
      </c>
      <c r="B56" s="17">
        <f>IFERROR(VLOOKUP(D56,'Monthly Deduction'!$E$3:$F$957,2,0),0)</f>
        <v>0</v>
      </c>
      <c r="C56" s="17">
        <f t="shared" si="17"/>
        <v>0</v>
      </c>
      <c r="D56" s="41">
        <v>10020057</v>
      </c>
      <c r="E56" s="122" t="str">
        <f>VLOOKUP(D56,'MPG Payment '!$E$3:$G$497305,2,0)</f>
        <v>KANHARPUR-2</v>
      </c>
      <c r="F56" s="146">
        <f>IFERROR(_xlfn.XLOOKUP(D56,'Monthly Deduction'!$I$3:$I$957,'Monthly Deduction'!$H$3:$H$957),0)</f>
        <v>0</v>
      </c>
      <c r="G56" s="123" t="str">
        <f>VLOOKUP(D56,'MPG Payment '!$E$3:$G$333666,3,0)</f>
        <v>MPG</v>
      </c>
      <c r="H56" s="124" t="str">
        <f>VLOOKUP(D56,'MPG Payment '!$E$3:$H$333666,4,0)</f>
        <v>Direct</v>
      </c>
      <c r="I56" s="88">
        <f>INDEX('MPG Payment '!$C:$C,MATCH('Shayak Income '!D56,'MPG Payment '!E:E,0))</f>
        <v>1002</v>
      </c>
      <c r="J56" s="88" t="str">
        <f>INDEX('MPG Payment '!$D:$D,MATCH('Shayak Income '!D56,'MPG Payment '!E:E,0))</f>
        <v>Laldiyara</v>
      </c>
      <c r="K56" s="125" t="s">
        <v>1594</v>
      </c>
      <c r="L56" s="125">
        <v>45248</v>
      </c>
      <c r="M56" s="126">
        <f>SUMIF('MPG Payment '!$E$3:$E$344841,'Shayak Income '!D56,'MPG Payment '!$I$3:$I$344841)</f>
        <v>10371</v>
      </c>
      <c r="N56" s="126">
        <f>SUMIF('MPG Payment '!$E$3:$E$344841,'Shayak Income '!D56,'MPG Payment '!$J$3:$J$344841)</f>
        <v>487216.09000000008</v>
      </c>
      <c r="O56" s="126">
        <f t="shared" si="9"/>
        <v>7778.25</v>
      </c>
      <c r="P56" s="126">
        <f t="shared" si="10"/>
        <v>9852.4499999999989</v>
      </c>
      <c r="Q56" s="126">
        <f>SUMIF('MPG Payment '!$E$3:$E$344841,'Shayak Income '!D56,'MPG Payment '!$S$3:$S$344841)</f>
        <v>6871.3099999999995</v>
      </c>
      <c r="R56" s="126">
        <f t="shared" si="1"/>
        <v>14616.482700000002</v>
      </c>
      <c r="S56" s="126">
        <f t="shared" si="2"/>
        <v>4764.0327000000034</v>
      </c>
      <c r="T56" s="126">
        <f t="shared" si="11"/>
        <v>1037.1000000000001</v>
      </c>
      <c r="U56" s="127">
        <f>((((((IF(K56="New",0,SUMIF('MPG Payment '!$E$3:$E$344841,'Shayak Income '!D56,'MPG Payment '!$AC$3:$AC$344841))))+0)+0)+0)+0)+0</f>
        <v>0</v>
      </c>
      <c r="V56" s="127">
        <f t="shared" si="12"/>
        <v>23465</v>
      </c>
      <c r="W56" s="19">
        <f t="shared" si="13"/>
        <v>0</v>
      </c>
      <c r="X56" s="19">
        <f t="shared" si="18"/>
        <v>0</v>
      </c>
      <c r="Y56" s="128">
        <f>IFERROR(VLOOKUP(D56,'Monthly Deduction'!$M$2:$N$640,2,0),0)</f>
        <v>0</v>
      </c>
      <c r="Z56" s="128">
        <v>0</v>
      </c>
      <c r="AA56" s="126">
        <f>IFERROR(VLOOKUP(D56,'Monthly Deduction'!A:B,2,0),0)</f>
        <v>0</v>
      </c>
      <c r="AB56" s="129">
        <f t="shared" si="3"/>
        <v>23465</v>
      </c>
      <c r="AC56" s="130">
        <v>0</v>
      </c>
      <c r="AD56" s="35">
        <f t="shared" si="14"/>
        <v>23465</v>
      </c>
      <c r="AE56" s="166" t="str">
        <f t="shared" si="15"/>
        <v>Release</v>
      </c>
      <c r="AF56" s="127"/>
      <c r="AG56" s="127">
        <v>0</v>
      </c>
      <c r="AH56" s="120"/>
      <c r="AI56" s="238">
        <v>0</v>
      </c>
      <c r="AJ56" s="132"/>
      <c r="AK56" s="151">
        <v>2556.4</v>
      </c>
      <c r="AL56" s="154">
        <f t="shared" si="4"/>
        <v>0</v>
      </c>
      <c r="AM56" s="155"/>
      <c r="AN56" s="19">
        <f t="shared" si="5"/>
        <v>0</v>
      </c>
      <c r="AO56" s="118">
        <f>SUMIF('MPG Payment '!E:E,'Shayak Income '!D56,'MPG Payment '!AJ:AJ)</f>
        <v>0</v>
      </c>
      <c r="AP56" s="19">
        <f t="shared" si="6"/>
        <v>0</v>
      </c>
      <c r="AQ56" s="119">
        <f t="shared" si="16"/>
        <v>0</v>
      </c>
      <c r="AR56" s="91" t="s">
        <v>1144</v>
      </c>
      <c r="AS56" s="91">
        <f t="shared" si="7"/>
        <v>0</v>
      </c>
      <c r="AT56" s="118"/>
      <c r="AU56" s="118"/>
      <c r="AV56" s="118"/>
    </row>
    <row r="57" spans="1:48" s="20" customFormat="1" x14ac:dyDescent="0.25">
      <c r="A57" s="17">
        <f>IFERROR(VLOOKUP(D57,'Monthly Deduction'!$I$3:$J$957,2,0),0)</f>
        <v>0</v>
      </c>
      <c r="B57" s="17">
        <f>IFERROR(VLOOKUP(D57,'Monthly Deduction'!$E$3:$F$957,2,0),0)</f>
        <v>0</v>
      </c>
      <c r="C57" s="17">
        <f t="shared" si="17"/>
        <v>0</v>
      </c>
      <c r="D57" s="41">
        <v>10020058</v>
      </c>
      <c r="E57" s="122" t="str">
        <f>VLOOKUP(D57,'MPG Payment '!$E$3:$G$497305,2,0)</f>
        <v>BASAUNA</v>
      </c>
      <c r="F57" s="146">
        <f>IFERROR(_xlfn.XLOOKUP(D57,'Monthly Deduction'!$I$3:$I$957,'Monthly Deduction'!$H$3:$H$957),0)</f>
        <v>0</v>
      </c>
      <c r="G57" s="123" t="str">
        <f>VLOOKUP(D57,'MPG Payment '!$E$3:$G$333666,3,0)</f>
        <v>MPG</v>
      </c>
      <c r="H57" s="124" t="str">
        <f>VLOOKUP(D57,'MPG Payment '!$E$3:$H$333666,4,0)</f>
        <v>Direct</v>
      </c>
      <c r="I57" s="88">
        <f>INDEX('MPG Payment '!$C:$C,MATCH('Shayak Income '!D57,'MPG Payment '!E:E,0))</f>
        <v>1002</v>
      </c>
      <c r="J57" s="88" t="str">
        <f>INDEX('MPG Payment '!$D:$D,MATCH('Shayak Income '!D57,'MPG Payment '!E:E,0))</f>
        <v>Laldiyara</v>
      </c>
      <c r="K57" s="125" t="s">
        <v>1594</v>
      </c>
      <c r="L57" s="125">
        <v>45283</v>
      </c>
      <c r="M57" s="126">
        <f>SUMIF('MPG Payment '!$E$3:$E$344841,'Shayak Income '!D57,'MPG Payment '!$I$3:$I$344841)</f>
        <v>2675.6000000000004</v>
      </c>
      <c r="N57" s="126">
        <f>SUMIF('MPG Payment '!$E$3:$E$344841,'Shayak Income '!D57,'MPG Payment '!$J$3:$J$344841)</f>
        <v>113501.68</v>
      </c>
      <c r="O57" s="126">
        <f t="shared" si="9"/>
        <v>2006.7000000000003</v>
      </c>
      <c r="P57" s="126">
        <f t="shared" si="10"/>
        <v>2541.8200000000002</v>
      </c>
      <c r="Q57" s="126">
        <f>SUMIF('MPG Payment '!$E$3:$E$344841,'Shayak Income '!D57,'MPG Payment '!$S$3:$S$344841)</f>
        <v>1029.6099999999999</v>
      </c>
      <c r="R57" s="126">
        <f t="shared" si="1"/>
        <v>3405.0503999999996</v>
      </c>
      <c r="S57" s="126">
        <f t="shared" si="2"/>
        <v>863.23039999999946</v>
      </c>
      <c r="T57" s="126">
        <f t="shared" si="11"/>
        <v>267.56000000000006</v>
      </c>
      <c r="U57" s="127">
        <f>((((((IF(K57="New",0,SUMIF('MPG Payment '!$E$3:$E$344841,'Shayak Income '!D57,'MPG Payment '!$AC$3:$AC$344841))))+0)+0)+0)+0)+0</f>
        <v>116.1352029335136</v>
      </c>
      <c r="V57" s="127">
        <f t="shared" si="12"/>
        <v>5194</v>
      </c>
      <c r="W57" s="19">
        <f t="shared" si="13"/>
        <v>0</v>
      </c>
      <c r="X57" s="19">
        <f t="shared" si="18"/>
        <v>0</v>
      </c>
      <c r="Y57" s="128">
        <f>IFERROR(VLOOKUP(D57,'Monthly Deduction'!$M$2:$N$640,2,0),0)</f>
        <v>0</v>
      </c>
      <c r="Z57" s="128">
        <v>0</v>
      </c>
      <c r="AA57" s="126">
        <f>IFERROR(VLOOKUP(D57,'Monthly Deduction'!A:B,2,0),0)</f>
        <v>0</v>
      </c>
      <c r="AB57" s="129">
        <f t="shared" si="3"/>
        <v>5194</v>
      </c>
      <c r="AC57" s="130">
        <v>0</v>
      </c>
      <c r="AD57" s="35">
        <f t="shared" si="14"/>
        <v>5194</v>
      </c>
      <c r="AE57" s="166" t="str">
        <f t="shared" si="15"/>
        <v>Release</v>
      </c>
      <c r="AF57" s="127"/>
      <c r="AG57" s="18">
        <v>0</v>
      </c>
      <c r="AH57" s="120"/>
      <c r="AI57" s="238">
        <v>0</v>
      </c>
      <c r="AJ57" s="132"/>
      <c r="AK57" s="151">
        <v>612.20000000000005</v>
      </c>
      <c r="AL57" s="154">
        <f t="shared" si="4"/>
        <v>0</v>
      </c>
      <c r="AM57" s="155"/>
      <c r="AN57" s="19">
        <f t="shared" si="5"/>
        <v>0</v>
      </c>
      <c r="AO57" s="118">
        <f>SUMIF('MPG Payment '!E:E,'Shayak Income '!D57,'MPG Payment '!AJ:AJ)</f>
        <v>0</v>
      </c>
      <c r="AP57" s="19">
        <f t="shared" si="6"/>
        <v>0</v>
      </c>
      <c r="AQ57" s="119">
        <f t="shared" si="16"/>
        <v>0</v>
      </c>
      <c r="AR57" s="91" t="s">
        <v>1144</v>
      </c>
      <c r="AS57" s="91">
        <f t="shared" si="7"/>
        <v>0</v>
      </c>
      <c r="AT57" s="118"/>
      <c r="AU57" s="118"/>
      <c r="AV57" s="118"/>
    </row>
    <row r="58" spans="1:48" s="20" customFormat="1" x14ac:dyDescent="0.25">
      <c r="A58" s="17">
        <f>IFERROR(VLOOKUP(D58,'Monthly Deduction'!$I$3:$J$957,2,0),0)</f>
        <v>0</v>
      </c>
      <c r="B58" s="17">
        <f>IFERROR(VLOOKUP(D58,'Monthly Deduction'!$E$3:$F$957,2,0),0)</f>
        <v>12800</v>
      </c>
      <c r="C58" s="17">
        <f t="shared" si="17"/>
        <v>12800</v>
      </c>
      <c r="D58" s="41">
        <v>10020059</v>
      </c>
      <c r="E58" s="122" t="str">
        <f>VLOOKUP(D58,'MPG Payment '!$E$3:$G$497305,2,0)</f>
        <v>GANGA-SARAI</v>
      </c>
      <c r="F58" s="146">
        <f>IFERROR(_xlfn.XLOOKUP(D58,'Monthly Deduction'!$I$3:$I$957,'Monthly Deduction'!$H$3:$H$957),0)</f>
        <v>0</v>
      </c>
      <c r="G58" s="123" t="str">
        <f>VLOOKUP(D58,'MPG Payment '!$E$3:$G$333666,3,0)</f>
        <v>MPG</v>
      </c>
      <c r="H58" s="124" t="str">
        <f>VLOOKUP(D58,'MPG Payment '!$E$3:$H$333666,4,0)</f>
        <v>Direct</v>
      </c>
      <c r="I58" s="88">
        <f>INDEX('MPG Payment '!$C:$C,MATCH('Shayak Income '!D58,'MPG Payment '!E:E,0))</f>
        <v>1002</v>
      </c>
      <c r="J58" s="88" t="str">
        <f>INDEX('MPG Payment '!$D:$D,MATCH('Shayak Income '!D58,'MPG Payment '!E:E,0))</f>
        <v>Laldiyara</v>
      </c>
      <c r="K58" s="125" t="s">
        <v>1594</v>
      </c>
      <c r="L58" s="125">
        <v>45268</v>
      </c>
      <c r="M58" s="126">
        <f>SUMIF('MPG Payment '!$E$3:$E$344841,'Shayak Income '!D58,'MPG Payment '!$I$3:$I$344841)</f>
        <v>4603.8999999999996</v>
      </c>
      <c r="N58" s="126">
        <f>SUMIF('MPG Payment '!$E$3:$E$344841,'Shayak Income '!D58,'MPG Payment '!$J$3:$J$344841)</f>
        <v>199326.13</v>
      </c>
      <c r="O58" s="126">
        <f t="shared" si="9"/>
        <v>3452.9249999999997</v>
      </c>
      <c r="P58" s="126">
        <f t="shared" si="10"/>
        <v>4373.704999999999</v>
      </c>
      <c r="Q58" s="126">
        <f>SUMIF('MPG Payment '!$E$3:$E$344841,'Shayak Income '!D58,'MPG Payment '!$S$3:$S$344841)</f>
        <v>1771.75</v>
      </c>
      <c r="R58" s="126">
        <f t="shared" si="1"/>
        <v>5979.7839000000004</v>
      </c>
      <c r="S58" s="126">
        <f t="shared" si="2"/>
        <v>1606.0789000000013</v>
      </c>
      <c r="T58" s="126">
        <f t="shared" si="11"/>
        <v>460.39</v>
      </c>
      <c r="U58" s="127">
        <f>((((((IF(K58="New",0,SUMIF('MPG Payment '!$E$3:$E$344841,'Shayak Income '!D58,'MPG Payment '!$AC$3:$AC$344841))))+0)+0)+0)+0)+0</f>
        <v>0</v>
      </c>
      <c r="V58" s="127">
        <f t="shared" si="12"/>
        <v>9138</v>
      </c>
      <c r="W58" s="19">
        <f t="shared" si="13"/>
        <v>0</v>
      </c>
      <c r="X58" s="19">
        <f t="shared" si="18"/>
        <v>3986.5226000000002</v>
      </c>
      <c r="Y58" s="128">
        <f>IFERROR(VLOOKUP(D58,'Monthly Deduction'!$M$2:$N$640,2,0),0)</f>
        <v>0</v>
      </c>
      <c r="Z58" s="128">
        <v>2454.4</v>
      </c>
      <c r="AA58" s="126">
        <f>IFERROR(VLOOKUP(D58,'Monthly Deduction'!A:B,2,0),0)</f>
        <v>1045.56</v>
      </c>
      <c r="AB58" s="129">
        <f t="shared" si="3"/>
        <v>1652</v>
      </c>
      <c r="AC58" s="130">
        <v>0</v>
      </c>
      <c r="AD58" s="35">
        <f t="shared" si="14"/>
        <v>1652</v>
      </c>
      <c r="AE58" s="166" t="str">
        <f t="shared" si="15"/>
        <v>Release</v>
      </c>
      <c r="AF58" s="127"/>
      <c r="AG58" s="18">
        <v>0</v>
      </c>
      <c r="AH58" s="132" t="s">
        <v>1680</v>
      </c>
      <c r="AI58" s="238">
        <v>0</v>
      </c>
      <c r="AJ58" s="132"/>
      <c r="AK58" s="151">
        <v>699.1</v>
      </c>
      <c r="AL58" s="154">
        <f t="shared" si="4"/>
        <v>0</v>
      </c>
      <c r="AM58" s="155"/>
      <c r="AN58" s="19">
        <f t="shared" si="5"/>
        <v>0</v>
      </c>
      <c r="AO58" s="118">
        <f>SUMIF('MPG Payment '!E:E,'Shayak Income '!D58,'MPG Payment '!AJ:AJ)</f>
        <v>0</v>
      </c>
      <c r="AP58" s="19">
        <f t="shared" si="6"/>
        <v>0</v>
      </c>
      <c r="AQ58" s="119">
        <f t="shared" si="16"/>
        <v>0</v>
      </c>
      <c r="AR58" s="91" t="s">
        <v>1144</v>
      </c>
      <c r="AS58" s="91">
        <f t="shared" si="7"/>
        <v>8813.4773999999998</v>
      </c>
      <c r="AT58" s="118"/>
      <c r="AU58" s="118"/>
      <c r="AV58" s="118"/>
    </row>
    <row r="59" spans="1:48" s="20" customFormat="1" x14ac:dyDescent="0.25">
      <c r="A59" s="17">
        <f>IFERROR(VLOOKUP(D59,'Monthly Deduction'!$I$3:$J$957,2,0),0)</f>
        <v>23458.521577673178</v>
      </c>
      <c r="B59" s="17">
        <f>IFERROR(VLOOKUP(D59,'Monthly Deduction'!$E$3:$F$957,2,0),0)</f>
        <v>11212.327325161281</v>
      </c>
      <c r="C59" s="17">
        <f t="shared" si="17"/>
        <v>34670.848902834463</v>
      </c>
      <c r="D59" s="41">
        <v>10020062</v>
      </c>
      <c r="E59" s="122" t="str">
        <f>VLOOKUP(D59,'MPG Payment '!$E$3:$G$497305,2,0)</f>
        <v xml:space="preserve">GOVIND-BIGHA                                                                                        </v>
      </c>
      <c r="F59" s="146">
        <f>IFERROR(_xlfn.XLOOKUP(D59,'Monthly Deduction'!$I$3:$I$957,'Monthly Deduction'!$H$3:$H$957),0)</f>
        <v>0</v>
      </c>
      <c r="G59" s="123" t="str">
        <f>VLOOKUP(D59,'MPG Payment '!$E$3:$G$333666,3,0)</f>
        <v>MPG</v>
      </c>
      <c r="H59" s="124" t="str">
        <f>VLOOKUP(D59,'MPG Payment '!$E$3:$H$333666,4,0)</f>
        <v>Direct</v>
      </c>
      <c r="I59" s="88">
        <f>INDEX('MPG Payment '!$C:$C,MATCH('Shayak Income '!D59,'MPG Payment '!E:E,0))</f>
        <v>1002</v>
      </c>
      <c r="J59" s="88" t="str">
        <f>INDEX('MPG Payment '!$D:$D,MATCH('Shayak Income '!D59,'MPG Payment '!E:E,0))</f>
        <v>Laldiyara</v>
      </c>
      <c r="K59" s="125" t="s">
        <v>1594</v>
      </c>
      <c r="L59" s="125">
        <v>45205</v>
      </c>
      <c r="M59" s="126">
        <f>SUMIF('MPG Payment '!$E$3:$E$344841,'Shayak Income '!D59,'MPG Payment '!$I$3:$I$344841)</f>
        <v>974.1</v>
      </c>
      <c r="N59" s="126">
        <f>SUMIF('MPG Payment '!$E$3:$E$344841,'Shayak Income '!D59,'MPG Payment '!$J$3:$J$344841)</f>
        <v>40954.33</v>
      </c>
      <c r="O59" s="126">
        <f t="shared" si="9"/>
        <v>730.57500000000005</v>
      </c>
      <c r="P59" s="126">
        <f t="shared" si="10"/>
        <v>925.39499999999998</v>
      </c>
      <c r="Q59" s="126">
        <f>SUMIF('MPG Payment '!$E$3:$E$344841,'Shayak Income '!D59,'MPG Payment '!$S$3:$S$344841)</f>
        <v>601.6099999999999</v>
      </c>
      <c r="R59" s="126">
        <f t="shared" si="1"/>
        <v>1228.6298999999999</v>
      </c>
      <c r="S59" s="126">
        <f t="shared" si="2"/>
        <v>303.23489999999993</v>
      </c>
      <c r="T59" s="126">
        <f t="shared" si="11"/>
        <v>97.410000000000011</v>
      </c>
      <c r="U59" s="127">
        <f>((((((IF(K59="New",0,SUMIF('MPG Payment '!$E$3:$E$344841,'Shayak Income '!D59,'MPG Payment '!$AC$3:$AC$344841))))+0)+0)+0)+0)+0</f>
        <v>1552.3951174342956</v>
      </c>
      <c r="V59" s="127">
        <f t="shared" si="12"/>
        <v>608</v>
      </c>
      <c r="W59" s="19">
        <v>608</v>
      </c>
      <c r="X59" s="19">
        <v>0</v>
      </c>
      <c r="Y59" s="128">
        <f>IFERROR(VLOOKUP(D59,'Monthly Deduction'!$M$2:$N$640,2,0),0)</f>
        <v>0</v>
      </c>
      <c r="Z59" s="128">
        <v>0</v>
      </c>
      <c r="AA59" s="126">
        <f>IFERROR(VLOOKUP(D59,'Monthly Deduction'!A:B,2,0),0)</f>
        <v>0</v>
      </c>
      <c r="AB59" s="129">
        <f t="shared" si="3"/>
        <v>0</v>
      </c>
      <c r="AC59" s="130">
        <v>0</v>
      </c>
      <c r="AD59" s="35">
        <f t="shared" si="14"/>
        <v>0</v>
      </c>
      <c r="AE59" s="166" t="str">
        <f t="shared" si="15"/>
        <v>Release</v>
      </c>
      <c r="AF59" s="127"/>
      <c r="AG59" s="18">
        <v>0</v>
      </c>
      <c r="AH59" s="132"/>
      <c r="AI59" s="238">
        <v>0</v>
      </c>
      <c r="AJ59" s="132"/>
      <c r="AK59" s="151">
        <v>246.10000000000005</v>
      </c>
      <c r="AL59" s="154">
        <f t="shared" si="4"/>
        <v>0</v>
      </c>
      <c r="AM59" s="155"/>
      <c r="AN59" s="19">
        <f t="shared" si="5"/>
        <v>1861</v>
      </c>
      <c r="AO59" s="118">
        <f>SUMIF('MPG Payment '!E:E,'Shayak Income '!D59,'MPG Payment '!AJ:AJ)</f>
        <v>0</v>
      </c>
      <c r="AP59" s="19">
        <f t="shared" si="6"/>
        <v>608</v>
      </c>
      <c r="AQ59" s="119">
        <f t="shared" si="16"/>
        <v>608</v>
      </c>
      <c r="AR59" s="91" t="s">
        <v>1144</v>
      </c>
      <c r="AS59" s="91">
        <f t="shared" si="7"/>
        <v>11212.327325161281</v>
      </c>
      <c r="AT59" s="118"/>
      <c r="AU59" s="118"/>
      <c r="AV59" s="118"/>
    </row>
    <row r="60" spans="1:48" s="20" customFormat="1" x14ac:dyDescent="0.25">
      <c r="A60" s="17">
        <f>IFERROR(VLOOKUP(D60,'Monthly Deduction'!$I$3:$J$957,2,0),0)</f>
        <v>0</v>
      </c>
      <c r="B60" s="17">
        <f>IFERROR(VLOOKUP(D60,'Monthly Deduction'!$E$3:$F$957,2,0),0)</f>
        <v>0</v>
      </c>
      <c r="C60" s="17">
        <f t="shared" si="17"/>
        <v>0</v>
      </c>
      <c r="D60" s="41">
        <v>10020063</v>
      </c>
      <c r="E60" s="122" t="str">
        <f>VLOOKUP(D60,'MPG Payment '!$E$3:$G$497305,2,0)</f>
        <v>MALPUR                                                                                              </v>
      </c>
      <c r="F60" s="146">
        <f>IFERROR(_xlfn.XLOOKUP(D60,'Monthly Deduction'!$I$3:$I$957,'Monthly Deduction'!$H$3:$H$957),0)</f>
        <v>0</v>
      </c>
      <c r="G60" s="123" t="str">
        <f>VLOOKUP(D60,'MPG Payment '!$E$3:$G$333666,3,0)</f>
        <v>MPG</v>
      </c>
      <c r="H60" s="124" t="str">
        <f>VLOOKUP(D60,'MPG Payment '!$E$3:$H$333666,4,0)</f>
        <v>Direct</v>
      </c>
      <c r="I60" s="88">
        <f>INDEX('MPG Payment '!$C:$C,MATCH('Shayak Income '!D60,'MPG Payment '!E:E,0))</f>
        <v>1002</v>
      </c>
      <c r="J60" s="88" t="str">
        <f>INDEX('MPG Payment '!$D:$D,MATCH('Shayak Income '!D60,'MPG Payment '!E:E,0))</f>
        <v>Laldiyara</v>
      </c>
      <c r="K60" s="125" t="s">
        <v>1594</v>
      </c>
      <c r="L60" s="125">
        <v>45198</v>
      </c>
      <c r="M60" s="126">
        <f>SUMIF('MPG Payment '!$E$3:$E$344841,'Shayak Income '!D60,'MPG Payment '!$I$3:$I$344841)</f>
        <v>3929.5</v>
      </c>
      <c r="N60" s="126">
        <f>SUMIF('MPG Payment '!$E$3:$E$344841,'Shayak Income '!D60,'MPG Payment '!$J$3:$J$344841)</f>
        <v>180757.10000000003</v>
      </c>
      <c r="O60" s="126">
        <f t="shared" si="9"/>
        <v>2947.125</v>
      </c>
      <c r="P60" s="126">
        <f t="shared" si="10"/>
        <v>3733.0249999999996</v>
      </c>
      <c r="Q60" s="126">
        <f>SUMIF('MPG Payment '!$E$3:$E$344841,'Shayak Income '!D60,'MPG Payment '!$S$3:$S$344841)</f>
        <v>1337.54</v>
      </c>
      <c r="R60" s="126">
        <f t="shared" si="1"/>
        <v>5422.7130000000006</v>
      </c>
      <c r="S60" s="126">
        <f t="shared" si="2"/>
        <v>1689.688000000001</v>
      </c>
      <c r="T60" s="126">
        <f t="shared" si="11"/>
        <v>392.95000000000005</v>
      </c>
      <c r="U60" s="127">
        <f>((((((IF(K60="New",0,SUMIF('MPG Payment '!$E$3:$E$344841,'Shayak Income '!D60,'MPG Payment '!$AC$3:$AC$344841))))+0)+0)+0)+0)+0</f>
        <v>0</v>
      </c>
      <c r="V60" s="127">
        <f t="shared" si="12"/>
        <v>7625</v>
      </c>
      <c r="W60" s="19">
        <f t="shared" si="13"/>
        <v>0</v>
      </c>
      <c r="X60" s="19">
        <f t="shared" si="18"/>
        <v>0</v>
      </c>
      <c r="Y60" s="128">
        <f>IFERROR(VLOOKUP(D60,'Monthly Deduction'!$M$2:$N$640,2,0),0)</f>
        <v>0</v>
      </c>
      <c r="Z60" s="128">
        <v>0</v>
      </c>
      <c r="AA60" s="126">
        <f>IFERROR(VLOOKUP(D60,'Monthly Deduction'!A:B,2,0),0)</f>
        <v>0</v>
      </c>
      <c r="AB60" s="129">
        <f t="shared" si="3"/>
        <v>7625</v>
      </c>
      <c r="AC60" s="130">
        <v>0</v>
      </c>
      <c r="AD60" s="35">
        <f t="shared" si="14"/>
        <v>7625</v>
      </c>
      <c r="AE60" s="166" t="str">
        <f t="shared" si="15"/>
        <v>Release</v>
      </c>
      <c r="AF60" s="127"/>
      <c r="AG60" s="18">
        <v>0</v>
      </c>
      <c r="AH60" s="120"/>
      <c r="AI60" s="238">
        <v>0</v>
      </c>
      <c r="AJ60" s="132"/>
      <c r="AK60" s="151">
        <v>1022.1</v>
      </c>
      <c r="AL60" s="154">
        <f t="shared" si="4"/>
        <v>0</v>
      </c>
      <c r="AM60" s="155"/>
      <c r="AN60" s="19">
        <f t="shared" si="5"/>
        <v>0</v>
      </c>
      <c r="AO60" s="118">
        <f>SUMIF('MPG Payment '!E:E,'Shayak Income '!D60,'MPG Payment '!AJ:AJ)</f>
        <v>0</v>
      </c>
      <c r="AP60" s="19">
        <f t="shared" si="6"/>
        <v>0</v>
      </c>
      <c r="AQ60" s="119">
        <f t="shared" si="16"/>
        <v>0</v>
      </c>
      <c r="AR60" s="91" t="s">
        <v>1144</v>
      </c>
      <c r="AS60" s="91">
        <f t="shared" si="7"/>
        <v>0</v>
      </c>
      <c r="AT60" s="118"/>
      <c r="AU60" s="118"/>
      <c r="AV60" s="118"/>
    </row>
    <row r="61" spans="1:48" s="20" customFormat="1" x14ac:dyDescent="0.25">
      <c r="A61" s="17">
        <f>IFERROR(VLOOKUP(D61,'Monthly Deduction'!$I$3:$J$957,2,0),0)</f>
        <v>0</v>
      </c>
      <c r="B61" s="17">
        <f>IFERROR(VLOOKUP(D61,'Monthly Deduction'!$E$3:$F$957,2,0),0)</f>
        <v>0</v>
      </c>
      <c r="C61" s="17">
        <f t="shared" si="17"/>
        <v>0</v>
      </c>
      <c r="D61" s="41">
        <v>10020064</v>
      </c>
      <c r="E61" s="122" t="str">
        <f>VLOOKUP(D61,'MPG Payment '!$E$3:$G$497305,2,0)</f>
        <v>Gomukh Hasanpur</v>
      </c>
      <c r="F61" s="146">
        <f>IFERROR(_xlfn.XLOOKUP(D61,'Monthly Deduction'!$I$3:$I$957,'Monthly Deduction'!$H$3:$H$957),0)</f>
        <v>0</v>
      </c>
      <c r="G61" s="123" t="str">
        <f>VLOOKUP(D61,'MPG Payment '!$E$3:$G$333666,3,0)</f>
        <v>vlc</v>
      </c>
      <c r="H61" s="124" t="str">
        <f>VLOOKUP(D61,'MPG Payment '!$E$3:$H$333666,4,0)</f>
        <v>Indirect</v>
      </c>
      <c r="I61" s="88">
        <f>INDEX('MPG Payment '!$C:$C,MATCH('Shayak Income '!D61,'MPG Payment '!E:E,0))</f>
        <v>1002</v>
      </c>
      <c r="J61" s="88" t="str">
        <f>INDEX('MPG Payment '!$D:$D,MATCH('Shayak Income '!D61,'MPG Payment '!E:E,0))</f>
        <v>Laldiyara</v>
      </c>
      <c r="K61" s="125" t="s">
        <v>1594</v>
      </c>
      <c r="L61" s="125">
        <v>44958</v>
      </c>
      <c r="M61" s="126">
        <f>SUMIF('MPG Payment '!$E$3:$E$344841,'Shayak Income '!D61,'MPG Payment '!$I$3:$I$344841)</f>
        <v>2239.6</v>
      </c>
      <c r="N61" s="126">
        <f>SUMIF('MPG Payment '!$E$3:$E$344841,'Shayak Income '!D61,'MPG Payment '!$J$3:$J$344841)</f>
        <v>93575.109999999971</v>
      </c>
      <c r="O61" s="126">
        <f t="shared" si="9"/>
        <v>1679.6999999999998</v>
      </c>
      <c r="P61" s="126">
        <f t="shared" si="10"/>
        <v>2127.62</v>
      </c>
      <c r="Q61" s="126">
        <f>SUMIF('MPG Payment '!$E$3:$E$344841,'Shayak Income '!D61,'MPG Payment '!$S$3:$S$344841)</f>
        <v>0</v>
      </c>
      <c r="R61" s="126">
        <f t="shared" si="1"/>
        <v>2807.2532999999989</v>
      </c>
      <c r="S61" s="126">
        <f t="shared" si="2"/>
        <v>679.63329999999905</v>
      </c>
      <c r="T61" s="126">
        <f t="shared" si="11"/>
        <v>223.96</v>
      </c>
      <c r="U61" s="127">
        <f>((((((IF(K61="New",0,SUMIF('MPG Payment '!$E$3:$E$344841,'Shayak Income '!D61,'MPG Payment '!$AC$3:$AC$344841))))+0)+0)+0)+0)+0</f>
        <v>827.03251792382696</v>
      </c>
      <c r="V61" s="127">
        <f t="shared" si="12"/>
        <v>2756</v>
      </c>
      <c r="W61" s="19">
        <f t="shared" si="13"/>
        <v>0</v>
      </c>
      <c r="X61" s="19">
        <f t="shared" si="18"/>
        <v>0</v>
      </c>
      <c r="Y61" s="128">
        <f>IFERROR(VLOOKUP(D61,'Monthly Deduction'!$M$2:$N$640,2,0),0)</f>
        <v>0</v>
      </c>
      <c r="Z61" s="128">
        <v>0</v>
      </c>
      <c r="AA61" s="126">
        <f>IFERROR(VLOOKUP(D61,'Monthly Deduction'!A:B,2,0),0)</f>
        <v>0</v>
      </c>
      <c r="AB61" s="129">
        <f t="shared" si="3"/>
        <v>2756</v>
      </c>
      <c r="AC61" s="130">
        <v>0</v>
      </c>
      <c r="AD61" s="35">
        <f t="shared" si="14"/>
        <v>2756</v>
      </c>
      <c r="AE61" s="166" t="str">
        <f t="shared" si="15"/>
        <v>Release</v>
      </c>
      <c r="AF61" s="127"/>
      <c r="AG61" s="127">
        <v>0</v>
      </c>
      <c r="AH61" s="120"/>
      <c r="AI61" s="238">
        <v>0</v>
      </c>
      <c r="AJ61" s="132"/>
      <c r="AK61" s="151">
        <v>94.59999999999998</v>
      </c>
      <c r="AL61" s="154">
        <f t="shared" si="4"/>
        <v>0</v>
      </c>
      <c r="AM61" s="155"/>
      <c r="AN61" s="19">
        <f t="shared" si="5"/>
        <v>0</v>
      </c>
      <c r="AO61" s="118">
        <f>SUMIF('MPG Payment '!E:E,'Shayak Income '!D61,'MPG Payment '!AJ:AJ)</f>
        <v>0</v>
      </c>
      <c r="AP61" s="19">
        <f t="shared" si="6"/>
        <v>0</v>
      </c>
      <c r="AQ61" s="119">
        <f t="shared" si="16"/>
        <v>0</v>
      </c>
      <c r="AR61" s="91" t="s">
        <v>1144</v>
      </c>
      <c r="AS61" s="91">
        <f t="shared" si="7"/>
        <v>0</v>
      </c>
      <c r="AT61" s="118"/>
      <c r="AU61" s="118"/>
      <c r="AV61" s="118"/>
    </row>
    <row r="62" spans="1:48" s="20" customFormat="1" x14ac:dyDescent="0.25">
      <c r="A62" s="17">
        <f>IFERROR(VLOOKUP(D62,'Monthly Deduction'!$I$3:$J$957,2,0),0)</f>
        <v>0</v>
      </c>
      <c r="B62" s="17">
        <f>IFERROR(VLOOKUP(D62,'Monthly Deduction'!$E$3:$F$957,2,0),0)</f>
        <v>0</v>
      </c>
      <c r="C62" s="17">
        <f t="shared" si="17"/>
        <v>0</v>
      </c>
      <c r="D62" s="41">
        <v>10020067</v>
      </c>
      <c r="E62" s="122" t="str">
        <f>VLOOKUP(D62,'MPG Payment '!$E$3:$G$497305,2,0)</f>
        <v>ADARSH LAXMIPUR-2</v>
      </c>
      <c r="F62" s="146">
        <f>IFERROR(_xlfn.XLOOKUP(D62,'Monthly Deduction'!$I$3:$I$957,'Monthly Deduction'!$H$3:$H$957),0)</f>
        <v>0</v>
      </c>
      <c r="G62" s="123" t="str">
        <f>VLOOKUP(D62,'MPG Payment '!$E$3:$G$333666,3,0)</f>
        <v>vlc</v>
      </c>
      <c r="H62" s="124" t="str">
        <f>VLOOKUP(D62,'MPG Payment '!$E$3:$H$333666,4,0)</f>
        <v>Indirect</v>
      </c>
      <c r="I62" s="88">
        <f>INDEX('MPG Payment '!$C:$C,MATCH('Shayak Income '!D62,'MPG Payment '!E:E,0))</f>
        <v>1002</v>
      </c>
      <c r="J62" s="88" t="str">
        <f>INDEX('MPG Payment '!$D:$D,MATCH('Shayak Income '!D62,'MPG Payment '!E:E,0))</f>
        <v>Laldiyara</v>
      </c>
      <c r="K62" s="125" t="s">
        <v>1594</v>
      </c>
      <c r="L62" s="125">
        <v>45423</v>
      </c>
      <c r="M62" s="126">
        <f>SUMIF('MPG Payment '!$E$3:$E$344841,'Shayak Income '!D62,'MPG Payment '!$I$3:$I$344841)</f>
        <v>2566.8000000000002</v>
      </c>
      <c r="N62" s="126">
        <f>SUMIF('MPG Payment '!$E$3:$E$344841,'Shayak Income '!D62,'MPG Payment '!$J$3:$J$344841)</f>
        <v>105856.78999999998</v>
      </c>
      <c r="O62" s="126">
        <f t="shared" si="9"/>
        <v>1925.1000000000001</v>
      </c>
      <c r="P62" s="126">
        <f t="shared" si="10"/>
        <v>2438.46</v>
      </c>
      <c r="Q62" s="126">
        <f>SUMIF('MPG Payment '!$E$3:$E$344841,'Shayak Income '!D62,'MPG Payment '!$S$3:$S$344841)</f>
        <v>0</v>
      </c>
      <c r="R62" s="126">
        <f t="shared" si="1"/>
        <v>3175.7036999999991</v>
      </c>
      <c r="S62" s="126">
        <f t="shared" si="2"/>
        <v>737.24369999999908</v>
      </c>
      <c r="T62" s="126">
        <f t="shared" si="11"/>
        <v>256.68</v>
      </c>
      <c r="U62" s="127">
        <f>((((((IF(K62="New",0,SUMIF('MPG Payment '!$E$3:$E$344841,'Shayak Income '!D62,'MPG Payment '!$AC$3:$AC$344841))))+0)+0)+0)+0)+0</f>
        <v>0</v>
      </c>
      <c r="V62" s="127">
        <f t="shared" si="12"/>
        <v>4107</v>
      </c>
      <c r="W62" s="19">
        <f t="shared" si="13"/>
        <v>0</v>
      </c>
      <c r="X62" s="19">
        <f t="shared" si="18"/>
        <v>0</v>
      </c>
      <c r="Y62" s="128">
        <f>IFERROR(VLOOKUP(D62,'Monthly Deduction'!$M$2:$N$640,2,0),0)</f>
        <v>0</v>
      </c>
      <c r="Z62" s="128">
        <v>0</v>
      </c>
      <c r="AA62" s="126">
        <f>IFERROR(VLOOKUP(D62,'Monthly Deduction'!A:B,2,0),0)</f>
        <v>0</v>
      </c>
      <c r="AB62" s="129">
        <f t="shared" si="3"/>
        <v>4107</v>
      </c>
      <c r="AC62" s="130">
        <f t="shared" ref="AC62:AC64" si="19">AB62</f>
        <v>4107</v>
      </c>
      <c r="AD62" s="35">
        <f t="shared" si="14"/>
        <v>0</v>
      </c>
      <c r="AE62" s="166" t="str">
        <f t="shared" si="15"/>
        <v>Yes</v>
      </c>
      <c r="AF62" s="127"/>
      <c r="AG62" s="18">
        <v>0</v>
      </c>
      <c r="AH62" s="132" t="s">
        <v>1597</v>
      </c>
      <c r="AI62" s="238">
        <v>0</v>
      </c>
      <c r="AJ62" s="132"/>
      <c r="AK62" s="151">
        <v>0</v>
      </c>
      <c r="AL62" s="154">
        <f t="shared" si="4"/>
        <v>0</v>
      </c>
      <c r="AM62" s="155"/>
      <c r="AN62" s="19">
        <f t="shared" si="5"/>
        <v>0</v>
      </c>
      <c r="AO62" s="118">
        <f>SUMIF('MPG Payment '!E:E,'Shayak Income '!D62,'MPG Payment '!AJ:AJ)</f>
        <v>0</v>
      </c>
      <c r="AP62" s="19">
        <f t="shared" si="6"/>
        <v>0</v>
      </c>
      <c r="AQ62" s="119">
        <f t="shared" si="16"/>
        <v>0</v>
      </c>
      <c r="AR62" s="91" t="s">
        <v>1144</v>
      </c>
      <c r="AS62" s="91">
        <f t="shared" si="7"/>
        <v>0</v>
      </c>
      <c r="AT62" s="118"/>
      <c r="AU62" s="118"/>
      <c r="AV62" s="118"/>
    </row>
    <row r="63" spans="1:48" s="20" customFormat="1" x14ac:dyDescent="0.25">
      <c r="A63" s="17">
        <f>IFERROR(VLOOKUP(D63,'Monthly Deduction'!$I$3:$J$957,2,0),0)</f>
        <v>17150.122882344294</v>
      </c>
      <c r="B63" s="17">
        <f>IFERROR(VLOOKUP(D63,'Monthly Deduction'!$E$3:$F$957,2,0),0)</f>
        <v>9080.5223999999998</v>
      </c>
      <c r="C63" s="17">
        <f t="shared" si="17"/>
        <v>26230.645282344296</v>
      </c>
      <c r="D63" s="41">
        <v>10020068</v>
      </c>
      <c r="E63" s="122" t="str">
        <f>VLOOKUP(D63,'MPG Payment '!$E$3:$G$497305,2,0)</f>
        <v>SABIKPUR</v>
      </c>
      <c r="F63" s="146">
        <f>IFERROR(_xlfn.XLOOKUP(D63,'Monthly Deduction'!$I$3:$I$957,'Monthly Deduction'!$H$3:$H$957),0)</f>
        <v>0</v>
      </c>
      <c r="G63" s="123" t="str">
        <f>VLOOKUP(D63,'MPG Payment '!$E$3:$G$333666,3,0)</f>
        <v>MPG</v>
      </c>
      <c r="H63" s="124" t="str">
        <f>VLOOKUP(D63,'MPG Payment '!$E$3:$H$333666,4,0)</f>
        <v>Direct</v>
      </c>
      <c r="I63" s="88">
        <f>INDEX('MPG Payment '!$C:$C,MATCH('Shayak Income '!D63,'MPG Payment '!E:E,0))</f>
        <v>1002</v>
      </c>
      <c r="J63" s="88" t="str">
        <f>INDEX('MPG Payment '!$D:$D,MATCH('Shayak Income '!D63,'MPG Payment '!E:E,0))</f>
        <v>Laldiyara</v>
      </c>
      <c r="K63" s="125" t="s">
        <v>1594</v>
      </c>
      <c r="L63" s="125">
        <v>45491</v>
      </c>
      <c r="M63" s="126">
        <f>SUMIF('MPG Payment '!$E$3:$E$344841,'Shayak Income '!D63,'MPG Payment '!$I$3:$I$344841)</f>
        <v>5869.7</v>
      </c>
      <c r="N63" s="126">
        <f>SUMIF('MPG Payment '!$E$3:$E$344841,'Shayak Income '!D63,'MPG Payment '!$J$3:$J$344841)</f>
        <v>253795.61000000002</v>
      </c>
      <c r="O63" s="126">
        <f t="shared" si="9"/>
        <v>4402.2749999999996</v>
      </c>
      <c r="P63" s="126">
        <f t="shared" si="10"/>
        <v>5576.2149999999992</v>
      </c>
      <c r="Q63" s="126">
        <f>SUMIF('MPG Payment '!$E$3:$E$344841,'Shayak Income '!D63,'MPG Payment '!$S$3:$S$344841)</f>
        <v>0</v>
      </c>
      <c r="R63" s="126">
        <f t="shared" si="1"/>
        <v>7613.8683000000001</v>
      </c>
      <c r="S63" s="126">
        <f t="shared" si="2"/>
        <v>2037.6533000000009</v>
      </c>
      <c r="T63" s="126">
        <f t="shared" si="11"/>
        <v>586.97</v>
      </c>
      <c r="U63" s="127">
        <f>((((((IF(K63="New",0,SUMIF('MPG Payment '!$E$3:$E$344841,'Shayak Income '!D63,'MPG Payment '!$AC$3:$AC$344841))))+0)+0)+0)+0)+0</f>
        <v>0</v>
      </c>
      <c r="V63" s="127">
        <f t="shared" si="12"/>
        <v>9392</v>
      </c>
      <c r="W63" s="19">
        <f t="shared" si="13"/>
        <v>5075.9122000000007</v>
      </c>
      <c r="X63" s="19">
        <v>0</v>
      </c>
      <c r="Y63" s="128">
        <f>IFERROR(VLOOKUP(D63,'Monthly Deduction'!$M$2:$N$640,2,0),0)</f>
        <v>0</v>
      </c>
      <c r="Z63" s="128">
        <v>0</v>
      </c>
      <c r="AA63" s="126">
        <f>IFERROR(VLOOKUP(D63,'Monthly Deduction'!A:B,2,0),0)</f>
        <v>0</v>
      </c>
      <c r="AB63" s="129">
        <f t="shared" si="3"/>
        <v>4316</v>
      </c>
      <c r="AC63" s="130">
        <f t="shared" si="19"/>
        <v>4316</v>
      </c>
      <c r="AD63" s="35">
        <f t="shared" si="14"/>
        <v>0</v>
      </c>
      <c r="AE63" s="166" t="str">
        <f t="shared" si="15"/>
        <v>Yes</v>
      </c>
      <c r="AF63" s="127"/>
      <c r="AG63" s="18">
        <v>0</v>
      </c>
      <c r="AH63" s="120" t="s">
        <v>1683</v>
      </c>
      <c r="AI63" s="238">
        <v>0</v>
      </c>
      <c r="AJ63" s="132"/>
      <c r="AK63" s="151">
        <v>1413.1</v>
      </c>
      <c r="AL63" s="154">
        <f t="shared" si="4"/>
        <v>0</v>
      </c>
      <c r="AM63" s="155"/>
      <c r="AN63" s="19">
        <f t="shared" si="5"/>
        <v>5075.9122000000007</v>
      </c>
      <c r="AO63" s="118">
        <f>SUMIF('MPG Payment '!E:E,'Shayak Income '!D63,'MPG Payment '!AJ:AJ)</f>
        <v>0</v>
      </c>
      <c r="AP63" s="19">
        <f t="shared" si="6"/>
        <v>5075.9122000000007</v>
      </c>
      <c r="AQ63" s="119">
        <f t="shared" si="16"/>
        <v>5075.9122000000007</v>
      </c>
      <c r="AR63" s="91" t="s">
        <v>1144</v>
      </c>
      <c r="AS63" s="91">
        <f t="shared" si="7"/>
        <v>9080.5223999999998</v>
      </c>
      <c r="AT63" s="118"/>
      <c r="AU63" s="118"/>
      <c r="AV63" s="118"/>
    </row>
    <row r="64" spans="1:48" s="20" customFormat="1" x14ac:dyDescent="0.25">
      <c r="A64" s="17">
        <f>IFERROR(VLOOKUP(D64,'Monthly Deduction'!$I$3:$J$957,2,0),0)</f>
        <v>89601.602786046366</v>
      </c>
      <c r="B64" s="17">
        <f>IFERROR(VLOOKUP(D64,'Monthly Deduction'!$E$3:$F$957,2,0),0)</f>
        <v>9600</v>
      </c>
      <c r="C64" s="17">
        <f t="shared" si="17"/>
        <v>99201.602786046366</v>
      </c>
      <c r="D64" s="41">
        <v>10020069</v>
      </c>
      <c r="E64" s="122" t="str">
        <f>VLOOKUP(D64,'MPG Payment '!$E$3:$G$497305,2,0)</f>
        <v>CHETAN-TOLA-KHUTHA</v>
      </c>
      <c r="F64" s="146">
        <f>IFERROR(_xlfn.XLOOKUP(D64,'Monthly Deduction'!$I$3:$I$957,'Monthly Deduction'!$H$3:$H$957),0)</f>
        <v>0</v>
      </c>
      <c r="G64" s="123" t="str">
        <f>VLOOKUP(D64,'MPG Payment '!$E$3:$G$333666,3,0)</f>
        <v>MPG</v>
      </c>
      <c r="H64" s="124" t="str">
        <f>VLOOKUP(D64,'MPG Payment '!$E$3:$H$333666,4,0)</f>
        <v>Direct</v>
      </c>
      <c r="I64" s="88">
        <f>INDEX('MPG Payment '!$C:$C,MATCH('Shayak Income '!D64,'MPG Payment '!E:E,0))</f>
        <v>1002</v>
      </c>
      <c r="J64" s="88" t="str">
        <f>INDEX('MPG Payment '!$D:$D,MATCH('Shayak Income '!D64,'MPG Payment '!E:E,0))</f>
        <v>Laldiyara</v>
      </c>
      <c r="K64" s="125" t="s">
        <v>1594</v>
      </c>
      <c r="L64" s="125">
        <v>45567</v>
      </c>
      <c r="M64" s="126">
        <f>SUMIF('MPG Payment '!$E$3:$E$344841,'Shayak Income '!D64,'MPG Payment '!$I$3:$I$344841)</f>
        <v>728.19999999999993</v>
      </c>
      <c r="N64" s="126">
        <f>SUMIF('MPG Payment '!$E$3:$E$344841,'Shayak Income '!D64,'MPG Payment '!$J$3:$J$344841)</f>
        <v>31582.78</v>
      </c>
      <c r="O64" s="126">
        <f t="shared" si="9"/>
        <v>546.15</v>
      </c>
      <c r="P64" s="126">
        <f t="shared" si="10"/>
        <v>691.78999999999985</v>
      </c>
      <c r="Q64" s="126">
        <f>SUMIF('MPG Payment '!$E$3:$E$344841,'Shayak Income '!D64,'MPG Payment '!$S$3:$S$344841)</f>
        <v>47.14</v>
      </c>
      <c r="R64" s="126">
        <f t="shared" si="1"/>
        <v>947.48339999999996</v>
      </c>
      <c r="S64" s="126">
        <f t="shared" si="2"/>
        <v>255.69340000000011</v>
      </c>
      <c r="T64" s="126">
        <f t="shared" si="11"/>
        <v>72.819999999999993</v>
      </c>
      <c r="U64" s="127">
        <f>((((((IF(K64="New",0,SUMIF('MPG Payment '!$E$3:$E$344841,'Shayak Income '!D64,'MPG Payment '!$AC$3:$AC$344841))))+0)+0)+0)+0)+-588</f>
        <v>1212.6100814294227</v>
      </c>
      <c r="V64" s="127">
        <f t="shared" si="12"/>
        <v>0</v>
      </c>
      <c r="W64" s="19">
        <v>0</v>
      </c>
      <c r="X64" s="19">
        <v>0</v>
      </c>
      <c r="Y64" s="128">
        <v>0</v>
      </c>
      <c r="Z64" s="128">
        <v>0</v>
      </c>
      <c r="AA64" s="126">
        <v>0</v>
      </c>
      <c r="AB64" s="129">
        <f t="shared" si="3"/>
        <v>0</v>
      </c>
      <c r="AC64" s="130">
        <f t="shared" si="19"/>
        <v>0</v>
      </c>
      <c r="AD64" s="35">
        <f t="shared" si="14"/>
        <v>0</v>
      </c>
      <c r="AE64" s="166" t="str">
        <f t="shared" si="15"/>
        <v>Release</v>
      </c>
      <c r="AF64" s="127"/>
      <c r="AG64" s="18">
        <v>0</v>
      </c>
      <c r="AH64" s="120" t="s">
        <v>1686</v>
      </c>
      <c r="AI64" s="238">
        <v>20000</v>
      </c>
      <c r="AJ64" s="132"/>
      <c r="AK64" s="151">
        <v>253.09999999999997</v>
      </c>
      <c r="AL64" s="154">
        <f t="shared" si="4"/>
        <v>0</v>
      </c>
      <c r="AM64" s="155"/>
      <c r="AN64" s="19">
        <f t="shared" si="5"/>
        <v>1861</v>
      </c>
      <c r="AO64" s="118">
        <f>SUMIF('MPG Payment '!E:E,'Shayak Income '!D64,'MPG Payment '!AJ:AJ)</f>
        <v>2000</v>
      </c>
      <c r="AP64" s="19">
        <f t="shared" si="6"/>
        <v>0</v>
      </c>
      <c r="AQ64" s="119">
        <f t="shared" si="16"/>
        <v>2000</v>
      </c>
      <c r="AR64" s="91" t="s">
        <v>1144</v>
      </c>
      <c r="AS64" s="91">
        <f t="shared" si="7"/>
        <v>9600</v>
      </c>
      <c r="AT64" s="118"/>
      <c r="AU64" s="118"/>
      <c r="AV64" s="118"/>
    </row>
    <row r="65" spans="1:48" s="20" customFormat="1" x14ac:dyDescent="0.25">
      <c r="A65" s="17">
        <f>IFERROR(VLOOKUP(D65,'Monthly Deduction'!$I$3:$J$957,2,0),0)</f>
        <v>31497.079153006081</v>
      </c>
      <c r="B65" s="17">
        <f>IFERROR(VLOOKUP(D65,'Monthly Deduction'!$E$3:$F$957,2,0),0)</f>
        <v>6400</v>
      </c>
      <c r="C65" s="17">
        <f t="shared" si="17"/>
        <v>37897.079153006081</v>
      </c>
      <c r="D65" s="41">
        <v>10020070</v>
      </c>
      <c r="E65" s="122" t="str">
        <f>VLOOKUP(D65,'MPG Payment '!$E$3:$G$497305,2,0)</f>
        <v>LAXMIPUR</v>
      </c>
      <c r="F65" s="146">
        <f>IFERROR(_xlfn.XLOOKUP(D65,'Monthly Deduction'!$I$3:$I$957,'Monthly Deduction'!$H$3:$H$957),0)</f>
        <v>0</v>
      </c>
      <c r="G65" s="123" t="str">
        <f>VLOOKUP(D65,'MPG Payment '!$E$3:$G$333666,3,0)</f>
        <v>MPG</v>
      </c>
      <c r="H65" s="124" t="str">
        <f>VLOOKUP(D65,'MPG Payment '!$E$3:$H$333666,4,0)</f>
        <v>Direct</v>
      </c>
      <c r="I65" s="88">
        <f>INDEX('MPG Payment '!$C:$C,MATCH('Shayak Income '!D65,'MPG Payment '!E:E,0))</f>
        <v>1002</v>
      </c>
      <c r="J65" s="88" t="str">
        <f>INDEX('MPG Payment '!$D:$D,MATCH('Shayak Income '!D65,'MPG Payment '!E:E,0))</f>
        <v>Laldiyara</v>
      </c>
      <c r="K65" s="125" t="s">
        <v>1594</v>
      </c>
      <c r="L65" s="125">
        <v>45618</v>
      </c>
      <c r="M65" s="126">
        <f>SUMIF('MPG Payment '!$E$3:$E$344841,'Shayak Income '!D65,'MPG Payment '!$I$3:$I$344841)</f>
        <v>3035.2</v>
      </c>
      <c r="N65" s="126">
        <f>SUMIF('MPG Payment '!$E$3:$E$344841,'Shayak Income '!D65,'MPG Payment '!$J$3:$J$344841)</f>
        <v>121081.77000000002</v>
      </c>
      <c r="O65" s="126">
        <f t="shared" si="9"/>
        <v>2276.3999999999996</v>
      </c>
      <c r="P65" s="126">
        <f t="shared" si="10"/>
        <v>2883.4399999999996</v>
      </c>
      <c r="Q65" s="126">
        <f>SUMIF('MPG Payment '!$E$3:$E$344841,'Shayak Income '!D65,'MPG Payment '!$S$3:$S$344841)</f>
        <v>0</v>
      </c>
      <c r="R65" s="126">
        <f t="shared" si="1"/>
        <v>3632.4531000000006</v>
      </c>
      <c r="S65" s="126">
        <f t="shared" si="2"/>
        <v>749.01310000000103</v>
      </c>
      <c r="T65" s="126">
        <f t="shared" si="11"/>
        <v>303.52</v>
      </c>
      <c r="U65" s="127">
        <f>((((((IF(K65="New",0,SUMIF('MPG Payment '!$E$3:$E$344841,'Shayak Income '!D65,'MPG Payment '!$AC$3:$AC$344841))))+0)+0)+0)+0)+0</f>
        <v>1.8499641393149355</v>
      </c>
      <c r="V65" s="127">
        <f t="shared" si="12"/>
        <v>4854</v>
      </c>
      <c r="W65" s="19">
        <f t="shared" si="13"/>
        <v>2421.6354000000006</v>
      </c>
      <c r="X65" s="19">
        <v>0</v>
      </c>
      <c r="Y65" s="128">
        <f>IFERROR(VLOOKUP(D65,'Monthly Deduction'!$M$2:$N$640,2,0),0)</f>
        <v>465</v>
      </c>
      <c r="Z65" s="128">
        <v>0</v>
      </c>
      <c r="AA65" s="126">
        <f>IFERROR(VLOOKUP(D65,'Monthly Deduction'!A:B,2,0),0)</f>
        <v>0</v>
      </c>
      <c r="AB65" s="129">
        <f t="shared" si="3"/>
        <v>1967</v>
      </c>
      <c r="AC65" s="130">
        <v>0</v>
      </c>
      <c r="AD65" s="35">
        <f t="shared" si="14"/>
        <v>1967</v>
      </c>
      <c r="AE65" s="166" t="str">
        <f t="shared" si="15"/>
        <v>Release</v>
      </c>
      <c r="AF65" s="127"/>
      <c r="AG65" s="18">
        <v>0</v>
      </c>
      <c r="AH65" s="120"/>
      <c r="AI65" s="238">
        <v>0</v>
      </c>
      <c r="AJ65" s="132"/>
      <c r="AK65" s="151">
        <v>648.99999999999989</v>
      </c>
      <c r="AL65" s="154">
        <f t="shared" si="4"/>
        <v>0</v>
      </c>
      <c r="AM65" s="155"/>
      <c r="AN65" s="19">
        <f t="shared" si="5"/>
        <v>2421.6354000000006</v>
      </c>
      <c r="AO65" s="118">
        <f>SUMIF('MPG Payment '!E:E,'Shayak Income '!D65,'MPG Payment '!AJ:AJ)</f>
        <v>0</v>
      </c>
      <c r="AP65" s="19">
        <f t="shared" si="6"/>
        <v>2421.6354000000006</v>
      </c>
      <c r="AQ65" s="119">
        <f t="shared" si="16"/>
        <v>2421.6354000000006</v>
      </c>
      <c r="AR65" s="91" t="s">
        <v>1144</v>
      </c>
      <c r="AS65" s="91">
        <f t="shared" si="7"/>
        <v>6400</v>
      </c>
      <c r="AT65" s="118"/>
      <c r="AU65" s="118"/>
      <c r="AV65" s="118"/>
    </row>
    <row r="66" spans="1:48" s="20" customFormat="1" x14ac:dyDescent="0.25">
      <c r="A66" s="17">
        <f>IFERROR(VLOOKUP(D66,'Monthly Deduction'!$I$3:$J$957,2,0),0)</f>
        <v>0</v>
      </c>
      <c r="B66" s="17">
        <f>IFERROR(VLOOKUP(D66,'Monthly Deduction'!$E$3:$F$957,2,0),0)</f>
        <v>0</v>
      </c>
      <c r="C66" s="17">
        <f t="shared" si="17"/>
        <v>0</v>
      </c>
      <c r="D66" s="41">
        <v>10020073</v>
      </c>
      <c r="E66" s="122" t="str">
        <f>VLOOKUP(D66,'MPG Payment '!$E$3:$G$497305,2,0)</f>
        <v>REHUA RK</v>
      </c>
      <c r="F66" s="146">
        <f>IFERROR(_xlfn.XLOOKUP(D66,'Monthly Deduction'!$I$3:$I$957,'Monthly Deduction'!$H$3:$H$957),0)</f>
        <v>0</v>
      </c>
      <c r="G66" s="123" t="str">
        <f>VLOOKUP(D66,'MPG Payment '!$E$3:$G$333666,3,0)</f>
        <v>vlc</v>
      </c>
      <c r="H66" s="124" t="str">
        <f>VLOOKUP(D66,'MPG Payment '!$E$3:$H$333666,4,0)</f>
        <v>Indirect</v>
      </c>
      <c r="I66" s="88">
        <f>INDEX('MPG Payment '!$C:$C,MATCH('Shayak Income '!D66,'MPG Payment '!E:E,0))</f>
        <v>1002</v>
      </c>
      <c r="J66" s="88" t="str">
        <f>INDEX('MPG Payment '!$D:$D,MATCH('Shayak Income '!D66,'MPG Payment '!E:E,0))</f>
        <v>Laldiyara</v>
      </c>
      <c r="K66" s="125" t="s">
        <v>1594</v>
      </c>
      <c r="L66" s="125">
        <v>45638</v>
      </c>
      <c r="M66" s="126">
        <f>SUMIF('MPG Payment '!$E$3:$E$344841,'Shayak Income '!D66,'MPG Payment '!$I$3:$I$344841)</f>
        <v>4010.3999999999996</v>
      </c>
      <c r="N66" s="126">
        <f>SUMIF('MPG Payment '!$E$3:$E$344841,'Shayak Income '!D66,'MPG Payment '!$J$3:$J$344841)</f>
        <v>156744.07</v>
      </c>
      <c r="O66" s="126">
        <f t="shared" si="9"/>
        <v>3007.7999999999997</v>
      </c>
      <c r="P66" s="126">
        <f t="shared" si="10"/>
        <v>3809.8799999999997</v>
      </c>
      <c r="Q66" s="126">
        <f>SUMIF('MPG Payment '!$E$3:$E$344841,'Shayak Income '!D66,'MPG Payment '!$S$3:$S$344841)</f>
        <v>0</v>
      </c>
      <c r="R66" s="126">
        <f t="shared" si="1"/>
        <v>4702.3221000000003</v>
      </c>
      <c r="S66" s="126">
        <f t="shared" si="2"/>
        <v>892.44210000000066</v>
      </c>
      <c r="T66" s="126">
        <f t="shared" si="11"/>
        <v>401.03999999999996</v>
      </c>
      <c r="U66" s="127">
        <f>((((((IF(K66="New",0,SUMIF('MPG Payment '!$E$3:$E$344841,'Shayak Income '!D66,'MPG Payment '!$AC$3:$AC$344841))))+0)+0)+0)+0)+0</f>
        <v>0</v>
      </c>
      <c r="V66" s="127">
        <f t="shared" si="12"/>
        <v>6417</v>
      </c>
      <c r="W66" s="19">
        <f t="shared" si="13"/>
        <v>0</v>
      </c>
      <c r="X66" s="19">
        <f t="shared" si="18"/>
        <v>0</v>
      </c>
      <c r="Y66" s="128">
        <f>IFERROR(VLOOKUP(D66,'Monthly Deduction'!$M$2:$N$640,2,0),0)</f>
        <v>0</v>
      </c>
      <c r="Z66" s="128">
        <v>0</v>
      </c>
      <c r="AA66" s="126">
        <f>IFERROR(VLOOKUP(D66,'Monthly Deduction'!A:B,2,0),0)</f>
        <v>0</v>
      </c>
      <c r="AB66" s="129">
        <f t="shared" si="3"/>
        <v>6417</v>
      </c>
      <c r="AC66" s="130">
        <v>0</v>
      </c>
      <c r="AD66" s="35">
        <f t="shared" si="14"/>
        <v>6417</v>
      </c>
      <c r="AE66" s="166" t="str">
        <f t="shared" si="15"/>
        <v>Release</v>
      </c>
      <c r="AF66" s="127"/>
      <c r="AG66" s="18">
        <v>0</v>
      </c>
      <c r="AH66" s="120"/>
      <c r="AI66" s="238">
        <v>0</v>
      </c>
      <c r="AJ66" s="132"/>
      <c r="AK66" s="151">
        <v>784.99999999999989</v>
      </c>
      <c r="AL66" s="154">
        <f t="shared" si="4"/>
        <v>0</v>
      </c>
      <c r="AM66" s="155"/>
      <c r="AN66" s="19">
        <f t="shared" si="5"/>
        <v>0</v>
      </c>
      <c r="AO66" s="118">
        <f>SUMIF('MPG Payment '!E:E,'Shayak Income '!D66,'MPG Payment '!AJ:AJ)</f>
        <v>0</v>
      </c>
      <c r="AP66" s="19">
        <f t="shared" si="6"/>
        <v>0</v>
      </c>
      <c r="AQ66" s="119">
        <f t="shared" si="16"/>
        <v>0</v>
      </c>
      <c r="AR66" s="91" t="s">
        <v>1144</v>
      </c>
      <c r="AS66" s="91">
        <f t="shared" si="7"/>
        <v>0</v>
      </c>
      <c r="AT66" s="118"/>
      <c r="AU66" s="118"/>
      <c r="AV66" s="118"/>
    </row>
    <row r="67" spans="1:48" s="20" customFormat="1" x14ac:dyDescent="0.25">
      <c r="A67" s="17">
        <f>IFERROR(VLOOKUP(D67,'Monthly Deduction'!$I$3:$J$957,2,0),0)</f>
        <v>79290.255999999994</v>
      </c>
      <c r="B67" s="17">
        <f>IFERROR(VLOOKUP(D67,'Monthly Deduction'!$E$3:$F$957,2,0),0)</f>
        <v>9600</v>
      </c>
      <c r="C67" s="17">
        <f t="shared" si="17"/>
        <v>88890.255999999994</v>
      </c>
      <c r="D67" s="41">
        <v>10020075</v>
      </c>
      <c r="E67" s="122" t="str">
        <f>VLOOKUP(D67,'MPG Payment '!$E$3:$G$497305,2,0)</f>
        <v>RAMNAGAR</v>
      </c>
      <c r="F67" s="146">
        <f>IFERROR(_xlfn.XLOOKUP(D67,'Monthly Deduction'!$I$3:$I$957,'Monthly Deduction'!$H$3:$H$957),0)</f>
        <v>0</v>
      </c>
      <c r="G67" s="123" t="str">
        <f>VLOOKUP(D67,'MPG Payment '!$E$3:$G$333666,3,0)</f>
        <v>MPG</v>
      </c>
      <c r="H67" s="124" t="str">
        <f>VLOOKUP(D67,'MPG Payment '!$E$3:$H$333666,4,0)</f>
        <v>Direct</v>
      </c>
      <c r="I67" s="88">
        <f>INDEX('MPG Payment '!$C:$C,MATCH('Shayak Income '!D67,'MPG Payment '!E:E,0))</f>
        <v>1002</v>
      </c>
      <c r="J67" s="88" t="str">
        <f>INDEX('MPG Payment '!$D:$D,MATCH('Shayak Income '!D67,'MPG Payment '!E:E,0))</f>
        <v>Laldiyara</v>
      </c>
      <c r="K67" s="125" t="s">
        <v>1594</v>
      </c>
      <c r="L67" s="125">
        <v>45869</v>
      </c>
      <c r="M67" s="126">
        <f>SUMIF('MPG Payment '!$E$3:$E$344841,'Shayak Income '!D67,'MPG Payment '!$I$3:$I$344841)</f>
        <v>977.7</v>
      </c>
      <c r="N67" s="126">
        <f>SUMIF('MPG Payment '!$E$3:$E$344841,'Shayak Income '!D67,'MPG Payment '!$J$3:$J$344841)</f>
        <v>44315.44</v>
      </c>
      <c r="O67" s="126">
        <f t="shared" si="9"/>
        <v>733.27500000000009</v>
      </c>
      <c r="P67" s="126">
        <f t="shared" si="10"/>
        <v>928.81500000000005</v>
      </c>
      <c r="Q67" s="126">
        <f>SUMIF('MPG Payment '!$E$3:$E$344841,'Shayak Income '!D67,'MPG Payment '!$S$3:$S$344841)</f>
        <v>21.52</v>
      </c>
      <c r="R67" s="126">
        <f t="shared" si="1"/>
        <v>1329.4631999999999</v>
      </c>
      <c r="S67" s="126">
        <f t="shared" si="2"/>
        <v>400.64819999999986</v>
      </c>
      <c r="T67" s="126">
        <f t="shared" si="11"/>
        <v>97.77000000000001</v>
      </c>
      <c r="U67" s="127">
        <f>((((((IF(K67="New",0,SUMIF('MPG Payment '!$E$3:$E$344841,'Shayak Income '!D67,'MPG Payment '!$AC$3:$AC$344841))))+0)+0)+0)+0)+-66</f>
        <v>1585.4461281439426</v>
      </c>
      <c r="V67" s="127">
        <f t="shared" si="12"/>
        <v>0</v>
      </c>
      <c r="W67" s="19">
        <v>0</v>
      </c>
      <c r="X67" s="19">
        <v>0</v>
      </c>
      <c r="Y67" s="128">
        <v>0</v>
      </c>
      <c r="Z67" s="128">
        <v>0</v>
      </c>
      <c r="AA67" s="126">
        <v>0</v>
      </c>
      <c r="AB67" s="129">
        <f t="shared" si="3"/>
        <v>0</v>
      </c>
      <c r="AC67" s="130">
        <v>0</v>
      </c>
      <c r="AD67" s="35">
        <f t="shared" si="14"/>
        <v>0</v>
      </c>
      <c r="AE67" s="166" t="str">
        <f t="shared" si="15"/>
        <v>Release</v>
      </c>
      <c r="AF67" s="127"/>
      <c r="AG67" s="18">
        <v>0</v>
      </c>
      <c r="AH67" s="132"/>
      <c r="AI67" s="238">
        <v>0</v>
      </c>
      <c r="AJ67" s="132"/>
      <c r="AK67" s="151">
        <v>269.10000000000002</v>
      </c>
      <c r="AL67" s="154">
        <f t="shared" si="4"/>
        <v>0</v>
      </c>
      <c r="AM67" s="155"/>
      <c r="AN67" s="19">
        <f t="shared" si="5"/>
        <v>1861</v>
      </c>
      <c r="AO67" s="118">
        <f>SUMIF('MPG Payment '!E:E,'Shayak Income '!D67,'MPG Payment '!AJ:AJ)</f>
        <v>0</v>
      </c>
      <c r="AP67" s="19">
        <f t="shared" si="6"/>
        <v>0</v>
      </c>
      <c r="AQ67" s="119">
        <f t="shared" si="16"/>
        <v>0</v>
      </c>
      <c r="AR67" s="91" t="s">
        <v>1144</v>
      </c>
      <c r="AS67" s="91">
        <f t="shared" si="7"/>
        <v>9600</v>
      </c>
      <c r="AT67" s="118"/>
      <c r="AU67" s="118"/>
      <c r="AV67" s="118"/>
    </row>
    <row r="68" spans="1:48" s="20" customFormat="1" x14ac:dyDescent="0.25">
      <c r="A68" s="17">
        <f>IFERROR(VLOOKUP(D68,'Monthly Deduction'!$I$3:$J$957,2,0),0)</f>
        <v>73879.293873505172</v>
      </c>
      <c r="B68" s="17">
        <f>IFERROR(VLOOKUP(D68,'Monthly Deduction'!$E$3:$F$957,2,0),0)</f>
        <v>9600</v>
      </c>
      <c r="C68" s="17">
        <f t="shared" si="17"/>
        <v>83479.293873505172</v>
      </c>
      <c r="D68" s="41">
        <v>10020077</v>
      </c>
      <c r="E68" s="122" t="str">
        <f>VLOOKUP(D68,'MPG Payment '!$E$3:$G$497305,2,0)</f>
        <v>BANSIPUR</v>
      </c>
      <c r="F68" s="146">
        <f>IFERROR(_xlfn.XLOOKUP(D68,'Monthly Deduction'!$I$3:$I$957,'Monthly Deduction'!$H$3:$H$957),0)</f>
        <v>0</v>
      </c>
      <c r="G68" s="123" t="str">
        <f>VLOOKUP(D68,'MPG Payment '!$E$3:$G$333666,3,0)</f>
        <v>MPG</v>
      </c>
      <c r="H68" s="124" t="str">
        <f>VLOOKUP(D68,'MPG Payment '!$E$3:$H$333666,4,0)</f>
        <v>Direct</v>
      </c>
      <c r="I68" s="88">
        <f>INDEX('MPG Payment '!$C:$C,MATCH('Shayak Income '!D68,'MPG Payment '!E:E,0))</f>
        <v>1002</v>
      </c>
      <c r="J68" s="88" t="str">
        <f>INDEX('MPG Payment '!$D:$D,MATCH('Shayak Income '!D68,'MPG Payment '!E:E,0))</f>
        <v>Laldiyara</v>
      </c>
      <c r="K68" s="125" t="s">
        <v>1594</v>
      </c>
      <c r="L68" s="125">
        <v>45869</v>
      </c>
      <c r="M68" s="126">
        <f>SUMIF('MPG Payment '!$E$3:$E$344841,'Shayak Income '!D68,'MPG Payment '!$I$3:$I$344841)</f>
        <v>1117.5</v>
      </c>
      <c r="N68" s="126">
        <f>SUMIF('MPG Payment '!$E$3:$E$344841,'Shayak Income '!D68,'MPG Payment '!$J$3:$J$344841)</f>
        <v>54943.33</v>
      </c>
      <c r="O68" s="126">
        <f t="shared" si="9"/>
        <v>838.125</v>
      </c>
      <c r="P68" s="126">
        <f t="shared" si="10"/>
        <v>1061.625</v>
      </c>
      <c r="Q68" s="126">
        <f>SUMIF('MPG Payment '!$E$3:$E$344841,'Shayak Income '!D68,'MPG Payment '!$S$3:$S$344841)</f>
        <v>0</v>
      </c>
      <c r="R68" s="126">
        <f t="shared" ref="R68:R131" si="20">+N68*3%</f>
        <v>1648.2999</v>
      </c>
      <c r="S68" s="126">
        <f t="shared" ref="S68:S131" si="21">R68-P68</f>
        <v>586.67489999999998</v>
      </c>
      <c r="T68" s="126">
        <f t="shared" si="11"/>
        <v>111.75</v>
      </c>
      <c r="U68" s="127">
        <f>((((((IF(K68="New",0,SUMIF('MPG Payment '!$E$3:$E$344841,'Shayak Income '!D68,'MPG Payment '!$AC$3:$AC$344841))))+0)+0)+0)+0)+0</f>
        <v>1651.134149219195</v>
      </c>
      <c r="V68" s="127">
        <f t="shared" si="12"/>
        <v>137</v>
      </c>
      <c r="W68" s="19">
        <v>0</v>
      </c>
      <c r="X68" s="19">
        <v>137</v>
      </c>
      <c r="Y68" s="128">
        <f>IFERROR(VLOOKUP(D68,'Monthly Deduction'!$M$2:$N$640,2,0),0)</f>
        <v>0</v>
      </c>
      <c r="Z68" s="128">
        <v>0</v>
      </c>
      <c r="AA68" s="126">
        <f>IFERROR(VLOOKUP(D68,'Monthly Deduction'!A:B,2,0),0)</f>
        <v>0</v>
      </c>
      <c r="AB68" s="129">
        <f t="shared" ref="AB68:AB131" si="22">ROUND(IFERROR(V68-SUM(W68:AA68),0),0)</f>
        <v>0</v>
      </c>
      <c r="AC68" s="130">
        <v>0</v>
      </c>
      <c r="AD68" s="35">
        <f t="shared" si="14"/>
        <v>0</v>
      </c>
      <c r="AE68" s="166" t="str">
        <f t="shared" si="15"/>
        <v>Release</v>
      </c>
      <c r="AF68" s="127"/>
      <c r="AG68" s="18">
        <v>0</v>
      </c>
      <c r="AH68" s="120"/>
      <c r="AI68" s="238">
        <v>0</v>
      </c>
      <c r="AJ68" s="132"/>
      <c r="AK68" s="151">
        <v>166.29999999999998</v>
      </c>
      <c r="AL68" s="154">
        <f t="shared" ref="AL68:AL131" si="23">COUNTIF(AK68:AK68,"=NA")</f>
        <v>0</v>
      </c>
      <c r="AM68" s="155"/>
      <c r="AN68" s="19">
        <f t="shared" ref="AN68:AN131" si="24">((MIN(IF(A68&gt;0,MAX(N68*2%,1861),0),A68)))+0</f>
        <v>1861</v>
      </c>
      <c r="AO68" s="118">
        <f>SUMIF('MPG Payment '!E:E,'Shayak Income '!D68,'MPG Payment '!AJ:AJ)</f>
        <v>2000</v>
      </c>
      <c r="AP68" s="19">
        <f t="shared" ref="AP68:AP131" si="25">W68</f>
        <v>0</v>
      </c>
      <c r="AQ68" s="119">
        <f t="shared" si="16"/>
        <v>2000</v>
      </c>
      <c r="AR68" s="91" t="s">
        <v>1144</v>
      </c>
      <c r="AS68" s="91">
        <f t="shared" ref="AS68:AS131" si="26">B68-X68</f>
        <v>9463</v>
      </c>
      <c r="AT68" s="118"/>
      <c r="AU68" s="118"/>
      <c r="AV68" s="118"/>
    </row>
    <row r="69" spans="1:48" s="20" customFormat="1" x14ac:dyDescent="0.25">
      <c r="A69" s="17">
        <f>IFERROR(VLOOKUP(D69,'Monthly Deduction'!$I$3:$J$957,2,0),0)</f>
        <v>88157</v>
      </c>
      <c r="B69" s="17">
        <f>IFERROR(VLOOKUP(D69,'Monthly Deduction'!$E$3:$F$957,2,0),0)</f>
        <v>6400</v>
      </c>
      <c r="C69" s="17">
        <f t="shared" ref="C69:C132" si="27">A69+B69</f>
        <v>94557</v>
      </c>
      <c r="D69" s="41">
        <v>10020078</v>
      </c>
      <c r="E69" s="122" t="str">
        <f>VLOOKUP(D69,'MPG Payment '!$E$3:$G$497305,2,0)</f>
        <v>GODIH</v>
      </c>
      <c r="F69" s="146">
        <f>IFERROR(_xlfn.XLOOKUP(D69,'Monthly Deduction'!$I$3:$I$957,'Monthly Deduction'!$H$3:$H$957),0)</f>
        <v>0</v>
      </c>
      <c r="G69" s="123" t="str">
        <f>VLOOKUP(D69,'MPG Payment '!$E$3:$G$333666,3,0)</f>
        <v>MPG</v>
      </c>
      <c r="H69" s="124" t="str">
        <f>VLOOKUP(D69,'MPG Payment '!$E$3:$H$333666,4,0)</f>
        <v>Direct</v>
      </c>
      <c r="I69" s="88">
        <f>INDEX('MPG Payment '!$C:$C,MATCH('Shayak Income '!D69,'MPG Payment '!E:E,0))</f>
        <v>1002</v>
      </c>
      <c r="J69" s="88" t="str">
        <f>INDEX('MPG Payment '!$D:$D,MATCH('Shayak Income '!D69,'MPG Payment '!E:E,0))</f>
        <v>Laldiyara</v>
      </c>
      <c r="K69" s="125" t="s">
        <v>1594</v>
      </c>
      <c r="L69" s="125">
        <v>45869</v>
      </c>
      <c r="M69" s="126">
        <f>SUMIF('MPG Payment '!$E$3:$E$344841,'Shayak Income '!D69,'MPG Payment '!$I$3:$I$344841)</f>
        <v>2125.1999999999998</v>
      </c>
      <c r="N69" s="126">
        <f>SUMIF('MPG Payment '!$E$3:$E$344841,'Shayak Income '!D69,'MPG Payment '!$J$3:$J$344841)</f>
        <v>91984.34</v>
      </c>
      <c r="O69" s="126">
        <f t="shared" ref="O69:O132" si="28">+M69*0.75</f>
        <v>1593.8999999999999</v>
      </c>
      <c r="P69" s="126">
        <f t="shared" ref="P69:P132" si="29">+M69*0.95</f>
        <v>2018.9399999999998</v>
      </c>
      <c r="Q69" s="126">
        <f>SUMIF('MPG Payment '!$E$3:$E$344841,'Shayak Income '!D69,'MPG Payment '!$S$3:$S$344841)</f>
        <v>0</v>
      </c>
      <c r="R69" s="126">
        <f t="shared" si="20"/>
        <v>2759.5301999999997</v>
      </c>
      <c r="S69" s="126">
        <f t="shared" si="21"/>
        <v>740.59019999999987</v>
      </c>
      <c r="T69" s="126">
        <f t="shared" ref="T69:T132" si="30">M69*0.1</f>
        <v>212.51999999999998</v>
      </c>
      <c r="U69" s="127">
        <f>((((((IF(K69="New",0,SUMIF('MPG Payment '!$E$3:$E$344841,'Shayak Income '!D69,'MPG Payment '!$AC$3:$AC$344841))))+0)+0)+0)+0)+0</f>
        <v>582.57256184224661</v>
      </c>
      <c r="V69" s="127">
        <f t="shared" ref="V69:V132" si="31">ROUND((SUM(O69:Q69)-SUM(T69:U69)),0)</f>
        <v>2818</v>
      </c>
      <c r="W69" s="19">
        <f t="shared" ref="W69:W132" si="32">(((AN69-AO69)))+0</f>
        <v>1861</v>
      </c>
      <c r="X69" s="19">
        <v>0</v>
      </c>
      <c r="Y69" s="128">
        <f>IFERROR(VLOOKUP(D69,'Monthly Deduction'!$M$2:$N$640,2,0),0)</f>
        <v>0</v>
      </c>
      <c r="Z69" s="128">
        <v>0</v>
      </c>
      <c r="AA69" s="126">
        <f>IFERROR(VLOOKUP(D69,'Monthly Deduction'!A:B,2,0),0)</f>
        <v>0</v>
      </c>
      <c r="AB69" s="129">
        <f t="shared" si="22"/>
        <v>957</v>
      </c>
      <c r="AC69" s="130">
        <f t="shared" ref="AC69:AC70" si="33">AB69</f>
        <v>957</v>
      </c>
      <c r="AD69" s="35">
        <f t="shared" ref="AD69:AD132" si="34">ROUND(AB69-AC69,0)</f>
        <v>0</v>
      </c>
      <c r="AE69" s="166" t="str">
        <f t="shared" ref="AE69:AE132" si="35">IF(AC69&lt;&gt;0,"Yes","Release")</f>
        <v>Yes</v>
      </c>
      <c r="AF69" s="127"/>
      <c r="AG69" s="18">
        <v>0</v>
      </c>
      <c r="AH69" s="120" t="s">
        <v>1685</v>
      </c>
      <c r="AI69" s="238">
        <v>9637</v>
      </c>
      <c r="AJ69" s="132"/>
      <c r="AK69" s="151">
        <v>364.60000000000008</v>
      </c>
      <c r="AL69" s="154">
        <f t="shared" si="23"/>
        <v>0</v>
      </c>
      <c r="AM69" s="155"/>
      <c r="AN69" s="19">
        <f t="shared" si="24"/>
        <v>1861</v>
      </c>
      <c r="AO69" s="118">
        <f>SUMIF('MPG Payment '!E:E,'Shayak Income '!D69,'MPG Payment '!AJ:AJ)</f>
        <v>0</v>
      </c>
      <c r="AP69" s="19">
        <f t="shared" si="25"/>
        <v>1861</v>
      </c>
      <c r="AQ69" s="119">
        <f t="shared" ref="AQ69:AQ132" si="36">AO69+AP69</f>
        <v>1861</v>
      </c>
      <c r="AR69" s="91" t="s">
        <v>1144</v>
      </c>
      <c r="AS69" s="91">
        <f t="shared" si="26"/>
        <v>6400</v>
      </c>
      <c r="AT69" s="118"/>
      <c r="AU69" s="118"/>
      <c r="AV69" s="118"/>
    </row>
    <row r="70" spans="1:48" s="20" customFormat="1" x14ac:dyDescent="0.25">
      <c r="A70" s="17">
        <f>IFERROR(VLOOKUP(D70,'Monthly Deduction'!$I$3:$J$957,2,0),0)</f>
        <v>90961</v>
      </c>
      <c r="B70" s="17">
        <f>IFERROR(VLOOKUP(D70,'Monthly Deduction'!$E$3:$F$957,2,0),0)</f>
        <v>6400</v>
      </c>
      <c r="C70" s="17">
        <f t="shared" si="27"/>
        <v>97361</v>
      </c>
      <c r="D70" s="41">
        <v>10020079</v>
      </c>
      <c r="E70" s="122" t="str">
        <f>VLOOKUP(D70,'MPG Payment '!$E$3:$G$497305,2,0)</f>
        <v>SINGARPUR</v>
      </c>
      <c r="F70" s="146">
        <f>IFERROR(_xlfn.XLOOKUP(D70,'Monthly Deduction'!$I$3:$I$957,'Monthly Deduction'!$H$3:$H$957),0)</f>
        <v>0</v>
      </c>
      <c r="G70" s="123" t="str">
        <f>VLOOKUP(D70,'MPG Payment '!$E$3:$G$333666,3,0)</f>
        <v>MPG</v>
      </c>
      <c r="H70" s="124" t="str">
        <f>VLOOKUP(D70,'MPG Payment '!$E$3:$H$333666,4,0)</f>
        <v>Direct</v>
      </c>
      <c r="I70" s="88">
        <f>INDEX('MPG Payment '!$C:$C,MATCH('Shayak Income '!D70,'MPG Payment '!E:E,0))</f>
        <v>1002</v>
      </c>
      <c r="J70" s="88" t="str">
        <f>INDEX('MPG Payment '!$D:$D,MATCH('Shayak Income '!D70,'MPG Payment '!E:E,0))</f>
        <v>Laldiyara</v>
      </c>
      <c r="K70" s="125" t="s">
        <v>1594</v>
      </c>
      <c r="L70" s="125">
        <v>45869</v>
      </c>
      <c r="M70" s="126">
        <f>SUMIF('MPG Payment '!$E$3:$E$344841,'Shayak Income '!D70,'MPG Payment '!$I$3:$I$344841)</f>
        <v>394.90000000000003</v>
      </c>
      <c r="N70" s="126">
        <f>SUMIF('MPG Payment '!$E$3:$E$344841,'Shayak Income '!D70,'MPG Payment '!$J$3:$J$344841)</f>
        <v>17651.47</v>
      </c>
      <c r="O70" s="126">
        <f t="shared" si="28"/>
        <v>296.17500000000001</v>
      </c>
      <c r="P70" s="126">
        <f t="shared" si="29"/>
        <v>375.15500000000003</v>
      </c>
      <c r="Q70" s="126">
        <f>SUMIF('MPG Payment '!$E$3:$E$344841,'Shayak Income '!D70,'MPG Payment '!$S$3:$S$344841)</f>
        <v>0</v>
      </c>
      <c r="R70" s="126">
        <f t="shared" si="20"/>
        <v>529.54410000000007</v>
      </c>
      <c r="S70" s="126">
        <f t="shared" si="21"/>
        <v>154.38910000000004</v>
      </c>
      <c r="T70" s="126">
        <f t="shared" si="30"/>
        <v>39.490000000000009</v>
      </c>
      <c r="U70" s="127">
        <f>((((((IF(K70="New",0,SUMIF('MPG Payment '!$E$3:$E$344841,'Shayak Income '!D70,'MPG Payment '!$AC$3:$AC$344841))))+0)+0)+0)+0)+-1509</f>
        <v>632.25488508828266</v>
      </c>
      <c r="V70" s="127">
        <f t="shared" si="31"/>
        <v>0</v>
      </c>
      <c r="W70" s="19">
        <v>0</v>
      </c>
      <c r="X70" s="19">
        <v>0</v>
      </c>
      <c r="Y70" s="128">
        <v>0</v>
      </c>
      <c r="Z70" s="128">
        <v>0</v>
      </c>
      <c r="AA70" s="126">
        <v>0</v>
      </c>
      <c r="AB70" s="129">
        <f t="shared" si="22"/>
        <v>0</v>
      </c>
      <c r="AC70" s="130">
        <f t="shared" si="33"/>
        <v>0</v>
      </c>
      <c r="AD70" s="35">
        <f t="shared" si="34"/>
        <v>0</v>
      </c>
      <c r="AE70" s="166" t="str">
        <f t="shared" si="35"/>
        <v>Release</v>
      </c>
      <c r="AF70" s="127"/>
      <c r="AG70" s="18">
        <v>0</v>
      </c>
      <c r="AH70" s="132" t="s">
        <v>1688</v>
      </c>
      <c r="AI70" s="238">
        <v>9580</v>
      </c>
      <c r="AJ70" s="132"/>
      <c r="AK70" s="151">
        <v>0</v>
      </c>
      <c r="AL70" s="154">
        <f t="shared" si="23"/>
        <v>0</v>
      </c>
      <c r="AM70" s="155"/>
      <c r="AN70" s="19">
        <f t="shared" si="24"/>
        <v>1861</v>
      </c>
      <c r="AO70" s="118">
        <f>SUMIF('MPG Payment '!E:E,'Shayak Income '!D70,'MPG Payment '!AJ:AJ)</f>
        <v>2000</v>
      </c>
      <c r="AP70" s="19">
        <f t="shared" si="25"/>
        <v>0</v>
      </c>
      <c r="AQ70" s="119">
        <f t="shared" si="36"/>
        <v>2000</v>
      </c>
      <c r="AR70" s="91" t="s">
        <v>1144</v>
      </c>
      <c r="AS70" s="91">
        <f t="shared" si="26"/>
        <v>6400</v>
      </c>
      <c r="AT70" s="118"/>
      <c r="AU70" s="118"/>
      <c r="AV70" s="118"/>
    </row>
    <row r="71" spans="1:48" s="20" customFormat="1" x14ac:dyDescent="0.25">
      <c r="A71" s="17">
        <f>IFERROR(VLOOKUP(D71,'Monthly Deduction'!$I$3:$J$957,2,0),0)</f>
        <v>0</v>
      </c>
      <c r="B71" s="17">
        <f>IFERROR(VLOOKUP(D71,'Monthly Deduction'!$E$3:$F$957,2,0),0)</f>
        <v>0</v>
      </c>
      <c r="C71" s="17">
        <f t="shared" si="27"/>
        <v>0</v>
      </c>
      <c r="D71" s="41">
        <v>10030002</v>
      </c>
      <c r="E71" s="122" t="str">
        <f>VLOOKUP(D71,'MPG Payment '!$E$3:$G$497305,2,0)</f>
        <v>MOHANPUR</v>
      </c>
      <c r="F71" s="146">
        <f>IFERROR(_xlfn.XLOOKUP(D71,'Monthly Deduction'!$I$3:$I$957,'Monthly Deduction'!$H$3:$H$957),0)</f>
        <v>0</v>
      </c>
      <c r="G71" s="123" t="str">
        <f>VLOOKUP(D71,'MPG Payment '!$E$3:$G$333666,3,0)</f>
        <v>vlc</v>
      </c>
      <c r="H71" s="124" t="str">
        <f>VLOOKUP(D71,'MPG Payment '!$E$3:$H$333666,4,0)</f>
        <v>Indirect</v>
      </c>
      <c r="I71" s="88">
        <f>INDEX('MPG Payment '!$C:$C,MATCH('Shayak Income '!D71,'MPG Payment '!E:E,0))</f>
        <v>1003</v>
      </c>
      <c r="J71" s="88" t="str">
        <f>INDEX('MPG Payment '!$D:$D,MATCH('Shayak Income '!D71,'MPG Payment '!E:E,0))</f>
        <v>Asarganj</v>
      </c>
      <c r="K71" s="125" t="s">
        <v>1594</v>
      </c>
      <c r="L71" s="125">
        <v>42979</v>
      </c>
      <c r="M71" s="126">
        <f>SUMIF('MPG Payment '!$E$3:$E$344841,'Shayak Income '!D71,'MPG Payment '!$I$3:$I$344841)</f>
        <v>2186.0500000000002</v>
      </c>
      <c r="N71" s="126">
        <f>SUMIF('MPG Payment '!$E$3:$E$344841,'Shayak Income '!D71,'MPG Payment '!$J$3:$J$344841)</f>
        <v>93216.55</v>
      </c>
      <c r="O71" s="126">
        <f t="shared" si="28"/>
        <v>1639.5375000000001</v>
      </c>
      <c r="P71" s="126">
        <f t="shared" si="29"/>
        <v>2076.7474999999999</v>
      </c>
      <c r="Q71" s="126">
        <f>SUMIF('MPG Payment '!$E$3:$E$344841,'Shayak Income '!D71,'MPG Payment '!$S$3:$S$344841)</f>
        <v>0</v>
      </c>
      <c r="R71" s="126">
        <f t="shared" si="20"/>
        <v>2796.4965000000002</v>
      </c>
      <c r="S71" s="126">
        <f t="shared" si="21"/>
        <v>719.74900000000025</v>
      </c>
      <c r="T71" s="126">
        <f t="shared" si="30"/>
        <v>218.60500000000002</v>
      </c>
      <c r="U71" s="127">
        <f>((((((IF(K71="New",0,SUMIF('MPG Payment '!$E$3:$E$344841,'Shayak Income '!D71,'MPG Payment '!$AC$3:$AC$344841))))+0)+0)+0)+0)+0</f>
        <v>523.30748463052214</v>
      </c>
      <c r="V71" s="127">
        <f t="shared" si="31"/>
        <v>2974</v>
      </c>
      <c r="W71" s="19">
        <f t="shared" si="32"/>
        <v>0</v>
      </c>
      <c r="X71" s="19">
        <f t="shared" ref="X71:X130" si="37">((MIN(IF(B71&gt;0,MAX(N71*2%),0),B71)))+0</f>
        <v>0</v>
      </c>
      <c r="Y71" s="128">
        <f>IFERROR(VLOOKUP(D71,'Monthly Deduction'!$M$2:$N$640,2,0),0)</f>
        <v>0</v>
      </c>
      <c r="Z71" s="128">
        <v>0</v>
      </c>
      <c r="AA71" s="126">
        <f>IFERROR(VLOOKUP(D71,'Monthly Deduction'!A:B,2,0),0)</f>
        <v>0</v>
      </c>
      <c r="AB71" s="129">
        <f t="shared" si="22"/>
        <v>2974</v>
      </c>
      <c r="AC71" s="130">
        <v>0</v>
      </c>
      <c r="AD71" s="35">
        <f t="shared" si="34"/>
        <v>2974</v>
      </c>
      <c r="AE71" s="166" t="str">
        <f t="shared" si="35"/>
        <v>Release</v>
      </c>
      <c r="AF71" s="127"/>
      <c r="AG71" s="18">
        <v>0</v>
      </c>
      <c r="AH71" s="120"/>
      <c r="AI71" s="238">
        <v>0</v>
      </c>
      <c r="AJ71" s="132"/>
      <c r="AK71" s="151">
        <v>549.09999999999991</v>
      </c>
      <c r="AL71" s="154">
        <f t="shared" si="23"/>
        <v>0</v>
      </c>
      <c r="AM71" s="155"/>
      <c r="AN71" s="19">
        <f t="shared" si="24"/>
        <v>0</v>
      </c>
      <c r="AO71" s="118">
        <f>SUMIF('MPG Payment '!E:E,'Shayak Income '!D71,'MPG Payment '!AJ:AJ)</f>
        <v>0</v>
      </c>
      <c r="AP71" s="19">
        <f t="shared" si="25"/>
        <v>0</v>
      </c>
      <c r="AQ71" s="119">
        <f t="shared" si="36"/>
        <v>0</v>
      </c>
      <c r="AR71" s="91" t="s">
        <v>1144</v>
      </c>
      <c r="AS71" s="91">
        <f t="shared" si="26"/>
        <v>0</v>
      </c>
      <c r="AT71" s="118"/>
      <c r="AU71" s="118"/>
      <c r="AV71" s="118"/>
    </row>
    <row r="72" spans="1:48" s="20" customFormat="1" x14ac:dyDescent="0.25">
      <c r="A72" s="17">
        <f>IFERROR(VLOOKUP(D72,'Monthly Deduction'!$I$3:$J$957,2,0),0)</f>
        <v>0</v>
      </c>
      <c r="B72" s="17">
        <f>IFERROR(VLOOKUP(D72,'Monthly Deduction'!$E$3:$F$957,2,0),0)</f>
        <v>0</v>
      </c>
      <c r="C72" s="17">
        <f t="shared" si="27"/>
        <v>0</v>
      </c>
      <c r="D72" s="41">
        <v>10030003</v>
      </c>
      <c r="E72" s="122" t="str">
        <f>VLOOKUP(D72,'MPG Payment '!$E$3:$G$497305,2,0)</f>
        <v>CHATMADIH</v>
      </c>
      <c r="F72" s="146">
        <f>IFERROR(_xlfn.XLOOKUP(D72,'Monthly Deduction'!$I$3:$I$957,'Monthly Deduction'!$H$3:$H$957),0)</f>
        <v>0</v>
      </c>
      <c r="G72" s="123" t="str">
        <f>VLOOKUP(D72,'MPG Payment '!$E$3:$G$333666,3,0)</f>
        <v>MPG</v>
      </c>
      <c r="H72" s="124" t="str">
        <f>VLOOKUP(D72,'MPG Payment '!$E$3:$H$333666,4,0)</f>
        <v>Direct</v>
      </c>
      <c r="I72" s="88">
        <f>INDEX('MPG Payment '!$C:$C,MATCH('Shayak Income '!D72,'MPG Payment '!E:E,0))</f>
        <v>1003</v>
      </c>
      <c r="J72" s="88" t="str">
        <f>INDEX('MPG Payment '!$D:$D,MATCH('Shayak Income '!D72,'MPG Payment '!E:E,0))</f>
        <v>Asarganj</v>
      </c>
      <c r="K72" s="125" t="s">
        <v>1594</v>
      </c>
      <c r="L72" s="125">
        <v>42979</v>
      </c>
      <c r="M72" s="126">
        <f>SUMIF('MPG Payment '!$E$3:$E$344841,'Shayak Income '!D72,'MPG Payment '!$I$3:$I$344841)</f>
        <v>7341.6999999999989</v>
      </c>
      <c r="N72" s="126">
        <f>SUMIF('MPG Payment '!$E$3:$E$344841,'Shayak Income '!D72,'MPG Payment '!$J$3:$J$344841)</f>
        <v>355291.87999999995</v>
      </c>
      <c r="O72" s="126">
        <f t="shared" si="28"/>
        <v>5506.2749999999996</v>
      </c>
      <c r="P72" s="126">
        <f t="shared" si="29"/>
        <v>6974.6149999999989</v>
      </c>
      <c r="Q72" s="126">
        <f>SUMIF('MPG Payment '!$E$3:$E$344841,'Shayak Income '!D72,'MPG Payment '!$S$3:$S$344841)</f>
        <v>7610.82</v>
      </c>
      <c r="R72" s="126">
        <f t="shared" si="20"/>
        <v>10658.756399999998</v>
      </c>
      <c r="S72" s="126">
        <f t="shared" si="21"/>
        <v>3684.1413999999995</v>
      </c>
      <c r="T72" s="126">
        <f t="shared" si="30"/>
        <v>734.17</v>
      </c>
      <c r="U72" s="127">
        <f>((((((IF(K72="New",0,SUMIF('MPG Payment '!$E$3:$E$344841,'Shayak Income '!D72,'MPG Payment '!$AC$3:$AC$344841))))+0)+0)+0)+0)+0</f>
        <v>0</v>
      </c>
      <c r="V72" s="127">
        <f t="shared" si="31"/>
        <v>19358</v>
      </c>
      <c r="W72" s="19">
        <f t="shared" si="32"/>
        <v>0</v>
      </c>
      <c r="X72" s="19">
        <f t="shared" si="37"/>
        <v>0</v>
      </c>
      <c r="Y72" s="128">
        <f>IFERROR(VLOOKUP(D72,'Monthly Deduction'!$M$2:$N$640,2,0),0)</f>
        <v>0</v>
      </c>
      <c r="Z72" s="128">
        <v>2336.4</v>
      </c>
      <c r="AA72" s="126">
        <f>IFERROR(VLOOKUP(D72,'Monthly Deduction'!A:B,2,0),0)</f>
        <v>0</v>
      </c>
      <c r="AB72" s="129">
        <f t="shared" si="22"/>
        <v>17022</v>
      </c>
      <c r="AC72" s="130">
        <v>0</v>
      </c>
      <c r="AD72" s="35">
        <f t="shared" si="34"/>
        <v>17022</v>
      </c>
      <c r="AE72" s="166" t="str">
        <f t="shared" si="35"/>
        <v>Release</v>
      </c>
      <c r="AF72" s="127"/>
      <c r="AG72" s="18">
        <v>0</v>
      </c>
      <c r="AH72" s="132" t="s">
        <v>1680</v>
      </c>
      <c r="AI72" s="238">
        <v>0</v>
      </c>
      <c r="AJ72" s="132"/>
      <c r="AK72" s="151">
        <v>1671.7000000000003</v>
      </c>
      <c r="AL72" s="154">
        <f t="shared" si="23"/>
        <v>0</v>
      </c>
      <c r="AM72" s="155"/>
      <c r="AN72" s="19">
        <f t="shared" si="24"/>
        <v>0</v>
      </c>
      <c r="AO72" s="118">
        <f>SUMIF('MPG Payment '!E:E,'Shayak Income '!D72,'MPG Payment '!AJ:AJ)</f>
        <v>0</v>
      </c>
      <c r="AP72" s="19">
        <f t="shared" si="25"/>
        <v>0</v>
      </c>
      <c r="AQ72" s="119">
        <f t="shared" si="36"/>
        <v>0</v>
      </c>
      <c r="AR72" s="91" t="s">
        <v>1144</v>
      </c>
      <c r="AS72" s="91">
        <f t="shared" si="26"/>
        <v>0</v>
      </c>
      <c r="AT72" s="118"/>
      <c r="AU72" s="118"/>
      <c r="AV72" s="118"/>
    </row>
    <row r="73" spans="1:48" s="20" customFormat="1" x14ac:dyDescent="0.25">
      <c r="A73" s="17">
        <f>IFERROR(VLOOKUP(D73,'Monthly Deduction'!$I$3:$J$957,2,0),0)</f>
        <v>0</v>
      </c>
      <c r="B73" s="17">
        <f>IFERROR(VLOOKUP(D73,'Monthly Deduction'!$E$3:$F$957,2,0),0)</f>
        <v>0</v>
      </c>
      <c r="C73" s="17">
        <f t="shared" si="27"/>
        <v>0</v>
      </c>
      <c r="D73" s="41">
        <v>10030007</v>
      </c>
      <c r="E73" s="122" t="str">
        <f>VLOOKUP(D73,'MPG Payment '!$E$3:$G$497305,2,0)</f>
        <v>SIYADIH</v>
      </c>
      <c r="F73" s="146">
        <f>IFERROR(_xlfn.XLOOKUP(D73,'Monthly Deduction'!$I$3:$I$957,'Monthly Deduction'!$H$3:$H$957),0)</f>
        <v>0</v>
      </c>
      <c r="G73" s="123" t="str">
        <f>VLOOKUP(D73,'MPG Payment '!$E$3:$G$333666,3,0)</f>
        <v>vlc</v>
      </c>
      <c r="H73" s="124" t="str">
        <f>VLOOKUP(D73,'MPG Payment '!$E$3:$H$333666,4,0)</f>
        <v>Indirect</v>
      </c>
      <c r="I73" s="88">
        <f>INDEX('MPG Payment '!$C:$C,MATCH('Shayak Income '!D73,'MPG Payment '!E:E,0))</f>
        <v>1003</v>
      </c>
      <c r="J73" s="88" t="str">
        <f>INDEX('MPG Payment '!$D:$D,MATCH('Shayak Income '!D73,'MPG Payment '!E:E,0))</f>
        <v>Asarganj</v>
      </c>
      <c r="K73" s="125" t="s">
        <v>1594</v>
      </c>
      <c r="L73" s="125">
        <v>42979</v>
      </c>
      <c r="M73" s="126">
        <f>SUMIF('MPG Payment '!$E$3:$E$344841,'Shayak Income '!D73,'MPG Payment '!$I$3:$I$344841)</f>
        <v>3021.5</v>
      </c>
      <c r="N73" s="126">
        <f>SUMIF('MPG Payment '!$E$3:$E$344841,'Shayak Income '!D73,'MPG Payment '!$J$3:$J$344841)</f>
        <v>92549.31</v>
      </c>
      <c r="O73" s="126">
        <f t="shared" si="28"/>
        <v>2266.125</v>
      </c>
      <c r="P73" s="126">
        <f t="shared" si="29"/>
        <v>2870.4249999999997</v>
      </c>
      <c r="Q73" s="126">
        <f>SUMIF('MPG Payment '!$E$3:$E$344841,'Shayak Income '!D73,'MPG Payment '!$S$3:$S$344841)</f>
        <v>0</v>
      </c>
      <c r="R73" s="126">
        <f t="shared" si="20"/>
        <v>2776.4793</v>
      </c>
      <c r="S73" s="126">
        <f t="shared" si="21"/>
        <v>-93.945699999999761</v>
      </c>
      <c r="T73" s="126">
        <f t="shared" si="30"/>
        <v>302.15000000000003</v>
      </c>
      <c r="U73" s="127">
        <f>((((((IF(K73="New",0,SUMIF('MPG Payment '!$E$3:$E$344841,'Shayak Income '!D73,'MPG Payment '!$AC$3:$AC$344841))))+0)+0)+0)+0)+0</f>
        <v>25.466496390851781</v>
      </c>
      <c r="V73" s="127">
        <f t="shared" si="31"/>
        <v>4809</v>
      </c>
      <c r="W73" s="19">
        <f t="shared" si="32"/>
        <v>0</v>
      </c>
      <c r="X73" s="19">
        <f t="shared" si="37"/>
        <v>0</v>
      </c>
      <c r="Y73" s="128">
        <f>IFERROR(VLOOKUP(D73,'Monthly Deduction'!$M$2:$N$640,2,0),0)</f>
        <v>0</v>
      </c>
      <c r="Z73" s="128">
        <v>0</v>
      </c>
      <c r="AA73" s="126">
        <f>IFERROR(VLOOKUP(D73,'Monthly Deduction'!A:B,2,0),0)</f>
        <v>0</v>
      </c>
      <c r="AB73" s="129">
        <f t="shared" si="22"/>
        <v>4809</v>
      </c>
      <c r="AC73" s="130">
        <v>0</v>
      </c>
      <c r="AD73" s="35">
        <f t="shared" si="34"/>
        <v>4809</v>
      </c>
      <c r="AE73" s="166" t="str">
        <f t="shared" si="35"/>
        <v>Release</v>
      </c>
      <c r="AF73" s="127"/>
      <c r="AG73" s="127">
        <v>0</v>
      </c>
      <c r="AH73" s="132"/>
      <c r="AI73" s="238">
        <v>0</v>
      </c>
      <c r="AJ73" s="132"/>
      <c r="AK73" s="151">
        <v>740.55000000000007</v>
      </c>
      <c r="AL73" s="154">
        <f t="shared" si="23"/>
        <v>0</v>
      </c>
      <c r="AM73" s="155"/>
      <c r="AN73" s="19">
        <f t="shared" si="24"/>
        <v>0</v>
      </c>
      <c r="AO73" s="118">
        <f>SUMIF('MPG Payment '!E:E,'Shayak Income '!D73,'MPG Payment '!AJ:AJ)</f>
        <v>0</v>
      </c>
      <c r="AP73" s="19">
        <f t="shared" si="25"/>
        <v>0</v>
      </c>
      <c r="AQ73" s="119">
        <f t="shared" si="36"/>
        <v>0</v>
      </c>
      <c r="AR73" s="91" t="s">
        <v>1144</v>
      </c>
      <c r="AS73" s="91">
        <f t="shared" si="26"/>
        <v>0</v>
      </c>
      <c r="AT73" s="118"/>
      <c r="AU73" s="118"/>
      <c r="AV73" s="118"/>
    </row>
    <row r="74" spans="1:48" s="20" customFormat="1" x14ac:dyDescent="0.25">
      <c r="A74" s="17">
        <f>IFERROR(VLOOKUP(D74,'Monthly Deduction'!$I$3:$J$957,2,0),0)</f>
        <v>0</v>
      </c>
      <c r="B74" s="17">
        <f>IFERROR(VLOOKUP(D74,'Monthly Deduction'!$E$3:$F$957,2,0),0)</f>
        <v>0</v>
      </c>
      <c r="C74" s="17">
        <f t="shared" si="27"/>
        <v>0</v>
      </c>
      <c r="D74" s="41">
        <v>10030009</v>
      </c>
      <c r="E74" s="122" t="str">
        <f>VLOOKUP(D74,'MPG Payment '!$E$3:$G$497305,2,0)</f>
        <v>Gomukh ID Laldiyara</v>
      </c>
      <c r="F74" s="146">
        <f>IFERROR(_xlfn.XLOOKUP(D74,'Monthly Deduction'!$I$3:$I$957,'Monthly Deduction'!$H$3:$H$957),0)</f>
        <v>0</v>
      </c>
      <c r="G74" s="123" t="str">
        <f>VLOOKUP(D74,'MPG Payment '!$E$3:$G$333666,3,0)</f>
        <v>vlc</v>
      </c>
      <c r="H74" s="124" t="str">
        <f>VLOOKUP(D74,'MPG Payment '!$E$3:$H$333666,4,0)</f>
        <v>Indirect</v>
      </c>
      <c r="I74" s="88">
        <f>INDEX('MPG Payment '!$C:$C,MATCH('Shayak Income '!D74,'MPG Payment '!E:E,0))</f>
        <v>1003</v>
      </c>
      <c r="J74" s="88" t="str">
        <f>INDEX('MPG Payment '!$D:$D,MATCH('Shayak Income '!D74,'MPG Payment '!E:E,0))</f>
        <v>Asarganj</v>
      </c>
      <c r="K74" s="125" t="s">
        <v>1594</v>
      </c>
      <c r="L74" s="125">
        <v>43315</v>
      </c>
      <c r="M74" s="126">
        <f>SUMIF('MPG Payment '!$E$3:$E$344841,'Shayak Income '!D74,'MPG Payment '!$I$3:$I$344841)</f>
        <v>45084.25</v>
      </c>
      <c r="N74" s="126">
        <f>SUMIF('MPG Payment '!$E$3:$E$344841,'Shayak Income '!D74,'MPG Payment '!$J$3:$J$344841)</f>
        <v>1889255.0199999998</v>
      </c>
      <c r="O74" s="126">
        <f t="shared" si="28"/>
        <v>33813.1875</v>
      </c>
      <c r="P74" s="126">
        <f t="shared" si="29"/>
        <v>42830.037499999999</v>
      </c>
      <c r="Q74" s="126">
        <f>SUMIF('MPG Payment '!$E$3:$E$344841,'Shayak Income '!D74,'MPG Payment '!$S$3:$S$344841)</f>
        <v>0</v>
      </c>
      <c r="R74" s="126">
        <f t="shared" si="20"/>
        <v>56677.650599999994</v>
      </c>
      <c r="S74" s="126">
        <f t="shared" si="21"/>
        <v>13847.613099999995</v>
      </c>
      <c r="T74" s="126">
        <f t="shared" si="30"/>
        <v>4508.4250000000002</v>
      </c>
      <c r="U74" s="127">
        <f>((((((IF(K74="New",0,SUMIF('MPG Payment '!$E$3:$E$344841,'Shayak Income '!D74,'MPG Payment '!$AC$3:$AC$344841))))+0)+0)+0)+0)+0</f>
        <v>0</v>
      </c>
      <c r="V74" s="127">
        <f t="shared" si="31"/>
        <v>72135</v>
      </c>
      <c r="W74" s="19">
        <f t="shared" si="32"/>
        <v>0</v>
      </c>
      <c r="X74" s="19">
        <f t="shared" si="37"/>
        <v>0</v>
      </c>
      <c r="Y74" s="128">
        <f>IFERROR(VLOOKUP(D74,'Monthly Deduction'!$M$2:$N$640,2,0),0)</f>
        <v>0</v>
      </c>
      <c r="Z74" s="128">
        <v>0</v>
      </c>
      <c r="AA74" s="126">
        <f>IFERROR(VLOOKUP(D74,'Monthly Deduction'!A:B,2,0),0)</f>
        <v>0</v>
      </c>
      <c r="AB74" s="129">
        <f t="shared" si="22"/>
        <v>72135</v>
      </c>
      <c r="AC74" s="130">
        <v>0</v>
      </c>
      <c r="AD74" s="35">
        <f t="shared" si="34"/>
        <v>72135</v>
      </c>
      <c r="AE74" s="166" t="str">
        <f t="shared" si="35"/>
        <v>Release</v>
      </c>
      <c r="AF74" s="127"/>
      <c r="AG74" s="18">
        <v>0</v>
      </c>
      <c r="AH74" s="120"/>
      <c r="AI74" s="238">
        <v>0</v>
      </c>
      <c r="AJ74" s="132"/>
      <c r="AK74" s="151">
        <v>9313.6999999999989</v>
      </c>
      <c r="AL74" s="154">
        <f t="shared" si="23"/>
        <v>0</v>
      </c>
      <c r="AM74" s="155"/>
      <c r="AN74" s="19">
        <f t="shared" si="24"/>
        <v>0</v>
      </c>
      <c r="AO74" s="118">
        <f>SUMIF('MPG Payment '!E:E,'Shayak Income '!D74,'MPG Payment '!AJ:AJ)</f>
        <v>0</v>
      </c>
      <c r="AP74" s="19">
        <f t="shared" si="25"/>
        <v>0</v>
      </c>
      <c r="AQ74" s="119">
        <f t="shared" si="36"/>
        <v>0</v>
      </c>
      <c r="AR74" s="91" t="s">
        <v>1144</v>
      </c>
      <c r="AS74" s="91">
        <f t="shared" si="26"/>
        <v>0</v>
      </c>
      <c r="AT74" s="118"/>
      <c r="AU74" s="118"/>
      <c r="AV74" s="118"/>
    </row>
    <row r="75" spans="1:48" s="20" customFormat="1" x14ac:dyDescent="0.25">
      <c r="A75" s="17">
        <f>IFERROR(VLOOKUP(D75,'Monthly Deduction'!$I$3:$J$957,2,0),0)</f>
        <v>38142.522623289609</v>
      </c>
      <c r="B75" s="17">
        <f>IFERROR(VLOOKUP(D75,'Monthly Deduction'!$E$3:$F$957,2,0),0)</f>
        <v>4335</v>
      </c>
      <c r="C75" s="17">
        <f t="shared" si="27"/>
        <v>42477.522623289609</v>
      </c>
      <c r="D75" s="41">
        <v>10030010</v>
      </c>
      <c r="E75" s="122" t="str">
        <f>VLOOKUP(D75,'MPG Payment '!$E$3:$G$497305,2,0)</f>
        <v>KATHNI</v>
      </c>
      <c r="F75" s="146">
        <f>IFERROR(_xlfn.XLOOKUP(D75,'Monthly Deduction'!$I$3:$I$957,'Monthly Deduction'!$H$3:$H$957),0)</f>
        <v>0</v>
      </c>
      <c r="G75" s="123" t="str">
        <f>VLOOKUP(D75,'MPG Payment '!$E$3:$G$333666,3,0)</f>
        <v>MPG</v>
      </c>
      <c r="H75" s="124" t="str">
        <f>VLOOKUP(D75,'MPG Payment '!$E$3:$H$333666,4,0)</f>
        <v>Direct</v>
      </c>
      <c r="I75" s="88">
        <f>INDEX('MPG Payment '!$C:$C,MATCH('Shayak Income '!D75,'MPG Payment '!E:E,0))</f>
        <v>1003</v>
      </c>
      <c r="J75" s="88" t="str">
        <f>INDEX('MPG Payment '!$D:$D,MATCH('Shayak Income '!D75,'MPG Payment '!E:E,0))</f>
        <v>Asarganj</v>
      </c>
      <c r="K75" s="125" t="s">
        <v>1594</v>
      </c>
      <c r="L75" s="125">
        <v>43315</v>
      </c>
      <c r="M75" s="126">
        <f>SUMIF('MPG Payment '!$E$3:$E$344841,'Shayak Income '!D75,'MPG Payment '!$I$3:$I$344841)</f>
        <v>963.90000000000009</v>
      </c>
      <c r="N75" s="126">
        <f>SUMIF('MPG Payment '!$E$3:$E$344841,'Shayak Income '!D75,'MPG Payment '!$J$3:$J$344841)</f>
        <v>34739.43</v>
      </c>
      <c r="O75" s="126">
        <f t="shared" si="28"/>
        <v>722.92500000000007</v>
      </c>
      <c r="P75" s="126">
        <f t="shared" si="29"/>
        <v>915.70500000000004</v>
      </c>
      <c r="Q75" s="126">
        <f>SUMIF('MPG Payment '!$E$3:$E$344841,'Shayak Income '!D75,'MPG Payment '!$S$3:$S$344841)</f>
        <v>0</v>
      </c>
      <c r="R75" s="126">
        <f t="shared" si="20"/>
        <v>1042.1829</v>
      </c>
      <c r="S75" s="126">
        <f t="shared" si="21"/>
        <v>126.47789999999998</v>
      </c>
      <c r="T75" s="126">
        <f t="shared" si="30"/>
        <v>96.390000000000015</v>
      </c>
      <c r="U75" s="127">
        <f>((((((IF(K75="New",0,SUMIF('MPG Payment '!$E$3:$E$344841,'Shayak Income '!D75,'MPG Payment '!$AC$3:$AC$344841))))+0)+0)+0)+0)+0</f>
        <v>1321.0489302419433</v>
      </c>
      <c r="V75" s="127">
        <f t="shared" si="31"/>
        <v>221</v>
      </c>
      <c r="W75" s="19">
        <v>221</v>
      </c>
      <c r="X75" s="19">
        <v>0</v>
      </c>
      <c r="Y75" s="128">
        <f>IFERROR(VLOOKUP(D75,'Monthly Deduction'!$M$2:$N$640,2,0),0)</f>
        <v>0</v>
      </c>
      <c r="Z75" s="128">
        <v>0</v>
      </c>
      <c r="AA75" s="126">
        <f>IFERROR(VLOOKUP(D75,'Monthly Deduction'!A:B,2,0),0)</f>
        <v>0</v>
      </c>
      <c r="AB75" s="129">
        <f t="shared" si="22"/>
        <v>0</v>
      </c>
      <c r="AC75" s="130">
        <v>0</v>
      </c>
      <c r="AD75" s="35">
        <f t="shared" si="34"/>
        <v>0</v>
      </c>
      <c r="AE75" s="166" t="str">
        <f t="shared" si="35"/>
        <v>Release</v>
      </c>
      <c r="AF75" s="127"/>
      <c r="AG75" s="18">
        <v>0</v>
      </c>
      <c r="AH75" s="120"/>
      <c r="AI75" s="238">
        <v>0</v>
      </c>
      <c r="AJ75" s="132"/>
      <c r="AK75" s="151">
        <v>146.29999999999998</v>
      </c>
      <c r="AL75" s="154">
        <f t="shared" si="23"/>
        <v>0</v>
      </c>
      <c r="AM75" s="155"/>
      <c r="AN75" s="19">
        <f t="shared" si="24"/>
        <v>1861</v>
      </c>
      <c r="AO75" s="118">
        <f>SUMIF('MPG Payment '!E:E,'Shayak Income '!D75,'MPG Payment '!AJ:AJ)</f>
        <v>0</v>
      </c>
      <c r="AP75" s="19">
        <f t="shared" si="25"/>
        <v>221</v>
      </c>
      <c r="AQ75" s="119">
        <f t="shared" si="36"/>
        <v>221</v>
      </c>
      <c r="AR75" s="91" t="s">
        <v>1144</v>
      </c>
      <c r="AS75" s="91">
        <f t="shared" si="26"/>
        <v>4335</v>
      </c>
      <c r="AT75" s="118"/>
      <c r="AU75" s="118"/>
      <c r="AV75" s="118"/>
    </row>
    <row r="76" spans="1:48" s="20" customFormat="1" x14ac:dyDescent="0.25">
      <c r="A76" s="17">
        <f>IFERROR(VLOOKUP(D76,'Monthly Deduction'!$I$3:$J$957,2,0),0)</f>
        <v>0</v>
      </c>
      <c r="B76" s="17">
        <f>IFERROR(VLOOKUP(D76,'Monthly Deduction'!$E$3:$F$957,2,0),0)</f>
        <v>0</v>
      </c>
      <c r="C76" s="17">
        <f t="shared" si="27"/>
        <v>0</v>
      </c>
      <c r="D76" s="41">
        <v>10030011</v>
      </c>
      <c r="E76" s="122" t="str">
        <f>VLOOKUP(D76,'MPG Payment '!$E$3:$G$497305,2,0)</f>
        <v>DEVDHA GOMUKH MPG</v>
      </c>
      <c r="F76" s="146">
        <f>IFERROR(_xlfn.XLOOKUP(D76,'Monthly Deduction'!$I$3:$I$957,'Monthly Deduction'!$H$3:$H$957),0)</f>
        <v>0</v>
      </c>
      <c r="G76" s="123" t="str">
        <f>VLOOKUP(D76,'MPG Payment '!$E$3:$G$333666,3,0)</f>
        <v>MPG</v>
      </c>
      <c r="H76" s="124" t="str">
        <f>VLOOKUP(D76,'MPG Payment '!$E$3:$H$333666,4,0)</f>
        <v>Direct</v>
      </c>
      <c r="I76" s="88">
        <f>INDEX('MPG Payment '!$C:$C,MATCH('Shayak Income '!D76,'MPG Payment '!E:E,0))</f>
        <v>1003</v>
      </c>
      <c r="J76" s="88" t="str">
        <f>INDEX('MPG Payment '!$D:$D,MATCH('Shayak Income '!D76,'MPG Payment '!E:E,0))</f>
        <v>Asarganj</v>
      </c>
      <c r="K76" s="125" t="s">
        <v>1594</v>
      </c>
      <c r="L76" s="125">
        <v>43343</v>
      </c>
      <c r="M76" s="126">
        <f>SUMIF('MPG Payment '!$E$3:$E$344841,'Shayak Income '!D76,'MPG Payment '!$I$3:$I$344841)</f>
        <v>5989.35</v>
      </c>
      <c r="N76" s="126">
        <f>SUMIF('MPG Payment '!$E$3:$E$344841,'Shayak Income '!D76,'MPG Payment '!$J$3:$J$344841)</f>
        <v>256054.56999999998</v>
      </c>
      <c r="O76" s="126">
        <f t="shared" si="28"/>
        <v>4492.0125000000007</v>
      </c>
      <c r="P76" s="126">
        <f t="shared" si="29"/>
        <v>5689.8824999999997</v>
      </c>
      <c r="Q76" s="126">
        <f>SUMIF('MPG Payment '!$E$3:$E$344841,'Shayak Income '!D76,'MPG Payment '!$S$3:$S$344841)</f>
        <v>1165.79</v>
      </c>
      <c r="R76" s="126">
        <f t="shared" si="20"/>
        <v>7681.637099999999</v>
      </c>
      <c r="S76" s="126">
        <f t="shared" si="21"/>
        <v>1991.7545999999993</v>
      </c>
      <c r="T76" s="126">
        <f t="shared" si="30"/>
        <v>598.93500000000006</v>
      </c>
      <c r="U76" s="127">
        <f>((((((IF(K76="New",0,SUMIF('MPG Payment '!$E$3:$E$344841,'Shayak Income '!D76,'MPG Payment '!$AC$3:$AC$344841))))+0)+0)+0)+0)+0</f>
        <v>0</v>
      </c>
      <c r="V76" s="127">
        <f t="shared" si="31"/>
        <v>10749</v>
      </c>
      <c r="W76" s="19">
        <f t="shared" si="32"/>
        <v>0</v>
      </c>
      <c r="X76" s="19">
        <f t="shared" si="37"/>
        <v>0</v>
      </c>
      <c r="Y76" s="128">
        <f>IFERROR(VLOOKUP(D76,'Monthly Deduction'!$M$2:$N$640,2,0),0)</f>
        <v>2700</v>
      </c>
      <c r="Z76" s="128">
        <v>0</v>
      </c>
      <c r="AA76" s="126">
        <f>IFERROR(VLOOKUP(D76,'Monthly Deduction'!A:B,2,0),0)</f>
        <v>0</v>
      </c>
      <c r="AB76" s="129">
        <f t="shared" si="22"/>
        <v>8049</v>
      </c>
      <c r="AC76" s="130">
        <v>0</v>
      </c>
      <c r="AD76" s="35">
        <f t="shared" si="34"/>
        <v>8049</v>
      </c>
      <c r="AE76" s="166" t="str">
        <f t="shared" si="35"/>
        <v>Release</v>
      </c>
      <c r="AF76" s="127"/>
      <c r="AG76" s="18">
        <v>0</v>
      </c>
      <c r="AH76" s="120"/>
      <c r="AI76" s="238">
        <v>0</v>
      </c>
      <c r="AJ76" s="132"/>
      <c r="AK76" s="151">
        <v>1359.2499999999998</v>
      </c>
      <c r="AL76" s="154">
        <f t="shared" si="23"/>
        <v>0</v>
      </c>
      <c r="AM76" s="155"/>
      <c r="AN76" s="19">
        <f t="shared" si="24"/>
        <v>0</v>
      </c>
      <c r="AO76" s="118">
        <f>SUMIF('MPG Payment '!E:E,'Shayak Income '!D76,'MPG Payment '!AJ:AJ)</f>
        <v>0</v>
      </c>
      <c r="AP76" s="19">
        <f t="shared" si="25"/>
        <v>0</v>
      </c>
      <c r="AQ76" s="119">
        <f t="shared" si="36"/>
        <v>0</v>
      </c>
      <c r="AR76" s="91" t="s">
        <v>1144</v>
      </c>
      <c r="AS76" s="91">
        <f t="shared" si="26"/>
        <v>0</v>
      </c>
      <c r="AT76" s="118"/>
      <c r="AU76" s="118"/>
      <c r="AV76" s="118"/>
    </row>
    <row r="77" spans="1:48" s="20" customFormat="1" x14ac:dyDescent="0.25">
      <c r="A77" s="17">
        <f>IFERROR(VLOOKUP(D77,'Monthly Deduction'!$I$3:$J$957,2,0),0)</f>
        <v>0</v>
      </c>
      <c r="B77" s="17">
        <f>IFERROR(VLOOKUP(D77,'Monthly Deduction'!$E$3:$F$957,2,0),0)</f>
        <v>0</v>
      </c>
      <c r="C77" s="17">
        <f t="shared" si="27"/>
        <v>0</v>
      </c>
      <c r="D77" s="41">
        <v>10030012</v>
      </c>
      <c r="E77" s="122" t="str">
        <f>VLOOKUP(D77,'MPG Payment '!$E$3:$G$497305,2,0)</f>
        <v>KASBA(MANGOAN)</v>
      </c>
      <c r="F77" s="146">
        <f>IFERROR(_xlfn.XLOOKUP(D77,'Monthly Deduction'!$I$3:$I$957,'Monthly Deduction'!$H$3:$H$957),0)</f>
        <v>0</v>
      </c>
      <c r="G77" s="123" t="str">
        <f>VLOOKUP(D77,'MPG Payment '!$E$3:$G$333666,3,0)</f>
        <v>vlc</v>
      </c>
      <c r="H77" s="124" t="str">
        <f>VLOOKUP(D77,'MPG Payment '!$E$3:$H$333666,4,0)</f>
        <v>Indirect</v>
      </c>
      <c r="I77" s="88">
        <f>INDEX('MPG Payment '!$C:$C,MATCH('Shayak Income '!D77,'MPG Payment '!E:E,0))</f>
        <v>1003</v>
      </c>
      <c r="J77" s="88" t="str">
        <f>INDEX('MPG Payment '!$D:$D,MATCH('Shayak Income '!D77,'MPG Payment '!E:E,0))</f>
        <v>Asarganj</v>
      </c>
      <c r="K77" s="125" t="s">
        <v>1594</v>
      </c>
      <c r="L77" s="125">
        <v>44652</v>
      </c>
      <c r="M77" s="126">
        <f>SUMIF('MPG Payment '!$E$3:$E$344841,'Shayak Income '!D77,'MPG Payment '!$I$3:$I$344841)</f>
        <v>2114</v>
      </c>
      <c r="N77" s="126">
        <f>SUMIF('MPG Payment '!$E$3:$E$344841,'Shayak Income '!D77,'MPG Payment '!$J$3:$J$344841)</f>
        <v>75620.399999999994</v>
      </c>
      <c r="O77" s="126">
        <f t="shared" si="28"/>
        <v>1585.5</v>
      </c>
      <c r="P77" s="126">
        <f t="shared" si="29"/>
        <v>2008.3</v>
      </c>
      <c r="Q77" s="126">
        <f>SUMIF('MPG Payment '!$E$3:$E$344841,'Shayak Income '!D77,'MPG Payment '!$S$3:$S$344841)</f>
        <v>0</v>
      </c>
      <c r="R77" s="126">
        <f t="shared" si="20"/>
        <v>2268.6119999999996</v>
      </c>
      <c r="S77" s="126">
        <f t="shared" si="21"/>
        <v>260.31199999999967</v>
      </c>
      <c r="T77" s="126">
        <f t="shared" si="30"/>
        <v>211.4</v>
      </c>
      <c r="U77" s="127">
        <f>((((((IF(K77="New",0,SUMIF('MPG Payment '!$E$3:$E$344841,'Shayak Income '!D77,'MPG Payment '!$AC$3:$AC$344841))))+0)+0)+0)+0)+0</f>
        <v>830.70472188115127</v>
      </c>
      <c r="V77" s="127">
        <f t="shared" si="31"/>
        <v>2552</v>
      </c>
      <c r="W77" s="19">
        <f t="shared" si="32"/>
        <v>0</v>
      </c>
      <c r="X77" s="19">
        <f t="shared" si="37"/>
        <v>0</v>
      </c>
      <c r="Y77" s="128">
        <f>IFERROR(VLOOKUP(D77,'Monthly Deduction'!$M$2:$N$640,2,0),0)</f>
        <v>0</v>
      </c>
      <c r="Z77" s="128">
        <v>0</v>
      </c>
      <c r="AA77" s="126">
        <f>IFERROR(VLOOKUP(D77,'Monthly Deduction'!A:B,2,0),0)</f>
        <v>0</v>
      </c>
      <c r="AB77" s="129">
        <f t="shared" si="22"/>
        <v>2552</v>
      </c>
      <c r="AC77" s="130">
        <v>0</v>
      </c>
      <c r="AD77" s="35">
        <f t="shared" si="34"/>
        <v>2552</v>
      </c>
      <c r="AE77" s="166" t="str">
        <f t="shared" si="35"/>
        <v>Release</v>
      </c>
      <c r="AF77" s="127"/>
      <c r="AG77" s="18">
        <v>0</v>
      </c>
      <c r="AH77" s="132"/>
      <c r="AI77" s="238">
        <v>0</v>
      </c>
      <c r="AJ77" s="132"/>
      <c r="AK77" s="151">
        <v>495</v>
      </c>
      <c r="AL77" s="154">
        <f t="shared" si="23"/>
        <v>0</v>
      </c>
      <c r="AM77" s="155"/>
      <c r="AN77" s="19">
        <f t="shared" si="24"/>
        <v>0</v>
      </c>
      <c r="AO77" s="118">
        <f>SUMIF('MPG Payment '!E:E,'Shayak Income '!D77,'MPG Payment '!AJ:AJ)</f>
        <v>0</v>
      </c>
      <c r="AP77" s="19">
        <f t="shared" si="25"/>
        <v>0</v>
      </c>
      <c r="AQ77" s="119">
        <f t="shared" si="36"/>
        <v>0</v>
      </c>
      <c r="AR77" s="91" t="s">
        <v>1144</v>
      </c>
      <c r="AS77" s="91">
        <f t="shared" si="26"/>
        <v>0</v>
      </c>
      <c r="AT77" s="118"/>
      <c r="AU77" s="118"/>
      <c r="AV77" s="118"/>
    </row>
    <row r="78" spans="1:48" s="20" customFormat="1" x14ac:dyDescent="0.25">
      <c r="A78" s="17">
        <f>IFERROR(VLOOKUP(D78,'Monthly Deduction'!$I$3:$J$957,2,0),0)</f>
        <v>0</v>
      </c>
      <c r="B78" s="17">
        <f>IFERROR(VLOOKUP(D78,'Monthly Deduction'!$E$3:$F$957,2,0),0)</f>
        <v>3904.7687113240809</v>
      </c>
      <c r="C78" s="17">
        <f t="shared" si="27"/>
        <v>3904.7687113240809</v>
      </c>
      <c r="D78" s="41">
        <v>10030013</v>
      </c>
      <c r="E78" s="122" t="str">
        <f>VLOOKUP(D78,'MPG Payment '!$E$3:$G$497305,2,0)</f>
        <v>LOHRA</v>
      </c>
      <c r="F78" s="146">
        <f>IFERROR(_xlfn.XLOOKUP(D78,'Monthly Deduction'!$I$3:$I$957,'Monthly Deduction'!$H$3:$H$957),0)</f>
        <v>0</v>
      </c>
      <c r="G78" s="123" t="str">
        <f>VLOOKUP(D78,'MPG Payment '!$E$3:$G$333666,3,0)</f>
        <v>MPG</v>
      </c>
      <c r="H78" s="124" t="str">
        <f>VLOOKUP(D78,'MPG Payment '!$E$3:$H$333666,4,0)</f>
        <v>Direct</v>
      </c>
      <c r="I78" s="88">
        <f>INDEX('MPG Payment '!$C:$C,MATCH('Shayak Income '!D78,'MPG Payment '!E:E,0))</f>
        <v>1003</v>
      </c>
      <c r="J78" s="88" t="str">
        <f>INDEX('MPG Payment '!$D:$D,MATCH('Shayak Income '!D78,'MPG Payment '!E:E,0))</f>
        <v>Asarganj</v>
      </c>
      <c r="K78" s="125" t="s">
        <v>1594</v>
      </c>
      <c r="L78" s="125">
        <v>44927</v>
      </c>
      <c r="M78" s="126">
        <f>SUMIF('MPG Payment '!$E$3:$E$344841,'Shayak Income '!D78,'MPG Payment '!$I$3:$I$344841)</f>
        <v>2757.3999999999996</v>
      </c>
      <c r="N78" s="126">
        <f>SUMIF('MPG Payment '!$E$3:$E$344841,'Shayak Income '!D78,'MPG Payment '!$J$3:$J$344841)</f>
        <v>150208.89000000001</v>
      </c>
      <c r="O78" s="126">
        <f t="shared" si="28"/>
        <v>2068.0499999999997</v>
      </c>
      <c r="P78" s="126">
        <f t="shared" si="29"/>
        <v>2619.5299999999997</v>
      </c>
      <c r="Q78" s="126">
        <f>SUMIF('MPG Payment '!$E$3:$E$344841,'Shayak Income '!D78,'MPG Payment '!$S$3:$S$344841)</f>
        <v>3937.7699999999995</v>
      </c>
      <c r="R78" s="126">
        <f t="shared" si="20"/>
        <v>4506.2667000000001</v>
      </c>
      <c r="S78" s="126">
        <f t="shared" si="21"/>
        <v>1886.7367000000004</v>
      </c>
      <c r="T78" s="126">
        <f t="shared" si="30"/>
        <v>275.73999999999995</v>
      </c>
      <c r="U78" s="127">
        <f>((((((IF(K78="New",0,SUMIF('MPG Payment '!$E$3:$E$344841,'Shayak Income '!D78,'MPG Payment '!$AC$3:$AC$344841))))+0)+0)+0)+0)+0</f>
        <v>98.071964789284067</v>
      </c>
      <c r="V78" s="127">
        <f t="shared" si="31"/>
        <v>8252</v>
      </c>
      <c r="W78" s="19">
        <f t="shared" si="32"/>
        <v>0</v>
      </c>
      <c r="X78" s="19">
        <f t="shared" si="37"/>
        <v>3004.1778000000004</v>
      </c>
      <c r="Y78" s="128">
        <f>IFERROR(VLOOKUP(D78,'Monthly Deduction'!$M$2:$N$640,2,0),0)</f>
        <v>0</v>
      </c>
      <c r="Z78" s="128">
        <v>0</v>
      </c>
      <c r="AA78" s="126">
        <f>IFERROR(VLOOKUP(D78,'Monthly Deduction'!A:B,2,0),0)</f>
        <v>0</v>
      </c>
      <c r="AB78" s="129">
        <f t="shared" si="22"/>
        <v>5248</v>
      </c>
      <c r="AC78" s="130">
        <v>0</v>
      </c>
      <c r="AD78" s="35">
        <f t="shared" si="34"/>
        <v>5248</v>
      </c>
      <c r="AE78" s="166" t="str">
        <f t="shared" si="35"/>
        <v>Release</v>
      </c>
      <c r="AF78" s="127"/>
      <c r="AG78" s="18">
        <v>0</v>
      </c>
      <c r="AH78" s="120"/>
      <c r="AI78" s="238">
        <v>0</v>
      </c>
      <c r="AJ78" s="132"/>
      <c r="AK78" s="151">
        <v>627.5999999999998</v>
      </c>
      <c r="AL78" s="154">
        <f t="shared" si="23"/>
        <v>0</v>
      </c>
      <c r="AM78" s="155"/>
      <c r="AN78" s="19">
        <f t="shared" si="24"/>
        <v>0</v>
      </c>
      <c r="AO78" s="118">
        <f>SUMIF('MPG Payment '!E:E,'Shayak Income '!D78,'MPG Payment '!AJ:AJ)</f>
        <v>0</v>
      </c>
      <c r="AP78" s="19">
        <f t="shared" si="25"/>
        <v>0</v>
      </c>
      <c r="AQ78" s="119">
        <f t="shared" si="36"/>
        <v>0</v>
      </c>
      <c r="AR78" s="91" t="s">
        <v>1144</v>
      </c>
      <c r="AS78" s="91">
        <f t="shared" si="26"/>
        <v>900.59091132408048</v>
      </c>
      <c r="AT78" s="118"/>
      <c r="AU78" s="118"/>
      <c r="AV78" s="118"/>
    </row>
    <row r="79" spans="1:48" s="20" customFormat="1" x14ac:dyDescent="0.25">
      <c r="A79" s="17">
        <f>IFERROR(VLOOKUP(D79,'Monthly Deduction'!$I$3:$J$957,2,0),0)</f>
        <v>40531.95065287716</v>
      </c>
      <c r="B79" s="17">
        <f>IFERROR(VLOOKUP(D79,'Monthly Deduction'!$E$3:$F$957,2,0),0)</f>
        <v>6400</v>
      </c>
      <c r="C79" s="17">
        <f t="shared" si="27"/>
        <v>46931.95065287716</v>
      </c>
      <c r="D79" s="41">
        <v>10030015</v>
      </c>
      <c r="E79" s="122" t="str">
        <f>VLOOKUP(D79,'MPG Payment '!$E$3:$G$497305,2,0)</f>
        <v>KAMATPUR</v>
      </c>
      <c r="F79" s="146">
        <f>IFERROR(_xlfn.XLOOKUP(D79,'Monthly Deduction'!$I$3:$I$957,'Monthly Deduction'!$H$3:$H$957),0)</f>
        <v>0</v>
      </c>
      <c r="G79" s="123" t="str">
        <f>VLOOKUP(D79,'MPG Payment '!$E$3:$G$333666,3,0)</f>
        <v>MPG</v>
      </c>
      <c r="H79" s="124" t="str">
        <f>VLOOKUP(D79,'MPG Payment '!$E$3:$H$333666,4,0)</f>
        <v>Direct</v>
      </c>
      <c r="I79" s="88">
        <f>INDEX('MPG Payment '!$C:$C,MATCH('Shayak Income '!D79,'MPG Payment '!E:E,0))</f>
        <v>1003</v>
      </c>
      <c r="J79" s="88" t="str">
        <f>INDEX('MPG Payment '!$D:$D,MATCH('Shayak Income '!D79,'MPG Payment '!E:E,0))</f>
        <v>Asarganj</v>
      </c>
      <c r="K79" s="125" t="s">
        <v>1594</v>
      </c>
      <c r="L79" s="125">
        <v>44981</v>
      </c>
      <c r="M79" s="126">
        <f>SUMIF('MPG Payment '!$E$3:$E$344841,'Shayak Income '!D79,'MPG Payment '!$I$3:$I$344841)</f>
        <v>463.59999999999997</v>
      </c>
      <c r="N79" s="126">
        <f>SUMIF('MPG Payment '!$E$3:$E$344841,'Shayak Income '!D79,'MPG Payment '!$J$3:$J$344841)</f>
        <v>18633.830000000002</v>
      </c>
      <c r="O79" s="126">
        <f t="shared" si="28"/>
        <v>347.7</v>
      </c>
      <c r="P79" s="126">
        <f t="shared" si="29"/>
        <v>440.41999999999996</v>
      </c>
      <c r="Q79" s="126">
        <f>SUMIF('MPG Payment '!$E$3:$E$344841,'Shayak Income '!D79,'MPG Payment '!$S$3:$S$344841)</f>
        <v>0</v>
      </c>
      <c r="R79" s="126">
        <f t="shared" si="20"/>
        <v>559.01490000000001</v>
      </c>
      <c r="S79" s="126">
        <f t="shared" si="21"/>
        <v>118.59490000000005</v>
      </c>
      <c r="T79" s="126">
        <f t="shared" si="30"/>
        <v>46.36</v>
      </c>
      <c r="U79" s="127">
        <f>((((((IF(K79="New",0,SUMIF('MPG Payment '!$E$3:$E$344841,'Shayak Income '!D79,'MPG Payment '!$AC$3:$AC$344841))))+0)+0)+0)+0)+-9</f>
        <v>741.26672319609179</v>
      </c>
      <c r="V79" s="127">
        <f t="shared" si="31"/>
        <v>0</v>
      </c>
      <c r="W79" s="19">
        <v>0</v>
      </c>
      <c r="X79" s="19">
        <v>0</v>
      </c>
      <c r="Y79" s="128">
        <v>0</v>
      </c>
      <c r="Z79" s="128">
        <v>0</v>
      </c>
      <c r="AA79" s="126">
        <v>0</v>
      </c>
      <c r="AB79" s="129">
        <f t="shared" si="22"/>
        <v>0</v>
      </c>
      <c r="AC79" s="130">
        <f>AB79</f>
        <v>0</v>
      </c>
      <c r="AD79" s="35">
        <f t="shared" si="34"/>
        <v>0</v>
      </c>
      <c r="AE79" s="166" t="str">
        <f t="shared" si="35"/>
        <v>Release</v>
      </c>
      <c r="AF79" s="127"/>
      <c r="AG79" s="18">
        <v>0</v>
      </c>
      <c r="AH79" s="132" t="s">
        <v>1597</v>
      </c>
      <c r="AI79" s="238">
        <v>0</v>
      </c>
      <c r="AJ79" s="132"/>
      <c r="AK79" s="151">
        <v>0</v>
      </c>
      <c r="AL79" s="154">
        <f t="shared" si="23"/>
        <v>0</v>
      </c>
      <c r="AM79" s="155"/>
      <c r="AN79" s="19">
        <f t="shared" si="24"/>
        <v>1861</v>
      </c>
      <c r="AO79" s="118">
        <f>SUMIF('MPG Payment '!E:E,'Shayak Income '!D79,'MPG Payment '!AJ:AJ)</f>
        <v>0</v>
      </c>
      <c r="AP79" s="19">
        <f t="shared" si="25"/>
        <v>0</v>
      </c>
      <c r="AQ79" s="119">
        <f t="shared" si="36"/>
        <v>0</v>
      </c>
      <c r="AR79" s="91" t="s">
        <v>1144</v>
      </c>
      <c r="AS79" s="91">
        <f t="shared" si="26"/>
        <v>6400</v>
      </c>
      <c r="AT79" s="118"/>
      <c r="AU79" s="118"/>
      <c r="AV79" s="118"/>
    </row>
    <row r="80" spans="1:48" s="20" customFormat="1" x14ac:dyDescent="0.25">
      <c r="A80" s="17">
        <f>IFERROR(VLOOKUP(D80,'Monthly Deduction'!$I$3:$J$957,2,0),0)</f>
        <v>10653.716086656801</v>
      </c>
      <c r="B80" s="17">
        <f>IFERROR(VLOOKUP(D80,'Monthly Deduction'!$E$3:$F$957,2,0),0)</f>
        <v>22400</v>
      </c>
      <c r="C80" s="17">
        <f t="shared" si="27"/>
        <v>33053.716086656801</v>
      </c>
      <c r="D80" s="41">
        <v>10030016</v>
      </c>
      <c r="E80" s="122" t="str">
        <f>VLOOKUP(D80,'MPG Payment '!$E$3:$G$497305,2,0)</f>
        <v>GIRDHARA</v>
      </c>
      <c r="F80" s="146">
        <f>IFERROR(_xlfn.XLOOKUP(D80,'Monthly Deduction'!$I$3:$I$957,'Monthly Deduction'!$H$3:$H$957),0)</f>
        <v>0</v>
      </c>
      <c r="G80" s="123" t="str">
        <f>VLOOKUP(D80,'MPG Payment '!$E$3:$G$333666,3,0)</f>
        <v>MPG</v>
      </c>
      <c r="H80" s="124" t="str">
        <f>VLOOKUP(D80,'MPG Payment '!$E$3:$H$333666,4,0)</f>
        <v>Direct</v>
      </c>
      <c r="I80" s="88">
        <f>INDEX('MPG Payment '!$C:$C,MATCH('Shayak Income '!D80,'MPG Payment '!E:E,0))</f>
        <v>1003</v>
      </c>
      <c r="J80" s="88" t="str">
        <f>INDEX('MPG Payment '!$D:$D,MATCH('Shayak Income '!D80,'MPG Payment '!E:E,0))</f>
        <v>Asarganj</v>
      </c>
      <c r="K80" s="125" t="s">
        <v>1594</v>
      </c>
      <c r="L80" s="125">
        <v>44982</v>
      </c>
      <c r="M80" s="126">
        <f>SUMIF('MPG Payment '!$E$3:$E$344841,'Shayak Income '!D80,'MPG Payment '!$I$3:$I$344841)</f>
        <v>5074.9000000000005</v>
      </c>
      <c r="N80" s="126">
        <f>SUMIF('MPG Payment '!$E$3:$E$344841,'Shayak Income '!D80,'MPG Payment '!$J$3:$J$344841)</f>
        <v>222153.31999999998</v>
      </c>
      <c r="O80" s="126">
        <f t="shared" si="28"/>
        <v>3806.1750000000002</v>
      </c>
      <c r="P80" s="126">
        <f t="shared" si="29"/>
        <v>4821.1550000000007</v>
      </c>
      <c r="Q80" s="126">
        <f>SUMIF('MPG Payment '!$E$3:$E$344841,'Shayak Income '!D80,'MPG Payment '!$S$3:$S$344841)</f>
        <v>1453.14</v>
      </c>
      <c r="R80" s="126">
        <f t="shared" si="20"/>
        <v>6664.5995999999986</v>
      </c>
      <c r="S80" s="126">
        <f t="shared" si="21"/>
        <v>1843.444599999998</v>
      </c>
      <c r="T80" s="126">
        <f t="shared" si="30"/>
        <v>507.49000000000007</v>
      </c>
      <c r="U80" s="127">
        <f>((((((IF(K80="New",0,SUMIF('MPG Payment '!$E$3:$E$344841,'Shayak Income '!D80,'MPG Payment '!$AC$3:$AC$344841))))+0)+0)+0)+0)+0</f>
        <v>0</v>
      </c>
      <c r="V80" s="127">
        <f t="shared" si="31"/>
        <v>9573</v>
      </c>
      <c r="W80" s="19">
        <f t="shared" si="32"/>
        <v>4443.0663999999997</v>
      </c>
      <c r="X80" s="19">
        <v>0</v>
      </c>
      <c r="Y80" s="128">
        <f>IFERROR(VLOOKUP(D80,'Monthly Deduction'!$M$2:$N$640,2,0),0)</f>
        <v>0</v>
      </c>
      <c r="Z80" s="128">
        <v>2500</v>
      </c>
      <c r="AA80" s="126">
        <f>IFERROR(VLOOKUP(D80,'Monthly Deduction'!A:B,2,0),0)</f>
        <v>0</v>
      </c>
      <c r="AB80" s="129">
        <f t="shared" si="22"/>
        <v>2630</v>
      </c>
      <c r="AC80" s="130">
        <v>0</v>
      </c>
      <c r="AD80" s="35">
        <f t="shared" si="34"/>
        <v>2630</v>
      </c>
      <c r="AE80" s="166" t="str">
        <f t="shared" si="35"/>
        <v>Release</v>
      </c>
      <c r="AF80" s="127"/>
      <c r="AG80" s="18">
        <v>0</v>
      </c>
      <c r="AH80" s="132" t="s">
        <v>1682</v>
      </c>
      <c r="AI80" s="238">
        <v>0</v>
      </c>
      <c r="AJ80" s="132"/>
      <c r="AK80" s="151">
        <v>1072.05</v>
      </c>
      <c r="AL80" s="154">
        <f t="shared" si="23"/>
        <v>0</v>
      </c>
      <c r="AM80" s="155"/>
      <c r="AN80" s="19">
        <f t="shared" si="24"/>
        <v>4443.0663999999997</v>
      </c>
      <c r="AO80" s="118">
        <f>SUMIF('MPG Payment '!E:E,'Shayak Income '!D80,'MPG Payment '!AJ:AJ)</f>
        <v>0</v>
      </c>
      <c r="AP80" s="19">
        <f t="shared" si="25"/>
        <v>4443.0663999999997</v>
      </c>
      <c r="AQ80" s="119">
        <f t="shared" si="36"/>
        <v>4443.0663999999997</v>
      </c>
      <c r="AR80" s="91"/>
      <c r="AS80" s="91">
        <f t="shared" si="26"/>
        <v>22400</v>
      </c>
      <c r="AT80" s="118"/>
      <c r="AU80" s="118"/>
      <c r="AV80" s="118"/>
    </row>
    <row r="81" spans="1:48" s="20" customFormat="1" x14ac:dyDescent="0.25">
      <c r="A81" s="17">
        <f>IFERROR(VLOOKUP(D81,'Monthly Deduction'!$I$3:$J$957,2,0),0)</f>
        <v>0</v>
      </c>
      <c r="B81" s="17">
        <f>IFERROR(VLOOKUP(D81,'Monthly Deduction'!$E$3:$F$957,2,0),0)</f>
        <v>0</v>
      </c>
      <c r="C81" s="17">
        <f t="shared" si="27"/>
        <v>0</v>
      </c>
      <c r="D81" s="41">
        <v>10030017</v>
      </c>
      <c r="E81" s="122" t="str">
        <f>VLOOKUP(D81,'MPG Payment '!$E$3:$G$497305,2,0)</f>
        <v>RATNI</v>
      </c>
      <c r="F81" s="146">
        <f>IFERROR(_xlfn.XLOOKUP(D81,'Monthly Deduction'!$I$3:$I$957,'Monthly Deduction'!$H$3:$H$957),0)</f>
        <v>0</v>
      </c>
      <c r="G81" s="123" t="str">
        <f>VLOOKUP(D81,'MPG Payment '!$E$3:$G$333666,3,0)</f>
        <v>MPG</v>
      </c>
      <c r="H81" s="124" t="str">
        <f>VLOOKUP(D81,'MPG Payment '!$E$3:$H$333666,4,0)</f>
        <v>Direct</v>
      </c>
      <c r="I81" s="88">
        <f>INDEX('MPG Payment '!$C:$C,MATCH('Shayak Income '!D81,'MPG Payment '!E:E,0))</f>
        <v>1003</v>
      </c>
      <c r="J81" s="88" t="str">
        <f>INDEX('MPG Payment '!$D:$D,MATCH('Shayak Income '!D81,'MPG Payment '!E:E,0))</f>
        <v>Asarganj</v>
      </c>
      <c r="K81" s="125" t="s">
        <v>1594</v>
      </c>
      <c r="L81" s="125">
        <v>44995</v>
      </c>
      <c r="M81" s="126">
        <f>SUMIF('MPG Payment '!$E$3:$E$344841,'Shayak Income '!D81,'MPG Payment '!$I$3:$I$344841)</f>
        <v>5588.2</v>
      </c>
      <c r="N81" s="126">
        <f>SUMIF('MPG Payment '!$E$3:$E$344841,'Shayak Income '!D81,'MPG Payment '!$J$3:$J$344841)</f>
        <v>290877.16000000003</v>
      </c>
      <c r="O81" s="126">
        <f t="shared" si="28"/>
        <v>4191.1499999999996</v>
      </c>
      <c r="P81" s="126">
        <f t="shared" si="29"/>
        <v>5308.79</v>
      </c>
      <c r="Q81" s="126">
        <f>SUMIF('MPG Payment '!$E$3:$E$344841,'Shayak Income '!D81,'MPG Payment '!$S$3:$S$344841)</f>
        <v>7709.6399999999994</v>
      </c>
      <c r="R81" s="126">
        <f t="shared" si="20"/>
        <v>8726.3148000000001</v>
      </c>
      <c r="S81" s="126">
        <f t="shared" si="21"/>
        <v>3417.5248000000001</v>
      </c>
      <c r="T81" s="126">
        <f t="shared" si="30"/>
        <v>558.82000000000005</v>
      </c>
      <c r="U81" s="127">
        <f>((((((IF(K81="New",0,SUMIF('MPG Payment '!$E$3:$E$344841,'Shayak Income '!D81,'MPG Payment '!$AC$3:$AC$344841))))+0)+0)+0)+0)+0</f>
        <v>0</v>
      </c>
      <c r="V81" s="127">
        <f t="shared" si="31"/>
        <v>16651</v>
      </c>
      <c r="W81" s="19">
        <f t="shared" si="32"/>
        <v>0</v>
      </c>
      <c r="X81" s="19">
        <f t="shared" si="37"/>
        <v>0</v>
      </c>
      <c r="Y81" s="128">
        <f>IFERROR(VLOOKUP(D81,'Monthly Deduction'!$M$2:$N$640,2,0),0)</f>
        <v>0</v>
      </c>
      <c r="Z81" s="128">
        <v>0</v>
      </c>
      <c r="AA81" s="126">
        <f>IFERROR(VLOOKUP(D81,'Monthly Deduction'!A:B,2,0),0)</f>
        <v>0</v>
      </c>
      <c r="AB81" s="129">
        <f t="shared" si="22"/>
        <v>16651</v>
      </c>
      <c r="AC81" s="130">
        <v>0</v>
      </c>
      <c r="AD81" s="35">
        <f t="shared" si="34"/>
        <v>16651</v>
      </c>
      <c r="AE81" s="166" t="str">
        <f t="shared" si="35"/>
        <v>Release</v>
      </c>
      <c r="AF81" s="127"/>
      <c r="AG81" s="18">
        <v>0</v>
      </c>
      <c r="AH81" s="120"/>
      <c r="AI81" s="238">
        <v>0</v>
      </c>
      <c r="AJ81" s="132"/>
      <c r="AK81" s="151">
        <v>1320.1499999999999</v>
      </c>
      <c r="AL81" s="154">
        <f t="shared" si="23"/>
        <v>0</v>
      </c>
      <c r="AM81" s="155"/>
      <c r="AN81" s="19">
        <f t="shared" si="24"/>
        <v>0</v>
      </c>
      <c r="AO81" s="118">
        <f>SUMIF('MPG Payment '!E:E,'Shayak Income '!D81,'MPG Payment '!AJ:AJ)</f>
        <v>0</v>
      </c>
      <c r="AP81" s="19">
        <f t="shared" si="25"/>
        <v>0</v>
      </c>
      <c r="AQ81" s="119">
        <f t="shared" si="36"/>
        <v>0</v>
      </c>
      <c r="AR81" s="91"/>
      <c r="AS81" s="91">
        <f t="shared" si="26"/>
        <v>0</v>
      </c>
      <c r="AT81" s="118"/>
      <c r="AU81" s="118"/>
      <c r="AV81" s="118"/>
    </row>
    <row r="82" spans="1:48" s="20" customFormat="1" x14ac:dyDescent="0.25">
      <c r="A82" s="17">
        <f>IFERROR(VLOOKUP(D82,'Monthly Deduction'!$I$3:$J$957,2,0),0)</f>
        <v>0</v>
      </c>
      <c r="B82" s="17">
        <f>IFERROR(VLOOKUP(D82,'Monthly Deduction'!$E$3:$F$957,2,0),0)</f>
        <v>0</v>
      </c>
      <c r="C82" s="17">
        <f t="shared" si="27"/>
        <v>0</v>
      </c>
      <c r="D82" s="41">
        <v>10030018</v>
      </c>
      <c r="E82" s="122" t="str">
        <f>VLOOKUP(D82,'MPG Payment '!$E$3:$G$497305,2,0)</f>
        <v>DHAPARI</v>
      </c>
      <c r="F82" s="146">
        <f>IFERROR(_xlfn.XLOOKUP(D82,'Monthly Deduction'!$I$3:$I$957,'Monthly Deduction'!$H$3:$H$957),0)</f>
        <v>0</v>
      </c>
      <c r="G82" s="123" t="str">
        <f>VLOOKUP(D82,'MPG Payment '!$E$3:$G$333666,3,0)</f>
        <v>MPG</v>
      </c>
      <c r="H82" s="124" t="str">
        <f>VLOOKUP(D82,'MPG Payment '!$E$3:$H$333666,4,0)</f>
        <v>Direct</v>
      </c>
      <c r="I82" s="88">
        <f>INDEX('MPG Payment '!$C:$C,MATCH('Shayak Income '!D82,'MPG Payment '!E:E,0))</f>
        <v>1003</v>
      </c>
      <c r="J82" s="88" t="str">
        <f>INDEX('MPG Payment '!$D:$D,MATCH('Shayak Income '!D82,'MPG Payment '!E:E,0))</f>
        <v>Asarganj</v>
      </c>
      <c r="K82" s="125" t="s">
        <v>1594</v>
      </c>
      <c r="L82" s="125">
        <v>44995</v>
      </c>
      <c r="M82" s="126">
        <f>SUMIF('MPG Payment '!$E$3:$E$344841,'Shayak Income '!D82,'MPG Payment '!$I$3:$I$344841)</f>
        <v>2936.9500000000003</v>
      </c>
      <c r="N82" s="126">
        <f>SUMIF('MPG Payment '!$E$3:$E$344841,'Shayak Income '!D82,'MPG Payment '!$J$3:$J$344841)</f>
        <v>124484.47</v>
      </c>
      <c r="O82" s="126">
        <f t="shared" si="28"/>
        <v>2202.7125000000001</v>
      </c>
      <c r="P82" s="126">
        <f t="shared" si="29"/>
        <v>2790.1025</v>
      </c>
      <c r="Q82" s="126">
        <f>SUMIF('MPG Payment '!$E$3:$E$344841,'Shayak Income '!D82,'MPG Payment '!$S$3:$S$344841)</f>
        <v>4089.9399999999996</v>
      </c>
      <c r="R82" s="126">
        <f t="shared" si="20"/>
        <v>3734.5340999999999</v>
      </c>
      <c r="S82" s="126">
        <f t="shared" si="21"/>
        <v>944.43159999999989</v>
      </c>
      <c r="T82" s="126">
        <f t="shared" si="30"/>
        <v>293.69500000000005</v>
      </c>
      <c r="U82" s="127">
        <f>((((((IF(K82="New",0,SUMIF('MPG Payment '!$E$3:$E$344841,'Shayak Income '!D82,'MPG Payment '!$AC$3:$AC$344841))))+0)+0)+0)+0)+0</f>
        <v>75.902212081418298</v>
      </c>
      <c r="V82" s="127">
        <f t="shared" si="31"/>
        <v>8713</v>
      </c>
      <c r="W82" s="19">
        <f t="shared" si="32"/>
        <v>0</v>
      </c>
      <c r="X82" s="19">
        <f t="shared" si="37"/>
        <v>0</v>
      </c>
      <c r="Y82" s="128">
        <f>IFERROR(VLOOKUP(D82,'Monthly Deduction'!$M$2:$N$640,2,0),0)</f>
        <v>0</v>
      </c>
      <c r="Z82" s="128">
        <v>0</v>
      </c>
      <c r="AA82" s="126">
        <f>IFERROR(VLOOKUP(D82,'Monthly Deduction'!A:B,2,0),0)</f>
        <v>0</v>
      </c>
      <c r="AB82" s="129">
        <f t="shared" si="22"/>
        <v>8713</v>
      </c>
      <c r="AC82" s="130">
        <v>0</v>
      </c>
      <c r="AD82" s="35">
        <f t="shared" si="34"/>
        <v>8713</v>
      </c>
      <c r="AE82" s="166" t="str">
        <f t="shared" si="35"/>
        <v>Release</v>
      </c>
      <c r="AF82" s="127"/>
      <c r="AG82" s="18">
        <v>0</v>
      </c>
      <c r="AH82" s="120"/>
      <c r="AI82" s="238">
        <v>0</v>
      </c>
      <c r="AJ82" s="132"/>
      <c r="AK82" s="151">
        <v>648.5</v>
      </c>
      <c r="AL82" s="154">
        <f t="shared" si="23"/>
        <v>0</v>
      </c>
      <c r="AM82" s="155"/>
      <c r="AN82" s="19">
        <f t="shared" si="24"/>
        <v>0</v>
      </c>
      <c r="AO82" s="118">
        <f>SUMIF('MPG Payment '!E:E,'Shayak Income '!D82,'MPG Payment '!AJ:AJ)</f>
        <v>0</v>
      </c>
      <c r="AP82" s="19">
        <f t="shared" si="25"/>
        <v>0</v>
      </c>
      <c r="AQ82" s="119">
        <f t="shared" si="36"/>
        <v>0</v>
      </c>
      <c r="AR82" s="91" t="s">
        <v>1144</v>
      </c>
      <c r="AS82" s="91">
        <f t="shared" si="26"/>
        <v>0</v>
      </c>
      <c r="AT82" s="118"/>
      <c r="AU82" s="118"/>
      <c r="AV82" s="118"/>
    </row>
    <row r="83" spans="1:48" s="20" customFormat="1" x14ac:dyDescent="0.25">
      <c r="A83" s="17">
        <f>IFERROR(VLOOKUP(D83,'Monthly Deduction'!$I$3:$J$957,2,0),0)</f>
        <v>0</v>
      </c>
      <c r="B83" s="17">
        <f>IFERROR(VLOOKUP(D83,'Monthly Deduction'!$E$3:$F$957,2,0),0)</f>
        <v>0</v>
      </c>
      <c r="C83" s="17">
        <f t="shared" si="27"/>
        <v>0</v>
      </c>
      <c r="D83" s="41">
        <v>10030019</v>
      </c>
      <c r="E83" s="122" t="str">
        <f>VLOOKUP(D83,'MPG Payment '!$E$3:$G$497305,2,0)</f>
        <v>KHARUI</v>
      </c>
      <c r="F83" s="146">
        <f>IFERROR(_xlfn.XLOOKUP(D83,'Monthly Deduction'!$I$3:$I$957,'Monthly Deduction'!$H$3:$H$957),0)</f>
        <v>0</v>
      </c>
      <c r="G83" s="123" t="str">
        <f>VLOOKUP(D83,'MPG Payment '!$E$3:$G$333666,3,0)</f>
        <v>MPG</v>
      </c>
      <c r="H83" s="124" t="str">
        <f>VLOOKUP(D83,'MPG Payment '!$E$3:$H$333666,4,0)</f>
        <v>Direct</v>
      </c>
      <c r="I83" s="88">
        <f>INDEX('MPG Payment '!$C:$C,MATCH('Shayak Income '!D83,'MPG Payment '!E:E,0))</f>
        <v>1003</v>
      </c>
      <c r="J83" s="88" t="str">
        <f>INDEX('MPG Payment '!$D:$D,MATCH('Shayak Income '!D83,'MPG Payment '!E:E,0))</f>
        <v>Asarganj</v>
      </c>
      <c r="K83" s="125" t="s">
        <v>1594</v>
      </c>
      <c r="L83" s="125">
        <v>44995</v>
      </c>
      <c r="M83" s="126">
        <f>SUMIF('MPG Payment '!$E$3:$E$344841,'Shayak Income '!D83,'MPG Payment '!$I$3:$I$344841)</f>
        <v>1511.8</v>
      </c>
      <c r="N83" s="126">
        <f>SUMIF('MPG Payment '!$E$3:$E$344841,'Shayak Income '!D83,'MPG Payment '!$J$3:$J$344841)</f>
        <v>66316.12</v>
      </c>
      <c r="O83" s="126">
        <f t="shared" si="28"/>
        <v>1133.8499999999999</v>
      </c>
      <c r="P83" s="126">
        <f t="shared" si="29"/>
        <v>1436.2099999999998</v>
      </c>
      <c r="Q83" s="126">
        <f>SUMIF('MPG Payment '!$E$3:$E$344841,'Shayak Income '!D83,'MPG Payment '!$S$3:$S$344841)</f>
        <v>4387.2000000000007</v>
      </c>
      <c r="R83" s="126">
        <f t="shared" si="20"/>
        <v>1989.4835999999998</v>
      </c>
      <c r="S83" s="126">
        <f t="shared" si="21"/>
        <v>553.27359999999999</v>
      </c>
      <c r="T83" s="126">
        <f t="shared" si="30"/>
        <v>151.18</v>
      </c>
      <c r="U83" s="127">
        <f>((((((IF(K83="New",0,SUMIF('MPG Payment '!$E$3:$E$344841,'Shayak Income '!D83,'MPG Payment '!$AC$3:$AC$344841))))+0)+0)+0)+0)+0</f>
        <v>1129.7613741752339</v>
      </c>
      <c r="V83" s="127">
        <f t="shared" si="31"/>
        <v>5676</v>
      </c>
      <c r="W83" s="19">
        <f t="shared" si="32"/>
        <v>0</v>
      </c>
      <c r="X83" s="19">
        <f t="shared" si="37"/>
        <v>0</v>
      </c>
      <c r="Y83" s="128">
        <f>IFERROR(VLOOKUP(D83,'Monthly Deduction'!$M$2:$N$640,2,0),0)</f>
        <v>0</v>
      </c>
      <c r="Z83" s="128">
        <v>0</v>
      </c>
      <c r="AA83" s="126">
        <f>IFERROR(VLOOKUP(D83,'Monthly Deduction'!A:B,2,0),0)</f>
        <v>0</v>
      </c>
      <c r="AB83" s="129">
        <f t="shared" si="22"/>
        <v>5676</v>
      </c>
      <c r="AC83" s="130">
        <v>0</v>
      </c>
      <c r="AD83" s="35">
        <f t="shared" si="34"/>
        <v>5676</v>
      </c>
      <c r="AE83" s="166" t="str">
        <f t="shared" si="35"/>
        <v>Release</v>
      </c>
      <c r="AF83" s="127"/>
      <c r="AG83" s="18">
        <v>0</v>
      </c>
      <c r="AH83" s="132"/>
      <c r="AI83" s="238">
        <v>0</v>
      </c>
      <c r="AJ83" s="132"/>
      <c r="AK83" s="151">
        <v>223.25</v>
      </c>
      <c r="AL83" s="154">
        <f t="shared" si="23"/>
        <v>0</v>
      </c>
      <c r="AM83" s="155"/>
      <c r="AN83" s="19">
        <f t="shared" si="24"/>
        <v>0</v>
      </c>
      <c r="AO83" s="118">
        <f>SUMIF('MPG Payment '!E:E,'Shayak Income '!D83,'MPG Payment '!AJ:AJ)</f>
        <v>0</v>
      </c>
      <c r="AP83" s="19">
        <f t="shared" si="25"/>
        <v>0</v>
      </c>
      <c r="AQ83" s="119">
        <f t="shared" si="36"/>
        <v>0</v>
      </c>
      <c r="AR83" s="91" t="s">
        <v>1144</v>
      </c>
      <c r="AS83" s="91">
        <f t="shared" si="26"/>
        <v>0</v>
      </c>
      <c r="AT83" s="118"/>
      <c r="AU83" s="118"/>
      <c r="AV83" s="118"/>
    </row>
    <row r="84" spans="1:48" s="20" customFormat="1" x14ac:dyDescent="0.25">
      <c r="A84" s="17">
        <f>IFERROR(VLOOKUP(D84,'Monthly Deduction'!$I$3:$J$957,2,0),0)</f>
        <v>0</v>
      </c>
      <c r="B84" s="17">
        <f>IFERROR(VLOOKUP(D84,'Monthly Deduction'!$E$3:$F$957,2,0),0)</f>
        <v>3431.3140426175414</v>
      </c>
      <c r="C84" s="17">
        <f t="shared" si="27"/>
        <v>3431.3140426175414</v>
      </c>
      <c r="D84" s="41">
        <v>10030021</v>
      </c>
      <c r="E84" s="122" t="str">
        <f>VLOOKUP(D84,'MPG Payment '!$E$3:$G$497305,2,0)</f>
        <v>KHAIRA</v>
      </c>
      <c r="F84" s="146">
        <f>IFERROR(_xlfn.XLOOKUP(D84,'Monthly Deduction'!$I$3:$I$957,'Monthly Deduction'!$H$3:$H$957),0)</f>
        <v>0</v>
      </c>
      <c r="G84" s="123" t="str">
        <f>VLOOKUP(D84,'MPG Payment '!$E$3:$G$333666,3,0)</f>
        <v>MPG</v>
      </c>
      <c r="H84" s="124" t="str">
        <f>VLOOKUP(D84,'MPG Payment '!$E$3:$H$333666,4,0)</f>
        <v>Direct</v>
      </c>
      <c r="I84" s="88">
        <f>INDEX('MPG Payment '!$C:$C,MATCH('Shayak Income '!D84,'MPG Payment '!E:E,0))</f>
        <v>1003</v>
      </c>
      <c r="J84" s="88" t="str">
        <f>INDEX('MPG Payment '!$D:$D,MATCH('Shayak Income '!D84,'MPG Payment '!E:E,0))</f>
        <v>Asarganj</v>
      </c>
      <c r="K84" s="125" t="s">
        <v>1594</v>
      </c>
      <c r="L84" s="125">
        <v>44995</v>
      </c>
      <c r="M84" s="126">
        <f>SUMIF('MPG Payment '!$E$3:$E$344841,'Shayak Income '!D84,'MPG Payment '!$I$3:$I$344841)</f>
        <v>2126.6999999999998</v>
      </c>
      <c r="N84" s="126">
        <f>SUMIF('MPG Payment '!$E$3:$E$344841,'Shayak Income '!D84,'MPG Payment '!$J$3:$J$344841)</f>
        <v>88213.540000000008</v>
      </c>
      <c r="O84" s="126">
        <f t="shared" si="28"/>
        <v>1595.0249999999999</v>
      </c>
      <c r="P84" s="126">
        <f t="shared" si="29"/>
        <v>2020.3649999999998</v>
      </c>
      <c r="Q84" s="126">
        <f>SUMIF('MPG Payment '!$E$3:$E$344841,'Shayak Income '!D84,'MPG Payment '!$S$3:$S$344841)</f>
        <v>3995.34</v>
      </c>
      <c r="R84" s="126">
        <f t="shared" si="20"/>
        <v>2646.4062000000004</v>
      </c>
      <c r="S84" s="126">
        <f t="shared" si="21"/>
        <v>626.04120000000057</v>
      </c>
      <c r="T84" s="126">
        <f t="shared" si="30"/>
        <v>212.67</v>
      </c>
      <c r="U84" s="127">
        <f>((((((IF(K84="New",0,SUMIF('MPG Payment '!$E$3:$E$344841,'Shayak Income '!D84,'MPG Payment '!$AC$3:$AC$344841))))+0)+0)+0)+0)+0</f>
        <v>561.51554738038044</v>
      </c>
      <c r="V84" s="127">
        <f t="shared" si="31"/>
        <v>6837</v>
      </c>
      <c r="W84" s="19">
        <f t="shared" si="32"/>
        <v>0</v>
      </c>
      <c r="X84" s="19">
        <f t="shared" si="37"/>
        <v>1764.2708000000002</v>
      </c>
      <c r="Y84" s="128">
        <f>IFERROR(VLOOKUP(D84,'Monthly Deduction'!$M$2:$N$640,2,0),0)</f>
        <v>0</v>
      </c>
      <c r="Z84" s="128">
        <v>0</v>
      </c>
      <c r="AA84" s="126">
        <f>IFERROR(VLOOKUP(D84,'Monthly Deduction'!A:B,2,0),0)</f>
        <v>0</v>
      </c>
      <c r="AB84" s="129">
        <f t="shared" si="22"/>
        <v>5073</v>
      </c>
      <c r="AC84" s="130">
        <v>0</v>
      </c>
      <c r="AD84" s="35">
        <f t="shared" si="34"/>
        <v>5073</v>
      </c>
      <c r="AE84" s="166" t="str">
        <f t="shared" si="35"/>
        <v>Release</v>
      </c>
      <c r="AF84" s="127"/>
      <c r="AG84" s="18">
        <v>0</v>
      </c>
      <c r="AH84" s="132"/>
      <c r="AI84" s="238">
        <v>0</v>
      </c>
      <c r="AJ84" s="132"/>
      <c r="AK84" s="151">
        <v>390.69999999999993</v>
      </c>
      <c r="AL84" s="154">
        <f t="shared" si="23"/>
        <v>0</v>
      </c>
      <c r="AM84" s="155"/>
      <c r="AN84" s="19">
        <f t="shared" si="24"/>
        <v>0</v>
      </c>
      <c r="AO84" s="118">
        <f>SUMIF('MPG Payment '!E:E,'Shayak Income '!D84,'MPG Payment '!AJ:AJ)</f>
        <v>0</v>
      </c>
      <c r="AP84" s="19">
        <f t="shared" si="25"/>
        <v>0</v>
      </c>
      <c r="AQ84" s="119">
        <f t="shared" si="36"/>
        <v>0</v>
      </c>
      <c r="AR84" s="91" t="s">
        <v>1144</v>
      </c>
      <c r="AS84" s="91">
        <f t="shared" si="26"/>
        <v>1667.0432426175412</v>
      </c>
      <c r="AT84" s="118"/>
      <c r="AU84" s="118"/>
      <c r="AV84" s="118"/>
    </row>
    <row r="85" spans="1:48" s="20" customFormat="1" x14ac:dyDescent="0.25">
      <c r="A85" s="17">
        <f>IFERROR(VLOOKUP(D85,'Monthly Deduction'!$I$3:$J$957,2,0),0)</f>
        <v>0</v>
      </c>
      <c r="B85" s="17">
        <f>IFERROR(VLOOKUP(D85,'Monthly Deduction'!$E$3:$F$957,2,0),0)</f>
        <v>0</v>
      </c>
      <c r="C85" s="17">
        <f t="shared" si="27"/>
        <v>0</v>
      </c>
      <c r="D85" s="41">
        <v>10030022</v>
      </c>
      <c r="E85" s="122" t="str">
        <f>VLOOKUP(D85,'MPG Payment '!$E$3:$G$497305,2,0)</f>
        <v>SISUA</v>
      </c>
      <c r="F85" s="146">
        <f>IFERROR(_xlfn.XLOOKUP(D85,'Monthly Deduction'!$I$3:$I$957,'Monthly Deduction'!$H$3:$H$957),0)</f>
        <v>0</v>
      </c>
      <c r="G85" s="123" t="str">
        <f>VLOOKUP(D85,'MPG Payment '!$E$3:$G$333666,3,0)</f>
        <v>MPG</v>
      </c>
      <c r="H85" s="124" t="str">
        <f>VLOOKUP(D85,'MPG Payment '!$E$3:$H$333666,4,0)</f>
        <v>Direct</v>
      </c>
      <c r="I85" s="88">
        <f>INDEX('MPG Payment '!$C:$C,MATCH('Shayak Income '!D85,'MPG Payment '!E:E,0))</f>
        <v>1003</v>
      </c>
      <c r="J85" s="88" t="str">
        <f>INDEX('MPG Payment '!$D:$D,MATCH('Shayak Income '!D85,'MPG Payment '!E:E,0))</f>
        <v>Asarganj</v>
      </c>
      <c r="K85" s="125" t="s">
        <v>1594</v>
      </c>
      <c r="L85" s="125">
        <v>44995</v>
      </c>
      <c r="M85" s="126">
        <f>SUMIF('MPG Payment '!$E$3:$E$344841,'Shayak Income '!D85,'MPG Payment '!$I$3:$I$344841)</f>
        <v>6096.3499999999995</v>
      </c>
      <c r="N85" s="126">
        <f>SUMIF('MPG Payment '!$E$3:$E$344841,'Shayak Income '!D85,'MPG Payment '!$J$3:$J$344841)</f>
        <v>251349.80000000002</v>
      </c>
      <c r="O85" s="126">
        <f t="shared" si="28"/>
        <v>4572.2624999999998</v>
      </c>
      <c r="P85" s="126">
        <f t="shared" si="29"/>
        <v>5791.5324999999993</v>
      </c>
      <c r="Q85" s="126">
        <f>SUMIF('MPG Payment '!$E$3:$E$344841,'Shayak Income '!D85,'MPG Payment '!$S$3:$S$344841)</f>
        <v>2784.52</v>
      </c>
      <c r="R85" s="126">
        <f t="shared" si="20"/>
        <v>7540.4940000000006</v>
      </c>
      <c r="S85" s="126">
        <f t="shared" si="21"/>
        <v>1748.9615000000013</v>
      </c>
      <c r="T85" s="126">
        <f t="shared" si="30"/>
        <v>609.63499999999999</v>
      </c>
      <c r="U85" s="127">
        <f>((((((IF(K85="New",0,SUMIF('MPG Payment '!$E$3:$E$344841,'Shayak Income '!D85,'MPG Payment '!$AC$3:$AC$344841))))+0)+0)+0)+0)+0</f>
        <v>0</v>
      </c>
      <c r="V85" s="127">
        <f t="shared" si="31"/>
        <v>12539</v>
      </c>
      <c r="W85" s="19">
        <f t="shared" si="32"/>
        <v>0</v>
      </c>
      <c r="X85" s="19">
        <f t="shared" si="37"/>
        <v>0</v>
      </c>
      <c r="Y85" s="128">
        <f>IFERROR(VLOOKUP(D85,'Monthly Deduction'!$M$2:$N$640,2,0),0)</f>
        <v>0</v>
      </c>
      <c r="Z85" s="128">
        <v>0</v>
      </c>
      <c r="AA85" s="126">
        <f>IFERROR(VLOOKUP(D85,'Monthly Deduction'!A:B,2,0),0)</f>
        <v>0</v>
      </c>
      <c r="AB85" s="129">
        <f t="shared" si="22"/>
        <v>12539</v>
      </c>
      <c r="AC85" s="130">
        <v>0</v>
      </c>
      <c r="AD85" s="35">
        <f t="shared" si="34"/>
        <v>12539</v>
      </c>
      <c r="AE85" s="166" t="str">
        <f t="shared" si="35"/>
        <v>Release</v>
      </c>
      <c r="AF85" s="127"/>
      <c r="AG85" s="18">
        <v>0</v>
      </c>
      <c r="AH85" s="120"/>
      <c r="AI85" s="238">
        <v>0</v>
      </c>
      <c r="AJ85" s="132"/>
      <c r="AK85" s="151">
        <v>1376.2000000000003</v>
      </c>
      <c r="AL85" s="154">
        <f t="shared" si="23"/>
        <v>0</v>
      </c>
      <c r="AM85" s="155"/>
      <c r="AN85" s="19">
        <f t="shared" si="24"/>
        <v>0</v>
      </c>
      <c r="AO85" s="118">
        <f>SUMIF('MPG Payment '!E:E,'Shayak Income '!D85,'MPG Payment '!AJ:AJ)</f>
        <v>0</v>
      </c>
      <c r="AP85" s="19">
        <f t="shared" si="25"/>
        <v>0</v>
      </c>
      <c r="AQ85" s="119">
        <f t="shared" si="36"/>
        <v>0</v>
      </c>
      <c r="AR85" s="91" t="s">
        <v>1144</v>
      </c>
      <c r="AS85" s="91">
        <f t="shared" si="26"/>
        <v>0</v>
      </c>
      <c r="AT85" s="118"/>
      <c r="AU85" s="118"/>
      <c r="AV85" s="118"/>
    </row>
    <row r="86" spans="1:48" s="20" customFormat="1" x14ac:dyDescent="0.25">
      <c r="A86" s="17">
        <f>IFERROR(VLOOKUP(D86,'Monthly Deduction'!$I$3:$J$957,2,0),0)</f>
        <v>29603.281400000007</v>
      </c>
      <c r="B86" s="17">
        <f>IFERROR(VLOOKUP(D86,'Monthly Deduction'!$E$3:$F$957,2,0),0)</f>
        <v>3656.7740054142378</v>
      </c>
      <c r="C86" s="17">
        <f t="shared" si="27"/>
        <v>33260.055405414241</v>
      </c>
      <c r="D86" s="41">
        <v>10030023</v>
      </c>
      <c r="E86" s="122" t="str">
        <f>VLOOKUP(D86,'MPG Payment '!$E$3:$G$497305,2,0)</f>
        <v>BISAI</v>
      </c>
      <c r="F86" s="146">
        <f>IFERROR(_xlfn.XLOOKUP(D86,'Monthly Deduction'!$I$3:$I$957,'Monthly Deduction'!$H$3:$H$957),0)</f>
        <v>0</v>
      </c>
      <c r="G86" s="123" t="str">
        <f>VLOOKUP(D86,'MPG Payment '!$E$3:$G$333666,3,0)</f>
        <v>MPG</v>
      </c>
      <c r="H86" s="124" t="str">
        <f>VLOOKUP(D86,'MPG Payment '!$E$3:$H$333666,4,0)</f>
        <v>Direct</v>
      </c>
      <c r="I86" s="88">
        <f>INDEX('MPG Payment '!$C:$C,MATCH('Shayak Income '!D86,'MPG Payment '!E:E,0))</f>
        <v>1003</v>
      </c>
      <c r="J86" s="88" t="str">
        <f>INDEX('MPG Payment '!$D:$D,MATCH('Shayak Income '!D86,'MPG Payment '!E:E,0))</f>
        <v>Asarganj</v>
      </c>
      <c r="K86" s="125" t="s">
        <v>1594</v>
      </c>
      <c r="L86" s="125">
        <v>44995</v>
      </c>
      <c r="M86" s="126">
        <f>SUMIF('MPG Payment '!$E$3:$E$344841,'Shayak Income '!D86,'MPG Payment '!$I$3:$I$344841)</f>
        <v>1635.2999999999997</v>
      </c>
      <c r="N86" s="126">
        <f>SUMIF('MPG Payment '!$E$3:$E$344841,'Shayak Income '!D86,'MPG Payment '!$J$3:$J$344841)</f>
        <v>68177.7</v>
      </c>
      <c r="O86" s="126">
        <f t="shared" si="28"/>
        <v>1226.4749999999999</v>
      </c>
      <c r="P86" s="126">
        <f t="shared" si="29"/>
        <v>1553.5349999999996</v>
      </c>
      <c r="Q86" s="126">
        <f>SUMIF('MPG Payment '!$E$3:$E$344841,'Shayak Income '!D86,'MPG Payment '!$S$3:$S$344841)</f>
        <v>1892.28</v>
      </c>
      <c r="R86" s="126">
        <f t="shared" si="20"/>
        <v>2045.3309999999999</v>
      </c>
      <c r="S86" s="126">
        <f t="shared" si="21"/>
        <v>491.79600000000028</v>
      </c>
      <c r="T86" s="126">
        <f t="shared" si="30"/>
        <v>163.52999999999997</v>
      </c>
      <c r="U86" s="127">
        <f>((((((IF(K86="New",0,SUMIF('MPG Payment '!$E$3:$E$344841,'Shayak Income '!D86,'MPG Payment '!$AC$3:$AC$344841))))+0)+0)+0)+0)+0</f>
        <v>971.02117938950823</v>
      </c>
      <c r="V86" s="127">
        <f t="shared" si="31"/>
        <v>3538</v>
      </c>
      <c r="W86" s="19">
        <f t="shared" si="32"/>
        <v>1861</v>
      </c>
      <c r="X86" s="19">
        <v>0</v>
      </c>
      <c r="Y86" s="128">
        <f>IFERROR(VLOOKUP(D86,'Monthly Deduction'!$M$2:$N$640,2,0),0)</f>
        <v>0</v>
      </c>
      <c r="Z86" s="128">
        <v>0</v>
      </c>
      <c r="AA86" s="126">
        <f>IFERROR(VLOOKUP(D86,'Monthly Deduction'!A:B,2,0),0)</f>
        <v>0</v>
      </c>
      <c r="AB86" s="129">
        <f t="shared" si="22"/>
        <v>1677</v>
      </c>
      <c r="AC86" s="130">
        <v>0</v>
      </c>
      <c r="AD86" s="35">
        <f t="shared" si="34"/>
        <v>1677</v>
      </c>
      <c r="AE86" s="166" t="str">
        <f t="shared" si="35"/>
        <v>Release</v>
      </c>
      <c r="AF86" s="127"/>
      <c r="AG86" s="18">
        <v>0</v>
      </c>
      <c r="AH86" s="120"/>
      <c r="AI86" s="238">
        <v>0</v>
      </c>
      <c r="AJ86" s="132"/>
      <c r="AK86" s="151">
        <v>409.45</v>
      </c>
      <c r="AL86" s="154">
        <f t="shared" si="23"/>
        <v>0</v>
      </c>
      <c r="AM86" s="155"/>
      <c r="AN86" s="19">
        <f t="shared" si="24"/>
        <v>1861</v>
      </c>
      <c r="AO86" s="118">
        <f>SUMIF('MPG Payment '!E:E,'Shayak Income '!D86,'MPG Payment '!AJ:AJ)</f>
        <v>0</v>
      </c>
      <c r="AP86" s="19">
        <f t="shared" si="25"/>
        <v>1861</v>
      </c>
      <c r="AQ86" s="119">
        <f t="shared" si="36"/>
        <v>1861</v>
      </c>
      <c r="AR86" s="91" t="s">
        <v>1144</v>
      </c>
      <c r="AS86" s="91">
        <f t="shared" si="26"/>
        <v>3656.7740054142378</v>
      </c>
      <c r="AT86" s="118"/>
      <c r="AU86" s="118"/>
      <c r="AV86" s="118"/>
    </row>
    <row r="87" spans="1:48" s="20" customFormat="1" x14ac:dyDescent="0.25">
      <c r="A87" s="17">
        <f>IFERROR(VLOOKUP(D87,'Monthly Deduction'!$I$3:$J$957,2,0),0)</f>
        <v>0</v>
      </c>
      <c r="B87" s="17">
        <f>IFERROR(VLOOKUP(D87,'Monthly Deduction'!$E$3:$F$957,2,0),0)</f>
        <v>0</v>
      </c>
      <c r="C87" s="17">
        <f t="shared" si="27"/>
        <v>0</v>
      </c>
      <c r="D87" s="41">
        <v>10030025</v>
      </c>
      <c r="E87" s="122" t="str">
        <f>VLOOKUP(D87,'MPG Payment '!$E$3:$G$497305,2,0)</f>
        <v>SAJUA-1</v>
      </c>
      <c r="F87" s="146">
        <f>IFERROR(_xlfn.XLOOKUP(D87,'Monthly Deduction'!$I$3:$I$957,'Monthly Deduction'!$H$3:$H$957),0)</f>
        <v>0</v>
      </c>
      <c r="G87" s="123" t="str">
        <f>VLOOKUP(D87,'MPG Payment '!$E$3:$G$333666,3,0)</f>
        <v>MPG</v>
      </c>
      <c r="H87" s="124" t="str">
        <f>VLOOKUP(D87,'MPG Payment '!$E$3:$H$333666,4,0)</f>
        <v>Direct</v>
      </c>
      <c r="I87" s="88">
        <f>INDEX('MPG Payment '!$C:$C,MATCH('Shayak Income '!D87,'MPG Payment '!E:E,0))</f>
        <v>1003</v>
      </c>
      <c r="J87" s="88" t="str">
        <f>INDEX('MPG Payment '!$D:$D,MATCH('Shayak Income '!D87,'MPG Payment '!E:E,0))</f>
        <v>Asarganj</v>
      </c>
      <c r="K87" s="125" t="s">
        <v>1594</v>
      </c>
      <c r="L87" s="125">
        <v>45015</v>
      </c>
      <c r="M87" s="126">
        <f>SUMIF('MPG Payment '!$E$3:$E$344841,'Shayak Income '!D87,'MPG Payment '!$I$3:$I$344841)</f>
        <v>3126.3999999999996</v>
      </c>
      <c r="N87" s="126">
        <f>SUMIF('MPG Payment '!$E$3:$E$344841,'Shayak Income '!D87,'MPG Payment '!$J$3:$J$344841)</f>
        <v>125257.30000000002</v>
      </c>
      <c r="O87" s="126">
        <f t="shared" si="28"/>
        <v>2344.7999999999997</v>
      </c>
      <c r="P87" s="126">
        <f t="shared" si="29"/>
        <v>2970.0799999999995</v>
      </c>
      <c r="Q87" s="126">
        <f>SUMIF('MPG Payment '!$E$3:$E$344841,'Shayak Income '!D87,'MPG Payment '!$S$3:$S$344841)</f>
        <v>1457.0600000000002</v>
      </c>
      <c r="R87" s="126">
        <f t="shared" si="20"/>
        <v>3757.7190000000005</v>
      </c>
      <c r="S87" s="126">
        <f t="shared" si="21"/>
        <v>787.63900000000103</v>
      </c>
      <c r="T87" s="126">
        <f t="shared" si="30"/>
        <v>312.64</v>
      </c>
      <c r="U87" s="127">
        <f>((((((IF(K87="New",0,SUMIF('MPG Payment '!$E$3:$E$344841,'Shayak Income '!D87,'MPG Payment '!$AC$3:$AC$344841))))+0)+0)+0)+0)+0</f>
        <v>7.9548609810882827</v>
      </c>
      <c r="V87" s="127">
        <f t="shared" si="31"/>
        <v>6451</v>
      </c>
      <c r="W87" s="19">
        <f t="shared" si="32"/>
        <v>0</v>
      </c>
      <c r="X87" s="19">
        <f t="shared" si="37"/>
        <v>0</v>
      </c>
      <c r="Y87" s="128">
        <f>IFERROR(VLOOKUP(D87,'Monthly Deduction'!$M$2:$N$640,2,0),0)</f>
        <v>0</v>
      </c>
      <c r="Z87" s="128">
        <v>0</v>
      </c>
      <c r="AA87" s="126">
        <f>IFERROR(VLOOKUP(D87,'Monthly Deduction'!A:B,2,0),0)</f>
        <v>0</v>
      </c>
      <c r="AB87" s="129">
        <f t="shared" si="22"/>
        <v>6451</v>
      </c>
      <c r="AC87" s="130">
        <v>0</v>
      </c>
      <c r="AD87" s="35">
        <f t="shared" si="34"/>
        <v>6451</v>
      </c>
      <c r="AE87" s="166" t="str">
        <f t="shared" si="35"/>
        <v>Release</v>
      </c>
      <c r="AF87" s="127"/>
      <c r="AG87" s="18">
        <v>0</v>
      </c>
      <c r="AH87" s="120"/>
      <c r="AI87" s="238">
        <v>0</v>
      </c>
      <c r="AJ87" s="132"/>
      <c r="AK87" s="151">
        <v>494.95000000000005</v>
      </c>
      <c r="AL87" s="154">
        <f t="shared" si="23"/>
        <v>0</v>
      </c>
      <c r="AM87" s="155"/>
      <c r="AN87" s="19">
        <f t="shared" si="24"/>
        <v>0</v>
      </c>
      <c r="AO87" s="118">
        <f>SUMIF('MPG Payment '!E:E,'Shayak Income '!D87,'MPG Payment '!AJ:AJ)</f>
        <v>0</v>
      </c>
      <c r="AP87" s="19">
        <f t="shared" si="25"/>
        <v>0</v>
      </c>
      <c r="AQ87" s="119">
        <f t="shared" si="36"/>
        <v>0</v>
      </c>
      <c r="AR87" s="91" t="s">
        <v>1144</v>
      </c>
      <c r="AS87" s="91">
        <f t="shared" si="26"/>
        <v>0</v>
      </c>
      <c r="AT87" s="118"/>
      <c r="AU87" s="118"/>
      <c r="AV87" s="118"/>
    </row>
    <row r="88" spans="1:48" s="20" customFormat="1" x14ac:dyDescent="0.25">
      <c r="A88" s="17">
        <f>IFERROR(VLOOKUP(D88,'Monthly Deduction'!$I$3:$J$957,2,0),0)</f>
        <v>0</v>
      </c>
      <c r="B88" s="17">
        <f>IFERROR(VLOOKUP(D88,'Monthly Deduction'!$E$3:$F$957,2,0),0)</f>
        <v>0</v>
      </c>
      <c r="C88" s="17">
        <f t="shared" si="27"/>
        <v>0</v>
      </c>
      <c r="D88" s="41">
        <v>10030026</v>
      </c>
      <c r="E88" s="122" t="str">
        <f>VLOOKUP(D88,'MPG Payment '!$E$3:$G$497305,2,0)</f>
        <v>SAJUA-2</v>
      </c>
      <c r="F88" s="146">
        <f>IFERROR(_xlfn.XLOOKUP(D88,'Monthly Deduction'!$I$3:$I$957,'Monthly Deduction'!$H$3:$H$957),0)</f>
        <v>0</v>
      </c>
      <c r="G88" s="123" t="str">
        <f>VLOOKUP(D88,'MPG Payment '!$E$3:$G$333666,3,0)</f>
        <v>MPG</v>
      </c>
      <c r="H88" s="124" t="str">
        <f>VLOOKUP(D88,'MPG Payment '!$E$3:$H$333666,4,0)</f>
        <v>Direct</v>
      </c>
      <c r="I88" s="88">
        <f>INDEX('MPG Payment '!$C:$C,MATCH('Shayak Income '!D88,'MPG Payment '!E:E,0))</f>
        <v>1003</v>
      </c>
      <c r="J88" s="88" t="str">
        <f>INDEX('MPG Payment '!$D:$D,MATCH('Shayak Income '!D88,'MPG Payment '!E:E,0))</f>
        <v>Asarganj</v>
      </c>
      <c r="K88" s="125" t="s">
        <v>1594</v>
      </c>
      <c r="L88" s="125">
        <v>45015</v>
      </c>
      <c r="M88" s="126">
        <f>SUMIF('MPG Payment '!$E$3:$E$344841,'Shayak Income '!D88,'MPG Payment '!$I$3:$I$344841)</f>
        <v>4993.6500000000005</v>
      </c>
      <c r="N88" s="126">
        <f>SUMIF('MPG Payment '!$E$3:$E$344841,'Shayak Income '!D88,'MPG Payment '!$J$3:$J$344841)</f>
        <v>203974.96</v>
      </c>
      <c r="O88" s="126">
        <f t="shared" si="28"/>
        <v>3745.2375000000002</v>
      </c>
      <c r="P88" s="126">
        <f t="shared" si="29"/>
        <v>4743.9675000000007</v>
      </c>
      <c r="Q88" s="126">
        <f>SUMIF('MPG Payment '!$E$3:$E$344841,'Shayak Income '!D88,'MPG Payment '!$S$3:$S$344841)</f>
        <v>2644.91</v>
      </c>
      <c r="R88" s="126">
        <f t="shared" si="20"/>
        <v>6119.2487999999994</v>
      </c>
      <c r="S88" s="126">
        <f t="shared" si="21"/>
        <v>1375.2812999999987</v>
      </c>
      <c r="T88" s="126">
        <f t="shared" si="30"/>
        <v>499.36500000000007</v>
      </c>
      <c r="U88" s="127">
        <f>((((((IF(K88="New",0,SUMIF('MPG Payment '!$E$3:$E$344841,'Shayak Income '!D88,'MPG Payment '!$AC$3:$AC$344841))))+0)+0)+0)+0)+0</f>
        <v>0</v>
      </c>
      <c r="V88" s="127">
        <f t="shared" si="31"/>
        <v>10635</v>
      </c>
      <c r="W88" s="19">
        <f t="shared" si="32"/>
        <v>0</v>
      </c>
      <c r="X88" s="19">
        <f t="shared" si="37"/>
        <v>0</v>
      </c>
      <c r="Y88" s="128">
        <f>IFERROR(VLOOKUP(D88,'Monthly Deduction'!$M$2:$N$640,2,0),0)</f>
        <v>0</v>
      </c>
      <c r="Z88" s="128">
        <v>0</v>
      </c>
      <c r="AA88" s="126">
        <f>IFERROR(VLOOKUP(D88,'Monthly Deduction'!A:B,2,0),0)</f>
        <v>0</v>
      </c>
      <c r="AB88" s="129">
        <f t="shared" si="22"/>
        <v>10635</v>
      </c>
      <c r="AC88" s="130">
        <v>0</v>
      </c>
      <c r="AD88" s="35">
        <f t="shared" si="34"/>
        <v>10635</v>
      </c>
      <c r="AE88" s="166" t="str">
        <f t="shared" si="35"/>
        <v>Release</v>
      </c>
      <c r="AF88" s="127"/>
      <c r="AG88" s="18">
        <v>0</v>
      </c>
      <c r="AH88" s="120"/>
      <c r="AI88" s="238">
        <v>0</v>
      </c>
      <c r="AJ88" s="132"/>
      <c r="AK88" s="151">
        <v>400.4</v>
      </c>
      <c r="AL88" s="154">
        <f t="shared" si="23"/>
        <v>0</v>
      </c>
      <c r="AM88" s="155"/>
      <c r="AN88" s="19">
        <f t="shared" si="24"/>
        <v>0</v>
      </c>
      <c r="AO88" s="118">
        <f>SUMIF('MPG Payment '!E:E,'Shayak Income '!D88,'MPG Payment '!AJ:AJ)</f>
        <v>0</v>
      </c>
      <c r="AP88" s="19">
        <f t="shared" si="25"/>
        <v>0</v>
      </c>
      <c r="AQ88" s="119">
        <f t="shared" si="36"/>
        <v>0</v>
      </c>
      <c r="AR88" s="91" t="s">
        <v>1144</v>
      </c>
      <c r="AS88" s="91">
        <f t="shared" si="26"/>
        <v>0</v>
      </c>
      <c r="AT88" s="118"/>
      <c r="AU88" s="118"/>
      <c r="AV88" s="118"/>
    </row>
    <row r="89" spans="1:48" s="20" customFormat="1" x14ac:dyDescent="0.25">
      <c r="A89" s="17">
        <f>IFERROR(VLOOKUP(D89,'Monthly Deduction'!$I$3:$J$957,2,0),0)</f>
        <v>0</v>
      </c>
      <c r="B89" s="17">
        <f>IFERROR(VLOOKUP(D89,'Monthly Deduction'!$E$3:$F$957,2,0),0)</f>
        <v>0</v>
      </c>
      <c r="C89" s="17">
        <f t="shared" si="27"/>
        <v>0</v>
      </c>
      <c r="D89" s="41">
        <v>10030027</v>
      </c>
      <c r="E89" s="122" t="str">
        <f>VLOOKUP(D89,'MPG Payment '!$E$3:$G$497305,2,0)</f>
        <v>CHORGAUN</v>
      </c>
      <c r="F89" s="146">
        <f>IFERROR(_xlfn.XLOOKUP(D89,'Monthly Deduction'!$I$3:$I$957,'Monthly Deduction'!$H$3:$H$957),0)</f>
        <v>0</v>
      </c>
      <c r="G89" s="123" t="str">
        <f>VLOOKUP(D89,'MPG Payment '!$E$3:$G$333666,3,0)</f>
        <v>MPG</v>
      </c>
      <c r="H89" s="124" t="str">
        <f>VLOOKUP(D89,'MPG Payment '!$E$3:$H$333666,4,0)</f>
        <v>Direct</v>
      </c>
      <c r="I89" s="88">
        <f>INDEX('MPG Payment '!$C:$C,MATCH('Shayak Income '!D89,'MPG Payment '!E:E,0))</f>
        <v>1003</v>
      </c>
      <c r="J89" s="88" t="str">
        <f>INDEX('MPG Payment '!$D:$D,MATCH('Shayak Income '!D89,'MPG Payment '!E:E,0))</f>
        <v>Asarganj</v>
      </c>
      <c r="K89" s="125" t="s">
        <v>1594</v>
      </c>
      <c r="L89" s="125">
        <v>45015</v>
      </c>
      <c r="M89" s="126">
        <f>SUMIF('MPG Payment '!$E$3:$E$344841,'Shayak Income '!D89,'MPG Payment '!$I$3:$I$344841)</f>
        <v>4117.8</v>
      </c>
      <c r="N89" s="126">
        <f>SUMIF('MPG Payment '!$E$3:$E$344841,'Shayak Income '!D89,'MPG Payment '!$J$3:$J$344841)</f>
        <v>161212.20000000001</v>
      </c>
      <c r="O89" s="126">
        <f t="shared" si="28"/>
        <v>3088.3500000000004</v>
      </c>
      <c r="P89" s="126">
        <f t="shared" si="29"/>
        <v>3911.91</v>
      </c>
      <c r="Q89" s="126">
        <f>SUMIF('MPG Payment '!$E$3:$E$344841,'Shayak Income '!D89,'MPG Payment '!$S$3:$S$344841)</f>
        <v>4614.46</v>
      </c>
      <c r="R89" s="126">
        <f t="shared" si="20"/>
        <v>4836.366</v>
      </c>
      <c r="S89" s="126">
        <f t="shared" si="21"/>
        <v>924.45600000000013</v>
      </c>
      <c r="T89" s="126">
        <f t="shared" si="30"/>
        <v>411.78000000000003</v>
      </c>
      <c r="U89" s="127">
        <f>((((((IF(K89="New",0,SUMIF('MPG Payment '!$E$3:$E$344841,'Shayak Income '!D89,'MPG Payment '!$AC$3:$AC$344841))))+0)+0)+0)+0)+0</f>
        <v>0</v>
      </c>
      <c r="V89" s="127">
        <f t="shared" si="31"/>
        <v>11203</v>
      </c>
      <c r="W89" s="19">
        <f t="shared" si="32"/>
        <v>0</v>
      </c>
      <c r="X89" s="19">
        <f t="shared" si="37"/>
        <v>0</v>
      </c>
      <c r="Y89" s="128">
        <f>IFERROR(VLOOKUP(D89,'Monthly Deduction'!$M$2:$N$640,2,0),0)</f>
        <v>0</v>
      </c>
      <c r="Z89" s="128">
        <v>0</v>
      </c>
      <c r="AA89" s="126">
        <f>IFERROR(VLOOKUP(D89,'Monthly Deduction'!A:B,2,0),0)</f>
        <v>0</v>
      </c>
      <c r="AB89" s="129">
        <f t="shared" si="22"/>
        <v>11203</v>
      </c>
      <c r="AC89" s="130">
        <v>0</v>
      </c>
      <c r="AD89" s="35">
        <f t="shared" si="34"/>
        <v>11203</v>
      </c>
      <c r="AE89" s="166" t="str">
        <f t="shared" si="35"/>
        <v>Release</v>
      </c>
      <c r="AF89" s="127"/>
      <c r="AG89" s="18">
        <v>0</v>
      </c>
      <c r="AH89" s="120"/>
      <c r="AI89" s="238">
        <v>0</v>
      </c>
      <c r="AJ89" s="132"/>
      <c r="AK89" s="151">
        <v>799.25000000000023</v>
      </c>
      <c r="AL89" s="154">
        <f t="shared" si="23"/>
        <v>0</v>
      </c>
      <c r="AM89" s="155"/>
      <c r="AN89" s="19">
        <f t="shared" si="24"/>
        <v>0</v>
      </c>
      <c r="AO89" s="118">
        <f>SUMIF('MPG Payment '!E:E,'Shayak Income '!D89,'MPG Payment '!AJ:AJ)</f>
        <v>0</v>
      </c>
      <c r="AP89" s="19">
        <f t="shared" si="25"/>
        <v>0</v>
      </c>
      <c r="AQ89" s="119">
        <f t="shared" si="36"/>
        <v>0</v>
      </c>
      <c r="AR89" s="91" t="s">
        <v>1144</v>
      </c>
      <c r="AS89" s="91">
        <f t="shared" si="26"/>
        <v>0</v>
      </c>
      <c r="AT89" s="118"/>
      <c r="AU89" s="118"/>
      <c r="AV89" s="118"/>
    </row>
    <row r="90" spans="1:48" s="20" customFormat="1" x14ac:dyDescent="0.25">
      <c r="A90" s="17">
        <f>IFERROR(VLOOKUP(D90,'Monthly Deduction'!$I$3:$J$957,2,0),0)</f>
        <v>0</v>
      </c>
      <c r="B90" s="17">
        <f>IFERROR(VLOOKUP(D90,'Monthly Deduction'!$E$3:$F$957,2,0),0)</f>
        <v>0</v>
      </c>
      <c r="C90" s="17">
        <f t="shared" si="27"/>
        <v>0</v>
      </c>
      <c r="D90" s="41">
        <v>10030028</v>
      </c>
      <c r="E90" s="122" t="str">
        <f>VLOOKUP(D90,'MPG Payment '!$E$3:$G$497305,2,0)</f>
        <v>PADARATHPUR</v>
      </c>
      <c r="F90" s="146">
        <f>IFERROR(_xlfn.XLOOKUP(D90,'Monthly Deduction'!$I$3:$I$957,'Monthly Deduction'!$H$3:$H$957),0)</f>
        <v>0</v>
      </c>
      <c r="G90" s="123" t="str">
        <f>VLOOKUP(D90,'MPG Payment '!$E$3:$G$333666,3,0)</f>
        <v>MPG</v>
      </c>
      <c r="H90" s="124" t="str">
        <f>VLOOKUP(D90,'MPG Payment '!$E$3:$H$333666,4,0)</f>
        <v>Direct</v>
      </c>
      <c r="I90" s="88">
        <f>INDEX('MPG Payment '!$C:$C,MATCH('Shayak Income '!D90,'MPG Payment '!E:E,0))</f>
        <v>1003</v>
      </c>
      <c r="J90" s="88" t="str">
        <f>INDEX('MPG Payment '!$D:$D,MATCH('Shayak Income '!D90,'MPG Payment '!E:E,0))</f>
        <v>Asarganj</v>
      </c>
      <c r="K90" s="125" t="s">
        <v>1594</v>
      </c>
      <c r="L90" s="125">
        <v>45015</v>
      </c>
      <c r="M90" s="126">
        <f>SUMIF('MPG Payment '!$E$3:$E$344841,'Shayak Income '!D90,'MPG Payment '!$I$3:$I$344841)</f>
        <v>4651.2999999999993</v>
      </c>
      <c r="N90" s="126">
        <f>SUMIF('MPG Payment '!$E$3:$E$344841,'Shayak Income '!D90,'MPG Payment '!$J$3:$J$344841)</f>
        <v>196144.64999999997</v>
      </c>
      <c r="O90" s="126">
        <f t="shared" si="28"/>
        <v>3488.4749999999995</v>
      </c>
      <c r="P90" s="126">
        <f t="shared" si="29"/>
        <v>4418.7349999999988</v>
      </c>
      <c r="Q90" s="126">
        <f>SUMIF('MPG Payment '!$E$3:$E$344841,'Shayak Income '!D90,'MPG Payment '!$S$3:$S$344841)</f>
        <v>3460.68</v>
      </c>
      <c r="R90" s="126">
        <f t="shared" si="20"/>
        <v>5884.3394999999991</v>
      </c>
      <c r="S90" s="126">
        <f t="shared" si="21"/>
        <v>1465.6045000000004</v>
      </c>
      <c r="T90" s="126">
        <f t="shared" si="30"/>
        <v>465.12999999999994</v>
      </c>
      <c r="U90" s="127">
        <f>((((((IF(K90="New",0,SUMIF('MPG Payment '!$E$3:$E$344841,'Shayak Income '!D90,'MPG Payment '!$AC$3:$AC$344841))))+0)+0)+0)+0)+0</f>
        <v>0</v>
      </c>
      <c r="V90" s="127">
        <f t="shared" si="31"/>
        <v>10903</v>
      </c>
      <c r="W90" s="19">
        <f t="shared" si="32"/>
        <v>0</v>
      </c>
      <c r="X90" s="19">
        <f t="shared" si="37"/>
        <v>0</v>
      </c>
      <c r="Y90" s="128">
        <f>IFERROR(VLOOKUP(D90,'Monthly Deduction'!$M$2:$N$640,2,0),0)</f>
        <v>0</v>
      </c>
      <c r="Z90" s="128">
        <v>0</v>
      </c>
      <c r="AA90" s="126">
        <f>IFERROR(VLOOKUP(D90,'Monthly Deduction'!A:B,2,0),0)</f>
        <v>0</v>
      </c>
      <c r="AB90" s="129">
        <f t="shared" si="22"/>
        <v>10903</v>
      </c>
      <c r="AC90" s="130">
        <v>0</v>
      </c>
      <c r="AD90" s="35">
        <f t="shared" si="34"/>
        <v>10903</v>
      </c>
      <c r="AE90" s="166" t="str">
        <f t="shared" si="35"/>
        <v>Release</v>
      </c>
      <c r="AF90" s="127"/>
      <c r="AG90" s="18">
        <v>0</v>
      </c>
      <c r="AH90" s="132"/>
      <c r="AI90" s="238">
        <v>0</v>
      </c>
      <c r="AJ90" s="132"/>
      <c r="AK90" s="151">
        <v>999.64999999999986</v>
      </c>
      <c r="AL90" s="154">
        <f t="shared" si="23"/>
        <v>0</v>
      </c>
      <c r="AM90" s="155"/>
      <c r="AN90" s="19">
        <f t="shared" si="24"/>
        <v>0</v>
      </c>
      <c r="AO90" s="118">
        <f>SUMIF('MPG Payment '!E:E,'Shayak Income '!D90,'MPG Payment '!AJ:AJ)</f>
        <v>0</v>
      </c>
      <c r="AP90" s="19">
        <f t="shared" si="25"/>
        <v>0</v>
      </c>
      <c r="AQ90" s="119">
        <f t="shared" si="36"/>
        <v>0</v>
      </c>
      <c r="AR90" s="91" t="s">
        <v>1144</v>
      </c>
      <c r="AS90" s="91">
        <f t="shared" si="26"/>
        <v>0</v>
      </c>
      <c r="AT90" s="118"/>
      <c r="AU90" s="118"/>
      <c r="AV90" s="118"/>
    </row>
    <row r="91" spans="1:48" s="20" customFormat="1" x14ac:dyDescent="0.25">
      <c r="A91" s="17">
        <f>IFERROR(VLOOKUP(D91,'Monthly Deduction'!$I$3:$J$957,2,0),0)</f>
        <v>0</v>
      </c>
      <c r="B91" s="17">
        <f>IFERROR(VLOOKUP(D91,'Monthly Deduction'!$E$3:$F$957,2,0),0)</f>
        <v>0</v>
      </c>
      <c r="C91" s="17">
        <f t="shared" si="27"/>
        <v>0</v>
      </c>
      <c r="D91" s="41">
        <v>10030031</v>
      </c>
      <c r="E91" s="122" t="str">
        <f>VLOOKUP(D91,'MPG Payment '!$E$3:$G$497305,2,0)</f>
        <v>BADARKHA</v>
      </c>
      <c r="F91" s="146">
        <f>IFERROR(_xlfn.XLOOKUP(D91,'Monthly Deduction'!$I$3:$I$957,'Monthly Deduction'!$H$3:$H$957),0)</f>
        <v>0</v>
      </c>
      <c r="G91" s="123" t="str">
        <f>VLOOKUP(D91,'MPG Payment '!$E$3:$G$333666,3,0)</f>
        <v>MPG</v>
      </c>
      <c r="H91" s="124" t="str">
        <f>VLOOKUP(D91,'MPG Payment '!$E$3:$H$333666,4,0)</f>
        <v>Direct</v>
      </c>
      <c r="I91" s="88">
        <f>INDEX('MPG Payment '!$C:$C,MATCH('Shayak Income '!D91,'MPG Payment '!E:E,0))</f>
        <v>1003</v>
      </c>
      <c r="J91" s="88" t="str">
        <f>INDEX('MPG Payment '!$D:$D,MATCH('Shayak Income '!D91,'MPG Payment '!E:E,0))</f>
        <v>Asarganj</v>
      </c>
      <c r="K91" s="125" t="s">
        <v>1594</v>
      </c>
      <c r="L91" s="125">
        <v>45016</v>
      </c>
      <c r="M91" s="126">
        <f>SUMIF('MPG Payment '!$E$3:$E$344841,'Shayak Income '!D91,'MPG Payment '!$I$3:$I$344841)</f>
        <v>3276.55</v>
      </c>
      <c r="N91" s="126">
        <f>SUMIF('MPG Payment '!$E$3:$E$344841,'Shayak Income '!D91,'MPG Payment '!$J$3:$J$344841)</f>
        <v>125951.44</v>
      </c>
      <c r="O91" s="126">
        <f t="shared" si="28"/>
        <v>2457.4125000000004</v>
      </c>
      <c r="P91" s="126">
        <f t="shared" si="29"/>
        <v>3112.7224999999999</v>
      </c>
      <c r="Q91" s="126">
        <f>SUMIF('MPG Payment '!$E$3:$E$344841,'Shayak Income '!D91,'MPG Payment '!$S$3:$S$344841)</f>
        <v>0</v>
      </c>
      <c r="R91" s="126">
        <f t="shared" si="20"/>
        <v>3778.5432000000001</v>
      </c>
      <c r="S91" s="126">
        <f t="shared" si="21"/>
        <v>665.82070000000022</v>
      </c>
      <c r="T91" s="126">
        <f t="shared" si="30"/>
        <v>327.65500000000003</v>
      </c>
      <c r="U91" s="127">
        <f>((((((IF(K91="New",0,SUMIF('MPG Payment '!$E$3:$E$344841,'Shayak Income '!D91,'MPG Payment '!$AC$3:$AC$344841))))+0)+0)+0)+0)+0</f>
        <v>0</v>
      </c>
      <c r="V91" s="127">
        <f t="shared" si="31"/>
        <v>5242</v>
      </c>
      <c r="W91" s="19">
        <f t="shared" si="32"/>
        <v>0</v>
      </c>
      <c r="X91" s="19">
        <f t="shared" si="37"/>
        <v>0</v>
      </c>
      <c r="Y91" s="128">
        <f>IFERROR(VLOOKUP(D91,'Monthly Deduction'!$M$2:$N$640,2,0),0)</f>
        <v>0</v>
      </c>
      <c r="Z91" s="128">
        <v>0</v>
      </c>
      <c r="AA91" s="126">
        <f>IFERROR(VLOOKUP(D91,'Monthly Deduction'!A:B,2,0),0)</f>
        <v>0</v>
      </c>
      <c r="AB91" s="129">
        <f t="shared" si="22"/>
        <v>5242</v>
      </c>
      <c r="AC91" s="130">
        <v>0</v>
      </c>
      <c r="AD91" s="35">
        <f t="shared" si="34"/>
        <v>5242</v>
      </c>
      <c r="AE91" s="166" t="str">
        <f t="shared" si="35"/>
        <v>Release</v>
      </c>
      <c r="AF91" s="127"/>
      <c r="AG91" s="18">
        <v>0</v>
      </c>
      <c r="AH91" s="132"/>
      <c r="AI91" s="238">
        <v>0</v>
      </c>
      <c r="AJ91" s="132"/>
      <c r="AK91" s="151">
        <v>691.05000000000007</v>
      </c>
      <c r="AL91" s="154">
        <f t="shared" si="23"/>
        <v>0</v>
      </c>
      <c r="AM91" s="155"/>
      <c r="AN91" s="19">
        <f t="shared" si="24"/>
        <v>0</v>
      </c>
      <c r="AO91" s="118">
        <f>SUMIF('MPG Payment '!E:E,'Shayak Income '!D91,'MPG Payment '!AJ:AJ)</f>
        <v>0</v>
      </c>
      <c r="AP91" s="19">
        <f t="shared" si="25"/>
        <v>0</v>
      </c>
      <c r="AQ91" s="119">
        <f t="shared" si="36"/>
        <v>0</v>
      </c>
      <c r="AR91" s="91" t="s">
        <v>1144</v>
      </c>
      <c r="AS91" s="91">
        <f t="shared" si="26"/>
        <v>0</v>
      </c>
      <c r="AT91" s="118"/>
      <c r="AU91" s="118"/>
      <c r="AV91" s="118"/>
    </row>
    <row r="92" spans="1:48" s="20" customFormat="1" x14ac:dyDescent="0.25">
      <c r="A92" s="17">
        <f>IFERROR(VLOOKUP(D92,'Monthly Deduction'!$I$3:$J$957,2,0),0)</f>
        <v>0</v>
      </c>
      <c r="B92" s="17">
        <f>IFERROR(VLOOKUP(D92,'Monthly Deduction'!$E$3:$F$957,2,0),0)</f>
        <v>0</v>
      </c>
      <c r="C92" s="17">
        <f t="shared" si="27"/>
        <v>0</v>
      </c>
      <c r="D92" s="41">
        <v>10030032</v>
      </c>
      <c r="E92" s="122" t="str">
        <f>VLOOKUP(D92,'MPG Payment '!$E$3:$G$497305,2,0)</f>
        <v xml:space="preserve">MAHDMADPUR                                                                                          </v>
      </c>
      <c r="F92" s="146">
        <f>IFERROR(_xlfn.XLOOKUP(D92,'Monthly Deduction'!$I$3:$I$957,'Monthly Deduction'!$H$3:$H$957),0)</f>
        <v>0</v>
      </c>
      <c r="G92" s="123" t="str">
        <f>VLOOKUP(D92,'MPG Payment '!$E$3:$G$333666,3,0)</f>
        <v>MPG</v>
      </c>
      <c r="H92" s="124" t="str">
        <f>VLOOKUP(D92,'MPG Payment '!$E$3:$H$333666,4,0)</f>
        <v>Direct</v>
      </c>
      <c r="I92" s="88">
        <f>INDEX('MPG Payment '!$C:$C,MATCH('Shayak Income '!D92,'MPG Payment '!E:E,0))</f>
        <v>1003</v>
      </c>
      <c r="J92" s="88" t="str">
        <f>INDEX('MPG Payment '!$D:$D,MATCH('Shayak Income '!D92,'MPG Payment '!E:E,0))</f>
        <v>Asarganj</v>
      </c>
      <c r="K92" s="125" t="s">
        <v>1594</v>
      </c>
      <c r="L92" s="125">
        <v>45017</v>
      </c>
      <c r="M92" s="126">
        <f>SUMIF('MPG Payment '!$E$3:$E$344841,'Shayak Income '!D92,'MPG Payment '!$I$3:$I$344841)</f>
        <v>4995.05</v>
      </c>
      <c r="N92" s="126">
        <f>SUMIF('MPG Payment '!$E$3:$E$344841,'Shayak Income '!D92,'MPG Payment '!$J$3:$J$344841)</f>
        <v>185601.21999999997</v>
      </c>
      <c r="O92" s="126">
        <f t="shared" si="28"/>
        <v>3746.2875000000004</v>
      </c>
      <c r="P92" s="126">
        <f t="shared" si="29"/>
        <v>4745.2974999999997</v>
      </c>
      <c r="Q92" s="126">
        <f>SUMIF('MPG Payment '!$E$3:$E$344841,'Shayak Income '!D92,'MPG Payment '!$S$3:$S$344841)</f>
        <v>1117.1300000000001</v>
      </c>
      <c r="R92" s="126">
        <f t="shared" si="20"/>
        <v>5568.0365999999985</v>
      </c>
      <c r="S92" s="126">
        <f t="shared" si="21"/>
        <v>822.73909999999887</v>
      </c>
      <c r="T92" s="126">
        <f t="shared" si="30"/>
        <v>499.50500000000005</v>
      </c>
      <c r="U92" s="127">
        <f>((((((IF(K92="New",0,SUMIF('MPG Payment '!$E$3:$E$344841,'Shayak Income '!D92,'MPG Payment '!$AC$3:$AC$344841))))+0)+0)+0)+0)+0</f>
        <v>0</v>
      </c>
      <c r="V92" s="127">
        <f t="shared" si="31"/>
        <v>9109</v>
      </c>
      <c r="W92" s="19">
        <f t="shared" si="32"/>
        <v>0</v>
      </c>
      <c r="X92" s="19">
        <f t="shared" si="37"/>
        <v>0</v>
      </c>
      <c r="Y92" s="128">
        <f>IFERROR(VLOOKUP(D92,'Monthly Deduction'!$M$2:$N$640,2,0),0)</f>
        <v>0</v>
      </c>
      <c r="Z92" s="128">
        <v>0</v>
      </c>
      <c r="AA92" s="126">
        <f>IFERROR(VLOOKUP(D92,'Monthly Deduction'!A:B,2,0),0)</f>
        <v>0</v>
      </c>
      <c r="AB92" s="129">
        <f t="shared" si="22"/>
        <v>9109</v>
      </c>
      <c r="AC92" s="130">
        <v>0</v>
      </c>
      <c r="AD92" s="35">
        <f t="shared" si="34"/>
        <v>9109</v>
      </c>
      <c r="AE92" s="166" t="str">
        <f t="shared" si="35"/>
        <v>Release</v>
      </c>
      <c r="AF92" s="127"/>
      <c r="AG92" s="18">
        <v>0</v>
      </c>
      <c r="AH92" s="132"/>
      <c r="AI92" s="238">
        <v>0</v>
      </c>
      <c r="AJ92" s="132"/>
      <c r="AK92" s="151">
        <v>892.85</v>
      </c>
      <c r="AL92" s="154">
        <f t="shared" si="23"/>
        <v>0</v>
      </c>
      <c r="AM92" s="155"/>
      <c r="AN92" s="19">
        <f t="shared" si="24"/>
        <v>0</v>
      </c>
      <c r="AO92" s="118">
        <f>SUMIF('MPG Payment '!E:E,'Shayak Income '!D92,'MPG Payment '!AJ:AJ)</f>
        <v>0</v>
      </c>
      <c r="AP92" s="19">
        <f t="shared" si="25"/>
        <v>0</v>
      </c>
      <c r="AQ92" s="119">
        <f t="shared" si="36"/>
        <v>0</v>
      </c>
      <c r="AR92" s="91" t="s">
        <v>1144</v>
      </c>
      <c r="AS92" s="91">
        <f t="shared" si="26"/>
        <v>0</v>
      </c>
      <c r="AT92" s="118"/>
      <c r="AU92" s="118"/>
      <c r="AV92" s="118"/>
    </row>
    <row r="93" spans="1:48" s="20" customFormat="1" x14ac:dyDescent="0.25">
      <c r="A93" s="17">
        <f>IFERROR(VLOOKUP(D93,'Monthly Deduction'!$I$3:$J$957,2,0),0)</f>
        <v>0</v>
      </c>
      <c r="B93" s="17">
        <f>IFERROR(VLOOKUP(D93,'Monthly Deduction'!$E$3:$F$957,2,0),0)</f>
        <v>0</v>
      </c>
      <c r="C93" s="17">
        <f t="shared" si="27"/>
        <v>0</v>
      </c>
      <c r="D93" s="41">
        <v>10030034</v>
      </c>
      <c r="E93" s="122" t="str">
        <f>VLOOKUP(D93,'MPG Payment '!$E$3:$G$497305,2,0)</f>
        <v xml:space="preserve">MUSKIPUR                                                                                            </v>
      </c>
      <c r="F93" s="146">
        <f>IFERROR(_xlfn.XLOOKUP(D93,'Monthly Deduction'!$I$3:$I$957,'Monthly Deduction'!$H$3:$H$957),0)</f>
        <v>0</v>
      </c>
      <c r="G93" s="123" t="str">
        <f>VLOOKUP(D93,'MPG Payment '!$E$3:$G$333666,3,0)</f>
        <v>MPG</v>
      </c>
      <c r="H93" s="124" t="str">
        <f>VLOOKUP(D93,'MPG Payment '!$E$3:$H$333666,4,0)</f>
        <v>Direct</v>
      </c>
      <c r="I93" s="88">
        <f>INDEX('MPG Payment '!$C:$C,MATCH('Shayak Income '!D93,'MPG Payment '!E:E,0))</f>
        <v>1003</v>
      </c>
      <c r="J93" s="88" t="str">
        <f>INDEX('MPG Payment '!$D:$D,MATCH('Shayak Income '!D93,'MPG Payment '!E:E,0))</f>
        <v>Asarganj</v>
      </c>
      <c r="K93" s="125" t="s">
        <v>1594</v>
      </c>
      <c r="L93" s="125">
        <v>45082</v>
      </c>
      <c r="M93" s="126">
        <f>SUMIF('MPG Payment '!$E$3:$E$344841,'Shayak Income '!D93,'MPG Payment '!$I$3:$I$344841)</f>
        <v>5091.95</v>
      </c>
      <c r="N93" s="126">
        <f>SUMIF('MPG Payment '!$E$3:$E$344841,'Shayak Income '!D93,'MPG Payment '!$J$3:$J$344841)</f>
        <v>220432.74</v>
      </c>
      <c r="O93" s="126">
        <f t="shared" si="28"/>
        <v>3818.9624999999996</v>
      </c>
      <c r="P93" s="126">
        <f t="shared" si="29"/>
        <v>4837.3525</v>
      </c>
      <c r="Q93" s="126">
        <f>SUMIF('MPG Payment '!$E$3:$E$344841,'Shayak Income '!D93,'MPG Payment '!$S$3:$S$344841)</f>
        <v>0</v>
      </c>
      <c r="R93" s="126">
        <f t="shared" si="20"/>
        <v>6612.9821999999995</v>
      </c>
      <c r="S93" s="126">
        <f t="shared" si="21"/>
        <v>1775.6296999999995</v>
      </c>
      <c r="T93" s="126">
        <f t="shared" si="30"/>
        <v>509.19499999999999</v>
      </c>
      <c r="U93" s="127">
        <f>((((((IF(K93="New",0,SUMIF('MPG Payment '!$E$3:$E$344841,'Shayak Income '!D93,'MPG Payment '!$AC$3:$AC$344841))))+0)+0)+0)+0)+0</f>
        <v>0</v>
      </c>
      <c r="V93" s="127">
        <f t="shared" si="31"/>
        <v>8147</v>
      </c>
      <c r="W93" s="19">
        <f t="shared" si="32"/>
        <v>0</v>
      </c>
      <c r="X93" s="19">
        <f t="shared" si="37"/>
        <v>0</v>
      </c>
      <c r="Y93" s="128">
        <f>IFERROR(VLOOKUP(D93,'Monthly Deduction'!$M$2:$N$640,2,0),0)</f>
        <v>0</v>
      </c>
      <c r="Z93" s="128">
        <v>165.2</v>
      </c>
      <c r="AA93" s="126">
        <f>IFERROR(VLOOKUP(D93,'Monthly Deduction'!A:B,2,0),0)</f>
        <v>0</v>
      </c>
      <c r="AB93" s="129">
        <f t="shared" si="22"/>
        <v>7982</v>
      </c>
      <c r="AC93" s="130">
        <v>0</v>
      </c>
      <c r="AD93" s="35">
        <f t="shared" si="34"/>
        <v>7982</v>
      </c>
      <c r="AE93" s="166" t="str">
        <f t="shared" si="35"/>
        <v>Release</v>
      </c>
      <c r="AF93" s="127"/>
      <c r="AG93" s="18">
        <v>0</v>
      </c>
      <c r="AH93" s="132" t="s">
        <v>1680</v>
      </c>
      <c r="AI93" s="238">
        <v>0</v>
      </c>
      <c r="AJ93" s="132"/>
      <c r="AK93" s="151">
        <v>1112.8</v>
      </c>
      <c r="AL93" s="154">
        <f t="shared" si="23"/>
        <v>0</v>
      </c>
      <c r="AM93" s="155"/>
      <c r="AN93" s="19">
        <f t="shared" si="24"/>
        <v>0</v>
      </c>
      <c r="AO93" s="118">
        <f>SUMIF('MPG Payment '!E:E,'Shayak Income '!D93,'MPG Payment '!AJ:AJ)</f>
        <v>0</v>
      </c>
      <c r="AP93" s="19">
        <f t="shared" si="25"/>
        <v>0</v>
      </c>
      <c r="AQ93" s="119">
        <f t="shared" si="36"/>
        <v>0</v>
      </c>
      <c r="AR93" s="91" t="s">
        <v>1144</v>
      </c>
      <c r="AS93" s="91">
        <f t="shared" si="26"/>
        <v>0</v>
      </c>
      <c r="AT93" s="118"/>
      <c r="AU93" s="118"/>
      <c r="AV93" s="118"/>
    </row>
    <row r="94" spans="1:48" s="20" customFormat="1" x14ac:dyDescent="0.25">
      <c r="A94" s="17">
        <f>IFERROR(VLOOKUP(D94,'Monthly Deduction'!$I$3:$J$957,2,0),0)</f>
        <v>22290.303683081103</v>
      </c>
      <c r="B94" s="17">
        <f>IFERROR(VLOOKUP(D94,'Monthly Deduction'!$E$3:$F$957,2,0),0)</f>
        <v>0</v>
      </c>
      <c r="C94" s="17">
        <f t="shared" si="27"/>
        <v>22290.303683081103</v>
      </c>
      <c r="D94" s="41">
        <v>10030035</v>
      </c>
      <c r="E94" s="122" t="str">
        <f>VLOOKUP(D94,'MPG Payment '!$E$3:$G$497305,2,0)</f>
        <v xml:space="preserve">NAYAGAUN                                                                                            </v>
      </c>
      <c r="F94" s="146">
        <f>IFERROR(_xlfn.XLOOKUP(D94,'Monthly Deduction'!$I$3:$I$957,'Monthly Deduction'!$H$3:$H$957),0)</f>
        <v>0</v>
      </c>
      <c r="G94" s="123" t="str">
        <f>VLOOKUP(D94,'MPG Payment '!$E$3:$G$333666,3,0)</f>
        <v>MPG</v>
      </c>
      <c r="H94" s="124" t="str">
        <f>VLOOKUP(D94,'MPG Payment '!$E$3:$H$333666,4,0)</f>
        <v>Direct</v>
      </c>
      <c r="I94" s="88">
        <f>INDEX('MPG Payment '!$C:$C,MATCH('Shayak Income '!D94,'MPG Payment '!E:E,0))</f>
        <v>1003</v>
      </c>
      <c r="J94" s="88" t="str">
        <f>INDEX('MPG Payment '!$D:$D,MATCH('Shayak Income '!D94,'MPG Payment '!E:E,0))</f>
        <v>Asarganj</v>
      </c>
      <c r="K94" s="125" t="s">
        <v>1594</v>
      </c>
      <c r="L94" s="125">
        <v>45084</v>
      </c>
      <c r="M94" s="126">
        <f>SUMIF('MPG Payment '!$E$3:$E$344841,'Shayak Income '!D94,'MPG Payment '!$I$3:$I$344841)</f>
        <v>2833.6</v>
      </c>
      <c r="N94" s="126">
        <f>SUMIF('MPG Payment '!$E$3:$E$344841,'Shayak Income '!D94,'MPG Payment '!$J$3:$J$344841)</f>
        <v>117932.68999999999</v>
      </c>
      <c r="O94" s="126">
        <f t="shared" si="28"/>
        <v>2125.1999999999998</v>
      </c>
      <c r="P94" s="126">
        <f t="shared" si="29"/>
        <v>2691.9199999999996</v>
      </c>
      <c r="Q94" s="126">
        <f>SUMIF('MPG Payment '!$E$3:$E$344841,'Shayak Income '!D94,'MPG Payment '!$S$3:$S$344841)</f>
        <v>567.32000000000005</v>
      </c>
      <c r="R94" s="126">
        <f t="shared" si="20"/>
        <v>3537.9806999999996</v>
      </c>
      <c r="S94" s="126">
        <f t="shared" si="21"/>
        <v>846.0607</v>
      </c>
      <c r="T94" s="126">
        <f t="shared" si="30"/>
        <v>283.36</v>
      </c>
      <c r="U94" s="127">
        <f>((((((IF(K94="New",0,SUMIF('MPG Payment '!$E$3:$E$344841,'Shayak Income '!D94,'MPG Payment '!$AC$3:$AC$344841))))+0)+0)+0)+0)+0</f>
        <v>40.440917971925991</v>
      </c>
      <c r="V94" s="127">
        <f t="shared" si="31"/>
        <v>5061</v>
      </c>
      <c r="W94" s="19">
        <f t="shared" si="32"/>
        <v>2358.6537999999996</v>
      </c>
      <c r="X94" s="19">
        <v>0</v>
      </c>
      <c r="Y94" s="128">
        <f>IFERROR(VLOOKUP(D94,'Monthly Deduction'!$M$2:$N$640,2,0),0)</f>
        <v>0</v>
      </c>
      <c r="Z94" s="128">
        <v>0</v>
      </c>
      <c r="AA94" s="126">
        <f>IFERROR(VLOOKUP(D94,'Monthly Deduction'!A:B,2,0),0)</f>
        <v>0</v>
      </c>
      <c r="AB94" s="129">
        <f t="shared" si="22"/>
        <v>2702</v>
      </c>
      <c r="AC94" s="130">
        <v>0</v>
      </c>
      <c r="AD94" s="35">
        <f t="shared" si="34"/>
        <v>2702</v>
      </c>
      <c r="AE94" s="166" t="str">
        <f t="shared" si="35"/>
        <v>Release</v>
      </c>
      <c r="AF94" s="127"/>
      <c r="AG94" s="18">
        <v>0</v>
      </c>
      <c r="AH94" s="120"/>
      <c r="AI94" s="238">
        <v>0</v>
      </c>
      <c r="AJ94" s="132"/>
      <c r="AK94" s="151">
        <v>483.20000000000005</v>
      </c>
      <c r="AL94" s="154">
        <f t="shared" si="23"/>
        <v>0</v>
      </c>
      <c r="AM94" s="155"/>
      <c r="AN94" s="19">
        <f t="shared" si="24"/>
        <v>2358.6537999999996</v>
      </c>
      <c r="AO94" s="118">
        <f>SUMIF('MPG Payment '!E:E,'Shayak Income '!D94,'MPG Payment '!AJ:AJ)</f>
        <v>0</v>
      </c>
      <c r="AP94" s="19">
        <f t="shared" si="25"/>
        <v>2358.6537999999996</v>
      </c>
      <c r="AQ94" s="119">
        <f t="shared" si="36"/>
        <v>2358.6537999999996</v>
      </c>
      <c r="AR94" s="91" t="s">
        <v>1144</v>
      </c>
      <c r="AS94" s="91">
        <f t="shared" si="26"/>
        <v>0</v>
      </c>
      <c r="AT94" s="118"/>
      <c r="AU94" s="118"/>
      <c r="AV94" s="118"/>
    </row>
    <row r="95" spans="1:48" s="20" customFormat="1" x14ac:dyDescent="0.25">
      <c r="A95" s="17">
        <f>IFERROR(VLOOKUP(D95,'Monthly Deduction'!$I$3:$J$957,2,0),0)</f>
        <v>0</v>
      </c>
      <c r="B95" s="17">
        <f>IFERROR(VLOOKUP(D95,'Monthly Deduction'!$E$3:$F$957,2,0),0)</f>
        <v>0</v>
      </c>
      <c r="C95" s="17">
        <f t="shared" si="27"/>
        <v>0</v>
      </c>
      <c r="D95" s="41">
        <v>10030037</v>
      </c>
      <c r="E95" s="122" t="str">
        <f>VLOOKUP(D95,'MPG Payment '!$E$3:$G$497305,2,0)</f>
        <v xml:space="preserve">LAUNA                                                                                               </v>
      </c>
      <c r="F95" s="146">
        <f>IFERROR(_xlfn.XLOOKUP(D95,'Monthly Deduction'!$I$3:$I$957,'Monthly Deduction'!$H$3:$H$957),0)</f>
        <v>0</v>
      </c>
      <c r="G95" s="123" t="str">
        <f>VLOOKUP(D95,'MPG Payment '!$E$3:$G$333666,3,0)</f>
        <v>MPG</v>
      </c>
      <c r="H95" s="124" t="str">
        <f>VLOOKUP(D95,'MPG Payment '!$E$3:$H$333666,4,0)</f>
        <v>Direct</v>
      </c>
      <c r="I95" s="88">
        <f>INDEX('MPG Payment '!$C:$C,MATCH('Shayak Income '!D95,'MPG Payment '!E:E,0))</f>
        <v>1003</v>
      </c>
      <c r="J95" s="88" t="str">
        <f>INDEX('MPG Payment '!$D:$D,MATCH('Shayak Income '!D95,'MPG Payment '!E:E,0))</f>
        <v>Asarganj</v>
      </c>
      <c r="K95" s="125" t="s">
        <v>1594</v>
      </c>
      <c r="L95" s="125">
        <v>45091</v>
      </c>
      <c r="M95" s="126">
        <f>SUMIF('MPG Payment '!$E$3:$E$344841,'Shayak Income '!D95,'MPG Payment '!$I$3:$I$344841)</f>
        <v>5988.1</v>
      </c>
      <c r="N95" s="126">
        <f>SUMIF('MPG Payment '!$E$3:$E$344841,'Shayak Income '!D95,'MPG Payment '!$J$3:$J$344841)</f>
        <v>228047.94</v>
      </c>
      <c r="O95" s="126">
        <f t="shared" si="28"/>
        <v>4491.0750000000007</v>
      </c>
      <c r="P95" s="126">
        <f t="shared" si="29"/>
        <v>5688.6949999999997</v>
      </c>
      <c r="Q95" s="126">
        <f>SUMIF('MPG Payment '!$E$3:$E$344841,'Shayak Income '!D95,'MPG Payment '!$S$3:$S$344841)</f>
        <v>2651.73</v>
      </c>
      <c r="R95" s="126">
        <f t="shared" si="20"/>
        <v>6841.4381999999996</v>
      </c>
      <c r="S95" s="126">
        <f t="shared" si="21"/>
        <v>1152.7431999999999</v>
      </c>
      <c r="T95" s="126">
        <f t="shared" si="30"/>
        <v>598.81000000000006</v>
      </c>
      <c r="U95" s="127">
        <f>((((((IF(K95="New",0,SUMIF('MPG Payment '!$E$3:$E$344841,'Shayak Income '!D95,'MPG Payment '!$AC$3:$AC$344841))))+0)+0)+0)+0)+0</f>
        <v>0</v>
      </c>
      <c r="V95" s="127">
        <f t="shared" si="31"/>
        <v>12233</v>
      </c>
      <c r="W95" s="19">
        <f t="shared" si="32"/>
        <v>0</v>
      </c>
      <c r="X95" s="19">
        <f t="shared" si="37"/>
        <v>0</v>
      </c>
      <c r="Y95" s="128">
        <f>IFERROR(VLOOKUP(D95,'Monthly Deduction'!$M$2:$N$640,2,0),0)</f>
        <v>0</v>
      </c>
      <c r="Z95" s="128">
        <v>0</v>
      </c>
      <c r="AA95" s="126">
        <f>IFERROR(VLOOKUP(D95,'Monthly Deduction'!A:B,2,0),0)</f>
        <v>0</v>
      </c>
      <c r="AB95" s="129">
        <f t="shared" si="22"/>
        <v>12233</v>
      </c>
      <c r="AC95" s="130">
        <v>0</v>
      </c>
      <c r="AD95" s="35">
        <f t="shared" si="34"/>
        <v>12233</v>
      </c>
      <c r="AE95" s="166" t="str">
        <f t="shared" si="35"/>
        <v>Release</v>
      </c>
      <c r="AF95" s="127"/>
      <c r="AG95" s="18">
        <v>0</v>
      </c>
      <c r="AH95" s="120"/>
      <c r="AI95" s="238">
        <v>0</v>
      </c>
      <c r="AJ95" s="132"/>
      <c r="AK95" s="151">
        <v>1362.2500000000002</v>
      </c>
      <c r="AL95" s="154">
        <f t="shared" si="23"/>
        <v>0</v>
      </c>
      <c r="AM95" s="155"/>
      <c r="AN95" s="19">
        <f t="shared" si="24"/>
        <v>0</v>
      </c>
      <c r="AO95" s="118">
        <f>SUMIF('MPG Payment '!E:E,'Shayak Income '!D95,'MPG Payment '!AJ:AJ)</f>
        <v>0</v>
      </c>
      <c r="AP95" s="19">
        <f t="shared" si="25"/>
        <v>0</v>
      </c>
      <c r="AQ95" s="119">
        <f t="shared" si="36"/>
        <v>0</v>
      </c>
      <c r="AR95" s="91" t="s">
        <v>1144</v>
      </c>
      <c r="AS95" s="91">
        <f t="shared" si="26"/>
        <v>0</v>
      </c>
      <c r="AT95" s="118"/>
      <c r="AU95" s="118"/>
      <c r="AV95" s="118"/>
    </row>
    <row r="96" spans="1:48" s="20" customFormat="1" x14ac:dyDescent="0.25">
      <c r="A96" s="17">
        <f>IFERROR(VLOOKUP(D96,'Monthly Deduction'!$I$3:$J$957,2,0),0)</f>
        <v>18977.625952053495</v>
      </c>
      <c r="B96" s="17">
        <f>IFERROR(VLOOKUP(D96,'Monthly Deduction'!$E$3:$F$957,2,0),0)</f>
        <v>16000</v>
      </c>
      <c r="C96" s="17">
        <f t="shared" si="27"/>
        <v>34977.625952053495</v>
      </c>
      <c r="D96" s="41">
        <v>10030038</v>
      </c>
      <c r="E96" s="122" t="str">
        <f>VLOOKUP(D96,'MPG Payment '!$E$3:$G$497305,2,0)</f>
        <v>DULHAR</v>
      </c>
      <c r="F96" s="146">
        <f>IFERROR(_xlfn.XLOOKUP(D96,'Monthly Deduction'!$I$3:$I$957,'Monthly Deduction'!$H$3:$H$957),0)</f>
        <v>0</v>
      </c>
      <c r="G96" s="123" t="str">
        <f>VLOOKUP(D96,'MPG Payment '!$E$3:$G$333666,3,0)</f>
        <v>MPG</v>
      </c>
      <c r="H96" s="124" t="str">
        <f>VLOOKUP(D96,'MPG Payment '!$E$3:$H$333666,4,0)</f>
        <v>Direct</v>
      </c>
      <c r="I96" s="88">
        <f>INDEX('MPG Payment '!$C:$C,MATCH('Shayak Income '!D96,'MPG Payment '!E:E,0))</f>
        <v>1003</v>
      </c>
      <c r="J96" s="88" t="str">
        <f>INDEX('MPG Payment '!$D:$D,MATCH('Shayak Income '!D96,'MPG Payment '!E:E,0))</f>
        <v>Asarganj</v>
      </c>
      <c r="K96" s="125" t="s">
        <v>1594</v>
      </c>
      <c r="L96" s="125">
        <v>45121</v>
      </c>
      <c r="M96" s="126">
        <f>SUMIF('MPG Payment '!$E$3:$E$344841,'Shayak Income '!D96,'MPG Payment '!$I$3:$I$344841)</f>
        <v>2640.3999999999996</v>
      </c>
      <c r="N96" s="126">
        <f>SUMIF('MPG Payment '!$E$3:$E$344841,'Shayak Income '!D96,'MPG Payment '!$J$3:$J$344841)</f>
        <v>112537.19999999998</v>
      </c>
      <c r="O96" s="126">
        <f t="shared" si="28"/>
        <v>1980.2999999999997</v>
      </c>
      <c r="P96" s="126">
        <f t="shared" si="29"/>
        <v>2508.3799999999997</v>
      </c>
      <c r="Q96" s="126">
        <f>SUMIF('MPG Payment '!$E$3:$E$344841,'Shayak Income '!D96,'MPG Payment '!$S$3:$S$344841)</f>
        <v>0</v>
      </c>
      <c r="R96" s="126">
        <f t="shared" si="20"/>
        <v>3376.1159999999995</v>
      </c>
      <c r="S96" s="126">
        <f t="shared" si="21"/>
        <v>867.73599999999988</v>
      </c>
      <c r="T96" s="126">
        <f t="shared" si="30"/>
        <v>264.03999999999996</v>
      </c>
      <c r="U96" s="127">
        <f>((((((IF(K96="New",0,SUMIF('MPG Payment '!$E$3:$E$344841,'Shayak Income '!D96,'MPG Payment '!$AC$3:$AC$344841))))+0)+0)+0)+0)+0</f>
        <v>175.78193157657003</v>
      </c>
      <c r="V96" s="127">
        <f t="shared" si="31"/>
        <v>4049</v>
      </c>
      <c r="W96" s="19">
        <f t="shared" si="32"/>
        <v>2250.7439999999997</v>
      </c>
      <c r="X96" s="19">
        <v>0</v>
      </c>
      <c r="Y96" s="128">
        <f>IFERROR(VLOOKUP(D96,'Monthly Deduction'!$M$2:$N$640,2,0),0)</f>
        <v>0</v>
      </c>
      <c r="Z96" s="128">
        <v>0</v>
      </c>
      <c r="AA96" s="126">
        <f>IFERROR(VLOOKUP(D96,'Monthly Deduction'!A:B,2,0),0)</f>
        <v>0</v>
      </c>
      <c r="AB96" s="129">
        <f t="shared" si="22"/>
        <v>1798</v>
      </c>
      <c r="AC96" s="130">
        <v>0</v>
      </c>
      <c r="AD96" s="35">
        <f t="shared" si="34"/>
        <v>1798</v>
      </c>
      <c r="AE96" s="166" t="str">
        <f t="shared" si="35"/>
        <v>Release</v>
      </c>
      <c r="AF96" s="127"/>
      <c r="AG96" s="18">
        <v>0</v>
      </c>
      <c r="AH96" s="120"/>
      <c r="AI96" s="238">
        <v>0</v>
      </c>
      <c r="AJ96" s="132"/>
      <c r="AK96" s="151">
        <v>649.34999999999991</v>
      </c>
      <c r="AL96" s="154">
        <f t="shared" si="23"/>
        <v>0</v>
      </c>
      <c r="AM96" s="155"/>
      <c r="AN96" s="19">
        <f t="shared" si="24"/>
        <v>2250.7439999999997</v>
      </c>
      <c r="AO96" s="118">
        <f>SUMIF('MPG Payment '!E:E,'Shayak Income '!D96,'MPG Payment '!AJ:AJ)</f>
        <v>0</v>
      </c>
      <c r="AP96" s="19">
        <f t="shared" si="25"/>
        <v>2250.7439999999997</v>
      </c>
      <c r="AQ96" s="119">
        <f t="shared" si="36"/>
        <v>2250.7439999999997</v>
      </c>
      <c r="AR96" s="91" t="s">
        <v>1144</v>
      </c>
      <c r="AS96" s="91">
        <f t="shared" si="26"/>
        <v>16000</v>
      </c>
      <c r="AT96" s="118"/>
      <c r="AU96" s="118"/>
      <c r="AV96" s="118"/>
    </row>
    <row r="97" spans="1:48" s="20" customFormat="1" x14ac:dyDescent="0.25">
      <c r="A97" s="17">
        <f>IFERROR(VLOOKUP(D97,'Monthly Deduction'!$I$3:$J$957,2,0),0)</f>
        <v>0</v>
      </c>
      <c r="B97" s="17">
        <f>IFERROR(VLOOKUP(D97,'Monthly Deduction'!$E$3:$F$957,2,0),0)</f>
        <v>0</v>
      </c>
      <c r="C97" s="17">
        <f t="shared" si="27"/>
        <v>0</v>
      </c>
      <c r="D97" s="41">
        <v>10030040</v>
      </c>
      <c r="E97" s="122" t="str">
        <f>VLOOKUP(D97,'MPG Payment '!$E$3:$G$497305,2,0)</f>
        <v>Ghorpithiya - Vikas</v>
      </c>
      <c r="F97" s="146">
        <f>IFERROR(_xlfn.XLOOKUP(D97,'Monthly Deduction'!$I$3:$I$957,'Monthly Deduction'!$H$3:$H$957),0)</f>
        <v>0</v>
      </c>
      <c r="G97" s="123" t="str">
        <f>VLOOKUP(D97,'MPG Payment '!$E$3:$G$333666,3,0)</f>
        <v>vlc</v>
      </c>
      <c r="H97" s="124" t="str">
        <f>VLOOKUP(D97,'MPG Payment '!$E$3:$H$333666,4,0)</f>
        <v>Indirect</v>
      </c>
      <c r="I97" s="88">
        <f>INDEX('MPG Payment '!$C:$C,MATCH('Shayak Income '!D97,'MPG Payment '!E:E,0))</f>
        <v>1003</v>
      </c>
      <c r="J97" s="88" t="str">
        <f>INDEX('MPG Payment '!$D:$D,MATCH('Shayak Income '!D97,'MPG Payment '!E:E,0))</f>
        <v>Asarganj</v>
      </c>
      <c r="K97" s="125" t="s">
        <v>1594</v>
      </c>
      <c r="L97" s="125">
        <v>45212</v>
      </c>
      <c r="M97" s="126">
        <f>SUMIF('MPG Payment '!$E$3:$E$344841,'Shayak Income '!D97,'MPG Payment '!$I$3:$I$344841)</f>
        <v>1449.0000000000002</v>
      </c>
      <c r="N97" s="126">
        <f>SUMIF('MPG Payment '!$E$3:$E$344841,'Shayak Income '!D97,'MPG Payment '!$J$3:$J$344841)</f>
        <v>65008.729999999996</v>
      </c>
      <c r="O97" s="126">
        <f t="shared" si="28"/>
        <v>1086.7500000000002</v>
      </c>
      <c r="P97" s="126">
        <f t="shared" si="29"/>
        <v>1376.5500000000002</v>
      </c>
      <c r="Q97" s="126">
        <f>SUMIF('MPG Payment '!$E$3:$E$344841,'Shayak Income '!D97,'MPG Payment '!$S$3:$S$344841)</f>
        <v>0</v>
      </c>
      <c r="R97" s="126">
        <f t="shared" si="20"/>
        <v>1950.2618999999997</v>
      </c>
      <c r="S97" s="126">
        <f t="shared" si="21"/>
        <v>573.71189999999956</v>
      </c>
      <c r="T97" s="126">
        <f t="shared" si="30"/>
        <v>144.90000000000003</v>
      </c>
      <c r="U97" s="127">
        <f>((((((IF(K97="New",0,SUMIF('MPG Payment '!$E$3:$E$344841,'Shayak Income '!D97,'MPG Payment '!$AC$3:$AC$344841))))+0)+0)+0)+0)+0</f>
        <v>1212.1953744244415</v>
      </c>
      <c r="V97" s="127">
        <f t="shared" si="31"/>
        <v>1106</v>
      </c>
      <c r="W97" s="19">
        <f t="shared" si="32"/>
        <v>0</v>
      </c>
      <c r="X97" s="19">
        <f t="shared" si="37"/>
        <v>0</v>
      </c>
      <c r="Y97" s="128">
        <f>IFERROR(VLOOKUP(D97,'Monthly Deduction'!$M$2:$N$640,2,0),0)</f>
        <v>0</v>
      </c>
      <c r="Z97" s="128">
        <v>0</v>
      </c>
      <c r="AA97" s="126">
        <f>IFERROR(VLOOKUP(D97,'Monthly Deduction'!A:B,2,0),0)</f>
        <v>0</v>
      </c>
      <c r="AB97" s="129">
        <f t="shared" si="22"/>
        <v>1106</v>
      </c>
      <c r="AC97" s="130">
        <v>0</v>
      </c>
      <c r="AD97" s="35">
        <f t="shared" si="34"/>
        <v>1106</v>
      </c>
      <c r="AE97" s="166" t="str">
        <f t="shared" si="35"/>
        <v>Release</v>
      </c>
      <c r="AF97" s="127"/>
      <c r="AG97" s="18">
        <v>0</v>
      </c>
      <c r="AH97" s="120"/>
      <c r="AI97" s="238">
        <v>0</v>
      </c>
      <c r="AJ97" s="132"/>
      <c r="AK97" s="151">
        <v>387.65000000000003</v>
      </c>
      <c r="AL97" s="154">
        <f t="shared" si="23"/>
        <v>0</v>
      </c>
      <c r="AM97" s="155"/>
      <c r="AN97" s="19">
        <f t="shared" si="24"/>
        <v>0</v>
      </c>
      <c r="AO97" s="118">
        <f>SUMIF('MPG Payment '!E:E,'Shayak Income '!D97,'MPG Payment '!AJ:AJ)</f>
        <v>0</v>
      </c>
      <c r="AP97" s="19">
        <f t="shared" si="25"/>
        <v>0</v>
      </c>
      <c r="AQ97" s="119">
        <f t="shared" si="36"/>
        <v>0</v>
      </c>
      <c r="AR97" s="91"/>
      <c r="AS97" s="91">
        <f t="shared" si="26"/>
        <v>0</v>
      </c>
      <c r="AT97" s="118"/>
      <c r="AU97" s="118"/>
      <c r="AV97" s="118"/>
    </row>
    <row r="98" spans="1:48" s="20" customFormat="1" x14ac:dyDescent="0.25">
      <c r="A98" s="17">
        <f>IFERROR(VLOOKUP(D98,'Monthly Deduction'!$I$3:$J$957,2,0),0)</f>
        <v>0</v>
      </c>
      <c r="B98" s="17">
        <f>IFERROR(VLOOKUP(D98,'Monthly Deduction'!$E$3:$F$957,2,0),0)</f>
        <v>0</v>
      </c>
      <c r="C98" s="17">
        <f t="shared" si="27"/>
        <v>0</v>
      </c>
      <c r="D98" s="41">
        <v>10030041</v>
      </c>
      <c r="E98" s="122" t="str">
        <f>VLOOKUP(D98,'MPG Payment '!$E$3:$G$497305,2,0)</f>
        <v>Akbarnagar - Rakhi</v>
      </c>
      <c r="F98" s="146">
        <f>IFERROR(_xlfn.XLOOKUP(D98,'Monthly Deduction'!$I$3:$I$957,'Monthly Deduction'!$H$3:$H$957),0)</f>
        <v>0</v>
      </c>
      <c r="G98" s="123" t="str">
        <f>VLOOKUP(D98,'MPG Payment '!$E$3:$G$333666,3,0)</f>
        <v>vlc</v>
      </c>
      <c r="H98" s="124" t="str">
        <f>VLOOKUP(D98,'MPG Payment '!$E$3:$H$333666,4,0)</f>
        <v>Indirect</v>
      </c>
      <c r="I98" s="88">
        <f>INDEX('MPG Payment '!$C:$C,MATCH('Shayak Income '!D98,'MPG Payment '!E:E,0))</f>
        <v>1003</v>
      </c>
      <c r="J98" s="88" t="str">
        <f>INDEX('MPG Payment '!$D:$D,MATCH('Shayak Income '!D98,'MPG Payment '!E:E,0))</f>
        <v>Asarganj</v>
      </c>
      <c r="K98" s="125" t="s">
        <v>1594</v>
      </c>
      <c r="L98" s="125">
        <v>45212</v>
      </c>
      <c r="M98" s="126">
        <f>SUMIF('MPG Payment '!$E$3:$E$344841,'Shayak Income '!D98,'MPG Payment '!$I$3:$I$344841)</f>
        <v>4592.5</v>
      </c>
      <c r="N98" s="126">
        <f>SUMIF('MPG Payment '!$E$3:$E$344841,'Shayak Income '!D98,'MPG Payment '!$J$3:$J$344841)</f>
        <v>184859.13</v>
      </c>
      <c r="O98" s="126">
        <f t="shared" si="28"/>
        <v>3444.375</v>
      </c>
      <c r="P98" s="126">
        <f t="shared" si="29"/>
        <v>4362.875</v>
      </c>
      <c r="Q98" s="126">
        <f>SUMIF('MPG Payment '!$E$3:$E$344841,'Shayak Income '!D98,'MPG Payment '!$S$3:$S$344841)</f>
        <v>0</v>
      </c>
      <c r="R98" s="126">
        <f t="shared" si="20"/>
        <v>5545.7739000000001</v>
      </c>
      <c r="S98" s="126">
        <f t="shared" si="21"/>
        <v>1182.8989000000001</v>
      </c>
      <c r="T98" s="126">
        <f t="shared" si="30"/>
        <v>459.25</v>
      </c>
      <c r="U98" s="127">
        <f>((((((IF(K98="New",0,SUMIF('MPG Payment '!$E$3:$E$344841,'Shayak Income '!D98,'MPG Payment '!$AC$3:$AC$344841))))+0)+0)+0)+0)+0</f>
        <v>0</v>
      </c>
      <c r="V98" s="127">
        <f t="shared" si="31"/>
        <v>7348</v>
      </c>
      <c r="W98" s="19">
        <f t="shared" si="32"/>
        <v>0</v>
      </c>
      <c r="X98" s="19">
        <f t="shared" si="37"/>
        <v>0</v>
      </c>
      <c r="Y98" s="128">
        <f>IFERROR(VLOOKUP(D98,'Monthly Deduction'!$M$2:$N$640,2,0),0)</f>
        <v>0</v>
      </c>
      <c r="Z98" s="128">
        <v>0</v>
      </c>
      <c r="AA98" s="126">
        <f>IFERROR(VLOOKUP(D98,'Monthly Deduction'!A:B,2,0),0)</f>
        <v>0</v>
      </c>
      <c r="AB98" s="129">
        <f t="shared" si="22"/>
        <v>7348</v>
      </c>
      <c r="AC98" s="130">
        <v>0</v>
      </c>
      <c r="AD98" s="35">
        <f t="shared" si="34"/>
        <v>7348</v>
      </c>
      <c r="AE98" s="166" t="str">
        <f t="shared" si="35"/>
        <v>Release</v>
      </c>
      <c r="AF98" s="127"/>
      <c r="AG98" s="18">
        <v>0</v>
      </c>
      <c r="AH98" s="120"/>
      <c r="AI98" s="238">
        <v>0</v>
      </c>
      <c r="AJ98" s="132"/>
      <c r="AK98" s="151">
        <v>1166.5999999999999</v>
      </c>
      <c r="AL98" s="154">
        <f t="shared" si="23"/>
        <v>0</v>
      </c>
      <c r="AM98" s="155"/>
      <c r="AN98" s="19">
        <f t="shared" si="24"/>
        <v>0</v>
      </c>
      <c r="AO98" s="118">
        <f>SUMIF('MPG Payment '!E:E,'Shayak Income '!D98,'MPG Payment '!AJ:AJ)</f>
        <v>0</v>
      </c>
      <c r="AP98" s="19">
        <f t="shared" si="25"/>
        <v>0</v>
      </c>
      <c r="AQ98" s="119">
        <f t="shared" si="36"/>
        <v>0</v>
      </c>
      <c r="AR98" s="91" t="s">
        <v>1144</v>
      </c>
      <c r="AS98" s="91">
        <f t="shared" si="26"/>
        <v>0</v>
      </c>
      <c r="AT98" s="118"/>
      <c r="AU98" s="118"/>
      <c r="AV98" s="118"/>
    </row>
    <row r="99" spans="1:48" s="20" customFormat="1" x14ac:dyDescent="0.25">
      <c r="A99" s="17">
        <f>IFERROR(VLOOKUP(D99,'Monthly Deduction'!$I$3:$J$957,2,0),0)</f>
        <v>0</v>
      </c>
      <c r="B99" s="17">
        <f>IFERROR(VLOOKUP(D99,'Monthly Deduction'!$E$3:$F$957,2,0),0)</f>
        <v>0</v>
      </c>
      <c r="C99" s="17">
        <f t="shared" si="27"/>
        <v>0</v>
      </c>
      <c r="D99" s="41">
        <v>10030042</v>
      </c>
      <c r="E99" s="122" t="str">
        <f>VLOOKUP(D99,'MPG Payment '!$E$3:$G$497305,2,0)</f>
        <v>Maheshi - Chamcham</v>
      </c>
      <c r="F99" s="146">
        <f>IFERROR(_xlfn.XLOOKUP(D99,'Monthly Deduction'!$I$3:$I$957,'Monthly Deduction'!$H$3:$H$957),0)</f>
        <v>0</v>
      </c>
      <c r="G99" s="123" t="str">
        <f>VLOOKUP(D99,'MPG Payment '!$E$3:$G$333666,3,0)</f>
        <v>VLC</v>
      </c>
      <c r="H99" s="124" t="str">
        <f>VLOOKUP(D99,'MPG Payment '!$E$3:$H$333666,4,0)</f>
        <v>Indirect</v>
      </c>
      <c r="I99" s="88">
        <f>INDEX('MPG Payment '!$C:$C,MATCH('Shayak Income '!D99,'MPG Payment '!E:E,0))</f>
        <v>1003</v>
      </c>
      <c r="J99" s="88" t="str">
        <f>INDEX('MPG Payment '!$D:$D,MATCH('Shayak Income '!D99,'MPG Payment '!E:E,0))</f>
        <v>Asarganj</v>
      </c>
      <c r="K99" s="125" t="s">
        <v>1594</v>
      </c>
      <c r="L99" s="125">
        <v>45212</v>
      </c>
      <c r="M99" s="126">
        <f>SUMIF('MPG Payment '!$E$3:$E$344841,'Shayak Income '!D99,'MPG Payment '!$I$3:$I$344841)</f>
        <v>1957.7</v>
      </c>
      <c r="N99" s="126">
        <f>SUMIF('MPG Payment '!$E$3:$E$344841,'Shayak Income '!D99,'MPG Payment '!$J$3:$J$344841)</f>
        <v>81694.19</v>
      </c>
      <c r="O99" s="126">
        <f t="shared" si="28"/>
        <v>1468.2750000000001</v>
      </c>
      <c r="P99" s="126">
        <f t="shared" si="29"/>
        <v>1859.8150000000001</v>
      </c>
      <c r="Q99" s="126">
        <f>SUMIF('MPG Payment '!$E$3:$E$344841,'Shayak Income '!D99,'MPG Payment '!$S$3:$S$344841)</f>
        <v>0</v>
      </c>
      <c r="R99" s="126">
        <f t="shared" si="20"/>
        <v>2450.8256999999999</v>
      </c>
      <c r="S99" s="126">
        <f t="shared" si="21"/>
        <v>591.01069999999982</v>
      </c>
      <c r="T99" s="126">
        <f t="shared" si="30"/>
        <v>195.77</v>
      </c>
      <c r="U99" s="127">
        <f>((((((IF(K99="New",0,SUMIF('MPG Payment '!$E$3:$E$344841,'Shayak Income '!D99,'MPG Payment '!$AC$3:$AC$344841))))+0)+0)+0)+0)+0</f>
        <v>163.62991433083295</v>
      </c>
      <c r="V99" s="127">
        <f t="shared" si="31"/>
        <v>2969</v>
      </c>
      <c r="W99" s="19">
        <f t="shared" si="32"/>
        <v>0</v>
      </c>
      <c r="X99" s="19">
        <f t="shared" si="37"/>
        <v>0</v>
      </c>
      <c r="Y99" s="128">
        <f>IFERROR(VLOOKUP(D99,'Monthly Deduction'!$M$2:$N$640,2,0),0)</f>
        <v>0</v>
      </c>
      <c r="Z99" s="128">
        <v>0</v>
      </c>
      <c r="AA99" s="126">
        <f>IFERROR(VLOOKUP(D99,'Monthly Deduction'!A:B,2,0),0)</f>
        <v>0</v>
      </c>
      <c r="AB99" s="129">
        <f t="shared" si="22"/>
        <v>2969</v>
      </c>
      <c r="AC99" s="130">
        <v>0</v>
      </c>
      <c r="AD99" s="35">
        <f t="shared" si="34"/>
        <v>2969</v>
      </c>
      <c r="AE99" s="166" t="str">
        <f t="shared" si="35"/>
        <v>Release</v>
      </c>
      <c r="AF99" s="127"/>
      <c r="AG99" s="127">
        <v>0</v>
      </c>
      <c r="AH99" s="120"/>
      <c r="AI99" s="238">
        <v>0</v>
      </c>
      <c r="AJ99" s="132"/>
      <c r="AK99" s="151">
        <v>503.6</v>
      </c>
      <c r="AL99" s="154">
        <f t="shared" si="23"/>
        <v>0</v>
      </c>
      <c r="AM99" s="155"/>
      <c r="AN99" s="19">
        <f t="shared" si="24"/>
        <v>0</v>
      </c>
      <c r="AO99" s="118">
        <f>SUMIF('MPG Payment '!E:E,'Shayak Income '!D99,'MPG Payment '!AJ:AJ)</f>
        <v>0</v>
      </c>
      <c r="AP99" s="19">
        <f t="shared" si="25"/>
        <v>0</v>
      </c>
      <c r="AQ99" s="119">
        <f t="shared" si="36"/>
        <v>0</v>
      </c>
      <c r="AR99" s="91" t="s">
        <v>1144</v>
      </c>
      <c r="AS99" s="91">
        <f t="shared" si="26"/>
        <v>0</v>
      </c>
      <c r="AT99" s="118"/>
      <c r="AU99" s="118"/>
      <c r="AV99" s="118"/>
    </row>
    <row r="100" spans="1:48" s="20" customFormat="1" x14ac:dyDescent="0.25">
      <c r="A100" s="17">
        <f>IFERROR(VLOOKUP(D100,'Monthly Deduction'!$I$3:$J$957,2,0),0)</f>
        <v>0</v>
      </c>
      <c r="B100" s="17">
        <f>IFERROR(VLOOKUP(D100,'Monthly Deduction'!$E$3:$F$957,2,0),0)</f>
        <v>0</v>
      </c>
      <c r="C100" s="17">
        <f t="shared" si="27"/>
        <v>0</v>
      </c>
      <c r="D100" s="41">
        <v>10030043</v>
      </c>
      <c r="E100" s="122" t="str">
        <f>VLOOKUP(D100,'MPG Payment '!$E$3:$G$497305,2,0)</f>
        <v>Ghorpithiya - Dheeraj</v>
      </c>
      <c r="F100" s="146">
        <f>IFERROR(_xlfn.XLOOKUP(D100,'Monthly Deduction'!$I$3:$I$957,'Monthly Deduction'!$H$3:$H$957),0)</f>
        <v>0</v>
      </c>
      <c r="G100" s="123" t="str">
        <f>VLOOKUP(D100,'MPG Payment '!$E$3:$G$333666,3,0)</f>
        <v>vlc</v>
      </c>
      <c r="H100" s="124" t="str">
        <f>VLOOKUP(D100,'MPG Payment '!$E$3:$H$333666,4,0)</f>
        <v>Indirect</v>
      </c>
      <c r="I100" s="88">
        <f>INDEX('MPG Payment '!$C:$C,MATCH('Shayak Income '!D100,'MPG Payment '!E:E,0))</f>
        <v>1003</v>
      </c>
      <c r="J100" s="88" t="str">
        <f>INDEX('MPG Payment '!$D:$D,MATCH('Shayak Income '!D100,'MPG Payment '!E:E,0))</f>
        <v>Asarganj</v>
      </c>
      <c r="K100" s="125" t="s">
        <v>1594</v>
      </c>
      <c r="L100" s="125">
        <v>45212</v>
      </c>
      <c r="M100" s="126">
        <f>SUMIF('MPG Payment '!$E$3:$E$344841,'Shayak Income '!D100,'MPG Payment '!$I$3:$I$344841)</f>
        <v>42075.95</v>
      </c>
      <c r="N100" s="126">
        <f>SUMIF('MPG Payment '!$E$3:$E$344841,'Shayak Income '!D100,'MPG Payment '!$J$3:$J$344841)</f>
        <v>1761671.3299999998</v>
      </c>
      <c r="O100" s="126">
        <f t="shared" si="28"/>
        <v>31556.962499999998</v>
      </c>
      <c r="P100" s="126">
        <f t="shared" si="29"/>
        <v>39972.152499999997</v>
      </c>
      <c r="Q100" s="126">
        <f>SUMIF('MPG Payment '!$E$3:$E$344841,'Shayak Income '!D100,'MPG Payment '!$S$3:$S$344841)</f>
        <v>0</v>
      </c>
      <c r="R100" s="126">
        <f t="shared" si="20"/>
        <v>52850.139899999995</v>
      </c>
      <c r="S100" s="126">
        <f t="shared" si="21"/>
        <v>12877.987399999998</v>
      </c>
      <c r="T100" s="126">
        <f t="shared" si="30"/>
        <v>4207.5950000000003</v>
      </c>
      <c r="U100" s="127">
        <f>((((((IF(K100="New",0,SUMIF('MPG Payment '!$E$3:$E$344841,'Shayak Income '!D100,'MPG Payment '!$AC$3:$AC$344841))))+0)+0)+0)+0)+0</f>
        <v>0</v>
      </c>
      <c r="V100" s="127">
        <f t="shared" si="31"/>
        <v>67322</v>
      </c>
      <c r="W100" s="19">
        <f t="shared" si="32"/>
        <v>0</v>
      </c>
      <c r="X100" s="19">
        <f t="shared" si="37"/>
        <v>0</v>
      </c>
      <c r="Y100" s="128">
        <f>IFERROR(VLOOKUP(D100,'Monthly Deduction'!$M$2:$N$640,2,0),0)</f>
        <v>0</v>
      </c>
      <c r="Z100" s="128">
        <v>0</v>
      </c>
      <c r="AA100" s="126">
        <f>IFERROR(VLOOKUP(D100,'Monthly Deduction'!A:B,2,0),0)</f>
        <v>0</v>
      </c>
      <c r="AB100" s="129">
        <f t="shared" si="22"/>
        <v>67322</v>
      </c>
      <c r="AC100" s="130">
        <v>0</v>
      </c>
      <c r="AD100" s="35">
        <f t="shared" si="34"/>
        <v>67322</v>
      </c>
      <c r="AE100" s="166" t="str">
        <f t="shared" si="35"/>
        <v>Release</v>
      </c>
      <c r="AF100" s="127"/>
      <c r="AG100" s="18">
        <v>0</v>
      </c>
      <c r="AH100" s="120"/>
      <c r="AI100" s="238">
        <v>0</v>
      </c>
      <c r="AJ100" s="132"/>
      <c r="AK100" s="151">
        <v>8342.5</v>
      </c>
      <c r="AL100" s="154">
        <f t="shared" si="23"/>
        <v>0</v>
      </c>
      <c r="AM100" s="155"/>
      <c r="AN100" s="19">
        <f t="shared" si="24"/>
        <v>0</v>
      </c>
      <c r="AO100" s="118">
        <f>SUMIF('MPG Payment '!E:E,'Shayak Income '!D100,'MPG Payment '!AJ:AJ)</f>
        <v>0</v>
      </c>
      <c r="AP100" s="19">
        <f t="shared" si="25"/>
        <v>0</v>
      </c>
      <c r="AQ100" s="119">
        <f t="shared" si="36"/>
        <v>0</v>
      </c>
      <c r="AR100" s="91" t="s">
        <v>1144</v>
      </c>
      <c r="AS100" s="91">
        <f t="shared" si="26"/>
        <v>0</v>
      </c>
      <c r="AT100" s="118"/>
      <c r="AU100" s="118"/>
      <c r="AV100" s="118"/>
    </row>
    <row r="101" spans="1:48" s="20" customFormat="1" x14ac:dyDescent="0.25">
      <c r="A101" s="17">
        <f>IFERROR(VLOOKUP(D101,'Monthly Deduction'!$I$3:$J$957,2,0),0)</f>
        <v>0</v>
      </c>
      <c r="B101" s="17">
        <f>IFERROR(VLOOKUP(D101,'Monthly Deduction'!$E$3:$F$957,2,0),0)</f>
        <v>0</v>
      </c>
      <c r="C101" s="17">
        <f t="shared" si="27"/>
        <v>0</v>
      </c>
      <c r="D101" s="41">
        <v>10030044</v>
      </c>
      <c r="E101" s="122" t="str">
        <f>VLOOKUP(D101,'MPG Payment '!$E$3:$G$497305,2,0)</f>
        <v>Asarganj Chhotki Tola - Akash</v>
      </c>
      <c r="F101" s="146">
        <f>IFERROR(_xlfn.XLOOKUP(D101,'Monthly Deduction'!$I$3:$I$957,'Monthly Deduction'!$H$3:$H$957),0)</f>
        <v>0</v>
      </c>
      <c r="G101" s="123" t="str">
        <f>VLOOKUP(D101,'MPG Payment '!$E$3:$G$333666,3,0)</f>
        <v>vlc</v>
      </c>
      <c r="H101" s="124" t="str">
        <f>VLOOKUP(D101,'MPG Payment '!$E$3:$H$333666,4,0)</f>
        <v>Indirect</v>
      </c>
      <c r="I101" s="88">
        <f>INDEX('MPG Payment '!$C:$C,MATCH('Shayak Income '!D101,'MPG Payment '!E:E,0))</f>
        <v>1003</v>
      </c>
      <c r="J101" s="88" t="str">
        <f>INDEX('MPG Payment '!$D:$D,MATCH('Shayak Income '!D101,'MPG Payment '!E:E,0))</f>
        <v>Asarganj</v>
      </c>
      <c r="K101" s="125" t="s">
        <v>1594</v>
      </c>
      <c r="L101" s="125">
        <v>45212</v>
      </c>
      <c r="M101" s="126">
        <f>SUMIF('MPG Payment '!$E$3:$E$344841,'Shayak Income '!D101,'MPG Payment '!$I$3:$I$344841)</f>
        <v>41380.050000000003</v>
      </c>
      <c r="N101" s="126">
        <f>SUMIF('MPG Payment '!$E$3:$E$344841,'Shayak Income '!D101,'MPG Payment '!$J$3:$J$344841)</f>
        <v>1734327.7299999997</v>
      </c>
      <c r="O101" s="126">
        <f t="shared" si="28"/>
        <v>31035.037500000002</v>
      </c>
      <c r="P101" s="126">
        <f t="shared" si="29"/>
        <v>39311.047500000001</v>
      </c>
      <c r="Q101" s="126">
        <f>SUMIF('MPG Payment '!$E$3:$E$344841,'Shayak Income '!D101,'MPG Payment '!$S$3:$S$344841)</f>
        <v>0</v>
      </c>
      <c r="R101" s="126">
        <f t="shared" si="20"/>
        <v>52029.83189999999</v>
      </c>
      <c r="S101" s="126">
        <f t="shared" si="21"/>
        <v>12718.78439999999</v>
      </c>
      <c r="T101" s="126">
        <f t="shared" si="30"/>
        <v>4138.0050000000001</v>
      </c>
      <c r="U101" s="127">
        <f>((((((IF(K101="New",0,SUMIF('MPG Payment '!$E$3:$E$344841,'Shayak Income '!D101,'MPG Payment '!$AC$3:$AC$344841))))+0)+0)+0)+0)+0</f>
        <v>0</v>
      </c>
      <c r="V101" s="127">
        <f t="shared" si="31"/>
        <v>66208</v>
      </c>
      <c r="W101" s="19">
        <f t="shared" si="32"/>
        <v>0</v>
      </c>
      <c r="X101" s="19">
        <f t="shared" si="37"/>
        <v>0</v>
      </c>
      <c r="Y101" s="128">
        <f>IFERROR(VLOOKUP(D101,'Monthly Deduction'!$M$2:$N$640,2,0),0)</f>
        <v>0</v>
      </c>
      <c r="Z101" s="128">
        <v>0</v>
      </c>
      <c r="AA101" s="126">
        <f>IFERROR(VLOOKUP(D101,'Monthly Deduction'!A:B,2,0),0)</f>
        <v>0</v>
      </c>
      <c r="AB101" s="129">
        <f t="shared" si="22"/>
        <v>66208</v>
      </c>
      <c r="AC101" s="130">
        <v>0</v>
      </c>
      <c r="AD101" s="35">
        <f t="shared" si="34"/>
        <v>66208</v>
      </c>
      <c r="AE101" s="166" t="str">
        <f t="shared" si="35"/>
        <v>Release</v>
      </c>
      <c r="AF101" s="127"/>
      <c r="AG101" s="18">
        <v>0</v>
      </c>
      <c r="AH101" s="120"/>
      <c r="AI101" s="238">
        <v>0</v>
      </c>
      <c r="AJ101" s="132"/>
      <c r="AK101" s="151">
        <v>8823.5</v>
      </c>
      <c r="AL101" s="154">
        <f t="shared" si="23"/>
        <v>0</v>
      </c>
      <c r="AM101" s="155"/>
      <c r="AN101" s="19">
        <f t="shared" si="24"/>
        <v>0</v>
      </c>
      <c r="AO101" s="118">
        <f>SUMIF('MPG Payment '!E:E,'Shayak Income '!D101,'MPG Payment '!AJ:AJ)</f>
        <v>0</v>
      </c>
      <c r="AP101" s="19">
        <f t="shared" si="25"/>
        <v>0</v>
      </c>
      <c r="AQ101" s="119">
        <f t="shared" si="36"/>
        <v>0</v>
      </c>
      <c r="AR101" s="91"/>
      <c r="AS101" s="91">
        <f t="shared" si="26"/>
        <v>0</v>
      </c>
      <c r="AT101" s="118"/>
      <c r="AU101" s="118"/>
      <c r="AV101" s="118"/>
    </row>
    <row r="102" spans="1:48" s="20" customFormat="1" x14ac:dyDescent="0.25">
      <c r="A102" s="17">
        <f>IFERROR(VLOOKUP(D102,'Monthly Deduction'!$I$3:$J$957,2,0),0)</f>
        <v>0</v>
      </c>
      <c r="B102" s="17">
        <f>IFERROR(VLOOKUP(D102,'Monthly Deduction'!$E$3:$F$957,2,0),0)</f>
        <v>0</v>
      </c>
      <c r="C102" s="17">
        <f t="shared" si="27"/>
        <v>0</v>
      </c>
      <c r="D102" s="41">
        <v>10030045</v>
      </c>
      <c r="E102" s="122" t="str">
        <f>VLOOKUP(D102,'MPG Payment '!$E$3:$G$497305,2,0)</f>
        <v>Manikpur - Golu</v>
      </c>
      <c r="F102" s="146">
        <f>IFERROR(_xlfn.XLOOKUP(D102,'Monthly Deduction'!$I$3:$I$957,'Monthly Deduction'!$H$3:$H$957),0)</f>
        <v>0</v>
      </c>
      <c r="G102" s="123" t="str">
        <f>VLOOKUP(D102,'MPG Payment '!$E$3:$G$333666,3,0)</f>
        <v>vlc</v>
      </c>
      <c r="H102" s="124" t="str">
        <f>VLOOKUP(D102,'MPG Payment '!$E$3:$H$333666,4,0)</f>
        <v>Indirect</v>
      </c>
      <c r="I102" s="88">
        <f>INDEX('MPG Payment '!$C:$C,MATCH('Shayak Income '!D102,'MPG Payment '!E:E,0))</f>
        <v>1003</v>
      </c>
      <c r="J102" s="88" t="str">
        <f>INDEX('MPG Payment '!$D:$D,MATCH('Shayak Income '!D102,'MPG Payment '!E:E,0))</f>
        <v>Asarganj</v>
      </c>
      <c r="K102" s="125" t="s">
        <v>1594</v>
      </c>
      <c r="L102" s="125">
        <v>45212</v>
      </c>
      <c r="M102" s="126">
        <f>SUMIF('MPG Payment '!$E$3:$E$344841,'Shayak Income '!D102,'MPG Payment '!$I$3:$I$344841)</f>
        <v>2845</v>
      </c>
      <c r="N102" s="126">
        <f>SUMIF('MPG Payment '!$E$3:$E$344841,'Shayak Income '!D102,'MPG Payment '!$J$3:$J$344841)</f>
        <v>116681.35999999999</v>
      </c>
      <c r="O102" s="126">
        <f t="shared" si="28"/>
        <v>2133.75</v>
      </c>
      <c r="P102" s="126">
        <f t="shared" si="29"/>
        <v>2702.75</v>
      </c>
      <c r="Q102" s="126">
        <f>SUMIF('MPG Payment '!$E$3:$E$344841,'Shayak Income '!D102,'MPG Payment '!$S$3:$S$344841)</f>
        <v>0</v>
      </c>
      <c r="R102" s="126">
        <f t="shared" si="20"/>
        <v>3500.4407999999994</v>
      </c>
      <c r="S102" s="126">
        <f t="shared" si="21"/>
        <v>797.6907999999994</v>
      </c>
      <c r="T102" s="126">
        <f t="shared" si="30"/>
        <v>284.5</v>
      </c>
      <c r="U102" s="127">
        <f>((((((IF(K102="New",0,SUMIF('MPG Payment '!$E$3:$E$344841,'Shayak Income '!D102,'MPG Payment '!$AC$3:$AC$344841))))+0)+0)+0)+0)+0</f>
        <v>371.28096821134687</v>
      </c>
      <c r="V102" s="127">
        <f t="shared" si="31"/>
        <v>4181</v>
      </c>
      <c r="W102" s="19">
        <f t="shared" si="32"/>
        <v>0</v>
      </c>
      <c r="X102" s="19">
        <f t="shared" si="37"/>
        <v>0</v>
      </c>
      <c r="Y102" s="128">
        <f>IFERROR(VLOOKUP(D102,'Monthly Deduction'!$M$2:$N$640,2,0),0)</f>
        <v>0</v>
      </c>
      <c r="Z102" s="128">
        <v>0</v>
      </c>
      <c r="AA102" s="126">
        <f>IFERROR(VLOOKUP(D102,'Monthly Deduction'!A:B,2,0),0)</f>
        <v>0</v>
      </c>
      <c r="AB102" s="129">
        <f t="shared" si="22"/>
        <v>4181</v>
      </c>
      <c r="AC102" s="130">
        <v>0</v>
      </c>
      <c r="AD102" s="35">
        <f t="shared" si="34"/>
        <v>4181</v>
      </c>
      <c r="AE102" s="166" t="str">
        <f t="shared" si="35"/>
        <v>Release</v>
      </c>
      <c r="AF102" s="127"/>
      <c r="AG102" s="18">
        <v>0</v>
      </c>
      <c r="AH102" s="132"/>
      <c r="AI102" s="238">
        <v>0</v>
      </c>
      <c r="AJ102" s="132"/>
      <c r="AK102" s="151">
        <v>795.99999999999989</v>
      </c>
      <c r="AL102" s="154">
        <f t="shared" si="23"/>
        <v>0</v>
      </c>
      <c r="AM102" s="155"/>
      <c r="AN102" s="19">
        <f t="shared" si="24"/>
        <v>0</v>
      </c>
      <c r="AO102" s="118">
        <f>SUMIF('MPG Payment '!E:E,'Shayak Income '!D102,'MPG Payment '!AJ:AJ)</f>
        <v>0</v>
      </c>
      <c r="AP102" s="19">
        <f t="shared" si="25"/>
        <v>0</v>
      </c>
      <c r="AQ102" s="119">
        <f t="shared" si="36"/>
        <v>0</v>
      </c>
      <c r="AR102" s="91"/>
      <c r="AS102" s="91">
        <f t="shared" si="26"/>
        <v>0</v>
      </c>
      <c r="AT102" s="118"/>
      <c r="AU102" s="118"/>
      <c r="AV102" s="118"/>
    </row>
    <row r="103" spans="1:48" s="20" customFormat="1" x14ac:dyDescent="0.25">
      <c r="A103" s="17">
        <f>IFERROR(VLOOKUP(D103,'Monthly Deduction'!$I$3:$J$957,2,0),0)</f>
        <v>0</v>
      </c>
      <c r="B103" s="17">
        <f>IFERROR(VLOOKUP(D103,'Monthly Deduction'!$E$3:$F$957,2,0),0)</f>
        <v>0</v>
      </c>
      <c r="C103" s="17">
        <f t="shared" si="27"/>
        <v>0</v>
      </c>
      <c r="D103" s="41">
        <v>10030046</v>
      </c>
      <c r="E103" s="122" t="str">
        <f>VLOOKUP(D103,'MPG Payment '!$E$3:$G$497305,2,0)</f>
        <v>Rangaon - Jayram</v>
      </c>
      <c r="F103" s="146">
        <f>IFERROR(_xlfn.XLOOKUP(D103,'Monthly Deduction'!$I$3:$I$957,'Monthly Deduction'!$H$3:$H$957),0)</f>
        <v>0</v>
      </c>
      <c r="G103" s="123" t="str">
        <f>VLOOKUP(D103,'MPG Payment '!$E$3:$G$333666,3,0)</f>
        <v>vlc</v>
      </c>
      <c r="H103" s="124" t="str">
        <f>VLOOKUP(D103,'MPG Payment '!$E$3:$H$333666,4,0)</f>
        <v>Indirect</v>
      </c>
      <c r="I103" s="88">
        <f>INDEX('MPG Payment '!$C:$C,MATCH('Shayak Income '!D103,'MPG Payment '!E:E,0))</f>
        <v>1003</v>
      </c>
      <c r="J103" s="88" t="str">
        <f>INDEX('MPG Payment '!$D:$D,MATCH('Shayak Income '!D103,'MPG Payment '!E:E,0))</f>
        <v>Asarganj</v>
      </c>
      <c r="K103" s="125" t="s">
        <v>1594</v>
      </c>
      <c r="L103" s="125">
        <v>45212</v>
      </c>
      <c r="M103" s="126">
        <f>SUMIF('MPG Payment '!$E$3:$E$344841,'Shayak Income '!D103,'MPG Payment '!$I$3:$I$344841)</f>
        <v>2178</v>
      </c>
      <c r="N103" s="126">
        <f>SUMIF('MPG Payment '!$E$3:$E$344841,'Shayak Income '!D103,'MPG Payment '!$J$3:$J$344841)</f>
        <v>90479.73</v>
      </c>
      <c r="O103" s="126">
        <f t="shared" si="28"/>
        <v>1633.5</v>
      </c>
      <c r="P103" s="126">
        <f t="shared" si="29"/>
        <v>2069.1</v>
      </c>
      <c r="Q103" s="126">
        <f>SUMIF('MPG Payment '!$E$3:$E$344841,'Shayak Income '!D103,'MPG Payment '!$S$3:$S$344841)</f>
        <v>0</v>
      </c>
      <c r="R103" s="126">
        <f t="shared" si="20"/>
        <v>2714.3918999999996</v>
      </c>
      <c r="S103" s="126">
        <f t="shared" si="21"/>
        <v>645.29189999999971</v>
      </c>
      <c r="T103" s="126">
        <f t="shared" si="30"/>
        <v>217.8</v>
      </c>
      <c r="U103" s="127">
        <f>((((((IF(K103="New",0,SUMIF('MPG Payment '!$E$3:$E$344841,'Shayak Income '!D103,'MPG Payment '!$AC$3:$AC$344841))))+0)+0)+0)+0)+0</f>
        <v>636.05697362774106</v>
      </c>
      <c r="V103" s="127">
        <f t="shared" si="31"/>
        <v>2849</v>
      </c>
      <c r="W103" s="19">
        <f t="shared" si="32"/>
        <v>0</v>
      </c>
      <c r="X103" s="19">
        <f t="shared" si="37"/>
        <v>0</v>
      </c>
      <c r="Y103" s="128">
        <f>IFERROR(VLOOKUP(D103,'Monthly Deduction'!$M$2:$N$640,2,0),0)</f>
        <v>0</v>
      </c>
      <c r="Z103" s="128">
        <v>0</v>
      </c>
      <c r="AA103" s="126">
        <f>IFERROR(VLOOKUP(D103,'Monthly Deduction'!A:B,2,0),0)</f>
        <v>0</v>
      </c>
      <c r="AB103" s="129">
        <f t="shared" si="22"/>
        <v>2849</v>
      </c>
      <c r="AC103" s="130">
        <v>0</v>
      </c>
      <c r="AD103" s="35">
        <f t="shared" si="34"/>
        <v>2849</v>
      </c>
      <c r="AE103" s="166" t="str">
        <f t="shared" si="35"/>
        <v>Release</v>
      </c>
      <c r="AF103" s="127"/>
      <c r="AG103" s="18">
        <v>0</v>
      </c>
      <c r="AH103" s="132"/>
      <c r="AI103" s="238">
        <v>0</v>
      </c>
      <c r="AJ103" s="132"/>
      <c r="AK103" s="151">
        <v>503.6</v>
      </c>
      <c r="AL103" s="154">
        <f t="shared" si="23"/>
        <v>0</v>
      </c>
      <c r="AM103" s="155"/>
      <c r="AN103" s="19">
        <f t="shared" si="24"/>
        <v>0</v>
      </c>
      <c r="AO103" s="118">
        <f>SUMIF('MPG Payment '!E:E,'Shayak Income '!D103,'MPG Payment '!AJ:AJ)</f>
        <v>0</v>
      </c>
      <c r="AP103" s="19">
        <f t="shared" si="25"/>
        <v>0</v>
      </c>
      <c r="AQ103" s="119">
        <f t="shared" si="36"/>
        <v>0</v>
      </c>
      <c r="AR103" s="91"/>
      <c r="AS103" s="91">
        <f t="shared" si="26"/>
        <v>0</v>
      </c>
      <c r="AT103" s="118"/>
      <c r="AU103" s="118"/>
      <c r="AV103" s="118"/>
    </row>
    <row r="104" spans="1:48" s="20" customFormat="1" x14ac:dyDescent="0.25">
      <c r="A104" s="17">
        <f>IFERROR(VLOOKUP(D104,'Monthly Deduction'!$I$3:$J$957,2,0),0)</f>
        <v>0</v>
      </c>
      <c r="B104" s="17">
        <f>IFERROR(VLOOKUP(D104,'Monthly Deduction'!$E$3:$F$957,2,0),0)</f>
        <v>0</v>
      </c>
      <c r="C104" s="17">
        <f t="shared" si="27"/>
        <v>0</v>
      </c>
      <c r="D104" s="41">
        <v>10030047</v>
      </c>
      <c r="E104" s="122" t="str">
        <f>VLOOKUP(D104,'MPG Payment '!$E$3:$G$497305,2,0)</f>
        <v>Karso - Aparajita</v>
      </c>
      <c r="F104" s="146">
        <f>IFERROR(_xlfn.XLOOKUP(D104,'Monthly Deduction'!$I$3:$I$957,'Monthly Deduction'!$H$3:$H$957),0)</f>
        <v>0</v>
      </c>
      <c r="G104" s="123" t="str">
        <f>VLOOKUP(D104,'MPG Payment '!$E$3:$G$333666,3,0)</f>
        <v>VLC</v>
      </c>
      <c r="H104" s="124" t="str">
        <f>VLOOKUP(D104,'MPG Payment '!$E$3:$H$333666,4,0)</f>
        <v>Indirect</v>
      </c>
      <c r="I104" s="88">
        <f>INDEX('MPG Payment '!$C:$C,MATCH('Shayak Income '!D104,'MPG Payment '!E:E,0))</f>
        <v>1003</v>
      </c>
      <c r="J104" s="88" t="str">
        <f>INDEX('MPG Payment '!$D:$D,MATCH('Shayak Income '!D104,'MPG Payment '!E:E,0))</f>
        <v>Asarganj</v>
      </c>
      <c r="K104" s="125" t="s">
        <v>1594</v>
      </c>
      <c r="L104" s="125">
        <v>45212</v>
      </c>
      <c r="M104" s="126">
        <f>SUMIF('MPG Payment '!$E$3:$E$344841,'Shayak Income '!D104,'MPG Payment '!$I$3:$I$344841)</f>
        <v>1957.7</v>
      </c>
      <c r="N104" s="126">
        <f>SUMIF('MPG Payment '!$E$3:$E$344841,'Shayak Income '!D104,'MPG Payment '!$J$3:$J$344841)</f>
        <v>81694.19</v>
      </c>
      <c r="O104" s="126">
        <f t="shared" si="28"/>
        <v>1468.2750000000001</v>
      </c>
      <c r="P104" s="126">
        <f t="shared" si="29"/>
        <v>1859.8150000000001</v>
      </c>
      <c r="Q104" s="126">
        <f>SUMIF('MPG Payment '!$E$3:$E$344841,'Shayak Income '!D104,'MPG Payment '!$S$3:$S$344841)</f>
        <v>0</v>
      </c>
      <c r="R104" s="126">
        <f t="shared" si="20"/>
        <v>2450.8256999999999</v>
      </c>
      <c r="S104" s="126">
        <f t="shared" si="21"/>
        <v>591.01069999999982</v>
      </c>
      <c r="T104" s="126">
        <f t="shared" si="30"/>
        <v>195.77</v>
      </c>
      <c r="U104" s="127">
        <f>((((((IF(K104="New",0,SUMIF('MPG Payment '!$E$3:$E$344841,'Shayak Income '!D104,'MPG Payment '!$AC$3:$AC$344841))))+0)+0)+0)+0)+0</f>
        <v>163.62991433083295</v>
      </c>
      <c r="V104" s="127">
        <f t="shared" si="31"/>
        <v>2969</v>
      </c>
      <c r="W104" s="19">
        <f t="shared" si="32"/>
        <v>0</v>
      </c>
      <c r="X104" s="19">
        <f t="shared" si="37"/>
        <v>0</v>
      </c>
      <c r="Y104" s="128">
        <f>IFERROR(VLOOKUP(D104,'Monthly Deduction'!$M$2:$N$640,2,0),0)</f>
        <v>0</v>
      </c>
      <c r="Z104" s="128">
        <v>0</v>
      </c>
      <c r="AA104" s="126">
        <f>IFERROR(VLOOKUP(D104,'Monthly Deduction'!A:B,2,0),0)</f>
        <v>0</v>
      </c>
      <c r="AB104" s="129">
        <f t="shared" si="22"/>
        <v>2969</v>
      </c>
      <c r="AC104" s="130">
        <v>0</v>
      </c>
      <c r="AD104" s="35">
        <f t="shared" si="34"/>
        <v>2969</v>
      </c>
      <c r="AE104" s="166" t="str">
        <f t="shared" si="35"/>
        <v>Release</v>
      </c>
      <c r="AF104" s="127"/>
      <c r="AG104" s="18">
        <v>0</v>
      </c>
      <c r="AH104" s="215"/>
      <c r="AI104" s="238">
        <v>0</v>
      </c>
      <c r="AJ104" s="132"/>
      <c r="AK104" s="151">
        <v>503.6</v>
      </c>
      <c r="AL104" s="154">
        <f t="shared" si="23"/>
        <v>0</v>
      </c>
      <c r="AM104" s="155"/>
      <c r="AN104" s="19">
        <f t="shared" si="24"/>
        <v>0</v>
      </c>
      <c r="AO104" s="118">
        <f>SUMIF('MPG Payment '!E:E,'Shayak Income '!D104,'MPG Payment '!AJ:AJ)</f>
        <v>0</v>
      </c>
      <c r="AP104" s="19">
        <f t="shared" si="25"/>
        <v>0</v>
      </c>
      <c r="AQ104" s="119">
        <f t="shared" si="36"/>
        <v>0</v>
      </c>
      <c r="AR104" s="91"/>
      <c r="AS104" s="91">
        <f t="shared" si="26"/>
        <v>0</v>
      </c>
      <c r="AT104" s="118"/>
      <c r="AU104" s="118"/>
      <c r="AV104" s="118"/>
    </row>
    <row r="105" spans="1:48" s="20" customFormat="1" x14ac:dyDescent="0.25">
      <c r="A105" s="17">
        <f>IFERROR(VLOOKUP(D105,'Monthly Deduction'!$I$3:$J$957,2,0),0)</f>
        <v>0</v>
      </c>
      <c r="B105" s="17">
        <f>IFERROR(VLOOKUP(D105,'Monthly Deduction'!$E$3:$F$957,2,0),0)</f>
        <v>0</v>
      </c>
      <c r="C105" s="17">
        <f t="shared" si="27"/>
        <v>0</v>
      </c>
      <c r="D105" s="41">
        <v>10030048</v>
      </c>
      <c r="E105" s="122" t="str">
        <f>VLOOKUP(D105,'MPG Payment '!$E$3:$G$497305,2,0)</f>
        <v>Unchagaon - Niraj</v>
      </c>
      <c r="F105" s="146">
        <f>IFERROR(_xlfn.XLOOKUP(D105,'Monthly Deduction'!$I$3:$I$957,'Monthly Deduction'!$H$3:$H$957),0)</f>
        <v>0</v>
      </c>
      <c r="G105" s="123" t="str">
        <f>VLOOKUP(D105,'MPG Payment '!$E$3:$G$333666,3,0)</f>
        <v>VLC</v>
      </c>
      <c r="H105" s="124" t="str">
        <f>VLOOKUP(D105,'MPG Payment '!$E$3:$H$333666,4,0)</f>
        <v>Indirect</v>
      </c>
      <c r="I105" s="88">
        <f>INDEX('MPG Payment '!$C:$C,MATCH('Shayak Income '!D105,'MPG Payment '!E:E,0))</f>
        <v>1003</v>
      </c>
      <c r="J105" s="88" t="str">
        <f>INDEX('MPG Payment '!$D:$D,MATCH('Shayak Income '!D105,'MPG Payment '!E:E,0))</f>
        <v>Asarganj</v>
      </c>
      <c r="K105" s="125" t="s">
        <v>1594</v>
      </c>
      <c r="L105" s="125">
        <v>45212</v>
      </c>
      <c r="M105" s="126">
        <f>SUMIF('MPG Payment '!$E$3:$E$344841,'Shayak Income '!D105,'MPG Payment '!$I$3:$I$344841)</f>
        <v>1957.7</v>
      </c>
      <c r="N105" s="126">
        <f>SUMIF('MPG Payment '!$E$3:$E$344841,'Shayak Income '!D105,'MPG Payment '!$J$3:$J$344841)</f>
        <v>81694.19</v>
      </c>
      <c r="O105" s="126">
        <f t="shared" si="28"/>
        <v>1468.2750000000001</v>
      </c>
      <c r="P105" s="126">
        <f t="shared" si="29"/>
        <v>1859.8150000000001</v>
      </c>
      <c r="Q105" s="126">
        <f>SUMIF('MPG Payment '!$E$3:$E$344841,'Shayak Income '!D105,'MPG Payment '!$S$3:$S$344841)</f>
        <v>0</v>
      </c>
      <c r="R105" s="126">
        <f t="shared" si="20"/>
        <v>2450.8256999999999</v>
      </c>
      <c r="S105" s="126">
        <f t="shared" si="21"/>
        <v>591.01069999999982</v>
      </c>
      <c r="T105" s="126">
        <f t="shared" si="30"/>
        <v>195.77</v>
      </c>
      <c r="U105" s="127">
        <f>((((((IF(K105="New",0,SUMIF('MPG Payment '!$E$3:$E$344841,'Shayak Income '!D105,'MPG Payment '!$AC$3:$AC$344841))))+0)+0)+0)+0)+0</f>
        <v>163.62991433083295</v>
      </c>
      <c r="V105" s="127">
        <f t="shared" si="31"/>
        <v>2969</v>
      </c>
      <c r="W105" s="19">
        <f t="shared" si="32"/>
        <v>0</v>
      </c>
      <c r="X105" s="19">
        <f t="shared" si="37"/>
        <v>0</v>
      </c>
      <c r="Y105" s="128">
        <f>IFERROR(VLOOKUP(D105,'Monthly Deduction'!$M$2:$N$640,2,0),0)</f>
        <v>0</v>
      </c>
      <c r="Z105" s="128">
        <v>0</v>
      </c>
      <c r="AA105" s="126">
        <f>IFERROR(VLOOKUP(D105,'Monthly Deduction'!A:B,2,0),0)</f>
        <v>0</v>
      </c>
      <c r="AB105" s="129">
        <f t="shared" si="22"/>
        <v>2969</v>
      </c>
      <c r="AC105" s="130">
        <v>0</v>
      </c>
      <c r="AD105" s="35">
        <f t="shared" si="34"/>
        <v>2969</v>
      </c>
      <c r="AE105" s="166" t="str">
        <f t="shared" si="35"/>
        <v>Release</v>
      </c>
      <c r="AF105" s="127"/>
      <c r="AG105" s="18">
        <v>0</v>
      </c>
      <c r="AH105" s="120"/>
      <c r="AI105" s="238">
        <v>0</v>
      </c>
      <c r="AJ105" s="132"/>
      <c r="AK105" s="151">
        <v>503.6</v>
      </c>
      <c r="AL105" s="154">
        <f t="shared" si="23"/>
        <v>0</v>
      </c>
      <c r="AM105" s="155"/>
      <c r="AN105" s="19">
        <f t="shared" si="24"/>
        <v>0</v>
      </c>
      <c r="AO105" s="118">
        <f>SUMIF('MPG Payment '!E:E,'Shayak Income '!D105,'MPG Payment '!AJ:AJ)</f>
        <v>0</v>
      </c>
      <c r="AP105" s="19">
        <f t="shared" si="25"/>
        <v>0</v>
      </c>
      <c r="AQ105" s="119">
        <f t="shared" si="36"/>
        <v>0</v>
      </c>
      <c r="AR105" s="91" t="s">
        <v>1144</v>
      </c>
      <c r="AS105" s="91">
        <f t="shared" si="26"/>
        <v>0</v>
      </c>
      <c r="AT105" s="118"/>
      <c r="AU105" s="118"/>
      <c r="AV105" s="118"/>
    </row>
    <row r="106" spans="1:48" s="20" customFormat="1" x14ac:dyDescent="0.25">
      <c r="A106" s="17">
        <f>IFERROR(VLOOKUP(D106,'Monthly Deduction'!$I$3:$J$957,2,0),0)</f>
        <v>12439.167585386545</v>
      </c>
      <c r="B106" s="17">
        <f>IFERROR(VLOOKUP(D106,'Monthly Deduction'!$E$3:$F$957,2,0),0)</f>
        <v>19200</v>
      </c>
      <c r="C106" s="17">
        <f t="shared" si="27"/>
        <v>31639.167585386545</v>
      </c>
      <c r="D106" s="41">
        <v>10030050</v>
      </c>
      <c r="E106" s="122" t="str">
        <f>VLOOKUP(D106,'MPG Payment '!$E$3:$G$497305,2,0)</f>
        <v>PAIN</v>
      </c>
      <c r="F106" s="146">
        <f>IFERROR(_xlfn.XLOOKUP(D106,'Monthly Deduction'!$I$3:$I$957,'Monthly Deduction'!$H$3:$H$957),0)</f>
        <v>0</v>
      </c>
      <c r="G106" s="123" t="str">
        <f>VLOOKUP(D106,'MPG Payment '!$E$3:$G$333666,3,0)</f>
        <v>MPG</v>
      </c>
      <c r="H106" s="124" t="str">
        <f>VLOOKUP(D106,'MPG Payment '!$E$3:$H$333666,4,0)</f>
        <v>Direct</v>
      </c>
      <c r="I106" s="88">
        <f>INDEX('MPG Payment '!$C:$C,MATCH('Shayak Income '!D106,'MPG Payment '!E:E,0))</f>
        <v>1003</v>
      </c>
      <c r="J106" s="88" t="str">
        <f>INDEX('MPG Payment '!$D:$D,MATCH('Shayak Income '!D106,'MPG Payment '!E:E,0))</f>
        <v>Asarganj</v>
      </c>
      <c r="K106" s="125" t="s">
        <v>1594</v>
      </c>
      <c r="L106" s="125">
        <v>45236</v>
      </c>
      <c r="M106" s="126">
        <f>SUMIF('MPG Payment '!$E$3:$E$344841,'Shayak Income '!D106,'MPG Payment '!$I$3:$I$344841)</f>
        <v>2557.3000000000002</v>
      </c>
      <c r="N106" s="126">
        <f>SUMIF('MPG Payment '!$E$3:$E$344841,'Shayak Income '!D106,'MPG Payment '!$J$3:$J$344841)</f>
        <v>92619.7</v>
      </c>
      <c r="O106" s="126">
        <f t="shared" si="28"/>
        <v>1917.9750000000001</v>
      </c>
      <c r="P106" s="126">
        <f t="shared" si="29"/>
        <v>2429.4349999999999</v>
      </c>
      <c r="Q106" s="126">
        <f>SUMIF('MPG Payment '!$E$3:$E$344841,'Shayak Income '!D106,'MPG Payment '!$S$3:$S$344841)</f>
        <v>436.04</v>
      </c>
      <c r="R106" s="126">
        <f t="shared" si="20"/>
        <v>2778.5909999999999</v>
      </c>
      <c r="S106" s="126">
        <f t="shared" si="21"/>
        <v>349.15599999999995</v>
      </c>
      <c r="T106" s="126">
        <f t="shared" si="30"/>
        <v>255.73000000000002</v>
      </c>
      <c r="U106" s="127">
        <f>((((((IF(K106="New",0,SUMIF('MPG Payment '!$E$3:$E$344841,'Shayak Income '!D106,'MPG Payment '!$AC$3:$AC$344841))))+0)+0)+0)+0)+0</f>
        <v>183.96476675639155</v>
      </c>
      <c r="V106" s="127">
        <f t="shared" si="31"/>
        <v>4344</v>
      </c>
      <c r="W106" s="19">
        <f t="shared" si="32"/>
        <v>1861</v>
      </c>
      <c r="X106" s="19">
        <v>0</v>
      </c>
      <c r="Y106" s="128">
        <f>IFERROR(VLOOKUP(D106,'Monthly Deduction'!$M$2:$N$640,2,0),0)</f>
        <v>0</v>
      </c>
      <c r="Z106" s="128">
        <v>0</v>
      </c>
      <c r="AA106" s="126">
        <f>IFERROR(VLOOKUP(D106,'Monthly Deduction'!A:B,2,0),0)</f>
        <v>0</v>
      </c>
      <c r="AB106" s="129">
        <f t="shared" si="22"/>
        <v>2483</v>
      </c>
      <c r="AC106" s="130">
        <v>0</v>
      </c>
      <c r="AD106" s="35">
        <f t="shared" si="34"/>
        <v>2483</v>
      </c>
      <c r="AE106" s="166" t="str">
        <f t="shared" si="35"/>
        <v>Release</v>
      </c>
      <c r="AF106" s="127"/>
      <c r="AG106" s="18">
        <v>0</v>
      </c>
      <c r="AH106" s="120"/>
      <c r="AI106" s="238">
        <v>0</v>
      </c>
      <c r="AJ106" s="132"/>
      <c r="AK106" s="151">
        <v>524.55000000000007</v>
      </c>
      <c r="AL106" s="154">
        <f t="shared" si="23"/>
        <v>0</v>
      </c>
      <c r="AM106" s="155"/>
      <c r="AN106" s="19">
        <f t="shared" si="24"/>
        <v>1861</v>
      </c>
      <c r="AO106" s="118">
        <f>SUMIF('MPG Payment '!E:E,'Shayak Income '!D106,'MPG Payment '!AJ:AJ)</f>
        <v>0</v>
      </c>
      <c r="AP106" s="19">
        <f t="shared" si="25"/>
        <v>1861</v>
      </c>
      <c r="AQ106" s="119">
        <f t="shared" si="36"/>
        <v>1861</v>
      </c>
      <c r="AR106" s="91" t="s">
        <v>1144</v>
      </c>
      <c r="AS106" s="91">
        <f t="shared" si="26"/>
        <v>19200</v>
      </c>
      <c r="AT106" s="118"/>
      <c r="AU106" s="118"/>
      <c r="AV106" s="118"/>
    </row>
    <row r="107" spans="1:48" s="20" customFormat="1" x14ac:dyDescent="0.25">
      <c r="A107" s="17">
        <f>IFERROR(VLOOKUP(D107,'Monthly Deduction'!$I$3:$J$957,2,0),0)</f>
        <v>0</v>
      </c>
      <c r="B107" s="17">
        <f>IFERROR(VLOOKUP(D107,'Monthly Deduction'!$E$3:$F$957,2,0),0)</f>
        <v>0</v>
      </c>
      <c r="C107" s="17">
        <f t="shared" si="27"/>
        <v>0</v>
      </c>
      <c r="D107" s="41">
        <v>10030051</v>
      </c>
      <c r="E107" s="122" t="str">
        <f>VLOOKUP(D107,'MPG Payment '!$E$3:$G$497305,2,0)</f>
        <v>MOTICHAK</v>
      </c>
      <c r="F107" s="146">
        <f>IFERROR(_xlfn.XLOOKUP(D107,'Monthly Deduction'!$I$3:$I$957,'Monthly Deduction'!$H$3:$H$957),0)</f>
        <v>0</v>
      </c>
      <c r="G107" s="123" t="str">
        <f>VLOOKUP(D107,'MPG Payment '!$E$3:$G$333666,3,0)</f>
        <v>MPG</v>
      </c>
      <c r="H107" s="124" t="str">
        <f>VLOOKUP(D107,'MPG Payment '!$E$3:$H$333666,4,0)</f>
        <v>Direct</v>
      </c>
      <c r="I107" s="88">
        <f>INDEX('MPG Payment '!$C:$C,MATCH('Shayak Income '!D107,'MPG Payment '!E:E,0))</f>
        <v>1003</v>
      </c>
      <c r="J107" s="88" t="str">
        <f>INDEX('MPG Payment '!$D:$D,MATCH('Shayak Income '!D107,'MPG Payment '!E:E,0))</f>
        <v>Asarganj</v>
      </c>
      <c r="K107" s="125" t="s">
        <v>1594</v>
      </c>
      <c r="L107" s="125">
        <v>45236</v>
      </c>
      <c r="M107" s="126">
        <f>SUMIF('MPG Payment '!$E$3:$E$344841,'Shayak Income '!D107,'MPG Payment '!$I$3:$I$344841)</f>
        <v>15186.7</v>
      </c>
      <c r="N107" s="126">
        <f>SUMIF('MPG Payment '!$E$3:$E$344841,'Shayak Income '!D107,'MPG Payment '!$J$3:$J$344841)</f>
        <v>569166.45000000007</v>
      </c>
      <c r="O107" s="126">
        <f t="shared" si="28"/>
        <v>11390.025000000001</v>
      </c>
      <c r="P107" s="126">
        <f t="shared" si="29"/>
        <v>14427.365</v>
      </c>
      <c r="Q107" s="126">
        <f>SUMIF('MPG Payment '!$E$3:$E$344841,'Shayak Income '!D107,'MPG Payment '!$S$3:$S$344841)</f>
        <v>10695.140000000001</v>
      </c>
      <c r="R107" s="126">
        <f t="shared" si="20"/>
        <v>17074.9935</v>
      </c>
      <c r="S107" s="126">
        <f t="shared" si="21"/>
        <v>2647.6285000000007</v>
      </c>
      <c r="T107" s="126">
        <f t="shared" si="30"/>
        <v>1518.67</v>
      </c>
      <c r="U107" s="127">
        <f>((((((IF(K107="New",0,SUMIF('MPG Payment '!$E$3:$E$344841,'Shayak Income '!D107,'MPG Payment '!$AC$3:$AC$344841))))+0)+0)+0)+0)+0</f>
        <v>0</v>
      </c>
      <c r="V107" s="127">
        <f t="shared" si="31"/>
        <v>34994</v>
      </c>
      <c r="W107" s="19">
        <f t="shared" si="32"/>
        <v>0</v>
      </c>
      <c r="X107" s="19">
        <f t="shared" si="37"/>
        <v>0</v>
      </c>
      <c r="Y107" s="128">
        <f>IFERROR(VLOOKUP(D107,'Monthly Deduction'!$M$2:$N$640,2,0),0)</f>
        <v>0</v>
      </c>
      <c r="Z107" s="128">
        <v>0</v>
      </c>
      <c r="AA107" s="126">
        <f>IFERROR(VLOOKUP(D107,'Monthly Deduction'!A:B,2,0),0)</f>
        <v>0</v>
      </c>
      <c r="AB107" s="129">
        <f t="shared" si="22"/>
        <v>34994</v>
      </c>
      <c r="AC107" s="130">
        <v>0</v>
      </c>
      <c r="AD107" s="35">
        <f t="shared" si="34"/>
        <v>34994</v>
      </c>
      <c r="AE107" s="166" t="str">
        <f t="shared" si="35"/>
        <v>Release</v>
      </c>
      <c r="AF107" s="127"/>
      <c r="AG107" s="18">
        <v>0</v>
      </c>
      <c r="AH107" s="120"/>
      <c r="AI107" s="238">
        <v>0</v>
      </c>
      <c r="AJ107" s="132"/>
      <c r="AK107" s="151">
        <v>3907</v>
      </c>
      <c r="AL107" s="154">
        <f t="shared" si="23"/>
        <v>0</v>
      </c>
      <c r="AM107" s="155"/>
      <c r="AN107" s="19">
        <f t="shared" si="24"/>
        <v>0</v>
      </c>
      <c r="AO107" s="118">
        <f>SUMIF('MPG Payment '!E:E,'Shayak Income '!D107,'MPG Payment '!AJ:AJ)</f>
        <v>0</v>
      </c>
      <c r="AP107" s="19">
        <f t="shared" si="25"/>
        <v>0</v>
      </c>
      <c r="AQ107" s="119">
        <f t="shared" si="36"/>
        <v>0</v>
      </c>
      <c r="AR107" s="91" t="s">
        <v>1144</v>
      </c>
      <c r="AS107" s="91">
        <f t="shared" si="26"/>
        <v>0</v>
      </c>
      <c r="AT107" s="118"/>
      <c r="AU107" s="118"/>
      <c r="AV107" s="118"/>
    </row>
    <row r="108" spans="1:48" s="20" customFormat="1" x14ac:dyDescent="0.25">
      <c r="A108" s="17">
        <f>IFERROR(VLOOKUP(D108,'Monthly Deduction'!$I$3:$J$957,2,0),0)</f>
        <v>31787.591486946869</v>
      </c>
      <c r="B108" s="17">
        <f>IFERROR(VLOOKUP(D108,'Monthly Deduction'!$E$3:$F$957,2,0),0)</f>
        <v>12800</v>
      </c>
      <c r="C108" s="17">
        <f t="shared" si="27"/>
        <v>44587.591486946869</v>
      </c>
      <c r="D108" s="41">
        <v>10030053</v>
      </c>
      <c r="E108" s="122" t="str">
        <f>VLOOKUP(D108,'MPG Payment '!$E$3:$G$497305,2,0)</f>
        <v>MIRATTHI</v>
      </c>
      <c r="F108" s="146">
        <f>IFERROR(_xlfn.XLOOKUP(D108,'Monthly Deduction'!$I$3:$I$957,'Monthly Deduction'!$H$3:$H$957),0)</f>
        <v>0</v>
      </c>
      <c r="G108" s="123" t="str">
        <f>VLOOKUP(D108,'MPG Payment '!$E$3:$G$333666,3,0)</f>
        <v>MPG</v>
      </c>
      <c r="H108" s="124" t="str">
        <f>VLOOKUP(D108,'MPG Payment '!$E$3:$H$333666,4,0)</f>
        <v>Direct</v>
      </c>
      <c r="I108" s="88">
        <f>INDEX('MPG Payment '!$C:$C,MATCH('Shayak Income '!D108,'MPG Payment '!E:E,0))</f>
        <v>1003</v>
      </c>
      <c r="J108" s="88" t="str">
        <f>INDEX('MPG Payment '!$D:$D,MATCH('Shayak Income '!D108,'MPG Payment '!E:E,0))</f>
        <v>Asarganj</v>
      </c>
      <c r="K108" s="125" t="s">
        <v>1594</v>
      </c>
      <c r="L108" s="125">
        <v>45236</v>
      </c>
      <c r="M108" s="126">
        <f>SUMIF('MPG Payment '!$E$3:$E$344841,'Shayak Income '!D108,'MPG Payment '!$I$3:$I$344841)</f>
        <v>1097.8500000000001</v>
      </c>
      <c r="N108" s="126">
        <f>SUMIF('MPG Payment '!$E$3:$E$344841,'Shayak Income '!D108,'MPG Payment '!$J$3:$J$344841)</f>
        <v>44176.639999999999</v>
      </c>
      <c r="O108" s="126">
        <f t="shared" si="28"/>
        <v>823.38750000000005</v>
      </c>
      <c r="P108" s="126">
        <f t="shared" si="29"/>
        <v>1042.9575</v>
      </c>
      <c r="Q108" s="126">
        <f>SUMIF('MPG Payment '!$E$3:$E$344841,'Shayak Income '!D108,'MPG Payment '!$S$3:$S$344841)</f>
        <v>371.64</v>
      </c>
      <c r="R108" s="126">
        <f t="shared" si="20"/>
        <v>1325.2991999999999</v>
      </c>
      <c r="S108" s="126">
        <f t="shared" si="21"/>
        <v>282.34169999999995</v>
      </c>
      <c r="T108" s="126">
        <f t="shared" si="30"/>
        <v>109.78500000000003</v>
      </c>
      <c r="U108" s="127">
        <f>((((((IF(K108="New",0,SUMIF('MPG Payment '!$E$3:$E$344841,'Shayak Income '!D108,'MPG Payment '!$AC$3:$AC$344841))))+0)+0)+0)+0)+0</f>
        <v>1367.2011689082547</v>
      </c>
      <c r="V108" s="127">
        <f t="shared" si="31"/>
        <v>761</v>
      </c>
      <c r="W108" s="19">
        <v>761</v>
      </c>
      <c r="X108" s="19">
        <v>0</v>
      </c>
      <c r="Y108" s="128">
        <v>0</v>
      </c>
      <c r="Z108" s="128">
        <v>0</v>
      </c>
      <c r="AA108" s="126">
        <f>IFERROR(VLOOKUP(D108,'Monthly Deduction'!A:B,2,0),0)</f>
        <v>0</v>
      </c>
      <c r="AB108" s="129">
        <f t="shared" si="22"/>
        <v>0</v>
      </c>
      <c r="AC108" s="130">
        <v>0</v>
      </c>
      <c r="AD108" s="35">
        <f t="shared" si="34"/>
        <v>0</v>
      </c>
      <c r="AE108" s="166" t="str">
        <f t="shared" si="35"/>
        <v>Release</v>
      </c>
      <c r="AF108" s="127"/>
      <c r="AG108" s="18">
        <v>0</v>
      </c>
      <c r="AH108" s="132"/>
      <c r="AI108" s="238">
        <v>0</v>
      </c>
      <c r="AJ108" s="132"/>
      <c r="AK108" s="151">
        <v>226.34999999999997</v>
      </c>
      <c r="AL108" s="154">
        <f t="shared" si="23"/>
        <v>0</v>
      </c>
      <c r="AM108" s="155"/>
      <c r="AN108" s="19">
        <f t="shared" si="24"/>
        <v>1861</v>
      </c>
      <c r="AO108" s="118">
        <f>SUMIF('MPG Payment '!E:E,'Shayak Income '!D108,'MPG Payment '!AJ:AJ)</f>
        <v>0</v>
      </c>
      <c r="AP108" s="19">
        <f t="shared" si="25"/>
        <v>761</v>
      </c>
      <c r="AQ108" s="119">
        <f t="shared" si="36"/>
        <v>761</v>
      </c>
      <c r="AR108" s="91" t="s">
        <v>1144</v>
      </c>
      <c r="AS108" s="91">
        <f t="shared" si="26"/>
        <v>12800</v>
      </c>
      <c r="AT108" s="118"/>
      <c r="AU108" s="118"/>
      <c r="AV108" s="118"/>
    </row>
    <row r="109" spans="1:48" s="20" customFormat="1" x14ac:dyDescent="0.25">
      <c r="A109" s="17">
        <f>IFERROR(VLOOKUP(D109,'Monthly Deduction'!$I$3:$J$957,2,0),0)</f>
        <v>38006.601813169415</v>
      </c>
      <c r="B109" s="17">
        <f>IFERROR(VLOOKUP(D109,'Monthly Deduction'!$E$3:$F$957,2,0),0)</f>
        <v>4308.3318379994362</v>
      </c>
      <c r="C109" s="17">
        <f t="shared" si="27"/>
        <v>42314.933651168853</v>
      </c>
      <c r="D109" s="41">
        <v>10030055</v>
      </c>
      <c r="E109" s="122" t="str">
        <f>VLOOKUP(D109,'MPG Payment '!$E$3:$G$497305,2,0)</f>
        <v>DAULATPUR</v>
      </c>
      <c r="F109" s="146">
        <f>IFERROR(_xlfn.XLOOKUP(D109,'Monthly Deduction'!$I$3:$I$957,'Monthly Deduction'!$H$3:$H$957),0)</f>
        <v>0</v>
      </c>
      <c r="G109" s="123" t="str">
        <f>VLOOKUP(D109,'MPG Payment '!$E$3:$G$333666,3,0)</f>
        <v>MPG</v>
      </c>
      <c r="H109" s="124" t="str">
        <f>VLOOKUP(D109,'MPG Payment '!$E$3:$H$333666,4,0)</f>
        <v>Direct</v>
      </c>
      <c r="I109" s="88">
        <f>INDEX('MPG Payment '!$C:$C,MATCH('Shayak Income '!D109,'MPG Payment '!E:E,0))</f>
        <v>1003</v>
      </c>
      <c r="J109" s="88" t="str">
        <f>INDEX('MPG Payment '!$D:$D,MATCH('Shayak Income '!D109,'MPG Payment '!E:E,0))</f>
        <v>Asarganj</v>
      </c>
      <c r="K109" s="125" t="s">
        <v>1594</v>
      </c>
      <c r="L109" s="125">
        <v>45236</v>
      </c>
      <c r="M109" s="126">
        <f>SUMIF('MPG Payment '!$E$3:$E$344841,'Shayak Income '!D109,'MPG Payment '!$I$3:$I$344841)</f>
        <v>884.4</v>
      </c>
      <c r="N109" s="126">
        <f>SUMIF('MPG Payment '!$E$3:$E$344841,'Shayak Income '!D109,'MPG Payment '!$J$3:$J$344841)</f>
        <v>37589.360000000001</v>
      </c>
      <c r="O109" s="126">
        <f t="shared" si="28"/>
        <v>663.3</v>
      </c>
      <c r="P109" s="126">
        <f t="shared" si="29"/>
        <v>840.18</v>
      </c>
      <c r="Q109" s="126">
        <f>SUMIF('MPG Payment '!$E$3:$E$344841,'Shayak Income '!D109,'MPG Payment '!$S$3:$S$344841)</f>
        <v>385.28999999999996</v>
      </c>
      <c r="R109" s="126">
        <f t="shared" si="20"/>
        <v>1127.6807999999999</v>
      </c>
      <c r="S109" s="126">
        <f t="shared" si="21"/>
        <v>287.50079999999991</v>
      </c>
      <c r="T109" s="126">
        <f t="shared" si="30"/>
        <v>88.44</v>
      </c>
      <c r="U109" s="127">
        <f>((((((IF(K109="New",0,SUMIF('MPG Payment '!$E$3:$E$344841,'Shayak Income '!D109,'MPG Payment '!$AC$3:$AC$344841))))+0)+0)+0)+0)+0</f>
        <v>1628.4091973315699</v>
      </c>
      <c r="V109" s="127">
        <f t="shared" si="31"/>
        <v>172</v>
      </c>
      <c r="W109" s="19">
        <v>172</v>
      </c>
      <c r="X109" s="19">
        <v>0</v>
      </c>
      <c r="Y109" s="128">
        <v>0</v>
      </c>
      <c r="Z109" s="128">
        <v>0</v>
      </c>
      <c r="AA109" s="126">
        <f>IFERROR(VLOOKUP(D109,'Monthly Deduction'!A:B,2,0),0)</f>
        <v>0</v>
      </c>
      <c r="AB109" s="129">
        <f t="shared" si="22"/>
        <v>0</v>
      </c>
      <c r="AC109" s="130">
        <v>0</v>
      </c>
      <c r="AD109" s="35">
        <f t="shared" si="34"/>
        <v>0</v>
      </c>
      <c r="AE109" s="166" t="str">
        <f t="shared" si="35"/>
        <v>Release</v>
      </c>
      <c r="AF109" s="127"/>
      <c r="AG109" s="18">
        <v>0</v>
      </c>
      <c r="AH109" s="132"/>
      <c r="AI109" s="238">
        <v>0</v>
      </c>
      <c r="AJ109" s="132"/>
      <c r="AK109" s="151">
        <v>181.45</v>
      </c>
      <c r="AL109" s="154">
        <f t="shared" si="23"/>
        <v>0</v>
      </c>
      <c r="AM109" s="155"/>
      <c r="AN109" s="19">
        <f t="shared" si="24"/>
        <v>1861</v>
      </c>
      <c r="AO109" s="118">
        <f>SUMIF('MPG Payment '!E:E,'Shayak Income '!D109,'MPG Payment '!AJ:AJ)</f>
        <v>0</v>
      </c>
      <c r="AP109" s="19">
        <f t="shared" si="25"/>
        <v>172</v>
      </c>
      <c r="AQ109" s="119">
        <f t="shared" si="36"/>
        <v>172</v>
      </c>
      <c r="AR109" s="91" t="s">
        <v>1144</v>
      </c>
      <c r="AS109" s="91">
        <f t="shared" si="26"/>
        <v>4308.3318379994362</v>
      </c>
      <c r="AT109" s="118"/>
      <c r="AU109" s="118"/>
      <c r="AV109" s="118"/>
    </row>
    <row r="110" spans="1:48" s="20" customFormat="1" x14ac:dyDescent="0.25">
      <c r="A110" s="17">
        <f>IFERROR(VLOOKUP(D110,'Monthly Deduction'!$I$3:$J$957,2,0),0)</f>
        <v>43676.147644814017</v>
      </c>
      <c r="B110" s="17">
        <f>IFERROR(VLOOKUP(D110,'Monthly Deduction'!$E$3:$F$957,2,0),0)</f>
        <v>3890.3617999999997</v>
      </c>
      <c r="C110" s="17">
        <f t="shared" si="27"/>
        <v>47566.509444814015</v>
      </c>
      <c r="D110" s="41">
        <v>10030056</v>
      </c>
      <c r="E110" s="122" t="str">
        <f>VLOOKUP(D110,'MPG Payment '!$E$3:$G$497305,2,0)</f>
        <v>MOHADDIPUR</v>
      </c>
      <c r="F110" s="146">
        <f>IFERROR(_xlfn.XLOOKUP(D110,'Monthly Deduction'!$I$3:$I$957,'Monthly Deduction'!$H$3:$H$957),0)</f>
        <v>0</v>
      </c>
      <c r="G110" s="123" t="str">
        <f>VLOOKUP(D110,'MPG Payment '!$E$3:$G$333666,3,0)</f>
        <v>MPG</v>
      </c>
      <c r="H110" s="124" t="str">
        <f>VLOOKUP(D110,'MPG Payment '!$E$3:$H$333666,4,0)</f>
        <v>Direct</v>
      </c>
      <c r="I110" s="88">
        <f>INDEX('MPG Payment '!$C:$C,MATCH('Shayak Income '!D110,'MPG Payment '!E:E,0))</f>
        <v>1003</v>
      </c>
      <c r="J110" s="88" t="str">
        <f>INDEX('MPG Payment '!$D:$D,MATCH('Shayak Income '!D110,'MPG Payment '!E:E,0))</f>
        <v>Asarganj</v>
      </c>
      <c r="K110" s="125" t="s">
        <v>1594</v>
      </c>
      <c r="L110" s="125">
        <v>45219</v>
      </c>
      <c r="M110" s="126">
        <f>SUMIF('MPG Payment '!$E$3:$E$344841,'Shayak Income '!D110,'MPG Payment '!$I$3:$I$344841)</f>
        <v>800.69999999999993</v>
      </c>
      <c r="N110" s="126">
        <f>SUMIF('MPG Payment '!$E$3:$E$344841,'Shayak Income '!D110,'MPG Payment '!$J$3:$J$344841)</f>
        <v>27836.47</v>
      </c>
      <c r="O110" s="126">
        <f t="shared" si="28"/>
        <v>600.52499999999998</v>
      </c>
      <c r="P110" s="126">
        <f t="shared" si="29"/>
        <v>760.66499999999985</v>
      </c>
      <c r="Q110" s="126">
        <f>SUMIF('MPG Payment '!$E$3:$E$344841,'Shayak Income '!D110,'MPG Payment '!$S$3:$S$344841)</f>
        <v>0</v>
      </c>
      <c r="R110" s="126">
        <f t="shared" si="20"/>
        <v>835.09410000000003</v>
      </c>
      <c r="S110" s="126">
        <f t="shared" si="21"/>
        <v>74.429100000000176</v>
      </c>
      <c r="T110" s="126">
        <f t="shared" si="30"/>
        <v>80.069999999999993</v>
      </c>
      <c r="U110" s="127">
        <f>((((((IF(K110="New",0,SUMIF('MPG Payment '!$E$3:$E$344841,'Shayak Income '!D110,'MPG Payment '!$AC$3:$AC$344841))))+0)+0)+0)+0)+-104</f>
        <v>1281.5167105608939</v>
      </c>
      <c r="V110" s="127">
        <f t="shared" si="31"/>
        <v>0</v>
      </c>
      <c r="W110" s="19">
        <v>0</v>
      </c>
      <c r="X110" s="19">
        <v>0</v>
      </c>
      <c r="Y110" s="128">
        <v>0</v>
      </c>
      <c r="Z110" s="128">
        <v>0</v>
      </c>
      <c r="AA110" s="126">
        <v>0</v>
      </c>
      <c r="AB110" s="129">
        <f t="shared" si="22"/>
        <v>0</v>
      </c>
      <c r="AC110" s="130">
        <v>0</v>
      </c>
      <c r="AD110" s="35">
        <f t="shared" si="34"/>
        <v>0</v>
      </c>
      <c r="AE110" s="166" t="str">
        <f t="shared" si="35"/>
        <v>Release</v>
      </c>
      <c r="AF110" s="127"/>
      <c r="AG110" s="18">
        <v>0</v>
      </c>
      <c r="AH110" s="132"/>
      <c r="AI110" s="238">
        <v>0</v>
      </c>
      <c r="AJ110" s="132"/>
      <c r="AK110" s="151">
        <v>150.79999999999998</v>
      </c>
      <c r="AL110" s="154">
        <f t="shared" si="23"/>
        <v>0</v>
      </c>
      <c r="AM110" s="155"/>
      <c r="AN110" s="19">
        <f t="shared" si="24"/>
        <v>1861</v>
      </c>
      <c r="AO110" s="118">
        <f>SUMIF('MPG Payment '!E:E,'Shayak Income '!D110,'MPG Payment '!AJ:AJ)</f>
        <v>1500</v>
      </c>
      <c r="AP110" s="19">
        <f t="shared" si="25"/>
        <v>0</v>
      </c>
      <c r="AQ110" s="119">
        <f t="shared" si="36"/>
        <v>1500</v>
      </c>
      <c r="AR110" s="91" t="s">
        <v>1144</v>
      </c>
      <c r="AS110" s="91">
        <f t="shared" si="26"/>
        <v>3890.3617999999997</v>
      </c>
      <c r="AT110" s="118"/>
      <c r="AU110" s="118"/>
      <c r="AV110" s="118"/>
    </row>
    <row r="111" spans="1:48" s="20" customFormat="1" x14ac:dyDescent="0.25">
      <c r="A111" s="17">
        <f>IFERROR(VLOOKUP(D111,'Monthly Deduction'!$I$3:$J$957,2,0),0)</f>
        <v>26402.627863707341</v>
      </c>
      <c r="B111" s="17">
        <f>IFERROR(VLOOKUP(D111,'Monthly Deduction'!$E$3:$F$957,2,0),0)</f>
        <v>12800</v>
      </c>
      <c r="C111" s="17">
        <f t="shared" si="27"/>
        <v>39202.627863707341</v>
      </c>
      <c r="D111" s="41">
        <v>10030059</v>
      </c>
      <c r="E111" s="122" t="str">
        <f>VLOOKUP(D111,'MPG Payment '!$E$3:$G$497305,2,0)</f>
        <v>JHAJHA</v>
      </c>
      <c r="F111" s="146">
        <f>IFERROR(_xlfn.XLOOKUP(D111,'Monthly Deduction'!$I$3:$I$957,'Monthly Deduction'!$H$3:$H$957),0)</f>
        <v>0</v>
      </c>
      <c r="G111" s="123" t="str">
        <f>VLOOKUP(D111,'MPG Payment '!$E$3:$G$333666,3,0)</f>
        <v>MPG</v>
      </c>
      <c r="H111" s="124" t="str">
        <f>VLOOKUP(D111,'MPG Payment '!$E$3:$H$333666,4,0)</f>
        <v>Direct</v>
      </c>
      <c r="I111" s="88">
        <f>INDEX('MPG Payment '!$C:$C,MATCH('Shayak Income '!D111,'MPG Payment '!E:E,0))</f>
        <v>1003</v>
      </c>
      <c r="J111" s="88" t="str">
        <f>INDEX('MPG Payment '!$D:$D,MATCH('Shayak Income '!D111,'MPG Payment '!E:E,0))</f>
        <v>Asarganj</v>
      </c>
      <c r="K111" s="125" t="s">
        <v>1594</v>
      </c>
      <c r="L111" s="125">
        <v>45323</v>
      </c>
      <c r="M111" s="126">
        <f>SUMIF('MPG Payment '!$E$3:$E$344841,'Shayak Income '!D111,'MPG Payment '!$I$3:$I$344841)</f>
        <v>2798.75</v>
      </c>
      <c r="N111" s="126">
        <f>SUMIF('MPG Payment '!$E$3:$E$344841,'Shayak Income '!D111,'MPG Payment '!$J$3:$J$344841)</f>
        <v>121687.12000000001</v>
      </c>
      <c r="O111" s="126">
        <f t="shared" si="28"/>
        <v>2099.0625</v>
      </c>
      <c r="P111" s="126">
        <f t="shared" si="29"/>
        <v>2658.8125</v>
      </c>
      <c r="Q111" s="126">
        <f>SUMIF('MPG Payment '!$E$3:$E$344841,'Shayak Income '!D111,'MPG Payment '!$S$3:$S$344841)</f>
        <v>0</v>
      </c>
      <c r="R111" s="126">
        <f t="shared" si="20"/>
        <v>3650.6136000000001</v>
      </c>
      <c r="S111" s="126">
        <f t="shared" si="21"/>
        <v>991.80110000000013</v>
      </c>
      <c r="T111" s="126">
        <f t="shared" si="30"/>
        <v>279.875</v>
      </c>
      <c r="U111" s="127">
        <f>((((((IF(K111="New",0,SUMIF('MPG Payment '!$E$3:$E$344841,'Shayak Income '!D111,'MPG Payment '!$AC$3:$AC$344841))))+0)+0)+0)+0)+0</f>
        <v>70.296477804011602</v>
      </c>
      <c r="V111" s="127">
        <f t="shared" si="31"/>
        <v>4408</v>
      </c>
      <c r="W111" s="19">
        <f t="shared" si="32"/>
        <v>2433.7424000000001</v>
      </c>
      <c r="X111" s="19">
        <v>0</v>
      </c>
      <c r="Y111" s="128">
        <f>IFERROR(VLOOKUP(D111,'Monthly Deduction'!$M$2:$N$640,2,0),0)</f>
        <v>0</v>
      </c>
      <c r="Z111" s="128">
        <f>99.12+1875</f>
        <v>1974.12</v>
      </c>
      <c r="AA111" s="126">
        <f>IFERROR(VLOOKUP(D111,'Monthly Deduction'!A:B,2,0),0)</f>
        <v>0</v>
      </c>
      <c r="AB111" s="129">
        <f t="shared" si="22"/>
        <v>0</v>
      </c>
      <c r="AC111" s="130">
        <v>0</v>
      </c>
      <c r="AD111" s="35">
        <f t="shared" si="34"/>
        <v>0</v>
      </c>
      <c r="AE111" s="166" t="str">
        <f t="shared" si="35"/>
        <v>Release</v>
      </c>
      <c r="AF111" s="127"/>
      <c r="AG111" s="18">
        <v>0</v>
      </c>
      <c r="AH111" s="132" t="s">
        <v>1681</v>
      </c>
      <c r="AI111" s="238">
        <v>0</v>
      </c>
      <c r="AJ111" s="132"/>
      <c r="AK111" s="151">
        <v>683.1</v>
      </c>
      <c r="AL111" s="154">
        <f t="shared" si="23"/>
        <v>0</v>
      </c>
      <c r="AM111" s="155"/>
      <c r="AN111" s="19">
        <f t="shared" si="24"/>
        <v>2433.7424000000001</v>
      </c>
      <c r="AO111" s="118">
        <f>SUMIF('MPG Payment '!E:E,'Shayak Income '!D111,'MPG Payment '!AJ:AJ)</f>
        <v>0</v>
      </c>
      <c r="AP111" s="19">
        <f t="shared" si="25"/>
        <v>2433.7424000000001</v>
      </c>
      <c r="AQ111" s="119">
        <f t="shared" si="36"/>
        <v>2433.7424000000001</v>
      </c>
      <c r="AR111" s="91" t="s">
        <v>1144</v>
      </c>
      <c r="AS111" s="91">
        <f t="shared" si="26"/>
        <v>12800</v>
      </c>
      <c r="AT111" s="118"/>
      <c r="AU111" s="118"/>
      <c r="AV111" s="118"/>
    </row>
    <row r="112" spans="1:48" s="20" customFormat="1" x14ac:dyDescent="0.25">
      <c r="A112" s="17">
        <f>IFERROR(VLOOKUP(D112,'Monthly Deduction'!$I$3:$J$957,2,0),0)</f>
        <v>33727.057123259117</v>
      </c>
      <c r="B112" s="17">
        <f>IFERROR(VLOOKUP(D112,'Monthly Deduction'!$E$3:$F$957,2,0),0)</f>
        <v>12800</v>
      </c>
      <c r="C112" s="17">
        <f t="shared" si="27"/>
        <v>46527.057123259117</v>
      </c>
      <c r="D112" s="41">
        <v>10030060</v>
      </c>
      <c r="E112" s="122" t="str">
        <f>VLOOKUP(D112,'MPG Payment '!$E$3:$G$497305,2,0)</f>
        <v>KAMARDUH</v>
      </c>
      <c r="F112" s="146">
        <f>IFERROR(_xlfn.XLOOKUP(D112,'Monthly Deduction'!$I$3:$I$957,'Monthly Deduction'!$H$3:$H$957),0)</f>
        <v>0</v>
      </c>
      <c r="G112" s="123" t="str">
        <f>VLOOKUP(D112,'MPG Payment '!$E$3:$G$333666,3,0)</f>
        <v>MPG</v>
      </c>
      <c r="H112" s="124" t="str">
        <f>VLOOKUP(D112,'MPG Payment '!$E$3:$H$333666,4,0)</f>
        <v>Direct</v>
      </c>
      <c r="I112" s="88">
        <f>INDEX('MPG Payment '!$C:$C,MATCH('Shayak Income '!D112,'MPG Payment '!E:E,0))</f>
        <v>1003</v>
      </c>
      <c r="J112" s="88" t="str">
        <f>INDEX('MPG Payment '!$D:$D,MATCH('Shayak Income '!D112,'MPG Payment '!E:E,0))</f>
        <v>Asarganj</v>
      </c>
      <c r="K112" s="125" t="s">
        <v>1594</v>
      </c>
      <c r="L112" s="125">
        <v>45323</v>
      </c>
      <c r="M112" s="126">
        <f>SUMIF('MPG Payment '!$E$3:$E$344841,'Shayak Income '!D112,'MPG Payment '!$I$3:$I$344841)</f>
        <v>1382.9</v>
      </c>
      <c r="N112" s="126">
        <f>SUMIF('MPG Payment '!$E$3:$E$344841,'Shayak Income '!D112,'MPG Payment '!$J$3:$J$344841)</f>
        <v>49989.29</v>
      </c>
      <c r="O112" s="126">
        <f t="shared" si="28"/>
        <v>1037.1750000000002</v>
      </c>
      <c r="P112" s="126">
        <f t="shared" si="29"/>
        <v>1313.7550000000001</v>
      </c>
      <c r="Q112" s="126">
        <f>SUMIF('MPG Payment '!$E$3:$E$344841,'Shayak Income '!D112,'MPG Payment '!$S$3:$S$344841)</f>
        <v>505.89</v>
      </c>
      <c r="R112" s="126">
        <f t="shared" si="20"/>
        <v>1499.6786999999999</v>
      </c>
      <c r="S112" s="126">
        <f t="shared" si="21"/>
        <v>185.92369999999983</v>
      </c>
      <c r="T112" s="126">
        <f t="shared" si="30"/>
        <v>138.29000000000002</v>
      </c>
      <c r="U112" s="127">
        <f>((((((IF(K112="New",0,SUMIF('MPG Payment '!$E$3:$E$344841,'Shayak Income '!D112,'MPG Payment '!$AC$3:$AC$344841))))+0)+0)+0)+0)+0</f>
        <v>12.620880844203482</v>
      </c>
      <c r="V112" s="127">
        <f t="shared" si="31"/>
        <v>2706</v>
      </c>
      <c r="W112" s="19">
        <f t="shared" si="32"/>
        <v>1861</v>
      </c>
      <c r="X112" s="19">
        <v>0</v>
      </c>
      <c r="Y112" s="128">
        <f>IFERROR(VLOOKUP(D112,'Monthly Deduction'!$M$2:$N$640,2,0),0)</f>
        <v>0</v>
      </c>
      <c r="Z112" s="128">
        <v>0</v>
      </c>
      <c r="AA112" s="126">
        <f>IFERROR(VLOOKUP(D112,'Monthly Deduction'!A:B,2,0),0)</f>
        <v>0</v>
      </c>
      <c r="AB112" s="129">
        <f t="shared" si="22"/>
        <v>845</v>
      </c>
      <c r="AC112" s="130">
        <f>AB112</f>
        <v>845</v>
      </c>
      <c r="AD112" s="35">
        <f t="shared" si="34"/>
        <v>0</v>
      </c>
      <c r="AE112" s="166" t="str">
        <f t="shared" si="35"/>
        <v>Yes</v>
      </c>
      <c r="AF112" s="127"/>
      <c r="AG112" s="18">
        <v>0</v>
      </c>
      <c r="AH112" s="132" t="s">
        <v>1597</v>
      </c>
      <c r="AI112" s="238">
        <v>0</v>
      </c>
      <c r="AJ112" s="132"/>
      <c r="AK112" s="151">
        <v>0</v>
      </c>
      <c r="AL112" s="154">
        <f t="shared" si="23"/>
        <v>0</v>
      </c>
      <c r="AM112" s="155"/>
      <c r="AN112" s="19">
        <f t="shared" si="24"/>
        <v>1861</v>
      </c>
      <c r="AO112" s="118">
        <f>SUMIF('MPG Payment '!E:E,'Shayak Income '!D112,'MPG Payment '!AJ:AJ)</f>
        <v>0</v>
      </c>
      <c r="AP112" s="19">
        <f t="shared" si="25"/>
        <v>1861</v>
      </c>
      <c r="AQ112" s="119">
        <f t="shared" si="36"/>
        <v>1861</v>
      </c>
      <c r="AR112" s="91" t="s">
        <v>1144</v>
      </c>
      <c r="AS112" s="91">
        <f t="shared" si="26"/>
        <v>12800</v>
      </c>
      <c r="AT112" s="118"/>
      <c r="AU112" s="118"/>
      <c r="AV112" s="118"/>
    </row>
    <row r="113" spans="1:48" s="20" customFormat="1" x14ac:dyDescent="0.25">
      <c r="A113" s="17">
        <f>IFERROR(VLOOKUP(D113,'Monthly Deduction'!$I$3:$J$957,2,0),0)</f>
        <v>23276.489303577197</v>
      </c>
      <c r="B113" s="17">
        <f>IFERROR(VLOOKUP(D113,'Monthly Deduction'!$E$3:$F$957,2,0),0)</f>
        <v>9600</v>
      </c>
      <c r="C113" s="17">
        <f t="shared" si="27"/>
        <v>32876.489303577197</v>
      </c>
      <c r="D113" s="41">
        <v>10030061</v>
      </c>
      <c r="E113" s="122" t="str">
        <f>VLOOKUP(D113,'MPG Payment '!$E$3:$G$497305,2,0)</f>
        <v>BARSABAD</v>
      </c>
      <c r="F113" s="146">
        <f>IFERROR(_xlfn.XLOOKUP(D113,'Monthly Deduction'!$I$3:$I$957,'Monthly Deduction'!$H$3:$H$957),0)</f>
        <v>0</v>
      </c>
      <c r="G113" s="123" t="str">
        <f>VLOOKUP(D113,'MPG Payment '!$E$3:$G$333666,3,0)</f>
        <v>MPG</v>
      </c>
      <c r="H113" s="124" t="str">
        <f>VLOOKUP(D113,'MPG Payment '!$E$3:$H$333666,4,0)</f>
        <v>Direct</v>
      </c>
      <c r="I113" s="88">
        <f>INDEX('MPG Payment '!$C:$C,MATCH('Shayak Income '!D113,'MPG Payment '!E:E,0))</f>
        <v>1003</v>
      </c>
      <c r="J113" s="88" t="str">
        <f>INDEX('MPG Payment '!$D:$D,MATCH('Shayak Income '!D113,'MPG Payment '!E:E,0))</f>
        <v>Asarganj</v>
      </c>
      <c r="K113" s="125" t="s">
        <v>1594</v>
      </c>
      <c r="L113" s="125">
        <v>45323</v>
      </c>
      <c r="M113" s="126">
        <f>SUMIF('MPG Payment '!$E$3:$E$344841,'Shayak Income '!D113,'MPG Payment '!$I$3:$I$344841)</f>
        <v>1734.5</v>
      </c>
      <c r="N113" s="126">
        <f>SUMIF('MPG Payment '!$E$3:$E$344841,'Shayak Income '!D113,'MPG Payment '!$J$3:$J$344841)</f>
        <v>66776.659999999989</v>
      </c>
      <c r="O113" s="126">
        <f t="shared" si="28"/>
        <v>1300.875</v>
      </c>
      <c r="P113" s="126">
        <f t="shared" si="29"/>
        <v>1647.7749999999999</v>
      </c>
      <c r="Q113" s="126">
        <f>SUMIF('MPG Payment '!$E$3:$E$344841,'Shayak Income '!D113,'MPG Payment '!$S$3:$S$344841)</f>
        <v>1290.56</v>
      </c>
      <c r="R113" s="126">
        <f t="shared" si="20"/>
        <v>2003.2997999999995</v>
      </c>
      <c r="S113" s="126">
        <f t="shared" si="21"/>
        <v>355.52479999999969</v>
      </c>
      <c r="T113" s="126">
        <f t="shared" si="30"/>
        <v>173.45000000000002</v>
      </c>
      <c r="U113" s="127">
        <f>((((((IF(K113="New",0,SUMIF('MPG Payment '!$E$3:$E$344841,'Shayak Income '!D113,'MPG Payment '!$AC$3:$AC$344841))))+0)+0)+0)+0)+0</f>
        <v>820.06250670873851</v>
      </c>
      <c r="V113" s="127">
        <f t="shared" si="31"/>
        <v>3246</v>
      </c>
      <c r="W113" s="19">
        <f t="shared" si="32"/>
        <v>1861</v>
      </c>
      <c r="X113" s="19">
        <v>0</v>
      </c>
      <c r="Y113" s="128">
        <f>IFERROR(VLOOKUP(D113,'Monthly Deduction'!$M$2:$N$640,2,0),0)</f>
        <v>0</v>
      </c>
      <c r="Z113" s="128">
        <v>0</v>
      </c>
      <c r="AA113" s="126">
        <f>IFERROR(VLOOKUP(D113,'Monthly Deduction'!A:B,2,0),0)</f>
        <v>0</v>
      </c>
      <c r="AB113" s="129">
        <f t="shared" si="22"/>
        <v>1385</v>
      </c>
      <c r="AC113" s="130">
        <v>0</v>
      </c>
      <c r="AD113" s="35">
        <f t="shared" si="34"/>
        <v>1385</v>
      </c>
      <c r="AE113" s="166" t="str">
        <f t="shared" si="35"/>
        <v>Release</v>
      </c>
      <c r="AF113" s="127"/>
      <c r="AG113" s="18">
        <v>0</v>
      </c>
      <c r="AH113" s="120"/>
      <c r="AI113" s="238">
        <v>0</v>
      </c>
      <c r="AJ113" s="132"/>
      <c r="AK113" s="151">
        <v>432.04999999999995</v>
      </c>
      <c r="AL113" s="154">
        <f t="shared" si="23"/>
        <v>0</v>
      </c>
      <c r="AM113" s="155"/>
      <c r="AN113" s="19">
        <f t="shared" si="24"/>
        <v>1861</v>
      </c>
      <c r="AO113" s="118">
        <f>SUMIF('MPG Payment '!E:E,'Shayak Income '!D113,'MPG Payment '!AJ:AJ)</f>
        <v>0</v>
      </c>
      <c r="AP113" s="19">
        <f t="shared" si="25"/>
        <v>1861</v>
      </c>
      <c r="AQ113" s="119">
        <f t="shared" si="36"/>
        <v>1861</v>
      </c>
      <c r="AR113" s="91" t="s">
        <v>1144</v>
      </c>
      <c r="AS113" s="91">
        <f t="shared" si="26"/>
        <v>9600</v>
      </c>
      <c r="AT113" s="118"/>
      <c r="AU113" s="118"/>
      <c r="AV113" s="118"/>
    </row>
    <row r="114" spans="1:48" s="20" customFormat="1" x14ac:dyDescent="0.25">
      <c r="A114" s="17">
        <f>IFERROR(VLOOKUP(D114,'Monthly Deduction'!$I$3:$J$957,2,0),0)</f>
        <v>31993.557708073058</v>
      </c>
      <c r="B114" s="17">
        <f>IFERROR(VLOOKUP(D114,'Monthly Deduction'!$E$3:$F$957,2,0),0)</f>
        <v>16000</v>
      </c>
      <c r="C114" s="17">
        <f t="shared" si="27"/>
        <v>47993.557708073058</v>
      </c>
      <c r="D114" s="41">
        <v>10030063</v>
      </c>
      <c r="E114" s="122" t="str">
        <f>VLOOKUP(D114,'MPG Payment '!$E$3:$G$497305,2,0)</f>
        <v>GONAI</v>
      </c>
      <c r="F114" s="146">
        <f>IFERROR(_xlfn.XLOOKUP(D114,'Monthly Deduction'!$I$3:$I$957,'Monthly Deduction'!$H$3:$H$957),0)</f>
        <v>0</v>
      </c>
      <c r="G114" s="123" t="str">
        <f>VLOOKUP(D114,'MPG Payment '!$E$3:$G$333666,3,0)</f>
        <v>MPG</v>
      </c>
      <c r="H114" s="124" t="str">
        <f>VLOOKUP(D114,'MPG Payment '!$E$3:$H$333666,4,0)</f>
        <v>Direct</v>
      </c>
      <c r="I114" s="88">
        <f>INDEX('MPG Payment '!$C:$C,MATCH('Shayak Income '!D114,'MPG Payment '!E:E,0))</f>
        <v>1003</v>
      </c>
      <c r="J114" s="88" t="str">
        <f>INDEX('MPG Payment '!$D:$D,MATCH('Shayak Income '!D114,'MPG Payment '!E:E,0))</f>
        <v>Asarganj</v>
      </c>
      <c r="K114" s="125" t="s">
        <v>1594</v>
      </c>
      <c r="L114" s="125">
        <v>45541</v>
      </c>
      <c r="M114" s="126">
        <f>SUMIF('MPG Payment '!$E$3:$E$344841,'Shayak Income '!D114,'MPG Payment '!$I$3:$I$344841)</f>
        <v>6883.9500000000007</v>
      </c>
      <c r="N114" s="126">
        <f>SUMIF('MPG Payment '!$E$3:$E$344841,'Shayak Income '!D114,'MPG Payment '!$J$3:$J$344841)</f>
        <v>287054.28999999998</v>
      </c>
      <c r="O114" s="126">
        <f t="shared" si="28"/>
        <v>5162.9625000000005</v>
      </c>
      <c r="P114" s="126">
        <f t="shared" si="29"/>
        <v>6539.7525000000005</v>
      </c>
      <c r="Q114" s="126">
        <f>SUMIF('MPG Payment '!$E$3:$E$344841,'Shayak Income '!D114,'MPG Payment '!$S$3:$S$344841)</f>
        <v>1670.67</v>
      </c>
      <c r="R114" s="126">
        <f t="shared" si="20"/>
        <v>8611.6286999999993</v>
      </c>
      <c r="S114" s="126">
        <f t="shared" si="21"/>
        <v>2071.8761999999988</v>
      </c>
      <c r="T114" s="126">
        <f t="shared" si="30"/>
        <v>688.3950000000001</v>
      </c>
      <c r="U114" s="127">
        <f>((((((IF(K114="New",0,SUMIF('MPG Payment '!$E$3:$E$344841,'Shayak Income '!D114,'MPG Payment '!$AC$3:$AC$344841))))+0)+0)+0)+0)+0</f>
        <v>0</v>
      </c>
      <c r="V114" s="127">
        <f t="shared" si="31"/>
        <v>12685</v>
      </c>
      <c r="W114" s="19">
        <f t="shared" si="32"/>
        <v>5741.0857999999998</v>
      </c>
      <c r="X114" s="19">
        <v>0</v>
      </c>
      <c r="Y114" s="128">
        <f>IFERROR(VLOOKUP(D114,'Monthly Deduction'!$M$2:$N$640,2,0),0)</f>
        <v>0</v>
      </c>
      <c r="Z114" s="128">
        <v>0</v>
      </c>
      <c r="AA114" s="126">
        <f>IFERROR(VLOOKUP(D114,'Monthly Deduction'!A:B,2,0),0)</f>
        <v>0</v>
      </c>
      <c r="AB114" s="129">
        <f t="shared" si="22"/>
        <v>6944</v>
      </c>
      <c r="AC114" s="130">
        <v>0</v>
      </c>
      <c r="AD114" s="35">
        <f t="shared" si="34"/>
        <v>6944</v>
      </c>
      <c r="AE114" s="166" t="str">
        <f t="shared" si="35"/>
        <v>Release</v>
      </c>
      <c r="AF114" s="127"/>
      <c r="AG114" s="18">
        <v>0</v>
      </c>
      <c r="AH114" s="120"/>
      <c r="AI114" s="238">
        <v>0</v>
      </c>
      <c r="AJ114" s="132"/>
      <c r="AK114" s="151">
        <v>1250.0000000000002</v>
      </c>
      <c r="AL114" s="154">
        <f t="shared" si="23"/>
        <v>0</v>
      </c>
      <c r="AM114" s="155"/>
      <c r="AN114" s="19">
        <f t="shared" si="24"/>
        <v>5741.0857999999998</v>
      </c>
      <c r="AO114" s="118">
        <f>SUMIF('MPG Payment '!E:E,'Shayak Income '!D114,'MPG Payment '!AJ:AJ)</f>
        <v>0</v>
      </c>
      <c r="AP114" s="19">
        <f t="shared" si="25"/>
        <v>5741.0857999999998</v>
      </c>
      <c r="AQ114" s="119">
        <f t="shared" si="36"/>
        <v>5741.0857999999998</v>
      </c>
      <c r="AR114" s="91" t="s">
        <v>1144</v>
      </c>
      <c r="AS114" s="91">
        <f t="shared" si="26"/>
        <v>16000</v>
      </c>
      <c r="AT114" s="118"/>
      <c r="AU114" s="118"/>
      <c r="AV114" s="118"/>
    </row>
    <row r="115" spans="1:48" s="20" customFormat="1" x14ac:dyDescent="0.25">
      <c r="A115" s="17">
        <f>IFERROR(VLOOKUP(D115,'Monthly Deduction'!$I$3:$J$957,2,0),0)</f>
        <v>15501.314790578821</v>
      </c>
      <c r="B115" s="17">
        <f>IFERROR(VLOOKUP(D115,'Monthly Deduction'!$E$3:$F$957,2,0),0)</f>
        <v>16000</v>
      </c>
      <c r="C115" s="17">
        <f t="shared" si="27"/>
        <v>31501.314790578821</v>
      </c>
      <c r="D115" s="41">
        <v>10030064</v>
      </c>
      <c r="E115" s="122" t="str">
        <f>VLOOKUP(D115,'MPG Payment '!$E$3:$G$497305,2,0)</f>
        <v>SHIKARITOLA</v>
      </c>
      <c r="F115" s="146">
        <f>IFERROR(_xlfn.XLOOKUP(D115,'Monthly Deduction'!$I$3:$I$957,'Monthly Deduction'!$H$3:$H$957),0)</f>
        <v>0</v>
      </c>
      <c r="G115" s="123" t="str">
        <f>VLOOKUP(D115,'MPG Payment '!$E$3:$G$333666,3,0)</f>
        <v>MPG</v>
      </c>
      <c r="H115" s="124" t="str">
        <f>VLOOKUP(D115,'MPG Payment '!$E$3:$H$333666,4,0)</f>
        <v>Direct</v>
      </c>
      <c r="I115" s="88">
        <f>INDEX('MPG Payment '!$C:$C,MATCH('Shayak Income '!D115,'MPG Payment '!E:E,0))</f>
        <v>1003</v>
      </c>
      <c r="J115" s="88" t="str">
        <f>INDEX('MPG Payment '!$D:$D,MATCH('Shayak Income '!D115,'MPG Payment '!E:E,0))</f>
        <v>Asarganj</v>
      </c>
      <c r="K115" s="125" t="s">
        <v>1594</v>
      </c>
      <c r="L115" s="125">
        <v>45505</v>
      </c>
      <c r="M115" s="126">
        <f>SUMIF('MPG Payment '!$E$3:$E$344841,'Shayak Income '!D115,'MPG Payment '!$I$3:$I$344841)</f>
        <v>4757.3999999999996</v>
      </c>
      <c r="N115" s="126">
        <f>SUMIF('MPG Payment '!$E$3:$E$344841,'Shayak Income '!D115,'MPG Payment '!$J$3:$J$344841)</f>
        <v>195398.89</v>
      </c>
      <c r="O115" s="126">
        <f t="shared" si="28"/>
        <v>3568.0499999999997</v>
      </c>
      <c r="P115" s="126">
        <f t="shared" si="29"/>
        <v>4519.53</v>
      </c>
      <c r="Q115" s="126">
        <f>SUMIF('MPG Payment '!$E$3:$E$344841,'Shayak Income '!D115,'MPG Payment '!$S$3:$S$344841)</f>
        <v>0</v>
      </c>
      <c r="R115" s="126">
        <f t="shared" si="20"/>
        <v>5861.9666999999999</v>
      </c>
      <c r="S115" s="126">
        <f t="shared" si="21"/>
        <v>1342.4367000000002</v>
      </c>
      <c r="T115" s="126">
        <f t="shared" si="30"/>
        <v>475.74</v>
      </c>
      <c r="U115" s="127">
        <f>((((((IF(K115="New",0,SUMIF('MPG Payment '!$E$3:$E$344841,'Shayak Income '!D115,'MPG Payment '!$AC$3:$AC$344841))))+0)+0)+0)+0)+0</f>
        <v>0</v>
      </c>
      <c r="V115" s="127">
        <f t="shared" si="31"/>
        <v>7612</v>
      </c>
      <c r="W115" s="19">
        <f t="shared" si="32"/>
        <v>3907.9778000000006</v>
      </c>
      <c r="X115" s="19">
        <v>0</v>
      </c>
      <c r="Y115" s="128">
        <f>IFERROR(VLOOKUP(D115,'Monthly Deduction'!$M$2:$N$640,2,0),0)</f>
        <v>0</v>
      </c>
      <c r="Z115" s="128">
        <v>0</v>
      </c>
      <c r="AA115" s="126">
        <f>IFERROR(VLOOKUP(D115,'Monthly Deduction'!A:B,2,0),0)</f>
        <v>0</v>
      </c>
      <c r="AB115" s="129">
        <f t="shared" si="22"/>
        <v>3704</v>
      </c>
      <c r="AC115" s="130">
        <v>0</v>
      </c>
      <c r="AD115" s="35">
        <f t="shared" si="34"/>
        <v>3704</v>
      </c>
      <c r="AE115" s="166" t="str">
        <f t="shared" si="35"/>
        <v>Release</v>
      </c>
      <c r="AF115" s="127"/>
      <c r="AG115" s="18">
        <v>0</v>
      </c>
      <c r="AH115" s="120"/>
      <c r="AI115" s="238">
        <v>0</v>
      </c>
      <c r="AJ115" s="132"/>
      <c r="AK115" s="151">
        <v>1023.9499999999998</v>
      </c>
      <c r="AL115" s="154">
        <f t="shared" si="23"/>
        <v>0</v>
      </c>
      <c r="AM115" s="155"/>
      <c r="AN115" s="19">
        <f t="shared" si="24"/>
        <v>3907.9778000000006</v>
      </c>
      <c r="AO115" s="118">
        <f>SUMIF('MPG Payment '!E:E,'Shayak Income '!D115,'MPG Payment '!AJ:AJ)</f>
        <v>0</v>
      </c>
      <c r="AP115" s="19">
        <f t="shared" si="25"/>
        <v>3907.9778000000006</v>
      </c>
      <c r="AQ115" s="119">
        <f t="shared" si="36"/>
        <v>3907.9778000000006</v>
      </c>
      <c r="AR115" s="91"/>
      <c r="AS115" s="91">
        <f t="shared" si="26"/>
        <v>16000</v>
      </c>
      <c r="AT115" s="118"/>
      <c r="AU115" s="118"/>
      <c r="AV115" s="118"/>
    </row>
    <row r="116" spans="1:48" s="20" customFormat="1" x14ac:dyDescent="0.25">
      <c r="A116" s="17">
        <f>IFERROR(VLOOKUP(D116,'Monthly Deduction'!$I$3:$J$957,2,0),0)</f>
        <v>63503</v>
      </c>
      <c r="B116" s="17">
        <f>IFERROR(VLOOKUP(D116,'Monthly Deduction'!$E$3:$F$957,2,0),0)</f>
        <v>4526.3190178130099</v>
      </c>
      <c r="C116" s="17">
        <f t="shared" si="27"/>
        <v>68029.319017813017</v>
      </c>
      <c r="D116" s="41">
        <v>10030065</v>
      </c>
      <c r="E116" s="122" t="str">
        <f>VLOOKUP(D116,'MPG Payment '!$E$3:$G$497305,2,0)</f>
        <v>BAIKUNTHPUR</v>
      </c>
      <c r="F116" s="146">
        <f>IFERROR(_xlfn.XLOOKUP(D116,'Monthly Deduction'!$I$3:$I$957,'Monthly Deduction'!$H$3:$H$957),0)</f>
        <v>0</v>
      </c>
      <c r="G116" s="123" t="str">
        <f>VLOOKUP(D116,'MPG Payment '!$E$3:$G$333666,3,0)</f>
        <v>MPG</v>
      </c>
      <c r="H116" s="124" t="str">
        <f>VLOOKUP(D116,'MPG Payment '!$E$3:$H$333666,4,0)</f>
        <v>Direct</v>
      </c>
      <c r="I116" s="88">
        <f>INDEX('MPG Payment '!$C:$C,MATCH('Shayak Income '!D116,'MPG Payment '!E:E,0))</f>
        <v>1003</v>
      </c>
      <c r="J116" s="88" t="str">
        <f>INDEX('MPG Payment '!$D:$D,MATCH('Shayak Income '!D116,'MPG Payment '!E:E,0))</f>
        <v>Asarganj</v>
      </c>
      <c r="K116" s="125" t="s">
        <v>1594</v>
      </c>
      <c r="L116" s="125">
        <v>45631</v>
      </c>
      <c r="M116" s="126">
        <f>SUMIF('MPG Payment '!$E$3:$E$344841,'Shayak Income '!D116,'MPG Payment '!$I$3:$I$344841)</f>
        <v>1242.5500000000002</v>
      </c>
      <c r="N116" s="126">
        <f>SUMIF('MPG Payment '!$E$3:$E$344841,'Shayak Income '!D116,'MPG Payment '!$J$3:$J$344841)</f>
        <v>48028.900000000009</v>
      </c>
      <c r="O116" s="126">
        <f t="shared" si="28"/>
        <v>931.91250000000014</v>
      </c>
      <c r="P116" s="126">
        <f t="shared" si="29"/>
        <v>1180.4225000000001</v>
      </c>
      <c r="Q116" s="126">
        <f>SUMIF('MPG Payment '!$E$3:$E$344841,'Shayak Income '!D116,'MPG Payment '!$S$3:$S$344841)</f>
        <v>547.54</v>
      </c>
      <c r="R116" s="126">
        <f t="shared" si="20"/>
        <v>1440.8670000000002</v>
      </c>
      <c r="S116" s="126">
        <f t="shared" si="21"/>
        <v>260.44450000000006</v>
      </c>
      <c r="T116" s="126">
        <f t="shared" si="30"/>
        <v>124.25500000000002</v>
      </c>
      <c r="U116" s="127">
        <f>((((((IF(K116="New",0,SUMIF('MPG Payment '!$E$3:$E$344841,'Shayak Income '!D116,'MPG Payment '!$AC$3:$AC$344841))))+0)+0)+0)+0)+0</f>
        <v>1205.7476541411663</v>
      </c>
      <c r="V116" s="127">
        <f t="shared" si="31"/>
        <v>1330</v>
      </c>
      <c r="W116" s="19">
        <v>0</v>
      </c>
      <c r="X116" s="19">
        <f t="shared" si="37"/>
        <v>960.5780000000002</v>
      </c>
      <c r="Y116" s="128">
        <f>IFERROR(VLOOKUP(D116,'Monthly Deduction'!$M$2:$N$640,2,0),0)</f>
        <v>0</v>
      </c>
      <c r="Z116" s="128">
        <v>0</v>
      </c>
      <c r="AA116" s="126">
        <f>IFERROR(VLOOKUP(D116,'Monthly Deduction'!A:B,2,0),0)</f>
        <v>0</v>
      </c>
      <c r="AB116" s="129">
        <f t="shared" si="22"/>
        <v>369</v>
      </c>
      <c r="AC116" s="130">
        <f>AB116</f>
        <v>369</v>
      </c>
      <c r="AD116" s="35">
        <f t="shared" si="34"/>
        <v>0</v>
      </c>
      <c r="AE116" s="166" t="str">
        <f t="shared" si="35"/>
        <v>Yes</v>
      </c>
      <c r="AF116" s="127"/>
      <c r="AG116" s="18">
        <v>0</v>
      </c>
      <c r="AH116" s="120" t="s">
        <v>1683</v>
      </c>
      <c r="AI116" s="238">
        <v>0</v>
      </c>
      <c r="AJ116" s="132"/>
      <c r="AK116" s="151">
        <v>259.20000000000005</v>
      </c>
      <c r="AL116" s="154">
        <f t="shared" si="23"/>
        <v>0</v>
      </c>
      <c r="AM116" s="155"/>
      <c r="AN116" s="19">
        <f t="shared" si="24"/>
        <v>1861</v>
      </c>
      <c r="AO116" s="118">
        <f>SUMIF('MPG Payment '!E:E,'Shayak Income '!D116,'MPG Payment '!AJ:AJ)</f>
        <v>2000</v>
      </c>
      <c r="AP116" s="19">
        <f t="shared" si="25"/>
        <v>0</v>
      </c>
      <c r="AQ116" s="119">
        <f t="shared" si="36"/>
        <v>2000</v>
      </c>
      <c r="AR116" s="91"/>
      <c r="AS116" s="91">
        <f t="shared" si="26"/>
        <v>3565.7410178130094</v>
      </c>
      <c r="AT116" s="118"/>
      <c r="AU116" s="118"/>
      <c r="AV116" s="118"/>
    </row>
    <row r="117" spans="1:48" s="20" customFormat="1" x14ac:dyDescent="0.25">
      <c r="A117" s="17">
        <f>IFERROR(VLOOKUP(D117,'Monthly Deduction'!$I$3:$J$957,2,0),0)</f>
        <v>11860.459564905032</v>
      </c>
      <c r="B117" s="17">
        <f>IFERROR(VLOOKUP(D117,'Monthly Deduction'!$E$3:$F$957,2,0),0)</f>
        <v>12800</v>
      </c>
      <c r="C117" s="17">
        <f t="shared" si="27"/>
        <v>24660.459564905032</v>
      </c>
      <c r="D117" s="41">
        <v>10030066</v>
      </c>
      <c r="E117" s="122" t="str">
        <f>VLOOKUP(D117,'MPG Payment '!$E$3:$G$497305,2,0)</f>
        <v>KAITHA</v>
      </c>
      <c r="F117" s="146">
        <f>IFERROR(_xlfn.XLOOKUP(D117,'Monthly Deduction'!$I$3:$I$957,'Monthly Deduction'!$H$3:$H$957),0)</f>
        <v>0</v>
      </c>
      <c r="G117" s="123" t="str">
        <f>VLOOKUP(D117,'MPG Payment '!$E$3:$G$333666,3,0)</f>
        <v>MPG</v>
      </c>
      <c r="H117" s="124" t="str">
        <f>VLOOKUP(D117,'MPG Payment '!$E$3:$H$333666,4,0)</f>
        <v>Direct</v>
      </c>
      <c r="I117" s="88">
        <f>INDEX('MPG Payment '!$C:$C,MATCH('Shayak Income '!D117,'MPG Payment '!E:E,0))</f>
        <v>1003</v>
      </c>
      <c r="J117" s="88" t="str">
        <f>INDEX('MPG Payment '!$D:$D,MATCH('Shayak Income '!D117,'MPG Payment '!E:E,0))</f>
        <v>Asarganj</v>
      </c>
      <c r="K117" s="125" t="s">
        <v>1594</v>
      </c>
      <c r="L117" s="125">
        <v>45631</v>
      </c>
      <c r="M117" s="126">
        <f>SUMIF('MPG Payment '!$E$3:$E$344841,'Shayak Income '!D117,'MPG Payment '!$I$3:$I$344841)</f>
        <v>14286.800000000001</v>
      </c>
      <c r="N117" s="126">
        <f>SUMIF('MPG Payment '!$E$3:$E$344841,'Shayak Income '!D117,'MPG Payment '!$J$3:$J$344841)</f>
        <v>626488.30999999994</v>
      </c>
      <c r="O117" s="126">
        <f t="shared" si="28"/>
        <v>10715.1</v>
      </c>
      <c r="P117" s="126">
        <f t="shared" si="29"/>
        <v>13572.460000000001</v>
      </c>
      <c r="Q117" s="126">
        <f>SUMIF('MPG Payment '!$E$3:$E$344841,'Shayak Income '!D117,'MPG Payment '!$S$3:$S$344841)</f>
        <v>5008.9399999999996</v>
      </c>
      <c r="R117" s="126">
        <f t="shared" si="20"/>
        <v>18794.649299999997</v>
      </c>
      <c r="S117" s="126">
        <f t="shared" si="21"/>
        <v>5222.1892999999964</v>
      </c>
      <c r="T117" s="126">
        <f t="shared" si="30"/>
        <v>1428.6800000000003</v>
      </c>
      <c r="U117" s="127">
        <f>((((((IF(K117="New",0,SUMIF('MPG Payment '!$E$3:$E$344841,'Shayak Income '!D117,'MPG Payment '!$AC$3:$AC$344841))))+0)+0)+0)+0)+0</f>
        <v>0</v>
      </c>
      <c r="V117" s="127">
        <f t="shared" si="31"/>
        <v>27868</v>
      </c>
      <c r="W117" s="19">
        <f t="shared" si="32"/>
        <v>11860.459564905032</v>
      </c>
      <c r="X117" s="19">
        <v>0</v>
      </c>
      <c r="Y117" s="128">
        <f>IFERROR(VLOOKUP(D117,'Monthly Deduction'!$M$2:$N$640,2,0),0)</f>
        <v>0</v>
      </c>
      <c r="Z117" s="128">
        <v>722</v>
      </c>
      <c r="AA117" s="126">
        <f>IFERROR(VLOOKUP(D117,'Monthly Deduction'!A:B,2,0),0)</f>
        <v>0</v>
      </c>
      <c r="AB117" s="129">
        <f t="shared" si="22"/>
        <v>15286</v>
      </c>
      <c r="AC117" s="130">
        <v>0</v>
      </c>
      <c r="AD117" s="35">
        <f t="shared" si="34"/>
        <v>15286</v>
      </c>
      <c r="AE117" s="166" t="str">
        <f t="shared" si="35"/>
        <v>Release</v>
      </c>
      <c r="AF117" s="127"/>
      <c r="AG117" s="18">
        <v>0</v>
      </c>
      <c r="AH117" s="132" t="s">
        <v>1682</v>
      </c>
      <c r="AI117" s="238">
        <v>0</v>
      </c>
      <c r="AJ117" s="132"/>
      <c r="AK117" s="151">
        <v>3579.9999999999995</v>
      </c>
      <c r="AL117" s="154">
        <f t="shared" si="23"/>
        <v>0</v>
      </c>
      <c r="AM117" s="155"/>
      <c r="AN117" s="19">
        <f t="shared" si="24"/>
        <v>11860.459564905032</v>
      </c>
      <c r="AO117" s="118">
        <f>SUMIF('MPG Payment '!E:E,'Shayak Income '!D117,'MPG Payment '!AJ:AJ)</f>
        <v>0</v>
      </c>
      <c r="AP117" s="19">
        <f t="shared" si="25"/>
        <v>11860.459564905032</v>
      </c>
      <c r="AQ117" s="119">
        <f t="shared" si="36"/>
        <v>11860.459564905032</v>
      </c>
      <c r="AR117" s="91" t="s">
        <v>1144</v>
      </c>
      <c r="AS117" s="91">
        <f t="shared" si="26"/>
        <v>12800</v>
      </c>
      <c r="AT117" s="118"/>
      <c r="AU117" s="118"/>
      <c r="AV117" s="118"/>
    </row>
    <row r="118" spans="1:48" s="20" customFormat="1" x14ac:dyDescent="0.25">
      <c r="A118" s="17">
        <f>IFERROR(VLOOKUP(D118,'Monthly Deduction'!$I$3:$J$957,2,0),0)</f>
        <v>67882.152891346894</v>
      </c>
      <c r="B118" s="17">
        <f>IFERROR(VLOOKUP(D118,'Monthly Deduction'!$E$3:$F$957,2,0),0)</f>
        <v>19200</v>
      </c>
      <c r="C118" s="17">
        <f t="shared" si="27"/>
        <v>87082.152891346894</v>
      </c>
      <c r="D118" s="41">
        <v>10030069</v>
      </c>
      <c r="E118" s="122" t="str">
        <f>VLOOKUP(D118,'MPG Payment '!$E$3:$G$497305,2,0)</f>
        <v>RAGHUNATHPUR</v>
      </c>
      <c r="F118" s="146">
        <f>IFERROR(_xlfn.XLOOKUP(D118,'Monthly Deduction'!$I$3:$I$957,'Monthly Deduction'!$H$3:$H$957),0)</f>
        <v>0</v>
      </c>
      <c r="G118" s="123" t="str">
        <f>VLOOKUP(D118,'MPG Payment '!$E$3:$G$333666,3,0)</f>
        <v>vlc</v>
      </c>
      <c r="H118" s="124" t="str">
        <f>VLOOKUP(D118,'MPG Payment '!$E$3:$H$333666,4,0)</f>
        <v>Indirect</v>
      </c>
      <c r="I118" s="88">
        <f>INDEX('MPG Payment '!$C:$C,MATCH('Shayak Income '!D118,'MPG Payment '!E:E,0))</f>
        <v>1003</v>
      </c>
      <c r="J118" s="88" t="str">
        <f>INDEX('MPG Payment '!$D:$D,MATCH('Shayak Income '!D118,'MPG Payment '!E:E,0))</f>
        <v>Asarganj</v>
      </c>
      <c r="K118" s="125" t="s">
        <v>1594</v>
      </c>
      <c r="L118" s="125">
        <v>45680</v>
      </c>
      <c r="M118" s="126">
        <f>SUMIF('MPG Payment '!$E$3:$E$344841,'Shayak Income '!D118,'MPG Payment '!$I$3:$I$344841)</f>
        <v>4211.0499999999993</v>
      </c>
      <c r="N118" s="126">
        <f>SUMIF('MPG Payment '!$E$3:$E$344841,'Shayak Income '!D118,'MPG Payment '!$J$3:$J$344841)</f>
        <v>149377.22</v>
      </c>
      <c r="O118" s="126">
        <f t="shared" si="28"/>
        <v>3158.2874999999995</v>
      </c>
      <c r="P118" s="126">
        <f t="shared" si="29"/>
        <v>4000.497499999999</v>
      </c>
      <c r="Q118" s="126">
        <f>SUMIF('MPG Payment '!$E$3:$E$344841,'Shayak Income '!D118,'MPG Payment '!$S$3:$S$344841)</f>
        <v>0</v>
      </c>
      <c r="R118" s="126">
        <f t="shared" si="20"/>
        <v>4481.3166000000001</v>
      </c>
      <c r="S118" s="126">
        <f t="shared" si="21"/>
        <v>480.81910000000107</v>
      </c>
      <c r="T118" s="126">
        <f t="shared" si="30"/>
        <v>421.10499999999996</v>
      </c>
      <c r="U118" s="127">
        <f>((((((IF(K118="New",0,SUMIF('MPG Payment '!$E$3:$E$344841,'Shayak Income '!D118,'MPG Payment '!$AC$3:$AC$344841))))+0)+0)+0)+0)+0</f>
        <v>0</v>
      </c>
      <c r="V118" s="127">
        <f t="shared" si="31"/>
        <v>6738</v>
      </c>
      <c r="W118" s="19">
        <f t="shared" si="32"/>
        <v>2987.5444000000002</v>
      </c>
      <c r="X118" s="19">
        <v>0</v>
      </c>
      <c r="Y118" s="128">
        <f>IFERROR(VLOOKUP(D118,'Monthly Deduction'!$M$2:$N$640,2,0),0)</f>
        <v>0</v>
      </c>
      <c r="Z118" s="128">
        <v>0</v>
      </c>
      <c r="AA118" s="126">
        <f>IFERROR(VLOOKUP(D118,'Monthly Deduction'!A:B,2,0),0)</f>
        <v>0</v>
      </c>
      <c r="AB118" s="129">
        <f t="shared" si="22"/>
        <v>3750</v>
      </c>
      <c r="AC118" s="130">
        <f>AB118</f>
        <v>3750</v>
      </c>
      <c r="AD118" s="35">
        <f t="shared" si="34"/>
        <v>0</v>
      </c>
      <c r="AE118" s="166" t="str">
        <f t="shared" si="35"/>
        <v>Yes</v>
      </c>
      <c r="AF118" s="127"/>
      <c r="AG118" s="18">
        <v>0</v>
      </c>
      <c r="AH118" s="120" t="s">
        <v>1683</v>
      </c>
      <c r="AI118" s="238">
        <v>0</v>
      </c>
      <c r="AJ118" s="132"/>
      <c r="AK118" s="151">
        <v>886.5</v>
      </c>
      <c r="AL118" s="154">
        <f t="shared" si="23"/>
        <v>0</v>
      </c>
      <c r="AM118" s="155"/>
      <c r="AN118" s="19">
        <f t="shared" si="24"/>
        <v>2987.5444000000002</v>
      </c>
      <c r="AO118" s="118">
        <f>SUMIF('MPG Payment '!E:E,'Shayak Income '!D118,'MPG Payment '!AJ:AJ)</f>
        <v>0</v>
      </c>
      <c r="AP118" s="19">
        <f t="shared" si="25"/>
        <v>2987.5444000000002</v>
      </c>
      <c r="AQ118" s="119">
        <f t="shared" si="36"/>
        <v>2987.5444000000002</v>
      </c>
      <c r="AR118" s="91" t="s">
        <v>1144</v>
      </c>
      <c r="AS118" s="91">
        <f t="shared" si="26"/>
        <v>19200</v>
      </c>
      <c r="AT118" s="118"/>
      <c r="AU118" s="118"/>
      <c r="AV118" s="118"/>
    </row>
    <row r="119" spans="1:48" s="20" customFormat="1" x14ac:dyDescent="0.25">
      <c r="A119" s="17">
        <f>IFERROR(VLOOKUP(D119,'Monthly Deduction'!$I$3:$J$957,2,0),0)</f>
        <v>49909.766476369528</v>
      </c>
      <c r="B119" s="17">
        <f>IFERROR(VLOOKUP(D119,'Monthly Deduction'!$E$3:$F$957,2,0),0)</f>
        <v>16000</v>
      </c>
      <c r="C119" s="17">
        <f t="shared" si="27"/>
        <v>65909.766476369521</v>
      </c>
      <c r="D119" s="41">
        <v>10030070</v>
      </c>
      <c r="E119" s="122" t="str">
        <f>VLOOKUP(D119,'MPG Payment '!$E$3:$G$497305,2,0)</f>
        <v>BANGAMA</v>
      </c>
      <c r="F119" s="146">
        <f>IFERROR(_xlfn.XLOOKUP(D119,'Monthly Deduction'!$I$3:$I$957,'Monthly Deduction'!$H$3:$H$957),0)</f>
        <v>0</v>
      </c>
      <c r="G119" s="123" t="str">
        <f>VLOOKUP(D119,'MPG Payment '!$E$3:$G$333666,3,0)</f>
        <v>MPG</v>
      </c>
      <c r="H119" s="124" t="str">
        <f>VLOOKUP(D119,'MPG Payment '!$E$3:$H$333666,4,0)</f>
        <v>Direct</v>
      </c>
      <c r="I119" s="88">
        <f>INDEX('MPG Payment '!$C:$C,MATCH('Shayak Income '!D119,'MPG Payment '!E:E,0))</f>
        <v>1003</v>
      </c>
      <c r="J119" s="88" t="str">
        <f>INDEX('MPG Payment '!$D:$D,MATCH('Shayak Income '!D119,'MPG Payment '!E:E,0))</f>
        <v>Asarganj</v>
      </c>
      <c r="K119" s="125" t="s">
        <v>1594</v>
      </c>
      <c r="L119" s="125">
        <v>45738</v>
      </c>
      <c r="M119" s="126">
        <f>SUMIF('MPG Payment '!$E$3:$E$344841,'Shayak Income '!D119,'MPG Payment '!$I$3:$I$344841)</f>
        <v>2797.75</v>
      </c>
      <c r="N119" s="126">
        <f>SUMIF('MPG Payment '!$E$3:$E$344841,'Shayak Income '!D119,'MPG Payment '!$J$3:$J$344841)</f>
        <v>120901.31</v>
      </c>
      <c r="O119" s="126">
        <f t="shared" si="28"/>
        <v>2098.3125</v>
      </c>
      <c r="P119" s="126">
        <f t="shared" si="29"/>
        <v>2657.8624999999997</v>
      </c>
      <c r="Q119" s="126">
        <f>SUMIF('MPG Payment '!$E$3:$E$344841,'Shayak Income '!D119,'MPG Payment '!$S$3:$S$344841)</f>
        <v>2663.42</v>
      </c>
      <c r="R119" s="126">
        <f t="shared" si="20"/>
        <v>3627.0392999999999</v>
      </c>
      <c r="S119" s="126">
        <f t="shared" si="21"/>
        <v>969.17680000000018</v>
      </c>
      <c r="T119" s="126">
        <f t="shared" si="30"/>
        <v>279.77500000000003</v>
      </c>
      <c r="U119" s="127">
        <f>((((((IF(K119="New",0,SUMIF('MPG Payment '!$E$3:$E$344841,'Shayak Income '!D119,'MPG Payment '!$AC$3:$AC$344841))))+0)+0)+0)+0)+0</f>
        <v>88.355962875159349</v>
      </c>
      <c r="V119" s="127">
        <f t="shared" si="31"/>
        <v>7051</v>
      </c>
      <c r="W119" s="19">
        <f t="shared" si="32"/>
        <v>2418.0261999999998</v>
      </c>
      <c r="X119" s="19">
        <v>0</v>
      </c>
      <c r="Y119" s="128">
        <f>IFERROR(VLOOKUP(D119,'Monthly Deduction'!$M$2:$N$640,2,0),0)</f>
        <v>0</v>
      </c>
      <c r="Z119" s="128">
        <v>0</v>
      </c>
      <c r="AA119" s="126">
        <f>IFERROR(VLOOKUP(D119,'Monthly Deduction'!A:B,2,0),0)</f>
        <v>0</v>
      </c>
      <c r="AB119" s="129">
        <f t="shared" si="22"/>
        <v>4633</v>
      </c>
      <c r="AC119" s="130">
        <v>0</v>
      </c>
      <c r="AD119" s="35">
        <f t="shared" si="34"/>
        <v>4633</v>
      </c>
      <c r="AE119" s="166" t="str">
        <f t="shared" si="35"/>
        <v>Release</v>
      </c>
      <c r="AF119" s="127"/>
      <c r="AG119" s="18">
        <v>0</v>
      </c>
      <c r="AH119" s="120"/>
      <c r="AI119" s="238">
        <v>0</v>
      </c>
      <c r="AJ119" s="132"/>
      <c r="AK119" s="151">
        <v>580.1</v>
      </c>
      <c r="AL119" s="154">
        <f t="shared" si="23"/>
        <v>0</v>
      </c>
      <c r="AM119" s="155"/>
      <c r="AN119" s="19">
        <f t="shared" si="24"/>
        <v>2418.0261999999998</v>
      </c>
      <c r="AO119" s="118">
        <f>SUMIF('MPG Payment '!E:E,'Shayak Income '!D119,'MPG Payment '!AJ:AJ)</f>
        <v>0</v>
      </c>
      <c r="AP119" s="19">
        <f t="shared" si="25"/>
        <v>2418.0261999999998</v>
      </c>
      <c r="AQ119" s="119">
        <f t="shared" si="36"/>
        <v>2418.0261999999998</v>
      </c>
      <c r="AR119" s="91" t="s">
        <v>1144</v>
      </c>
      <c r="AS119" s="91">
        <f t="shared" si="26"/>
        <v>16000</v>
      </c>
      <c r="AT119" s="118"/>
      <c r="AU119" s="118"/>
      <c r="AV119" s="118"/>
    </row>
    <row r="120" spans="1:48" s="20" customFormat="1" x14ac:dyDescent="0.25">
      <c r="A120" s="17">
        <f>IFERROR(VLOOKUP(D120,'Monthly Deduction'!$I$3:$J$957,2,0),0)</f>
        <v>63064.274422470662</v>
      </c>
      <c r="B120" s="17">
        <f>IFERROR(VLOOKUP(D120,'Monthly Deduction'!$E$3:$F$957,2,0),0)</f>
        <v>9600</v>
      </c>
      <c r="C120" s="17">
        <f t="shared" si="27"/>
        <v>72664.274422470655</v>
      </c>
      <c r="D120" s="41">
        <v>10030071</v>
      </c>
      <c r="E120" s="122" t="str">
        <f>VLOOKUP(D120,'MPG Payment '!$E$3:$G$497305,2,0)</f>
        <v>KORIYA</v>
      </c>
      <c r="F120" s="146">
        <f>IFERROR(_xlfn.XLOOKUP(D120,'Monthly Deduction'!$I$3:$I$957,'Monthly Deduction'!$H$3:$H$957),0)</f>
        <v>0</v>
      </c>
      <c r="G120" s="123" t="str">
        <f>VLOOKUP(D120,'MPG Payment '!$E$3:$G$333666,3,0)</f>
        <v>MPG</v>
      </c>
      <c r="H120" s="124" t="str">
        <f>VLOOKUP(D120,'MPG Payment '!$E$3:$H$333666,4,0)</f>
        <v>Direct</v>
      </c>
      <c r="I120" s="88">
        <f>INDEX('MPG Payment '!$C:$C,MATCH('Shayak Income '!D120,'MPG Payment '!E:E,0))</f>
        <v>1003</v>
      </c>
      <c r="J120" s="88" t="str">
        <f>INDEX('MPG Payment '!$D:$D,MATCH('Shayak Income '!D120,'MPG Payment '!E:E,0))</f>
        <v>Asarganj</v>
      </c>
      <c r="K120" s="125" t="s">
        <v>1594</v>
      </c>
      <c r="L120" s="125">
        <v>45737</v>
      </c>
      <c r="M120" s="126">
        <f>SUMIF('MPG Payment '!$E$3:$E$344841,'Shayak Income '!D120,'MPG Payment '!$I$3:$I$344841)</f>
        <v>941.2</v>
      </c>
      <c r="N120" s="126">
        <f>SUMIF('MPG Payment '!$E$3:$E$344841,'Shayak Income '!D120,'MPG Payment '!$J$3:$J$344841)</f>
        <v>41183.08</v>
      </c>
      <c r="O120" s="126">
        <f t="shared" si="28"/>
        <v>705.90000000000009</v>
      </c>
      <c r="P120" s="126">
        <f t="shared" si="29"/>
        <v>894.14</v>
      </c>
      <c r="Q120" s="126">
        <f>SUMIF('MPG Payment '!$E$3:$E$344841,'Shayak Income '!D120,'MPG Payment '!$S$3:$S$344841)</f>
        <v>0</v>
      </c>
      <c r="R120" s="126">
        <f t="shared" si="20"/>
        <v>1235.4924000000001</v>
      </c>
      <c r="S120" s="126">
        <f t="shared" si="21"/>
        <v>341.3524000000001</v>
      </c>
      <c r="T120" s="126">
        <f t="shared" si="30"/>
        <v>94.12</v>
      </c>
      <c r="U120" s="127">
        <f>((((((IF(K120="New",0,SUMIF('MPG Payment '!$E$3:$E$344841,'Shayak Income '!D120,'MPG Payment '!$AC$3:$AC$344841))))+0)+0)+0)+0)+-121</f>
        <v>1505.6408511743662</v>
      </c>
      <c r="V120" s="127">
        <f t="shared" si="31"/>
        <v>0</v>
      </c>
      <c r="W120" s="19">
        <v>0</v>
      </c>
      <c r="X120" s="19">
        <v>0</v>
      </c>
      <c r="Y120" s="128">
        <v>0</v>
      </c>
      <c r="Z120" s="128">
        <v>0</v>
      </c>
      <c r="AA120" s="126">
        <v>0</v>
      </c>
      <c r="AB120" s="129">
        <f t="shared" si="22"/>
        <v>0</v>
      </c>
      <c r="AC120" s="130">
        <f>AB120</f>
        <v>0</v>
      </c>
      <c r="AD120" s="35">
        <f t="shared" si="34"/>
        <v>0</v>
      </c>
      <c r="AE120" s="166" t="str">
        <f t="shared" si="35"/>
        <v>Release</v>
      </c>
      <c r="AF120" s="127"/>
      <c r="AG120" s="18">
        <v>0</v>
      </c>
      <c r="AH120" s="120" t="s">
        <v>1683</v>
      </c>
      <c r="AI120" s="238">
        <v>0</v>
      </c>
      <c r="AJ120" s="132"/>
      <c r="AK120" s="151">
        <v>167</v>
      </c>
      <c r="AL120" s="154">
        <f t="shared" si="23"/>
        <v>0</v>
      </c>
      <c r="AM120" s="155"/>
      <c r="AN120" s="19">
        <f t="shared" si="24"/>
        <v>1861</v>
      </c>
      <c r="AO120" s="118">
        <f>SUMIF('MPG Payment '!E:E,'Shayak Income '!D120,'MPG Payment '!AJ:AJ)</f>
        <v>1500</v>
      </c>
      <c r="AP120" s="19">
        <f t="shared" si="25"/>
        <v>0</v>
      </c>
      <c r="AQ120" s="119">
        <f t="shared" si="36"/>
        <v>1500</v>
      </c>
      <c r="AR120" s="91" t="s">
        <v>1144</v>
      </c>
      <c r="AS120" s="91">
        <f t="shared" si="26"/>
        <v>9600</v>
      </c>
      <c r="AT120" s="118"/>
      <c r="AU120" s="118"/>
      <c r="AV120" s="118"/>
    </row>
    <row r="121" spans="1:48" s="20" customFormat="1" x14ac:dyDescent="0.25">
      <c r="A121" s="17">
        <f>IFERROR(VLOOKUP(D121,'Monthly Deduction'!$I$3:$J$957,2,0),0)</f>
        <v>60602.393178182901</v>
      </c>
      <c r="B121" s="17">
        <f>IFERROR(VLOOKUP(D121,'Monthly Deduction'!$E$3:$F$957,2,0),0)</f>
        <v>12800</v>
      </c>
      <c r="C121" s="17">
        <f t="shared" si="27"/>
        <v>73402.393178182901</v>
      </c>
      <c r="D121" s="41">
        <v>10030072</v>
      </c>
      <c r="E121" s="122" t="str">
        <f>VLOOKUP(D121,'MPG Payment '!$E$3:$G$497305,2,0)</f>
        <v>HARLACHAK</v>
      </c>
      <c r="F121" s="146">
        <f>IFERROR(_xlfn.XLOOKUP(D121,'Monthly Deduction'!$I$3:$I$957,'Monthly Deduction'!$H$3:$H$957),0)</f>
        <v>0</v>
      </c>
      <c r="G121" s="123" t="str">
        <f>VLOOKUP(D121,'MPG Payment '!$E$3:$G$333666,3,0)</f>
        <v>MPG</v>
      </c>
      <c r="H121" s="124" t="str">
        <f>VLOOKUP(D121,'MPG Payment '!$E$3:$H$333666,4,0)</f>
        <v>Direct</v>
      </c>
      <c r="I121" s="88">
        <f>INDEX('MPG Payment '!$C:$C,MATCH('Shayak Income '!D121,'MPG Payment '!E:E,0))</f>
        <v>1003</v>
      </c>
      <c r="J121" s="88" t="str">
        <f>INDEX('MPG Payment '!$D:$D,MATCH('Shayak Income '!D121,'MPG Payment '!E:E,0))</f>
        <v>Asarganj</v>
      </c>
      <c r="K121" s="125" t="s">
        <v>1594</v>
      </c>
      <c r="L121" s="125">
        <v>45847</v>
      </c>
      <c r="M121" s="126">
        <f>SUMIF('MPG Payment '!$E$3:$E$344841,'Shayak Income '!D121,'MPG Payment '!$I$3:$I$344841)</f>
        <v>5082.8</v>
      </c>
      <c r="N121" s="126">
        <f>SUMIF('MPG Payment '!$E$3:$E$344841,'Shayak Income '!D121,'MPG Payment '!$J$3:$J$344841)</f>
        <v>208070.96999999997</v>
      </c>
      <c r="O121" s="126">
        <f t="shared" si="28"/>
        <v>3812.1000000000004</v>
      </c>
      <c r="P121" s="126">
        <f t="shared" si="29"/>
        <v>4828.66</v>
      </c>
      <c r="Q121" s="126">
        <f>SUMIF('MPG Payment '!$E$3:$E$344841,'Shayak Income '!D121,'MPG Payment '!$S$3:$S$344841)</f>
        <v>2123.0500000000002</v>
      </c>
      <c r="R121" s="126">
        <f t="shared" si="20"/>
        <v>6242.1290999999992</v>
      </c>
      <c r="S121" s="126">
        <f t="shared" si="21"/>
        <v>1413.4690999999993</v>
      </c>
      <c r="T121" s="126">
        <f t="shared" si="30"/>
        <v>508.28000000000003</v>
      </c>
      <c r="U121" s="127">
        <f>((((((IF(K121="New",0,SUMIF('MPG Payment '!$E$3:$E$344841,'Shayak Income '!D121,'MPG Payment '!$AC$3:$AC$344841))))+0)+0)+0)+0)+0</f>
        <v>0</v>
      </c>
      <c r="V121" s="127">
        <f t="shared" si="31"/>
        <v>10256</v>
      </c>
      <c r="W121" s="19">
        <f t="shared" si="32"/>
        <v>4161.4193999999998</v>
      </c>
      <c r="X121" s="19">
        <v>0</v>
      </c>
      <c r="Y121" s="128">
        <f>IFERROR(VLOOKUP(D121,'Monthly Deduction'!$M$2:$N$640,2,0),0)</f>
        <v>0</v>
      </c>
      <c r="Z121" s="128">
        <v>6095</v>
      </c>
      <c r="AA121" s="126">
        <f>IFERROR(VLOOKUP(D121,'Monthly Deduction'!A:B,2,0),0)</f>
        <v>0</v>
      </c>
      <c r="AB121" s="129">
        <f t="shared" si="22"/>
        <v>0</v>
      </c>
      <c r="AC121" s="130">
        <v>0</v>
      </c>
      <c r="AD121" s="35">
        <f t="shared" si="34"/>
        <v>0</v>
      </c>
      <c r="AE121" s="166" t="str">
        <f t="shared" si="35"/>
        <v>Release</v>
      </c>
      <c r="AF121" s="127"/>
      <c r="AG121" s="18">
        <v>0</v>
      </c>
      <c r="AH121" s="132" t="s">
        <v>1682</v>
      </c>
      <c r="AI121" s="238">
        <v>0</v>
      </c>
      <c r="AJ121" s="132"/>
      <c r="AK121" s="151">
        <v>1215.75</v>
      </c>
      <c r="AL121" s="154">
        <f t="shared" si="23"/>
        <v>0</v>
      </c>
      <c r="AM121" s="155"/>
      <c r="AN121" s="19">
        <f t="shared" si="24"/>
        <v>4161.4193999999998</v>
      </c>
      <c r="AO121" s="118">
        <f>SUMIF('MPG Payment '!E:E,'Shayak Income '!D121,'MPG Payment '!AJ:AJ)</f>
        <v>0</v>
      </c>
      <c r="AP121" s="19">
        <f t="shared" si="25"/>
        <v>4161.4193999999998</v>
      </c>
      <c r="AQ121" s="119">
        <f t="shared" si="36"/>
        <v>4161.4193999999998</v>
      </c>
      <c r="AR121" s="91" t="s">
        <v>1144</v>
      </c>
      <c r="AS121" s="91">
        <f t="shared" si="26"/>
        <v>12800</v>
      </c>
      <c r="AT121" s="118"/>
      <c r="AU121" s="118"/>
      <c r="AV121" s="118"/>
    </row>
    <row r="122" spans="1:48" s="20" customFormat="1" x14ac:dyDescent="0.25">
      <c r="A122" s="17">
        <f>IFERROR(VLOOKUP(D122,'Monthly Deduction'!$I$3:$J$957,2,0),0)</f>
        <v>76566.329806128604</v>
      </c>
      <c r="B122" s="17">
        <f>IFERROR(VLOOKUP(D122,'Monthly Deduction'!$E$3:$F$957,2,0),0)</f>
        <v>6400</v>
      </c>
      <c r="C122" s="17">
        <f t="shared" si="27"/>
        <v>82966.329806128604</v>
      </c>
      <c r="D122" s="41">
        <v>10030075</v>
      </c>
      <c r="E122" s="122" t="str">
        <f>VLOOKUP(D122,'MPG Payment '!$E$3:$G$497305,2,0)</f>
        <v>KATAHRA</v>
      </c>
      <c r="F122" s="146">
        <f>IFERROR(_xlfn.XLOOKUP(D122,'Monthly Deduction'!$I$3:$I$957,'Monthly Deduction'!$H$3:$H$957),0)</f>
        <v>0</v>
      </c>
      <c r="G122" s="123" t="str">
        <f>VLOOKUP(D122,'MPG Payment '!$E$3:$G$333666,3,0)</f>
        <v>MPG</v>
      </c>
      <c r="H122" s="124" t="str">
        <f>VLOOKUP(D122,'MPG Payment '!$E$3:$H$333666,4,0)</f>
        <v>Direct</v>
      </c>
      <c r="I122" s="88">
        <f>INDEX('MPG Payment '!$C:$C,MATCH('Shayak Income '!D122,'MPG Payment '!E:E,0))</f>
        <v>1003</v>
      </c>
      <c r="J122" s="88" t="str">
        <f>INDEX('MPG Payment '!$D:$D,MATCH('Shayak Income '!D122,'MPG Payment '!E:E,0))</f>
        <v>Asarganj</v>
      </c>
      <c r="K122" s="125" t="s">
        <v>1594</v>
      </c>
      <c r="L122" s="125">
        <v>45869</v>
      </c>
      <c r="M122" s="126">
        <f>SUMIF('MPG Payment '!$E$3:$E$344841,'Shayak Income '!D122,'MPG Payment '!$I$3:$I$344841)</f>
        <v>2043</v>
      </c>
      <c r="N122" s="126">
        <f>SUMIF('MPG Payment '!$E$3:$E$344841,'Shayak Income '!D122,'MPG Payment '!$J$3:$J$344841)</f>
        <v>91591.800000000017</v>
      </c>
      <c r="O122" s="126">
        <f t="shared" si="28"/>
        <v>1532.25</v>
      </c>
      <c r="P122" s="126">
        <f t="shared" si="29"/>
        <v>1940.85</v>
      </c>
      <c r="Q122" s="126">
        <f>SUMIF('MPG Payment '!$E$3:$E$344841,'Shayak Income '!D122,'MPG Payment '!$S$3:$S$344841)</f>
        <v>0</v>
      </c>
      <c r="R122" s="126">
        <f t="shared" si="20"/>
        <v>2747.7540000000004</v>
      </c>
      <c r="S122" s="126">
        <f t="shared" si="21"/>
        <v>806.90400000000045</v>
      </c>
      <c r="T122" s="126">
        <f t="shared" si="30"/>
        <v>204.3</v>
      </c>
      <c r="U122" s="127">
        <f>((((((IF(K122="New",0,SUMIF('MPG Payment '!$E$3:$E$344841,'Shayak Income '!D122,'MPG Payment '!$AC$3:$AC$344841))))+0)+0)+0)+0)+0</f>
        <v>677.36957591926466</v>
      </c>
      <c r="V122" s="127">
        <f t="shared" si="31"/>
        <v>2591</v>
      </c>
      <c r="W122" s="19">
        <f t="shared" si="32"/>
        <v>1861</v>
      </c>
      <c r="X122" s="19">
        <v>0</v>
      </c>
      <c r="Y122" s="128">
        <f>IFERROR(VLOOKUP(D122,'Monthly Deduction'!$M$2:$N$640,2,0),0)</f>
        <v>0</v>
      </c>
      <c r="Z122" s="128">
        <v>0</v>
      </c>
      <c r="AA122" s="126">
        <f>IFERROR(VLOOKUP(D122,'Monthly Deduction'!A:B,2,0),0)</f>
        <v>0</v>
      </c>
      <c r="AB122" s="129">
        <f t="shared" si="22"/>
        <v>730</v>
      </c>
      <c r="AC122" s="130">
        <f>AB122</f>
        <v>730</v>
      </c>
      <c r="AD122" s="35">
        <f t="shared" si="34"/>
        <v>0</v>
      </c>
      <c r="AE122" s="166" t="str">
        <f t="shared" si="35"/>
        <v>Yes</v>
      </c>
      <c r="AF122" s="127"/>
      <c r="AG122" s="18">
        <v>0</v>
      </c>
      <c r="AH122" s="120" t="s">
        <v>1683</v>
      </c>
      <c r="AI122" s="238">
        <v>0</v>
      </c>
      <c r="AJ122" s="132"/>
      <c r="AK122" s="151">
        <v>243.9</v>
      </c>
      <c r="AL122" s="154">
        <f t="shared" si="23"/>
        <v>0</v>
      </c>
      <c r="AM122" s="155"/>
      <c r="AN122" s="19">
        <f t="shared" si="24"/>
        <v>1861</v>
      </c>
      <c r="AO122" s="118">
        <f>SUMIF('MPG Payment '!E:E,'Shayak Income '!D122,'MPG Payment '!AJ:AJ)</f>
        <v>0</v>
      </c>
      <c r="AP122" s="19">
        <f t="shared" si="25"/>
        <v>1861</v>
      </c>
      <c r="AQ122" s="119">
        <f t="shared" si="36"/>
        <v>1861</v>
      </c>
      <c r="AR122" s="91" t="s">
        <v>1144</v>
      </c>
      <c r="AS122" s="91">
        <f t="shared" si="26"/>
        <v>6400</v>
      </c>
      <c r="AT122" s="118"/>
      <c r="AU122" s="118"/>
      <c r="AV122" s="118"/>
    </row>
    <row r="123" spans="1:48" s="20" customFormat="1" x14ac:dyDescent="0.25">
      <c r="A123" s="17">
        <f>IFERROR(VLOOKUP(D123,'Monthly Deduction'!$I$3:$J$957,2,0),0)</f>
        <v>0</v>
      </c>
      <c r="B123" s="17">
        <f>IFERROR(VLOOKUP(D123,'Monthly Deduction'!$E$3:$F$957,2,0),0)</f>
        <v>0</v>
      </c>
      <c r="C123" s="17">
        <f t="shared" si="27"/>
        <v>0</v>
      </c>
      <c r="D123" s="41">
        <v>10060002</v>
      </c>
      <c r="E123" s="122" t="str">
        <f>VLOOKUP(D123,'MPG Payment '!$E$3:$G$497305,2,0)</f>
        <v>MANO</v>
      </c>
      <c r="F123" s="146">
        <f>IFERROR(_xlfn.XLOOKUP(D123,'Monthly Deduction'!$I$3:$I$957,'Monthly Deduction'!$H$3:$H$957),0)</f>
        <v>0</v>
      </c>
      <c r="G123" s="123" t="str">
        <f>VLOOKUP(D123,'MPG Payment '!$E$3:$G$333666,3,0)</f>
        <v>vlc</v>
      </c>
      <c r="H123" s="124" t="str">
        <f>VLOOKUP(D123,'MPG Payment '!$E$3:$H$333666,4,0)</f>
        <v>Indirect</v>
      </c>
      <c r="I123" s="88">
        <f>INDEX('MPG Payment '!$C:$C,MATCH('Shayak Income '!D123,'MPG Payment '!E:E,0))</f>
        <v>1006</v>
      </c>
      <c r="J123" s="88" t="str">
        <f>INDEX('MPG Payment '!$D:$D,MATCH('Shayak Income '!D123,'MPG Payment '!E:E,0))</f>
        <v>Sonvarsha</v>
      </c>
      <c r="K123" s="125" t="s">
        <v>1594</v>
      </c>
      <c r="L123" s="125">
        <v>42979</v>
      </c>
      <c r="M123" s="126">
        <f>SUMIF('MPG Payment '!$E$3:$E$344841,'Shayak Income '!D123,'MPG Payment '!$I$3:$I$344841)</f>
        <v>4422.8999999999996</v>
      </c>
      <c r="N123" s="126">
        <f>SUMIF('MPG Payment '!$E$3:$E$344841,'Shayak Income '!D123,'MPG Payment '!$J$3:$J$344841)</f>
        <v>187004.81999999998</v>
      </c>
      <c r="O123" s="126">
        <f t="shared" si="28"/>
        <v>3317.1749999999997</v>
      </c>
      <c r="P123" s="126">
        <f t="shared" si="29"/>
        <v>4201.7549999999992</v>
      </c>
      <c r="Q123" s="126">
        <f>SUMIF('MPG Payment '!$E$3:$E$344841,'Shayak Income '!D123,'MPG Payment '!$S$3:$S$344841)</f>
        <v>0</v>
      </c>
      <c r="R123" s="126">
        <f t="shared" si="20"/>
        <v>5610.1445999999987</v>
      </c>
      <c r="S123" s="126">
        <f t="shared" si="21"/>
        <v>1408.3895999999995</v>
      </c>
      <c r="T123" s="126">
        <f t="shared" si="30"/>
        <v>442.28999999999996</v>
      </c>
      <c r="U123" s="127">
        <f>((((((IF(K123="New",0,SUMIF('MPG Payment '!$E$3:$E$344841,'Shayak Income '!D123,'MPG Payment '!$AC$3:$AC$344841))))+0)+0)+0)+0)+0</f>
        <v>0</v>
      </c>
      <c r="V123" s="127">
        <f t="shared" si="31"/>
        <v>7077</v>
      </c>
      <c r="W123" s="19">
        <f t="shared" si="32"/>
        <v>0</v>
      </c>
      <c r="X123" s="19">
        <f t="shared" si="37"/>
        <v>0</v>
      </c>
      <c r="Y123" s="128">
        <f>IFERROR(VLOOKUP(D123,'Monthly Deduction'!$M$2:$N$640,2,0),0)</f>
        <v>0</v>
      </c>
      <c r="Z123" s="128">
        <v>0</v>
      </c>
      <c r="AA123" s="126">
        <f>IFERROR(VLOOKUP(D123,'Monthly Deduction'!A:B,2,0),0)</f>
        <v>0</v>
      </c>
      <c r="AB123" s="129">
        <f t="shared" si="22"/>
        <v>7077</v>
      </c>
      <c r="AC123" s="130">
        <v>0</v>
      </c>
      <c r="AD123" s="35">
        <f t="shared" si="34"/>
        <v>7077</v>
      </c>
      <c r="AE123" s="166" t="str">
        <f t="shared" si="35"/>
        <v>Release</v>
      </c>
      <c r="AF123" s="127"/>
      <c r="AG123" s="18">
        <v>0</v>
      </c>
      <c r="AH123" s="120"/>
      <c r="AI123" s="238">
        <v>0</v>
      </c>
      <c r="AJ123" s="132"/>
      <c r="AK123" s="151">
        <v>702</v>
      </c>
      <c r="AL123" s="154">
        <f t="shared" si="23"/>
        <v>0</v>
      </c>
      <c r="AM123" s="155"/>
      <c r="AN123" s="19">
        <f t="shared" si="24"/>
        <v>0</v>
      </c>
      <c r="AO123" s="118">
        <f>SUMIF('MPG Payment '!E:E,'Shayak Income '!D123,'MPG Payment '!AJ:AJ)</f>
        <v>0</v>
      </c>
      <c r="AP123" s="19">
        <f t="shared" si="25"/>
        <v>0</v>
      </c>
      <c r="AQ123" s="119">
        <f t="shared" si="36"/>
        <v>0</v>
      </c>
      <c r="AR123" s="91" t="s">
        <v>1144</v>
      </c>
      <c r="AS123" s="91">
        <f t="shared" si="26"/>
        <v>0</v>
      </c>
      <c r="AT123" s="118"/>
      <c r="AU123" s="118"/>
      <c r="AV123" s="118"/>
    </row>
    <row r="124" spans="1:48" s="20" customFormat="1" x14ac:dyDescent="0.25">
      <c r="A124" s="17">
        <f>IFERROR(VLOOKUP(D124,'Monthly Deduction'!$I$3:$J$957,2,0),0)</f>
        <v>0</v>
      </c>
      <c r="B124" s="17">
        <f>IFERROR(VLOOKUP(D124,'Monthly Deduction'!$E$3:$F$957,2,0),0)</f>
        <v>0</v>
      </c>
      <c r="C124" s="17">
        <f t="shared" si="27"/>
        <v>0</v>
      </c>
      <c r="D124" s="41">
        <v>10060003</v>
      </c>
      <c r="E124" s="122" t="str">
        <f>VLOOKUP(D124,'MPG Payment '!$E$3:$G$497305,2,0)</f>
        <v>PURANI SALEMPUR</v>
      </c>
      <c r="F124" s="146">
        <f>IFERROR(_xlfn.XLOOKUP(D124,'Monthly Deduction'!$I$3:$I$957,'Monthly Deduction'!$H$3:$H$957),0)</f>
        <v>0</v>
      </c>
      <c r="G124" s="123" t="str">
        <f>VLOOKUP(D124,'MPG Payment '!$E$3:$G$333666,3,0)</f>
        <v>vlc</v>
      </c>
      <c r="H124" s="124" t="str">
        <f>VLOOKUP(D124,'MPG Payment '!$E$3:$H$333666,4,0)</f>
        <v>Indirect</v>
      </c>
      <c r="I124" s="88">
        <f>INDEX('MPG Payment '!$C:$C,MATCH('Shayak Income '!D124,'MPG Payment '!E:E,0))</f>
        <v>1006</v>
      </c>
      <c r="J124" s="88" t="str">
        <f>INDEX('MPG Payment '!$D:$D,MATCH('Shayak Income '!D124,'MPG Payment '!E:E,0))</f>
        <v>Sonvarsha</v>
      </c>
      <c r="K124" s="125" t="s">
        <v>1594</v>
      </c>
      <c r="L124" s="125">
        <v>42979</v>
      </c>
      <c r="M124" s="126">
        <f>SUMIF('MPG Payment '!$E$3:$E$344841,'Shayak Income '!D124,'MPG Payment '!$I$3:$I$344841)</f>
        <v>6816.4</v>
      </c>
      <c r="N124" s="126">
        <f>SUMIF('MPG Payment '!$E$3:$E$344841,'Shayak Income '!D124,'MPG Payment '!$J$3:$J$344841)</f>
        <v>276214.2</v>
      </c>
      <c r="O124" s="126">
        <f t="shared" si="28"/>
        <v>5112.2999999999993</v>
      </c>
      <c r="P124" s="126">
        <f t="shared" si="29"/>
        <v>6475.579999999999</v>
      </c>
      <c r="Q124" s="126">
        <f>SUMIF('MPG Payment '!$E$3:$E$344841,'Shayak Income '!D124,'MPG Payment '!$S$3:$S$344841)</f>
        <v>0</v>
      </c>
      <c r="R124" s="126">
        <f t="shared" si="20"/>
        <v>8286.4259999999995</v>
      </c>
      <c r="S124" s="126">
        <f t="shared" si="21"/>
        <v>1810.8460000000005</v>
      </c>
      <c r="T124" s="126">
        <f t="shared" si="30"/>
        <v>681.64</v>
      </c>
      <c r="U124" s="127">
        <f>((((((IF(K124="New",0,SUMIF('MPG Payment '!$E$3:$E$344841,'Shayak Income '!D124,'MPG Payment '!$AC$3:$AC$344841))))+0)+0)+0)+0)+0</f>
        <v>0</v>
      </c>
      <c r="V124" s="127">
        <f t="shared" si="31"/>
        <v>10906</v>
      </c>
      <c r="W124" s="19">
        <f t="shared" si="32"/>
        <v>0</v>
      </c>
      <c r="X124" s="19">
        <f t="shared" si="37"/>
        <v>0</v>
      </c>
      <c r="Y124" s="128">
        <f>IFERROR(VLOOKUP(D124,'Monthly Deduction'!$M$2:$N$640,2,0),0)</f>
        <v>0</v>
      </c>
      <c r="Z124" s="128">
        <v>0</v>
      </c>
      <c r="AA124" s="126">
        <f>IFERROR(VLOOKUP(D124,'Monthly Deduction'!A:B,2,0),0)</f>
        <v>0</v>
      </c>
      <c r="AB124" s="129">
        <f t="shared" si="22"/>
        <v>10906</v>
      </c>
      <c r="AC124" s="130">
        <v>0</v>
      </c>
      <c r="AD124" s="35">
        <f t="shared" si="34"/>
        <v>10906</v>
      </c>
      <c r="AE124" s="166" t="str">
        <f t="shared" si="35"/>
        <v>Release</v>
      </c>
      <c r="AF124" s="127"/>
      <c r="AG124" s="18">
        <v>0</v>
      </c>
      <c r="AH124" s="120"/>
      <c r="AI124" s="238">
        <v>0</v>
      </c>
      <c r="AJ124" s="132"/>
      <c r="AK124" s="151">
        <v>1222.8999999999999</v>
      </c>
      <c r="AL124" s="154">
        <f t="shared" si="23"/>
        <v>0</v>
      </c>
      <c r="AM124" s="155"/>
      <c r="AN124" s="19">
        <f t="shared" si="24"/>
        <v>0</v>
      </c>
      <c r="AO124" s="118">
        <f>SUMIF('MPG Payment '!E:E,'Shayak Income '!D124,'MPG Payment '!AJ:AJ)</f>
        <v>0</v>
      </c>
      <c r="AP124" s="19">
        <f t="shared" si="25"/>
        <v>0</v>
      </c>
      <c r="AQ124" s="119">
        <f t="shared" si="36"/>
        <v>0</v>
      </c>
      <c r="AR124" s="91" t="s">
        <v>1144</v>
      </c>
      <c r="AS124" s="91">
        <f t="shared" si="26"/>
        <v>0</v>
      </c>
      <c r="AT124" s="118"/>
      <c r="AU124" s="118"/>
      <c r="AV124" s="118"/>
    </row>
    <row r="125" spans="1:48" s="20" customFormat="1" x14ac:dyDescent="0.25">
      <c r="A125" s="17">
        <f>IFERROR(VLOOKUP(D125,'Monthly Deduction'!$I$3:$J$957,2,0),0)</f>
        <v>0</v>
      </c>
      <c r="B125" s="17">
        <f>IFERROR(VLOOKUP(D125,'Monthly Deduction'!$E$3:$F$957,2,0),0)</f>
        <v>0</v>
      </c>
      <c r="C125" s="17">
        <f t="shared" si="27"/>
        <v>0</v>
      </c>
      <c r="D125" s="41">
        <v>10060004</v>
      </c>
      <c r="E125" s="122" t="str">
        <f>VLOOKUP(D125,'MPG Payment '!$E$3:$G$497305,2,0)</f>
        <v>DHANDHHA</v>
      </c>
      <c r="F125" s="146">
        <f>IFERROR(_xlfn.XLOOKUP(D125,'Monthly Deduction'!$I$3:$I$957,'Monthly Deduction'!$H$3:$H$957),0)</f>
        <v>0</v>
      </c>
      <c r="G125" s="123" t="str">
        <f>VLOOKUP(D125,'MPG Payment '!$E$3:$G$333666,3,0)</f>
        <v>vlc</v>
      </c>
      <c r="H125" s="124" t="str">
        <f>VLOOKUP(D125,'MPG Payment '!$E$3:$H$333666,4,0)</f>
        <v>Indirect</v>
      </c>
      <c r="I125" s="88">
        <f>INDEX('MPG Payment '!$C:$C,MATCH('Shayak Income '!D125,'MPG Payment '!E:E,0))</f>
        <v>1006</v>
      </c>
      <c r="J125" s="88" t="str">
        <f>INDEX('MPG Payment '!$D:$D,MATCH('Shayak Income '!D125,'MPG Payment '!E:E,0))</f>
        <v>Sonvarsha</v>
      </c>
      <c r="K125" s="125" t="s">
        <v>1594</v>
      </c>
      <c r="L125" s="125">
        <v>42979</v>
      </c>
      <c r="M125" s="126">
        <f>SUMIF('MPG Payment '!$E$3:$E$344841,'Shayak Income '!D125,'MPG Payment '!$I$3:$I$344841)</f>
        <v>10780.6</v>
      </c>
      <c r="N125" s="126">
        <f>SUMIF('MPG Payment '!$E$3:$E$344841,'Shayak Income '!D125,'MPG Payment '!$J$3:$J$344841)</f>
        <v>436483.83</v>
      </c>
      <c r="O125" s="126">
        <f t="shared" si="28"/>
        <v>8085.4500000000007</v>
      </c>
      <c r="P125" s="126">
        <f t="shared" si="29"/>
        <v>10241.57</v>
      </c>
      <c r="Q125" s="126">
        <f>SUMIF('MPG Payment '!$E$3:$E$344841,'Shayak Income '!D125,'MPG Payment '!$S$3:$S$344841)</f>
        <v>0</v>
      </c>
      <c r="R125" s="126">
        <f t="shared" si="20"/>
        <v>13094.5149</v>
      </c>
      <c r="S125" s="126">
        <f t="shared" si="21"/>
        <v>2852.9449000000004</v>
      </c>
      <c r="T125" s="126">
        <f t="shared" si="30"/>
        <v>1078.0600000000002</v>
      </c>
      <c r="U125" s="127">
        <f>((((((IF(K125="New",0,SUMIF('MPG Payment '!$E$3:$E$344841,'Shayak Income '!D125,'MPG Payment '!$AC$3:$AC$344841))))+0)+0)+0)+0)+0</f>
        <v>0</v>
      </c>
      <c r="V125" s="127">
        <f t="shared" si="31"/>
        <v>17249</v>
      </c>
      <c r="W125" s="19">
        <f t="shared" si="32"/>
        <v>0</v>
      </c>
      <c r="X125" s="19">
        <f t="shared" si="37"/>
        <v>0</v>
      </c>
      <c r="Y125" s="128">
        <f>IFERROR(VLOOKUP(D125,'Monthly Deduction'!$M$2:$N$640,2,0),0)</f>
        <v>0</v>
      </c>
      <c r="Z125" s="128">
        <v>0</v>
      </c>
      <c r="AA125" s="126">
        <f>IFERROR(VLOOKUP(D125,'Monthly Deduction'!A:B,2,0),0)</f>
        <v>0</v>
      </c>
      <c r="AB125" s="129">
        <f t="shared" si="22"/>
        <v>17249</v>
      </c>
      <c r="AC125" s="130">
        <v>0</v>
      </c>
      <c r="AD125" s="35">
        <f t="shared" si="34"/>
        <v>17249</v>
      </c>
      <c r="AE125" s="166" t="str">
        <f t="shared" si="35"/>
        <v>Release</v>
      </c>
      <c r="AF125" s="127"/>
      <c r="AG125" s="18">
        <v>0</v>
      </c>
      <c r="AH125" s="120"/>
      <c r="AI125" s="238">
        <v>0</v>
      </c>
      <c r="AJ125" s="132"/>
      <c r="AK125" s="151">
        <v>2461.8000000000006</v>
      </c>
      <c r="AL125" s="154">
        <f t="shared" si="23"/>
        <v>0</v>
      </c>
      <c r="AM125" s="155"/>
      <c r="AN125" s="19">
        <f t="shared" si="24"/>
        <v>0</v>
      </c>
      <c r="AO125" s="118">
        <f>SUMIF('MPG Payment '!E:E,'Shayak Income '!D125,'MPG Payment '!AJ:AJ)</f>
        <v>0</v>
      </c>
      <c r="AP125" s="19">
        <f t="shared" si="25"/>
        <v>0</v>
      </c>
      <c r="AQ125" s="119">
        <f t="shared" si="36"/>
        <v>0</v>
      </c>
      <c r="AR125" s="91" t="s">
        <v>1144</v>
      </c>
      <c r="AS125" s="91">
        <f t="shared" si="26"/>
        <v>0</v>
      </c>
      <c r="AT125" s="118"/>
      <c r="AU125" s="118"/>
      <c r="AV125" s="118"/>
    </row>
    <row r="126" spans="1:48" s="20" customFormat="1" x14ac:dyDescent="0.25">
      <c r="A126" s="17">
        <f>IFERROR(VLOOKUP(D126,'Monthly Deduction'!$I$3:$J$957,2,0),0)</f>
        <v>0</v>
      </c>
      <c r="B126" s="17">
        <f>IFERROR(VLOOKUP(D126,'Monthly Deduction'!$E$3:$F$957,2,0),0)</f>
        <v>0</v>
      </c>
      <c r="C126" s="17">
        <f t="shared" si="27"/>
        <v>0</v>
      </c>
      <c r="D126" s="41">
        <v>10060005</v>
      </c>
      <c r="E126" s="122" t="str">
        <f>VLOOKUP(D126,'MPG Payment '!$E$3:$G$497305,2,0)</f>
        <v>CHALISH</v>
      </c>
      <c r="F126" s="146">
        <f>IFERROR(_xlfn.XLOOKUP(D126,'Monthly Deduction'!$I$3:$I$957,'Monthly Deduction'!$H$3:$H$957),0)</f>
        <v>0</v>
      </c>
      <c r="G126" s="123" t="str">
        <f>VLOOKUP(D126,'MPG Payment '!$E$3:$G$333666,3,0)</f>
        <v>vlc</v>
      </c>
      <c r="H126" s="124" t="str">
        <f>VLOOKUP(D126,'MPG Payment '!$E$3:$H$333666,4,0)</f>
        <v>Indirect</v>
      </c>
      <c r="I126" s="88">
        <f>INDEX('MPG Payment '!$C:$C,MATCH('Shayak Income '!D126,'MPG Payment '!E:E,0))</f>
        <v>1006</v>
      </c>
      <c r="J126" s="88" t="str">
        <f>INDEX('MPG Payment '!$D:$D,MATCH('Shayak Income '!D126,'MPG Payment '!E:E,0))</f>
        <v>Sonvarsha</v>
      </c>
      <c r="K126" s="125" t="s">
        <v>1594</v>
      </c>
      <c r="L126" s="125">
        <v>42979</v>
      </c>
      <c r="M126" s="126">
        <f>SUMIF('MPG Payment '!$E$3:$E$344841,'Shayak Income '!D126,'MPG Payment '!$I$3:$I$344841)</f>
        <v>3231.7999999999997</v>
      </c>
      <c r="N126" s="126">
        <f>SUMIF('MPG Payment '!$E$3:$E$344841,'Shayak Income '!D126,'MPG Payment '!$J$3:$J$344841)</f>
        <v>135306.63999999998</v>
      </c>
      <c r="O126" s="126">
        <f t="shared" si="28"/>
        <v>2423.85</v>
      </c>
      <c r="P126" s="126">
        <f t="shared" si="29"/>
        <v>3070.2099999999996</v>
      </c>
      <c r="Q126" s="126">
        <f>SUMIF('MPG Payment '!$E$3:$E$344841,'Shayak Income '!D126,'MPG Payment '!$S$3:$S$344841)</f>
        <v>0</v>
      </c>
      <c r="R126" s="126">
        <f t="shared" si="20"/>
        <v>4059.1991999999996</v>
      </c>
      <c r="S126" s="126">
        <f t="shared" si="21"/>
        <v>988.98919999999998</v>
      </c>
      <c r="T126" s="126">
        <f t="shared" si="30"/>
        <v>323.18</v>
      </c>
      <c r="U126" s="127">
        <f>((((((IF(K126="New",0,SUMIF('MPG Payment '!$E$3:$E$344841,'Shayak Income '!D126,'MPG Payment '!$AC$3:$AC$344841))))+0)+0)+0)+0)+0</f>
        <v>0</v>
      </c>
      <c r="V126" s="127">
        <f t="shared" si="31"/>
        <v>5171</v>
      </c>
      <c r="W126" s="19">
        <f t="shared" si="32"/>
        <v>0</v>
      </c>
      <c r="X126" s="19">
        <f t="shared" si="37"/>
        <v>0</v>
      </c>
      <c r="Y126" s="128">
        <f>IFERROR(VLOOKUP(D126,'Monthly Deduction'!$M$2:$N$640,2,0),0)</f>
        <v>0</v>
      </c>
      <c r="Z126" s="128">
        <v>0</v>
      </c>
      <c r="AA126" s="126">
        <f>IFERROR(VLOOKUP(D126,'Monthly Deduction'!A:B,2,0),0)</f>
        <v>0</v>
      </c>
      <c r="AB126" s="129">
        <f t="shared" si="22"/>
        <v>5171</v>
      </c>
      <c r="AC126" s="130">
        <v>0</v>
      </c>
      <c r="AD126" s="35">
        <f t="shared" si="34"/>
        <v>5171</v>
      </c>
      <c r="AE126" s="166" t="str">
        <f t="shared" si="35"/>
        <v>Release</v>
      </c>
      <c r="AF126" s="127"/>
      <c r="AG126" s="18">
        <v>0</v>
      </c>
      <c r="AH126" s="132"/>
      <c r="AI126" s="238">
        <v>0</v>
      </c>
      <c r="AJ126" s="132"/>
      <c r="AK126" s="151">
        <v>837.60000000000014</v>
      </c>
      <c r="AL126" s="154">
        <f t="shared" si="23"/>
        <v>0</v>
      </c>
      <c r="AM126" s="155"/>
      <c r="AN126" s="19">
        <f t="shared" si="24"/>
        <v>0</v>
      </c>
      <c r="AO126" s="118">
        <f>SUMIF('MPG Payment '!E:E,'Shayak Income '!D126,'MPG Payment '!AJ:AJ)</f>
        <v>0</v>
      </c>
      <c r="AP126" s="19">
        <f t="shared" si="25"/>
        <v>0</v>
      </c>
      <c r="AQ126" s="119">
        <f t="shared" si="36"/>
        <v>0</v>
      </c>
      <c r="AR126" s="91" t="s">
        <v>1144</v>
      </c>
      <c r="AS126" s="91">
        <f t="shared" si="26"/>
        <v>0</v>
      </c>
      <c r="AT126" s="118"/>
      <c r="AU126" s="118"/>
      <c r="AV126" s="118"/>
    </row>
    <row r="127" spans="1:48" s="20" customFormat="1" x14ac:dyDescent="0.25">
      <c r="A127" s="17">
        <f>IFERROR(VLOOKUP(D127,'Monthly Deduction'!$I$3:$J$957,2,0),0)</f>
        <v>0</v>
      </c>
      <c r="B127" s="17">
        <f>IFERROR(VLOOKUP(D127,'Monthly Deduction'!$E$3:$F$957,2,0),0)</f>
        <v>0</v>
      </c>
      <c r="C127" s="17">
        <f t="shared" si="27"/>
        <v>0</v>
      </c>
      <c r="D127" s="41">
        <v>10060007</v>
      </c>
      <c r="E127" s="122" t="str">
        <f>VLOOKUP(D127,'MPG Payment '!$E$3:$G$497305,2,0)</f>
        <v>MAA BHAGWATI</v>
      </c>
      <c r="F127" s="146">
        <f>IFERROR(_xlfn.XLOOKUP(D127,'Monthly Deduction'!$I$3:$I$957,'Monthly Deduction'!$H$3:$H$957),0)</f>
        <v>0</v>
      </c>
      <c r="G127" s="123" t="str">
        <f>VLOOKUP(D127,'MPG Payment '!$E$3:$G$333666,3,0)</f>
        <v>vlc</v>
      </c>
      <c r="H127" s="124" t="str">
        <f>VLOOKUP(D127,'MPG Payment '!$E$3:$H$333666,4,0)</f>
        <v>Indirect</v>
      </c>
      <c r="I127" s="88">
        <f>INDEX('MPG Payment '!$C:$C,MATCH('Shayak Income '!D127,'MPG Payment '!E:E,0))</f>
        <v>1006</v>
      </c>
      <c r="J127" s="88" t="str">
        <f>INDEX('MPG Payment '!$D:$D,MATCH('Shayak Income '!D127,'MPG Payment '!E:E,0))</f>
        <v>Sonvarsha</v>
      </c>
      <c r="K127" s="125" t="s">
        <v>1594</v>
      </c>
      <c r="L127" s="125">
        <v>42979</v>
      </c>
      <c r="M127" s="126">
        <f>SUMIF('MPG Payment '!$E$3:$E$344841,'Shayak Income '!D127,'MPG Payment '!$I$3:$I$344841)</f>
        <v>2910.2000000000003</v>
      </c>
      <c r="N127" s="126">
        <f>SUMIF('MPG Payment '!$E$3:$E$344841,'Shayak Income '!D127,'MPG Payment '!$J$3:$J$344841)</f>
        <v>109937.47</v>
      </c>
      <c r="O127" s="126">
        <f t="shared" si="28"/>
        <v>2182.65</v>
      </c>
      <c r="P127" s="126">
        <f t="shared" si="29"/>
        <v>2764.69</v>
      </c>
      <c r="Q127" s="126">
        <f>SUMIF('MPG Payment '!$E$3:$E$344841,'Shayak Income '!D127,'MPG Payment '!$S$3:$S$344841)</f>
        <v>0</v>
      </c>
      <c r="R127" s="126">
        <f t="shared" si="20"/>
        <v>3298.1241</v>
      </c>
      <c r="S127" s="126">
        <f t="shared" si="21"/>
        <v>533.43409999999994</v>
      </c>
      <c r="T127" s="126">
        <f t="shared" si="30"/>
        <v>291.02000000000004</v>
      </c>
      <c r="U127" s="127">
        <f>((((((IF(K127="New",0,SUMIF('MPG Payment '!$E$3:$E$344841,'Shayak Income '!D127,'MPG Payment '!$AC$3:$AC$344841))))+0)+0)+0)+0)+0</f>
        <v>67.154360732984273</v>
      </c>
      <c r="V127" s="127">
        <f t="shared" si="31"/>
        <v>4589</v>
      </c>
      <c r="W127" s="19">
        <f t="shared" si="32"/>
        <v>0</v>
      </c>
      <c r="X127" s="19">
        <f t="shared" si="37"/>
        <v>0</v>
      </c>
      <c r="Y127" s="128">
        <f>IFERROR(VLOOKUP(D127,'Monthly Deduction'!$M$2:$N$640,2,0),0)</f>
        <v>0</v>
      </c>
      <c r="Z127" s="128">
        <v>0</v>
      </c>
      <c r="AA127" s="126">
        <f>IFERROR(VLOOKUP(D127,'Monthly Deduction'!A:B,2,0),0)</f>
        <v>0</v>
      </c>
      <c r="AB127" s="129">
        <f t="shared" si="22"/>
        <v>4589</v>
      </c>
      <c r="AC127" s="130">
        <v>0</v>
      </c>
      <c r="AD127" s="35">
        <f t="shared" si="34"/>
        <v>4589</v>
      </c>
      <c r="AE127" s="166" t="str">
        <f t="shared" si="35"/>
        <v>Release</v>
      </c>
      <c r="AF127" s="127"/>
      <c r="AG127" s="18">
        <v>0</v>
      </c>
      <c r="AH127" s="120"/>
      <c r="AI127" s="238">
        <v>0</v>
      </c>
      <c r="AJ127" s="132"/>
      <c r="AK127" s="151">
        <v>668.4</v>
      </c>
      <c r="AL127" s="154">
        <f t="shared" si="23"/>
        <v>0</v>
      </c>
      <c r="AM127" s="155"/>
      <c r="AN127" s="19">
        <f t="shared" si="24"/>
        <v>0</v>
      </c>
      <c r="AO127" s="118">
        <f>SUMIF('MPG Payment '!E:E,'Shayak Income '!D127,'MPG Payment '!AJ:AJ)</f>
        <v>0</v>
      </c>
      <c r="AP127" s="19">
        <f t="shared" si="25"/>
        <v>0</v>
      </c>
      <c r="AQ127" s="119">
        <f t="shared" si="36"/>
        <v>0</v>
      </c>
      <c r="AR127" s="91" t="s">
        <v>1144</v>
      </c>
      <c r="AS127" s="91">
        <f t="shared" si="26"/>
        <v>0</v>
      </c>
      <c r="AT127" s="118"/>
      <c r="AU127" s="118"/>
      <c r="AV127" s="118"/>
    </row>
    <row r="128" spans="1:48" s="20" customFormat="1" x14ac:dyDescent="0.25">
      <c r="A128" s="17">
        <f>IFERROR(VLOOKUP(D128,'Monthly Deduction'!$I$3:$J$957,2,0),0)</f>
        <v>0</v>
      </c>
      <c r="B128" s="17">
        <f>IFERROR(VLOOKUP(D128,'Monthly Deduction'!$E$3:$F$957,2,0),0)</f>
        <v>0</v>
      </c>
      <c r="C128" s="17">
        <f t="shared" si="27"/>
        <v>0</v>
      </c>
      <c r="D128" s="41">
        <v>10060008</v>
      </c>
      <c r="E128" s="122" t="str">
        <f>VLOOKUP(D128,'MPG Payment '!$E$3:$G$497305,2,0)</f>
        <v>MAIDINICHOKI</v>
      </c>
      <c r="F128" s="146">
        <f>IFERROR(_xlfn.XLOOKUP(D128,'Monthly Deduction'!$I$3:$I$957,'Monthly Deduction'!$H$3:$H$957),0)</f>
        <v>0</v>
      </c>
      <c r="G128" s="123" t="str">
        <f>VLOOKUP(D128,'MPG Payment '!$E$3:$G$333666,3,0)</f>
        <v>vlc</v>
      </c>
      <c r="H128" s="124" t="str">
        <f>VLOOKUP(D128,'MPG Payment '!$E$3:$H$333666,4,0)</f>
        <v>Indirect</v>
      </c>
      <c r="I128" s="88">
        <f>INDEX('MPG Payment '!$C:$C,MATCH('Shayak Income '!D128,'MPG Payment '!E:E,0))</f>
        <v>1006</v>
      </c>
      <c r="J128" s="88" t="str">
        <f>INDEX('MPG Payment '!$D:$D,MATCH('Shayak Income '!D128,'MPG Payment '!E:E,0))</f>
        <v>Sonvarsha</v>
      </c>
      <c r="K128" s="125" t="s">
        <v>1594</v>
      </c>
      <c r="L128" s="125">
        <v>42979</v>
      </c>
      <c r="M128" s="126">
        <f>SUMIF('MPG Payment '!$E$3:$E$344841,'Shayak Income '!D128,'MPG Payment '!$I$3:$I$344841)</f>
        <v>1807.6000000000001</v>
      </c>
      <c r="N128" s="126">
        <f>SUMIF('MPG Payment '!$E$3:$E$344841,'Shayak Income '!D128,'MPG Payment '!$J$3:$J$344841)</f>
        <v>73347.790000000008</v>
      </c>
      <c r="O128" s="126">
        <f t="shared" si="28"/>
        <v>1355.7</v>
      </c>
      <c r="P128" s="126">
        <f t="shared" si="29"/>
        <v>1717.22</v>
      </c>
      <c r="Q128" s="126">
        <f>SUMIF('MPG Payment '!$E$3:$E$344841,'Shayak Income '!D128,'MPG Payment '!$S$3:$S$344841)</f>
        <v>0</v>
      </c>
      <c r="R128" s="126">
        <f t="shared" si="20"/>
        <v>2200.4337</v>
      </c>
      <c r="S128" s="126">
        <f t="shared" si="21"/>
        <v>483.21370000000002</v>
      </c>
      <c r="T128" s="126">
        <f t="shared" si="30"/>
        <v>180.76000000000002</v>
      </c>
      <c r="U128" s="127">
        <f>((((((IF(K128="New",0,SUMIF('MPG Payment '!$E$3:$E$344841,'Shayak Income '!D128,'MPG Payment '!$AC$3:$AC$344841))))+0)+0)+0)+0)+0</f>
        <v>803.83532795130827</v>
      </c>
      <c r="V128" s="127">
        <f t="shared" si="31"/>
        <v>2088</v>
      </c>
      <c r="W128" s="19">
        <f t="shared" si="32"/>
        <v>0</v>
      </c>
      <c r="X128" s="19">
        <f t="shared" si="37"/>
        <v>0</v>
      </c>
      <c r="Y128" s="128">
        <f>IFERROR(VLOOKUP(D128,'Monthly Deduction'!$M$2:$N$640,2,0),0)</f>
        <v>0</v>
      </c>
      <c r="Z128" s="128">
        <v>0</v>
      </c>
      <c r="AA128" s="126">
        <f>IFERROR(VLOOKUP(D128,'Monthly Deduction'!A:B,2,0),0)</f>
        <v>0</v>
      </c>
      <c r="AB128" s="129">
        <f t="shared" si="22"/>
        <v>2088</v>
      </c>
      <c r="AC128" s="130">
        <v>0</v>
      </c>
      <c r="AD128" s="35">
        <f t="shared" si="34"/>
        <v>2088</v>
      </c>
      <c r="AE128" s="166" t="str">
        <f t="shared" si="35"/>
        <v>Release</v>
      </c>
      <c r="AF128" s="127"/>
      <c r="AG128" s="18">
        <v>0</v>
      </c>
      <c r="AH128" s="120"/>
      <c r="AI128" s="238">
        <v>0</v>
      </c>
      <c r="AJ128" s="132"/>
      <c r="AK128" s="151">
        <v>456.6</v>
      </c>
      <c r="AL128" s="154">
        <f t="shared" si="23"/>
        <v>0</v>
      </c>
      <c r="AM128" s="155"/>
      <c r="AN128" s="19">
        <f t="shared" si="24"/>
        <v>0</v>
      </c>
      <c r="AO128" s="118">
        <f>SUMIF('MPG Payment '!E:E,'Shayak Income '!D128,'MPG Payment '!AJ:AJ)</f>
        <v>0</v>
      </c>
      <c r="AP128" s="19">
        <f t="shared" si="25"/>
        <v>0</v>
      </c>
      <c r="AQ128" s="119">
        <f t="shared" si="36"/>
        <v>0</v>
      </c>
      <c r="AR128" s="91"/>
      <c r="AS128" s="91">
        <f t="shared" si="26"/>
        <v>0</v>
      </c>
      <c r="AT128" s="118"/>
      <c r="AU128" s="118"/>
      <c r="AV128" s="118"/>
    </row>
    <row r="129" spans="1:48" s="20" customFormat="1" x14ac:dyDescent="0.25">
      <c r="A129" s="17">
        <f>IFERROR(VLOOKUP(D129,'Monthly Deduction'!$I$3:$J$957,2,0),0)</f>
        <v>0</v>
      </c>
      <c r="B129" s="17">
        <f>IFERROR(VLOOKUP(D129,'Monthly Deduction'!$E$3:$F$957,2,0),0)</f>
        <v>0</v>
      </c>
      <c r="C129" s="17">
        <f t="shared" si="27"/>
        <v>0</v>
      </c>
      <c r="D129" s="41">
        <v>10060009</v>
      </c>
      <c r="E129" s="122" t="str">
        <f>VLOOKUP(D129,'MPG Payment '!$E$3:$G$497305,2,0)</f>
        <v>GOMUKH JAJWARA</v>
      </c>
      <c r="F129" s="146">
        <f>IFERROR(_xlfn.XLOOKUP(D129,'Monthly Deduction'!$I$3:$I$957,'Monthly Deduction'!$H$3:$H$957),0)</f>
        <v>0</v>
      </c>
      <c r="G129" s="123" t="str">
        <f>VLOOKUP(D129,'MPG Payment '!$E$3:$G$333666,3,0)</f>
        <v>vlc</v>
      </c>
      <c r="H129" s="124" t="str">
        <f>VLOOKUP(D129,'MPG Payment '!$E$3:$H$333666,4,0)</f>
        <v>Indirect</v>
      </c>
      <c r="I129" s="88">
        <f>INDEX('MPG Payment '!$C:$C,MATCH('Shayak Income '!D129,'MPG Payment '!E:E,0))</f>
        <v>1006</v>
      </c>
      <c r="J129" s="88" t="str">
        <f>INDEX('MPG Payment '!$D:$D,MATCH('Shayak Income '!D129,'MPG Payment '!E:E,0))</f>
        <v>Sonvarsha</v>
      </c>
      <c r="K129" s="125" t="s">
        <v>1594</v>
      </c>
      <c r="L129" s="125">
        <v>43799</v>
      </c>
      <c r="M129" s="126">
        <f>SUMIF('MPG Payment '!$E$3:$E$344841,'Shayak Income '!D129,'MPG Payment '!$I$3:$I$344841)</f>
        <v>5209.7999999999993</v>
      </c>
      <c r="N129" s="126">
        <f>SUMIF('MPG Payment '!$E$3:$E$344841,'Shayak Income '!D129,'MPG Payment '!$J$3:$J$344841)</f>
        <v>228007.47999999998</v>
      </c>
      <c r="O129" s="126">
        <f t="shared" si="28"/>
        <v>3907.3499999999995</v>
      </c>
      <c r="P129" s="126">
        <f t="shared" si="29"/>
        <v>4949.3099999999995</v>
      </c>
      <c r="Q129" s="126">
        <f>SUMIF('MPG Payment '!$E$3:$E$344841,'Shayak Income '!D129,'MPG Payment '!$S$3:$S$344841)</f>
        <v>0</v>
      </c>
      <c r="R129" s="126">
        <f t="shared" si="20"/>
        <v>6840.2243999999992</v>
      </c>
      <c r="S129" s="126">
        <f t="shared" si="21"/>
        <v>1890.9143999999997</v>
      </c>
      <c r="T129" s="126">
        <f t="shared" si="30"/>
        <v>520.9799999999999</v>
      </c>
      <c r="U129" s="127">
        <f>((((((IF(K129="New",0,SUMIF('MPG Payment '!$E$3:$E$344841,'Shayak Income '!D129,'MPG Payment '!$AC$3:$AC$344841))))+0)+0)+0)+0)+0</f>
        <v>0</v>
      </c>
      <c r="V129" s="127">
        <f t="shared" si="31"/>
        <v>8336</v>
      </c>
      <c r="W129" s="19">
        <f t="shared" si="32"/>
        <v>0</v>
      </c>
      <c r="X129" s="19">
        <f t="shared" si="37"/>
        <v>0</v>
      </c>
      <c r="Y129" s="128">
        <f>IFERROR(VLOOKUP(D129,'Monthly Deduction'!$M$2:$N$640,2,0),0)</f>
        <v>0</v>
      </c>
      <c r="Z129" s="128">
        <v>0</v>
      </c>
      <c r="AA129" s="126">
        <f>IFERROR(VLOOKUP(D129,'Monthly Deduction'!A:B,2,0),0)</f>
        <v>0</v>
      </c>
      <c r="AB129" s="129">
        <f t="shared" si="22"/>
        <v>8336</v>
      </c>
      <c r="AC129" s="130">
        <v>0</v>
      </c>
      <c r="AD129" s="35">
        <f t="shared" si="34"/>
        <v>8336</v>
      </c>
      <c r="AE129" s="166" t="str">
        <f t="shared" si="35"/>
        <v>Release</v>
      </c>
      <c r="AF129" s="127"/>
      <c r="AG129" s="18">
        <v>0</v>
      </c>
      <c r="AH129" s="120"/>
      <c r="AI129" s="238">
        <v>0</v>
      </c>
      <c r="AJ129" s="132"/>
      <c r="AK129" s="151">
        <v>994.30000000000007</v>
      </c>
      <c r="AL129" s="154">
        <f t="shared" si="23"/>
        <v>0</v>
      </c>
      <c r="AM129" s="155"/>
      <c r="AN129" s="19">
        <f t="shared" si="24"/>
        <v>0</v>
      </c>
      <c r="AO129" s="118">
        <f>SUMIF('MPG Payment '!E:E,'Shayak Income '!D129,'MPG Payment '!AJ:AJ)</f>
        <v>0</v>
      </c>
      <c r="AP129" s="19">
        <f t="shared" si="25"/>
        <v>0</v>
      </c>
      <c r="AQ129" s="119">
        <f t="shared" si="36"/>
        <v>0</v>
      </c>
      <c r="AR129" s="91" t="s">
        <v>1144</v>
      </c>
      <c r="AS129" s="91">
        <f t="shared" si="26"/>
        <v>0</v>
      </c>
      <c r="AT129" s="118"/>
      <c r="AU129" s="118"/>
      <c r="AV129" s="118"/>
    </row>
    <row r="130" spans="1:48" s="20" customFormat="1" x14ac:dyDescent="0.25">
      <c r="A130" s="17">
        <f>IFERROR(VLOOKUP(D130,'Monthly Deduction'!$I$3:$J$957,2,0),0)</f>
        <v>0</v>
      </c>
      <c r="B130" s="17">
        <f>IFERROR(VLOOKUP(D130,'Monthly Deduction'!$E$3:$F$957,2,0),0)</f>
        <v>0</v>
      </c>
      <c r="C130" s="17">
        <f t="shared" si="27"/>
        <v>0</v>
      </c>
      <c r="D130" s="41">
        <v>10060010</v>
      </c>
      <c r="E130" s="122" t="str">
        <f>VLOOKUP(D130,'MPG Payment '!$E$3:$G$497305,2,0)</f>
        <v>Gomukh ID Sonvarsha</v>
      </c>
      <c r="F130" s="146">
        <f>IFERROR(_xlfn.XLOOKUP(D130,'Monthly Deduction'!$I$3:$I$957,'Monthly Deduction'!$H$3:$H$957),0)</f>
        <v>0</v>
      </c>
      <c r="G130" s="123" t="str">
        <f>VLOOKUP(D130,'MPG Payment '!$E$3:$G$333666,3,0)</f>
        <v>vlc</v>
      </c>
      <c r="H130" s="124" t="str">
        <f>VLOOKUP(D130,'MPG Payment '!$E$3:$H$333666,4,0)</f>
        <v>Indirect</v>
      </c>
      <c r="I130" s="88">
        <f>INDEX('MPG Payment '!$C:$C,MATCH('Shayak Income '!D130,'MPG Payment '!E:E,0))</f>
        <v>1006</v>
      </c>
      <c r="J130" s="88" t="str">
        <f>INDEX('MPG Payment '!$D:$D,MATCH('Shayak Income '!D130,'MPG Payment '!E:E,0))</f>
        <v>Sonvarsha</v>
      </c>
      <c r="K130" s="125" t="s">
        <v>1594</v>
      </c>
      <c r="L130" s="125">
        <v>43975</v>
      </c>
      <c r="M130" s="126">
        <f>SUMIF('MPG Payment '!$E$3:$E$344841,'Shayak Income '!D130,'MPG Payment '!$I$3:$I$344841)</f>
        <v>8055</v>
      </c>
      <c r="N130" s="126">
        <f>SUMIF('MPG Payment '!$E$3:$E$344841,'Shayak Income '!D130,'MPG Payment '!$J$3:$J$344841)</f>
        <v>345358.96</v>
      </c>
      <c r="O130" s="126">
        <f t="shared" si="28"/>
        <v>6041.25</v>
      </c>
      <c r="P130" s="126">
        <f t="shared" si="29"/>
        <v>7652.25</v>
      </c>
      <c r="Q130" s="126">
        <f>SUMIF('MPG Payment '!$E$3:$E$344841,'Shayak Income '!D130,'MPG Payment '!$S$3:$S$344841)</f>
        <v>0</v>
      </c>
      <c r="R130" s="126">
        <f t="shared" si="20"/>
        <v>10360.7688</v>
      </c>
      <c r="S130" s="126">
        <f t="shared" si="21"/>
        <v>2708.5187999999998</v>
      </c>
      <c r="T130" s="126">
        <f t="shared" si="30"/>
        <v>805.5</v>
      </c>
      <c r="U130" s="127">
        <f>((((((IF(K130="New",0,SUMIF('MPG Payment '!$E$3:$E$344841,'Shayak Income '!D130,'MPG Payment '!$AC$3:$AC$344841))))+0)+0)+0)+0)+0</f>
        <v>0</v>
      </c>
      <c r="V130" s="127">
        <f t="shared" si="31"/>
        <v>12888</v>
      </c>
      <c r="W130" s="19">
        <f t="shared" si="32"/>
        <v>0</v>
      </c>
      <c r="X130" s="19">
        <f t="shared" si="37"/>
        <v>0</v>
      </c>
      <c r="Y130" s="128">
        <f>IFERROR(VLOOKUP(D130,'Monthly Deduction'!$M$2:$N$640,2,0),0)</f>
        <v>0</v>
      </c>
      <c r="Z130" s="128">
        <v>0</v>
      </c>
      <c r="AA130" s="126">
        <f>IFERROR(VLOOKUP(D130,'Monthly Deduction'!A:B,2,0),0)</f>
        <v>0</v>
      </c>
      <c r="AB130" s="129">
        <f t="shared" si="22"/>
        <v>12888</v>
      </c>
      <c r="AC130" s="130">
        <v>0</v>
      </c>
      <c r="AD130" s="35">
        <f t="shared" si="34"/>
        <v>12888</v>
      </c>
      <c r="AE130" s="166" t="str">
        <f t="shared" si="35"/>
        <v>Release</v>
      </c>
      <c r="AF130" s="127"/>
      <c r="AG130" s="18">
        <v>0</v>
      </c>
      <c r="AH130" s="120"/>
      <c r="AI130" s="238">
        <v>0</v>
      </c>
      <c r="AJ130" s="132"/>
      <c r="AK130" s="151">
        <v>1727.7999999999993</v>
      </c>
      <c r="AL130" s="154">
        <f t="shared" si="23"/>
        <v>0</v>
      </c>
      <c r="AM130" s="155"/>
      <c r="AN130" s="19">
        <f t="shared" si="24"/>
        <v>0</v>
      </c>
      <c r="AO130" s="118">
        <f>SUMIF('MPG Payment '!E:E,'Shayak Income '!D130,'MPG Payment '!AJ:AJ)</f>
        <v>0</v>
      </c>
      <c r="AP130" s="19">
        <f t="shared" si="25"/>
        <v>0</v>
      </c>
      <c r="AQ130" s="119">
        <f t="shared" si="36"/>
        <v>0</v>
      </c>
      <c r="AR130" s="91" t="s">
        <v>1144</v>
      </c>
      <c r="AS130" s="91">
        <f t="shared" si="26"/>
        <v>0</v>
      </c>
      <c r="AT130" s="118"/>
      <c r="AU130" s="118"/>
      <c r="AV130" s="118"/>
    </row>
    <row r="131" spans="1:48" s="20" customFormat="1" x14ac:dyDescent="0.25">
      <c r="A131" s="17">
        <f>IFERROR(VLOOKUP(D131,'Monthly Deduction'!$I$3:$J$957,2,0),0)</f>
        <v>4593.1402003449912</v>
      </c>
      <c r="B131" s="17">
        <f>IFERROR(VLOOKUP(D131,'Monthly Deduction'!$E$3:$F$957,2,0),0)</f>
        <v>16000</v>
      </c>
      <c r="C131" s="17">
        <f t="shared" si="27"/>
        <v>20593.140200344991</v>
      </c>
      <c r="D131" s="41">
        <v>10060011</v>
      </c>
      <c r="E131" s="122" t="str">
        <f>VLOOKUP(D131,'MPG Payment '!$E$3:$G$497305,2,0)</f>
        <v>BALHAPUR</v>
      </c>
      <c r="F131" s="146">
        <f>IFERROR(_xlfn.XLOOKUP(D131,'Monthly Deduction'!$I$3:$I$957,'Monthly Deduction'!$H$3:$H$957),0)</f>
        <v>0</v>
      </c>
      <c r="G131" s="123" t="str">
        <f>VLOOKUP(D131,'MPG Payment '!$E$3:$G$333666,3,0)</f>
        <v>MPG</v>
      </c>
      <c r="H131" s="124" t="str">
        <f>VLOOKUP(D131,'MPG Payment '!$E$3:$H$333666,4,0)</f>
        <v>Direct</v>
      </c>
      <c r="I131" s="88">
        <f>INDEX('MPG Payment '!$C:$C,MATCH('Shayak Income '!D131,'MPG Payment '!E:E,0))</f>
        <v>1059</v>
      </c>
      <c r="J131" s="88" t="str">
        <f>INDEX('MPG Payment '!$D:$D,MATCH('Shayak Income '!D131,'MPG Payment '!E:E,0))</f>
        <v>Gopalpur Bmc</v>
      </c>
      <c r="K131" s="125" t="s">
        <v>1594</v>
      </c>
      <c r="L131" s="125">
        <v>44161</v>
      </c>
      <c r="M131" s="126">
        <f>SUMIF('MPG Payment '!$E$3:$E$344841,'Shayak Income '!D131,'MPG Payment '!$I$3:$I$344841)</f>
        <v>2123.3000000000002</v>
      </c>
      <c r="N131" s="126">
        <f>SUMIF('MPG Payment '!$E$3:$E$344841,'Shayak Income '!D131,'MPG Payment '!$J$3:$J$344841)</f>
        <v>103906.62</v>
      </c>
      <c r="O131" s="126">
        <f t="shared" si="28"/>
        <v>1592.4750000000001</v>
      </c>
      <c r="P131" s="126">
        <f t="shared" si="29"/>
        <v>2017.135</v>
      </c>
      <c r="Q131" s="126">
        <f>SUMIF('MPG Payment '!$E$3:$E$344841,'Shayak Income '!D131,'MPG Payment '!$S$3:$S$344841)</f>
        <v>2035.7</v>
      </c>
      <c r="R131" s="126">
        <f t="shared" si="20"/>
        <v>3117.1985999999997</v>
      </c>
      <c r="S131" s="126">
        <f t="shared" si="21"/>
        <v>1100.0635999999997</v>
      </c>
      <c r="T131" s="126">
        <f t="shared" si="30"/>
        <v>212.33000000000004</v>
      </c>
      <c r="U131" s="127">
        <f>((((((IF(K131="New",0,SUMIF('MPG Payment '!$E$3:$E$344841,'Shayak Income '!D131,'MPG Payment '!$AC$3:$AC$344841))))+0)+0)+0)+0)+0</f>
        <v>657.45580586644314</v>
      </c>
      <c r="V131" s="127">
        <f t="shared" si="31"/>
        <v>4776</v>
      </c>
      <c r="W131" s="19">
        <f t="shared" si="32"/>
        <v>2078.1324</v>
      </c>
      <c r="X131" s="19">
        <v>0</v>
      </c>
      <c r="Y131" s="128">
        <f>IFERROR(VLOOKUP(D131,'Monthly Deduction'!$M$2:$N$640,2,0),0)</f>
        <v>0</v>
      </c>
      <c r="Z131" s="128">
        <v>0</v>
      </c>
      <c r="AA131" s="126">
        <f>IFERROR(VLOOKUP(D131,'Monthly Deduction'!A:B,2,0),0)</f>
        <v>0</v>
      </c>
      <c r="AB131" s="129">
        <f t="shared" si="22"/>
        <v>2698</v>
      </c>
      <c r="AC131" s="130">
        <v>0</v>
      </c>
      <c r="AD131" s="35">
        <f t="shared" si="34"/>
        <v>2698</v>
      </c>
      <c r="AE131" s="166" t="str">
        <f t="shared" si="35"/>
        <v>Release</v>
      </c>
      <c r="AF131" s="127"/>
      <c r="AG131" s="18">
        <v>0</v>
      </c>
      <c r="AH131" s="120"/>
      <c r="AI131" s="238">
        <v>0</v>
      </c>
      <c r="AJ131" s="132"/>
      <c r="AK131" s="151">
        <v>348.40000000000009</v>
      </c>
      <c r="AL131" s="154">
        <f t="shared" si="23"/>
        <v>0</v>
      </c>
      <c r="AM131" s="155"/>
      <c r="AN131" s="19">
        <f t="shared" si="24"/>
        <v>2078.1324</v>
      </c>
      <c r="AO131" s="118">
        <f>SUMIF('MPG Payment '!E:E,'Shayak Income '!D131,'MPG Payment '!AJ:AJ)</f>
        <v>0</v>
      </c>
      <c r="AP131" s="19">
        <f t="shared" si="25"/>
        <v>2078.1324</v>
      </c>
      <c r="AQ131" s="119">
        <f t="shared" si="36"/>
        <v>2078.1324</v>
      </c>
      <c r="AR131" s="91" t="s">
        <v>1144</v>
      </c>
      <c r="AS131" s="91">
        <f t="shared" si="26"/>
        <v>16000</v>
      </c>
      <c r="AT131" s="118"/>
      <c r="AU131" s="118"/>
      <c r="AV131" s="118"/>
    </row>
    <row r="132" spans="1:48" s="20" customFormat="1" x14ac:dyDescent="0.25">
      <c r="A132" s="17">
        <f>IFERROR(VLOOKUP(D132,'Monthly Deduction'!$I$3:$J$957,2,0),0)</f>
        <v>0</v>
      </c>
      <c r="B132" s="17">
        <f>IFERROR(VLOOKUP(D132,'Monthly Deduction'!$E$3:$F$957,2,0),0)</f>
        <v>0</v>
      </c>
      <c r="C132" s="17">
        <f t="shared" si="27"/>
        <v>0</v>
      </c>
      <c r="D132" s="41">
        <v>10060014</v>
      </c>
      <c r="E132" s="122" t="str">
        <f>VLOOKUP(D132,'MPG Payment '!$E$3:$G$497305,2,0)</f>
        <v>Gomukh ID Husaina</v>
      </c>
      <c r="F132" s="146">
        <f>IFERROR(_xlfn.XLOOKUP(D132,'Monthly Deduction'!$I$3:$I$957,'Monthly Deduction'!$H$3:$H$957),0)</f>
        <v>0</v>
      </c>
      <c r="G132" s="123" t="str">
        <f>VLOOKUP(D132,'MPG Payment '!$E$3:$G$333666,3,0)</f>
        <v>vlc</v>
      </c>
      <c r="H132" s="124" t="str">
        <f>VLOOKUP(D132,'MPG Payment '!$E$3:$H$333666,4,0)</f>
        <v>Indirect</v>
      </c>
      <c r="I132" s="88">
        <f>INDEX('MPG Payment '!$C:$C,MATCH('Shayak Income '!D132,'MPG Payment '!E:E,0))</f>
        <v>1006</v>
      </c>
      <c r="J132" s="88" t="str">
        <f>INDEX('MPG Payment '!$D:$D,MATCH('Shayak Income '!D132,'MPG Payment '!E:E,0))</f>
        <v>Sonvarsha</v>
      </c>
      <c r="K132" s="125" t="s">
        <v>1594</v>
      </c>
      <c r="L132" s="125">
        <v>44256</v>
      </c>
      <c r="M132" s="126">
        <f>SUMIF('MPG Payment '!$E$3:$E$344841,'Shayak Income '!D132,'MPG Payment '!$I$3:$I$344841)</f>
        <v>1626.1000000000001</v>
      </c>
      <c r="N132" s="126">
        <f>SUMIF('MPG Payment '!$E$3:$E$344841,'Shayak Income '!D132,'MPG Payment '!$J$3:$J$344841)</f>
        <v>61160.92</v>
      </c>
      <c r="O132" s="126">
        <f t="shared" si="28"/>
        <v>1219.575</v>
      </c>
      <c r="P132" s="126">
        <f t="shared" si="29"/>
        <v>1544.7950000000001</v>
      </c>
      <c r="Q132" s="126">
        <f>SUMIF('MPG Payment '!$E$3:$E$344841,'Shayak Income '!D132,'MPG Payment '!$S$3:$S$344841)</f>
        <v>0</v>
      </c>
      <c r="R132" s="126">
        <f t="shared" ref="R132:R195" si="38">+N132*3%</f>
        <v>1834.8275999999998</v>
      </c>
      <c r="S132" s="126">
        <f t="shared" ref="S132:S195" si="39">R132-P132</f>
        <v>290.03259999999977</v>
      </c>
      <c r="T132" s="126">
        <f t="shared" si="30"/>
        <v>162.61000000000001</v>
      </c>
      <c r="U132" s="127">
        <f>((((((IF(K132="New",0,SUMIF('MPG Payment '!$E$3:$E$344841,'Shayak Income '!D132,'MPG Payment '!$AC$3:$AC$344841))))+0)+0)+0)+0)+0</f>
        <v>1003.1490178118071</v>
      </c>
      <c r="V132" s="127">
        <f t="shared" si="31"/>
        <v>1599</v>
      </c>
      <c r="W132" s="19">
        <f t="shared" si="32"/>
        <v>0</v>
      </c>
      <c r="X132" s="19">
        <f t="shared" ref="X132:X195" si="40">((MIN(IF(B132&gt;0,MAX(N132*2%),0),B132)))+0</f>
        <v>0</v>
      </c>
      <c r="Y132" s="128">
        <f>IFERROR(VLOOKUP(D132,'Monthly Deduction'!$M$2:$N$640,2,0),0)</f>
        <v>0</v>
      </c>
      <c r="Z132" s="128">
        <v>0</v>
      </c>
      <c r="AA132" s="126">
        <f>IFERROR(VLOOKUP(D132,'Monthly Deduction'!A:B,2,0),0)</f>
        <v>0</v>
      </c>
      <c r="AB132" s="129">
        <f t="shared" ref="AB132:AB195" si="41">ROUND(IFERROR(V132-SUM(W132:AA132),0),0)</f>
        <v>1599</v>
      </c>
      <c r="AC132" s="130">
        <v>0</v>
      </c>
      <c r="AD132" s="35">
        <f t="shared" si="34"/>
        <v>1599</v>
      </c>
      <c r="AE132" s="166" t="str">
        <f t="shared" si="35"/>
        <v>Release</v>
      </c>
      <c r="AF132" s="127"/>
      <c r="AG132" s="18">
        <v>0</v>
      </c>
      <c r="AH132" s="120"/>
      <c r="AI132" s="238">
        <v>0</v>
      </c>
      <c r="AJ132" s="132"/>
      <c r="AK132" s="151">
        <v>229.9</v>
      </c>
      <c r="AL132" s="154">
        <f t="shared" ref="AL132:AL195" si="42">COUNTIF(AK132:AK132,"=NA")</f>
        <v>0</v>
      </c>
      <c r="AM132" s="155"/>
      <c r="AN132" s="19">
        <f t="shared" ref="AN132:AN195" si="43">((MIN(IF(A132&gt;0,MAX(N132*2%,1861),0),A132)))+0</f>
        <v>0</v>
      </c>
      <c r="AO132" s="118">
        <f>SUMIF('MPG Payment '!E:E,'Shayak Income '!D132,'MPG Payment '!AJ:AJ)</f>
        <v>0</v>
      </c>
      <c r="AP132" s="19">
        <f t="shared" ref="AP132:AP195" si="44">W132</f>
        <v>0</v>
      </c>
      <c r="AQ132" s="119">
        <f t="shared" si="36"/>
        <v>0</v>
      </c>
      <c r="AR132" s="91" t="s">
        <v>1144</v>
      </c>
      <c r="AS132" s="91">
        <f t="shared" ref="AS132:AS195" si="45">B132-X132</f>
        <v>0</v>
      </c>
      <c r="AT132" s="118"/>
      <c r="AU132" s="118"/>
      <c r="AV132" s="118"/>
    </row>
    <row r="133" spans="1:48" s="20" customFormat="1" x14ac:dyDescent="0.25">
      <c r="A133" s="17">
        <f>IFERROR(VLOOKUP(D133,'Monthly Deduction'!$I$3:$J$957,2,0),0)</f>
        <v>0</v>
      </c>
      <c r="B133" s="17">
        <f>IFERROR(VLOOKUP(D133,'Monthly Deduction'!$E$3:$F$957,2,0),0)</f>
        <v>0</v>
      </c>
      <c r="C133" s="17">
        <f t="shared" ref="C133:C196" si="46">A133+B133</f>
        <v>0</v>
      </c>
      <c r="D133" s="41">
        <v>10060015</v>
      </c>
      <c r="E133" s="122" t="str">
        <f>VLOOKUP(D133,'MPG Payment '!$E$3:$G$497305,2,0)</f>
        <v>Gomukh ID Prarotol</v>
      </c>
      <c r="F133" s="146">
        <f>IFERROR(_xlfn.XLOOKUP(D133,'Monthly Deduction'!$I$3:$I$957,'Monthly Deduction'!$H$3:$H$957),0)</f>
        <v>0</v>
      </c>
      <c r="G133" s="123" t="str">
        <f>VLOOKUP(D133,'MPG Payment '!$E$3:$G$333666,3,0)</f>
        <v>vlc</v>
      </c>
      <c r="H133" s="124" t="str">
        <f>VLOOKUP(D133,'MPG Payment '!$E$3:$H$333666,4,0)</f>
        <v>Indirect</v>
      </c>
      <c r="I133" s="88">
        <f>INDEX('MPG Payment '!$C:$C,MATCH('Shayak Income '!D133,'MPG Payment '!E:E,0))</f>
        <v>1006</v>
      </c>
      <c r="J133" s="88" t="str">
        <f>INDEX('MPG Payment '!$D:$D,MATCH('Shayak Income '!D133,'MPG Payment '!E:E,0))</f>
        <v>Sonvarsha</v>
      </c>
      <c r="K133" s="125" t="s">
        <v>1594</v>
      </c>
      <c r="L133" s="125">
        <v>44260</v>
      </c>
      <c r="M133" s="126">
        <f>SUMIF('MPG Payment '!$E$3:$E$344841,'Shayak Income '!D133,'MPG Payment '!$I$3:$I$344841)</f>
        <v>674.69999999999993</v>
      </c>
      <c r="N133" s="126">
        <f>SUMIF('MPG Payment '!$E$3:$E$344841,'Shayak Income '!D133,'MPG Payment '!$J$3:$J$344841)</f>
        <v>30078.03</v>
      </c>
      <c r="O133" s="126">
        <f t="shared" ref="O133:O196" si="47">+M133*0.75</f>
        <v>506.02499999999998</v>
      </c>
      <c r="P133" s="126">
        <f t="shared" ref="P133:P196" si="48">+M133*0.95</f>
        <v>640.96499999999992</v>
      </c>
      <c r="Q133" s="126">
        <f>SUMIF('MPG Payment '!$E$3:$E$344841,'Shayak Income '!D133,'MPG Payment '!$S$3:$S$344841)</f>
        <v>0</v>
      </c>
      <c r="R133" s="126">
        <f t="shared" si="38"/>
        <v>902.34089999999992</v>
      </c>
      <c r="S133" s="126">
        <f t="shared" si="39"/>
        <v>261.3759</v>
      </c>
      <c r="T133" s="126">
        <f t="shared" ref="T133:T196" si="49">M133*0.1</f>
        <v>67.47</v>
      </c>
      <c r="U133" s="127">
        <f>((((((IF(K133="New",0,SUMIF('MPG Payment '!$E$3:$E$344841,'Shayak Income '!D133,'MPG Payment '!$AC$3:$AC$344841))))+0)+0)+0)+0)+-819</f>
        <v>1079.6751699290064</v>
      </c>
      <c r="V133" s="127">
        <f t="shared" ref="V133:V196" si="50">ROUND((SUM(O133:Q133)-SUM(T133:U133)),0)</f>
        <v>0</v>
      </c>
      <c r="W133" s="19">
        <v>0</v>
      </c>
      <c r="X133" s="19">
        <v>0</v>
      </c>
      <c r="Y133" s="128">
        <v>0</v>
      </c>
      <c r="Z133" s="128">
        <v>0</v>
      </c>
      <c r="AA133" s="126">
        <v>0</v>
      </c>
      <c r="AB133" s="129">
        <f t="shared" si="41"/>
        <v>0</v>
      </c>
      <c r="AC133" s="130">
        <v>0</v>
      </c>
      <c r="AD133" s="35">
        <f t="shared" ref="AD133:AD196" si="51">ROUND(AB133-AC133,0)</f>
        <v>0</v>
      </c>
      <c r="AE133" s="166" t="str">
        <f t="shared" ref="AE133:AE196" si="52">IF(AC133&lt;&gt;0,"Yes","Release")</f>
        <v>Release</v>
      </c>
      <c r="AF133" s="127"/>
      <c r="AG133" s="18">
        <v>0</v>
      </c>
      <c r="AH133" s="120"/>
      <c r="AI133" s="238">
        <v>0</v>
      </c>
      <c r="AJ133" s="132"/>
      <c r="AK133" s="151">
        <v>214.7</v>
      </c>
      <c r="AL133" s="154">
        <f t="shared" si="42"/>
        <v>0</v>
      </c>
      <c r="AM133" s="155"/>
      <c r="AN133" s="19">
        <f t="shared" si="43"/>
        <v>0</v>
      </c>
      <c r="AO133" s="118">
        <f>SUMIF('MPG Payment '!E:E,'Shayak Income '!D133,'MPG Payment '!AJ:AJ)</f>
        <v>0</v>
      </c>
      <c r="AP133" s="19">
        <f t="shared" si="44"/>
        <v>0</v>
      </c>
      <c r="AQ133" s="119">
        <f t="shared" ref="AQ133:AQ196" si="53">AO133+AP133</f>
        <v>0</v>
      </c>
      <c r="AR133" s="91" t="s">
        <v>1144</v>
      </c>
      <c r="AS133" s="91">
        <f t="shared" si="45"/>
        <v>0</v>
      </c>
      <c r="AT133" s="118"/>
      <c r="AU133" s="118"/>
      <c r="AV133" s="118"/>
    </row>
    <row r="134" spans="1:48" s="20" customFormat="1" x14ac:dyDescent="0.25">
      <c r="A134" s="17">
        <f>IFERROR(VLOOKUP(D134,'Monthly Deduction'!$I$3:$J$957,2,0),0)</f>
        <v>0</v>
      </c>
      <c r="B134" s="17">
        <f>IFERROR(VLOOKUP(D134,'Monthly Deduction'!$E$3:$F$957,2,0),0)</f>
        <v>0</v>
      </c>
      <c r="C134" s="17">
        <f t="shared" si="46"/>
        <v>0</v>
      </c>
      <c r="D134" s="41">
        <v>10060020</v>
      </c>
      <c r="E134" s="122" t="str">
        <f>VLOOKUP(D134,'MPG Payment '!$E$3:$G$497305,2,0)</f>
        <v>MAA SARDE</v>
      </c>
      <c r="F134" s="146">
        <f>IFERROR(_xlfn.XLOOKUP(D134,'Monthly Deduction'!$I$3:$I$957,'Monthly Deduction'!$H$3:$H$957),0)</f>
        <v>0</v>
      </c>
      <c r="G134" s="123" t="str">
        <f>VLOOKUP(D134,'MPG Payment '!$E$3:$G$333666,3,0)</f>
        <v>vlc</v>
      </c>
      <c r="H134" s="124" t="str">
        <f>VLOOKUP(D134,'MPG Payment '!$E$3:$H$333666,4,0)</f>
        <v>Indirect</v>
      </c>
      <c r="I134" s="88">
        <f>INDEX('MPG Payment '!$C:$C,MATCH('Shayak Income '!D134,'MPG Payment '!E:E,0))</f>
        <v>1006</v>
      </c>
      <c r="J134" s="88" t="str">
        <f>INDEX('MPG Payment '!$D:$D,MATCH('Shayak Income '!D134,'MPG Payment '!E:E,0))</f>
        <v>Sonvarsha</v>
      </c>
      <c r="K134" s="125" t="s">
        <v>1594</v>
      </c>
      <c r="L134" s="125">
        <v>44652</v>
      </c>
      <c r="M134" s="126">
        <f>SUMIF('MPG Payment '!$E$3:$E$344841,'Shayak Income '!D134,'MPG Payment '!$I$3:$I$344841)</f>
        <v>5009.1000000000004</v>
      </c>
      <c r="N134" s="126">
        <f>SUMIF('MPG Payment '!$E$3:$E$344841,'Shayak Income '!D134,'MPG Payment '!$J$3:$J$344841)</f>
        <v>191644.6</v>
      </c>
      <c r="O134" s="126">
        <f t="shared" si="47"/>
        <v>3756.8250000000003</v>
      </c>
      <c r="P134" s="126">
        <f t="shared" si="48"/>
        <v>4758.6450000000004</v>
      </c>
      <c r="Q134" s="126">
        <f>SUMIF('MPG Payment '!$E$3:$E$344841,'Shayak Income '!D134,'MPG Payment '!$S$3:$S$344841)</f>
        <v>0</v>
      </c>
      <c r="R134" s="126">
        <f t="shared" si="38"/>
        <v>5749.3379999999997</v>
      </c>
      <c r="S134" s="126">
        <f t="shared" si="39"/>
        <v>990.6929999999993</v>
      </c>
      <c r="T134" s="126">
        <f t="shared" si="49"/>
        <v>500.91000000000008</v>
      </c>
      <c r="U134" s="127">
        <f>((((((IF(K134="New",0,SUMIF('MPG Payment '!$E$3:$E$344841,'Shayak Income '!D134,'MPG Payment '!$AC$3:$AC$344841))))+0)+0)+0)+0)+0</f>
        <v>0</v>
      </c>
      <c r="V134" s="127">
        <f t="shared" si="50"/>
        <v>8015</v>
      </c>
      <c r="W134" s="19">
        <f t="shared" ref="W134:W195" si="54">(((AN134-AO134)))+0</f>
        <v>0</v>
      </c>
      <c r="X134" s="19">
        <f t="shared" si="40"/>
        <v>0</v>
      </c>
      <c r="Y134" s="128">
        <f>IFERROR(VLOOKUP(D134,'Monthly Deduction'!$M$2:$N$640,2,0),0)</f>
        <v>0</v>
      </c>
      <c r="Z134" s="128">
        <v>0</v>
      </c>
      <c r="AA134" s="126">
        <f>IFERROR(VLOOKUP(D134,'Monthly Deduction'!A:B,2,0),0)</f>
        <v>0</v>
      </c>
      <c r="AB134" s="129">
        <f t="shared" si="41"/>
        <v>8015</v>
      </c>
      <c r="AC134" s="130">
        <v>0</v>
      </c>
      <c r="AD134" s="35">
        <f t="shared" si="51"/>
        <v>8015</v>
      </c>
      <c r="AE134" s="166" t="str">
        <f t="shared" si="52"/>
        <v>Release</v>
      </c>
      <c r="AF134" s="127"/>
      <c r="AG134" s="18">
        <v>0</v>
      </c>
      <c r="AH134" s="120"/>
      <c r="AI134" s="238">
        <v>0</v>
      </c>
      <c r="AJ134" s="132"/>
      <c r="AK134" s="151">
        <v>779.30000000000007</v>
      </c>
      <c r="AL134" s="154">
        <f t="shared" si="42"/>
        <v>0</v>
      </c>
      <c r="AM134" s="155"/>
      <c r="AN134" s="19">
        <f t="shared" si="43"/>
        <v>0</v>
      </c>
      <c r="AO134" s="118">
        <f>SUMIF('MPG Payment '!E:E,'Shayak Income '!D134,'MPG Payment '!AJ:AJ)</f>
        <v>0</v>
      </c>
      <c r="AP134" s="19">
        <f t="shared" si="44"/>
        <v>0</v>
      </c>
      <c r="AQ134" s="119">
        <f t="shared" si="53"/>
        <v>0</v>
      </c>
      <c r="AR134" s="91" t="s">
        <v>1144</v>
      </c>
      <c r="AS134" s="91">
        <f t="shared" si="45"/>
        <v>0</v>
      </c>
      <c r="AT134" s="118"/>
      <c r="AU134" s="118"/>
      <c r="AV134" s="118"/>
    </row>
    <row r="135" spans="1:48" s="20" customFormat="1" x14ac:dyDescent="0.25">
      <c r="A135" s="17">
        <f>IFERROR(VLOOKUP(D135,'Monthly Deduction'!$I$3:$J$957,2,0),0)</f>
        <v>0</v>
      </c>
      <c r="B135" s="17">
        <f>IFERROR(VLOOKUP(D135,'Monthly Deduction'!$E$3:$F$957,2,0),0)</f>
        <v>0</v>
      </c>
      <c r="C135" s="17">
        <f t="shared" si="46"/>
        <v>0</v>
      </c>
      <c r="D135" s="41">
        <v>10060021</v>
      </c>
      <c r="E135" s="122" t="str">
        <f>VLOOKUP(D135,'MPG Payment '!$E$3:$G$497305,2,0)</f>
        <v>PURANI DIH</v>
      </c>
      <c r="F135" s="146">
        <f>IFERROR(_xlfn.XLOOKUP(D135,'Monthly Deduction'!$I$3:$I$957,'Monthly Deduction'!$H$3:$H$957),0)</f>
        <v>0</v>
      </c>
      <c r="G135" s="123" t="str">
        <f>VLOOKUP(D135,'MPG Payment '!$E$3:$G$333666,3,0)</f>
        <v>vlc</v>
      </c>
      <c r="H135" s="124" t="str">
        <f>VLOOKUP(D135,'MPG Payment '!$E$3:$H$333666,4,0)</f>
        <v>Indirect</v>
      </c>
      <c r="I135" s="88">
        <f>INDEX('MPG Payment '!$C:$C,MATCH('Shayak Income '!D135,'MPG Payment '!E:E,0))</f>
        <v>1006</v>
      </c>
      <c r="J135" s="88" t="str">
        <f>INDEX('MPG Payment '!$D:$D,MATCH('Shayak Income '!D135,'MPG Payment '!E:E,0))</f>
        <v>Sonvarsha</v>
      </c>
      <c r="K135" s="125" t="s">
        <v>1594</v>
      </c>
      <c r="L135" s="125">
        <v>44652</v>
      </c>
      <c r="M135" s="126">
        <f>SUMIF('MPG Payment '!$E$3:$E$344841,'Shayak Income '!D135,'MPG Payment '!$I$3:$I$344841)</f>
        <v>8743.1</v>
      </c>
      <c r="N135" s="126">
        <f>SUMIF('MPG Payment '!$E$3:$E$344841,'Shayak Income '!D135,'MPG Payment '!$J$3:$J$344841)</f>
        <v>375948.04</v>
      </c>
      <c r="O135" s="126">
        <f t="shared" si="47"/>
        <v>6557.3250000000007</v>
      </c>
      <c r="P135" s="126">
        <f t="shared" si="48"/>
        <v>8305.9449999999997</v>
      </c>
      <c r="Q135" s="126">
        <f>SUMIF('MPG Payment '!$E$3:$E$344841,'Shayak Income '!D135,'MPG Payment '!$S$3:$S$344841)</f>
        <v>0</v>
      </c>
      <c r="R135" s="126">
        <f t="shared" si="38"/>
        <v>11278.441199999999</v>
      </c>
      <c r="S135" s="126">
        <f t="shared" si="39"/>
        <v>2972.4961999999996</v>
      </c>
      <c r="T135" s="126">
        <f t="shared" si="49"/>
        <v>874.31000000000006</v>
      </c>
      <c r="U135" s="127">
        <f>((((((IF(K135="New",0,SUMIF('MPG Payment '!$E$3:$E$344841,'Shayak Income '!D135,'MPG Payment '!$AC$3:$AC$344841))))+0)+0)+0)+0)+0</f>
        <v>0</v>
      </c>
      <c r="V135" s="127">
        <f t="shared" si="50"/>
        <v>13989</v>
      </c>
      <c r="W135" s="19">
        <f t="shared" si="54"/>
        <v>0</v>
      </c>
      <c r="X135" s="19">
        <f t="shared" si="40"/>
        <v>0</v>
      </c>
      <c r="Y135" s="128">
        <f>IFERROR(VLOOKUP(D135,'Monthly Deduction'!$M$2:$N$640,2,0),0)</f>
        <v>0</v>
      </c>
      <c r="Z135" s="128">
        <v>0</v>
      </c>
      <c r="AA135" s="126">
        <f>IFERROR(VLOOKUP(D135,'Monthly Deduction'!A:B,2,0),0)</f>
        <v>0</v>
      </c>
      <c r="AB135" s="129">
        <f t="shared" si="41"/>
        <v>13989</v>
      </c>
      <c r="AC135" s="130">
        <v>0</v>
      </c>
      <c r="AD135" s="35">
        <f t="shared" si="51"/>
        <v>13989</v>
      </c>
      <c r="AE135" s="166" t="str">
        <f t="shared" si="52"/>
        <v>Release</v>
      </c>
      <c r="AF135" s="127"/>
      <c r="AG135" s="18">
        <v>0</v>
      </c>
      <c r="AH135" s="24"/>
      <c r="AI135" s="238">
        <v>0</v>
      </c>
      <c r="AJ135" s="132"/>
      <c r="AK135" s="151">
        <v>2240.6999999999998</v>
      </c>
      <c r="AL135" s="154">
        <f t="shared" si="42"/>
        <v>0</v>
      </c>
      <c r="AM135" s="155"/>
      <c r="AN135" s="19">
        <f t="shared" si="43"/>
        <v>0</v>
      </c>
      <c r="AO135" s="118">
        <f>SUMIF('MPG Payment '!E:E,'Shayak Income '!D135,'MPG Payment '!AJ:AJ)</f>
        <v>0</v>
      </c>
      <c r="AP135" s="19">
        <f t="shared" si="44"/>
        <v>0</v>
      </c>
      <c r="AQ135" s="119">
        <f t="shared" si="53"/>
        <v>0</v>
      </c>
      <c r="AR135" s="91" t="s">
        <v>1144</v>
      </c>
      <c r="AS135" s="91">
        <f t="shared" si="45"/>
        <v>0</v>
      </c>
      <c r="AT135" s="118"/>
      <c r="AU135" s="118"/>
      <c r="AV135" s="118"/>
    </row>
    <row r="136" spans="1:48" s="20" customFormat="1" x14ac:dyDescent="0.25">
      <c r="A136" s="17">
        <f>IFERROR(VLOOKUP(D136,'Monthly Deduction'!$I$3:$J$957,2,0),0)</f>
        <v>0</v>
      </c>
      <c r="B136" s="17">
        <f>IFERROR(VLOOKUP(D136,'Monthly Deduction'!$E$3:$F$957,2,0),0)</f>
        <v>0</v>
      </c>
      <c r="C136" s="17">
        <f t="shared" si="46"/>
        <v>0</v>
      </c>
      <c r="D136" s="41">
        <v>10060022</v>
      </c>
      <c r="E136" s="122" t="str">
        <f>VLOOKUP(D136,'MPG Payment '!$E$3:$G$497305,2,0)</f>
        <v>Farda Ravi Tola</v>
      </c>
      <c r="F136" s="146">
        <f>IFERROR(_xlfn.XLOOKUP(D136,'Monthly Deduction'!$I$3:$I$957,'Monthly Deduction'!$H$3:$H$957),0)</f>
        <v>0</v>
      </c>
      <c r="G136" s="123" t="str">
        <f>VLOOKUP(D136,'MPG Payment '!$E$3:$G$333666,3,0)</f>
        <v>MPG</v>
      </c>
      <c r="H136" s="124" t="str">
        <f>VLOOKUP(D136,'MPG Payment '!$E$3:$H$333666,4,0)</f>
        <v>Direct</v>
      </c>
      <c r="I136" s="88">
        <f>INDEX('MPG Payment '!$C:$C,MATCH('Shayak Income '!D136,'MPG Payment '!E:E,0))</f>
        <v>1006</v>
      </c>
      <c r="J136" s="88" t="str">
        <f>INDEX('MPG Payment '!$D:$D,MATCH('Shayak Income '!D136,'MPG Payment '!E:E,0))</f>
        <v>Sonvarsha</v>
      </c>
      <c r="K136" s="125" t="s">
        <v>1594</v>
      </c>
      <c r="L136" s="125">
        <v>44697</v>
      </c>
      <c r="M136" s="126">
        <f>SUMIF('MPG Payment '!$E$3:$E$344841,'Shayak Income '!D136,'MPG Payment '!$I$3:$I$344841)</f>
        <v>3439.2</v>
      </c>
      <c r="N136" s="126">
        <f>SUMIF('MPG Payment '!$E$3:$E$344841,'Shayak Income '!D136,'MPG Payment '!$J$3:$J$344841)</f>
        <v>133282.44</v>
      </c>
      <c r="O136" s="126">
        <f t="shared" si="47"/>
        <v>2579.3999999999996</v>
      </c>
      <c r="P136" s="126">
        <f t="shared" si="48"/>
        <v>3267.24</v>
      </c>
      <c r="Q136" s="126">
        <f>SUMIF('MPG Payment '!$E$3:$E$344841,'Shayak Income '!D136,'MPG Payment '!$S$3:$S$344841)</f>
        <v>2273.6099999999997</v>
      </c>
      <c r="R136" s="126">
        <f t="shared" si="38"/>
        <v>3998.4731999999999</v>
      </c>
      <c r="S136" s="126">
        <f t="shared" si="39"/>
        <v>731.23320000000012</v>
      </c>
      <c r="T136" s="126">
        <f t="shared" si="49"/>
        <v>343.92</v>
      </c>
      <c r="U136" s="127">
        <f>((((((IF(K136="New",0,SUMIF('MPG Payment '!$E$3:$E$344841,'Shayak Income '!D136,'MPG Payment '!$AC$3:$AC$344841))))+0)+0)+0)+0)+0</f>
        <v>0</v>
      </c>
      <c r="V136" s="127">
        <f t="shared" si="50"/>
        <v>7776</v>
      </c>
      <c r="W136" s="19">
        <f t="shared" si="54"/>
        <v>0</v>
      </c>
      <c r="X136" s="19">
        <f t="shared" si="40"/>
        <v>0</v>
      </c>
      <c r="Y136" s="128">
        <f>IFERROR(VLOOKUP(D136,'Monthly Deduction'!$M$2:$N$640,2,0),0)</f>
        <v>0</v>
      </c>
      <c r="Z136" s="128">
        <v>0</v>
      </c>
      <c r="AA136" s="126">
        <f>IFERROR(VLOOKUP(D136,'Monthly Deduction'!A:B,2,0),0)</f>
        <v>0</v>
      </c>
      <c r="AB136" s="129">
        <f t="shared" si="41"/>
        <v>7776</v>
      </c>
      <c r="AC136" s="130">
        <v>0</v>
      </c>
      <c r="AD136" s="35">
        <f t="shared" si="51"/>
        <v>7776</v>
      </c>
      <c r="AE136" s="166" t="str">
        <f t="shared" si="52"/>
        <v>Release</v>
      </c>
      <c r="AF136" s="127"/>
      <c r="AG136" s="18">
        <v>0</v>
      </c>
      <c r="AH136" s="120"/>
      <c r="AI136" s="238">
        <v>0</v>
      </c>
      <c r="AJ136" s="132"/>
      <c r="AK136" s="151">
        <v>746.59999999999991</v>
      </c>
      <c r="AL136" s="154">
        <f t="shared" si="42"/>
        <v>0</v>
      </c>
      <c r="AM136" s="155"/>
      <c r="AN136" s="19">
        <f t="shared" si="43"/>
        <v>0</v>
      </c>
      <c r="AO136" s="118">
        <f>SUMIF('MPG Payment '!E:E,'Shayak Income '!D136,'MPG Payment '!AJ:AJ)</f>
        <v>0</v>
      </c>
      <c r="AP136" s="19">
        <f t="shared" si="44"/>
        <v>0</v>
      </c>
      <c r="AQ136" s="119">
        <f t="shared" si="53"/>
        <v>0</v>
      </c>
      <c r="AR136" s="91" t="s">
        <v>1144</v>
      </c>
      <c r="AS136" s="91">
        <f t="shared" si="45"/>
        <v>0</v>
      </c>
      <c r="AT136" s="118"/>
      <c r="AU136" s="118"/>
      <c r="AV136" s="118"/>
    </row>
    <row r="137" spans="1:48" s="20" customFormat="1" x14ac:dyDescent="0.25">
      <c r="A137" s="17">
        <f>IFERROR(VLOOKUP(D137,'Monthly Deduction'!$I$3:$J$957,2,0),0)</f>
        <v>0</v>
      </c>
      <c r="B137" s="17">
        <f>IFERROR(VLOOKUP(D137,'Monthly Deduction'!$E$3:$F$957,2,0),0)</f>
        <v>0</v>
      </c>
      <c r="C137" s="17">
        <f t="shared" si="46"/>
        <v>0</v>
      </c>
      <c r="D137" s="41">
        <v>10060023</v>
      </c>
      <c r="E137" s="122" t="str">
        <f>VLOOKUP(D137,'MPG Payment '!$E$3:$G$497305,2,0)</f>
        <v>Gomukh Puranidih 2</v>
      </c>
      <c r="F137" s="146">
        <f>IFERROR(_xlfn.XLOOKUP(D137,'Monthly Deduction'!$I$3:$I$957,'Monthly Deduction'!$H$3:$H$957),0)</f>
        <v>0</v>
      </c>
      <c r="G137" s="123" t="str">
        <f>VLOOKUP(D137,'MPG Payment '!$E$3:$G$333666,3,0)</f>
        <v>vlc</v>
      </c>
      <c r="H137" s="124" t="str">
        <f>VLOOKUP(D137,'MPG Payment '!$E$3:$H$333666,4,0)</f>
        <v>Indirect</v>
      </c>
      <c r="I137" s="88">
        <f>INDEX('MPG Payment '!$C:$C,MATCH('Shayak Income '!D137,'MPG Payment '!E:E,0))</f>
        <v>1006</v>
      </c>
      <c r="J137" s="88" t="str">
        <f>INDEX('MPG Payment '!$D:$D,MATCH('Shayak Income '!D137,'MPG Payment '!E:E,0))</f>
        <v>Sonvarsha</v>
      </c>
      <c r="K137" s="125" t="s">
        <v>1594</v>
      </c>
      <c r="L137" s="125">
        <v>44717</v>
      </c>
      <c r="M137" s="126">
        <f>SUMIF('MPG Payment '!$E$3:$E$344841,'Shayak Income '!D137,'MPG Payment '!$I$3:$I$344841)</f>
        <v>562.5</v>
      </c>
      <c r="N137" s="126">
        <f>SUMIF('MPG Payment '!$E$3:$E$344841,'Shayak Income '!D137,'MPG Payment '!$J$3:$J$344841)</f>
        <v>25337.43</v>
      </c>
      <c r="O137" s="126">
        <f t="shared" si="47"/>
        <v>421.875</v>
      </c>
      <c r="P137" s="126">
        <f t="shared" si="48"/>
        <v>534.375</v>
      </c>
      <c r="Q137" s="126">
        <f>SUMIF('MPG Payment '!$E$3:$E$344841,'Shayak Income '!D137,'MPG Payment '!$S$3:$S$344841)</f>
        <v>0</v>
      </c>
      <c r="R137" s="126">
        <f t="shared" si="38"/>
        <v>760.12289999999996</v>
      </c>
      <c r="S137" s="126">
        <f t="shared" si="39"/>
        <v>225.74789999999996</v>
      </c>
      <c r="T137" s="126">
        <f t="shared" si="49"/>
        <v>56.25</v>
      </c>
      <c r="U137" s="127">
        <f>((((((IF(K137="New",0,SUMIF('MPG Payment '!$E$3:$E$344841,'Shayak Income '!D137,'MPG Payment '!$AC$3:$AC$344841))))+0)+0)+0)+0)+-1120</f>
        <v>900.25095535112609</v>
      </c>
      <c r="V137" s="127">
        <f t="shared" si="50"/>
        <v>0</v>
      </c>
      <c r="W137" s="19">
        <v>0</v>
      </c>
      <c r="X137" s="19">
        <v>0</v>
      </c>
      <c r="Y137" s="128">
        <v>0</v>
      </c>
      <c r="Z137" s="128">
        <v>0</v>
      </c>
      <c r="AA137" s="126">
        <v>0</v>
      </c>
      <c r="AB137" s="129">
        <f t="shared" si="41"/>
        <v>0</v>
      </c>
      <c r="AC137" s="130">
        <v>0</v>
      </c>
      <c r="AD137" s="35">
        <f t="shared" si="51"/>
        <v>0</v>
      </c>
      <c r="AE137" s="166" t="str">
        <f t="shared" si="52"/>
        <v>Release</v>
      </c>
      <c r="AF137" s="127"/>
      <c r="AG137" s="18">
        <v>0</v>
      </c>
      <c r="AH137" s="132"/>
      <c r="AI137" s="238">
        <v>0</v>
      </c>
      <c r="AJ137" s="132"/>
      <c r="AK137" s="151">
        <v>124.8</v>
      </c>
      <c r="AL137" s="154">
        <f t="shared" si="42"/>
        <v>0</v>
      </c>
      <c r="AM137" s="155"/>
      <c r="AN137" s="19">
        <f t="shared" si="43"/>
        <v>0</v>
      </c>
      <c r="AO137" s="118">
        <f>SUMIF('MPG Payment '!E:E,'Shayak Income '!D137,'MPG Payment '!AJ:AJ)</f>
        <v>0</v>
      </c>
      <c r="AP137" s="19">
        <f t="shared" si="44"/>
        <v>0</v>
      </c>
      <c r="AQ137" s="119">
        <f t="shared" si="53"/>
        <v>0</v>
      </c>
      <c r="AR137" s="91" t="s">
        <v>1144</v>
      </c>
      <c r="AS137" s="91">
        <f t="shared" si="45"/>
        <v>0</v>
      </c>
      <c r="AT137" s="118"/>
      <c r="AU137" s="118"/>
      <c r="AV137" s="118"/>
    </row>
    <row r="138" spans="1:48" s="20" customFormat="1" x14ac:dyDescent="0.25">
      <c r="A138" s="17">
        <f>IFERROR(VLOOKUP(D138,'Monthly Deduction'!$I$3:$J$957,2,0),0)</f>
        <v>0</v>
      </c>
      <c r="B138" s="17">
        <f>IFERROR(VLOOKUP(D138,'Monthly Deduction'!$E$3:$F$957,2,0),0)</f>
        <v>1687.1475270378869</v>
      </c>
      <c r="C138" s="17">
        <f t="shared" si="46"/>
        <v>1687.1475270378869</v>
      </c>
      <c r="D138" s="41">
        <v>10060026</v>
      </c>
      <c r="E138" s="122" t="str">
        <f>VLOOKUP(D138,'MPG Payment '!$E$3:$G$497305,2,0)</f>
        <v>Gomukh Arma</v>
      </c>
      <c r="F138" s="146">
        <f>IFERROR(_xlfn.XLOOKUP(D138,'Monthly Deduction'!$I$3:$I$957,'Monthly Deduction'!$H$3:$H$957),0)</f>
        <v>0</v>
      </c>
      <c r="G138" s="123" t="str">
        <f>VLOOKUP(D138,'MPG Payment '!$E$3:$G$333666,3,0)</f>
        <v>MPG</v>
      </c>
      <c r="H138" s="124" t="str">
        <f>VLOOKUP(D138,'MPG Payment '!$E$3:$H$333666,4,0)</f>
        <v>Direct</v>
      </c>
      <c r="I138" s="88">
        <f>INDEX('MPG Payment '!$C:$C,MATCH('Shayak Income '!D138,'MPG Payment '!E:E,0))</f>
        <v>1006</v>
      </c>
      <c r="J138" s="88" t="str">
        <f>INDEX('MPG Payment '!$D:$D,MATCH('Shayak Income '!D138,'MPG Payment '!E:E,0))</f>
        <v>Sonvarsha</v>
      </c>
      <c r="K138" s="125" t="s">
        <v>1594</v>
      </c>
      <c r="L138" s="125">
        <v>44866</v>
      </c>
      <c r="M138" s="126">
        <f>SUMIF('MPG Payment '!$E$3:$E$344841,'Shayak Income '!D138,'MPG Payment '!$I$3:$I$344841)</f>
        <v>3467.7</v>
      </c>
      <c r="N138" s="126">
        <f>SUMIF('MPG Payment '!$E$3:$E$344841,'Shayak Income '!D138,'MPG Payment '!$J$3:$J$344841)</f>
        <v>184110.15</v>
      </c>
      <c r="O138" s="126">
        <f t="shared" si="47"/>
        <v>2600.7749999999996</v>
      </c>
      <c r="P138" s="126">
        <f t="shared" si="48"/>
        <v>3294.3149999999996</v>
      </c>
      <c r="Q138" s="126">
        <f>SUMIF('MPG Payment '!$E$3:$E$344841,'Shayak Income '!D138,'MPG Payment '!$S$3:$S$344841)</f>
        <v>0</v>
      </c>
      <c r="R138" s="126">
        <f t="shared" si="38"/>
        <v>5523.3044999999993</v>
      </c>
      <c r="S138" s="126">
        <f t="shared" si="39"/>
        <v>2228.9894999999997</v>
      </c>
      <c r="T138" s="126">
        <f t="shared" si="49"/>
        <v>346.77</v>
      </c>
      <c r="U138" s="127">
        <f>((((((IF(K138="New",0,SUMIF('MPG Payment '!$E$3:$E$344841,'Shayak Income '!D138,'MPG Payment '!$AC$3:$AC$344841))))+0)+0)+0)+0)+0</f>
        <v>0</v>
      </c>
      <c r="V138" s="127">
        <f t="shared" si="50"/>
        <v>5548</v>
      </c>
      <c r="W138" s="19">
        <f t="shared" si="54"/>
        <v>0</v>
      </c>
      <c r="X138" s="19">
        <f t="shared" si="40"/>
        <v>1687.1475270378869</v>
      </c>
      <c r="Y138" s="128">
        <f>IFERROR(VLOOKUP(D138,'Monthly Deduction'!$M$2:$N$640,2,0),0)</f>
        <v>0</v>
      </c>
      <c r="Z138" s="128">
        <v>2454.4</v>
      </c>
      <c r="AA138" s="126">
        <f>IFERROR(VLOOKUP(D138,'Monthly Deduction'!A:B,2,0),0)</f>
        <v>0</v>
      </c>
      <c r="AB138" s="129">
        <f t="shared" si="41"/>
        <v>1406</v>
      </c>
      <c r="AC138" s="130">
        <v>0</v>
      </c>
      <c r="AD138" s="35">
        <f t="shared" si="51"/>
        <v>1406</v>
      </c>
      <c r="AE138" s="166" t="str">
        <f t="shared" si="52"/>
        <v>Release</v>
      </c>
      <c r="AF138" s="127"/>
      <c r="AG138" s="18">
        <v>0</v>
      </c>
      <c r="AH138" s="132" t="s">
        <v>1680</v>
      </c>
      <c r="AI138" s="238">
        <v>0</v>
      </c>
      <c r="AJ138" s="132"/>
      <c r="AK138" s="151">
        <v>611.4</v>
      </c>
      <c r="AL138" s="154">
        <f t="shared" si="42"/>
        <v>0</v>
      </c>
      <c r="AM138" s="155"/>
      <c r="AN138" s="19">
        <f t="shared" si="43"/>
        <v>0</v>
      </c>
      <c r="AO138" s="118">
        <f>SUMIF('MPG Payment '!E:E,'Shayak Income '!D138,'MPG Payment '!AJ:AJ)</f>
        <v>0</v>
      </c>
      <c r="AP138" s="19">
        <f t="shared" si="44"/>
        <v>0</v>
      </c>
      <c r="AQ138" s="119">
        <f t="shared" si="53"/>
        <v>0</v>
      </c>
      <c r="AR138" s="91" t="s">
        <v>1144</v>
      </c>
      <c r="AS138" s="91">
        <f t="shared" si="45"/>
        <v>0</v>
      </c>
      <c r="AT138" s="118"/>
      <c r="AU138" s="118"/>
      <c r="AV138" s="118"/>
    </row>
    <row r="139" spans="1:48" s="20" customFormat="1" x14ac:dyDescent="0.25">
      <c r="A139" s="17">
        <f>IFERROR(VLOOKUP(D139,'Monthly Deduction'!$I$3:$J$957,2,0),0)</f>
        <v>0</v>
      </c>
      <c r="B139" s="17">
        <f>IFERROR(VLOOKUP(D139,'Monthly Deduction'!$E$3:$F$957,2,0),0)</f>
        <v>0</v>
      </c>
      <c r="C139" s="17">
        <f t="shared" si="46"/>
        <v>0</v>
      </c>
      <c r="D139" s="41">
        <v>10060027</v>
      </c>
      <c r="E139" s="122" t="str">
        <f>VLOOKUP(D139,'MPG Payment '!$E$3:$G$497305,2,0)</f>
        <v>Singhchak</v>
      </c>
      <c r="F139" s="146">
        <f>IFERROR(_xlfn.XLOOKUP(D139,'Monthly Deduction'!$I$3:$I$957,'Monthly Deduction'!$H$3:$H$957),0)</f>
        <v>0</v>
      </c>
      <c r="G139" s="123" t="str">
        <f>VLOOKUP(D139,'MPG Payment '!$E$3:$G$333666,3,0)</f>
        <v>MPG</v>
      </c>
      <c r="H139" s="124" t="str">
        <f>VLOOKUP(D139,'MPG Payment '!$E$3:$H$333666,4,0)</f>
        <v>Direct</v>
      </c>
      <c r="I139" s="88">
        <f>INDEX('MPG Payment '!$C:$C,MATCH('Shayak Income '!D139,'MPG Payment '!E:E,0))</f>
        <v>1059</v>
      </c>
      <c r="J139" s="88" t="str">
        <f>INDEX('MPG Payment '!$D:$D,MATCH('Shayak Income '!D139,'MPG Payment '!E:E,0))</f>
        <v>Gopalpur Bmc</v>
      </c>
      <c r="K139" s="125" t="s">
        <v>1594</v>
      </c>
      <c r="L139" s="125">
        <v>44866</v>
      </c>
      <c r="M139" s="126">
        <f>SUMIF('MPG Payment '!$E$3:$E$344841,'Shayak Income '!D139,'MPG Payment '!$I$3:$I$344841)</f>
        <v>6678.2</v>
      </c>
      <c r="N139" s="126">
        <f>SUMIF('MPG Payment '!$E$3:$E$344841,'Shayak Income '!D139,'MPG Payment '!$J$3:$J$344841)</f>
        <v>298163.42</v>
      </c>
      <c r="O139" s="126">
        <f t="shared" si="47"/>
        <v>5008.6499999999996</v>
      </c>
      <c r="P139" s="126">
        <f t="shared" si="48"/>
        <v>6344.29</v>
      </c>
      <c r="Q139" s="126">
        <f>SUMIF('MPG Payment '!$E$3:$E$344841,'Shayak Income '!D139,'MPG Payment '!$S$3:$S$344841)</f>
        <v>3790.64</v>
      </c>
      <c r="R139" s="126">
        <f t="shared" si="38"/>
        <v>8944.9025999999994</v>
      </c>
      <c r="S139" s="126">
        <f t="shared" si="39"/>
        <v>2600.6125999999995</v>
      </c>
      <c r="T139" s="126">
        <f t="shared" si="49"/>
        <v>667.82</v>
      </c>
      <c r="U139" s="127">
        <f>((((((IF(K139="New",0,SUMIF('MPG Payment '!$E$3:$E$344841,'Shayak Income '!D139,'MPG Payment '!$AC$3:$AC$344841))))+0)+0)+0)+0)+0</f>
        <v>0</v>
      </c>
      <c r="V139" s="127">
        <f t="shared" si="50"/>
        <v>14476</v>
      </c>
      <c r="W139" s="19">
        <f t="shared" si="54"/>
        <v>0</v>
      </c>
      <c r="X139" s="19">
        <f t="shared" si="40"/>
        <v>0</v>
      </c>
      <c r="Y139" s="128">
        <f>IFERROR(VLOOKUP(D139,'Monthly Deduction'!$M$2:$N$640,2,0),0)</f>
        <v>0</v>
      </c>
      <c r="Z139" s="128">
        <v>0</v>
      </c>
      <c r="AA139" s="126">
        <f>IFERROR(VLOOKUP(D139,'Monthly Deduction'!A:B,2,0),0)</f>
        <v>0</v>
      </c>
      <c r="AB139" s="129">
        <f t="shared" si="41"/>
        <v>14476</v>
      </c>
      <c r="AC139" s="130">
        <v>0</v>
      </c>
      <c r="AD139" s="35">
        <f t="shared" si="51"/>
        <v>14476</v>
      </c>
      <c r="AE139" s="166" t="str">
        <f t="shared" si="52"/>
        <v>Release</v>
      </c>
      <c r="AF139" s="127"/>
      <c r="AG139" s="18">
        <v>0</v>
      </c>
      <c r="AH139" s="120"/>
      <c r="AI139" s="238">
        <v>0</v>
      </c>
      <c r="AJ139" s="132"/>
      <c r="AK139" s="151">
        <v>1350.6</v>
      </c>
      <c r="AL139" s="154">
        <f t="shared" si="42"/>
        <v>0</v>
      </c>
      <c r="AM139" s="155"/>
      <c r="AN139" s="19">
        <f t="shared" si="43"/>
        <v>0</v>
      </c>
      <c r="AO139" s="118">
        <f>SUMIF('MPG Payment '!E:E,'Shayak Income '!D139,'MPG Payment '!AJ:AJ)</f>
        <v>0</v>
      </c>
      <c r="AP139" s="19">
        <f t="shared" si="44"/>
        <v>0</v>
      </c>
      <c r="AQ139" s="119">
        <f t="shared" si="53"/>
        <v>0</v>
      </c>
      <c r="AR139" s="91" t="s">
        <v>1144</v>
      </c>
      <c r="AS139" s="91">
        <f t="shared" si="45"/>
        <v>0</v>
      </c>
      <c r="AT139" s="118"/>
      <c r="AU139" s="118"/>
      <c r="AV139" s="118"/>
    </row>
    <row r="140" spans="1:48" s="20" customFormat="1" x14ac:dyDescent="0.25">
      <c r="A140" s="17">
        <f>IFERROR(VLOOKUP(D140,'Monthly Deduction'!$I$3:$J$957,2,0),0)</f>
        <v>0</v>
      </c>
      <c r="B140" s="17">
        <f>IFERROR(VLOOKUP(D140,'Monthly Deduction'!$E$3:$F$957,2,0),0)</f>
        <v>0</v>
      </c>
      <c r="C140" s="17">
        <f t="shared" si="46"/>
        <v>0</v>
      </c>
      <c r="D140" s="41">
        <v>10060028</v>
      </c>
      <c r="E140" s="122" t="str">
        <f>VLOOKUP(D140,'MPG Payment '!$E$3:$G$497305,2,0)</f>
        <v>MAHA-LAXMI</v>
      </c>
      <c r="F140" s="146">
        <f>IFERROR(_xlfn.XLOOKUP(D140,'Monthly Deduction'!$I$3:$I$957,'Monthly Deduction'!$H$3:$H$957),0)</f>
        <v>0</v>
      </c>
      <c r="G140" s="123" t="str">
        <f>VLOOKUP(D140,'MPG Payment '!$E$3:$G$333666,3,0)</f>
        <v>vlc</v>
      </c>
      <c r="H140" s="124" t="str">
        <f>VLOOKUP(D140,'MPG Payment '!$E$3:$H$333666,4,0)</f>
        <v>Indirect</v>
      </c>
      <c r="I140" s="88">
        <f>INDEX('MPG Payment '!$C:$C,MATCH('Shayak Income '!D140,'MPG Payment '!E:E,0))</f>
        <v>1006</v>
      </c>
      <c r="J140" s="88" t="str">
        <f>INDEX('MPG Payment '!$D:$D,MATCH('Shayak Income '!D140,'MPG Payment '!E:E,0))</f>
        <v>Sonvarsha</v>
      </c>
      <c r="K140" s="125" t="s">
        <v>1594</v>
      </c>
      <c r="L140" s="125">
        <v>44950</v>
      </c>
      <c r="M140" s="126">
        <f>SUMIF('MPG Payment '!$E$3:$E$344841,'Shayak Income '!D140,'MPG Payment '!$I$3:$I$344841)</f>
        <v>1420.3999999999999</v>
      </c>
      <c r="N140" s="126">
        <f>SUMIF('MPG Payment '!$E$3:$E$344841,'Shayak Income '!D140,'MPG Payment '!$J$3:$J$344841)</f>
        <v>54040.62</v>
      </c>
      <c r="O140" s="126">
        <f t="shared" si="47"/>
        <v>1065.3</v>
      </c>
      <c r="P140" s="126">
        <f t="shared" si="48"/>
        <v>1349.3799999999999</v>
      </c>
      <c r="Q140" s="126">
        <f>SUMIF('MPG Payment '!$E$3:$E$344841,'Shayak Income '!D140,'MPG Payment '!$S$3:$S$344841)</f>
        <v>0</v>
      </c>
      <c r="R140" s="126">
        <f t="shared" si="38"/>
        <v>1621.2185999999999</v>
      </c>
      <c r="S140" s="126">
        <f t="shared" si="39"/>
        <v>271.83860000000004</v>
      </c>
      <c r="T140" s="126">
        <f t="shared" si="49"/>
        <v>142.04</v>
      </c>
      <c r="U140" s="127">
        <f>((((((IF(K140="New",0,SUMIF('MPG Payment '!$E$3:$E$344841,'Shayak Income '!D140,'MPG Payment '!$AC$3:$AC$344841))))+0)+0)+0)+0)+0</f>
        <v>1049.0539607156409</v>
      </c>
      <c r="V140" s="127">
        <f t="shared" si="50"/>
        <v>1224</v>
      </c>
      <c r="W140" s="19">
        <f t="shared" si="54"/>
        <v>0</v>
      </c>
      <c r="X140" s="19">
        <f t="shared" si="40"/>
        <v>0</v>
      </c>
      <c r="Y140" s="128">
        <f>IFERROR(VLOOKUP(D140,'Monthly Deduction'!$M$2:$N$640,2,0),0)</f>
        <v>0</v>
      </c>
      <c r="Z140" s="128">
        <v>0</v>
      </c>
      <c r="AA140" s="126">
        <f>IFERROR(VLOOKUP(D140,'Monthly Deduction'!A:B,2,0),0)</f>
        <v>0</v>
      </c>
      <c r="AB140" s="129">
        <f t="shared" si="41"/>
        <v>1224</v>
      </c>
      <c r="AC140" s="130">
        <v>0</v>
      </c>
      <c r="AD140" s="35">
        <f t="shared" si="51"/>
        <v>1224</v>
      </c>
      <c r="AE140" s="166" t="str">
        <f t="shared" si="52"/>
        <v>Release</v>
      </c>
      <c r="AF140" s="127"/>
      <c r="AG140" s="18">
        <v>0</v>
      </c>
      <c r="AH140" s="120"/>
      <c r="AI140" s="238">
        <v>0</v>
      </c>
      <c r="AJ140" s="132"/>
      <c r="AK140" s="151">
        <v>269.40000000000003</v>
      </c>
      <c r="AL140" s="154">
        <f t="shared" si="42"/>
        <v>0</v>
      </c>
      <c r="AM140" s="155"/>
      <c r="AN140" s="19">
        <f t="shared" si="43"/>
        <v>0</v>
      </c>
      <c r="AO140" s="118">
        <f>SUMIF('MPG Payment '!E:E,'Shayak Income '!D140,'MPG Payment '!AJ:AJ)</f>
        <v>0</v>
      </c>
      <c r="AP140" s="19">
        <f t="shared" si="44"/>
        <v>0</v>
      </c>
      <c r="AQ140" s="119">
        <f t="shared" si="53"/>
        <v>0</v>
      </c>
      <c r="AR140" s="91" t="s">
        <v>1144</v>
      </c>
      <c r="AS140" s="91">
        <f t="shared" si="45"/>
        <v>0</v>
      </c>
      <c r="AT140" s="118"/>
      <c r="AU140" s="118"/>
      <c r="AV140" s="118"/>
    </row>
    <row r="141" spans="1:48" s="20" customFormat="1" x14ac:dyDescent="0.25">
      <c r="A141" s="17">
        <f>IFERROR(VLOOKUP(D141,'Monthly Deduction'!$I$3:$J$957,2,0),0)</f>
        <v>0</v>
      </c>
      <c r="B141" s="17">
        <f>IFERROR(VLOOKUP(D141,'Monthly Deduction'!$E$3:$F$957,2,0),0)</f>
        <v>0</v>
      </c>
      <c r="C141" s="17">
        <f t="shared" si="46"/>
        <v>0</v>
      </c>
      <c r="D141" s="41">
        <v>10060029</v>
      </c>
      <c r="E141" s="122" t="str">
        <f>VLOOKUP(D141,'MPG Payment '!$E$3:$G$497305,2,0)</f>
        <v>PAWAI</v>
      </c>
      <c r="F141" s="146">
        <f>IFERROR(_xlfn.XLOOKUP(D141,'Monthly Deduction'!$I$3:$I$957,'Monthly Deduction'!$H$3:$H$957),0)</f>
        <v>0</v>
      </c>
      <c r="G141" s="123" t="str">
        <f>VLOOKUP(D141,'MPG Payment '!$E$3:$G$333666,3,0)</f>
        <v>MPG</v>
      </c>
      <c r="H141" s="124" t="str">
        <f>VLOOKUP(D141,'MPG Payment '!$E$3:$H$333666,4,0)</f>
        <v>Direct</v>
      </c>
      <c r="I141" s="88">
        <f>INDEX('MPG Payment '!$C:$C,MATCH('Shayak Income '!D141,'MPG Payment '!E:E,0))</f>
        <v>1006</v>
      </c>
      <c r="J141" s="88" t="str">
        <f>INDEX('MPG Payment '!$D:$D,MATCH('Shayak Income '!D141,'MPG Payment '!E:E,0))</f>
        <v>Sonvarsha</v>
      </c>
      <c r="K141" s="125" t="s">
        <v>1594</v>
      </c>
      <c r="L141" s="125">
        <v>44958</v>
      </c>
      <c r="M141" s="126">
        <f>SUMIF('MPG Payment '!$E$3:$E$344841,'Shayak Income '!D141,'MPG Payment '!$I$3:$I$344841)</f>
        <v>9644.5999999999985</v>
      </c>
      <c r="N141" s="126">
        <f>SUMIF('MPG Payment '!$E$3:$E$344841,'Shayak Income '!D141,'MPG Payment '!$J$3:$J$344841)</f>
        <v>476958.01000000013</v>
      </c>
      <c r="O141" s="126">
        <f t="shared" si="47"/>
        <v>7233.4499999999989</v>
      </c>
      <c r="P141" s="126">
        <f t="shared" si="48"/>
        <v>9162.369999999999</v>
      </c>
      <c r="Q141" s="126">
        <f>SUMIF('MPG Payment '!$E$3:$E$344841,'Shayak Income '!D141,'MPG Payment '!$S$3:$S$344841)</f>
        <v>4727.53</v>
      </c>
      <c r="R141" s="126">
        <f t="shared" si="38"/>
        <v>14308.740300000003</v>
      </c>
      <c r="S141" s="126">
        <f t="shared" si="39"/>
        <v>5146.3703000000041</v>
      </c>
      <c r="T141" s="126">
        <f t="shared" si="49"/>
        <v>964.45999999999992</v>
      </c>
      <c r="U141" s="127">
        <f>((((((IF(K141="New",0,SUMIF('MPG Payment '!$E$3:$E$344841,'Shayak Income '!D141,'MPG Payment '!$AC$3:$AC$344841))))+0)+0)+0)+0)+0</f>
        <v>0</v>
      </c>
      <c r="V141" s="127">
        <f t="shared" si="50"/>
        <v>20159</v>
      </c>
      <c r="W141" s="19">
        <f t="shared" si="54"/>
        <v>0</v>
      </c>
      <c r="X141" s="19">
        <f t="shared" si="40"/>
        <v>0</v>
      </c>
      <c r="Y141" s="128">
        <f>IFERROR(VLOOKUP(D141,'Monthly Deduction'!$M$2:$N$640,2,0),0)</f>
        <v>0</v>
      </c>
      <c r="Z141" s="128">
        <v>0</v>
      </c>
      <c r="AA141" s="126">
        <f>IFERROR(VLOOKUP(D141,'Monthly Deduction'!A:B,2,0),0)</f>
        <v>0</v>
      </c>
      <c r="AB141" s="129">
        <f t="shared" si="41"/>
        <v>20159</v>
      </c>
      <c r="AC141" s="130">
        <v>0</v>
      </c>
      <c r="AD141" s="35">
        <f t="shared" si="51"/>
        <v>20159</v>
      </c>
      <c r="AE141" s="166" t="str">
        <f t="shared" si="52"/>
        <v>Release</v>
      </c>
      <c r="AF141" s="127"/>
      <c r="AG141" s="18">
        <v>0</v>
      </c>
      <c r="AH141" s="120"/>
      <c r="AI141" s="238">
        <v>0</v>
      </c>
      <c r="AJ141" s="132"/>
      <c r="AK141" s="151">
        <v>1960.2000000000003</v>
      </c>
      <c r="AL141" s="154">
        <f t="shared" si="42"/>
        <v>0</v>
      </c>
      <c r="AM141" s="155"/>
      <c r="AN141" s="19">
        <f t="shared" si="43"/>
        <v>0</v>
      </c>
      <c r="AO141" s="118">
        <f>SUMIF('MPG Payment '!E:E,'Shayak Income '!D141,'MPG Payment '!AJ:AJ)</f>
        <v>0</v>
      </c>
      <c r="AP141" s="19">
        <f t="shared" si="44"/>
        <v>0</v>
      </c>
      <c r="AQ141" s="119">
        <f t="shared" si="53"/>
        <v>0</v>
      </c>
      <c r="AR141" s="91" t="s">
        <v>1144</v>
      </c>
      <c r="AS141" s="91">
        <f t="shared" si="45"/>
        <v>0</v>
      </c>
      <c r="AT141" s="118"/>
      <c r="AU141" s="118"/>
      <c r="AV141" s="118"/>
    </row>
    <row r="142" spans="1:48" s="20" customFormat="1" x14ac:dyDescent="0.25">
      <c r="A142" s="17">
        <f>IFERROR(VLOOKUP(D142,'Monthly Deduction'!$I$3:$J$957,2,0),0)</f>
        <v>22854.51887535461</v>
      </c>
      <c r="B142" s="17">
        <f>IFERROR(VLOOKUP(D142,'Monthly Deduction'!$E$3:$F$957,2,0),0)</f>
        <v>4569</v>
      </c>
      <c r="C142" s="17">
        <f t="shared" si="46"/>
        <v>27423.51887535461</v>
      </c>
      <c r="D142" s="41">
        <v>10060031</v>
      </c>
      <c r="E142" s="122" t="str">
        <f>VLOOKUP(D142,'MPG Payment '!$E$3:$G$497305,2,0)</f>
        <v xml:space="preserve">LAKHOCHAK                                                                                           </v>
      </c>
      <c r="F142" s="146">
        <f>IFERROR(_xlfn.XLOOKUP(D142,'Monthly Deduction'!$I$3:$I$957,'Monthly Deduction'!$H$3:$H$957),0)</f>
        <v>0</v>
      </c>
      <c r="G142" s="123" t="str">
        <f>VLOOKUP(D142,'MPG Payment '!$E$3:$G$333666,3,0)</f>
        <v>MPG</v>
      </c>
      <c r="H142" s="124" t="str">
        <f>VLOOKUP(D142,'MPG Payment '!$E$3:$H$333666,4,0)</f>
        <v>Direct</v>
      </c>
      <c r="I142" s="88">
        <f>INDEX('MPG Payment '!$C:$C,MATCH('Shayak Income '!D142,'MPG Payment '!E:E,0))</f>
        <v>1006</v>
      </c>
      <c r="J142" s="88" t="str">
        <f>INDEX('MPG Payment '!$D:$D,MATCH('Shayak Income '!D142,'MPG Payment '!E:E,0))</f>
        <v>Sonvarsha</v>
      </c>
      <c r="K142" s="125" t="s">
        <v>1594</v>
      </c>
      <c r="L142" s="125">
        <v>45049</v>
      </c>
      <c r="M142" s="126">
        <f>SUMIF('MPG Payment '!$E$3:$E$344841,'Shayak Income '!D142,'MPG Payment '!$I$3:$I$344841)</f>
        <v>1791.7999999999997</v>
      </c>
      <c r="N142" s="126">
        <f>SUMIF('MPG Payment '!$E$3:$E$344841,'Shayak Income '!D142,'MPG Payment '!$J$3:$J$344841)</f>
        <v>76883.740000000005</v>
      </c>
      <c r="O142" s="126">
        <f t="shared" si="47"/>
        <v>1343.85</v>
      </c>
      <c r="P142" s="126">
        <f t="shared" si="48"/>
        <v>1702.2099999999996</v>
      </c>
      <c r="Q142" s="126">
        <f>SUMIF('MPG Payment '!$E$3:$E$344841,'Shayak Income '!D142,'MPG Payment '!$S$3:$S$344841)</f>
        <v>0</v>
      </c>
      <c r="R142" s="126">
        <f t="shared" si="38"/>
        <v>2306.5122000000001</v>
      </c>
      <c r="S142" s="126">
        <f t="shared" si="39"/>
        <v>604.30220000000054</v>
      </c>
      <c r="T142" s="126">
        <f t="shared" si="49"/>
        <v>179.17999999999998</v>
      </c>
      <c r="U142" s="127">
        <f>((((((IF(K142="New",0,SUMIF('MPG Payment '!$E$3:$E$344841,'Shayak Income '!D142,'MPG Payment '!$AC$3:$AC$344841))))+0)+0)+0)+0)+0</f>
        <v>872.67320756532456</v>
      </c>
      <c r="V142" s="127">
        <f t="shared" si="50"/>
        <v>1994</v>
      </c>
      <c r="W142" s="19">
        <f t="shared" si="54"/>
        <v>1861</v>
      </c>
      <c r="X142" s="19">
        <v>0</v>
      </c>
      <c r="Y142" s="128">
        <f>IFERROR(VLOOKUP(D142,'Monthly Deduction'!$M$2:$N$640,2,0),0)</f>
        <v>0</v>
      </c>
      <c r="Z142" s="128">
        <v>133</v>
      </c>
      <c r="AA142" s="126">
        <f>IFERROR(VLOOKUP(D142,'Monthly Deduction'!A:B,2,0),0)</f>
        <v>0</v>
      </c>
      <c r="AB142" s="129">
        <f t="shared" si="41"/>
        <v>0</v>
      </c>
      <c r="AC142" s="130">
        <v>0</v>
      </c>
      <c r="AD142" s="35">
        <f t="shared" si="51"/>
        <v>0</v>
      </c>
      <c r="AE142" s="166" t="str">
        <f t="shared" si="52"/>
        <v>Release</v>
      </c>
      <c r="AF142" s="127"/>
      <c r="AG142" s="18">
        <v>0</v>
      </c>
      <c r="AH142" s="132" t="s">
        <v>1682</v>
      </c>
      <c r="AI142" s="238">
        <v>0</v>
      </c>
      <c r="AJ142" s="132"/>
      <c r="AK142" s="151">
        <v>334.4</v>
      </c>
      <c r="AL142" s="154">
        <f t="shared" si="42"/>
        <v>0</v>
      </c>
      <c r="AM142" s="155"/>
      <c r="AN142" s="19">
        <f t="shared" si="43"/>
        <v>1861</v>
      </c>
      <c r="AO142" s="118">
        <f>SUMIF('MPG Payment '!E:E,'Shayak Income '!D142,'MPG Payment '!AJ:AJ)</f>
        <v>0</v>
      </c>
      <c r="AP142" s="19">
        <f t="shared" si="44"/>
        <v>1861</v>
      </c>
      <c r="AQ142" s="119">
        <f t="shared" si="53"/>
        <v>1861</v>
      </c>
      <c r="AR142" s="91" t="s">
        <v>1144</v>
      </c>
      <c r="AS142" s="91">
        <f t="shared" si="45"/>
        <v>4569</v>
      </c>
      <c r="AT142" s="118"/>
      <c r="AU142" s="118"/>
      <c r="AV142" s="118"/>
    </row>
    <row r="143" spans="1:48" s="20" customFormat="1" x14ac:dyDescent="0.25">
      <c r="A143" s="17">
        <f>IFERROR(VLOOKUP(D143,'Monthly Deduction'!$I$3:$J$957,2,0),0)</f>
        <v>0</v>
      </c>
      <c r="B143" s="17">
        <f>IFERROR(VLOOKUP(D143,'Monthly Deduction'!$E$3:$F$957,2,0),0)</f>
        <v>0</v>
      </c>
      <c r="C143" s="17">
        <f t="shared" si="46"/>
        <v>0</v>
      </c>
      <c r="D143" s="41">
        <v>10060032</v>
      </c>
      <c r="E143" s="122" t="str">
        <f>VLOOKUP(D143,'MPG Payment '!$E$3:$G$497305,2,0)</f>
        <v xml:space="preserve">BATTA RAMPUR                                                                                        </v>
      </c>
      <c r="F143" s="146">
        <f>IFERROR(_xlfn.XLOOKUP(D143,'Monthly Deduction'!$I$3:$I$957,'Monthly Deduction'!$H$3:$H$957),0)</f>
        <v>0</v>
      </c>
      <c r="G143" s="123" t="str">
        <f>VLOOKUP(D143,'MPG Payment '!$E$3:$G$333666,3,0)</f>
        <v>MPG</v>
      </c>
      <c r="H143" s="124" t="str">
        <f>VLOOKUP(D143,'MPG Payment '!$E$3:$H$333666,4,0)</f>
        <v>Direct</v>
      </c>
      <c r="I143" s="88">
        <f>INDEX('MPG Payment '!$C:$C,MATCH('Shayak Income '!D143,'MPG Payment '!E:E,0))</f>
        <v>1059</v>
      </c>
      <c r="J143" s="88" t="str">
        <f>INDEX('MPG Payment '!$D:$D,MATCH('Shayak Income '!D143,'MPG Payment '!E:E,0))</f>
        <v>Gopalpur Bmc</v>
      </c>
      <c r="K143" s="125" t="s">
        <v>1594</v>
      </c>
      <c r="L143" s="125">
        <v>45049</v>
      </c>
      <c r="M143" s="126">
        <f>SUMIF('MPG Payment '!$E$3:$E$344841,'Shayak Income '!D143,'MPG Payment '!$I$3:$I$344841)</f>
        <v>13754.800000000001</v>
      </c>
      <c r="N143" s="126">
        <f>SUMIF('MPG Payment '!$E$3:$E$344841,'Shayak Income '!D143,'MPG Payment '!$J$3:$J$344841)</f>
        <v>743090.58</v>
      </c>
      <c r="O143" s="126">
        <f t="shared" si="47"/>
        <v>10316.1</v>
      </c>
      <c r="P143" s="126">
        <f t="shared" si="48"/>
        <v>13067.060000000001</v>
      </c>
      <c r="Q143" s="126">
        <f>SUMIF('MPG Payment '!$E$3:$E$344841,'Shayak Income '!D143,'MPG Payment '!$S$3:$S$344841)</f>
        <v>8507.68</v>
      </c>
      <c r="R143" s="126">
        <f t="shared" si="38"/>
        <v>22292.717399999998</v>
      </c>
      <c r="S143" s="126">
        <f t="shared" si="39"/>
        <v>9225.6573999999964</v>
      </c>
      <c r="T143" s="126">
        <f t="shared" si="49"/>
        <v>1375.4800000000002</v>
      </c>
      <c r="U143" s="127">
        <f>((((((IF(K143="New",0,SUMIF('MPG Payment '!$E$3:$E$344841,'Shayak Income '!D143,'MPG Payment '!$AC$3:$AC$344841))))+0)+0)+0)+0)+0</f>
        <v>0</v>
      </c>
      <c r="V143" s="127">
        <f t="shared" si="50"/>
        <v>30515</v>
      </c>
      <c r="W143" s="19">
        <f t="shared" si="54"/>
        <v>0</v>
      </c>
      <c r="X143" s="19">
        <f t="shared" si="40"/>
        <v>0</v>
      </c>
      <c r="Y143" s="128">
        <f>IFERROR(VLOOKUP(D143,'Monthly Deduction'!$M$2:$N$640,2,0),0)</f>
        <v>0</v>
      </c>
      <c r="Z143" s="128">
        <v>165.2</v>
      </c>
      <c r="AA143" s="126">
        <f>IFERROR(VLOOKUP(D143,'Monthly Deduction'!A:B,2,0),0)</f>
        <v>0</v>
      </c>
      <c r="AB143" s="129">
        <f t="shared" si="41"/>
        <v>30350</v>
      </c>
      <c r="AC143" s="130">
        <v>0</v>
      </c>
      <c r="AD143" s="35">
        <f t="shared" si="51"/>
        <v>30350</v>
      </c>
      <c r="AE143" s="166" t="str">
        <f t="shared" si="52"/>
        <v>Release</v>
      </c>
      <c r="AF143" s="127"/>
      <c r="AG143" s="18">
        <v>0</v>
      </c>
      <c r="AH143" s="132" t="s">
        <v>1680</v>
      </c>
      <c r="AI143" s="238">
        <v>0</v>
      </c>
      <c r="AJ143" s="132"/>
      <c r="AK143" s="151">
        <v>2892.5999999999995</v>
      </c>
      <c r="AL143" s="154">
        <f t="shared" si="42"/>
        <v>0</v>
      </c>
      <c r="AM143" s="155"/>
      <c r="AN143" s="19">
        <f t="shared" si="43"/>
        <v>0</v>
      </c>
      <c r="AO143" s="118">
        <f>SUMIF('MPG Payment '!E:E,'Shayak Income '!D143,'MPG Payment '!AJ:AJ)</f>
        <v>0</v>
      </c>
      <c r="AP143" s="19">
        <f t="shared" si="44"/>
        <v>0</v>
      </c>
      <c r="AQ143" s="119">
        <f t="shared" si="53"/>
        <v>0</v>
      </c>
      <c r="AR143" s="91" t="s">
        <v>1144</v>
      </c>
      <c r="AS143" s="91">
        <f t="shared" si="45"/>
        <v>0</v>
      </c>
      <c r="AT143" s="118"/>
      <c r="AU143" s="118"/>
      <c r="AV143" s="118"/>
    </row>
    <row r="144" spans="1:48" s="20" customFormat="1" x14ac:dyDescent="0.25">
      <c r="A144" s="17">
        <f>IFERROR(VLOOKUP(D144,'Monthly Deduction'!$I$3:$J$957,2,0),0)</f>
        <v>0</v>
      </c>
      <c r="B144" s="17">
        <f>IFERROR(VLOOKUP(D144,'Monthly Deduction'!$E$3:$F$957,2,0),0)</f>
        <v>0</v>
      </c>
      <c r="C144" s="17">
        <f t="shared" si="46"/>
        <v>0</v>
      </c>
      <c r="D144" s="41">
        <v>10060041</v>
      </c>
      <c r="E144" s="122" t="str">
        <f>VLOOKUP(D144,'MPG Payment '!$E$3:$G$497305,2,0)</f>
        <v>RANDHIR KUMAR(VLC)</v>
      </c>
      <c r="F144" s="146">
        <f>IFERROR(_xlfn.XLOOKUP(D144,'Monthly Deduction'!$I$3:$I$957,'Monthly Deduction'!$H$3:$H$957),0)</f>
        <v>0</v>
      </c>
      <c r="G144" s="123" t="str">
        <f>VLOOKUP(D144,'MPG Payment '!$E$3:$G$333666,3,0)</f>
        <v>vlc</v>
      </c>
      <c r="H144" s="124" t="str">
        <f>VLOOKUP(D144,'MPG Payment '!$E$3:$H$333666,4,0)</f>
        <v>Indirect</v>
      </c>
      <c r="I144" s="88">
        <f>INDEX('MPG Payment '!$C:$C,MATCH('Shayak Income '!D144,'MPG Payment '!E:E,0))</f>
        <v>1006</v>
      </c>
      <c r="J144" s="88" t="str">
        <f>INDEX('MPG Payment '!$D:$D,MATCH('Shayak Income '!D144,'MPG Payment '!E:E,0))</f>
        <v>Sonvarsha</v>
      </c>
      <c r="K144" s="125" t="s">
        <v>1594</v>
      </c>
      <c r="L144" s="125">
        <v>45156</v>
      </c>
      <c r="M144" s="126">
        <f>SUMIF('MPG Payment '!$E$3:$E$344841,'Shayak Income '!D144,'MPG Payment '!$I$3:$I$344841)</f>
        <v>937.3</v>
      </c>
      <c r="N144" s="126">
        <f>SUMIF('MPG Payment '!$E$3:$E$344841,'Shayak Income '!D144,'MPG Payment '!$J$3:$J$344841)</f>
        <v>37664.980000000003</v>
      </c>
      <c r="O144" s="126">
        <f t="shared" si="47"/>
        <v>702.97499999999991</v>
      </c>
      <c r="P144" s="126">
        <f t="shared" si="48"/>
        <v>890.43499999999995</v>
      </c>
      <c r="Q144" s="126">
        <f>SUMIF('MPG Payment '!$E$3:$E$344841,'Shayak Income '!D144,'MPG Payment '!$S$3:$S$344841)</f>
        <v>0</v>
      </c>
      <c r="R144" s="126">
        <f t="shared" si="38"/>
        <v>1129.9494</v>
      </c>
      <c r="S144" s="126">
        <f t="shared" si="39"/>
        <v>239.51440000000002</v>
      </c>
      <c r="T144" s="126">
        <f t="shared" si="49"/>
        <v>93.73</v>
      </c>
      <c r="U144" s="127">
        <f>((((((IF(K144="New",0,SUMIF('MPG Payment '!$E$3:$E$344841,'Shayak Income '!D144,'MPG Payment '!$AC$3:$AC$344841))))+0)+0)+0)+0)+-3</f>
        <v>1499.5076218845886</v>
      </c>
      <c r="V144" s="127">
        <f t="shared" si="50"/>
        <v>0</v>
      </c>
      <c r="W144" s="19">
        <v>0</v>
      </c>
      <c r="X144" s="19">
        <v>0</v>
      </c>
      <c r="Y144" s="128">
        <v>0</v>
      </c>
      <c r="Z144" s="128">
        <v>0</v>
      </c>
      <c r="AA144" s="126">
        <v>0</v>
      </c>
      <c r="AB144" s="129">
        <f t="shared" si="41"/>
        <v>0</v>
      </c>
      <c r="AC144" s="130">
        <v>0</v>
      </c>
      <c r="AD144" s="35">
        <f t="shared" si="51"/>
        <v>0</v>
      </c>
      <c r="AE144" s="166" t="str">
        <f t="shared" si="52"/>
        <v>Release</v>
      </c>
      <c r="AF144" s="127"/>
      <c r="AG144" s="18">
        <v>0</v>
      </c>
      <c r="AH144" s="120"/>
      <c r="AI144" s="238">
        <v>0</v>
      </c>
      <c r="AJ144" s="132"/>
      <c r="AK144" s="151">
        <v>118.6</v>
      </c>
      <c r="AL144" s="154">
        <f t="shared" si="42"/>
        <v>0</v>
      </c>
      <c r="AM144" s="155"/>
      <c r="AN144" s="19">
        <f t="shared" si="43"/>
        <v>0</v>
      </c>
      <c r="AO144" s="118">
        <f>SUMIF('MPG Payment '!E:E,'Shayak Income '!D144,'MPG Payment '!AJ:AJ)</f>
        <v>0</v>
      </c>
      <c r="AP144" s="19">
        <f t="shared" si="44"/>
        <v>0</v>
      </c>
      <c r="AQ144" s="119">
        <f t="shared" si="53"/>
        <v>0</v>
      </c>
      <c r="AR144" s="91" t="s">
        <v>1144</v>
      </c>
      <c r="AS144" s="91">
        <f t="shared" si="45"/>
        <v>0</v>
      </c>
      <c r="AT144" s="118"/>
      <c r="AU144" s="118"/>
      <c r="AV144" s="118"/>
    </row>
    <row r="145" spans="1:48" s="20" customFormat="1" x14ac:dyDescent="0.25">
      <c r="A145" s="17">
        <f>IFERROR(VLOOKUP(D145,'Monthly Deduction'!$I$3:$J$957,2,0),0)</f>
        <v>13478.798287118057</v>
      </c>
      <c r="B145" s="17">
        <f>IFERROR(VLOOKUP(D145,'Monthly Deduction'!$E$3:$F$957,2,0),0)</f>
        <v>12800</v>
      </c>
      <c r="C145" s="17">
        <f t="shared" si="46"/>
        <v>26278.798287118057</v>
      </c>
      <c r="D145" s="41">
        <v>10060049</v>
      </c>
      <c r="E145" s="122" t="str">
        <f>VLOOKUP(D145,'MPG Payment '!$E$3:$G$497305,2,0)</f>
        <v>MALIYA</v>
      </c>
      <c r="F145" s="146">
        <f>IFERROR(_xlfn.XLOOKUP(D145,'Monthly Deduction'!$I$3:$I$957,'Monthly Deduction'!$H$3:$H$957),0)</f>
        <v>0</v>
      </c>
      <c r="G145" s="123" t="str">
        <f>VLOOKUP(D145,'MPG Payment '!$E$3:$G$333666,3,0)</f>
        <v>MPG</v>
      </c>
      <c r="H145" s="124" t="str">
        <f>VLOOKUP(D145,'MPG Payment '!$E$3:$H$333666,4,0)</f>
        <v>Direct</v>
      </c>
      <c r="I145" s="88">
        <f>INDEX('MPG Payment '!$C:$C,MATCH('Shayak Income '!D145,'MPG Payment '!E:E,0))</f>
        <v>1059</v>
      </c>
      <c r="J145" s="88" t="str">
        <f>INDEX('MPG Payment '!$D:$D,MATCH('Shayak Income '!D145,'MPG Payment '!E:E,0))</f>
        <v>Gopalpur Bmc</v>
      </c>
      <c r="K145" s="125" t="s">
        <v>1594</v>
      </c>
      <c r="L145" s="125">
        <v>45267</v>
      </c>
      <c r="M145" s="126">
        <f>SUMIF('MPG Payment '!$E$3:$E$344841,'Shayak Income '!D145,'MPG Payment '!$I$3:$I$344841)</f>
        <v>3173.9</v>
      </c>
      <c r="N145" s="126">
        <f>SUMIF('MPG Payment '!$E$3:$E$344841,'Shayak Income '!D145,'MPG Payment '!$J$3:$J$344841)</f>
        <v>150681.56</v>
      </c>
      <c r="O145" s="126">
        <f t="shared" si="47"/>
        <v>2380.4250000000002</v>
      </c>
      <c r="P145" s="126">
        <f t="shared" si="48"/>
        <v>3015.2049999999999</v>
      </c>
      <c r="Q145" s="126">
        <f>SUMIF('MPG Payment '!$E$3:$E$344841,'Shayak Income '!D145,'MPG Payment '!$S$3:$S$344841)</f>
        <v>1699.1299999999999</v>
      </c>
      <c r="R145" s="126">
        <f t="shared" si="38"/>
        <v>4520.4467999999997</v>
      </c>
      <c r="S145" s="126">
        <f t="shared" si="39"/>
        <v>1505.2417999999998</v>
      </c>
      <c r="T145" s="126">
        <f t="shared" si="49"/>
        <v>317.39000000000004</v>
      </c>
      <c r="U145" s="127">
        <f>((((((IF(K145="New",0,SUMIF('MPG Payment '!$E$3:$E$344841,'Shayak Income '!D145,'MPG Payment '!$AC$3:$AC$344841))))+0)+0)+0)+0)+0</f>
        <v>0</v>
      </c>
      <c r="V145" s="127">
        <f t="shared" si="50"/>
        <v>6777</v>
      </c>
      <c r="W145" s="19">
        <f t="shared" si="54"/>
        <v>3013.6311999999998</v>
      </c>
      <c r="X145" s="19">
        <v>0</v>
      </c>
      <c r="Y145" s="128">
        <f>IFERROR(VLOOKUP(D145,'Monthly Deduction'!$M$2:$N$640,2,0),0)</f>
        <v>0</v>
      </c>
      <c r="Z145" s="128">
        <v>3763</v>
      </c>
      <c r="AA145" s="126">
        <f>IFERROR(VLOOKUP(D145,'Monthly Deduction'!A:B,2,0),0)</f>
        <v>0</v>
      </c>
      <c r="AB145" s="129">
        <f t="shared" si="41"/>
        <v>0</v>
      </c>
      <c r="AC145" s="130">
        <v>0</v>
      </c>
      <c r="AD145" s="35">
        <f t="shared" si="51"/>
        <v>0</v>
      </c>
      <c r="AE145" s="166" t="str">
        <f t="shared" si="52"/>
        <v>Release</v>
      </c>
      <c r="AF145" s="127"/>
      <c r="AG145" s="18">
        <v>0</v>
      </c>
      <c r="AH145" s="132" t="s">
        <v>1682</v>
      </c>
      <c r="AI145" s="238">
        <v>0</v>
      </c>
      <c r="AJ145" s="132"/>
      <c r="AK145" s="151">
        <v>617.59999999999991</v>
      </c>
      <c r="AL145" s="154">
        <f t="shared" si="42"/>
        <v>0</v>
      </c>
      <c r="AM145" s="155"/>
      <c r="AN145" s="19">
        <f t="shared" si="43"/>
        <v>3013.6311999999998</v>
      </c>
      <c r="AO145" s="118">
        <f>SUMIF('MPG Payment '!E:E,'Shayak Income '!D145,'MPG Payment '!AJ:AJ)</f>
        <v>0</v>
      </c>
      <c r="AP145" s="19">
        <f t="shared" si="44"/>
        <v>3013.6311999999998</v>
      </c>
      <c r="AQ145" s="119">
        <f t="shared" si="53"/>
        <v>3013.6311999999998</v>
      </c>
      <c r="AR145" s="91" t="s">
        <v>1144</v>
      </c>
      <c r="AS145" s="91">
        <f t="shared" si="45"/>
        <v>12800</v>
      </c>
      <c r="AT145" s="118"/>
      <c r="AU145" s="118"/>
      <c r="AV145" s="118"/>
    </row>
    <row r="146" spans="1:48" s="20" customFormat="1" x14ac:dyDescent="0.25">
      <c r="A146" s="17">
        <f>IFERROR(VLOOKUP(D146,'Monthly Deduction'!$I$3:$J$957,2,0),0)</f>
        <v>21867.469790447023</v>
      </c>
      <c r="B146" s="17">
        <f>IFERROR(VLOOKUP(D146,'Monthly Deduction'!$E$3:$F$957,2,0),0)</f>
        <v>12800</v>
      </c>
      <c r="C146" s="17">
        <f t="shared" si="46"/>
        <v>34667.469790447023</v>
      </c>
      <c r="D146" s="41">
        <v>10060050</v>
      </c>
      <c r="E146" s="122" t="str">
        <f>VLOOKUP(D146,'MPG Payment '!$E$3:$G$497305,2,0)</f>
        <v>MAHULIYA</v>
      </c>
      <c r="F146" s="146">
        <f>IFERROR(_xlfn.XLOOKUP(D146,'Monthly Deduction'!$I$3:$I$957,'Monthly Deduction'!$H$3:$H$957),0)</f>
        <v>0</v>
      </c>
      <c r="G146" s="123" t="str">
        <f>VLOOKUP(D146,'MPG Payment '!$E$3:$G$333666,3,0)</f>
        <v>MPG</v>
      </c>
      <c r="H146" s="124" t="str">
        <f>VLOOKUP(D146,'MPG Payment '!$E$3:$H$333666,4,0)</f>
        <v>Direct</v>
      </c>
      <c r="I146" s="88">
        <f>INDEX('MPG Payment '!$C:$C,MATCH('Shayak Income '!D146,'MPG Payment '!E:E,0))</f>
        <v>1059</v>
      </c>
      <c r="J146" s="88" t="str">
        <f>INDEX('MPG Payment '!$D:$D,MATCH('Shayak Income '!D146,'MPG Payment '!E:E,0))</f>
        <v>Gopalpur Bmc</v>
      </c>
      <c r="K146" s="125" t="s">
        <v>1594</v>
      </c>
      <c r="L146" s="125">
        <v>45267</v>
      </c>
      <c r="M146" s="126">
        <f>SUMIF('MPG Payment '!$E$3:$E$344841,'Shayak Income '!D146,'MPG Payment '!$I$3:$I$344841)</f>
        <v>2866.7000000000003</v>
      </c>
      <c r="N146" s="126">
        <f>SUMIF('MPG Payment '!$E$3:$E$344841,'Shayak Income '!D146,'MPG Payment '!$J$3:$J$344841)</f>
        <v>136724.21000000002</v>
      </c>
      <c r="O146" s="126">
        <f t="shared" si="47"/>
        <v>2150.0250000000001</v>
      </c>
      <c r="P146" s="126">
        <f t="shared" si="48"/>
        <v>2723.3650000000002</v>
      </c>
      <c r="Q146" s="126">
        <f>SUMIF('MPG Payment '!$E$3:$E$344841,'Shayak Income '!D146,'MPG Payment '!$S$3:$S$344841)</f>
        <v>1786.46</v>
      </c>
      <c r="R146" s="126">
        <f t="shared" si="38"/>
        <v>4101.7263000000003</v>
      </c>
      <c r="S146" s="126">
        <f t="shared" si="39"/>
        <v>1378.3613</v>
      </c>
      <c r="T146" s="126">
        <f t="shared" si="49"/>
        <v>286.67</v>
      </c>
      <c r="U146" s="127">
        <f>((((((IF(K146="New",0,SUMIF('MPG Payment '!$E$3:$E$344841,'Shayak Income '!D146,'MPG Payment '!$AC$3:$AC$344841))))+0)+0)+0)+0)+0</f>
        <v>122.1840437250963</v>
      </c>
      <c r="V146" s="127">
        <f t="shared" si="50"/>
        <v>6251</v>
      </c>
      <c r="W146" s="19">
        <f t="shared" si="54"/>
        <v>2734.4842000000003</v>
      </c>
      <c r="X146" s="19">
        <v>0</v>
      </c>
      <c r="Y146" s="128">
        <f>IFERROR(VLOOKUP(D146,'Monthly Deduction'!$M$2:$N$640,2,0),0)</f>
        <v>0</v>
      </c>
      <c r="Z146" s="128">
        <v>1461</v>
      </c>
      <c r="AA146" s="126">
        <f>IFERROR(VLOOKUP(D146,'Monthly Deduction'!A:B,2,0),0)</f>
        <v>0</v>
      </c>
      <c r="AB146" s="129">
        <f t="shared" si="41"/>
        <v>2056</v>
      </c>
      <c r="AC146" s="130">
        <v>0</v>
      </c>
      <c r="AD146" s="35">
        <f t="shared" si="51"/>
        <v>2056</v>
      </c>
      <c r="AE146" s="166" t="str">
        <f t="shared" si="52"/>
        <v>Release</v>
      </c>
      <c r="AF146" s="127"/>
      <c r="AG146" s="18">
        <v>0</v>
      </c>
      <c r="AH146" s="132" t="s">
        <v>1682</v>
      </c>
      <c r="AI146" s="238">
        <v>0</v>
      </c>
      <c r="AJ146" s="132"/>
      <c r="AK146" s="151">
        <v>531.4</v>
      </c>
      <c r="AL146" s="154">
        <f t="shared" si="42"/>
        <v>0</v>
      </c>
      <c r="AM146" s="155"/>
      <c r="AN146" s="19">
        <f t="shared" si="43"/>
        <v>2734.4842000000003</v>
      </c>
      <c r="AO146" s="118">
        <f>SUMIF('MPG Payment '!E:E,'Shayak Income '!D146,'MPG Payment '!AJ:AJ)</f>
        <v>0</v>
      </c>
      <c r="AP146" s="19">
        <f t="shared" si="44"/>
        <v>2734.4842000000003</v>
      </c>
      <c r="AQ146" s="119">
        <f t="shared" si="53"/>
        <v>2734.4842000000003</v>
      </c>
      <c r="AR146" s="91" t="s">
        <v>1144</v>
      </c>
      <c r="AS146" s="91">
        <f t="shared" si="45"/>
        <v>12800</v>
      </c>
      <c r="AT146" s="118"/>
      <c r="AU146" s="118"/>
      <c r="AV146" s="118"/>
    </row>
    <row r="147" spans="1:48" s="20" customFormat="1" x14ac:dyDescent="0.25">
      <c r="A147" s="17">
        <f>IFERROR(VLOOKUP(D147,'Monthly Deduction'!$I$3:$J$957,2,0),0)</f>
        <v>20083.88941294486</v>
      </c>
      <c r="B147" s="17">
        <f>IFERROR(VLOOKUP(D147,'Monthly Deduction'!$E$3:$F$957,2,0),0)</f>
        <v>0</v>
      </c>
      <c r="C147" s="17">
        <f t="shared" si="46"/>
        <v>20083.88941294486</v>
      </c>
      <c r="D147" s="41">
        <v>10060058</v>
      </c>
      <c r="E147" s="122" t="str">
        <f>VLOOKUP(D147,'MPG Payment '!$E$3:$G$497305,2,0)</f>
        <v xml:space="preserve">ABGIL HUSSAINA-2                                                                                    </v>
      </c>
      <c r="F147" s="146">
        <f>IFERROR(_xlfn.XLOOKUP(D147,'Monthly Deduction'!$I$3:$I$957,'Monthly Deduction'!$H$3:$H$957),0)</f>
        <v>0</v>
      </c>
      <c r="G147" s="123" t="str">
        <f>VLOOKUP(D147,'MPG Payment '!$E$3:$G$333666,3,0)</f>
        <v>MPG</v>
      </c>
      <c r="H147" s="124" t="str">
        <f>VLOOKUP(D147,'MPG Payment '!$E$3:$H$333666,4,0)</f>
        <v>Direct</v>
      </c>
      <c r="I147" s="88">
        <f>INDEX('MPG Payment '!$C:$C,MATCH('Shayak Income '!D147,'MPG Payment '!E:E,0))</f>
        <v>1006</v>
      </c>
      <c r="J147" s="88" t="str">
        <f>INDEX('MPG Payment '!$D:$D,MATCH('Shayak Income '!D147,'MPG Payment '!E:E,0))</f>
        <v>Sonvarsha</v>
      </c>
      <c r="K147" s="125" t="s">
        <v>1594</v>
      </c>
      <c r="L147" s="125">
        <v>45198</v>
      </c>
      <c r="M147" s="126">
        <f>SUMIF('MPG Payment '!$E$3:$E$344841,'Shayak Income '!D147,'MPG Payment '!$I$3:$I$344841)</f>
        <v>1676.5</v>
      </c>
      <c r="N147" s="126">
        <f>SUMIF('MPG Payment '!$E$3:$E$344841,'Shayak Income '!D147,'MPG Payment '!$J$3:$J$344841)</f>
        <v>67025.510000000009</v>
      </c>
      <c r="O147" s="126">
        <f t="shared" si="47"/>
        <v>1257.375</v>
      </c>
      <c r="P147" s="126">
        <f t="shared" si="48"/>
        <v>1592.675</v>
      </c>
      <c r="Q147" s="126">
        <f>SUMIF('MPG Payment '!$E$3:$E$344841,'Shayak Income '!D147,'MPG Payment '!$S$3:$S$344841)</f>
        <v>562.98</v>
      </c>
      <c r="R147" s="126">
        <f t="shared" si="38"/>
        <v>2010.7653000000003</v>
      </c>
      <c r="S147" s="126">
        <f t="shared" si="39"/>
        <v>418.0903000000003</v>
      </c>
      <c r="T147" s="126">
        <f t="shared" si="49"/>
        <v>167.65</v>
      </c>
      <c r="U147" s="127">
        <f>((((((IF(K147="New",0,SUMIF('MPG Payment '!$E$3:$E$344841,'Shayak Income '!D147,'MPG Payment '!$AC$3:$AC$344841))))+0)+0)+0)+0)+0</f>
        <v>898.83878393333885</v>
      </c>
      <c r="V147" s="127">
        <f t="shared" si="50"/>
        <v>2347</v>
      </c>
      <c r="W147" s="19">
        <f t="shared" si="54"/>
        <v>1861</v>
      </c>
      <c r="X147" s="19">
        <v>0</v>
      </c>
      <c r="Y147" s="128">
        <f>IFERROR(VLOOKUP(D147,'Monthly Deduction'!$M$2:$N$640,2,0),0)</f>
        <v>0</v>
      </c>
      <c r="Z147" s="128">
        <v>0</v>
      </c>
      <c r="AA147" s="126">
        <f>IFERROR(VLOOKUP(D147,'Monthly Deduction'!A:B,2,0),0)</f>
        <v>0</v>
      </c>
      <c r="AB147" s="129">
        <f t="shared" si="41"/>
        <v>486</v>
      </c>
      <c r="AC147" s="130">
        <v>0</v>
      </c>
      <c r="AD147" s="35">
        <f t="shared" si="51"/>
        <v>486</v>
      </c>
      <c r="AE147" s="166" t="str">
        <f t="shared" si="52"/>
        <v>Release</v>
      </c>
      <c r="AF147" s="127"/>
      <c r="AG147" s="18">
        <v>0</v>
      </c>
      <c r="AH147" s="120"/>
      <c r="AI147" s="238">
        <v>0</v>
      </c>
      <c r="AJ147" s="132"/>
      <c r="AK147" s="151">
        <v>284.89999999999998</v>
      </c>
      <c r="AL147" s="154">
        <f t="shared" si="42"/>
        <v>0</v>
      </c>
      <c r="AM147" s="155"/>
      <c r="AN147" s="19">
        <f t="shared" si="43"/>
        <v>1861</v>
      </c>
      <c r="AO147" s="118">
        <f>SUMIF('MPG Payment '!E:E,'Shayak Income '!D147,'MPG Payment '!AJ:AJ)</f>
        <v>0</v>
      </c>
      <c r="AP147" s="19">
        <f t="shared" si="44"/>
        <v>1861</v>
      </c>
      <c r="AQ147" s="119">
        <f t="shared" si="53"/>
        <v>1861</v>
      </c>
      <c r="AR147" s="91" t="s">
        <v>1144</v>
      </c>
      <c r="AS147" s="91">
        <f t="shared" si="45"/>
        <v>0</v>
      </c>
      <c r="AT147" s="118"/>
      <c r="AU147" s="118"/>
      <c r="AV147" s="118"/>
    </row>
    <row r="148" spans="1:48" s="20" customFormat="1" x14ac:dyDescent="0.25">
      <c r="A148" s="17">
        <f>IFERROR(VLOOKUP(D148,'Monthly Deduction'!$I$3:$J$957,2,0),0)</f>
        <v>0</v>
      </c>
      <c r="B148" s="17">
        <f>IFERROR(VLOOKUP(D148,'Monthly Deduction'!$E$3:$F$957,2,0),0)</f>
        <v>0</v>
      </c>
      <c r="C148" s="17">
        <f t="shared" si="46"/>
        <v>0</v>
      </c>
      <c r="D148" s="41">
        <v>10060062</v>
      </c>
      <c r="E148" s="122" t="str">
        <f>VLOOKUP(D148,'MPG Payment '!$E$3:$G$497305,2,0)</f>
        <v>AKHA-KURHA</v>
      </c>
      <c r="F148" s="146">
        <f>IFERROR(_xlfn.XLOOKUP(D148,'Monthly Deduction'!$I$3:$I$957,'Monthly Deduction'!$H$3:$H$957),0)</f>
        <v>0</v>
      </c>
      <c r="G148" s="123" t="str">
        <f>VLOOKUP(D148,'MPG Payment '!$E$3:$G$333666,3,0)</f>
        <v>vlc</v>
      </c>
      <c r="H148" s="124" t="str">
        <f>VLOOKUP(D148,'MPG Payment '!$E$3:$H$333666,4,0)</f>
        <v>Indirect</v>
      </c>
      <c r="I148" s="88">
        <f>INDEX('MPG Payment '!$C:$C,MATCH('Shayak Income '!D148,'MPG Payment '!E:E,0))</f>
        <v>1006</v>
      </c>
      <c r="J148" s="88" t="str">
        <f>INDEX('MPG Payment '!$D:$D,MATCH('Shayak Income '!D148,'MPG Payment '!E:E,0))</f>
        <v>Sonvarsha</v>
      </c>
      <c r="K148" s="125" t="s">
        <v>1594</v>
      </c>
      <c r="L148" s="125">
        <v>45323</v>
      </c>
      <c r="M148" s="126">
        <f>SUMIF('MPG Payment '!$E$3:$E$344841,'Shayak Income '!D148,'MPG Payment '!$I$3:$I$344841)</f>
        <v>1273</v>
      </c>
      <c r="N148" s="126">
        <f>SUMIF('MPG Payment '!$E$3:$E$344841,'Shayak Income '!D148,'MPG Payment '!$J$3:$J$344841)</f>
        <v>54187.22</v>
      </c>
      <c r="O148" s="126">
        <f t="shared" si="47"/>
        <v>954.75</v>
      </c>
      <c r="P148" s="126">
        <f t="shared" si="48"/>
        <v>1209.3499999999999</v>
      </c>
      <c r="Q148" s="126">
        <f>SUMIF('MPG Payment '!$E$3:$E$344841,'Shayak Income '!D148,'MPG Payment '!$S$3:$S$344841)</f>
        <v>0</v>
      </c>
      <c r="R148" s="126">
        <f t="shared" si="38"/>
        <v>1625.6166000000001</v>
      </c>
      <c r="S148" s="126">
        <f t="shared" si="39"/>
        <v>416.26660000000015</v>
      </c>
      <c r="T148" s="126">
        <f t="shared" si="49"/>
        <v>127.30000000000001</v>
      </c>
      <c r="U148" s="127">
        <f>((((((IF(K148="New",0,SUMIF('MPG Payment '!$E$3:$E$344841,'Shayak Income '!D148,'MPG Payment '!$AC$3:$AC$344841))))+0)+0)+0)+0)+0</f>
        <v>1300.5599689237604</v>
      </c>
      <c r="V148" s="127">
        <f t="shared" si="50"/>
        <v>736</v>
      </c>
      <c r="W148" s="19">
        <f t="shared" si="54"/>
        <v>0</v>
      </c>
      <c r="X148" s="19">
        <f t="shared" si="40"/>
        <v>0</v>
      </c>
      <c r="Y148" s="128">
        <f>IFERROR(VLOOKUP(D148,'Monthly Deduction'!$M$2:$N$640,2,0),0)</f>
        <v>0</v>
      </c>
      <c r="Z148" s="128">
        <v>0</v>
      </c>
      <c r="AA148" s="126">
        <f>IFERROR(VLOOKUP(D148,'Monthly Deduction'!A:B,2,0),0)</f>
        <v>0</v>
      </c>
      <c r="AB148" s="129">
        <f t="shared" si="41"/>
        <v>736</v>
      </c>
      <c r="AC148" s="130">
        <v>0</v>
      </c>
      <c r="AD148" s="35">
        <f t="shared" si="51"/>
        <v>736</v>
      </c>
      <c r="AE148" s="166" t="str">
        <f t="shared" si="52"/>
        <v>Release</v>
      </c>
      <c r="AF148" s="127"/>
      <c r="AG148" s="18">
        <v>0</v>
      </c>
      <c r="AH148" s="120"/>
      <c r="AI148" s="238">
        <v>0</v>
      </c>
      <c r="AJ148" s="132"/>
      <c r="AK148" s="151">
        <v>254.2</v>
      </c>
      <c r="AL148" s="154">
        <f t="shared" si="42"/>
        <v>0</v>
      </c>
      <c r="AM148" s="155"/>
      <c r="AN148" s="19">
        <f t="shared" si="43"/>
        <v>0</v>
      </c>
      <c r="AO148" s="118">
        <f>SUMIF('MPG Payment '!E:E,'Shayak Income '!D148,'MPG Payment '!AJ:AJ)</f>
        <v>0</v>
      </c>
      <c r="AP148" s="19">
        <f t="shared" si="44"/>
        <v>0</v>
      </c>
      <c r="AQ148" s="119">
        <f t="shared" si="53"/>
        <v>0</v>
      </c>
      <c r="AR148" s="91" t="s">
        <v>1144</v>
      </c>
      <c r="AS148" s="91">
        <f t="shared" si="45"/>
        <v>0</v>
      </c>
      <c r="AT148" s="118"/>
      <c r="AU148" s="118"/>
      <c r="AV148" s="118"/>
    </row>
    <row r="149" spans="1:48" s="20" customFormat="1" x14ac:dyDescent="0.25">
      <c r="A149" s="17">
        <f>IFERROR(VLOOKUP(D149,'Monthly Deduction'!$I$3:$J$957,2,0),0)</f>
        <v>68576</v>
      </c>
      <c r="B149" s="17">
        <f>IFERROR(VLOOKUP(D149,'Monthly Deduction'!$E$3:$F$957,2,0),0)</f>
        <v>5964</v>
      </c>
      <c r="C149" s="17">
        <f t="shared" si="46"/>
        <v>74540</v>
      </c>
      <c r="D149" s="41">
        <v>10060069</v>
      </c>
      <c r="E149" s="122" t="str">
        <f>VLOOKUP(D149,'MPG Payment '!$E$3:$G$497305,2,0)</f>
        <v>BHANDAR</v>
      </c>
      <c r="F149" s="146">
        <f>IFERROR(_xlfn.XLOOKUP(D149,'Monthly Deduction'!$I$3:$I$957,'Monthly Deduction'!$H$3:$H$957),0)</f>
        <v>0</v>
      </c>
      <c r="G149" s="123" t="str">
        <f>VLOOKUP(D149,'MPG Payment '!$E$3:$G$333666,3,0)</f>
        <v>MPG</v>
      </c>
      <c r="H149" s="124" t="str">
        <f>VLOOKUP(D149,'MPG Payment '!$E$3:$H$333666,4,0)</f>
        <v>Direct</v>
      </c>
      <c r="I149" s="88">
        <f>INDEX('MPG Payment '!$C:$C,MATCH('Shayak Income '!D149,'MPG Payment '!E:E,0))</f>
        <v>1059</v>
      </c>
      <c r="J149" s="88" t="str">
        <f>INDEX('MPG Payment '!$D:$D,MATCH('Shayak Income '!D149,'MPG Payment '!E:E,0))</f>
        <v>Gopalpur Bmc</v>
      </c>
      <c r="K149" s="125" t="s">
        <v>1594</v>
      </c>
      <c r="L149" s="125">
        <v>45550</v>
      </c>
      <c r="M149" s="126">
        <f>SUMIF('MPG Payment '!$E$3:$E$344841,'Shayak Income '!D149,'MPG Payment '!$I$3:$I$344841)</f>
        <v>1121.4000000000001</v>
      </c>
      <c r="N149" s="126">
        <f>SUMIF('MPG Payment '!$E$3:$E$344841,'Shayak Income '!D149,'MPG Payment '!$J$3:$J$344841)</f>
        <v>53643.1</v>
      </c>
      <c r="O149" s="126">
        <f t="shared" si="47"/>
        <v>841.05000000000007</v>
      </c>
      <c r="P149" s="126">
        <f t="shared" si="48"/>
        <v>1065.33</v>
      </c>
      <c r="Q149" s="126">
        <f>SUMIF('MPG Payment '!$E$3:$E$344841,'Shayak Income '!D149,'MPG Payment '!$S$3:$S$344841)</f>
        <v>0</v>
      </c>
      <c r="R149" s="126">
        <f t="shared" si="38"/>
        <v>1609.2929999999999</v>
      </c>
      <c r="S149" s="126">
        <f t="shared" si="39"/>
        <v>543.96299999999997</v>
      </c>
      <c r="T149" s="126">
        <f t="shared" si="49"/>
        <v>112.14000000000001</v>
      </c>
      <c r="U149" s="127">
        <f>((((((IF(K149="New",0,SUMIF('MPG Payment '!$E$3:$E$344841,'Shayak Income '!D149,'MPG Payment '!$AC$3:$AC$344841))))+0)+0)+0)+0)+0</f>
        <v>1608.5518027764169</v>
      </c>
      <c r="V149" s="127">
        <f t="shared" si="50"/>
        <v>186</v>
      </c>
      <c r="W149" s="19">
        <v>186</v>
      </c>
      <c r="X149" s="19">
        <v>0</v>
      </c>
      <c r="Y149" s="128">
        <v>0</v>
      </c>
      <c r="Z149" s="128">
        <v>0</v>
      </c>
      <c r="AA149" s="126">
        <v>0</v>
      </c>
      <c r="AB149" s="129">
        <f t="shared" si="41"/>
        <v>0</v>
      </c>
      <c r="AC149" s="130">
        <v>0</v>
      </c>
      <c r="AD149" s="35">
        <f t="shared" si="51"/>
        <v>0</v>
      </c>
      <c r="AE149" s="166" t="str">
        <f t="shared" si="52"/>
        <v>Release</v>
      </c>
      <c r="AF149" s="127"/>
      <c r="AG149" s="18">
        <v>0</v>
      </c>
      <c r="AH149" s="120"/>
      <c r="AI149" s="238">
        <v>0</v>
      </c>
      <c r="AJ149" s="132"/>
      <c r="AK149" s="151">
        <v>261.89999999999998</v>
      </c>
      <c r="AL149" s="154">
        <f t="shared" si="42"/>
        <v>0</v>
      </c>
      <c r="AM149" s="155"/>
      <c r="AN149" s="19">
        <f t="shared" si="43"/>
        <v>1861</v>
      </c>
      <c r="AO149" s="118">
        <f>SUMIF('MPG Payment '!E:E,'Shayak Income '!D149,'MPG Payment '!AJ:AJ)</f>
        <v>0</v>
      </c>
      <c r="AP149" s="19">
        <f t="shared" si="44"/>
        <v>186</v>
      </c>
      <c r="AQ149" s="119">
        <f t="shared" si="53"/>
        <v>186</v>
      </c>
      <c r="AR149" s="91" t="s">
        <v>1144</v>
      </c>
      <c r="AS149" s="91">
        <f t="shared" si="45"/>
        <v>5964</v>
      </c>
      <c r="AT149" s="118"/>
      <c r="AU149" s="118"/>
      <c r="AV149" s="118"/>
    </row>
    <row r="150" spans="1:48" s="20" customFormat="1" x14ac:dyDescent="0.25">
      <c r="A150" s="17">
        <f>IFERROR(VLOOKUP(D150,'Monthly Deduction'!$I$3:$J$957,2,0),0)</f>
        <v>71957.654401205364</v>
      </c>
      <c r="B150" s="17">
        <f>IFERROR(VLOOKUP(D150,'Monthly Deduction'!$E$3:$F$957,2,0),0)</f>
        <v>7444.7697637394904</v>
      </c>
      <c r="C150" s="17">
        <f t="shared" si="46"/>
        <v>79402.424164944852</v>
      </c>
      <c r="D150" s="41">
        <v>10060074</v>
      </c>
      <c r="E150" s="122" t="str">
        <f>VLOOKUP(D150,'MPG Payment '!$E$3:$G$497305,2,0)</f>
        <v>BASMATIYA</v>
      </c>
      <c r="F150" s="146">
        <f>IFERROR(_xlfn.XLOOKUP(D150,'Monthly Deduction'!$I$3:$I$957,'Monthly Deduction'!$H$3:$H$957),0)</f>
        <v>0</v>
      </c>
      <c r="G150" s="123" t="str">
        <f>VLOOKUP(D150,'MPG Payment '!$E$3:$G$333666,3,0)</f>
        <v>MPG</v>
      </c>
      <c r="H150" s="124" t="str">
        <f>VLOOKUP(D150,'MPG Payment '!$E$3:$H$333666,4,0)</f>
        <v>Direct</v>
      </c>
      <c r="I150" s="88">
        <f>INDEX('MPG Payment '!$C:$C,MATCH('Shayak Income '!D150,'MPG Payment '!E:E,0))</f>
        <v>1059</v>
      </c>
      <c r="J150" s="88" t="str">
        <f>INDEX('MPG Payment '!$D:$D,MATCH('Shayak Income '!D150,'MPG Payment '!E:E,0))</f>
        <v>Gopalpur Bmc</v>
      </c>
      <c r="K150" s="125" t="s">
        <v>1594</v>
      </c>
      <c r="L150" s="125">
        <v>45631</v>
      </c>
      <c r="M150" s="126">
        <f>SUMIF('MPG Payment '!$E$3:$E$344841,'Shayak Income '!D150,'MPG Payment '!$I$3:$I$344841)</f>
        <v>1433.21</v>
      </c>
      <c r="N150" s="126">
        <f>SUMIF('MPG Payment '!$E$3:$E$344841,'Shayak Income '!D150,'MPG Payment '!$J$3:$J$344841)</f>
        <v>64490.91</v>
      </c>
      <c r="O150" s="126">
        <f t="shared" si="47"/>
        <v>1074.9075</v>
      </c>
      <c r="P150" s="126">
        <f t="shared" si="48"/>
        <v>1361.5495000000001</v>
      </c>
      <c r="Q150" s="126">
        <f>SUMIF('MPG Payment '!$E$3:$E$344841,'Shayak Income '!D150,'MPG Payment '!$S$3:$S$344841)</f>
        <v>1127.97</v>
      </c>
      <c r="R150" s="126">
        <f t="shared" si="38"/>
        <v>1934.7273</v>
      </c>
      <c r="S150" s="126">
        <f t="shared" si="39"/>
        <v>573.17779999999993</v>
      </c>
      <c r="T150" s="126">
        <f t="shared" si="49"/>
        <v>143.321</v>
      </c>
      <c r="U150" s="127">
        <f>((((((IF(K150="New",0,SUMIF('MPG Payment '!$E$3:$E$344841,'Shayak Income '!D150,'MPG Payment '!$AC$3:$AC$344841))))+0)+0)+0)+0)+0</f>
        <v>1227.6703816152267</v>
      </c>
      <c r="V150" s="127">
        <f t="shared" si="50"/>
        <v>2193</v>
      </c>
      <c r="W150" s="19">
        <f t="shared" si="54"/>
        <v>1861</v>
      </c>
      <c r="X150" s="19">
        <v>0</v>
      </c>
      <c r="Y150" s="128">
        <f>IFERROR(VLOOKUP(D150,'Monthly Deduction'!$M$2:$N$640,2,0),0)</f>
        <v>0</v>
      </c>
      <c r="Z150" s="128">
        <v>0</v>
      </c>
      <c r="AA150" s="126">
        <f>IFERROR(VLOOKUP(D150,'Monthly Deduction'!A:B,2,0),0)</f>
        <v>0</v>
      </c>
      <c r="AB150" s="129">
        <f t="shared" si="41"/>
        <v>332</v>
      </c>
      <c r="AC150" s="130">
        <f>AB150</f>
        <v>332</v>
      </c>
      <c r="AD150" s="35">
        <f t="shared" si="51"/>
        <v>0</v>
      </c>
      <c r="AE150" s="166" t="str">
        <f t="shared" si="52"/>
        <v>Yes</v>
      </c>
      <c r="AF150" s="127"/>
      <c r="AG150" s="18">
        <v>0</v>
      </c>
      <c r="AH150" s="120" t="s">
        <v>1685</v>
      </c>
      <c r="AI150" s="238">
        <v>4096</v>
      </c>
      <c r="AJ150" s="132"/>
      <c r="AK150" s="151">
        <v>221.7</v>
      </c>
      <c r="AL150" s="154">
        <f t="shared" si="42"/>
        <v>0</v>
      </c>
      <c r="AM150" s="155"/>
      <c r="AN150" s="19">
        <f t="shared" si="43"/>
        <v>1861</v>
      </c>
      <c r="AO150" s="118">
        <f>SUMIF('MPG Payment '!E:E,'Shayak Income '!D150,'MPG Payment '!AJ:AJ)</f>
        <v>0</v>
      </c>
      <c r="AP150" s="19">
        <f t="shared" si="44"/>
        <v>1861</v>
      </c>
      <c r="AQ150" s="119">
        <f t="shared" si="53"/>
        <v>1861</v>
      </c>
      <c r="AR150" s="91" t="s">
        <v>1144</v>
      </c>
      <c r="AS150" s="91">
        <f t="shared" si="45"/>
        <v>7444.7697637394904</v>
      </c>
      <c r="AT150" s="118"/>
      <c r="AU150" s="118"/>
      <c r="AV150" s="118"/>
    </row>
    <row r="151" spans="1:48" s="20" customFormat="1" x14ac:dyDescent="0.25">
      <c r="A151" s="17">
        <f>IFERROR(VLOOKUP(D151,'Monthly Deduction'!$I$3:$J$957,2,0),0)</f>
        <v>26339.146255091779</v>
      </c>
      <c r="B151" s="17">
        <f>IFERROR(VLOOKUP(D151,'Monthly Deduction'!$E$3:$F$957,2,0),0)</f>
        <v>16027.418399571568</v>
      </c>
      <c r="C151" s="17">
        <f t="shared" si="46"/>
        <v>42366.564654663351</v>
      </c>
      <c r="D151" s="41">
        <v>10060077</v>
      </c>
      <c r="E151" s="122" t="str">
        <f>VLOOKUP(D151,'MPG Payment '!$E$3:$G$497305,2,0)</f>
        <v>TILATHI</v>
      </c>
      <c r="F151" s="146">
        <f>IFERROR(_xlfn.XLOOKUP(D151,'Monthly Deduction'!$I$3:$I$957,'Monthly Deduction'!$H$3:$H$957),0)</f>
        <v>0</v>
      </c>
      <c r="G151" s="123" t="str">
        <f>VLOOKUP(D151,'MPG Payment '!$E$3:$G$333666,3,0)</f>
        <v>MPG</v>
      </c>
      <c r="H151" s="124" t="str">
        <f>VLOOKUP(D151,'MPG Payment '!$E$3:$H$333666,4,0)</f>
        <v>Direct</v>
      </c>
      <c r="I151" s="88">
        <f>INDEX('MPG Payment '!$C:$C,MATCH('Shayak Income '!D151,'MPG Payment '!E:E,0))</f>
        <v>1006</v>
      </c>
      <c r="J151" s="88" t="str">
        <f>INDEX('MPG Payment '!$D:$D,MATCH('Shayak Income '!D151,'MPG Payment '!E:E,0))</f>
        <v>Sonvarsha</v>
      </c>
      <c r="K151" s="125" t="s">
        <v>1594</v>
      </c>
      <c r="L151" s="125">
        <v>45653</v>
      </c>
      <c r="M151" s="126">
        <f>SUMIF('MPG Payment '!$E$3:$E$344841,'Shayak Income '!D151,'MPG Payment '!$I$3:$I$344841)</f>
        <v>5911.5</v>
      </c>
      <c r="N151" s="126">
        <f>SUMIF('MPG Payment '!$E$3:$E$344841,'Shayak Income '!D151,'MPG Payment '!$J$3:$J$344841)</f>
        <v>255729.14000000004</v>
      </c>
      <c r="O151" s="126">
        <f t="shared" si="47"/>
        <v>4433.625</v>
      </c>
      <c r="P151" s="126">
        <f t="shared" si="48"/>
        <v>5615.9250000000002</v>
      </c>
      <c r="Q151" s="126">
        <f>SUMIF('MPG Payment '!$E$3:$E$344841,'Shayak Income '!D151,'MPG Payment '!$S$3:$S$344841)</f>
        <v>3404.9900000000002</v>
      </c>
      <c r="R151" s="126">
        <f t="shared" si="38"/>
        <v>7671.8742000000011</v>
      </c>
      <c r="S151" s="126">
        <f t="shared" si="39"/>
        <v>2055.9492000000009</v>
      </c>
      <c r="T151" s="126">
        <f t="shared" si="49"/>
        <v>591.15</v>
      </c>
      <c r="U151" s="127">
        <f>((((((IF(K151="New",0,SUMIF('MPG Payment '!$E$3:$E$344841,'Shayak Income '!D151,'MPG Payment '!$AC$3:$AC$344841))))+0)+0)+0)+0)+0</f>
        <v>0</v>
      </c>
      <c r="V151" s="127">
        <f t="shared" si="50"/>
        <v>12863</v>
      </c>
      <c r="W151" s="19">
        <f t="shared" si="54"/>
        <v>5114.582800000001</v>
      </c>
      <c r="X151" s="19">
        <v>0</v>
      </c>
      <c r="Y151" s="128">
        <f>IFERROR(VLOOKUP(D151,'Monthly Deduction'!$M$2:$N$640,2,0),0)</f>
        <v>0</v>
      </c>
      <c r="Z151" s="128">
        <v>0</v>
      </c>
      <c r="AA151" s="126">
        <f>IFERROR(VLOOKUP(D151,'Monthly Deduction'!A:B,2,0),0)</f>
        <v>0</v>
      </c>
      <c r="AB151" s="129">
        <f t="shared" si="41"/>
        <v>7748</v>
      </c>
      <c r="AC151" s="130">
        <v>0</v>
      </c>
      <c r="AD151" s="35">
        <f t="shared" si="51"/>
        <v>7748</v>
      </c>
      <c r="AE151" s="166" t="str">
        <f t="shared" si="52"/>
        <v>Release</v>
      </c>
      <c r="AF151" s="127"/>
      <c r="AG151" s="18">
        <v>0</v>
      </c>
      <c r="AH151" s="120"/>
      <c r="AI151" s="238">
        <v>0</v>
      </c>
      <c r="AJ151" s="132"/>
      <c r="AK151" s="151">
        <v>1196.8</v>
      </c>
      <c r="AL151" s="154">
        <f t="shared" si="42"/>
        <v>0</v>
      </c>
      <c r="AM151" s="155"/>
      <c r="AN151" s="19">
        <f t="shared" si="43"/>
        <v>5114.582800000001</v>
      </c>
      <c r="AO151" s="118">
        <f>SUMIF('MPG Payment '!E:E,'Shayak Income '!D151,'MPG Payment '!AJ:AJ)</f>
        <v>0</v>
      </c>
      <c r="AP151" s="19">
        <f t="shared" si="44"/>
        <v>5114.582800000001</v>
      </c>
      <c r="AQ151" s="119">
        <f t="shared" si="53"/>
        <v>5114.582800000001</v>
      </c>
      <c r="AR151" s="91" t="s">
        <v>1144</v>
      </c>
      <c r="AS151" s="91">
        <f t="shared" si="45"/>
        <v>16027.418399571568</v>
      </c>
      <c r="AT151" s="118"/>
      <c r="AU151" s="118"/>
      <c r="AV151" s="118"/>
    </row>
    <row r="152" spans="1:48" s="20" customFormat="1" x14ac:dyDescent="0.25">
      <c r="A152" s="17">
        <f>IFERROR(VLOOKUP(D152,'Monthly Deduction'!$I$3:$J$957,2,0),0)</f>
        <v>0</v>
      </c>
      <c r="B152" s="17">
        <f>IFERROR(VLOOKUP(D152,'Monthly Deduction'!$E$3:$F$957,2,0),0)</f>
        <v>0</v>
      </c>
      <c r="C152" s="17">
        <f t="shared" si="46"/>
        <v>0</v>
      </c>
      <c r="D152" s="41">
        <v>10060083</v>
      </c>
      <c r="E152" s="122" t="str">
        <f>VLOOKUP(D152,'MPG Payment '!$E$3:$G$497305,2,0)</f>
        <v>GOMUKH WESTOL</v>
      </c>
      <c r="F152" s="146">
        <f>IFERROR(_xlfn.XLOOKUP(D152,'Monthly Deduction'!$I$3:$I$957,'Monthly Deduction'!$H$3:$H$957),0)</f>
        <v>0</v>
      </c>
      <c r="G152" s="123" t="str">
        <f>VLOOKUP(D152,'MPG Payment '!$E$3:$G$333666,3,0)</f>
        <v>vlc</v>
      </c>
      <c r="H152" s="124" t="str">
        <f>VLOOKUP(D152,'MPG Payment '!$E$3:$H$333666,4,0)</f>
        <v>Indirect</v>
      </c>
      <c r="I152" s="88">
        <f>INDEX('MPG Payment '!$C:$C,MATCH('Shayak Income '!D152,'MPG Payment '!E:E,0))</f>
        <v>1006</v>
      </c>
      <c r="J152" s="88" t="str">
        <f>INDEX('MPG Payment '!$D:$D,MATCH('Shayak Income '!D152,'MPG Payment '!E:E,0))</f>
        <v>Sonvarsha</v>
      </c>
      <c r="K152" s="125" t="s">
        <v>1594</v>
      </c>
      <c r="L152" s="125">
        <v>45650</v>
      </c>
      <c r="M152" s="126">
        <f>SUMIF('MPG Payment '!$E$3:$E$344841,'Shayak Income '!D152,'MPG Payment '!$I$3:$I$344841)</f>
        <v>8326.4000000000015</v>
      </c>
      <c r="N152" s="126">
        <f>SUMIF('MPG Payment '!$E$3:$E$344841,'Shayak Income '!D152,'MPG Payment '!$J$3:$J$344841)</f>
        <v>335201.19</v>
      </c>
      <c r="O152" s="126">
        <f t="shared" si="47"/>
        <v>6244.8000000000011</v>
      </c>
      <c r="P152" s="126">
        <f t="shared" si="48"/>
        <v>7910.0800000000008</v>
      </c>
      <c r="Q152" s="126">
        <f>SUMIF('MPG Payment '!$E$3:$E$344841,'Shayak Income '!D152,'MPG Payment '!$S$3:$S$344841)</f>
        <v>0</v>
      </c>
      <c r="R152" s="126">
        <f t="shared" si="38"/>
        <v>10056.0357</v>
      </c>
      <c r="S152" s="126">
        <f t="shared" si="39"/>
        <v>2145.9556999999995</v>
      </c>
      <c r="T152" s="126">
        <f t="shared" si="49"/>
        <v>832.64000000000021</v>
      </c>
      <c r="U152" s="127">
        <f>((((((IF(K152="New",0,SUMIF('MPG Payment '!$E$3:$E$344841,'Shayak Income '!D152,'MPG Payment '!$AC$3:$AC$344841))))+0)+0)+0)+0)+0</f>
        <v>359.50169959839354</v>
      </c>
      <c r="V152" s="127">
        <f t="shared" si="50"/>
        <v>12963</v>
      </c>
      <c r="W152" s="19">
        <f t="shared" si="54"/>
        <v>0</v>
      </c>
      <c r="X152" s="19">
        <f t="shared" si="40"/>
        <v>0</v>
      </c>
      <c r="Y152" s="128">
        <f>IFERROR(VLOOKUP(D152,'Monthly Deduction'!$M$2:$N$640,2,0),0)</f>
        <v>0</v>
      </c>
      <c r="Z152" s="128">
        <v>0</v>
      </c>
      <c r="AA152" s="126">
        <f>IFERROR(VLOOKUP(D152,'Monthly Deduction'!A:B,2,0),0)</f>
        <v>0</v>
      </c>
      <c r="AB152" s="129">
        <f t="shared" si="41"/>
        <v>12963</v>
      </c>
      <c r="AC152" s="130">
        <v>0</v>
      </c>
      <c r="AD152" s="35">
        <f t="shared" si="51"/>
        <v>12963</v>
      </c>
      <c r="AE152" s="166" t="str">
        <f t="shared" si="52"/>
        <v>Release</v>
      </c>
      <c r="AF152" s="127"/>
      <c r="AG152" s="127">
        <v>0</v>
      </c>
      <c r="AH152" s="120"/>
      <c r="AI152" s="238">
        <v>0</v>
      </c>
      <c r="AJ152" s="132"/>
      <c r="AK152" s="151">
        <v>1750.2</v>
      </c>
      <c r="AL152" s="154">
        <f t="shared" si="42"/>
        <v>0</v>
      </c>
      <c r="AM152" s="155"/>
      <c r="AN152" s="19">
        <f t="shared" si="43"/>
        <v>0</v>
      </c>
      <c r="AO152" s="118">
        <f>SUMIF('MPG Payment '!E:E,'Shayak Income '!D152,'MPG Payment '!AJ:AJ)</f>
        <v>0</v>
      </c>
      <c r="AP152" s="19">
        <f t="shared" si="44"/>
        <v>0</v>
      </c>
      <c r="AQ152" s="119">
        <f t="shared" si="53"/>
        <v>0</v>
      </c>
      <c r="AR152" s="91" t="s">
        <v>1144</v>
      </c>
      <c r="AS152" s="91">
        <f t="shared" si="45"/>
        <v>0</v>
      </c>
      <c r="AT152" s="118"/>
      <c r="AU152" s="118"/>
      <c r="AV152" s="118"/>
    </row>
    <row r="153" spans="1:48" s="20" customFormat="1" x14ac:dyDescent="0.25">
      <c r="A153" s="17">
        <f>IFERROR(VLOOKUP(D153,'Monthly Deduction'!$I$3:$J$957,2,0),0)</f>
        <v>63136.337517835069</v>
      </c>
      <c r="B153" s="17">
        <f>IFERROR(VLOOKUP(D153,'Monthly Deduction'!$E$3:$F$957,2,0),0)</f>
        <v>9600</v>
      </c>
      <c r="C153" s="17">
        <f t="shared" si="46"/>
        <v>72736.337517835069</v>
      </c>
      <c r="D153" s="41">
        <v>10060090</v>
      </c>
      <c r="E153" s="122" t="str">
        <f>VLOOKUP(D153,'MPG Payment '!$E$3:$G$497305,2,0)</f>
        <v>SANGRAMPUR</v>
      </c>
      <c r="F153" s="146">
        <f>IFERROR(_xlfn.XLOOKUP(D153,'Monthly Deduction'!$I$3:$I$957,'Monthly Deduction'!$H$3:$H$957),0)</f>
        <v>0</v>
      </c>
      <c r="G153" s="123" t="str">
        <f>VLOOKUP(D153,'MPG Payment '!$E$3:$G$333666,3,0)</f>
        <v>MPG</v>
      </c>
      <c r="H153" s="124" t="str">
        <f>VLOOKUP(D153,'MPG Payment '!$E$3:$H$333666,4,0)</f>
        <v>Direct</v>
      </c>
      <c r="I153" s="88">
        <f>INDEX('MPG Payment '!$C:$C,MATCH('Shayak Income '!D153,'MPG Payment '!E:E,0))</f>
        <v>1059</v>
      </c>
      <c r="J153" s="88" t="str">
        <f>INDEX('MPG Payment '!$D:$D,MATCH('Shayak Income '!D153,'MPG Payment '!E:E,0))</f>
        <v>Gopalpur Bmc</v>
      </c>
      <c r="K153" s="125" t="s">
        <v>1594</v>
      </c>
      <c r="L153" s="125">
        <v>45702</v>
      </c>
      <c r="M153" s="126">
        <f>SUMIF('MPG Payment '!$E$3:$E$344841,'Shayak Income '!D153,'MPG Payment '!$I$3:$I$344841)</f>
        <v>2517.1</v>
      </c>
      <c r="N153" s="126">
        <f>SUMIF('MPG Payment '!$E$3:$E$344841,'Shayak Income '!D153,'MPG Payment '!$J$3:$J$344841)</f>
        <v>120154.15</v>
      </c>
      <c r="O153" s="126">
        <f t="shared" si="47"/>
        <v>1887.8249999999998</v>
      </c>
      <c r="P153" s="126">
        <f t="shared" si="48"/>
        <v>2391.2449999999999</v>
      </c>
      <c r="Q153" s="126">
        <f>SUMIF('MPG Payment '!$E$3:$E$344841,'Shayak Income '!D153,'MPG Payment '!$S$3:$S$344841)</f>
        <v>0</v>
      </c>
      <c r="R153" s="126">
        <f t="shared" si="38"/>
        <v>3604.6244999999999</v>
      </c>
      <c r="S153" s="126">
        <f t="shared" si="39"/>
        <v>1213.3795</v>
      </c>
      <c r="T153" s="126">
        <f t="shared" si="49"/>
        <v>251.71</v>
      </c>
      <c r="U153" s="127">
        <f>((((((IF(K153="New",0,SUMIF('MPG Payment '!$E$3:$E$344841,'Shayak Income '!D153,'MPG Payment '!$AC$3:$AC$344841))))+0)+0)+0)+0)+0</f>
        <v>263.89727173782921</v>
      </c>
      <c r="V153" s="127">
        <f t="shared" si="50"/>
        <v>3763</v>
      </c>
      <c r="W153" s="19">
        <f t="shared" si="54"/>
        <v>2403.0830000000001</v>
      </c>
      <c r="X153" s="19">
        <v>0</v>
      </c>
      <c r="Y153" s="128">
        <f>IFERROR(VLOOKUP(D153,'Monthly Deduction'!$M$2:$N$640,2,0),0)</f>
        <v>0</v>
      </c>
      <c r="Z153" s="128">
        <v>0</v>
      </c>
      <c r="AA153" s="126">
        <f>IFERROR(VLOOKUP(D153,'Monthly Deduction'!A:B,2,0),0)</f>
        <v>0</v>
      </c>
      <c r="AB153" s="129">
        <f t="shared" si="41"/>
        <v>1360</v>
      </c>
      <c r="AC153" s="130">
        <v>0</v>
      </c>
      <c r="AD153" s="35">
        <f t="shared" si="51"/>
        <v>1360</v>
      </c>
      <c r="AE153" s="166" t="str">
        <f t="shared" si="52"/>
        <v>Release</v>
      </c>
      <c r="AF153" s="127"/>
      <c r="AG153" s="18">
        <v>0</v>
      </c>
      <c r="AH153" s="120"/>
      <c r="AI153" s="238">
        <v>0</v>
      </c>
      <c r="AJ153" s="132"/>
      <c r="AK153" s="151">
        <v>518.5</v>
      </c>
      <c r="AL153" s="154">
        <f t="shared" si="42"/>
        <v>0</v>
      </c>
      <c r="AM153" s="155"/>
      <c r="AN153" s="19">
        <f t="shared" si="43"/>
        <v>2403.0830000000001</v>
      </c>
      <c r="AO153" s="118">
        <f>SUMIF('MPG Payment '!E:E,'Shayak Income '!D153,'MPG Payment '!AJ:AJ)</f>
        <v>0</v>
      </c>
      <c r="AP153" s="19">
        <f t="shared" si="44"/>
        <v>2403.0830000000001</v>
      </c>
      <c r="AQ153" s="119">
        <f t="shared" si="53"/>
        <v>2403.0830000000001</v>
      </c>
      <c r="AR153" s="91" t="s">
        <v>1144</v>
      </c>
      <c r="AS153" s="91">
        <f t="shared" si="45"/>
        <v>9600</v>
      </c>
      <c r="AT153" s="118"/>
      <c r="AU153" s="118"/>
      <c r="AV153" s="118"/>
    </row>
    <row r="154" spans="1:48" s="20" customFormat="1" x14ac:dyDescent="0.25">
      <c r="A154" s="17">
        <f>IFERROR(VLOOKUP(D154,'Monthly Deduction'!$I$3:$J$957,2,0),0)</f>
        <v>0</v>
      </c>
      <c r="B154" s="17">
        <f>IFERROR(VLOOKUP(D154,'Monthly Deduction'!$E$3:$F$957,2,0),0)</f>
        <v>0</v>
      </c>
      <c r="C154" s="17">
        <f t="shared" si="46"/>
        <v>0</v>
      </c>
      <c r="D154" s="41">
        <v>10060096</v>
      </c>
      <c r="E154" s="122" t="str">
        <f>VLOOKUP(D154,'MPG Payment '!$E$3:$G$497305,2,0)</f>
        <v>GOMUKH CHASMASKAN</v>
      </c>
      <c r="F154" s="146">
        <f>IFERROR(_xlfn.XLOOKUP(D154,'Monthly Deduction'!$I$3:$I$957,'Monthly Deduction'!$H$3:$H$957),0)</f>
        <v>0</v>
      </c>
      <c r="G154" s="123" t="str">
        <f>VLOOKUP(D154,'MPG Payment '!$E$3:$G$333666,3,0)</f>
        <v>vlc</v>
      </c>
      <c r="H154" s="124" t="str">
        <f>VLOOKUP(D154,'MPG Payment '!$E$3:$H$333666,4,0)</f>
        <v>Indirect</v>
      </c>
      <c r="I154" s="88">
        <f>INDEX('MPG Payment '!$C:$C,MATCH('Shayak Income '!D154,'MPG Payment '!E:E,0))</f>
        <v>1006</v>
      </c>
      <c r="J154" s="88" t="str">
        <f>INDEX('MPG Payment '!$D:$D,MATCH('Shayak Income '!D154,'MPG Payment '!E:E,0))</f>
        <v>Sonvarsha</v>
      </c>
      <c r="K154" s="125" t="s">
        <v>1594</v>
      </c>
      <c r="L154" s="125">
        <v>45704</v>
      </c>
      <c r="M154" s="126">
        <f>SUMIF('MPG Payment '!$E$3:$E$344841,'Shayak Income '!D154,'MPG Payment '!$I$3:$I$344841)</f>
        <v>2873.2</v>
      </c>
      <c r="N154" s="126">
        <f>SUMIF('MPG Payment '!$E$3:$E$344841,'Shayak Income '!D154,'MPG Payment '!$J$3:$J$344841)</f>
        <v>111515.96999999999</v>
      </c>
      <c r="O154" s="126">
        <f t="shared" si="47"/>
        <v>2154.8999999999996</v>
      </c>
      <c r="P154" s="126">
        <f t="shared" si="48"/>
        <v>2729.5399999999995</v>
      </c>
      <c r="Q154" s="126">
        <f>SUMIF('MPG Payment '!$E$3:$E$344841,'Shayak Income '!D154,'MPG Payment '!$S$3:$S$344841)</f>
        <v>0</v>
      </c>
      <c r="R154" s="126">
        <f t="shared" si="38"/>
        <v>3345.4790999999996</v>
      </c>
      <c r="S154" s="126">
        <f t="shared" si="39"/>
        <v>615.93910000000005</v>
      </c>
      <c r="T154" s="126">
        <f t="shared" si="49"/>
        <v>287.32</v>
      </c>
      <c r="U154" s="127">
        <f>((((((IF(K154="New",0,SUMIF('MPG Payment '!$E$3:$E$344841,'Shayak Income '!D154,'MPG Payment '!$AC$3:$AC$344841))))+0)+0)+0)+0)+0</f>
        <v>582.66202654835354</v>
      </c>
      <c r="V154" s="127">
        <f t="shared" si="50"/>
        <v>4014</v>
      </c>
      <c r="W154" s="19">
        <f t="shared" si="54"/>
        <v>0</v>
      </c>
      <c r="X154" s="19">
        <f t="shared" si="40"/>
        <v>0</v>
      </c>
      <c r="Y154" s="128">
        <f>IFERROR(VLOOKUP(D154,'Monthly Deduction'!$M$2:$N$640,2,0),0)</f>
        <v>0</v>
      </c>
      <c r="Z154" s="128">
        <v>0</v>
      </c>
      <c r="AA154" s="126">
        <f>IFERROR(VLOOKUP(D154,'Monthly Deduction'!A:B,2,0),0)</f>
        <v>0</v>
      </c>
      <c r="AB154" s="129">
        <f t="shared" si="41"/>
        <v>4014</v>
      </c>
      <c r="AC154" s="130">
        <v>0</v>
      </c>
      <c r="AD154" s="35">
        <f t="shared" si="51"/>
        <v>4014</v>
      </c>
      <c r="AE154" s="166" t="str">
        <f t="shared" si="52"/>
        <v>Release</v>
      </c>
      <c r="AF154" s="127"/>
      <c r="AG154" s="18">
        <v>0</v>
      </c>
      <c r="AH154" s="120"/>
      <c r="AI154" s="238">
        <v>0</v>
      </c>
      <c r="AJ154" s="132"/>
      <c r="AK154" s="151">
        <v>350.7</v>
      </c>
      <c r="AL154" s="154">
        <f t="shared" si="42"/>
        <v>0</v>
      </c>
      <c r="AM154" s="155"/>
      <c r="AN154" s="19">
        <f t="shared" si="43"/>
        <v>0</v>
      </c>
      <c r="AO154" s="118">
        <f>SUMIF('MPG Payment '!E:E,'Shayak Income '!D154,'MPG Payment '!AJ:AJ)</f>
        <v>0</v>
      </c>
      <c r="AP154" s="19">
        <f t="shared" si="44"/>
        <v>0</v>
      </c>
      <c r="AQ154" s="119">
        <f t="shared" si="53"/>
        <v>0</v>
      </c>
      <c r="AR154" s="91" t="s">
        <v>1144</v>
      </c>
      <c r="AS154" s="91">
        <f t="shared" si="45"/>
        <v>0</v>
      </c>
      <c r="AT154" s="118"/>
      <c r="AU154" s="118"/>
      <c r="AV154" s="118"/>
    </row>
    <row r="155" spans="1:48" s="20" customFormat="1" x14ac:dyDescent="0.25">
      <c r="A155" s="17">
        <f>IFERROR(VLOOKUP(D155,'Monthly Deduction'!$I$3:$J$957,2,0),0)</f>
        <v>0</v>
      </c>
      <c r="B155" s="17">
        <f>IFERROR(VLOOKUP(D155,'Monthly Deduction'!$E$3:$F$957,2,0),0)</f>
        <v>0</v>
      </c>
      <c r="C155" s="17">
        <f t="shared" si="46"/>
        <v>0</v>
      </c>
      <c r="D155" s="41">
        <v>10060097</v>
      </c>
      <c r="E155" s="122" t="str">
        <f>VLOOKUP(D155,'MPG Payment '!$E$3:$G$497305,2,0)</f>
        <v>GOMUKH KAJITOLA</v>
      </c>
      <c r="F155" s="146">
        <f>IFERROR(_xlfn.XLOOKUP(D155,'Monthly Deduction'!$I$3:$I$957,'Monthly Deduction'!$H$3:$H$957),0)</f>
        <v>0</v>
      </c>
      <c r="G155" s="123" t="str">
        <f>VLOOKUP(D155,'MPG Payment '!$E$3:$G$333666,3,0)</f>
        <v>VLC</v>
      </c>
      <c r="H155" s="124" t="str">
        <f>VLOOKUP(D155,'MPG Payment '!$E$3:$H$333666,4,0)</f>
        <v>Indirect</v>
      </c>
      <c r="I155" s="88">
        <f>INDEX('MPG Payment '!$C:$C,MATCH('Shayak Income '!D155,'MPG Payment '!E:E,0))</f>
        <v>1006</v>
      </c>
      <c r="J155" s="88" t="str">
        <f>INDEX('MPG Payment '!$D:$D,MATCH('Shayak Income '!D155,'MPG Payment '!E:E,0))</f>
        <v>Sonvarsha</v>
      </c>
      <c r="K155" s="125" t="s">
        <v>1594</v>
      </c>
      <c r="L155" s="125">
        <v>45743</v>
      </c>
      <c r="M155" s="126">
        <f>SUMIF('MPG Payment '!$E$3:$E$344841,'Shayak Income '!D155,'MPG Payment '!$I$3:$I$344841)</f>
        <v>3656</v>
      </c>
      <c r="N155" s="126">
        <f>SUMIF('MPG Payment '!$E$3:$E$344841,'Shayak Income '!D155,'MPG Payment '!$J$3:$J$344841)</f>
        <v>149591.45000000001</v>
      </c>
      <c r="O155" s="126">
        <f t="shared" si="47"/>
        <v>2742</v>
      </c>
      <c r="P155" s="126">
        <f t="shared" si="48"/>
        <v>3473.2</v>
      </c>
      <c r="Q155" s="126">
        <f>SUMIF('MPG Payment '!$E$3:$E$344841,'Shayak Income '!D155,'MPG Payment '!$S$3:$S$344841)</f>
        <v>0</v>
      </c>
      <c r="R155" s="126">
        <f t="shared" si="38"/>
        <v>4487.7435000000005</v>
      </c>
      <c r="S155" s="126">
        <f t="shared" si="39"/>
        <v>1014.5435000000007</v>
      </c>
      <c r="T155" s="126">
        <f t="shared" si="49"/>
        <v>365.6</v>
      </c>
      <c r="U155" s="127">
        <f>((((((IF(K155="New",0,SUMIF('MPG Payment '!$E$3:$E$344841,'Shayak Income '!D155,'MPG Payment '!$AC$3:$AC$344841))))+0)+0)+0)+0)+0</f>
        <v>0</v>
      </c>
      <c r="V155" s="127">
        <f t="shared" si="50"/>
        <v>5850</v>
      </c>
      <c r="W155" s="19">
        <f t="shared" si="54"/>
        <v>0</v>
      </c>
      <c r="X155" s="19">
        <f t="shared" si="40"/>
        <v>0</v>
      </c>
      <c r="Y155" s="128">
        <f>IFERROR(VLOOKUP(D155,'Monthly Deduction'!$M$2:$N$640,2,0),0)</f>
        <v>0</v>
      </c>
      <c r="Z155" s="128">
        <v>0</v>
      </c>
      <c r="AA155" s="126">
        <f>IFERROR(VLOOKUP(D155,'Monthly Deduction'!A:B,2,0),0)</f>
        <v>0</v>
      </c>
      <c r="AB155" s="129">
        <f t="shared" si="41"/>
        <v>5850</v>
      </c>
      <c r="AC155" s="130">
        <v>0</v>
      </c>
      <c r="AD155" s="35">
        <f t="shared" si="51"/>
        <v>5850</v>
      </c>
      <c r="AE155" s="166" t="str">
        <f t="shared" si="52"/>
        <v>Release</v>
      </c>
      <c r="AF155" s="127"/>
      <c r="AG155" s="18">
        <v>0</v>
      </c>
      <c r="AH155" s="132"/>
      <c r="AI155" s="238">
        <v>0</v>
      </c>
      <c r="AJ155" s="132"/>
      <c r="AK155" s="151">
        <v>795.8</v>
      </c>
      <c r="AL155" s="154">
        <f t="shared" si="42"/>
        <v>0</v>
      </c>
      <c r="AM155" s="155"/>
      <c r="AN155" s="19">
        <f t="shared" si="43"/>
        <v>0</v>
      </c>
      <c r="AO155" s="118">
        <f>SUMIF('MPG Payment '!E:E,'Shayak Income '!D155,'MPG Payment '!AJ:AJ)</f>
        <v>0</v>
      </c>
      <c r="AP155" s="19">
        <f t="shared" si="44"/>
        <v>0</v>
      </c>
      <c r="AQ155" s="119">
        <f t="shared" si="53"/>
        <v>0</v>
      </c>
      <c r="AR155" s="91" t="s">
        <v>1144</v>
      </c>
      <c r="AS155" s="91">
        <f t="shared" si="45"/>
        <v>0</v>
      </c>
      <c r="AT155" s="118"/>
      <c r="AU155" s="118"/>
      <c r="AV155" s="118"/>
    </row>
    <row r="156" spans="1:48" s="20" customFormat="1" x14ac:dyDescent="0.25">
      <c r="A156" s="17">
        <f>IFERROR(VLOOKUP(D156,'Monthly Deduction'!$I$3:$J$957,2,0),0)</f>
        <v>36188.010457369295</v>
      </c>
      <c r="B156" s="17">
        <f>IFERROR(VLOOKUP(D156,'Monthly Deduction'!$E$3:$F$957,2,0),0)</f>
        <v>0</v>
      </c>
      <c r="C156" s="17">
        <f t="shared" si="46"/>
        <v>36188.010457369295</v>
      </c>
      <c r="D156" s="41">
        <v>10060098</v>
      </c>
      <c r="E156" s="122" t="str">
        <f>VLOOKUP(D156,'MPG Payment '!$E$3:$G$497305,2,0)</f>
        <v>RAMDEV TOLA</v>
      </c>
      <c r="F156" s="146">
        <f>IFERROR(_xlfn.XLOOKUP(D156,'Monthly Deduction'!$I$3:$I$957,'Monthly Deduction'!$H$3:$H$957),0)</f>
        <v>0</v>
      </c>
      <c r="G156" s="123" t="str">
        <f>VLOOKUP(D156,'MPG Payment '!$E$3:$G$333666,3,0)</f>
        <v>MPG</v>
      </c>
      <c r="H156" s="124" t="str">
        <f>VLOOKUP(D156,'MPG Payment '!$E$3:$H$333666,4,0)</f>
        <v>Direct</v>
      </c>
      <c r="I156" s="88">
        <f>INDEX('MPG Payment '!$C:$C,MATCH('Shayak Income '!D156,'MPG Payment '!E:E,0))</f>
        <v>1006</v>
      </c>
      <c r="J156" s="88" t="str">
        <f>INDEX('MPG Payment '!$D:$D,MATCH('Shayak Income '!D156,'MPG Payment '!E:E,0))</f>
        <v>Sonvarsha</v>
      </c>
      <c r="K156" s="125" t="s">
        <v>1594</v>
      </c>
      <c r="L156" s="125">
        <v>45795</v>
      </c>
      <c r="M156" s="126">
        <f>SUMIF('MPG Payment '!$E$3:$E$344841,'Shayak Income '!D156,'MPG Payment '!$I$3:$I$344841)</f>
        <v>6604.3</v>
      </c>
      <c r="N156" s="126">
        <f>SUMIF('MPG Payment '!$E$3:$E$344841,'Shayak Income '!D156,'MPG Payment '!$J$3:$J$344841)</f>
        <v>301635.54000000004</v>
      </c>
      <c r="O156" s="126">
        <f t="shared" si="47"/>
        <v>4953.2250000000004</v>
      </c>
      <c r="P156" s="126">
        <f t="shared" si="48"/>
        <v>6274.085</v>
      </c>
      <c r="Q156" s="126">
        <f>SUMIF('MPG Payment '!$E$3:$E$344841,'Shayak Income '!D156,'MPG Payment '!$S$3:$S$344841)</f>
        <v>2003.5700000000002</v>
      </c>
      <c r="R156" s="126">
        <f t="shared" si="38"/>
        <v>9049.0662000000011</v>
      </c>
      <c r="S156" s="126">
        <f t="shared" si="39"/>
        <v>2774.9812000000011</v>
      </c>
      <c r="T156" s="126">
        <f t="shared" si="49"/>
        <v>660.43000000000006</v>
      </c>
      <c r="U156" s="127">
        <f>((((((IF(K156="New",0,SUMIF('MPG Payment '!$E$3:$E$344841,'Shayak Income '!D156,'MPG Payment '!$AC$3:$AC$344841))))+0)+0)+0)+0)+0</f>
        <v>0</v>
      </c>
      <c r="V156" s="127">
        <f t="shared" si="50"/>
        <v>12570</v>
      </c>
      <c r="W156" s="19">
        <f t="shared" si="54"/>
        <v>6032.7108000000007</v>
      </c>
      <c r="X156" s="19">
        <v>0</v>
      </c>
      <c r="Y156" s="128">
        <f>IFERROR(VLOOKUP(D156,'Monthly Deduction'!$M$2:$N$640,2,0),0)</f>
        <v>0</v>
      </c>
      <c r="Z156" s="128">
        <v>0</v>
      </c>
      <c r="AA156" s="126">
        <f>IFERROR(VLOOKUP(D156,'Monthly Deduction'!A:B,2,0),0)</f>
        <v>0</v>
      </c>
      <c r="AB156" s="129">
        <f t="shared" si="41"/>
        <v>6537</v>
      </c>
      <c r="AC156" s="130">
        <v>0</v>
      </c>
      <c r="AD156" s="35">
        <f t="shared" si="51"/>
        <v>6537</v>
      </c>
      <c r="AE156" s="166" t="str">
        <f t="shared" si="52"/>
        <v>Release</v>
      </c>
      <c r="AF156" s="127"/>
      <c r="AG156" s="18">
        <v>0</v>
      </c>
      <c r="AH156" s="120" t="s">
        <v>1685</v>
      </c>
      <c r="AI156" s="238">
        <v>6308</v>
      </c>
      <c r="AJ156" s="132" t="s">
        <v>68</v>
      </c>
      <c r="AK156" s="151">
        <v>1530.0000000000007</v>
      </c>
      <c r="AL156" s="154">
        <f t="shared" si="42"/>
        <v>0</v>
      </c>
      <c r="AM156" s="155"/>
      <c r="AN156" s="19">
        <f t="shared" si="43"/>
        <v>6032.7108000000007</v>
      </c>
      <c r="AO156" s="118">
        <f>SUMIF('MPG Payment '!E:E,'Shayak Income '!D156,'MPG Payment '!AJ:AJ)</f>
        <v>0</v>
      </c>
      <c r="AP156" s="19">
        <f t="shared" si="44"/>
        <v>6032.7108000000007</v>
      </c>
      <c r="AQ156" s="119">
        <f t="shared" si="53"/>
        <v>6032.7108000000007</v>
      </c>
      <c r="AR156" s="91" t="s">
        <v>1144</v>
      </c>
      <c r="AS156" s="91">
        <f t="shared" si="45"/>
        <v>0</v>
      </c>
      <c r="AT156" s="118"/>
      <c r="AU156" s="118"/>
      <c r="AV156" s="118"/>
    </row>
    <row r="157" spans="1:48" s="20" customFormat="1" x14ac:dyDescent="0.25">
      <c r="A157" s="17">
        <f>IFERROR(VLOOKUP(D157,'Monthly Deduction'!$I$3:$J$957,2,0),0)</f>
        <v>0</v>
      </c>
      <c r="B157" s="17">
        <f>IFERROR(VLOOKUP(D157,'Monthly Deduction'!$E$3:$F$957,2,0),0)</f>
        <v>0</v>
      </c>
      <c r="C157" s="17">
        <f t="shared" si="46"/>
        <v>0</v>
      </c>
      <c r="D157" s="41">
        <v>10060104</v>
      </c>
      <c r="E157" s="122" t="str">
        <f>VLOOKUP(D157,'MPG Payment '!$E$3:$G$497305,2,0)</f>
        <v>GOMUKH KATEHAR</v>
      </c>
      <c r="F157" s="146">
        <f>IFERROR(_xlfn.XLOOKUP(D157,'Monthly Deduction'!$I$3:$I$957,'Monthly Deduction'!$H$3:$H$957),0)</f>
        <v>0</v>
      </c>
      <c r="G157" s="123" t="str">
        <f>VLOOKUP(D157,'MPG Payment '!$E$3:$G$333666,3,0)</f>
        <v>vlc</v>
      </c>
      <c r="H157" s="124" t="str">
        <f>VLOOKUP(D157,'MPG Payment '!$E$3:$H$333666,4,0)</f>
        <v>Indirect</v>
      </c>
      <c r="I157" s="88">
        <f>INDEX('MPG Payment '!$C:$C,MATCH('Shayak Income '!D157,'MPG Payment '!E:E,0))</f>
        <v>1006</v>
      </c>
      <c r="J157" s="88" t="str">
        <f>INDEX('MPG Payment '!$D:$D,MATCH('Shayak Income '!D157,'MPG Payment '!E:E,0))</f>
        <v>Sonvarsha</v>
      </c>
      <c r="K157" s="125" t="s">
        <v>1594</v>
      </c>
      <c r="L157" s="125">
        <v>45800</v>
      </c>
      <c r="M157" s="126">
        <f>SUMIF('MPG Payment '!$E$3:$E$344841,'Shayak Income '!D157,'MPG Payment '!$I$3:$I$344841)</f>
        <v>6978.3</v>
      </c>
      <c r="N157" s="126">
        <f>SUMIF('MPG Payment '!$E$3:$E$344841,'Shayak Income '!D157,'MPG Payment '!$J$3:$J$344841)</f>
        <v>263220.58999999997</v>
      </c>
      <c r="O157" s="126">
        <f t="shared" si="47"/>
        <v>5233.7250000000004</v>
      </c>
      <c r="P157" s="126">
        <f t="shared" si="48"/>
        <v>6629.3850000000002</v>
      </c>
      <c r="Q157" s="126">
        <f>SUMIF('MPG Payment '!$E$3:$E$344841,'Shayak Income '!D157,'MPG Payment '!$S$3:$S$344841)</f>
        <v>0</v>
      </c>
      <c r="R157" s="126">
        <f t="shared" si="38"/>
        <v>7896.6176999999989</v>
      </c>
      <c r="S157" s="126">
        <f t="shared" si="39"/>
        <v>1267.2326999999987</v>
      </c>
      <c r="T157" s="126">
        <f t="shared" si="49"/>
        <v>697.83</v>
      </c>
      <c r="U157" s="127">
        <f>((((((IF(K157="New",0,SUMIF('MPG Payment '!$E$3:$E$344841,'Shayak Income '!D157,'MPG Payment '!$AC$3:$AC$344841))))+0)+0)+0)+0)+0</f>
        <v>0</v>
      </c>
      <c r="V157" s="127">
        <f t="shared" si="50"/>
        <v>11165</v>
      </c>
      <c r="W157" s="19">
        <f t="shared" si="54"/>
        <v>0</v>
      </c>
      <c r="X157" s="19">
        <f t="shared" si="40"/>
        <v>0</v>
      </c>
      <c r="Y157" s="128">
        <f>IFERROR(VLOOKUP(D157,'Monthly Deduction'!$M$2:$N$640,2,0),0)</f>
        <v>0</v>
      </c>
      <c r="Z157" s="128">
        <v>0</v>
      </c>
      <c r="AA157" s="126">
        <f>IFERROR(VLOOKUP(D157,'Monthly Deduction'!A:B,2,0),0)</f>
        <v>0</v>
      </c>
      <c r="AB157" s="129">
        <f t="shared" si="41"/>
        <v>11165</v>
      </c>
      <c r="AC157" s="130">
        <v>0</v>
      </c>
      <c r="AD157" s="35">
        <f t="shared" si="51"/>
        <v>11165</v>
      </c>
      <c r="AE157" s="166" t="str">
        <f t="shared" si="52"/>
        <v>Release</v>
      </c>
      <c r="AF157" s="127"/>
      <c r="AG157" s="18">
        <v>0</v>
      </c>
      <c r="AH157" s="132"/>
      <c r="AI157" s="238">
        <v>0</v>
      </c>
      <c r="AJ157" s="132"/>
      <c r="AK157" s="151">
        <v>1456.5000000000002</v>
      </c>
      <c r="AL157" s="154">
        <f t="shared" si="42"/>
        <v>0</v>
      </c>
      <c r="AM157" s="155"/>
      <c r="AN157" s="19">
        <f t="shared" si="43"/>
        <v>0</v>
      </c>
      <c r="AO157" s="118">
        <f>SUMIF('MPG Payment '!E:E,'Shayak Income '!D157,'MPG Payment '!AJ:AJ)</f>
        <v>0</v>
      </c>
      <c r="AP157" s="19">
        <f t="shared" si="44"/>
        <v>0</v>
      </c>
      <c r="AQ157" s="119">
        <f t="shared" si="53"/>
        <v>0</v>
      </c>
      <c r="AR157" s="91" t="s">
        <v>1144</v>
      </c>
      <c r="AS157" s="91">
        <f t="shared" si="45"/>
        <v>0</v>
      </c>
      <c r="AT157" s="118"/>
      <c r="AU157" s="118"/>
      <c r="AV157" s="118"/>
    </row>
    <row r="158" spans="1:48" s="20" customFormat="1" x14ac:dyDescent="0.25">
      <c r="A158" s="17">
        <f>IFERROR(VLOOKUP(D158,'Monthly Deduction'!$I$3:$J$957,2,0),0)</f>
        <v>0</v>
      </c>
      <c r="B158" s="17">
        <f>IFERROR(VLOOKUP(D158,'Monthly Deduction'!$E$3:$F$957,2,0),0)</f>
        <v>0</v>
      </c>
      <c r="C158" s="17">
        <f t="shared" si="46"/>
        <v>0</v>
      </c>
      <c r="D158" s="41">
        <v>10060107</v>
      </c>
      <c r="E158" s="122" t="str">
        <f>VLOOKUP(D158,'MPG Payment '!$E$3:$G$497305,2,0)</f>
        <v>GOMUKH JAGMAGLA</v>
      </c>
      <c r="F158" s="146">
        <f>IFERROR(_xlfn.XLOOKUP(D158,'Monthly Deduction'!$I$3:$I$957,'Monthly Deduction'!$H$3:$H$957),0)</f>
        <v>0</v>
      </c>
      <c r="G158" s="123" t="str">
        <f>VLOOKUP(D158,'MPG Payment '!$E$3:$G$333666,3,0)</f>
        <v>vlc</v>
      </c>
      <c r="H158" s="124" t="str">
        <f>VLOOKUP(D158,'MPG Payment '!$E$3:$H$333666,4,0)</f>
        <v>Indirect</v>
      </c>
      <c r="I158" s="88">
        <f>INDEX('MPG Payment '!$C:$C,MATCH('Shayak Income '!D158,'MPG Payment '!E:E,0))</f>
        <v>1006</v>
      </c>
      <c r="J158" s="88" t="str">
        <f>INDEX('MPG Payment '!$D:$D,MATCH('Shayak Income '!D158,'MPG Payment '!E:E,0))</f>
        <v>Sonvarsha</v>
      </c>
      <c r="K158" s="125" t="s">
        <v>1594</v>
      </c>
      <c r="L158" s="125">
        <v>45791</v>
      </c>
      <c r="M158" s="126">
        <f>SUMIF('MPG Payment '!$E$3:$E$344841,'Shayak Income '!D158,'MPG Payment '!$I$3:$I$344841)</f>
        <v>4148.2999999999993</v>
      </c>
      <c r="N158" s="126">
        <f>SUMIF('MPG Payment '!$E$3:$E$344841,'Shayak Income '!D158,'MPG Payment '!$J$3:$J$344841)</f>
        <v>168763.06</v>
      </c>
      <c r="O158" s="126">
        <f t="shared" si="47"/>
        <v>3111.2249999999995</v>
      </c>
      <c r="P158" s="126">
        <f t="shared" si="48"/>
        <v>3940.8849999999993</v>
      </c>
      <c r="Q158" s="126">
        <f>SUMIF('MPG Payment '!$E$3:$E$344841,'Shayak Income '!D158,'MPG Payment '!$S$3:$S$344841)</f>
        <v>0</v>
      </c>
      <c r="R158" s="126">
        <f t="shared" si="38"/>
        <v>5062.8917999999994</v>
      </c>
      <c r="S158" s="126">
        <f t="shared" si="39"/>
        <v>1122.0068000000001</v>
      </c>
      <c r="T158" s="126">
        <f t="shared" si="49"/>
        <v>414.82999999999993</v>
      </c>
      <c r="U158" s="127">
        <f>((((((IF(K158="New",0,SUMIF('MPG Payment '!$E$3:$E$344841,'Shayak Income '!D158,'MPG Payment '!$AC$3:$AC$344841))))+0)+0)+0)+0)+0</f>
        <v>0</v>
      </c>
      <c r="V158" s="127">
        <f t="shared" si="50"/>
        <v>6637</v>
      </c>
      <c r="W158" s="19">
        <f t="shared" si="54"/>
        <v>0</v>
      </c>
      <c r="X158" s="19">
        <f t="shared" si="40"/>
        <v>0</v>
      </c>
      <c r="Y158" s="128">
        <f>IFERROR(VLOOKUP(D158,'Monthly Deduction'!$M$2:$N$640,2,0),0)</f>
        <v>0</v>
      </c>
      <c r="Z158" s="128">
        <v>0</v>
      </c>
      <c r="AA158" s="126">
        <f>IFERROR(VLOOKUP(D158,'Monthly Deduction'!A:B,2,0),0)</f>
        <v>0</v>
      </c>
      <c r="AB158" s="129">
        <f t="shared" si="41"/>
        <v>6637</v>
      </c>
      <c r="AC158" s="130">
        <v>0</v>
      </c>
      <c r="AD158" s="35">
        <f t="shared" si="51"/>
        <v>6637</v>
      </c>
      <c r="AE158" s="166" t="str">
        <f t="shared" si="52"/>
        <v>Release</v>
      </c>
      <c r="AF158" s="127"/>
      <c r="AG158" s="18">
        <v>0</v>
      </c>
      <c r="AH158" s="120"/>
      <c r="AI158" s="238">
        <v>0</v>
      </c>
      <c r="AJ158" s="132"/>
      <c r="AK158" s="151">
        <v>788.3</v>
      </c>
      <c r="AL158" s="154">
        <f t="shared" si="42"/>
        <v>0</v>
      </c>
      <c r="AM158" s="155"/>
      <c r="AN158" s="19">
        <f t="shared" si="43"/>
        <v>0</v>
      </c>
      <c r="AO158" s="118">
        <f>SUMIF('MPG Payment '!E:E,'Shayak Income '!D158,'MPG Payment '!AJ:AJ)</f>
        <v>0</v>
      </c>
      <c r="AP158" s="19">
        <f t="shared" si="44"/>
        <v>0</v>
      </c>
      <c r="AQ158" s="119">
        <f t="shared" si="53"/>
        <v>0</v>
      </c>
      <c r="AR158" s="91" t="s">
        <v>1144</v>
      </c>
      <c r="AS158" s="91">
        <f t="shared" si="45"/>
        <v>0</v>
      </c>
      <c r="AT158" s="118"/>
      <c r="AU158" s="118"/>
      <c r="AV158" s="118"/>
    </row>
    <row r="159" spans="1:48" s="20" customFormat="1" x14ac:dyDescent="0.25">
      <c r="A159" s="17">
        <f>IFERROR(VLOOKUP(D159,'Monthly Deduction'!$I$3:$J$957,2,0),0)</f>
        <v>83094</v>
      </c>
      <c r="B159" s="17">
        <f>IFERROR(VLOOKUP(D159,'Monthly Deduction'!$E$3:$F$957,2,0),0)</f>
        <v>6400</v>
      </c>
      <c r="C159" s="17">
        <f t="shared" si="46"/>
        <v>89494</v>
      </c>
      <c r="D159" s="41">
        <v>10060110</v>
      </c>
      <c r="E159" s="122" t="str">
        <f>VLOOKUP(D159,'MPG Payment '!$E$3:$G$497305,2,0)</f>
        <v>ORABAGICHA</v>
      </c>
      <c r="F159" s="146">
        <f>IFERROR(_xlfn.XLOOKUP(D159,'Monthly Deduction'!$I$3:$I$957,'Monthly Deduction'!$H$3:$H$957),0)</f>
        <v>0</v>
      </c>
      <c r="G159" s="123" t="str">
        <f>VLOOKUP(D159,'MPG Payment '!$E$3:$G$333666,3,0)</f>
        <v>MPG</v>
      </c>
      <c r="H159" s="124" t="str">
        <f>VLOOKUP(D159,'MPG Payment '!$E$3:$H$333666,4,0)</f>
        <v>Direct</v>
      </c>
      <c r="I159" s="88">
        <f>INDEX('MPG Payment '!$C:$C,MATCH('Shayak Income '!D159,'MPG Payment '!E:E,0))</f>
        <v>1006</v>
      </c>
      <c r="J159" s="88" t="str">
        <f>INDEX('MPG Payment '!$D:$D,MATCH('Shayak Income '!D159,'MPG Payment '!E:E,0))</f>
        <v>Sonvarsha</v>
      </c>
      <c r="K159" s="125" t="s">
        <v>1594</v>
      </c>
      <c r="L159" s="125">
        <v>45838</v>
      </c>
      <c r="M159" s="126">
        <f>SUMIF('MPG Payment '!$E$3:$E$344841,'Shayak Income '!D159,'MPG Payment '!$I$3:$I$344841)</f>
        <v>1956.5</v>
      </c>
      <c r="N159" s="126">
        <f>SUMIF('MPG Payment '!$E$3:$E$344841,'Shayak Income '!D159,'MPG Payment '!$J$3:$J$344841)</f>
        <v>82689.97</v>
      </c>
      <c r="O159" s="126">
        <f t="shared" si="47"/>
        <v>1467.375</v>
      </c>
      <c r="P159" s="126">
        <f t="shared" si="48"/>
        <v>1858.675</v>
      </c>
      <c r="Q159" s="126">
        <f>SUMIF('MPG Payment '!$E$3:$E$344841,'Shayak Income '!D159,'MPG Payment '!$S$3:$S$344841)</f>
        <v>397.61</v>
      </c>
      <c r="R159" s="126">
        <f t="shared" si="38"/>
        <v>2480.6990999999998</v>
      </c>
      <c r="S159" s="126">
        <f t="shared" si="39"/>
        <v>622.02409999999986</v>
      </c>
      <c r="T159" s="126">
        <f t="shared" si="49"/>
        <v>195.65</v>
      </c>
      <c r="U159" s="127">
        <f>((((((IF(K159="New",0,SUMIF('MPG Payment '!$E$3:$E$344841,'Shayak Income '!D159,'MPG Payment '!$AC$3:$AC$344841))))+0)+0)+0)+0)+0</f>
        <v>713.16599273113889</v>
      </c>
      <c r="V159" s="127">
        <f t="shared" si="50"/>
        <v>2815</v>
      </c>
      <c r="W159" s="19">
        <v>0</v>
      </c>
      <c r="X159" s="19">
        <f t="shared" si="40"/>
        <v>1653.7994000000001</v>
      </c>
      <c r="Y159" s="128">
        <f>IFERROR(VLOOKUP(D159,'Monthly Deduction'!$M$2:$N$640,2,0),0)</f>
        <v>0</v>
      </c>
      <c r="Z159" s="128">
        <v>0</v>
      </c>
      <c r="AA159" s="126">
        <f>IFERROR(VLOOKUP(D159,'Monthly Deduction'!A:B,2,0),0)</f>
        <v>0</v>
      </c>
      <c r="AB159" s="129">
        <f t="shared" si="41"/>
        <v>1161</v>
      </c>
      <c r="AC159" s="130">
        <f>AB159</f>
        <v>1161</v>
      </c>
      <c r="AD159" s="35">
        <f t="shared" si="51"/>
        <v>0</v>
      </c>
      <c r="AE159" s="166" t="str">
        <f t="shared" si="52"/>
        <v>Yes</v>
      </c>
      <c r="AF159" s="127"/>
      <c r="AG159" s="18">
        <v>0</v>
      </c>
      <c r="AH159" s="120" t="s">
        <v>1685</v>
      </c>
      <c r="AI159" s="238">
        <v>1226</v>
      </c>
      <c r="AJ159" s="132"/>
      <c r="AK159" s="151">
        <v>341.6</v>
      </c>
      <c r="AL159" s="154">
        <f t="shared" si="42"/>
        <v>0</v>
      </c>
      <c r="AM159" s="155"/>
      <c r="AN159" s="19">
        <f t="shared" si="43"/>
        <v>1861</v>
      </c>
      <c r="AO159" s="118">
        <f>SUMIF('MPG Payment '!E:E,'Shayak Income '!D159,'MPG Payment '!AJ:AJ)</f>
        <v>2000</v>
      </c>
      <c r="AP159" s="19">
        <f t="shared" si="44"/>
        <v>0</v>
      </c>
      <c r="AQ159" s="119">
        <f t="shared" si="53"/>
        <v>2000</v>
      </c>
      <c r="AR159" s="91" t="s">
        <v>1144</v>
      </c>
      <c r="AS159" s="91">
        <f t="shared" si="45"/>
        <v>4746.2006000000001</v>
      </c>
      <c r="AT159" s="118"/>
      <c r="AU159" s="118"/>
      <c r="AV159" s="118"/>
    </row>
    <row r="160" spans="1:48" s="20" customFormat="1" x14ac:dyDescent="0.25">
      <c r="A160" s="17">
        <f>IFERROR(VLOOKUP(D160,'Monthly Deduction'!$I$3:$J$957,2,0),0)</f>
        <v>66854.641945695374</v>
      </c>
      <c r="B160" s="17">
        <f>IFERROR(VLOOKUP(D160,'Monthly Deduction'!$E$3:$F$957,2,0),0)</f>
        <v>9600</v>
      </c>
      <c r="C160" s="17">
        <f t="shared" si="46"/>
        <v>76454.641945695374</v>
      </c>
      <c r="D160" s="41">
        <v>10060111</v>
      </c>
      <c r="E160" s="122" t="str">
        <f>VLOOKUP(D160,'MPG Payment '!$E$3:$G$497305,2,0)</f>
        <v>KHAJURIYA</v>
      </c>
      <c r="F160" s="146">
        <f>IFERROR(_xlfn.XLOOKUP(D160,'Monthly Deduction'!$I$3:$I$957,'Monthly Deduction'!$H$3:$H$957),0)</f>
        <v>0</v>
      </c>
      <c r="G160" s="123" t="str">
        <f>VLOOKUP(D160,'MPG Payment '!$E$3:$G$333666,3,0)</f>
        <v>MPG</v>
      </c>
      <c r="H160" s="124" t="str">
        <f>VLOOKUP(D160,'MPG Payment '!$E$3:$H$333666,4,0)</f>
        <v>Direct</v>
      </c>
      <c r="I160" s="88">
        <f>INDEX('MPG Payment '!$C:$C,MATCH('Shayak Income '!D160,'MPG Payment '!E:E,0))</f>
        <v>1006</v>
      </c>
      <c r="J160" s="88" t="str">
        <f>INDEX('MPG Payment '!$D:$D,MATCH('Shayak Income '!D160,'MPG Payment '!E:E,0))</f>
        <v>Sonvarsha</v>
      </c>
      <c r="K160" s="125" t="s">
        <v>1594</v>
      </c>
      <c r="L160" s="125">
        <v>45838</v>
      </c>
      <c r="M160" s="126">
        <f>SUMIF('MPG Payment '!$E$3:$E$344841,'Shayak Income '!D160,'MPG Payment '!$I$3:$I$344841)</f>
        <v>1635.9</v>
      </c>
      <c r="N160" s="126">
        <f>SUMIF('MPG Payment '!$E$3:$E$344841,'Shayak Income '!D160,'MPG Payment '!$J$3:$J$344841)</f>
        <v>70079.98</v>
      </c>
      <c r="O160" s="126">
        <f t="shared" si="47"/>
        <v>1226.9250000000002</v>
      </c>
      <c r="P160" s="126">
        <f t="shared" si="48"/>
        <v>1554.105</v>
      </c>
      <c r="Q160" s="126">
        <f>SUMIF('MPG Payment '!$E$3:$E$344841,'Shayak Income '!D160,'MPG Payment '!$S$3:$S$344841)</f>
        <v>0</v>
      </c>
      <c r="R160" s="126">
        <f t="shared" si="38"/>
        <v>2102.3993999999998</v>
      </c>
      <c r="S160" s="126">
        <f t="shared" si="39"/>
        <v>548.29439999999977</v>
      </c>
      <c r="T160" s="126">
        <f t="shared" si="49"/>
        <v>163.59000000000003</v>
      </c>
      <c r="U160" s="127">
        <f>((((((IF(K160="New",0,SUMIF('MPG Payment '!$E$3:$E$344841,'Shayak Income '!D160,'MPG Payment '!$AC$3:$AC$344841))))+0)+0)+0)+0)+0</f>
        <v>995.21732849447699</v>
      </c>
      <c r="V160" s="127">
        <f t="shared" si="50"/>
        <v>1622</v>
      </c>
      <c r="W160" s="19">
        <v>1622</v>
      </c>
      <c r="X160" s="19">
        <v>0</v>
      </c>
      <c r="Y160" s="128">
        <f>IFERROR(VLOOKUP(D160,'Monthly Deduction'!$M$2:$N$640,2,0),0)</f>
        <v>0</v>
      </c>
      <c r="Z160" s="128">
        <v>0</v>
      </c>
      <c r="AA160" s="126">
        <f>IFERROR(VLOOKUP(D160,'Monthly Deduction'!A:B,2,0),0)</f>
        <v>0</v>
      </c>
      <c r="AB160" s="129">
        <f t="shared" si="41"/>
        <v>0</v>
      </c>
      <c r="AC160" s="130">
        <v>0</v>
      </c>
      <c r="AD160" s="35">
        <f t="shared" si="51"/>
        <v>0</v>
      </c>
      <c r="AE160" s="166" t="str">
        <f t="shared" si="52"/>
        <v>Release</v>
      </c>
      <c r="AF160" s="127"/>
      <c r="AG160" s="18">
        <v>0</v>
      </c>
      <c r="AH160" s="132"/>
      <c r="AI160" s="238">
        <v>0</v>
      </c>
      <c r="AJ160" s="132"/>
      <c r="AK160" s="151">
        <v>429.4</v>
      </c>
      <c r="AL160" s="154">
        <f t="shared" si="42"/>
        <v>0</v>
      </c>
      <c r="AM160" s="155"/>
      <c r="AN160" s="19">
        <f t="shared" si="43"/>
        <v>1861</v>
      </c>
      <c r="AO160" s="118">
        <f>SUMIF('MPG Payment '!E:E,'Shayak Income '!D160,'MPG Payment '!AJ:AJ)</f>
        <v>0</v>
      </c>
      <c r="AP160" s="19">
        <f t="shared" si="44"/>
        <v>1622</v>
      </c>
      <c r="AQ160" s="119">
        <f t="shared" si="53"/>
        <v>1622</v>
      </c>
      <c r="AR160" s="91" t="s">
        <v>1144</v>
      </c>
      <c r="AS160" s="91">
        <f t="shared" si="45"/>
        <v>9600</v>
      </c>
      <c r="AT160" s="118"/>
      <c r="AU160" s="118"/>
      <c r="AV160" s="118"/>
    </row>
    <row r="161" spans="1:48" s="20" customFormat="1" x14ac:dyDescent="0.25">
      <c r="A161" s="17">
        <f>IFERROR(VLOOKUP(D161,'Monthly Deduction'!$I$3:$J$957,2,0),0)</f>
        <v>0</v>
      </c>
      <c r="B161" s="17">
        <f>IFERROR(VLOOKUP(D161,'Monthly Deduction'!$E$3:$F$957,2,0),0)</f>
        <v>0</v>
      </c>
      <c r="C161" s="17">
        <f t="shared" si="46"/>
        <v>0</v>
      </c>
      <c r="D161" s="41">
        <v>10060113</v>
      </c>
      <c r="E161" s="122" t="str">
        <f>VLOOKUP(D161,'MPG Payment '!$E$3:$G$497305,2,0)</f>
        <v>NAYA SALEMPUR</v>
      </c>
      <c r="F161" s="146">
        <f>IFERROR(_xlfn.XLOOKUP(D161,'Monthly Deduction'!$I$3:$I$957,'Monthly Deduction'!$H$3:$H$957),0)</f>
        <v>0</v>
      </c>
      <c r="G161" s="123" t="str">
        <f>VLOOKUP(D161,'MPG Payment '!$E$3:$G$333666,3,0)</f>
        <v>vlc</v>
      </c>
      <c r="H161" s="124" t="str">
        <f>VLOOKUP(D161,'MPG Payment '!$E$3:$H$333666,4,0)</f>
        <v>Indirect</v>
      </c>
      <c r="I161" s="88">
        <f>INDEX('MPG Payment '!$C:$C,MATCH('Shayak Income '!D161,'MPG Payment '!E:E,0))</f>
        <v>1006</v>
      </c>
      <c r="J161" s="88" t="str">
        <f>INDEX('MPG Payment '!$D:$D,MATCH('Shayak Income '!D161,'MPG Payment '!E:E,0))</f>
        <v>Sonvarsha</v>
      </c>
      <c r="K161" s="125" t="s">
        <v>1594</v>
      </c>
      <c r="L161" s="125">
        <v>45838</v>
      </c>
      <c r="M161" s="126">
        <f>SUMIF('MPG Payment '!$E$3:$E$344841,'Shayak Income '!D161,'MPG Payment '!$I$3:$I$344841)</f>
        <v>3454.8</v>
      </c>
      <c r="N161" s="126">
        <f>SUMIF('MPG Payment '!$E$3:$E$344841,'Shayak Income '!D161,'MPG Payment '!$J$3:$J$344841)</f>
        <v>139723.88</v>
      </c>
      <c r="O161" s="126">
        <f t="shared" si="47"/>
        <v>2591.1000000000004</v>
      </c>
      <c r="P161" s="126">
        <f t="shared" si="48"/>
        <v>3282.06</v>
      </c>
      <c r="Q161" s="126">
        <f>SUMIF('MPG Payment '!$E$3:$E$344841,'Shayak Income '!D161,'MPG Payment '!$S$3:$S$344841)</f>
        <v>0</v>
      </c>
      <c r="R161" s="126">
        <f t="shared" si="38"/>
        <v>4191.7164000000002</v>
      </c>
      <c r="S161" s="126">
        <f t="shared" si="39"/>
        <v>909.6564000000003</v>
      </c>
      <c r="T161" s="126">
        <f t="shared" si="49"/>
        <v>345.48</v>
      </c>
      <c r="U161" s="127">
        <f>((((((IF(K161="New",0,SUMIF('MPG Payment '!$E$3:$E$344841,'Shayak Income '!D161,'MPG Payment '!$AC$3:$AC$344841))))+0)+0)+0)+0)+0</f>
        <v>0</v>
      </c>
      <c r="V161" s="127">
        <f t="shared" si="50"/>
        <v>5528</v>
      </c>
      <c r="W161" s="19">
        <f t="shared" si="54"/>
        <v>0</v>
      </c>
      <c r="X161" s="19">
        <f t="shared" si="40"/>
        <v>0</v>
      </c>
      <c r="Y161" s="128">
        <f>IFERROR(VLOOKUP(D161,'Monthly Deduction'!$M$2:$N$640,2,0),0)</f>
        <v>0</v>
      </c>
      <c r="Z161" s="128">
        <v>0</v>
      </c>
      <c r="AA161" s="126">
        <f>IFERROR(VLOOKUP(D161,'Monthly Deduction'!A:B,2,0),0)</f>
        <v>0</v>
      </c>
      <c r="AB161" s="129">
        <f t="shared" si="41"/>
        <v>5528</v>
      </c>
      <c r="AC161" s="130">
        <v>0</v>
      </c>
      <c r="AD161" s="35">
        <f t="shared" si="51"/>
        <v>5528</v>
      </c>
      <c r="AE161" s="166" t="str">
        <f t="shared" si="52"/>
        <v>Release</v>
      </c>
      <c r="AF161" s="127"/>
      <c r="AG161" s="18">
        <v>0</v>
      </c>
      <c r="AH161" s="132"/>
      <c r="AI161" s="238">
        <v>0</v>
      </c>
      <c r="AJ161" s="132"/>
      <c r="AK161" s="151">
        <v>565.29999999999995</v>
      </c>
      <c r="AL161" s="154">
        <f t="shared" si="42"/>
        <v>0</v>
      </c>
      <c r="AM161" s="155"/>
      <c r="AN161" s="19">
        <f t="shared" si="43"/>
        <v>0</v>
      </c>
      <c r="AO161" s="118">
        <f>SUMIF('MPG Payment '!E:E,'Shayak Income '!D161,'MPG Payment '!AJ:AJ)</f>
        <v>0</v>
      </c>
      <c r="AP161" s="19">
        <f t="shared" si="44"/>
        <v>0</v>
      </c>
      <c r="AQ161" s="119">
        <f t="shared" si="53"/>
        <v>0</v>
      </c>
      <c r="AR161" s="91" t="s">
        <v>1144</v>
      </c>
      <c r="AS161" s="91">
        <f t="shared" si="45"/>
        <v>0</v>
      </c>
      <c r="AT161" s="118"/>
      <c r="AU161" s="118"/>
      <c r="AV161" s="118"/>
    </row>
    <row r="162" spans="1:48" s="20" customFormat="1" x14ac:dyDescent="0.25">
      <c r="A162" s="17">
        <f>IFERROR(VLOOKUP(D162,'Monthly Deduction'!$I$3:$J$957,2,0),0)</f>
        <v>81810</v>
      </c>
      <c r="B162" s="17">
        <f>IFERROR(VLOOKUP(D162,'Monthly Deduction'!$E$3:$F$957,2,0),0)</f>
        <v>6400</v>
      </c>
      <c r="C162" s="17">
        <f t="shared" si="46"/>
        <v>88210</v>
      </c>
      <c r="D162" s="41">
        <v>10060114</v>
      </c>
      <c r="E162" s="122" t="str">
        <f>VLOOKUP(D162,'MPG Payment '!$E$3:$G$497305,2,0)</f>
        <v>MANO 2</v>
      </c>
      <c r="F162" s="146">
        <f>IFERROR(_xlfn.XLOOKUP(D162,'Monthly Deduction'!$I$3:$I$957,'Monthly Deduction'!$H$3:$H$957),0)</f>
        <v>0</v>
      </c>
      <c r="G162" s="123" t="str">
        <f>VLOOKUP(D162,'MPG Payment '!$E$3:$G$333666,3,0)</f>
        <v>MPG</v>
      </c>
      <c r="H162" s="124" t="str">
        <f>VLOOKUP(D162,'MPG Payment '!$E$3:$H$333666,4,0)</f>
        <v>Direct</v>
      </c>
      <c r="I162" s="88">
        <f>INDEX('MPG Payment '!$C:$C,MATCH('Shayak Income '!D162,'MPG Payment '!E:E,0))</f>
        <v>1006</v>
      </c>
      <c r="J162" s="88" t="str">
        <f>INDEX('MPG Payment '!$D:$D,MATCH('Shayak Income '!D162,'MPG Payment '!E:E,0))</f>
        <v>Sonvarsha</v>
      </c>
      <c r="K162" s="125" t="s">
        <v>1594</v>
      </c>
      <c r="L162" s="125">
        <v>45856</v>
      </c>
      <c r="M162" s="126">
        <f>SUMIF('MPG Payment '!$E$3:$E$344841,'Shayak Income '!D162,'MPG Payment '!$I$3:$I$344841)</f>
        <v>947.69999999999993</v>
      </c>
      <c r="N162" s="126">
        <f>SUMIF('MPG Payment '!$E$3:$E$344841,'Shayak Income '!D162,'MPG Payment '!$J$3:$J$344841)</f>
        <v>43331.5</v>
      </c>
      <c r="O162" s="126">
        <f t="shared" si="47"/>
        <v>710.77499999999998</v>
      </c>
      <c r="P162" s="126">
        <f t="shared" si="48"/>
        <v>900.31499999999994</v>
      </c>
      <c r="Q162" s="126">
        <f>SUMIF('MPG Payment '!$E$3:$E$344841,'Shayak Income '!D162,'MPG Payment '!$S$3:$S$344841)</f>
        <v>0</v>
      </c>
      <c r="R162" s="126">
        <f t="shared" si="38"/>
        <v>1299.9449999999999</v>
      </c>
      <c r="S162" s="126">
        <f t="shared" si="39"/>
        <v>399.63</v>
      </c>
      <c r="T162" s="126">
        <f t="shared" si="49"/>
        <v>94.77</v>
      </c>
      <c r="U162" s="127">
        <f>((((((IF(K162="New",0,SUMIF('MPG Payment '!$E$3:$E$344841,'Shayak Income '!D162,'MPG Payment '!$AC$3:$AC$344841))))+0)+0)+0)+0)+-189</f>
        <v>1516.4054907591449</v>
      </c>
      <c r="V162" s="127">
        <f t="shared" si="50"/>
        <v>0</v>
      </c>
      <c r="W162" s="19">
        <v>0</v>
      </c>
      <c r="X162" s="19">
        <v>0</v>
      </c>
      <c r="Y162" s="128">
        <v>0</v>
      </c>
      <c r="Z162" s="128">
        <v>0</v>
      </c>
      <c r="AA162" s="126">
        <v>0</v>
      </c>
      <c r="AB162" s="129">
        <f t="shared" si="41"/>
        <v>0</v>
      </c>
      <c r="AC162" s="130">
        <f>AB162</f>
        <v>0</v>
      </c>
      <c r="AD162" s="35">
        <f t="shared" si="51"/>
        <v>0</v>
      </c>
      <c r="AE162" s="166" t="str">
        <f t="shared" si="52"/>
        <v>Release</v>
      </c>
      <c r="AF162" s="127"/>
      <c r="AG162" s="127">
        <v>0</v>
      </c>
      <c r="AH162" s="120" t="s">
        <v>1685</v>
      </c>
      <c r="AI162" s="238">
        <v>3593</v>
      </c>
      <c r="AJ162" s="132"/>
      <c r="AK162" s="151">
        <v>100.10000000000001</v>
      </c>
      <c r="AL162" s="154">
        <f t="shared" si="42"/>
        <v>0</v>
      </c>
      <c r="AM162" s="155"/>
      <c r="AN162" s="19">
        <f t="shared" si="43"/>
        <v>1861</v>
      </c>
      <c r="AO162" s="118">
        <f>SUMIF('MPG Payment '!E:E,'Shayak Income '!D162,'MPG Payment '!AJ:AJ)</f>
        <v>0</v>
      </c>
      <c r="AP162" s="19">
        <f t="shared" si="44"/>
        <v>0</v>
      </c>
      <c r="AQ162" s="119">
        <f t="shared" si="53"/>
        <v>0</v>
      </c>
      <c r="AR162" s="91" t="s">
        <v>1144</v>
      </c>
      <c r="AS162" s="91">
        <f t="shared" si="45"/>
        <v>6400</v>
      </c>
      <c r="AT162" s="118"/>
      <c r="AU162" s="118"/>
      <c r="AV162" s="118"/>
    </row>
    <row r="163" spans="1:48" s="20" customFormat="1" x14ac:dyDescent="0.25">
      <c r="A163" s="17">
        <f>IFERROR(VLOOKUP(D163,'Monthly Deduction'!$I$3:$J$957,2,0),0)</f>
        <v>0</v>
      </c>
      <c r="B163" s="17">
        <f>IFERROR(VLOOKUP(D163,'Monthly Deduction'!$E$3:$F$957,2,0),0)</f>
        <v>0</v>
      </c>
      <c r="C163" s="17">
        <f t="shared" si="46"/>
        <v>0</v>
      </c>
      <c r="D163" s="41">
        <v>10070002</v>
      </c>
      <c r="E163" s="122" t="str">
        <f>VLOOKUP(D163,'MPG Payment '!$E$3:$G$497305,2,0)</f>
        <v>Gomukh ID Araria</v>
      </c>
      <c r="F163" s="146">
        <f>IFERROR(_xlfn.XLOOKUP(D163,'Monthly Deduction'!$I$3:$I$957,'Monthly Deduction'!$H$3:$H$957),0)</f>
        <v>0</v>
      </c>
      <c r="G163" s="123" t="str">
        <f>VLOOKUP(D163,'MPG Payment '!$E$3:$G$333666,3,0)</f>
        <v>vlc</v>
      </c>
      <c r="H163" s="124" t="str">
        <f>VLOOKUP(D163,'MPG Payment '!$E$3:$H$333666,4,0)</f>
        <v>Indirect</v>
      </c>
      <c r="I163" s="88">
        <f>INDEX('MPG Payment '!$C:$C,MATCH('Shayak Income '!D163,'MPG Payment '!E:E,0))</f>
        <v>1007</v>
      </c>
      <c r="J163" s="88" t="str">
        <f>INDEX('MPG Payment '!$D:$D,MATCH('Shayak Income '!D163,'MPG Payment '!E:E,0))</f>
        <v>Araria</v>
      </c>
      <c r="K163" s="125" t="s">
        <v>1594</v>
      </c>
      <c r="L163" s="125">
        <v>43753</v>
      </c>
      <c r="M163" s="126">
        <f>SUMIF('MPG Payment '!$E$3:$E$344841,'Shayak Income '!D163,'MPG Payment '!$I$3:$I$344841)</f>
        <v>18369.3</v>
      </c>
      <c r="N163" s="126">
        <f>SUMIF('MPG Payment '!$E$3:$E$344841,'Shayak Income '!D163,'MPG Payment '!$J$3:$J$344841)</f>
        <v>733459.77</v>
      </c>
      <c r="O163" s="126">
        <f t="shared" si="47"/>
        <v>13776.974999999999</v>
      </c>
      <c r="P163" s="126">
        <f t="shared" si="48"/>
        <v>17450.834999999999</v>
      </c>
      <c r="Q163" s="126">
        <f>SUMIF('MPG Payment '!$E$3:$E$344841,'Shayak Income '!D163,'MPG Payment '!$S$3:$S$344841)</f>
        <v>0</v>
      </c>
      <c r="R163" s="126">
        <f t="shared" si="38"/>
        <v>22003.793099999999</v>
      </c>
      <c r="S163" s="126">
        <f t="shared" si="39"/>
        <v>4552.9580999999998</v>
      </c>
      <c r="T163" s="126">
        <f t="shared" si="49"/>
        <v>1836.93</v>
      </c>
      <c r="U163" s="127">
        <f>((((((IF(K163="New",0,SUMIF('MPG Payment '!$E$3:$E$344841,'Shayak Income '!D163,'MPG Payment '!$AC$3:$AC$344841))))+0)+0)+0)+0)+0</f>
        <v>0</v>
      </c>
      <c r="V163" s="127">
        <f t="shared" si="50"/>
        <v>29391</v>
      </c>
      <c r="W163" s="19">
        <f t="shared" si="54"/>
        <v>0</v>
      </c>
      <c r="X163" s="19">
        <f t="shared" si="40"/>
        <v>0</v>
      </c>
      <c r="Y163" s="128">
        <f>IFERROR(VLOOKUP(D163,'Monthly Deduction'!$M$2:$N$640,2,0),0)</f>
        <v>0</v>
      </c>
      <c r="Z163" s="128">
        <v>0</v>
      </c>
      <c r="AA163" s="126">
        <f>IFERROR(VLOOKUP(D163,'Monthly Deduction'!A:B,2,0),0)</f>
        <v>0</v>
      </c>
      <c r="AB163" s="129">
        <f t="shared" si="41"/>
        <v>29391</v>
      </c>
      <c r="AC163" s="130">
        <v>0</v>
      </c>
      <c r="AD163" s="35">
        <f t="shared" si="51"/>
        <v>29391</v>
      </c>
      <c r="AE163" s="166" t="str">
        <f t="shared" si="52"/>
        <v>Release</v>
      </c>
      <c r="AF163" s="127"/>
      <c r="AG163" s="18">
        <v>0</v>
      </c>
      <c r="AH163" s="120"/>
      <c r="AI163" s="238">
        <v>0</v>
      </c>
      <c r="AJ163" s="132"/>
      <c r="AK163" s="151">
        <v>4958.3999999999996</v>
      </c>
      <c r="AL163" s="154">
        <f t="shared" si="42"/>
        <v>0</v>
      </c>
      <c r="AM163" s="155"/>
      <c r="AN163" s="19">
        <f t="shared" si="43"/>
        <v>0</v>
      </c>
      <c r="AO163" s="118">
        <f>SUMIF('MPG Payment '!E:E,'Shayak Income '!D163,'MPG Payment '!AJ:AJ)</f>
        <v>0</v>
      </c>
      <c r="AP163" s="19">
        <f t="shared" si="44"/>
        <v>0</v>
      </c>
      <c r="AQ163" s="119">
        <f t="shared" si="53"/>
        <v>0</v>
      </c>
      <c r="AR163" s="91"/>
      <c r="AS163" s="91">
        <f t="shared" si="45"/>
        <v>0</v>
      </c>
      <c r="AT163" s="118"/>
      <c r="AU163" s="118"/>
      <c r="AV163" s="118"/>
    </row>
    <row r="164" spans="1:48" s="20" customFormat="1" x14ac:dyDescent="0.25">
      <c r="A164" s="17">
        <f>IFERROR(VLOOKUP(D164,'Monthly Deduction'!$I$3:$J$957,2,0),0)</f>
        <v>0</v>
      </c>
      <c r="B164" s="17">
        <f>IFERROR(VLOOKUP(D164,'Monthly Deduction'!$E$3:$F$957,2,0),0)</f>
        <v>0</v>
      </c>
      <c r="C164" s="17">
        <f t="shared" si="46"/>
        <v>0</v>
      </c>
      <c r="D164" s="41">
        <v>10070003</v>
      </c>
      <c r="E164" s="122" t="str">
        <f>VLOOKUP(D164,'MPG Payment '!$E$3:$G$497305,2,0)</f>
        <v>Gomukh ID Chaidha</v>
      </c>
      <c r="F164" s="146">
        <f>IFERROR(_xlfn.XLOOKUP(D164,'Monthly Deduction'!$I$3:$I$957,'Monthly Deduction'!$H$3:$H$957),0)</f>
        <v>0</v>
      </c>
      <c r="G164" s="123" t="str">
        <f>VLOOKUP(D164,'MPG Payment '!$E$3:$G$333666,3,0)</f>
        <v>vlc</v>
      </c>
      <c r="H164" s="124" t="str">
        <f>VLOOKUP(D164,'MPG Payment '!$E$3:$H$333666,4,0)</f>
        <v>Indirect</v>
      </c>
      <c r="I164" s="88">
        <f>INDEX('MPG Payment '!$C:$C,MATCH('Shayak Income '!D164,'MPG Payment '!E:E,0))</f>
        <v>1007</v>
      </c>
      <c r="J164" s="88" t="str">
        <f>INDEX('MPG Payment '!$D:$D,MATCH('Shayak Income '!D164,'MPG Payment '!E:E,0))</f>
        <v>Araria</v>
      </c>
      <c r="K164" s="125" t="s">
        <v>1594</v>
      </c>
      <c r="L164" s="125">
        <v>44162</v>
      </c>
      <c r="M164" s="126">
        <f>SUMIF('MPG Payment '!$E$3:$E$344841,'Shayak Income '!D164,'MPG Payment '!$I$3:$I$344841)</f>
        <v>3467</v>
      </c>
      <c r="N164" s="126">
        <f>SUMIF('MPG Payment '!$E$3:$E$344841,'Shayak Income '!D164,'MPG Payment '!$J$3:$J$344841)</f>
        <v>121759.16000000002</v>
      </c>
      <c r="O164" s="126">
        <f t="shared" si="47"/>
        <v>2600.25</v>
      </c>
      <c r="P164" s="126">
        <f t="shared" si="48"/>
        <v>3293.6499999999996</v>
      </c>
      <c r="Q164" s="126">
        <f>SUMIF('MPG Payment '!$E$3:$E$344841,'Shayak Income '!D164,'MPG Payment '!$S$3:$S$344841)</f>
        <v>0</v>
      </c>
      <c r="R164" s="126">
        <f t="shared" si="38"/>
        <v>3652.7748000000006</v>
      </c>
      <c r="S164" s="126">
        <f t="shared" si="39"/>
        <v>359.12480000000096</v>
      </c>
      <c r="T164" s="126">
        <f t="shared" si="49"/>
        <v>346.70000000000005</v>
      </c>
      <c r="U164" s="127">
        <f>((((((IF(K164="New",0,SUMIF('MPG Payment '!$E$3:$E$344841,'Shayak Income '!D164,'MPG Payment '!$AC$3:$AC$344841))))+0)+0)+0)+0)+0</f>
        <v>0</v>
      </c>
      <c r="V164" s="127">
        <f t="shared" si="50"/>
        <v>5547</v>
      </c>
      <c r="W164" s="19">
        <f t="shared" si="54"/>
        <v>0</v>
      </c>
      <c r="X164" s="19">
        <f t="shared" si="40"/>
        <v>0</v>
      </c>
      <c r="Y164" s="128">
        <f>IFERROR(VLOOKUP(D164,'Monthly Deduction'!$M$2:$N$640,2,0),0)</f>
        <v>0</v>
      </c>
      <c r="Z164" s="128">
        <v>0</v>
      </c>
      <c r="AA164" s="126">
        <f>IFERROR(VLOOKUP(D164,'Monthly Deduction'!A:B,2,0),0)</f>
        <v>0</v>
      </c>
      <c r="AB164" s="129">
        <f t="shared" si="41"/>
        <v>5547</v>
      </c>
      <c r="AC164" s="130">
        <v>0</v>
      </c>
      <c r="AD164" s="35">
        <f t="shared" si="51"/>
        <v>5547</v>
      </c>
      <c r="AE164" s="166" t="str">
        <f t="shared" si="52"/>
        <v>Release</v>
      </c>
      <c r="AF164" s="127"/>
      <c r="AG164" s="127">
        <v>0</v>
      </c>
      <c r="AH164" s="132"/>
      <c r="AI164" s="238">
        <v>0</v>
      </c>
      <c r="AJ164" s="132"/>
      <c r="AK164" s="151">
        <v>480.5</v>
      </c>
      <c r="AL164" s="154">
        <f t="shared" si="42"/>
        <v>0</v>
      </c>
      <c r="AM164" s="155"/>
      <c r="AN164" s="19">
        <f t="shared" si="43"/>
        <v>0</v>
      </c>
      <c r="AO164" s="118">
        <f>SUMIF('MPG Payment '!E:E,'Shayak Income '!D164,'MPG Payment '!AJ:AJ)</f>
        <v>0</v>
      </c>
      <c r="AP164" s="19">
        <f t="shared" si="44"/>
        <v>0</v>
      </c>
      <c r="AQ164" s="119">
        <f t="shared" si="53"/>
        <v>0</v>
      </c>
      <c r="AR164" s="91"/>
      <c r="AS164" s="91">
        <f t="shared" si="45"/>
        <v>0</v>
      </c>
      <c r="AT164" s="118"/>
      <c r="AU164" s="118"/>
      <c r="AV164" s="118"/>
    </row>
    <row r="165" spans="1:48" s="20" customFormat="1" x14ac:dyDescent="0.25">
      <c r="A165" s="17">
        <f>IFERROR(VLOOKUP(D165,'Monthly Deduction'!$I$3:$J$957,2,0),0)</f>
        <v>33996.166610008688</v>
      </c>
      <c r="B165" s="17">
        <f>IFERROR(VLOOKUP(D165,'Monthly Deduction'!$E$3:$F$957,2,0),0)</f>
        <v>13625.346799999999</v>
      </c>
      <c r="C165" s="17">
        <f t="shared" si="46"/>
        <v>47621.513410008687</v>
      </c>
      <c r="D165" s="41">
        <v>10070004</v>
      </c>
      <c r="E165" s="122" t="str">
        <f>VLOOKUP(D165,'MPG Payment '!$E$3:$G$497305,2,0)</f>
        <v>Gomukh ID Pakrail</v>
      </c>
      <c r="F165" s="146">
        <f>IFERROR(_xlfn.XLOOKUP(D165,'Monthly Deduction'!$I$3:$I$957,'Monthly Deduction'!$H$3:$H$957),0)</f>
        <v>0</v>
      </c>
      <c r="G165" s="123" t="str">
        <f>VLOOKUP(D165,'MPG Payment '!$E$3:$G$333666,3,0)</f>
        <v>vlc</v>
      </c>
      <c r="H165" s="124" t="str">
        <f>VLOOKUP(D165,'MPG Payment '!$E$3:$H$333666,4,0)</f>
        <v>Indirect</v>
      </c>
      <c r="I165" s="88">
        <f>INDEX('MPG Payment '!$C:$C,MATCH('Shayak Income '!D165,'MPG Payment '!E:E,0))</f>
        <v>1056</v>
      </c>
      <c r="J165" s="88" t="str">
        <f>INDEX('MPG Payment '!$D:$D,MATCH('Shayak Income '!D165,'MPG Payment '!E:E,0))</f>
        <v>Chautham</v>
      </c>
      <c r="K165" s="125" t="s">
        <v>1594</v>
      </c>
      <c r="L165" s="125">
        <v>44257</v>
      </c>
      <c r="M165" s="126">
        <f>SUMIF('MPG Payment '!$E$3:$E$344841,'Shayak Income '!D165,'MPG Payment '!$I$3:$I$344841)</f>
        <v>382.88</v>
      </c>
      <c r="N165" s="126">
        <f>SUMIF('MPG Payment '!$E$3:$E$344841,'Shayak Income '!D165,'MPG Payment '!$J$3:$J$344841)</f>
        <v>12945.61</v>
      </c>
      <c r="O165" s="126">
        <f t="shared" si="47"/>
        <v>287.15999999999997</v>
      </c>
      <c r="P165" s="126">
        <f t="shared" si="48"/>
        <v>363.73599999999999</v>
      </c>
      <c r="Q165" s="126">
        <f>SUMIF('MPG Payment '!$E$3:$E$344841,'Shayak Income '!D165,'MPG Payment '!$S$3:$S$344841)</f>
        <v>0</v>
      </c>
      <c r="R165" s="126">
        <f t="shared" si="38"/>
        <v>388.36829999999998</v>
      </c>
      <c r="S165" s="126">
        <f t="shared" si="39"/>
        <v>24.632299999999987</v>
      </c>
      <c r="T165" s="126">
        <f t="shared" si="49"/>
        <v>38.288000000000004</v>
      </c>
      <c r="U165" s="127">
        <f>((((((IF(K165="New",0,SUMIF('MPG Payment '!$E$3:$E$344841,'Shayak Income '!D165,'MPG Payment '!$AC$3:$AC$344841))))+0)+0)+0)+0)+-533</f>
        <v>612.22925145055251</v>
      </c>
      <c r="V165" s="127">
        <f t="shared" si="50"/>
        <v>0</v>
      </c>
      <c r="W165" s="19">
        <v>0</v>
      </c>
      <c r="X165" s="19">
        <v>0</v>
      </c>
      <c r="Y165" s="128">
        <v>0</v>
      </c>
      <c r="Z165" s="128">
        <v>0</v>
      </c>
      <c r="AA165" s="126">
        <v>0</v>
      </c>
      <c r="AB165" s="129">
        <f t="shared" si="41"/>
        <v>0</v>
      </c>
      <c r="AC165" s="130">
        <f>AB165</f>
        <v>0</v>
      </c>
      <c r="AD165" s="35">
        <f t="shared" si="51"/>
        <v>0</v>
      </c>
      <c r="AE165" s="166" t="str">
        <f t="shared" si="52"/>
        <v>Release</v>
      </c>
      <c r="AF165" s="127"/>
      <c r="AG165" s="18">
        <v>0</v>
      </c>
      <c r="AH165" s="132" t="s">
        <v>1597</v>
      </c>
      <c r="AI165" s="238">
        <v>0</v>
      </c>
      <c r="AJ165" s="132"/>
      <c r="AK165" s="151">
        <v>0</v>
      </c>
      <c r="AL165" s="154">
        <f t="shared" si="42"/>
        <v>0</v>
      </c>
      <c r="AM165" s="155"/>
      <c r="AN165" s="19">
        <f t="shared" si="43"/>
        <v>1861</v>
      </c>
      <c r="AO165" s="118">
        <f>SUMIF('MPG Payment '!E:E,'Shayak Income '!D165,'MPG Payment '!AJ:AJ)</f>
        <v>0</v>
      </c>
      <c r="AP165" s="19">
        <f t="shared" si="44"/>
        <v>0</v>
      </c>
      <c r="AQ165" s="119">
        <f t="shared" si="53"/>
        <v>0</v>
      </c>
      <c r="AR165" s="91" t="s">
        <v>1144</v>
      </c>
      <c r="AS165" s="91">
        <f t="shared" si="45"/>
        <v>13625.346799999999</v>
      </c>
      <c r="AT165" s="118"/>
      <c r="AU165" s="118"/>
      <c r="AV165" s="118"/>
    </row>
    <row r="166" spans="1:48" s="20" customFormat="1" x14ac:dyDescent="0.25">
      <c r="A166" s="17">
        <f>IFERROR(VLOOKUP(D166,'Monthly Deduction'!$I$3:$J$957,2,0),0)</f>
        <v>0</v>
      </c>
      <c r="B166" s="17">
        <f>IFERROR(VLOOKUP(D166,'Monthly Deduction'!$E$3:$F$957,2,0),0)</f>
        <v>0</v>
      </c>
      <c r="C166" s="17">
        <f t="shared" si="46"/>
        <v>0</v>
      </c>
      <c r="D166" s="41">
        <v>10070008</v>
      </c>
      <c r="E166" s="122" t="str">
        <f>VLOOKUP(D166,'MPG Payment '!$E$3:$G$497305,2,0)</f>
        <v>Gomukh ID Pipra</v>
      </c>
      <c r="F166" s="146">
        <f>IFERROR(_xlfn.XLOOKUP(D166,'Monthly Deduction'!$I$3:$I$957,'Monthly Deduction'!$H$3:$H$957),0)</f>
        <v>0</v>
      </c>
      <c r="G166" s="123" t="str">
        <f>VLOOKUP(D166,'MPG Payment '!$E$3:$G$333666,3,0)</f>
        <v>vlc</v>
      </c>
      <c r="H166" s="124" t="str">
        <f>VLOOKUP(D166,'MPG Payment '!$E$3:$H$333666,4,0)</f>
        <v>Indirect</v>
      </c>
      <c r="I166" s="88">
        <f>INDEX('MPG Payment '!$C:$C,MATCH('Shayak Income '!D166,'MPG Payment '!E:E,0))</f>
        <v>1056</v>
      </c>
      <c r="J166" s="88" t="str">
        <f>INDEX('MPG Payment '!$D:$D,MATCH('Shayak Income '!D166,'MPG Payment '!E:E,0))</f>
        <v>Chautham</v>
      </c>
      <c r="K166" s="125" t="s">
        <v>1594</v>
      </c>
      <c r="L166" s="125">
        <v>44816</v>
      </c>
      <c r="M166" s="126">
        <f>SUMIF('MPG Payment '!$E$3:$E$344841,'Shayak Income '!D166,'MPG Payment '!$I$3:$I$344841)</f>
        <v>1481.38</v>
      </c>
      <c r="N166" s="126">
        <f>SUMIF('MPG Payment '!$E$3:$E$344841,'Shayak Income '!D166,'MPG Payment '!$J$3:$J$344841)</f>
        <v>52778.80999999999</v>
      </c>
      <c r="O166" s="126">
        <f t="shared" si="47"/>
        <v>1111.0350000000001</v>
      </c>
      <c r="P166" s="126">
        <f t="shared" si="48"/>
        <v>1407.3110000000001</v>
      </c>
      <c r="Q166" s="126">
        <f>SUMIF('MPG Payment '!$E$3:$E$344841,'Shayak Income '!D166,'MPG Payment '!$S$3:$S$344841)</f>
        <v>0</v>
      </c>
      <c r="R166" s="126">
        <f t="shared" si="38"/>
        <v>1583.3642999999997</v>
      </c>
      <c r="S166" s="126">
        <f t="shared" si="39"/>
        <v>176.05329999999958</v>
      </c>
      <c r="T166" s="126">
        <f t="shared" si="49"/>
        <v>148.13800000000001</v>
      </c>
      <c r="U166" s="127">
        <f>((((((IF(K166="New",0,SUMIF('MPG Payment '!$E$3:$E$344841,'Shayak Income '!D166,'MPG Payment '!$AC$3:$AC$344841))))+0)+0)+0)+0)+0</f>
        <v>937.44231036951055</v>
      </c>
      <c r="V166" s="127">
        <f t="shared" si="50"/>
        <v>1433</v>
      </c>
      <c r="W166" s="19">
        <f t="shared" si="54"/>
        <v>0</v>
      </c>
      <c r="X166" s="19">
        <f t="shared" si="40"/>
        <v>0</v>
      </c>
      <c r="Y166" s="128">
        <f>IFERROR(VLOOKUP(D166,'Monthly Deduction'!$M$2:$N$640,2,0),0)</f>
        <v>0</v>
      </c>
      <c r="Z166" s="128">
        <v>0</v>
      </c>
      <c r="AA166" s="126">
        <f>IFERROR(VLOOKUP(D166,'Monthly Deduction'!A:B,2,0),0)</f>
        <v>679.32854097868517</v>
      </c>
      <c r="AB166" s="129">
        <f t="shared" si="41"/>
        <v>754</v>
      </c>
      <c r="AC166" s="130">
        <v>0</v>
      </c>
      <c r="AD166" s="35">
        <f t="shared" si="51"/>
        <v>754</v>
      </c>
      <c r="AE166" s="166" t="str">
        <f t="shared" si="52"/>
        <v>Release</v>
      </c>
      <c r="AF166" s="127"/>
      <c r="AG166" s="18">
        <v>0</v>
      </c>
      <c r="AH166" s="120"/>
      <c r="AI166" s="238">
        <v>0</v>
      </c>
      <c r="AJ166" s="132"/>
      <c r="AK166" s="151">
        <v>493.84</v>
      </c>
      <c r="AL166" s="154">
        <f t="shared" si="42"/>
        <v>0</v>
      </c>
      <c r="AM166" s="155"/>
      <c r="AN166" s="19">
        <f t="shared" si="43"/>
        <v>0</v>
      </c>
      <c r="AO166" s="118">
        <f>SUMIF('MPG Payment '!E:E,'Shayak Income '!D166,'MPG Payment '!AJ:AJ)</f>
        <v>0</v>
      </c>
      <c r="AP166" s="19">
        <f t="shared" si="44"/>
        <v>0</v>
      </c>
      <c r="AQ166" s="119">
        <f t="shared" si="53"/>
        <v>0</v>
      </c>
      <c r="AR166" s="91" t="s">
        <v>1144</v>
      </c>
      <c r="AS166" s="91">
        <f t="shared" si="45"/>
        <v>0</v>
      </c>
      <c r="AT166" s="118"/>
      <c r="AU166" s="118"/>
      <c r="AV166" s="118"/>
    </row>
    <row r="167" spans="1:48" s="20" customFormat="1" x14ac:dyDescent="0.25">
      <c r="A167" s="17">
        <f>IFERROR(VLOOKUP(D167,'Monthly Deduction'!$I$3:$J$957,2,0),0)</f>
        <v>41876.352906864005</v>
      </c>
      <c r="B167" s="17">
        <f>IFERROR(VLOOKUP(D167,'Monthly Deduction'!$E$3:$F$957,2,0),0)</f>
        <v>14723.8452</v>
      </c>
      <c r="C167" s="17">
        <f t="shared" si="46"/>
        <v>56600.198106864002</v>
      </c>
      <c r="D167" s="41">
        <v>10070013</v>
      </c>
      <c r="E167" s="122" t="str">
        <f>VLOOKUP(D167,'MPG Payment '!$E$3:$G$497305,2,0)</f>
        <v xml:space="preserve">Gomukh Fatepur                                                                                      </v>
      </c>
      <c r="F167" s="146">
        <f>IFERROR(_xlfn.XLOOKUP(D167,'Monthly Deduction'!$I$3:$I$957,'Monthly Deduction'!$H$3:$H$957),0)</f>
        <v>0</v>
      </c>
      <c r="G167" s="123" t="str">
        <f>VLOOKUP(D167,'MPG Payment '!$E$3:$G$333666,3,0)</f>
        <v>MPG</v>
      </c>
      <c r="H167" s="124" t="str">
        <f>VLOOKUP(D167,'MPG Payment '!$E$3:$H$333666,4,0)</f>
        <v>Direct</v>
      </c>
      <c r="I167" s="88">
        <f>INDEX('MPG Payment '!$C:$C,MATCH('Shayak Income '!D167,'MPG Payment '!E:E,0))</f>
        <v>1007</v>
      </c>
      <c r="J167" s="88" t="str">
        <f>INDEX('MPG Payment '!$D:$D,MATCH('Shayak Income '!D167,'MPG Payment '!E:E,0))</f>
        <v>Araria</v>
      </c>
      <c r="K167" s="125" t="s">
        <v>1594</v>
      </c>
      <c r="L167" s="125">
        <v>45083</v>
      </c>
      <c r="M167" s="126">
        <f>SUMIF('MPG Payment '!$E$3:$E$344841,'Shayak Income '!D167,'MPG Payment '!$I$3:$I$344841)</f>
        <v>867.40000000000009</v>
      </c>
      <c r="N167" s="126">
        <f>SUMIF('MPG Payment '!$E$3:$E$344841,'Shayak Income '!D167,'MPG Payment '!$J$3:$J$344841)</f>
        <v>35528.210000000006</v>
      </c>
      <c r="O167" s="126">
        <f t="shared" si="47"/>
        <v>650.55000000000007</v>
      </c>
      <c r="P167" s="126">
        <f t="shared" si="48"/>
        <v>824.03000000000009</v>
      </c>
      <c r="Q167" s="126">
        <f>SUMIF('MPG Payment '!$E$3:$E$344841,'Shayak Income '!D167,'MPG Payment '!$S$3:$S$344841)</f>
        <v>508.89</v>
      </c>
      <c r="R167" s="126">
        <f t="shared" si="38"/>
        <v>1065.8463000000002</v>
      </c>
      <c r="S167" s="126">
        <f t="shared" si="39"/>
        <v>241.81630000000007</v>
      </c>
      <c r="T167" s="126">
        <f t="shared" si="49"/>
        <v>86.740000000000009</v>
      </c>
      <c r="U167" s="127">
        <f>((((((IF(K167="New",0,SUMIF('MPG Payment '!$E$3:$E$344841,'Shayak Income '!D167,'MPG Payment '!$AC$3:$AC$344841))))+0)+0)+0)+0)+0</f>
        <v>1583.9506864713453</v>
      </c>
      <c r="V167" s="127">
        <f t="shared" si="50"/>
        <v>313</v>
      </c>
      <c r="W167" s="19">
        <v>313</v>
      </c>
      <c r="X167" s="19">
        <v>0</v>
      </c>
      <c r="Y167" s="128">
        <v>0</v>
      </c>
      <c r="Z167" s="128">
        <v>0</v>
      </c>
      <c r="AA167" s="126">
        <v>0</v>
      </c>
      <c r="AB167" s="129">
        <f t="shared" si="41"/>
        <v>0</v>
      </c>
      <c r="AC167" s="130">
        <v>0</v>
      </c>
      <c r="AD167" s="35">
        <f t="shared" si="51"/>
        <v>0</v>
      </c>
      <c r="AE167" s="166" t="str">
        <f t="shared" si="52"/>
        <v>Release</v>
      </c>
      <c r="AF167" s="127"/>
      <c r="AG167" s="18">
        <v>0</v>
      </c>
      <c r="AH167" s="120"/>
      <c r="AI167" s="238">
        <v>0</v>
      </c>
      <c r="AJ167" s="132"/>
      <c r="AK167" s="151">
        <v>258.09999999999997</v>
      </c>
      <c r="AL167" s="154">
        <f t="shared" si="42"/>
        <v>0</v>
      </c>
      <c r="AM167" s="155"/>
      <c r="AN167" s="19">
        <f t="shared" si="43"/>
        <v>1861</v>
      </c>
      <c r="AO167" s="118">
        <f>SUMIF('MPG Payment '!E:E,'Shayak Income '!D167,'MPG Payment '!AJ:AJ)</f>
        <v>0</v>
      </c>
      <c r="AP167" s="19">
        <f t="shared" si="44"/>
        <v>313</v>
      </c>
      <c r="AQ167" s="119">
        <f t="shared" si="53"/>
        <v>313</v>
      </c>
      <c r="AR167" s="91" t="s">
        <v>1144</v>
      </c>
      <c r="AS167" s="91">
        <f t="shared" si="45"/>
        <v>14723.8452</v>
      </c>
      <c r="AT167" s="118"/>
      <c r="AU167" s="118"/>
      <c r="AV167" s="118"/>
    </row>
    <row r="168" spans="1:48" s="20" customFormat="1" x14ac:dyDescent="0.25">
      <c r="A168" s="17">
        <f>IFERROR(VLOOKUP(D168,'Monthly Deduction'!$I$3:$J$957,2,0),0)</f>
        <v>63836</v>
      </c>
      <c r="B168" s="17">
        <f>IFERROR(VLOOKUP(D168,'Monthly Deduction'!$E$3:$F$957,2,0),0)</f>
        <v>0</v>
      </c>
      <c r="C168" s="17">
        <f t="shared" si="46"/>
        <v>63836</v>
      </c>
      <c r="D168" s="41">
        <v>10070016</v>
      </c>
      <c r="E168" s="122" t="str">
        <f>VLOOKUP(D168,'MPG Payment '!$E$3:$G$497305,2,0)</f>
        <v>Gomukh Gauchhari</v>
      </c>
      <c r="F168" s="146">
        <f>IFERROR(_xlfn.XLOOKUP(D168,'Monthly Deduction'!$I$3:$I$957,'Monthly Deduction'!$H$3:$H$957),0)</f>
        <v>0</v>
      </c>
      <c r="G168" s="123" t="str">
        <f>VLOOKUP(D168,'MPG Payment '!$E$3:$G$333666,3,0)</f>
        <v>MPG</v>
      </c>
      <c r="H168" s="124" t="str">
        <f>VLOOKUP(D168,'MPG Payment '!$E$3:$H$333666,4,0)</f>
        <v>Direct</v>
      </c>
      <c r="I168" s="88">
        <f>INDEX('MPG Payment '!$C:$C,MATCH('Shayak Income '!D168,'MPG Payment '!E:E,0))</f>
        <v>1007</v>
      </c>
      <c r="J168" s="88" t="str">
        <f>INDEX('MPG Payment '!$D:$D,MATCH('Shayak Income '!D168,'MPG Payment '!E:E,0))</f>
        <v>Araria</v>
      </c>
      <c r="K168" s="125" t="s">
        <v>1594</v>
      </c>
      <c r="L168" s="125">
        <v>45103</v>
      </c>
      <c r="M168" s="126">
        <f>SUMIF('MPG Payment '!$E$3:$E$344841,'Shayak Income '!D168,'MPG Payment '!$I$3:$I$344841)</f>
        <v>851.3</v>
      </c>
      <c r="N168" s="126">
        <f>SUMIF('MPG Payment '!$E$3:$E$344841,'Shayak Income '!D168,'MPG Payment '!$J$3:$J$344841)</f>
        <v>35024.49</v>
      </c>
      <c r="O168" s="126">
        <f t="shared" si="47"/>
        <v>638.47499999999991</v>
      </c>
      <c r="P168" s="126">
        <f t="shared" si="48"/>
        <v>808.7349999999999</v>
      </c>
      <c r="Q168" s="126">
        <f>SUMIF('MPG Payment '!$E$3:$E$344841,'Shayak Income '!D168,'MPG Payment '!$S$3:$S$344841)</f>
        <v>202.76999999999998</v>
      </c>
      <c r="R168" s="126">
        <f t="shared" si="38"/>
        <v>1050.7347</v>
      </c>
      <c r="S168" s="126">
        <f t="shared" si="39"/>
        <v>241.99970000000008</v>
      </c>
      <c r="T168" s="126">
        <f t="shared" si="49"/>
        <v>85.13</v>
      </c>
      <c r="U168" s="127">
        <f>((((((IF(K168="New",0,SUMIF('MPG Payment '!$E$3:$E$344841,'Shayak Income '!D168,'MPG Payment '!$AC$3:$AC$344841))))+0)+0)+0)+0)+-46</f>
        <v>1564.7484190384155</v>
      </c>
      <c r="V168" s="127">
        <f t="shared" si="50"/>
        <v>0</v>
      </c>
      <c r="W168" s="19">
        <v>0</v>
      </c>
      <c r="X168" s="19">
        <v>0</v>
      </c>
      <c r="Y168" s="128">
        <v>0</v>
      </c>
      <c r="Z168" s="128">
        <v>0</v>
      </c>
      <c r="AA168" s="126">
        <v>0</v>
      </c>
      <c r="AB168" s="129">
        <f t="shared" si="41"/>
        <v>0</v>
      </c>
      <c r="AC168" s="130">
        <v>0</v>
      </c>
      <c r="AD168" s="35">
        <f t="shared" si="51"/>
        <v>0</v>
      </c>
      <c r="AE168" s="166" t="str">
        <f t="shared" si="52"/>
        <v>Release</v>
      </c>
      <c r="AF168" s="127"/>
      <c r="AG168" s="18">
        <v>0</v>
      </c>
      <c r="AH168" s="132"/>
      <c r="AI168" s="238">
        <v>0</v>
      </c>
      <c r="AJ168" s="132"/>
      <c r="AK168" s="151">
        <v>338.8</v>
      </c>
      <c r="AL168" s="154">
        <f t="shared" si="42"/>
        <v>0</v>
      </c>
      <c r="AM168" s="155"/>
      <c r="AN168" s="19">
        <f t="shared" si="43"/>
        <v>1861</v>
      </c>
      <c r="AO168" s="118">
        <f>SUMIF('MPG Payment '!E:E,'Shayak Income '!D168,'MPG Payment '!AJ:AJ)</f>
        <v>0</v>
      </c>
      <c r="AP168" s="19">
        <f t="shared" si="44"/>
        <v>0</v>
      </c>
      <c r="AQ168" s="119">
        <f t="shared" si="53"/>
        <v>0</v>
      </c>
      <c r="AR168" s="91" t="s">
        <v>1144</v>
      </c>
      <c r="AS168" s="91">
        <f t="shared" si="45"/>
        <v>0</v>
      </c>
      <c r="AT168" s="118"/>
      <c r="AU168" s="118"/>
      <c r="AV168" s="118"/>
    </row>
    <row r="169" spans="1:48" s="20" customFormat="1" x14ac:dyDescent="0.25">
      <c r="A169" s="17">
        <f>IFERROR(VLOOKUP(D169,'Monthly Deduction'!$I$3:$J$957,2,0),0)</f>
        <v>0</v>
      </c>
      <c r="B169" s="17">
        <f>IFERROR(VLOOKUP(D169,'Monthly Deduction'!$E$3:$F$957,2,0),0)</f>
        <v>0</v>
      </c>
      <c r="C169" s="17">
        <f t="shared" si="46"/>
        <v>0</v>
      </c>
      <c r="D169" s="41">
        <v>10070018</v>
      </c>
      <c r="E169" s="122" t="str">
        <f>VLOOKUP(D169,'MPG Payment '!$E$3:$G$497305,2,0)</f>
        <v>Gomukh Arariya Karjaniya</v>
      </c>
      <c r="F169" s="146">
        <f>IFERROR(_xlfn.XLOOKUP(D169,'Monthly Deduction'!$I$3:$I$957,'Monthly Deduction'!$H$3:$H$957),0)</f>
        <v>0</v>
      </c>
      <c r="G169" s="123" t="str">
        <f>VLOOKUP(D169,'MPG Payment '!$E$3:$G$333666,3,0)</f>
        <v>vlc</v>
      </c>
      <c r="H169" s="124" t="str">
        <f>VLOOKUP(D169,'MPG Payment '!$E$3:$H$333666,4,0)</f>
        <v>Indirect</v>
      </c>
      <c r="I169" s="88">
        <f>INDEX('MPG Payment '!$C:$C,MATCH('Shayak Income '!D169,'MPG Payment '!E:E,0))</f>
        <v>1007</v>
      </c>
      <c r="J169" s="88" t="str">
        <f>INDEX('MPG Payment '!$D:$D,MATCH('Shayak Income '!D169,'MPG Payment '!E:E,0))</f>
        <v>Araria</v>
      </c>
      <c r="K169" s="125" t="s">
        <v>1594</v>
      </c>
      <c r="L169" s="125">
        <v>45212</v>
      </c>
      <c r="M169" s="126">
        <f>SUMIF('MPG Payment '!$E$3:$E$344841,'Shayak Income '!D169,'MPG Payment '!$I$3:$I$344841)</f>
        <v>46801.700000000004</v>
      </c>
      <c r="N169" s="126">
        <f>SUMIF('MPG Payment '!$E$3:$E$344841,'Shayak Income '!D169,'MPG Payment '!$J$3:$J$344841)</f>
        <v>1844809.8199999998</v>
      </c>
      <c r="O169" s="126">
        <f t="shared" si="47"/>
        <v>35101.275000000001</v>
      </c>
      <c r="P169" s="126">
        <f t="shared" si="48"/>
        <v>44461.615000000005</v>
      </c>
      <c r="Q169" s="126">
        <f>SUMIF('MPG Payment '!$E$3:$E$344841,'Shayak Income '!D169,'MPG Payment '!$S$3:$S$344841)</f>
        <v>0</v>
      </c>
      <c r="R169" s="126">
        <f t="shared" si="38"/>
        <v>55344.294599999994</v>
      </c>
      <c r="S169" s="126">
        <f t="shared" si="39"/>
        <v>10882.679599999989</v>
      </c>
      <c r="T169" s="126">
        <f t="shared" si="49"/>
        <v>4680.170000000001</v>
      </c>
      <c r="U169" s="127">
        <f>((((((IF(K169="New",0,SUMIF('MPG Payment '!$E$3:$E$344841,'Shayak Income '!D169,'MPG Payment '!$AC$3:$AC$344841))))+0)+0)+0)+0)+0</f>
        <v>0</v>
      </c>
      <c r="V169" s="127">
        <f t="shared" si="50"/>
        <v>74883</v>
      </c>
      <c r="W169" s="19">
        <f t="shared" si="54"/>
        <v>0</v>
      </c>
      <c r="X169" s="19">
        <f t="shared" si="40"/>
        <v>0</v>
      </c>
      <c r="Y169" s="128">
        <f>IFERROR(VLOOKUP(D169,'Monthly Deduction'!$M$2:$N$640,2,0),0)</f>
        <v>0</v>
      </c>
      <c r="Z169" s="128">
        <v>0</v>
      </c>
      <c r="AA169" s="126">
        <f>IFERROR(VLOOKUP(D169,'Monthly Deduction'!A:B,2,0),0)</f>
        <v>0</v>
      </c>
      <c r="AB169" s="129">
        <f t="shared" si="41"/>
        <v>74883</v>
      </c>
      <c r="AC169" s="130">
        <v>0</v>
      </c>
      <c r="AD169" s="35">
        <f t="shared" si="51"/>
        <v>74883</v>
      </c>
      <c r="AE169" s="166" t="str">
        <f t="shared" si="52"/>
        <v>Release</v>
      </c>
      <c r="AF169" s="127"/>
      <c r="AG169" s="18">
        <v>0</v>
      </c>
      <c r="AH169" s="120"/>
      <c r="AI169" s="238">
        <v>0</v>
      </c>
      <c r="AJ169" s="132"/>
      <c r="AK169" s="151">
        <v>11842.1</v>
      </c>
      <c r="AL169" s="154">
        <f t="shared" si="42"/>
        <v>0</v>
      </c>
      <c r="AM169" s="155"/>
      <c r="AN169" s="19">
        <f t="shared" si="43"/>
        <v>0</v>
      </c>
      <c r="AO169" s="118">
        <f>SUMIF('MPG Payment '!E:E,'Shayak Income '!D169,'MPG Payment '!AJ:AJ)</f>
        <v>0</v>
      </c>
      <c r="AP169" s="19">
        <f t="shared" si="44"/>
        <v>0</v>
      </c>
      <c r="AQ169" s="119">
        <f t="shared" si="53"/>
        <v>0</v>
      </c>
      <c r="AR169" s="91" t="s">
        <v>1144</v>
      </c>
      <c r="AS169" s="91">
        <f t="shared" si="45"/>
        <v>0</v>
      </c>
      <c r="AT169" s="118"/>
      <c r="AU169" s="118"/>
      <c r="AV169" s="118"/>
    </row>
    <row r="170" spans="1:48" s="20" customFormat="1" x14ac:dyDescent="0.25">
      <c r="A170" s="17">
        <f>IFERROR(VLOOKUP(D170,'Monthly Deduction'!$I$3:$J$957,2,0),0)</f>
        <v>0</v>
      </c>
      <c r="B170" s="17">
        <f>IFERROR(VLOOKUP(D170,'Monthly Deduction'!$E$3:$F$957,2,0),0)</f>
        <v>0</v>
      </c>
      <c r="C170" s="17">
        <f t="shared" si="46"/>
        <v>0</v>
      </c>
      <c r="D170" s="41">
        <v>10070019</v>
      </c>
      <c r="E170" s="122" t="str">
        <f>VLOOKUP(D170,'MPG Payment '!$E$3:$G$497305,2,0)</f>
        <v>Gomukh Aariya Dummer Kothi</v>
      </c>
      <c r="F170" s="146">
        <f>IFERROR(_xlfn.XLOOKUP(D170,'Monthly Deduction'!$I$3:$I$957,'Monthly Deduction'!$H$3:$H$957),0)</f>
        <v>0</v>
      </c>
      <c r="G170" s="123" t="str">
        <f>VLOOKUP(D170,'MPG Payment '!$E$3:$G$333666,3,0)</f>
        <v>vlc</v>
      </c>
      <c r="H170" s="124" t="str">
        <f>VLOOKUP(D170,'MPG Payment '!$E$3:$H$333666,4,0)</f>
        <v>Indirect</v>
      </c>
      <c r="I170" s="88">
        <f>INDEX('MPG Payment '!$C:$C,MATCH('Shayak Income '!D170,'MPG Payment '!E:E,0))</f>
        <v>1007</v>
      </c>
      <c r="J170" s="88" t="str">
        <f>INDEX('MPG Payment '!$D:$D,MATCH('Shayak Income '!D170,'MPG Payment '!E:E,0))</f>
        <v>Araria</v>
      </c>
      <c r="K170" s="125" t="s">
        <v>1594</v>
      </c>
      <c r="L170" s="125">
        <v>45212</v>
      </c>
      <c r="M170" s="126">
        <f>SUMIF('MPG Payment '!$E$3:$E$344841,'Shayak Income '!D170,'MPG Payment '!$I$3:$I$344841)</f>
        <v>28144.399999999998</v>
      </c>
      <c r="N170" s="126">
        <f>SUMIF('MPG Payment '!$E$3:$E$344841,'Shayak Income '!D170,'MPG Payment '!$J$3:$J$344841)</f>
        <v>1100640.44</v>
      </c>
      <c r="O170" s="126">
        <f t="shared" si="47"/>
        <v>21108.3</v>
      </c>
      <c r="P170" s="126">
        <f t="shared" si="48"/>
        <v>26737.179999999997</v>
      </c>
      <c r="Q170" s="126">
        <f>SUMIF('MPG Payment '!$E$3:$E$344841,'Shayak Income '!D170,'MPG Payment '!$S$3:$S$344841)</f>
        <v>0</v>
      </c>
      <c r="R170" s="126">
        <f t="shared" si="38"/>
        <v>33019.213199999998</v>
      </c>
      <c r="S170" s="126">
        <f t="shared" si="39"/>
        <v>6282.0332000000017</v>
      </c>
      <c r="T170" s="126">
        <f t="shared" si="49"/>
        <v>2814.44</v>
      </c>
      <c r="U170" s="127">
        <f>((((((IF(K170="New",0,SUMIF('MPG Payment '!$E$3:$E$344841,'Shayak Income '!D170,'MPG Payment '!$AC$3:$AC$344841))))+0)+0)+0)+0)+0</f>
        <v>0</v>
      </c>
      <c r="V170" s="127">
        <f t="shared" si="50"/>
        <v>45031</v>
      </c>
      <c r="W170" s="19">
        <f t="shared" si="54"/>
        <v>0</v>
      </c>
      <c r="X170" s="19">
        <f t="shared" si="40"/>
        <v>0</v>
      </c>
      <c r="Y170" s="128">
        <f>IFERROR(VLOOKUP(D170,'Monthly Deduction'!$M$2:$N$640,2,0),0)</f>
        <v>0</v>
      </c>
      <c r="Z170" s="128">
        <v>0</v>
      </c>
      <c r="AA170" s="126">
        <f>IFERROR(VLOOKUP(D170,'Monthly Deduction'!A:B,2,0),0)</f>
        <v>0</v>
      </c>
      <c r="AB170" s="129">
        <f t="shared" si="41"/>
        <v>45031</v>
      </c>
      <c r="AC170" s="130">
        <v>0</v>
      </c>
      <c r="AD170" s="35">
        <f t="shared" si="51"/>
        <v>45031</v>
      </c>
      <c r="AE170" s="166" t="str">
        <f t="shared" si="52"/>
        <v>Release</v>
      </c>
      <c r="AF170" s="127"/>
      <c r="AG170" s="18">
        <v>0</v>
      </c>
      <c r="AH170" s="120"/>
      <c r="AI170" s="238">
        <v>0</v>
      </c>
      <c r="AJ170" s="132"/>
      <c r="AK170" s="151">
        <v>6739.9</v>
      </c>
      <c r="AL170" s="154">
        <f t="shared" si="42"/>
        <v>0</v>
      </c>
      <c r="AM170" s="155"/>
      <c r="AN170" s="19">
        <f t="shared" si="43"/>
        <v>0</v>
      </c>
      <c r="AO170" s="118">
        <f>SUMIF('MPG Payment '!E:E,'Shayak Income '!D170,'MPG Payment '!AJ:AJ)</f>
        <v>0</v>
      </c>
      <c r="AP170" s="19">
        <f t="shared" si="44"/>
        <v>0</v>
      </c>
      <c r="AQ170" s="119">
        <f t="shared" si="53"/>
        <v>0</v>
      </c>
      <c r="AR170" s="91" t="s">
        <v>1144</v>
      </c>
      <c r="AS170" s="91">
        <f t="shared" si="45"/>
        <v>0</v>
      </c>
      <c r="AT170" s="118"/>
      <c r="AU170" s="118"/>
      <c r="AV170" s="118"/>
    </row>
    <row r="171" spans="1:48" s="20" customFormat="1" x14ac:dyDescent="0.25">
      <c r="A171" s="17">
        <f>IFERROR(VLOOKUP(D171,'Monthly Deduction'!$I$3:$J$957,2,0),0)</f>
        <v>0</v>
      </c>
      <c r="B171" s="17">
        <f>IFERROR(VLOOKUP(D171,'Monthly Deduction'!$E$3:$F$957,2,0),0)</f>
        <v>0</v>
      </c>
      <c r="C171" s="17">
        <f t="shared" si="46"/>
        <v>0</v>
      </c>
      <c r="D171" s="41">
        <v>10070020</v>
      </c>
      <c r="E171" s="122" t="str">
        <f>VLOOKUP(D171,'MPG Payment '!$E$3:$G$497305,2,0)</f>
        <v>Gomukh Balha</v>
      </c>
      <c r="F171" s="146">
        <f>IFERROR(_xlfn.XLOOKUP(D171,'Monthly Deduction'!$I$3:$I$957,'Monthly Deduction'!$H$3:$H$957),0)</f>
        <v>0</v>
      </c>
      <c r="G171" s="123" t="str">
        <f>VLOOKUP(D171,'MPG Payment '!$E$3:$G$333666,3,0)</f>
        <v>vlc</v>
      </c>
      <c r="H171" s="124" t="str">
        <f>VLOOKUP(D171,'MPG Payment '!$E$3:$H$333666,4,0)</f>
        <v>Indirect</v>
      </c>
      <c r="I171" s="88">
        <f>INDEX('MPG Payment '!$C:$C,MATCH('Shayak Income '!D171,'MPG Payment '!E:E,0))</f>
        <v>1007</v>
      </c>
      <c r="J171" s="88" t="str">
        <f>INDEX('MPG Payment '!$D:$D,MATCH('Shayak Income '!D171,'MPG Payment '!E:E,0))</f>
        <v>Araria</v>
      </c>
      <c r="K171" s="125" t="s">
        <v>1594</v>
      </c>
      <c r="L171" s="125">
        <v>45212</v>
      </c>
      <c r="M171" s="126">
        <f>SUMIF('MPG Payment '!$E$3:$E$344841,'Shayak Income '!D171,'MPG Payment '!$I$3:$I$344841)</f>
        <v>22444.6</v>
      </c>
      <c r="N171" s="126">
        <f>SUMIF('MPG Payment '!$E$3:$E$344841,'Shayak Income '!D171,'MPG Payment '!$J$3:$J$344841)</f>
        <v>863148.51</v>
      </c>
      <c r="O171" s="126">
        <f t="shared" si="47"/>
        <v>16833.449999999997</v>
      </c>
      <c r="P171" s="126">
        <f t="shared" si="48"/>
        <v>21322.37</v>
      </c>
      <c r="Q171" s="126">
        <f>SUMIF('MPG Payment '!$E$3:$E$344841,'Shayak Income '!D171,'MPG Payment '!$S$3:$S$344841)</f>
        <v>0</v>
      </c>
      <c r="R171" s="126">
        <f t="shared" si="38"/>
        <v>25894.455299999998</v>
      </c>
      <c r="S171" s="126">
        <f t="shared" si="39"/>
        <v>4572.0852999999988</v>
      </c>
      <c r="T171" s="126">
        <f t="shared" si="49"/>
        <v>2244.46</v>
      </c>
      <c r="U171" s="127">
        <f>((((((IF(K171="New",0,SUMIF('MPG Payment '!$E$3:$E$344841,'Shayak Income '!D171,'MPG Payment '!$AC$3:$AC$344841))))+0)+0)+0)+0)+0</f>
        <v>0</v>
      </c>
      <c r="V171" s="127">
        <f t="shared" si="50"/>
        <v>35911</v>
      </c>
      <c r="W171" s="19">
        <f t="shared" si="54"/>
        <v>0</v>
      </c>
      <c r="X171" s="19">
        <f t="shared" si="40"/>
        <v>0</v>
      </c>
      <c r="Y171" s="128">
        <f>IFERROR(VLOOKUP(D171,'Monthly Deduction'!$M$2:$N$640,2,0),0)</f>
        <v>0</v>
      </c>
      <c r="Z171" s="128">
        <v>0</v>
      </c>
      <c r="AA171" s="126">
        <f>IFERROR(VLOOKUP(D171,'Monthly Deduction'!A:B,2,0),0)</f>
        <v>0</v>
      </c>
      <c r="AB171" s="129">
        <f t="shared" si="41"/>
        <v>35911</v>
      </c>
      <c r="AC171" s="130">
        <v>0</v>
      </c>
      <c r="AD171" s="35">
        <f t="shared" si="51"/>
        <v>35911</v>
      </c>
      <c r="AE171" s="166" t="str">
        <f t="shared" si="52"/>
        <v>Release</v>
      </c>
      <c r="AF171" s="127"/>
      <c r="AG171" s="18">
        <v>0</v>
      </c>
      <c r="AH171" s="120"/>
      <c r="AI171" s="238">
        <v>0</v>
      </c>
      <c r="AJ171" s="132"/>
      <c r="AK171" s="151">
        <v>5647.4</v>
      </c>
      <c r="AL171" s="154">
        <f t="shared" si="42"/>
        <v>0</v>
      </c>
      <c r="AM171" s="155"/>
      <c r="AN171" s="19">
        <f t="shared" si="43"/>
        <v>0</v>
      </c>
      <c r="AO171" s="118">
        <f>SUMIF('MPG Payment '!E:E,'Shayak Income '!D171,'MPG Payment '!AJ:AJ)</f>
        <v>0</v>
      </c>
      <c r="AP171" s="19">
        <f t="shared" si="44"/>
        <v>0</v>
      </c>
      <c r="AQ171" s="119">
        <f t="shared" si="53"/>
        <v>0</v>
      </c>
      <c r="AR171" s="91" t="s">
        <v>1144</v>
      </c>
      <c r="AS171" s="91">
        <f t="shared" si="45"/>
        <v>0</v>
      </c>
      <c r="AT171" s="118"/>
      <c r="AU171" s="118"/>
      <c r="AV171" s="118"/>
    </row>
    <row r="172" spans="1:48" s="20" customFormat="1" x14ac:dyDescent="0.25">
      <c r="A172" s="17">
        <f>IFERROR(VLOOKUP(D172,'Monthly Deduction'!$I$3:$J$957,2,0),0)</f>
        <v>0</v>
      </c>
      <c r="B172" s="17">
        <f>IFERROR(VLOOKUP(D172,'Monthly Deduction'!$E$3:$F$957,2,0),0)</f>
        <v>0</v>
      </c>
      <c r="C172" s="17">
        <f t="shared" si="46"/>
        <v>0</v>
      </c>
      <c r="D172" s="41">
        <v>10070024</v>
      </c>
      <c r="E172" s="122" t="str">
        <f>VLOOKUP(D172,'MPG Payment '!$E$3:$G$497305,2,0)</f>
        <v>Haripur - Sanjay</v>
      </c>
      <c r="F172" s="146">
        <f>IFERROR(_xlfn.XLOOKUP(D172,'Monthly Deduction'!$I$3:$I$957,'Monthly Deduction'!$H$3:$H$957),0)</f>
        <v>0</v>
      </c>
      <c r="G172" s="123" t="str">
        <f>VLOOKUP(D172,'MPG Payment '!$E$3:$G$333666,3,0)</f>
        <v>vlc</v>
      </c>
      <c r="H172" s="124" t="str">
        <f>VLOOKUP(D172,'MPG Payment '!$E$3:$H$333666,4,0)</f>
        <v>Indirect</v>
      </c>
      <c r="I172" s="88">
        <f>INDEX('MPG Payment '!$C:$C,MATCH('Shayak Income '!D172,'MPG Payment '!E:E,0))</f>
        <v>1007</v>
      </c>
      <c r="J172" s="88" t="str">
        <f>INDEX('MPG Payment '!$D:$D,MATCH('Shayak Income '!D172,'MPG Payment '!E:E,0))</f>
        <v>Araria</v>
      </c>
      <c r="K172" s="125" t="s">
        <v>1594</v>
      </c>
      <c r="L172" s="125">
        <v>45212</v>
      </c>
      <c r="M172" s="126">
        <f>SUMIF('MPG Payment '!$E$3:$E$344841,'Shayak Income '!D172,'MPG Payment '!$I$3:$I$344841)</f>
        <v>2802.0999999999995</v>
      </c>
      <c r="N172" s="126">
        <f>SUMIF('MPG Payment '!$E$3:$E$344841,'Shayak Income '!D172,'MPG Payment '!$J$3:$J$344841)</f>
        <v>108786.02000000002</v>
      </c>
      <c r="O172" s="126">
        <f t="shared" si="47"/>
        <v>2101.5749999999998</v>
      </c>
      <c r="P172" s="126">
        <f t="shared" si="48"/>
        <v>2661.9949999999994</v>
      </c>
      <c r="Q172" s="126">
        <f>SUMIF('MPG Payment '!$E$3:$E$344841,'Shayak Income '!D172,'MPG Payment '!$S$3:$S$344841)</f>
        <v>0</v>
      </c>
      <c r="R172" s="126">
        <f t="shared" si="38"/>
        <v>3263.5806000000002</v>
      </c>
      <c r="S172" s="126">
        <f t="shared" si="39"/>
        <v>601.5856000000008</v>
      </c>
      <c r="T172" s="126">
        <f t="shared" si="49"/>
        <v>280.20999999999998</v>
      </c>
      <c r="U172" s="127">
        <f>((((((IF(K172="New",0,SUMIF('MPG Payment '!$E$3:$E$344841,'Shayak Income '!D172,'MPG Payment '!$AC$3:$AC$344841))))+0)+0)+0)+0)+0</f>
        <v>99.974956843748004</v>
      </c>
      <c r="V172" s="127">
        <f t="shared" si="50"/>
        <v>4383</v>
      </c>
      <c r="W172" s="19">
        <f t="shared" si="54"/>
        <v>0</v>
      </c>
      <c r="X172" s="19">
        <f t="shared" si="40"/>
        <v>0</v>
      </c>
      <c r="Y172" s="128">
        <f>IFERROR(VLOOKUP(D172,'Monthly Deduction'!$M$2:$N$640,2,0),0)</f>
        <v>0</v>
      </c>
      <c r="Z172" s="128">
        <v>0</v>
      </c>
      <c r="AA172" s="126">
        <f>IFERROR(VLOOKUP(D172,'Monthly Deduction'!A:B,2,0),0)</f>
        <v>0</v>
      </c>
      <c r="AB172" s="129">
        <f t="shared" si="41"/>
        <v>4383</v>
      </c>
      <c r="AC172" s="130">
        <v>0</v>
      </c>
      <c r="AD172" s="35">
        <f t="shared" si="51"/>
        <v>4383</v>
      </c>
      <c r="AE172" s="166" t="str">
        <f t="shared" si="52"/>
        <v>Release</v>
      </c>
      <c r="AF172" s="127"/>
      <c r="AG172" s="18">
        <v>0</v>
      </c>
      <c r="AH172" s="120"/>
      <c r="AI172" s="238">
        <v>0</v>
      </c>
      <c r="AJ172" s="132"/>
      <c r="AK172" s="151">
        <v>542.30000000000007</v>
      </c>
      <c r="AL172" s="154">
        <f t="shared" si="42"/>
        <v>0</v>
      </c>
      <c r="AM172" s="155"/>
      <c r="AN172" s="19">
        <f t="shared" si="43"/>
        <v>0</v>
      </c>
      <c r="AO172" s="118">
        <f>SUMIF('MPG Payment '!E:E,'Shayak Income '!D172,'MPG Payment '!AJ:AJ)</f>
        <v>0</v>
      </c>
      <c r="AP172" s="19">
        <f t="shared" si="44"/>
        <v>0</v>
      </c>
      <c r="AQ172" s="119">
        <f t="shared" si="53"/>
        <v>0</v>
      </c>
      <c r="AR172" s="91" t="s">
        <v>1144</v>
      </c>
      <c r="AS172" s="91">
        <f t="shared" si="45"/>
        <v>0</v>
      </c>
      <c r="AT172" s="118"/>
      <c r="AU172" s="118"/>
      <c r="AV172" s="118"/>
    </row>
    <row r="173" spans="1:48" s="20" customFormat="1" x14ac:dyDescent="0.25">
      <c r="A173" s="17">
        <f>IFERROR(VLOOKUP(D173,'Monthly Deduction'!$I$3:$J$957,2,0),0)</f>
        <v>0</v>
      </c>
      <c r="B173" s="17">
        <f>IFERROR(VLOOKUP(D173,'Monthly Deduction'!$E$3:$F$957,2,0),0)</f>
        <v>0</v>
      </c>
      <c r="C173" s="17">
        <f t="shared" si="46"/>
        <v>0</v>
      </c>
      <c r="D173" s="41">
        <v>10070026</v>
      </c>
      <c r="E173" s="122" t="str">
        <f>VLOOKUP(D173,'MPG Payment '!$E$3:$G$497305,2,0)</f>
        <v>Araria - Ankesh</v>
      </c>
      <c r="F173" s="146">
        <f>IFERROR(_xlfn.XLOOKUP(D173,'Monthly Deduction'!$I$3:$I$957,'Monthly Deduction'!$H$3:$H$957),0)</f>
        <v>0</v>
      </c>
      <c r="G173" s="123" t="str">
        <f>VLOOKUP(D173,'MPG Payment '!$E$3:$G$333666,3,0)</f>
        <v>vlc</v>
      </c>
      <c r="H173" s="124" t="str">
        <f>VLOOKUP(D173,'MPG Payment '!$E$3:$H$333666,4,0)</f>
        <v>Indirect</v>
      </c>
      <c r="I173" s="88">
        <f>INDEX('MPG Payment '!$C:$C,MATCH('Shayak Income '!D173,'MPG Payment '!E:E,0))</f>
        <v>1007</v>
      </c>
      <c r="J173" s="88" t="str">
        <f>INDEX('MPG Payment '!$D:$D,MATCH('Shayak Income '!D173,'MPG Payment '!E:E,0))</f>
        <v>Araria</v>
      </c>
      <c r="K173" s="125" t="s">
        <v>1594</v>
      </c>
      <c r="L173" s="125">
        <v>45212</v>
      </c>
      <c r="M173" s="126">
        <f>SUMIF('MPG Payment '!$E$3:$E$344841,'Shayak Income '!D173,'MPG Payment '!$I$3:$I$344841)</f>
        <v>17666.7</v>
      </c>
      <c r="N173" s="126">
        <f>SUMIF('MPG Payment '!$E$3:$E$344841,'Shayak Income '!D173,'MPG Payment '!$J$3:$J$344841)</f>
        <v>673163.77</v>
      </c>
      <c r="O173" s="126">
        <f t="shared" si="47"/>
        <v>13250.025000000001</v>
      </c>
      <c r="P173" s="126">
        <f t="shared" si="48"/>
        <v>16783.365000000002</v>
      </c>
      <c r="Q173" s="126">
        <f>SUMIF('MPG Payment '!$E$3:$E$344841,'Shayak Income '!D173,'MPG Payment '!$S$3:$S$344841)</f>
        <v>0</v>
      </c>
      <c r="R173" s="126">
        <f t="shared" si="38"/>
        <v>20194.913100000002</v>
      </c>
      <c r="S173" s="126">
        <f t="shared" si="39"/>
        <v>3411.5481</v>
      </c>
      <c r="T173" s="126">
        <f t="shared" si="49"/>
        <v>1766.67</v>
      </c>
      <c r="U173" s="127">
        <f>((((((IF(K173="New",0,SUMIF('MPG Payment '!$E$3:$E$344841,'Shayak Income '!D173,'MPG Payment '!$AC$3:$AC$344841))))+0)+0)+0)+0)+0</f>
        <v>0</v>
      </c>
      <c r="V173" s="127">
        <f t="shared" si="50"/>
        <v>28267</v>
      </c>
      <c r="W173" s="19">
        <f t="shared" si="54"/>
        <v>0</v>
      </c>
      <c r="X173" s="19">
        <f t="shared" si="40"/>
        <v>0</v>
      </c>
      <c r="Y173" s="128">
        <f>IFERROR(VLOOKUP(D173,'Monthly Deduction'!$M$2:$N$640,2,0),0)</f>
        <v>0</v>
      </c>
      <c r="Z173" s="128">
        <v>0</v>
      </c>
      <c r="AA173" s="126">
        <f>IFERROR(VLOOKUP(D173,'Monthly Deduction'!A:B,2,0),0)</f>
        <v>0</v>
      </c>
      <c r="AB173" s="129">
        <f t="shared" si="41"/>
        <v>28267</v>
      </c>
      <c r="AC173" s="130">
        <v>0</v>
      </c>
      <c r="AD173" s="35">
        <f t="shared" si="51"/>
        <v>28267</v>
      </c>
      <c r="AE173" s="166" t="str">
        <f t="shared" si="52"/>
        <v>Release</v>
      </c>
      <c r="AF173" s="127"/>
      <c r="AG173" s="18">
        <v>0</v>
      </c>
      <c r="AH173" s="132"/>
      <c r="AI173" s="238">
        <v>0</v>
      </c>
      <c r="AJ173" s="132"/>
      <c r="AK173" s="151">
        <v>4483.0999999999995</v>
      </c>
      <c r="AL173" s="154">
        <f t="shared" si="42"/>
        <v>0</v>
      </c>
      <c r="AM173" s="155"/>
      <c r="AN173" s="19">
        <f t="shared" si="43"/>
        <v>0</v>
      </c>
      <c r="AO173" s="118">
        <f>SUMIF('MPG Payment '!E:E,'Shayak Income '!D173,'MPG Payment '!AJ:AJ)</f>
        <v>0</v>
      </c>
      <c r="AP173" s="19">
        <f t="shared" si="44"/>
        <v>0</v>
      </c>
      <c r="AQ173" s="119">
        <f t="shared" si="53"/>
        <v>0</v>
      </c>
      <c r="AR173" s="91" t="s">
        <v>1144</v>
      </c>
      <c r="AS173" s="91">
        <f t="shared" si="45"/>
        <v>0</v>
      </c>
      <c r="AT173" s="118"/>
      <c r="AU173" s="118"/>
      <c r="AV173" s="118"/>
    </row>
    <row r="174" spans="1:48" s="20" customFormat="1" x14ac:dyDescent="0.25">
      <c r="A174" s="17">
        <f>IFERROR(VLOOKUP(D174,'Monthly Deduction'!$I$3:$J$957,2,0),0)</f>
        <v>25421.018373062572</v>
      </c>
      <c r="B174" s="17">
        <f>IFERROR(VLOOKUP(D174,'Monthly Deduction'!$E$3:$F$957,2,0),0)</f>
        <v>4104.9205999999995</v>
      </c>
      <c r="C174" s="17">
        <f t="shared" si="46"/>
        <v>29525.93897306257</v>
      </c>
      <c r="D174" s="41">
        <v>10070033</v>
      </c>
      <c r="E174" s="122" t="str">
        <f>VLOOKUP(D174,'MPG Payment '!$E$3:$G$497305,2,0)</f>
        <v>Gomukh Kabela                                                                                       </v>
      </c>
      <c r="F174" s="146">
        <f>IFERROR(_xlfn.XLOOKUP(D174,'Monthly Deduction'!$I$3:$I$957,'Monthly Deduction'!$H$3:$H$957),0)</f>
        <v>0</v>
      </c>
      <c r="G174" s="123" t="str">
        <f>VLOOKUP(D174,'MPG Payment '!$E$3:$G$333666,3,0)</f>
        <v>MPG</v>
      </c>
      <c r="H174" s="124" t="str">
        <f>VLOOKUP(D174,'MPG Payment '!$E$3:$H$333666,4,0)</f>
        <v>Direct</v>
      </c>
      <c r="I174" s="88">
        <f>INDEX('MPG Payment '!$C:$C,MATCH('Shayak Income '!D174,'MPG Payment '!E:E,0))</f>
        <v>1010</v>
      </c>
      <c r="J174" s="88" t="str">
        <f>INDEX('MPG Payment '!$D:$D,MATCH('Shayak Income '!D174,'MPG Payment '!E:E,0))</f>
        <v>Parbatta</v>
      </c>
      <c r="K174" s="125" t="s">
        <v>1594</v>
      </c>
      <c r="L174" s="125">
        <v>45198</v>
      </c>
      <c r="M174" s="126">
        <f>SUMIF('MPG Payment '!$E$3:$E$344841,'Shayak Income '!D174,'MPG Payment '!$I$3:$I$344841)</f>
        <v>1746.1</v>
      </c>
      <c r="N174" s="126">
        <f>SUMIF('MPG Payment '!$E$3:$E$344841,'Shayak Income '!D174,'MPG Payment '!$J$3:$J$344841)</f>
        <v>91466.739999999991</v>
      </c>
      <c r="O174" s="126">
        <f t="shared" si="47"/>
        <v>1309.5749999999998</v>
      </c>
      <c r="P174" s="126">
        <f t="shared" si="48"/>
        <v>1658.7949999999998</v>
      </c>
      <c r="Q174" s="126">
        <f>SUMIF('MPG Payment '!$E$3:$E$344841,'Shayak Income '!D174,'MPG Payment '!$S$3:$S$344841)</f>
        <v>0</v>
      </c>
      <c r="R174" s="126">
        <f t="shared" si="38"/>
        <v>2744.0021999999994</v>
      </c>
      <c r="S174" s="126">
        <f t="shared" si="39"/>
        <v>1085.2071999999996</v>
      </c>
      <c r="T174" s="126">
        <f t="shared" si="49"/>
        <v>174.61</v>
      </c>
      <c r="U174" s="127">
        <f>((((((IF(K174="New",0,SUMIF('MPG Payment '!$E$3:$E$344841,'Shayak Income '!D174,'MPG Payment '!$AC$3:$AC$344841))))+0)+0)+0)+0)+0</f>
        <v>1100.4383898474086</v>
      </c>
      <c r="V174" s="127">
        <f t="shared" si="50"/>
        <v>1693</v>
      </c>
      <c r="W174" s="19">
        <v>1693</v>
      </c>
      <c r="X174" s="19">
        <v>0</v>
      </c>
      <c r="Y174" s="128">
        <v>0</v>
      </c>
      <c r="Z174" s="128">
        <v>0</v>
      </c>
      <c r="AA174" s="126">
        <v>0</v>
      </c>
      <c r="AB174" s="129">
        <f t="shared" si="41"/>
        <v>0</v>
      </c>
      <c r="AC174" s="130">
        <v>0</v>
      </c>
      <c r="AD174" s="35">
        <f t="shared" si="51"/>
        <v>0</v>
      </c>
      <c r="AE174" s="166" t="str">
        <f t="shared" si="52"/>
        <v>Release</v>
      </c>
      <c r="AF174" s="127"/>
      <c r="AG174" s="18">
        <v>0</v>
      </c>
      <c r="AH174" s="132"/>
      <c r="AI174" s="238">
        <v>0</v>
      </c>
      <c r="AJ174" s="132"/>
      <c r="AK174" s="151">
        <v>346.4</v>
      </c>
      <c r="AL174" s="154">
        <f t="shared" si="42"/>
        <v>0</v>
      </c>
      <c r="AM174" s="155"/>
      <c r="AN174" s="19">
        <f t="shared" si="43"/>
        <v>1861</v>
      </c>
      <c r="AO174" s="118">
        <f>SUMIF('MPG Payment '!E:E,'Shayak Income '!D174,'MPG Payment '!AJ:AJ)</f>
        <v>0</v>
      </c>
      <c r="AP174" s="19">
        <f t="shared" si="44"/>
        <v>1693</v>
      </c>
      <c r="AQ174" s="119">
        <f t="shared" si="53"/>
        <v>1693</v>
      </c>
      <c r="AR174" s="91" t="s">
        <v>1144</v>
      </c>
      <c r="AS174" s="91">
        <f t="shared" si="45"/>
        <v>4104.9205999999995</v>
      </c>
      <c r="AT174" s="118"/>
      <c r="AU174" s="118"/>
      <c r="AV174" s="118"/>
    </row>
    <row r="175" spans="1:48" s="20" customFormat="1" x14ac:dyDescent="0.25">
      <c r="A175" s="17">
        <f>IFERROR(VLOOKUP(D175,'Monthly Deduction'!$I$3:$J$957,2,0),0)</f>
        <v>0</v>
      </c>
      <c r="B175" s="17">
        <f>IFERROR(VLOOKUP(D175,'Monthly Deduction'!$E$3:$F$957,2,0),0)</f>
        <v>9760.260848452479</v>
      </c>
      <c r="C175" s="17">
        <f t="shared" si="46"/>
        <v>9760.260848452479</v>
      </c>
      <c r="D175" s="41">
        <v>10070039</v>
      </c>
      <c r="E175" s="122" t="str">
        <f>VLOOKUP(D175,'MPG Payment '!$E$3:$G$497305,2,0)</f>
        <v xml:space="preserve">Gomukh Malpa Uttari                                                                                 </v>
      </c>
      <c r="F175" s="146">
        <f>IFERROR(_xlfn.XLOOKUP(D175,'Monthly Deduction'!$I$3:$I$957,'Monthly Deduction'!$H$3:$H$957),0)</f>
        <v>0</v>
      </c>
      <c r="G175" s="123" t="str">
        <f>VLOOKUP(D175,'MPG Payment '!$E$3:$G$333666,3,0)</f>
        <v>vlc</v>
      </c>
      <c r="H175" s="124" t="str">
        <f>VLOOKUP(D175,'MPG Payment '!$E$3:$H$333666,4,0)</f>
        <v>Indirect</v>
      </c>
      <c r="I175" s="88">
        <f>INDEX('MPG Payment '!$C:$C,MATCH('Shayak Income '!D175,'MPG Payment '!E:E,0))</f>
        <v>1056</v>
      </c>
      <c r="J175" s="88" t="str">
        <f>INDEX('MPG Payment '!$D:$D,MATCH('Shayak Income '!D175,'MPG Payment '!E:E,0))</f>
        <v>Chautham</v>
      </c>
      <c r="K175" s="125" t="s">
        <v>1594</v>
      </c>
      <c r="L175" s="125">
        <v>45205</v>
      </c>
      <c r="M175" s="126">
        <f>SUMIF('MPG Payment '!$E$3:$E$344841,'Shayak Income '!D175,'MPG Payment '!$I$3:$I$344841)</f>
        <v>551.33999999999992</v>
      </c>
      <c r="N175" s="126">
        <f>SUMIF('MPG Payment '!$E$3:$E$344841,'Shayak Income '!D175,'MPG Payment '!$J$3:$J$344841)</f>
        <v>18924.84</v>
      </c>
      <c r="O175" s="126">
        <f t="shared" si="47"/>
        <v>413.50499999999994</v>
      </c>
      <c r="P175" s="126">
        <f t="shared" si="48"/>
        <v>523.77299999999991</v>
      </c>
      <c r="Q175" s="126">
        <f>SUMIF('MPG Payment '!$E$3:$E$344841,'Shayak Income '!D175,'MPG Payment '!$S$3:$S$344841)</f>
        <v>0</v>
      </c>
      <c r="R175" s="126">
        <f t="shared" si="38"/>
        <v>567.74519999999995</v>
      </c>
      <c r="S175" s="126">
        <f t="shared" si="39"/>
        <v>43.972200000000043</v>
      </c>
      <c r="T175" s="126">
        <f t="shared" si="49"/>
        <v>55.133999999999993</v>
      </c>
      <c r="U175" s="127">
        <f>((((((IF(K175="New",0,SUMIF('MPG Payment '!$E$3:$E$344841,'Shayak Income '!D175,'MPG Payment '!$AC$3:$AC$344841))))+0)+0)+0)+0)+-656</f>
        <v>882.00935729545472</v>
      </c>
      <c r="V175" s="127">
        <f t="shared" si="50"/>
        <v>0</v>
      </c>
      <c r="W175" s="19">
        <v>0</v>
      </c>
      <c r="X175" s="19">
        <v>0</v>
      </c>
      <c r="Y175" s="128">
        <v>0</v>
      </c>
      <c r="Z175" s="128">
        <v>0</v>
      </c>
      <c r="AA175" s="126">
        <v>0</v>
      </c>
      <c r="AB175" s="129">
        <f t="shared" si="41"/>
        <v>0</v>
      </c>
      <c r="AC175" s="130">
        <v>0</v>
      </c>
      <c r="AD175" s="35">
        <f t="shared" si="51"/>
        <v>0</v>
      </c>
      <c r="AE175" s="166" t="str">
        <f t="shared" si="52"/>
        <v>Release</v>
      </c>
      <c r="AF175" s="127"/>
      <c r="AG175" s="18">
        <v>0</v>
      </c>
      <c r="AH175" s="132"/>
      <c r="AI175" s="238">
        <v>0</v>
      </c>
      <c r="AJ175" s="132"/>
      <c r="AK175" s="151">
        <v>21.04</v>
      </c>
      <c r="AL175" s="154">
        <f t="shared" si="42"/>
        <v>0</v>
      </c>
      <c r="AM175" s="155"/>
      <c r="AN175" s="19">
        <f t="shared" si="43"/>
        <v>0</v>
      </c>
      <c r="AO175" s="118">
        <f>SUMIF('MPG Payment '!E:E,'Shayak Income '!D175,'MPG Payment '!AJ:AJ)</f>
        <v>0</v>
      </c>
      <c r="AP175" s="19">
        <f t="shared" si="44"/>
        <v>0</v>
      </c>
      <c r="AQ175" s="119">
        <f t="shared" si="53"/>
        <v>0</v>
      </c>
      <c r="AR175" s="91" t="s">
        <v>1144</v>
      </c>
      <c r="AS175" s="91">
        <f t="shared" si="45"/>
        <v>9760.260848452479</v>
      </c>
      <c r="AT175" s="118"/>
      <c r="AU175" s="118"/>
      <c r="AV175" s="118"/>
    </row>
    <row r="176" spans="1:48" s="20" customFormat="1" x14ac:dyDescent="0.25">
      <c r="A176" s="17">
        <f>IFERROR(VLOOKUP(D176,'Monthly Deduction'!$I$3:$J$957,2,0),0)</f>
        <v>0</v>
      </c>
      <c r="B176" s="17">
        <f>IFERROR(VLOOKUP(D176,'Monthly Deduction'!$E$3:$F$957,2,0),0)</f>
        <v>5349.1332403096003</v>
      </c>
      <c r="C176" s="17">
        <f t="shared" si="46"/>
        <v>5349.1332403096003</v>
      </c>
      <c r="D176" s="41">
        <v>10070042</v>
      </c>
      <c r="E176" s="122" t="str">
        <f>VLOOKUP(D176,'MPG Payment '!$E$3:$G$497305,2,0)</f>
        <v>Gomukh Sapha</v>
      </c>
      <c r="F176" s="146">
        <f>IFERROR(_xlfn.XLOOKUP(D176,'Monthly Deduction'!$I$3:$I$957,'Monthly Deduction'!$H$3:$H$957),0)</f>
        <v>0</v>
      </c>
      <c r="G176" s="123" t="str">
        <f>VLOOKUP(D176,'MPG Payment '!$E$3:$G$333666,3,0)</f>
        <v>MPG</v>
      </c>
      <c r="H176" s="124" t="str">
        <f>VLOOKUP(D176,'MPG Payment '!$E$3:$H$333666,4,0)</f>
        <v>Direct</v>
      </c>
      <c r="I176" s="88">
        <f>INDEX('MPG Payment '!$C:$C,MATCH('Shayak Income '!D176,'MPG Payment '!E:E,0))</f>
        <v>1007</v>
      </c>
      <c r="J176" s="88" t="str">
        <f>INDEX('MPG Payment '!$D:$D,MATCH('Shayak Income '!D176,'MPG Payment '!E:E,0))</f>
        <v>Araria</v>
      </c>
      <c r="K176" s="125" t="s">
        <v>1594</v>
      </c>
      <c r="L176" s="125">
        <v>45323</v>
      </c>
      <c r="M176" s="126">
        <f>SUMIF('MPG Payment '!$E$3:$E$344841,'Shayak Income '!D176,'MPG Payment '!$I$3:$I$344841)</f>
        <v>867.2</v>
      </c>
      <c r="N176" s="126">
        <f>SUMIF('MPG Payment '!$E$3:$E$344841,'Shayak Income '!D176,'MPG Payment '!$J$3:$J$344841)</f>
        <v>35153.9</v>
      </c>
      <c r="O176" s="126">
        <f t="shared" si="47"/>
        <v>650.40000000000009</v>
      </c>
      <c r="P176" s="126">
        <f t="shared" si="48"/>
        <v>823.84</v>
      </c>
      <c r="Q176" s="126">
        <f>SUMIF('MPG Payment '!$E$3:$E$344841,'Shayak Income '!D176,'MPG Payment '!$S$3:$S$344841)</f>
        <v>674.0200000000001</v>
      </c>
      <c r="R176" s="126">
        <f t="shared" si="38"/>
        <v>1054.617</v>
      </c>
      <c r="S176" s="126">
        <f t="shared" si="39"/>
        <v>230.77699999999993</v>
      </c>
      <c r="T176" s="126">
        <f t="shared" si="49"/>
        <v>86.720000000000013</v>
      </c>
      <c r="U176" s="127">
        <f>((((((IF(K176="New",0,SUMIF('MPG Payment '!$E$3:$E$344841,'Shayak Income '!D176,'MPG Payment '!$AC$3:$AC$344841))))+0)+0)+0)+0)+0</f>
        <v>1571.2348687034348</v>
      </c>
      <c r="V176" s="127">
        <f t="shared" si="50"/>
        <v>490</v>
      </c>
      <c r="W176" s="19">
        <f t="shared" si="54"/>
        <v>0</v>
      </c>
      <c r="X176" s="19">
        <v>490</v>
      </c>
      <c r="Y176" s="128">
        <f>IFERROR(VLOOKUP(D176,'Monthly Deduction'!$M$2:$N$640,2,0),0)</f>
        <v>0</v>
      </c>
      <c r="Z176" s="128">
        <v>0</v>
      </c>
      <c r="AA176" s="126">
        <f>IFERROR(VLOOKUP(D176,'Monthly Deduction'!A:B,2,0),0)</f>
        <v>0</v>
      </c>
      <c r="AB176" s="129">
        <f t="shared" si="41"/>
        <v>0</v>
      </c>
      <c r="AC176" s="130">
        <v>0</v>
      </c>
      <c r="AD176" s="35">
        <f t="shared" si="51"/>
        <v>0</v>
      </c>
      <c r="AE176" s="166" t="str">
        <f t="shared" si="52"/>
        <v>Release</v>
      </c>
      <c r="AF176" s="127"/>
      <c r="AG176" s="18">
        <v>0</v>
      </c>
      <c r="AH176" s="120"/>
      <c r="AI176" s="238">
        <v>0</v>
      </c>
      <c r="AJ176" s="132"/>
      <c r="AK176" s="151">
        <v>215.1</v>
      </c>
      <c r="AL176" s="154">
        <f t="shared" si="42"/>
        <v>0</v>
      </c>
      <c r="AM176" s="155"/>
      <c r="AN176" s="19">
        <f t="shared" si="43"/>
        <v>0</v>
      </c>
      <c r="AO176" s="118">
        <f>SUMIF('MPG Payment '!E:E,'Shayak Income '!D176,'MPG Payment '!AJ:AJ)</f>
        <v>0</v>
      </c>
      <c r="AP176" s="19">
        <f t="shared" si="44"/>
        <v>0</v>
      </c>
      <c r="AQ176" s="119">
        <f t="shared" si="53"/>
        <v>0</v>
      </c>
      <c r="AR176" s="91" t="s">
        <v>1144</v>
      </c>
      <c r="AS176" s="91">
        <f t="shared" si="45"/>
        <v>4859.1332403096003</v>
      </c>
      <c r="AT176" s="118"/>
      <c r="AU176" s="118"/>
      <c r="AV176" s="118"/>
    </row>
    <row r="177" spans="1:48" s="20" customFormat="1" x14ac:dyDescent="0.25">
      <c r="A177" s="17">
        <f>IFERROR(VLOOKUP(D177,'Monthly Deduction'!$I$3:$J$957,2,0),0)</f>
        <v>0</v>
      </c>
      <c r="B177" s="17">
        <f>IFERROR(VLOOKUP(D177,'Monthly Deduction'!$E$3:$F$957,2,0),0)</f>
        <v>0</v>
      </c>
      <c r="C177" s="17">
        <f t="shared" si="46"/>
        <v>0</v>
      </c>
      <c r="D177" s="41">
        <v>10070043</v>
      </c>
      <c r="E177" s="122" t="str">
        <f>VLOOKUP(D177,'MPG Payment '!$E$3:$G$497305,2,0)</f>
        <v>Araria</v>
      </c>
      <c r="F177" s="146">
        <f>IFERROR(_xlfn.XLOOKUP(D177,'Monthly Deduction'!$I$3:$I$957,'Monthly Deduction'!$H$3:$H$957),0)</f>
        <v>0</v>
      </c>
      <c r="G177" s="123" t="str">
        <f>VLOOKUP(D177,'MPG Payment '!$E$3:$G$333666,3,0)</f>
        <v>vlc</v>
      </c>
      <c r="H177" s="124" t="str">
        <f>VLOOKUP(D177,'MPG Payment '!$E$3:$H$333666,4,0)</f>
        <v>Indirect</v>
      </c>
      <c r="I177" s="88">
        <f>INDEX('MPG Payment '!$C:$C,MATCH('Shayak Income '!D177,'MPG Payment '!E:E,0))</f>
        <v>1007</v>
      </c>
      <c r="J177" s="88" t="str">
        <f>INDEX('MPG Payment '!$D:$D,MATCH('Shayak Income '!D177,'MPG Payment '!E:E,0))</f>
        <v>Araria</v>
      </c>
      <c r="K177" s="125" t="s">
        <v>1594</v>
      </c>
      <c r="L177" s="125">
        <v>45636</v>
      </c>
      <c r="M177" s="126">
        <f>SUMIF('MPG Payment '!$E$3:$E$344841,'Shayak Income '!D177,'MPG Payment '!$I$3:$I$344841)</f>
        <v>54401.5</v>
      </c>
      <c r="N177" s="126">
        <f>SUMIF('MPG Payment '!$E$3:$E$344841,'Shayak Income '!D177,'MPG Payment '!$J$3:$J$344841)</f>
        <v>2162238.38</v>
      </c>
      <c r="O177" s="126">
        <f t="shared" si="47"/>
        <v>40801.125</v>
      </c>
      <c r="P177" s="126">
        <f t="shared" si="48"/>
        <v>51681.424999999996</v>
      </c>
      <c r="Q177" s="126">
        <f>SUMIF('MPG Payment '!$E$3:$E$344841,'Shayak Income '!D177,'MPG Payment '!$S$3:$S$344841)</f>
        <v>0</v>
      </c>
      <c r="R177" s="126">
        <f t="shared" si="38"/>
        <v>64867.151399999995</v>
      </c>
      <c r="S177" s="126">
        <f t="shared" si="39"/>
        <v>13185.7264</v>
      </c>
      <c r="T177" s="126">
        <f t="shared" si="49"/>
        <v>5440.1500000000005</v>
      </c>
      <c r="U177" s="127">
        <f>((((((IF(K177="New",0,SUMIF('MPG Payment '!$E$3:$E$344841,'Shayak Income '!D177,'MPG Payment '!$AC$3:$AC$344841))))+0)+0)+0)+0)+0</f>
        <v>0</v>
      </c>
      <c r="V177" s="127">
        <f t="shared" si="50"/>
        <v>87042</v>
      </c>
      <c r="W177" s="19">
        <f t="shared" si="54"/>
        <v>0</v>
      </c>
      <c r="X177" s="19">
        <f t="shared" si="40"/>
        <v>0</v>
      </c>
      <c r="Y177" s="128">
        <f>IFERROR(VLOOKUP(D177,'Monthly Deduction'!$M$2:$N$640,2,0),0)</f>
        <v>3000</v>
      </c>
      <c r="Z177" s="128">
        <v>0</v>
      </c>
      <c r="AA177" s="126">
        <f>IFERROR(VLOOKUP(D177,'Monthly Deduction'!A:B,2,0),0)</f>
        <v>0</v>
      </c>
      <c r="AB177" s="129">
        <f t="shared" si="41"/>
        <v>84042</v>
      </c>
      <c r="AC177" s="130">
        <v>0</v>
      </c>
      <c r="AD177" s="35">
        <f t="shared" si="51"/>
        <v>84042</v>
      </c>
      <c r="AE177" s="166" t="str">
        <f t="shared" si="52"/>
        <v>Release</v>
      </c>
      <c r="AF177" s="127"/>
      <c r="AG177" s="18">
        <v>0</v>
      </c>
      <c r="AH177" s="132"/>
      <c r="AI177" s="238">
        <v>0</v>
      </c>
      <c r="AJ177" s="132"/>
      <c r="AK177" s="151">
        <v>11148.4</v>
      </c>
      <c r="AL177" s="154">
        <f t="shared" si="42"/>
        <v>0</v>
      </c>
      <c r="AM177" s="155"/>
      <c r="AN177" s="19">
        <f t="shared" si="43"/>
        <v>0</v>
      </c>
      <c r="AO177" s="118">
        <f>SUMIF('MPG Payment '!E:E,'Shayak Income '!D177,'MPG Payment '!AJ:AJ)</f>
        <v>0</v>
      </c>
      <c r="AP177" s="19">
        <f t="shared" si="44"/>
        <v>0</v>
      </c>
      <c r="AQ177" s="119">
        <f t="shared" si="53"/>
        <v>0</v>
      </c>
      <c r="AR177" s="91" t="s">
        <v>1144</v>
      </c>
      <c r="AS177" s="91">
        <f t="shared" si="45"/>
        <v>0</v>
      </c>
      <c r="AT177" s="118"/>
      <c r="AU177" s="118"/>
      <c r="AV177" s="118"/>
    </row>
    <row r="178" spans="1:48" s="20" customFormat="1" x14ac:dyDescent="0.25">
      <c r="A178" s="17">
        <f>IFERROR(VLOOKUP(D178,'Monthly Deduction'!$I$3:$J$957,2,0),0)</f>
        <v>30381.412602822849</v>
      </c>
      <c r="B178" s="17">
        <f>IFERROR(VLOOKUP(D178,'Monthly Deduction'!$E$3:$F$957,2,0),0)</f>
        <v>21062.8194</v>
      </c>
      <c r="C178" s="17">
        <f t="shared" si="46"/>
        <v>51444.23200282285</v>
      </c>
      <c r="D178" s="41">
        <v>10070045</v>
      </c>
      <c r="E178" s="122" t="str">
        <f>VLOOKUP(D178,'MPG Payment '!$E$3:$G$497305,2,0)</f>
        <v>Gomukh Gauchhari</v>
      </c>
      <c r="F178" s="146">
        <f>IFERROR(_xlfn.XLOOKUP(D178,'Monthly Deduction'!$I$3:$I$957,'Monthly Deduction'!$H$3:$H$957),0)</f>
        <v>0</v>
      </c>
      <c r="G178" s="123" t="str">
        <f>VLOOKUP(D178,'MPG Payment '!$E$3:$G$333666,3,0)</f>
        <v>MPG</v>
      </c>
      <c r="H178" s="124" t="str">
        <f>VLOOKUP(D178,'MPG Payment '!$E$3:$H$333666,4,0)</f>
        <v>Direct</v>
      </c>
      <c r="I178" s="88">
        <f>INDEX('MPG Payment '!$C:$C,MATCH('Shayak Income '!D178,'MPG Payment '!E:E,0))</f>
        <v>1007</v>
      </c>
      <c r="J178" s="88" t="str">
        <f>INDEX('MPG Payment '!$D:$D,MATCH('Shayak Income '!D178,'MPG Payment '!E:E,0))</f>
        <v>Araria</v>
      </c>
      <c r="K178" s="125" t="s">
        <v>1594</v>
      </c>
      <c r="L178" s="125">
        <v>45646</v>
      </c>
      <c r="M178" s="126">
        <f>SUMIF('MPG Payment '!$E$3:$E$344841,'Shayak Income '!D178,'MPG Payment '!$I$3:$I$344841)</f>
        <v>266.3</v>
      </c>
      <c r="N178" s="126">
        <f>SUMIF('MPG Payment '!$E$3:$E$344841,'Shayak Income '!D178,'MPG Payment '!$J$3:$J$344841)</f>
        <v>10271.959999999999</v>
      </c>
      <c r="O178" s="126">
        <f t="shared" si="47"/>
        <v>199.72500000000002</v>
      </c>
      <c r="P178" s="126">
        <f t="shared" si="48"/>
        <v>252.98499999999999</v>
      </c>
      <c r="Q178" s="126">
        <f>SUMIF('MPG Payment '!$E$3:$E$344841,'Shayak Income '!D178,'MPG Payment '!$S$3:$S$344841)</f>
        <v>0</v>
      </c>
      <c r="R178" s="126">
        <f t="shared" si="38"/>
        <v>308.15879999999999</v>
      </c>
      <c r="S178" s="126">
        <f t="shared" si="39"/>
        <v>55.1738</v>
      </c>
      <c r="T178" s="126">
        <f t="shared" si="49"/>
        <v>26.630000000000003</v>
      </c>
      <c r="U178" s="127">
        <f>((((((IF(K178="New",0,SUMIF('MPG Payment '!$E$3:$E$344841,'Shayak Income '!D178,'MPG Payment '!$AC$3:$AC$344841))))+0)+0)+0)+0)+-1539</f>
        <v>426.28352719746204</v>
      </c>
      <c r="V178" s="127">
        <f t="shared" si="50"/>
        <v>0</v>
      </c>
      <c r="W178" s="19">
        <v>0</v>
      </c>
      <c r="X178" s="19">
        <v>0</v>
      </c>
      <c r="Y178" s="128">
        <v>0</v>
      </c>
      <c r="Z178" s="128">
        <v>0</v>
      </c>
      <c r="AA178" s="126">
        <v>0</v>
      </c>
      <c r="AB178" s="129">
        <f t="shared" si="41"/>
        <v>0</v>
      </c>
      <c r="AC178" s="130">
        <v>0</v>
      </c>
      <c r="AD178" s="35">
        <f t="shared" si="51"/>
        <v>0</v>
      </c>
      <c r="AE178" s="166" t="str">
        <f t="shared" si="52"/>
        <v>Release</v>
      </c>
      <c r="AF178" s="127"/>
      <c r="AG178" s="127">
        <v>0</v>
      </c>
      <c r="AH178" s="120"/>
      <c r="AI178" s="238">
        <v>0</v>
      </c>
      <c r="AJ178" s="132"/>
      <c r="AK178" s="151">
        <v>19.200000000000003</v>
      </c>
      <c r="AL178" s="154">
        <f t="shared" si="42"/>
        <v>0</v>
      </c>
      <c r="AM178" s="155"/>
      <c r="AN178" s="19">
        <f t="shared" si="43"/>
        <v>1861</v>
      </c>
      <c r="AO178" s="118">
        <f>SUMIF('MPG Payment '!E:E,'Shayak Income '!D178,'MPG Payment '!AJ:AJ)</f>
        <v>0</v>
      </c>
      <c r="AP178" s="19">
        <f t="shared" si="44"/>
        <v>0</v>
      </c>
      <c r="AQ178" s="119">
        <f t="shared" si="53"/>
        <v>0</v>
      </c>
      <c r="AR178" s="91" t="s">
        <v>1144</v>
      </c>
      <c r="AS178" s="91">
        <f t="shared" si="45"/>
        <v>21062.8194</v>
      </c>
      <c r="AT178" s="118"/>
      <c r="AU178" s="118"/>
      <c r="AV178" s="118"/>
    </row>
    <row r="179" spans="1:48" s="20" customFormat="1" x14ac:dyDescent="0.25">
      <c r="A179" s="17">
        <f>IFERROR(VLOOKUP(D179,'Monthly Deduction'!$I$3:$J$957,2,0),0)</f>
        <v>0</v>
      </c>
      <c r="B179" s="17">
        <f>IFERROR(VLOOKUP(D179,'Monthly Deduction'!$E$3:$F$957,2,0),0)</f>
        <v>0</v>
      </c>
      <c r="C179" s="17">
        <f t="shared" si="46"/>
        <v>0</v>
      </c>
      <c r="D179" s="41">
        <v>10070046</v>
      </c>
      <c r="E179" s="122" t="str">
        <f>VLOOKUP(D179,'MPG Payment '!$E$3:$G$497305,2,0)</f>
        <v>Telouch</v>
      </c>
      <c r="F179" s="146">
        <f>IFERROR(_xlfn.XLOOKUP(D179,'Monthly Deduction'!$I$3:$I$957,'Monthly Deduction'!$H$3:$H$957),0)</f>
        <v>0</v>
      </c>
      <c r="G179" s="123" t="str">
        <f>VLOOKUP(D179,'MPG Payment '!$E$3:$G$333666,3,0)</f>
        <v>MPG</v>
      </c>
      <c r="H179" s="124" t="str">
        <f>VLOOKUP(D179,'MPG Payment '!$E$3:$H$333666,4,0)</f>
        <v>Direct</v>
      </c>
      <c r="I179" s="88">
        <f>INDEX('MPG Payment '!$C:$C,MATCH('Shayak Income '!D179,'MPG Payment '!E:E,0))</f>
        <v>1056</v>
      </c>
      <c r="J179" s="88" t="str">
        <f>INDEX('MPG Payment '!$D:$D,MATCH('Shayak Income '!D179,'MPG Payment '!E:E,0))</f>
        <v>Chautham</v>
      </c>
      <c r="K179" s="125" t="s">
        <v>1594</v>
      </c>
      <c r="L179" s="125">
        <v>45647</v>
      </c>
      <c r="M179" s="126">
        <f>SUMIF('MPG Payment '!$E$3:$E$344841,'Shayak Income '!D179,'MPG Payment '!$I$3:$I$344841)</f>
        <v>6211.4199999999992</v>
      </c>
      <c r="N179" s="126">
        <f>SUMIF('MPG Payment '!$E$3:$E$344841,'Shayak Income '!D179,'MPG Payment '!$J$3:$J$344841)</f>
        <v>246211.91999999998</v>
      </c>
      <c r="O179" s="126">
        <f t="shared" si="47"/>
        <v>4658.5649999999996</v>
      </c>
      <c r="P179" s="126">
        <f t="shared" si="48"/>
        <v>5900.8489999999993</v>
      </c>
      <c r="Q179" s="126">
        <f>SUMIF('MPG Payment '!$E$3:$E$344841,'Shayak Income '!D179,'MPG Payment '!$S$3:$S$344841)</f>
        <v>812.45000000000016</v>
      </c>
      <c r="R179" s="126">
        <f t="shared" si="38"/>
        <v>7386.3575999999994</v>
      </c>
      <c r="S179" s="126">
        <f t="shared" si="39"/>
        <v>1485.5086000000001</v>
      </c>
      <c r="T179" s="126">
        <f t="shared" si="49"/>
        <v>621.14199999999994</v>
      </c>
      <c r="U179" s="127">
        <f>((((((IF(K179="New",0,SUMIF('MPG Payment '!$E$3:$E$344841,'Shayak Income '!D179,'MPG Payment '!$AC$3:$AC$344841))))+0)+0)+0)+0)+0</f>
        <v>0</v>
      </c>
      <c r="V179" s="127">
        <f t="shared" si="50"/>
        <v>10751</v>
      </c>
      <c r="W179" s="19">
        <f t="shared" si="54"/>
        <v>0</v>
      </c>
      <c r="X179" s="19">
        <f t="shared" si="40"/>
        <v>0</v>
      </c>
      <c r="Y179" s="128">
        <f>IFERROR(VLOOKUP(D179,'Monthly Deduction'!$M$2:$N$640,2,0),0)</f>
        <v>0</v>
      </c>
      <c r="Z179" s="128">
        <v>0</v>
      </c>
      <c r="AA179" s="126">
        <f>IFERROR(VLOOKUP(D179,'Monthly Deduction'!A:B,2,0),0)</f>
        <v>679.32854097868517</v>
      </c>
      <c r="AB179" s="129">
        <f t="shared" si="41"/>
        <v>10072</v>
      </c>
      <c r="AC179" s="130">
        <v>0</v>
      </c>
      <c r="AD179" s="35">
        <f t="shared" si="51"/>
        <v>10072</v>
      </c>
      <c r="AE179" s="166" t="str">
        <f t="shared" si="52"/>
        <v>Release</v>
      </c>
      <c r="AF179" s="127"/>
      <c r="AG179" s="18">
        <v>0</v>
      </c>
      <c r="AH179" s="132"/>
      <c r="AI179" s="238">
        <v>0</v>
      </c>
      <c r="AJ179" s="132"/>
      <c r="AK179" s="151">
        <v>1035.6000000000001</v>
      </c>
      <c r="AL179" s="154">
        <f t="shared" si="42"/>
        <v>0</v>
      </c>
      <c r="AM179" s="155"/>
      <c r="AN179" s="19">
        <f t="shared" si="43"/>
        <v>0</v>
      </c>
      <c r="AO179" s="118">
        <f>SUMIF('MPG Payment '!E:E,'Shayak Income '!D179,'MPG Payment '!AJ:AJ)</f>
        <v>0</v>
      </c>
      <c r="AP179" s="19">
        <f t="shared" si="44"/>
        <v>0</v>
      </c>
      <c r="AQ179" s="119">
        <f t="shared" si="53"/>
        <v>0</v>
      </c>
      <c r="AR179" s="91" t="s">
        <v>1144</v>
      </c>
      <c r="AS179" s="91">
        <f t="shared" si="45"/>
        <v>0</v>
      </c>
      <c r="AT179" s="118"/>
      <c r="AU179" s="118"/>
      <c r="AV179" s="118"/>
    </row>
    <row r="180" spans="1:48" s="20" customFormat="1" x14ac:dyDescent="0.25">
      <c r="A180" s="17">
        <f>IFERROR(VLOOKUP(D180,'Monthly Deduction'!$I$3:$J$957,2,0),0)</f>
        <v>11790.42448698185</v>
      </c>
      <c r="B180" s="17">
        <f>IFERROR(VLOOKUP(D180,'Monthly Deduction'!$E$3:$F$957,2,0),0)</f>
        <v>614.09939999999915</v>
      </c>
      <c r="C180" s="17">
        <f t="shared" si="46"/>
        <v>12404.52388698185</v>
      </c>
      <c r="D180" s="41">
        <v>10070048</v>
      </c>
      <c r="E180" s="122" t="str">
        <f>VLOOKUP(D180,'MPG Payment '!$E$3:$G$497305,2,0)</f>
        <v>Gomukh Jhangara B</v>
      </c>
      <c r="F180" s="146">
        <f>IFERROR(_xlfn.XLOOKUP(D180,'Monthly Deduction'!$I$3:$I$957,'Monthly Deduction'!$H$3:$H$957),0)</f>
        <v>0</v>
      </c>
      <c r="G180" s="123" t="str">
        <f>VLOOKUP(D180,'MPG Payment '!$E$3:$G$333666,3,0)</f>
        <v>MPG</v>
      </c>
      <c r="H180" s="124" t="str">
        <f>VLOOKUP(D180,'MPG Payment '!$E$3:$H$333666,4,0)</f>
        <v>Direct</v>
      </c>
      <c r="I180" s="88">
        <f>INDEX('MPG Payment '!$C:$C,MATCH('Shayak Income '!D180,'MPG Payment '!E:E,0))</f>
        <v>1010</v>
      </c>
      <c r="J180" s="88" t="str">
        <f>INDEX('MPG Payment '!$D:$D,MATCH('Shayak Income '!D180,'MPG Payment '!E:E,0))</f>
        <v>Parbatta</v>
      </c>
      <c r="K180" s="125" t="s">
        <v>1594</v>
      </c>
      <c r="L180" s="125">
        <v>45681</v>
      </c>
      <c r="M180" s="126">
        <f>SUMIF('MPG Payment '!$E$3:$E$344841,'Shayak Income '!D180,'MPG Payment '!$I$3:$I$344841)</f>
        <v>6525.4000000000005</v>
      </c>
      <c r="N180" s="126">
        <f>SUMIF('MPG Payment '!$E$3:$E$344841,'Shayak Income '!D180,'MPG Payment '!$J$3:$J$344841)</f>
        <v>262213.27999999997</v>
      </c>
      <c r="O180" s="126">
        <f t="shared" si="47"/>
        <v>4894.05</v>
      </c>
      <c r="P180" s="126">
        <f t="shared" si="48"/>
        <v>6199.13</v>
      </c>
      <c r="Q180" s="126">
        <f>SUMIF('MPG Payment '!$E$3:$E$344841,'Shayak Income '!D180,'MPG Payment '!$S$3:$S$344841)</f>
        <v>0</v>
      </c>
      <c r="R180" s="126">
        <f t="shared" si="38"/>
        <v>7866.3983999999991</v>
      </c>
      <c r="S180" s="126">
        <f t="shared" si="39"/>
        <v>1667.268399999999</v>
      </c>
      <c r="T180" s="126">
        <f t="shared" si="49"/>
        <v>652.54000000000008</v>
      </c>
      <c r="U180" s="127">
        <f>((((((IF(K180="New",0,SUMIF('MPG Payment '!$E$3:$E$344841,'Shayak Income '!D180,'MPG Payment '!$AC$3:$AC$344841))))+0)+0)+0)+0)+0</f>
        <v>0</v>
      </c>
      <c r="V180" s="127">
        <f t="shared" si="50"/>
        <v>10441</v>
      </c>
      <c r="W180" s="19">
        <f t="shared" si="54"/>
        <v>5244.2655999999997</v>
      </c>
      <c r="X180" s="19">
        <v>0</v>
      </c>
      <c r="Y180" s="128">
        <f>IFERROR(VLOOKUP(D180,'Monthly Deduction'!$M$2:$N$640,2,0),0)</f>
        <v>0</v>
      </c>
      <c r="Z180" s="128">
        <v>0</v>
      </c>
      <c r="AA180" s="126">
        <f>IFERROR(VLOOKUP(D180,'Monthly Deduction'!A:B,2,0),0)</f>
        <v>0</v>
      </c>
      <c r="AB180" s="129">
        <f t="shared" si="41"/>
        <v>5197</v>
      </c>
      <c r="AC180" s="130">
        <v>0</v>
      </c>
      <c r="AD180" s="35">
        <f t="shared" si="51"/>
        <v>5197</v>
      </c>
      <c r="AE180" s="166" t="str">
        <f t="shared" si="52"/>
        <v>Release</v>
      </c>
      <c r="AF180" s="127"/>
      <c r="AG180" s="18">
        <v>0</v>
      </c>
      <c r="AH180" s="120"/>
      <c r="AI180" s="238">
        <v>0</v>
      </c>
      <c r="AJ180" s="132"/>
      <c r="AK180" s="151">
        <v>1358.5</v>
      </c>
      <c r="AL180" s="154">
        <f t="shared" si="42"/>
        <v>0</v>
      </c>
      <c r="AM180" s="155"/>
      <c r="AN180" s="19">
        <f t="shared" si="43"/>
        <v>5244.2655999999997</v>
      </c>
      <c r="AO180" s="118">
        <f>SUMIF('MPG Payment '!E:E,'Shayak Income '!D180,'MPG Payment '!AJ:AJ)</f>
        <v>0</v>
      </c>
      <c r="AP180" s="19">
        <f t="shared" si="44"/>
        <v>5244.2655999999997</v>
      </c>
      <c r="AQ180" s="119">
        <f t="shared" si="53"/>
        <v>5244.2655999999997</v>
      </c>
      <c r="AR180" s="91" t="s">
        <v>1144</v>
      </c>
      <c r="AS180" s="91">
        <f t="shared" si="45"/>
        <v>614.09939999999915</v>
      </c>
      <c r="AT180" s="118"/>
      <c r="AU180" s="118"/>
      <c r="AV180" s="118"/>
    </row>
    <row r="181" spans="1:48" s="20" customFormat="1" x14ac:dyDescent="0.25">
      <c r="A181" s="17">
        <f>IFERROR(VLOOKUP(D181,'Monthly Deduction'!$I$3:$J$957,2,0),0)</f>
        <v>0</v>
      </c>
      <c r="B181" s="17">
        <f>IFERROR(VLOOKUP(D181,'Monthly Deduction'!$E$3:$F$957,2,0),0)</f>
        <v>0</v>
      </c>
      <c r="C181" s="17">
        <f t="shared" si="46"/>
        <v>0</v>
      </c>
      <c r="D181" s="41">
        <v>10070056</v>
      </c>
      <c r="E181" s="122" t="str">
        <f>VLOOKUP(D181,'MPG Payment '!$E$3:$G$497305,2,0)</f>
        <v xml:space="preserve"> Gomukh Nauranga</v>
      </c>
      <c r="F181" s="146">
        <f>IFERROR(_xlfn.XLOOKUP(D181,'Monthly Deduction'!$I$3:$I$957,'Monthly Deduction'!$H$3:$H$957),0)</f>
        <v>0</v>
      </c>
      <c r="G181" s="123" t="str">
        <f>VLOOKUP(D181,'MPG Payment '!$E$3:$G$333666,3,0)</f>
        <v>vlc</v>
      </c>
      <c r="H181" s="124" t="str">
        <f>VLOOKUP(D181,'MPG Payment '!$E$3:$H$333666,4,0)</f>
        <v>Indirect</v>
      </c>
      <c r="I181" s="88">
        <f>INDEX('MPG Payment '!$C:$C,MATCH('Shayak Income '!D181,'MPG Payment '!E:E,0))</f>
        <v>1056</v>
      </c>
      <c r="J181" s="88" t="str">
        <f>INDEX('MPG Payment '!$D:$D,MATCH('Shayak Income '!D181,'MPG Payment '!E:E,0))</f>
        <v>Chautham</v>
      </c>
      <c r="K181" s="125" t="s">
        <v>1594</v>
      </c>
      <c r="L181" s="125">
        <v>45709</v>
      </c>
      <c r="M181" s="126">
        <f>SUMIF('MPG Payment '!$E$3:$E$344841,'Shayak Income '!D181,'MPG Payment '!$I$3:$I$344841)</f>
        <v>832.33999999999992</v>
      </c>
      <c r="N181" s="126">
        <f>SUMIF('MPG Payment '!$E$3:$E$344841,'Shayak Income '!D181,'MPG Payment '!$J$3:$J$344841)</f>
        <v>35021.020000000004</v>
      </c>
      <c r="O181" s="126">
        <f t="shared" si="47"/>
        <v>624.25499999999988</v>
      </c>
      <c r="P181" s="126">
        <f t="shared" si="48"/>
        <v>790.72299999999984</v>
      </c>
      <c r="Q181" s="126">
        <f>SUMIF('MPG Payment '!$E$3:$E$344841,'Shayak Income '!D181,'MPG Payment '!$S$3:$S$344841)</f>
        <v>0</v>
      </c>
      <c r="R181" s="126">
        <f t="shared" si="38"/>
        <v>1050.6306000000002</v>
      </c>
      <c r="S181" s="126">
        <f t="shared" si="39"/>
        <v>259.90760000000034</v>
      </c>
      <c r="T181" s="126">
        <f t="shared" si="49"/>
        <v>83.233999999999995</v>
      </c>
      <c r="U181" s="127">
        <f>((((((IF(K181="New",0,SUMIF('MPG Payment '!$E$3:$E$344841,'Shayak Income '!D181,'MPG Payment '!$AC$3:$AC$344841))))+0)+0)+0)+0)+-316</f>
        <v>1332.1626375399737</v>
      </c>
      <c r="V181" s="127">
        <f t="shared" si="50"/>
        <v>0</v>
      </c>
      <c r="W181" s="19">
        <v>0</v>
      </c>
      <c r="X181" s="19">
        <v>0</v>
      </c>
      <c r="Y181" s="128">
        <v>0</v>
      </c>
      <c r="Z181" s="128">
        <v>0</v>
      </c>
      <c r="AA181" s="126">
        <v>0</v>
      </c>
      <c r="AB181" s="129">
        <f t="shared" si="41"/>
        <v>0</v>
      </c>
      <c r="AC181" s="130">
        <v>0</v>
      </c>
      <c r="AD181" s="35">
        <f t="shared" si="51"/>
        <v>0</v>
      </c>
      <c r="AE181" s="166" t="str">
        <f t="shared" si="52"/>
        <v>Release</v>
      </c>
      <c r="AF181" s="127"/>
      <c r="AG181" s="127">
        <v>0</v>
      </c>
      <c r="AH181" s="132"/>
      <c r="AI181" s="238">
        <v>0</v>
      </c>
      <c r="AJ181" s="132"/>
      <c r="AK181" s="151">
        <v>33.36</v>
      </c>
      <c r="AL181" s="154">
        <f t="shared" si="42"/>
        <v>0</v>
      </c>
      <c r="AM181" s="155"/>
      <c r="AN181" s="19">
        <f t="shared" si="43"/>
        <v>0</v>
      </c>
      <c r="AO181" s="118">
        <f>SUMIF('MPG Payment '!E:E,'Shayak Income '!D181,'MPG Payment '!AJ:AJ)</f>
        <v>0</v>
      </c>
      <c r="AP181" s="19">
        <f t="shared" si="44"/>
        <v>0</v>
      </c>
      <c r="AQ181" s="119">
        <f t="shared" si="53"/>
        <v>0</v>
      </c>
      <c r="AR181" s="91" t="s">
        <v>1144</v>
      </c>
      <c r="AS181" s="91">
        <f t="shared" si="45"/>
        <v>0</v>
      </c>
      <c r="AT181" s="118"/>
      <c r="AU181" s="118"/>
      <c r="AV181" s="118"/>
    </row>
    <row r="182" spans="1:48" s="20" customFormat="1" x14ac:dyDescent="0.25">
      <c r="A182" s="17">
        <f>IFERROR(VLOOKUP(D182,'Monthly Deduction'!$I$3:$J$957,2,0),0)</f>
        <v>0</v>
      </c>
      <c r="B182" s="17">
        <f>IFERROR(VLOOKUP(D182,'Monthly Deduction'!$E$3:$F$957,2,0),0)</f>
        <v>0</v>
      </c>
      <c r="C182" s="17">
        <f t="shared" si="46"/>
        <v>0</v>
      </c>
      <c r="D182" s="41">
        <v>10070059</v>
      </c>
      <c r="E182" s="122" t="str">
        <f>VLOOKUP(D182,'MPG Payment '!$E$3:$G$497305,2,0)</f>
        <v>Gomukh Pakrail Vijay Nagar VLC</v>
      </c>
      <c r="F182" s="146">
        <f>IFERROR(_xlfn.XLOOKUP(D182,'Monthly Deduction'!$I$3:$I$957,'Monthly Deduction'!$H$3:$H$957),0)</f>
        <v>0</v>
      </c>
      <c r="G182" s="123" t="str">
        <f>VLOOKUP(D182,'MPG Payment '!$E$3:$G$333666,3,0)</f>
        <v>vlc</v>
      </c>
      <c r="H182" s="124" t="str">
        <f>VLOOKUP(D182,'MPG Payment '!$E$3:$H$333666,4,0)</f>
        <v>Indirect</v>
      </c>
      <c r="I182" s="88">
        <f>INDEX('MPG Payment '!$C:$C,MATCH('Shayak Income '!D182,'MPG Payment '!E:E,0))</f>
        <v>1056</v>
      </c>
      <c r="J182" s="88" t="str">
        <f>INDEX('MPG Payment '!$D:$D,MATCH('Shayak Income '!D182,'MPG Payment '!E:E,0))</f>
        <v>Chautham</v>
      </c>
      <c r="K182" s="125" t="s">
        <v>1594</v>
      </c>
      <c r="L182" s="125">
        <v>45726</v>
      </c>
      <c r="M182" s="126">
        <f>SUMIF('MPG Payment '!$E$3:$E$344841,'Shayak Income '!D182,'MPG Payment '!$I$3:$I$344841)</f>
        <v>2679</v>
      </c>
      <c r="N182" s="126">
        <f>SUMIF('MPG Payment '!$E$3:$E$344841,'Shayak Income '!D182,'MPG Payment '!$J$3:$J$344841)</f>
        <v>105285.48999999999</v>
      </c>
      <c r="O182" s="126">
        <f t="shared" si="47"/>
        <v>2009.25</v>
      </c>
      <c r="P182" s="126">
        <f t="shared" si="48"/>
        <v>2545.0499999999997</v>
      </c>
      <c r="Q182" s="126">
        <f>SUMIF('MPG Payment '!$E$3:$E$344841,'Shayak Income '!D182,'MPG Payment '!$S$3:$S$344841)</f>
        <v>0</v>
      </c>
      <c r="R182" s="126">
        <f t="shared" si="38"/>
        <v>3158.5646999999994</v>
      </c>
      <c r="S182" s="126">
        <f t="shared" si="39"/>
        <v>613.51469999999972</v>
      </c>
      <c r="T182" s="126">
        <f t="shared" si="49"/>
        <v>267.90000000000003</v>
      </c>
      <c r="U182" s="127">
        <f>((((((IF(K182="New",0,SUMIF('MPG Payment '!$E$3:$E$344841,'Shayak Income '!D182,'MPG Payment '!$AC$3:$AC$344841))))+0)+0)+0)+0)+0</f>
        <v>185.06947317640427</v>
      </c>
      <c r="V182" s="127">
        <f t="shared" si="50"/>
        <v>4101</v>
      </c>
      <c r="W182" s="19">
        <f t="shared" si="54"/>
        <v>0</v>
      </c>
      <c r="X182" s="19">
        <f t="shared" si="40"/>
        <v>0</v>
      </c>
      <c r="Y182" s="128">
        <f>IFERROR(VLOOKUP(D182,'Monthly Deduction'!$M$2:$N$640,2,0),0)</f>
        <v>0</v>
      </c>
      <c r="Z182" s="128">
        <v>0</v>
      </c>
      <c r="AA182" s="126">
        <f>IFERROR(VLOOKUP(D182,'Monthly Deduction'!A:B,2,0),0)</f>
        <v>0</v>
      </c>
      <c r="AB182" s="129">
        <f t="shared" si="41"/>
        <v>4101</v>
      </c>
      <c r="AC182" s="130">
        <v>0</v>
      </c>
      <c r="AD182" s="35">
        <f t="shared" si="51"/>
        <v>4101</v>
      </c>
      <c r="AE182" s="166" t="str">
        <f t="shared" si="52"/>
        <v>Release</v>
      </c>
      <c r="AF182" s="127"/>
      <c r="AG182" s="18">
        <v>0</v>
      </c>
      <c r="AH182" s="132"/>
      <c r="AI182" s="238">
        <v>0</v>
      </c>
      <c r="AJ182" s="132"/>
      <c r="AK182" s="151">
        <v>757.93999999999994</v>
      </c>
      <c r="AL182" s="154">
        <f t="shared" si="42"/>
        <v>0</v>
      </c>
      <c r="AM182" s="155"/>
      <c r="AN182" s="19">
        <f t="shared" si="43"/>
        <v>0</v>
      </c>
      <c r="AO182" s="118">
        <f>SUMIF('MPG Payment '!E:E,'Shayak Income '!D182,'MPG Payment '!AJ:AJ)</f>
        <v>0</v>
      </c>
      <c r="AP182" s="19">
        <f t="shared" si="44"/>
        <v>0</v>
      </c>
      <c r="AQ182" s="119">
        <f t="shared" si="53"/>
        <v>0</v>
      </c>
      <c r="AR182" s="91" t="s">
        <v>1144</v>
      </c>
      <c r="AS182" s="91">
        <f t="shared" si="45"/>
        <v>0</v>
      </c>
      <c r="AT182" s="118"/>
      <c r="AU182" s="118"/>
      <c r="AV182" s="118"/>
    </row>
    <row r="183" spans="1:48" s="20" customFormat="1" x14ac:dyDescent="0.25">
      <c r="A183" s="17">
        <f>IFERROR(VLOOKUP(D183,'Monthly Deduction'!$I$3:$J$957,2,0),0)</f>
        <v>0</v>
      </c>
      <c r="B183" s="17">
        <f>IFERROR(VLOOKUP(D183,'Monthly Deduction'!$E$3:$F$957,2,0),0)</f>
        <v>0</v>
      </c>
      <c r="C183" s="17">
        <f t="shared" si="46"/>
        <v>0</v>
      </c>
      <c r="D183" s="41">
        <v>10070061</v>
      </c>
      <c r="E183" s="122" t="str">
        <f>VLOOKUP(D183,'MPG Payment '!$E$3:$G$497305,2,0)</f>
        <v>Gomukh Godhiyasi Nayagow VLC</v>
      </c>
      <c r="F183" s="146">
        <f>IFERROR(_xlfn.XLOOKUP(D183,'Monthly Deduction'!$I$3:$I$957,'Monthly Deduction'!$H$3:$H$957),0)</f>
        <v>0</v>
      </c>
      <c r="G183" s="123" t="str">
        <f>VLOOKUP(D183,'MPG Payment '!$E$3:$G$333666,3,0)</f>
        <v>vlc</v>
      </c>
      <c r="H183" s="124" t="str">
        <f>VLOOKUP(D183,'MPG Payment '!$E$3:$H$333666,4,0)</f>
        <v>Indirect</v>
      </c>
      <c r="I183" s="88">
        <f>INDEX('MPG Payment '!$C:$C,MATCH('Shayak Income '!D183,'MPG Payment '!E:E,0))</f>
        <v>1007</v>
      </c>
      <c r="J183" s="88" t="str">
        <f>INDEX('MPG Payment '!$D:$D,MATCH('Shayak Income '!D183,'MPG Payment '!E:E,0))</f>
        <v>Araria</v>
      </c>
      <c r="K183" s="125" t="s">
        <v>1594</v>
      </c>
      <c r="L183" s="125">
        <v>45742</v>
      </c>
      <c r="M183" s="126">
        <f>SUMIF('MPG Payment '!$E$3:$E$344841,'Shayak Income '!D183,'MPG Payment '!$I$3:$I$344841)</f>
        <v>1163.5</v>
      </c>
      <c r="N183" s="126">
        <f>SUMIF('MPG Payment '!$E$3:$E$344841,'Shayak Income '!D183,'MPG Payment '!$J$3:$J$344841)</f>
        <v>43609.569999999992</v>
      </c>
      <c r="O183" s="126">
        <f t="shared" si="47"/>
        <v>872.625</v>
      </c>
      <c r="P183" s="126">
        <f t="shared" si="48"/>
        <v>1105.325</v>
      </c>
      <c r="Q183" s="126">
        <f>SUMIF('MPG Payment '!$E$3:$E$344841,'Shayak Income '!D183,'MPG Payment '!$S$3:$S$344841)</f>
        <v>0</v>
      </c>
      <c r="R183" s="126">
        <f t="shared" si="38"/>
        <v>1308.2870999999998</v>
      </c>
      <c r="S183" s="126">
        <f t="shared" si="39"/>
        <v>202.96209999999974</v>
      </c>
      <c r="T183" s="126">
        <f t="shared" si="49"/>
        <v>116.35000000000001</v>
      </c>
      <c r="U183" s="127">
        <f>((((((IF(K183="New",0,SUMIF('MPG Payment '!$E$3:$E$344841,'Shayak Income '!D183,'MPG Payment '!$AC$3:$AC$344841))))+0)+0)+0)+0)+0</f>
        <v>1227.5206828750997</v>
      </c>
      <c r="V183" s="127">
        <f t="shared" si="50"/>
        <v>634</v>
      </c>
      <c r="W183" s="19">
        <f t="shared" si="54"/>
        <v>0</v>
      </c>
      <c r="X183" s="19">
        <f t="shared" si="40"/>
        <v>0</v>
      </c>
      <c r="Y183" s="128">
        <f>IFERROR(VLOOKUP(D183,'Monthly Deduction'!$M$2:$N$640,2,0),0)</f>
        <v>0</v>
      </c>
      <c r="Z183" s="128">
        <v>0</v>
      </c>
      <c r="AA183" s="126">
        <f>IFERROR(VLOOKUP(D183,'Monthly Deduction'!A:B,2,0),0)</f>
        <v>1.5</v>
      </c>
      <c r="AB183" s="129">
        <f t="shared" si="41"/>
        <v>633</v>
      </c>
      <c r="AC183" s="130">
        <v>0</v>
      </c>
      <c r="AD183" s="35">
        <f t="shared" si="51"/>
        <v>633</v>
      </c>
      <c r="AE183" s="166" t="str">
        <f t="shared" si="52"/>
        <v>Release</v>
      </c>
      <c r="AF183" s="127"/>
      <c r="AG183" s="127">
        <v>0</v>
      </c>
      <c r="AH183" s="120"/>
      <c r="AI183" s="238">
        <v>0</v>
      </c>
      <c r="AJ183" s="132"/>
      <c r="AK183" s="151">
        <v>265</v>
      </c>
      <c r="AL183" s="154">
        <f t="shared" si="42"/>
        <v>0</v>
      </c>
      <c r="AM183" s="155"/>
      <c r="AN183" s="19">
        <f t="shared" si="43"/>
        <v>0</v>
      </c>
      <c r="AO183" s="118">
        <f>SUMIF('MPG Payment '!E:E,'Shayak Income '!D183,'MPG Payment '!AJ:AJ)</f>
        <v>0</v>
      </c>
      <c r="AP183" s="19">
        <f t="shared" si="44"/>
        <v>0</v>
      </c>
      <c r="AQ183" s="119">
        <f t="shared" si="53"/>
        <v>0</v>
      </c>
      <c r="AR183" s="91" t="s">
        <v>1144</v>
      </c>
      <c r="AS183" s="91">
        <f t="shared" si="45"/>
        <v>0</v>
      </c>
      <c r="AT183" s="118"/>
      <c r="AU183" s="118"/>
      <c r="AV183" s="118"/>
    </row>
    <row r="184" spans="1:48" s="20" customFormat="1" x14ac:dyDescent="0.25">
      <c r="A184" s="17">
        <f>IFERROR(VLOOKUP(D184,'Monthly Deduction'!$I$3:$J$957,2,0),0)</f>
        <v>63934.3257323176</v>
      </c>
      <c r="B184" s="17">
        <f>IFERROR(VLOOKUP(D184,'Monthly Deduction'!$E$3:$F$957,2,0),0)</f>
        <v>6400</v>
      </c>
      <c r="C184" s="17">
        <f t="shared" si="46"/>
        <v>70334.325732317608</v>
      </c>
      <c r="D184" s="41">
        <v>10070063</v>
      </c>
      <c r="E184" s="122" t="str">
        <f>VLOOKUP(D184,'MPG Payment '!$E$3:$G$497305,2,0)</f>
        <v>Gomukh Bandehra Purbi</v>
      </c>
      <c r="F184" s="146">
        <f>IFERROR(_xlfn.XLOOKUP(D184,'Monthly Deduction'!$I$3:$I$957,'Monthly Deduction'!$H$3:$H$957),0)</f>
        <v>0</v>
      </c>
      <c r="G184" s="123" t="str">
        <f>VLOOKUP(D184,'MPG Payment '!$E$3:$G$333666,3,0)</f>
        <v>MPG</v>
      </c>
      <c r="H184" s="124" t="str">
        <f>VLOOKUP(D184,'MPG Payment '!$E$3:$H$333666,4,0)</f>
        <v>Direct</v>
      </c>
      <c r="I184" s="88">
        <f>INDEX('MPG Payment '!$C:$C,MATCH('Shayak Income '!D184,'MPG Payment '!E:E,0))</f>
        <v>1010</v>
      </c>
      <c r="J184" s="88" t="str">
        <f>INDEX('MPG Payment '!$D:$D,MATCH('Shayak Income '!D184,'MPG Payment '!E:E,0))</f>
        <v>Parbatta</v>
      </c>
      <c r="K184" s="125" t="s">
        <v>1594</v>
      </c>
      <c r="L184" s="125">
        <v>45770</v>
      </c>
      <c r="M184" s="126">
        <f>SUMIF('MPG Payment '!$E$3:$E$344841,'Shayak Income '!D184,'MPG Payment '!$I$3:$I$344841)</f>
        <v>1241</v>
      </c>
      <c r="N184" s="126">
        <f>SUMIF('MPG Payment '!$E$3:$E$344841,'Shayak Income '!D184,'MPG Payment '!$J$3:$J$344841)</f>
        <v>48858.9</v>
      </c>
      <c r="O184" s="126">
        <f t="shared" si="47"/>
        <v>930.75</v>
      </c>
      <c r="P184" s="126">
        <f t="shared" si="48"/>
        <v>1178.95</v>
      </c>
      <c r="Q184" s="126">
        <f>SUMIF('MPG Payment '!$E$3:$E$344841,'Shayak Income '!D184,'MPG Payment '!$S$3:$S$344841)</f>
        <v>0</v>
      </c>
      <c r="R184" s="126">
        <f t="shared" si="38"/>
        <v>1465.7670000000001</v>
      </c>
      <c r="S184" s="126">
        <f t="shared" si="39"/>
        <v>286.81700000000001</v>
      </c>
      <c r="T184" s="126">
        <f t="shared" si="49"/>
        <v>124.10000000000001</v>
      </c>
      <c r="U184" s="127">
        <f>((((((IF(K184="New",0,SUMIF('MPG Payment '!$E$3:$E$344841,'Shayak Income '!D184,'MPG Payment '!$AC$3:$AC$344841))))+0)+0)+0)+0)+0</f>
        <v>1227.9088460459664</v>
      </c>
      <c r="V184" s="127">
        <f t="shared" si="50"/>
        <v>758</v>
      </c>
      <c r="W184" s="19">
        <v>758</v>
      </c>
      <c r="X184" s="19">
        <v>0</v>
      </c>
      <c r="Y184" s="128">
        <f>IFERROR(VLOOKUP(D184,'Monthly Deduction'!$M$2:$N$640,2,0),0)</f>
        <v>0</v>
      </c>
      <c r="Z184" s="128">
        <v>0</v>
      </c>
      <c r="AA184" s="126">
        <v>0</v>
      </c>
      <c r="AB184" s="129">
        <f t="shared" si="41"/>
        <v>0</v>
      </c>
      <c r="AC184" s="130">
        <v>0</v>
      </c>
      <c r="AD184" s="35">
        <f t="shared" si="51"/>
        <v>0</v>
      </c>
      <c r="AE184" s="166" t="str">
        <f t="shared" si="52"/>
        <v>Release</v>
      </c>
      <c r="AF184" s="127"/>
      <c r="AG184" s="127">
        <v>0</v>
      </c>
      <c r="AH184" s="120"/>
      <c r="AI184" s="238">
        <v>0</v>
      </c>
      <c r="AJ184" s="132"/>
      <c r="AK184" s="151">
        <v>332.20000000000005</v>
      </c>
      <c r="AL184" s="154">
        <f t="shared" si="42"/>
        <v>0</v>
      </c>
      <c r="AM184" s="155"/>
      <c r="AN184" s="19">
        <f t="shared" si="43"/>
        <v>1861</v>
      </c>
      <c r="AO184" s="118">
        <f>SUMIF('MPG Payment '!E:E,'Shayak Income '!D184,'MPG Payment '!AJ:AJ)</f>
        <v>0</v>
      </c>
      <c r="AP184" s="19">
        <f t="shared" si="44"/>
        <v>758</v>
      </c>
      <c r="AQ184" s="119">
        <f t="shared" si="53"/>
        <v>758</v>
      </c>
      <c r="AR184" s="91" t="s">
        <v>1144</v>
      </c>
      <c r="AS184" s="91">
        <f t="shared" si="45"/>
        <v>6400</v>
      </c>
      <c r="AT184" s="118"/>
      <c r="AU184" s="118"/>
      <c r="AV184" s="118"/>
    </row>
    <row r="185" spans="1:48" s="20" customFormat="1" x14ac:dyDescent="0.25">
      <c r="A185" s="17">
        <f>IFERROR(VLOOKUP(D185,'Monthly Deduction'!$I$3:$J$957,2,0),0)</f>
        <v>52280.38882591622</v>
      </c>
      <c r="B185" s="17">
        <f>IFERROR(VLOOKUP(D185,'Monthly Deduction'!$E$3:$F$957,2,0),0)</f>
        <v>9600</v>
      </c>
      <c r="C185" s="17">
        <f t="shared" si="46"/>
        <v>61880.38882591622</v>
      </c>
      <c r="D185" s="41">
        <v>10070064</v>
      </c>
      <c r="E185" s="122" t="str">
        <f>VLOOKUP(D185,'MPG Payment '!$E$3:$G$497305,2,0)</f>
        <v>Gomukh Tila Tol</v>
      </c>
      <c r="F185" s="146">
        <f>IFERROR(_xlfn.XLOOKUP(D185,'Monthly Deduction'!$I$3:$I$957,'Monthly Deduction'!$H$3:$H$957),0)</f>
        <v>0</v>
      </c>
      <c r="G185" s="123" t="str">
        <f>VLOOKUP(D185,'MPG Payment '!$E$3:$G$333666,3,0)</f>
        <v>MPG</v>
      </c>
      <c r="H185" s="124" t="str">
        <f>VLOOKUP(D185,'MPG Payment '!$E$3:$H$333666,4,0)</f>
        <v>Direct</v>
      </c>
      <c r="I185" s="88">
        <f>INDEX('MPG Payment '!$C:$C,MATCH('Shayak Income '!D185,'MPG Payment '!E:E,0))</f>
        <v>1056</v>
      </c>
      <c r="J185" s="88" t="str">
        <f>INDEX('MPG Payment '!$D:$D,MATCH('Shayak Income '!D185,'MPG Payment '!E:E,0))</f>
        <v>Chautham</v>
      </c>
      <c r="K185" s="125" t="s">
        <v>1594</v>
      </c>
      <c r="L185" s="125">
        <v>45770</v>
      </c>
      <c r="M185" s="126">
        <f>SUMIF('MPG Payment '!$E$3:$E$344841,'Shayak Income '!D185,'MPG Payment '!$I$3:$I$344841)</f>
        <v>3035</v>
      </c>
      <c r="N185" s="126">
        <f>SUMIF('MPG Payment '!$E$3:$E$344841,'Shayak Income '!D185,'MPG Payment '!$J$3:$J$344841)</f>
        <v>124354.64</v>
      </c>
      <c r="O185" s="126">
        <f t="shared" si="47"/>
        <v>2276.25</v>
      </c>
      <c r="P185" s="126">
        <f t="shared" si="48"/>
        <v>2883.25</v>
      </c>
      <c r="Q185" s="126">
        <f>SUMIF('MPG Payment '!$E$3:$E$344841,'Shayak Income '!D185,'MPG Payment '!$S$3:$S$344841)</f>
        <v>1666.48</v>
      </c>
      <c r="R185" s="126">
        <f t="shared" si="38"/>
        <v>3730.6391999999996</v>
      </c>
      <c r="S185" s="126">
        <f t="shared" si="39"/>
        <v>847.38919999999962</v>
      </c>
      <c r="T185" s="126">
        <f t="shared" si="49"/>
        <v>303.5</v>
      </c>
      <c r="U185" s="127">
        <f>((((((IF(K185="New",0,SUMIF('MPG Payment '!$E$3:$E$344841,'Shayak Income '!D185,'MPG Payment '!$AC$3:$AC$344841))))+0)+0)+0)+0)+0</f>
        <v>17.067959456118675</v>
      </c>
      <c r="V185" s="127">
        <f t="shared" si="50"/>
        <v>6505</v>
      </c>
      <c r="W185" s="19">
        <f t="shared" si="54"/>
        <v>2487.0927999999999</v>
      </c>
      <c r="X185" s="19">
        <v>0</v>
      </c>
      <c r="Y185" s="128">
        <f>IFERROR(VLOOKUP(D185,'Monthly Deduction'!$M$2:$N$640,2,0),0)</f>
        <v>0</v>
      </c>
      <c r="Z185" s="128">
        <v>0</v>
      </c>
      <c r="AA185" s="126">
        <f>IFERROR(VLOOKUP(D185,'Monthly Deduction'!A:B,2,0),0)</f>
        <v>679.32854097868517</v>
      </c>
      <c r="AB185" s="129">
        <f t="shared" si="41"/>
        <v>3339</v>
      </c>
      <c r="AC185" s="130">
        <v>0</v>
      </c>
      <c r="AD185" s="35">
        <f t="shared" si="51"/>
        <v>3339</v>
      </c>
      <c r="AE185" s="166" t="str">
        <f t="shared" si="52"/>
        <v>Release</v>
      </c>
      <c r="AF185" s="127"/>
      <c r="AG185" s="127">
        <v>0</v>
      </c>
      <c r="AH185" s="120"/>
      <c r="AI185" s="238">
        <v>0</v>
      </c>
      <c r="AJ185" s="132"/>
      <c r="AK185" s="151">
        <v>607.14</v>
      </c>
      <c r="AL185" s="154">
        <f t="shared" si="42"/>
        <v>0</v>
      </c>
      <c r="AM185" s="155"/>
      <c r="AN185" s="19">
        <f t="shared" si="43"/>
        <v>2487.0927999999999</v>
      </c>
      <c r="AO185" s="118">
        <f>SUMIF('MPG Payment '!E:E,'Shayak Income '!D185,'MPG Payment '!AJ:AJ)</f>
        <v>0</v>
      </c>
      <c r="AP185" s="19">
        <f t="shared" si="44"/>
        <v>2487.0927999999999</v>
      </c>
      <c r="AQ185" s="119">
        <f t="shared" si="53"/>
        <v>2487.0927999999999</v>
      </c>
      <c r="AR185" s="91" t="s">
        <v>1144</v>
      </c>
      <c r="AS185" s="91">
        <f t="shared" si="45"/>
        <v>9600</v>
      </c>
      <c r="AT185" s="118"/>
      <c r="AU185" s="118"/>
      <c r="AV185" s="118"/>
    </row>
    <row r="186" spans="1:48" s="20" customFormat="1" x14ac:dyDescent="0.25">
      <c r="A186" s="17">
        <f>IFERROR(VLOOKUP(D186,'Monthly Deduction'!$I$3:$J$957,2,0),0)</f>
        <v>0</v>
      </c>
      <c r="B186" s="17">
        <f>IFERROR(VLOOKUP(D186,'Monthly Deduction'!$E$3:$F$957,2,0),0)</f>
        <v>0</v>
      </c>
      <c r="C186" s="17">
        <f t="shared" si="46"/>
        <v>0</v>
      </c>
      <c r="D186" s="41">
        <v>10070074</v>
      </c>
      <c r="E186" s="122" t="str">
        <f>VLOOKUP(D186,'MPG Payment '!$E$3:$G$497305,2,0)</f>
        <v>Gomukh Gogri VLC</v>
      </c>
      <c r="F186" s="146">
        <f>IFERROR(_xlfn.XLOOKUP(D186,'Monthly Deduction'!$I$3:$I$957,'Monthly Deduction'!$H$3:$H$957),0)</f>
        <v>0</v>
      </c>
      <c r="G186" s="123" t="str">
        <f>VLOOKUP(D186,'MPG Payment '!$E$3:$G$333666,3,0)</f>
        <v>vlc</v>
      </c>
      <c r="H186" s="124" t="str">
        <f>VLOOKUP(D186,'MPG Payment '!$E$3:$H$333666,4,0)</f>
        <v>Indirect</v>
      </c>
      <c r="I186" s="88">
        <f>INDEX('MPG Payment '!$C:$C,MATCH('Shayak Income '!D186,'MPG Payment '!E:E,0))</f>
        <v>1007</v>
      </c>
      <c r="J186" s="88" t="str">
        <f>INDEX('MPG Payment '!$D:$D,MATCH('Shayak Income '!D186,'MPG Payment '!E:E,0))</f>
        <v>Araria</v>
      </c>
      <c r="K186" s="125" t="s">
        <v>1594</v>
      </c>
      <c r="L186" s="125">
        <v>45869</v>
      </c>
      <c r="M186" s="126">
        <f>SUMIF('MPG Payment '!$E$3:$E$344841,'Shayak Income '!D186,'MPG Payment '!$I$3:$I$344841)</f>
        <v>1323.5</v>
      </c>
      <c r="N186" s="126">
        <f>SUMIF('MPG Payment '!$E$3:$E$344841,'Shayak Income '!D186,'MPG Payment '!$J$3:$J$344841)</f>
        <v>49540.75</v>
      </c>
      <c r="O186" s="126">
        <f t="shared" si="47"/>
        <v>992.625</v>
      </c>
      <c r="P186" s="126">
        <f t="shared" si="48"/>
        <v>1257.325</v>
      </c>
      <c r="Q186" s="126">
        <f>SUMIF('MPG Payment '!$E$3:$E$344841,'Shayak Income '!D186,'MPG Payment '!$S$3:$S$344841)</f>
        <v>0</v>
      </c>
      <c r="R186" s="126">
        <f t="shared" si="38"/>
        <v>1486.2224999999999</v>
      </c>
      <c r="S186" s="126">
        <f t="shared" si="39"/>
        <v>228.89749999999981</v>
      </c>
      <c r="T186" s="126">
        <f t="shared" si="49"/>
        <v>132.35</v>
      </c>
      <c r="U186" s="127">
        <f>((((((IF(K186="New",0,SUMIF('MPG Payment '!$E$3:$E$344841,'Shayak Income '!D186,'MPG Payment '!$AC$3:$AC$344841))))+0)+0)+0)+0)+0</f>
        <v>1115.1038719485566</v>
      </c>
      <c r="V186" s="127">
        <f t="shared" si="50"/>
        <v>1002</v>
      </c>
      <c r="W186" s="19">
        <f t="shared" si="54"/>
        <v>0</v>
      </c>
      <c r="X186" s="19">
        <f t="shared" si="40"/>
        <v>0</v>
      </c>
      <c r="Y186" s="128">
        <f>IFERROR(VLOOKUP(D186,'Monthly Deduction'!$M$2:$N$640,2,0),0)</f>
        <v>0</v>
      </c>
      <c r="Z186" s="128">
        <v>0</v>
      </c>
      <c r="AA186" s="126">
        <f>IFERROR(VLOOKUP(D186,'Monthly Deduction'!A:B,2,0),0)</f>
        <v>0</v>
      </c>
      <c r="AB186" s="129">
        <f t="shared" si="41"/>
        <v>1002</v>
      </c>
      <c r="AC186" s="130">
        <v>0</v>
      </c>
      <c r="AD186" s="35">
        <f t="shared" si="51"/>
        <v>1002</v>
      </c>
      <c r="AE186" s="166" t="str">
        <f t="shared" si="52"/>
        <v>Release</v>
      </c>
      <c r="AF186" s="127"/>
      <c r="AG186" s="18">
        <v>0</v>
      </c>
      <c r="AH186" s="132"/>
      <c r="AI186" s="238">
        <v>0</v>
      </c>
      <c r="AJ186" s="132"/>
      <c r="AK186" s="151">
        <v>217.09999999999997</v>
      </c>
      <c r="AL186" s="154">
        <f t="shared" si="42"/>
        <v>0</v>
      </c>
      <c r="AM186" s="155"/>
      <c r="AN186" s="19">
        <f t="shared" si="43"/>
        <v>0</v>
      </c>
      <c r="AO186" s="118">
        <f>SUMIF('MPG Payment '!E:E,'Shayak Income '!D186,'MPG Payment '!AJ:AJ)</f>
        <v>0</v>
      </c>
      <c r="AP186" s="19">
        <f t="shared" si="44"/>
        <v>0</v>
      </c>
      <c r="AQ186" s="119">
        <f t="shared" si="53"/>
        <v>0</v>
      </c>
      <c r="AR186" s="91" t="s">
        <v>1144</v>
      </c>
      <c r="AS186" s="91">
        <f t="shared" si="45"/>
        <v>0</v>
      </c>
      <c r="AT186" s="118"/>
      <c r="AU186" s="118"/>
      <c r="AV186" s="118"/>
    </row>
    <row r="187" spans="1:48" s="20" customFormat="1" x14ac:dyDescent="0.25">
      <c r="A187" s="17">
        <f>IFERROR(VLOOKUP(D187,'Monthly Deduction'!$I$3:$J$957,2,0),0)</f>
        <v>0</v>
      </c>
      <c r="B187" s="17">
        <f>IFERROR(VLOOKUP(D187,'Monthly Deduction'!$E$3:$F$957,2,0),0)</f>
        <v>0</v>
      </c>
      <c r="C187" s="17">
        <f t="shared" si="46"/>
        <v>0</v>
      </c>
      <c r="D187" s="41">
        <v>10080001</v>
      </c>
      <c r="E187" s="122" t="str">
        <f>VLOOKUP(D187,'MPG Payment '!$E$3:$G$497305,2,0)</f>
        <v>Chak Punervas</v>
      </c>
      <c r="F187" s="146">
        <f>IFERROR(_xlfn.XLOOKUP(D187,'Monthly Deduction'!$I$3:$I$957,'Monthly Deduction'!$H$3:$H$957),0)</f>
        <v>0</v>
      </c>
      <c r="G187" s="123" t="str">
        <f>VLOOKUP(D187,'MPG Payment '!$E$3:$G$333666,3,0)</f>
        <v>vlc</v>
      </c>
      <c r="H187" s="124" t="str">
        <f>VLOOKUP(D187,'MPG Payment '!$E$3:$H$333666,4,0)</f>
        <v>Indirect</v>
      </c>
      <c r="I187" s="88">
        <f>INDEX('MPG Payment '!$C:$C,MATCH('Shayak Income '!D187,'MPG Payment '!E:E,0))</f>
        <v>1055</v>
      </c>
      <c r="J187" s="88" t="str">
        <f>INDEX('MPG Payment '!$D:$D,MATCH('Shayak Income '!D187,'MPG Payment '!E:E,0))</f>
        <v>Matihani</v>
      </c>
      <c r="K187" s="125" t="s">
        <v>1594</v>
      </c>
      <c r="L187" s="125">
        <v>42996</v>
      </c>
      <c r="M187" s="126">
        <f>SUMIF('MPG Payment '!$E$3:$E$344841,'Shayak Income '!D187,'MPG Payment '!$I$3:$I$344841)</f>
        <v>2960.6000000000004</v>
      </c>
      <c r="N187" s="126">
        <f>SUMIF('MPG Payment '!$E$3:$E$344841,'Shayak Income '!D187,'MPG Payment '!$J$3:$J$344841)</f>
        <v>116687.18000000001</v>
      </c>
      <c r="O187" s="126">
        <f t="shared" si="47"/>
        <v>2220.4500000000003</v>
      </c>
      <c r="P187" s="126">
        <f t="shared" si="48"/>
        <v>2812.57</v>
      </c>
      <c r="Q187" s="126">
        <f>SUMIF('MPG Payment '!$E$3:$E$344841,'Shayak Income '!D187,'MPG Payment '!$S$3:$S$344841)</f>
        <v>0</v>
      </c>
      <c r="R187" s="126">
        <f t="shared" si="38"/>
        <v>3500.6154000000001</v>
      </c>
      <c r="S187" s="126">
        <f t="shared" si="39"/>
        <v>688.04539999999997</v>
      </c>
      <c r="T187" s="126">
        <f t="shared" si="49"/>
        <v>296.06000000000006</v>
      </c>
      <c r="U187" s="127">
        <f>((((((IF(K187="New",0,SUMIF('MPG Payment '!$E$3:$E$344841,'Shayak Income '!D187,'MPG Payment '!$AC$3:$AC$344841))))+0)+0)+0)+0)+0</f>
        <v>205.4659682169891</v>
      </c>
      <c r="V187" s="127">
        <f t="shared" si="50"/>
        <v>4531</v>
      </c>
      <c r="W187" s="19">
        <f t="shared" si="54"/>
        <v>0</v>
      </c>
      <c r="X187" s="19">
        <f t="shared" si="40"/>
        <v>0</v>
      </c>
      <c r="Y187" s="128">
        <f>IFERROR(VLOOKUP(D187,'Monthly Deduction'!$M$2:$N$640,2,0),0)</f>
        <v>0</v>
      </c>
      <c r="Z187" s="128">
        <v>0</v>
      </c>
      <c r="AA187" s="126">
        <f>IFERROR(VLOOKUP(D187,'Monthly Deduction'!A:B,2,0),0)</f>
        <v>0</v>
      </c>
      <c r="AB187" s="129">
        <f t="shared" si="41"/>
        <v>4531</v>
      </c>
      <c r="AC187" s="130">
        <v>0</v>
      </c>
      <c r="AD187" s="35">
        <f t="shared" si="51"/>
        <v>4531</v>
      </c>
      <c r="AE187" s="166" t="str">
        <f t="shared" si="52"/>
        <v>Release</v>
      </c>
      <c r="AF187" s="127"/>
      <c r="AG187" s="18">
        <v>0</v>
      </c>
      <c r="AH187" s="132"/>
      <c r="AI187" s="238">
        <v>0</v>
      </c>
      <c r="AJ187" s="132"/>
      <c r="AK187" s="151">
        <v>273.10000000000002</v>
      </c>
      <c r="AL187" s="154">
        <f t="shared" si="42"/>
        <v>0</v>
      </c>
      <c r="AM187" s="155"/>
      <c r="AN187" s="19">
        <f t="shared" si="43"/>
        <v>0</v>
      </c>
      <c r="AO187" s="118">
        <f>SUMIF('MPG Payment '!E:E,'Shayak Income '!D187,'MPG Payment '!AJ:AJ)</f>
        <v>0</v>
      </c>
      <c r="AP187" s="19">
        <f t="shared" si="44"/>
        <v>0</v>
      </c>
      <c r="AQ187" s="119">
        <f t="shared" si="53"/>
        <v>0</v>
      </c>
      <c r="AR187" s="91" t="s">
        <v>1144</v>
      </c>
      <c r="AS187" s="91">
        <f t="shared" si="45"/>
        <v>0</v>
      </c>
      <c r="AT187" s="118"/>
      <c r="AU187" s="118"/>
      <c r="AV187" s="118"/>
    </row>
    <row r="188" spans="1:48" s="20" customFormat="1" x14ac:dyDescent="0.25">
      <c r="A188" s="17">
        <f>IFERROR(VLOOKUP(D188,'Monthly Deduction'!$I$3:$J$957,2,0),0)</f>
        <v>0</v>
      </c>
      <c r="B188" s="17">
        <f>IFERROR(VLOOKUP(D188,'Monthly Deduction'!$E$3:$F$957,2,0),0)</f>
        <v>0</v>
      </c>
      <c r="C188" s="17">
        <f t="shared" si="46"/>
        <v>0</v>
      </c>
      <c r="D188" s="41">
        <v>10080002</v>
      </c>
      <c r="E188" s="122" t="str">
        <f>VLOOKUP(D188,'MPG Payment '!$E$3:$G$497305,2,0)</f>
        <v>Labherchak</v>
      </c>
      <c r="F188" s="146">
        <f>IFERROR(_xlfn.XLOOKUP(D188,'Monthly Deduction'!$I$3:$I$957,'Monthly Deduction'!$H$3:$H$957),0)</f>
        <v>0</v>
      </c>
      <c r="G188" s="123" t="str">
        <f>VLOOKUP(D188,'MPG Payment '!$E$3:$G$333666,3,0)</f>
        <v>vlc</v>
      </c>
      <c r="H188" s="124" t="str">
        <f>VLOOKUP(D188,'MPG Payment '!$E$3:$H$333666,4,0)</f>
        <v>Indirect</v>
      </c>
      <c r="I188" s="88">
        <f>INDEX('MPG Payment '!$C:$C,MATCH('Shayak Income '!D188,'MPG Payment '!E:E,0))</f>
        <v>1008</v>
      </c>
      <c r="J188" s="88" t="str">
        <f>INDEX('MPG Payment '!$D:$D,MATCH('Shayak Income '!D188,'MPG Payment '!E:E,0))</f>
        <v>Teghra</v>
      </c>
      <c r="K188" s="125" t="s">
        <v>1594</v>
      </c>
      <c r="L188" s="125">
        <v>42997</v>
      </c>
      <c r="M188" s="126">
        <f>SUMIF('MPG Payment '!$E$3:$E$344841,'Shayak Income '!D188,'MPG Payment '!$I$3:$I$344841)</f>
        <v>1240.2</v>
      </c>
      <c r="N188" s="126">
        <f>SUMIF('MPG Payment '!$E$3:$E$344841,'Shayak Income '!D188,'MPG Payment '!$J$3:$J$344841)</f>
        <v>46088.39</v>
      </c>
      <c r="O188" s="126">
        <f t="shared" si="47"/>
        <v>930.15000000000009</v>
      </c>
      <c r="P188" s="126">
        <f t="shared" si="48"/>
        <v>1178.19</v>
      </c>
      <c r="Q188" s="126">
        <f>SUMIF('MPG Payment '!$E$3:$E$344841,'Shayak Income '!D188,'MPG Payment '!$S$3:$S$344841)</f>
        <v>0</v>
      </c>
      <c r="R188" s="126">
        <f t="shared" si="38"/>
        <v>1382.6516999999999</v>
      </c>
      <c r="S188" s="126">
        <f t="shared" si="39"/>
        <v>204.46169999999984</v>
      </c>
      <c r="T188" s="126">
        <f t="shared" si="49"/>
        <v>124.02000000000001</v>
      </c>
      <c r="U188" s="127">
        <f>((((((IF(K188="New",0,SUMIF('MPG Payment '!$E$3:$E$344841,'Shayak Income '!D188,'MPG Payment '!$AC$3:$AC$344841))))+0)+0)+0)+0)+0</f>
        <v>1161.8233529011104</v>
      </c>
      <c r="V188" s="127">
        <f t="shared" si="50"/>
        <v>822</v>
      </c>
      <c r="W188" s="19">
        <f t="shared" si="54"/>
        <v>0</v>
      </c>
      <c r="X188" s="19">
        <f t="shared" si="40"/>
        <v>0</v>
      </c>
      <c r="Y188" s="128">
        <f>IFERROR(VLOOKUP(D188,'Monthly Deduction'!$M$2:$N$640,2,0),0)</f>
        <v>0</v>
      </c>
      <c r="Z188" s="128">
        <v>0</v>
      </c>
      <c r="AA188" s="126">
        <f>IFERROR(VLOOKUP(D188,'Monthly Deduction'!A:B,2,0),0)</f>
        <v>0</v>
      </c>
      <c r="AB188" s="129">
        <f t="shared" si="41"/>
        <v>822</v>
      </c>
      <c r="AC188" s="130">
        <v>0</v>
      </c>
      <c r="AD188" s="35">
        <f t="shared" si="51"/>
        <v>822</v>
      </c>
      <c r="AE188" s="166" t="str">
        <f t="shared" si="52"/>
        <v>Release</v>
      </c>
      <c r="AF188" s="127"/>
      <c r="AG188" s="18">
        <v>0</v>
      </c>
      <c r="AH188" s="132"/>
      <c r="AI188" s="238">
        <v>0</v>
      </c>
      <c r="AJ188" s="132"/>
      <c r="AK188" s="151">
        <v>263.64999999999998</v>
      </c>
      <c r="AL188" s="154">
        <f t="shared" si="42"/>
        <v>0</v>
      </c>
      <c r="AM188" s="155"/>
      <c r="AN188" s="19">
        <f t="shared" si="43"/>
        <v>0</v>
      </c>
      <c r="AO188" s="118">
        <f>SUMIF('MPG Payment '!E:E,'Shayak Income '!D188,'MPG Payment '!AJ:AJ)</f>
        <v>0</v>
      </c>
      <c r="AP188" s="19">
        <f t="shared" si="44"/>
        <v>0</v>
      </c>
      <c r="AQ188" s="119">
        <f t="shared" si="53"/>
        <v>0</v>
      </c>
      <c r="AR188" s="91" t="s">
        <v>1144</v>
      </c>
      <c r="AS188" s="91">
        <f t="shared" si="45"/>
        <v>0</v>
      </c>
      <c r="AT188" s="118"/>
      <c r="AU188" s="118"/>
      <c r="AV188" s="118"/>
    </row>
    <row r="189" spans="1:48" s="20" customFormat="1" x14ac:dyDescent="0.25">
      <c r="A189" s="17">
        <f>IFERROR(VLOOKUP(D189,'Monthly Deduction'!$I$3:$J$957,2,0),0)</f>
        <v>0</v>
      </c>
      <c r="B189" s="17">
        <f>IFERROR(VLOOKUP(D189,'Monthly Deduction'!$E$3:$F$957,2,0),0)</f>
        <v>0</v>
      </c>
      <c r="C189" s="17">
        <f t="shared" si="46"/>
        <v>0</v>
      </c>
      <c r="D189" s="41">
        <v>10080003</v>
      </c>
      <c r="E189" s="122" t="str">
        <f>VLOOKUP(D189,'MPG Payment '!$E$3:$G$497305,2,0)</f>
        <v>Paspura</v>
      </c>
      <c r="F189" s="146">
        <f>IFERROR(_xlfn.XLOOKUP(D189,'Monthly Deduction'!$I$3:$I$957,'Monthly Deduction'!$H$3:$H$957),0)</f>
        <v>0</v>
      </c>
      <c r="G189" s="123" t="str">
        <f>VLOOKUP(D189,'MPG Payment '!$E$3:$G$333666,3,0)</f>
        <v>vlc</v>
      </c>
      <c r="H189" s="124" t="str">
        <f>VLOOKUP(D189,'MPG Payment '!$E$3:$H$333666,4,0)</f>
        <v>Indirect</v>
      </c>
      <c r="I189" s="88">
        <f>INDEX('MPG Payment '!$C:$C,MATCH('Shayak Income '!D189,'MPG Payment '!E:E,0))</f>
        <v>1008</v>
      </c>
      <c r="J189" s="88" t="str">
        <f>INDEX('MPG Payment '!$D:$D,MATCH('Shayak Income '!D189,'MPG Payment '!E:E,0))</f>
        <v>Teghra</v>
      </c>
      <c r="K189" s="125" t="s">
        <v>1594</v>
      </c>
      <c r="L189" s="125">
        <v>42999</v>
      </c>
      <c r="M189" s="126">
        <f>SUMIF('MPG Payment '!$E$3:$E$344841,'Shayak Income '!D189,'MPG Payment '!$I$3:$I$344841)</f>
        <v>94.399999999999991</v>
      </c>
      <c r="N189" s="126">
        <f>SUMIF('MPG Payment '!$E$3:$E$344841,'Shayak Income '!D189,'MPG Payment '!$J$3:$J$344841)</f>
        <v>3353.3199999999997</v>
      </c>
      <c r="O189" s="126">
        <f t="shared" si="47"/>
        <v>70.8</v>
      </c>
      <c r="P189" s="126">
        <f t="shared" si="48"/>
        <v>89.679999999999993</v>
      </c>
      <c r="Q189" s="126">
        <f>SUMIF('MPG Payment '!$E$3:$E$344841,'Shayak Income '!D189,'MPG Payment '!$S$3:$S$344841)</f>
        <v>0</v>
      </c>
      <c r="R189" s="126">
        <f t="shared" si="38"/>
        <v>100.59959999999998</v>
      </c>
      <c r="S189" s="126">
        <f t="shared" si="39"/>
        <v>10.919599999999988</v>
      </c>
      <c r="T189" s="126">
        <f t="shared" si="49"/>
        <v>9.44</v>
      </c>
      <c r="U189" s="127">
        <f>((((((IF(K189="New",0,SUMIF('MPG Payment '!$E$3:$E$344841,'Shayak Income '!D189,'MPG Payment '!$AC$3:$AC$344841))))+0)+0)+0)+0)+-1265</f>
        <v>150.64432088113654</v>
      </c>
      <c r="V189" s="127">
        <f t="shared" si="50"/>
        <v>0</v>
      </c>
      <c r="W189" s="19">
        <v>0</v>
      </c>
      <c r="X189" s="19">
        <v>0</v>
      </c>
      <c r="Y189" s="128">
        <v>0</v>
      </c>
      <c r="Z189" s="128">
        <v>0</v>
      </c>
      <c r="AA189" s="126">
        <v>0</v>
      </c>
      <c r="AB189" s="129">
        <f t="shared" si="41"/>
        <v>0</v>
      </c>
      <c r="AC189" s="130">
        <f>AB189</f>
        <v>0</v>
      </c>
      <c r="AD189" s="35">
        <f t="shared" si="51"/>
        <v>0</v>
      </c>
      <c r="AE189" s="166" t="str">
        <f t="shared" si="52"/>
        <v>Release</v>
      </c>
      <c r="AF189" s="127"/>
      <c r="AG189" s="18">
        <v>0</v>
      </c>
      <c r="AH189" s="132" t="s">
        <v>1597</v>
      </c>
      <c r="AI189" s="238">
        <v>0</v>
      </c>
      <c r="AJ189" s="132"/>
      <c r="AK189" s="151">
        <v>0</v>
      </c>
      <c r="AL189" s="154">
        <f t="shared" si="42"/>
        <v>0</v>
      </c>
      <c r="AM189" s="155"/>
      <c r="AN189" s="19">
        <f t="shared" si="43"/>
        <v>0</v>
      </c>
      <c r="AO189" s="118">
        <f>SUMIF('MPG Payment '!E:E,'Shayak Income '!D189,'MPG Payment '!AJ:AJ)</f>
        <v>0</v>
      </c>
      <c r="AP189" s="19">
        <f t="shared" si="44"/>
        <v>0</v>
      </c>
      <c r="AQ189" s="119">
        <f t="shared" si="53"/>
        <v>0</v>
      </c>
      <c r="AR189" s="91"/>
      <c r="AS189" s="91">
        <f t="shared" si="45"/>
        <v>0</v>
      </c>
      <c r="AT189" s="118"/>
      <c r="AU189" s="118"/>
      <c r="AV189" s="118"/>
    </row>
    <row r="190" spans="1:48" s="20" customFormat="1" x14ac:dyDescent="0.25">
      <c r="A190" s="17">
        <f>IFERROR(VLOOKUP(D190,'Monthly Deduction'!$I$3:$J$957,2,0),0)</f>
        <v>0</v>
      </c>
      <c r="B190" s="17">
        <f>IFERROR(VLOOKUP(D190,'Monthly Deduction'!$E$3:$F$957,2,0),0)</f>
        <v>0</v>
      </c>
      <c r="C190" s="17">
        <f t="shared" si="46"/>
        <v>0</v>
      </c>
      <c r="D190" s="41">
        <v>10080004</v>
      </c>
      <c r="E190" s="122" t="str">
        <f>VLOOKUP(D190,'MPG Payment '!$E$3:$G$497305,2,0)</f>
        <v>Gomukh Godhna</v>
      </c>
      <c r="F190" s="146">
        <f>IFERROR(_xlfn.XLOOKUP(D190,'Monthly Deduction'!$I$3:$I$957,'Monthly Deduction'!$H$3:$H$957),0)</f>
        <v>0</v>
      </c>
      <c r="G190" s="123" t="str">
        <f>VLOOKUP(D190,'MPG Payment '!$E$3:$G$333666,3,0)</f>
        <v>vlc</v>
      </c>
      <c r="H190" s="124" t="str">
        <f>VLOOKUP(D190,'MPG Payment '!$E$3:$H$333666,4,0)</f>
        <v>Indirect</v>
      </c>
      <c r="I190" s="88">
        <f>INDEX('MPG Payment '!$C:$C,MATCH('Shayak Income '!D190,'MPG Payment '!E:E,0))</f>
        <v>1008</v>
      </c>
      <c r="J190" s="88" t="str">
        <f>INDEX('MPG Payment '!$D:$D,MATCH('Shayak Income '!D190,'MPG Payment '!E:E,0))</f>
        <v>Teghra</v>
      </c>
      <c r="K190" s="125" t="s">
        <v>1594</v>
      </c>
      <c r="L190" s="125">
        <v>43077</v>
      </c>
      <c r="M190" s="126">
        <f>SUMIF('MPG Payment '!$E$3:$E$344841,'Shayak Income '!D190,'MPG Payment '!$I$3:$I$344841)</f>
        <v>65.05</v>
      </c>
      <c r="N190" s="126">
        <f>SUMIF('MPG Payment '!$E$3:$E$344841,'Shayak Income '!D190,'MPG Payment '!$J$3:$J$344841)</f>
        <v>2498.7000000000003</v>
      </c>
      <c r="O190" s="126">
        <f t="shared" si="47"/>
        <v>48.787499999999994</v>
      </c>
      <c r="P190" s="126">
        <f t="shared" si="48"/>
        <v>61.797499999999992</v>
      </c>
      <c r="Q190" s="126">
        <f>SUMIF('MPG Payment '!$E$3:$E$344841,'Shayak Income '!D190,'MPG Payment '!$S$3:$S$344841)</f>
        <v>0</v>
      </c>
      <c r="R190" s="126">
        <f t="shared" si="38"/>
        <v>74.960999999999999</v>
      </c>
      <c r="S190" s="126">
        <f t="shared" si="39"/>
        <v>13.163500000000006</v>
      </c>
      <c r="T190" s="126">
        <f t="shared" si="49"/>
        <v>6.5049999999999999</v>
      </c>
      <c r="U190" s="127">
        <f>((((((IF(K190="New",0,SUMIF('MPG Payment '!$E$3:$E$344841,'Shayak Income '!D190,'MPG Payment '!$AC$3:$AC$344841))))+0)+0)+0)+0)+-2001</f>
        <v>103.87828574709283</v>
      </c>
      <c r="V190" s="127">
        <f t="shared" si="50"/>
        <v>0</v>
      </c>
      <c r="W190" s="19">
        <v>0</v>
      </c>
      <c r="X190" s="19">
        <v>0</v>
      </c>
      <c r="Y190" s="128">
        <v>0</v>
      </c>
      <c r="Z190" s="128">
        <v>0</v>
      </c>
      <c r="AA190" s="126">
        <v>0</v>
      </c>
      <c r="AB190" s="129">
        <f t="shared" si="41"/>
        <v>0</v>
      </c>
      <c r="AC190" s="130">
        <v>0</v>
      </c>
      <c r="AD190" s="35">
        <f t="shared" si="51"/>
        <v>0</v>
      </c>
      <c r="AE190" s="166" t="str">
        <f t="shared" si="52"/>
        <v>Release</v>
      </c>
      <c r="AF190" s="127"/>
      <c r="AG190" s="18">
        <v>0</v>
      </c>
      <c r="AH190" s="120"/>
      <c r="AI190" s="238">
        <v>0</v>
      </c>
      <c r="AJ190" s="132"/>
      <c r="AK190" s="151">
        <v>5</v>
      </c>
      <c r="AL190" s="154">
        <f t="shared" si="42"/>
        <v>0</v>
      </c>
      <c r="AM190" s="155"/>
      <c r="AN190" s="19">
        <f t="shared" si="43"/>
        <v>0</v>
      </c>
      <c r="AO190" s="118">
        <f>SUMIF('MPG Payment '!E:E,'Shayak Income '!D190,'MPG Payment '!AJ:AJ)</f>
        <v>0</v>
      </c>
      <c r="AP190" s="19">
        <f t="shared" si="44"/>
        <v>0</v>
      </c>
      <c r="AQ190" s="119">
        <f t="shared" si="53"/>
        <v>0</v>
      </c>
      <c r="AR190" s="91"/>
      <c r="AS190" s="91">
        <f t="shared" si="45"/>
        <v>0</v>
      </c>
      <c r="AT190" s="118"/>
      <c r="AU190" s="118"/>
      <c r="AV190" s="118"/>
    </row>
    <row r="191" spans="1:48" s="20" customFormat="1" x14ac:dyDescent="0.25">
      <c r="A191" s="17">
        <f>IFERROR(VLOOKUP(D191,'Monthly Deduction'!$I$3:$J$957,2,0),0)</f>
        <v>0</v>
      </c>
      <c r="B191" s="17">
        <f>IFERROR(VLOOKUP(D191,'Monthly Deduction'!$E$3:$F$957,2,0),0)</f>
        <v>0</v>
      </c>
      <c r="C191" s="17">
        <f t="shared" si="46"/>
        <v>0</v>
      </c>
      <c r="D191" s="41">
        <v>10080006</v>
      </c>
      <c r="E191" s="122" t="str">
        <f>VLOOKUP(D191,'MPG Payment '!$E$3:$G$497305,2,0)</f>
        <v>Gomukh Sihma 2</v>
      </c>
      <c r="F191" s="146">
        <f>IFERROR(_xlfn.XLOOKUP(D191,'Monthly Deduction'!$I$3:$I$957,'Monthly Deduction'!$H$3:$H$957),0)</f>
        <v>0</v>
      </c>
      <c r="G191" s="123" t="str">
        <f>VLOOKUP(D191,'MPG Payment '!$E$3:$G$333666,3,0)</f>
        <v>vlc</v>
      </c>
      <c r="H191" s="124" t="str">
        <f>VLOOKUP(D191,'MPG Payment '!$E$3:$H$333666,4,0)</f>
        <v>Indirect</v>
      </c>
      <c r="I191" s="88">
        <f>INDEX('MPG Payment '!$C:$C,MATCH('Shayak Income '!D191,'MPG Payment '!E:E,0))</f>
        <v>1008</v>
      </c>
      <c r="J191" s="88" t="str">
        <f>INDEX('MPG Payment '!$D:$D,MATCH('Shayak Income '!D191,'MPG Payment '!E:E,0))</f>
        <v>Teghra</v>
      </c>
      <c r="K191" s="125" t="s">
        <v>1594</v>
      </c>
      <c r="L191" s="125">
        <v>43407</v>
      </c>
      <c r="M191" s="126">
        <f>SUMIF('MPG Payment '!$E$3:$E$344841,'Shayak Income '!D191,'MPG Payment '!$I$3:$I$344841)</f>
        <v>1216.4999999999998</v>
      </c>
      <c r="N191" s="126">
        <f>SUMIF('MPG Payment '!$E$3:$E$344841,'Shayak Income '!D191,'MPG Payment '!$J$3:$J$344841)</f>
        <v>44624.99</v>
      </c>
      <c r="O191" s="126">
        <f t="shared" si="47"/>
        <v>912.37499999999977</v>
      </c>
      <c r="P191" s="126">
        <f t="shared" si="48"/>
        <v>1155.6749999999997</v>
      </c>
      <c r="Q191" s="126">
        <f>SUMIF('MPG Payment '!$E$3:$E$344841,'Shayak Income '!D191,'MPG Payment '!$S$3:$S$344841)</f>
        <v>0</v>
      </c>
      <c r="R191" s="126">
        <f t="shared" si="38"/>
        <v>1338.7496999999998</v>
      </c>
      <c r="S191" s="126">
        <f t="shared" si="39"/>
        <v>183.07470000000012</v>
      </c>
      <c r="T191" s="126">
        <f t="shared" si="49"/>
        <v>121.64999999999998</v>
      </c>
      <c r="U191" s="127">
        <f>((((((IF(K191="New",0,SUMIF('MPG Payment '!$E$3:$E$344841,'Shayak Income '!D191,'MPG Payment '!$AC$3:$AC$344841))))+0)+0)+0)+0)+0</f>
        <v>1170.6083675173295</v>
      </c>
      <c r="V191" s="127">
        <f t="shared" si="50"/>
        <v>776</v>
      </c>
      <c r="W191" s="19">
        <f t="shared" si="54"/>
        <v>0</v>
      </c>
      <c r="X191" s="19">
        <f t="shared" si="40"/>
        <v>0</v>
      </c>
      <c r="Y191" s="128">
        <f>IFERROR(VLOOKUP(D191,'Monthly Deduction'!$M$2:$N$640,2,0),0)</f>
        <v>0</v>
      </c>
      <c r="Z191" s="128">
        <v>0</v>
      </c>
      <c r="AA191" s="126">
        <f>IFERROR(VLOOKUP(D191,'Monthly Deduction'!A:B,2,0),0)</f>
        <v>0</v>
      </c>
      <c r="AB191" s="129">
        <f t="shared" si="41"/>
        <v>776</v>
      </c>
      <c r="AC191" s="130">
        <v>0</v>
      </c>
      <c r="AD191" s="35">
        <f t="shared" si="51"/>
        <v>776</v>
      </c>
      <c r="AE191" s="166" t="str">
        <f t="shared" si="52"/>
        <v>Release</v>
      </c>
      <c r="AF191" s="127"/>
      <c r="AG191" s="18">
        <v>0</v>
      </c>
      <c r="AH191" s="132"/>
      <c r="AI191" s="238">
        <v>0</v>
      </c>
      <c r="AJ191" s="132"/>
      <c r="AK191" s="151">
        <v>98.199999999999989</v>
      </c>
      <c r="AL191" s="154">
        <f t="shared" si="42"/>
        <v>0</v>
      </c>
      <c r="AM191" s="155"/>
      <c r="AN191" s="19">
        <f t="shared" si="43"/>
        <v>0</v>
      </c>
      <c r="AO191" s="118">
        <f>SUMIF('MPG Payment '!E:E,'Shayak Income '!D191,'MPG Payment '!AJ:AJ)</f>
        <v>0</v>
      </c>
      <c r="AP191" s="19">
        <f t="shared" si="44"/>
        <v>0</v>
      </c>
      <c r="AQ191" s="119">
        <f t="shared" si="53"/>
        <v>0</v>
      </c>
      <c r="AR191" s="91" t="s">
        <v>1144</v>
      </c>
      <c r="AS191" s="91">
        <f t="shared" si="45"/>
        <v>0</v>
      </c>
      <c r="AT191" s="118"/>
      <c r="AU191" s="118"/>
      <c r="AV191" s="118"/>
    </row>
    <row r="192" spans="1:48" s="20" customFormat="1" x14ac:dyDescent="0.25">
      <c r="A192" s="17">
        <f>IFERROR(VLOOKUP(D192,'Monthly Deduction'!$I$3:$J$957,2,0),0)</f>
        <v>0</v>
      </c>
      <c r="B192" s="17">
        <f>IFERROR(VLOOKUP(D192,'Monthly Deduction'!$E$3:$F$957,2,0),0)</f>
        <v>0</v>
      </c>
      <c r="C192" s="17">
        <f t="shared" si="46"/>
        <v>0</v>
      </c>
      <c r="D192" s="41">
        <v>10080007</v>
      </c>
      <c r="E192" s="122" t="str">
        <f>VLOOKUP(D192,'MPG Payment '!$E$3:$G$497305,2,0)</f>
        <v>Gomukh ID Marsaito</v>
      </c>
      <c r="F192" s="146">
        <f>IFERROR(_xlfn.XLOOKUP(D192,'Monthly Deduction'!$I$3:$I$957,'Monthly Deduction'!$H$3:$H$957),0)</f>
        <v>0</v>
      </c>
      <c r="G192" s="123" t="str">
        <f>VLOOKUP(D192,'MPG Payment '!$E$3:$G$333666,3,0)</f>
        <v>vlc</v>
      </c>
      <c r="H192" s="124" t="str">
        <f>VLOOKUP(D192,'MPG Payment '!$E$3:$H$333666,4,0)</f>
        <v>Indirect</v>
      </c>
      <c r="I192" s="88">
        <f>INDEX('MPG Payment '!$C:$C,MATCH('Shayak Income '!D192,'MPG Payment '!E:E,0))</f>
        <v>1008</v>
      </c>
      <c r="J192" s="88" t="str">
        <f>INDEX('MPG Payment '!$D:$D,MATCH('Shayak Income '!D192,'MPG Payment '!E:E,0))</f>
        <v>Teghra</v>
      </c>
      <c r="K192" s="125" t="s">
        <v>1594</v>
      </c>
      <c r="L192" s="125">
        <v>43785</v>
      </c>
      <c r="M192" s="126">
        <f>SUMIF('MPG Payment '!$E$3:$E$344841,'Shayak Income '!D192,'MPG Payment '!$I$3:$I$344841)</f>
        <v>2695.75</v>
      </c>
      <c r="N192" s="126">
        <f>SUMIF('MPG Payment '!$E$3:$E$344841,'Shayak Income '!D192,'MPG Payment '!$J$3:$J$344841)</f>
        <v>98406.61</v>
      </c>
      <c r="O192" s="126">
        <f t="shared" si="47"/>
        <v>2021.8125</v>
      </c>
      <c r="P192" s="126">
        <f t="shared" si="48"/>
        <v>2560.9625000000001</v>
      </c>
      <c r="Q192" s="126">
        <f>SUMIF('MPG Payment '!$E$3:$E$344841,'Shayak Income '!D192,'MPG Payment '!$S$3:$S$344841)</f>
        <v>0</v>
      </c>
      <c r="R192" s="126">
        <f t="shared" si="38"/>
        <v>2952.1983</v>
      </c>
      <c r="S192" s="126">
        <f t="shared" si="39"/>
        <v>391.23579999999993</v>
      </c>
      <c r="T192" s="126">
        <f t="shared" si="49"/>
        <v>269.57499999999999</v>
      </c>
      <c r="U192" s="127">
        <f>((((((IF(K192="New",0,SUMIF('MPG Payment '!$E$3:$E$344841,'Shayak Income '!D192,'MPG Payment '!$AC$3:$AC$344841))))+0)+0)+0)+0)+0</f>
        <v>114.80030453667059</v>
      </c>
      <c r="V192" s="127">
        <f t="shared" si="50"/>
        <v>4198</v>
      </c>
      <c r="W192" s="19">
        <f t="shared" si="54"/>
        <v>0</v>
      </c>
      <c r="X192" s="19">
        <f t="shared" si="40"/>
        <v>0</v>
      </c>
      <c r="Y192" s="128">
        <f>IFERROR(VLOOKUP(D192,'Monthly Deduction'!$M$2:$N$640,2,0),0)</f>
        <v>0</v>
      </c>
      <c r="Z192" s="128">
        <v>0</v>
      </c>
      <c r="AA192" s="126">
        <f>IFERROR(VLOOKUP(D192,'Monthly Deduction'!A:B,2,0),0)</f>
        <v>0</v>
      </c>
      <c r="AB192" s="129">
        <f t="shared" si="41"/>
        <v>4198</v>
      </c>
      <c r="AC192" s="130">
        <v>0</v>
      </c>
      <c r="AD192" s="35">
        <f t="shared" si="51"/>
        <v>4198</v>
      </c>
      <c r="AE192" s="166" t="str">
        <f t="shared" si="52"/>
        <v>Release</v>
      </c>
      <c r="AF192" s="127"/>
      <c r="AG192" s="18">
        <v>0</v>
      </c>
      <c r="AH192" s="132"/>
      <c r="AI192" s="238">
        <v>0</v>
      </c>
      <c r="AJ192" s="132"/>
      <c r="AK192" s="151">
        <v>727.94999999999993</v>
      </c>
      <c r="AL192" s="154">
        <f t="shared" si="42"/>
        <v>0</v>
      </c>
      <c r="AM192" s="155"/>
      <c r="AN192" s="19">
        <f t="shared" si="43"/>
        <v>0</v>
      </c>
      <c r="AO192" s="118">
        <f>SUMIF('MPG Payment '!E:E,'Shayak Income '!D192,'MPG Payment '!AJ:AJ)</f>
        <v>0</v>
      </c>
      <c r="AP192" s="19">
        <f t="shared" si="44"/>
        <v>0</v>
      </c>
      <c r="AQ192" s="119">
        <f t="shared" si="53"/>
        <v>0</v>
      </c>
      <c r="AR192" s="91"/>
      <c r="AS192" s="91">
        <f t="shared" si="45"/>
        <v>0</v>
      </c>
      <c r="AT192" s="118"/>
      <c r="AU192" s="118"/>
      <c r="AV192" s="118"/>
    </row>
    <row r="193" spans="1:48" s="20" customFormat="1" x14ac:dyDescent="0.25">
      <c r="A193" s="17">
        <f>IFERROR(VLOOKUP(D193,'Monthly Deduction'!$I$3:$J$957,2,0),0)</f>
        <v>0</v>
      </c>
      <c r="B193" s="17">
        <f>IFERROR(VLOOKUP(D193,'Monthly Deduction'!$E$3:$F$957,2,0),0)</f>
        <v>0</v>
      </c>
      <c r="C193" s="17">
        <f t="shared" si="46"/>
        <v>0</v>
      </c>
      <c r="D193" s="41">
        <v>10080013</v>
      </c>
      <c r="E193" s="122" t="str">
        <f>VLOOKUP(D193,'MPG Payment '!$E$3:$G$497305,2,0)</f>
        <v>Gomukh ID Akashpur</v>
      </c>
      <c r="F193" s="146">
        <f>IFERROR(_xlfn.XLOOKUP(D193,'Monthly Deduction'!$I$3:$I$957,'Monthly Deduction'!$H$3:$H$957),0)</f>
        <v>0</v>
      </c>
      <c r="G193" s="123" t="str">
        <f>VLOOKUP(D193,'MPG Payment '!$E$3:$G$333666,3,0)</f>
        <v>vlc</v>
      </c>
      <c r="H193" s="124" t="str">
        <f>VLOOKUP(D193,'MPG Payment '!$E$3:$H$333666,4,0)</f>
        <v>Indirect</v>
      </c>
      <c r="I193" s="88">
        <f>INDEX('MPG Payment '!$C:$C,MATCH('Shayak Income '!D193,'MPG Payment '!E:E,0))</f>
        <v>1008</v>
      </c>
      <c r="J193" s="88" t="str">
        <f>INDEX('MPG Payment '!$D:$D,MATCH('Shayak Income '!D193,'MPG Payment '!E:E,0))</f>
        <v>Teghra</v>
      </c>
      <c r="K193" s="125" t="s">
        <v>1594</v>
      </c>
      <c r="L193" s="125">
        <v>44373</v>
      </c>
      <c r="M193" s="126">
        <f>SUMIF('MPG Payment '!$E$3:$E$344841,'Shayak Income '!D193,'MPG Payment '!$I$3:$I$344841)</f>
        <v>1591.15</v>
      </c>
      <c r="N193" s="126">
        <f>SUMIF('MPG Payment '!$E$3:$E$344841,'Shayak Income '!D193,'MPG Payment '!$J$3:$J$344841)</f>
        <v>64951.76</v>
      </c>
      <c r="O193" s="126">
        <f t="shared" si="47"/>
        <v>1193.3625000000002</v>
      </c>
      <c r="P193" s="126">
        <f t="shared" si="48"/>
        <v>1511.5925</v>
      </c>
      <c r="Q193" s="126">
        <f>SUMIF('MPG Payment '!$E$3:$E$344841,'Shayak Income '!D193,'MPG Payment '!$S$3:$S$344841)</f>
        <v>0</v>
      </c>
      <c r="R193" s="126">
        <f t="shared" si="38"/>
        <v>1948.5527999999999</v>
      </c>
      <c r="S193" s="126">
        <f t="shared" si="39"/>
        <v>436.96029999999996</v>
      </c>
      <c r="T193" s="126">
        <f t="shared" si="49"/>
        <v>159.11500000000001</v>
      </c>
      <c r="U193" s="127">
        <f>((((((IF(K193="New",0,SUMIF('MPG Payment '!$E$3:$E$344841,'Shayak Income '!D193,'MPG Payment '!$AC$3:$AC$344841))))+0)+0)+0)+0)+0</f>
        <v>986.12338620885248</v>
      </c>
      <c r="V193" s="127">
        <f t="shared" si="50"/>
        <v>1560</v>
      </c>
      <c r="W193" s="19">
        <f t="shared" si="54"/>
        <v>0</v>
      </c>
      <c r="X193" s="19">
        <f t="shared" si="40"/>
        <v>0</v>
      </c>
      <c r="Y193" s="128">
        <f>IFERROR(VLOOKUP(D193,'Monthly Deduction'!$M$2:$N$640,2,0),0)</f>
        <v>0</v>
      </c>
      <c r="Z193" s="128">
        <v>0</v>
      </c>
      <c r="AA193" s="126">
        <f>IFERROR(VLOOKUP(D193,'Monthly Deduction'!A:B,2,0),0)</f>
        <v>0</v>
      </c>
      <c r="AB193" s="129">
        <f t="shared" si="41"/>
        <v>1560</v>
      </c>
      <c r="AC193" s="130">
        <v>0</v>
      </c>
      <c r="AD193" s="35">
        <f t="shared" si="51"/>
        <v>1560</v>
      </c>
      <c r="AE193" s="166" t="str">
        <f t="shared" si="52"/>
        <v>Release</v>
      </c>
      <c r="AF193" s="127"/>
      <c r="AG193" s="18">
        <v>0</v>
      </c>
      <c r="AH193" s="120"/>
      <c r="AI193" s="238">
        <v>0</v>
      </c>
      <c r="AJ193" s="132"/>
      <c r="AK193" s="151">
        <v>230.85000000000002</v>
      </c>
      <c r="AL193" s="154">
        <f t="shared" si="42"/>
        <v>0</v>
      </c>
      <c r="AM193" s="155"/>
      <c r="AN193" s="19">
        <f t="shared" si="43"/>
        <v>0</v>
      </c>
      <c r="AO193" s="118">
        <f>SUMIF('MPG Payment '!E:E,'Shayak Income '!D193,'MPG Payment '!AJ:AJ)</f>
        <v>0</v>
      </c>
      <c r="AP193" s="19">
        <f t="shared" si="44"/>
        <v>0</v>
      </c>
      <c r="AQ193" s="119">
        <f t="shared" si="53"/>
        <v>0</v>
      </c>
      <c r="AR193" s="91"/>
      <c r="AS193" s="91">
        <f t="shared" si="45"/>
        <v>0</v>
      </c>
      <c r="AT193" s="118"/>
      <c r="AU193" s="118"/>
      <c r="AV193" s="118"/>
    </row>
    <row r="194" spans="1:48" s="20" customFormat="1" x14ac:dyDescent="0.25">
      <c r="A194" s="17">
        <f>IFERROR(VLOOKUP(D194,'Monthly Deduction'!$I$3:$J$957,2,0),0)</f>
        <v>0</v>
      </c>
      <c r="B194" s="17">
        <f>IFERROR(VLOOKUP(D194,'Monthly Deduction'!$E$3:$F$957,2,0),0)</f>
        <v>0</v>
      </c>
      <c r="C194" s="17">
        <f t="shared" si="46"/>
        <v>0</v>
      </c>
      <c r="D194" s="41">
        <v>10080014</v>
      </c>
      <c r="E194" s="122" t="str">
        <f>VLOOKUP(D194,'MPG Payment '!$E$3:$G$497305,2,0)</f>
        <v>Gomukh ID Rachiyahi</v>
      </c>
      <c r="F194" s="146">
        <f>IFERROR(_xlfn.XLOOKUP(D194,'Monthly Deduction'!$I$3:$I$957,'Monthly Deduction'!$H$3:$H$957),0)</f>
        <v>0</v>
      </c>
      <c r="G194" s="123" t="str">
        <f>VLOOKUP(D194,'MPG Payment '!$E$3:$G$333666,3,0)</f>
        <v>vlc</v>
      </c>
      <c r="H194" s="124" t="str">
        <f>VLOOKUP(D194,'MPG Payment '!$E$3:$H$333666,4,0)</f>
        <v>Indirect</v>
      </c>
      <c r="I194" s="88">
        <f>INDEX('MPG Payment '!$C:$C,MATCH('Shayak Income '!D194,'MPG Payment '!E:E,0))</f>
        <v>1008</v>
      </c>
      <c r="J194" s="88" t="str">
        <f>INDEX('MPG Payment '!$D:$D,MATCH('Shayak Income '!D194,'MPG Payment '!E:E,0))</f>
        <v>Teghra</v>
      </c>
      <c r="K194" s="125" t="s">
        <v>1594</v>
      </c>
      <c r="L194" s="125">
        <v>44375</v>
      </c>
      <c r="M194" s="126">
        <f>SUMIF('MPG Payment '!$E$3:$E$344841,'Shayak Income '!D194,'MPG Payment '!$I$3:$I$344841)</f>
        <v>1415.6499999999999</v>
      </c>
      <c r="N194" s="126">
        <f>SUMIF('MPG Payment '!$E$3:$E$344841,'Shayak Income '!D194,'MPG Payment '!$J$3:$J$344841)</f>
        <v>58021.819999999992</v>
      </c>
      <c r="O194" s="126">
        <f t="shared" si="47"/>
        <v>1061.7375</v>
      </c>
      <c r="P194" s="126">
        <f t="shared" si="48"/>
        <v>1344.8674999999998</v>
      </c>
      <c r="Q194" s="126">
        <f>SUMIF('MPG Payment '!$E$3:$E$344841,'Shayak Income '!D194,'MPG Payment '!$S$3:$S$344841)</f>
        <v>0</v>
      </c>
      <c r="R194" s="126">
        <f t="shared" si="38"/>
        <v>1740.6545999999996</v>
      </c>
      <c r="S194" s="126">
        <f t="shared" si="39"/>
        <v>395.78709999999978</v>
      </c>
      <c r="T194" s="126">
        <f t="shared" si="49"/>
        <v>141.565</v>
      </c>
      <c r="U194" s="127">
        <f>((((((IF(K194="New",0,SUMIF('MPG Payment '!$E$3:$E$344841,'Shayak Income '!D194,'MPG Payment '!$AC$3:$AC$344841))))+0)+0)+0)+0)+0</f>
        <v>1098.3808451887257</v>
      </c>
      <c r="V194" s="127">
        <f t="shared" si="50"/>
        <v>1167</v>
      </c>
      <c r="W194" s="19">
        <f t="shared" si="54"/>
        <v>0</v>
      </c>
      <c r="X194" s="19">
        <f t="shared" si="40"/>
        <v>0</v>
      </c>
      <c r="Y194" s="128">
        <f>IFERROR(VLOOKUP(D194,'Monthly Deduction'!$M$2:$N$640,2,0),0)</f>
        <v>0</v>
      </c>
      <c r="Z194" s="128">
        <v>0</v>
      </c>
      <c r="AA194" s="126">
        <f>IFERROR(VLOOKUP(D194,'Monthly Deduction'!A:B,2,0),0)</f>
        <v>0</v>
      </c>
      <c r="AB194" s="129">
        <f t="shared" si="41"/>
        <v>1167</v>
      </c>
      <c r="AC194" s="130">
        <f>AB194</f>
        <v>1167</v>
      </c>
      <c r="AD194" s="35">
        <f t="shared" si="51"/>
        <v>0</v>
      </c>
      <c r="AE194" s="166" t="str">
        <f t="shared" si="52"/>
        <v>Yes</v>
      </c>
      <c r="AF194" s="127"/>
      <c r="AG194" s="18">
        <v>0</v>
      </c>
      <c r="AH194" s="132" t="s">
        <v>1597</v>
      </c>
      <c r="AI194" s="238">
        <v>0</v>
      </c>
      <c r="AJ194" s="132"/>
      <c r="AK194" s="151">
        <v>0</v>
      </c>
      <c r="AL194" s="154">
        <f t="shared" si="42"/>
        <v>0</v>
      </c>
      <c r="AM194" s="155"/>
      <c r="AN194" s="19">
        <f t="shared" si="43"/>
        <v>0</v>
      </c>
      <c r="AO194" s="118">
        <f>SUMIF('MPG Payment '!E:E,'Shayak Income '!D194,'MPG Payment '!AJ:AJ)</f>
        <v>0</v>
      </c>
      <c r="AP194" s="19">
        <f t="shared" si="44"/>
        <v>0</v>
      </c>
      <c r="AQ194" s="119">
        <f t="shared" si="53"/>
        <v>0</v>
      </c>
      <c r="AR194" s="91"/>
      <c r="AS194" s="91">
        <f t="shared" si="45"/>
        <v>0</v>
      </c>
      <c r="AT194" s="118"/>
      <c r="AU194" s="118"/>
      <c r="AV194" s="118"/>
    </row>
    <row r="195" spans="1:48" s="20" customFormat="1" x14ac:dyDescent="0.25">
      <c r="A195" s="17">
        <f>IFERROR(VLOOKUP(D195,'Monthly Deduction'!$I$3:$J$957,2,0),0)</f>
        <v>0</v>
      </c>
      <c r="B195" s="17">
        <f>IFERROR(VLOOKUP(D195,'Monthly Deduction'!$E$3:$F$957,2,0),0)</f>
        <v>0</v>
      </c>
      <c r="C195" s="17">
        <f t="shared" si="46"/>
        <v>0</v>
      </c>
      <c r="D195" s="41">
        <v>10080015</v>
      </c>
      <c r="E195" s="122" t="str">
        <f>VLOOKUP(D195,'MPG Payment '!$E$3:$G$497305,2,0)</f>
        <v>GomukhBariyahi Chanan</v>
      </c>
      <c r="F195" s="146">
        <f>IFERROR(_xlfn.XLOOKUP(D195,'Monthly Deduction'!$I$3:$I$957,'Monthly Deduction'!$H$3:$H$957),0)</f>
        <v>0</v>
      </c>
      <c r="G195" s="123" t="str">
        <f>VLOOKUP(D195,'MPG Payment '!$E$3:$G$333666,3,0)</f>
        <v>MPG</v>
      </c>
      <c r="H195" s="124" t="str">
        <f>VLOOKUP(D195,'MPG Payment '!$E$3:$H$333666,4,0)</f>
        <v>Direct</v>
      </c>
      <c r="I195" s="88">
        <f>INDEX('MPG Payment '!$C:$C,MATCH('Shayak Income '!D195,'MPG Payment '!E:E,0))</f>
        <v>1008</v>
      </c>
      <c r="J195" s="88" t="str">
        <f>INDEX('MPG Payment '!$D:$D,MATCH('Shayak Income '!D195,'MPG Payment '!E:E,0))</f>
        <v>Teghra</v>
      </c>
      <c r="K195" s="125" t="s">
        <v>1594</v>
      </c>
      <c r="L195" s="125">
        <v>44693</v>
      </c>
      <c r="M195" s="126">
        <f>SUMIF('MPG Payment '!$E$3:$E$344841,'Shayak Income '!D195,'MPG Payment '!$I$3:$I$344841)</f>
        <v>4619.3999999999996</v>
      </c>
      <c r="N195" s="126">
        <f>SUMIF('MPG Payment '!$E$3:$E$344841,'Shayak Income '!D195,'MPG Payment '!$J$3:$J$344841)</f>
        <v>169208.86</v>
      </c>
      <c r="O195" s="126">
        <f t="shared" si="47"/>
        <v>3464.5499999999997</v>
      </c>
      <c r="P195" s="126">
        <f t="shared" si="48"/>
        <v>4388.4299999999994</v>
      </c>
      <c r="Q195" s="126">
        <f>SUMIF('MPG Payment '!$E$3:$E$344841,'Shayak Income '!D195,'MPG Payment '!$S$3:$S$344841)</f>
        <v>338.9</v>
      </c>
      <c r="R195" s="126">
        <f t="shared" si="38"/>
        <v>5076.2657999999992</v>
      </c>
      <c r="S195" s="126">
        <f t="shared" si="39"/>
        <v>687.83579999999984</v>
      </c>
      <c r="T195" s="126">
        <f t="shared" si="49"/>
        <v>461.94</v>
      </c>
      <c r="U195" s="127">
        <f>((((((IF(K195="New",0,SUMIF('MPG Payment '!$E$3:$E$344841,'Shayak Income '!D195,'MPG Payment '!$AC$3:$AC$344841))))+0)+0)+0)+0)+0</f>
        <v>0</v>
      </c>
      <c r="V195" s="127">
        <f t="shared" si="50"/>
        <v>7730</v>
      </c>
      <c r="W195" s="19">
        <f t="shared" si="54"/>
        <v>0</v>
      </c>
      <c r="X195" s="19">
        <f t="shared" si="40"/>
        <v>0</v>
      </c>
      <c r="Y195" s="128">
        <f>IFERROR(VLOOKUP(D195,'Monthly Deduction'!$M$2:$N$640,2,0),0)</f>
        <v>0</v>
      </c>
      <c r="Z195" s="128">
        <v>0</v>
      </c>
      <c r="AA195" s="126">
        <f>IFERROR(VLOOKUP(D195,'Monthly Deduction'!A:B,2,0),0)</f>
        <v>0</v>
      </c>
      <c r="AB195" s="129">
        <f t="shared" si="41"/>
        <v>7730</v>
      </c>
      <c r="AC195" s="130">
        <v>0</v>
      </c>
      <c r="AD195" s="35">
        <f t="shared" si="51"/>
        <v>7730</v>
      </c>
      <c r="AE195" s="166" t="str">
        <f t="shared" si="52"/>
        <v>Release</v>
      </c>
      <c r="AF195" s="127"/>
      <c r="AG195" s="127">
        <v>0</v>
      </c>
      <c r="AH195" s="132"/>
      <c r="AI195" s="238">
        <v>0</v>
      </c>
      <c r="AJ195" s="132"/>
      <c r="AK195" s="151">
        <v>707.95</v>
      </c>
      <c r="AL195" s="154">
        <f t="shared" si="42"/>
        <v>0</v>
      </c>
      <c r="AM195" s="155"/>
      <c r="AN195" s="19">
        <f t="shared" si="43"/>
        <v>0</v>
      </c>
      <c r="AO195" s="118">
        <f>SUMIF('MPG Payment '!E:E,'Shayak Income '!D195,'MPG Payment '!AJ:AJ)</f>
        <v>0</v>
      </c>
      <c r="AP195" s="19">
        <f t="shared" si="44"/>
        <v>0</v>
      </c>
      <c r="AQ195" s="119">
        <f t="shared" si="53"/>
        <v>0</v>
      </c>
      <c r="AR195" s="91" t="s">
        <v>1144</v>
      </c>
      <c r="AS195" s="91">
        <f t="shared" si="45"/>
        <v>0</v>
      </c>
      <c r="AT195" s="118"/>
      <c r="AU195" s="118"/>
      <c r="AV195" s="118"/>
    </row>
    <row r="196" spans="1:48" s="20" customFormat="1" x14ac:dyDescent="0.25">
      <c r="A196" s="17">
        <f>IFERROR(VLOOKUP(D196,'Monthly Deduction'!$I$3:$J$957,2,0),0)</f>
        <v>71619</v>
      </c>
      <c r="B196" s="17">
        <f>IFERROR(VLOOKUP(D196,'Monthly Deduction'!$E$3:$F$957,2,0),0)</f>
        <v>130.66422891840011</v>
      </c>
      <c r="C196" s="17">
        <f t="shared" si="46"/>
        <v>71749.664228918395</v>
      </c>
      <c r="D196" s="41">
        <v>10080016</v>
      </c>
      <c r="E196" s="122" t="str">
        <f>VLOOKUP(D196,'MPG Payment '!$E$3:$G$497305,2,0)</f>
        <v>GomukhGehuni</v>
      </c>
      <c r="F196" s="146">
        <f>IFERROR(_xlfn.XLOOKUP(D196,'Monthly Deduction'!$I$3:$I$957,'Monthly Deduction'!$H$3:$H$957),0)</f>
        <v>0</v>
      </c>
      <c r="G196" s="123" t="str">
        <f>VLOOKUP(D196,'MPG Payment '!$E$3:$G$333666,3,0)</f>
        <v>MPG</v>
      </c>
      <c r="H196" s="124" t="str">
        <f>VLOOKUP(D196,'MPG Payment '!$E$3:$H$333666,4,0)</f>
        <v>Direct</v>
      </c>
      <c r="I196" s="88">
        <f>INDEX('MPG Payment '!$C:$C,MATCH('Shayak Income '!D196,'MPG Payment '!E:E,0))</f>
        <v>1008</v>
      </c>
      <c r="J196" s="88" t="str">
        <f>INDEX('MPG Payment '!$D:$D,MATCH('Shayak Income '!D196,'MPG Payment '!E:E,0))</f>
        <v>Teghra</v>
      </c>
      <c r="K196" s="125" t="s">
        <v>1594</v>
      </c>
      <c r="L196" s="125">
        <v>44694</v>
      </c>
      <c r="M196" s="126">
        <f>SUMIF('MPG Payment '!$E$3:$E$344841,'Shayak Income '!D196,'MPG Payment '!$I$3:$I$344841)</f>
        <v>484.95000000000005</v>
      </c>
      <c r="N196" s="126">
        <f>SUMIF('MPG Payment '!$E$3:$E$344841,'Shayak Income '!D196,'MPG Payment '!$J$3:$J$344841)</f>
        <v>18224.089999999997</v>
      </c>
      <c r="O196" s="126">
        <f t="shared" si="47"/>
        <v>363.71250000000003</v>
      </c>
      <c r="P196" s="126">
        <f t="shared" si="48"/>
        <v>460.70250000000004</v>
      </c>
      <c r="Q196" s="126">
        <f>SUMIF('MPG Payment '!$E$3:$E$344841,'Shayak Income '!D196,'MPG Payment '!$S$3:$S$344841)</f>
        <v>127.82999999999998</v>
      </c>
      <c r="R196" s="126">
        <f t="shared" ref="R196:R259" si="55">+N196*3%</f>
        <v>546.72269999999992</v>
      </c>
      <c r="S196" s="126">
        <f t="shared" ref="S196:S259" si="56">R196-P196</f>
        <v>86.020199999999875</v>
      </c>
      <c r="T196" s="126">
        <f t="shared" si="49"/>
        <v>48.495000000000005</v>
      </c>
      <c r="U196" s="127">
        <f>((((((IF(K196="New",0,SUMIF('MPG Payment '!$E$3:$E$344841,'Shayak Income '!D196,'MPG Payment '!$AC$3:$AC$344841))))+0)+0)+0)+0)+-829</f>
        <v>904.10442832445028</v>
      </c>
      <c r="V196" s="127">
        <f t="shared" si="50"/>
        <v>0</v>
      </c>
      <c r="W196" s="19">
        <v>0</v>
      </c>
      <c r="X196" s="19">
        <v>0</v>
      </c>
      <c r="Y196" s="128">
        <v>0</v>
      </c>
      <c r="Z196" s="128">
        <v>0</v>
      </c>
      <c r="AA196" s="126">
        <v>0</v>
      </c>
      <c r="AB196" s="129">
        <f t="shared" ref="AB196:AB259" si="57">ROUND(IFERROR(V196-SUM(W196:AA196),0),0)</f>
        <v>0</v>
      </c>
      <c r="AC196" s="130">
        <v>0</v>
      </c>
      <c r="AD196" s="35">
        <f t="shared" si="51"/>
        <v>0</v>
      </c>
      <c r="AE196" s="166" t="str">
        <f t="shared" si="52"/>
        <v>Release</v>
      </c>
      <c r="AF196" s="127"/>
      <c r="AG196" s="18">
        <v>0</v>
      </c>
      <c r="AH196" s="120"/>
      <c r="AI196" s="238">
        <v>0</v>
      </c>
      <c r="AJ196" s="132"/>
      <c r="AK196" s="151">
        <v>108.95</v>
      </c>
      <c r="AL196" s="154">
        <f t="shared" ref="AL196:AL259" si="58">COUNTIF(AK196:AK196,"=NA")</f>
        <v>0</v>
      </c>
      <c r="AM196" s="155"/>
      <c r="AN196" s="19">
        <f t="shared" ref="AN196:AN259" si="59">((MIN(IF(A196&gt;0,MAX(N196*2%,1861),0),A196)))+0</f>
        <v>1861</v>
      </c>
      <c r="AO196" s="118">
        <f>SUMIF('MPG Payment '!E:E,'Shayak Income '!D196,'MPG Payment '!AJ:AJ)</f>
        <v>2000</v>
      </c>
      <c r="AP196" s="19">
        <f t="shared" ref="AP196:AP259" si="60">W196</f>
        <v>0</v>
      </c>
      <c r="AQ196" s="119">
        <f t="shared" si="53"/>
        <v>2000</v>
      </c>
      <c r="AR196" s="91" t="s">
        <v>1144</v>
      </c>
      <c r="AS196" s="91">
        <f t="shared" ref="AS196:AS259" si="61">B196-X196</f>
        <v>130.66422891840011</v>
      </c>
      <c r="AT196" s="118"/>
      <c r="AU196" s="118"/>
      <c r="AV196" s="118"/>
    </row>
    <row r="197" spans="1:48" s="20" customFormat="1" x14ac:dyDescent="0.25">
      <c r="A197" s="17">
        <f>IFERROR(VLOOKUP(D197,'Monthly Deduction'!$I$3:$J$957,2,0),0)</f>
        <v>21060.466799999995</v>
      </c>
      <c r="B197" s="17">
        <f>IFERROR(VLOOKUP(D197,'Monthly Deduction'!$E$3:$F$957,2,0),0)</f>
        <v>3200</v>
      </c>
      <c r="C197" s="17">
        <f t="shared" ref="C197:C260" si="62">A197+B197</f>
        <v>24260.466799999995</v>
      </c>
      <c r="D197" s="41">
        <v>10080022</v>
      </c>
      <c r="E197" s="122" t="str">
        <f>VLOOKUP(D197,'MPG Payment '!$E$3:$G$497305,2,0)</f>
        <v>Gomukh Bakhatpur</v>
      </c>
      <c r="F197" s="146">
        <f>IFERROR(_xlfn.XLOOKUP(D197,'Monthly Deduction'!$I$3:$I$957,'Monthly Deduction'!$H$3:$H$957),0)</f>
        <v>0</v>
      </c>
      <c r="G197" s="123" t="str">
        <f>VLOOKUP(D197,'MPG Payment '!$E$3:$G$333666,3,0)</f>
        <v>MPG</v>
      </c>
      <c r="H197" s="124" t="str">
        <f>VLOOKUP(D197,'MPG Payment '!$E$3:$H$333666,4,0)</f>
        <v>Direct</v>
      </c>
      <c r="I197" s="88">
        <f>INDEX('MPG Payment '!$C:$C,MATCH('Shayak Income '!D197,'MPG Payment '!E:E,0))</f>
        <v>1008</v>
      </c>
      <c r="J197" s="88" t="str">
        <f>INDEX('MPG Payment '!$D:$D,MATCH('Shayak Income '!D197,'MPG Payment '!E:E,0))</f>
        <v>Teghra</v>
      </c>
      <c r="K197" s="125" t="s">
        <v>1594</v>
      </c>
      <c r="L197" s="125">
        <v>44979</v>
      </c>
      <c r="M197" s="126">
        <f>SUMIF('MPG Payment '!$E$3:$E$344841,'Shayak Income '!D197,'MPG Payment '!$I$3:$I$344841)</f>
        <v>788.3</v>
      </c>
      <c r="N197" s="126">
        <f>SUMIF('MPG Payment '!$E$3:$E$344841,'Shayak Income '!D197,'MPG Payment '!$J$3:$J$344841)</f>
        <v>35289.46</v>
      </c>
      <c r="O197" s="126">
        <f t="shared" ref="O197:O260" si="63">+M197*0.75</f>
        <v>591.22499999999991</v>
      </c>
      <c r="P197" s="126">
        <f t="shared" ref="P197:P260" si="64">+M197*0.95</f>
        <v>748.88499999999988</v>
      </c>
      <c r="Q197" s="126">
        <f>SUMIF('MPG Payment '!$E$3:$E$344841,'Shayak Income '!D197,'MPG Payment '!$S$3:$S$344841)</f>
        <v>514.91999999999996</v>
      </c>
      <c r="R197" s="126">
        <f t="shared" si="55"/>
        <v>1058.6838</v>
      </c>
      <c r="S197" s="126">
        <f t="shared" si="56"/>
        <v>309.79880000000014</v>
      </c>
      <c r="T197" s="126">
        <f t="shared" ref="T197:T260" si="65">M197*0.1</f>
        <v>78.83</v>
      </c>
      <c r="U197" s="127">
        <f>((((((IF(K197="New",0,SUMIF('MPG Payment '!$E$3:$E$344841,'Shayak Income '!D197,'MPG Payment '!$AC$3:$AC$344841))))+0)+0)+0)+0)+-25</f>
        <v>1776.620128565396</v>
      </c>
      <c r="V197" s="127">
        <f t="shared" ref="V197:V260" si="66">ROUND((SUM(O197:Q197)-SUM(T197:U197)),0)</f>
        <v>0</v>
      </c>
      <c r="W197" s="19">
        <v>0</v>
      </c>
      <c r="X197" s="19">
        <v>0</v>
      </c>
      <c r="Y197" s="128">
        <v>0</v>
      </c>
      <c r="Z197" s="128">
        <v>0</v>
      </c>
      <c r="AA197" s="126">
        <v>0</v>
      </c>
      <c r="AB197" s="129">
        <f t="shared" si="57"/>
        <v>0</v>
      </c>
      <c r="AC197" s="130">
        <v>0</v>
      </c>
      <c r="AD197" s="35">
        <f t="shared" ref="AD197:AD260" si="67">ROUND(AB197-AC197,0)</f>
        <v>0</v>
      </c>
      <c r="AE197" s="166" t="str">
        <f t="shared" ref="AE197:AE260" si="68">IF(AC197&lt;&gt;0,"Yes","Release")</f>
        <v>Release</v>
      </c>
      <c r="AF197" s="127"/>
      <c r="AG197" s="18">
        <v>0</v>
      </c>
      <c r="AH197" s="120"/>
      <c r="AI197" s="238">
        <v>0</v>
      </c>
      <c r="AJ197" s="132"/>
      <c r="AK197" s="151">
        <v>182.70000000000002</v>
      </c>
      <c r="AL197" s="154">
        <f t="shared" si="58"/>
        <v>0</v>
      </c>
      <c r="AM197" s="155"/>
      <c r="AN197" s="19">
        <f t="shared" si="59"/>
        <v>1861</v>
      </c>
      <c r="AO197" s="118">
        <f>SUMIF('MPG Payment '!E:E,'Shayak Income '!D197,'MPG Payment '!AJ:AJ)</f>
        <v>0</v>
      </c>
      <c r="AP197" s="19">
        <f t="shared" si="60"/>
        <v>0</v>
      </c>
      <c r="AQ197" s="119">
        <f t="shared" ref="AQ197:AQ260" si="69">AO197+AP197</f>
        <v>0</v>
      </c>
      <c r="AR197" s="91" t="s">
        <v>1144</v>
      </c>
      <c r="AS197" s="91">
        <f t="shared" si="61"/>
        <v>3200</v>
      </c>
      <c r="AT197" s="118"/>
      <c r="AU197" s="118"/>
      <c r="AV197" s="118"/>
    </row>
    <row r="198" spans="1:48" s="20" customFormat="1" x14ac:dyDescent="0.25">
      <c r="A198" s="17">
        <f>IFERROR(VLOOKUP(D198,'Monthly Deduction'!$I$3:$J$957,2,0),0)</f>
        <v>0</v>
      </c>
      <c r="B198" s="17">
        <f>IFERROR(VLOOKUP(D198,'Monthly Deduction'!$E$3:$F$957,2,0),0)</f>
        <v>0</v>
      </c>
      <c r="C198" s="17">
        <f t="shared" si="62"/>
        <v>0</v>
      </c>
      <c r="D198" s="41">
        <v>10080024</v>
      </c>
      <c r="E198" s="122" t="str">
        <f>VLOOKUP(D198,'MPG Payment '!$E$3:$G$497305,2,0)</f>
        <v>Ananaya Dairy</v>
      </c>
      <c r="F198" s="146">
        <f>IFERROR(_xlfn.XLOOKUP(D198,'Monthly Deduction'!$I$3:$I$957,'Monthly Deduction'!$H$3:$H$957),0)</f>
        <v>0</v>
      </c>
      <c r="G198" s="123" t="str">
        <f>VLOOKUP(D198,'MPG Payment '!$E$3:$G$333666,3,0)</f>
        <v>vlc</v>
      </c>
      <c r="H198" s="124" t="str">
        <f>VLOOKUP(D198,'MPG Payment '!$E$3:$H$333666,4,0)</f>
        <v>Indirect</v>
      </c>
      <c r="I198" s="88">
        <f>INDEX('MPG Payment '!$C:$C,MATCH('Shayak Income '!D198,'MPG Payment '!E:E,0))</f>
        <v>1008</v>
      </c>
      <c r="J198" s="88" t="str">
        <f>INDEX('MPG Payment '!$D:$D,MATCH('Shayak Income '!D198,'MPG Payment '!E:E,0))</f>
        <v>Teghra</v>
      </c>
      <c r="K198" s="125" t="s">
        <v>1594</v>
      </c>
      <c r="L198" s="125">
        <v>45001</v>
      </c>
      <c r="M198" s="126">
        <f>SUMIF('MPG Payment '!$E$3:$E$344841,'Shayak Income '!D198,'MPG Payment '!$I$3:$I$344841)</f>
        <v>14629.900000000001</v>
      </c>
      <c r="N198" s="126">
        <f>SUMIF('MPG Payment '!$E$3:$E$344841,'Shayak Income '!D198,'MPG Payment '!$J$3:$J$344841)</f>
        <v>584454.76</v>
      </c>
      <c r="O198" s="126">
        <f t="shared" si="63"/>
        <v>10972.425000000001</v>
      </c>
      <c r="P198" s="126">
        <f t="shared" si="64"/>
        <v>13898.405000000001</v>
      </c>
      <c r="Q198" s="126">
        <f>SUMIF('MPG Payment '!$E$3:$E$344841,'Shayak Income '!D198,'MPG Payment '!$S$3:$S$344841)</f>
        <v>0</v>
      </c>
      <c r="R198" s="126">
        <f t="shared" si="55"/>
        <v>17533.642800000001</v>
      </c>
      <c r="S198" s="126">
        <f t="shared" si="56"/>
        <v>3635.2378000000008</v>
      </c>
      <c r="T198" s="126">
        <f t="shared" si="65"/>
        <v>1462.9900000000002</v>
      </c>
      <c r="U198" s="127">
        <f>((((((IF(K198="New",0,SUMIF('MPG Payment '!$E$3:$E$344841,'Shayak Income '!D198,'MPG Payment '!$AC$3:$AC$344841))))+0)+0)+0)+0)+0</f>
        <v>0</v>
      </c>
      <c r="V198" s="127">
        <f t="shared" si="66"/>
        <v>23408</v>
      </c>
      <c r="W198" s="19">
        <f t="shared" ref="W198:W257" si="70">(((AN198-AO198)))+0</f>
        <v>0</v>
      </c>
      <c r="X198" s="19">
        <f t="shared" ref="X198:X255" si="71">((MIN(IF(B198&gt;0,MAX(N198*2%),0),B198)))+0</f>
        <v>0</v>
      </c>
      <c r="Y198" s="128">
        <f>IFERROR(VLOOKUP(D198,'Monthly Deduction'!$M$2:$N$640,2,0),0)</f>
        <v>0</v>
      </c>
      <c r="Z198" s="128">
        <v>0</v>
      </c>
      <c r="AA198" s="126">
        <f>IFERROR(VLOOKUP(D198,'Monthly Deduction'!A:B,2,0),0)</f>
        <v>0</v>
      </c>
      <c r="AB198" s="129">
        <f t="shared" si="57"/>
        <v>23408</v>
      </c>
      <c r="AC198" s="130">
        <v>0</v>
      </c>
      <c r="AD198" s="35">
        <f t="shared" si="67"/>
        <v>23408</v>
      </c>
      <c r="AE198" s="166" t="str">
        <f t="shared" si="68"/>
        <v>Release</v>
      </c>
      <c r="AF198" s="127"/>
      <c r="AG198" s="18">
        <v>0</v>
      </c>
      <c r="AH198" s="120"/>
      <c r="AI198" s="238">
        <v>0</v>
      </c>
      <c r="AJ198" s="132"/>
      <c r="AK198" s="151">
        <v>3185.3999999999996</v>
      </c>
      <c r="AL198" s="154">
        <f t="shared" si="58"/>
        <v>0</v>
      </c>
      <c r="AM198" s="155"/>
      <c r="AN198" s="19">
        <f t="shared" si="59"/>
        <v>0</v>
      </c>
      <c r="AO198" s="118">
        <f>SUMIF('MPG Payment '!E:E,'Shayak Income '!D198,'MPG Payment '!AJ:AJ)</f>
        <v>0</v>
      </c>
      <c r="AP198" s="19">
        <f t="shared" si="60"/>
        <v>0</v>
      </c>
      <c r="AQ198" s="119">
        <f t="shared" si="69"/>
        <v>0</v>
      </c>
      <c r="AR198" s="91" t="s">
        <v>1144</v>
      </c>
      <c r="AS198" s="91">
        <f t="shared" si="61"/>
        <v>0</v>
      </c>
      <c r="AT198" s="118"/>
      <c r="AU198" s="118"/>
      <c r="AV198" s="118"/>
    </row>
    <row r="199" spans="1:48" s="20" customFormat="1" x14ac:dyDescent="0.25">
      <c r="A199" s="17">
        <f>IFERROR(VLOOKUP(D199,'Monthly Deduction'!$I$3:$J$957,2,0),0)</f>
        <v>0</v>
      </c>
      <c r="B199" s="17">
        <f>IFERROR(VLOOKUP(D199,'Monthly Deduction'!$E$3:$F$957,2,0),0)</f>
        <v>10894.771644080796</v>
      </c>
      <c r="C199" s="17">
        <f t="shared" si="62"/>
        <v>10894.771644080796</v>
      </c>
      <c r="D199" s="41">
        <v>10080025</v>
      </c>
      <c r="E199" s="122" t="str">
        <f>VLOOKUP(D199,'MPG Payment '!$E$3:$G$497305,2,0)</f>
        <v>Gomukh Bishanpur</v>
      </c>
      <c r="F199" s="146">
        <f>IFERROR(_xlfn.XLOOKUP(D199,'Monthly Deduction'!$I$3:$I$957,'Monthly Deduction'!$H$3:$H$957),0)</f>
        <v>0</v>
      </c>
      <c r="G199" s="123" t="str">
        <f>VLOOKUP(D199,'MPG Payment '!$E$3:$G$333666,3,0)</f>
        <v>MPG</v>
      </c>
      <c r="H199" s="124" t="str">
        <f>VLOOKUP(D199,'MPG Payment '!$E$3:$H$333666,4,0)</f>
        <v>Direct</v>
      </c>
      <c r="I199" s="88">
        <f>INDEX('MPG Payment '!$C:$C,MATCH('Shayak Income '!D199,'MPG Payment '!E:E,0))</f>
        <v>1008</v>
      </c>
      <c r="J199" s="88" t="str">
        <f>INDEX('MPG Payment '!$D:$D,MATCH('Shayak Income '!D199,'MPG Payment '!E:E,0))</f>
        <v>Teghra</v>
      </c>
      <c r="K199" s="125" t="s">
        <v>1594</v>
      </c>
      <c r="L199" s="125">
        <v>45003</v>
      </c>
      <c r="M199" s="126">
        <f>SUMIF('MPG Payment '!$E$3:$E$344841,'Shayak Income '!D199,'MPG Payment '!$I$3:$I$344841)</f>
        <v>3250.7</v>
      </c>
      <c r="N199" s="126">
        <f>SUMIF('MPG Payment '!$E$3:$E$344841,'Shayak Income '!D199,'MPG Payment '!$J$3:$J$344841)</f>
        <v>117638.29999999999</v>
      </c>
      <c r="O199" s="126">
        <f t="shared" si="63"/>
        <v>2438.0249999999996</v>
      </c>
      <c r="P199" s="126">
        <f t="shared" si="64"/>
        <v>3088.1649999999995</v>
      </c>
      <c r="Q199" s="126">
        <f>SUMIF('MPG Payment '!$E$3:$E$344841,'Shayak Income '!D199,'MPG Payment '!$S$3:$S$344841)</f>
        <v>1758.8899999999999</v>
      </c>
      <c r="R199" s="126">
        <f t="shared" si="55"/>
        <v>3529.1489999999994</v>
      </c>
      <c r="S199" s="126">
        <f t="shared" si="56"/>
        <v>440.98399999999992</v>
      </c>
      <c r="T199" s="126">
        <f t="shared" si="65"/>
        <v>325.07</v>
      </c>
      <c r="U199" s="127">
        <f>((((((IF(K199="New",0,SUMIF('MPG Payment '!$E$3:$E$344841,'Shayak Income '!D199,'MPG Payment '!$AC$3:$AC$344841))))+0)+0)+0)+0)+0</f>
        <v>0</v>
      </c>
      <c r="V199" s="127">
        <f t="shared" si="66"/>
        <v>6960</v>
      </c>
      <c r="W199" s="19">
        <f t="shared" si="70"/>
        <v>0</v>
      </c>
      <c r="X199" s="19">
        <f t="shared" si="71"/>
        <v>2352.7659999999996</v>
      </c>
      <c r="Y199" s="128">
        <f>IFERROR(VLOOKUP(D199,'Monthly Deduction'!$M$2:$N$640,2,0),0)</f>
        <v>0</v>
      </c>
      <c r="Z199" s="128">
        <v>0</v>
      </c>
      <c r="AA199" s="126">
        <f>IFERROR(VLOOKUP(D199,'Monthly Deduction'!A:B,2,0),0)</f>
        <v>0</v>
      </c>
      <c r="AB199" s="129">
        <f t="shared" si="57"/>
        <v>4607</v>
      </c>
      <c r="AC199" s="130">
        <v>0</v>
      </c>
      <c r="AD199" s="35">
        <f t="shared" si="67"/>
        <v>4607</v>
      </c>
      <c r="AE199" s="166" t="str">
        <f t="shared" si="68"/>
        <v>Release</v>
      </c>
      <c r="AF199" s="127"/>
      <c r="AG199" s="18">
        <v>0</v>
      </c>
      <c r="AH199" s="120"/>
      <c r="AI199" s="238">
        <v>0</v>
      </c>
      <c r="AJ199" s="132"/>
      <c r="AK199" s="151">
        <v>680.75</v>
      </c>
      <c r="AL199" s="154">
        <f t="shared" si="58"/>
        <v>0</v>
      </c>
      <c r="AM199" s="155"/>
      <c r="AN199" s="19">
        <f t="shared" si="59"/>
        <v>0</v>
      </c>
      <c r="AO199" s="118">
        <f>SUMIF('MPG Payment '!E:E,'Shayak Income '!D199,'MPG Payment '!AJ:AJ)</f>
        <v>0</v>
      </c>
      <c r="AP199" s="19">
        <f t="shared" si="60"/>
        <v>0</v>
      </c>
      <c r="AQ199" s="119">
        <f t="shared" si="69"/>
        <v>0</v>
      </c>
      <c r="AR199" s="91" t="s">
        <v>1144</v>
      </c>
      <c r="AS199" s="91">
        <f t="shared" si="61"/>
        <v>8542.0056440807966</v>
      </c>
      <c r="AT199" s="118"/>
      <c r="AU199" s="118"/>
      <c r="AV199" s="118"/>
    </row>
    <row r="200" spans="1:48" s="20" customFormat="1" x14ac:dyDescent="0.25">
      <c r="A200" s="17">
        <f>IFERROR(VLOOKUP(D200,'Monthly Deduction'!$I$3:$J$957,2,0),0)</f>
        <v>38644.57693475837</v>
      </c>
      <c r="B200" s="17">
        <f>IFERROR(VLOOKUP(D200,'Monthly Deduction'!$E$3:$F$957,2,0),0)</f>
        <v>10007.960999999999</v>
      </c>
      <c r="C200" s="17">
        <f t="shared" si="62"/>
        <v>48652.537934758366</v>
      </c>
      <c r="D200" s="41">
        <v>10080032</v>
      </c>
      <c r="E200" s="122" t="str">
        <f>VLOOKUP(D200,'MPG Payment '!$E$3:$G$497305,2,0)</f>
        <v>GOMUKH BEGAMSARAI</v>
      </c>
      <c r="F200" s="146">
        <f>IFERROR(_xlfn.XLOOKUP(D200,'Monthly Deduction'!$I$3:$I$957,'Monthly Deduction'!$H$3:$H$957),0)</f>
        <v>0</v>
      </c>
      <c r="G200" s="123" t="str">
        <f>VLOOKUP(D200,'MPG Payment '!$E$3:$G$333666,3,0)</f>
        <v>MPG</v>
      </c>
      <c r="H200" s="124" t="str">
        <f>VLOOKUP(D200,'MPG Payment '!$E$3:$H$333666,4,0)</f>
        <v>Direct</v>
      </c>
      <c r="I200" s="88">
        <f>INDEX('MPG Payment '!$C:$C,MATCH('Shayak Income '!D200,'MPG Payment '!E:E,0))</f>
        <v>1008</v>
      </c>
      <c r="J200" s="88" t="str">
        <f>INDEX('MPG Payment '!$D:$D,MATCH('Shayak Income '!D200,'MPG Payment '!E:E,0))</f>
        <v>Teghra</v>
      </c>
      <c r="K200" s="125" t="s">
        <v>1594</v>
      </c>
      <c r="L200" s="125">
        <v>45148</v>
      </c>
      <c r="M200" s="126">
        <f>SUMIF('MPG Payment '!$E$3:$E$344841,'Shayak Income '!D200,'MPG Payment '!$I$3:$I$344841)</f>
        <v>876.8</v>
      </c>
      <c r="N200" s="126">
        <f>SUMIF('MPG Payment '!$E$3:$E$344841,'Shayak Income '!D200,'MPG Payment '!$J$3:$J$344841)</f>
        <v>39175.03</v>
      </c>
      <c r="O200" s="126">
        <f t="shared" si="63"/>
        <v>657.59999999999991</v>
      </c>
      <c r="P200" s="126">
        <f t="shared" si="64"/>
        <v>832.95999999999992</v>
      </c>
      <c r="Q200" s="126">
        <f>SUMIF('MPG Payment '!$E$3:$E$344841,'Shayak Income '!D200,'MPG Payment '!$S$3:$S$344841)</f>
        <v>807.31999999999994</v>
      </c>
      <c r="R200" s="126">
        <f t="shared" si="55"/>
        <v>1175.2509</v>
      </c>
      <c r="S200" s="126">
        <f t="shared" si="56"/>
        <v>342.29090000000008</v>
      </c>
      <c r="T200" s="126">
        <f t="shared" si="65"/>
        <v>87.68</v>
      </c>
      <c r="U200" s="127">
        <f>((((((IF(K200="New",0,SUMIF('MPG Payment '!$E$3:$E$344841,'Shayak Income '!D200,'MPG Payment '!$AC$3:$AC$344841))))+0)+0)+0)+0)+0</f>
        <v>1726.1365717654944</v>
      </c>
      <c r="V200" s="127">
        <f t="shared" si="66"/>
        <v>484</v>
      </c>
      <c r="W200" s="19">
        <v>484</v>
      </c>
      <c r="X200" s="19">
        <v>0</v>
      </c>
      <c r="Y200" s="128">
        <f>IFERROR(VLOOKUP(D200,'Monthly Deduction'!$M$2:$N$640,2,0),0)</f>
        <v>0</v>
      </c>
      <c r="Z200" s="128">
        <v>0</v>
      </c>
      <c r="AA200" s="126">
        <f>IFERROR(VLOOKUP(D200,'Monthly Deduction'!A:B,2,0),0)</f>
        <v>0</v>
      </c>
      <c r="AB200" s="129">
        <f t="shared" si="57"/>
        <v>0</v>
      </c>
      <c r="AC200" s="130">
        <v>0</v>
      </c>
      <c r="AD200" s="35">
        <f t="shared" si="67"/>
        <v>0</v>
      </c>
      <c r="AE200" s="166" t="str">
        <f t="shared" si="68"/>
        <v>Release</v>
      </c>
      <c r="AF200" s="127"/>
      <c r="AG200" s="127">
        <v>0</v>
      </c>
      <c r="AH200" s="120"/>
      <c r="AI200" s="238">
        <v>0</v>
      </c>
      <c r="AJ200" s="132"/>
      <c r="AK200" s="151">
        <v>296.05</v>
      </c>
      <c r="AL200" s="154">
        <f t="shared" si="58"/>
        <v>0</v>
      </c>
      <c r="AM200" s="155"/>
      <c r="AN200" s="19">
        <f t="shared" si="59"/>
        <v>1861</v>
      </c>
      <c r="AO200" s="118">
        <f>SUMIF('MPG Payment '!E:E,'Shayak Income '!D200,'MPG Payment '!AJ:AJ)</f>
        <v>0</v>
      </c>
      <c r="AP200" s="19">
        <f t="shared" si="60"/>
        <v>484</v>
      </c>
      <c r="AQ200" s="119">
        <f t="shared" si="69"/>
        <v>484</v>
      </c>
      <c r="AR200" s="91" t="s">
        <v>1144</v>
      </c>
      <c r="AS200" s="91">
        <f t="shared" si="61"/>
        <v>10007.960999999999</v>
      </c>
      <c r="AT200" s="118"/>
      <c r="AU200" s="118"/>
      <c r="AV200" s="118"/>
    </row>
    <row r="201" spans="1:48" s="20" customFormat="1" x14ac:dyDescent="0.25">
      <c r="A201" s="17">
        <f>IFERROR(VLOOKUP(D201,'Monthly Deduction'!$I$3:$J$957,2,0),0)</f>
        <v>0</v>
      </c>
      <c r="B201" s="17">
        <f>IFERROR(VLOOKUP(D201,'Monthly Deduction'!$E$3:$F$957,2,0),0)</f>
        <v>0</v>
      </c>
      <c r="C201" s="17">
        <f t="shared" si="62"/>
        <v>0</v>
      </c>
      <c r="D201" s="41">
        <v>10080039</v>
      </c>
      <c r="E201" s="122" t="str">
        <f>VLOOKUP(D201,'MPG Payment '!$E$3:$G$497305,2,0)</f>
        <v>Hasanpur - Abhijeet</v>
      </c>
      <c r="F201" s="146">
        <f>IFERROR(_xlfn.XLOOKUP(D201,'Monthly Deduction'!$I$3:$I$957,'Monthly Deduction'!$H$3:$H$957),0)</f>
        <v>0</v>
      </c>
      <c r="G201" s="123" t="str">
        <f>VLOOKUP(D201,'MPG Payment '!$E$3:$G$333666,3,0)</f>
        <v>vlc</v>
      </c>
      <c r="H201" s="124" t="str">
        <f>VLOOKUP(D201,'MPG Payment '!$E$3:$H$333666,4,0)</f>
        <v>Indirect</v>
      </c>
      <c r="I201" s="88">
        <f>INDEX('MPG Payment '!$C:$C,MATCH('Shayak Income '!D201,'MPG Payment '!E:E,0))</f>
        <v>1008</v>
      </c>
      <c r="J201" s="88" t="str">
        <f>INDEX('MPG Payment '!$D:$D,MATCH('Shayak Income '!D201,'MPG Payment '!E:E,0))</f>
        <v>Teghra</v>
      </c>
      <c r="K201" s="125" t="s">
        <v>1594</v>
      </c>
      <c r="L201" s="125">
        <v>45115</v>
      </c>
      <c r="M201" s="126">
        <f>SUMIF('MPG Payment '!$E$3:$E$344841,'Shayak Income '!D201,'MPG Payment '!$I$3:$I$344841)</f>
        <v>32251.050000000003</v>
      </c>
      <c r="N201" s="126">
        <f>SUMIF('MPG Payment '!$E$3:$E$344841,'Shayak Income '!D201,'MPG Payment '!$J$3:$J$344841)</f>
        <v>1242394.93</v>
      </c>
      <c r="O201" s="126">
        <f t="shared" si="63"/>
        <v>24188.287500000002</v>
      </c>
      <c r="P201" s="126">
        <f t="shared" si="64"/>
        <v>30638.497500000001</v>
      </c>
      <c r="Q201" s="126">
        <f>SUMIF('MPG Payment '!$E$3:$E$344841,'Shayak Income '!D201,'MPG Payment '!$S$3:$S$344841)</f>
        <v>0</v>
      </c>
      <c r="R201" s="126">
        <f t="shared" si="55"/>
        <v>37271.847899999993</v>
      </c>
      <c r="S201" s="126">
        <f t="shared" si="56"/>
        <v>6633.3503999999921</v>
      </c>
      <c r="T201" s="126">
        <f t="shared" si="65"/>
        <v>3225.1050000000005</v>
      </c>
      <c r="U201" s="127">
        <f>((((((IF(K201="New",0,SUMIF('MPG Payment '!$E$3:$E$344841,'Shayak Income '!D201,'MPG Payment '!$AC$3:$AC$344841))))+0)+0)+0)+0)+0</f>
        <v>0</v>
      </c>
      <c r="V201" s="127">
        <f t="shared" si="66"/>
        <v>51602</v>
      </c>
      <c r="W201" s="19">
        <f t="shared" si="70"/>
        <v>0</v>
      </c>
      <c r="X201" s="19">
        <f t="shared" si="71"/>
        <v>0</v>
      </c>
      <c r="Y201" s="128">
        <f>IFERROR(VLOOKUP(D201,'Monthly Deduction'!$M$2:$N$640,2,0),0)</f>
        <v>0</v>
      </c>
      <c r="Z201" s="128">
        <v>0</v>
      </c>
      <c r="AA201" s="126">
        <f>IFERROR(VLOOKUP(D201,'Monthly Deduction'!A:B,2,0),0)</f>
        <v>0</v>
      </c>
      <c r="AB201" s="129">
        <f t="shared" si="57"/>
        <v>51602</v>
      </c>
      <c r="AC201" s="130">
        <v>0</v>
      </c>
      <c r="AD201" s="35">
        <f t="shared" si="67"/>
        <v>51602</v>
      </c>
      <c r="AE201" s="166" t="str">
        <f t="shared" si="68"/>
        <v>Release</v>
      </c>
      <c r="AF201" s="127"/>
      <c r="AG201" s="127">
        <v>0</v>
      </c>
      <c r="AH201" s="120"/>
      <c r="AI201" s="238">
        <v>0</v>
      </c>
      <c r="AJ201" s="132"/>
      <c r="AK201" s="151">
        <v>6522.9000000000015</v>
      </c>
      <c r="AL201" s="154">
        <f t="shared" si="58"/>
        <v>0</v>
      </c>
      <c r="AM201" s="155"/>
      <c r="AN201" s="19">
        <f t="shared" si="59"/>
        <v>0</v>
      </c>
      <c r="AO201" s="118">
        <f>SUMIF('MPG Payment '!E:E,'Shayak Income '!D201,'MPG Payment '!AJ:AJ)</f>
        <v>0</v>
      </c>
      <c r="AP201" s="19">
        <f t="shared" si="60"/>
        <v>0</v>
      </c>
      <c r="AQ201" s="119">
        <f t="shared" si="69"/>
        <v>0</v>
      </c>
      <c r="AR201" s="91" t="s">
        <v>1144</v>
      </c>
      <c r="AS201" s="91">
        <f t="shared" si="61"/>
        <v>0</v>
      </c>
      <c r="AT201" s="118"/>
      <c r="AU201" s="118"/>
      <c r="AV201" s="118"/>
    </row>
    <row r="202" spans="1:48" s="20" customFormat="1" x14ac:dyDescent="0.25">
      <c r="A202" s="17">
        <f>IFERROR(VLOOKUP(D202,'Monthly Deduction'!$I$3:$J$957,2,0),0)</f>
        <v>0</v>
      </c>
      <c r="B202" s="17">
        <f>IFERROR(VLOOKUP(D202,'Monthly Deduction'!$E$3:$F$957,2,0),0)</f>
        <v>0</v>
      </c>
      <c r="C202" s="17">
        <f t="shared" si="62"/>
        <v>0</v>
      </c>
      <c r="D202" s="41">
        <v>10080040</v>
      </c>
      <c r="E202" s="122" t="str">
        <f>VLOOKUP(D202,'MPG Payment '!$E$3:$G$497305,2,0)</f>
        <v>Adharpur - Manish</v>
      </c>
      <c r="F202" s="146">
        <f>IFERROR(_xlfn.XLOOKUP(D202,'Monthly Deduction'!$I$3:$I$957,'Monthly Deduction'!$H$3:$H$957),0)</f>
        <v>0</v>
      </c>
      <c r="G202" s="123" t="str">
        <f>VLOOKUP(D202,'MPG Payment '!$E$3:$G$333666,3,0)</f>
        <v>vlc</v>
      </c>
      <c r="H202" s="124" t="str">
        <f>VLOOKUP(D202,'MPG Payment '!$E$3:$H$333666,4,0)</f>
        <v>Indirect</v>
      </c>
      <c r="I202" s="88">
        <f>INDEX('MPG Payment '!$C:$C,MATCH('Shayak Income '!D202,'MPG Payment '!E:E,0))</f>
        <v>1008</v>
      </c>
      <c r="J202" s="88" t="str">
        <f>INDEX('MPG Payment '!$D:$D,MATCH('Shayak Income '!D202,'MPG Payment '!E:E,0))</f>
        <v>Teghra</v>
      </c>
      <c r="K202" s="125" t="s">
        <v>1594</v>
      </c>
      <c r="L202" s="125">
        <v>44379</v>
      </c>
      <c r="M202" s="126">
        <f>SUMIF('MPG Payment '!$E$3:$E$344841,'Shayak Income '!D202,'MPG Payment '!$I$3:$I$344841)</f>
        <v>3165.6000000000004</v>
      </c>
      <c r="N202" s="126">
        <f>SUMIF('MPG Payment '!$E$3:$E$344841,'Shayak Income '!D202,'MPG Payment '!$J$3:$J$344841)</f>
        <v>129705.69999999998</v>
      </c>
      <c r="O202" s="126">
        <f t="shared" si="63"/>
        <v>2374.2000000000003</v>
      </c>
      <c r="P202" s="126">
        <f t="shared" si="64"/>
        <v>3007.32</v>
      </c>
      <c r="Q202" s="126">
        <f>SUMIF('MPG Payment '!$E$3:$E$344841,'Shayak Income '!D202,'MPG Payment '!$S$3:$S$344841)</f>
        <v>0</v>
      </c>
      <c r="R202" s="126">
        <f t="shared" si="55"/>
        <v>3891.1709999999994</v>
      </c>
      <c r="S202" s="126">
        <f t="shared" si="56"/>
        <v>883.8509999999992</v>
      </c>
      <c r="T202" s="126">
        <f t="shared" si="65"/>
        <v>316.56000000000006</v>
      </c>
      <c r="U202" s="127">
        <f>((((((IF(K202="New",0,SUMIF('MPG Payment '!$E$3:$E$344841,'Shayak Income '!D202,'MPG Payment '!$AC$3:$AC$344841))))+0)+0)+0)+0)+0</f>
        <v>28.149227774026482</v>
      </c>
      <c r="V202" s="127">
        <f t="shared" si="66"/>
        <v>5037</v>
      </c>
      <c r="W202" s="19">
        <f t="shared" si="70"/>
        <v>0</v>
      </c>
      <c r="X202" s="19">
        <f t="shared" si="71"/>
        <v>0</v>
      </c>
      <c r="Y202" s="128">
        <f>IFERROR(VLOOKUP(D202,'Monthly Deduction'!$M$2:$N$640,2,0),0)</f>
        <v>0</v>
      </c>
      <c r="Z202" s="128">
        <v>0</v>
      </c>
      <c r="AA202" s="126">
        <f>IFERROR(VLOOKUP(D202,'Monthly Deduction'!A:B,2,0),0)</f>
        <v>0</v>
      </c>
      <c r="AB202" s="129">
        <f t="shared" si="57"/>
        <v>5037</v>
      </c>
      <c r="AC202" s="130">
        <v>0</v>
      </c>
      <c r="AD202" s="35">
        <f t="shared" si="67"/>
        <v>5037</v>
      </c>
      <c r="AE202" s="166" t="str">
        <f t="shared" si="68"/>
        <v>Release</v>
      </c>
      <c r="AF202" s="127"/>
      <c r="AG202" s="18">
        <v>0</v>
      </c>
      <c r="AH202" s="120"/>
      <c r="AI202" s="238">
        <v>0</v>
      </c>
      <c r="AJ202" s="132"/>
      <c r="AK202" s="151">
        <v>563.1</v>
      </c>
      <c r="AL202" s="154">
        <f t="shared" si="58"/>
        <v>0</v>
      </c>
      <c r="AM202" s="155"/>
      <c r="AN202" s="19">
        <f t="shared" si="59"/>
        <v>0</v>
      </c>
      <c r="AO202" s="118">
        <f>SUMIF('MPG Payment '!E:E,'Shayak Income '!D202,'MPG Payment '!AJ:AJ)</f>
        <v>0</v>
      </c>
      <c r="AP202" s="19">
        <f t="shared" si="60"/>
        <v>0</v>
      </c>
      <c r="AQ202" s="119">
        <f t="shared" si="69"/>
        <v>0</v>
      </c>
      <c r="AR202" s="91" t="s">
        <v>1144</v>
      </c>
      <c r="AS202" s="91">
        <f t="shared" si="61"/>
        <v>0</v>
      </c>
      <c r="AT202" s="118"/>
      <c r="AU202" s="118"/>
      <c r="AV202" s="118"/>
    </row>
    <row r="203" spans="1:48" s="20" customFormat="1" x14ac:dyDescent="0.25">
      <c r="A203" s="17">
        <f>IFERROR(VLOOKUP(D203,'Monthly Deduction'!$I$3:$J$957,2,0),0)</f>
        <v>45099.242423467644</v>
      </c>
      <c r="B203" s="17">
        <f>IFERROR(VLOOKUP(D203,'Monthly Deduction'!$E$3:$F$957,2,0),0)</f>
        <v>6400</v>
      </c>
      <c r="C203" s="17">
        <f t="shared" si="62"/>
        <v>51499.242423467644</v>
      </c>
      <c r="D203" s="41">
        <v>10080048</v>
      </c>
      <c r="E203" s="122" t="str">
        <f>VLOOKUP(D203,'MPG Payment '!$E$3:$G$497305,2,0)</f>
        <v>GOMUKH RANI 3</v>
      </c>
      <c r="F203" s="146">
        <f>IFERROR(_xlfn.XLOOKUP(D203,'Monthly Deduction'!$I$3:$I$957,'Monthly Deduction'!$H$3:$H$957),0)</f>
        <v>0</v>
      </c>
      <c r="G203" s="123" t="str">
        <f>VLOOKUP(D203,'MPG Payment '!$E$3:$G$333666,3,0)</f>
        <v>MPG</v>
      </c>
      <c r="H203" s="124" t="str">
        <f>VLOOKUP(D203,'MPG Payment '!$E$3:$H$333666,4,0)</f>
        <v>Direct</v>
      </c>
      <c r="I203" s="88">
        <f>INDEX('MPG Payment '!$C:$C,MATCH('Shayak Income '!D203,'MPG Payment '!E:E,0))</f>
        <v>1008</v>
      </c>
      <c r="J203" s="88" t="str">
        <f>INDEX('MPG Payment '!$D:$D,MATCH('Shayak Income '!D203,'MPG Payment '!E:E,0))</f>
        <v>Teghra</v>
      </c>
      <c r="K203" s="125" t="s">
        <v>1594</v>
      </c>
      <c r="L203" s="125">
        <v>45264</v>
      </c>
      <c r="M203" s="126">
        <f>SUMIF('MPG Payment '!$E$3:$E$344841,'Shayak Income '!D203,'MPG Payment '!$I$3:$I$344841)</f>
        <v>1031.0500000000002</v>
      </c>
      <c r="N203" s="126">
        <f>SUMIF('MPG Payment '!$E$3:$E$344841,'Shayak Income '!D203,'MPG Payment '!$J$3:$J$344841)</f>
        <v>46580.329999999987</v>
      </c>
      <c r="O203" s="126">
        <f t="shared" si="63"/>
        <v>773.28750000000014</v>
      </c>
      <c r="P203" s="126">
        <f t="shared" si="64"/>
        <v>979.49750000000017</v>
      </c>
      <c r="Q203" s="126">
        <f>SUMIF('MPG Payment '!$E$3:$E$344841,'Shayak Income '!D203,'MPG Payment '!$S$3:$S$344841)</f>
        <v>289.44000000000005</v>
      </c>
      <c r="R203" s="126">
        <f t="shared" si="55"/>
        <v>1397.4098999999997</v>
      </c>
      <c r="S203" s="126">
        <f t="shared" si="56"/>
        <v>417.91239999999948</v>
      </c>
      <c r="T203" s="126">
        <f t="shared" si="65"/>
        <v>103.10500000000002</v>
      </c>
      <c r="U203" s="127">
        <f>((((((IF(K203="New",0,SUMIF('MPG Payment '!$E$3:$E$344841,'Shayak Income '!D203,'MPG Payment '!$AC$3:$AC$344841))))+0)+0)+0)+0)+0</f>
        <v>1554.2223941000123</v>
      </c>
      <c r="V203" s="127">
        <f t="shared" si="66"/>
        <v>385</v>
      </c>
      <c r="W203" s="19">
        <v>0</v>
      </c>
      <c r="X203" s="19">
        <v>385</v>
      </c>
      <c r="Y203" s="128">
        <f>IFERROR(VLOOKUP(D203,'Monthly Deduction'!$M$2:$N$640,2,0),0)</f>
        <v>0</v>
      </c>
      <c r="Z203" s="128">
        <v>0</v>
      </c>
      <c r="AA203" s="126">
        <f>IFERROR(VLOOKUP(D203,'Monthly Deduction'!A:B,2,0),0)</f>
        <v>0</v>
      </c>
      <c r="AB203" s="129">
        <f t="shared" si="57"/>
        <v>0</v>
      </c>
      <c r="AC203" s="130">
        <v>0</v>
      </c>
      <c r="AD203" s="35">
        <f t="shared" si="67"/>
        <v>0</v>
      </c>
      <c r="AE203" s="166" t="str">
        <f t="shared" si="68"/>
        <v>Release</v>
      </c>
      <c r="AF203" s="127"/>
      <c r="AG203" s="18">
        <v>0</v>
      </c>
      <c r="AH203" s="120"/>
      <c r="AI203" s="238">
        <v>0</v>
      </c>
      <c r="AJ203" s="132"/>
      <c r="AK203" s="151">
        <v>60.4</v>
      </c>
      <c r="AL203" s="154">
        <f t="shared" si="58"/>
        <v>0</v>
      </c>
      <c r="AM203" s="155"/>
      <c r="AN203" s="19">
        <f t="shared" si="59"/>
        <v>1861</v>
      </c>
      <c r="AO203" s="118">
        <f>SUMIF('MPG Payment '!E:E,'Shayak Income '!D203,'MPG Payment '!AJ:AJ)</f>
        <v>2000</v>
      </c>
      <c r="AP203" s="19">
        <f t="shared" si="60"/>
        <v>0</v>
      </c>
      <c r="AQ203" s="119">
        <f t="shared" si="69"/>
        <v>2000</v>
      </c>
      <c r="AR203" s="91" t="s">
        <v>1144</v>
      </c>
      <c r="AS203" s="91">
        <f t="shared" si="61"/>
        <v>6015</v>
      </c>
      <c r="AT203" s="118"/>
      <c r="AU203" s="118"/>
      <c r="AV203" s="118"/>
    </row>
    <row r="204" spans="1:48" s="20" customFormat="1" x14ac:dyDescent="0.25">
      <c r="A204" s="17">
        <f>IFERROR(VLOOKUP(D204,'Monthly Deduction'!$I$3:$J$957,2,0),0)</f>
        <v>52224.242317919561</v>
      </c>
      <c r="B204" s="17">
        <f>IFERROR(VLOOKUP(D204,'Monthly Deduction'!$E$3:$F$957,2,0),0)</f>
        <v>6400</v>
      </c>
      <c r="C204" s="17">
        <f t="shared" si="62"/>
        <v>58624.242317919561</v>
      </c>
      <c r="D204" s="41">
        <v>10080052</v>
      </c>
      <c r="E204" s="122" t="str">
        <f>VLOOKUP(D204,'MPG Payment '!$E$3:$G$497305,2,0)</f>
        <v>GOMUKH NONPUR</v>
      </c>
      <c r="F204" s="146">
        <f>IFERROR(_xlfn.XLOOKUP(D204,'Monthly Deduction'!$I$3:$I$957,'Monthly Deduction'!$H$3:$H$957),0)</f>
        <v>0</v>
      </c>
      <c r="G204" s="123" t="str">
        <f>VLOOKUP(D204,'MPG Payment '!$E$3:$G$333666,3,0)</f>
        <v>MPG</v>
      </c>
      <c r="H204" s="124" t="str">
        <f>VLOOKUP(D204,'MPG Payment '!$E$3:$H$333666,4,0)</f>
        <v>Direct</v>
      </c>
      <c r="I204" s="88">
        <f>INDEX('MPG Payment '!$C:$C,MATCH('Shayak Income '!D204,'MPG Payment '!E:E,0))</f>
        <v>1008</v>
      </c>
      <c r="J204" s="88" t="str">
        <f>INDEX('MPG Payment '!$D:$D,MATCH('Shayak Income '!D204,'MPG Payment '!E:E,0))</f>
        <v>Teghra</v>
      </c>
      <c r="K204" s="125" t="s">
        <v>1594</v>
      </c>
      <c r="L204" s="125">
        <v>45268</v>
      </c>
      <c r="M204" s="126">
        <f>SUMIF('MPG Payment '!$E$3:$E$344841,'Shayak Income '!D204,'MPG Payment '!$I$3:$I$344841)</f>
        <v>2033.75</v>
      </c>
      <c r="N204" s="126">
        <f>SUMIF('MPG Payment '!$E$3:$E$344841,'Shayak Income '!D204,'MPG Payment '!$J$3:$J$344841)</f>
        <v>79807.97</v>
      </c>
      <c r="O204" s="126">
        <f t="shared" si="63"/>
        <v>1525.3125</v>
      </c>
      <c r="P204" s="126">
        <f t="shared" si="64"/>
        <v>1932.0625</v>
      </c>
      <c r="Q204" s="126">
        <f>SUMIF('MPG Payment '!$E$3:$E$344841,'Shayak Income '!D204,'MPG Payment '!$S$3:$S$344841)</f>
        <v>247.09</v>
      </c>
      <c r="R204" s="126">
        <f t="shared" si="55"/>
        <v>2394.2390999999998</v>
      </c>
      <c r="S204" s="126">
        <f t="shared" si="56"/>
        <v>462.17659999999978</v>
      </c>
      <c r="T204" s="126">
        <f t="shared" si="65"/>
        <v>203.375</v>
      </c>
      <c r="U204" s="127">
        <f>((((((IF(K204="New",0,SUMIF('MPG Payment '!$E$3:$E$344841,'Shayak Income '!D204,'MPG Payment '!$AC$3:$AC$344841))))+0)+0)+0)+0)+0</f>
        <v>602.58067287097424</v>
      </c>
      <c r="V204" s="127">
        <f t="shared" si="66"/>
        <v>2899</v>
      </c>
      <c r="W204" s="19">
        <f t="shared" si="70"/>
        <v>1861</v>
      </c>
      <c r="X204" s="19">
        <v>0</v>
      </c>
      <c r="Y204" s="128">
        <f>IFERROR(VLOOKUP(D204,'Monthly Deduction'!$M$2:$N$640,2,0),0)</f>
        <v>0</v>
      </c>
      <c r="Z204" s="128">
        <v>0</v>
      </c>
      <c r="AA204" s="126">
        <f>IFERROR(VLOOKUP(D204,'Monthly Deduction'!A:B,2,0),0)</f>
        <v>0</v>
      </c>
      <c r="AB204" s="129">
        <f t="shared" si="57"/>
        <v>1038</v>
      </c>
      <c r="AC204" s="130">
        <v>0</v>
      </c>
      <c r="AD204" s="35">
        <f t="shared" si="67"/>
        <v>1038</v>
      </c>
      <c r="AE204" s="166" t="str">
        <f t="shared" si="68"/>
        <v>Release</v>
      </c>
      <c r="AF204" s="127"/>
      <c r="AG204" s="18">
        <v>0</v>
      </c>
      <c r="AH204" s="120"/>
      <c r="AI204" s="238">
        <v>0</v>
      </c>
      <c r="AJ204" s="132"/>
      <c r="AK204" s="151">
        <v>582.95000000000005</v>
      </c>
      <c r="AL204" s="154">
        <f t="shared" si="58"/>
        <v>0</v>
      </c>
      <c r="AM204" s="155"/>
      <c r="AN204" s="19">
        <f t="shared" si="59"/>
        <v>1861</v>
      </c>
      <c r="AO204" s="118">
        <f>SUMIF('MPG Payment '!E:E,'Shayak Income '!D204,'MPG Payment '!AJ:AJ)</f>
        <v>0</v>
      </c>
      <c r="AP204" s="19">
        <f t="shared" si="60"/>
        <v>1861</v>
      </c>
      <c r="AQ204" s="119">
        <f t="shared" si="69"/>
        <v>1861</v>
      </c>
      <c r="AR204" s="91" t="s">
        <v>1144</v>
      </c>
      <c r="AS204" s="91">
        <f t="shared" si="61"/>
        <v>6400</v>
      </c>
      <c r="AT204" s="118"/>
      <c r="AU204" s="118"/>
      <c r="AV204" s="118"/>
    </row>
    <row r="205" spans="1:48" s="20" customFormat="1" x14ac:dyDescent="0.25">
      <c r="A205" s="17">
        <f>IFERROR(VLOOKUP(D205,'Monthly Deduction'!$I$3:$J$957,2,0),0)</f>
        <v>0</v>
      </c>
      <c r="B205" s="17">
        <f>IFERROR(VLOOKUP(D205,'Monthly Deduction'!$E$3:$F$957,2,0),0)</f>
        <v>1878.3622716513146</v>
      </c>
      <c r="C205" s="17">
        <f t="shared" si="62"/>
        <v>1878.3622716513146</v>
      </c>
      <c r="D205" s="41">
        <v>10080053</v>
      </c>
      <c r="E205" s="122" t="str">
        <f>VLOOKUP(D205,'MPG Payment '!$E$3:$G$497305,2,0)</f>
        <v>GOMUKH FATEHA</v>
      </c>
      <c r="F205" s="146">
        <f>IFERROR(_xlfn.XLOOKUP(D205,'Monthly Deduction'!$I$3:$I$957,'Monthly Deduction'!$H$3:$H$957),0)</f>
        <v>0</v>
      </c>
      <c r="G205" s="123" t="str">
        <f>VLOOKUP(D205,'MPG Payment '!$E$3:$G$333666,3,0)</f>
        <v>MPG</v>
      </c>
      <c r="H205" s="124" t="str">
        <f>VLOOKUP(D205,'MPG Payment '!$E$3:$H$333666,4,0)</f>
        <v>Direct</v>
      </c>
      <c r="I205" s="88">
        <f>INDEX('MPG Payment '!$C:$C,MATCH('Shayak Income '!D205,'MPG Payment '!E:E,0))</f>
        <v>1008</v>
      </c>
      <c r="J205" s="88" t="str">
        <f>INDEX('MPG Payment '!$D:$D,MATCH('Shayak Income '!D205,'MPG Payment '!E:E,0))</f>
        <v>Teghra</v>
      </c>
      <c r="K205" s="125" t="s">
        <v>1594</v>
      </c>
      <c r="L205" s="125">
        <v>45287</v>
      </c>
      <c r="M205" s="126">
        <f>SUMIF('MPG Payment '!$E$3:$E$344841,'Shayak Income '!D205,'MPG Payment '!$I$3:$I$344841)</f>
        <v>266.95</v>
      </c>
      <c r="N205" s="126">
        <f>SUMIF('MPG Payment '!$E$3:$E$344841,'Shayak Income '!D205,'MPG Payment '!$J$3:$J$344841)</f>
        <v>10230.480000000001</v>
      </c>
      <c r="O205" s="126">
        <f t="shared" si="63"/>
        <v>200.21249999999998</v>
      </c>
      <c r="P205" s="126">
        <f t="shared" si="64"/>
        <v>253.60249999999996</v>
      </c>
      <c r="Q205" s="126">
        <f>SUMIF('MPG Payment '!$E$3:$E$344841,'Shayak Income '!D205,'MPG Payment '!$S$3:$S$344841)</f>
        <v>0</v>
      </c>
      <c r="R205" s="126">
        <f t="shared" si="55"/>
        <v>306.91440000000006</v>
      </c>
      <c r="S205" s="126">
        <f t="shared" si="56"/>
        <v>53.311900000000094</v>
      </c>
      <c r="T205" s="126">
        <f t="shared" si="65"/>
        <v>26.695</v>
      </c>
      <c r="U205" s="127">
        <f>((((((IF(K205="New",0,SUMIF('MPG Payment '!$E$3:$E$344841,'Shayak Income '!D205,'MPG Payment '!$AC$3:$AC$344841))))+0)+0)+0)+0)+-1563</f>
        <v>426.99674644375273</v>
      </c>
      <c r="V205" s="127">
        <f t="shared" si="66"/>
        <v>0</v>
      </c>
      <c r="W205" s="19">
        <v>0</v>
      </c>
      <c r="X205" s="19">
        <v>0</v>
      </c>
      <c r="Y205" s="128">
        <v>0</v>
      </c>
      <c r="Z205" s="128">
        <v>0</v>
      </c>
      <c r="AA205" s="126">
        <v>0</v>
      </c>
      <c r="AB205" s="129">
        <f t="shared" si="57"/>
        <v>0</v>
      </c>
      <c r="AC205" s="130">
        <f>AB205</f>
        <v>0</v>
      </c>
      <c r="AD205" s="35">
        <f t="shared" si="67"/>
        <v>0</v>
      </c>
      <c r="AE205" s="166" t="str">
        <f t="shared" si="68"/>
        <v>Release</v>
      </c>
      <c r="AF205" s="127"/>
      <c r="AG205" s="18">
        <v>0</v>
      </c>
      <c r="AH205" s="132" t="s">
        <v>1597</v>
      </c>
      <c r="AI205" s="238">
        <v>0</v>
      </c>
      <c r="AJ205" s="132"/>
      <c r="AK205" s="151">
        <v>0</v>
      </c>
      <c r="AL205" s="154">
        <f t="shared" si="58"/>
        <v>0</v>
      </c>
      <c r="AM205" s="155"/>
      <c r="AN205" s="19">
        <f t="shared" si="59"/>
        <v>0</v>
      </c>
      <c r="AO205" s="118">
        <f>SUMIF('MPG Payment '!E:E,'Shayak Income '!D205,'MPG Payment '!AJ:AJ)</f>
        <v>0</v>
      </c>
      <c r="AP205" s="19">
        <f t="shared" si="60"/>
        <v>0</v>
      </c>
      <c r="AQ205" s="119">
        <f t="shared" si="69"/>
        <v>0</v>
      </c>
      <c r="AR205" s="91" t="s">
        <v>1144</v>
      </c>
      <c r="AS205" s="91">
        <f t="shared" si="61"/>
        <v>1878.3622716513146</v>
      </c>
      <c r="AT205" s="118"/>
      <c r="AU205" s="118"/>
      <c r="AV205" s="118"/>
    </row>
    <row r="206" spans="1:48" s="20" customFormat="1" x14ac:dyDescent="0.25">
      <c r="A206" s="17">
        <f>IFERROR(VLOOKUP(D206,'Monthly Deduction'!$I$3:$J$957,2,0),0)</f>
        <v>0</v>
      </c>
      <c r="B206" s="17">
        <f>IFERROR(VLOOKUP(D206,'Monthly Deduction'!$E$3:$F$957,2,0),0)</f>
        <v>0</v>
      </c>
      <c r="C206" s="17">
        <f t="shared" si="62"/>
        <v>0</v>
      </c>
      <c r="D206" s="41">
        <v>10080054</v>
      </c>
      <c r="E206" s="122" t="str">
        <f>VLOOKUP(D206,'MPG Payment '!$E$3:$G$497305,2,0)</f>
        <v>Bablu Singh</v>
      </c>
      <c r="F206" s="146">
        <f>IFERROR(_xlfn.XLOOKUP(D206,'Monthly Deduction'!$I$3:$I$957,'Monthly Deduction'!$H$3:$H$957),0)</f>
        <v>0</v>
      </c>
      <c r="G206" s="123" t="str">
        <f>VLOOKUP(D206,'MPG Payment '!$E$3:$G$333666,3,0)</f>
        <v>vlc</v>
      </c>
      <c r="H206" s="124" t="str">
        <f>VLOOKUP(D206,'MPG Payment '!$E$3:$H$333666,4,0)</f>
        <v>Indirect</v>
      </c>
      <c r="I206" s="88">
        <f>INDEX('MPG Payment '!$C:$C,MATCH('Shayak Income '!D206,'MPG Payment '!E:E,0))</f>
        <v>1008</v>
      </c>
      <c r="J206" s="88" t="str">
        <f>INDEX('MPG Payment '!$D:$D,MATCH('Shayak Income '!D206,'MPG Payment '!E:E,0))</f>
        <v>Teghra</v>
      </c>
      <c r="K206" s="125" t="s">
        <v>1594</v>
      </c>
      <c r="L206" s="125">
        <v>45257</v>
      </c>
      <c r="M206" s="126">
        <f>SUMIF('MPG Payment '!$E$3:$E$344841,'Shayak Income '!D206,'MPG Payment '!$I$3:$I$344841)</f>
        <v>4514.0499999999993</v>
      </c>
      <c r="N206" s="126">
        <f>SUMIF('MPG Payment '!$E$3:$E$344841,'Shayak Income '!D206,'MPG Payment '!$J$3:$J$344841)</f>
        <v>170179.97999999998</v>
      </c>
      <c r="O206" s="126">
        <f t="shared" si="63"/>
        <v>3385.5374999999995</v>
      </c>
      <c r="P206" s="126">
        <f t="shared" si="64"/>
        <v>4288.3474999999989</v>
      </c>
      <c r="Q206" s="126">
        <f>SUMIF('MPG Payment '!$E$3:$E$344841,'Shayak Income '!D206,'MPG Payment '!$S$3:$S$344841)</f>
        <v>0</v>
      </c>
      <c r="R206" s="126">
        <f t="shared" si="55"/>
        <v>5105.3993999999993</v>
      </c>
      <c r="S206" s="126">
        <f t="shared" si="56"/>
        <v>817.05190000000039</v>
      </c>
      <c r="T206" s="126">
        <f t="shared" si="65"/>
        <v>451.40499999999997</v>
      </c>
      <c r="U206" s="127">
        <f>((((((IF(K206="New",0,SUMIF('MPG Payment '!$E$3:$E$344841,'Shayak Income '!D206,'MPG Payment '!$AC$3:$AC$344841))))+0)+0)+0)+0)+0</f>
        <v>0</v>
      </c>
      <c r="V206" s="127">
        <f t="shared" si="66"/>
        <v>7222</v>
      </c>
      <c r="W206" s="19">
        <f t="shared" si="70"/>
        <v>0</v>
      </c>
      <c r="X206" s="19">
        <f t="shared" si="71"/>
        <v>0</v>
      </c>
      <c r="Y206" s="128">
        <f>IFERROR(VLOOKUP(D206,'Monthly Deduction'!$M$2:$N$640,2,0),0)</f>
        <v>0</v>
      </c>
      <c r="Z206" s="128">
        <v>0</v>
      </c>
      <c r="AA206" s="126">
        <f>IFERROR(VLOOKUP(D206,'Monthly Deduction'!A:B,2,0),0)</f>
        <v>0</v>
      </c>
      <c r="AB206" s="129">
        <f t="shared" si="57"/>
        <v>7222</v>
      </c>
      <c r="AC206" s="130">
        <v>0</v>
      </c>
      <c r="AD206" s="35">
        <f t="shared" si="67"/>
        <v>7222</v>
      </c>
      <c r="AE206" s="166" t="str">
        <f t="shared" si="68"/>
        <v>Release</v>
      </c>
      <c r="AF206" s="127"/>
      <c r="AG206" s="18">
        <v>0</v>
      </c>
      <c r="AH206" s="120"/>
      <c r="AI206" s="238">
        <v>0</v>
      </c>
      <c r="AJ206" s="132"/>
      <c r="AK206" s="151">
        <v>795.45</v>
      </c>
      <c r="AL206" s="154">
        <f t="shared" si="58"/>
        <v>0</v>
      </c>
      <c r="AM206" s="155"/>
      <c r="AN206" s="19">
        <f t="shared" si="59"/>
        <v>0</v>
      </c>
      <c r="AO206" s="118">
        <f>SUMIF('MPG Payment '!E:E,'Shayak Income '!D206,'MPG Payment '!AJ:AJ)</f>
        <v>0</v>
      </c>
      <c r="AP206" s="19">
        <f t="shared" si="60"/>
        <v>0</v>
      </c>
      <c r="AQ206" s="119">
        <f t="shared" si="69"/>
        <v>0</v>
      </c>
      <c r="AR206" s="91" t="s">
        <v>1144</v>
      </c>
      <c r="AS206" s="91">
        <f t="shared" si="61"/>
        <v>0</v>
      </c>
      <c r="AT206" s="118"/>
      <c r="AU206" s="118"/>
      <c r="AV206" s="118"/>
    </row>
    <row r="207" spans="1:48" s="20" customFormat="1" x14ac:dyDescent="0.25">
      <c r="A207" s="17">
        <f>IFERROR(VLOOKUP(D207,'Monthly Deduction'!$I$3:$J$957,2,0),0)</f>
        <v>60763.218893332327</v>
      </c>
      <c r="B207" s="17">
        <f>IFERROR(VLOOKUP(D207,'Monthly Deduction'!$E$3:$F$957,2,0),0)</f>
        <v>7526.9366186572806</v>
      </c>
      <c r="C207" s="17">
        <f t="shared" si="62"/>
        <v>68290.155511989607</v>
      </c>
      <c r="D207" s="41">
        <v>10080055</v>
      </c>
      <c r="E207" s="122" t="str">
        <f>VLOOKUP(D207,'MPG Payment '!$E$3:$G$497305,2,0)</f>
        <v>Gomukh Rani                                                                                         </v>
      </c>
      <c r="F207" s="146">
        <f>IFERROR(_xlfn.XLOOKUP(D207,'Monthly Deduction'!$I$3:$I$957,'Monthly Deduction'!$H$3:$H$957),0)</f>
        <v>0</v>
      </c>
      <c r="G207" s="123" t="str">
        <f>VLOOKUP(D207,'MPG Payment '!$E$3:$G$333666,3,0)</f>
        <v>MPG</v>
      </c>
      <c r="H207" s="124" t="str">
        <f>VLOOKUP(D207,'MPG Payment '!$E$3:$H$333666,4,0)</f>
        <v>Direct</v>
      </c>
      <c r="I207" s="88">
        <f>INDEX('MPG Payment '!$C:$C,MATCH('Shayak Income '!D207,'MPG Payment '!E:E,0))</f>
        <v>1008</v>
      </c>
      <c r="J207" s="88" t="str">
        <f>INDEX('MPG Payment '!$D:$D,MATCH('Shayak Income '!D207,'MPG Payment '!E:E,0))</f>
        <v>Teghra</v>
      </c>
      <c r="K207" s="125" t="s">
        <v>1594</v>
      </c>
      <c r="L207" s="125">
        <v>45205</v>
      </c>
      <c r="M207" s="126">
        <f>SUMIF('MPG Payment '!$E$3:$E$344841,'Shayak Income '!D207,'MPG Payment '!$I$3:$I$344841)</f>
        <v>1973.3000000000002</v>
      </c>
      <c r="N207" s="126">
        <f>SUMIF('MPG Payment '!$E$3:$E$344841,'Shayak Income '!D207,'MPG Payment '!$J$3:$J$344841)</f>
        <v>75221</v>
      </c>
      <c r="O207" s="126">
        <f t="shared" si="63"/>
        <v>1479.9750000000001</v>
      </c>
      <c r="P207" s="126">
        <f t="shared" si="64"/>
        <v>1874.635</v>
      </c>
      <c r="Q207" s="126">
        <f>SUMIF('MPG Payment '!$E$3:$E$344841,'Shayak Income '!D207,'MPG Payment '!$S$3:$S$344841)</f>
        <v>0</v>
      </c>
      <c r="R207" s="126">
        <f t="shared" si="55"/>
        <v>2256.63</v>
      </c>
      <c r="S207" s="126">
        <f t="shared" si="56"/>
        <v>381.99500000000012</v>
      </c>
      <c r="T207" s="126">
        <f t="shared" si="65"/>
        <v>197.33000000000004</v>
      </c>
      <c r="U207" s="127">
        <f>((((((IF(K207="New",0,SUMIF('MPG Payment '!$E$3:$E$344841,'Shayak Income '!D207,'MPG Payment '!$AC$3:$AC$344841))))+0)+0)+0)+0)+0</f>
        <v>676.37171774384547</v>
      </c>
      <c r="V207" s="127">
        <f t="shared" si="66"/>
        <v>2481</v>
      </c>
      <c r="W207" s="19">
        <f t="shared" si="70"/>
        <v>1861</v>
      </c>
      <c r="X207" s="19">
        <v>0</v>
      </c>
      <c r="Y207" s="128">
        <f>IFERROR(VLOOKUP(D207,'Monthly Deduction'!$M$2:$N$640,2,0),0)</f>
        <v>0</v>
      </c>
      <c r="Z207" s="128">
        <v>0</v>
      </c>
      <c r="AA207" s="126">
        <f>IFERROR(VLOOKUP(D207,'Monthly Deduction'!A:B,2,0),0)</f>
        <v>0</v>
      </c>
      <c r="AB207" s="129">
        <f t="shared" si="57"/>
        <v>620</v>
      </c>
      <c r="AC207" s="130">
        <v>0</v>
      </c>
      <c r="AD207" s="35">
        <f t="shared" si="67"/>
        <v>620</v>
      </c>
      <c r="AE207" s="166" t="str">
        <f t="shared" si="68"/>
        <v>Release</v>
      </c>
      <c r="AF207" s="127"/>
      <c r="AG207" s="18">
        <v>0</v>
      </c>
      <c r="AH207" s="132"/>
      <c r="AI207" s="238">
        <v>0</v>
      </c>
      <c r="AJ207" s="132"/>
      <c r="AK207" s="151">
        <v>352.6</v>
      </c>
      <c r="AL207" s="154">
        <f t="shared" si="58"/>
        <v>0</v>
      </c>
      <c r="AM207" s="155"/>
      <c r="AN207" s="19">
        <f t="shared" si="59"/>
        <v>1861</v>
      </c>
      <c r="AO207" s="118">
        <f>SUMIF('MPG Payment '!E:E,'Shayak Income '!D207,'MPG Payment '!AJ:AJ)</f>
        <v>0</v>
      </c>
      <c r="AP207" s="19">
        <f t="shared" si="60"/>
        <v>1861</v>
      </c>
      <c r="AQ207" s="119">
        <f t="shared" si="69"/>
        <v>1861</v>
      </c>
      <c r="AR207" s="91" t="s">
        <v>1144</v>
      </c>
      <c r="AS207" s="91">
        <f t="shared" si="61"/>
        <v>7526.9366186572806</v>
      </c>
      <c r="AT207" s="118"/>
      <c r="AU207" s="118"/>
      <c r="AV207" s="118"/>
    </row>
    <row r="208" spans="1:48" s="20" customFormat="1" x14ac:dyDescent="0.25">
      <c r="A208" s="17">
        <f>IFERROR(VLOOKUP(D208,'Monthly Deduction'!$I$3:$J$957,2,0),0)</f>
        <v>0</v>
      </c>
      <c r="B208" s="17">
        <f>IFERROR(VLOOKUP(D208,'Monthly Deduction'!$E$3:$F$957,2,0),0)</f>
        <v>0</v>
      </c>
      <c r="C208" s="17">
        <f t="shared" si="62"/>
        <v>0</v>
      </c>
      <c r="D208" s="41">
        <v>10080061</v>
      </c>
      <c r="E208" s="122" t="str">
        <f>VLOOKUP(D208,'MPG Payment '!$E$3:$G$497305,2,0)</f>
        <v>GOMUKH ROOPNAGAR</v>
      </c>
      <c r="F208" s="146">
        <f>IFERROR(_xlfn.XLOOKUP(D208,'Monthly Deduction'!$I$3:$I$957,'Monthly Deduction'!$H$3:$H$957),0)</f>
        <v>0</v>
      </c>
      <c r="G208" s="123" t="str">
        <f>VLOOKUP(D208,'MPG Payment '!$E$3:$G$333666,3,0)</f>
        <v>MPG</v>
      </c>
      <c r="H208" s="124" t="str">
        <f>VLOOKUP(D208,'MPG Payment '!$E$3:$H$333666,4,0)</f>
        <v>Direct</v>
      </c>
      <c r="I208" s="88">
        <f>INDEX('MPG Payment '!$C:$C,MATCH('Shayak Income '!D208,'MPG Payment '!E:E,0))</f>
        <v>1008</v>
      </c>
      <c r="J208" s="88" t="str">
        <f>INDEX('MPG Payment '!$D:$D,MATCH('Shayak Income '!D208,'MPG Payment '!E:E,0))</f>
        <v>Teghra</v>
      </c>
      <c r="K208" s="125" t="s">
        <v>1594</v>
      </c>
      <c r="L208" s="125">
        <v>45394</v>
      </c>
      <c r="M208" s="126">
        <f>SUMIF('MPG Payment '!$E$3:$E$344841,'Shayak Income '!D208,'MPG Payment '!$I$3:$I$344841)</f>
        <v>1016.3</v>
      </c>
      <c r="N208" s="126">
        <f>SUMIF('MPG Payment '!$E$3:$E$344841,'Shayak Income '!D208,'MPG Payment '!$J$3:$J$344841)</f>
        <v>36449.199999999997</v>
      </c>
      <c r="O208" s="126">
        <f t="shared" si="63"/>
        <v>762.22499999999991</v>
      </c>
      <c r="P208" s="126">
        <f t="shared" si="64"/>
        <v>965.4849999999999</v>
      </c>
      <c r="Q208" s="126">
        <f>SUMIF('MPG Payment '!$E$3:$E$344841,'Shayak Income '!D208,'MPG Payment '!$S$3:$S$344841)</f>
        <v>0</v>
      </c>
      <c r="R208" s="126">
        <f t="shared" si="55"/>
        <v>1093.4759999999999</v>
      </c>
      <c r="S208" s="126">
        <f t="shared" si="56"/>
        <v>127.99099999999999</v>
      </c>
      <c r="T208" s="126">
        <f t="shared" si="65"/>
        <v>101.63</v>
      </c>
      <c r="U208" s="127">
        <f>((((((IF(K208="New",0,SUMIF('MPG Payment '!$E$3:$E$344841,'Shayak Income '!D208,'MPG Payment '!$AC$3:$AC$344841))))+0)+0)+0)+0)+0</f>
        <v>1277.8390084153198</v>
      </c>
      <c r="V208" s="127">
        <f t="shared" si="66"/>
        <v>348</v>
      </c>
      <c r="W208" s="19">
        <f t="shared" si="70"/>
        <v>0</v>
      </c>
      <c r="X208" s="19">
        <f t="shared" si="71"/>
        <v>0</v>
      </c>
      <c r="Y208" s="128">
        <f>IFERROR(VLOOKUP(D208,'Monthly Deduction'!$M$2:$N$640,2,0),0)</f>
        <v>0</v>
      </c>
      <c r="Z208" s="128">
        <v>0</v>
      </c>
      <c r="AA208" s="126">
        <f>IFERROR(VLOOKUP(D208,'Monthly Deduction'!A:B,2,0),0)</f>
        <v>0</v>
      </c>
      <c r="AB208" s="129">
        <f t="shared" si="57"/>
        <v>348</v>
      </c>
      <c r="AC208" s="130">
        <f>AB208</f>
        <v>348</v>
      </c>
      <c r="AD208" s="35">
        <f t="shared" si="67"/>
        <v>0</v>
      </c>
      <c r="AE208" s="166" t="str">
        <f t="shared" si="68"/>
        <v>Yes</v>
      </c>
      <c r="AF208" s="127"/>
      <c r="AG208" s="18">
        <v>0</v>
      </c>
      <c r="AH208" s="120" t="s">
        <v>1683</v>
      </c>
      <c r="AI208" s="238">
        <v>0</v>
      </c>
      <c r="AJ208" s="132"/>
      <c r="AK208" s="151">
        <v>160.35</v>
      </c>
      <c r="AL208" s="154">
        <f t="shared" si="58"/>
        <v>0</v>
      </c>
      <c r="AM208" s="155"/>
      <c r="AN208" s="19">
        <f t="shared" si="59"/>
        <v>0</v>
      </c>
      <c r="AO208" s="118">
        <f>SUMIF('MPG Payment '!E:E,'Shayak Income '!D208,'MPG Payment '!AJ:AJ)</f>
        <v>0</v>
      </c>
      <c r="AP208" s="19">
        <f t="shared" si="60"/>
        <v>0</v>
      </c>
      <c r="AQ208" s="119">
        <f t="shared" si="69"/>
        <v>0</v>
      </c>
      <c r="AR208" s="91" t="s">
        <v>1144</v>
      </c>
      <c r="AS208" s="91">
        <f t="shared" si="61"/>
        <v>0</v>
      </c>
      <c r="AT208" s="118"/>
      <c r="AU208" s="118"/>
      <c r="AV208" s="118"/>
    </row>
    <row r="209" spans="1:48" s="20" customFormat="1" x14ac:dyDescent="0.25">
      <c r="A209" s="17">
        <f>IFERROR(VLOOKUP(D209,'Monthly Deduction'!$I$3:$J$957,2,0),0)</f>
        <v>63432.880623203484</v>
      </c>
      <c r="B209" s="17">
        <f>IFERROR(VLOOKUP(D209,'Monthly Deduction'!$E$3:$F$957,2,0),0)</f>
        <v>0</v>
      </c>
      <c r="C209" s="17">
        <f t="shared" si="62"/>
        <v>63432.880623203484</v>
      </c>
      <c r="D209" s="41">
        <v>10080067</v>
      </c>
      <c r="E209" s="122" t="str">
        <f>VLOOKUP(D209,'MPG Payment '!$E$3:$G$497305,2,0)</f>
        <v>Gomukh Harichak</v>
      </c>
      <c r="F209" s="146">
        <f>IFERROR(_xlfn.XLOOKUP(D209,'Monthly Deduction'!$I$3:$I$957,'Monthly Deduction'!$H$3:$H$957),0)</f>
        <v>0</v>
      </c>
      <c r="G209" s="123" t="str">
        <f>VLOOKUP(D209,'MPG Payment '!$E$3:$G$333666,3,0)</f>
        <v>MPG</v>
      </c>
      <c r="H209" s="124" t="str">
        <f>VLOOKUP(D209,'MPG Payment '!$E$3:$H$333666,4,0)</f>
        <v>Direct</v>
      </c>
      <c r="I209" s="88">
        <f>INDEX('MPG Payment '!$C:$C,MATCH('Shayak Income '!D209,'MPG Payment '!E:E,0))</f>
        <v>1008</v>
      </c>
      <c r="J209" s="88" t="str">
        <f>INDEX('MPG Payment '!$D:$D,MATCH('Shayak Income '!D209,'MPG Payment '!E:E,0))</f>
        <v>Teghra</v>
      </c>
      <c r="K209" s="125" t="s">
        <v>1594</v>
      </c>
      <c r="L209" s="125">
        <v>45323</v>
      </c>
      <c r="M209" s="126">
        <f>SUMIF('MPG Payment '!$E$3:$E$344841,'Shayak Income '!D209,'MPG Payment '!$I$3:$I$344841)</f>
        <v>474.35</v>
      </c>
      <c r="N209" s="126">
        <f>SUMIF('MPG Payment '!$E$3:$E$344841,'Shayak Income '!D209,'MPG Payment '!$J$3:$J$344841)</f>
        <v>19828.180000000004</v>
      </c>
      <c r="O209" s="126">
        <f t="shared" si="63"/>
        <v>355.76250000000005</v>
      </c>
      <c r="P209" s="126">
        <f t="shared" si="64"/>
        <v>450.63249999999999</v>
      </c>
      <c r="Q209" s="126">
        <f>SUMIF('MPG Payment '!$E$3:$E$344841,'Shayak Income '!D209,'MPG Payment '!$S$3:$S$344841)</f>
        <v>0</v>
      </c>
      <c r="R209" s="126">
        <f t="shared" si="55"/>
        <v>594.84540000000004</v>
      </c>
      <c r="S209" s="126">
        <f t="shared" si="56"/>
        <v>144.21290000000005</v>
      </c>
      <c r="T209" s="126">
        <f t="shared" si="65"/>
        <v>47.435000000000002</v>
      </c>
      <c r="U209" s="127">
        <f>((((((IF(K209="New",0,SUMIF('MPG Payment '!$E$3:$E$344841,'Shayak Income '!D209,'MPG Payment '!$AC$3:$AC$344841))))+0)+0)+0)+0)+-1199</f>
        <v>759.23252857025091</v>
      </c>
      <c r="V209" s="127">
        <f t="shared" si="66"/>
        <v>0</v>
      </c>
      <c r="W209" s="19">
        <v>0</v>
      </c>
      <c r="X209" s="19">
        <v>0</v>
      </c>
      <c r="Y209" s="128">
        <v>0</v>
      </c>
      <c r="Z209" s="128">
        <v>0</v>
      </c>
      <c r="AA209" s="126">
        <v>0</v>
      </c>
      <c r="AB209" s="129">
        <f t="shared" si="57"/>
        <v>0</v>
      </c>
      <c r="AC209" s="130">
        <v>0</v>
      </c>
      <c r="AD209" s="35">
        <f t="shared" si="67"/>
        <v>0</v>
      </c>
      <c r="AE209" s="166" t="str">
        <f t="shared" si="68"/>
        <v>Release</v>
      </c>
      <c r="AF209" s="127"/>
      <c r="AG209" s="18">
        <v>0</v>
      </c>
      <c r="AH209" s="120"/>
      <c r="AI209" s="238">
        <v>0</v>
      </c>
      <c r="AJ209" s="132"/>
      <c r="AK209" s="151">
        <v>123.49999999999999</v>
      </c>
      <c r="AL209" s="154">
        <f t="shared" si="58"/>
        <v>0</v>
      </c>
      <c r="AM209" s="155"/>
      <c r="AN209" s="19">
        <f t="shared" si="59"/>
        <v>1861</v>
      </c>
      <c r="AO209" s="118">
        <f>SUMIF('MPG Payment '!E:E,'Shayak Income '!D209,'MPG Payment '!AJ:AJ)</f>
        <v>2000</v>
      </c>
      <c r="AP209" s="19">
        <f t="shared" si="60"/>
        <v>0</v>
      </c>
      <c r="AQ209" s="119">
        <f t="shared" si="69"/>
        <v>2000</v>
      </c>
      <c r="AR209" s="91" t="s">
        <v>1144</v>
      </c>
      <c r="AS209" s="91">
        <f t="shared" si="61"/>
        <v>0</v>
      </c>
      <c r="AT209" s="118"/>
      <c r="AU209" s="118"/>
      <c r="AV209" s="118"/>
    </row>
    <row r="210" spans="1:48" s="20" customFormat="1" x14ac:dyDescent="0.25">
      <c r="A210" s="17">
        <f>IFERROR(VLOOKUP(D210,'Monthly Deduction'!$I$3:$J$957,2,0),0)</f>
        <v>0</v>
      </c>
      <c r="B210" s="17">
        <f>IFERROR(VLOOKUP(D210,'Monthly Deduction'!$E$3:$F$957,2,0),0)</f>
        <v>0</v>
      </c>
      <c r="C210" s="17">
        <f t="shared" si="62"/>
        <v>0</v>
      </c>
      <c r="D210" s="41">
        <v>10080076</v>
      </c>
      <c r="E210" s="122" t="str">
        <f>VLOOKUP(D210,'MPG Payment '!$E$3:$G$497305,2,0)</f>
        <v>RAJ BHARDWAJ</v>
      </c>
      <c r="F210" s="146">
        <f>IFERROR(_xlfn.XLOOKUP(D210,'Monthly Deduction'!$I$3:$I$957,'Monthly Deduction'!$H$3:$H$957),0)</f>
        <v>0</v>
      </c>
      <c r="G210" s="123" t="str">
        <f>VLOOKUP(D210,'MPG Payment '!$E$3:$G$333666,3,0)</f>
        <v>vlc</v>
      </c>
      <c r="H210" s="124" t="str">
        <f>VLOOKUP(D210,'MPG Payment '!$E$3:$H$333666,4,0)</f>
        <v>Indirect</v>
      </c>
      <c r="I210" s="88">
        <f>INDEX('MPG Payment '!$C:$C,MATCH('Shayak Income '!D210,'MPG Payment '!E:E,0))</f>
        <v>1008</v>
      </c>
      <c r="J210" s="88" t="str">
        <f>INDEX('MPG Payment '!$D:$D,MATCH('Shayak Income '!D210,'MPG Payment '!E:E,0))</f>
        <v>Teghra</v>
      </c>
      <c r="K210" s="125" t="s">
        <v>1594</v>
      </c>
      <c r="L210" s="125">
        <v>45599</v>
      </c>
      <c r="M210" s="126">
        <f>SUMIF('MPG Payment '!$E$3:$E$344841,'Shayak Income '!D210,'MPG Payment '!$I$3:$I$344841)</f>
        <v>1083.75</v>
      </c>
      <c r="N210" s="126">
        <f>SUMIF('MPG Payment '!$E$3:$E$344841,'Shayak Income '!D210,'MPG Payment '!$J$3:$J$344841)</f>
        <v>41126.759999999995</v>
      </c>
      <c r="O210" s="126">
        <f t="shared" si="63"/>
        <v>812.8125</v>
      </c>
      <c r="P210" s="126">
        <f t="shared" si="64"/>
        <v>1029.5625</v>
      </c>
      <c r="Q210" s="126">
        <f>SUMIF('MPG Payment '!$E$3:$E$344841,'Shayak Income '!D210,'MPG Payment '!$S$3:$S$344841)</f>
        <v>0</v>
      </c>
      <c r="R210" s="126">
        <f t="shared" si="55"/>
        <v>1233.8027999999997</v>
      </c>
      <c r="S210" s="126">
        <f t="shared" si="56"/>
        <v>204.24029999999971</v>
      </c>
      <c r="T210" s="126">
        <f t="shared" si="65"/>
        <v>108.375</v>
      </c>
      <c r="U210" s="127">
        <f>((((((IF(K210="New",0,SUMIF('MPG Payment '!$E$3:$E$344841,'Shayak Income '!D210,'MPG Payment '!$AC$3:$AC$344841))))+0)+0)+0)+0)+0</f>
        <v>1307.1930222729052</v>
      </c>
      <c r="V210" s="127">
        <f t="shared" si="66"/>
        <v>427</v>
      </c>
      <c r="W210" s="19">
        <f t="shared" si="70"/>
        <v>0</v>
      </c>
      <c r="X210" s="19">
        <f t="shared" si="71"/>
        <v>0</v>
      </c>
      <c r="Y210" s="128">
        <f>IFERROR(VLOOKUP(D210,'Monthly Deduction'!$M$2:$N$640,2,0),0)</f>
        <v>0</v>
      </c>
      <c r="Z210" s="128">
        <v>0</v>
      </c>
      <c r="AA210" s="126">
        <f>IFERROR(VLOOKUP(D210,'Monthly Deduction'!A:B,2,0),0)</f>
        <v>0</v>
      </c>
      <c r="AB210" s="129">
        <f t="shared" si="57"/>
        <v>427</v>
      </c>
      <c r="AC210" s="130">
        <v>0</v>
      </c>
      <c r="AD210" s="35">
        <f t="shared" si="67"/>
        <v>427</v>
      </c>
      <c r="AE210" s="166" t="str">
        <f t="shared" si="68"/>
        <v>Release</v>
      </c>
      <c r="AF210" s="127"/>
      <c r="AG210" s="18">
        <v>0</v>
      </c>
      <c r="AH210" s="120"/>
      <c r="AI210" s="238">
        <v>0</v>
      </c>
      <c r="AJ210" s="132"/>
      <c r="AK210" s="151">
        <v>120.74999999999999</v>
      </c>
      <c r="AL210" s="154">
        <f t="shared" si="58"/>
        <v>0</v>
      </c>
      <c r="AM210" s="155"/>
      <c r="AN210" s="19">
        <f t="shared" si="59"/>
        <v>0</v>
      </c>
      <c r="AO210" s="118">
        <f>SUMIF('MPG Payment '!E:E,'Shayak Income '!D210,'MPG Payment '!AJ:AJ)</f>
        <v>0</v>
      </c>
      <c r="AP210" s="19">
        <f t="shared" si="60"/>
        <v>0</v>
      </c>
      <c r="AQ210" s="119">
        <f t="shared" si="69"/>
        <v>0</v>
      </c>
      <c r="AR210" s="91" t="s">
        <v>1144</v>
      </c>
      <c r="AS210" s="91">
        <f t="shared" si="61"/>
        <v>0</v>
      </c>
      <c r="AT210" s="118"/>
      <c r="AU210" s="118"/>
      <c r="AV210" s="118"/>
    </row>
    <row r="211" spans="1:48" s="20" customFormat="1" x14ac:dyDescent="0.25">
      <c r="A211" s="17">
        <f>IFERROR(VLOOKUP(D211,'Monthly Deduction'!$I$3:$J$957,2,0),0)</f>
        <v>55467.362381508457</v>
      </c>
      <c r="B211" s="17">
        <f>IFERROR(VLOOKUP(D211,'Monthly Deduction'!$E$3:$F$957,2,0),0)</f>
        <v>3200</v>
      </c>
      <c r="C211" s="17">
        <f t="shared" si="62"/>
        <v>58667.362381508457</v>
      </c>
      <c r="D211" s="41">
        <v>10080077</v>
      </c>
      <c r="E211" s="122" t="str">
        <f>VLOOKUP(D211,'MPG Payment '!$E$3:$G$497305,2,0)</f>
        <v>Gomukh Amarpur</v>
      </c>
      <c r="F211" s="146">
        <f>IFERROR(_xlfn.XLOOKUP(D211,'Monthly Deduction'!$I$3:$I$957,'Monthly Deduction'!$H$3:$H$957),0)</f>
        <v>0</v>
      </c>
      <c r="G211" s="123" t="str">
        <f>VLOOKUP(D211,'MPG Payment '!$E$3:$G$333666,3,0)</f>
        <v>MPG</v>
      </c>
      <c r="H211" s="124" t="str">
        <f>VLOOKUP(D211,'MPG Payment '!$E$3:$H$333666,4,0)</f>
        <v>Direct</v>
      </c>
      <c r="I211" s="88">
        <f>INDEX('MPG Payment '!$C:$C,MATCH('Shayak Income '!D211,'MPG Payment '!E:E,0))</f>
        <v>1008</v>
      </c>
      <c r="J211" s="88" t="str">
        <f>INDEX('MPG Payment '!$D:$D,MATCH('Shayak Income '!D211,'MPG Payment '!E:E,0))</f>
        <v>Teghra</v>
      </c>
      <c r="K211" s="125" t="s">
        <v>1594</v>
      </c>
      <c r="L211" s="125">
        <v>45614</v>
      </c>
      <c r="M211" s="126">
        <f>SUMIF('MPG Payment '!$E$3:$E$344841,'Shayak Income '!D211,'MPG Payment '!$I$3:$I$344841)</f>
        <v>702.05</v>
      </c>
      <c r="N211" s="126">
        <f>SUMIF('MPG Payment '!$E$3:$E$344841,'Shayak Income '!D211,'MPG Payment '!$J$3:$J$344841)</f>
        <v>26495.07</v>
      </c>
      <c r="O211" s="126">
        <f t="shared" si="63"/>
        <v>526.53749999999991</v>
      </c>
      <c r="P211" s="126">
        <f t="shared" si="64"/>
        <v>666.94749999999988</v>
      </c>
      <c r="Q211" s="126">
        <f>SUMIF('MPG Payment '!$E$3:$E$344841,'Shayak Income '!D211,'MPG Payment '!$S$3:$S$344841)</f>
        <v>74.550000000000011</v>
      </c>
      <c r="R211" s="126">
        <f t="shared" si="55"/>
        <v>794.85209999999995</v>
      </c>
      <c r="S211" s="126">
        <f t="shared" si="56"/>
        <v>127.90460000000007</v>
      </c>
      <c r="T211" s="126">
        <f t="shared" si="65"/>
        <v>70.204999999999998</v>
      </c>
      <c r="U211" s="127">
        <f>((((((IF(K211="New",0,SUMIF('MPG Payment '!$E$3:$E$344841,'Shayak Income '!D211,'MPG Payment '!$AC$3:$AC$344841))))+0)+0)+0)+0)+0</f>
        <v>1148.7579981066751</v>
      </c>
      <c r="V211" s="127">
        <f t="shared" si="66"/>
        <v>49</v>
      </c>
      <c r="W211" s="19">
        <v>49</v>
      </c>
      <c r="X211" s="19">
        <v>0</v>
      </c>
      <c r="Y211" s="128">
        <f>IFERROR(VLOOKUP(D211,'Monthly Deduction'!$M$2:$N$640,2,0),0)</f>
        <v>0</v>
      </c>
      <c r="Z211" s="128">
        <v>0</v>
      </c>
      <c r="AA211" s="126">
        <f>IFERROR(VLOOKUP(D211,'Monthly Deduction'!A:B,2,0),0)</f>
        <v>0</v>
      </c>
      <c r="AB211" s="129">
        <f t="shared" si="57"/>
        <v>0</v>
      </c>
      <c r="AC211" s="130">
        <f>AB211</f>
        <v>0</v>
      </c>
      <c r="AD211" s="35">
        <f t="shared" si="67"/>
        <v>0</v>
      </c>
      <c r="AE211" s="166" t="str">
        <f t="shared" si="68"/>
        <v>Release</v>
      </c>
      <c r="AF211" s="127"/>
      <c r="AG211" s="18">
        <v>0</v>
      </c>
      <c r="AH211" s="120" t="s">
        <v>1685</v>
      </c>
      <c r="AI211" s="238">
        <v>768</v>
      </c>
      <c r="AJ211" s="132"/>
      <c r="AK211" s="151">
        <v>53.4</v>
      </c>
      <c r="AL211" s="154">
        <f t="shared" si="58"/>
        <v>0</v>
      </c>
      <c r="AM211" s="155"/>
      <c r="AN211" s="19">
        <f t="shared" si="59"/>
        <v>1861</v>
      </c>
      <c r="AO211" s="118">
        <f>SUMIF('MPG Payment '!E:E,'Shayak Income '!D211,'MPG Payment '!AJ:AJ)</f>
        <v>0</v>
      </c>
      <c r="AP211" s="19">
        <f t="shared" si="60"/>
        <v>49</v>
      </c>
      <c r="AQ211" s="119">
        <f t="shared" si="69"/>
        <v>49</v>
      </c>
      <c r="AR211" s="91" t="s">
        <v>1144</v>
      </c>
      <c r="AS211" s="91">
        <f t="shared" si="61"/>
        <v>3200</v>
      </c>
      <c r="AT211" s="118"/>
      <c r="AU211" s="118"/>
      <c r="AV211" s="118"/>
    </row>
    <row r="212" spans="1:48" s="20" customFormat="1" x14ac:dyDescent="0.25">
      <c r="A212" s="17">
        <f>IFERROR(VLOOKUP(D212,'Monthly Deduction'!$I$3:$J$957,2,0),0)</f>
        <v>0</v>
      </c>
      <c r="B212" s="17">
        <f>IFERROR(VLOOKUP(D212,'Monthly Deduction'!$E$3:$F$957,2,0),0)</f>
        <v>0</v>
      </c>
      <c r="C212" s="17">
        <f t="shared" si="62"/>
        <v>0</v>
      </c>
      <c r="D212" s="41">
        <v>10080078</v>
      </c>
      <c r="E212" s="122" t="str">
        <f>VLOOKUP(D212,'MPG Payment '!$E$3:$G$497305,2,0)</f>
        <v>Prashant Kumar</v>
      </c>
      <c r="F212" s="146">
        <f>IFERROR(_xlfn.XLOOKUP(D212,'Monthly Deduction'!$I$3:$I$957,'Monthly Deduction'!$H$3:$H$957),0)</f>
        <v>0</v>
      </c>
      <c r="G212" s="123" t="str">
        <f>VLOOKUP(D212,'MPG Payment '!$E$3:$G$333666,3,0)</f>
        <v>vlc</v>
      </c>
      <c r="H212" s="124" t="str">
        <f>VLOOKUP(D212,'MPG Payment '!$E$3:$H$333666,4,0)</f>
        <v>Indirect</v>
      </c>
      <c r="I212" s="88">
        <f>INDEX('MPG Payment '!$C:$C,MATCH('Shayak Income '!D212,'MPG Payment '!E:E,0))</f>
        <v>1008</v>
      </c>
      <c r="J212" s="88" t="str">
        <f>INDEX('MPG Payment '!$D:$D,MATCH('Shayak Income '!D212,'MPG Payment '!E:E,0))</f>
        <v>Teghra</v>
      </c>
      <c r="K212" s="125" t="s">
        <v>1594</v>
      </c>
      <c r="L212" s="125">
        <v>45604</v>
      </c>
      <c r="M212" s="126">
        <f>SUMIF('MPG Payment '!$E$3:$E$344841,'Shayak Income '!D212,'MPG Payment '!$I$3:$I$344841)</f>
        <v>203.9</v>
      </c>
      <c r="N212" s="126">
        <f>SUMIF('MPG Payment '!$E$3:$E$344841,'Shayak Income '!D212,'MPG Payment '!$J$3:$J$344841)</f>
        <v>7722.1299999999992</v>
      </c>
      <c r="O212" s="126">
        <f t="shared" si="63"/>
        <v>152.92500000000001</v>
      </c>
      <c r="P212" s="126">
        <f t="shared" si="64"/>
        <v>193.70499999999998</v>
      </c>
      <c r="Q212" s="126">
        <f>SUMIF('MPG Payment '!$E$3:$E$344841,'Shayak Income '!D212,'MPG Payment '!$S$3:$S$344841)</f>
        <v>0</v>
      </c>
      <c r="R212" s="126">
        <f t="shared" si="55"/>
        <v>231.66389999999996</v>
      </c>
      <c r="S212" s="126">
        <f t="shared" si="56"/>
        <v>37.958899999999971</v>
      </c>
      <c r="T212" s="126">
        <f t="shared" si="65"/>
        <v>20.39</v>
      </c>
      <c r="U212" s="127">
        <f>((((((IF(K212="New",0,SUMIF('MPG Payment '!$E$3:$E$344841,'Shayak Income '!D212,'MPG Payment '!$AC$3:$AC$344841))))+0)+0)+0)+0)+-1654</f>
        <v>326.2416741752204</v>
      </c>
      <c r="V212" s="127">
        <f t="shared" si="66"/>
        <v>0</v>
      </c>
      <c r="W212" s="19">
        <v>0</v>
      </c>
      <c r="X212" s="19">
        <v>0</v>
      </c>
      <c r="Y212" s="128">
        <v>0</v>
      </c>
      <c r="Z212" s="128">
        <v>0</v>
      </c>
      <c r="AA212" s="126">
        <v>0</v>
      </c>
      <c r="AB212" s="129">
        <f t="shared" si="57"/>
        <v>0</v>
      </c>
      <c r="AC212" s="130">
        <v>0</v>
      </c>
      <c r="AD212" s="35">
        <f t="shared" si="67"/>
        <v>0</v>
      </c>
      <c r="AE212" s="166" t="str">
        <f t="shared" si="68"/>
        <v>Release</v>
      </c>
      <c r="AF212" s="127"/>
      <c r="AG212" s="18">
        <v>0</v>
      </c>
      <c r="AH212" s="132"/>
      <c r="AI212" s="238">
        <v>0</v>
      </c>
      <c r="AJ212" s="132"/>
      <c r="AK212" s="151">
        <v>25.35</v>
      </c>
      <c r="AL212" s="154">
        <f t="shared" si="58"/>
        <v>0</v>
      </c>
      <c r="AM212" s="155"/>
      <c r="AN212" s="19">
        <f t="shared" si="59"/>
        <v>0</v>
      </c>
      <c r="AO212" s="118">
        <f>SUMIF('MPG Payment '!E:E,'Shayak Income '!D212,'MPG Payment '!AJ:AJ)</f>
        <v>0</v>
      </c>
      <c r="AP212" s="19">
        <f t="shared" si="60"/>
        <v>0</v>
      </c>
      <c r="AQ212" s="119">
        <f t="shared" si="69"/>
        <v>0</v>
      </c>
      <c r="AR212" s="91" t="s">
        <v>1144</v>
      </c>
      <c r="AS212" s="91">
        <f t="shared" si="61"/>
        <v>0</v>
      </c>
      <c r="AT212" s="118"/>
      <c r="AU212" s="118"/>
      <c r="AV212" s="118"/>
    </row>
    <row r="213" spans="1:48" s="20" customFormat="1" x14ac:dyDescent="0.25">
      <c r="A213" s="17">
        <f>IFERROR(VLOOKUP(D213,'Monthly Deduction'!$I$3:$J$957,2,0),0)</f>
        <v>67778</v>
      </c>
      <c r="B213" s="17">
        <f>IFERROR(VLOOKUP(D213,'Monthly Deduction'!$E$3:$F$957,2,0),0)</f>
        <v>6400</v>
      </c>
      <c r="C213" s="17">
        <f t="shared" si="62"/>
        <v>74178</v>
      </c>
      <c r="D213" s="41">
        <v>10080079</v>
      </c>
      <c r="E213" s="122" t="str">
        <f>VLOOKUP(D213,'MPG Payment '!$E$3:$G$497305,2,0)</f>
        <v>Gomukh Barauni 3</v>
      </c>
      <c r="F213" s="146">
        <f>IFERROR(_xlfn.XLOOKUP(D213,'Monthly Deduction'!$I$3:$I$957,'Monthly Deduction'!$H$3:$H$957),0)</f>
        <v>0</v>
      </c>
      <c r="G213" s="123" t="str">
        <f>VLOOKUP(D213,'MPG Payment '!$E$3:$G$333666,3,0)</f>
        <v>MPG</v>
      </c>
      <c r="H213" s="124" t="str">
        <f>VLOOKUP(D213,'MPG Payment '!$E$3:$H$333666,4,0)</f>
        <v>Direct</v>
      </c>
      <c r="I213" s="88">
        <f>INDEX('MPG Payment '!$C:$C,MATCH('Shayak Income '!D213,'MPG Payment '!E:E,0))</f>
        <v>1008</v>
      </c>
      <c r="J213" s="88" t="str">
        <f>INDEX('MPG Payment '!$D:$D,MATCH('Shayak Income '!D213,'MPG Payment '!E:E,0))</f>
        <v>Teghra</v>
      </c>
      <c r="K213" s="125" t="s">
        <v>1594</v>
      </c>
      <c r="L213" s="125">
        <v>45631</v>
      </c>
      <c r="M213" s="126">
        <f>SUMIF('MPG Payment '!$E$3:$E$344841,'Shayak Income '!D213,'MPG Payment '!$I$3:$I$344841)</f>
        <v>89.75</v>
      </c>
      <c r="N213" s="126">
        <f>SUMIF('MPG Payment '!$E$3:$E$344841,'Shayak Income '!D213,'MPG Payment '!$J$3:$J$344841)</f>
        <v>3704.17</v>
      </c>
      <c r="O213" s="126">
        <f t="shared" si="63"/>
        <v>67.3125</v>
      </c>
      <c r="P213" s="126">
        <f t="shared" si="64"/>
        <v>85.262500000000003</v>
      </c>
      <c r="Q213" s="126">
        <f>SUMIF('MPG Payment '!$E$3:$E$344841,'Shayak Income '!D213,'MPG Payment '!$S$3:$S$344841)</f>
        <v>0</v>
      </c>
      <c r="R213" s="126">
        <f t="shared" si="55"/>
        <v>111.1251</v>
      </c>
      <c r="S213" s="126">
        <f t="shared" si="56"/>
        <v>25.8626</v>
      </c>
      <c r="T213" s="126">
        <f t="shared" si="65"/>
        <v>8.9749999999999996</v>
      </c>
      <c r="U213" s="127">
        <f>((((((IF(K213="New",0,SUMIF('MPG Payment '!$E$3:$E$344841,'Shayak Income '!D213,'MPG Payment '!$AC$3:$AC$344841))))+0)+0)+0)+0)+-360</f>
        <v>143.72584791086354</v>
      </c>
      <c r="V213" s="127">
        <f t="shared" si="66"/>
        <v>0</v>
      </c>
      <c r="W213" s="19">
        <v>0</v>
      </c>
      <c r="X213" s="19">
        <v>0</v>
      </c>
      <c r="Y213" s="128">
        <v>0</v>
      </c>
      <c r="Z213" s="128">
        <v>0</v>
      </c>
      <c r="AA213" s="126">
        <v>0</v>
      </c>
      <c r="AB213" s="129">
        <f t="shared" si="57"/>
        <v>0</v>
      </c>
      <c r="AC213" s="130">
        <f>AB213</f>
        <v>0</v>
      </c>
      <c r="AD213" s="35">
        <f t="shared" si="67"/>
        <v>0</v>
      </c>
      <c r="AE213" s="166" t="str">
        <f t="shared" si="68"/>
        <v>Release</v>
      </c>
      <c r="AF213" s="127"/>
      <c r="AG213" s="18">
        <v>0</v>
      </c>
      <c r="AH213" s="132" t="s">
        <v>1688</v>
      </c>
      <c r="AI213" s="238">
        <v>5000</v>
      </c>
      <c r="AJ213" s="132"/>
      <c r="AK213" s="151">
        <v>0</v>
      </c>
      <c r="AL213" s="154">
        <f t="shared" si="58"/>
        <v>0</v>
      </c>
      <c r="AM213" s="155"/>
      <c r="AN213" s="19">
        <f t="shared" si="59"/>
        <v>1861</v>
      </c>
      <c r="AO213" s="118">
        <f>SUMIF('MPG Payment '!E:E,'Shayak Income '!D213,'MPG Payment '!AJ:AJ)</f>
        <v>500</v>
      </c>
      <c r="AP213" s="19">
        <f t="shared" si="60"/>
        <v>0</v>
      </c>
      <c r="AQ213" s="119">
        <f t="shared" si="69"/>
        <v>500</v>
      </c>
      <c r="AR213" s="91" t="s">
        <v>1144</v>
      </c>
      <c r="AS213" s="91">
        <f t="shared" si="61"/>
        <v>6400</v>
      </c>
      <c r="AT213" s="118"/>
      <c r="AU213" s="118"/>
      <c r="AV213" s="118"/>
    </row>
    <row r="214" spans="1:48" s="20" customFormat="1" x14ac:dyDescent="0.25">
      <c r="A214" s="17">
        <f>IFERROR(VLOOKUP(D214,'Monthly Deduction'!$I$3:$J$957,2,0),0)</f>
        <v>0</v>
      </c>
      <c r="B214" s="17">
        <f>IFERROR(VLOOKUP(D214,'Monthly Deduction'!$E$3:$F$957,2,0),0)</f>
        <v>0</v>
      </c>
      <c r="C214" s="17">
        <f t="shared" si="62"/>
        <v>0</v>
      </c>
      <c r="D214" s="41">
        <v>10080080</v>
      </c>
      <c r="E214" s="122" t="str">
        <f>VLOOKUP(D214,'MPG Payment '!$E$3:$G$497305,2,0)</f>
        <v>CHANDAN YADAV</v>
      </c>
      <c r="F214" s="146">
        <f>IFERROR(_xlfn.XLOOKUP(D214,'Monthly Deduction'!$I$3:$I$957,'Monthly Deduction'!$H$3:$H$957),0)</f>
        <v>0</v>
      </c>
      <c r="G214" s="123" t="str">
        <f>VLOOKUP(D214,'MPG Payment '!$E$3:$G$333666,3,0)</f>
        <v>vlc</v>
      </c>
      <c r="H214" s="124" t="str">
        <f>VLOOKUP(D214,'MPG Payment '!$E$3:$H$333666,4,0)</f>
        <v>Indirect</v>
      </c>
      <c r="I214" s="88">
        <f>INDEX('MPG Payment '!$C:$C,MATCH('Shayak Income '!D214,'MPG Payment '!E:E,0))</f>
        <v>1008</v>
      </c>
      <c r="J214" s="88" t="str">
        <f>INDEX('MPG Payment '!$D:$D,MATCH('Shayak Income '!D214,'MPG Payment '!E:E,0))</f>
        <v>Teghra</v>
      </c>
      <c r="K214" s="125" t="s">
        <v>1594</v>
      </c>
      <c r="L214" s="125">
        <v>45644</v>
      </c>
      <c r="M214" s="126">
        <f>SUMIF('MPG Payment '!$E$3:$E$344841,'Shayak Income '!D214,'MPG Payment '!$I$3:$I$344841)</f>
        <v>1365.6499999999999</v>
      </c>
      <c r="N214" s="126">
        <f>SUMIF('MPG Payment '!$E$3:$E$344841,'Shayak Income '!D214,'MPG Payment '!$J$3:$J$344841)</f>
        <v>51284.42</v>
      </c>
      <c r="O214" s="126">
        <f t="shared" si="63"/>
        <v>1024.2375</v>
      </c>
      <c r="P214" s="126">
        <f t="shared" si="64"/>
        <v>1297.3674999999998</v>
      </c>
      <c r="Q214" s="126">
        <f>SUMIF('MPG Payment '!$E$3:$E$344841,'Shayak Income '!D214,'MPG Payment '!$S$3:$S$344841)</f>
        <v>0</v>
      </c>
      <c r="R214" s="126">
        <f t="shared" si="55"/>
        <v>1538.5326</v>
      </c>
      <c r="S214" s="126">
        <f t="shared" si="56"/>
        <v>241.16510000000017</v>
      </c>
      <c r="T214" s="126">
        <f t="shared" si="65"/>
        <v>136.565</v>
      </c>
      <c r="U214" s="127">
        <f>((((((IF(K214="New",0,SUMIF('MPG Payment '!$E$3:$E$344841,'Shayak Income '!D214,'MPG Payment '!$AC$3:$AC$344841))))+0)+0)+0)+0)+0</f>
        <v>1081.3805533163854</v>
      </c>
      <c r="V214" s="127">
        <f t="shared" si="66"/>
        <v>1104</v>
      </c>
      <c r="W214" s="19">
        <f t="shared" si="70"/>
        <v>0</v>
      </c>
      <c r="X214" s="19">
        <f t="shared" si="71"/>
        <v>0</v>
      </c>
      <c r="Y214" s="128">
        <f>IFERROR(VLOOKUP(D214,'Monthly Deduction'!$M$2:$N$640,2,0),0)</f>
        <v>0</v>
      </c>
      <c r="Z214" s="128">
        <v>0</v>
      </c>
      <c r="AA214" s="126">
        <f>IFERROR(VLOOKUP(D214,'Monthly Deduction'!A:B,2,0),0)</f>
        <v>0</v>
      </c>
      <c r="AB214" s="129">
        <f t="shared" si="57"/>
        <v>1104</v>
      </c>
      <c r="AC214" s="130">
        <v>0</v>
      </c>
      <c r="AD214" s="35">
        <f t="shared" si="67"/>
        <v>1104</v>
      </c>
      <c r="AE214" s="166" t="str">
        <f t="shared" si="68"/>
        <v>Release</v>
      </c>
      <c r="AF214" s="127"/>
      <c r="AG214" s="18">
        <v>0</v>
      </c>
      <c r="AH214" s="120"/>
      <c r="AI214" s="238">
        <v>0</v>
      </c>
      <c r="AJ214" s="132"/>
      <c r="AK214" s="151">
        <v>129.30000000000001</v>
      </c>
      <c r="AL214" s="154">
        <f t="shared" si="58"/>
        <v>0</v>
      </c>
      <c r="AM214" s="155"/>
      <c r="AN214" s="19">
        <f t="shared" si="59"/>
        <v>0</v>
      </c>
      <c r="AO214" s="118">
        <f>SUMIF('MPG Payment '!E:E,'Shayak Income '!D214,'MPG Payment '!AJ:AJ)</f>
        <v>0</v>
      </c>
      <c r="AP214" s="19">
        <f t="shared" si="60"/>
        <v>0</v>
      </c>
      <c r="AQ214" s="119">
        <f t="shared" si="69"/>
        <v>0</v>
      </c>
      <c r="AR214" s="91" t="s">
        <v>1144</v>
      </c>
      <c r="AS214" s="91">
        <f t="shared" si="61"/>
        <v>0</v>
      </c>
      <c r="AT214" s="118"/>
      <c r="AU214" s="118"/>
      <c r="AV214" s="118"/>
    </row>
    <row r="215" spans="1:48" s="20" customFormat="1" x14ac:dyDescent="0.25">
      <c r="A215" s="17">
        <f>IFERROR(VLOOKUP(D215,'Monthly Deduction'!$I$3:$J$957,2,0),0)</f>
        <v>0</v>
      </c>
      <c r="B215" s="17">
        <f>IFERROR(VLOOKUP(D215,'Monthly Deduction'!$E$3:$F$957,2,0),0)</f>
        <v>0</v>
      </c>
      <c r="C215" s="17">
        <f t="shared" si="62"/>
        <v>0</v>
      </c>
      <c r="D215" s="41">
        <v>10080082</v>
      </c>
      <c r="E215" s="122" t="str">
        <f>VLOOKUP(D215,'MPG Payment '!$E$3:$G$497305,2,0)</f>
        <v>DINESH YADAV</v>
      </c>
      <c r="F215" s="146">
        <f>IFERROR(_xlfn.XLOOKUP(D215,'Monthly Deduction'!$I$3:$I$957,'Monthly Deduction'!$H$3:$H$957),0)</f>
        <v>0</v>
      </c>
      <c r="G215" s="123" t="str">
        <f>VLOOKUP(D215,'MPG Payment '!$E$3:$G$333666,3,0)</f>
        <v>VLC</v>
      </c>
      <c r="H215" s="124" t="str">
        <f>VLOOKUP(D215,'MPG Payment '!$E$3:$H$333666,4,0)</f>
        <v>Indirect</v>
      </c>
      <c r="I215" s="88">
        <f>INDEX('MPG Payment '!$C:$C,MATCH('Shayak Income '!D215,'MPG Payment '!E:E,0))</f>
        <v>1008</v>
      </c>
      <c r="J215" s="88" t="str">
        <f>INDEX('MPG Payment '!$D:$D,MATCH('Shayak Income '!D215,'MPG Payment '!E:E,0))</f>
        <v>Teghra</v>
      </c>
      <c r="K215" s="125" t="s">
        <v>1594</v>
      </c>
      <c r="L215" s="125">
        <v>45644</v>
      </c>
      <c r="M215" s="126">
        <f>SUMIF('MPG Payment '!$E$3:$E$344841,'Shayak Income '!D215,'MPG Payment '!$I$3:$I$344841)</f>
        <v>63.2</v>
      </c>
      <c r="N215" s="126">
        <f>SUMIF('MPG Payment '!$E$3:$E$344841,'Shayak Income '!D215,'MPG Payment '!$J$3:$J$344841)</f>
        <v>2541.4700000000003</v>
      </c>
      <c r="O215" s="126">
        <f t="shared" si="63"/>
        <v>47.400000000000006</v>
      </c>
      <c r="P215" s="126">
        <f t="shared" si="64"/>
        <v>60.04</v>
      </c>
      <c r="Q215" s="126">
        <f>SUMIF('MPG Payment '!$E$3:$E$344841,'Shayak Income '!D215,'MPG Payment '!$S$3:$S$344841)</f>
        <v>0</v>
      </c>
      <c r="R215" s="126">
        <f t="shared" si="55"/>
        <v>76.244100000000003</v>
      </c>
      <c r="S215" s="126">
        <f t="shared" si="56"/>
        <v>16.204100000000004</v>
      </c>
      <c r="T215" s="126">
        <f t="shared" si="65"/>
        <v>6.32</v>
      </c>
      <c r="U215" s="127">
        <f>((((((IF(K215="New",0,SUMIF('MPG Payment '!$E$3:$E$344841,'Shayak Income '!D215,'MPG Payment '!$AC$3:$AC$344841))))+0)+0)+0)+0)+-411</f>
        <v>101.15446075949376</v>
      </c>
      <c r="V215" s="127">
        <f t="shared" si="66"/>
        <v>0</v>
      </c>
      <c r="W215" s="19">
        <v>0</v>
      </c>
      <c r="X215" s="19">
        <v>0</v>
      </c>
      <c r="Y215" s="128">
        <v>0</v>
      </c>
      <c r="Z215" s="128">
        <v>0</v>
      </c>
      <c r="AA215" s="126">
        <v>0</v>
      </c>
      <c r="AB215" s="129">
        <f t="shared" si="57"/>
        <v>0</v>
      </c>
      <c r="AC215" s="130">
        <f>AB215</f>
        <v>0</v>
      </c>
      <c r="AD215" s="35">
        <f t="shared" si="67"/>
        <v>0</v>
      </c>
      <c r="AE215" s="166" t="str">
        <f t="shared" si="68"/>
        <v>Release</v>
      </c>
      <c r="AF215" s="127"/>
      <c r="AG215" s="18">
        <v>0</v>
      </c>
      <c r="AH215" s="132" t="s">
        <v>1597</v>
      </c>
      <c r="AI215" s="238">
        <v>0</v>
      </c>
      <c r="AJ215" s="132"/>
      <c r="AK215" s="151">
        <v>0</v>
      </c>
      <c r="AL215" s="154">
        <f t="shared" si="58"/>
        <v>0</v>
      </c>
      <c r="AM215" s="155"/>
      <c r="AN215" s="19">
        <f t="shared" si="59"/>
        <v>0</v>
      </c>
      <c r="AO215" s="118">
        <f>SUMIF('MPG Payment '!E:E,'Shayak Income '!D215,'MPG Payment '!AJ:AJ)</f>
        <v>0</v>
      </c>
      <c r="AP215" s="19">
        <f t="shared" si="60"/>
        <v>0</v>
      </c>
      <c r="AQ215" s="119">
        <f t="shared" si="69"/>
        <v>0</v>
      </c>
      <c r="AR215" s="91"/>
      <c r="AS215" s="91">
        <f t="shared" si="61"/>
        <v>0</v>
      </c>
      <c r="AT215" s="118"/>
      <c r="AU215" s="118"/>
      <c r="AV215" s="118"/>
    </row>
    <row r="216" spans="1:48" s="20" customFormat="1" x14ac:dyDescent="0.25">
      <c r="A216" s="17">
        <f>IFERROR(VLOOKUP(D216,'Monthly Deduction'!$I$3:$J$957,2,0),0)</f>
        <v>0</v>
      </c>
      <c r="B216" s="17">
        <f>IFERROR(VLOOKUP(D216,'Monthly Deduction'!$E$3:$F$957,2,0),0)</f>
        <v>0</v>
      </c>
      <c r="C216" s="17">
        <f t="shared" si="62"/>
        <v>0</v>
      </c>
      <c r="D216" s="41">
        <v>10080083</v>
      </c>
      <c r="E216" s="122" t="str">
        <f>VLOOKUP(D216,'MPG Payment '!$E$3:$G$497305,2,0)</f>
        <v>ANITA DEVI</v>
      </c>
      <c r="F216" s="146">
        <f>IFERROR(_xlfn.XLOOKUP(D216,'Monthly Deduction'!$I$3:$I$957,'Monthly Deduction'!$H$3:$H$957),0)</f>
        <v>0</v>
      </c>
      <c r="G216" s="123" t="str">
        <f>VLOOKUP(D216,'MPG Payment '!$E$3:$G$333666,3,0)</f>
        <v>vlc</v>
      </c>
      <c r="H216" s="124" t="str">
        <f>VLOOKUP(D216,'MPG Payment '!$E$3:$H$333666,4,0)</f>
        <v>Indirect</v>
      </c>
      <c r="I216" s="88">
        <f>INDEX('MPG Payment '!$C:$C,MATCH('Shayak Income '!D216,'MPG Payment '!E:E,0))</f>
        <v>1008</v>
      </c>
      <c r="J216" s="88" t="str">
        <f>INDEX('MPG Payment '!$D:$D,MATCH('Shayak Income '!D216,'MPG Payment '!E:E,0))</f>
        <v>Teghra</v>
      </c>
      <c r="K216" s="125" t="s">
        <v>1594</v>
      </c>
      <c r="L216" s="125">
        <v>45643</v>
      </c>
      <c r="M216" s="126">
        <f>SUMIF('MPG Payment '!$E$3:$E$344841,'Shayak Income '!D216,'MPG Payment '!$I$3:$I$344841)</f>
        <v>1201.75</v>
      </c>
      <c r="N216" s="126">
        <f>SUMIF('MPG Payment '!$E$3:$E$344841,'Shayak Income '!D216,'MPG Payment '!$J$3:$J$344841)</f>
        <v>43822.869999999995</v>
      </c>
      <c r="O216" s="126">
        <f t="shared" si="63"/>
        <v>901.3125</v>
      </c>
      <c r="P216" s="126">
        <f t="shared" si="64"/>
        <v>1141.6624999999999</v>
      </c>
      <c r="Q216" s="126">
        <f>SUMIF('MPG Payment '!$E$3:$E$344841,'Shayak Income '!D216,'MPG Payment '!$S$3:$S$344841)</f>
        <v>0</v>
      </c>
      <c r="R216" s="126">
        <f t="shared" si="55"/>
        <v>1314.6860999999999</v>
      </c>
      <c r="S216" s="126">
        <f t="shared" si="56"/>
        <v>173.02359999999999</v>
      </c>
      <c r="T216" s="126">
        <f t="shared" si="65"/>
        <v>120.17500000000001</v>
      </c>
      <c r="U216" s="127">
        <f>((((((IF(K216="New",0,SUMIF('MPG Payment '!$E$3:$E$344841,'Shayak Income '!D216,'MPG Payment '!$AC$3:$AC$344841))))+0)+0)+0)+0)+0</f>
        <v>1171.0110691572404</v>
      </c>
      <c r="V216" s="127">
        <f t="shared" si="66"/>
        <v>752</v>
      </c>
      <c r="W216" s="19">
        <f t="shared" si="70"/>
        <v>0</v>
      </c>
      <c r="X216" s="19">
        <f t="shared" si="71"/>
        <v>0</v>
      </c>
      <c r="Y216" s="128">
        <f>IFERROR(VLOOKUP(D216,'Monthly Deduction'!$M$2:$N$640,2,0),0)</f>
        <v>0</v>
      </c>
      <c r="Z216" s="128">
        <v>0</v>
      </c>
      <c r="AA216" s="126">
        <f>IFERROR(VLOOKUP(D216,'Monthly Deduction'!A:B,2,0),0)</f>
        <v>0</v>
      </c>
      <c r="AB216" s="129">
        <f t="shared" si="57"/>
        <v>752</v>
      </c>
      <c r="AC216" s="130">
        <v>0</v>
      </c>
      <c r="AD216" s="35">
        <f t="shared" si="67"/>
        <v>752</v>
      </c>
      <c r="AE216" s="166" t="str">
        <f t="shared" si="68"/>
        <v>Release</v>
      </c>
      <c r="AF216" s="127"/>
      <c r="AG216" s="18">
        <v>0</v>
      </c>
      <c r="AH216" s="120"/>
      <c r="AI216" s="238">
        <v>0</v>
      </c>
      <c r="AJ216" s="132"/>
      <c r="AK216" s="151">
        <v>127.10000000000001</v>
      </c>
      <c r="AL216" s="154">
        <f t="shared" si="58"/>
        <v>0</v>
      </c>
      <c r="AM216" s="155"/>
      <c r="AN216" s="19">
        <f t="shared" si="59"/>
        <v>0</v>
      </c>
      <c r="AO216" s="118">
        <f>SUMIF('MPG Payment '!E:E,'Shayak Income '!D216,'MPG Payment '!AJ:AJ)</f>
        <v>0</v>
      </c>
      <c r="AP216" s="19">
        <f t="shared" si="60"/>
        <v>0</v>
      </c>
      <c r="AQ216" s="119">
        <f t="shared" si="69"/>
        <v>0</v>
      </c>
      <c r="AR216" s="91" t="s">
        <v>65</v>
      </c>
      <c r="AS216" s="91">
        <f t="shared" si="61"/>
        <v>0</v>
      </c>
      <c r="AT216" s="118"/>
      <c r="AU216" s="118"/>
      <c r="AV216" s="118"/>
    </row>
    <row r="217" spans="1:48" s="20" customFormat="1" x14ac:dyDescent="0.25">
      <c r="A217" s="17">
        <f>IFERROR(VLOOKUP(D217,'Monthly Deduction'!$I$3:$J$957,2,0),0)</f>
        <v>62648.489150940324</v>
      </c>
      <c r="B217" s="17">
        <f>IFERROR(VLOOKUP(D217,'Monthly Deduction'!$E$3:$F$957,2,0),0)</f>
        <v>12800</v>
      </c>
      <c r="C217" s="17">
        <f t="shared" si="62"/>
        <v>75448.489150940324</v>
      </c>
      <c r="D217" s="41">
        <v>10080086</v>
      </c>
      <c r="E217" s="122" t="str">
        <f>VLOOKUP(D217,'MPG Payment '!$E$3:$G$497305,2,0)</f>
        <v>GOMUKH FATEHA SALEMPUR</v>
      </c>
      <c r="F217" s="146">
        <f>IFERROR(_xlfn.XLOOKUP(D217,'Monthly Deduction'!$I$3:$I$957,'Monthly Deduction'!$H$3:$H$957),0)</f>
        <v>0</v>
      </c>
      <c r="G217" s="123" t="str">
        <f>VLOOKUP(D217,'MPG Payment '!$E$3:$G$333666,3,0)</f>
        <v>MPG</v>
      </c>
      <c r="H217" s="124" t="str">
        <f>VLOOKUP(D217,'MPG Payment '!$E$3:$H$333666,4,0)</f>
        <v>Direct</v>
      </c>
      <c r="I217" s="88">
        <f>INDEX('MPG Payment '!$C:$C,MATCH('Shayak Income '!D217,'MPG Payment '!E:E,0))</f>
        <v>1008</v>
      </c>
      <c r="J217" s="88" t="str">
        <f>INDEX('MPG Payment '!$D:$D,MATCH('Shayak Income '!D217,'MPG Payment '!E:E,0))</f>
        <v>Teghra</v>
      </c>
      <c r="K217" s="125" t="s">
        <v>1594</v>
      </c>
      <c r="L217" s="125">
        <v>45716</v>
      </c>
      <c r="M217" s="126">
        <f>SUMIF('MPG Payment '!$E$3:$E$344841,'Shayak Income '!D217,'MPG Payment '!$I$3:$I$344841)</f>
        <v>786.85</v>
      </c>
      <c r="N217" s="126">
        <f>SUMIF('MPG Payment '!$E$3:$E$344841,'Shayak Income '!D217,'MPG Payment '!$J$3:$J$344841)</f>
        <v>30354.78</v>
      </c>
      <c r="O217" s="126">
        <f t="shared" si="63"/>
        <v>590.13750000000005</v>
      </c>
      <c r="P217" s="126">
        <f t="shared" si="64"/>
        <v>747.50749999999994</v>
      </c>
      <c r="Q217" s="126">
        <f>SUMIF('MPG Payment '!$E$3:$E$344841,'Shayak Income '!D217,'MPG Payment '!$S$3:$S$344841)</f>
        <v>900.28</v>
      </c>
      <c r="R217" s="126">
        <f t="shared" si="55"/>
        <v>910.64339999999993</v>
      </c>
      <c r="S217" s="126">
        <f t="shared" si="56"/>
        <v>163.13589999999999</v>
      </c>
      <c r="T217" s="126">
        <f t="shared" si="65"/>
        <v>78.685000000000002</v>
      </c>
      <c r="U217" s="127">
        <f>((((((IF(K217="New",0,SUMIF('MPG Payment '!$E$3:$E$344841,'Shayak Income '!D217,'MPG Payment '!$AC$3:$AC$344841))))+0)+0)+0)+0)+0</f>
        <v>1575.1366050615261</v>
      </c>
      <c r="V217" s="127">
        <f t="shared" si="66"/>
        <v>584</v>
      </c>
      <c r="W217" s="19">
        <v>0</v>
      </c>
      <c r="X217" s="19">
        <v>584</v>
      </c>
      <c r="Y217" s="128">
        <f>IFERROR(VLOOKUP(D217,'Monthly Deduction'!$M$2:$N$640,2,0),0)</f>
        <v>0</v>
      </c>
      <c r="Z217" s="128">
        <v>0</v>
      </c>
      <c r="AA217" s="126">
        <f>IFERROR(VLOOKUP(D217,'Monthly Deduction'!A:B,2,0),0)</f>
        <v>0</v>
      </c>
      <c r="AB217" s="129">
        <f t="shared" si="57"/>
        <v>0</v>
      </c>
      <c r="AC217" s="130">
        <v>0</v>
      </c>
      <c r="AD217" s="35">
        <f t="shared" si="67"/>
        <v>0</v>
      </c>
      <c r="AE217" s="166" t="str">
        <f t="shared" si="68"/>
        <v>Release</v>
      </c>
      <c r="AF217" s="127"/>
      <c r="AG217" s="18">
        <v>0</v>
      </c>
      <c r="AH217" s="120"/>
      <c r="AI217" s="238">
        <v>0</v>
      </c>
      <c r="AJ217" s="132"/>
      <c r="AK217" s="151">
        <v>423.09999999999997</v>
      </c>
      <c r="AL217" s="154">
        <f t="shared" si="58"/>
        <v>0</v>
      </c>
      <c r="AM217" s="155"/>
      <c r="AN217" s="19">
        <f t="shared" si="59"/>
        <v>1861</v>
      </c>
      <c r="AO217" s="118">
        <f>SUMIF('MPG Payment '!E:E,'Shayak Income '!D217,'MPG Payment '!AJ:AJ)</f>
        <v>2000</v>
      </c>
      <c r="AP217" s="19">
        <f t="shared" si="60"/>
        <v>0</v>
      </c>
      <c r="AQ217" s="119">
        <f t="shared" si="69"/>
        <v>2000</v>
      </c>
      <c r="AR217" s="91" t="s">
        <v>65</v>
      </c>
      <c r="AS217" s="91">
        <f t="shared" si="61"/>
        <v>12216</v>
      </c>
      <c r="AT217" s="118"/>
      <c r="AU217" s="118"/>
      <c r="AV217" s="118"/>
    </row>
    <row r="218" spans="1:48" s="20" customFormat="1" x14ac:dyDescent="0.25">
      <c r="A218" s="17">
        <f>IFERROR(VLOOKUP(D218,'Monthly Deduction'!$I$3:$J$957,2,0),0)</f>
        <v>69694.893472171796</v>
      </c>
      <c r="B218" s="17">
        <f>IFERROR(VLOOKUP(D218,'Monthly Deduction'!$E$3:$F$957,2,0),0)</f>
        <v>7646.9805999999999</v>
      </c>
      <c r="C218" s="17">
        <f t="shared" si="62"/>
        <v>77341.874072171791</v>
      </c>
      <c r="D218" s="41">
        <v>10080087</v>
      </c>
      <c r="E218" s="122" t="str">
        <f>VLOOKUP(D218,'MPG Payment '!$E$3:$G$497305,2,0)</f>
        <v>GOMUKH GEHUNI 2</v>
      </c>
      <c r="F218" s="146">
        <f>IFERROR(_xlfn.XLOOKUP(D218,'Monthly Deduction'!$I$3:$I$957,'Monthly Deduction'!$H$3:$H$957),0)</f>
        <v>0</v>
      </c>
      <c r="G218" s="123" t="str">
        <f>VLOOKUP(D218,'MPG Payment '!$E$3:$G$333666,3,0)</f>
        <v>MPG</v>
      </c>
      <c r="H218" s="124" t="str">
        <f>VLOOKUP(D218,'MPG Payment '!$E$3:$H$333666,4,0)</f>
        <v>Direct</v>
      </c>
      <c r="I218" s="88">
        <f>INDEX('MPG Payment '!$C:$C,MATCH('Shayak Income '!D218,'MPG Payment '!E:E,0))</f>
        <v>1008</v>
      </c>
      <c r="J218" s="88" t="str">
        <f>INDEX('MPG Payment '!$D:$D,MATCH('Shayak Income '!D218,'MPG Payment '!E:E,0))</f>
        <v>Teghra</v>
      </c>
      <c r="K218" s="125" t="s">
        <v>1594</v>
      </c>
      <c r="L218" s="125">
        <v>45745</v>
      </c>
      <c r="M218" s="126">
        <f>SUMIF('MPG Payment '!$E$3:$E$344841,'Shayak Income '!D218,'MPG Payment '!$I$3:$I$344841)</f>
        <v>2354.7000000000003</v>
      </c>
      <c r="N218" s="126">
        <f>SUMIF('MPG Payment '!$E$3:$E$344841,'Shayak Income '!D218,'MPG Payment '!$J$3:$J$344841)</f>
        <v>95390.040000000008</v>
      </c>
      <c r="O218" s="126">
        <f t="shared" si="63"/>
        <v>1766.0250000000001</v>
      </c>
      <c r="P218" s="126">
        <f t="shared" si="64"/>
        <v>2236.9650000000001</v>
      </c>
      <c r="Q218" s="126">
        <f>SUMIF('MPG Payment '!$E$3:$E$344841,'Shayak Income '!D218,'MPG Payment '!$S$3:$S$344841)</f>
        <v>94.79</v>
      </c>
      <c r="R218" s="126">
        <f t="shared" si="55"/>
        <v>2861.7012</v>
      </c>
      <c r="S218" s="126">
        <f t="shared" si="56"/>
        <v>624.73619999999983</v>
      </c>
      <c r="T218" s="126">
        <f t="shared" si="65"/>
        <v>235.47000000000003</v>
      </c>
      <c r="U218" s="127">
        <f>((((((IF(K218="New",0,SUMIF('MPG Payment '!$E$3:$E$344841,'Shayak Income '!D218,'MPG Payment '!$AC$3:$AC$344841))))+0)+0)+0)+0)+0</f>
        <v>361.27376560397676</v>
      </c>
      <c r="V218" s="127">
        <f t="shared" si="66"/>
        <v>3501</v>
      </c>
      <c r="W218" s="19">
        <f t="shared" si="70"/>
        <v>1907.8008000000002</v>
      </c>
      <c r="X218" s="19">
        <v>0</v>
      </c>
      <c r="Y218" s="128">
        <f>IFERROR(VLOOKUP(D218,'Monthly Deduction'!$M$2:$N$640,2,0),0)</f>
        <v>0</v>
      </c>
      <c r="Z218" s="128">
        <v>0</v>
      </c>
      <c r="AA218" s="126">
        <f>IFERROR(VLOOKUP(D218,'Monthly Deduction'!A:B,2,0),0)</f>
        <v>0</v>
      </c>
      <c r="AB218" s="129">
        <f t="shared" si="57"/>
        <v>1593</v>
      </c>
      <c r="AC218" s="130">
        <v>0</v>
      </c>
      <c r="AD218" s="35">
        <f t="shared" si="67"/>
        <v>1593</v>
      </c>
      <c r="AE218" s="166" t="str">
        <f t="shared" si="68"/>
        <v>Release</v>
      </c>
      <c r="AF218" s="127"/>
      <c r="AG218" s="18">
        <v>0</v>
      </c>
      <c r="AH218" s="132"/>
      <c r="AI218" s="238">
        <v>0</v>
      </c>
      <c r="AJ218" s="132"/>
      <c r="AK218" s="151">
        <v>480.95000000000005</v>
      </c>
      <c r="AL218" s="154">
        <f t="shared" si="58"/>
        <v>0</v>
      </c>
      <c r="AM218" s="155"/>
      <c r="AN218" s="19">
        <f t="shared" si="59"/>
        <v>1907.8008000000002</v>
      </c>
      <c r="AO218" s="118">
        <f>SUMIF('MPG Payment '!E:E,'Shayak Income '!D218,'MPG Payment '!AJ:AJ)</f>
        <v>0</v>
      </c>
      <c r="AP218" s="19">
        <f t="shared" si="60"/>
        <v>1907.8008000000002</v>
      </c>
      <c r="AQ218" s="119">
        <f t="shared" si="69"/>
        <v>1907.8008000000002</v>
      </c>
      <c r="AR218" s="91" t="s">
        <v>1144</v>
      </c>
      <c r="AS218" s="91">
        <f t="shared" si="61"/>
        <v>7646.9805999999999</v>
      </c>
      <c r="AT218" s="118"/>
      <c r="AU218" s="118"/>
      <c r="AV218" s="118"/>
    </row>
    <row r="219" spans="1:48" s="20" customFormat="1" x14ac:dyDescent="0.25">
      <c r="A219" s="17">
        <f>IFERROR(VLOOKUP(D219,'Monthly Deduction'!$I$3:$J$957,2,0),0)</f>
        <v>28850.64092862446</v>
      </c>
      <c r="B219" s="17">
        <f>IFERROR(VLOOKUP(D219,'Monthly Deduction'!$E$3:$F$957,2,0),0)</f>
        <v>6400</v>
      </c>
      <c r="C219" s="17">
        <f t="shared" si="62"/>
        <v>35250.64092862446</v>
      </c>
      <c r="D219" s="41">
        <v>10080088</v>
      </c>
      <c r="E219" s="122" t="str">
        <f>VLOOKUP(D219,'MPG Payment '!$E$3:$G$497305,2,0)</f>
        <v>GOMUKH MALHIPUR</v>
      </c>
      <c r="F219" s="146">
        <f>IFERROR(_xlfn.XLOOKUP(D219,'Monthly Deduction'!$I$3:$I$957,'Monthly Deduction'!$H$3:$H$957),0)</f>
        <v>0</v>
      </c>
      <c r="G219" s="123" t="str">
        <f>VLOOKUP(D219,'MPG Payment '!$E$3:$G$333666,3,0)</f>
        <v>MPG</v>
      </c>
      <c r="H219" s="124" t="str">
        <f>VLOOKUP(D219,'MPG Payment '!$E$3:$H$333666,4,0)</f>
        <v>Direct</v>
      </c>
      <c r="I219" s="88">
        <f>INDEX('MPG Payment '!$C:$C,MATCH('Shayak Income '!D219,'MPG Payment '!E:E,0))</f>
        <v>1008</v>
      </c>
      <c r="J219" s="88" t="str">
        <f>INDEX('MPG Payment '!$D:$D,MATCH('Shayak Income '!D219,'MPG Payment '!E:E,0))</f>
        <v>Teghra</v>
      </c>
      <c r="K219" s="125" t="s">
        <v>1594</v>
      </c>
      <c r="L219" s="125">
        <v>45745</v>
      </c>
      <c r="M219" s="126">
        <f>SUMIF('MPG Payment '!$E$3:$E$344841,'Shayak Income '!D219,'MPG Payment '!$I$3:$I$344841)</f>
        <v>2728.6500000000005</v>
      </c>
      <c r="N219" s="126">
        <f>SUMIF('MPG Payment '!$E$3:$E$344841,'Shayak Income '!D219,'MPG Payment '!$J$3:$J$344841)</f>
        <v>96982.84</v>
      </c>
      <c r="O219" s="126">
        <f t="shared" si="63"/>
        <v>2046.4875000000004</v>
      </c>
      <c r="P219" s="126">
        <f t="shared" si="64"/>
        <v>2592.2175000000002</v>
      </c>
      <c r="Q219" s="126">
        <f>SUMIF('MPG Payment '!$E$3:$E$344841,'Shayak Income '!D219,'MPG Payment '!$S$3:$S$344841)</f>
        <v>246.88</v>
      </c>
      <c r="R219" s="126">
        <f t="shared" si="55"/>
        <v>2909.4851999999996</v>
      </c>
      <c r="S219" s="126">
        <f t="shared" si="56"/>
        <v>317.26769999999942</v>
      </c>
      <c r="T219" s="126">
        <f t="shared" si="65"/>
        <v>272.86500000000007</v>
      </c>
      <c r="U219" s="127">
        <f>((((((IF(K219="New",0,SUMIF('MPG Payment '!$E$3:$E$344841,'Shayak Income '!D219,'MPG Payment '!$AC$3:$AC$344841))))+0)+0)+0)+0)+0</f>
        <v>178.16765035999742</v>
      </c>
      <c r="V219" s="127">
        <f t="shared" si="66"/>
        <v>4435</v>
      </c>
      <c r="W219" s="19">
        <f t="shared" si="70"/>
        <v>1939.6568</v>
      </c>
      <c r="X219" s="19">
        <v>0</v>
      </c>
      <c r="Y219" s="128">
        <f>IFERROR(VLOOKUP(D219,'Monthly Deduction'!$M$2:$N$640,2,0),0)</f>
        <v>0</v>
      </c>
      <c r="Z219" s="128">
        <v>0</v>
      </c>
      <c r="AA219" s="126">
        <f>IFERROR(VLOOKUP(D219,'Monthly Deduction'!A:B,2,0),0)</f>
        <v>0</v>
      </c>
      <c r="AB219" s="129">
        <f t="shared" si="57"/>
        <v>2495</v>
      </c>
      <c r="AC219" s="130">
        <v>0</v>
      </c>
      <c r="AD219" s="35">
        <f t="shared" si="67"/>
        <v>2495</v>
      </c>
      <c r="AE219" s="166" t="str">
        <f t="shared" si="68"/>
        <v>Release</v>
      </c>
      <c r="AF219" s="127"/>
      <c r="AG219" s="18">
        <v>0</v>
      </c>
      <c r="AH219" s="132"/>
      <c r="AI219" s="238">
        <v>0</v>
      </c>
      <c r="AJ219" s="132"/>
      <c r="AK219" s="151">
        <v>440.3</v>
      </c>
      <c r="AL219" s="154">
        <f t="shared" si="58"/>
        <v>0</v>
      </c>
      <c r="AM219" s="155"/>
      <c r="AN219" s="19">
        <f t="shared" si="59"/>
        <v>1939.6568</v>
      </c>
      <c r="AO219" s="118">
        <f>SUMIF('MPG Payment '!E:E,'Shayak Income '!D219,'MPG Payment '!AJ:AJ)</f>
        <v>0</v>
      </c>
      <c r="AP219" s="19">
        <f t="shared" si="60"/>
        <v>1939.6568</v>
      </c>
      <c r="AQ219" s="119">
        <f t="shared" si="69"/>
        <v>1939.6568</v>
      </c>
      <c r="AR219" s="91" t="s">
        <v>1144</v>
      </c>
      <c r="AS219" s="91">
        <f t="shared" si="61"/>
        <v>6400</v>
      </c>
      <c r="AT219" s="118"/>
      <c r="AU219" s="118"/>
      <c r="AV219" s="118"/>
    </row>
    <row r="220" spans="1:48" s="20" customFormat="1" x14ac:dyDescent="0.25">
      <c r="A220" s="17">
        <f>IFERROR(VLOOKUP(D220,'Monthly Deduction'!$I$3:$J$957,2,0),0)</f>
        <v>0</v>
      </c>
      <c r="B220" s="17">
        <f>IFERROR(VLOOKUP(D220,'Monthly Deduction'!$E$3:$F$957,2,0),0)</f>
        <v>0</v>
      </c>
      <c r="C220" s="17">
        <f t="shared" si="62"/>
        <v>0</v>
      </c>
      <c r="D220" s="41">
        <v>10080090</v>
      </c>
      <c r="E220" s="122" t="str">
        <f>VLOOKUP(D220,'MPG Payment '!$E$3:$G$497305,2,0)</f>
        <v>Rasalpur - Durgesh Kumar</v>
      </c>
      <c r="F220" s="146">
        <f>IFERROR(_xlfn.XLOOKUP(D220,'Monthly Deduction'!$I$3:$I$957,'Monthly Deduction'!$H$3:$H$957),0)</f>
        <v>0</v>
      </c>
      <c r="G220" s="123" t="str">
        <f>VLOOKUP(D220,'MPG Payment '!$E$3:$G$333666,3,0)</f>
        <v>vlc</v>
      </c>
      <c r="H220" s="124" t="str">
        <f>VLOOKUP(D220,'MPG Payment '!$E$3:$H$333666,4,0)</f>
        <v>Indirect</v>
      </c>
      <c r="I220" s="88">
        <f>INDEX('MPG Payment '!$C:$C,MATCH('Shayak Income '!D220,'MPG Payment '!E:E,0))</f>
        <v>1008</v>
      </c>
      <c r="J220" s="88" t="str">
        <f>INDEX('MPG Payment '!$D:$D,MATCH('Shayak Income '!D220,'MPG Payment '!E:E,0))</f>
        <v>Teghra</v>
      </c>
      <c r="K220" s="125" t="s">
        <v>1594</v>
      </c>
      <c r="L220" s="125">
        <v>45802</v>
      </c>
      <c r="M220" s="126">
        <f>SUMIF('MPG Payment '!$E$3:$E$344841,'Shayak Income '!D220,'MPG Payment '!$I$3:$I$344841)</f>
        <v>920.05</v>
      </c>
      <c r="N220" s="126">
        <f>SUMIF('MPG Payment '!$E$3:$E$344841,'Shayak Income '!D220,'MPG Payment '!$J$3:$J$344841)</f>
        <v>35435.519999999997</v>
      </c>
      <c r="O220" s="126">
        <f t="shared" si="63"/>
        <v>690.03749999999991</v>
      </c>
      <c r="P220" s="126">
        <f t="shared" si="64"/>
        <v>874.0474999999999</v>
      </c>
      <c r="Q220" s="126">
        <f>SUMIF('MPG Payment '!$E$3:$E$344841,'Shayak Income '!D220,'MPG Payment '!$S$3:$S$344841)</f>
        <v>0</v>
      </c>
      <c r="R220" s="126">
        <f t="shared" si="55"/>
        <v>1063.0655999999999</v>
      </c>
      <c r="S220" s="126">
        <f t="shared" si="56"/>
        <v>189.0181</v>
      </c>
      <c r="T220" s="126">
        <f t="shared" si="65"/>
        <v>92.004999999999995</v>
      </c>
      <c r="U220" s="127">
        <f>((((((IF(K220="New",0,SUMIF('MPG Payment '!$E$3:$E$344841,'Shayak Income '!D220,'MPG Payment '!$AC$3:$AC$344841))))+0)+0)+0)+0)+0</f>
        <v>1430.2252771181929</v>
      </c>
      <c r="V220" s="127">
        <f t="shared" si="66"/>
        <v>42</v>
      </c>
      <c r="W220" s="19">
        <f t="shared" si="70"/>
        <v>0</v>
      </c>
      <c r="X220" s="19">
        <f t="shared" si="71"/>
        <v>0</v>
      </c>
      <c r="Y220" s="128">
        <f>IFERROR(VLOOKUP(D220,'Monthly Deduction'!$M$2:$N$640,2,0),0)</f>
        <v>0</v>
      </c>
      <c r="Z220" s="128">
        <v>0</v>
      </c>
      <c r="AA220" s="126">
        <f>IFERROR(VLOOKUP(D220,'Monthly Deduction'!A:B,2,0),0)</f>
        <v>0</v>
      </c>
      <c r="AB220" s="129">
        <f t="shared" si="57"/>
        <v>42</v>
      </c>
      <c r="AC220" s="130">
        <v>0</v>
      </c>
      <c r="AD220" s="35">
        <f t="shared" si="67"/>
        <v>42</v>
      </c>
      <c r="AE220" s="166" t="str">
        <f t="shared" si="68"/>
        <v>Release</v>
      </c>
      <c r="AF220" s="127"/>
      <c r="AG220" s="18">
        <v>0</v>
      </c>
      <c r="AH220" s="120"/>
      <c r="AI220" s="238">
        <v>0</v>
      </c>
      <c r="AJ220" s="132"/>
      <c r="AK220" s="151">
        <v>402.9</v>
      </c>
      <c r="AL220" s="154">
        <f t="shared" si="58"/>
        <v>0</v>
      </c>
      <c r="AM220" s="155"/>
      <c r="AN220" s="19">
        <f t="shared" si="59"/>
        <v>0</v>
      </c>
      <c r="AO220" s="118">
        <f>SUMIF('MPG Payment '!E:E,'Shayak Income '!D220,'MPG Payment '!AJ:AJ)</f>
        <v>0</v>
      </c>
      <c r="AP220" s="19">
        <f t="shared" si="60"/>
        <v>0</v>
      </c>
      <c r="AQ220" s="119">
        <f t="shared" si="69"/>
        <v>0</v>
      </c>
      <c r="AR220" s="91" t="s">
        <v>1144</v>
      </c>
      <c r="AS220" s="91">
        <f t="shared" si="61"/>
        <v>0</v>
      </c>
      <c r="AT220" s="118"/>
      <c r="AU220" s="118"/>
      <c r="AV220" s="118"/>
    </row>
    <row r="221" spans="1:48" s="20" customFormat="1" x14ac:dyDescent="0.25">
      <c r="A221" s="17">
        <f>IFERROR(VLOOKUP(D221,'Monthly Deduction'!$I$3:$J$957,2,0),0)</f>
        <v>94415.560200000007</v>
      </c>
      <c r="B221" s="17">
        <f>IFERROR(VLOOKUP(D221,'Monthly Deduction'!$E$3:$F$957,2,0),0)</f>
        <v>0</v>
      </c>
      <c r="C221" s="17">
        <f t="shared" si="62"/>
        <v>94415.560200000007</v>
      </c>
      <c r="D221" s="41">
        <v>10080093</v>
      </c>
      <c r="E221" s="122" t="str">
        <f>VLOOKUP(D221,'MPG Payment '!$E$3:$G$497305,2,0)</f>
        <v>Barauni Bariyarpur</v>
      </c>
      <c r="F221" s="146">
        <f>IFERROR(_xlfn.XLOOKUP(D221,'Monthly Deduction'!$I$3:$I$957,'Monthly Deduction'!$H$3:$H$957),0)</f>
        <v>0</v>
      </c>
      <c r="G221" s="123" t="str">
        <f>VLOOKUP(D221,'MPG Payment '!$E$3:$G$333666,3,0)</f>
        <v>MPG</v>
      </c>
      <c r="H221" s="124" t="str">
        <f>VLOOKUP(D221,'MPG Payment '!$E$3:$H$333666,4,0)</f>
        <v>Direct</v>
      </c>
      <c r="I221" s="88">
        <f>INDEX('MPG Payment '!$C:$C,MATCH('Shayak Income '!D221,'MPG Payment '!E:E,0))</f>
        <v>1008</v>
      </c>
      <c r="J221" s="88" t="str">
        <f>INDEX('MPG Payment '!$D:$D,MATCH('Shayak Income '!D221,'MPG Payment '!E:E,0))</f>
        <v>Teghra</v>
      </c>
      <c r="K221" s="125" t="s">
        <v>1594</v>
      </c>
      <c r="L221" s="125">
        <v>45809</v>
      </c>
      <c r="M221" s="126">
        <f>SUMIF('MPG Payment '!$E$3:$E$344841,'Shayak Income '!D221,'MPG Payment '!$I$3:$I$344841)</f>
        <v>1515</v>
      </c>
      <c r="N221" s="126">
        <f>SUMIF('MPG Payment '!$E$3:$E$344841,'Shayak Income '!D221,'MPG Payment '!$J$3:$J$344841)</f>
        <v>56287.19</v>
      </c>
      <c r="O221" s="126">
        <f t="shared" si="63"/>
        <v>1136.25</v>
      </c>
      <c r="P221" s="126">
        <f t="shared" si="64"/>
        <v>1439.25</v>
      </c>
      <c r="Q221" s="126">
        <f>SUMIF('MPG Payment '!$E$3:$E$344841,'Shayak Income '!D221,'MPG Payment '!$S$3:$S$344841)</f>
        <v>0</v>
      </c>
      <c r="R221" s="126">
        <f t="shared" si="55"/>
        <v>1688.6157000000001</v>
      </c>
      <c r="S221" s="126">
        <f t="shared" si="56"/>
        <v>249.36570000000006</v>
      </c>
      <c r="T221" s="126">
        <f t="shared" si="65"/>
        <v>151.5</v>
      </c>
      <c r="U221" s="127">
        <f>((((((IF(K221="New",0,SUMIF('MPG Payment '!$E$3:$E$344841,'Shayak Income '!D221,'MPG Payment '!$AC$3:$AC$344841))))+0)+0)+0)+0)+0</f>
        <v>956.43391548889906</v>
      </c>
      <c r="V221" s="127">
        <f t="shared" si="66"/>
        <v>1468</v>
      </c>
      <c r="W221" s="19">
        <v>1468</v>
      </c>
      <c r="X221" s="19">
        <v>0</v>
      </c>
      <c r="Y221" s="128">
        <f>IFERROR(VLOOKUP(D221,'Monthly Deduction'!$M$2:$N$640,2,0),0)</f>
        <v>0</v>
      </c>
      <c r="Z221" s="128">
        <v>0</v>
      </c>
      <c r="AA221" s="126">
        <f>IFERROR(VLOOKUP(D221,'Monthly Deduction'!A:B,2,0),0)</f>
        <v>0</v>
      </c>
      <c r="AB221" s="129">
        <f t="shared" si="57"/>
        <v>0</v>
      </c>
      <c r="AC221" s="130">
        <v>0</v>
      </c>
      <c r="AD221" s="35">
        <f t="shared" si="67"/>
        <v>0</v>
      </c>
      <c r="AE221" s="166" t="str">
        <f t="shared" si="68"/>
        <v>Release</v>
      </c>
      <c r="AF221" s="127"/>
      <c r="AG221" s="18">
        <v>0</v>
      </c>
      <c r="AH221" s="132"/>
      <c r="AI221" s="238">
        <v>0</v>
      </c>
      <c r="AJ221" s="132"/>
      <c r="AK221" s="151">
        <v>343.1</v>
      </c>
      <c r="AL221" s="154">
        <f t="shared" si="58"/>
        <v>0</v>
      </c>
      <c r="AM221" s="155"/>
      <c r="AN221" s="19">
        <f t="shared" si="59"/>
        <v>1861</v>
      </c>
      <c r="AO221" s="118">
        <f>SUMIF('MPG Payment '!E:E,'Shayak Income '!D221,'MPG Payment '!AJ:AJ)</f>
        <v>0</v>
      </c>
      <c r="AP221" s="19">
        <f t="shared" si="60"/>
        <v>1468</v>
      </c>
      <c r="AQ221" s="119">
        <f t="shared" si="69"/>
        <v>1468</v>
      </c>
      <c r="AR221" s="91" t="s">
        <v>1144</v>
      </c>
      <c r="AS221" s="91">
        <f t="shared" si="61"/>
        <v>0</v>
      </c>
      <c r="AT221" s="118"/>
      <c r="AU221" s="118"/>
      <c r="AV221" s="118"/>
    </row>
    <row r="222" spans="1:48" s="20" customFormat="1" x14ac:dyDescent="0.25">
      <c r="A222" s="17">
        <f>IFERROR(VLOOKUP(D222,'Monthly Deduction'!$I$3:$J$957,2,0),0)</f>
        <v>86633</v>
      </c>
      <c r="B222" s="17">
        <f>IFERROR(VLOOKUP(D222,'Monthly Deduction'!$E$3:$F$957,2,0),0)</f>
        <v>3200</v>
      </c>
      <c r="C222" s="17">
        <f t="shared" si="62"/>
        <v>89833</v>
      </c>
      <c r="D222" s="41">
        <v>10080095</v>
      </c>
      <c r="E222" s="122" t="str">
        <f>VLOOKUP(D222,'MPG Payment '!$E$3:$G$497305,2,0)</f>
        <v>Jaynagar</v>
      </c>
      <c r="F222" s="146">
        <f>IFERROR(_xlfn.XLOOKUP(D222,'Monthly Deduction'!$I$3:$I$957,'Monthly Deduction'!$H$3:$H$957),0)</f>
        <v>0</v>
      </c>
      <c r="G222" s="123" t="str">
        <f>VLOOKUP(D222,'MPG Payment '!$E$3:$G$333666,3,0)</f>
        <v>MPG</v>
      </c>
      <c r="H222" s="124" t="str">
        <f>VLOOKUP(D222,'MPG Payment '!$E$3:$H$333666,4,0)</f>
        <v>Direct</v>
      </c>
      <c r="I222" s="88">
        <f>INDEX('MPG Payment '!$C:$C,MATCH('Shayak Income '!D222,'MPG Payment '!E:E,0))</f>
        <v>1008</v>
      </c>
      <c r="J222" s="88" t="str">
        <f>INDEX('MPG Payment '!$D:$D,MATCH('Shayak Income '!D222,'MPG Payment '!E:E,0))</f>
        <v>Teghra</v>
      </c>
      <c r="K222" s="125" t="s">
        <v>1594</v>
      </c>
      <c r="L222" s="125">
        <v>45838</v>
      </c>
      <c r="M222" s="126">
        <f>SUMIF('MPG Payment '!$E$3:$E$344841,'Shayak Income '!D222,'MPG Payment '!$I$3:$I$344841)</f>
        <v>20.399999999999999</v>
      </c>
      <c r="N222" s="126">
        <f>SUMIF('MPG Payment '!$E$3:$E$344841,'Shayak Income '!D222,'MPG Payment '!$J$3:$J$344841)</f>
        <v>724.95</v>
      </c>
      <c r="O222" s="126">
        <f t="shared" si="63"/>
        <v>15.299999999999999</v>
      </c>
      <c r="P222" s="126">
        <f t="shared" si="64"/>
        <v>19.38</v>
      </c>
      <c r="Q222" s="126">
        <f>SUMIF('MPG Payment '!$E$3:$E$344841,'Shayak Income '!D222,'MPG Payment '!$S$3:$S$344841)</f>
        <v>0</v>
      </c>
      <c r="R222" s="126">
        <f t="shared" si="55"/>
        <v>21.7485</v>
      </c>
      <c r="S222" s="126">
        <f t="shared" si="56"/>
        <v>2.3685000000000009</v>
      </c>
      <c r="T222" s="126">
        <f t="shared" si="65"/>
        <v>2.04</v>
      </c>
      <c r="U222" s="127">
        <f>((((((IF(K222="New",0,SUMIF('MPG Payment '!$E$3:$E$344841,'Shayak Income '!D222,'MPG Payment '!$AC$3:$AC$344841))))+0)+0)+0)+0)+-450</f>
        <v>33.015705882353018</v>
      </c>
      <c r="V222" s="127">
        <f t="shared" si="66"/>
        <v>0</v>
      </c>
      <c r="W222" s="19">
        <v>0</v>
      </c>
      <c r="X222" s="19">
        <v>0</v>
      </c>
      <c r="Y222" s="128">
        <v>0</v>
      </c>
      <c r="Z222" s="128">
        <v>0</v>
      </c>
      <c r="AA222" s="126">
        <v>0</v>
      </c>
      <c r="AB222" s="129">
        <f t="shared" si="57"/>
        <v>0</v>
      </c>
      <c r="AC222" s="130">
        <f>AB222</f>
        <v>0</v>
      </c>
      <c r="AD222" s="35">
        <f t="shared" si="67"/>
        <v>0</v>
      </c>
      <c r="AE222" s="166" t="str">
        <f t="shared" si="68"/>
        <v>Release</v>
      </c>
      <c r="AF222" s="127"/>
      <c r="AG222" s="18">
        <v>0</v>
      </c>
      <c r="AH222" s="132" t="s">
        <v>1688</v>
      </c>
      <c r="AI222" s="238">
        <v>7654</v>
      </c>
      <c r="AJ222" s="132"/>
      <c r="AK222" s="151">
        <v>0</v>
      </c>
      <c r="AL222" s="154">
        <f t="shared" si="58"/>
        <v>0</v>
      </c>
      <c r="AM222" s="155"/>
      <c r="AN222" s="19">
        <f t="shared" si="59"/>
        <v>1861</v>
      </c>
      <c r="AO222" s="118">
        <f>SUMIF('MPG Payment '!E:E,'Shayak Income '!D222,'MPG Payment '!AJ:AJ)</f>
        <v>500</v>
      </c>
      <c r="AP222" s="19">
        <f t="shared" si="60"/>
        <v>0</v>
      </c>
      <c r="AQ222" s="119">
        <f t="shared" si="69"/>
        <v>500</v>
      </c>
      <c r="AR222" s="91" t="s">
        <v>1144</v>
      </c>
      <c r="AS222" s="91">
        <f t="shared" si="61"/>
        <v>3200</v>
      </c>
      <c r="AT222" s="118"/>
      <c r="AU222" s="118"/>
      <c r="AV222" s="118"/>
    </row>
    <row r="223" spans="1:48" s="20" customFormat="1" x14ac:dyDescent="0.25">
      <c r="A223" s="17">
        <f>IFERROR(VLOOKUP(D223,'Monthly Deduction'!$I$3:$J$957,2,0),0)</f>
        <v>0</v>
      </c>
      <c r="B223" s="17">
        <f>IFERROR(VLOOKUP(D223,'Monthly Deduction'!$E$3:$F$957,2,0),0)</f>
        <v>0</v>
      </c>
      <c r="C223" s="17">
        <f t="shared" si="62"/>
        <v>0</v>
      </c>
      <c r="D223" s="41">
        <v>10080097</v>
      </c>
      <c r="E223" s="122" t="str">
        <f>VLOOKUP(D223,'MPG Payment '!$E$3:$G$497305,2,0)</f>
        <v>Fateha - Anil Yadav</v>
      </c>
      <c r="F223" s="146">
        <f>IFERROR(_xlfn.XLOOKUP(D223,'Monthly Deduction'!$I$3:$I$957,'Monthly Deduction'!$H$3:$H$957),0)</f>
        <v>0</v>
      </c>
      <c r="G223" s="123" t="str">
        <f>VLOOKUP(D223,'MPG Payment '!$E$3:$G$333666,3,0)</f>
        <v>vlc</v>
      </c>
      <c r="H223" s="124" t="str">
        <f>VLOOKUP(D223,'MPG Payment '!$E$3:$H$333666,4,0)</f>
        <v>Indirect</v>
      </c>
      <c r="I223" s="88">
        <f>INDEX('MPG Payment '!$C:$C,MATCH('Shayak Income '!D223,'MPG Payment '!E:E,0))</f>
        <v>1008</v>
      </c>
      <c r="J223" s="88" t="str">
        <f>INDEX('MPG Payment '!$D:$D,MATCH('Shayak Income '!D223,'MPG Payment '!E:E,0))</f>
        <v>Teghra</v>
      </c>
      <c r="K223" s="125" t="s">
        <v>1594</v>
      </c>
      <c r="L223" s="125">
        <v>45786</v>
      </c>
      <c r="M223" s="126">
        <f>SUMIF('MPG Payment '!$E$3:$E$344841,'Shayak Income '!D223,'MPG Payment '!$I$3:$I$344841)</f>
        <v>1079.3</v>
      </c>
      <c r="N223" s="126">
        <f>SUMIF('MPG Payment '!$E$3:$E$344841,'Shayak Income '!D223,'MPG Payment '!$J$3:$J$344841)</f>
        <v>43470.65</v>
      </c>
      <c r="O223" s="126">
        <f t="shared" si="63"/>
        <v>809.47499999999991</v>
      </c>
      <c r="P223" s="126">
        <f t="shared" si="64"/>
        <v>1025.3349999999998</v>
      </c>
      <c r="Q223" s="126">
        <f>SUMIF('MPG Payment '!$E$3:$E$344841,'Shayak Income '!D223,'MPG Payment '!$S$3:$S$344841)</f>
        <v>0</v>
      </c>
      <c r="R223" s="126">
        <f t="shared" si="55"/>
        <v>1304.1195</v>
      </c>
      <c r="S223" s="126">
        <f t="shared" si="56"/>
        <v>278.78450000000021</v>
      </c>
      <c r="T223" s="126">
        <f t="shared" si="65"/>
        <v>107.93</v>
      </c>
      <c r="U223" s="127">
        <f>((((((IF(K223="New",0,SUMIF('MPG Payment '!$E$3:$E$344841,'Shayak Income '!D223,'MPG Payment '!$AC$3:$AC$344841))))+0)+0)+0)+0)+0</f>
        <v>1359.3307075043685</v>
      </c>
      <c r="V223" s="127">
        <f t="shared" si="66"/>
        <v>368</v>
      </c>
      <c r="W223" s="19">
        <f t="shared" si="70"/>
        <v>0</v>
      </c>
      <c r="X223" s="19">
        <f t="shared" si="71"/>
        <v>0</v>
      </c>
      <c r="Y223" s="128">
        <f>IFERROR(VLOOKUP(D223,'Monthly Deduction'!$M$2:$N$640,2,0),0)</f>
        <v>0</v>
      </c>
      <c r="Z223" s="128">
        <v>0</v>
      </c>
      <c r="AA223" s="126">
        <f>IFERROR(VLOOKUP(D223,'Monthly Deduction'!A:B,2,0),0)</f>
        <v>0</v>
      </c>
      <c r="AB223" s="129">
        <f t="shared" si="57"/>
        <v>368</v>
      </c>
      <c r="AC223" s="130">
        <v>0</v>
      </c>
      <c r="AD223" s="35">
        <f t="shared" si="67"/>
        <v>368</v>
      </c>
      <c r="AE223" s="166" t="str">
        <f t="shared" si="68"/>
        <v>Release</v>
      </c>
      <c r="AF223" s="127"/>
      <c r="AG223" s="18">
        <v>0</v>
      </c>
      <c r="AH223" s="132"/>
      <c r="AI223" s="238">
        <v>0</v>
      </c>
      <c r="AJ223" s="132"/>
      <c r="AK223" s="151">
        <v>100.15</v>
      </c>
      <c r="AL223" s="154">
        <f t="shared" si="58"/>
        <v>0</v>
      </c>
      <c r="AM223" s="155"/>
      <c r="AN223" s="19">
        <f t="shared" si="59"/>
        <v>0</v>
      </c>
      <c r="AO223" s="118">
        <f>SUMIF('MPG Payment '!E:E,'Shayak Income '!D223,'MPG Payment '!AJ:AJ)</f>
        <v>0</v>
      </c>
      <c r="AP223" s="19">
        <f t="shared" si="60"/>
        <v>0</v>
      </c>
      <c r="AQ223" s="119">
        <f t="shared" si="69"/>
        <v>0</v>
      </c>
      <c r="AR223" s="91" t="s">
        <v>1144</v>
      </c>
      <c r="AS223" s="91">
        <f t="shared" si="61"/>
        <v>0</v>
      </c>
      <c r="AT223" s="118"/>
      <c r="AU223" s="118"/>
      <c r="AV223" s="118"/>
    </row>
    <row r="224" spans="1:48" s="20" customFormat="1" x14ac:dyDescent="0.25">
      <c r="A224" s="17">
        <f>IFERROR(VLOOKUP(D224,'Monthly Deduction'!$I$3:$J$957,2,0),0)</f>
        <v>22286.025332013145</v>
      </c>
      <c r="B224" s="17">
        <f>IFERROR(VLOOKUP(D224,'Monthly Deduction'!$E$3:$F$957,2,0),0)</f>
        <v>6400</v>
      </c>
      <c r="C224" s="17">
        <f t="shared" si="62"/>
        <v>28686.025332013145</v>
      </c>
      <c r="D224" s="41">
        <v>10080099</v>
      </c>
      <c r="E224" s="122" t="str">
        <f>VLOOKUP(D224,'MPG Payment '!$E$3:$G$497305,2,0)</f>
        <v>Bihat - Chakballi</v>
      </c>
      <c r="F224" s="146">
        <f>IFERROR(_xlfn.XLOOKUP(D224,'Monthly Deduction'!$I$3:$I$957,'Monthly Deduction'!$H$3:$H$957),0)</f>
        <v>0</v>
      </c>
      <c r="G224" s="123" t="str">
        <f>VLOOKUP(D224,'MPG Payment '!$E$3:$G$333666,3,0)</f>
        <v>MPG</v>
      </c>
      <c r="H224" s="124" t="str">
        <f>VLOOKUP(D224,'MPG Payment '!$E$3:$H$333666,4,0)</f>
        <v>Direct</v>
      </c>
      <c r="I224" s="88">
        <f>INDEX('MPG Payment '!$C:$C,MATCH('Shayak Income '!D224,'MPG Payment '!E:E,0))</f>
        <v>1008</v>
      </c>
      <c r="J224" s="88" t="str">
        <f>INDEX('MPG Payment '!$D:$D,MATCH('Shayak Income '!D224,'MPG Payment '!E:E,0))</f>
        <v>Teghra</v>
      </c>
      <c r="K224" s="125" t="s">
        <v>1594</v>
      </c>
      <c r="L224" s="125">
        <v>45810</v>
      </c>
      <c r="M224" s="126">
        <f>SUMIF('MPG Payment '!$E$3:$E$344841,'Shayak Income '!D224,'MPG Payment '!$I$3:$I$344841)</f>
        <v>1112.8</v>
      </c>
      <c r="N224" s="126">
        <f>SUMIF('MPG Payment '!$E$3:$E$344841,'Shayak Income '!D224,'MPG Payment '!$J$3:$J$344841)</f>
        <v>40146.660000000003</v>
      </c>
      <c r="O224" s="126">
        <f t="shared" si="63"/>
        <v>834.59999999999991</v>
      </c>
      <c r="P224" s="126">
        <f t="shared" si="64"/>
        <v>1057.1599999999999</v>
      </c>
      <c r="Q224" s="126">
        <f>SUMIF('MPG Payment '!$E$3:$E$344841,'Shayak Income '!D224,'MPG Payment '!$S$3:$S$344841)</f>
        <v>0</v>
      </c>
      <c r="R224" s="126">
        <f t="shared" si="55"/>
        <v>1204.3998000000001</v>
      </c>
      <c r="S224" s="126">
        <f t="shared" si="56"/>
        <v>147.23980000000029</v>
      </c>
      <c r="T224" s="126">
        <f t="shared" si="65"/>
        <v>111.28</v>
      </c>
      <c r="U224" s="127">
        <f>((((((IF(K224="New",0,SUMIF('MPG Payment '!$E$3:$E$344841,'Shayak Income '!D224,'MPG Payment '!$AC$3:$AC$344841))))+0)+0)+0)+0)+0</f>
        <v>1261.6506807180976</v>
      </c>
      <c r="V224" s="127">
        <f t="shared" si="66"/>
        <v>519</v>
      </c>
      <c r="W224" s="19">
        <v>519</v>
      </c>
      <c r="X224" s="19">
        <v>0</v>
      </c>
      <c r="Y224" s="128">
        <f>IFERROR(VLOOKUP(D224,'Monthly Deduction'!$M$2:$N$640,2,0),0)</f>
        <v>0</v>
      </c>
      <c r="Z224" s="128">
        <v>0</v>
      </c>
      <c r="AA224" s="126">
        <f>IFERROR(VLOOKUP(D224,'Monthly Deduction'!A:B,2,0),0)</f>
        <v>0</v>
      </c>
      <c r="AB224" s="129">
        <f t="shared" si="57"/>
        <v>0</v>
      </c>
      <c r="AC224" s="130">
        <v>0</v>
      </c>
      <c r="AD224" s="35">
        <f t="shared" si="67"/>
        <v>0</v>
      </c>
      <c r="AE224" s="166" t="str">
        <f t="shared" si="68"/>
        <v>Release</v>
      </c>
      <c r="AF224" s="127"/>
      <c r="AG224" s="18">
        <v>0</v>
      </c>
      <c r="AH224" s="120"/>
      <c r="AI224" s="238">
        <v>0</v>
      </c>
      <c r="AJ224" s="132"/>
      <c r="AK224" s="151">
        <v>45.900000000000006</v>
      </c>
      <c r="AL224" s="154">
        <f t="shared" si="58"/>
        <v>0</v>
      </c>
      <c r="AM224" s="155"/>
      <c r="AN224" s="19">
        <f t="shared" si="59"/>
        <v>1861</v>
      </c>
      <c r="AO224" s="118">
        <f>SUMIF('MPG Payment '!E:E,'Shayak Income '!D224,'MPG Payment '!AJ:AJ)</f>
        <v>0</v>
      </c>
      <c r="AP224" s="19">
        <f t="shared" si="60"/>
        <v>519</v>
      </c>
      <c r="AQ224" s="119">
        <f t="shared" si="69"/>
        <v>519</v>
      </c>
      <c r="AR224" s="91" t="s">
        <v>1144</v>
      </c>
      <c r="AS224" s="91">
        <f t="shared" si="61"/>
        <v>6400</v>
      </c>
      <c r="AT224" s="118"/>
      <c r="AU224" s="118"/>
      <c r="AV224" s="118"/>
    </row>
    <row r="225" spans="1:48" s="20" customFormat="1" x14ac:dyDescent="0.25">
      <c r="A225" s="17">
        <f>IFERROR(VLOOKUP(D225,'Monthly Deduction'!$I$3:$J$957,2,0),0)</f>
        <v>82514.786483630553</v>
      </c>
      <c r="B225" s="17">
        <f>IFERROR(VLOOKUP(D225,'Monthly Deduction'!$E$3:$F$957,2,0),0)</f>
        <v>6400</v>
      </c>
      <c r="C225" s="17">
        <f t="shared" si="62"/>
        <v>88914.786483630553</v>
      </c>
      <c r="D225" s="41">
        <v>10080100</v>
      </c>
      <c r="E225" s="122" t="str">
        <f>VLOOKUP(D225,'MPG Payment '!$E$3:$G$497305,2,0)</f>
        <v>Sibutol- Naya Tola</v>
      </c>
      <c r="F225" s="146">
        <f>IFERROR(_xlfn.XLOOKUP(D225,'Monthly Deduction'!$I$3:$I$957,'Monthly Deduction'!$H$3:$H$957),0)</f>
        <v>0</v>
      </c>
      <c r="G225" s="123" t="str">
        <f>VLOOKUP(D225,'MPG Payment '!$E$3:$G$333666,3,0)</f>
        <v>MPG</v>
      </c>
      <c r="H225" s="124" t="str">
        <f>VLOOKUP(D225,'MPG Payment '!$E$3:$H$333666,4,0)</f>
        <v>Direct</v>
      </c>
      <c r="I225" s="88">
        <f>INDEX('MPG Payment '!$C:$C,MATCH('Shayak Income '!D225,'MPG Payment '!E:E,0))</f>
        <v>1008</v>
      </c>
      <c r="J225" s="88" t="str">
        <f>INDEX('MPG Payment '!$D:$D,MATCH('Shayak Income '!D225,'MPG Payment '!E:E,0))</f>
        <v>Teghra</v>
      </c>
      <c r="K225" s="125" t="s">
        <v>1594</v>
      </c>
      <c r="L225" s="125">
        <v>45843</v>
      </c>
      <c r="M225" s="126">
        <f>SUMIF('MPG Payment '!$E$3:$E$344841,'Shayak Income '!D225,'MPG Payment '!$I$3:$I$344841)</f>
        <v>431.99999999999994</v>
      </c>
      <c r="N225" s="126">
        <f>SUMIF('MPG Payment '!$E$3:$E$344841,'Shayak Income '!D225,'MPG Payment '!$J$3:$J$344841)</f>
        <v>15044.900000000001</v>
      </c>
      <c r="O225" s="126">
        <f t="shared" si="63"/>
        <v>323.99999999999994</v>
      </c>
      <c r="P225" s="126">
        <f t="shared" si="64"/>
        <v>410.39999999999992</v>
      </c>
      <c r="Q225" s="126">
        <f>SUMIF('MPG Payment '!$E$3:$E$344841,'Shayak Income '!D225,'MPG Payment '!$S$3:$S$344841)</f>
        <v>0</v>
      </c>
      <c r="R225" s="126">
        <f t="shared" si="55"/>
        <v>451.34700000000004</v>
      </c>
      <c r="S225" s="126">
        <f t="shared" si="56"/>
        <v>40.947000000000116</v>
      </c>
      <c r="T225" s="126">
        <f t="shared" si="65"/>
        <v>43.199999999999996</v>
      </c>
      <c r="U225" s="127">
        <f>((((((IF(K225="New",0,SUMIF('MPG Payment '!$E$3:$E$344841,'Shayak Income '!D225,'MPG Payment '!$AC$3:$AC$344841))))+0)+0)+0)+0)+-503</f>
        <v>691.14898025323191</v>
      </c>
      <c r="V225" s="127">
        <f t="shared" si="66"/>
        <v>0</v>
      </c>
      <c r="W225" s="19">
        <v>0</v>
      </c>
      <c r="X225" s="19">
        <v>0</v>
      </c>
      <c r="Y225" s="128">
        <v>0</v>
      </c>
      <c r="Z225" s="128">
        <v>0</v>
      </c>
      <c r="AA225" s="126">
        <v>0</v>
      </c>
      <c r="AB225" s="129">
        <f t="shared" si="57"/>
        <v>0</v>
      </c>
      <c r="AC225" s="130">
        <f>AB225</f>
        <v>0</v>
      </c>
      <c r="AD225" s="35">
        <f t="shared" si="67"/>
        <v>0</v>
      </c>
      <c r="AE225" s="166" t="str">
        <f t="shared" si="68"/>
        <v>Release</v>
      </c>
      <c r="AF225" s="127"/>
      <c r="AG225" s="18">
        <v>0</v>
      </c>
      <c r="AH225" s="132" t="s">
        <v>1597</v>
      </c>
      <c r="AI225" s="238">
        <v>0</v>
      </c>
      <c r="AJ225" s="132"/>
      <c r="AK225" s="151">
        <v>0</v>
      </c>
      <c r="AL225" s="154">
        <f t="shared" si="58"/>
        <v>0</v>
      </c>
      <c r="AM225" s="155"/>
      <c r="AN225" s="19">
        <f t="shared" si="59"/>
        <v>1861</v>
      </c>
      <c r="AO225" s="118">
        <f>SUMIF('MPG Payment '!E:E,'Shayak Income '!D225,'MPG Payment '!AJ:AJ)</f>
        <v>1500</v>
      </c>
      <c r="AP225" s="19">
        <f t="shared" si="60"/>
        <v>0</v>
      </c>
      <c r="AQ225" s="119">
        <f t="shared" si="69"/>
        <v>1500</v>
      </c>
      <c r="AR225" s="91"/>
      <c r="AS225" s="91">
        <f t="shared" si="61"/>
        <v>6400</v>
      </c>
      <c r="AT225" s="118"/>
      <c r="AU225" s="118"/>
      <c r="AV225" s="118"/>
    </row>
    <row r="226" spans="1:48" s="20" customFormat="1" x14ac:dyDescent="0.25">
      <c r="A226" s="17">
        <f>IFERROR(VLOOKUP(D226,'Monthly Deduction'!$I$3:$J$957,2,0),0)</f>
        <v>0</v>
      </c>
      <c r="B226" s="17">
        <f>IFERROR(VLOOKUP(D226,'Monthly Deduction'!$E$3:$F$957,2,0),0)</f>
        <v>0</v>
      </c>
      <c r="C226" s="17">
        <f t="shared" si="62"/>
        <v>0</v>
      </c>
      <c r="D226" s="41">
        <v>10080107</v>
      </c>
      <c r="E226" s="122" t="str">
        <f>VLOOKUP(D226,'MPG Payment '!$E$3:$G$497305,2,0)</f>
        <v>Rasalpur</v>
      </c>
      <c r="F226" s="146">
        <f>IFERROR(_xlfn.XLOOKUP(D226,'Monthly Deduction'!$I$3:$I$957,'Monthly Deduction'!$H$3:$H$957),0)</f>
        <v>0</v>
      </c>
      <c r="G226" s="123" t="str">
        <f>VLOOKUP(D226,'MPG Payment '!$E$3:$G$333666,3,0)</f>
        <v>vlc</v>
      </c>
      <c r="H226" s="124" t="str">
        <f>VLOOKUP(D226,'MPG Payment '!$E$3:$H$333666,4,0)</f>
        <v>Indirect</v>
      </c>
      <c r="I226" s="88">
        <f>INDEX('MPG Payment '!$C:$C,MATCH('Shayak Income '!D226,'MPG Payment '!E:E,0))</f>
        <v>1008</v>
      </c>
      <c r="J226" s="88" t="str">
        <f>INDEX('MPG Payment '!$D:$D,MATCH('Shayak Income '!D226,'MPG Payment '!E:E,0))</f>
        <v>Teghra</v>
      </c>
      <c r="K226" s="125" t="s">
        <v>1594</v>
      </c>
      <c r="L226" s="125">
        <v>45870</v>
      </c>
      <c r="M226" s="126">
        <f>SUMIF('MPG Payment '!$E$3:$E$344841,'Shayak Income '!D226,'MPG Payment '!$I$3:$I$344841)</f>
        <v>4434.1000000000004</v>
      </c>
      <c r="N226" s="126">
        <f>SUMIF('MPG Payment '!$E$3:$E$344841,'Shayak Income '!D226,'MPG Payment '!$J$3:$J$344841)</f>
        <v>163188.56</v>
      </c>
      <c r="O226" s="126">
        <f t="shared" si="63"/>
        <v>3325.5750000000003</v>
      </c>
      <c r="P226" s="126">
        <f t="shared" si="64"/>
        <v>4212.3950000000004</v>
      </c>
      <c r="Q226" s="126">
        <f>SUMIF('MPG Payment '!$E$3:$E$344841,'Shayak Income '!D226,'MPG Payment '!$S$3:$S$344841)</f>
        <v>0</v>
      </c>
      <c r="R226" s="126">
        <f t="shared" si="55"/>
        <v>4895.6567999999997</v>
      </c>
      <c r="S226" s="126">
        <f t="shared" si="56"/>
        <v>683.26179999999931</v>
      </c>
      <c r="T226" s="126">
        <f t="shared" si="65"/>
        <v>443.41000000000008</v>
      </c>
      <c r="U226" s="127">
        <f>((((((IF(K226="New",0,SUMIF('MPG Payment '!$E$3:$E$344841,'Shayak Income '!D226,'MPG Payment '!$AC$3:$AC$344841))))+0)+0)+0)+0)+0</f>
        <v>0</v>
      </c>
      <c r="V226" s="127">
        <f t="shared" si="66"/>
        <v>7095</v>
      </c>
      <c r="W226" s="19">
        <f t="shared" si="70"/>
        <v>0</v>
      </c>
      <c r="X226" s="19">
        <f t="shared" si="71"/>
        <v>0</v>
      </c>
      <c r="Y226" s="128">
        <f>IFERROR(VLOOKUP(D226,'Monthly Deduction'!$M$2:$N$640,2,0),0)</f>
        <v>0</v>
      </c>
      <c r="Z226" s="128">
        <v>0</v>
      </c>
      <c r="AA226" s="126">
        <f>IFERROR(VLOOKUP(D226,'Monthly Deduction'!A:B,2,0),0)</f>
        <v>0</v>
      </c>
      <c r="AB226" s="129">
        <f t="shared" si="57"/>
        <v>7095</v>
      </c>
      <c r="AC226" s="130">
        <v>0</v>
      </c>
      <c r="AD226" s="35">
        <f t="shared" si="67"/>
        <v>7095</v>
      </c>
      <c r="AE226" s="166" t="str">
        <f t="shared" si="68"/>
        <v>Release</v>
      </c>
      <c r="AF226" s="127"/>
      <c r="AG226" s="18">
        <v>0</v>
      </c>
      <c r="AH226" s="120"/>
      <c r="AI226" s="238">
        <v>0</v>
      </c>
      <c r="AJ226" s="132"/>
      <c r="AK226" s="151">
        <v>911.05000000000007</v>
      </c>
      <c r="AL226" s="154">
        <f t="shared" si="58"/>
        <v>0</v>
      </c>
      <c r="AM226" s="155"/>
      <c r="AN226" s="19">
        <f t="shared" si="59"/>
        <v>0</v>
      </c>
      <c r="AO226" s="118">
        <f>SUMIF('MPG Payment '!E:E,'Shayak Income '!D226,'MPG Payment '!AJ:AJ)</f>
        <v>0</v>
      </c>
      <c r="AP226" s="19">
        <f t="shared" si="60"/>
        <v>0</v>
      </c>
      <c r="AQ226" s="119">
        <f t="shared" si="69"/>
        <v>0</v>
      </c>
      <c r="AR226" s="91" t="s">
        <v>1144</v>
      </c>
      <c r="AS226" s="91">
        <f t="shared" si="61"/>
        <v>0</v>
      </c>
      <c r="AT226" s="118"/>
      <c r="AU226" s="118"/>
      <c r="AV226" s="118"/>
    </row>
    <row r="227" spans="1:48" s="20" customFormat="1" x14ac:dyDescent="0.25">
      <c r="A227" s="17">
        <f>IFERROR(VLOOKUP(D227,'Monthly Deduction'!$I$3:$J$957,2,0),0)</f>
        <v>0</v>
      </c>
      <c r="B227" s="17">
        <f>IFERROR(VLOOKUP(D227,'Monthly Deduction'!$E$3:$F$957,2,0),0)</f>
        <v>0</v>
      </c>
      <c r="C227" s="17">
        <f t="shared" si="62"/>
        <v>0</v>
      </c>
      <c r="D227" s="41">
        <v>10090001</v>
      </c>
      <c r="E227" s="122" t="str">
        <f>VLOOKUP(D227,'MPG Payment '!$E$3:$G$497305,2,0)</f>
        <v>POHE</v>
      </c>
      <c r="F227" s="146">
        <f>IFERROR(_xlfn.XLOOKUP(D227,'Monthly Deduction'!$I$3:$I$957,'Monthly Deduction'!$H$3:$H$957),0)</f>
        <v>0</v>
      </c>
      <c r="G227" s="123" t="str">
        <f>VLOOKUP(D227,'MPG Payment '!$E$3:$G$333666,3,0)</f>
        <v>vlc</v>
      </c>
      <c r="H227" s="124" t="str">
        <f>VLOOKUP(D227,'MPG Payment '!$E$3:$H$333666,4,0)</f>
        <v>Indirect</v>
      </c>
      <c r="I227" s="88">
        <f>INDEX('MPG Payment '!$C:$C,MATCH('Shayak Income '!D227,'MPG Payment '!E:E,0))</f>
        <v>1009</v>
      </c>
      <c r="J227" s="88" t="str">
        <f>INDEX('MPG Payment '!$D:$D,MATCH('Shayak Income '!D227,'MPG Payment '!E:E,0))</f>
        <v>Halsi</v>
      </c>
      <c r="K227" s="125" t="s">
        <v>1594</v>
      </c>
      <c r="L227" s="125">
        <v>42979</v>
      </c>
      <c r="M227" s="126">
        <f>SUMIF('MPG Payment '!$E$3:$E$344841,'Shayak Income '!D227,'MPG Payment '!$I$3:$I$344841)</f>
        <v>2552.5</v>
      </c>
      <c r="N227" s="126">
        <f>SUMIF('MPG Payment '!$E$3:$E$344841,'Shayak Income '!D227,'MPG Payment '!$J$3:$J$344841)</f>
        <v>110043.01999999999</v>
      </c>
      <c r="O227" s="126">
        <f t="shared" si="63"/>
        <v>1914.375</v>
      </c>
      <c r="P227" s="126">
        <f t="shared" si="64"/>
        <v>2424.875</v>
      </c>
      <c r="Q227" s="126">
        <f>SUMIF('MPG Payment '!$E$3:$E$344841,'Shayak Income '!D227,'MPG Payment '!$S$3:$S$344841)</f>
        <v>0</v>
      </c>
      <c r="R227" s="126">
        <f t="shared" si="55"/>
        <v>3301.2905999999994</v>
      </c>
      <c r="S227" s="126">
        <f t="shared" si="56"/>
        <v>876.41559999999936</v>
      </c>
      <c r="T227" s="126">
        <f t="shared" si="65"/>
        <v>255.25</v>
      </c>
      <c r="U227" s="127">
        <f>((((((IF(K227="New",0,SUMIF('MPG Payment '!$E$3:$E$344841,'Shayak Income '!D227,'MPG Payment '!$AC$3:$AC$344841))))+0)+0)+0)+0)+0</f>
        <v>247.65065764374953</v>
      </c>
      <c r="V227" s="127">
        <f t="shared" si="66"/>
        <v>3836</v>
      </c>
      <c r="W227" s="19">
        <f t="shared" si="70"/>
        <v>0</v>
      </c>
      <c r="X227" s="19">
        <f t="shared" si="71"/>
        <v>0</v>
      </c>
      <c r="Y227" s="128">
        <f>IFERROR(VLOOKUP(D227,'Monthly Deduction'!$M$2:$N$640,2,0),0)</f>
        <v>0</v>
      </c>
      <c r="Z227" s="128">
        <v>0</v>
      </c>
      <c r="AA227" s="126">
        <f>IFERROR(VLOOKUP(D227,'Monthly Deduction'!A:B,2,0),0)</f>
        <v>0</v>
      </c>
      <c r="AB227" s="129">
        <f t="shared" si="57"/>
        <v>3836</v>
      </c>
      <c r="AC227" s="130">
        <v>0</v>
      </c>
      <c r="AD227" s="35">
        <f t="shared" si="67"/>
        <v>3836</v>
      </c>
      <c r="AE227" s="166" t="str">
        <f t="shared" si="68"/>
        <v>Release</v>
      </c>
      <c r="AF227" s="127"/>
      <c r="AG227" s="18">
        <v>0</v>
      </c>
      <c r="AH227" s="120"/>
      <c r="AI227" s="238">
        <v>0</v>
      </c>
      <c r="AJ227" s="132"/>
      <c r="AK227" s="151">
        <v>437</v>
      </c>
      <c r="AL227" s="154">
        <f t="shared" si="58"/>
        <v>0</v>
      </c>
      <c r="AM227" s="155"/>
      <c r="AN227" s="19">
        <f t="shared" si="59"/>
        <v>0</v>
      </c>
      <c r="AO227" s="118">
        <f>SUMIF('MPG Payment '!E:E,'Shayak Income '!D227,'MPG Payment '!AJ:AJ)</f>
        <v>0</v>
      </c>
      <c r="AP227" s="19">
        <f t="shared" si="60"/>
        <v>0</v>
      </c>
      <c r="AQ227" s="119">
        <f t="shared" si="69"/>
        <v>0</v>
      </c>
      <c r="AR227" s="91" t="s">
        <v>1144</v>
      </c>
      <c r="AS227" s="91">
        <f t="shared" si="61"/>
        <v>0</v>
      </c>
      <c r="AT227" s="118"/>
      <c r="AU227" s="118"/>
      <c r="AV227" s="118"/>
    </row>
    <row r="228" spans="1:48" s="20" customFormat="1" x14ac:dyDescent="0.25">
      <c r="A228" s="17">
        <f>IFERROR(VLOOKUP(D228,'Monthly Deduction'!$I$3:$J$957,2,0),0)</f>
        <v>0</v>
      </c>
      <c r="B228" s="17">
        <f>IFERROR(VLOOKUP(D228,'Monthly Deduction'!$E$3:$F$957,2,0),0)</f>
        <v>0</v>
      </c>
      <c r="C228" s="17">
        <f t="shared" si="62"/>
        <v>0</v>
      </c>
      <c r="D228" s="41">
        <v>10090002</v>
      </c>
      <c r="E228" s="122" t="str">
        <f>VLOOKUP(D228,'MPG Payment '!$E$3:$G$497305,2,0)</f>
        <v>AURO</v>
      </c>
      <c r="F228" s="146">
        <f>IFERROR(_xlfn.XLOOKUP(D228,'Monthly Deduction'!$I$3:$I$957,'Monthly Deduction'!$H$3:$H$957),0)</f>
        <v>0</v>
      </c>
      <c r="G228" s="123" t="str">
        <f>VLOOKUP(D228,'MPG Payment '!$E$3:$G$333666,3,0)</f>
        <v>MPG</v>
      </c>
      <c r="H228" s="124" t="str">
        <f>VLOOKUP(D228,'MPG Payment '!$E$3:$H$333666,4,0)</f>
        <v>Direct</v>
      </c>
      <c r="I228" s="88">
        <f>INDEX('MPG Payment '!$C:$C,MATCH('Shayak Income '!D228,'MPG Payment '!E:E,0))</f>
        <v>1009</v>
      </c>
      <c r="J228" s="88" t="str">
        <f>INDEX('MPG Payment '!$D:$D,MATCH('Shayak Income '!D228,'MPG Payment '!E:E,0))</f>
        <v>Halsi</v>
      </c>
      <c r="K228" s="125" t="s">
        <v>1594</v>
      </c>
      <c r="L228" s="125">
        <v>42979</v>
      </c>
      <c r="M228" s="126">
        <f>SUMIF('MPG Payment '!$E$3:$E$344841,'Shayak Income '!D228,'MPG Payment '!$I$3:$I$344841)</f>
        <v>5868.7</v>
      </c>
      <c r="N228" s="126">
        <f>SUMIF('MPG Payment '!$E$3:$E$344841,'Shayak Income '!D228,'MPG Payment '!$J$3:$J$344841)</f>
        <v>254519.63</v>
      </c>
      <c r="O228" s="126">
        <f t="shared" si="63"/>
        <v>4401.5249999999996</v>
      </c>
      <c r="P228" s="126">
        <f t="shared" si="64"/>
        <v>5575.2649999999994</v>
      </c>
      <c r="Q228" s="126">
        <f>SUMIF('MPG Payment '!$E$3:$E$344841,'Shayak Income '!D228,'MPG Payment '!$S$3:$S$344841)</f>
        <v>1575.18</v>
      </c>
      <c r="R228" s="126">
        <f t="shared" si="55"/>
        <v>7635.5888999999997</v>
      </c>
      <c r="S228" s="126">
        <f t="shared" si="56"/>
        <v>2060.3239000000003</v>
      </c>
      <c r="T228" s="126">
        <f t="shared" si="65"/>
        <v>586.87</v>
      </c>
      <c r="U228" s="127">
        <f>((((((IF(K228="New",0,SUMIF('MPG Payment '!$E$3:$E$344841,'Shayak Income '!D228,'MPG Payment '!$AC$3:$AC$344841))))+0)+0)+0)+0)+0</f>
        <v>0</v>
      </c>
      <c r="V228" s="127">
        <f t="shared" si="66"/>
        <v>10965</v>
      </c>
      <c r="W228" s="19">
        <f t="shared" si="70"/>
        <v>0</v>
      </c>
      <c r="X228" s="19">
        <f t="shared" si="71"/>
        <v>0</v>
      </c>
      <c r="Y228" s="128">
        <f>IFERROR(VLOOKUP(D228,'Monthly Deduction'!$M$2:$N$640,2,0),0)</f>
        <v>0</v>
      </c>
      <c r="Z228" s="128">
        <v>0</v>
      </c>
      <c r="AA228" s="126">
        <f>IFERROR(VLOOKUP(D228,'Monthly Deduction'!A:B,2,0),0)</f>
        <v>348.52</v>
      </c>
      <c r="AB228" s="129">
        <f t="shared" si="57"/>
        <v>10616</v>
      </c>
      <c r="AC228" s="130">
        <v>0</v>
      </c>
      <c r="AD228" s="35">
        <f t="shared" si="67"/>
        <v>10616</v>
      </c>
      <c r="AE228" s="166" t="str">
        <f t="shared" si="68"/>
        <v>Release</v>
      </c>
      <c r="AF228" s="127"/>
      <c r="AG228" s="18">
        <v>0</v>
      </c>
      <c r="AH228" s="132"/>
      <c r="AI228" s="238">
        <v>0</v>
      </c>
      <c r="AJ228" s="132"/>
      <c r="AK228" s="151">
        <v>1069.1999999999998</v>
      </c>
      <c r="AL228" s="154">
        <f t="shared" si="58"/>
        <v>0</v>
      </c>
      <c r="AM228" s="155"/>
      <c r="AN228" s="19">
        <f t="shared" si="59"/>
        <v>0</v>
      </c>
      <c r="AO228" s="118">
        <f>SUMIF('MPG Payment '!E:E,'Shayak Income '!D228,'MPG Payment '!AJ:AJ)</f>
        <v>0</v>
      </c>
      <c r="AP228" s="19">
        <f t="shared" si="60"/>
        <v>0</v>
      </c>
      <c r="AQ228" s="119">
        <f t="shared" si="69"/>
        <v>0</v>
      </c>
      <c r="AR228" s="91" t="s">
        <v>1144</v>
      </c>
      <c r="AS228" s="91">
        <f t="shared" si="61"/>
        <v>0</v>
      </c>
      <c r="AT228" s="118"/>
      <c r="AU228" s="118"/>
      <c r="AV228" s="118"/>
    </row>
    <row r="229" spans="1:48" s="20" customFormat="1" x14ac:dyDescent="0.25">
      <c r="A229" s="17">
        <f>IFERROR(VLOOKUP(D229,'Monthly Deduction'!$I$3:$J$957,2,0),0)</f>
        <v>0</v>
      </c>
      <c r="B229" s="17">
        <f>IFERROR(VLOOKUP(D229,'Monthly Deduction'!$E$3:$F$957,2,0),0)</f>
        <v>0</v>
      </c>
      <c r="C229" s="17">
        <f t="shared" si="62"/>
        <v>0</v>
      </c>
      <c r="D229" s="41">
        <v>10090003</v>
      </c>
      <c r="E229" s="122" t="str">
        <f>VLOOKUP(D229,'MPG Payment '!$E$3:$G$497305,2,0)</f>
        <v>PARSHAMA</v>
      </c>
      <c r="F229" s="146">
        <f>IFERROR(_xlfn.XLOOKUP(D229,'Monthly Deduction'!$I$3:$I$957,'Monthly Deduction'!$H$3:$H$957),0)</f>
        <v>0</v>
      </c>
      <c r="G229" s="123" t="str">
        <f>VLOOKUP(D229,'MPG Payment '!$E$3:$G$333666,3,0)</f>
        <v>MPG</v>
      </c>
      <c r="H229" s="124" t="str">
        <f>VLOOKUP(D229,'MPG Payment '!$E$3:$H$333666,4,0)</f>
        <v>Direct</v>
      </c>
      <c r="I229" s="88">
        <f>INDEX('MPG Payment '!$C:$C,MATCH('Shayak Income '!D229,'MPG Payment '!E:E,0))</f>
        <v>1009</v>
      </c>
      <c r="J229" s="88" t="str">
        <f>INDEX('MPG Payment '!$D:$D,MATCH('Shayak Income '!D229,'MPG Payment '!E:E,0))</f>
        <v>Halsi</v>
      </c>
      <c r="K229" s="125" t="s">
        <v>1594</v>
      </c>
      <c r="L229" s="125">
        <v>42979</v>
      </c>
      <c r="M229" s="126">
        <f>SUMIF('MPG Payment '!$E$3:$E$344841,'Shayak Income '!D229,'MPG Payment '!$I$3:$I$344841)</f>
        <v>229.79999999999998</v>
      </c>
      <c r="N229" s="126">
        <f>SUMIF('MPG Payment '!$E$3:$E$344841,'Shayak Income '!D229,'MPG Payment '!$J$3:$J$344841)</f>
        <v>8061.45</v>
      </c>
      <c r="O229" s="126">
        <f t="shared" si="63"/>
        <v>172.35</v>
      </c>
      <c r="P229" s="126">
        <f t="shared" si="64"/>
        <v>218.30999999999997</v>
      </c>
      <c r="Q229" s="126">
        <f>SUMIF('MPG Payment '!$E$3:$E$344841,'Shayak Income '!D229,'MPG Payment '!$S$3:$S$344841)</f>
        <v>81.5</v>
      </c>
      <c r="R229" s="126">
        <f t="shared" si="55"/>
        <v>241.84349999999998</v>
      </c>
      <c r="S229" s="126">
        <f t="shared" si="56"/>
        <v>23.533500000000004</v>
      </c>
      <c r="T229" s="126">
        <f t="shared" si="65"/>
        <v>22.98</v>
      </c>
      <c r="U229" s="127">
        <f>((((((IF(K229="New",0,SUMIF('MPG Payment '!$E$3:$E$344841,'Shayak Income '!D229,'MPG Payment '!$AC$3:$AC$344841))))+0)+0)+0)+0)+-1345</f>
        <v>449.31229081506967</v>
      </c>
      <c r="V229" s="127">
        <f t="shared" si="66"/>
        <v>0</v>
      </c>
      <c r="W229" s="19">
        <v>0</v>
      </c>
      <c r="X229" s="19">
        <v>0</v>
      </c>
      <c r="Y229" s="128">
        <v>0</v>
      </c>
      <c r="Z229" s="128">
        <v>0</v>
      </c>
      <c r="AA229" s="126">
        <v>0</v>
      </c>
      <c r="AB229" s="129">
        <f t="shared" si="57"/>
        <v>0</v>
      </c>
      <c r="AC229" s="130">
        <v>0</v>
      </c>
      <c r="AD229" s="35">
        <f t="shared" si="67"/>
        <v>0</v>
      </c>
      <c r="AE229" s="166" t="str">
        <f t="shared" si="68"/>
        <v>Release</v>
      </c>
      <c r="AF229" s="127"/>
      <c r="AG229" s="18">
        <v>0</v>
      </c>
      <c r="AH229" s="132"/>
      <c r="AI229" s="238">
        <v>0</v>
      </c>
      <c r="AJ229" s="132"/>
      <c r="AK229" s="151">
        <v>45.500000000000007</v>
      </c>
      <c r="AL229" s="154">
        <f t="shared" si="58"/>
        <v>0</v>
      </c>
      <c r="AM229" s="155"/>
      <c r="AN229" s="19">
        <f t="shared" si="59"/>
        <v>0</v>
      </c>
      <c r="AO229" s="118">
        <f>SUMIF('MPG Payment '!E:E,'Shayak Income '!D229,'MPG Payment '!AJ:AJ)</f>
        <v>0</v>
      </c>
      <c r="AP229" s="19">
        <f t="shared" si="60"/>
        <v>0</v>
      </c>
      <c r="AQ229" s="119">
        <f t="shared" si="69"/>
        <v>0</v>
      </c>
      <c r="AR229" s="91" t="s">
        <v>1144</v>
      </c>
      <c r="AS229" s="91">
        <f t="shared" si="61"/>
        <v>0</v>
      </c>
      <c r="AT229" s="118"/>
      <c r="AU229" s="118"/>
      <c r="AV229" s="118"/>
    </row>
    <row r="230" spans="1:48" s="20" customFormat="1" x14ac:dyDescent="0.25">
      <c r="A230" s="17">
        <f>IFERROR(VLOOKUP(D230,'Monthly Deduction'!$I$3:$J$957,2,0),0)</f>
        <v>0</v>
      </c>
      <c r="B230" s="17">
        <f>IFERROR(VLOOKUP(D230,'Monthly Deduction'!$E$3:$F$957,2,0),0)</f>
        <v>0</v>
      </c>
      <c r="C230" s="17">
        <f t="shared" si="62"/>
        <v>0</v>
      </c>
      <c r="D230" s="41">
        <v>10090005</v>
      </c>
      <c r="E230" s="122" t="str">
        <f>VLOOKUP(D230,'MPG Payment '!$E$3:$G$497305,2,0)</f>
        <v>PRATAPUR 2</v>
      </c>
      <c r="F230" s="146">
        <f>IFERROR(_xlfn.XLOOKUP(D230,'Monthly Deduction'!$I$3:$I$957,'Monthly Deduction'!$H$3:$H$957),0)</f>
        <v>0</v>
      </c>
      <c r="G230" s="123" t="str">
        <f>VLOOKUP(D230,'MPG Payment '!$E$3:$G$333666,3,0)</f>
        <v>vlc</v>
      </c>
      <c r="H230" s="124" t="str">
        <f>VLOOKUP(D230,'MPG Payment '!$E$3:$H$333666,4,0)</f>
        <v>Indirect</v>
      </c>
      <c r="I230" s="88">
        <f>INDEX('MPG Payment '!$C:$C,MATCH('Shayak Income '!D230,'MPG Payment '!E:E,0))</f>
        <v>1009</v>
      </c>
      <c r="J230" s="88" t="str">
        <f>INDEX('MPG Payment '!$D:$D,MATCH('Shayak Income '!D230,'MPG Payment '!E:E,0))</f>
        <v>Halsi</v>
      </c>
      <c r="K230" s="125" t="s">
        <v>1594</v>
      </c>
      <c r="L230" s="125">
        <v>42979</v>
      </c>
      <c r="M230" s="126">
        <f>SUMIF('MPG Payment '!$E$3:$E$344841,'Shayak Income '!D230,'MPG Payment '!$I$3:$I$344841)</f>
        <v>398.70000000000005</v>
      </c>
      <c r="N230" s="126">
        <f>SUMIF('MPG Payment '!$E$3:$E$344841,'Shayak Income '!D230,'MPG Payment '!$J$3:$J$344841)</f>
        <v>17512.129999999997</v>
      </c>
      <c r="O230" s="126">
        <f t="shared" si="63"/>
        <v>299.02500000000003</v>
      </c>
      <c r="P230" s="126">
        <f t="shared" si="64"/>
        <v>378.76500000000004</v>
      </c>
      <c r="Q230" s="126">
        <f>SUMIF('MPG Payment '!$E$3:$E$344841,'Shayak Income '!D230,'MPG Payment '!$S$3:$S$344841)</f>
        <v>0</v>
      </c>
      <c r="R230" s="126">
        <f t="shared" si="55"/>
        <v>525.36389999999994</v>
      </c>
      <c r="S230" s="126">
        <f t="shared" si="56"/>
        <v>146.5988999999999</v>
      </c>
      <c r="T230" s="126">
        <f t="shared" si="65"/>
        <v>39.870000000000005</v>
      </c>
      <c r="U230" s="127">
        <f>((((((IF(K230="New",0,SUMIF('MPG Payment '!$E$3:$E$344841,'Shayak Income '!D230,'MPG Payment '!$AC$3:$AC$344841))))+0)+0)+0)+0)+-840</f>
        <v>637.76655233297788</v>
      </c>
      <c r="V230" s="127">
        <f t="shared" si="66"/>
        <v>0</v>
      </c>
      <c r="W230" s="19">
        <v>0</v>
      </c>
      <c r="X230" s="19">
        <v>0</v>
      </c>
      <c r="Y230" s="128">
        <v>0</v>
      </c>
      <c r="Z230" s="128">
        <v>0</v>
      </c>
      <c r="AA230" s="126">
        <v>0</v>
      </c>
      <c r="AB230" s="129">
        <f t="shared" si="57"/>
        <v>0</v>
      </c>
      <c r="AC230" s="130">
        <f>AB230</f>
        <v>0</v>
      </c>
      <c r="AD230" s="35">
        <f t="shared" si="67"/>
        <v>0</v>
      </c>
      <c r="AE230" s="166" t="str">
        <f t="shared" si="68"/>
        <v>Release</v>
      </c>
      <c r="AF230" s="127"/>
      <c r="AG230" s="18">
        <v>0</v>
      </c>
      <c r="AH230" s="132" t="s">
        <v>1597</v>
      </c>
      <c r="AI230" s="238">
        <v>0</v>
      </c>
      <c r="AJ230" s="132"/>
      <c r="AK230" s="151">
        <v>0</v>
      </c>
      <c r="AL230" s="154">
        <f t="shared" si="58"/>
        <v>0</v>
      </c>
      <c r="AM230" s="155"/>
      <c r="AN230" s="19">
        <f t="shared" si="59"/>
        <v>0</v>
      </c>
      <c r="AO230" s="118">
        <f>SUMIF('MPG Payment '!E:E,'Shayak Income '!D230,'MPG Payment '!AJ:AJ)</f>
        <v>0</v>
      </c>
      <c r="AP230" s="19">
        <f t="shared" si="60"/>
        <v>0</v>
      </c>
      <c r="AQ230" s="119">
        <f t="shared" si="69"/>
        <v>0</v>
      </c>
      <c r="AR230" s="91"/>
      <c r="AS230" s="91">
        <f t="shared" si="61"/>
        <v>0</v>
      </c>
      <c r="AT230" s="118"/>
      <c r="AU230" s="118"/>
      <c r="AV230" s="118"/>
    </row>
    <row r="231" spans="1:48" s="20" customFormat="1" x14ac:dyDescent="0.25">
      <c r="A231" s="17">
        <f>IFERROR(VLOOKUP(D231,'Monthly Deduction'!$I$3:$J$957,2,0),0)</f>
        <v>0</v>
      </c>
      <c r="B231" s="17">
        <f>IFERROR(VLOOKUP(D231,'Monthly Deduction'!$E$3:$F$957,2,0),0)</f>
        <v>0</v>
      </c>
      <c r="C231" s="17">
        <f t="shared" si="62"/>
        <v>0</v>
      </c>
      <c r="D231" s="41">
        <v>10090006</v>
      </c>
      <c r="E231" s="122" t="str">
        <f>VLOOKUP(D231,'MPG Payment '!$E$3:$G$497305,2,0)</f>
        <v>BALLOPUR</v>
      </c>
      <c r="F231" s="146">
        <f>IFERROR(_xlfn.XLOOKUP(D231,'Monthly Deduction'!$I$3:$I$957,'Monthly Deduction'!$H$3:$H$957),0)</f>
        <v>0</v>
      </c>
      <c r="G231" s="123" t="str">
        <f>VLOOKUP(D231,'MPG Payment '!$E$3:$G$333666,3,0)</f>
        <v>MPG</v>
      </c>
      <c r="H231" s="124" t="str">
        <f>VLOOKUP(D231,'MPG Payment '!$E$3:$H$333666,4,0)</f>
        <v>Direct</v>
      </c>
      <c r="I231" s="88">
        <f>INDEX('MPG Payment '!$C:$C,MATCH('Shayak Income '!D231,'MPG Payment '!E:E,0))</f>
        <v>1009</v>
      </c>
      <c r="J231" s="88" t="str">
        <f>INDEX('MPG Payment '!$D:$D,MATCH('Shayak Income '!D231,'MPG Payment '!E:E,0))</f>
        <v>Halsi</v>
      </c>
      <c r="K231" s="125" t="s">
        <v>1594</v>
      </c>
      <c r="L231" s="125">
        <v>42979</v>
      </c>
      <c r="M231" s="126">
        <f>SUMIF('MPG Payment '!$E$3:$E$344841,'Shayak Income '!D231,'MPG Payment '!$I$3:$I$344841)</f>
        <v>5774.8</v>
      </c>
      <c r="N231" s="126">
        <f>SUMIF('MPG Payment '!$E$3:$E$344841,'Shayak Income '!D231,'MPG Payment '!$J$3:$J$344841)</f>
        <v>247934.43</v>
      </c>
      <c r="O231" s="126">
        <f t="shared" si="63"/>
        <v>4331.1000000000004</v>
      </c>
      <c r="P231" s="126">
        <f t="shared" si="64"/>
        <v>5486.0599999999995</v>
      </c>
      <c r="Q231" s="126">
        <f>SUMIF('MPG Payment '!$E$3:$E$344841,'Shayak Income '!D231,'MPG Payment '!$S$3:$S$344841)</f>
        <v>893.23</v>
      </c>
      <c r="R231" s="126">
        <f t="shared" si="55"/>
        <v>7438.0328999999992</v>
      </c>
      <c r="S231" s="126">
        <f t="shared" si="56"/>
        <v>1951.9728999999998</v>
      </c>
      <c r="T231" s="126">
        <f t="shared" si="65"/>
        <v>577.48</v>
      </c>
      <c r="U231" s="127">
        <f>((((((IF(K231="New",0,SUMIF('MPG Payment '!$E$3:$E$344841,'Shayak Income '!D231,'MPG Payment '!$AC$3:$AC$344841))))+0)+0)+0)+0)+0</f>
        <v>0</v>
      </c>
      <c r="V231" s="127">
        <f t="shared" si="66"/>
        <v>10133</v>
      </c>
      <c r="W231" s="19">
        <f t="shared" si="70"/>
        <v>0</v>
      </c>
      <c r="X231" s="19">
        <f t="shared" si="71"/>
        <v>0</v>
      </c>
      <c r="Y231" s="128">
        <f>IFERROR(VLOOKUP(D231,'Monthly Deduction'!$M$2:$N$640,2,0),0)</f>
        <v>0</v>
      </c>
      <c r="Z231" s="128">
        <v>0</v>
      </c>
      <c r="AA231" s="126">
        <f>IFERROR(VLOOKUP(D231,'Monthly Deduction'!A:B,2,0),0)</f>
        <v>0</v>
      </c>
      <c r="AB231" s="129">
        <f t="shared" si="57"/>
        <v>10133</v>
      </c>
      <c r="AC231" s="130">
        <v>0</v>
      </c>
      <c r="AD231" s="35">
        <f t="shared" si="67"/>
        <v>10133</v>
      </c>
      <c r="AE231" s="166" t="str">
        <f t="shared" si="68"/>
        <v>Release</v>
      </c>
      <c r="AF231" s="127"/>
      <c r="AG231" s="127">
        <v>0</v>
      </c>
      <c r="AH231" s="215"/>
      <c r="AI231" s="238">
        <v>0</v>
      </c>
      <c r="AJ231" s="132"/>
      <c r="AK231" s="151">
        <v>1327.6000000000001</v>
      </c>
      <c r="AL231" s="154">
        <f t="shared" si="58"/>
        <v>0</v>
      </c>
      <c r="AM231" s="155"/>
      <c r="AN231" s="19">
        <f t="shared" si="59"/>
        <v>0</v>
      </c>
      <c r="AO231" s="118">
        <f>SUMIF('MPG Payment '!E:E,'Shayak Income '!D231,'MPG Payment '!AJ:AJ)</f>
        <v>0</v>
      </c>
      <c r="AP231" s="19">
        <f t="shared" si="60"/>
        <v>0</v>
      </c>
      <c r="AQ231" s="119">
        <f t="shared" si="69"/>
        <v>0</v>
      </c>
      <c r="AR231" s="91" t="s">
        <v>1144</v>
      </c>
      <c r="AS231" s="91">
        <f t="shared" si="61"/>
        <v>0</v>
      </c>
      <c r="AT231" s="118"/>
      <c r="AU231" s="118"/>
      <c r="AV231" s="118"/>
    </row>
    <row r="232" spans="1:48" s="20" customFormat="1" x14ac:dyDescent="0.25">
      <c r="A232" s="17">
        <f>IFERROR(VLOOKUP(D232,'Monthly Deduction'!$I$3:$J$957,2,0),0)</f>
        <v>0</v>
      </c>
      <c r="B232" s="17">
        <f>IFERROR(VLOOKUP(D232,'Monthly Deduction'!$E$3:$F$957,2,0),0)</f>
        <v>0</v>
      </c>
      <c r="C232" s="17">
        <f t="shared" si="62"/>
        <v>0</v>
      </c>
      <c r="D232" s="41">
        <v>10090007</v>
      </c>
      <c r="E232" s="122" t="str">
        <f>VLOOKUP(D232,'MPG Payment '!$E$3:$G$497305,2,0)</f>
        <v>KHAIRMA</v>
      </c>
      <c r="F232" s="146">
        <f>IFERROR(_xlfn.XLOOKUP(D232,'Monthly Deduction'!$I$3:$I$957,'Monthly Deduction'!$H$3:$H$957),0)</f>
        <v>0</v>
      </c>
      <c r="G232" s="123" t="str">
        <f>VLOOKUP(D232,'MPG Payment '!$E$3:$G$333666,3,0)</f>
        <v>MPG</v>
      </c>
      <c r="H232" s="124" t="str">
        <f>VLOOKUP(D232,'MPG Payment '!$E$3:$H$333666,4,0)</f>
        <v>Direct</v>
      </c>
      <c r="I232" s="88">
        <f>INDEX('MPG Payment '!$C:$C,MATCH('Shayak Income '!D232,'MPG Payment '!E:E,0))</f>
        <v>1009</v>
      </c>
      <c r="J232" s="88" t="str">
        <f>INDEX('MPG Payment '!$D:$D,MATCH('Shayak Income '!D232,'MPG Payment '!E:E,0))</f>
        <v>Halsi</v>
      </c>
      <c r="K232" s="125" t="s">
        <v>1594</v>
      </c>
      <c r="L232" s="125">
        <v>42979</v>
      </c>
      <c r="M232" s="126">
        <f>SUMIF('MPG Payment '!$E$3:$E$344841,'Shayak Income '!D232,'MPG Payment '!$I$3:$I$344841)</f>
        <v>2205</v>
      </c>
      <c r="N232" s="126">
        <f>SUMIF('MPG Payment '!$E$3:$E$344841,'Shayak Income '!D232,'MPG Payment '!$J$3:$J$344841)</f>
        <v>82497.590000000011</v>
      </c>
      <c r="O232" s="126">
        <f t="shared" si="63"/>
        <v>1653.75</v>
      </c>
      <c r="P232" s="126">
        <f t="shared" si="64"/>
        <v>2094.75</v>
      </c>
      <c r="Q232" s="126">
        <f>SUMIF('MPG Payment '!$E$3:$E$344841,'Shayak Income '!D232,'MPG Payment '!$S$3:$S$344841)</f>
        <v>533.04000000000008</v>
      </c>
      <c r="R232" s="126">
        <f t="shared" si="55"/>
        <v>2474.9277000000002</v>
      </c>
      <c r="S232" s="126">
        <f t="shared" si="56"/>
        <v>380.17770000000019</v>
      </c>
      <c r="T232" s="126">
        <f t="shared" si="65"/>
        <v>220.5</v>
      </c>
      <c r="U232" s="127">
        <f>((((((IF(K232="New",0,SUMIF('MPG Payment '!$E$3:$E$344841,'Shayak Income '!D232,'MPG Payment '!$AC$3:$AC$344841))))+0)+0)+0)+0)+0</f>
        <v>446.35595542347653</v>
      </c>
      <c r="V232" s="127">
        <f t="shared" si="66"/>
        <v>3615</v>
      </c>
      <c r="W232" s="19">
        <f t="shared" si="70"/>
        <v>0</v>
      </c>
      <c r="X232" s="19">
        <f t="shared" si="71"/>
        <v>0</v>
      </c>
      <c r="Y232" s="128">
        <f>IFERROR(VLOOKUP(D232,'Monthly Deduction'!$M$2:$N$640,2,0),0)</f>
        <v>3000</v>
      </c>
      <c r="Z232" s="128">
        <v>0</v>
      </c>
      <c r="AA232" s="126">
        <f>IFERROR(VLOOKUP(D232,'Monthly Deduction'!A:B,2,0),0)</f>
        <v>404.53999999999996</v>
      </c>
      <c r="AB232" s="129">
        <f t="shared" si="57"/>
        <v>210</v>
      </c>
      <c r="AC232" s="130">
        <v>0</v>
      </c>
      <c r="AD232" s="35">
        <f t="shared" si="67"/>
        <v>210</v>
      </c>
      <c r="AE232" s="166" t="str">
        <f t="shared" si="68"/>
        <v>Release</v>
      </c>
      <c r="AF232" s="127"/>
      <c r="AG232" s="18">
        <v>0</v>
      </c>
      <c r="AH232" s="132"/>
      <c r="AI232" s="238">
        <v>0</v>
      </c>
      <c r="AJ232" s="132"/>
      <c r="AK232" s="151">
        <v>410.9</v>
      </c>
      <c r="AL232" s="154">
        <f t="shared" si="58"/>
        <v>0</v>
      </c>
      <c r="AM232" s="155"/>
      <c r="AN232" s="19">
        <f t="shared" si="59"/>
        <v>0</v>
      </c>
      <c r="AO232" s="118">
        <f>SUMIF('MPG Payment '!E:E,'Shayak Income '!D232,'MPG Payment '!AJ:AJ)</f>
        <v>0</v>
      </c>
      <c r="AP232" s="19">
        <f t="shared" si="60"/>
        <v>0</v>
      </c>
      <c r="AQ232" s="119">
        <f t="shared" si="69"/>
        <v>0</v>
      </c>
      <c r="AR232" s="91" t="s">
        <v>65</v>
      </c>
      <c r="AS232" s="91">
        <f t="shared" si="61"/>
        <v>0</v>
      </c>
      <c r="AT232" s="118"/>
      <c r="AU232" s="118"/>
      <c r="AV232" s="118"/>
    </row>
    <row r="233" spans="1:48" s="20" customFormat="1" x14ac:dyDescent="0.25">
      <c r="A233" s="17">
        <f>IFERROR(VLOOKUP(D233,'Monthly Deduction'!$I$3:$J$957,2,0),0)</f>
        <v>0</v>
      </c>
      <c r="B233" s="17">
        <f>IFERROR(VLOOKUP(D233,'Monthly Deduction'!$E$3:$F$957,2,0),0)</f>
        <v>0</v>
      </c>
      <c r="C233" s="17">
        <f t="shared" si="62"/>
        <v>0</v>
      </c>
      <c r="D233" s="41">
        <v>10090008</v>
      </c>
      <c r="E233" s="122" t="str">
        <f>VLOOKUP(D233,'MPG Payment '!$E$3:$G$497305,2,0)</f>
        <v>MAHASONI</v>
      </c>
      <c r="F233" s="146">
        <f>IFERROR(_xlfn.XLOOKUP(D233,'Monthly Deduction'!$I$3:$I$957,'Monthly Deduction'!$H$3:$H$957),0)</f>
        <v>0</v>
      </c>
      <c r="G233" s="123" t="str">
        <f>VLOOKUP(D233,'MPG Payment '!$E$3:$G$333666,3,0)</f>
        <v>MPG</v>
      </c>
      <c r="H233" s="124" t="str">
        <f>VLOOKUP(D233,'MPG Payment '!$E$3:$H$333666,4,0)</f>
        <v>Direct</v>
      </c>
      <c r="I233" s="88">
        <f>INDEX('MPG Payment '!$C:$C,MATCH('Shayak Income '!D233,'MPG Payment '!E:E,0))</f>
        <v>1009</v>
      </c>
      <c r="J233" s="88" t="str">
        <f>INDEX('MPG Payment '!$D:$D,MATCH('Shayak Income '!D233,'MPG Payment '!E:E,0))</f>
        <v>Halsi</v>
      </c>
      <c r="K233" s="125" t="s">
        <v>1594</v>
      </c>
      <c r="L233" s="125">
        <v>42979</v>
      </c>
      <c r="M233" s="126">
        <f>SUMIF('MPG Payment '!$E$3:$E$344841,'Shayak Income '!D233,'MPG Payment '!$I$3:$I$344841)</f>
        <v>3252.2</v>
      </c>
      <c r="N233" s="126">
        <f>SUMIF('MPG Payment '!$E$3:$E$344841,'Shayak Income '!D233,'MPG Payment '!$J$3:$J$344841)</f>
        <v>132140.15</v>
      </c>
      <c r="O233" s="126">
        <f t="shared" si="63"/>
        <v>2439.1499999999996</v>
      </c>
      <c r="P233" s="126">
        <f t="shared" si="64"/>
        <v>3089.5899999999997</v>
      </c>
      <c r="Q233" s="126">
        <f>SUMIF('MPG Payment '!$E$3:$E$344841,'Shayak Income '!D233,'MPG Payment '!$S$3:$S$344841)</f>
        <v>1663.5</v>
      </c>
      <c r="R233" s="126">
        <f t="shared" si="55"/>
        <v>3964.2044999999998</v>
      </c>
      <c r="S233" s="126">
        <f t="shared" si="56"/>
        <v>874.61450000000013</v>
      </c>
      <c r="T233" s="126">
        <f t="shared" si="65"/>
        <v>325.22000000000003</v>
      </c>
      <c r="U233" s="127">
        <f>((((((IF(K233="New",0,SUMIF('MPG Payment '!$E$3:$E$344841,'Shayak Income '!D233,'MPG Payment '!$AC$3:$AC$344841))))+0)+0)+0)+0)+0</f>
        <v>10.803417244392559</v>
      </c>
      <c r="V233" s="127">
        <f t="shared" si="66"/>
        <v>6856</v>
      </c>
      <c r="W233" s="19">
        <f t="shared" si="70"/>
        <v>0</v>
      </c>
      <c r="X233" s="19">
        <f t="shared" si="71"/>
        <v>0</v>
      </c>
      <c r="Y233" s="128">
        <f>IFERROR(VLOOKUP(D233,'Monthly Deduction'!$M$2:$N$640,2,0),0)</f>
        <v>0</v>
      </c>
      <c r="Z233" s="128">
        <v>0</v>
      </c>
      <c r="AA233" s="126">
        <f>IFERROR(VLOOKUP(D233,'Monthly Deduction'!A:B,2,0),0)</f>
        <v>0</v>
      </c>
      <c r="AB233" s="129">
        <f t="shared" si="57"/>
        <v>6856</v>
      </c>
      <c r="AC233" s="130">
        <v>0</v>
      </c>
      <c r="AD233" s="35">
        <f t="shared" si="67"/>
        <v>6856</v>
      </c>
      <c r="AE233" s="166" t="str">
        <f t="shared" si="68"/>
        <v>Release</v>
      </c>
      <c r="AF233" s="127"/>
      <c r="AG233" s="18">
        <v>0</v>
      </c>
      <c r="AH233" s="120"/>
      <c r="AI233" s="238">
        <v>0</v>
      </c>
      <c r="AJ233" s="132"/>
      <c r="AK233" s="151">
        <v>547.1</v>
      </c>
      <c r="AL233" s="154">
        <f t="shared" si="58"/>
        <v>0</v>
      </c>
      <c r="AM233" s="155"/>
      <c r="AN233" s="19">
        <f t="shared" si="59"/>
        <v>0</v>
      </c>
      <c r="AO233" s="118">
        <f>SUMIF('MPG Payment '!E:E,'Shayak Income '!D233,'MPG Payment '!AJ:AJ)</f>
        <v>0</v>
      </c>
      <c r="AP233" s="19">
        <f t="shared" si="60"/>
        <v>0</v>
      </c>
      <c r="AQ233" s="119">
        <f t="shared" si="69"/>
        <v>0</v>
      </c>
      <c r="AR233" s="91" t="s">
        <v>1144</v>
      </c>
      <c r="AS233" s="91">
        <f t="shared" si="61"/>
        <v>0</v>
      </c>
      <c r="AT233" s="118"/>
      <c r="AU233" s="118"/>
      <c r="AV233" s="118"/>
    </row>
    <row r="234" spans="1:48" s="20" customFormat="1" x14ac:dyDescent="0.25">
      <c r="A234" s="17">
        <f>IFERROR(VLOOKUP(D234,'Monthly Deduction'!$I$3:$J$957,2,0),0)</f>
        <v>0</v>
      </c>
      <c r="B234" s="17">
        <f>IFERROR(VLOOKUP(D234,'Monthly Deduction'!$E$3:$F$957,2,0),0)</f>
        <v>0</v>
      </c>
      <c r="C234" s="17">
        <f t="shared" si="62"/>
        <v>0</v>
      </c>
      <c r="D234" s="41">
        <v>10090009</v>
      </c>
      <c r="E234" s="122" t="str">
        <f>VLOOKUP(D234,'MPG Payment '!$E$3:$G$497305,2,0)</f>
        <v>SONDHI</v>
      </c>
      <c r="F234" s="146">
        <f>IFERROR(_xlfn.XLOOKUP(D234,'Monthly Deduction'!$I$3:$I$957,'Monthly Deduction'!$H$3:$H$957),0)</f>
        <v>0</v>
      </c>
      <c r="G234" s="123" t="str">
        <f>VLOOKUP(D234,'MPG Payment '!$E$3:$G$333666,3,0)</f>
        <v>MPG</v>
      </c>
      <c r="H234" s="124" t="str">
        <f>VLOOKUP(D234,'MPG Payment '!$E$3:$H$333666,4,0)</f>
        <v>Direct</v>
      </c>
      <c r="I234" s="88">
        <f>INDEX('MPG Payment '!$C:$C,MATCH('Shayak Income '!D234,'MPG Payment '!E:E,0))</f>
        <v>1009</v>
      </c>
      <c r="J234" s="88" t="str">
        <f>INDEX('MPG Payment '!$D:$D,MATCH('Shayak Income '!D234,'MPG Payment '!E:E,0))</f>
        <v>Halsi</v>
      </c>
      <c r="K234" s="125" t="s">
        <v>1594</v>
      </c>
      <c r="L234" s="125">
        <v>42979</v>
      </c>
      <c r="M234" s="126">
        <f>SUMIF('MPG Payment '!$E$3:$E$344841,'Shayak Income '!D234,'MPG Payment '!$I$3:$I$344841)</f>
        <v>2423.6999999999998</v>
      </c>
      <c r="N234" s="126">
        <f>SUMIF('MPG Payment '!$E$3:$E$344841,'Shayak Income '!D234,'MPG Payment '!$J$3:$J$344841)</f>
        <v>96707.85</v>
      </c>
      <c r="O234" s="126">
        <f t="shared" si="63"/>
        <v>1817.7749999999999</v>
      </c>
      <c r="P234" s="126">
        <f t="shared" si="64"/>
        <v>2302.5149999999999</v>
      </c>
      <c r="Q234" s="126">
        <f>SUMIF('MPG Payment '!$E$3:$E$344841,'Shayak Income '!D234,'MPG Payment '!$S$3:$S$344841)</f>
        <v>784.23</v>
      </c>
      <c r="R234" s="126">
        <f t="shared" si="55"/>
        <v>2901.2355000000002</v>
      </c>
      <c r="S234" s="126">
        <f t="shared" si="56"/>
        <v>598.72050000000036</v>
      </c>
      <c r="T234" s="126">
        <f t="shared" si="65"/>
        <v>242.37</v>
      </c>
      <c r="U234" s="127">
        <f>((((((IF(K234="New",0,SUMIF('MPG Payment '!$E$3:$E$344841,'Shayak Income '!D234,'MPG Payment '!$AC$3:$AC$344841))))+0)+0)+0)+0)+0</f>
        <v>324.15230912068375</v>
      </c>
      <c r="V234" s="127">
        <f t="shared" si="66"/>
        <v>4338</v>
      </c>
      <c r="W234" s="19">
        <f t="shared" si="70"/>
        <v>0</v>
      </c>
      <c r="X234" s="19">
        <f t="shared" si="71"/>
        <v>0</v>
      </c>
      <c r="Y234" s="128">
        <f>IFERROR(VLOOKUP(D234,'Monthly Deduction'!$M$2:$N$640,2,0),0)</f>
        <v>0</v>
      </c>
      <c r="Z234" s="128">
        <v>413</v>
      </c>
      <c r="AA234" s="126">
        <f>IFERROR(VLOOKUP(D234,'Monthly Deduction'!A:B,2,0),0)</f>
        <v>348.28999999999996</v>
      </c>
      <c r="AB234" s="129">
        <f t="shared" si="57"/>
        <v>3577</v>
      </c>
      <c r="AC234" s="130">
        <v>0</v>
      </c>
      <c r="AD234" s="35">
        <f t="shared" si="67"/>
        <v>3577</v>
      </c>
      <c r="AE234" s="166" t="str">
        <f t="shared" si="68"/>
        <v>Release</v>
      </c>
      <c r="AF234" s="127"/>
      <c r="AG234" s="127">
        <v>0</v>
      </c>
      <c r="AH234" s="132" t="s">
        <v>1680</v>
      </c>
      <c r="AI234" s="238">
        <v>0</v>
      </c>
      <c r="AJ234" s="132"/>
      <c r="AK234" s="151">
        <v>416.2000000000001</v>
      </c>
      <c r="AL234" s="154">
        <f t="shared" si="58"/>
        <v>0</v>
      </c>
      <c r="AM234" s="155"/>
      <c r="AN234" s="19">
        <f t="shared" si="59"/>
        <v>0</v>
      </c>
      <c r="AO234" s="118">
        <f>SUMIF('MPG Payment '!E:E,'Shayak Income '!D234,'MPG Payment '!AJ:AJ)</f>
        <v>0</v>
      </c>
      <c r="AP234" s="19">
        <f t="shared" si="60"/>
        <v>0</v>
      </c>
      <c r="AQ234" s="119">
        <f t="shared" si="69"/>
        <v>0</v>
      </c>
      <c r="AR234" s="91"/>
      <c r="AS234" s="91">
        <f t="shared" si="61"/>
        <v>0</v>
      </c>
      <c r="AT234" s="118"/>
      <c r="AU234" s="118"/>
      <c r="AV234" s="118"/>
    </row>
    <row r="235" spans="1:48" s="20" customFormat="1" x14ac:dyDescent="0.25">
      <c r="A235" s="17">
        <f>IFERROR(VLOOKUP(D235,'Monthly Deduction'!$I$3:$J$957,2,0),0)</f>
        <v>0</v>
      </c>
      <c r="B235" s="17">
        <f>IFERROR(VLOOKUP(D235,'Monthly Deduction'!$E$3:$F$957,2,0),0)</f>
        <v>0</v>
      </c>
      <c r="C235" s="17">
        <f t="shared" si="62"/>
        <v>0</v>
      </c>
      <c r="D235" s="41">
        <v>10090011</v>
      </c>
      <c r="E235" s="122" t="str">
        <f>VLOOKUP(D235,'MPG Payment '!$E$3:$G$497305,2,0)</f>
        <v>BELDARAYA</v>
      </c>
      <c r="F235" s="146">
        <f>IFERROR(_xlfn.XLOOKUP(D235,'Monthly Deduction'!$I$3:$I$957,'Monthly Deduction'!$H$3:$H$957),0)</f>
        <v>0</v>
      </c>
      <c r="G235" s="123" t="str">
        <f>VLOOKUP(D235,'MPG Payment '!$E$3:$G$333666,3,0)</f>
        <v>vlc</v>
      </c>
      <c r="H235" s="124" t="str">
        <f>VLOOKUP(D235,'MPG Payment '!$E$3:$H$333666,4,0)</f>
        <v>Indirect</v>
      </c>
      <c r="I235" s="88">
        <f>INDEX('MPG Payment '!$C:$C,MATCH('Shayak Income '!D235,'MPG Payment '!E:E,0))</f>
        <v>1009</v>
      </c>
      <c r="J235" s="88" t="str">
        <f>INDEX('MPG Payment '!$D:$D,MATCH('Shayak Income '!D235,'MPG Payment '!E:E,0))</f>
        <v>Halsi</v>
      </c>
      <c r="K235" s="125" t="s">
        <v>1594</v>
      </c>
      <c r="L235" s="125">
        <v>42979</v>
      </c>
      <c r="M235" s="126">
        <f>SUMIF('MPG Payment '!$E$3:$E$344841,'Shayak Income '!D235,'MPG Payment '!$I$3:$I$344841)</f>
        <v>3050.6000000000004</v>
      </c>
      <c r="N235" s="126">
        <f>SUMIF('MPG Payment '!$E$3:$E$344841,'Shayak Income '!D235,'MPG Payment '!$J$3:$J$344841)</f>
        <v>117843.90000000001</v>
      </c>
      <c r="O235" s="126">
        <f t="shared" si="63"/>
        <v>2287.9500000000003</v>
      </c>
      <c r="P235" s="126">
        <f t="shared" si="64"/>
        <v>2898.07</v>
      </c>
      <c r="Q235" s="126">
        <f>SUMIF('MPG Payment '!$E$3:$E$344841,'Shayak Income '!D235,'MPG Payment '!$S$3:$S$344841)</f>
        <v>0</v>
      </c>
      <c r="R235" s="126">
        <f t="shared" si="55"/>
        <v>3535.317</v>
      </c>
      <c r="S235" s="126">
        <f t="shared" si="56"/>
        <v>637.24699999999984</v>
      </c>
      <c r="T235" s="126">
        <f t="shared" si="65"/>
        <v>305.06000000000006</v>
      </c>
      <c r="U235" s="127">
        <f>((((((IF(K235="New",0,SUMIF('MPG Payment '!$E$3:$E$344841,'Shayak Income '!D235,'MPG Payment '!$AC$3:$AC$344841))))+0)+0)+0)+0)+0</f>
        <v>0</v>
      </c>
      <c r="V235" s="127">
        <f t="shared" si="66"/>
        <v>4881</v>
      </c>
      <c r="W235" s="19">
        <f t="shared" si="70"/>
        <v>0</v>
      </c>
      <c r="X235" s="19">
        <f t="shared" si="71"/>
        <v>0</v>
      </c>
      <c r="Y235" s="128">
        <f>IFERROR(VLOOKUP(D235,'Monthly Deduction'!$M$2:$N$640,2,0),0)</f>
        <v>0</v>
      </c>
      <c r="Z235" s="128">
        <v>0</v>
      </c>
      <c r="AA235" s="126">
        <f>IFERROR(VLOOKUP(D235,'Monthly Deduction'!A:B,2,0),0)</f>
        <v>0</v>
      </c>
      <c r="AB235" s="129">
        <f t="shared" si="57"/>
        <v>4881</v>
      </c>
      <c r="AC235" s="130">
        <v>0</v>
      </c>
      <c r="AD235" s="35">
        <f t="shared" si="67"/>
        <v>4881</v>
      </c>
      <c r="AE235" s="166" t="str">
        <f t="shared" si="68"/>
        <v>Release</v>
      </c>
      <c r="AF235" s="127"/>
      <c r="AG235" s="18">
        <v>0</v>
      </c>
      <c r="AH235" s="120"/>
      <c r="AI235" s="238">
        <v>0</v>
      </c>
      <c r="AJ235" s="132"/>
      <c r="AK235" s="151">
        <v>601.5</v>
      </c>
      <c r="AL235" s="154">
        <f t="shared" si="58"/>
        <v>0</v>
      </c>
      <c r="AM235" s="155"/>
      <c r="AN235" s="19">
        <f t="shared" si="59"/>
        <v>0</v>
      </c>
      <c r="AO235" s="118">
        <f>SUMIF('MPG Payment '!E:E,'Shayak Income '!D235,'MPG Payment '!AJ:AJ)</f>
        <v>0</v>
      </c>
      <c r="AP235" s="19">
        <f t="shared" si="60"/>
        <v>0</v>
      </c>
      <c r="AQ235" s="119">
        <f t="shared" si="69"/>
        <v>0</v>
      </c>
      <c r="AR235" s="91" t="s">
        <v>1144</v>
      </c>
      <c r="AS235" s="91">
        <f t="shared" si="61"/>
        <v>0</v>
      </c>
      <c r="AT235" s="118"/>
      <c r="AU235" s="118"/>
      <c r="AV235" s="118"/>
    </row>
    <row r="236" spans="1:48" s="20" customFormat="1" x14ac:dyDescent="0.25">
      <c r="A236" s="17">
        <f>IFERROR(VLOOKUP(D236,'Monthly Deduction'!$I$3:$J$957,2,0),0)</f>
        <v>0</v>
      </c>
      <c r="B236" s="17">
        <f>IFERROR(VLOOKUP(D236,'Monthly Deduction'!$E$3:$F$957,2,0),0)</f>
        <v>0</v>
      </c>
      <c r="C236" s="17">
        <f t="shared" si="62"/>
        <v>0</v>
      </c>
      <c r="D236" s="41">
        <v>10090012</v>
      </c>
      <c r="E236" s="122" t="str">
        <f>VLOOKUP(D236,'MPG Payment '!$E$3:$G$497305,2,0)</f>
        <v>Gomukh ID Aure-2</v>
      </c>
      <c r="F236" s="146">
        <f>IFERROR(_xlfn.XLOOKUP(D236,'Monthly Deduction'!$I$3:$I$957,'Monthly Deduction'!$H$3:$H$957),0)</f>
        <v>0</v>
      </c>
      <c r="G236" s="123" t="str">
        <f>VLOOKUP(D236,'MPG Payment '!$E$3:$G$333666,3,0)</f>
        <v>vlc</v>
      </c>
      <c r="H236" s="124" t="str">
        <f>VLOOKUP(D236,'MPG Payment '!$E$3:$H$333666,4,0)</f>
        <v>Indirect</v>
      </c>
      <c r="I236" s="88">
        <f>INDEX('MPG Payment '!$C:$C,MATCH('Shayak Income '!D236,'MPG Payment '!E:E,0))</f>
        <v>1009</v>
      </c>
      <c r="J236" s="88" t="str">
        <f>INDEX('MPG Payment '!$D:$D,MATCH('Shayak Income '!D236,'MPG Payment '!E:E,0))</f>
        <v>Halsi</v>
      </c>
      <c r="K236" s="125" t="s">
        <v>1594</v>
      </c>
      <c r="L236" s="125">
        <v>43071</v>
      </c>
      <c r="M236" s="126">
        <f>SUMIF('MPG Payment '!$E$3:$E$344841,'Shayak Income '!D236,'MPG Payment '!$I$3:$I$344841)</f>
        <v>4100.5</v>
      </c>
      <c r="N236" s="126">
        <f>SUMIF('MPG Payment '!$E$3:$E$344841,'Shayak Income '!D236,'MPG Payment '!$J$3:$J$344841)</f>
        <v>158741.52000000002</v>
      </c>
      <c r="O236" s="126">
        <f t="shared" si="63"/>
        <v>3075.375</v>
      </c>
      <c r="P236" s="126">
        <f t="shared" si="64"/>
        <v>3895.4749999999999</v>
      </c>
      <c r="Q236" s="126">
        <f>SUMIF('MPG Payment '!$E$3:$E$344841,'Shayak Income '!D236,'MPG Payment '!$S$3:$S$344841)</f>
        <v>0</v>
      </c>
      <c r="R236" s="126">
        <f t="shared" si="55"/>
        <v>4762.2456000000002</v>
      </c>
      <c r="S236" s="126">
        <f t="shared" si="56"/>
        <v>866.77060000000029</v>
      </c>
      <c r="T236" s="126">
        <f t="shared" si="65"/>
        <v>410.05</v>
      </c>
      <c r="U236" s="127">
        <f>((((((IF(K236="New",0,SUMIF('MPG Payment '!$E$3:$E$344841,'Shayak Income '!D236,'MPG Payment '!$AC$3:$AC$344841))))+0)+0)+0)+0)+0</f>
        <v>0</v>
      </c>
      <c r="V236" s="127">
        <f t="shared" si="66"/>
        <v>6561</v>
      </c>
      <c r="W236" s="19">
        <f t="shared" si="70"/>
        <v>0</v>
      </c>
      <c r="X236" s="19">
        <f t="shared" si="71"/>
        <v>0</v>
      </c>
      <c r="Y236" s="128">
        <f>IFERROR(VLOOKUP(D236,'Monthly Deduction'!$M$2:$N$640,2,0),0)</f>
        <v>0</v>
      </c>
      <c r="Z236" s="128">
        <v>0</v>
      </c>
      <c r="AA236" s="126">
        <f>IFERROR(VLOOKUP(D236,'Monthly Deduction'!A:B,2,0),0)</f>
        <v>0</v>
      </c>
      <c r="AB236" s="129">
        <f t="shared" si="57"/>
        <v>6561</v>
      </c>
      <c r="AC236" s="130">
        <v>0</v>
      </c>
      <c r="AD236" s="35">
        <f t="shared" si="67"/>
        <v>6561</v>
      </c>
      <c r="AE236" s="166" t="str">
        <f t="shared" si="68"/>
        <v>Release</v>
      </c>
      <c r="AF236" s="127"/>
      <c r="AG236" s="127">
        <v>0</v>
      </c>
      <c r="AH236" s="120"/>
      <c r="AI236" s="238">
        <v>0</v>
      </c>
      <c r="AJ236" s="132"/>
      <c r="AK236" s="151">
        <v>800.1</v>
      </c>
      <c r="AL236" s="154">
        <f t="shared" si="58"/>
        <v>0</v>
      </c>
      <c r="AM236" s="155"/>
      <c r="AN236" s="19">
        <f t="shared" si="59"/>
        <v>0</v>
      </c>
      <c r="AO236" s="118">
        <f>SUMIF('MPG Payment '!E:E,'Shayak Income '!D236,'MPG Payment '!AJ:AJ)</f>
        <v>0</v>
      </c>
      <c r="AP236" s="19">
        <f t="shared" si="60"/>
        <v>0</v>
      </c>
      <c r="AQ236" s="119">
        <f t="shared" si="69"/>
        <v>0</v>
      </c>
      <c r="AR236" s="91" t="s">
        <v>1144</v>
      </c>
      <c r="AS236" s="91">
        <f t="shared" si="61"/>
        <v>0</v>
      </c>
      <c r="AT236" s="118"/>
      <c r="AU236" s="118"/>
      <c r="AV236" s="118"/>
    </row>
    <row r="237" spans="1:48" s="20" customFormat="1" x14ac:dyDescent="0.25">
      <c r="A237" s="17">
        <f>IFERROR(VLOOKUP(D237,'Monthly Deduction'!$I$3:$J$957,2,0),0)</f>
        <v>0</v>
      </c>
      <c r="B237" s="17">
        <f>IFERROR(VLOOKUP(D237,'Monthly Deduction'!$E$3:$F$957,2,0),0)</f>
        <v>0</v>
      </c>
      <c r="C237" s="17">
        <f t="shared" si="62"/>
        <v>0</v>
      </c>
      <c r="D237" s="41">
        <v>10090014</v>
      </c>
      <c r="E237" s="122" t="str">
        <f>VLOOKUP(D237,'MPG Payment '!$E$3:$G$497305,2,0)</f>
        <v>Gomukh Karma</v>
      </c>
      <c r="F237" s="146">
        <f>IFERROR(_xlfn.XLOOKUP(D237,'Monthly Deduction'!$I$3:$I$957,'Monthly Deduction'!$H$3:$H$957),0)</f>
        <v>0</v>
      </c>
      <c r="G237" s="123" t="str">
        <f>VLOOKUP(D237,'MPG Payment '!$E$3:$G$333666,3,0)</f>
        <v>vlc</v>
      </c>
      <c r="H237" s="124" t="str">
        <f>VLOOKUP(D237,'MPG Payment '!$E$3:$H$333666,4,0)</f>
        <v>Indirect</v>
      </c>
      <c r="I237" s="88">
        <f>INDEX('MPG Payment '!$C:$C,MATCH('Shayak Income '!D237,'MPG Payment '!E:E,0))</f>
        <v>1009</v>
      </c>
      <c r="J237" s="88" t="str">
        <f>INDEX('MPG Payment '!$D:$D,MATCH('Shayak Income '!D237,'MPG Payment '!E:E,0))</f>
        <v>Halsi</v>
      </c>
      <c r="K237" s="125" t="s">
        <v>1594</v>
      </c>
      <c r="L237" s="125">
        <v>43786</v>
      </c>
      <c r="M237" s="126">
        <f>SUMIF('MPG Payment '!$E$3:$E$344841,'Shayak Income '!D237,'MPG Payment '!$I$3:$I$344841)</f>
        <v>2991.3</v>
      </c>
      <c r="N237" s="126">
        <f>SUMIF('MPG Payment '!$E$3:$E$344841,'Shayak Income '!D237,'MPG Payment '!$J$3:$J$344841)</f>
        <v>127645.6</v>
      </c>
      <c r="O237" s="126">
        <f t="shared" si="63"/>
        <v>2243.4750000000004</v>
      </c>
      <c r="P237" s="126">
        <f t="shared" si="64"/>
        <v>2841.7350000000001</v>
      </c>
      <c r="Q237" s="126">
        <f>SUMIF('MPG Payment '!$E$3:$E$344841,'Shayak Income '!D237,'MPG Payment '!$S$3:$S$344841)</f>
        <v>0</v>
      </c>
      <c r="R237" s="126">
        <f t="shared" si="55"/>
        <v>3829.3679999999999</v>
      </c>
      <c r="S237" s="126">
        <f t="shared" si="56"/>
        <v>987.63299999999981</v>
      </c>
      <c r="T237" s="126">
        <f t="shared" si="65"/>
        <v>299.13000000000005</v>
      </c>
      <c r="U237" s="127">
        <f>((((((IF(K237="New",0,SUMIF('MPG Payment '!$E$3:$E$344841,'Shayak Income '!D237,'MPG Payment '!$AC$3:$AC$344841))))+0)+0)+0)+0)+0</f>
        <v>0</v>
      </c>
      <c r="V237" s="127">
        <f t="shared" si="66"/>
        <v>4786</v>
      </c>
      <c r="W237" s="19">
        <f t="shared" si="70"/>
        <v>0</v>
      </c>
      <c r="X237" s="19">
        <f t="shared" si="71"/>
        <v>0</v>
      </c>
      <c r="Y237" s="128">
        <f>IFERROR(VLOOKUP(D237,'Monthly Deduction'!$M$2:$N$640,2,0),0)</f>
        <v>0</v>
      </c>
      <c r="Z237" s="128">
        <v>0</v>
      </c>
      <c r="AA237" s="126">
        <f>IFERROR(VLOOKUP(D237,'Monthly Deduction'!A:B,2,0),0)</f>
        <v>0</v>
      </c>
      <c r="AB237" s="129">
        <f t="shared" si="57"/>
        <v>4786</v>
      </c>
      <c r="AC237" s="130">
        <v>0</v>
      </c>
      <c r="AD237" s="35">
        <f t="shared" si="67"/>
        <v>4786</v>
      </c>
      <c r="AE237" s="166" t="str">
        <f t="shared" si="68"/>
        <v>Release</v>
      </c>
      <c r="AF237" s="127"/>
      <c r="AG237" s="18">
        <v>0</v>
      </c>
      <c r="AH237" s="120"/>
      <c r="AI237" s="238">
        <v>0</v>
      </c>
      <c r="AJ237" s="132"/>
      <c r="AK237" s="151">
        <v>503.8</v>
      </c>
      <c r="AL237" s="154">
        <f t="shared" si="58"/>
        <v>0</v>
      </c>
      <c r="AM237" s="155"/>
      <c r="AN237" s="19">
        <f t="shared" si="59"/>
        <v>0</v>
      </c>
      <c r="AO237" s="118">
        <f>SUMIF('MPG Payment '!E:E,'Shayak Income '!D237,'MPG Payment '!AJ:AJ)</f>
        <v>0</v>
      </c>
      <c r="AP237" s="19">
        <f t="shared" si="60"/>
        <v>0</v>
      </c>
      <c r="AQ237" s="119">
        <f t="shared" si="69"/>
        <v>0</v>
      </c>
      <c r="AR237" s="91" t="s">
        <v>1144</v>
      </c>
      <c r="AS237" s="91">
        <f t="shared" si="61"/>
        <v>0</v>
      </c>
      <c r="AT237" s="118"/>
      <c r="AU237" s="118"/>
      <c r="AV237" s="118"/>
    </row>
    <row r="238" spans="1:48" s="20" customFormat="1" x14ac:dyDescent="0.25">
      <c r="A238" s="17">
        <f>IFERROR(VLOOKUP(D238,'Monthly Deduction'!$I$3:$J$957,2,0),0)</f>
        <v>0</v>
      </c>
      <c r="B238" s="17">
        <f>IFERROR(VLOOKUP(D238,'Monthly Deduction'!$E$3:$F$957,2,0),0)</f>
        <v>5619.9752842296739</v>
      </c>
      <c r="C238" s="17">
        <f t="shared" si="62"/>
        <v>5619.9752842296739</v>
      </c>
      <c r="D238" s="41">
        <v>10090015</v>
      </c>
      <c r="E238" s="122" t="str">
        <f>VLOOKUP(D238,'MPG Payment '!$E$3:$G$497305,2,0)</f>
        <v>GOMUKH UKSI</v>
      </c>
      <c r="F238" s="146">
        <f>IFERROR(_xlfn.XLOOKUP(D238,'Monthly Deduction'!$I$3:$I$957,'Monthly Deduction'!$H$3:$H$957),0)</f>
        <v>0</v>
      </c>
      <c r="G238" s="123" t="str">
        <f>VLOOKUP(D238,'MPG Payment '!$E$3:$G$333666,3,0)</f>
        <v>vlc</v>
      </c>
      <c r="H238" s="124" t="str">
        <f>VLOOKUP(D238,'MPG Payment '!$E$3:$H$333666,4,0)</f>
        <v>Indirect</v>
      </c>
      <c r="I238" s="88">
        <f>INDEX('MPG Payment '!$C:$C,MATCH('Shayak Income '!D238,'MPG Payment '!E:E,0))</f>
        <v>1009</v>
      </c>
      <c r="J238" s="88" t="str">
        <f>INDEX('MPG Payment '!$D:$D,MATCH('Shayak Income '!D238,'MPG Payment '!E:E,0))</f>
        <v>Halsi</v>
      </c>
      <c r="K238" s="125" t="s">
        <v>1594</v>
      </c>
      <c r="L238" s="125">
        <v>43789</v>
      </c>
      <c r="M238" s="126">
        <f>SUMIF('MPG Payment '!$E$3:$E$344841,'Shayak Income '!D238,'MPG Payment '!$I$3:$I$344841)</f>
        <v>2417.3999999999996</v>
      </c>
      <c r="N238" s="126">
        <f>SUMIF('MPG Payment '!$E$3:$E$344841,'Shayak Income '!D238,'MPG Payment '!$J$3:$J$344841)</f>
        <v>107246.26000000001</v>
      </c>
      <c r="O238" s="126">
        <f t="shared" si="63"/>
        <v>1813.0499999999997</v>
      </c>
      <c r="P238" s="126">
        <f t="shared" si="64"/>
        <v>2296.5299999999997</v>
      </c>
      <c r="Q238" s="126">
        <f>SUMIF('MPG Payment '!$E$3:$E$344841,'Shayak Income '!D238,'MPG Payment '!$S$3:$S$344841)</f>
        <v>0</v>
      </c>
      <c r="R238" s="126">
        <f t="shared" si="55"/>
        <v>3217.3878</v>
      </c>
      <c r="S238" s="126">
        <f t="shared" si="56"/>
        <v>920.85780000000022</v>
      </c>
      <c r="T238" s="126">
        <f t="shared" si="65"/>
        <v>241.73999999999998</v>
      </c>
      <c r="U238" s="127">
        <f>((((((IF(K238="New",0,SUMIF('MPG Payment '!$E$3:$E$344841,'Shayak Income '!D238,'MPG Payment '!$AC$3:$AC$344841))))+0)+0)+0)+0)+0</f>
        <v>337.41406510438185</v>
      </c>
      <c r="V238" s="127">
        <f t="shared" si="66"/>
        <v>3530</v>
      </c>
      <c r="W238" s="19">
        <f t="shared" si="70"/>
        <v>0</v>
      </c>
      <c r="X238" s="19">
        <f t="shared" si="71"/>
        <v>2144.9252000000001</v>
      </c>
      <c r="Y238" s="128">
        <v>1385</v>
      </c>
      <c r="Z238" s="128">
        <v>0</v>
      </c>
      <c r="AA238" s="126">
        <f>IFERROR(VLOOKUP(D238,'Monthly Deduction'!A:B,2,0),0)</f>
        <v>0</v>
      </c>
      <c r="AB238" s="129">
        <f t="shared" si="57"/>
        <v>0</v>
      </c>
      <c r="AC238" s="130">
        <v>0</v>
      </c>
      <c r="AD238" s="35">
        <f t="shared" si="67"/>
        <v>0</v>
      </c>
      <c r="AE238" s="166" t="str">
        <f t="shared" si="68"/>
        <v>Release</v>
      </c>
      <c r="AF238" s="127"/>
      <c r="AG238" s="127">
        <v>0</v>
      </c>
      <c r="AH238" s="120"/>
      <c r="AI238" s="238">
        <v>0</v>
      </c>
      <c r="AJ238" s="132"/>
      <c r="AK238" s="151">
        <v>469.19999999999993</v>
      </c>
      <c r="AL238" s="154">
        <f t="shared" si="58"/>
        <v>0</v>
      </c>
      <c r="AM238" s="155"/>
      <c r="AN238" s="19">
        <f t="shared" si="59"/>
        <v>0</v>
      </c>
      <c r="AO238" s="118">
        <f>SUMIF('MPG Payment '!E:E,'Shayak Income '!D238,'MPG Payment '!AJ:AJ)</f>
        <v>0</v>
      </c>
      <c r="AP238" s="19">
        <f t="shared" si="60"/>
        <v>0</v>
      </c>
      <c r="AQ238" s="119">
        <f t="shared" si="69"/>
        <v>0</v>
      </c>
      <c r="AR238" s="91" t="s">
        <v>1144</v>
      </c>
      <c r="AS238" s="91">
        <f t="shared" si="61"/>
        <v>3475.0500842296738</v>
      </c>
      <c r="AT238" s="118"/>
      <c r="AU238" s="118"/>
      <c r="AV238" s="118"/>
    </row>
    <row r="239" spans="1:48" s="20" customFormat="1" x14ac:dyDescent="0.25">
      <c r="A239" s="17">
        <f>IFERROR(VLOOKUP(D239,'Monthly Deduction'!$I$3:$J$957,2,0),0)</f>
        <v>0</v>
      </c>
      <c r="B239" s="17">
        <f>IFERROR(VLOOKUP(D239,'Monthly Deduction'!$E$3:$F$957,2,0),0)</f>
        <v>0</v>
      </c>
      <c r="C239" s="17">
        <f t="shared" si="62"/>
        <v>0</v>
      </c>
      <c r="D239" s="41">
        <v>10090017</v>
      </c>
      <c r="E239" s="122" t="str">
        <f>VLOOKUP(D239,'MPG Payment '!$E$3:$G$497305,2,0)</f>
        <v>Gomukh ID Halsi</v>
      </c>
      <c r="F239" s="146">
        <f>IFERROR(_xlfn.XLOOKUP(D239,'Monthly Deduction'!$I$3:$I$957,'Monthly Deduction'!$H$3:$H$957),0)</f>
        <v>0</v>
      </c>
      <c r="G239" s="123" t="str">
        <f>VLOOKUP(D239,'MPG Payment '!$E$3:$G$333666,3,0)</f>
        <v>vlc</v>
      </c>
      <c r="H239" s="124" t="str">
        <f>VLOOKUP(D239,'MPG Payment '!$E$3:$H$333666,4,0)</f>
        <v>Indirect</v>
      </c>
      <c r="I239" s="88">
        <f>INDEX('MPG Payment '!$C:$C,MATCH('Shayak Income '!D239,'MPG Payment '!E:E,0))</f>
        <v>1009</v>
      </c>
      <c r="J239" s="88" t="str">
        <f>INDEX('MPG Payment '!$D:$D,MATCH('Shayak Income '!D239,'MPG Payment '!E:E,0))</f>
        <v>Halsi</v>
      </c>
      <c r="K239" s="125" t="s">
        <v>1594</v>
      </c>
      <c r="L239" s="125">
        <v>44321</v>
      </c>
      <c r="M239" s="126">
        <f>SUMIF('MPG Payment '!$E$3:$E$344841,'Shayak Income '!D239,'MPG Payment '!$I$3:$I$344841)</f>
        <v>20648.300000000003</v>
      </c>
      <c r="N239" s="126">
        <f>SUMIF('MPG Payment '!$E$3:$E$344841,'Shayak Income '!D239,'MPG Payment '!$J$3:$J$344841)</f>
        <v>772440.83000000007</v>
      </c>
      <c r="O239" s="126">
        <f t="shared" si="63"/>
        <v>15486.225000000002</v>
      </c>
      <c r="P239" s="126">
        <f t="shared" si="64"/>
        <v>19615.885000000002</v>
      </c>
      <c r="Q239" s="126">
        <f>SUMIF('MPG Payment '!$E$3:$E$344841,'Shayak Income '!D239,'MPG Payment '!$S$3:$S$344841)</f>
        <v>0</v>
      </c>
      <c r="R239" s="126">
        <f t="shared" si="55"/>
        <v>23173.224900000001</v>
      </c>
      <c r="S239" s="126">
        <f t="shared" si="56"/>
        <v>3557.339899999999</v>
      </c>
      <c r="T239" s="126">
        <f t="shared" si="65"/>
        <v>2064.8300000000004</v>
      </c>
      <c r="U239" s="127">
        <f>((((((IF(K239="New",0,SUMIF('MPG Payment '!$E$3:$E$344841,'Shayak Income '!D239,'MPG Payment '!$AC$3:$AC$344841))))+0)+0)+0)+0)+0</f>
        <v>0</v>
      </c>
      <c r="V239" s="127">
        <f t="shared" si="66"/>
        <v>33037</v>
      </c>
      <c r="W239" s="19">
        <f t="shared" si="70"/>
        <v>0</v>
      </c>
      <c r="X239" s="19">
        <f t="shared" si="71"/>
        <v>0</v>
      </c>
      <c r="Y239" s="128">
        <f>IFERROR(VLOOKUP(D239,'Monthly Deduction'!$M$2:$N$640,2,0),0)</f>
        <v>0</v>
      </c>
      <c r="Z239" s="128">
        <v>0</v>
      </c>
      <c r="AA239" s="126">
        <f>IFERROR(VLOOKUP(D239,'Monthly Deduction'!A:B,2,0),0)</f>
        <v>0</v>
      </c>
      <c r="AB239" s="129">
        <f t="shared" si="57"/>
        <v>33037</v>
      </c>
      <c r="AC239" s="130">
        <v>0</v>
      </c>
      <c r="AD239" s="35">
        <f t="shared" si="67"/>
        <v>33037</v>
      </c>
      <c r="AE239" s="166" t="str">
        <f t="shared" si="68"/>
        <v>Release</v>
      </c>
      <c r="AF239" s="127"/>
      <c r="AG239" s="18">
        <v>0</v>
      </c>
      <c r="AH239" s="215"/>
      <c r="AI239" s="238">
        <v>0</v>
      </c>
      <c r="AJ239" s="132"/>
      <c r="AK239" s="151">
        <v>3552</v>
      </c>
      <c r="AL239" s="154">
        <f t="shared" si="58"/>
        <v>0</v>
      </c>
      <c r="AM239" s="155"/>
      <c r="AN239" s="19">
        <f t="shared" si="59"/>
        <v>0</v>
      </c>
      <c r="AO239" s="118">
        <f>SUMIF('MPG Payment '!E:E,'Shayak Income '!D239,'MPG Payment '!AJ:AJ)</f>
        <v>0</v>
      </c>
      <c r="AP239" s="19">
        <f t="shared" si="60"/>
        <v>0</v>
      </c>
      <c r="AQ239" s="119">
        <f t="shared" si="69"/>
        <v>0</v>
      </c>
      <c r="AR239" s="91"/>
      <c r="AS239" s="91">
        <f t="shared" si="61"/>
        <v>0</v>
      </c>
      <c r="AT239" s="118"/>
      <c r="AU239" s="118"/>
      <c r="AV239" s="118"/>
    </row>
    <row r="240" spans="1:48" s="20" customFormat="1" x14ac:dyDescent="0.25">
      <c r="A240" s="17">
        <f>IFERROR(VLOOKUP(D240,'Monthly Deduction'!$I$3:$J$957,2,0),0)</f>
        <v>0</v>
      </c>
      <c r="B240" s="17">
        <f>IFERROR(VLOOKUP(D240,'Monthly Deduction'!$E$3:$F$957,2,0),0)</f>
        <v>0</v>
      </c>
      <c r="C240" s="17">
        <f t="shared" si="62"/>
        <v>0</v>
      </c>
      <c r="D240" s="41">
        <v>10090021</v>
      </c>
      <c r="E240" s="122" t="str">
        <f>VLOOKUP(D240,'MPG Payment '!$E$3:$G$497305,2,0)</f>
        <v>KHURIYARI</v>
      </c>
      <c r="F240" s="146">
        <f>IFERROR(_xlfn.XLOOKUP(D240,'Monthly Deduction'!$I$3:$I$957,'Monthly Deduction'!$H$3:$H$957),0)</f>
        <v>0</v>
      </c>
      <c r="G240" s="123" t="str">
        <f>VLOOKUP(D240,'MPG Payment '!$E$3:$G$333666,3,0)</f>
        <v>MPG</v>
      </c>
      <c r="H240" s="124" t="str">
        <f>VLOOKUP(D240,'MPG Payment '!$E$3:$H$333666,4,0)</f>
        <v>Direct</v>
      </c>
      <c r="I240" s="88">
        <f>INDEX('MPG Payment '!$C:$C,MATCH('Shayak Income '!D240,'MPG Payment '!E:E,0))</f>
        <v>1009</v>
      </c>
      <c r="J240" s="88" t="str">
        <f>INDEX('MPG Payment '!$D:$D,MATCH('Shayak Income '!D240,'MPG Payment '!E:E,0))</f>
        <v>Halsi</v>
      </c>
      <c r="K240" s="125" t="s">
        <v>1594</v>
      </c>
      <c r="L240" s="125">
        <v>44676</v>
      </c>
      <c r="M240" s="126">
        <f>SUMIF('MPG Payment '!$E$3:$E$344841,'Shayak Income '!D240,'MPG Payment '!$I$3:$I$344841)</f>
        <v>5062.5999999999995</v>
      </c>
      <c r="N240" s="126">
        <f>SUMIF('MPG Payment '!$E$3:$E$344841,'Shayak Income '!D240,'MPG Payment '!$J$3:$J$344841)</f>
        <v>236072.47999999998</v>
      </c>
      <c r="O240" s="126">
        <f t="shared" si="63"/>
        <v>3796.95</v>
      </c>
      <c r="P240" s="126">
        <f t="shared" si="64"/>
        <v>4809.4699999999993</v>
      </c>
      <c r="Q240" s="126">
        <f>SUMIF('MPG Payment '!$E$3:$E$344841,'Shayak Income '!D240,'MPG Payment '!$S$3:$S$344841)</f>
        <v>322.12</v>
      </c>
      <c r="R240" s="126">
        <f t="shared" si="55"/>
        <v>7082.174399999999</v>
      </c>
      <c r="S240" s="126">
        <f t="shared" si="56"/>
        <v>2272.7043999999996</v>
      </c>
      <c r="T240" s="126">
        <f t="shared" si="65"/>
        <v>506.26</v>
      </c>
      <c r="U240" s="127">
        <f>((((((IF(K240="New",0,SUMIF('MPG Payment '!$E$3:$E$344841,'Shayak Income '!D240,'MPG Payment '!$AC$3:$AC$344841))))+0)+0)+0)+0)+0</f>
        <v>0</v>
      </c>
      <c r="V240" s="127">
        <f t="shared" si="66"/>
        <v>8422</v>
      </c>
      <c r="W240" s="19">
        <f t="shared" si="70"/>
        <v>0</v>
      </c>
      <c r="X240" s="19">
        <f t="shared" si="71"/>
        <v>0</v>
      </c>
      <c r="Y240" s="128">
        <f>IFERROR(VLOOKUP(D240,'Monthly Deduction'!$M$2:$N$640,2,0),0)</f>
        <v>0</v>
      </c>
      <c r="Z240" s="128">
        <v>0</v>
      </c>
      <c r="AA240" s="126">
        <f>IFERROR(VLOOKUP(D240,'Monthly Deduction'!A:B,2,0),0)</f>
        <v>0</v>
      </c>
      <c r="AB240" s="129">
        <f t="shared" si="57"/>
        <v>8422</v>
      </c>
      <c r="AC240" s="130">
        <v>0</v>
      </c>
      <c r="AD240" s="35">
        <f t="shared" si="67"/>
        <v>8422</v>
      </c>
      <c r="AE240" s="166" t="str">
        <f t="shared" si="68"/>
        <v>Release</v>
      </c>
      <c r="AF240" s="127"/>
      <c r="AG240" s="18">
        <v>0</v>
      </c>
      <c r="AH240" s="120"/>
      <c r="AI240" s="238">
        <v>0</v>
      </c>
      <c r="AJ240" s="132"/>
      <c r="AK240" s="151">
        <v>1102.2</v>
      </c>
      <c r="AL240" s="154">
        <f t="shared" si="58"/>
        <v>0</v>
      </c>
      <c r="AM240" s="155"/>
      <c r="AN240" s="19">
        <f t="shared" si="59"/>
        <v>0</v>
      </c>
      <c r="AO240" s="118">
        <f>SUMIF('MPG Payment '!E:E,'Shayak Income '!D240,'MPG Payment '!AJ:AJ)</f>
        <v>0</v>
      </c>
      <c r="AP240" s="19">
        <f t="shared" si="60"/>
        <v>0</v>
      </c>
      <c r="AQ240" s="119">
        <f t="shared" si="69"/>
        <v>0</v>
      </c>
      <c r="AR240" s="91"/>
      <c r="AS240" s="91">
        <f t="shared" si="61"/>
        <v>0</v>
      </c>
      <c r="AT240" s="118"/>
      <c r="AU240" s="118"/>
      <c r="AV240" s="118"/>
    </row>
    <row r="241" spans="1:48" s="20" customFormat="1" x14ac:dyDescent="0.25">
      <c r="A241" s="17">
        <f>IFERROR(VLOOKUP(D241,'Monthly Deduction'!$I$3:$J$957,2,0),0)</f>
        <v>0</v>
      </c>
      <c r="B241" s="17">
        <f>IFERROR(VLOOKUP(D241,'Monthly Deduction'!$E$3:$F$957,2,0),0)</f>
        <v>0</v>
      </c>
      <c r="C241" s="17">
        <f t="shared" si="62"/>
        <v>0</v>
      </c>
      <c r="D241" s="41">
        <v>10090022</v>
      </c>
      <c r="E241" s="122" t="str">
        <f>VLOOKUP(D241,'MPG Payment '!$E$3:$G$497305,2,0)</f>
        <v>BISANPUR</v>
      </c>
      <c r="F241" s="146">
        <f>IFERROR(_xlfn.XLOOKUP(D241,'Monthly Deduction'!$I$3:$I$957,'Monthly Deduction'!$H$3:$H$957),0)</f>
        <v>0</v>
      </c>
      <c r="G241" s="123" t="str">
        <f>VLOOKUP(D241,'MPG Payment '!$E$3:$G$333666,3,0)</f>
        <v>vlc</v>
      </c>
      <c r="H241" s="124" t="str">
        <f>VLOOKUP(D241,'MPG Payment '!$E$3:$H$333666,4,0)</f>
        <v>Indirect</v>
      </c>
      <c r="I241" s="88">
        <f>INDEX('MPG Payment '!$C:$C,MATCH('Shayak Income '!D241,'MPG Payment '!E:E,0))</f>
        <v>1009</v>
      </c>
      <c r="J241" s="88" t="str">
        <f>INDEX('MPG Payment '!$D:$D,MATCH('Shayak Income '!D241,'MPG Payment '!E:E,0))</f>
        <v>Halsi</v>
      </c>
      <c r="K241" s="125" t="s">
        <v>1594</v>
      </c>
      <c r="L241" s="125">
        <v>44680</v>
      </c>
      <c r="M241" s="126">
        <f>SUMIF('MPG Payment '!$E$3:$E$344841,'Shayak Income '!D241,'MPG Payment '!$I$3:$I$344841)</f>
        <v>1854.8999999999999</v>
      </c>
      <c r="N241" s="126">
        <f>SUMIF('MPG Payment '!$E$3:$E$344841,'Shayak Income '!D241,'MPG Payment '!$J$3:$J$344841)</f>
        <v>74833.929999999993</v>
      </c>
      <c r="O241" s="126">
        <f t="shared" si="63"/>
        <v>1391.175</v>
      </c>
      <c r="P241" s="126">
        <f t="shared" si="64"/>
        <v>1762.1549999999997</v>
      </c>
      <c r="Q241" s="126">
        <f>SUMIF('MPG Payment '!$E$3:$E$344841,'Shayak Income '!D241,'MPG Payment '!$S$3:$S$344841)</f>
        <v>0</v>
      </c>
      <c r="R241" s="126">
        <f t="shared" si="55"/>
        <v>2245.0178999999998</v>
      </c>
      <c r="S241" s="126">
        <f t="shared" si="56"/>
        <v>482.86290000000008</v>
      </c>
      <c r="T241" s="126">
        <f t="shared" si="65"/>
        <v>185.49</v>
      </c>
      <c r="U241" s="127">
        <f>((((((IF(K241="New",0,SUMIF('MPG Payment '!$E$3:$E$344841,'Shayak Income '!D241,'MPG Payment '!$AC$3:$AC$344841))))+0)+0)+0)+0)+0</f>
        <v>761.87487081228483</v>
      </c>
      <c r="V241" s="127">
        <f t="shared" si="66"/>
        <v>2206</v>
      </c>
      <c r="W241" s="19">
        <f t="shared" si="70"/>
        <v>0</v>
      </c>
      <c r="X241" s="19">
        <f t="shared" si="71"/>
        <v>0</v>
      </c>
      <c r="Y241" s="128">
        <f>IFERROR(VLOOKUP(D241,'Monthly Deduction'!$M$2:$N$640,2,0),0)</f>
        <v>0</v>
      </c>
      <c r="Z241" s="128">
        <v>0</v>
      </c>
      <c r="AA241" s="126">
        <f>IFERROR(VLOOKUP(D241,'Monthly Deduction'!A:B,2,0),0)</f>
        <v>0</v>
      </c>
      <c r="AB241" s="129">
        <f t="shared" si="57"/>
        <v>2206</v>
      </c>
      <c r="AC241" s="130">
        <v>0</v>
      </c>
      <c r="AD241" s="35">
        <f t="shared" si="67"/>
        <v>2206</v>
      </c>
      <c r="AE241" s="166" t="str">
        <f t="shared" si="68"/>
        <v>Release</v>
      </c>
      <c r="AF241" s="127"/>
      <c r="AG241" s="18">
        <v>0</v>
      </c>
      <c r="AH241" s="120"/>
      <c r="AI241" s="238">
        <v>0</v>
      </c>
      <c r="AJ241" s="132"/>
      <c r="AK241" s="151">
        <v>432.2</v>
      </c>
      <c r="AL241" s="154">
        <f t="shared" si="58"/>
        <v>0</v>
      </c>
      <c r="AM241" s="155"/>
      <c r="AN241" s="19">
        <f t="shared" si="59"/>
        <v>0</v>
      </c>
      <c r="AO241" s="118">
        <f>SUMIF('MPG Payment '!E:E,'Shayak Income '!D241,'MPG Payment '!AJ:AJ)</f>
        <v>0</v>
      </c>
      <c r="AP241" s="19">
        <f t="shared" si="60"/>
        <v>0</v>
      </c>
      <c r="AQ241" s="119">
        <f t="shared" si="69"/>
        <v>0</v>
      </c>
      <c r="AR241" s="91"/>
      <c r="AS241" s="91">
        <f t="shared" si="61"/>
        <v>0</v>
      </c>
      <c r="AT241" s="118"/>
      <c r="AU241" s="118"/>
      <c r="AV241" s="118"/>
    </row>
    <row r="242" spans="1:48" s="20" customFormat="1" x14ac:dyDescent="0.25">
      <c r="A242" s="17">
        <f>IFERROR(VLOOKUP(D242,'Monthly Deduction'!$I$3:$J$957,2,0),0)</f>
        <v>0</v>
      </c>
      <c r="B242" s="17">
        <f>IFERROR(VLOOKUP(D242,'Monthly Deduction'!$E$3:$F$957,2,0),0)</f>
        <v>0</v>
      </c>
      <c r="C242" s="17">
        <f t="shared" si="62"/>
        <v>0</v>
      </c>
      <c r="D242" s="41">
        <v>10090024</v>
      </c>
      <c r="E242" s="122" t="str">
        <f>VLOOKUP(D242,'MPG Payment '!$E$3:$G$497305,2,0)</f>
        <v>BEHRAMA</v>
      </c>
      <c r="F242" s="146">
        <f>IFERROR(_xlfn.XLOOKUP(D242,'Monthly Deduction'!$I$3:$I$957,'Monthly Deduction'!$H$3:$H$957),0)</f>
        <v>0</v>
      </c>
      <c r="G242" s="123" t="str">
        <f>VLOOKUP(D242,'MPG Payment '!$E$3:$G$333666,3,0)</f>
        <v>vlc</v>
      </c>
      <c r="H242" s="124" t="str">
        <f>VLOOKUP(D242,'MPG Payment '!$E$3:$H$333666,4,0)</f>
        <v>Indirect</v>
      </c>
      <c r="I242" s="88">
        <f>INDEX('MPG Payment '!$C:$C,MATCH('Shayak Income '!D242,'MPG Payment '!E:E,0))</f>
        <v>1009</v>
      </c>
      <c r="J242" s="88" t="str">
        <f>INDEX('MPG Payment '!$D:$D,MATCH('Shayak Income '!D242,'MPG Payment '!E:E,0))</f>
        <v>Halsi</v>
      </c>
      <c r="K242" s="125" t="s">
        <v>1594</v>
      </c>
      <c r="L242" s="125">
        <v>44722</v>
      </c>
      <c r="M242" s="126">
        <f>SUMIF('MPG Payment '!$E$3:$E$344841,'Shayak Income '!D242,'MPG Payment '!$I$3:$I$344841)</f>
        <v>635.90000000000009</v>
      </c>
      <c r="N242" s="126">
        <f>SUMIF('MPG Payment '!$E$3:$E$344841,'Shayak Income '!D242,'MPG Payment '!$J$3:$J$344841)</f>
        <v>25522.9</v>
      </c>
      <c r="O242" s="126">
        <f t="shared" si="63"/>
        <v>476.92500000000007</v>
      </c>
      <c r="P242" s="126">
        <f t="shared" si="64"/>
        <v>604.10500000000002</v>
      </c>
      <c r="Q242" s="126">
        <f>SUMIF('MPG Payment '!$E$3:$E$344841,'Shayak Income '!D242,'MPG Payment '!$S$3:$S$344841)</f>
        <v>0</v>
      </c>
      <c r="R242" s="126">
        <f t="shared" si="55"/>
        <v>765.68700000000001</v>
      </c>
      <c r="S242" s="126">
        <f t="shared" si="56"/>
        <v>161.58199999999999</v>
      </c>
      <c r="T242" s="126">
        <f t="shared" si="65"/>
        <v>63.590000000000011</v>
      </c>
      <c r="U242" s="127">
        <f>((((((IF(K242="New",0,SUMIF('MPG Payment '!$E$3:$E$344841,'Shayak Income '!D242,'MPG Payment '!$AC$3:$AC$344841))))+0)+0)+0)+0)+-720</f>
        <v>1017.0690961162327</v>
      </c>
      <c r="V242" s="127">
        <f t="shared" si="66"/>
        <v>0</v>
      </c>
      <c r="W242" s="19">
        <v>0</v>
      </c>
      <c r="X242" s="19">
        <v>0</v>
      </c>
      <c r="Y242" s="128">
        <v>0</v>
      </c>
      <c r="Z242" s="128">
        <v>0</v>
      </c>
      <c r="AA242" s="126">
        <v>0</v>
      </c>
      <c r="AB242" s="129">
        <f t="shared" si="57"/>
        <v>0</v>
      </c>
      <c r="AC242" s="130">
        <v>0</v>
      </c>
      <c r="AD242" s="35">
        <f t="shared" si="67"/>
        <v>0</v>
      </c>
      <c r="AE242" s="166" t="str">
        <f t="shared" si="68"/>
        <v>Release</v>
      </c>
      <c r="AF242" s="127"/>
      <c r="AG242" s="18">
        <v>0</v>
      </c>
      <c r="AH242" s="132"/>
      <c r="AI242" s="238">
        <v>0</v>
      </c>
      <c r="AJ242" s="132"/>
      <c r="AK242" s="151">
        <v>100.80000000000001</v>
      </c>
      <c r="AL242" s="154">
        <f t="shared" si="58"/>
        <v>0</v>
      </c>
      <c r="AM242" s="155"/>
      <c r="AN242" s="19">
        <f t="shared" si="59"/>
        <v>0</v>
      </c>
      <c r="AO242" s="118">
        <f>SUMIF('MPG Payment '!E:E,'Shayak Income '!D242,'MPG Payment '!AJ:AJ)</f>
        <v>0</v>
      </c>
      <c r="AP242" s="19">
        <f t="shared" si="60"/>
        <v>0</v>
      </c>
      <c r="AQ242" s="119">
        <f t="shared" si="69"/>
        <v>0</v>
      </c>
      <c r="AR242" s="91" t="s">
        <v>1144</v>
      </c>
      <c r="AS242" s="91">
        <f t="shared" si="61"/>
        <v>0</v>
      </c>
      <c r="AT242" s="118"/>
      <c r="AU242" s="118"/>
      <c r="AV242" s="118"/>
    </row>
    <row r="243" spans="1:48" s="20" customFormat="1" x14ac:dyDescent="0.25">
      <c r="A243" s="17">
        <f>IFERROR(VLOOKUP(D243,'Monthly Deduction'!$I$3:$J$957,2,0),0)</f>
        <v>0</v>
      </c>
      <c r="B243" s="17">
        <f>IFERROR(VLOOKUP(D243,'Monthly Deduction'!$E$3:$F$957,2,0),0)</f>
        <v>0</v>
      </c>
      <c r="C243" s="17">
        <f t="shared" si="62"/>
        <v>0</v>
      </c>
      <c r="D243" s="41">
        <v>10090025</v>
      </c>
      <c r="E243" s="122" t="str">
        <f>VLOOKUP(D243,'MPG Payment '!$E$3:$G$497305,2,0)</f>
        <v>Gomukh ID Mathurapur</v>
      </c>
      <c r="F243" s="146">
        <f>IFERROR(_xlfn.XLOOKUP(D243,'Monthly Deduction'!$I$3:$I$957,'Monthly Deduction'!$H$3:$H$957),0)</f>
        <v>0</v>
      </c>
      <c r="G243" s="123" t="str">
        <f>VLOOKUP(D243,'MPG Payment '!$E$3:$G$333666,3,0)</f>
        <v>vlc</v>
      </c>
      <c r="H243" s="124" t="str">
        <f>VLOOKUP(D243,'MPG Payment '!$E$3:$H$333666,4,0)</f>
        <v>Indirect</v>
      </c>
      <c r="I243" s="88">
        <f>INDEX('MPG Payment '!$C:$C,MATCH('Shayak Income '!D243,'MPG Payment '!E:E,0))</f>
        <v>1009</v>
      </c>
      <c r="J243" s="88" t="str">
        <f>INDEX('MPG Payment '!$D:$D,MATCH('Shayak Income '!D243,'MPG Payment '!E:E,0))</f>
        <v>Halsi</v>
      </c>
      <c r="K243" s="125" t="s">
        <v>1594</v>
      </c>
      <c r="L243" s="125">
        <v>44835</v>
      </c>
      <c r="M243" s="126">
        <f>SUMIF('MPG Payment '!$E$3:$E$344841,'Shayak Income '!D243,'MPG Payment '!$I$3:$I$344841)</f>
        <v>1968.7</v>
      </c>
      <c r="N243" s="126">
        <f>SUMIF('MPG Payment '!$E$3:$E$344841,'Shayak Income '!D243,'MPG Payment '!$J$3:$J$344841)</f>
        <v>76211</v>
      </c>
      <c r="O243" s="126">
        <f t="shared" si="63"/>
        <v>1476.5250000000001</v>
      </c>
      <c r="P243" s="126">
        <f t="shared" si="64"/>
        <v>1870.2649999999999</v>
      </c>
      <c r="Q243" s="126">
        <f>SUMIF('MPG Payment '!$E$3:$E$344841,'Shayak Income '!D243,'MPG Payment '!$S$3:$S$344841)</f>
        <v>0</v>
      </c>
      <c r="R243" s="126">
        <f t="shared" si="55"/>
        <v>2286.33</v>
      </c>
      <c r="S243" s="126">
        <f t="shared" si="56"/>
        <v>416.06500000000005</v>
      </c>
      <c r="T243" s="126">
        <f t="shared" si="65"/>
        <v>196.87</v>
      </c>
      <c r="U243" s="127">
        <f>((((((IF(K243="New",0,SUMIF('MPG Payment '!$E$3:$E$344841,'Shayak Income '!D243,'MPG Payment '!$AC$3:$AC$344841))))+0)+0)+0)+0)+0</f>
        <v>645.29966926306361</v>
      </c>
      <c r="V243" s="127">
        <f t="shared" si="66"/>
        <v>2505</v>
      </c>
      <c r="W243" s="19">
        <f t="shared" si="70"/>
        <v>0</v>
      </c>
      <c r="X243" s="19">
        <f t="shared" si="71"/>
        <v>0</v>
      </c>
      <c r="Y243" s="128">
        <f>IFERROR(VLOOKUP(D243,'Monthly Deduction'!$M$2:$N$640,2,0),0)</f>
        <v>0</v>
      </c>
      <c r="Z243" s="128">
        <v>0</v>
      </c>
      <c r="AA243" s="126">
        <f>IFERROR(VLOOKUP(D243,'Monthly Deduction'!A:B,2,0),0)</f>
        <v>0</v>
      </c>
      <c r="AB243" s="129">
        <f t="shared" si="57"/>
        <v>2505</v>
      </c>
      <c r="AC243" s="130">
        <v>0</v>
      </c>
      <c r="AD243" s="35">
        <f t="shared" si="67"/>
        <v>2505</v>
      </c>
      <c r="AE243" s="166" t="str">
        <f t="shared" si="68"/>
        <v>Release</v>
      </c>
      <c r="AF243" s="127"/>
      <c r="AG243" s="18">
        <v>0</v>
      </c>
      <c r="AH243" s="120"/>
      <c r="AI243" s="238">
        <v>0</v>
      </c>
      <c r="AJ243" s="132"/>
      <c r="AK243" s="151">
        <v>468.29999999999995</v>
      </c>
      <c r="AL243" s="154">
        <f t="shared" si="58"/>
        <v>0</v>
      </c>
      <c r="AM243" s="155"/>
      <c r="AN243" s="19">
        <f t="shared" si="59"/>
        <v>0</v>
      </c>
      <c r="AO243" s="118">
        <f>SUMIF('MPG Payment '!E:E,'Shayak Income '!D243,'MPG Payment '!AJ:AJ)</f>
        <v>0</v>
      </c>
      <c r="AP243" s="19">
        <f t="shared" si="60"/>
        <v>0</v>
      </c>
      <c r="AQ243" s="119">
        <f t="shared" si="69"/>
        <v>0</v>
      </c>
      <c r="AR243" s="91" t="s">
        <v>1144</v>
      </c>
      <c r="AS243" s="91">
        <f t="shared" si="61"/>
        <v>0</v>
      </c>
      <c r="AT243" s="118"/>
      <c r="AU243" s="118"/>
      <c r="AV243" s="118"/>
    </row>
    <row r="244" spans="1:48" s="20" customFormat="1" x14ac:dyDescent="0.25">
      <c r="A244" s="17">
        <f>IFERROR(VLOOKUP(D244,'Monthly Deduction'!$I$3:$J$957,2,0),0)</f>
        <v>0</v>
      </c>
      <c r="B244" s="17">
        <f>IFERROR(VLOOKUP(D244,'Monthly Deduction'!$E$3:$F$957,2,0),0)</f>
        <v>0</v>
      </c>
      <c r="C244" s="17">
        <f t="shared" si="62"/>
        <v>0</v>
      </c>
      <c r="D244" s="41">
        <v>10090027</v>
      </c>
      <c r="E244" s="122" t="str">
        <f>VLOOKUP(D244,'MPG Payment '!$E$3:$G$497305,2,0)</f>
        <v>Gomukh ID Kurha Dih</v>
      </c>
      <c r="F244" s="146">
        <f>IFERROR(_xlfn.XLOOKUP(D244,'Monthly Deduction'!$I$3:$I$957,'Monthly Deduction'!$H$3:$H$957),0)</f>
        <v>0</v>
      </c>
      <c r="G244" s="123" t="str">
        <f>VLOOKUP(D244,'MPG Payment '!$E$3:$G$333666,3,0)</f>
        <v>vlc</v>
      </c>
      <c r="H244" s="124" t="str">
        <f>VLOOKUP(D244,'MPG Payment '!$E$3:$H$333666,4,0)</f>
        <v>Indirect</v>
      </c>
      <c r="I244" s="88">
        <f>INDEX('MPG Payment '!$C:$C,MATCH('Shayak Income '!D244,'MPG Payment '!E:E,0))</f>
        <v>1009</v>
      </c>
      <c r="J244" s="88" t="str">
        <f>INDEX('MPG Payment '!$D:$D,MATCH('Shayak Income '!D244,'MPG Payment '!E:E,0))</f>
        <v>Halsi</v>
      </c>
      <c r="K244" s="125" t="s">
        <v>1594</v>
      </c>
      <c r="L244" s="125">
        <v>44866</v>
      </c>
      <c r="M244" s="126">
        <f>SUMIF('MPG Payment '!$E$3:$E$344841,'Shayak Income '!D244,'MPG Payment '!$I$3:$I$344841)</f>
        <v>7410.4</v>
      </c>
      <c r="N244" s="126">
        <f>SUMIF('MPG Payment '!$E$3:$E$344841,'Shayak Income '!D244,'MPG Payment '!$J$3:$J$344841)</f>
        <v>325551.69</v>
      </c>
      <c r="O244" s="126">
        <f t="shared" si="63"/>
        <v>5557.7999999999993</v>
      </c>
      <c r="P244" s="126">
        <f t="shared" si="64"/>
        <v>7039.8799999999992</v>
      </c>
      <c r="Q244" s="126">
        <f>SUMIF('MPG Payment '!$E$3:$E$344841,'Shayak Income '!D244,'MPG Payment '!$S$3:$S$344841)</f>
        <v>0</v>
      </c>
      <c r="R244" s="126">
        <f t="shared" si="55"/>
        <v>9766.5506999999998</v>
      </c>
      <c r="S244" s="126">
        <f t="shared" si="56"/>
        <v>2726.6707000000006</v>
      </c>
      <c r="T244" s="126">
        <f t="shared" si="65"/>
        <v>741.04</v>
      </c>
      <c r="U244" s="127">
        <f>((((((IF(K244="New",0,SUMIF('MPG Payment '!$E$3:$E$344841,'Shayak Income '!D244,'MPG Payment '!$AC$3:$AC$344841))))+0)+0)+0)+0)+0</f>
        <v>0</v>
      </c>
      <c r="V244" s="127">
        <f t="shared" si="66"/>
        <v>11857</v>
      </c>
      <c r="W244" s="19">
        <f t="shared" si="70"/>
        <v>0</v>
      </c>
      <c r="X244" s="19">
        <f t="shared" si="71"/>
        <v>0</v>
      </c>
      <c r="Y244" s="128">
        <f>IFERROR(VLOOKUP(D244,'Monthly Deduction'!$M$2:$N$640,2,0),0)</f>
        <v>0</v>
      </c>
      <c r="Z244" s="128">
        <v>0</v>
      </c>
      <c r="AA244" s="126">
        <f>IFERROR(VLOOKUP(D244,'Monthly Deduction'!A:B,2,0),0)</f>
        <v>0</v>
      </c>
      <c r="AB244" s="129">
        <f t="shared" si="57"/>
        <v>11857</v>
      </c>
      <c r="AC244" s="130">
        <v>0</v>
      </c>
      <c r="AD244" s="35">
        <f t="shared" si="67"/>
        <v>11857</v>
      </c>
      <c r="AE244" s="166" t="str">
        <f t="shared" si="68"/>
        <v>Release</v>
      </c>
      <c r="AF244" s="127"/>
      <c r="AG244" s="18">
        <v>0</v>
      </c>
      <c r="AH244" s="120"/>
      <c r="AI244" s="238">
        <v>0</v>
      </c>
      <c r="AJ244" s="132"/>
      <c r="AK244" s="151">
        <v>1676.4999999999998</v>
      </c>
      <c r="AL244" s="154">
        <f t="shared" si="58"/>
        <v>0</v>
      </c>
      <c r="AM244" s="155"/>
      <c r="AN244" s="19">
        <f t="shared" si="59"/>
        <v>0</v>
      </c>
      <c r="AO244" s="118">
        <f>SUMIF('MPG Payment '!E:E,'Shayak Income '!D244,'MPG Payment '!AJ:AJ)</f>
        <v>0</v>
      </c>
      <c r="AP244" s="19">
        <f t="shared" si="60"/>
        <v>0</v>
      </c>
      <c r="AQ244" s="119">
        <f t="shared" si="69"/>
        <v>0</v>
      </c>
      <c r="AR244" s="91"/>
      <c r="AS244" s="91">
        <f t="shared" si="61"/>
        <v>0</v>
      </c>
      <c r="AT244" s="118"/>
      <c r="AU244" s="118"/>
      <c r="AV244" s="118"/>
    </row>
    <row r="245" spans="1:48" s="20" customFormat="1" x14ac:dyDescent="0.25">
      <c r="A245" s="17">
        <f>IFERROR(VLOOKUP(D245,'Monthly Deduction'!$I$3:$J$957,2,0),0)</f>
        <v>0</v>
      </c>
      <c r="B245" s="17">
        <f>IFERROR(VLOOKUP(D245,'Monthly Deduction'!$E$3:$F$957,2,0),0)</f>
        <v>1890.2656442360003</v>
      </c>
      <c r="C245" s="17">
        <f t="shared" si="62"/>
        <v>1890.2656442360003</v>
      </c>
      <c r="D245" s="41">
        <v>10090029</v>
      </c>
      <c r="E245" s="122" t="str">
        <f>VLOOKUP(D245,'MPG Payment '!$E$3:$G$497305,2,0)</f>
        <v>RAMNAGAR</v>
      </c>
      <c r="F245" s="146">
        <f>IFERROR(_xlfn.XLOOKUP(D245,'Monthly Deduction'!$I$3:$I$957,'Monthly Deduction'!$H$3:$H$957),0)</f>
        <v>0</v>
      </c>
      <c r="G245" s="123" t="str">
        <f>VLOOKUP(D245,'MPG Payment '!$E$3:$G$333666,3,0)</f>
        <v>MPG</v>
      </c>
      <c r="H245" s="124" t="str">
        <f>VLOOKUP(D245,'MPG Payment '!$E$3:$H$333666,4,0)</f>
        <v>Direct</v>
      </c>
      <c r="I245" s="88">
        <f>INDEX('MPG Payment '!$C:$C,MATCH('Shayak Income '!D245,'MPG Payment '!E:E,0))</f>
        <v>1009</v>
      </c>
      <c r="J245" s="88" t="str">
        <f>INDEX('MPG Payment '!$D:$D,MATCH('Shayak Income '!D245,'MPG Payment '!E:E,0))</f>
        <v>Halsi</v>
      </c>
      <c r="K245" s="125" t="s">
        <v>1594</v>
      </c>
      <c r="L245" s="125">
        <v>44967</v>
      </c>
      <c r="M245" s="126">
        <f>SUMIF('MPG Payment '!$E$3:$E$344841,'Shayak Income '!D245,'MPG Payment '!$I$3:$I$344841)</f>
        <v>3023.2</v>
      </c>
      <c r="N245" s="126">
        <f>SUMIF('MPG Payment '!$E$3:$E$344841,'Shayak Income '!D245,'MPG Payment '!$J$3:$J$344841)</f>
        <v>135486.34</v>
      </c>
      <c r="O245" s="126">
        <f t="shared" si="63"/>
        <v>2267.3999999999996</v>
      </c>
      <c r="P245" s="126">
        <f t="shared" si="64"/>
        <v>2872.0399999999995</v>
      </c>
      <c r="Q245" s="126">
        <f>SUMIF('MPG Payment '!$E$3:$E$344841,'Shayak Income '!D245,'MPG Payment '!$S$3:$S$344841)</f>
        <v>1031.0700000000002</v>
      </c>
      <c r="R245" s="126">
        <f t="shared" si="55"/>
        <v>4064.5901999999996</v>
      </c>
      <c r="S245" s="126">
        <f t="shared" si="56"/>
        <v>1192.5502000000001</v>
      </c>
      <c r="T245" s="126">
        <f t="shared" si="65"/>
        <v>302.32</v>
      </c>
      <c r="U245" s="127">
        <f>((((((IF(K245="New",0,SUMIF('MPG Payment '!$E$3:$E$344841,'Shayak Income '!D245,'MPG Payment '!$AC$3:$AC$344841))))+0)+0)+0)+0)+0</f>
        <v>47.026200370599099</v>
      </c>
      <c r="V245" s="127">
        <f t="shared" si="66"/>
        <v>5821</v>
      </c>
      <c r="W245" s="19">
        <f t="shared" si="70"/>
        <v>0</v>
      </c>
      <c r="X245" s="19">
        <f t="shared" si="71"/>
        <v>1890.2656442360003</v>
      </c>
      <c r="Y245" s="128">
        <f>IFERROR(VLOOKUP(D245,'Monthly Deduction'!$M$2:$N$640,2,0),0)</f>
        <v>0</v>
      </c>
      <c r="Z245" s="128">
        <v>0</v>
      </c>
      <c r="AA245" s="126">
        <f>IFERROR(VLOOKUP(D245,'Monthly Deduction'!A:B,2,0),0)</f>
        <v>460.56</v>
      </c>
      <c r="AB245" s="129">
        <f t="shared" si="57"/>
        <v>3470</v>
      </c>
      <c r="AC245" s="130">
        <v>0</v>
      </c>
      <c r="AD245" s="35">
        <f t="shared" si="67"/>
        <v>3470</v>
      </c>
      <c r="AE245" s="166" t="str">
        <f t="shared" si="68"/>
        <v>Release</v>
      </c>
      <c r="AF245" s="127"/>
      <c r="AG245" s="18">
        <v>0</v>
      </c>
      <c r="AH245" s="132"/>
      <c r="AI245" s="238">
        <v>0</v>
      </c>
      <c r="AJ245" s="132"/>
      <c r="AK245" s="151">
        <v>492.59999999999997</v>
      </c>
      <c r="AL245" s="154">
        <f t="shared" si="58"/>
        <v>0</v>
      </c>
      <c r="AM245" s="155"/>
      <c r="AN245" s="19">
        <f t="shared" si="59"/>
        <v>0</v>
      </c>
      <c r="AO245" s="118">
        <f>SUMIF('MPG Payment '!E:E,'Shayak Income '!D245,'MPG Payment '!AJ:AJ)</f>
        <v>0</v>
      </c>
      <c r="AP245" s="19">
        <f t="shared" si="60"/>
        <v>0</v>
      </c>
      <c r="AQ245" s="119">
        <f t="shared" si="69"/>
        <v>0</v>
      </c>
      <c r="AR245" s="91" t="s">
        <v>1144</v>
      </c>
      <c r="AS245" s="91">
        <f t="shared" si="61"/>
        <v>0</v>
      </c>
      <c r="AT245" s="118"/>
      <c r="AU245" s="118"/>
      <c r="AV245" s="118"/>
    </row>
    <row r="246" spans="1:48" s="20" customFormat="1" x14ac:dyDescent="0.25">
      <c r="A246" s="17">
        <f>IFERROR(VLOOKUP(D246,'Monthly Deduction'!$I$3:$J$957,2,0),0)</f>
        <v>0</v>
      </c>
      <c r="B246" s="17">
        <f>IFERROR(VLOOKUP(D246,'Monthly Deduction'!$E$3:$F$957,2,0),0)</f>
        <v>0</v>
      </c>
      <c r="C246" s="17">
        <f t="shared" si="62"/>
        <v>0</v>
      </c>
      <c r="D246" s="41">
        <v>10090033</v>
      </c>
      <c r="E246" s="122" t="str">
        <f>VLOOKUP(D246,'MPG Payment '!$E$3:$G$497305,2,0)</f>
        <v>SANDH MAAF 2</v>
      </c>
      <c r="F246" s="146">
        <f>IFERROR(_xlfn.XLOOKUP(D246,'Monthly Deduction'!$I$3:$I$957,'Monthly Deduction'!$H$3:$H$957),0)</f>
        <v>0</v>
      </c>
      <c r="G246" s="123" t="str">
        <f>VLOOKUP(D246,'MPG Payment '!$E$3:$G$333666,3,0)</f>
        <v>MPG</v>
      </c>
      <c r="H246" s="124" t="str">
        <f>VLOOKUP(D246,'MPG Payment '!$E$3:$H$333666,4,0)</f>
        <v>Direct</v>
      </c>
      <c r="I246" s="88">
        <f>INDEX('MPG Payment '!$C:$C,MATCH('Shayak Income '!D246,'MPG Payment '!E:E,0))</f>
        <v>1009</v>
      </c>
      <c r="J246" s="88" t="str">
        <f>INDEX('MPG Payment '!$D:$D,MATCH('Shayak Income '!D246,'MPG Payment '!E:E,0))</f>
        <v>Halsi</v>
      </c>
      <c r="K246" s="125" t="s">
        <v>1594</v>
      </c>
      <c r="L246" s="125">
        <v>45009</v>
      </c>
      <c r="M246" s="126">
        <f>SUMIF('MPG Payment '!$E$3:$E$344841,'Shayak Income '!D246,'MPG Payment '!$I$3:$I$344841)</f>
        <v>4335.3</v>
      </c>
      <c r="N246" s="126">
        <f>SUMIF('MPG Payment '!$E$3:$E$344841,'Shayak Income '!D246,'MPG Payment '!$J$3:$J$344841)</f>
        <v>201715.57</v>
      </c>
      <c r="O246" s="126">
        <f t="shared" si="63"/>
        <v>3251.4750000000004</v>
      </c>
      <c r="P246" s="126">
        <f t="shared" si="64"/>
        <v>4118.5349999999999</v>
      </c>
      <c r="Q246" s="126">
        <f>SUMIF('MPG Payment '!$E$3:$E$344841,'Shayak Income '!D246,'MPG Payment '!$S$3:$S$344841)</f>
        <v>895.71999999999991</v>
      </c>
      <c r="R246" s="126">
        <f t="shared" si="55"/>
        <v>6051.4670999999998</v>
      </c>
      <c r="S246" s="126">
        <f t="shared" si="56"/>
        <v>1932.9321</v>
      </c>
      <c r="T246" s="126">
        <f t="shared" si="65"/>
        <v>433.53000000000003</v>
      </c>
      <c r="U246" s="127">
        <f>((((((IF(K246="New",0,SUMIF('MPG Payment '!$E$3:$E$344841,'Shayak Income '!D246,'MPG Payment '!$AC$3:$AC$344841))))+0)+0)+0)+0)+0</f>
        <v>0</v>
      </c>
      <c r="V246" s="127">
        <f t="shared" si="66"/>
        <v>7832</v>
      </c>
      <c r="W246" s="19">
        <f t="shared" si="70"/>
        <v>0</v>
      </c>
      <c r="X246" s="19">
        <f t="shared" si="71"/>
        <v>0</v>
      </c>
      <c r="Y246" s="128">
        <f>IFERROR(VLOOKUP(D246,'Monthly Deduction'!$M$2:$N$640,2,0),0)</f>
        <v>0</v>
      </c>
      <c r="Z246" s="128">
        <v>0</v>
      </c>
      <c r="AA246" s="126">
        <f>IFERROR(VLOOKUP(D246,'Monthly Deduction'!A:B,2,0),0)</f>
        <v>0</v>
      </c>
      <c r="AB246" s="129">
        <f t="shared" si="57"/>
        <v>7832</v>
      </c>
      <c r="AC246" s="130">
        <v>0</v>
      </c>
      <c r="AD246" s="35">
        <f t="shared" si="67"/>
        <v>7832</v>
      </c>
      <c r="AE246" s="166" t="str">
        <f t="shared" si="68"/>
        <v>Release</v>
      </c>
      <c r="AF246" s="127"/>
      <c r="AG246" s="18">
        <v>0</v>
      </c>
      <c r="AH246" s="120"/>
      <c r="AI246" s="238">
        <v>0</v>
      </c>
      <c r="AJ246" s="132"/>
      <c r="AK246" s="151">
        <v>1055</v>
      </c>
      <c r="AL246" s="154">
        <f t="shared" si="58"/>
        <v>0</v>
      </c>
      <c r="AM246" s="155"/>
      <c r="AN246" s="19">
        <f t="shared" si="59"/>
        <v>0</v>
      </c>
      <c r="AO246" s="118">
        <f>SUMIF('MPG Payment '!E:E,'Shayak Income '!D246,'MPG Payment '!AJ:AJ)</f>
        <v>0</v>
      </c>
      <c r="AP246" s="19">
        <f t="shared" si="60"/>
        <v>0</v>
      </c>
      <c r="AQ246" s="119">
        <f t="shared" si="69"/>
        <v>0</v>
      </c>
      <c r="AR246" s="91" t="s">
        <v>1144</v>
      </c>
      <c r="AS246" s="91">
        <f t="shared" si="61"/>
        <v>0</v>
      </c>
      <c r="AT246" s="118"/>
      <c r="AU246" s="118"/>
      <c r="AV246" s="118"/>
    </row>
    <row r="247" spans="1:48" s="20" customFormat="1" x14ac:dyDescent="0.25">
      <c r="A247" s="17">
        <f>IFERROR(VLOOKUP(D247,'Monthly Deduction'!$I$3:$J$957,2,0),0)</f>
        <v>0</v>
      </c>
      <c r="B247" s="17">
        <f>IFERROR(VLOOKUP(D247,'Monthly Deduction'!$E$3:$F$957,2,0),0)</f>
        <v>9524.5551999999989</v>
      </c>
      <c r="C247" s="17">
        <f t="shared" si="62"/>
        <v>9524.5551999999989</v>
      </c>
      <c r="D247" s="41">
        <v>10090036</v>
      </c>
      <c r="E247" s="122" t="str">
        <f>VLOOKUP(D247,'MPG Payment '!$E$3:$G$497305,2,0)</f>
        <v xml:space="preserve">TAAL-SHAHARSHA                                                                                      </v>
      </c>
      <c r="F247" s="146">
        <f>IFERROR(_xlfn.XLOOKUP(D247,'Monthly Deduction'!$I$3:$I$957,'Monthly Deduction'!$H$3:$H$957),0)</f>
        <v>0</v>
      </c>
      <c r="G247" s="123" t="str">
        <f>VLOOKUP(D247,'MPG Payment '!$E$3:$G$333666,3,0)</f>
        <v>MPG</v>
      </c>
      <c r="H247" s="124" t="str">
        <f>VLOOKUP(D247,'MPG Payment '!$E$3:$H$333666,4,0)</f>
        <v>Direct</v>
      </c>
      <c r="I247" s="88">
        <f>INDEX('MPG Payment '!$C:$C,MATCH('Shayak Income '!D247,'MPG Payment '!E:E,0))</f>
        <v>1009</v>
      </c>
      <c r="J247" s="88" t="str">
        <f>INDEX('MPG Payment '!$D:$D,MATCH('Shayak Income '!D247,'MPG Payment '!E:E,0))</f>
        <v>Halsi</v>
      </c>
      <c r="K247" s="125" t="s">
        <v>1594</v>
      </c>
      <c r="L247" s="125">
        <v>45052</v>
      </c>
      <c r="M247" s="126">
        <f>SUMIF('MPG Payment '!$E$3:$E$344841,'Shayak Income '!D247,'MPG Payment '!$I$3:$I$344841)</f>
        <v>6716.2999999999993</v>
      </c>
      <c r="N247" s="126">
        <f>SUMIF('MPG Payment '!$E$3:$E$344841,'Shayak Income '!D247,'MPG Payment '!$J$3:$J$344841)</f>
        <v>299122.57999999996</v>
      </c>
      <c r="O247" s="126">
        <f t="shared" si="63"/>
        <v>5037.2249999999995</v>
      </c>
      <c r="P247" s="126">
        <f t="shared" si="64"/>
        <v>6380.4849999999988</v>
      </c>
      <c r="Q247" s="126">
        <f>SUMIF('MPG Payment '!$E$3:$E$344841,'Shayak Income '!D247,'MPG Payment '!$S$3:$S$344841)</f>
        <v>3649.91</v>
      </c>
      <c r="R247" s="126">
        <f t="shared" si="55"/>
        <v>8973.6773999999987</v>
      </c>
      <c r="S247" s="126">
        <f t="shared" si="56"/>
        <v>2593.1923999999999</v>
      </c>
      <c r="T247" s="126">
        <f t="shared" si="65"/>
        <v>671.63</v>
      </c>
      <c r="U247" s="127">
        <f>((((((IF(K247="New",0,SUMIF('MPG Payment '!$E$3:$E$344841,'Shayak Income '!D247,'MPG Payment '!$AC$3:$AC$344841))))+0)+0)+0)+0)+0</f>
        <v>0</v>
      </c>
      <c r="V247" s="127">
        <f t="shared" si="66"/>
        <v>14396</v>
      </c>
      <c r="W247" s="19">
        <f t="shared" si="70"/>
        <v>0</v>
      </c>
      <c r="X247" s="19">
        <f t="shared" si="71"/>
        <v>5982.4515999999994</v>
      </c>
      <c r="Y247" s="128">
        <f>IFERROR(VLOOKUP(D247,'Monthly Deduction'!$M$2:$N$640,2,0),0)</f>
        <v>0</v>
      </c>
      <c r="Z247" s="128">
        <v>0</v>
      </c>
      <c r="AA247" s="126">
        <f>IFERROR(VLOOKUP(D247,'Monthly Deduction'!A:B,2,0),0)</f>
        <v>0</v>
      </c>
      <c r="AB247" s="129">
        <f t="shared" si="57"/>
        <v>8414</v>
      </c>
      <c r="AC247" s="130">
        <v>0</v>
      </c>
      <c r="AD247" s="35">
        <f t="shared" si="67"/>
        <v>8414</v>
      </c>
      <c r="AE247" s="166" t="str">
        <f t="shared" si="68"/>
        <v>Release</v>
      </c>
      <c r="AF247" s="127"/>
      <c r="AG247" s="18">
        <v>0</v>
      </c>
      <c r="AH247" s="120"/>
      <c r="AI247" s="238">
        <v>0</v>
      </c>
      <c r="AJ247" s="132"/>
      <c r="AK247" s="151">
        <v>1730.3</v>
      </c>
      <c r="AL247" s="154">
        <f t="shared" si="58"/>
        <v>0</v>
      </c>
      <c r="AM247" s="155"/>
      <c r="AN247" s="19">
        <f t="shared" si="59"/>
        <v>0</v>
      </c>
      <c r="AO247" s="118">
        <f>SUMIF('MPG Payment '!E:E,'Shayak Income '!D247,'MPG Payment '!AJ:AJ)</f>
        <v>0</v>
      </c>
      <c r="AP247" s="19">
        <f t="shared" si="60"/>
        <v>0</v>
      </c>
      <c r="AQ247" s="119">
        <f t="shared" si="69"/>
        <v>0</v>
      </c>
      <c r="AR247" s="91" t="s">
        <v>1144</v>
      </c>
      <c r="AS247" s="91">
        <f t="shared" si="61"/>
        <v>3542.1035999999995</v>
      </c>
      <c r="AT247" s="118"/>
      <c r="AU247" s="118"/>
      <c r="AV247" s="118"/>
    </row>
    <row r="248" spans="1:48" s="20" customFormat="1" x14ac:dyDescent="0.25">
      <c r="A248" s="17">
        <f>IFERROR(VLOOKUP(D248,'Monthly Deduction'!$I$3:$J$957,2,0),0)</f>
        <v>4087.4547109910927</v>
      </c>
      <c r="B248" s="17">
        <f>IFERROR(VLOOKUP(D248,'Monthly Deduction'!$E$3:$F$957,2,0),0)</f>
        <v>18377</v>
      </c>
      <c r="C248" s="17">
        <f t="shared" si="62"/>
        <v>22464.454710991093</v>
      </c>
      <c r="D248" s="41">
        <v>10090037</v>
      </c>
      <c r="E248" s="122" t="str">
        <f>VLOOKUP(D248,'MPG Payment '!$E$3:$G$497305,2,0)</f>
        <v>Dhira</v>
      </c>
      <c r="F248" s="146">
        <f>IFERROR(_xlfn.XLOOKUP(D248,'Monthly Deduction'!$I$3:$I$957,'Monthly Deduction'!$H$3:$H$957),0)</f>
        <v>0</v>
      </c>
      <c r="G248" s="123" t="str">
        <f>VLOOKUP(D248,'MPG Payment '!$E$3:$G$333666,3,0)</f>
        <v>MPG</v>
      </c>
      <c r="H248" s="124" t="str">
        <f>VLOOKUP(D248,'MPG Payment '!$E$3:$H$333666,4,0)</f>
        <v>Direct</v>
      </c>
      <c r="I248" s="88">
        <f>INDEX('MPG Payment '!$C:$C,MATCH('Shayak Income '!D248,'MPG Payment '!E:E,0))</f>
        <v>1009</v>
      </c>
      <c r="J248" s="88" t="str">
        <f>INDEX('MPG Payment '!$D:$D,MATCH('Shayak Income '!D248,'MPG Payment '!E:E,0))</f>
        <v>Halsi</v>
      </c>
      <c r="K248" s="125" t="s">
        <v>1594</v>
      </c>
      <c r="L248" s="125">
        <v>45078</v>
      </c>
      <c r="M248" s="126">
        <f>SUMIF('MPG Payment '!$E$3:$E$344841,'Shayak Income '!D248,'MPG Payment '!$I$3:$I$344841)</f>
        <v>2854.2</v>
      </c>
      <c r="N248" s="126">
        <f>SUMIF('MPG Payment '!$E$3:$E$344841,'Shayak Income '!D248,'MPG Payment '!$J$3:$J$344841)</f>
        <v>147485</v>
      </c>
      <c r="O248" s="126">
        <f t="shared" si="63"/>
        <v>2140.6499999999996</v>
      </c>
      <c r="P248" s="126">
        <f t="shared" si="64"/>
        <v>2711.49</v>
      </c>
      <c r="Q248" s="126">
        <f>SUMIF('MPG Payment '!$E$3:$E$344841,'Shayak Income '!D248,'MPG Payment '!$S$3:$S$344841)</f>
        <v>1137.9599999999998</v>
      </c>
      <c r="R248" s="126">
        <f t="shared" si="55"/>
        <v>4424.55</v>
      </c>
      <c r="S248" s="126">
        <f t="shared" si="56"/>
        <v>1713.0600000000004</v>
      </c>
      <c r="T248" s="126">
        <f t="shared" si="65"/>
        <v>285.42</v>
      </c>
      <c r="U248" s="127">
        <f>((((((IF(K248="New",0,SUMIF('MPG Payment '!$E$3:$E$344841,'Shayak Income '!D248,'MPG Payment '!$AC$3:$AC$344841))))+0)+0)+0)+0)+0</f>
        <v>61.849919346168065</v>
      </c>
      <c r="V248" s="127">
        <f t="shared" si="66"/>
        <v>5643</v>
      </c>
      <c r="W248" s="19">
        <f t="shared" si="70"/>
        <v>2949.7000000000003</v>
      </c>
      <c r="X248" s="19">
        <v>0</v>
      </c>
      <c r="Y248" s="128">
        <f>IFERROR(VLOOKUP(D248,'Monthly Deduction'!$M$2:$N$640,2,0),0)</f>
        <v>400</v>
      </c>
      <c r="Z248" s="128">
        <v>0</v>
      </c>
      <c r="AA248" s="126">
        <f>IFERROR(VLOOKUP(D248,'Monthly Deduction'!A:B,2,0),0)</f>
        <v>348.53999999999996</v>
      </c>
      <c r="AB248" s="129">
        <f t="shared" si="57"/>
        <v>1945</v>
      </c>
      <c r="AC248" s="130">
        <v>0</v>
      </c>
      <c r="AD248" s="35">
        <f t="shared" si="67"/>
        <v>1945</v>
      </c>
      <c r="AE248" s="166" t="str">
        <f t="shared" si="68"/>
        <v>Release</v>
      </c>
      <c r="AF248" s="127"/>
      <c r="AG248" s="127">
        <v>0</v>
      </c>
      <c r="AH248" s="132"/>
      <c r="AI248" s="238">
        <v>0</v>
      </c>
      <c r="AJ248" s="132"/>
      <c r="AK248" s="151">
        <v>616.4</v>
      </c>
      <c r="AL248" s="154">
        <f t="shared" si="58"/>
        <v>0</v>
      </c>
      <c r="AM248" s="155"/>
      <c r="AN248" s="19">
        <f t="shared" si="59"/>
        <v>2949.7000000000003</v>
      </c>
      <c r="AO248" s="118">
        <f>SUMIF('MPG Payment '!E:E,'Shayak Income '!D248,'MPG Payment '!AJ:AJ)</f>
        <v>0</v>
      </c>
      <c r="AP248" s="19">
        <f t="shared" si="60"/>
        <v>2949.7000000000003</v>
      </c>
      <c r="AQ248" s="119">
        <f t="shared" si="69"/>
        <v>2949.7000000000003</v>
      </c>
      <c r="AR248" s="91" t="s">
        <v>1144</v>
      </c>
      <c r="AS248" s="91">
        <f t="shared" si="61"/>
        <v>18377</v>
      </c>
      <c r="AT248" s="118"/>
      <c r="AU248" s="118"/>
      <c r="AV248" s="118"/>
    </row>
    <row r="249" spans="1:48" s="20" customFormat="1" x14ac:dyDescent="0.25">
      <c r="A249" s="17">
        <f>IFERROR(VLOOKUP(D249,'Monthly Deduction'!$I$3:$J$957,2,0),0)</f>
        <v>0</v>
      </c>
      <c r="B249" s="17">
        <f>IFERROR(VLOOKUP(D249,'Monthly Deduction'!$E$3:$F$957,2,0),0)</f>
        <v>0</v>
      </c>
      <c r="C249" s="17">
        <f t="shared" si="62"/>
        <v>0</v>
      </c>
      <c r="D249" s="41">
        <v>10090041</v>
      </c>
      <c r="E249" s="122" t="str">
        <f>VLOOKUP(D249,'MPG Payment '!$E$3:$G$497305,2,0)</f>
        <v>AZADNAGAR(VLC)</v>
      </c>
      <c r="F249" s="146">
        <f>IFERROR(_xlfn.XLOOKUP(D249,'Monthly Deduction'!$I$3:$I$957,'Monthly Deduction'!$H$3:$H$957),0)</f>
        <v>0</v>
      </c>
      <c r="G249" s="123" t="str">
        <f>VLOOKUP(D249,'MPG Payment '!$E$3:$G$333666,3,0)</f>
        <v>vlc</v>
      </c>
      <c r="H249" s="124" t="str">
        <f>VLOOKUP(D249,'MPG Payment '!$E$3:$H$333666,4,0)</f>
        <v>Indirect</v>
      </c>
      <c r="I249" s="88">
        <f>INDEX('MPG Payment '!$C:$C,MATCH('Shayak Income '!D249,'MPG Payment '!E:E,0))</f>
        <v>1009</v>
      </c>
      <c r="J249" s="88" t="str">
        <f>INDEX('MPG Payment '!$D:$D,MATCH('Shayak Income '!D249,'MPG Payment '!E:E,0))</f>
        <v>Halsi</v>
      </c>
      <c r="K249" s="125" t="s">
        <v>1594</v>
      </c>
      <c r="L249" s="125">
        <v>45152</v>
      </c>
      <c r="M249" s="126">
        <f>SUMIF('MPG Payment '!$E$3:$E$344841,'Shayak Income '!D249,'MPG Payment '!$I$3:$I$344841)</f>
        <v>1385.6</v>
      </c>
      <c r="N249" s="126">
        <f>SUMIF('MPG Payment '!$E$3:$E$344841,'Shayak Income '!D249,'MPG Payment '!$J$3:$J$344841)</f>
        <v>40888.33</v>
      </c>
      <c r="O249" s="126">
        <f t="shared" si="63"/>
        <v>1039.1999999999998</v>
      </c>
      <c r="P249" s="126">
        <f t="shared" si="64"/>
        <v>1316.32</v>
      </c>
      <c r="Q249" s="126">
        <f>SUMIF('MPG Payment '!$E$3:$E$344841,'Shayak Income '!D249,'MPG Payment '!$S$3:$S$344841)</f>
        <v>0</v>
      </c>
      <c r="R249" s="126">
        <f t="shared" si="55"/>
        <v>1226.6499000000001</v>
      </c>
      <c r="S249" s="126">
        <f t="shared" si="56"/>
        <v>-89.67009999999982</v>
      </c>
      <c r="T249" s="126">
        <f t="shared" si="65"/>
        <v>138.56</v>
      </c>
      <c r="U249" s="127">
        <f>((((((IF(K249="New",0,SUMIF('MPG Payment '!$E$3:$E$344841,'Shayak Income '!D249,'MPG Payment '!$AC$3:$AC$344841))))+0)+0)+0)+0)+0</f>
        <v>841.28676545828978</v>
      </c>
      <c r="V249" s="127">
        <f t="shared" si="66"/>
        <v>1376</v>
      </c>
      <c r="W249" s="19">
        <f t="shared" si="70"/>
        <v>0</v>
      </c>
      <c r="X249" s="19">
        <f t="shared" si="71"/>
        <v>0</v>
      </c>
      <c r="Y249" s="128">
        <f>IFERROR(VLOOKUP(D249,'Monthly Deduction'!$M$2:$N$640,2,0),0)</f>
        <v>0</v>
      </c>
      <c r="Z249" s="128">
        <v>0</v>
      </c>
      <c r="AA249" s="126">
        <f>IFERROR(VLOOKUP(D249,'Monthly Deduction'!A:B,2,0),0)</f>
        <v>0</v>
      </c>
      <c r="AB249" s="129">
        <f t="shared" si="57"/>
        <v>1376</v>
      </c>
      <c r="AC249" s="130">
        <v>0</v>
      </c>
      <c r="AD249" s="35">
        <f t="shared" si="67"/>
        <v>1376</v>
      </c>
      <c r="AE249" s="166" t="str">
        <f t="shared" si="68"/>
        <v>Release</v>
      </c>
      <c r="AF249" s="127"/>
      <c r="AG249" s="18">
        <v>0</v>
      </c>
      <c r="AH249" s="120"/>
      <c r="AI249" s="238">
        <v>0</v>
      </c>
      <c r="AJ249" s="132"/>
      <c r="AK249" s="151">
        <v>258.39999999999998</v>
      </c>
      <c r="AL249" s="154">
        <f t="shared" si="58"/>
        <v>0</v>
      </c>
      <c r="AM249" s="155"/>
      <c r="AN249" s="19">
        <f t="shared" si="59"/>
        <v>0</v>
      </c>
      <c r="AO249" s="118">
        <f>SUMIF('MPG Payment '!E:E,'Shayak Income '!D249,'MPG Payment '!AJ:AJ)</f>
        <v>0</v>
      </c>
      <c r="AP249" s="19">
        <f t="shared" si="60"/>
        <v>0</v>
      </c>
      <c r="AQ249" s="119">
        <f t="shared" si="69"/>
        <v>0</v>
      </c>
      <c r="AR249" s="91"/>
      <c r="AS249" s="91">
        <f t="shared" si="61"/>
        <v>0</v>
      </c>
      <c r="AT249" s="118"/>
      <c r="AU249" s="118"/>
      <c r="AV249" s="118"/>
    </row>
    <row r="250" spans="1:48" s="20" customFormat="1" x14ac:dyDescent="0.25">
      <c r="A250" s="17">
        <f>IFERROR(VLOOKUP(D250,'Monthly Deduction'!$I$3:$J$957,2,0),0)</f>
        <v>10121.983661551276</v>
      </c>
      <c r="B250" s="17">
        <f>IFERROR(VLOOKUP(D250,'Monthly Deduction'!$E$3:$F$957,2,0),0)</f>
        <v>11537.557799999999</v>
      </c>
      <c r="C250" s="17">
        <f t="shared" si="62"/>
        <v>21659.541461551275</v>
      </c>
      <c r="D250" s="41">
        <v>10090042</v>
      </c>
      <c r="E250" s="122" t="str">
        <f>VLOOKUP(D250,'MPG Payment '!$E$3:$G$497305,2,0)</f>
        <v>REWAI</v>
      </c>
      <c r="F250" s="146">
        <f>IFERROR(_xlfn.XLOOKUP(D250,'Monthly Deduction'!$I$3:$I$957,'Monthly Deduction'!$H$3:$H$957),0)</f>
        <v>0</v>
      </c>
      <c r="G250" s="123" t="str">
        <f>VLOOKUP(D250,'MPG Payment '!$E$3:$G$333666,3,0)</f>
        <v>MPG</v>
      </c>
      <c r="H250" s="124" t="str">
        <f>VLOOKUP(D250,'MPG Payment '!$E$3:$H$333666,4,0)</f>
        <v>Direct</v>
      </c>
      <c r="I250" s="88">
        <f>INDEX('MPG Payment '!$C:$C,MATCH('Shayak Income '!D250,'MPG Payment '!E:E,0))</f>
        <v>1009</v>
      </c>
      <c r="J250" s="88" t="str">
        <f>INDEX('MPG Payment '!$D:$D,MATCH('Shayak Income '!D250,'MPG Payment '!E:E,0))</f>
        <v>Halsi</v>
      </c>
      <c r="K250" s="125" t="s">
        <v>1594</v>
      </c>
      <c r="L250" s="125">
        <v>44652</v>
      </c>
      <c r="M250" s="126">
        <f>SUMIF('MPG Payment '!$E$3:$E$344841,'Shayak Income '!D250,'MPG Payment '!$I$3:$I$344841)</f>
        <v>3832.3</v>
      </c>
      <c r="N250" s="126">
        <f>SUMIF('MPG Payment '!$E$3:$E$344841,'Shayak Income '!D250,'MPG Payment '!$J$3:$J$344841)</f>
        <v>168437.55</v>
      </c>
      <c r="O250" s="126">
        <f t="shared" si="63"/>
        <v>2874.2250000000004</v>
      </c>
      <c r="P250" s="126">
        <f t="shared" si="64"/>
        <v>3640.6849999999999</v>
      </c>
      <c r="Q250" s="126">
        <f>SUMIF('MPG Payment '!$E$3:$E$344841,'Shayak Income '!D250,'MPG Payment '!$S$3:$S$344841)</f>
        <v>390.28000000000003</v>
      </c>
      <c r="R250" s="126">
        <f t="shared" si="55"/>
        <v>5053.1264999999994</v>
      </c>
      <c r="S250" s="126">
        <f t="shared" si="56"/>
        <v>1412.4414999999995</v>
      </c>
      <c r="T250" s="126">
        <f t="shared" si="65"/>
        <v>383.23</v>
      </c>
      <c r="U250" s="127">
        <f>((((((IF(K250="New",0,SUMIF('MPG Payment '!$E$3:$E$344841,'Shayak Income '!D250,'MPG Payment '!$AC$3:$AC$344841))))+0)+0)+0)+0)+0</f>
        <v>0</v>
      </c>
      <c r="V250" s="127">
        <f t="shared" si="66"/>
        <v>6522</v>
      </c>
      <c r="W250" s="19">
        <f t="shared" si="70"/>
        <v>3368.7509999999997</v>
      </c>
      <c r="X250" s="19">
        <v>0</v>
      </c>
      <c r="Y250" s="128">
        <f>IFERROR(VLOOKUP(D250,'Monthly Deduction'!$M$2:$N$640,2,0),0)</f>
        <v>0</v>
      </c>
      <c r="Z250" s="128">
        <v>0</v>
      </c>
      <c r="AA250" s="126">
        <f>IFERROR(VLOOKUP(D250,'Monthly Deduction'!A:B,2,0),0)</f>
        <v>0</v>
      </c>
      <c r="AB250" s="129">
        <f t="shared" si="57"/>
        <v>3153</v>
      </c>
      <c r="AC250" s="130">
        <v>0</v>
      </c>
      <c r="AD250" s="35">
        <f t="shared" si="67"/>
        <v>3153</v>
      </c>
      <c r="AE250" s="166" t="str">
        <f t="shared" si="68"/>
        <v>Release</v>
      </c>
      <c r="AF250" s="127"/>
      <c r="AG250" s="18">
        <v>0</v>
      </c>
      <c r="AH250" s="120"/>
      <c r="AI250" s="238">
        <v>0</v>
      </c>
      <c r="AJ250" s="132"/>
      <c r="AK250" s="151">
        <v>984.9</v>
      </c>
      <c r="AL250" s="154">
        <f t="shared" si="58"/>
        <v>0</v>
      </c>
      <c r="AM250" s="155"/>
      <c r="AN250" s="19">
        <f t="shared" si="59"/>
        <v>3368.7509999999997</v>
      </c>
      <c r="AO250" s="118">
        <f>SUMIF('MPG Payment '!E:E,'Shayak Income '!D250,'MPG Payment '!AJ:AJ)</f>
        <v>0</v>
      </c>
      <c r="AP250" s="19">
        <f t="shared" si="60"/>
        <v>3368.7509999999997</v>
      </c>
      <c r="AQ250" s="119">
        <f t="shared" si="69"/>
        <v>3368.7509999999997</v>
      </c>
      <c r="AR250" s="91"/>
      <c r="AS250" s="91">
        <f t="shared" si="61"/>
        <v>11537.557799999999</v>
      </c>
      <c r="AT250" s="118"/>
      <c r="AU250" s="118"/>
      <c r="AV250" s="118"/>
    </row>
    <row r="251" spans="1:48" s="20" customFormat="1" x14ac:dyDescent="0.25">
      <c r="A251" s="17">
        <f>IFERROR(VLOOKUP(D251,'Monthly Deduction'!$I$3:$J$957,2,0),0)</f>
        <v>29376.689486501593</v>
      </c>
      <c r="B251" s="17">
        <f>IFERROR(VLOOKUP(D251,'Monthly Deduction'!$E$3:$F$957,2,0),0)</f>
        <v>0</v>
      </c>
      <c r="C251" s="17">
        <f t="shared" si="62"/>
        <v>29376.689486501593</v>
      </c>
      <c r="D251" s="41">
        <v>10090045</v>
      </c>
      <c r="E251" s="122" t="str">
        <f>VLOOKUP(D251,'MPG Payment '!$E$3:$G$497305,2,0)</f>
        <v>MANJOS</v>
      </c>
      <c r="F251" s="146">
        <f>IFERROR(_xlfn.XLOOKUP(D251,'Monthly Deduction'!$I$3:$I$957,'Monthly Deduction'!$H$3:$H$957),0)</f>
        <v>0</v>
      </c>
      <c r="G251" s="123" t="str">
        <f>VLOOKUP(D251,'MPG Payment '!$E$3:$G$333666,3,0)</f>
        <v>MPG</v>
      </c>
      <c r="H251" s="124" t="str">
        <f>VLOOKUP(D251,'MPG Payment '!$E$3:$H$333666,4,0)</f>
        <v>Direct</v>
      </c>
      <c r="I251" s="88">
        <f>INDEX('MPG Payment '!$C:$C,MATCH('Shayak Income '!D251,'MPG Payment '!E:E,0))</f>
        <v>1009</v>
      </c>
      <c r="J251" s="88" t="str">
        <f>INDEX('MPG Payment '!$D:$D,MATCH('Shayak Income '!D251,'MPG Payment '!E:E,0))</f>
        <v>Halsi</v>
      </c>
      <c r="K251" s="125" t="s">
        <v>1594</v>
      </c>
      <c r="L251" s="125">
        <v>45226</v>
      </c>
      <c r="M251" s="126">
        <f>SUMIF('MPG Payment '!$E$3:$E$344841,'Shayak Income '!D251,'MPG Payment '!$I$3:$I$344841)</f>
        <v>345.4</v>
      </c>
      <c r="N251" s="126">
        <f>SUMIF('MPG Payment '!$E$3:$E$344841,'Shayak Income '!D251,'MPG Payment '!$J$3:$J$344841)</f>
        <v>14910.029999999999</v>
      </c>
      <c r="O251" s="126">
        <f t="shared" si="63"/>
        <v>259.04999999999995</v>
      </c>
      <c r="P251" s="126">
        <f t="shared" si="64"/>
        <v>328.12999999999994</v>
      </c>
      <c r="Q251" s="126">
        <f>SUMIF('MPG Payment '!$E$3:$E$344841,'Shayak Income '!D251,'MPG Payment '!$S$3:$S$344841)</f>
        <v>0</v>
      </c>
      <c r="R251" s="126">
        <f t="shared" si="55"/>
        <v>447.30089999999996</v>
      </c>
      <c r="S251" s="126">
        <f t="shared" si="56"/>
        <v>119.17090000000002</v>
      </c>
      <c r="T251" s="126">
        <f t="shared" si="65"/>
        <v>34.54</v>
      </c>
      <c r="U251" s="127">
        <f>((((((IF(K251="New",0,SUMIF('MPG Payment '!$E$3:$E$344841,'Shayak Income '!D251,'MPG Payment '!$AC$3:$AC$344841))))+0)+0)+0)+0)+-1581</f>
        <v>552.48762078095842</v>
      </c>
      <c r="V251" s="127">
        <f t="shared" si="66"/>
        <v>0</v>
      </c>
      <c r="W251" s="19">
        <v>0</v>
      </c>
      <c r="X251" s="19">
        <v>0</v>
      </c>
      <c r="Y251" s="128">
        <v>0</v>
      </c>
      <c r="Z251" s="128">
        <v>0</v>
      </c>
      <c r="AA251" s="126">
        <v>0</v>
      </c>
      <c r="AB251" s="129">
        <f t="shared" si="57"/>
        <v>0</v>
      </c>
      <c r="AC251" s="130">
        <v>0</v>
      </c>
      <c r="AD251" s="35">
        <f t="shared" si="67"/>
        <v>0</v>
      </c>
      <c r="AE251" s="166" t="str">
        <f t="shared" si="68"/>
        <v>Release</v>
      </c>
      <c r="AF251" s="127"/>
      <c r="AG251" s="18">
        <v>0</v>
      </c>
      <c r="AH251" s="132"/>
      <c r="AI251" s="238">
        <v>0</v>
      </c>
      <c r="AJ251" s="132"/>
      <c r="AK251" s="151">
        <v>57</v>
      </c>
      <c r="AL251" s="154">
        <f t="shared" si="58"/>
        <v>0</v>
      </c>
      <c r="AM251" s="155"/>
      <c r="AN251" s="19">
        <f t="shared" si="59"/>
        <v>1861</v>
      </c>
      <c r="AO251" s="118">
        <f>SUMIF('MPG Payment '!E:E,'Shayak Income '!D251,'MPG Payment '!AJ:AJ)</f>
        <v>0</v>
      </c>
      <c r="AP251" s="19">
        <f t="shared" si="60"/>
        <v>0</v>
      </c>
      <c r="AQ251" s="119">
        <f t="shared" si="69"/>
        <v>0</v>
      </c>
      <c r="AR251" s="91"/>
      <c r="AS251" s="91">
        <f t="shared" si="61"/>
        <v>0</v>
      </c>
      <c r="AT251" s="118"/>
      <c r="AU251" s="118"/>
      <c r="AV251" s="118"/>
    </row>
    <row r="252" spans="1:48" s="20" customFormat="1" x14ac:dyDescent="0.25">
      <c r="A252" s="17">
        <f>IFERROR(VLOOKUP(D252,'Monthly Deduction'!$I$3:$J$957,2,0),0)</f>
        <v>33382.618600000002</v>
      </c>
      <c r="B252" s="17">
        <f>IFERROR(VLOOKUP(D252,'Monthly Deduction'!$E$3:$F$957,2,0),0)</f>
        <v>6233.0370000000003</v>
      </c>
      <c r="C252" s="17">
        <f t="shared" si="62"/>
        <v>39615.655599999998</v>
      </c>
      <c r="D252" s="41">
        <v>10090046</v>
      </c>
      <c r="E252" s="122" t="str">
        <f>VLOOKUP(D252,'MPG Payment '!$E$3:$G$497305,2,0)</f>
        <v>RATA</v>
      </c>
      <c r="F252" s="146">
        <f>IFERROR(_xlfn.XLOOKUP(D252,'Monthly Deduction'!$I$3:$I$957,'Monthly Deduction'!$H$3:$H$957),0)</f>
        <v>0</v>
      </c>
      <c r="G252" s="123" t="str">
        <f>VLOOKUP(D252,'MPG Payment '!$E$3:$G$333666,3,0)</f>
        <v>MPG</v>
      </c>
      <c r="H252" s="124" t="str">
        <f>VLOOKUP(D252,'MPG Payment '!$E$3:$H$333666,4,0)</f>
        <v>Direct</v>
      </c>
      <c r="I252" s="88">
        <f>INDEX('MPG Payment '!$C:$C,MATCH('Shayak Income '!D252,'MPG Payment '!E:E,0))</f>
        <v>1009</v>
      </c>
      <c r="J252" s="88" t="str">
        <f>INDEX('MPG Payment '!$D:$D,MATCH('Shayak Income '!D252,'MPG Payment '!E:E,0))</f>
        <v>Halsi</v>
      </c>
      <c r="K252" s="125" t="s">
        <v>1594</v>
      </c>
      <c r="L252" s="125">
        <v>45226</v>
      </c>
      <c r="M252" s="126">
        <f>SUMIF('MPG Payment '!$E$3:$E$344841,'Shayak Income '!D252,'MPG Payment '!$I$3:$I$344841)</f>
        <v>2060.9</v>
      </c>
      <c r="N252" s="126">
        <f>SUMIF('MPG Payment '!$E$3:$E$344841,'Shayak Income '!D252,'MPG Payment '!$J$3:$J$344841)</f>
        <v>96964.46</v>
      </c>
      <c r="O252" s="126">
        <f t="shared" si="63"/>
        <v>1545.6750000000002</v>
      </c>
      <c r="P252" s="126">
        <f t="shared" si="64"/>
        <v>1957.855</v>
      </c>
      <c r="Q252" s="126">
        <f>SUMIF('MPG Payment '!$E$3:$E$344841,'Shayak Income '!D252,'MPG Payment '!$S$3:$S$344841)</f>
        <v>169.61</v>
      </c>
      <c r="R252" s="126">
        <f t="shared" si="55"/>
        <v>2908.9338000000002</v>
      </c>
      <c r="S252" s="126">
        <f t="shared" si="56"/>
        <v>951.07880000000023</v>
      </c>
      <c r="T252" s="126">
        <f t="shared" si="65"/>
        <v>206.09000000000003</v>
      </c>
      <c r="U252" s="127">
        <f>((((((IF(K252="New",0,SUMIF('MPG Payment '!$E$3:$E$344841,'Shayak Income '!D252,'MPG Payment '!$AC$3:$AC$344841))))+0)+0)+0)+0)+0</f>
        <v>692.38243358724822</v>
      </c>
      <c r="V252" s="127">
        <f t="shared" si="66"/>
        <v>2775</v>
      </c>
      <c r="W252" s="19">
        <f t="shared" si="70"/>
        <v>1939.2892000000002</v>
      </c>
      <c r="X252" s="19">
        <v>0</v>
      </c>
      <c r="Y252" s="128">
        <v>836</v>
      </c>
      <c r="Z252" s="128">
        <v>0</v>
      </c>
      <c r="AA252" s="126">
        <v>0</v>
      </c>
      <c r="AB252" s="129">
        <f t="shared" si="57"/>
        <v>0</v>
      </c>
      <c r="AC252" s="130">
        <v>0</v>
      </c>
      <c r="AD252" s="35">
        <f t="shared" si="67"/>
        <v>0</v>
      </c>
      <c r="AE252" s="166" t="str">
        <f t="shared" si="68"/>
        <v>Release</v>
      </c>
      <c r="AF252" s="127"/>
      <c r="AG252" s="18">
        <v>0</v>
      </c>
      <c r="AH252" s="120"/>
      <c r="AI252" s="238">
        <v>0</v>
      </c>
      <c r="AJ252" s="132"/>
      <c r="AK252" s="151">
        <v>370.9</v>
      </c>
      <c r="AL252" s="154">
        <f t="shared" si="58"/>
        <v>0</v>
      </c>
      <c r="AM252" s="155"/>
      <c r="AN252" s="19">
        <f t="shared" si="59"/>
        <v>1939.2892000000002</v>
      </c>
      <c r="AO252" s="118">
        <f>SUMIF('MPG Payment '!E:E,'Shayak Income '!D252,'MPG Payment '!AJ:AJ)</f>
        <v>0</v>
      </c>
      <c r="AP252" s="19">
        <f t="shared" si="60"/>
        <v>1939.2892000000002</v>
      </c>
      <c r="AQ252" s="119">
        <f t="shared" si="69"/>
        <v>1939.2892000000002</v>
      </c>
      <c r="AR252" s="91" t="s">
        <v>1144</v>
      </c>
      <c r="AS252" s="91">
        <f t="shared" si="61"/>
        <v>6233.0370000000003</v>
      </c>
      <c r="AT252" s="118"/>
      <c r="AU252" s="118"/>
      <c r="AV252" s="118"/>
    </row>
    <row r="253" spans="1:48" s="20" customFormat="1" x14ac:dyDescent="0.25">
      <c r="A253" s="17">
        <f>IFERROR(VLOOKUP(D253,'Monthly Deduction'!$I$3:$J$957,2,0),0)</f>
        <v>22342.458736028842</v>
      </c>
      <c r="B253" s="17">
        <f>IFERROR(VLOOKUP(D253,'Monthly Deduction'!$E$3:$F$957,2,0),0)</f>
        <v>7346.9286000000002</v>
      </c>
      <c r="C253" s="17">
        <f t="shared" si="62"/>
        <v>29689.387336028842</v>
      </c>
      <c r="D253" s="41">
        <v>10090047</v>
      </c>
      <c r="E253" s="122" t="str">
        <f>VLOOKUP(D253,'MPG Payment '!$E$3:$G$497305,2,0)</f>
        <v>BARUI</v>
      </c>
      <c r="F253" s="146">
        <f>IFERROR(_xlfn.XLOOKUP(D253,'Monthly Deduction'!$I$3:$I$957,'Monthly Deduction'!$H$3:$H$957),0)</f>
        <v>0</v>
      </c>
      <c r="G253" s="123" t="str">
        <f>VLOOKUP(D253,'MPG Payment '!$E$3:$G$333666,3,0)</f>
        <v>MPG</v>
      </c>
      <c r="H253" s="124" t="str">
        <f>VLOOKUP(D253,'MPG Payment '!$E$3:$H$333666,4,0)</f>
        <v>Direct</v>
      </c>
      <c r="I253" s="88">
        <f>INDEX('MPG Payment '!$C:$C,MATCH('Shayak Income '!D253,'MPG Payment '!E:E,0))</f>
        <v>1009</v>
      </c>
      <c r="J253" s="88" t="str">
        <f>INDEX('MPG Payment '!$D:$D,MATCH('Shayak Income '!D253,'MPG Payment '!E:E,0))</f>
        <v>Halsi</v>
      </c>
      <c r="K253" s="125" t="s">
        <v>1594</v>
      </c>
      <c r="L253" s="125">
        <v>45219</v>
      </c>
      <c r="M253" s="126">
        <f>SUMIF('MPG Payment '!$E$3:$E$344841,'Shayak Income '!D253,'MPG Payment '!$I$3:$I$344841)</f>
        <v>1201.9000000000001</v>
      </c>
      <c r="N253" s="126">
        <f>SUMIF('MPG Payment '!$E$3:$E$344841,'Shayak Income '!D253,'MPG Payment '!$J$3:$J$344841)</f>
        <v>53662.280000000006</v>
      </c>
      <c r="O253" s="126">
        <f t="shared" si="63"/>
        <v>901.42500000000007</v>
      </c>
      <c r="P253" s="126">
        <f t="shared" si="64"/>
        <v>1141.8050000000001</v>
      </c>
      <c r="Q253" s="126">
        <f>SUMIF('MPG Payment '!$E$3:$E$344841,'Shayak Income '!D253,'MPG Payment '!$S$3:$S$344841)</f>
        <v>1411.62</v>
      </c>
      <c r="R253" s="126">
        <f t="shared" si="55"/>
        <v>1609.8684000000001</v>
      </c>
      <c r="S253" s="126">
        <f t="shared" si="56"/>
        <v>468.0634</v>
      </c>
      <c r="T253" s="126">
        <f t="shared" si="65"/>
        <v>120.19000000000001</v>
      </c>
      <c r="U253" s="127">
        <f>((((((IF(K253="New",0,SUMIF('MPG Payment '!$E$3:$E$344841,'Shayak Income '!D253,'MPG Payment '!$AC$3:$AC$344841))))+0)+0)+0)+0)+0</f>
        <v>1428.1842333840691</v>
      </c>
      <c r="V253" s="127">
        <f t="shared" si="66"/>
        <v>1906</v>
      </c>
      <c r="W253" s="19">
        <f t="shared" si="70"/>
        <v>1861</v>
      </c>
      <c r="X253" s="19">
        <v>0</v>
      </c>
      <c r="Y253" s="128">
        <f>IFERROR(VLOOKUP(D253,'Monthly Deduction'!$M$2:$N$640,2,0),0)</f>
        <v>0</v>
      </c>
      <c r="Z253" s="128">
        <v>0</v>
      </c>
      <c r="AA253" s="126">
        <v>45</v>
      </c>
      <c r="AB253" s="129">
        <f t="shared" si="57"/>
        <v>0</v>
      </c>
      <c r="AC253" s="130">
        <v>0</v>
      </c>
      <c r="AD253" s="35">
        <f t="shared" si="67"/>
        <v>0</v>
      </c>
      <c r="AE253" s="166" t="str">
        <f t="shared" si="68"/>
        <v>Release</v>
      </c>
      <c r="AF253" s="127"/>
      <c r="AG253" s="18">
        <v>0</v>
      </c>
      <c r="AH253" s="132"/>
      <c r="AI253" s="238">
        <v>0</v>
      </c>
      <c r="AJ253" s="132"/>
      <c r="AK253" s="151">
        <v>315.10000000000002</v>
      </c>
      <c r="AL253" s="154">
        <f t="shared" si="58"/>
        <v>0</v>
      </c>
      <c r="AM253" s="155"/>
      <c r="AN253" s="19">
        <f t="shared" si="59"/>
        <v>1861</v>
      </c>
      <c r="AO253" s="118">
        <f>SUMIF('MPG Payment '!E:E,'Shayak Income '!D253,'MPG Payment '!AJ:AJ)</f>
        <v>0</v>
      </c>
      <c r="AP253" s="19">
        <f t="shared" si="60"/>
        <v>1861</v>
      </c>
      <c r="AQ253" s="119">
        <f t="shared" si="69"/>
        <v>1861</v>
      </c>
      <c r="AR253" s="91" t="s">
        <v>1144</v>
      </c>
      <c r="AS253" s="91">
        <f t="shared" si="61"/>
        <v>7346.9286000000002</v>
      </c>
      <c r="AT253" s="118"/>
      <c r="AU253" s="118"/>
      <c r="AV253" s="118"/>
    </row>
    <row r="254" spans="1:48" s="20" customFormat="1" x14ac:dyDescent="0.25">
      <c r="A254" s="17">
        <f>IFERROR(VLOOKUP(D254,'Monthly Deduction'!$I$3:$J$957,2,0),0)</f>
        <v>0</v>
      </c>
      <c r="B254" s="17">
        <f>IFERROR(VLOOKUP(D254,'Monthly Deduction'!$E$3:$F$957,2,0),0)</f>
        <v>0</v>
      </c>
      <c r="C254" s="17">
        <f t="shared" si="62"/>
        <v>0</v>
      </c>
      <c r="D254" s="41">
        <v>10090049</v>
      </c>
      <c r="E254" s="122" t="str">
        <f>VLOOKUP(D254,'MPG Payment '!$E$3:$G$497305,2,0)</f>
        <v>LAHUARA                                                                                             </v>
      </c>
      <c r="F254" s="146">
        <f>IFERROR(_xlfn.XLOOKUP(D254,'Monthly Deduction'!$I$3:$I$957,'Monthly Deduction'!$H$3:$H$957),0)</f>
        <v>0</v>
      </c>
      <c r="G254" s="123" t="str">
        <f>VLOOKUP(D254,'MPG Payment '!$E$3:$G$333666,3,0)</f>
        <v>MPG</v>
      </c>
      <c r="H254" s="124" t="str">
        <f>VLOOKUP(D254,'MPG Payment '!$E$3:$H$333666,4,0)</f>
        <v>Direct</v>
      </c>
      <c r="I254" s="88">
        <f>INDEX('MPG Payment '!$C:$C,MATCH('Shayak Income '!D254,'MPG Payment '!E:E,0))</f>
        <v>1009</v>
      </c>
      <c r="J254" s="88" t="str">
        <f>INDEX('MPG Payment '!$D:$D,MATCH('Shayak Income '!D254,'MPG Payment '!E:E,0))</f>
        <v>Halsi</v>
      </c>
      <c r="K254" s="125" t="s">
        <v>1594</v>
      </c>
      <c r="L254" s="125">
        <v>45198</v>
      </c>
      <c r="M254" s="126">
        <f>SUMIF('MPG Payment '!$E$3:$E$344841,'Shayak Income '!D254,'MPG Payment '!$I$3:$I$344841)</f>
        <v>3101.3</v>
      </c>
      <c r="N254" s="126">
        <f>SUMIF('MPG Payment '!$E$3:$E$344841,'Shayak Income '!D254,'MPG Payment '!$J$3:$J$344841)</f>
        <v>165388.58000000002</v>
      </c>
      <c r="O254" s="126">
        <f t="shared" si="63"/>
        <v>2325.9750000000004</v>
      </c>
      <c r="P254" s="126">
        <f t="shared" si="64"/>
        <v>2946.2350000000001</v>
      </c>
      <c r="Q254" s="126">
        <f>SUMIF('MPG Payment '!$E$3:$E$344841,'Shayak Income '!D254,'MPG Payment '!$S$3:$S$344841)</f>
        <v>1533.5800000000004</v>
      </c>
      <c r="R254" s="126">
        <f t="shared" si="55"/>
        <v>4961.6574000000001</v>
      </c>
      <c r="S254" s="126">
        <f t="shared" si="56"/>
        <v>2015.4223999999999</v>
      </c>
      <c r="T254" s="126">
        <f t="shared" si="65"/>
        <v>310.13000000000005</v>
      </c>
      <c r="U254" s="127">
        <f>((((((IF(K254="New",0,SUMIF('MPG Payment '!$E$3:$E$344841,'Shayak Income '!D254,'MPG Payment '!$AC$3:$AC$344841))))+0)+0)+0)+0)+0</f>
        <v>0</v>
      </c>
      <c r="V254" s="127">
        <f t="shared" si="66"/>
        <v>6496</v>
      </c>
      <c r="W254" s="19">
        <f t="shared" si="70"/>
        <v>0</v>
      </c>
      <c r="X254" s="19">
        <f t="shared" si="71"/>
        <v>0</v>
      </c>
      <c r="Y254" s="128">
        <f>IFERROR(VLOOKUP(D254,'Monthly Deduction'!$M$2:$N$640,2,0),0)</f>
        <v>3000</v>
      </c>
      <c r="Z254" s="128">
        <v>115.64</v>
      </c>
      <c r="AA254" s="126">
        <f>IFERROR(VLOOKUP(D254,'Monthly Deduction'!A:B,2,0),0)</f>
        <v>348.52</v>
      </c>
      <c r="AB254" s="129">
        <f t="shared" si="57"/>
        <v>3032</v>
      </c>
      <c r="AC254" s="130">
        <v>0</v>
      </c>
      <c r="AD254" s="35">
        <f t="shared" si="67"/>
        <v>3032</v>
      </c>
      <c r="AE254" s="166" t="str">
        <f t="shared" si="68"/>
        <v>Release</v>
      </c>
      <c r="AF254" s="127"/>
      <c r="AG254" s="18">
        <v>0</v>
      </c>
      <c r="AH254" s="132" t="s">
        <v>1680</v>
      </c>
      <c r="AI254" s="238">
        <v>0</v>
      </c>
      <c r="AJ254" s="132"/>
      <c r="AK254" s="151">
        <v>625.29999999999995</v>
      </c>
      <c r="AL254" s="154">
        <f t="shared" si="58"/>
        <v>0</v>
      </c>
      <c r="AM254" s="155"/>
      <c r="AN254" s="19">
        <f t="shared" si="59"/>
        <v>0</v>
      </c>
      <c r="AO254" s="118">
        <f>SUMIF('MPG Payment '!E:E,'Shayak Income '!D254,'MPG Payment '!AJ:AJ)</f>
        <v>0</v>
      </c>
      <c r="AP254" s="19">
        <f t="shared" si="60"/>
        <v>0</v>
      </c>
      <c r="AQ254" s="119">
        <f t="shared" si="69"/>
        <v>0</v>
      </c>
      <c r="AR254" s="91" t="s">
        <v>1144</v>
      </c>
      <c r="AS254" s="91">
        <f t="shared" si="61"/>
        <v>0</v>
      </c>
      <c r="AT254" s="118"/>
      <c r="AU254" s="118"/>
      <c r="AV254" s="118"/>
    </row>
    <row r="255" spans="1:48" s="20" customFormat="1" x14ac:dyDescent="0.25">
      <c r="A255" s="17">
        <f>IFERROR(VLOOKUP(D255,'Monthly Deduction'!$I$3:$J$957,2,0),0)</f>
        <v>0</v>
      </c>
      <c r="B255" s="17">
        <f>IFERROR(VLOOKUP(D255,'Monthly Deduction'!$E$3:$F$957,2,0),0)</f>
        <v>0</v>
      </c>
      <c r="C255" s="17">
        <f t="shared" si="62"/>
        <v>0</v>
      </c>
      <c r="D255" s="41">
        <v>10090055</v>
      </c>
      <c r="E255" s="122" t="str">
        <f>VLOOKUP(D255,'MPG Payment '!$E$3:$G$497305,2,0)</f>
        <v>RAMDIH Ajit Kumar</v>
      </c>
      <c r="F255" s="146">
        <f>IFERROR(_xlfn.XLOOKUP(D255,'Monthly Deduction'!$I$3:$I$957,'Monthly Deduction'!$H$3:$H$957),0)</f>
        <v>0</v>
      </c>
      <c r="G255" s="123" t="str">
        <f>VLOOKUP(D255,'MPG Payment '!$E$3:$G$333666,3,0)</f>
        <v>vlc</v>
      </c>
      <c r="H255" s="124" t="str">
        <f>VLOOKUP(D255,'MPG Payment '!$E$3:$H$333666,4,0)</f>
        <v>Indirect</v>
      </c>
      <c r="I255" s="88">
        <f>INDEX('MPG Payment '!$C:$C,MATCH('Shayak Income '!D255,'MPG Payment '!E:E,0))</f>
        <v>1009</v>
      </c>
      <c r="J255" s="88" t="str">
        <f>INDEX('MPG Payment '!$D:$D,MATCH('Shayak Income '!D255,'MPG Payment '!E:E,0))</f>
        <v>Halsi</v>
      </c>
      <c r="K255" s="125" t="s">
        <v>1594</v>
      </c>
      <c r="L255" s="125">
        <v>45590</v>
      </c>
      <c r="M255" s="126">
        <f>SUMIF('MPG Payment '!$E$3:$E$344841,'Shayak Income '!D255,'MPG Payment '!$I$3:$I$344841)</f>
        <v>1343.1999999999998</v>
      </c>
      <c r="N255" s="126">
        <f>SUMIF('MPG Payment '!$E$3:$E$344841,'Shayak Income '!D255,'MPG Payment '!$J$3:$J$344841)</f>
        <v>53113.86</v>
      </c>
      <c r="O255" s="126">
        <f t="shared" si="63"/>
        <v>1007.3999999999999</v>
      </c>
      <c r="P255" s="126">
        <f t="shared" si="64"/>
        <v>1276.0399999999997</v>
      </c>
      <c r="Q255" s="126">
        <f>SUMIF('MPG Payment '!$E$3:$E$344841,'Shayak Income '!D255,'MPG Payment '!$S$3:$S$344841)</f>
        <v>0</v>
      </c>
      <c r="R255" s="126">
        <f t="shared" si="55"/>
        <v>1593.4158</v>
      </c>
      <c r="S255" s="126">
        <f t="shared" si="56"/>
        <v>317.37580000000025</v>
      </c>
      <c r="T255" s="126">
        <f t="shared" si="65"/>
        <v>134.32</v>
      </c>
      <c r="U255" s="127">
        <f>((((((IF(K255="New",0,SUMIF('MPG Payment '!$E$3:$E$344841,'Shayak Income '!D255,'MPG Payment '!$AC$3:$AC$344841))))+0)+0)+0)+0)+0</f>
        <v>1160.3505577281151</v>
      </c>
      <c r="V255" s="127">
        <f t="shared" si="66"/>
        <v>989</v>
      </c>
      <c r="W255" s="19">
        <f t="shared" si="70"/>
        <v>0</v>
      </c>
      <c r="X255" s="19">
        <f t="shared" si="71"/>
        <v>0</v>
      </c>
      <c r="Y255" s="128">
        <f>IFERROR(VLOOKUP(D255,'Monthly Deduction'!$M$2:$N$640,2,0),0)</f>
        <v>0</v>
      </c>
      <c r="Z255" s="128">
        <v>0</v>
      </c>
      <c r="AA255" s="126">
        <f>IFERROR(VLOOKUP(D255,'Monthly Deduction'!A:B,2,0),0)</f>
        <v>0</v>
      </c>
      <c r="AB255" s="129">
        <f t="shared" si="57"/>
        <v>989</v>
      </c>
      <c r="AC255" s="130">
        <v>0</v>
      </c>
      <c r="AD255" s="35">
        <f t="shared" si="67"/>
        <v>989</v>
      </c>
      <c r="AE255" s="166" t="str">
        <f t="shared" si="68"/>
        <v>Release</v>
      </c>
      <c r="AF255" s="127"/>
      <c r="AG255" s="18">
        <v>0</v>
      </c>
      <c r="AH255" s="120"/>
      <c r="AI255" s="238">
        <v>0</v>
      </c>
      <c r="AJ255" s="132"/>
      <c r="AK255" s="151">
        <v>250.3</v>
      </c>
      <c r="AL255" s="154">
        <f t="shared" si="58"/>
        <v>0</v>
      </c>
      <c r="AM255" s="155"/>
      <c r="AN255" s="19">
        <f t="shared" si="59"/>
        <v>0</v>
      </c>
      <c r="AO255" s="118">
        <f>SUMIF('MPG Payment '!E:E,'Shayak Income '!D255,'MPG Payment '!AJ:AJ)</f>
        <v>0</v>
      </c>
      <c r="AP255" s="19">
        <f t="shared" si="60"/>
        <v>0</v>
      </c>
      <c r="AQ255" s="119">
        <f t="shared" si="69"/>
        <v>0</v>
      </c>
      <c r="AR255" s="91" t="s">
        <v>1144</v>
      </c>
      <c r="AS255" s="91">
        <f t="shared" si="61"/>
        <v>0</v>
      </c>
      <c r="AT255" s="118"/>
      <c r="AU255" s="118"/>
      <c r="AV255" s="118"/>
    </row>
    <row r="256" spans="1:48" s="20" customFormat="1" x14ac:dyDescent="0.25">
      <c r="A256" s="17">
        <f>IFERROR(VLOOKUP(D256,'Monthly Deduction'!$I$3:$J$957,2,0),0)</f>
        <v>50179.582343874572</v>
      </c>
      <c r="B256" s="17">
        <f>IFERROR(VLOOKUP(D256,'Monthly Deduction'!$E$3:$F$957,2,0),0)</f>
        <v>7182</v>
      </c>
      <c r="C256" s="17">
        <f t="shared" si="62"/>
        <v>57361.582343874572</v>
      </c>
      <c r="D256" s="41">
        <v>10090056</v>
      </c>
      <c r="E256" s="122" t="str">
        <f>VLOOKUP(D256,'MPG Payment '!$E$3:$G$497305,2,0)</f>
        <v>NARAYANPUR</v>
      </c>
      <c r="F256" s="146">
        <f>IFERROR(_xlfn.XLOOKUP(D256,'Monthly Deduction'!$I$3:$I$957,'Monthly Deduction'!$H$3:$H$957),0)</f>
        <v>0</v>
      </c>
      <c r="G256" s="123" t="str">
        <f>VLOOKUP(D256,'MPG Payment '!$E$3:$G$333666,3,0)</f>
        <v>MPG</v>
      </c>
      <c r="H256" s="124" t="str">
        <f>VLOOKUP(D256,'MPG Payment '!$E$3:$H$333666,4,0)</f>
        <v>Direct</v>
      </c>
      <c r="I256" s="88">
        <f>INDEX('MPG Payment '!$C:$C,MATCH('Shayak Income '!D256,'MPG Payment '!E:E,0))</f>
        <v>1009</v>
      </c>
      <c r="J256" s="88" t="str">
        <f>INDEX('MPG Payment '!$D:$D,MATCH('Shayak Income '!D256,'MPG Payment '!E:E,0))</f>
        <v>Halsi</v>
      </c>
      <c r="K256" s="125" t="s">
        <v>1594</v>
      </c>
      <c r="L256" s="125">
        <v>45614</v>
      </c>
      <c r="M256" s="126">
        <f>SUMIF('MPG Payment '!$E$3:$E$344841,'Shayak Income '!D256,'MPG Payment '!$I$3:$I$344841)</f>
        <v>1198.4000000000001</v>
      </c>
      <c r="N256" s="126">
        <f>SUMIF('MPG Payment '!$E$3:$E$344841,'Shayak Income '!D256,'MPG Payment '!$J$3:$J$344841)</f>
        <v>52860.17</v>
      </c>
      <c r="O256" s="126">
        <f t="shared" si="63"/>
        <v>898.80000000000007</v>
      </c>
      <c r="P256" s="126">
        <f t="shared" si="64"/>
        <v>1138.48</v>
      </c>
      <c r="Q256" s="126">
        <f>SUMIF('MPG Payment '!$E$3:$E$344841,'Shayak Income '!D256,'MPG Payment '!$S$3:$S$344841)</f>
        <v>255.87</v>
      </c>
      <c r="R256" s="126">
        <f t="shared" si="55"/>
        <v>1585.8050999999998</v>
      </c>
      <c r="S256" s="126">
        <f t="shared" si="56"/>
        <v>447.32509999999979</v>
      </c>
      <c r="T256" s="126">
        <f t="shared" si="65"/>
        <v>119.84000000000002</v>
      </c>
      <c r="U256" s="127">
        <f>((((((IF(K256="New",0,SUMIF('MPG Payment '!$E$3:$E$344841,'Shayak Income '!D256,'MPG Payment '!$AC$3:$AC$344841))))+0)+0)+0)+0)+0</f>
        <v>1412.4977378212243</v>
      </c>
      <c r="V256" s="127">
        <f t="shared" si="66"/>
        <v>761</v>
      </c>
      <c r="W256" s="19">
        <v>761</v>
      </c>
      <c r="X256" s="19">
        <v>0</v>
      </c>
      <c r="Y256" s="128">
        <v>0</v>
      </c>
      <c r="Z256" s="128">
        <v>0</v>
      </c>
      <c r="AA256" s="126">
        <v>0</v>
      </c>
      <c r="AB256" s="129">
        <f t="shared" si="57"/>
        <v>0</v>
      </c>
      <c r="AC256" s="130">
        <v>0</v>
      </c>
      <c r="AD256" s="35">
        <f t="shared" si="67"/>
        <v>0</v>
      </c>
      <c r="AE256" s="166" t="str">
        <f t="shared" si="68"/>
        <v>Release</v>
      </c>
      <c r="AF256" s="127"/>
      <c r="AG256" s="127">
        <v>0</v>
      </c>
      <c r="AH256" s="120"/>
      <c r="AI256" s="238">
        <v>0</v>
      </c>
      <c r="AJ256" s="132"/>
      <c r="AK256" s="151">
        <v>202.5</v>
      </c>
      <c r="AL256" s="154">
        <f t="shared" si="58"/>
        <v>0</v>
      </c>
      <c r="AM256" s="155"/>
      <c r="AN256" s="19">
        <f t="shared" si="59"/>
        <v>1861</v>
      </c>
      <c r="AO256" s="118">
        <f>SUMIF('MPG Payment '!E:E,'Shayak Income '!D256,'MPG Payment '!AJ:AJ)</f>
        <v>0</v>
      </c>
      <c r="AP256" s="19">
        <f t="shared" si="60"/>
        <v>761</v>
      </c>
      <c r="AQ256" s="119">
        <f t="shared" si="69"/>
        <v>761</v>
      </c>
      <c r="AR256" s="91" t="s">
        <v>1144</v>
      </c>
      <c r="AS256" s="91">
        <f t="shared" si="61"/>
        <v>7182</v>
      </c>
      <c r="AT256" s="118"/>
      <c r="AU256" s="118"/>
      <c r="AV256" s="118"/>
    </row>
    <row r="257" spans="1:48" s="20" customFormat="1" x14ac:dyDescent="0.25">
      <c r="A257" s="17">
        <f>IFERROR(VLOOKUP(D257,'Monthly Deduction'!$I$3:$J$957,2,0),0)</f>
        <v>50033.273448690095</v>
      </c>
      <c r="B257" s="17">
        <f>IFERROR(VLOOKUP(D257,'Monthly Deduction'!$E$3:$F$957,2,0),0)</f>
        <v>9564.0036</v>
      </c>
      <c r="C257" s="17">
        <f t="shared" si="62"/>
        <v>59597.277048690099</v>
      </c>
      <c r="D257" s="41">
        <v>10090058</v>
      </c>
      <c r="E257" s="122" t="str">
        <f>VLOOKUP(D257,'MPG Payment '!$E$3:$G$497305,2,0)</f>
        <v>NAWKADIH</v>
      </c>
      <c r="F257" s="146">
        <f>IFERROR(_xlfn.XLOOKUP(D257,'Monthly Deduction'!$I$3:$I$957,'Monthly Deduction'!$H$3:$H$957),0)</f>
        <v>0</v>
      </c>
      <c r="G257" s="123" t="str">
        <f>VLOOKUP(D257,'MPG Payment '!$E$3:$G$333666,3,0)</f>
        <v>MPG</v>
      </c>
      <c r="H257" s="124" t="str">
        <f>VLOOKUP(D257,'MPG Payment '!$E$3:$H$333666,4,0)</f>
        <v>Direct</v>
      </c>
      <c r="I257" s="88">
        <f>INDEX('MPG Payment '!$C:$C,MATCH('Shayak Income '!D257,'MPG Payment '!E:E,0))</f>
        <v>1009</v>
      </c>
      <c r="J257" s="88" t="str">
        <f>INDEX('MPG Payment '!$D:$D,MATCH('Shayak Income '!D257,'MPG Payment '!E:E,0))</f>
        <v>Halsi</v>
      </c>
      <c r="K257" s="125" t="s">
        <v>1594</v>
      </c>
      <c r="L257" s="125">
        <v>45681</v>
      </c>
      <c r="M257" s="126">
        <f>SUMIF('MPG Payment '!$E$3:$E$344841,'Shayak Income '!D257,'MPG Payment '!$I$3:$I$344841)</f>
        <v>3278.5</v>
      </c>
      <c r="N257" s="126">
        <f>SUMIF('MPG Payment '!$E$3:$E$344841,'Shayak Income '!D257,'MPG Payment '!$J$3:$J$344841)</f>
        <v>146261.56</v>
      </c>
      <c r="O257" s="126">
        <f t="shared" si="63"/>
        <v>2458.875</v>
      </c>
      <c r="P257" s="126">
        <f t="shared" si="64"/>
        <v>3114.5749999999998</v>
      </c>
      <c r="Q257" s="126">
        <f>SUMIF('MPG Payment '!$E$3:$E$344841,'Shayak Income '!D257,'MPG Payment '!$S$3:$S$344841)</f>
        <v>0</v>
      </c>
      <c r="R257" s="126">
        <f t="shared" si="55"/>
        <v>4387.8467999999993</v>
      </c>
      <c r="S257" s="126">
        <f t="shared" si="56"/>
        <v>1273.2717999999995</v>
      </c>
      <c r="T257" s="126">
        <f t="shared" si="65"/>
        <v>327.85</v>
      </c>
      <c r="U257" s="127">
        <f>((((((IF(K257="New",0,SUMIF('MPG Payment '!$E$3:$E$344841,'Shayak Income '!D257,'MPG Payment '!$AC$3:$AC$344841))))+0)+0)+0)+0)+0</f>
        <v>0</v>
      </c>
      <c r="V257" s="127">
        <f t="shared" si="66"/>
        <v>5246</v>
      </c>
      <c r="W257" s="19">
        <f t="shared" si="70"/>
        <v>2925.2312000000002</v>
      </c>
      <c r="X257" s="19">
        <v>0</v>
      </c>
      <c r="Y257" s="128">
        <f>IFERROR(VLOOKUP(D257,'Monthly Deduction'!$M$2:$N$640,2,0),0)</f>
        <v>0</v>
      </c>
      <c r="Z257" s="128">
        <v>0</v>
      </c>
      <c r="AA257" s="126">
        <f>IFERROR(VLOOKUP(D257,'Monthly Deduction'!A:B,2,0),0)</f>
        <v>0</v>
      </c>
      <c r="AB257" s="129">
        <f t="shared" si="57"/>
        <v>2321</v>
      </c>
      <c r="AC257" s="130">
        <v>0</v>
      </c>
      <c r="AD257" s="35">
        <f t="shared" si="67"/>
        <v>2321</v>
      </c>
      <c r="AE257" s="166" t="str">
        <f t="shared" si="68"/>
        <v>Release</v>
      </c>
      <c r="AF257" s="127"/>
      <c r="AG257" s="18">
        <v>0</v>
      </c>
      <c r="AH257" s="120"/>
      <c r="AI257" s="238">
        <v>0</v>
      </c>
      <c r="AJ257" s="132"/>
      <c r="AK257" s="151">
        <v>578.70000000000005</v>
      </c>
      <c r="AL257" s="154">
        <f t="shared" si="58"/>
        <v>0</v>
      </c>
      <c r="AM257" s="155"/>
      <c r="AN257" s="19">
        <f t="shared" si="59"/>
        <v>2925.2312000000002</v>
      </c>
      <c r="AO257" s="118">
        <f>SUMIF('MPG Payment '!E:E,'Shayak Income '!D257,'MPG Payment '!AJ:AJ)</f>
        <v>0</v>
      </c>
      <c r="AP257" s="19">
        <f t="shared" si="60"/>
        <v>2925.2312000000002</v>
      </c>
      <c r="AQ257" s="119">
        <f t="shared" si="69"/>
        <v>2925.2312000000002</v>
      </c>
      <c r="AR257" s="91" t="s">
        <v>1144</v>
      </c>
      <c r="AS257" s="91">
        <f t="shared" si="61"/>
        <v>9564.0036</v>
      </c>
      <c r="AT257" s="118"/>
      <c r="AU257" s="118"/>
      <c r="AV257" s="118"/>
    </row>
    <row r="258" spans="1:48" s="20" customFormat="1" x14ac:dyDescent="0.25">
      <c r="A258" s="17">
        <f>IFERROR(VLOOKUP(D258,'Monthly Deduction'!$I$3:$J$957,2,0),0)</f>
        <v>63102</v>
      </c>
      <c r="B258" s="17">
        <f>IFERROR(VLOOKUP(D258,'Monthly Deduction'!$E$3:$F$957,2,0),0)</f>
        <v>4280.6896857994798</v>
      </c>
      <c r="C258" s="17">
        <f t="shared" si="62"/>
        <v>67382.689685799472</v>
      </c>
      <c r="D258" s="41">
        <v>10090060</v>
      </c>
      <c r="E258" s="122" t="str">
        <f>VLOOKUP(D258,'MPG Payment '!$E$3:$G$497305,2,0)</f>
        <v xml:space="preserve">KHARAGWADA </v>
      </c>
      <c r="F258" s="146">
        <f>IFERROR(_xlfn.XLOOKUP(D258,'Monthly Deduction'!$I$3:$I$957,'Monthly Deduction'!$H$3:$H$957),0)</f>
        <v>0</v>
      </c>
      <c r="G258" s="123" t="str">
        <f>VLOOKUP(D258,'MPG Payment '!$E$3:$G$333666,3,0)</f>
        <v>MPG</v>
      </c>
      <c r="H258" s="124" t="str">
        <f>VLOOKUP(D258,'MPG Payment '!$E$3:$H$333666,4,0)</f>
        <v>Direct</v>
      </c>
      <c r="I258" s="88">
        <f>INDEX('MPG Payment '!$C:$C,MATCH('Shayak Income '!D258,'MPG Payment '!E:E,0))</f>
        <v>1009</v>
      </c>
      <c r="J258" s="88" t="str">
        <f>INDEX('MPG Payment '!$D:$D,MATCH('Shayak Income '!D258,'MPG Payment '!E:E,0))</f>
        <v>Halsi</v>
      </c>
      <c r="K258" s="125" t="s">
        <v>1594</v>
      </c>
      <c r="L258" s="125">
        <v>45707</v>
      </c>
      <c r="M258" s="126">
        <f>SUMIF('MPG Payment '!$E$3:$E$344841,'Shayak Income '!D258,'MPG Payment '!$I$3:$I$344841)</f>
        <v>738.2</v>
      </c>
      <c r="N258" s="126">
        <f>SUMIF('MPG Payment '!$E$3:$E$344841,'Shayak Income '!D258,'MPG Payment '!$J$3:$J$344841)</f>
        <v>35606.719999999994</v>
      </c>
      <c r="O258" s="126">
        <f t="shared" si="63"/>
        <v>553.65000000000009</v>
      </c>
      <c r="P258" s="126">
        <f t="shared" si="64"/>
        <v>701.29</v>
      </c>
      <c r="Q258" s="126">
        <f>SUMIF('MPG Payment '!$E$3:$E$344841,'Shayak Income '!D258,'MPG Payment '!$S$3:$S$344841)</f>
        <v>0</v>
      </c>
      <c r="R258" s="126">
        <f t="shared" si="55"/>
        <v>1068.2015999999999</v>
      </c>
      <c r="S258" s="126">
        <f t="shared" si="56"/>
        <v>366.91159999999991</v>
      </c>
      <c r="T258" s="126">
        <f t="shared" si="65"/>
        <v>73.820000000000007</v>
      </c>
      <c r="U258" s="127">
        <f>((((((IF(K258="New",0,SUMIF('MPG Payment '!$E$3:$E$344841,'Shayak Income '!D258,'MPG Payment '!$AC$3:$AC$344841))))+0)+0)+0)+0)+-817</f>
        <v>1181.5702108512164</v>
      </c>
      <c r="V258" s="127">
        <f t="shared" si="66"/>
        <v>0</v>
      </c>
      <c r="W258" s="19">
        <v>0</v>
      </c>
      <c r="X258" s="19">
        <v>0</v>
      </c>
      <c r="Y258" s="128">
        <v>0</v>
      </c>
      <c r="Z258" s="128">
        <v>0</v>
      </c>
      <c r="AA258" s="126">
        <v>0</v>
      </c>
      <c r="AB258" s="129">
        <f t="shared" si="57"/>
        <v>0</v>
      </c>
      <c r="AC258" s="130">
        <f t="shared" ref="AC258:AC260" si="72">AB258</f>
        <v>0</v>
      </c>
      <c r="AD258" s="35">
        <f t="shared" si="67"/>
        <v>0</v>
      </c>
      <c r="AE258" s="166" t="str">
        <f t="shared" si="68"/>
        <v>Release</v>
      </c>
      <c r="AF258" s="127"/>
      <c r="AG258" s="18">
        <v>0</v>
      </c>
      <c r="AH258" s="120" t="s">
        <v>1683</v>
      </c>
      <c r="AI258" s="238">
        <v>0</v>
      </c>
      <c r="AJ258" s="132"/>
      <c r="AK258" s="151">
        <v>94.8</v>
      </c>
      <c r="AL258" s="154">
        <f t="shared" si="58"/>
        <v>0</v>
      </c>
      <c r="AM258" s="155"/>
      <c r="AN258" s="19">
        <f t="shared" si="59"/>
        <v>1861</v>
      </c>
      <c r="AO258" s="118">
        <f>SUMIF('MPG Payment '!E:E,'Shayak Income '!D258,'MPG Payment '!AJ:AJ)</f>
        <v>2000</v>
      </c>
      <c r="AP258" s="19">
        <f t="shared" si="60"/>
        <v>0</v>
      </c>
      <c r="AQ258" s="119">
        <f t="shared" si="69"/>
        <v>2000</v>
      </c>
      <c r="AR258" s="91" t="s">
        <v>1144</v>
      </c>
      <c r="AS258" s="91">
        <f t="shared" si="61"/>
        <v>4280.6896857994798</v>
      </c>
      <c r="AT258" s="118"/>
      <c r="AU258" s="118"/>
      <c r="AV258" s="118"/>
    </row>
    <row r="259" spans="1:48" s="20" customFormat="1" x14ac:dyDescent="0.25">
      <c r="A259" s="17">
        <f>IFERROR(VLOOKUP(D259,'Monthly Deduction'!$I$3:$J$957,2,0),0)</f>
        <v>95620</v>
      </c>
      <c r="B259" s="17">
        <f>IFERROR(VLOOKUP(D259,'Monthly Deduction'!$E$3:$F$957,2,0),0)</f>
        <v>0</v>
      </c>
      <c r="C259" s="17">
        <f t="shared" si="62"/>
        <v>95620</v>
      </c>
      <c r="D259" s="41">
        <v>10090061</v>
      </c>
      <c r="E259" s="122" t="str">
        <f>VLOOKUP(D259,'MPG Payment '!$E$3:$G$497305,2,0)</f>
        <v>UFFAPUR</v>
      </c>
      <c r="F259" s="146">
        <f>IFERROR(_xlfn.XLOOKUP(D259,'Monthly Deduction'!$I$3:$I$957,'Monthly Deduction'!$H$3:$H$957),0)</f>
        <v>0</v>
      </c>
      <c r="G259" s="123" t="str">
        <f>VLOOKUP(D259,'MPG Payment '!$E$3:$G$333666,3,0)</f>
        <v>MPG</v>
      </c>
      <c r="H259" s="124" t="str">
        <f>VLOOKUP(D259,'MPG Payment '!$E$3:$H$333666,4,0)</f>
        <v>Direct</v>
      </c>
      <c r="I259" s="88">
        <f>INDEX('MPG Payment '!$C:$C,MATCH('Shayak Income '!D259,'MPG Payment '!E:E,0))</f>
        <v>1009</v>
      </c>
      <c r="J259" s="88" t="str">
        <f>INDEX('MPG Payment '!$D:$D,MATCH('Shayak Income '!D259,'MPG Payment '!E:E,0))</f>
        <v>Halsi</v>
      </c>
      <c r="K259" s="125" t="s">
        <v>1594</v>
      </c>
      <c r="L259" s="125">
        <v>45722</v>
      </c>
      <c r="M259" s="126">
        <f>SUMIF('MPG Payment '!$E$3:$E$344841,'Shayak Income '!D259,'MPG Payment '!$I$3:$I$344841)</f>
        <v>806.40000000000009</v>
      </c>
      <c r="N259" s="126">
        <f>SUMIF('MPG Payment '!$E$3:$E$344841,'Shayak Income '!D259,'MPG Payment '!$J$3:$J$344841)</f>
        <v>37064.92</v>
      </c>
      <c r="O259" s="126">
        <f t="shared" si="63"/>
        <v>604.80000000000007</v>
      </c>
      <c r="P259" s="126">
        <f t="shared" si="64"/>
        <v>766.08</v>
      </c>
      <c r="Q259" s="126">
        <f>SUMIF('MPG Payment '!$E$3:$E$344841,'Shayak Income '!D259,'MPG Payment '!$S$3:$S$344841)</f>
        <v>0</v>
      </c>
      <c r="R259" s="126">
        <f t="shared" si="55"/>
        <v>1111.9476</v>
      </c>
      <c r="S259" s="126">
        <f t="shared" si="56"/>
        <v>345.86759999999992</v>
      </c>
      <c r="T259" s="126">
        <f t="shared" si="65"/>
        <v>80.640000000000015</v>
      </c>
      <c r="U259" s="127">
        <f>((((((IF(K259="New",0,SUMIF('MPG Payment '!$E$3:$E$344841,'Shayak Income '!D259,'MPG Payment '!$AC$3:$AC$344841))))+0)+0)+0)+0)+-528</f>
        <v>1290.5336645783887</v>
      </c>
      <c r="V259" s="127">
        <f t="shared" si="66"/>
        <v>0</v>
      </c>
      <c r="W259" s="19">
        <v>0</v>
      </c>
      <c r="X259" s="19">
        <v>0</v>
      </c>
      <c r="Y259" s="128">
        <v>0</v>
      </c>
      <c r="Z259" s="128">
        <v>0</v>
      </c>
      <c r="AA259" s="126">
        <v>0</v>
      </c>
      <c r="AB259" s="129">
        <f t="shared" si="57"/>
        <v>0</v>
      </c>
      <c r="AC259" s="130">
        <f t="shared" si="72"/>
        <v>0</v>
      </c>
      <c r="AD259" s="35">
        <f t="shared" si="67"/>
        <v>0</v>
      </c>
      <c r="AE259" s="166" t="str">
        <f t="shared" si="68"/>
        <v>Release</v>
      </c>
      <c r="AF259" s="127"/>
      <c r="AG259" s="18">
        <v>0</v>
      </c>
      <c r="AH259" s="120" t="s">
        <v>1685</v>
      </c>
      <c r="AI259" s="238">
        <v>20000</v>
      </c>
      <c r="AJ259" s="132"/>
      <c r="AK259" s="151">
        <v>86</v>
      </c>
      <c r="AL259" s="154">
        <f t="shared" si="58"/>
        <v>0</v>
      </c>
      <c r="AM259" s="155"/>
      <c r="AN259" s="19">
        <f t="shared" si="59"/>
        <v>1861</v>
      </c>
      <c r="AO259" s="118">
        <f>SUMIF('MPG Payment '!E:E,'Shayak Income '!D259,'MPG Payment '!AJ:AJ)</f>
        <v>2000</v>
      </c>
      <c r="AP259" s="19">
        <f t="shared" si="60"/>
        <v>0</v>
      </c>
      <c r="AQ259" s="119">
        <f t="shared" si="69"/>
        <v>2000</v>
      </c>
      <c r="AR259" s="91" t="s">
        <v>1144</v>
      </c>
      <c r="AS259" s="91">
        <f t="shared" si="61"/>
        <v>0</v>
      </c>
      <c r="AT259" s="118"/>
      <c r="AU259" s="118"/>
      <c r="AV259" s="118"/>
    </row>
    <row r="260" spans="1:48" s="20" customFormat="1" x14ac:dyDescent="0.25">
      <c r="A260" s="17">
        <f>IFERROR(VLOOKUP(D260,'Monthly Deduction'!$I$3:$J$957,2,0),0)</f>
        <v>70607</v>
      </c>
      <c r="B260" s="17">
        <f>IFERROR(VLOOKUP(D260,'Monthly Deduction'!$E$3:$F$957,2,0),0)</f>
        <v>6400</v>
      </c>
      <c r="C260" s="17">
        <f t="shared" si="62"/>
        <v>77007</v>
      </c>
      <c r="D260" s="41">
        <v>10090063</v>
      </c>
      <c r="E260" s="122" t="str">
        <f>VLOOKUP(D260,'MPG Payment '!$E$3:$G$497305,2,0)</f>
        <v>BIHRAURA</v>
      </c>
      <c r="F260" s="146">
        <f>IFERROR(_xlfn.XLOOKUP(D260,'Monthly Deduction'!$I$3:$I$957,'Monthly Deduction'!$H$3:$H$957),0)</f>
        <v>0</v>
      </c>
      <c r="G260" s="123" t="str">
        <f>VLOOKUP(D260,'MPG Payment '!$E$3:$G$333666,3,0)</f>
        <v>MPG</v>
      </c>
      <c r="H260" s="124" t="str">
        <f>VLOOKUP(D260,'MPG Payment '!$E$3:$H$333666,4,0)</f>
        <v>Direct</v>
      </c>
      <c r="I260" s="88">
        <f>INDEX('MPG Payment '!$C:$C,MATCH('Shayak Income '!D260,'MPG Payment '!E:E,0))</f>
        <v>1009</v>
      </c>
      <c r="J260" s="88" t="str">
        <f>INDEX('MPG Payment '!$D:$D,MATCH('Shayak Income '!D260,'MPG Payment '!E:E,0))</f>
        <v>Halsi</v>
      </c>
      <c r="K260" s="125" t="s">
        <v>1594</v>
      </c>
      <c r="L260" s="125">
        <v>45745</v>
      </c>
      <c r="M260" s="126">
        <f>SUMIF('MPG Payment '!$E$3:$E$344841,'Shayak Income '!D260,'MPG Payment '!$I$3:$I$344841)</f>
        <v>698.9</v>
      </c>
      <c r="N260" s="126">
        <f>SUMIF('MPG Payment '!$E$3:$E$344841,'Shayak Income '!D260,'MPG Payment '!$J$3:$J$344841)</f>
        <v>38194.68</v>
      </c>
      <c r="O260" s="126">
        <f t="shared" si="63"/>
        <v>524.17499999999995</v>
      </c>
      <c r="P260" s="126">
        <f t="shared" si="64"/>
        <v>663.95499999999993</v>
      </c>
      <c r="Q260" s="126">
        <f>SUMIF('MPG Payment '!$E$3:$E$344841,'Shayak Income '!D260,'MPG Payment '!$S$3:$S$344841)</f>
        <v>0</v>
      </c>
      <c r="R260" s="126">
        <f t="shared" ref="R260:R323" si="73">+N260*3%</f>
        <v>1145.8404</v>
      </c>
      <c r="S260" s="126">
        <f t="shared" ref="S260:S323" si="74">R260-P260</f>
        <v>481.88540000000012</v>
      </c>
      <c r="T260" s="126">
        <f t="shared" si="65"/>
        <v>69.89</v>
      </c>
      <c r="U260" s="127">
        <f>((((((IF(K260="New",0,SUMIF('MPG Payment '!$E$3:$E$344841,'Shayak Income '!D260,'MPG Payment '!$AC$3:$AC$344841))))+0)+0)+0)+0)+-1180</f>
        <v>1118.0589701385998</v>
      </c>
      <c r="V260" s="127">
        <f t="shared" si="66"/>
        <v>0</v>
      </c>
      <c r="W260" s="19">
        <v>0</v>
      </c>
      <c r="X260" s="19">
        <v>0</v>
      </c>
      <c r="Y260" s="128">
        <v>0</v>
      </c>
      <c r="Z260" s="128">
        <v>0</v>
      </c>
      <c r="AA260" s="126">
        <v>0</v>
      </c>
      <c r="AB260" s="129">
        <f t="shared" ref="AB260:AB323" si="75">ROUND(IFERROR(V260-SUM(W260:AA260),0),0)</f>
        <v>0</v>
      </c>
      <c r="AC260" s="130">
        <f t="shared" si="72"/>
        <v>0</v>
      </c>
      <c r="AD260" s="35">
        <f t="shared" si="67"/>
        <v>0</v>
      </c>
      <c r="AE260" s="166" t="str">
        <f t="shared" si="68"/>
        <v>Release</v>
      </c>
      <c r="AF260" s="127"/>
      <c r="AG260" s="127">
        <v>0</v>
      </c>
      <c r="AH260" s="120" t="s">
        <v>1683</v>
      </c>
      <c r="AI260" s="238">
        <v>0</v>
      </c>
      <c r="AJ260" s="132"/>
      <c r="AK260" s="151">
        <v>89.6</v>
      </c>
      <c r="AL260" s="154">
        <f t="shared" ref="AL260:AL323" si="76">COUNTIF(AK260:AK260,"=NA")</f>
        <v>0</v>
      </c>
      <c r="AM260" s="155"/>
      <c r="AN260" s="19">
        <f t="shared" ref="AN260:AN323" si="77">((MIN(IF(A260&gt;0,MAX(N260*2%,1861),0),A260)))+0</f>
        <v>1861</v>
      </c>
      <c r="AO260" s="118">
        <f>SUMIF('MPG Payment '!E:E,'Shayak Income '!D260,'MPG Payment '!AJ:AJ)</f>
        <v>2000</v>
      </c>
      <c r="AP260" s="19">
        <f t="shared" ref="AP260:AP323" si="78">W260</f>
        <v>0</v>
      </c>
      <c r="AQ260" s="119">
        <f t="shared" si="69"/>
        <v>2000</v>
      </c>
      <c r="AR260" s="91" t="s">
        <v>1144</v>
      </c>
      <c r="AS260" s="91">
        <f t="shared" ref="AS260:AS323" si="79">B260-X260</f>
        <v>6400</v>
      </c>
      <c r="AT260" s="118"/>
      <c r="AU260" s="118"/>
      <c r="AV260" s="118"/>
    </row>
    <row r="261" spans="1:48" s="20" customFormat="1" x14ac:dyDescent="0.25">
      <c r="A261" s="17">
        <f>IFERROR(VLOOKUP(D261,'Monthly Deduction'!$I$3:$J$957,2,0),0)</f>
        <v>69408.378370736042</v>
      </c>
      <c r="B261" s="17">
        <f>IFERROR(VLOOKUP(D261,'Monthly Deduction'!$E$3:$F$957,2,0),0)</f>
        <v>6108</v>
      </c>
      <c r="C261" s="17">
        <f t="shared" ref="C261:C324" si="80">A261+B261</f>
        <v>75516.378370736042</v>
      </c>
      <c r="D261" s="41">
        <v>10090064</v>
      </c>
      <c r="E261" s="122" t="str">
        <f>VLOOKUP(D261,'MPG Payment '!$E$3:$G$497305,2,0)</f>
        <v>SHIJHORI</v>
      </c>
      <c r="F261" s="146">
        <f>IFERROR(_xlfn.XLOOKUP(D261,'Monthly Deduction'!$I$3:$I$957,'Monthly Deduction'!$H$3:$H$957),0)</f>
        <v>0</v>
      </c>
      <c r="G261" s="123" t="str">
        <f>VLOOKUP(D261,'MPG Payment '!$E$3:$G$333666,3,0)</f>
        <v>MPG</v>
      </c>
      <c r="H261" s="124" t="str">
        <f>VLOOKUP(D261,'MPG Payment '!$E$3:$H$333666,4,0)</f>
        <v>Direct</v>
      </c>
      <c r="I261" s="88">
        <f>INDEX('MPG Payment '!$C:$C,MATCH('Shayak Income '!D261,'MPG Payment '!E:E,0))</f>
        <v>1009</v>
      </c>
      <c r="J261" s="88" t="str">
        <f>INDEX('MPG Payment '!$D:$D,MATCH('Shayak Income '!D261,'MPG Payment '!E:E,0))</f>
        <v>Halsi</v>
      </c>
      <c r="K261" s="125" t="s">
        <v>1594</v>
      </c>
      <c r="L261" s="125">
        <v>45745</v>
      </c>
      <c r="M261" s="126">
        <f>SUMIF('MPG Payment '!$E$3:$E$344841,'Shayak Income '!D261,'MPG Payment '!$I$3:$I$344841)</f>
        <v>1835.6</v>
      </c>
      <c r="N261" s="126">
        <f>SUMIF('MPG Payment '!$E$3:$E$344841,'Shayak Income '!D261,'MPG Payment '!$J$3:$J$344841)</f>
        <v>89179.4</v>
      </c>
      <c r="O261" s="126">
        <f t="shared" ref="O261:O324" si="81">+M261*0.75</f>
        <v>1376.6999999999998</v>
      </c>
      <c r="P261" s="126">
        <f t="shared" ref="P261:P324" si="82">+M261*0.95</f>
        <v>1743.82</v>
      </c>
      <c r="Q261" s="126">
        <f>SUMIF('MPG Payment '!$E$3:$E$344841,'Shayak Income '!D261,'MPG Payment '!$S$3:$S$344841)</f>
        <v>0</v>
      </c>
      <c r="R261" s="126">
        <f t="shared" si="73"/>
        <v>2675.3819999999996</v>
      </c>
      <c r="S261" s="126">
        <f t="shared" si="74"/>
        <v>931.56199999999967</v>
      </c>
      <c r="T261" s="126">
        <f t="shared" ref="T261:T324" si="83">M261*0.1</f>
        <v>183.56</v>
      </c>
      <c r="U261" s="127">
        <f>((((((IF(K261="New",0,SUMIF('MPG Payment '!$E$3:$E$344841,'Shayak Income '!D261,'MPG Payment '!$AC$3:$AC$344841))))+0)+0)+0)+0)+0</f>
        <v>929.67938613453566</v>
      </c>
      <c r="V261" s="127">
        <f t="shared" ref="V261:V324" si="84">ROUND((SUM(O261:Q261)-SUM(T261:U261)),0)</f>
        <v>2007</v>
      </c>
      <c r="W261" s="19">
        <f t="shared" ref="W261:W324" si="85">(((AN261-AO261)))+0</f>
        <v>1861</v>
      </c>
      <c r="X261" s="19">
        <v>0</v>
      </c>
      <c r="Y261" s="128">
        <f>IFERROR(VLOOKUP(D261,'Monthly Deduction'!$M$2:$N$640,2,0),0)</f>
        <v>0</v>
      </c>
      <c r="Z261" s="128">
        <v>0</v>
      </c>
      <c r="AA261" s="126">
        <v>146</v>
      </c>
      <c r="AB261" s="129">
        <f t="shared" si="75"/>
        <v>0</v>
      </c>
      <c r="AC261" s="130">
        <v>0</v>
      </c>
      <c r="AD261" s="35">
        <f t="shared" ref="AD261:AD324" si="86">ROUND(AB261-AC261,0)</f>
        <v>0</v>
      </c>
      <c r="AE261" s="166" t="str">
        <f t="shared" ref="AE261:AE324" si="87">IF(AC261&lt;&gt;0,"Yes","Release")</f>
        <v>Release</v>
      </c>
      <c r="AF261" s="127"/>
      <c r="AG261" s="18">
        <v>0</v>
      </c>
      <c r="AH261" s="120"/>
      <c r="AI261" s="238">
        <v>0</v>
      </c>
      <c r="AJ261" s="132"/>
      <c r="AK261" s="151">
        <v>433.20000000000005</v>
      </c>
      <c r="AL261" s="154">
        <f t="shared" si="76"/>
        <v>0</v>
      </c>
      <c r="AM261" s="155"/>
      <c r="AN261" s="19">
        <f t="shared" si="77"/>
        <v>1861</v>
      </c>
      <c r="AO261" s="118">
        <f>SUMIF('MPG Payment '!E:E,'Shayak Income '!D261,'MPG Payment '!AJ:AJ)</f>
        <v>0</v>
      </c>
      <c r="AP261" s="19">
        <f t="shared" si="78"/>
        <v>1861</v>
      </c>
      <c r="AQ261" s="119">
        <f t="shared" ref="AQ261:AQ324" si="88">AO261+AP261</f>
        <v>1861</v>
      </c>
      <c r="AR261" s="91" t="s">
        <v>1144</v>
      </c>
      <c r="AS261" s="91">
        <f t="shared" si="79"/>
        <v>6108</v>
      </c>
      <c r="AT261" s="118"/>
      <c r="AU261" s="118"/>
      <c r="AV261" s="118"/>
    </row>
    <row r="262" spans="1:48" s="20" customFormat="1" x14ac:dyDescent="0.25">
      <c r="A262" s="17">
        <f>IFERROR(VLOOKUP(D262,'Monthly Deduction'!$I$3:$J$957,2,0),0)</f>
        <v>65169.050760452403</v>
      </c>
      <c r="B262" s="17">
        <f>IFERROR(VLOOKUP(D262,'Monthly Deduction'!$E$3:$F$957,2,0),0)</f>
        <v>9600</v>
      </c>
      <c r="C262" s="17">
        <f t="shared" si="80"/>
        <v>74769.050760452403</v>
      </c>
      <c r="D262" s="41">
        <v>10090065</v>
      </c>
      <c r="E262" s="122" t="str">
        <f>VLOOKUP(D262,'MPG Payment '!$E$3:$G$497305,2,0)</f>
        <v>RAM PRAVESH YADAV</v>
      </c>
      <c r="F262" s="146">
        <f>IFERROR(_xlfn.XLOOKUP(D262,'Monthly Deduction'!$I$3:$I$957,'Monthly Deduction'!$H$3:$H$957),0)</f>
        <v>0</v>
      </c>
      <c r="G262" s="123" t="str">
        <f>VLOOKUP(D262,'MPG Payment '!$E$3:$G$333666,3,0)</f>
        <v>MPG</v>
      </c>
      <c r="H262" s="124" t="str">
        <f>VLOOKUP(D262,'MPG Payment '!$E$3:$H$333666,4,0)</f>
        <v>Direct</v>
      </c>
      <c r="I262" s="88">
        <f>INDEX('MPG Payment '!$C:$C,MATCH('Shayak Income '!D262,'MPG Payment '!E:E,0))</f>
        <v>1009</v>
      </c>
      <c r="J262" s="88" t="str">
        <f>INDEX('MPG Payment '!$D:$D,MATCH('Shayak Income '!D262,'MPG Payment '!E:E,0))</f>
        <v>Halsi</v>
      </c>
      <c r="K262" s="125" t="s">
        <v>1594</v>
      </c>
      <c r="L262" s="125">
        <v>45796</v>
      </c>
      <c r="M262" s="126">
        <f>SUMIF('MPG Payment '!$E$3:$E$344841,'Shayak Income '!D262,'MPG Payment '!$I$3:$I$344841)</f>
        <v>2751.7999999999997</v>
      </c>
      <c r="N262" s="126">
        <f>SUMIF('MPG Payment '!$E$3:$E$344841,'Shayak Income '!D262,'MPG Payment '!$J$3:$J$344841)</f>
        <v>117244.07</v>
      </c>
      <c r="O262" s="126">
        <f t="shared" si="81"/>
        <v>2063.85</v>
      </c>
      <c r="P262" s="126">
        <f t="shared" si="82"/>
        <v>2614.2099999999996</v>
      </c>
      <c r="Q262" s="126">
        <f>SUMIF('MPG Payment '!$E$3:$E$344841,'Shayak Income '!D262,'MPG Payment '!$S$3:$S$344841)</f>
        <v>0</v>
      </c>
      <c r="R262" s="126">
        <f t="shared" si="73"/>
        <v>3517.3220999999999</v>
      </c>
      <c r="S262" s="126">
        <f t="shared" si="74"/>
        <v>903.11210000000028</v>
      </c>
      <c r="T262" s="126">
        <f t="shared" si="83"/>
        <v>275.18</v>
      </c>
      <c r="U262" s="127">
        <f>((((((IF(K262="New",0,SUMIF('MPG Payment '!$E$3:$E$344841,'Shayak Income '!D262,'MPG Payment '!$AC$3:$AC$344841))))+0)+0)+0)+0)+0</f>
        <v>95.726280876121834</v>
      </c>
      <c r="V262" s="127">
        <f t="shared" si="84"/>
        <v>4307</v>
      </c>
      <c r="W262" s="19">
        <f t="shared" si="85"/>
        <v>2344.8814000000002</v>
      </c>
      <c r="X262" s="19">
        <v>0</v>
      </c>
      <c r="Y262" s="128">
        <f>IFERROR(VLOOKUP(D262,'Monthly Deduction'!$M$2:$N$640,2,0),0)</f>
        <v>0</v>
      </c>
      <c r="Z262" s="128">
        <v>0</v>
      </c>
      <c r="AA262" s="126">
        <f>IFERROR(VLOOKUP(D262,'Monthly Deduction'!A:B,2,0),0)</f>
        <v>0</v>
      </c>
      <c r="AB262" s="129">
        <f t="shared" si="75"/>
        <v>1962</v>
      </c>
      <c r="AC262" s="130">
        <v>0</v>
      </c>
      <c r="AD262" s="35">
        <f t="shared" si="86"/>
        <v>1962</v>
      </c>
      <c r="AE262" s="166" t="str">
        <f t="shared" si="87"/>
        <v>Release</v>
      </c>
      <c r="AF262" s="127"/>
      <c r="AG262" s="18">
        <v>0</v>
      </c>
      <c r="AH262" s="120"/>
      <c r="AI262" s="238">
        <v>0</v>
      </c>
      <c r="AJ262" s="132"/>
      <c r="AK262" s="151">
        <v>692.49999999999989</v>
      </c>
      <c r="AL262" s="154">
        <f t="shared" si="76"/>
        <v>0</v>
      </c>
      <c r="AM262" s="155"/>
      <c r="AN262" s="19">
        <f t="shared" si="77"/>
        <v>2344.8814000000002</v>
      </c>
      <c r="AO262" s="118">
        <f>SUMIF('MPG Payment '!E:E,'Shayak Income '!D262,'MPG Payment '!AJ:AJ)</f>
        <v>0</v>
      </c>
      <c r="AP262" s="19">
        <f t="shared" si="78"/>
        <v>2344.8814000000002</v>
      </c>
      <c r="AQ262" s="119">
        <f t="shared" si="88"/>
        <v>2344.8814000000002</v>
      </c>
      <c r="AR262" s="91" t="s">
        <v>1144</v>
      </c>
      <c r="AS262" s="91">
        <f t="shared" si="79"/>
        <v>9600</v>
      </c>
      <c r="AT262" s="118"/>
      <c r="AU262" s="118"/>
      <c r="AV262" s="118"/>
    </row>
    <row r="263" spans="1:48" s="20" customFormat="1" x14ac:dyDescent="0.25">
      <c r="A263" s="17">
        <f>IFERROR(VLOOKUP(D263,'Monthly Deduction'!$I$3:$J$957,2,0),0)</f>
        <v>8166.7530075131799</v>
      </c>
      <c r="B263" s="17">
        <f>IFERROR(VLOOKUP(D263,'Monthly Deduction'!$E$3:$F$957,2,0),0)</f>
        <v>7044.9295999999995</v>
      </c>
      <c r="C263" s="17">
        <f t="shared" si="80"/>
        <v>15211.682607513179</v>
      </c>
      <c r="D263" s="41">
        <v>10100001</v>
      </c>
      <c r="E263" s="122" t="str">
        <f>VLOOKUP(D263,'MPG Payment '!$E$3:$G$497305,2,0)</f>
        <v>Vishan Pur</v>
      </c>
      <c r="F263" s="146">
        <f>IFERROR(_xlfn.XLOOKUP(D263,'Monthly Deduction'!$I$3:$I$957,'Monthly Deduction'!$H$3:$H$957),0)</f>
        <v>0</v>
      </c>
      <c r="G263" s="123" t="str">
        <f>VLOOKUP(D263,'MPG Payment '!$E$3:$G$333666,3,0)</f>
        <v>MPG</v>
      </c>
      <c r="H263" s="124" t="str">
        <f>VLOOKUP(D263,'MPG Payment '!$E$3:$H$333666,4,0)</f>
        <v>Direct</v>
      </c>
      <c r="I263" s="88">
        <f>INDEX('MPG Payment '!$C:$C,MATCH('Shayak Income '!D263,'MPG Payment '!E:E,0))</f>
        <v>1010</v>
      </c>
      <c r="J263" s="88" t="str">
        <f>INDEX('MPG Payment '!$D:$D,MATCH('Shayak Income '!D263,'MPG Payment '!E:E,0))</f>
        <v>Parbatta</v>
      </c>
      <c r="K263" s="125" t="s">
        <v>1594</v>
      </c>
      <c r="L263" s="125">
        <v>43020</v>
      </c>
      <c r="M263" s="126">
        <f>SUMIF('MPG Payment '!$E$3:$E$344841,'Shayak Income '!D263,'MPG Payment '!$I$3:$I$344841)</f>
        <v>3336.9</v>
      </c>
      <c r="N263" s="126">
        <f>SUMIF('MPG Payment '!$E$3:$E$344841,'Shayak Income '!D263,'MPG Payment '!$J$3:$J$344841)</f>
        <v>133508.76</v>
      </c>
      <c r="O263" s="126">
        <f t="shared" si="81"/>
        <v>2502.6750000000002</v>
      </c>
      <c r="P263" s="126">
        <f t="shared" si="82"/>
        <v>3170.0549999999998</v>
      </c>
      <c r="Q263" s="126">
        <f>SUMIF('MPG Payment '!$E$3:$E$344841,'Shayak Income '!D263,'MPG Payment '!$S$3:$S$344841)</f>
        <v>638.43000000000006</v>
      </c>
      <c r="R263" s="126">
        <f t="shared" si="73"/>
        <v>4005.2628</v>
      </c>
      <c r="S263" s="126">
        <f t="shared" si="74"/>
        <v>835.20780000000013</v>
      </c>
      <c r="T263" s="126">
        <f t="shared" si="83"/>
        <v>333.69000000000005</v>
      </c>
      <c r="U263" s="127">
        <f>((((((IF(K263="New",0,SUMIF('MPG Payment '!$E$3:$E$344841,'Shayak Income '!D263,'MPG Payment '!$AC$3:$AC$344841))))+0)+0)+0)+0)+0</f>
        <v>0</v>
      </c>
      <c r="V263" s="127">
        <f t="shared" si="84"/>
        <v>5977</v>
      </c>
      <c r="W263" s="19">
        <f t="shared" si="85"/>
        <v>2670.1752000000001</v>
      </c>
      <c r="X263" s="19">
        <v>0</v>
      </c>
      <c r="Y263" s="128">
        <f>IFERROR(VLOOKUP(D263,'Monthly Deduction'!$M$2:$N$640,2,0),0)</f>
        <v>3000</v>
      </c>
      <c r="Z263" s="128">
        <v>0</v>
      </c>
      <c r="AA263" s="126">
        <f>IFERROR(VLOOKUP(D263,'Monthly Deduction'!A:B,2,0),0)</f>
        <v>0</v>
      </c>
      <c r="AB263" s="129">
        <f t="shared" si="75"/>
        <v>307</v>
      </c>
      <c r="AC263" s="130">
        <v>0</v>
      </c>
      <c r="AD263" s="35">
        <f t="shared" si="86"/>
        <v>307</v>
      </c>
      <c r="AE263" s="166" t="str">
        <f t="shared" si="87"/>
        <v>Release</v>
      </c>
      <c r="AF263" s="127"/>
      <c r="AG263" s="18">
        <v>0</v>
      </c>
      <c r="AH263" s="120"/>
      <c r="AI263" s="238">
        <v>0</v>
      </c>
      <c r="AJ263" s="132"/>
      <c r="AK263" s="151">
        <v>824.69999999999993</v>
      </c>
      <c r="AL263" s="154">
        <f t="shared" si="76"/>
        <v>0</v>
      </c>
      <c r="AM263" s="155"/>
      <c r="AN263" s="19">
        <f t="shared" si="77"/>
        <v>2670.1752000000001</v>
      </c>
      <c r="AO263" s="118">
        <f>SUMIF('MPG Payment '!E:E,'Shayak Income '!D263,'MPG Payment '!AJ:AJ)</f>
        <v>0</v>
      </c>
      <c r="AP263" s="19">
        <f t="shared" si="78"/>
        <v>2670.1752000000001</v>
      </c>
      <c r="AQ263" s="119">
        <f t="shared" si="88"/>
        <v>2670.1752000000001</v>
      </c>
      <c r="AR263" s="91" t="s">
        <v>1144</v>
      </c>
      <c r="AS263" s="91">
        <f t="shared" si="79"/>
        <v>7044.9295999999995</v>
      </c>
      <c r="AT263" s="118"/>
      <c r="AU263" s="118"/>
      <c r="AV263" s="118"/>
    </row>
    <row r="264" spans="1:48" s="20" customFormat="1" x14ac:dyDescent="0.25">
      <c r="A264" s="17">
        <f>IFERROR(VLOOKUP(D264,'Monthly Deduction'!$I$3:$J$957,2,0),0)</f>
        <v>0</v>
      </c>
      <c r="B264" s="17">
        <f>IFERROR(VLOOKUP(D264,'Monthly Deduction'!$E$3:$F$957,2,0),0)</f>
        <v>0</v>
      </c>
      <c r="C264" s="17">
        <f t="shared" si="80"/>
        <v>0</v>
      </c>
      <c r="D264" s="41">
        <v>10100003</v>
      </c>
      <c r="E264" s="122" t="str">
        <f>VLOOKUP(D264,'MPG Payment '!$E$3:$G$497305,2,0)</f>
        <v>Gomukh Madhawpur</v>
      </c>
      <c r="F264" s="146">
        <f>IFERROR(_xlfn.XLOOKUP(D264,'Monthly Deduction'!$I$3:$I$957,'Monthly Deduction'!$H$3:$H$957),0)</f>
        <v>0</v>
      </c>
      <c r="G264" s="123" t="str">
        <f>VLOOKUP(D264,'MPG Payment '!$E$3:$G$333666,3,0)</f>
        <v>MPG</v>
      </c>
      <c r="H264" s="124" t="str">
        <f>VLOOKUP(D264,'MPG Payment '!$E$3:$H$333666,4,0)</f>
        <v>Direct</v>
      </c>
      <c r="I264" s="88">
        <f>INDEX('MPG Payment '!$C:$C,MATCH('Shayak Income '!D264,'MPG Payment '!E:E,0))</f>
        <v>1010</v>
      </c>
      <c r="J264" s="88" t="str">
        <f>INDEX('MPG Payment '!$D:$D,MATCH('Shayak Income '!D264,'MPG Payment '!E:E,0))</f>
        <v>Parbatta</v>
      </c>
      <c r="K264" s="125" t="s">
        <v>1594</v>
      </c>
      <c r="L264" s="125">
        <v>44974</v>
      </c>
      <c r="M264" s="126">
        <f>SUMIF('MPG Payment '!$E$3:$E$344841,'Shayak Income '!D264,'MPG Payment '!$I$3:$I$344841)</f>
        <v>7211.1</v>
      </c>
      <c r="N264" s="126">
        <f>SUMIF('MPG Payment '!$E$3:$E$344841,'Shayak Income '!D264,'MPG Payment '!$J$3:$J$344841)</f>
        <v>302615.56</v>
      </c>
      <c r="O264" s="126">
        <f t="shared" si="81"/>
        <v>5408.3250000000007</v>
      </c>
      <c r="P264" s="126">
        <f t="shared" si="82"/>
        <v>6850.5450000000001</v>
      </c>
      <c r="Q264" s="126">
        <f>SUMIF('MPG Payment '!$E$3:$E$344841,'Shayak Income '!D264,'MPG Payment '!$S$3:$S$344841)</f>
        <v>1334.0099999999998</v>
      </c>
      <c r="R264" s="126">
        <f t="shared" si="73"/>
        <v>9078.4668000000001</v>
      </c>
      <c r="S264" s="126">
        <f t="shared" si="74"/>
        <v>2227.9218000000001</v>
      </c>
      <c r="T264" s="126">
        <f t="shared" si="83"/>
        <v>721.11000000000013</v>
      </c>
      <c r="U264" s="127">
        <f>((((((IF(K264="New",0,SUMIF('MPG Payment '!$E$3:$E$344841,'Shayak Income '!D264,'MPG Payment '!$AC$3:$AC$344841))))+0)+0)+0)+0)+0</f>
        <v>0</v>
      </c>
      <c r="V264" s="127">
        <f t="shared" si="84"/>
        <v>12872</v>
      </c>
      <c r="W264" s="19">
        <f t="shared" si="85"/>
        <v>0</v>
      </c>
      <c r="X264" s="19">
        <f t="shared" ref="X264:X322" si="89">((MIN(IF(B264&gt;0,MAX(N264*2%),0),B264)))+0</f>
        <v>0</v>
      </c>
      <c r="Y264" s="128">
        <f>IFERROR(VLOOKUP(D264,'Monthly Deduction'!$M$2:$N$640,2,0),0)</f>
        <v>0</v>
      </c>
      <c r="Z264" s="128">
        <v>0</v>
      </c>
      <c r="AA264" s="126">
        <f>IFERROR(VLOOKUP(D264,'Monthly Deduction'!A:B,2,0),0)</f>
        <v>0</v>
      </c>
      <c r="AB264" s="129">
        <f t="shared" si="75"/>
        <v>12872</v>
      </c>
      <c r="AC264" s="130">
        <v>0</v>
      </c>
      <c r="AD264" s="35">
        <f t="shared" si="86"/>
        <v>12872</v>
      </c>
      <c r="AE264" s="166" t="str">
        <f t="shared" si="87"/>
        <v>Release</v>
      </c>
      <c r="AF264" s="127"/>
      <c r="AG264" s="18">
        <v>0</v>
      </c>
      <c r="AH264" s="120"/>
      <c r="AI264" s="238">
        <v>0</v>
      </c>
      <c r="AJ264" s="132"/>
      <c r="AK264" s="151">
        <v>1572</v>
      </c>
      <c r="AL264" s="154">
        <f t="shared" si="76"/>
        <v>0</v>
      </c>
      <c r="AM264" s="155"/>
      <c r="AN264" s="19">
        <f t="shared" si="77"/>
        <v>0</v>
      </c>
      <c r="AO264" s="118">
        <f>SUMIF('MPG Payment '!E:E,'Shayak Income '!D264,'MPG Payment '!AJ:AJ)</f>
        <v>0</v>
      </c>
      <c r="AP264" s="19">
        <f t="shared" si="78"/>
        <v>0</v>
      </c>
      <c r="AQ264" s="119">
        <f t="shared" si="88"/>
        <v>0</v>
      </c>
      <c r="AR264" s="91" t="s">
        <v>1144</v>
      </c>
      <c r="AS264" s="91">
        <f t="shared" si="79"/>
        <v>0</v>
      </c>
      <c r="AT264" s="118"/>
      <c r="AU264" s="118"/>
      <c r="AV264" s="118"/>
    </row>
    <row r="265" spans="1:48" s="20" customFormat="1" x14ac:dyDescent="0.25">
      <c r="A265" s="17">
        <f>IFERROR(VLOOKUP(D265,'Monthly Deduction'!$I$3:$J$957,2,0),0)</f>
        <v>0</v>
      </c>
      <c r="B265" s="17">
        <f>IFERROR(VLOOKUP(D265,'Monthly Deduction'!$E$3:$F$957,2,0),0)</f>
        <v>0</v>
      </c>
      <c r="C265" s="17">
        <f t="shared" si="80"/>
        <v>0</v>
      </c>
      <c r="D265" s="41">
        <v>10100009</v>
      </c>
      <c r="E265" s="122" t="str">
        <f>VLOOKUP(D265,'MPG Payment '!$E$3:$G$497305,2,0)</f>
        <v>Gomukh Kanhaiyachak Pachhim</v>
      </c>
      <c r="F265" s="146">
        <f>IFERROR(_xlfn.XLOOKUP(D265,'Monthly Deduction'!$I$3:$I$957,'Monthly Deduction'!$H$3:$H$957),0)</f>
        <v>0</v>
      </c>
      <c r="G265" s="123" t="str">
        <f>VLOOKUP(D265,'MPG Payment '!$E$3:$G$333666,3,0)</f>
        <v>MPG</v>
      </c>
      <c r="H265" s="124" t="str">
        <f>VLOOKUP(D265,'MPG Payment '!$E$3:$H$333666,4,0)</f>
        <v>Direct</v>
      </c>
      <c r="I265" s="88">
        <f>INDEX('MPG Payment '!$C:$C,MATCH('Shayak Income '!D265,'MPG Payment '!E:E,0))</f>
        <v>1010</v>
      </c>
      <c r="J265" s="88" t="str">
        <f>INDEX('MPG Payment '!$D:$D,MATCH('Shayak Income '!D265,'MPG Payment '!E:E,0))</f>
        <v>Parbatta</v>
      </c>
      <c r="K265" s="125" t="s">
        <v>1594</v>
      </c>
      <c r="L265" s="125">
        <v>45012</v>
      </c>
      <c r="M265" s="126">
        <f>SUMIF('MPG Payment '!$E$3:$E$344841,'Shayak Income '!D265,'MPG Payment '!$I$3:$I$344841)</f>
        <v>5405.3</v>
      </c>
      <c r="N265" s="126">
        <f>SUMIF('MPG Payment '!$E$3:$E$344841,'Shayak Income '!D265,'MPG Payment '!$J$3:$J$344841)</f>
        <v>217564.1</v>
      </c>
      <c r="O265" s="126">
        <f t="shared" si="81"/>
        <v>4053.9750000000004</v>
      </c>
      <c r="P265" s="126">
        <f t="shared" si="82"/>
        <v>5135.0349999999999</v>
      </c>
      <c r="Q265" s="126">
        <f>SUMIF('MPG Payment '!$E$3:$E$344841,'Shayak Income '!D265,'MPG Payment '!$S$3:$S$344841)</f>
        <v>0</v>
      </c>
      <c r="R265" s="126">
        <f t="shared" si="73"/>
        <v>6526.9229999999998</v>
      </c>
      <c r="S265" s="126">
        <f t="shared" si="74"/>
        <v>1391.8879999999999</v>
      </c>
      <c r="T265" s="126">
        <f t="shared" si="83"/>
        <v>540.53000000000009</v>
      </c>
      <c r="U265" s="127">
        <f>((((((IF(K265="New",0,SUMIF('MPG Payment '!$E$3:$E$344841,'Shayak Income '!D265,'MPG Payment '!$AC$3:$AC$344841))))+0)+0)+0)+0)+0</f>
        <v>0</v>
      </c>
      <c r="V265" s="127">
        <f t="shared" si="84"/>
        <v>8648</v>
      </c>
      <c r="W265" s="19">
        <f t="shared" si="85"/>
        <v>0</v>
      </c>
      <c r="X265" s="19">
        <f t="shared" si="89"/>
        <v>0</v>
      </c>
      <c r="Y265" s="128">
        <f>IFERROR(VLOOKUP(D265,'Monthly Deduction'!$M$2:$N$640,2,0),0)</f>
        <v>0</v>
      </c>
      <c r="Z265" s="128">
        <v>1091.5</v>
      </c>
      <c r="AA265" s="126">
        <f>IFERROR(VLOOKUP(D265,'Monthly Deduction'!A:B,2,0),0)</f>
        <v>0</v>
      </c>
      <c r="AB265" s="129">
        <f t="shared" si="75"/>
        <v>7557</v>
      </c>
      <c r="AC265" s="130">
        <v>0</v>
      </c>
      <c r="AD265" s="35">
        <f t="shared" si="86"/>
        <v>7557</v>
      </c>
      <c r="AE265" s="166" t="str">
        <f t="shared" si="87"/>
        <v>Release</v>
      </c>
      <c r="AF265" s="127"/>
      <c r="AG265" s="18">
        <v>0</v>
      </c>
      <c r="AH265" s="132" t="s">
        <v>1680</v>
      </c>
      <c r="AI265" s="238">
        <v>0</v>
      </c>
      <c r="AJ265" s="132"/>
      <c r="AK265" s="151">
        <v>1387.2</v>
      </c>
      <c r="AL265" s="154">
        <f t="shared" si="76"/>
        <v>0</v>
      </c>
      <c r="AM265" s="155"/>
      <c r="AN265" s="19">
        <f t="shared" si="77"/>
        <v>0</v>
      </c>
      <c r="AO265" s="118">
        <f>SUMIF('MPG Payment '!E:E,'Shayak Income '!D265,'MPG Payment '!AJ:AJ)</f>
        <v>0</v>
      </c>
      <c r="AP265" s="19">
        <f t="shared" si="78"/>
        <v>0</v>
      </c>
      <c r="AQ265" s="119">
        <f t="shared" si="88"/>
        <v>0</v>
      </c>
      <c r="AR265" s="91" t="s">
        <v>1144</v>
      </c>
      <c r="AS265" s="91">
        <f t="shared" si="79"/>
        <v>0</v>
      </c>
      <c r="AT265" s="118"/>
      <c r="AU265" s="118"/>
      <c r="AV265" s="118"/>
    </row>
    <row r="266" spans="1:48" s="20" customFormat="1" x14ac:dyDescent="0.25">
      <c r="A266" s="17">
        <f>IFERROR(VLOOKUP(D266,'Monthly Deduction'!$I$3:$J$957,2,0),0)</f>
        <v>28105.18842726892</v>
      </c>
      <c r="B266" s="17">
        <f>IFERROR(VLOOKUP(D266,'Monthly Deduction'!$E$3:$F$957,2,0),0)</f>
        <v>14588</v>
      </c>
      <c r="C266" s="17">
        <f t="shared" si="80"/>
        <v>42693.18842726892</v>
      </c>
      <c r="D266" s="41">
        <v>10100014</v>
      </c>
      <c r="E266" s="122" t="str">
        <f>VLOOKUP(D266,'MPG Payment '!$E$3:$G$497305,2,0)</f>
        <v>Gomukh Srirampur Thuthi</v>
      </c>
      <c r="F266" s="146">
        <f>IFERROR(_xlfn.XLOOKUP(D266,'Monthly Deduction'!$I$3:$I$957,'Monthly Deduction'!$H$3:$H$957),0)</f>
        <v>0</v>
      </c>
      <c r="G266" s="123" t="str">
        <f>VLOOKUP(D266,'MPG Payment '!$E$3:$G$333666,3,0)</f>
        <v>MPG</v>
      </c>
      <c r="H266" s="124" t="str">
        <f>VLOOKUP(D266,'MPG Payment '!$E$3:$H$333666,4,0)</f>
        <v>Direct</v>
      </c>
      <c r="I266" s="88">
        <f>INDEX('MPG Payment '!$C:$C,MATCH('Shayak Income '!D266,'MPG Payment '!E:E,0))</f>
        <v>1010</v>
      </c>
      <c r="J266" s="88" t="str">
        <f>INDEX('MPG Payment '!$D:$D,MATCH('Shayak Income '!D266,'MPG Payment '!E:E,0))</f>
        <v>Parbatta</v>
      </c>
      <c r="K266" s="125" t="s">
        <v>1594</v>
      </c>
      <c r="L266" s="125">
        <v>45016</v>
      </c>
      <c r="M266" s="126">
        <f>SUMIF('MPG Payment '!$E$3:$E$344841,'Shayak Income '!D266,'MPG Payment '!$I$3:$I$344841)</f>
        <v>1553</v>
      </c>
      <c r="N266" s="126">
        <f>SUMIF('MPG Payment '!$E$3:$E$344841,'Shayak Income '!D266,'MPG Payment '!$J$3:$J$344841)</f>
        <v>65059.44999999999</v>
      </c>
      <c r="O266" s="126">
        <f t="shared" si="81"/>
        <v>1164.75</v>
      </c>
      <c r="P266" s="126">
        <f t="shared" si="82"/>
        <v>1475.35</v>
      </c>
      <c r="Q266" s="126">
        <f>SUMIF('MPG Payment '!$E$3:$E$344841,'Shayak Income '!D266,'MPG Payment '!$S$3:$S$344841)</f>
        <v>0</v>
      </c>
      <c r="R266" s="126">
        <f t="shared" si="73"/>
        <v>1951.7834999999995</v>
      </c>
      <c r="S266" s="126">
        <f t="shared" si="74"/>
        <v>476.43349999999964</v>
      </c>
      <c r="T266" s="126">
        <f t="shared" si="83"/>
        <v>155.30000000000001</v>
      </c>
      <c r="U266" s="127">
        <f>((((((IF(K266="New",0,SUMIF('MPG Payment '!$E$3:$E$344841,'Shayak Income '!D266,'MPG Payment '!$AC$3:$AC$344841))))+0)+0)+0)+0)+0</f>
        <v>1045.8529994900402</v>
      </c>
      <c r="V266" s="127">
        <f t="shared" si="84"/>
        <v>1439</v>
      </c>
      <c r="W266" s="19">
        <v>1439</v>
      </c>
      <c r="X266" s="19">
        <v>0</v>
      </c>
      <c r="Y266" s="128">
        <f>IFERROR(VLOOKUP(D266,'Monthly Deduction'!$M$2:$N$640,2,0),0)</f>
        <v>0</v>
      </c>
      <c r="Z266" s="128">
        <v>0</v>
      </c>
      <c r="AA266" s="126">
        <f>IFERROR(VLOOKUP(D266,'Monthly Deduction'!A:B,2,0),0)</f>
        <v>0</v>
      </c>
      <c r="AB266" s="129">
        <f t="shared" si="75"/>
        <v>0</v>
      </c>
      <c r="AC266" s="130">
        <v>0</v>
      </c>
      <c r="AD266" s="35">
        <f t="shared" si="86"/>
        <v>0</v>
      </c>
      <c r="AE266" s="166" t="str">
        <f t="shared" si="87"/>
        <v>Release</v>
      </c>
      <c r="AF266" s="127"/>
      <c r="AG266" s="18">
        <v>0</v>
      </c>
      <c r="AH266" s="120"/>
      <c r="AI266" s="238">
        <v>0</v>
      </c>
      <c r="AJ266" s="132"/>
      <c r="AK266" s="151">
        <v>373.4</v>
      </c>
      <c r="AL266" s="154">
        <f t="shared" si="76"/>
        <v>0</v>
      </c>
      <c r="AM266" s="155"/>
      <c r="AN266" s="19">
        <f t="shared" si="77"/>
        <v>1861</v>
      </c>
      <c r="AO266" s="118">
        <f>SUMIF('MPG Payment '!E:E,'Shayak Income '!D266,'MPG Payment '!AJ:AJ)</f>
        <v>0</v>
      </c>
      <c r="AP266" s="19">
        <f t="shared" si="78"/>
        <v>1439</v>
      </c>
      <c r="AQ266" s="119">
        <f t="shared" si="88"/>
        <v>1439</v>
      </c>
      <c r="AR266" s="91" t="s">
        <v>1144</v>
      </c>
      <c r="AS266" s="91">
        <f t="shared" si="79"/>
        <v>14588</v>
      </c>
      <c r="AT266" s="118"/>
      <c r="AU266" s="118"/>
      <c r="AV266" s="118"/>
    </row>
    <row r="267" spans="1:48" s="20" customFormat="1" x14ac:dyDescent="0.25">
      <c r="A267" s="17">
        <f>IFERROR(VLOOKUP(D267,'Monthly Deduction'!$I$3:$J$957,2,0),0)</f>
        <v>0</v>
      </c>
      <c r="B267" s="17">
        <f>IFERROR(VLOOKUP(D267,'Monthly Deduction'!$E$3:$F$957,2,0),0)</f>
        <v>7665.6537022262</v>
      </c>
      <c r="C267" s="17">
        <f t="shared" si="80"/>
        <v>7665.6537022262</v>
      </c>
      <c r="D267" s="41">
        <v>10100021</v>
      </c>
      <c r="E267" s="122" t="str">
        <f>VLOOKUP(D267,'MPG Payment '!$E$3:$G$497305,2,0)</f>
        <v xml:space="preserve">Gomukh Bandahera                                                                                    </v>
      </c>
      <c r="F267" s="146">
        <f>IFERROR(_xlfn.XLOOKUP(D267,'Monthly Deduction'!$I$3:$I$957,'Monthly Deduction'!$H$3:$H$957),0)</f>
        <v>0</v>
      </c>
      <c r="G267" s="123" t="str">
        <f>VLOOKUP(D267,'MPG Payment '!$E$3:$G$333666,3,0)</f>
        <v>MPG</v>
      </c>
      <c r="H267" s="124" t="str">
        <f>VLOOKUP(D267,'MPG Payment '!$E$3:$H$333666,4,0)</f>
        <v>Direct</v>
      </c>
      <c r="I267" s="88">
        <f>INDEX('MPG Payment '!$C:$C,MATCH('Shayak Income '!D267,'MPG Payment '!E:E,0))</f>
        <v>1010</v>
      </c>
      <c r="J267" s="88" t="str">
        <f>INDEX('MPG Payment '!$D:$D,MATCH('Shayak Income '!D267,'MPG Payment '!E:E,0))</f>
        <v>Parbatta</v>
      </c>
      <c r="K267" s="125" t="s">
        <v>1594</v>
      </c>
      <c r="L267" s="125">
        <v>45017</v>
      </c>
      <c r="M267" s="126">
        <f>SUMIF('MPG Payment '!$E$3:$E$344841,'Shayak Income '!D267,'MPG Payment '!$I$3:$I$344841)</f>
        <v>2202.4999999999995</v>
      </c>
      <c r="N267" s="126">
        <f>SUMIF('MPG Payment '!$E$3:$E$344841,'Shayak Income '!D267,'MPG Payment '!$J$3:$J$344841)</f>
        <v>91770.02</v>
      </c>
      <c r="O267" s="126">
        <f t="shared" si="81"/>
        <v>1651.8749999999995</v>
      </c>
      <c r="P267" s="126">
        <f t="shared" si="82"/>
        <v>2092.3749999999995</v>
      </c>
      <c r="Q267" s="126">
        <f>SUMIF('MPG Payment '!$E$3:$E$344841,'Shayak Income '!D267,'MPG Payment '!$S$3:$S$344841)</f>
        <v>231.10000000000002</v>
      </c>
      <c r="R267" s="126">
        <f t="shared" si="73"/>
        <v>2753.1006000000002</v>
      </c>
      <c r="S267" s="126">
        <f t="shared" si="74"/>
        <v>660.72560000000067</v>
      </c>
      <c r="T267" s="126">
        <f t="shared" si="83"/>
        <v>220.24999999999997</v>
      </c>
      <c r="U267" s="127">
        <f>((((((IF(K267="New",0,SUMIF('MPG Payment '!$E$3:$E$344841,'Shayak Income '!D267,'MPG Payment '!$AC$3:$AC$344841))))+0)+0)+0)+0)+0</f>
        <v>498.44943013267374</v>
      </c>
      <c r="V267" s="127">
        <f t="shared" si="84"/>
        <v>3257</v>
      </c>
      <c r="W267" s="19">
        <f t="shared" si="85"/>
        <v>0</v>
      </c>
      <c r="X267" s="19">
        <f t="shared" si="89"/>
        <v>1835.4004000000002</v>
      </c>
      <c r="Y267" s="128">
        <f>IFERROR(VLOOKUP(D267,'Monthly Deduction'!$M$2:$N$640,2,0),0)</f>
        <v>1113</v>
      </c>
      <c r="Z267" s="128">
        <v>0</v>
      </c>
      <c r="AA267" s="126">
        <f>IFERROR(VLOOKUP(D267,'Monthly Deduction'!A:B,2,0),0)</f>
        <v>5.66</v>
      </c>
      <c r="AB267" s="129">
        <f t="shared" si="75"/>
        <v>303</v>
      </c>
      <c r="AC267" s="130">
        <v>0</v>
      </c>
      <c r="AD267" s="35">
        <f t="shared" si="86"/>
        <v>303</v>
      </c>
      <c r="AE267" s="166" t="str">
        <f t="shared" si="87"/>
        <v>Release</v>
      </c>
      <c r="AF267" s="127"/>
      <c r="AG267" s="18">
        <v>0</v>
      </c>
      <c r="AH267" s="120"/>
      <c r="AI267" s="238">
        <v>0</v>
      </c>
      <c r="AJ267" s="132"/>
      <c r="AK267" s="151">
        <v>525</v>
      </c>
      <c r="AL267" s="154">
        <f t="shared" si="76"/>
        <v>0</v>
      </c>
      <c r="AM267" s="155"/>
      <c r="AN267" s="19">
        <f t="shared" si="77"/>
        <v>0</v>
      </c>
      <c r="AO267" s="118">
        <f>SUMIF('MPG Payment '!E:E,'Shayak Income '!D267,'MPG Payment '!AJ:AJ)</f>
        <v>0</v>
      </c>
      <c r="AP267" s="19">
        <f t="shared" si="78"/>
        <v>0</v>
      </c>
      <c r="AQ267" s="119">
        <f t="shared" si="88"/>
        <v>0</v>
      </c>
      <c r="AR267" s="91" t="s">
        <v>1144</v>
      </c>
      <c r="AS267" s="91">
        <f t="shared" si="79"/>
        <v>5830.2533022261996</v>
      </c>
      <c r="AT267" s="118"/>
      <c r="AU267" s="118"/>
      <c r="AV267" s="118"/>
    </row>
    <row r="268" spans="1:48" s="20" customFormat="1" x14ac:dyDescent="0.25">
      <c r="A268" s="17">
        <f>IFERROR(VLOOKUP(D268,'Monthly Deduction'!$I$3:$J$957,2,0),0)</f>
        <v>0</v>
      </c>
      <c r="B268" s="17">
        <f>IFERROR(VLOOKUP(D268,'Monthly Deduction'!$E$3:$F$957,2,0),0)</f>
        <v>0</v>
      </c>
      <c r="C268" s="17">
        <f t="shared" si="80"/>
        <v>0</v>
      </c>
      <c r="D268" s="41">
        <v>10100033</v>
      </c>
      <c r="E268" s="122" t="str">
        <f>VLOOKUP(D268,'MPG Payment '!$E$3:$G$497305,2,0)</f>
        <v>Gomukh Basudevpur</v>
      </c>
      <c r="F268" s="146">
        <f>IFERROR(_xlfn.XLOOKUP(D268,'Monthly Deduction'!$I$3:$I$957,'Monthly Deduction'!$H$3:$H$957),0)</f>
        <v>0</v>
      </c>
      <c r="G268" s="123" t="str">
        <f>VLOOKUP(D268,'MPG Payment '!$E$3:$G$333666,3,0)</f>
        <v>vlc</v>
      </c>
      <c r="H268" s="124" t="str">
        <f>VLOOKUP(D268,'MPG Payment '!$E$3:$H$333666,4,0)</f>
        <v>Indirect</v>
      </c>
      <c r="I268" s="88">
        <f>INDEX('MPG Payment '!$C:$C,MATCH('Shayak Income '!D268,'MPG Payment '!E:E,0))</f>
        <v>1007</v>
      </c>
      <c r="J268" s="88" t="str">
        <f>INDEX('MPG Payment '!$D:$D,MATCH('Shayak Income '!D268,'MPG Payment '!E:E,0))</f>
        <v>Araria</v>
      </c>
      <c r="K268" s="125" t="s">
        <v>1594</v>
      </c>
      <c r="L268" s="125">
        <v>45238</v>
      </c>
      <c r="M268" s="126">
        <f>SUMIF('MPG Payment '!$E$3:$E$344841,'Shayak Income '!D268,'MPG Payment '!$I$3:$I$344841)</f>
        <v>280.10000000000002</v>
      </c>
      <c r="N268" s="126">
        <f>SUMIF('MPG Payment '!$E$3:$E$344841,'Shayak Income '!D268,'MPG Payment '!$J$3:$J$344841)</f>
        <v>10899.27</v>
      </c>
      <c r="O268" s="126">
        <f t="shared" si="81"/>
        <v>210.07500000000002</v>
      </c>
      <c r="P268" s="126">
        <f t="shared" si="82"/>
        <v>266.09500000000003</v>
      </c>
      <c r="Q268" s="126">
        <f>SUMIF('MPG Payment '!$E$3:$E$344841,'Shayak Income '!D268,'MPG Payment '!$S$3:$S$344841)</f>
        <v>0</v>
      </c>
      <c r="R268" s="126">
        <f t="shared" si="73"/>
        <v>326.97809999999998</v>
      </c>
      <c r="S268" s="126">
        <f t="shared" si="74"/>
        <v>60.883099999999956</v>
      </c>
      <c r="T268" s="126">
        <f t="shared" si="83"/>
        <v>28.010000000000005</v>
      </c>
      <c r="U268" s="127">
        <f>((((((IF(K268="New",0,SUMIF('MPG Payment '!$E$3:$E$344841,'Shayak Income '!D268,'MPG Payment '!$AC$3:$AC$344841))))+0)+0)+0)+0)+-973</f>
        <v>447.70904924513366</v>
      </c>
      <c r="V268" s="127">
        <f t="shared" si="84"/>
        <v>0</v>
      </c>
      <c r="W268" s="19">
        <v>0</v>
      </c>
      <c r="X268" s="19">
        <v>0</v>
      </c>
      <c r="Y268" s="128">
        <v>0</v>
      </c>
      <c r="Z268" s="128">
        <v>0</v>
      </c>
      <c r="AA268" s="126">
        <v>0</v>
      </c>
      <c r="AB268" s="129">
        <f t="shared" si="75"/>
        <v>0</v>
      </c>
      <c r="AC268" s="130">
        <v>0</v>
      </c>
      <c r="AD268" s="35">
        <f t="shared" si="86"/>
        <v>0</v>
      </c>
      <c r="AE268" s="166" t="str">
        <f t="shared" si="87"/>
        <v>Release</v>
      </c>
      <c r="AF268" s="127"/>
      <c r="AG268" s="18">
        <v>0</v>
      </c>
      <c r="AH268" s="120"/>
      <c r="AI268" s="238">
        <v>0</v>
      </c>
      <c r="AJ268" s="132"/>
      <c r="AK268" s="151">
        <v>22.6</v>
      </c>
      <c r="AL268" s="154">
        <f t="shared" si="76"/>
        <v>0</v>
      </c>
      <c r="AM268" s="155"/>
      <c r="AN268" s="19">
        <f t="shared" si="77"/>
        <v>0</v>
      </c>
      <c r="AO268" s="118">
        <f>SUMIF('MPG Payment '!E:E,'Shayak Income '!D268,'MPG Payment '!AJ:AJ)</f>
        <v>0</v>
      </c>
      <c r="AP268" s="19">
        <f t="shared" si="78"/>
        <v>0</v>
      </c>
      <c r="AQ268" s="119">
        <f t="shared" si="88"/>
        <v>0</v>
      </c>
      <c r="AR268" s="91" t="s">
        <v>1144</v>
      </c>
      <c r="AS268" s="91">
        <f t="shared" si="79"/>
        <v>0</v>
      </c>
      <c r="AT268" s="118"/>
      <c r="AU268" s="118"/>
      <c r="AV268" s="118"/>
    </row>
    <row r="269" spans="1:48" s="20" customFormat="1" x14ac:dyDescent="0.25">
      <c r="A269" s="17">
        <f>IFERROR(VLOOKUP(D269,'Monthly Deduction'!$I$3:$J$957,2,0),0)</f>
        <v>54425.692866156285</v>
      </c>
      <c r="B269" s="17">
        <f>IFERROR(VLOOKUP(D269,'Monthly Deduction'!$E$3:$F$957,2,0),0)</f>
        <v>6330</v>
      </c>
      <c r="C269" s="17">
        <f t="shared" si="80"/>
        <v>60755.692866156285</v>
      </c>
      <c r="D269" s="41">
        <v>10100035</v>
      </c>
      <c r="E269" s="122" t="str">
        <f>VLOOKUP(D269,'MPG Payment '!$E$3:$G$497305,2,0)</f>
        <v>Gomukh Fudkichak</v>
      </c>
      <c r="F269" s="146">
        <f>IFERROR(_xlfn.XLOOKUP(D269,'Monthly Deduction'!$I$3:$I$957,'Monthly Deduction'!$H$3:$H$957),0)</f>
        <v>0</v>
      </c>
      <c r="G269" s="123" t="str">
        <f>VLOOKUP(D269,'MPG Payment '!$E$3:$G$333666,3,0)</f>
        <v>MPG</v>
      </c>
      <c r="H269" s="124" t="str">
        <f>VLOOKUP(D269,'MPG Payment '!$E$3:$H$333666,4,0)</f>
        <v>Direct</v>
      </c>
      <c r="I269" s="88">
        <f>INDEX('MPG Payment '!$C:$C,MATCH('Shayak Income '!D269,'MPG Payment '!E:E,0))</f>
        <v>1007</v>
      </c>
      <c r="J269" s="88" t="str">
        <f>INDEX('MPG Payment '!$D:$D,MATCH('Shayak Income '!D269,'MPG Payment '!E:E,0))</f>
        <v>Araria</v>
      </c>
      <c r="K269" s="125" t="s">
        <v>1594</v>
      </c>
      <c r="L269" s="125">
        <v>45238</v>
      </c>
      <c r="M269" s="126">
        <f>SUMIF('MPG Payment '!$E$3:$E$344841,'Shayak Income '!D269,'MPG Payment '!$I$3:$I$344841)</f>
        <v>1860.1000000000001</v>
      </c>
      <c r="N269" s="126">
        <f>SUMIF('MPG Payment '!$E$3:$E$344841,'Shayak Income '!D269,'MPG Payment '!$J$3:$J$344841)</f>
        <v>88442.989999999991</v>
      </c>
      <c r="O269" s="126">
        <f t="shared" si="81"/>
        <v>1395.075</v>
      </c>
      <c r="P269" s="126">
        <f t="shared" si="82"/>
        <v>1767.095</v>
      </c>
      <c r="Q269" s="126">
        <f>SUMIF('MPG Payment '!$E$3:$E$344841,'Shayak Income '!D269,'MPG Payment '!$S$3:$S$344841)</f>
        <v>0</v>
      </c>
      <c r="R269" s="126">
        <f t="shared" si="73"/>
        <v>2653.2896999999998</v>
      </c>
      <c r="S269" s="126">
        <f t="shared" si="74"/>
        <v>886.19469999999978</v>
      </c>
      <c r="T269" s="126">
        <f t="shared" si="83"/>
        <v>186.01000000000002</v>
      </c>
      <c r="U269" s="127">
        <f>((((((IF(K269="New",0,SUMIF('MPG Payment '!$E$3:$E$344841,'Shayak Income '!D269,'MPG Payment '!$AC$3:$AC$344841))))+0)+0)+0)+0)+0</f>
        <v>890.14442651877312</v>
      </c>
      <c r="V269" s="127">
        <f t="shared" si="84"/>
        <v>2086</v>
      </c>
      <c r="W269" s="19">
        <f t="shared" si="85"/>
        <v>361</v>
      </c>
      <c r="X269" s="19">
        <v>0</v>
      </c>
      <c r="Y269" s="128">
        <f>IFERROR(VLOOKUP(D269,'Monthly Deduction'!$M$2:$N$640,2,0),0)</f>
        <v>0</v>
      </c>
      <c r="Z269" s="128">
        <v>0</v>
      </c>
      <c r="AA269" s="126">
        <f>IFERROR(VLOOKUP(D269,'Monthly Deduction'!A:B,2,0),0)</f>
        <v>860.95999999999992</v>
      </c>
      <c r="AB269" s="129">
        <f t="shared" si="75"/>
        <v>864</v>
      </c>
      <c r="AC269" s="130">
        <v>0</v>
      </c>
      <c r="AD269" s="35">
        <f t="shared" si="86"/>
        <v>864</v>
      </c>
      <c r="AE269" s="166" t="str">
        <f t="shared" si="87"/>
        <v>Release</v>
      </c>
      <c r="AF269" s="127"/>
      <c r="AG269" s="18">
        <v>0</v>
      </c>
      <c r="AH269" s="120"/>
      <c r="AI269" s="238">
        <v>0</v>
      </c>
      <c r="AJ269" s="132"/>
      <c r="AK269" s="151">
        <v>244.60000000000002</v>
      </c>
      <c r="AL269" s="154">
        <f t="shared" si="76"/>
        <v>0</v>
      </c>
      <c r="AM269" s="155"/>
      <c r="AN269" s="19">
        <f t="shared" si="77"/>
        <v>1861</v>
      </c>
      <c r="AO269" s="118">
        <f>SUMIF('MPG Payment '!E:E,'Shayak Income '!D269,'MPG Payment '!AJ:AJ)</f>
        <v>1500</v>
      </c>
      <c r="AP269" s="19">
        <f t="shared" si="78"/>
        <v>361</v>
      </c>
      <c r="AQ269" s="119">
        <f t="shared" si="88"/>
        <v>1861</v>
      </c>
      <c r="AR269" s="91"/>
      <c r="AS269" s="91">
        <f t="shared" si="79"/>
        <v>6330</v>
      </c>
      <c r="AT269" s="118"/>
      <c r="AU269" s="118"/>
      <c r="AV269" s="118"/>
    </row>
    <row r="270" spans="1:48" s="20" customFormat="1" x14ac:dyDescent="0.25">
      <c r="A270" s="17">
        <f>IFERROR(VLOOKUP(D270,'Monthly Deduction'!$I$3:$J$957,2,0),0)</f>
        <v>63438.471268697955</v>
      </c>
      <c r="B270" s="17">
        <f>IFERROR(VLOOKUP(D270,'Monthly Deduction'!$E$3:$F$957,2,0),0)</f>
        <v>6400</v>
      </c>
      <c r="C270" s="17">
        <f t="shared" si="80"/>
        <v>69838.471268697962</v>
      </c>
      <c r="D270" s="41">
        <v>10100037</v>
      </c>
      <c r="E270" s="122" t="str">
        <f>VLOOKUP(D270,'MPG Payment '!$E$3:$G$497305,2,0)</f>
        <v>Gomukh Tehay</v>
      </c>
      <c r="F270" s="146">
        <f>IFERROR(_xlfn.XLOOKUP(D270,'Monthly Deduction'!$I$3:$I$957,'Monthly Deduction'!$H$3:$H$957),0)</f>
        <v>0</v>
      </c>
      <c r="G270" s="123" t="str">
        <f>VLOOKUP(D270,'MPG Payment '!$E$3:$G$333666,3,0)</f>
        <v>MPG</v>
      </c>
      <c r="H270" s="124" t="str">
        <f>VLOOKUP(D270,'MPG Payment '!$E$3:$H$333666,4,0)</f>
        <v>Direct</v>
      </c>
      <c r="I270" s="88">
        <f>INDEX('MPG Payment '!$C:$C,MATCH('Shayak Income '!D270,'MPG Payment '!E:E,0))</f>
        <v>1010</v>
      </c>
      <c r="J270" s="88" t="str">
        <f>INDEX('MPG Payment '!$D:$D,MATCH('Shayak Income '!D270,'MPG Payment '!E:E,0))</f>
        <v>Parbatta</v>
      </c>
      <c r="K270" s="125" t="s">
        <v>1594</v>
      </c>
      <c r="L270" s="125">
        <v>45260</v>
      </c>
      <c r="M270" s="126">
        <f>SUMIF('MPG Payment '!$E$3:$E$344841,'Shayak Income '!D270,'MPG Payment '!$I$3:$I$344841)</f>
        <v>957.3</v>
      </c>
      <c r="N270" s="126">
        <f>SUMIF('MPG Payment '!$E$3:$E$344841,'Shayak Income '!D270,'MPG Payment '!$J$3:$J$344841)</f>
        <v>44965.42</v>
      </c>
      <c r="O270" s="126">
        <f t="shared" si="81"/>
        <v>717.97499999999991</v>
      </c>
      <c r="P270" s="126">
        <f t="shared" si="82"/>
        <v>909.43499999999995</v>
      </c>
      <c r="Q270" s="126">
        <f>SUMIF('MPG Payment '!$E$3:$E$344841,'Shayak Income '!D270,'MPG Payment '!$S$3:$S$344841)</f>
        <v>2370</v>
      </c>
      <c r="R270" s="126">
        <f t="shared" si="73"/>
        <v>1348.9625999999998</v>
      </c>
      <c r="S270" s="126">
        <f t="shared" si="74"/>
        <v>439.52759999999989</v>
      </c>
      <c r="T270" s="126">
        <f t="shared" si="83"/>
        <v>95.73</v>
      </c>
      <c r="U270" s="127">
        <f>((((((IF(K270="New",0,SUMIF('MPG Payment '!$E$3:$E$344841,'Shayak Income '!D270,'MPG Payment '!$AC$3:$AC$344841))))+0)+0)+0)+0)+0</f>
        <v>1733.3688817431998</v>
      </c>
      <c r="V270" s="127">
        <f t="shared" si="84"/>
        <v>2168</v>
      </c>
      <c r="W270" s="19">
        <v>0</v>
      </c>
      <c r="X270" s="19">
        <f t="shared" si="89"/>
        <v>899.30840000000001</v>
      </c>
      <c r="Y270" s="128">
        <v>1269</v>
      </c>
      <c r="Z270" s="128">
        <v>0</v>
      </c>
      <c r="AA270" s="126">
        <v>0</v>
      </c>
      <c r="AB270" s="129">
        <f t="shared" si="75"/>
        <v>0</v>
      </c>
      <c r="AC270" s="130">
        <v>0</v>
      </c>
      <c r="AD270" s="35">
        <f t="shared" si="86"/>
        <v>0</v>
      </c>
      <c r="AE270" s="166" t="str">
        <f t="shared" si="87"/>
        <v>Release</v>
      </c>
      <c r="AF270" s="127"/>
      <c r="AG270" s="18">
        <v>0</v>
      </c>
      <c r="AH270" s="132"/>
      <c r="AI270" s="238">
        <v>0</v>
      </c>
      <c r="AJ270" s="132"/>
      <c r="AK270" s="151">
        <v>252.9</v>
      </c>
      <c r="AL270" s="154">
        <f t="shared" si="76"/>
        <v>0</v>
      </c>
      <c r="AM270" s="155"/>
      <c r="AN270" s="19">
        <f t="shared" si="77"/>
        <v>1861</v>
      </c>
      <c r="AO270" s="118">
        <f>SUMIF('MPG Payment '!E:E,'Shayak Income '!D270,'MPG Payment '!AJ:AJ)</f>
        <v>2000</v>
      </c>
      <c r="AP270" s="19">
        <f t="shared" si="78"/>
        <v>0</v>
      </c>
      <c r="AQ270" s="119">
        <f t="shared" si="88"/>
        <v>2000</v>
      </c>
      <c r="AR270" s="91" t="s">
        <v>1144</v>
      </c>
      <c r="AS270" s="91">
        <f t="shared" si="79"/>
        <v>5500.6916000000001</v>
      </c>
      <c r="AT270" s="118"/>
      <c r="AU270" s="118"/>
      <c r="AV270" s="118"/>
    </row>
    <row r="271" spans="1:48" s="20" customFormat="1" x14ac:dyDescent="0.25">
      <c r="A271" s="17">
        <f>IFERROR(VLOOKUP(D271,'Monthly Deduction'!$I$3:$J$957,2,0),0)</f>
        <v>29628.735196323032</v>
      </c>
      <c r="B271" s="17">
        <f>IFERROR(VLOOKUP(D271,'Monthly Deduction'!$E$3:$F$957,2,0),0)</f>
        <v>9304.5715999999993</v>
      </c>
      <c r="C271" s="17">
        <f t="shared" si="80"/>
        <v>38933.306796323028</v>
      </c>
      <c r="D271" s="41">
        <v>10100045</v>
      </c>
      <c r="E271" s="122" t="str">
        <f>VLOOKUP(D271,'MPG Payment '!$E$3:$G$497305,2,0)</f>
        <v>Gomukh Krochaka Dudhela</v>
      </c>
      <c r="F271" s="146">
        <f>IFERROR(_xlfn.XLOOKUP(D271,'Monthly Deduction'!$I$3:$I$957,'Monthly Deduction'!$H$3:$H$957),0)</f>
        <v>0</v>
      </c>
      <c r="G271" s="123" t="str">
        <f>VLOOKUP(D271,'MPG Payment '!$E$3:$G$333666,3,0)</f>
        <v>MPG</v>
      </c>
      <c r="H271" s="124" t="str">
        <f>VLOOKUP(D271,'MPG Payment '!$E$3:$H$333666,4,0)</f>
        <v>Direct</v>
      </c>
      <c r="I271" s="88">
        <f>INDEX('MPG Payment '!$C:$C,MATCH('Shayak Income '!D271,'MPG Payment '!E:E,0))</f>
        <v>1010</v>
      </c>
      <c r="J271" s="88" t="str">
        <f>INDEX('MPG Payment '!$D:$D,MATCH('Shayak Income '!D271,'MPG Payment '!E:E,0))</f>
        <v>Parbatta</v>
      </c>
      <c r="K271" s="125" t="s">
        <v>1594</v>
      </c>
      <c r="L271" s="125">
        <v>45471</v>
      </c>
      <c r="M271" s="126">
        <f>SUMIF('MPG Payment '!$E$3:$E$344841,'Shayak Income '!D271,'MPG Payment '!$I$3:$I$344841)</f>
        <v>7069.7</v>
      </c>
      <c r="N271" s="126">
        <f>SUMIF('MPG Payment '!$E$3:$E$344841,'Shayak Income '!D271,'MPG Payment '!$J$3:$J$344841)</f>
        <v>263460.20999999996</v>
      </c>
      <c r="O271" s="126">
        <f t="shared" si="81"/>
        <v>5302.2749999999996</v>
      </c>
      <c r="P271" s="126">
        <f t="shared" si="82"/>
        <v>6716.2149999999992</v>
      </c>
      <c r="Q271" s="126">
        <f>SUMIF('MPG Payment '!$E$3:$E$344841,'Shayak Income '!D271,'MPG Payment '!$S$3:$S$344841)</f>
        <v>720.76</v>
      </c>
      <c r="R271" s="126">
        <f t="shared" si="73"/>
        <v>7903.8062999999984</v>
      </c>
      <c r="S271" s="126">
        <f t="shared" si="74"/>
        <v>1187.5912999999991</v>
      </c>
      <c r="T271" s="126">
        <f t="shared" si="83"/>
        <v>706.97</v>
      </c>
      <c r="U271" s="127">
        <f>((((((IF(K271="New",0,SUMIF('MPG Payment '!$E$3:$E$344841,'Shayak Income '!D271,'MPG Payment '!$AC$3:$AC$344841))))+0)+0)+0)+0)+0</f>
        <v>0</v>
      </c>
      <c r="V271" s="127">
        <f t="shared" si="84"/>
        <v>12032</v>
      </c>
      <c r="W271" s="19">
        <f t="shared" si="85"/>
        <v>5269.2041999999992</v>
      </c>
      <c r="X271" s="19">
        <v>0</v>
      </c>
      <c r="Y271" s="128">
        <f>IFERROR(VLOOKUP(D271,'Monthly Deduction'!$M$2:$N$640,2,0),0)</f>
        <v>0</v>
      </c>
      <c r="Z271" s="128">
        <v>0</v>
      </c>
      <c r="AA271" s="126">
        <f>IFERROR(VLOOKUP(D271,'Monthly Deduction'!A:B,2,0),0)</f>
        <v>0</v>
      </c>
      <c r="AB271" s="129">
        <f t="shared" si="75"/>
        <v>6763</v>
      </c>
      <c r="AC271" s="130">
        <v>0</v>
      </c>
      <c r="AD271" s="35">
        <f t="shared" si="86"/>
        <v>6763</v>
      </c>
      <c r="AE271" s="166" t="str">
        <f t="shared" si="87"/>
        <v>Release</v>
      </c>
      <c r="AF271" s="127"/>
      <c r="AG271" s="18">
        <v>0</v>
      </c>
      <c r="AH271" s="120"/>
      <c r="AI271" s="238">
        <v>0</v>
      </c>
      <c r="AJ271" s="132"/>
      <c r="AK271" s="151">
        <v>577.1</v>
      </c>
      <c r="AL271" s="154">
        <f t="shared" si="76"/>
        <v>0</v>
      </c>
      <c r="AM271" s="155"/>
      <c r="AN271" s="19">
        <f t="shared" si="77"/>
        <v>5269.2041999999992</v>
      </c>
      <c r="AO271" s="118">
        <f>SUMIF('MPG Payment '!E:E,'Shayak Income '!D271,'MPG Payment '!AJ:AJ)</f>
        <v>0</v>
      </c>
      <c r="AP271" s="19">
        <f t="shared" si="78"/>
        <v>5269.2041999999992</v>
      </c>
      <c r="AQ271" s="119">
        <f t="shared" si="88"/>
        <v>5269.2041999999992</v>
      </c>
      <c r="AR271" s="91" t="s">
        <v>1144</v>
      </c>
      <c r="AS271" s="91">
        <f t="shared" si="79"/>
        <v>9304.5715999999993</v>
      </c>
      <c r="AT271" s="118"/>
      <c r="AU271" s="118"/>
      <c r="AV271" s="118"/>
    </row>
    <row r="272" spans="1:48" s="20" customFormat="1" x14ac:dyDescent="0.25">
      <c r="A272" s="17">
        <f>IFERROR(VLOOKUP(D272,'Monthly Deduction'!$I$3:$J$957,2,0),0)</f>
        <v>47372.375169970794</v>
      </c>
      <c r="B272" s="17">
        <f>IFERROR(VLOOKUP(D272,'Monthly Deduction'!$E$3:$F$957,2,0),0)</f>
        <v>11274</v>
      </c>
      <c r="C272" s="17">
        <f t="shared" si="80"/>
        <v>58646.375169970794</v>
      </c>
      <c r="D272" s="41">
        <v>10100049</v>
      </c>
      <c r="E272" s="122" t="str">
        <f>VLOOKUP(D272,'MPG Payment '!$E$3:$G$497305,2,0)</f>
        <v>Gomukh Govind Pur</v>
      </c>
      <c r="F272" s="146">
        <f>IFERROR(_xlfn.XLOOKUP(D272,'Monthly Deduction'!$I$3:$I$957,'Monthly Deduction'!$H$3:$H$957),0)</f>
        <v>0</v>
      </c>
      <c r="G272" s="123" t="str">
        <f>VLOOKUP(D272,'MPG Payment '!$E$3:$G$333666,3,0)</f>
        <v>MPG</v>
      </c>
      <c r="H272" s="124" t="str">
        <f>VLOOKUP(D272,'MPG Payment '!$E$3:$H$333666,4,0)</f>
        <v>Direct</v>
      </c>
      <c r="I272" s="88">
        <f>INDEX('MPG Payment '!$C:$C,MATCH('Shayak Income '!D272,'MPG Payment '!E:E,0))</f>
        <v>1007</v>
      </c>
      <c r="J272" s="88" t="str">
        <f>INDEX('MPG Payment '!$D:$D,MATCH('Shayak Income '!D272,'MPG Payment '!E:E,0))</f>
        <v>Araria</v>
      </c>
      <c r="K272" s="125" t="s">
        <v>1594</v>
      </c>
      <c r="L272" s="125">
        <v>45562</v>
      </c>
      <c r="M272" s="126">
        <f>SUMIF('MPG Payment '!$E$3:$E$344841,'Shayak Income '!D272,'MPG Payment '!$I$3:$I$344841)</f>
        <v>4325</v>
      </c>
      <c r="N272" s="126">
        <f>SUMIF('MPG Payment '!$E$3:$E$344841,'Shayak Income '!D272,'MPG Payment '!$J$3:$J$344841)</f>
        <v>169346</v>
      </c>
      <c r="O272" s="126">
        <f t="shared" si="81"/>
        <v>3243.75</v>
      </c>
      <c r="P272" s="126">
        <f t="shared" si="82"/>
        <v>4108.75</v>
      </c>
      <c r="Q272" s="126">
        <f>SUMIF('MPG Payment '!$E$3:$E$344841,'Shayak Income '!D272,'MPG Payment '!$S$3:$S$344841)</f>
        <v>0</v>
      </c>
      <c r="R272" s="126">
        <f t="shared" si="73"/>
        <v>5080.38</v>
      </c>
      <c r="S272" s="126">
        <f t="shared" si="74"/>
        <v>971.63000000000011</v>
      </c>
      <c r="T272" s="126">
        <f t="shared" si="83"/>
        <v>432.5</v>
      </c>
      <c r="U272" s="127">
        <f>((((((IF(K272="New",0,SUMIF('MPG Payment '!$E$3:$E$344841,'Shayak Income '!D272,'MPG Payment '!$AC$3:$AC$344841))))+0)+0)+0)+0)+0</f>
        <v>0</v>
      </c>
      <c r="V272" s="127">
        <f t="shared" si="84"/>
        <v>6920</v>
      </c>
      <c r="W272" s="19">
        <f t="shared" si="85"/>
        <v>3386.92</v>
      </c>
      <c r="X272" s="19">
        <v>0</v>
      </c>
      <c r="Y272" s="128">
        <f>IFERROR(VLOOKUP(D272,'Monthly Deduction'!$M$2:$N$640,2,0),0)</f>
        <v>0</v>
      </c>
      <c r="Z272" s="128">
        <v>0</v>
      </c>
      <c r="AA272" s="126">
        <f>IFERROR(VLOOKUP(D272,'Monthly Deduction'!A:B,2,0),0)</f>
        <v>0</v>
      </c>
      <c r="AB272" s="129">
        <f t="shared" si="75"/>
        <v>3533</v>
      </c>
      <c r="AC272" s="130">
        <v>0</v>
      </c>
      <c r="AD272" s="35">
        <f t="shared" si="86"/>
        <v>3533</v>
      </c>
      <c r="AE272" s="166" t="str">
        <f t="shared" si="87"/>
        <v>Release</v>
      </c>
      <c r="AF272" s="127"/>
      <c r="AG272" s="127">
        <v>0</v>
      </c>
      <c r="AH272" s="120"/>
      <c r="AI272" s="238">
        <v>0</v>
      </c>
      <c r="AJ272" s="132"/>
      <c r="AK272" s="151">
        <v>504.19999999999993</v>
      </c>
      <c r="AL272" s="154">
        <f t="shared" si="76"/>
        <v>0</v>
      </c>
      <c r="AM272" s="155"/>
      <c r="AN272" s="19">
        <f t="shared" si="77"/>
        <v>3386.92</v>
      </c>
      <c r="AO272" s="118">
        <f>SUMIF('MPG Payment '!E:E,'Shayak Income '!D272,'MPG Payment '!AJ:AJ)</f>
        <v>0</v>
      </c>
      <c r="AP272" s="19">
        <f t="shared" si="78"/>
        <v>3386.92</v>
      </c>
      <c r="AQ272" s="119">
        <f t="shared" si="88"/>
        <v>3386.92</v>
      </c>
      <c r="AR272" s="91" t="s">
        <v>1144</v>
      </c>
      <c r="AS272" s="91">
        <f t="shared" si="79"/>
        <v>11274</v>
      </c>
      <c r="AT272" s="118"/>
      <c r="AU272" s="118"/>
      <c r="AV272" s="118"/>
    </row>
    <row r="273" spans="1:48" s="20" customFormat="1" x14ac:dyDescent="0.25">
      <c r="A273" s="17">
        <f>IFERROR(VLOOKUP(D273,'Monthly Deduction'!$I$3:$J$957,2,0),0)</f>
        <v>14001.770020100303</v>
      </c>
      <c r="B273" s="17">
        <f>IFERROR(VLOOKUP(D273,'Monthly Deduction'!$E$3:$F$957,2,0),0)</f>
        <v>14430.109400000001</v>
      </c>
      <c r="C273" s="17">
        <f t="shared" si="80"/>
        <v>28431.879420100304</v>
      </c>
      <c r="D273" s="41">
        <v>10100051</v>
      </c>
      <c r="E273" s="122" t="str">
        <f>VLOOKUP(D273,'MPG Payment '!$E$3:$G$497305,2,0)</f>
        <v>Gomukh Sondiha</v>
      </c>
      <c r="F273" s="146">
        <f>IFERROR(_xlfn.XLOOKUP(D273,'Monthly Deduction'!$I$3:$I$957,'Monthly Deduction'!$H$3:$H$957),0)</f>
        <v>0</v>
      </c>
      <c r="G273" s="123" t="str">
        <f>VLOOKUP(D273,'MPG Payment '!$E$3:$G$333666,3,0)</f>
        <v>MPG</v>
      </c>
      <c r="H273" s="124" t="str">
        <f>VLOOKUP(D273,'MPG Payment '!$E$3:$H$333666,4,0)</f>
        <v>Direct</v>
      </c>
      <c r="I273" s="88">
        <f>INDEX('MPG Payment '!$C:$C,MATCH('Shayak Income '!D273,'MPG Payment '!E:E,0))</f>
        <v>1007</v>
      </c>
      <c r="J273" s="88" t="str">
        <f>INDEX('MPG Payment '!$D:$D,MATCH('Shayak Income '!D273,'MPG Payment '!E:E,0))</f>
        <v>Araria</v>
      </c>
      <c r="K273" s="125" t="s">
        <v>1594</v>
      </c>
      <c r="L273" s="125">
        <v>45556</v>
      </c>
      <c r="M273" s="126">
        <f>SUMIF('MPG Payment '!$E$3:$E$344841,'Shayak Income '!D273,'MPG Payment '!$I$3:$I$344841)</f>
        <v>7156.5</v>
      </c>
      <c r="N273" s="126">
        <f>SUMIF('MPG Payment '!$E$3:$E$344841,'Shayak Income '!D273,'MPG Payment '!$J$3:$J$344841)</f>
        <v>280224.77</v>
      </c>
      <c r="O273" s="126">
        <f t="shared" si="81"/>
        <v>5367.375</v>
      </c>
      <c r="P273" s="126">
        <f t="shared" si="82"/>
        <v>6798.6749999999993</v>
      </c>
      <c r="Q273" s="126">
        <f>SUMIF('MPG Payment '!$E$3:$E$344841,'Shayak Income '!D273,'MPG Payment '!$S$3:$S$344841)</f>
        <v>0</v>
      </c>
      <c r="R273" s="126">
        <f t="shared" si="73"/>
        <v>8406.7430999999997</v>
      </c>
      <c r="S273" s="126">
        <f t="shared" si="74"/>
        <v>1608.0681000000004</v>
      </c>
      <c r="T273" s="126">
        <f t="shared" si="83"/>
        <v>715.65000000000009</v>
      </c>
      <c r="U273" s="127">
        <f>((((((IF(K273="New",0,SUMIF('MPG Payment '!$E$3:$E$344841,'Shayak Income '!D273,'MPG Payment '!$AC$3:$AC$344841))))+0)+0)+0)+0)+0</f>
        <v>0</v>
      </c>
      <c r="V273" s="127">
        <f t="shared" si="84"/>
        <v>11450</v>
      </c>
      <c r="W273" s="19">
        <f t="shared" si="85"/>
        <v>5604.4954000000007</v>
      </c>
      <c r="X273" s="19">
        <v>0</v>
      </c>
      <c r="Y273" s="128">
        <f>IFERROR(VLOOKUP(D273,'Monthly Deduction'!$M$2:$N$640,2,0),0)</f>
        <v>0</v>
      </c>
      <c r="Z273" s="128">
        <v>0</v>
      </c>
      <c r="AA273" s="126">
        <f>IFERROR(VLOOKUP(D273,'Monthly Deduction'!A:B,2,0),0)</f>
        <v>0</v>
      </c>
      <c r="AB273" s="129">
        <f t="shared" si="75"/>
        <v>5846</v>
      </c>
      <c r="AC273" s="130">
        <v>0</v>
      </c>
      <c r="AD273" s="35">
        <f t="shared" si="86"/>
        <v>5846</v>
      </c>
      <c r="AE273" s="166" t="str">
        <f t="shared" si="87"/>
        <v>Release</v>
      </c>
      <c r="AF273" s="127"/>
      <c r="AG273" s="127">
        <v>0</v>
      </c>
      <c r="AH273" s="120"/>
      <c r="AI273" s="238">
        <v>0</v>
      </c>
      <c r="AJ273" s="132"/>
      <c r="AK273" s="151">
        <v>1388.7</v>
      </c>
      <c r="AL273" s="154">
        <f t="shared" si="76"/>
        <v>0</v>
      </c>
      <c r="AM273" s="155"/>
      <c r="AN273" s="19">
        <f t="shared" si="77"/>
        <v>5604.4954000000007</v>
      </c>
      <c r="AO273" s="118">
        <f>SUMIF('MPG Payment '!E:E,'Shayak Income '!D273,'MPG Payment '!AJ:AJ)</f>
        <v>0</v>
      </c>
      <c r="AP273" s="19">
        <f t="shared" si="78"/>
        <v>5604.4954000000007</v>
      </c>
      <c r="AQ273" s="119">
        <f t="shared" si="88"/>
        <v>5604.4954000000007</v>
      </c>
      <c r="AR273" s="91" t="s">
        <v>1144</v>
      </c>
      <c r="AS273" s="91">
        <f t="shared" si="79"/>
        <v>14430.109400000001</v>
      </c>
      <c r="AT273" s="118"/>
      <c r="AU273" s="118"/>
      <c r="AV273" s="118"/>
    </row>
    <row r="274" spans="1:48" s="20" customFormat="1" x14ac:dyDescent="0.25">
      <c r="A274" s="17">
        <f>IFERROR(VLOOKUP(D274,'Monthly Deduction'!$I$3:$J$957,2,0),0)</f>
        <v>65135.279803818499</v>
      </c>
      <c r="B274" s="17">
        <f>IFERROR(VLOOKUP(D274,'Monthly Deduction'!$E$3:$F$957,2,0),0)</f>
        <v>12126</v>
      </c>
      <c r="C274" s="17">
        <f t="shared" si="80"/>
        <v>77261.279803818499</v>
      </c>
      <c r="D274" s="41">
        <v>10100054</v>
      </c>
      <c r="E274" s="122" t="str">
        <f>VLOOKUP(D274,'MPG Payment '!$E$3:$G$497305,2,0)</f>
        <v>Gomukh Thebhay B</v>
      </c>
      <c r="F274" s="146">
        <f>IFERROR(_xlfn.XLOOKUP(D274,'Monthly Deduction'!$I$3:$I$957,'Monthly Deduction'!$H$3:$H$957),0)</f>
        <v>0</v>
      </c>
      <c r="G274" s="123" t="str">
        <f>VLOOKUP(D274,'MPG Payment '!$E$3:$G$333666,3,0)</f>
        <v>MPG</v>
      </c>
      <c r="H274" s="124" t="str">
        <f>VLOOKUP(D274,'MPG Payment '!$E$3:$H$333666,4,0)</f>
        <v>Direct</v>
      </c>
      <c r="I274" s="88">
        <f>INDEX('MPG Payment '!$C:$C,MATCH('Shayak Income '!D274,'MPG Payment '!E:E,0))</f>
        <v>1010</v>
      </c>
      <c r="J274" s="88" t="str">
        <f>INDEX('MPG Payment '!$D:$D,MATCH('Shayak Income '!D274,'MPG Payment '!E:E,0))</f>
        <v>Parbatta</v>
      </c>
      <c r="K274" s="125" t="s">
        <v>1594</v>
      </c>
      <c r="L274" s="125">
        <v>45657</v>
      </c>
      <c r="M274" s="126">
        <f>SUMIF('MPG Payment '!$E$3:$E$344841,'Shayak Income '!D274,'MPG Payment '!$I$3:$I$344841)</f>
        <v>1318.3000000000002</v>
      </c>
      <c r="N274" s="126">
        <f>SUMIF('MPG Payment '!$E$3:$E$344841,'Shayak Income '!D274,'MPG Payment '!$J$3:$J$344841)</f>
        <v>58709.649999999994</v>
      </c>
      <c r="O274" s="126">
        <f t="shared" si="81"/>
        <v>988.72500000000014</v>
      </c>
      <c r="P274" s="126">
        <f t="shared" si="82"/>
        <v>1252.3850000000002</v>
      </c>
      <c r="Q274" s="126">
        <f>SUMIF('MPG Payment '!$E$3:$E$344841,'Shayak Income '!D274,'MPG Payment '!$S$3:$S$344841)</f>
        <v>519.57999999999993</v>
      </c>
      <c r="R274" s="126">
        <f t="shared" si="73"/>
        <v>1761.2894999999999</v>
      </c>
      <c r="S274" s="126">
        <f t="shared" si="74"/>
        <v>508.90449999999964</v>
      </c>
      <c r="T274" s="126">
        <f t="shared" si="83"/>
        <v>131.83000000000001</v>
      </c>
      <c r="U274" s="127">
        <f>((((((IF(K274="New",0,SUMIF('MPG Payment '!$E$3:$E$344841,'Shayak Income '!D274,'MPG Payment '!$AC$3:$AC$344841))))+0)+0)+0)+0)+0</f>
        <v>1319.8303420269763</v>
      </c>
      <c r="V274" s="127">
        <f t="shared" si="84"/>
        <v>1309</v>
      </c>
      <c r="W274" s="19">
        <v>1309</v>
      </c>
      <c r="X274" s="19">
        <v>0</v>
      </c>
      <c r="Y274" s="128">
        <f>IFERROR(VLOOKUP(D274,'Monthly Deduction'!$M$2:$N$640,2,0),0)</f>
        <v>0</v>
      </c>
      <c r="Z274" s="128">
        <v>0</v>
      </c>
      <c r="AA274" s="126">
        <v>0</v>
      </c>
      <c r="AB274" s="129">
        <f t="shared" si="75"/>
        <v>0</v>
      </c>
      <c r="AC274" s="130">
        <v>0</v>
      </c>
      <c r="AD274" s="35">
        <f t="shared" si="86"/>
        <v>0</v>
      </c>
      <c r="AE274" s="166" t="str">
        <f t="shared" si="87"/>
        <v>Release</v>
      </c>
      <c r="AF274" s="127"/>
      <c r="AG274" s="18">
        <v>0</v>
      </c>
      <c r="AH274" s="120"/>
      <c r="AI274" s="238">
        <v>0</v>
      </c>
      <c r="AJ274" s="132"/>
      <c r="AK274" s="151">
        <v>324.39999999999998</v>
      </c>
      <c r="AL274" s="154">
        <f t="shared" si="76"/>
        <v>0</v>
      </c>
      <c r="AM274" s="155"/>
      <c r="AN274" s="19">
        <f t="shared" si="77"/>
        <v>1861</v>
      </c>
      <c r="AO274" s="118">
        <f>SUMIF('MPG Payment '!E:E,'Shayak Income '!D274,'MPG Payment '!AJ:AJ)</f>
        <v>0</v>
      </c>
      <c r="AP274" s="19">
        <f t="shared" si="78"/>
        <v>1309</v>
      </c>
      <c r="AQ274" s="119">
        <f t="shared" si="88"/>
        <v>1309</v>
      </c>
      <c r="AR274" s="91" t="s">
        <v>1144</v>
      </c>
      <c r="AS274" s="91">
        <f t="shared" si="79"/>
        <v>12126</v>
      </c>
      <c r="AT274" s="118"/>
      <c r="AU274" s="118"/>
      <c r="AV274" s="118"/>
    </row>
    <row r="275" spans="1:48" s="20" customFormat="1" x14ac:dyDescent="0.25">
      <c r="A275" s="17">
        <f>IFERROR(VLOOKUP(D275,'Monthly Deduction'!$I$3:$J$957,2,0),0)</f>
        <v>57979.944661673871</v>
      </c>
      <c r="B275" s="17">
        <f>IFERROR(VLOOKUP(D275,'Monthly Deduction'!$E$3:$F$957,2,0),0)</f>
        <v>16000</v>
      </c>
      <c r="C275" s="17">
        <f t="shared" si="80"/>
        <v>73979.944661673871</v>
      </c>
      <c r="D275" s="41">
        <v>10100060</v>
      </c>
      <c r="E275" s="122" t="str">
        <f>VLOOKUP(D275,'MPG Payment '!$E$3:$G$497305,2,0)</f>
        <v>Gomukh Baisa</v>
      </c>
      <c r="F275" s="146">
        <f>IFERROR(_xlfn.XLOOKUP(D275,'Monthly Deduction'!$I$3:$I$957,'Monthly Deduction'!$H$3:$H$957),0)</f>
        <v>0</v>
      </c>
      <c r="G275" s="123" t="str">
        <f>VLOOKUP(D275,'MPG Payment '!$E$3:$G$333666,3,0)</f>
        <v>MPG</v>
      </c>
      <c r="H275" s="124" t="str">
        <f>VLOOKUP(D275,'MPG Payment '!$E$3:$H$333666,4,0)</f>
        <v>Direct</v>
      </c>
      <c r="I275" s="88">
        <f>INDEX('MPG Payment '!$C:$C,MATCH('Shayak Income '!D275,'MPG Payment '!E:E,0))</f>
        <v>1007</v>
      </c>
      <c r="J275" s="88" t="str">
        <f>INDEX('MPG Payment '!$D:$D,MATCH('Shayak Income '!D275,'MPG Payment '!E:E,0))</f>
        <v>Araria</v>
      </c>
      <c r="K275" s="125" t="s">
        <v>1594</v>
      </c>
      <c r="L275" s="125">
        <v>45657</v>
      </c>
      <c r="M275" s="126">
        <f>SUMIF('MPG Payment '!$E$3:$E$344841,'Shayak Income '!D275,'MPG Payment '!$I$3:$I$344841)</f>
        <v>942.8</v>
      </c>
      <c r="N275" s="126">
        <f>SUMIF('MPG Payment '!$E$3:$E$344841,'Shayak Income '!D275,'MPG Payment '!$J$3:$J$344841)</f>
        <v>36611.270000000004</v>
      </c>
      <c r="O275" s="126">
        <f t="shared" si="81"/>
        <v>707.09999999999991</v>
      </c>
      <c r="P275" s="126">
        <f t="shared" si="82"/>
        <v>895.66</v>
      </c>
      <c r="Q275" s="126">
        <f>SUMIF('MPG Payment '!$E$3:$E$344841,'Shayak Income '!D275,'MPG Payment '!$S$3:$S$344841)</f>
        <v>69.850000000000009</v>
      </c>
      <c r="R275" s="126">
        <f t="shared" si="73"/>
        <v>1098.3381000000002</v>
      </c>
      <c r="S275" s="126">
        <f t="shared" si="74"/>
        <v>202.6781000000002</v>
      </c>
      <c r="T275" s="126">
        <f t="shared" si="83"/>
        <v>94.28</v>
      </c>
      <c r="U275" s="127">
        <f>((((((IF(K275="New",0,SUMIF('MPG Payment '!$E$3:$E$344841,'Shayak Income '!D275,'MPG Payment '!$AC$3:$AC$344841))))+0)+0)+0)+0)+0</f>
        <v>1442.6666353788364</v>
      </c>
      <c r="V275" s="127">
        <f t="shared" si="84"/>
        <v>136</v>
      </c>
      <c r="W275" s="19">
        <v>136</v>
      </c>
      <c r="X275" s="19">
        <v>0</v>
      </c>
      <c r="Y275" s="128">
        <f>IFERROR(VLOOKUP(D275,'Monthly Deduction'!$M$2:$N$640,2,0),0)</f>
        <v>0</v>
      </c>
      <c r="Z275" s="128">
        <v>0</v>
      </c>
      <c r="AA275" s="126">
        <v>0</v>
      </c>
      <c r="AB275" s="129">
        <f t="shared" si="75"/>
        <v>0</v>
      </c>
      <c r="AC275" s="130">
        <v>0</v>
      </c>
      <c r="AD275" s="35">
        <f t="shared" si="86"/>
        <v>0</v>
      </c>
      <c r="AE275" s="166" t="str">
        <f t="shared" si="87"/>
        <v>Release</v>
      </c>
      <c r="AF275" s="127"/>
      <c r="AG275" s="18">
        <v>0</v>
      </c>
      <c r="AH275" s="120"/>
      <c r="AI275" s="238">
        <v>0</v>
      </c>
      <c r="AJ275" s="132"/>
      <c r="AK275" s="151">
        <v>70.199999999999989</v>
      </c>
      <c r="AL275" s="154">
        <f t="shared" si="76"/>
        <v>0</v>
      </c>
      <c r="AM275" s="155"/>
      <c r="AN275" s="19">
        <f t="shared" si="77"/>
        <v>1861</v>
      </c>
      <c r="AO275" s="118">
        <f>SUMIF('MPG Payment '!E:E,'Shayak Income '!D275,'MPG Payment '!AJ:AJ)</f>
        <v>0</v>
      </c>
      <c r="AP275" s="19">
        <f t="shared" si="78"/>
        <v>136</v>
      </c>
      <c r="AQ275" s="119">
        <f t="shared" si="88"/>
        <v>136</v>
      </c>
      <c r="AR275" s="91" t="s">
        <v>1144</v>
      </c>
      <c r="AS275" s="91">
        <f t="shared" si="79"/>
        <v>16000</v>
      </c>
      <c r="AT275" s="118"/>
      <c r="AU275" s="118"/>
      <c r="AV275" s="118"/>
    </row>
    <row r="276" spans="1:48" s="20" customFormat="1" x14ac:dyDescent="0.25">
      <c r="A276" s="17">
        <f>IFERROR(VLOOKUP(D276,'Monthly Deduction'!$I$3:$J$957,2,0),0)</f>
        <v>0</v>
      </c>
      <c r="B276" s="17">
        <f>IFERROR(VLOOKUP(D276,'Monthly Deduction'!$E$3:$F$957,2,0),0)</f>
        <v>0</v>
      </c>
      <c r="C276" s="17">
        <f t="shared" si="80"/>
        <v>0</v>
      </c>
      <c r="D276" s="41">
        <v>10110001</v>
      </c>
      <c r="E276" s="122" t="str">
        <f>VLOOKUP(D276,'MPG Payment '!$E$3:$G$497305,2,0)</f>
        <v>Gomukh Mahendrapur</v>
      </c>
      <c r="F276" s="146">
        <f>IFERROR(_xlfn.XLOOKUP(D276,'Monthly Deduction'!$I$3:$I$957,'Monthly Deduction'!$H$3:$H$957),0)</f>
        <v>0</v>
      </c>
      <c r="G276" s="123" t="str">
        <f>VLOOKUP(D276,'MPG Payment '!$E$3:$G$333666,3,0)</f>
        <v>MPG</v>
      </c>
      <c r="H276" s="124" t="str">
        <f>VLOOKUP(D276,'MPG Payment '!$E$3:$H$333666,4,0)</f>
        <v>Direct</v>
      </c>
      <c r="I276" s="88">
        <f>INDEX('MPG Payment '!$C:$C,MATCH('Shayak Income '!D276,'MPG Payment '!E:E,0))</f>
        <v>1055</v>
      </c>
      <c r="J276" s="88" t="str">
        <f>INDEX('MPG Payment '!$D:$D,MATCH('Shayak Income '!D276,'MPG Payment '!E:E,0))</f>
        <v>Matihani</v>
      </c>
      <c r="K276" s="125" t="s">
        <v>1594</v>
      </c>
      <c r="L276" s="125">
        <v>42979</v>
      </c>
      <c r="M276" s="126">
        <f>SUMIF('MPG Payment '!$E$3:$E$344841,'Shayak Income '!D276,'MPG Payment '!$I$3:$I$344841)</f>
        <v>7944.8000000000011</v>
      </c>
      <c r="N276" s="126">
        <f>SUMIF('MPG Payment '!$E$3:$E$344841,'Shayak Income '!D276,'MPG Payment '!$J$3:$J$344841)</f>
        <v>331254.18999999994</v>
      </c>
      <c r="O276" s="126">
        <f t="shared" si="81"/>
        <v>5958.6</v>
      </c>
      <c r="P276" s="126">
        <f t="shared" si="82"/>
        <v>7547.56</v>
      </c>
      <c r="Q276" s="126">
        <f>SUMIF('MPG Payment '!$E$3:$E$344841,'Shayak Income '!D276,'MPG Payment '!$S$3:$S$344841)</f>
        <v>7764.02</v>
      </c>
      <c r="R276" s="126">
        <f t="shared" si="73"/>
        <v>9937.6256999999987</v>
      </c>
      <c r="S276" s="126">
        <f t="shared" si="74"/>
        <v>2390.0656999999983</v>
      </c>
      <c r="T276" s="126">
        <f t="shared" si="83"/>
        <v>794.48000000000013</v>
      </c>
      <c r="U276" s="127">
        <f>((((((IF(K276="New",0,SUMIF('MPG Payment '!$E$3:$E$344841,'Shayak Income '!D276,'MPG Payment '!$AC$3:$AC$344841))))+0)+0)+0)+0)+0</f>
        <v>0</v>
      </c>
      <c r="V276" s="127">
        <f t="shared" si="84"/>
        <v>20476</v>
      </c>
      <c r="W276" s="19">
        <f t="shared" si="85"/>
        <v>0</v>
      </c>
      <c r="X276" s="19">
        <f t="shared" si="89"/>
        <v>0</v>
      </c>
      <c r="Y276" s="128">
        <f>IFERROR(VLOOKUP(D276,'Monthly Deduction'!$M$2:$N$640,2,0),0)</f>
        <v>0</v>
      </c>
      <c r="Z276" s="128">
        <v>283.2</v>
      </c>
      <c r="AA276" s="126">
        <f>IFERROR(VLOOKUP(D276,'Monthly Deduction'!A:B,2,0),0)</f>
        <v>0</v>
      </c>
      <c r="AB276" s="129">
        <f t="shared" si="75"/>
        <v>20193</v>
      </c>
      <c r="AC276" s="130">
        <v>0</v>
      </c>
      <c r="AD276" s="35">
        <f t="shared" si="86"/>
        <v>20193</v>
      </c>
      <c r="AE276" s="166" t="str">
        <f t="shared" si="87"/>
        <v>Release</v>
      </c>
      <c r="AF276" s="127"/>
      <c r="AG276" s="127">
        <v>0</v>
      </c>
      <c r="AH276" s="132" t="s">
        <v>1680</v>
      </c>
      <c r="AI276" s="238">
        <v>0</v>
      </c>
      <c r="AJ276" s="132"/>
      <c r="AK276" s="151">
        <v>1809.5</v>
      </c>
      <c r="AL276" s="154">
        <f t="shared" si="76"/>
        <v>0</v>
      </c>
      <c r="AM276" s="155"/>
      <c r="AN276" s="19">
        <f t="shared" si="77"/>
        <v>0</v>
      </c>
      <c r="AO276" s="118">
        <f>SUMIF('MPG Payment '!E:E,'Shayak Income '!D276,'MPG Payment '!AJ:AJ)</f>
        <v>0</v>
      </c>
      <c r="AP276" s="19">
        <f t="shared" si="78"/>
        <v>0</v>
      </c>
      <c r="AQ276" s="119">
        <f t="shared" si="88"/>
        <v>0</v>
      </c>
      <c r="AR276" s="91" t="s">
        <v>1144</v>
      </c>
      <c r="AS276" s="91">
        <f t="shared" si="79"/>
        <v>0</v>
      </c>
      <c r="AT276" s="118"/>
      <c r="AU276" s="118"/>
      <c r="AV276" s="118"/>
    </row>
    <row r="277" spans="1:48" s="20" customFormat="1" x14ac:dyDescent="0.25">
      <c r="A277" s="17">
        <f>IFERROR(VLOOKUP(D277,'Monthly Deduction'!$I$3:$J$957,2,0),0)</f>
        <v>0</v>
      </c>
      <c r="B277" s="17">
        <f>IFERROR(VLOOKUP(D277,'Monthly Deduction'!$E$3:$F$957,2,0),0)</f>
        <v>0</v>
      </c>
      <c r="C277" s="17">
        <f t="shared" si="80"/>
        <v>0</v>
      </c>
      <c r="D277" s="41">
        <v>10110002</v>
      </c>
      <c r="E277" s="122" t="str">
        <f>VLOOKUP(D277,'MPG Payment '!$E$3:$G$497305,2,0)</f>
        <v>Gomukh Balahpur</v>
      </c>
      <c r="F277" s="146">
        <f>IFERROR(_xlfn.XLOOKUP(D277,'Monthly Deduction'!$I$3:$I$957,'Monthly Deduction'!$H$3:$H$957),0)</f>
        <v>0</v>
      </c>
      <c r="G277" s="123" t="str">
        <f>VLOOKUP(D277,'MPG Payment '!$E$3:$G$333666,3,0)</f>
        <v>MPG</v>
      </c>
      <c r="H277" s="124" t="str">
        <f>VLOOKUP(D277,'MPG Payment '!$E$3:$H$333666,4,0)</f>
        <v>Direct</v>
      </c>
      <c r="I277" s="88">
        <f>INDEX('MPG Payment '!$C:$C,MATCH('Shayak Income '!D277,'MPG Payment '!E:E,0))</f>
        <v>1055</v>
      </c>
      <c r="J277" s="88" t="str">
        <f>INDEX('MPG Payment '!$D:$D,MATCH('Shayak Income '!D277,'MPG Payment '!E:E,0))</f>
        <v>Matihani</v>
      </c>
      <c r="K277" s="125" t="s">
        <v>1594</v>
      </c>
      <c r="L277" s="125">
        <v>42979</v>
      </c>
      <c r="M277" s="126">
        <f>SUMIF('MPG Payment '!$E$3:$E$344841,'Shayak Income '!D277,'MPG Payment '!$I$3:$I$344841)</f>
        <v>2267.1999999999998</v>
      </c>
      <c r="N277" s="126">
        <f>SUMIF('MPG Payment '!$E$3:$E$344841,'Shayak Income '!D277,'MPG Payment '!$J$3:$J$344841)</f>
        <v>87101.07</v>
      </c>
      <c r="O277" s="126">
        <f t="shared" si="81"/>
        <v>1700.3999999999999</v>
      </c>
      <c r="P277" s="126">
        <f t="shared" si="82"/>
        <v>2153.8399999999997</v>
      </c>
      <c r="Q277" s="126">
        <f>SUMIF('MPG Payment '!$E$3:$E$344841,'Shayak Income '!D277,'MPG Payment '!$S$3:$S$344841)</f>
        <v>0</v>
      </c>
      <c r="R277" s="126">
        <f t="shared" si="73"/>
        <v>2613.0320999999999</v>
      </c>
      <c r="S277" s="126">
        <f t="shared" si="74"/>
        <v>459.19210000000021</v>
      </c>
      <c r="T277" s="126">
        <f t="shared" si="83"/>
        <v>226.72</v>
      </c>
      <c r="U277" s="127">
        <f>((((((IF(K277="New",0,SUMIF('MPG Payment '!$E$3:$E$344841,'Shayak Income '!D277,'MPG Payment '!$AC$3:$AC$344841))))+0)+0)+0)+0)+0</f>
        <v>427.85858980749219</v>
      </c>
      <c r="V277" s="127">
        <f t="shared" si="84"/>
        <v>3200</v>
      </c>
      <c r="W277" s="19">
        <f t="shared" si="85"/>
        <v>0</v>
      </c>
      <c r="X277" s="19">
        <f t="shared" si="89"/>
        <v>0</v>
      </c>
      <c r="Y277" s="128">
        <f>IFERROR(VLOOKUP(D277,'Monthly Deduction'!$M$2:$N$640,2,0),0)</f>
        <v>0</v>
      </c>
      <c r="Z277" s="128">
        <v>0</v>
      </c>
      <c r="AA277" s="126">
        <f>IFERROR(VLOOKUP(D277,'Monthly Deduction'!A:B,2,0),0)</f>
        <v>0</v>
      </c>
      <c r="AB277" s="129">
        <f t="shared" si="75"/>
        <v>3200</v>
      </c>
      <c r="AC277" s="130">
        <v>0</v>
      </c>
      <c r="AD277" s="35">
        <f t="shared" si="86"/>
        <v>3200</v>
      </c>
      <c r="AE277" s="166" t="str">
        <f t="shared" si="87"/>
        <v>Release</v>
      </c>
      <c r="AF277" s="127"/>
      <c r="AG277" s="18">
        <v>0</v>
      </c>
      <c r="AH277" s="120"/>
      <c r="AI277" s="238">
        <v>0</v>
      </c>
      <c r="AJ277" s="132"/>
      <c r="AK277" s="151">
        <v>351.7</v>
      </c>
      <c r="AL277" s="154">
        <f t="shared" si="76"/>
        <v>0</v>
      </c>
      <c r="AM277" s="155"/>
      <c r="AN277" s="19">
        <f t="shared" si="77"/>
        <v>0</v>
      </c>
      <c r="AO277" s="118">
        <f>SUMIF('MPG Payment '!E:E,'Shayak Income '!D277,'MPG Payment '!AJ:AJ)</f>
        <v>0</v>
      </c>
      <c r="AP277" s="19">
        <f t="shared" si="78"/>
        <v>0</v>
      </c>
      <c r="AQ277" s="119">
        <f t="shared" si="88"/>
        <v>0</v>
      </c>
      <c r="AR277" s="91" t="s">
        <v>1144</v>
      </c>
      <c r="AS277" s="91">
        <f t="shared" si="79"/>
        <v>0</v>
      </c>
      <c r="AT277" s="118"/>
      <c r="AU277" s="118"/>
      <c r="AV277" s="118"/>
    </row>
    <row r="278" spans="1:48" s="20" customFormat="1" x14ac:dyDescent="0.25">
      <c r="A278" s="17">
        <f>IFERROR(VLOOKUP(D278,'Monthly Deduction'!$I$3:$J$957,2,0),0)</f>
        <v>0</v>
      </c>
      <c r="B278" s="17">
        <f>IFERROR(VLOOKUP(D278,'Monthly Deduction'!$E$3:$F$957,2,0),0)</f>
        <v>0</v>
      </c>
      <c r="C278" s="17">
        <f t="shared" si="80"/>
        <v>0</v>
      </c>
      <c r="D278" s="41">
        <v>10110004</v>
      </c>
      <c r="E278" s="122" t="str">
        <f>VLOOKUP(D278,'MPG Payment '!$E$3:$G$497305,2,0)</f>
        <v>Gomukh Danauli</v>
      </c>
      <c r="F278" s="146">
        <f>IFERROR(_xlfn.XLOOKUP(D278,'Monthly Deduction'!$I$3:$I$957,'Monthly Deduction'!$H$3:$H$957),0)</f>
        <v>0</v>
      </c>
      <c r="G278" s="123" t="str">
        <f>VLOOKUP(D278,'MPG Payment '!$E$3:$G$333666,3,0)</f>
        <v>MPG</v>
      </c>
      <c r="H278" s="124" t="str">
        <f>VLOOKUP(D278,'MPG Payment '!$E$3:$H$333666,4,0)</f>
        <v>Direct</v>
      </c>
      <c r="I278" s="88">
        <f>INDEX('MPG Payment '!$C:$C,MATCH('Shayak Income '!D278,'MPG Payment '!E:E,0))</f>
        <v>1011</v>
      </c>
      <c r="J278" s="88" t="str">
        <f>INDEX('MPG Payment '!$D:$D,MATCH('Shayak Income '!D278,'MPG Payment '!E:E,0))</f>
        <v>Sahibpur Kamal</v>
      </c>
      <c r="K278" s="125" t="s">
        <v>1594</v>
      </c>
      <c r="L278" s="125">
        <v>42979</v>
      </c>
      <c r="M278" s="126">
        <f>SUMIF('MPG Payment '!$E$3:$E$344841,'Shayak Income '!D278,'MPG Payment '!$I$3:$I$344841)</f>
        <v>2061.1</v>
      </c>
      <c r="N278" s="126">
        <f>SUMIF('MPG Payment '!$E$3:$E$344841,'Shayak Income '!D278,'MPG Payment '!$J$3:$J$344841)</f>
        <v>79359.89</v>
      </c>
      <c r="O278" s="126">
        <f t="shared" si="81"/>
        <v>1545.8249999999998</v>
      </c>
      <c r="P278" s="126">
        <f t="shared" si="82"/>
        <v>1958.0449999999998</v>
      </c>
      <c r="Q278" s="126">
        <f>SUMIF('MPG Payment '!$E$3:$E$344841,'Shayak Income '!D278,'MPG Payment '!$S$3:$S$344841)</f>
        <v>829.82999999999993</v>
      </c>
      <c r="R278" s="126">
        <f t="shared" si="73"/>
        <v>2380.7966999999999</v>
      </c>
      <c r="S278" s="126">
        <f t="shared" si="74"/>
        <v>422.75170000000003</v>
      </c>
      <c r="T278" s="126">
        <f t="shared" si="83"/>
        <v>206.11</v>
      </c>
      <c r="U278" s="127">
        <f>((((((IF(K278="New",0,SUMIF('MPG Payment '!$E$3:$E$344841,'Shayak Income '!D278,'MPG Payment '!$AC$3:$AC$344841))))+0)+0)+0)+0)+0</f>
        <v>568.51049662705736</v>
      </c>
      <c r="V278" s="127">
        <f t="shared" si="84"/>
        <v>3559</v>
      </c>
      <c r="W278" s="19">
        <f t="shared" si="85"/>
        <v>0</v>
      </c>
      <c r="X278" s="19">
        <f t="shared" si="89"/>
        <v>0</v>
      </c>
      <c r="Y278" s="128">
        <f>IFERROR(VLOOKUP(D278,'Monthly Deduction'!$M$2:$N$640,2,0),0)</f>
        <v>0</v>
      </c>
      <c r="Z278" s="128">
        <v>0</v>
      </c>
      <c r="AA278" s="126">
        <f>IFERROR(VLOOKUP(D278,'Monthly Deduction'!A:B,2,0),0)</f>
        <v>0</v>
      </c>
      <c r="AB278" s="129">
        <f t="shared" si="75"/>
        <v>3559</v>
      </c>
      <c r="AC278" s="130">
        <v>0</v>
      </c>
      <c r="AD278" s="35">
        <f t="shared" si="86"/>
        <v>3559</v>
      </c>
      <c r="AE278" s="166" t="str">
        <f t="shared" si="87"/>
        <v>Release</v>
      </c>
      <c r="AF278" s="127"/>
      <c r="AG278" s="18">
        <v>0</v>
      </c>
      <c r="AH278" s="120"/>
      <c r="AI278" s="238">
        <v>0</v>
      </c>
      <c r="AJ278" s="132"/>
      <c r="AK278" s="151">
        <v>429.79999999999995</v>
      </c>
      <c r="AL278" s="154">
        <f t="shared" si="76"/>
        <v>0</v>
      </c>
      <c r="AM278" s="155"/>
      <c r="AN278" s="19">
        <f t="shared" si="77"/>
        <v>0</v>
      </c>
      <c r="AO278" s="118">
        <f>SUMIF('MPG Payment '!E:E,'Shayak Income '!D278,'MPG Payment '!AJ:AJ)</f>
        <v>0</v>
      </c>
      <c r="AP278" s="19">
        <f t="shared" si="78"/>
        <v>0</v>
      </c>
      <c r="AQ278" s="119">
        <f t="shared" si="88"/>
        <v>0</v>
      </c>
      <c r="AR278" s="91" t="s">
        <v>1144</v>
      </c>
      <c r="AS278" s="91">
        <f t="shared" si="79"/>
        <v>0</v>
      </c>
      <c r="AT278" s="118"/>
      <c r="AU278" s="118"/>
      <c r="AV278" s="118"/>
    </row>
    <row r="279" spans="1:48" s="20" customFormat="1" x14ac:dyDescent="0.25">
      <c r="A279" s="17">
        <f>IFERROR(VLOOKUP(D279,'Monthly Deduction'!$I$3:$J$957,2,0),0)</f>
        <v>0</v>
      </c>
      <c r="B279" s="17">
        <f>IFERROR(VLOOKUP(D279,'Monthly Deduction'!$E$3:$F$957,2,0),0)</f>
        <v>0</v>
      </c>
      <c r="C279" s="17">
        <f t="shared" si="80"/>
        <v>0</v>
      </c>
      <c r="D279" s="41">
        <v>10110005</v>
      </c>
      <c r="E279" s="122" t="str">
        <f>VLOOKUP(D279,'MPG Payment '!$E$3:$G$497305,2,0)</f>
        <v>NAYAGAW</v>
      </c>
      <c r="F279" s="146">
        <f>IFERROR(_xlfn.XLOOKUP(D279,'Monthly Deduction'!$I$3:$I$957,'Monthly Deduction'!$H$3:$H$957),0)</f>
        <v>0</v>
      </c>
      <c r="G279" s="123" t="str">
        <f>VLOOKUP(D279,'MPG Payment '!$E$3:$G$333666,3,0)</f>
        <v>MPG</v>
      </c>
      <c r="H279" s="124" t="str">
        <f>VLOOKUP(D279,'MPG Payment '!$E$3:$H$333666,4,0)</f>
        <v>Direct</v>
      </c>
      <c r="I279" s="88">
        <f>INDEX('MPG Payment '!$C:$C,MATCH('Shayak Income '!D279,'MPG Payment '!E:E,0))</f>
        <v>1055</v>
      </c>
      <c r="J279" s="88" t="str">
        <f>INDEX('MPG Payment '!$D:$D,MATCH('Shayak Income '!D279,'MPG Payment '!E:E,0))</f>
        <v>Matihani</v>
      </c>
      <c r="K279" s="125" t="s">
        <v>1594</v>
      </c>
      <c r="L279" s="125">
        <v>42979</v>
      </c>
      <c r="M279" s="126">
        <f>SUMIF('MPG Payment '!$E$3:$E$344841,'Shayak Income '!D279,'MPG Payment '!$I$3:$I$344841)</f>
        <v>14941.4</v>
      </c>
      <c r="N279" s="126">
        <f>SUMIF('MPG Payment '!$E$3:$E$344841,'Shayak Income '!D279,'MPG Payment '!$J$3:$J$344841)</f>
        <v>642386.97</v>
      </c>
      <c r="O279" s="126">
        <f t="shared" si="81"/>
        <v>11206.05</v>
      </c>
      <c r="P279" s="126">
        <f t="shared" si="82"/>
        <v>14194.329999999998</v>
      </c>
      <c r="Q279" s="126">
        <f>SUMIF('MPG Payment '!$E$3:$E$344841,'Shayak Income '!D279,'MPG Payment '!$S$3:$S$344841)</f>
        <v>9181.75</v>
      </c>
      <c r="R279" s="126">
        <f t="shared" si="73"/>
        <v>19271.609099999998</v>
      </c>
      <c r="S279" s="126">
        <f t="shared" si="74"/>
        <v>5077.2790999999997</v>
      </c>
      <c r="T279" s="126">
        <f t="shared" si="83"/>
        <v>1494.14</v>
      </c>
      <c r="U279" s="127">
        <f>((((((IF(K279="New",0,SUMIF('MPG Payment '!$E$3:$E$344841,'Shayak Income '!D279,'MPG Payment '!$AC$3:$AC$344841))))+0)+0)+0)+0)+0</f>
        <v>0</v>
      </c>
      <c r="V279" s="127">
        <f t="shared" si="84"/>
        <v>33088</v>
      </c>
      <c r="W279" s="19">
        <f t="shared" si="85"/>
        <v>0</v>
      </c>
      <c r="X279" s="19">
        <f t="shared" si="89"/>
        <v>0</v>
      </c>
      <c r="Y279" s="128">
        <f>IFERROR(VLOOKUP(D279,'Monthly Deduction'!$M$2:$N$640,2,0),0)</f>
        <v>0</v>
      </c>
      <c r="Z279" s="128">
        <v>0</v>
      </c>
      <c r="AA279" s="126">
        <f>IFERROR(VLOOKUP(D279,'Monthly Deduction'!A:B,2,0),0)</f>
        <v>0</v>
      </c>
      <c r="AB279" s="129">
        <f t="shared" si="75"/>
        <v>33088</v>
      </c>
      <c r="AC279" s="130">
        <v>0</v>
      </c>
      <c r="AD279" s="35">
        <f t="shared" si="86"/>
        <v>33088</v>
      </c>
      <c r="AE279" s="166" t="str">
        <f t="shared" si="87"/>
        <v>Release</v>
      </c>
      <c r="AF279" s="127"/>
      <c r="AG279" s="18">
        <v>0</v>
      </c>
      <c r="AH279" s="120"/>
      <c r="AI279" s="238">
        <v>0</v>
      </c>
      <c r="AJ279" s="132"/>
      <c r="AK279" s="151">
        <v>3238.7999999999997</v>
      </c>
      <c r="AL279" s="154">
        <f t="shared" si="76"/>
        <v>0</v>
      </c>
      <c r="AM279" s="155"/>
      <c r="AN279" s="19">
        <f t="shared" si="77"/>
        <v>0</v>
      </c>
      <c r="AO279" s="118">
        <f>SUMIF('MPG Payment '!E:E,'Shayak Income '!D279,'MPG Payment '!AJ:AJ)</f>
        <v>0</v>
      </c>
      <c r="AP279" s="19">
        <f t="shared" si="78"/>
        <v>0</v>
      </c>
      <c r="AQ279" s="119">
        <f t="shared" si="88"/>
        <v>0</v>
      </c>
      <c r="AR279" s="91" t="s">
        <v>1144</v>
      </c>
      <c r="AS279" s="91">
        <f t="shared" si="79"/>
        <v>0</v>
      </c>
      <c r="AT279" s="118"/>
      <c r="AU279" s="118"/>
      <c r="AV279" s="118"/>
    </row>
    <row r="280" spans="1:48" s="20" customFormat="1" x14ac:dyDescent="0.25">
      <c r="A280" s="17">
        <f>IFERROR(VLOOKUP(D280,'Monthly Deduction'!$I$3:$J$957,2,0),0)</f>
        <v>0</v>
      </c>
      <c r="B280" s="17">
        <f>IFERROR(VLOOKUP(D280,'Monthly Deduction'!$E$3:$F$957,2,0),0)</f>
        <v>0</v>
      </c>
      <c r="C280" s="17">
        <f t="shared" si="80"/>
        <v>0</v>
      </c>
      <c r="D280" s="41">
        <v>10110007</v>
      </c>
      <c r="E280" s="122" t="str">
        <f>VLOOKUP(D280,'MPG Payment '!$E$3:$G$497305,2,0)</f>
        <v>Dandari</v>
      </c>
      <c r="F280" s="146">
        <f>IFERROR(_xlfn.XLOOKUP(D280,'Monthly Deduction'!$I$3:$I$957,'Monthly Deduction'!$H$3:$H$957),0)</f>
        <v>0</v>
      </c>
      <c r="G280" s="123" t="str">
        <f>VLOOKUP(D280,'MPG Payment '!$E$3:$G$333666,3,0)</f>
        <v>MPG</v>
      </c>
      <c r="H280" s="124" t="str">
        <f>VLOOKUP(D280,'MPG Payment '!$E$3:$H$333666,4,0)</f>
        <v>Direct</v>
      </c>
      <c r="I280" s="88">
        <f>INDEX('MPG Payment '!$C:$C,MATCH('Shayak Income '!D280,'MPG Payment '!E:E,0))</f>
        <v>1011</v>
      </c>
      <c r="J280" s="88" t="str">
        <f>INDEX('MPG Payment '!$D:$D,MATCH('Shayak Income '!D280,'MPG Payment '!E:E,0))</f>
        <v>Sahibpur Kamal</v>
      </c>
      <c r="K280" s="125" t="s">
        <v>1594</v>
      </c>
      <c r="L280" s="125">
        <v>42979</v>
      </c>
      <c r="M280" s="126">
        <f>SUMIF('MPG Payment '!$E$3:$E$344841,'Shayak Income '!D280,'MPG Payment '!$I$3:$I$344841)</f>
        <v>1451.3</v>
      </c>
      <c r="N280" s="126">
        <f>SUMIF('MPG Payment '!$E$3:$E$344841,'Shayak Income '!D280,'MPG Payment '!$J$3:$J$344841)</f>
        <v>53745.740000000005</v>
      </c>
      <c r="O280" s="126">
        <f t="shared" si="81"/>
        <v>1088.4749999999999</v>
      </c>
      <c r="P280" s="126">
        <f t="shared" si="82"/>
        <v>1378.7349999999999</v>
      </c>
      <c r="Q280" s="126">
        <f>SUMIF('MPG Payment '!$E$3:$E$344841,'Shayak Income '!D280,'MPG Payment '!$S$3:$S$344841)</f>
        <v>418.68000000000006</v>
      </c>
      <c r="R280" s="126">
        <f t="shared" si="73"/>
        <v>1612.3722</v>
      </c>
      <c r="S280" s="126">
        <f t="shared" si="74"/>
        <v>233.63720000000012</v>
      </c>
      <c r="T280" s="126">
        <f t="shared" si="83"/>
        <v>145.13</v>
      </c>
      <c r="U280" s="127">
        <f>((((((IF(K280="New",0,SUMIF('MPG Payment '!$E$3:$E$344841,'Shayak Income '!D280,'MPG Payment '!$AC$3:$AC$344841))))+0)+0)+0)+0)+0</f>
        <v>997.97831484658138</v>
      </c>
      <c r="V280" s="127">
        <f t="shared" si="84"/>
        <v>1743</v>
      </c>
      <c r="W280" s="19">
        <f t="shared" si="85"/>
        <v>0</v>
      </c>
      <c r="X280" s="19">
        <f t="shared" si="89"/>
        <v>0</v>
      </c>
      <c r="Y280" s="128">
        <f>IFERROR(VLOOKUP(D280,'Monthly Deduction'!$M$2:$N$640,2,0),0)</f>
        <v>0</v>
      </c>
      <c r="Z280" s="128">
        <v>973.5</v>
      </c>
      <c r="AA280" s="126">
        <f>IFERROR(VLOOKUP(D280,'Monthly Deduction'!A:B,2,0),0)</f>
        <v>0</v>
      </c>
      <c r="AB280" s="129">
        <f t="shared" si="75"/>
        <v>770</v>
      </c>
      <c r="AC280" s="130">
        <v>0</v>
      </c>
      <c r="AD280" s="35">
        <f t="shared" si="86"/>
        <v>770</v>
      </c>
      <c r="AE280" s="166" t="str">
        <f t="shared" si="87"/>
        <v>Release</v>
      </c>
      <c r="AF280" s="127"/>
      <c r="AG280" s="18">
        <v>0</v>
      </c>
      <c r="AH280" s="132" t="s">
        <v>1680</v>
      </c>
      <c r="AI280" s="238">
        <v>0</v>
      </c>
      <c r="AJ280" s="132"/>
      <c r="AK280" s="151">
        <v>322.39999999999998</v>
      </c>
      <c r="AL280" s="154">
        <f t="shared" si="76"/>
        <v>0</v>
      </c>
      <c r="AM280" s="155"/>
      <c r="AN280" s="19">
        <f t="shared" si="77"/>
        <v>0</v>
      </c>
      <c r="AO280" s="118">
        <f>SUMIF('MPG Payment '!E:E,'Shayak Income '!D280,'MPG Payment '!AJ:AJ)</f>
        <v>0</v>
      </c>
      <c r="AP280" s="19">
        <f t="shared" si="78"/>
        <v>0</v>
      </c>
      <c r="AQ280" s="119">
        <f t="shared" si="88"/>
        <v>0</v>
      </c>
      <c r="AR280" s="91"/>
      <c r="AS280" s="91">
        <f t="shared" si="79"/>
        <v>0</v>
      </c>
      <c r="AT280" s="118"/>
      <c r="AU280" s="118"/>
      <c r="AV280" s="118"/>
    </row>
    <row r="281" spans="1:48" s="20" customFormat="1" x14ac:dyDescent="0.25">
      <c r="A281" s="17">
        <f>IFERROR(VLOOKUP(D281,'Monthly Deduction'!$I$3:$J$957,2,0),0)</f>
        <v>0</v>
      </c>
      <c r="B281" s="17">
        <f>IFERROR(VLOOKUP(D281,'Monthly Deduction'!$E$3:$F$957,2,0),0)</f>
        <v>0</v>
      </c>
      <c r="C281" s="17">
        <f t="shared" si="80"/>
        <v>0</v>
      </c>
      <c r="D281" s="41">
        <v>10110008</v>
      </c>
      <c r="E281" s="122" t="str">
        <f>VLOOKUP(D281,'MPG Payment '!$E$3:$G$497305,2,0)</f>
        <v>Rahimpur Pachkhutti</v>
      </c>
      <c r="F281" s="146">
        <f>IFERROR(_xlfn.XLOOKUP(D281,'Monthly Deduction'!$I$3:$I$957,'Monthly Deduction'!$H$3:$H$957),0)</f>
        <v>0</v>
      </c>
      <c r="G281" s="123" t="str">
        <f>VLOOKUP(D281,'MPG Payment '!$E$3:$G$333666,3,0)</f>
        <v>vlc</v>
      </c>
      <c r="H281" s="124" t="str">
        <f>VLOOKUP(D281,'MPG Payment '!$E$3:$H$333666,4,0)</f>
        <v>Indirect</v>
      </c>
      <c r="I281" s="88">
        <f>INDEX('MPG Payment '!$C:$C,MATCH('Shayak Income '!D281,'MPG Payment '!E:E,0))</f>
        <v>1011</v>
      </c>
      <c r="J281" s="88" t="str">
        <f>INDEX('MPG Payment '!$D:$D,MATCH('Shayak Income '!D281,'MPG Payment '!E:E,0))</f>
        <v>Sahibpur Kamal</v>
      </c>
      <c r="K281" s="125" t="s">
        <v>1594</v>
      </c>
      <c r="L281" s="125">
        <v>42979</v>
      </c>
      <c r="M281" s="126">
        <f>SUMIF('MPG Payment '!$E$3:$E$344841,'Shayak Income '!D281,'MPG Payment '!$I$3:$I$344841)</f>
        <v>30502.500000000004</v>
      </c>
      <c r="N281" s="126">
        <f>SUMIF('MPG Payment '!$E$3:$E$344841,'Shayak Income '!D281,'MPG Payment '!$J$3:$J$344841)</f>
        <v>1215244.6499999999</v>
      </c>
      <c r="O281" s="126">
        <f t="shared" si="81"/>
        <v>22876.875000000004</v>
      </c>
      <c r="P281" s="126">
        <f t="shared" si="82"/>
        <v>28977.375000000004</v>
      </c>
      <c r="Q281" s="126">
        <f>SUMIF('MPG Payment '!$E$3:$E$344841,'Shayak Income '!D281,'MPG Payment '!$S$3:$S$344841)</f>
        <v>0</v>
      </c>
      <c r="R281" s="126">
        <f t="shared" si="73"/>
        <v>36457.339499999995</v>
      </c>
      <c r="S281" s="126">
        <f t="shared" si="74"/>
        <v>7479.9644999999909</v>
      </c>
      <c r="T281" s="126">
        <f t="shared" si="83"/>
        <v>3050.2500000000005</v>
      </c>
      <c r="U281" s="127">
        <f>((((((IF(K281="New",0,SUMIF('MPG Payment '!$E$3:$E$344841,'Shayak Income '!D281,'MPG Payment '!$AC$3:$AC$344841))))+0)+0)+0)+0)+0</f>
        <v>0</v>
      </c>
      <c r="V281" s="127">
        <f t="shared" si="84"/>
        <v>48804</v>
      </c>
      <c r="W281" s="19">
        <f t="shared" si="85"/>
        <v>0</v>
      </c>
      <c r="X281" s="19">
        <f t="shared" si="89"/>
        <v>0</v>
      </c>
      <c r="Y281" s="128">
        <f>IFERROR(VLOOKUP(D281,'Monthly Deduction'!$M$2:$N$640,2,0),0)</f>
        <v>0</v>
      </c>
      <c r="Z281" s="128">
        <v>0</v>
      </c>
      <c r="AA281" s="126">
        <f>IFERROR(VLOOKUP(D281,'Monthly Deduction'!A:B,2,0),0)</f>
        <v>0</v>
      </c>
      <c r="AB281" s="129">
        <f t="shared" si="75"/>
        <v>48804</v>
      </c>
      <c r="AC281" s="130">
        <v>0</v>
      </c>
      <c r="AD281" s="35">
        <f t="shared" si="86"/>
        <v>48804</v>
      </c>
      <c r="AE281" s="166" t="str">
        <f t="shared" si="87"/>
        <v>Release</v>
      </c>
      <c r="AF281" s="127"/>
      <c r="AG281" s="18">
        <v>0</v>
      </c>
      <c r="AH281" s="120"/>
      <c r="AI281" s="238">
        <v>0</v>
      </c>
      <c r="AJ281" s="132"/>
      <c r="AK281" s="151">
        <v>6841.7000000000007</v>
      </c>
      <c r="AL281" s="154">
        <f t="shared" si="76"/>
        <v>0</v>
      </c>
      <c r="AM281" s="155"/>
      <c r="AN281" s="19">
        <f t="shared" si="77"/>
        <v>0</v>
      </c>
      <c r="AO281" s="118">
        <f>SUMIF('MPG Payment '!E:E,'Shayak Income '!D281,'MPG Payment '!AJ:AJ)</f>
        <v>0</v>
      </c>
      <c r="AP281" s="19">
        <f t="shared" si="78"/>
        <v>0</v>
      </c>
      <c r="AQ281" s="119">
        <f t="shared" si="88"/>
        <v>0</v>
      </c>
      <c r="AR281" s="91" t="s">
        <v>1144</v>
      </c>
      <c r="AS281" s="91">
        <f t="shared" si="79"/>
        <v>0</v>
      </c>
      <c r="AT281" s="118"/>
      <c r="AU281" s="118"/>
      <c r="AV281" s="118"/>
    </row>
    <row r="282" spans="1:48" s="20" customFormat="1" x14ac:dyDescent="0.25">
      <c r="A282" s="17">
        <f>IFERROR(VLOOKUP(D282,'Monthly Deduction'!$I$3:$J$957,2,0),0)</f>
        <v>0</v>
      </c>
      <c r="B282" s="17">
        <f>IFERROR(VLOOKUP(D282,'Monthly Deduction'!$E$3:$F$957,2,0),0)</f>
        <v>0</v>
      </c>
      <c r="C282" s="17">
        <f t="shared" si="80"/>
        <v>0</v>
      </c>
      <c r="D282" s="41">
        <v>10110013</v>
      </c>
      <c r="E282" s="122" t="str">
        <f>VLOOKUP(D282,'MPG Payment '!$E$3:$G$497305,2,0)</f>
        <v xml:space="preserve">Gomukh Mohanpur                                                                                     </v>
      </c>
      <c r="F282" s="146">
        <f>IFERROR(_xlfn.XLOOKUP(D282,'Monthly Deduction'!$I$3:$I$957,'Monthly Deduction'!$H$3:$H$957),0)</f>
        <v>0</v>
      </c>
      <c r="G282" s="123" t="str">
        <f>VLOOKUP(D282,'MPG Payment '!$E$3:$G$333666,3,0)</f>
        <v>MPG</v>
      </c>
      <c r="H282" s="124" t="str">
        <f>VLOOKUP(D282,'MPG Payment '!$E$3:$H$333666,4,0)</f>
        <v>Direct</v>
      </c>
      <c r="I282" s="88">
        <f>INDEX('MPG Payment '!$C:$C,MATCH('Shayak Income '!D282,'MPG Payment '!E:E,0))</f>
        <v>1011</v>
      </c>
      <c r="J282" s="88" t="str">
        <f>INDEX('MPG Payment '!$D:$D,MATCH('Shayak Income '!D282,'MPG Payment '!E:E,0))</f>
        <v>Sahibpur Kamal</v>
      </c>
      <c r="K282" s="125" t="s">
        <v>1594</v>
      </c>
      <c r="L282" s="125">
        <v>44681</v>
      </c>
      <c r="M282" s="126">
        <f>SUMIF('MPG Payment '!$E$3:$E$344841,'Shayak Income '!D282,'MPG Payment '!$I$3:$I$344841)</f>
        <v>3459.8</v>
      </c>
      <c r="N282" s="126">
        <f>SUMIF('MPG Payment '!$E$3:$E$344841,'Shayak Income '!D282,'MPG Payment '!$J$3:$J$344841)</f>
        <v>131283.43</v>
      </c>
      <c r="O282" s="126">
        <f t="shared" si="81"/>
        <v>2594.8500000000004</v>
      </c>
      <c r="P282" s="126">
        <f t="shared" si="82"/>
        <v>3286.81</v>
      </c>
      <c r="Q282" s="126">
        <f>SUMIF('MPG Payment '!$E$3:$E$344841,'Shayak Income '!D282,'MPG Payment '!$S$3:$S$344841)</f>
        <v>192.99</v>
      </c>
      <c r="R282" s="126">
        <f t="shared" si="73"/>
        <v>3938.5028999999995</v>
      </c>
      <c r="S282" s="126">
        <f t="shared" si="74"/>
        <v>651.69289999999955</v>
      </c>
      <c r="T282" s="126">
        <f t="shared" si="83"/>
        <v>345.98</v>
      </c>
      <c r="U282" s="127">
        <f>((((((IF(K282="New",0,SUMIF('MPG Payment '!$E$3:$E$344841,'Shayak Income '!D282,'MPG Payment '!$AC$3:$AC$344841))))+0)+0)+0)+0)+0</f>
        <v>0</v>
      </c>
      <c r="V282" s="127">
        <f t="shared" si="84"/>
        <v>5729</v>
      </c>
      <c r="W282" s="19">
        <f t="shared" si="85"/>
        <v>0</v>
      </c>
      <c r="X282" s="19">
        <f t="shared" si="89"/>
        <v>0</v>
      </c>
      <c r="Y282" s="128">
        <f>IFERROR(VLOOKUP(D282,'Monthly Deduction'!$M$2:$N$640,2,0),0)</f>
        <v>0</v>
      </c>
      <c r="Z282" s="128">
        <v>0</v>
      </c>
      <c r="AA282" s="126">
        <f>IFERROR(VLOOKUP(D282,'Monthly Deduction'!A:B,2,0),0)</f>
        <v>0</v>
      </c>
      <c r="AB282" s="129">
        <f t="shared" si="75"/>
        <v>5729</v>
      </c>
      <c r="AC282" s="130">
        <v>0</v>
      </c>
      <c r="AD282" s="35">
        <f t="shared" si="86"/>
        <v>5729</v>
      </c>
      <c r="AE282" s="166" t="str">
        <f t="shared" si="87"/>
        <v>Release</v>
      </c>
      <c r="AF282" s="127"/>
      <c r="AG282" s="127">
        <v>0</v>
      </c>
      <c r="AH282" s="120"/>
      <c r="AI282" s="238">
        <v>0</v>
      </c>
      <c r="AJ282" s="132"/>
      <c r="AK282" s="151">
        <v>763.49999999999977</v>
      </c>
      <c r="AL282" s="154">
        <f t="shared" si="76"/>
        <v>0</v>
      </c>
      <c r="AM282" s="155"/>
      <c r="AN282" s="19">
        <f t="shared" si="77"/>
        <v>0</v>
      </c>
      <c r="AO282" s="118">
        <f>SUMIF('MPG Payment '!E:E,'Shayak Income '!D282,'MPG Payment '!AJ:AJ)</f>
        <v>0</v>
      </c>
      <c r="AP282" s="19">
        <f t="shared" si="78"/>
        <v>0</v>
      </c>
      <c r="AQ282" s="119">
        <f t="shared" si="88"/>
        <v>0</v>
      </c>
      <c r="AR282" s="91" t="s">
        <v>1144</v>
      </c>
      <c r="AS282" s="91">
        <f t="shared" si="79"/>
        <v>0</v>
      </c>
      <c r="AT282" s="118"/>
      <c r="AU282" s="118"/>
      <c r="AV282" s="118"/>
    </row>
    <row r="283" spans="1:48" s="20" customFormat="1" x14ac:dyDescent="0.25">
      <c r="A283" s="17">
        <f>IFERROR(VLOOKUP(D283,'Monthly Deduction'!$I$3:$J$957,2,0),0)</f>
        <v>0</v>
      </c>
      <c r="B283" s="17">
        <f>IFERROR(VLOOKUP(D283,'Monthly Deduction'!$E$3:$F$957,2,0),0)</f>
        <v>0</v>
      </c>
      <c r="C283" s="17">
        <f t="shared" si="80"/>
        <v>0</v>
      </c>
      <c r="D283" s="41">
        <v>10110014</v>
      </c>
      <c r="E283" s="122" t="str">
        <f>VLOOKUP(D283,'MPG Payment '!$E$3:$G$497305,2,0)</f>
        <v>Gomukh Raghunathpur</v>
      </c>
      <c r="F283" s="146">
        <f>IFERROR(_xlfn.XLOOKUP(D283,'Monthly Deduction'!$I$3:$I$957,'Monthly Deduction'!$H$3:$H$957),0)</f>
        <v>0</v>
      </c>
      <c r="G283" s="123" t="str">
        <f>VLOOKUP(D283,'MPG Payment '!$E$3:$G$333666,3,0)</f>
        <v>MPG</v>
      </c>
      <c r="H283" s="124" t="str">
        <f>VLOOKUP(D283,'MPG Payment '!$E$3:$H$333666,4,0)</f>
        <v>Direct</v>
      </c>
      <c r="I283" s="88">
        <f>INDEX('MPG Payment '!$C:$C,MATCH('Shayak Income '!D283,'MPG Payment '!E:E,0))</f>
        <v>1011</v>
      </c>
      <c r="J283" s="88" t="str">
        <f>INDEX('MPG Payment '!$D:$D,MATCH('Shayak Income '!D283,'MPG Payment '!E:E,0))</f>
        <v>Sahibpur Kamal</v>
      </c>
      <c r="K283" s="125" t="s">
        <v>1594</v>
      </c>
      <c r="L283" s="125">
        <v>44681</v>
      </c>
      <c r="M283" s="126">
        <f>SUMIF('MPG Payment '!$E$3:$E$344841,'Shayak Income '!D283,'MPG Payment '!$I$3:$I$344841)</f>
        <v>4439.3000000000011</v>
      </c>
      <c r="N283" s="126">
        <f>SUMIF('MPG Payment '!$E$3:$E$344841,'Shayak Income '!D283,'MPG Payment '!$J$3:$J$344841)</f>
        <v>198526.72</v>
      </c>
      <c r="O283" s="126">
        <f t="shared" si="81"/>
        <v>3329.4750000000008</v>
      </c>
      <c r="P283" s="126">
        <f t="shared" si="82"/>
        <v>4217.3350000000009</v>
      </c>
      <c r="Q283" s="126">
        <f>SUMIF('MPG Payment '!$E$3:$E$344841,'Shayak Income '!D283,'MPG Payment '!$S$3:$S$344841)</f>
        <v>4206.53</v>
      </c>
      <c r="R283" s="126">
        <f t="shared" si="73"/>
        <v>5955.8015999999998</v>
      </c>
      <c r="S283" s="126">
        <f t="shared" si="74"/>
        <v>1738.4665999999988</v>
      </c>
      <c r="T283" s="126">
        <f t="shared" si="83"/>
        <v>443.93000000000012</v>
      </c>
      <c r="U283" s="127">
        <f>((((((IF(K283="New",0,SUMIF('MPG Payment '!$E$3:$E$344841,'Shayak Income '!D283,'MPG Payment '!$AC$3:$AC$344841))))+0)+0)+0)+0)+0</f>
        <v>0</v>
      </c>
      <c r="V283" s="127">
        <f t="shared" si="84"/>
        <v>11309</v>
      </c>
      <c r="W283" s="19">
        <f t="shared" si="85"/>
        <v>0</v>
      </c>
      <c r="X283" s="19">
        <f t="shared" si="89"/>
        <v>0</v>
      </c>
      <c r="Y283" s="128">
        <f>IFERROR(VLOOKUP(D283,'Monthly Deduction'!$M$2:$N$640,2,0),0)</f>
        <v>0</v>
      </c>
      <c r="Z283" s="128">
        <v>0</v>
      </c>
      <c r="AA283" s="126">
        <f>IFERROR(VLOOKUP(D283,'Monthly Deduction'!A:B,2,0),0)</f>
        <v>0</v>
      </c>
      <c r="AB283" s="129">
        <f t="shared" si="75"/>
        <v>11309</v>
      </c>
      <c r="AC283" s="130">
        <v>0</v>
      </c>
      <c r="AD283" s="35">
        <f t="shared" si="86"/>
        <v>11309</v>
      </c>
      <c r="AE283" s="166" t="str">
        <f t="shared" si="87"/>
        <v>Release</v>
      </c>
      <c r="AF283" s="127"/>
      <c r="AG283" s="127">
        <v>0</v>
      </c>
      <c r="AH283" s="120"/>
      <c r="AI283" s="238">
        <v>0</v>
      </c>
      <c r="AJ283" s="132"/>
      <c r="AK283" s="151">
        <v>1146.4000000000001</v>
      </c>
      <c r="AL283" s="154">
        <f t="shared" si="76"/>
        <v>0</v>
      </c>
      <c r="AM283" s="155"/>
      <c r="AN283" s="19">
        <f t="shared" si="77"/>
        <v>0</v>
      </c>
      <c r="AO283" s="118">
        <f>SUMIF('MPG Payment '!E:E,'Shayak Income '!D283,'MPG Payment '!AJ:AJ)</f>
        <v>0</v>
      </c>
      <c r="AP283" s="19">
        <f t="shared" si="78"/>
        <v>0</v>
      </c>
      <c r="AQ283" s="119">
        <f t="shared" si="88"/>
        <v>0</v>
      </c>
      <c r="AR283" s="91" t="s">
        <v>1144</v>
      </c>
      <c r="AS283" s="91">
        <f t="shared" si="79"/>
        <v>0</v>
      </c>
      <c r="AT283" s="118"/>
      <c r="AU283" s="118"/>
      <c r="AV283" s="118"/>
    </row>
    <row r="284" spans="1:48" s="20" customFormat="1" x14ac:dyDescent="0.25">
      <c r="A284" s="17">
        <f>IFERROR(VLOOKUP(D284,'Monthly Deduction'!$I$3:$J$957,2,0),0)</f>
        <v>0</v>
      </c>
      <c r="B284" s="17">
        <f>IFERROR(VLOOKUP(D284,'Monthly Deduction'!$E$3:$F$957,2,0),0)</f>
        <v>0</v>
      </c>
      <c r="C284" s="17">
        <f t="shared" si="80"/>
        <v>0</v>
      </c>
      <c r="D284" s="41">
        <v>10110015</v>
      </c>
      <c r="E284" s="122" t="str">
        <f>VLOOKUP(D284,'MPG Payment '!$E$3:$G$497305,2,0)</f>
        <v>Gomukh Chhitraur</v>
      </c>
      <c r="F284" s="146">
        <f>IFERROR(_xlfn.XLOOKUP(D284,'Monthly Deduction'!$I$3:$I$957,'Monthly Deduction'!$H$3:$H$957),0)</f>
        <v>0</v>
      </c>
      <c r="G284" s="123" t="str">
        <f>VLOOKUP(D284,'MPG Payment '!$E$3:$G$333666,3,0)</f>
        <v>MPG</v>
      </c>
      <c r="H284" s="124" t="str">
        <f>VLOOKUP(D284,'MPG Payment '!$E$3:$H$333666,4,0)</f>
        <v>Direct</v>
      </c>
      <c r="I284" s="88">
        <f>INDEX('MPG Payment '!$C:$C,MATCH('Shayak Income '!D284,'MPG Payment '!E:E,0))</f>
        <v>1055</v>
      </c>
      <c r="J284" s="88" t="str">
        <f>INDEX('MPG Payment '!$D:$D,MATCH('Shayak Income '!D284,'MPG Payment '!E:E,0))</f>
        <v>Matihani</v>
      </c>
      <c r="K284" s="125" t="s">
        <v>1594</v>
      </c>
      <c r="L284" s="125">
        <v>44694</v>
      </c>
      <c r="M284" s="126">
        <f>SUMIF('MPG Payment '!$E$3:$E$344841,'Shayak Income '!D284,'MPG Payment '!$I$3:$I$344841)</f>
        <v>2406.3999999999996</v>
      </c>
      <c r="N284" s="126">
        <f>SUMIF('MPG Payment '!$E$3:$E$344841,'Shayak Income '!D284,'MPG Payment '!$J$3:$J$344841)</f>
        <v>104392.47</v>
      </c>
      <c r="O284" s="126">
        <f t="shared" si="81"/>
        <v>1804.7999999999997</v>
      </c>
      <c r="P284" s="126">
        <f t="shared" si="82"/>
        <v>2286.0799999999995</v>
      </c>
      <c r="Q284" s="126">
        <f>SUMIF('MPG Payment '!$E$3:$E$344841,'Shayak Income '!D284,'MPG Payment '!$S$3:$S$344841)</f>
        <v>0</v>
      </c>
      <c r="R284" s="126">
        <f t="shared" si="73"/>
        <v>3131.7741000000001</v>
      </c>
      <c r="S284" s="126">
        <f t="shared" si="74"/>
        <v>845.69410000000062</v>
      </c>
      <c r="T284" s="126">
        <f t="shared" si="83"/>
        <v>240.64</v>
      </c>
      <c r="U284" s="127">
        <f>((((((IF(K284="New",0,SUMIF('MPG Payment '!$E$3:$E$344841,'Shayak Income '!D284,'MPG Payment '!$AC$3:$AC$344841))))+0)+0)+0)+0)+0</f>
        <v>341.36090993103232</v>
      </c>
      <c r="V284" s="127">
        <f t="shared" si="84"/>
        <v>3509</v>
      </c>
      <c r="W284" s="19">
        <f t="shared" si="85"/>
        <v>0</v>
      </c>
      <c r="X284" s="19">
        <f t="shared" si="89"/>
        <v>0</v>
      </c>
      <c r="Y284" s="128">
        <f>IFERROR(VLOOKUP(D284,'Monthly Deduction'!$M$2:$N$640,2,0),0)</f>
        <v>0</v>
      </c>
      <c r="Z284" s="128">
        <v>0</v>
      </c>
      <c r="AA284" s="126">
        <f>IFERROR(VLOOKUP(D284,'Monthly Deduction'!A:B,2,0),0)</f>
        <v>0</v>
      </c>
      <c r="AB284" s="129">
        <f t="shared" si="75"/>
        <v>3509</v>
      </c>
      <c r="AC284" s="130">
        <v>0</v>
      </c>
      <c r="AD284" s="35">
        <f t="shared" si="86"/>
        <v>3509</v>
      </c>
      <c r="AE284" s="166" t="str">
        <f t="shared" si="87"/>
        <v>Release</v>
      </c>
      <c r="AF284" s="127"/>
      <c r="AG284" s="18">
        <v>0</v>
      </c>
      <c r="AH284" s="120"/>
      <c r="AI284" s="238">
        <v>0</v>
      </c>
      <c r="AJ284" s="132"/>
      <c r="AK284" s="151">
        <v>461.3</v>
      </c>
      <c r="AL284" s="154">
        <f t="shared" si="76"/>
        <v>0</v>
      </c>
      <c r="AM284" s="155"/>
      <c r="AN284" s="19">
        <f t="shared" si="77"/>
        <v>0</v>
      </c>
      <c r="AO284" s="118">
        <f>SUMIF('MPG Payment '!E:E,'Shayak Income '!D284,'MPG Payment '!AJ:AJ)</f>
        <v>0</v>
      </c>
      <c r="AP284" s="19">
        <f t="shared" si="78"/>
        <v>0</v>
      </c>
      <c r="AQ284" s="119">
        <f t="shared" si="88"/>
        <v>0</v>
      </c>
      <c r="AR284" s="91" t="s">
        <v>1144</v>
      </c>
      <c r="AS284" s="91">
        <f t="shared" si="79"/>
        <v>0</v>
      </c>
      <c r="AT284" s="118"/>
      <c r="AU284" s="118"/>
      <c r="AV284" s="118"/>
    </row>
    <row r="285" spans="1:48" s="20" customFormat="1" x14ac:dyDescent="0.25">
      <c r="A285" s="17">
        <f>IFERROR(VLOOKUP(D285,'Monthly Deduction'!$I$3:$J$957,2,0),0)</f>
        <v>0</v>
      </c>
      <c r="B285" s="17">
        <f>IFERROR(VLOOKUP(D285,'Monthly Deduction'!$E$3:$F$957,2,0),0)</f>
        <v>0</v>
      </c>
      <c r="C285" s="17">
        <f t="shared" si="80"/>
        <v>0</v>
      </c>
      <c r="D285" s="41">
        <v>10110016</v>
      </c>
      <c r="E285" s="122" t="str">
        <f>VLOOKUP(D285,'MPG Payment '!$E$3:$G$497305,2,0)</f>
        <v>Gomukh Khorampur Chakaur</v>
      </c>
      <c r="F285" s="146">
        <f>IFERROR(_xlfn.XLOOKUP(D285,'Monthly Deduction'!$I$3:$I$957,'Monthly Deduction'!$H$3:$H$957),0)</f>
        <v>0</v>
      </c>
      <c r="G285" s="123" t="str">
        <f>VLOOKUP(D285,'MPG Payment '!$E$3:$G$333666,3,0)</f>
        <v>MPG</v>
      </c>
      <c r="H285" s="124" t="str">
        <f>VLOOKUP(D285,'MPG Payment '!$E$3:$H$333666,4,0)</f>
        <v>Direct</v>
      </c>
      <c r="I285" s="88">
        <f>INDEX('MPG Payment '!$C:$C,MATCH('Shayak Income '!D285,'MPG Payment '!E:E,0))</f>
        <v>1055</v>
      </c>
      <c r="J285" s="88" t="str">
        <f>INDEX('MPG Payment '!$D:$D,MATCH('Shayak Income '!D285,'MPG Payment '!E:E,0))</f>
        <v>Matihani</v>
      </c>
      <c r="K285" s="125" t="s">
        <v>1594</v>
      </c>
      <c r="L285" s="125">
        <v>44694</v>
      </c>
      <c r="M285" s="126">
        <f>SUMIF('MPG Payment '!$E$3:$E$344841,'Shayak Income '!D285,'MPG Payment '!$I$3:$I$344841)</f>
        <v>2101.8999999999996</v>
      </c>
      <c r="N285" s="126">
        <f>SUMIF('MPG Payment '!$E$3:$E$344841,'Shayak Income '!D285,'MPG Payment '!$J$3:$J$344841)</f>
        <v>87850.81</v>
      </c>
      <c r="O285" s="126">
        <f t="shared" si="81"/>
        <v>1576.4249999999997</v>
      </c>
      <c r="P285" s="126">
        <f t="shared" si="82"/>
        <v>1996.8049999999996</v>
      </c>
      <c r="Q285" s="126">
        <f>SUMIF('MPG Payment '!$E$3:$E$344841,'Shayak Income '!D285,'MPG Payment '!$S$3:$S$344841)</f>
        <v>586.71</v>
      </c>
      <c r="R285" s="126">
        <f t="shared" si="73"/>
        <v>2635.5243</v>
      </c>
      <c r="S285" s="126">
        <f t="shared" si="74"/>
        <v>638.71930000000043</v>
      </c>
      <c r="T285" s="126">
        <f t="shared" si="83"/>
        <v>210.18999999999997</v>
      </c>
      <c r="U285" s="127">
        <f>((((((IF(K285="New",0,SUMIF('MPG Payment '!$E$3:$E$344841,'Shayak Income '!D285,'MPG Payment '!$AC$3:$AC$344841))))+0)+0)+0)+0)+0</f>
        <v>585.85753050842959</v>
      </c>
      <c r="V285" s="127">
        <f t="shared" si="84"/>
        <v>3364</v>
      </c>
      <c r="W285" s="19">
        <f t="shared" si="85"/>
        <v>0</v>
      </c>
      <c r="X285" s="19">
        <f t="shared" si="89"/>
        <v>0</v>
      </c>
      <c r="Y285" s="128">
        <f>IFERROR(VLOOKUP(D285,'Monthly Deduction'!$M$2:$N$640,2,0),0)</f>
        <v>0</v>
      </c>
      <c r="Z285" s="128">
        <v>0</v>
      </c>
      <c r="AA285" s="126">
        <f>IFERROR(VLOOKUP(D285,'Monthly Deduction'!A:B,2,0),0)</f>
        <v>0</v>
      </c>
      <c r="AB285" s="129">
        <f t="shared" si="75"/>
        <v>3364</v>
      </c>
      <c r="AC285" s="130">
        <v>0</v>
      </c>
      <c r="AD285" s="35">
        <f t="shared" si="86"/>
        <v>3364</v>
      </c>
      <c r="AE285" s="166" t="str">
        <f t="shared" si="87"/>
        <v>Release</v>
      </c>
      <c r="AF285" s="127"/>
      <c r="AG285" s="18">
        <v>0</v>
      </c>
      <c r="AH285" s="120"/>
      <c r="AI285" s="238">
        <v>0</v>
      </c>
      <c r="AJ285" s="132"/>
      <c r="AK285" s="151">
        <v>447.99999999999994</v>
      </c>
      <c r="AL285" s="154">
        <f t="shared" si="76"/>
        <v>0</v>
      </c>
      <c r="AM285" s="155"/>
      <c r="AN285" s="19">
        <f t="shared" si="77"/>
        <v>0</v>
      </c>
      <c r="AO285" s="118">
        <f>SUMIF('MPG Payment '!E:E,'Shayak Income '!D285,'MPG Payment '!AJ:AJ)</f>
        <v>0</v>
      </c>
      <c r="AP285" s="19">
        <f t="shared" si="78"/>
        <v>0</v>
      </c>
      <c r="AQ285" s="119">
        <f t="shared" si="88"/>
        <v>0</v>
      </c>
      <c r="AR285" s="91" t="s">
        <v>1144</v>
      </c>
      <c r="AS285" s="91">
        <f t="shared" si="79"/>
        <v>0</v>
      </c>
      <c r="AT285" s="118"/>
      <c r="AU285" s="118"/>
      <c r="AV285" s="118"/>
    </row>
    <row r="286" spans="1:48" s="20" customFormat="1" x14ac:dyDescent="0.25">
      <c r="A286" s="17">
        <f>IFERROR(VLOOKUP(D286,'Monthly Deduction'!$I$3:$J$957,2,0),0)</f>
        <v>0</v>
      </c>
      <c r="B286" s="17">
        <f>IFERROR(VLOOKUP(D286,'Monthly Deduction'!$E$3:$F$957,2,0),0)</f>
        <v>3012.7274878963653</v>
      </c>
      <c r="C286" s="17">
        <f t="shared" si="80"/>
        <v>3012.7274878963653</v>
      </c>
      <c r="D286" s="41">
        <v>10110021</v>
      </c>
      <c r="E286" s="122" t="str">
        <f>VLOOKUP(D286,'MPG Payment '!$E$3:$G$497305,2,0)</f>
        <v>GOMUKH Mathar</v>
      </c>
      <c r="F286" s="146">
        <f>IFERROR(_xlfn.XLOOKUP(D286,'Monthly Deduction'!$I$3:$I$957,'Monthly Deduction'!$H$3:$H$957),0)</f>
        <v>0</v>
      </c>
      <c r="G286" s="123" t="str">
        <f>VLOOKUP(D286,'MPG Payment '!$E$3:$G$333666,3,0)</f>
        <v>MPG</v>
      </c>
      <c r="H286" s="124" t="str">
        <f>VLOOKUP(D286,'MPG Payment '!$E$3:$H$333666,4,0)</f>
        <v>Direct</v>
      </c>
      <c r="I286" s="88">
        <f>INDEX('MPG Payment '!$C:$C,MATCH('Shayak Income '!D286,'MPG Payment '!E:E,0))</f>
        <v>1011</v>
      </c>
      <c r="J286" s="88" t="str">
        <f>INDEX('MPG Payment '!$D:$D,MATCH('Shayak Income '!D286,'MPG Payment '!E:E,0))</f>
        <v>Sahibpur Kamal</v>
      </c>
      <c r="K286" s="125" t="s">
        <v>1594</v>
      </c>
      <c r="L286" s="125">
        <v>44759</v>
      </c>
      <c r="M286" s="126">
        <f>SUMIF('MPG Payment '!$E$3:$E$344841,'Shayak Income '!D286,'MPG Payment '!$I$3:$I$344841)</f>
        <v>631.9</v>
      </c>
      <c r="N286" s="126">
        <f>SUMIF('MPG Payment '!$E$3:$E$344841,'Shayak Income '!D286,'MPG Payment '!$J$3:$J$344841)</f>
        <v>27820.65</v>
      </c>
      <c r="O286" s="126">
        <f t="shared" si="81"/>
        <v>473.92499999999995</v>
      </c>
      <c r="P286" s="126">
        <f t="shared" si="82"/>
        <v>600.30499999999995</v>
      </c>
      <c r="Q286" s="126">
        <f>SUMIF('MPG Payment '!$E$3:$E$344841,'Shayak Income '!D286,'MPG Payment '!$S$3:$S$344841)</f>
        <v>287.68999999999994</v>
      </c>
      <c r="R286" s="126">
        <f t="shared" si="73"/>
        <v>834.61950000000002</v>
      </c>
      <c r="S286" s="126">
        <f t="shared" si="74"/>
        <v>234.31450000000007</v>
      </c>
      <c r="T286" s="126">
        <f t="shared" si="83"/>
        <v>63.19</v>
      </c>
      <c r="U286" s="127">
        <f>((((((IF(K286="New",0,SUMIF('MPG Payment '!$E$3:$E$344841,'Shayak Income '!D286,'MPG Payment '!$AC$3:$AC$344841))))+0)+0)+0)+0)+-581</f>
        <v>1298.7731382037427</v>
      </c>
      <c r="V286" s="127">
        <f t="shared" si="84"/>
        <v>0</v>
      </c>
      <c r="W286" s="19">
        <v>0</v>
      </c>
      <c r="X286" s="19">
        <v>0</v>
      </c>
      <c r="Y286" s="128">
        <v>0</v>
      </c>
      <c r="Z286" s="128">
        <v>0</v>
      </c>
      <c r="AA286" s="126">
        <v>0</v>
      </c>
      <c r="AB286" s="129">
        <f t="shared" si="75"/>
        <v>0</v>
      </c>
      <c r="AC286" s="130">
        <v>0</v>
      </c>
      <c r="AD286" s="35">
        <f t="shared" si="86"/>
        <v>0</v>
      </c>
      <c r="AE286" s="166" t="str">
        <f t="shared" si="87"/>
        <v>Release</v>
      </c>
      <c r="AF286" s="127"/>
      <c r="AG286" s="127">
        <v>0</v>
      </c>
      <c r="AH286" s="120"/>
      <c r="AI286" s="238">
        <v>0</v>
      </c>
      <c r="AJ286" s="132"/>
      <c r="AK286" s="151">
        <v>203.3</v>
      </c>
      <c r="AL286" s="154">
        <f t="shared" si="76"/>
        <v>0</v>
      </c>
      <c r="AM286" s="155"/>
      <c r="AN286" s="19">
        <f t="shared" si="77"/>
        <v>0</v>
      </c>
      <c r="AO286" s="118">
        <f>SUMIF('MPG Payment '!E:E,'Shayak Income '!D286,'MPG Payment '!AJ:AJ)</f>
        <v>0</v>
      </c>
      <c r="AP286" s="19">
        <f t="shared" si="78"/>
        <v>0</v>
      </c>
      <c r="AQ286" s="119">
        <f t="shared" si="88"/>
        <v>0</v>
      </c>
      <c r="AR286" s="91" t="s">
        <v>1144</v>
      </c>
      <c r="AS286" s="91">
        <f t="shared" si="79"/>
        <v>3012.7274878963653</v>
      </c>
      <c r="AT286" s="118"/>
      <c r="AU286" s="118"/>
      <c r="AV286" s="118"/>
    </row>
    <row r="287" spans="1:48" s="20" customFormat="1" x14ac:dyDescent="0.25">
      <c r="A287" s="17">
        <f>IFERROR(VLOOKUP(D287,'Monthly Deduction'!$I$3:$J$957,2,0),0)</f>
        <v>0</v>
      </c>
      <c r="B287" s="17">
        <f>IFERROR(VLOOKUP(D287,'Monthly Deduction'!$E$3:$F$957,2,0),0)</f>
        <v>0</v>
      </c>
      <c r="C287" s="17">
        <f t="shared" si="80"/>
        <v>0</v>
      </c>
      <c r="D287" s="41">
        <v>10110042</v>
      </c>
      <c r="E287" s="122" t="str">
        <f>VLOOKUP(D287,'MPG Payment '!$E$3:$G$497305,2,0)</f>
        <v>Gomukh Sonapur</v>
      </c>
      <c r="F287" s="146">
        <f>IFERROR(_xlfn.XLOOKUP(D287,'Monthly Deduction'!$I$3:$I$957,'Monthly Deduction'!$H$3:$H$957),0)</f>
        <v>0</v>
      </c>
      <c r="G287" s="123" t="str">
        <f>VLOOKUP(D287,'MPG Payment '!$E$3:$G$333666,3,0)</f>
        <v>vlc</v>
      </c>
      <c r="H287" s="124" t="str">
        <f>VLOOKUP(D287,'MPG Payment '!$E$3:$H$333666,4,0)</f>
        <v>Indirect</v>
      </c>
      <c r="I287" s="88">
        <f>INDEX('MPG Payment '!$C:$C,MATCH('Shayak Income '!D287,'MPG Payment '!E:E,0))</f>
        <v>1055</v>
      </c>
      <c r="J287" s="88" t="str">
        <f>INDEX('MPG Payment '!$D:$D,MATCH('Shayak Income '!D287,'MPG Payment '!E:E,0))</f>
        <v>Matihani</v>
      </c>
      <c r="K287" s="125" t="s">
        <v>1594</v>
      </c>
      <c r="L287" s="125">
        <v>45226</v>
      </c>
      <c r="M287" s="126">
        <f>SUMIF('MPG Payment '!$E$3:$E$344841,'Shayak Income '!D287,'MPG Payment '!$I$3:$I$344841)</f>
        <v>1872.1</v>
      </c>
      <c r="N287" s="126">
        <f>SUMIF('MPG Payment '!$E$3:$E$344841,'Shayak Income '!D287,'MPG Payment '!$J$3:$J$344841)</f>
        <v>73512.709999999992</v>
      </c>
      <c r="O287" s="126">
        <f t="shared" si="81"/>
        <v>1404.0749999999998</v>
      </c>
      <c r="P287" s="126">
        <f t="shared" si="82"/>
        <v>1778.4949999999999</v>
      </c>
      <c r="Q287" s="126">
        <f>SUMIF('MPG Payment '!$E$3:$E$344841,'Shayak Income '!D287,'MPG Payment '!$S$3:$S$344841)</f>
        <v>0</v>
      </c>
      <c r="R287" s="126">
        <f t="shared" si="73"/>
        <v>2205.3812999999996</v>
      </c>
      <c r="S287" s="126">
        <f t="shared" si="74"/>
        <v>426.88629999999966</v>
      </c>
      <c r="T287" s="126">
        <f t="shared" si="83"/>
        <v>187.21</v>
      </c>
      <c r="U287" s="127">
        <f>((((((IF(K287="New",0,SUMIF('MPG Payment '!$E$3:$E$344841,'Shayak Income '!D287,'MPG Payment '!$AC$3:$AC$344841))))+0)+0)+0)+0)+0</f>
        <v>726.19793850339545</v>
      </c>
      <c r="V287" s="127">
        <f t="shared" si="84"/>
        <v>2269</v>
      </c>
      <c r="W287" s="19">
        <f t="shared" si="85"/>
        <v>0</v>
      </c>
      <c r="X287" s="19">
        <f t="shared" si="89"/>
        <v>0</v>
      </c>
      <c r="Y287" s="128">
        <f>IFERROR(VLOOKUP(D287,'Monthly Deduction'!$M$2:$N$640,2,0),0)</f>
        <v>0</v>
      </c>
      <c r="Z287" s="128">
        <v>0</v>
      </c>
      <c r="AA287" s="126">
        <f>IFERROR(VLOOKUP(D287,'Monthly Deduction'!A:B,2,0),0)</f>
        <v>0</v>
      </c>
      <c r="AB287" s="129">
        <f t="shared" si="75"/>
        <v>2269</v>
      </c>
      <c r="AC287" s="130">
        <v>0</v>
      </c>
      <c r="AD287" s="35">
        <f t="shared" si="86"/>
        <v>2269</v>
      </c>
      <c r="AE287" s="166" t="str">
        <f t="shared" si="87"/>
        <v>Release</v>
      </c>
      <c r="AF287" s="127"/>
      <c r="AG287" s="127">
        <v>0</v>
      </c>
      <c r="AH287" s="120"/>
      <c r="AI287" s="238">
        <v>0</v>
      </c>
      <c r="AJ287" s="132"/>
      <c r="AK287" s="151">
        <v>318.7</v>
      </c>
      <c r="AL287" s="154">
        <f t="shared" si="76"/>
        <v>0</v>
      </c>
      <c r="AM287" s="155"/>
      <c r="AN287" s="19">
        <f t="shared" si="77"/>
        <v>0</v>
      </c>
      <c r="AO287" s="118">
        <f>SUMIF('MPG Payment '!E:E,'Shayak Income '!D287,'MPG Payment '!AJ:AJ)</f>
        <v>0</v>
      </c>
      <c r="AP287" s="19">
        <f t="shared" si="78"/>
        <v>0</v>
      </c>
      <c r="AQ287" s="119">
        <f t="shared" si="88"/>
        <v>0</v>
      </c>
      <c r="AR287" s="91" t="s">
        <v>1144</v>
      </c>
      <c r="AS287" s="91">
        <f t="shared" si="79"/>
        <v>0</v>
      </c>
      <c r="AT287" s="118"/>
      <c r="AU287" s="118"/>
      <c r="AV287" s="118"/>
    </row>
    <row r="288" spans="1:48" s="20" customFormat="1" x14ac:dyDescent="0.25">
      <c r="A288" s="17">
        <f>IFERROR(VLOOKUP(D288,'Monthly Deduction'!$I$3:$J$957,2,0),0)</f>
        <v>0</v>
      </c>
      <c r="B288" s="17">
        <f>IFERROR(VLOOKUP(D288,'Monthly Deduction'!$E$3:$F$957,2,0),0)</f>
        <v>0</v>
      </c>
      <c r="C288" s="17">
        <f t="shared" si="80"/>
        <v>0</v>
      </c>
      <c r="D288" s="41">
        <v>10110043</v>
      </c>
      <c r="E288" s="122" t="str">
        <f>VLOOKUP(D288,'MPG Payment '!$E$3:$G$497305,2,0)</f>
        <v>Gomukh Barkhandi 2</v>
      </c>
      <c r="F288" s="146">
        <f>IFERROR(_xlfn.XLOOKUP(D288,'Monthly Deduction'!$I$3:$I$957,'Monthly Deduction'!$H$3:$H$957),0)</f>
        <v>0</v>
      </c>
      <c r="G288" s="123" t="str">
        <f>VLOOKUP(D288,'MPG Payment '!$E$3:$G$333666,3,0)</f>
        <v>MPG</v>
      </c>
      <c r="H288" s="124" t="str">
        <f>VLOOKUP(D288,'MPG Payment '!$E$3:$H$333666,4,0)</f>
        <v>Indirect</v>
      </c>
      <c r="I288" s="88">
        <f>INDEX('MPG Payment '!$C:$C,MATCH('Shayak Income '!D288,'MPG Payment '!E:E,0))</f>
        <v>1011</v>
      </c>
      <c r="J288" s="88" t="str">
        <f>INDEX('MPG Payment '!$D:$D,MATCH('Shayak Income '!D288,'MPG Payment '!E:E,0))</f>
        <v>Sahibpur Kamal</v>
      </c>
      <c r="K288" s="125" t="s">
        <v>1594</v>
      </c>
      <c r="L288" s="125">
        <v>45226</v>
      </c>
      <c r="M288" s="126">
        <f>SUMIF('MPG Payment '!$E$3:$E$344841,'Shayak Income '!D288,'MPG Payment '!$I$3:$I$344841)</f>
        <v>4303</v>
      </c>
      <c r="N288" s="126">
        <f>SUMIF('MPG Payment '!$E$3:$E$344841,'Shayak Income '!D288,'MPG Payment '!$J$3:$J$344841)</f>
        <v>188035.28000000003</v>
      </c>
      <c r="O288" s="126">
        <f t="shared" si="81"/>
        <v>3227.25</v>
      </c>
      <c r="P288" s="126">
        <f t="shared" si="82"/>
        <v>4087.85</v>
      </c>
      <c r="Q288" s="126">
        <f>SUMIF('MPG Payment '!$E$3:$E$344841,'Shayak Income '!D288,'MPG Payment '!$S$3:$S$344841)</f>
        <v>0</v>
      </c>
      <c r="R288" s="126">
        <f t="shared" si="73"/>
        <v>5641.0584000000008</v>
      </c>
      <c r="S288" s="126">
        <f t="shared" si="74"/>
        <v>1553.2084000000009</v>
      </c>
      <c r="T288" s="126">
        <f t="shared" si="83"/>
        <v>430.3</v>
      </c>
      <c r="U288" s="127">
        <f>((((((IF(K288="New",0,SUMIF('MPG Payment '!$E$3:$E$344841,'Shayak Income '!D288,'MPG Payment '!$AC$3:$AC$344841))))+0)+0)+0)+0)+0</f>
        <v>0</v>
      </c>
      <c r="V288" s="127">
        <f t="shared" si="84"/>
        <v>6885</v>
      </c>
      <c r="W288" s="19">
        <f t="shared" si="85"/>
        <v>0</v>
      </c>
      <c r="X288" s="19">
        <f t="shared" si="89"/>
        <v>0</v>
      </c>
      <c r="Y288" s="128">
        <f>IFERROR(VLOOKUP(D288,'Monthly Deduction'!$M$2:$N$640,2,0),0)</f>
        <v>3000</v>
      </c>
      <c r="Z288" s="128">
        <v>0</v>
      </c>
      <c r="AA288" s="126">
        <f>IFERROR(VLOOKUP(D288,'Monthly Deduction'!A:B,2,0),0)</f>
        <v>0</v>
      </c>
      <c r="AB288" s="129">
        <f t="shared" si="75"/>
        <v>3885</v>
      </c>
      <c r="AC288" s="130">
        <v>0</v>
      </c>
      <c r="AD288" s="35">
        <f t="shared" si="86"/>
        <v>3885</v>
      </c>
      <c r="AE288" s="166" t="str">
        <f t="shared" si="87"/>
        <v>Release</v>
      </c>
      <c r="AF288" s="127"/>
      <c r="AG288" s="18">
        <v>0</v>
      </c>
      <c r="AH288" s="120"/>
      <c r="AI288" s="238">
        <v>0</v>
      </c>
      <c r="AJ288" s="132"/>
      <c r="AK288" s="151">
        <v>885.40000000000009</v>
      </c>
      <c r="AL288" s="154">
        <f t="shared" si="76"/>
        <v>0</v>
      </c>
      <c r="AM288" s="155"/>
      <c r="AN288" s="19">
        <f t="shared" si="77"/>
        <v>0</v>
      </c>
      <c r="AO288" s="118">
        <f>SUMIF('MPG Payment '!E:E,'Shayak Income '!D288,'MPG Payment '!AJ:AJ)</f>
        <v>0</v>
      </c>
      <c r="AP288" s="19">
        <f t="shared" si="78"/>
        <v>0</v>
      </c>
      <c r="AQ288" s="119">
        <f t="shared" si="88"/>
        <v>0</v>
      </c>
      <c r="AR288" s="91" t="s">
        <v>1144</v>
      </c>
      <c r="AS288" s="91">
        <f t="shared" si="79"/>
        <v>0</v>
      </c>
      <c r="AT288" s="118"/>
      <c r="AU288" s="118"/>
      <c r="AV288" s="118"/>
    </row>
    <row r="289" spans="1:48" s="20" customFormat="1" x14ac:dyDescent="0.25">
      <c r="A289" s="17">
        <f>IFERROR(VLOOKUP(D289,'Monthly Deduction'!$I$3:$J$957,2,0),0)</f>
        <v>0</v>
      </c>
      <c r="B289" s="17">
        <f>IFERROR(VLOOKUP(D289,'Monthly Deduction'!$E$3:$F$957,2,0),0)</f>
        <v>0</v>
      </c>
      <c r="C289" s="17">
        <f t="shared" si="80"/>
        <v>0</v>
      </c>
      <c r="D289" s="41">
        <v>10110050</v>
      </c>
      <c r="E289" s="122" t="str">
        <f>VLOOKUP(D289,'MPG Payment '!$E$3:$G$497305,2,0)</f>
        <v xml:space="preserve">Gomukh Fatehpur                                                                                     </v>
      </c>
      <c r="F289" s="146">
        <f>IFERROR(_xlfn.XLOOKUP(D289,'Monthly Deduction'!$I$3:$I$957,'Monthly Deduction'!$H$3:$H$957),0)</f>
        <v>0</v>
      </c>
      <c r="G289" s="123" t="str">
        <f>VLOOKUP(D289,'MPG Payment '!$E$3:$G$333666,3,0)</f>
        <v>MPG</v>
      </c>
      <c r="H289" s="124" t="str">
        <f>VLOOKUP(D289,'MPG Payment '!$E$3:$H$333666,4,0)</f>
        <v>Direct</v>
      </c>
      <c r="I289" s="88">
        <f>INDEX('MPG Payment '!$C:$C,MATCH('Shayak Income '!D289,'MPG Payment '!E:E,0))</f>
        <v>1011</v>
      </c>
      <c r="J289" s="88" t="str">
        <f>INDEX('MPG Payment '!$D:$D,MATCH('Shayak Income '!D289,'MPG Payment '!E:E,0))</f>
        <v>Sahibpur Kamal</v>
      </c>
      <c r="K289" s="125" t="s">
        <v>1594</v>
      </c>
      <c r="L289" s="125">
        <v>45205</v>
      </c>
      <c r="M289" s="126">
        <f>SUMIF('MPG Payment '!$E$3:$E$344841,'Shayak Income '!D289,'MPG Payment '!$I$3:$I$344841)</f>
        <v>4487.3</v>
      </c>
      <c r="N289" s="126">
        <f>SUMIF('MPG Payment '!$E$3:$E$344841,'Shayak Income '!D289,'MPG Payment '!$J$3:$J$344841)</f>
        <v>202836.43</v>
      </c>
      <c r="O289" s="126">
        <f t="shared" si="81"/>
        <v>3365.4750000000004</v>
      </c>
      <c r="P289" s="126">
        <f t="shared" si="82"/>
        <v>4262.9350000000004</v>
      </c>
      <c r="Q289" s="126">
        <f>SUMIF('MPG Payment '!$E$3:$E$344841,'Shayak Income '!D289,'MPG Payment '!$S$3:$S$344841)</f>
        <v>0</v>
      </c>
      <c r="R289" s="126">
        <f t="shared" si="73"/>
        <v>6085.0928999999996</v>
      </c>
      <c r="S289" s="126">
        <f t="shared" si="74"/>
        <v>1822.1578999999992</v>
      </c>
      <c r="T289" s="126">
        <f t="shared" si="83"/>
        <v>448.73</v>
      </c>
      <c r="U289" s="127">
        <f>((((((IF(K289="New",0,SUMIF('MPG Payment '!$E$3:$E$344841,'Shayak Income '!D289,'MPG Payment '!$AC$3:$AC$344841))))+0)+0)+0)+0)+0</f>
        <v>0</v>
      </c>
      <c r="V289" s="127">
        <f t="shared" si="84"/>
        <v>7180</v>
      </c>
      <c r="W289" s="19">
        <f t="shared" si="85"/>
        <v>0</v>
      </c>
      <c r="X289" s="19">
        <f t="shared" si="89"/>
        <v>0</v>
      </c>
      <c r="Y289" s="128">
        <f>IFERROR(VLOOKUP(D289,'Monthly Deduction'!$M$2:$N$640,2,0),0)</f>
        <v>0</v>
      </c>
      <c r="Z289" s="128">
        <v>1493.88</v>
      </c>
      <c r="AA289" s="126">
        <f>IFERROR(VLOOKUP(D289,'Monthly Deduction'!A:B,2,0),0)</f>
        <v>0</v>
      </c>
      <c r="AB289" s="129">
        <f t="shared" si="75"/>
        <v>5686</v>
      </c>
      <c r="AC289" s="130">
        <v>0</v>
      </c>
      <c r="AD289" s="35">
        <f t="shared" si="86"/>
        <v>5686</v>
      </c>
      <c r="AE289" s="166" t="str">
        <f t="shared" si="87"/>
        <v>Release</v>
      </c>
      <c r="AF289" s="127"/>
      <c r="AG289" s="127">
        <v>0</v>
      </c>
      <c r="AH289" s="132" t="s">
        <v>1680</v>
      </c>
      <c r="AI289" s="238">
        <v>0</v>
      </c>
      <c r="AJ289" s="132"/>
      <c r="AK289" s="151">
        <v>1028.2000000000003</v>
      </c>
      <c r="AL289" s="154">
        <f t="shared" si="76"/>
        <v>0</v>
      </c>
      <c r="AM289" s="155"/>
      <c r="AN289" s="19">
        <f t="shared" si="77"/>
        <v>0</v>
      </c>
      <c r="AO289" s="118">
        <f>SUMIF('MPG Payment '!E:E,'Shayak Income '!D289,'MPG Payment '!AJ:AJ)</f>
        <v>0</v>
      </c>
      <c r="AP289" s="19">
        <f t="shared" si="78"/>
        <v>0</v>
      </c>
      <c r="AQ289" s="119">
        <f t="shared" si="88"/>
        <v>0</v>
      </c>
      <c r="AR289" s="91" t="s">
        <v>1144</v>
      </c>
      <c r="AS289" s="91">
        <f t="shared" si="79"/>
        <v>0</v>
      </c>
      <c r="AT289" s="118"/>
      <c r="AU289" s="118"/>
      <c r="AV289" s="118"/>
    </row>
    <row r="290" spans="1:48" s="20" customFormat="1" x14ac:dyDescent="0.25">
      <c r="A290" s="17">
        <f>IFERROR(VLOOKUP(D290,'Monthly Deduction'!$I$3:$J$957,2,0),0)</f>
        <v>73515.734166945098</v>
      </c>
      <c r="B290" s="17">
        <f>IFERROR(VLOOKUP(D290,'Monthly Deduction'!$E$3:$F$957,2,0),0)</f>
        <v>6400</v>
      </c>
      <c r="C290" s="17">
        <f t="shared" si="80"/>
        <v>79915.734166945098</v>
      </c>
      <c r="D290" s="41">
        <v>10110053</v>
      </c>
      <c r="E290" s="122" t="str">
        <f>VLOOKUP(D290,'MPG Payment '!$E$3:$G$497305,2,0)</f>
        <v>GOMUKH KATAHRI</v>
      </c>
      <c r="F290" s="146">
        <f>IFERROR(_xlfn.XLOOKUP(D290,'Monthly Deduction'!$I$3:$I$957,'Monthly Deduction'!$H$3:$H$957),0)</f>
        <v>0</v>
      </c>
      <c r="G290" s="123" t="str">
        <f>VLOOKUP(D290,'MPG Payment '!$E$3:$G$333666,3,0)</f>
        <v>MPG</v>
      </c>
      <c r="H290" s="124" t="str">
        <f>VLOOKUP(D290,'MPG Payment '!$E$3:$H$333666,4,0)</f>
        <v>Direct</v>
      </c>
      <c r="I290" s="88">
        <f>INDEX('MPG Payment '!$C:$C,MATCH('Shayak Income '!D290,'MPG Payment '!E:E,0))</f>
        <v>1011</v>
      </c>
      <c r="J290" s="88" t="str">
        <f>INDEX('MPG Payment '!$D:$D,MATCH('Shayak Income '!D290,'MPG Payment '!E:E,0))</f>
        <v>Sahibpur Kamal</v>
      </c>
      <c r="K290" s="125" t="s">
        <v>1594</v>
      </c>
      <c r="L290" s="125">
        <v>45323</v>
      </c>
      <c r="M290" s="126">
        <f>SUMIF('MPG Payment '!$E$3:$E$344841,'Shayak Income '!D290,'MPG Payment '!$I$3:$I$344841)</f>
        <v>1388.6</v>
      </c>
      <c r="N290" s="126">
        <f>SUMIF('MPG Payment '!$E$3:$E$344841,'Shayak Income '!D290,'MPG Payment '!$J$3:$J$344841)</f>
        <v>58254.82</v>
      </c>
      <c r="O290" s="126">
        <f t="shared" si="81"/>
        <v>1041.4499999999998</v>
      </c>
      <c r="P290" s="126">
        <f t="shared" si="82"/>
        <v>1319.1699999999998</v>
      </c>
      <c r="Q290" s="126">
        <f>SUMIF('MPG Payment '!$E$3:$E$344841,'Shayak Income '!D290,'MPG Payment '!$S$3:$S$344841)</f>
        <v>397.88</v>
      </c>
      <c r="R290" s="126">
        <f t="shared" si="73"/>
        <v>1747.6445999999999</v>
      </c>
      <c r="S290" s="126">
        <f t="shared" si="74"/>
        <v>428.47460000000001</v>
      </c>
      <c r="T290" s="126">
        <f t="shared" si="83"/>
        <v>138.85999999999999</v>
      </c>
      <c r="U290" s="127">
        <f>((((((IF(K290="New",0,SUMIF('MPG Payment '!$E$3:$E$344841,'Shayak Income '!D290,'MPG Payment '!$AC$3:$AC$344841))))+0)+0)+0)+0)+0</f>
        <v>1186.6357246512646</v>
      </c>
      <c r="V290" s="127">
        <f t="shared" si="84"/>
        <v>1433</v>
      </c>
      <c r="W290" s="19">
        <v>0</v>
      </c>
      <c r="X290" s="19">
        <f t="shared" si="89"/>
        <v>1165.0964000000001</v>
      </c>
      <c r="Y290" s="128">
        <f>IFERROR(VLOOKUP(D290,'Monthly Deduction'!$M$2:$N$640,2,0),0)</f>
        <v>0</v>
      </c>
      <c r="Z290" s="128">
        <v>0</v>
      </c>
      <c r="AA290" s="126">
        <f>IFERROR(VLOOKUP(D290,'Monthly Deduction'!A:B,2,0),0)</f>
        <v>0</v>
      </c>
      <c r="AB290" s="129">
        <f t="shared" si="75"/>
        <v>268</v>
      </c>
      <c r="AC290" s="130">
        <v>0</v>
      </c>
      <c r="AD290" s="35">
        <f t="shared" si="86"/>
        <v>268</v>
      </c>
      <c r="AE290" s="166" t="str">
        <f t="shared" si="87"/>
        <v>Release</v>
      </c>
      <c r="AF290" s="127"/>
      <c r="AG290" s="127">
        <v>0</v>
      </c>
      <c r="AH290" s="120"/>
      <c r="AI290" s="238">
        <v>0</v>
      </c>
      <c r="AJ290" s="132"/>
      <c r="AK290" s="151">
        <v>299</v>
      </c>
      <c r="AL290" s="154">
        <f t="shared" si="76"/>
        <v>0</v>
      </c>
      <c r="AM290" s="155"/>
      <c r="AN290" s="19">
        <f t="shared" si="77"/>
        <v>1861</v>
      </c>
      <c r="AO290" s="118">
        <f>SUMIF('MPG Payment '!E:E,'Shayak Income '!D290,'MPG Payment '!AJ:AJ)</f>
        <v>2000</v>
      </c>
      <c r="AP290" s="19">
        <f t="shared" si="78"/>
        <v>0</v>
      </c>
      <c r="AQ290" s="119">
        <f t="shared" si="88"/>
        <v>2000</v>
      </c>
      <c r="AR290" s="91" t="s">
        <v>1144</v>
      </c>
      <c r="AS290" s="91">
        <f t="shared" si="79"/>
        <v>5234.9035999999996</v>
      </c>
      <c r="AT290" s="118"/>
      <c r="AU290" s="118"/>
      <c r="AV290" s="118"/>
    </row>
    <row r="291" spans="1:48" s="20" customFormat="1" x14ac:dyDescent="0.25">
      <c r="A291" s="17">
        <f>IFERROR(VLOOKUP(D291,'Monthly Deduction'!$I$3:$J$957,2,0),0)</f>
        <v>22188.053068966095</v>
      </c>
      <c r="B291" s="17">
        <f>IFERROR(VLOOKUP(D291,'Monthly Deduction'!$E$3:$F$957,2,0),0)</f>
        <v>6400</v>
      </c>
      <c r="C291" s="17">
        <f t="shared" si="80"/>
        <v>28588.053068966095</v>
      </c>
      <c r="D291" s="41">
        <v>10110055</v>
      </c>
      <c r="E291" s="122" t="str">
        <f>VLOOKUP(D291,'MPG Payment '!$E$3:$G$497305,2,0)</f>
        <v>GOMUKH Mathar Ward 10</v>
      </c>
      <c r="F291" s="146">
        <f>IFERROR(_xlfn.XLOOKUP(D291,'Monthly Deduction'!$I$3:$I$957,'Monthly Deduction'!$H$3:$H$957),0)</f>
        <v>0</v>
      </c>
      <c r="G291" s="123" t="str">
        <f>VLOOKUP(D291,'MPG Payment '!$E$3:$G$333666,3,0)</f>
        <v>MPG</v>
      </c>
      <c r="H291" s="124" t="str">
        <f>VLOOKUP(D291,'MPG Payment '!$E$3:$H$333666,4,0)</f>
        <v>Direct</v>
      </c>
      <c r="I291" s="88">
        <f>INDEX('MPG Payment '!$C:$C,MATCH('Shayak Income '!D291,'MPG Payment '!E:E,0))</f>
        <v>1011</v>
      </c>
      <c r="J291" s="88" t="str">
        <f>INDEX('MPG Payment '!$D:$D,MATCH('Shayak Income '!D291,'MPG Payment '!E:E,0))</f>
        <v>Sahibpur Kamal</v>
      </c>
      <c r="K291" s="125" t="s">
        <v>1594</v>
      </c>
      <c r="L291" s="125">
        <v>45323</v>
      </c>
      <c r="M291" s="126">
        <f>SUMIF('MPG Payment '!$E$3:$E$344841,'Shayak Income '!D291,'MPG Payment '!$I$3:$I$344841)</f>
        <v>4064.7000000000003</v>
      </c>
      <c r="N291" s="126">
        <f>SUMIF('MPG Payment '!$E$3:$E$344841,'Shayak Income '!D291,'MPG Payment '!$J$3:$J$344841)</f>
        <v>187555.81</v>
      </c>
      <c r="O291" s="126">
        <f t="shared" si="81"/>
        <v>3048.5250000000001</v>
      </c>
      <c r="P291" s="126">
        <f t="shared" si="82"/>
        <v>3861.4650000000001</v>
      </c>
      <c r="Q291" s="126">
        <f>SUMIF('MPG Payment '!$E$3:$E$344841,'Shayak Income '!D291,'MPG Payment '!$S$3:$S$344841)</f>
        <v>0</v>
      </c>
      <c r="R291" s="126">
        <f t="shared" si="73"/>
        <v>5626.6742999999997</v>
      </c>
      <c r="S291" s="126">
        <f t="shared" si="74"/>
        <v>1765.2092999999995</v>
      </c>
      <c r="T291" s="126">
        <f t="shared" si="83"/>
        <v>406.47</v>
      </c>
      <c r="U291" s="127">
        <f>((((((IF(K291="New",0,SUMIF('MPG Payment '!$E$3:$E$344841,'Shayak Income '!D291,'MPG Payment '!$AC$3:$AC$344841))))+0)+0)+0)+0)+0</f>
        <v>0</v>
      </c>
      <c r="V291" s="127">
        <f t="shared" si="84"/>
        <v>6504</v>
      </c>
      <c r="W291" s="19">
        <f t="shared" si="85"/>
        <v>3751.1161999999999</v>
      </c>
      <c r="X291" s="19">
        <v>0</v>
      </c>
      <c r="Y291" s="128">
        <f>IFERROR(VLOOKUP(D291,'Monthly Deduction'!$M$2:$N$640,2,0),0)</f>
        <v>0</v>
      </c>
      <c r="Z291" s="128">
        <v>908.6</v>
      </c>
      <c r="AA291" s="126">
        <f>IFERROR(VLOOKUP(D291,'Monthly Deduction'!A:B,2,0),0)</f>
        <v>0</v>
      </c>
      <c r="AB291" s="129">
        <f t="shared" si="75"/>
        <v>1844</v>
      </c>
      <c r="AC291" s="130">
        <v>0</v>
      </c>
      <c r="AD291" s="35">
        <f t="shared" si="86"/>
        <v>1844</v>
      </c>
      <c r="AE291" s="166" t="str">
        <f t="shared" si="87"/>
        <v>Release</v>
      </c>
      <c r="AF291" s="127"/>
      <c r="AG291" s="18">
        <v>0</v>
      </c>
      <c r="AH291" s="132" t="s">
        <v>1680</v>
      </c>
      <c r="AI291" s="238">
        <v>0</v>
      </c>
      <c r="AJ291" s="132"/>
      <c r="AK291" s="151">
        <v>1125.1000000000001</v>
      </c>
      <c r="AL291" s="154">
        <f t="shared" si="76"/>
        <v>0</v>
      </c>
      <c r="AM291" s="155"/>
      <c r="AN291" s="19">
        <f t="shared" si="77"/>
        <v>3751.1161999999999</v>
      </c>
      <c r="AO291" s="118">
        <f>SUMIF('MPG Payment '!E:E,'Shayak Income '!D291,'MPG Payment '!AJ:AJ)</f>
        <v>0</v>
      </c>
      <c r="AP291" s="19">
        <f t="shared" si="78"/>
        <v>3751.1161999999999</v>
      </c>
      <c r="AQ291" s="119">
        <f t="shared" si="88"/>
        <v>3751.1161999999999</v>
      </c>
      <c r="AR291" s="91" t="s">
        <v>1144</v>
      </c>
      <c r="AS291" s="91">
        <f t="shared" si="79"/>
        <v>6400</v>
      </c>
      <c r="AT291" s="118"/>
      <c r="AU291" s="118"/>
      <c r="AV291" s="118"/>
    </row>
    <row r="292" spans="1:48" s="20" customFormat="1" x14ac:dyDescent="0.25">
      <c r="A292" s="17">
        <f>IFERROR(VLOOKUP(D292,'Monthly Deduction'!$I$3:$J$957,2,0),0)</f>
        <v>79464.125112166032</v>
      </c>
      <c r="B292" s="17">
        <f>IFERROR(VLOOKUP(D292,'Monthly Deduction'!$E$3:$F$957,2,0),0)</f>
        <v>6400</v>
      </c>
      <c r="C292" s="17">
        <f t="shared" si="80"/>
        <v>85864.125112166032</v>
      </c>
      <c r="D292" s="41">
        <v>10110057</v>
      </c>
      <c r="E292" s="122" t="str">
        <f>VLOOKUP(D292,'MPG Payment '!$E$3:$G$497305,2,0)</f>
        <v>GOMUKH Tartor 2</v>
      </c>
      <c r="F292" s="146">
        <f>IFERROR(_xlfn.XLOOKUP(D292,'Monthly Deduction'!$I$3:$I$957,'Monthly Deduction'!$H$3:$H$957),0)</f>
        <v>0</v>
      </c>
      <c r="G292" s="123" t="str">
        <f>VLOOKUP(D292,'MPG Payment '!$E$3:$G$333666,3,0)</f>
        <v>MPG</v>
      </c>
      <c r="H292" s="124" t="str">
        <f>VLOOKUP(D292,'MPG Payment '!$E$3:$H$333666,4,0)</f>
        <v>Direct</v>
      </c>
      <c r="I292" s="88">
        <f>INDEX('MPG Payment '!$C:$C,MATCH('Shayak Income '!D292,'MPG Payment '!E:E,0))</f>
        <v>1011</v>
      </c>
      <c r="J292" s="88" t="str">
        <f>INDEX('MPG Payment '!$D:$D,MATCH('Shayak Income '!D292,'MPG Payment '!E:E,0))</f>
        <v>Sahibpur Kamal</v>
      </c>
      <c r="K292" s="125" t="s">
        <v>1594</v>
      </c>
      <c r="L292" s="125">
        <v>45323</v>
      </c>
      <c r="M292" s="126">
        <f>SUMIF('MPG Payment '!$E$3:$E$344841,'Shayak Income '!D292,'MPG Payment '!$I$3:$I$344841)</f>
        <v>975.6</v>
      </c>
      <c r="N292" s="126">
        <f>SUMIF('MPG Payment '!$E$3:$E$344841,'Shayak Income '!D292,'MPG Payment '!$J$3:$J$344841)</f>
        <v>42794.07</v>
      </c>
      <c r="O292" s="126">
        <f t="shared" si="81"/>
        <v>731.7</v>
      </c>
      <c r="P292" s="126">
        <f t="shared" si="82"/>
        <v>926.81999999999994</v>
      </c>
      <c r="Q292" s="126">
        <f>SUMIF('MPG Payment '!$E$3:$E$344841,'Shayak Income '!D292,'MPG Payment '!$S$3:$S$344841)</f>
        <v>0</v>
      </c>
      <c r="R292" s="126">
        <f t="shared" si="73"/>
        <v>1283.8220999999999</v>
      </c>
      <c r="S292" s="126">
        <f t="shared" si="74"/>
        <v>357.00209999999993</v>
      </c>
      <c r="T292" s="126">
        <f t="shared" si="83"/>
        <v>97.56</v>
      </c>
      <c r="U292" s="127">
        <f>((((((IF(K292="New",0,SUMIF('MPG Payment '!$E$3:$E$344841,'Shayak Income '!D292,'MPG Payment '!$AC$3:$AC$344841))))+0)+0)+0)+0)+-39</f>
        <v>1561.0007105560267</v>
      </c>
      <c r="V292" s="127">
        <f t="shared" si="84"/>
        <v>0</v>
      </c>
      <c r="W292" s="19">
        <v>0</v>
      </c>
      <c r="X292" s="19">
        <v>0</v>
      </c>
      <c r="Y292" s="128">
        <v>0</v>
      </c>
      <c r="Z292" s="128">
        <v>0</v>
      </c>
      <c r="AA292" s="126">
        <v>0</v>
      </c>
      <c r="AB292" s="129">
        <f t="shared" si="75"/>
        <v>0</v>
      </c>
      <c r="AC292" s="130">
        <v>0</v>
      </c>
      <c r="AD292" s="35">
        <f t="shared" si="86"/>
        <v>0</v>
      </c>
      <c r="AE292" s="166" t="str">
        <f t="shared" si="87"/>
        <v>Release</v>
      </c>
      <c r="AF292" s="127"/>
      <c r="AG292" s="18">
        <v>0</v>
      </c>
      <c r="AH292" s="132"/>
      <c r="AI292" s="238">
        <v>0</v>
      </c>
      <c r="AJ292" s="132"/>
      <c r="AK292" s="151">
        <v>268.3</v>
      </c>
      <c r="AL292" s="154">
        <f t="shared" si="76"/>
        <v>0</v>
      </c>
      <c r="AM292" s="155"/>
      <c r="AN292" s="19">
        <f t="shared" si="77"/>
        <v>1861</v>
      </c>
      <c r="AO292" s="118">
        <f>SUMIF('MPG Payment '!E:E,'Shayak Income '!D292,'MPG Payment '!AJ:AJ)</f>
        <v>0</v>
      </c>
      <c r="AP292" s="19">
        <f t="shared" si="78"/>
        <v>0</v>
      </c>
      <c r="AQ292" s="119">
        <f t="shared" si="88"/>
        <v>0</v>
      </c>
      <c r="AR292" s="91" t="s">
        <v>1144</v>
      </c>
      <c r="AS292" s="91">
        <f t="shared" si="79"/>
        <v>6400</v>
      </c>
      <c r="AT292" s="118"/>
      <c r="AU292" s="118"/>
      <c r="AV292" s="118"/>
    </row>
    <row r="293" spans="1:48" s="20" customFormat="1" x14ac:dyDescent="0.25">
      <c r="A293" s="17">
        <f>IFERROR(VLOOKUP(D293,'Monthly Deduction'!$I$3:$J$957,2,0),0)</f>
        <v>31250.275291730562</v>
      </c>
      <c r="B293" s="17">
        <f>IFERROR(VLOOKUP(D293,'Monthly Deduction'!$E$3:$F$957,2,0),0)</f>
        <v>6400</v>
      </c>
      <c r="C293" s="17">
        <f t="shared" si="80"/>
        <v>37650.275291730562</v>
      </c>
      <c r="D293" s="41">
        <v>10110065</v>
      </c>
      <c r="E293" s="122" t="str">
        <f>VLOOKUP(D293,'MPG Payment '!$E$3:$G$497305,2,0)</f>
        <v>Gomukh Chaidha</v>
      </c>
      <c r="F293" s="146">
        <f>IFERROR(_xlfn.XLOOKUP(D293,'Monthly Deduction'!$I$3:$I$957,'Monthly Deduction'!$H$3:$H$957),0)</f>
        <v>0</v>
      </c>
      <c r="G293" s="123" t="str">
        <f>VLOOKUP(D293,'MPG Payment '!$E$3:$G$333666,3,0)</f>
        <v>MPG</v>
      </c>
      <c r="H293" s="124" t="str">
        <f>VLOOKUP(D293,'MPG Payment '!$E$3:$H$333666,4,0)</f>
        <v>Direct</v>
      </c>
      <c r="I293" s="88">
        <f>INDEX('MPG Payment '!$C:$C,MATCH('Shayak Income '!D293,'MPG Payment '!E:E,0))</f>
        <v>1011</v>
      </c>
      <c r="J293" s="88" t="str">
        <f>INDEX('MPG Payment '!$D:$D,MATCH('Shayak Income '!D293,'MPG Payment '!E:E,0))</f>
        <v>Sahibpur Kamal</v>
      </c>
      <c r="K293" s="125" t="s">
        <v>1594</v>
      </c>
      <c r="L293" s="125">
        <v>45323</v>
      </c>
      <c r="M293" s="126">
        <f>SUMIF('MPG Payment '!$E$3:$E$344841,'Shayak Income '!D293,'MPG Payment '!$I$3:$I$344841)</f>
        <v>2851.8999999999996</v>
      </c>
      <c r="N293" s="126">
        <f>SUMIF('MPG Payment '!$E$3:$E$344841,'Shayak Income '!D293,'MPG Payment '!$J$3:$J$344841)</f>
        <v>112759.80999999998</v>
      </c>
      <c r="O293" s="126">
        <f t="shared" si="81"/>
        <v>2138.9249999999997</v>
      </c>
      <c r="P293" s="126">
        <f t="shared" si="82"/>
        <v>2709.3049999999994</v>
      </c>
      <c r="Q293" s="126">
        <f>SUMIF('MPG Payment '!$E$3:$E$344841,'Shayak Income '!D293,'MPG Payment '!$S$3:$S$344841)</f>
        <v>408.2600000000001</v>
      </c>
      <c r="R293" s="126">
        <f t="shared" si="73"/>
        <v>3382.7942999999996</v>
      </c>
      <c r="S293" s="126">
        <f t="shared" si="74"/>
        <v>673.48930000000018</v>
      </c>
      <c r="T293" s="126">
        <f t="shared" si="83"/>
        <v>285.19</v>
      </c>
      <c r="U293" s="127">
        <f>((((((IF(K293="New",0,SUMIF('MPG Payment '!$E$3:$E$344841,'Shayak Income '!D293,'MPG Payment '!$AC$3:$AC$344841))))+0)+0)+0)+0)+0</f>
        <v>121.55760903870595</v>
      </c>
      <c r="V293" s="127">
        <f t="shared" si="84"/>
        <v>4850</v>
      </c>
      <c r="W293" s="19">
        <f t="shared" si="85"/>
        <v>2255.1961999999999</v>
      </c>
      <c r="X293" s="19">
        <v>0</v>
      </c>
      <c r="Y293" s="128">
        <f>IFERROR(VLOOKUP(D293,'Monthly Deduction'!$M$2:$N$640,2,0),0)</f>
        <v>0</v>
      </c>
      <c r="Z293" s="128">
        <v>0</v>
      </c>
      <c r="AA293" s="126">
        <f>IFERROR(VLOOKUP(D293,'Monthly Deduction'!A:B,2,0),0)</f>
        <v>0</v>
      </c>
      <c r="AB293" s="129">
        <f t="shared" si="75"/>
        <v>2595</v>
      </c>
      <c r="AC293" s="130">
        <v>0</v>
      </c>
      <c r="AD293" s="35">
        <f t="shared" si="86"/>
        <v>2595</v>
      </c>
      <c r="AE293" s="166" t="str">
        <f t="shared" si="87"/>
        <v>Release</v>
      </c>
      <c r="AF293" s="127"/>
      <c r="AG293" s="18">
        <v>0</v>
      </c>
      <c r="AH293" s="120"/>
      <c r="AI293" s="238">
        <v>0</v>
      </c>
      <c r="AJ293" s="132"/>
      <c r="AK293" s="151">
        <v>510.5</v>
      </c>
      <c r="AL293" s="154">
        <f t="shared" si="76"/>
        <v>0</v>
      </c>
      <c r="AM293" s="155"/>
      <c r="AN293" s="19">
        <f t="shared" si="77"/>
        <v>2255.1961999999999</v>
      </c>
      <c r="AO293" s="118">
        <f>SUMIF('MPG Payment '!E:E,'Shayak Income '!D293,'MPG Payment '!AJ:AJ)</f>
        <v>0</v>
      </c>
      <c r="AP293" s="19">
        <f t="shared" si="78"/>
        <v>2255.1961999999999</v>
      </c>
      <c r="AQ293" s="119">
        <f t="shared" si="88"/>
        <v>2255.1961999999999</v>
      </c>
      <c r="AR293" s="91"/>
      <c r="AS293" s="91">
        <f t="shared" si="79"/>
        <v>6400</v>
      </c>
      <c r="AT293" s="118"/>
      <c r="AU293" s="118"/>
      <c r="AV293" s="118"/>
    </row>
    <row r="294" spans="1:48" s="20" customFormat="1" x14ac:dyDescent="0.25">
      <c r="A294" s="17">
        <f>IFERROR(VLOOKUP(D294,'Monthly Deduction'!$I$3:$J$957,2,0),0)</f>
        <v>42500.504012246223</v>
      </c>
      <c r="B294" s="17">
        <f>IFERROR(VLOOKUP(D294,'Monthly Deduction'!$E$3:$F$957,2,0),0)</f>
        <v>6400</v>
      </c>
      <c r="C294" s="17">
        <f t="shared" si="80"/>
        <v>48900.504012246223</v>
      </c>
      <c r="D294" s="41">
        <v>10110066</v>
      </c>
      <c r="E294" s="122" t="str">
        <f>VLOOKUP(D294,'MPG Payment '!$E$3:$G$497305,2,0)</f>
        <v>Gomukh Bakiya</v>
      </c>
      <c r="F294" s="146">
        <f>IFERROR(_xlfn.XLOOKUP(D294,'Monthly Deduction'!$I$3:$I$957,'Monthly Deduction'!$H$3:$H$957),0)</f>
        <v>0</v>
      </c>
      <c r="G294" s="123" t="str">
        <f>VLOOKUP(D294,'MPG Payment '!$E$3:$G$333666,3,0)</f>
        <v>MPG</v>
      </c>
      <c r="H294" s="124" t="str">
        <f>VLOOKUP(D294,'MPG Payment '!$E$3:$H$333666,4,0)</f>
        <v>Direct</v>
      </c>
      <c r="I294" s="88">
        <f>INDEX('MPG Payment '!$C:$C,MATCH('Shayak Income '!D294,'MPG Payment '!E:E,0))</f>
        <v>1011</v>
      </c>
      <c r="J294" s="88" t="str">
        <f>INDEX('MPG Payment '!$D:$D,MATCH('Shayak Income '!D294,'MPG Payment '!E:E,0))</f>
        <v>Sahibpur Kamal</v>
      </c>
      <c r="K294" s="125" t="s">
        <v>1594</v>
      </c>
      <c r="L294" s="125">
        <v>45323</v>
      </c>
      <c r="M294" s="126">
        <f>SUMIF('MPG Payment '!$E$3:$E$344841,'Shayak Income '!D294,'MPG Payment '!$I$3:$I$344841)</f>
        <v>3343.1</v>
      </c>
      <c r="N294" s="126">
        <f>SUMIF('MPG Payment '!$E$3:$E$344841,'Shayak Income '!D294,'MPG Payment '!$J$3:$J$344841)</f>
        <v>141588.63</v>
      </c>
      <c r="O294" s="126">
        <f t="shared" si="81"/>
        <v>2507.3249999999998</v>
      </c>
      <c r="P294" s="126">
        <f t="shared" si="82"/>
        <v>3175.9449999999997</v>
      </c>
      <c r="Q294" s="126">
        <f>SUMIF('MPG Payment '!$E$3:$E$344841,'Shayak Income '!D294,'MPG Payment '!$S$3:$S$344841)</f>
        <v>835.13</v>
      </c>
      <c r="R294" s="126">
        <f t="shared" si="73"/>
        <v>4247.6589000000004</v>
      </c>
      <c r="S294" s="126">
        <f t="shared" si="74"/>
        <v>1071.7139000000006</v>
      </c>
      <c r="T294" s="126">
        <f t="shared" si="83"/>
        <v>334.31</v>
      </c>
      <c r="U294" s="127">
        <f>((((((IF(K294="New",0,SUMIF('MPG Payment '!$E$3:$E$344841,'Shayak Income '!D294,'MPG Payment '!$AC$3:$AC$344841))))+0)+0)+0)+0)+0</f>
        <v>0</v>
      </c>
      <c r="V294" s="127">
        <f t="shared" si="84"/>
        <v>6184</v>
      </c>
      <c r="W294" s="19">
        <f t="shared" si="85"/>
        <v>2831.7726000000002</v>
      </c>
      <c r="X294" s="19">
        <v>0</v>
      </c>
      <c r="Y294" s="128">
        <f>IFERROR(VLOOKUP(D294,'Monthly Deduction'!$M$2:$N$640,2,0),0)</f>
        <v>0</v>
      </c>
      <c r="Z294" s="128">
        <v>0</v>
      </c>
      <c r="AA294" s="126">
        <f>IFERROR(VLOOKUP(D294,'Monthly Deduction'!A:B,2,0),0)</f>
        <v>0</v>
      </c>
      <c r="AB294" s="129">
        <f t="shared" si="75"/>
        <v>3352</v>
      </c>
      <c r="AC294" s="130">
        <v>0</v>
      </c>
      <c r="AD294" s="35">
        <f t="shared" si="86"/>
        <v>3352</v>
      </c>
      <c r="AE294" s="166" t="str">
        <f t="shared" si="87"/>
        <v>Release</v>
      </c>
      <c r="AF294" s="127"/>
      <c r="AG294" s="18">
        <v>0</v>
      </c>
      <c r="AH294" s="132"/>
      <c r="AI294" s="238">
        <v>0</v>
      </c>
      <c r="AJ294" s="132"/>
      <c r="AK294" s="151">
        <v>558.80000000000007</v>
      </c>
      <c r="AL294" s="154">
        <f t="shared" si="76"/>
        <v>0</v>
      </c>
      <c r="AM294" s="155"/>
      <c r="AN294" s="19">
        <f t="shared" si="77"/>
        <v>2831.7726000000002</v>
      </c>
      <c r="AO294" s="118">
        <f>SUMIF('MPG Payment '!E:E,'Shayak Income '!D294,'MPG Payment '!AJ:AJ)</f>
        <v>0</v>
      </c>
      <c r="AP294" s="19">
        <f t="shared" si="78"/>
        <v>2831.7726000000002</v>
      </c>
      <c r="AQ294" s="119">
        <f t="shared" si="88"/>
        <v>2831.7726000000002</v>
      </c>
      <c r="AR294" s="91"/>
      <c r="AS294" s="91">
        <f t="shared" si="79"/>
        <v>6400</v>
      </c>
      <c r="AT294" s="118"/>
      <c r="AU294" s="118"/>
      <c r="AV294" s="118"/>
    </row>
    <row r="295" spans="1:48" s="20" customFormat="1" x14ac:dyDescent="0.25">
      <c r="A295" s="17">
        <f>IFERROR(VLOOKUP(D295,'Monthly Deduction'!$I$3:$J$957,2,0),0)</f>
        <v>28571.203814253968</v>
      </c>
      <c r="B295" s="17">
        <f>IFERROR(VLOOKUP(D295,'Monthly Deduction'!$E$3:$F$957,2,0),0)</f>
        <v>12800</v>
      </c>
      <c r="C295" s="17">
        <f t="shared" si="80"/>
        <v>41371.203814253968</v>
      </c>
      <c r="D295" s="41">
        <v>10110071</v>
      </c>
      <c r="E295" s="122" t="str">
        <f>VLOOKUP(D295,'MPG Payment '!$E$3:$G$497305,2,0)</f>
        <v>Gomukh Sadpur</v>
      </c>
      <c r="F295" s="146">
        <f>IFERROR(_xlfn.XLOOKUP(D295,'Monthly Deduction'!$I$3:$I$957,'Monthly Deduction'!$H$3:$H$957),0)</f>
        <v>0</v>
      </c>
      <c r="G295" s="123" t="str">
        <f>VLOOKUP(D295,'MPG Payment '!$E$3:$G$333666,3,0)</f>
        <v>MPG</v>
      </c>
      <c r="H295" s="124" t="str">
        <f>VLOOKUP(D295,'MPG Payment '!$E$3:$H$333666,4,0)</f>
        <v>Direct</v>
      </c>
      <c r="I295" s="88">
        <f>INDEX('MPG Payment '!$C:$C,MATCH('Shayak Income '!D295,'MPG Payment '!E:E,0))</f>
        <v>1011</v>
      </c>
      <c r="J295" s="88" t="str">
        <f>INDEX('MPG Payment '!$D:$D,MATCH('Shayak Income '!D295,'MPG Payment '!E:E,0))</f>
        <v>Sahibpur Kamal</v>
      </c>
      <c r="K295" s="125" t="s">
        <v>1594</v>
      </c>
      <c r="L295" s="125">
        <v>44986</v>
      </c>
      <c r="M295" s="126">
        <f>SUMIF('MPG Payment '!$E$3:$E$344841,'Shayak Income '!D295,'MPG Payment '!$I$3:$I$344841)</f>
        <v>801.9</v>
      </c>
      <c r="N295" s="126">
        <f>SUMIF('MPG Payment '!$E$3:$E$344841,'Shayak Income '!D295,'MPG Payment '!$J$3:$J$344841)</f>
        <v>28649.120000000003</v>
      </c>
      <c r="O295" s="126">
        <f t="shared" si="81"/>
        <v>601.42499999999995</v>
      </c>
      <c r="P295" s="126">
        <f t="shared" si="82"/>
        <v>761.80499999999995</v>
      </c>
      <c r="Q295" s="126">
        <f>SUMIF('MPG Payment '!$E$3:$E$344841,'Shayak Income '!D295,'MPG Payment '!$S$3:$S$344841)</f>
        <v>0</v>
      </c>
      <c r="R295" s="126">
        <f t="shared" si="73"/>
        <v>859.47360000000003</v>
      </c>
      <c r="S295" s="126">
        <f t="shared" si="74"/>
        <v>97.668600000000083</v>
      </c>
      <c r="T295" s="126">
        <f t="shared" si="83"/>
        <v>80.19</v>
      </c>
      <c r="U295" s="127">
        <f>((((((IF(K295="New",0,SUMIF('MPG Payment '!$E$3:$E$344841,'Shayak Income '!D295,'MPG Payment '!$AC$3:$AC$344841))))+0)+0)+0)+0)+-141</f>
        <v>1282.8852211381359</v>
      </c>
      <c r="V295" s="127">
        <f t="shared" si="84"/>
        <v>0</v>
      </c>
      <c r="W295" s="19">
        <v>0</v>
      </c>
      <c r="X295" s="19">
        <v>0</v>
      </c>
      <c r="Y295" s="128">
        <v>0</v>
      </c>
      <c r="Z295" s="128">
        <v>0</v>
      </c>
      <c r="AA295" s="126">
        <v>0</v>
      </c>
      <c r="AB295" s="129">
        <f t="shared" si="75"/>
        <v>0</v>
      </c>
      <c r="AC295" s="130">
        <v>0</v>
      </c>
      <c r="AD295" s="35">
        <f t="shared" si="86"/>
        <v>0</v>
      </c>
      <c r="AE295" s="166" t="str">
        <f t="shared" si="87"/>
        <v>Release</v>
      </c>
      <c r="AF295" s="127"/>
      <c r="AG295" s="18">
        <v>0</v>
      </c>
      <c r="AH295" s="120"/>
      <c r="AI295" s="238">
        <v>0</v>
      </c>
      <c r="AJ295" s="132"/>
      <c r="AK295" s="151">
        <v>122.4</v>
      </c>
      <c r="AL295" s="154">
        <f t="shared" si="76"/>
        <v>0</v>
      </c>
      <c r="AM295" s="155"/>
      <c r="AN295" s="19">
        <f t="shared" si="77"/>
        <v>1861</v>
      </c>
      <c r="AO295" s="118">
        <f>SUMIF('MPG Payment '!E:E,'Shayak Income '!D295,'MPG Payment '!AJ:AJ)</f>
        <v>2000</v>
      </c>
      <c r="AP295" s="19">
        <f t="shared" si="78"/>
        <v>0</v>
      </c>
      <c r="AQ295" s="119">
        <f t="shared" si="88"/>
        <v>2000</v>
      </c>
      <c r="AR295" s="91" t="s">
        <v>1144</v>
      </c>
      <c r="AS295" s="91">
        <f t="shared" si="79"/>
        <v>12800</v>
      </c>
      <c r="AT295" s="118"/>
      <c r="AU295" s="118"/>
      <c r="AV295" s="118"/>
    </row>
    <row r="296" spans="1:48" s="20" customFormat="1" x14ac:dyDescent="0.25">
      <c r="A296" s="17">
        <f>IFERROR(VLOOKUP(D296,'Monthly Deduction'!$I$3:$J$957,2,0),0)</f>
        <v>51341.710735626293</v>
      </c>
      <c r="B296" s="17">
        <f>IFERROR(VLOOKUP(D296,'Monthly Deduction'!$E$3:$F$957,2,0),0)</f>
        <v>5197</v>
      </c>
      <c r="C296" s="17">
        <f t="shared" si="80"/>
        <v>56538.710735626293</v>
      </c>
      <c r="D296" s="41">
        <v>10110073</v>
      </c>
      <c r="E296" s="122" t="str">
        <f>VLOOKUP(D296,'MPG Payment '!$E$3:$G$497305,2,0)</f>
        <v>GOMUKH Nista Tol</v>
      </c>
      <c r="F296" s="146">
        <f>IFERROR(_xlfn.XLOOKUP(D296,'Monthly Deduction'!$I$3:$I$957,'Monthly Deduction'!$H$3:$H$957),0)</f>
        <v>0</v>
      </c>
      <c r="G296" s="123" t="str">
        <f>VLOOKUP(D296,'MPG Payment '!$E$3:$G$333666,3,0)</f>
        <v>MPG</v>
      </c>
      <c r="H296" s="124" t="str">
        <f>VLOOKUP(D296,'MPG Payment '!$E$3:$H$333666,4,0)</f>
        <v>Direct</v>
      </c>
      <c r="I296" s="88">
        <f>INDEX('MPG Payment '!$C:$C,MATCH('Shayak Income '!D296,'MPG Payment '!E:E,0))</f>
        <v>1011</v>
      </c>
      <c r="J296" s="88" t="str">
        <f>INDEX('MPG Payment '!$D:$D,MATCH('Shayak Income '!D296,'MPG Payment '!E:E,0))</f>
        <v>Sahibpur Kamal</v>
      </c>
      <c r="K296" s="125" t="s">
        <v>1594</v>
      </c>
      <c r="L296" s="125">
        <v>45323</v>
      </c>
      <c r="M296" s="126">
        <f>SUMIF('MPG Payment '!$E$3:$E$344841,'Shayak Income '!D296,'MPG Payment '!$I$3:$I$344841)</f>
        <v>1013.6999999999998</v>
      </c>
      <c r="N296" s="126">
        <f>SUMIF('MPG Payment '!$E$3:$E$344841,'Shayak Income '!D296,'MPG Payment '!$J$3:$J$344841)</f>
        <v>37531.24</v>
      </c>
      <c r="O296" s="126">
        <f t="shared" si="81"/>
        <v>760.27499999999986</v>
      </c>
      <c r="P296" s="126">
        <f t="shared" si="82"/>
        <v>963.01499999999976</v>
      </c>
      <c r="Q296" s="126">
        <f>SUMIF('MPG Payment '!$E$3:$E$344841,'Shayak Income '!D296,'MPG Payment '!$S$3:$S$344841)</f>
        <v>0</v>
      </c>
      <c r="R296" s="126">
        <f t="shared" si="73"/>
        <v>1125.9371999999998</v>
      </c>
      <c r="S296" s="126">
        <f t="shared" si="74"/>
        <v>162.92220000000009</v>
      </c>
      <c r="T296" s="126">
        <f t="shared" si="83"/>
        <v>101.36999999999999</v>
      </c>
      <c r="U296" s="127">
        <f>((((((IF(K296="New",0,SUMIF('MPG Payment '!$E$3:$E$344841,'Shayak Income '!D296,'MPG Payment '!$AC$3:$AC$344841))))+0)+0)+0)+0)+0</f>
        <v>1321.8539472465832</v>
      </c>
      <c r="V296" s="127">
        <f t="shared" si="84"/>
        <v>300</v>
      </c>
      <c r="W296" s="19">
        <v>0</v>
      </c>
      <c r="X296" s="19">
        <v>300</v>
      </c>
      <c r="Y296" s="128">
        <f>IFERROR(VLOOKUP(D296,'Monthly Deduction'!$M$2:$N$640,2,0),0)</f>
        <v>0</v>
      </c>
      <c r="Z296" s="128">
        <v>0</v>
      </c>
      <c r="AA296" s="126">
        <f>IFERROR(VLOOKUP(D296,'Monthly Deduction'!A:B,2,0),0)</f>
        <v>0</v>
      </c>
      <c r="AB296" s="129">
        <f t="shared" si="75"/>
        <v>0</v>
      </c>
      <c r="AC296" s="130">
        <v>0</v>
      </c>
      <c r="AD296" s="35">
        <f t="shared" si="86"/>
        <v>0</v>
      </c>
      <c r="AE296" s="166" t="str">
        <f t="shared" si="87"/>
        <v>Release</v>
      </c>
      <c r="AF296" s="127"/>
      <c r="AG296" s="18">
        <v>0</v>
      </c>
      <c r="AH296" s="120"/>
      <c r="AI296" s="238">
        <v>0</v>
      </c>
      <c r="AJ296" s="132"/>
      <c r="AK296" s="151">
        <v>142.5</v>
      </c>
      <c r="AL296" s="154">
        <f t="shared" si="76"/>
        <v>0</v>
      </c>
      <c r="AM296" s="155"/>
      <c r="AN296" s="19">
        <f t="shared" si="77"/>
        <v>1861</v>
      </c>
      <c r="AO296" s="118">
        <f>SUMIF('MPG Payment '!E:E,'Shayak Income '!D296,'MPG Payment '!AJ:AJ)</f>
        <v>2000</v>
      </c>
      <c r="AP296" s="19">
        <f t="shared" si="78"/>
        <v>0</v>
      </c>
      <c r="AQ296" s="119">
        <f t="shared" si="88"/>
        <v>2000</v>
      </c>
      <c r="AR296" s="91" t="s">
        <v>1144</v>
      </c>
      <c r="AS296" s="91">
        <f t="shared" si="79"/>
        <v>4897</v>
      </c>
      <c r="AT296" s="118"/>
      <c r="AU296" s="118"/>
      <c r="AV296" s="118"/>
    </row>
    <row r="297" spans="1:48" s="20" customFormat="1" x14ac:dyDescent="0.25">
      <c r="A297" s="17">
        <f>IFERROR(VLOOKUP(D297,'Monthly Deduction'!$I$3:$J$957,2,0),0)</f>
        <v>0</v>
      </c>
      <c r="B297" s="17">
        <f>IFERROR(VLOOKUP(D297,'Monthly Deduction'!$E$3:$F$957,2,0),0)</f>
        <v>0</v>
      </c>
      <c r="C297" s="17">
        <f t="shared" si="80"/>
        <v>0</v>
      </c>
      <c r="D297" s="41">
        <v>10110076</v>
      </c>
      <c r="E297" s="122" t="str">
        <f>VLOOKUP(D297,'MPG Payment '!$E$3:$G$497305,2,0)</f>
        <v>GOMUKH SRINAGAR</v>
      </c>
      <c r="F297" s="146">
        <f>IFERROR(_xlfn.XLOOKUP(D297,'Monthly Deduction'!$I$3:$I$957,'Monthly Deduction'!$H$3:$H$957),0)</f>
        <v>0</v>
      </c>
      <c r="G297" s="123" t="str">
        <f>VLOOKUP(D297,'MPG Payment '!$E$3:$G$333666,3,0)</f>
        <v>MPG</v>
      </c>
      <c r="H297" s="124" t="str">
        <f>VLOOKUP(D297,'MPG Payment '!$E$3:$H$333666,4,0)</f>
        <v>Direct</v>
      </c>
      <c r="I297" s="88">
        <f>INDEX('MPG Payment '!$C:$C,MATCH('Shayak Income '!D297,'MPG Payment '!E:E,0))</f>
        <v>1011</v>
      </c>
      <c r="J297" s="88" t="str">
        <f>INDEX('MPG Payment '!$D:$D,MATCH('Shayak Income '!D297,'MPG Payment '!E:E,0))</f>
        <v>Sahibpur Kamal</v>
      </c>
      <c r="K297" s="125" t="s">
        <v>1594</v>
      </c>
      <c r="L297" s="125">
        <v>45429</v>
      </c>
      <c r="M297" s="126">
        <f>SUMIF('MPG Payment '!$E$3:$E$344841,'Shayak Income '!D297,'MPG Payment '!$I$3:$I$344841)</f>
        <v>8458.2000000000007</v>
      </c>
      <c r="N297" s="126">
        <f>SUMIF('MPG Payment '!$E$3:$E$344841,'Shayak Income '!D297,'MPG Payment '!$J$3:$J$344841)</f>
        <v>358779.41</v>
      </c>
      <c r="O297" s="126">
        <f t="shared" si="81"/>
        <v>6343.6500000000005</v>
      </c>
      <c r="P297" s="126">
        <f t="shared" si="82"/>
        <v>8035.29</v>
      </c>
      <c r="Q297" s="126">
        <f>SUMIF('MPG Payment '!$E$3:$E$344841,'Shayak Income '!D297,'MPG Payment '!$S$3:$S$344841)</f>
        <v>1096.92</v>
      </c>
      <c r="R297" s="126">
        <f t="shared" si="73"/>
        <v>10763.382299999999</v>
      </c>
      <c r="S297" s="126">
        <f t="shared" si="74"/>
        <v>2728.0922999999993</v>
      </c>
      <c r="T297" s="126">
        <f t="shared" si="83"/>
        <v>845.82000000000016</v>
      </c>
      <c r="U297" s="127">
        <f>((((((IF(K297="New",0,SUMIF('MPG Payment '!$E$3:$E$344841,'Shayak Income '!D297,'MPG Payment '!$AC$3:$AC$344841))))+0)+0)+0)+0)+0</f>
        <v>0</v>
      </c>
      <c r="V297" s="127">
        <f t="shared" si="84"/>
        <v>14630</v>
      </c>
      <c r="W297" s="19">
        <f t="shared" si="85"/>
        <v>0</v>
      </c>
      <c r="X297" s="19">
        <f t="shared" si="89"/>
        <v>0</v>
      </c>
      <c r="Y297" s="128">
        <f>IFERROR(VLOOKUP(D297,'Monthly Deduction'!$M$2:$N$640,2,0),0)</f>
        <v>0</v>
      </c>
      <c r="Z297" s="128">
        <v>0</v>
      </c>
      <c r="AA297" s="126">
        <f>IFERROR(VLOOKUP(D297,'Monthly Deduction'!A:B,2,0),0)</f>
        <v>0</v>
      </c>
      <c r="AB297" s="129">
        <f t="shared" si="75"/>
        <v>14630</v>
      </c>
      <c r="AC297" s="130">
        <v>0</v>
      </c>
      <c r="AD297" s="35">
        <f t="shared" si="86"/>
        <v>14630</v>
      </c>
      <c r="AE297" s="166" t="str">
        <f t="shared" si="87"/>
        <v>Release</v>
      </c>
      <c r="AF297" s="127"/>
      <c r="AG297" s="127">
        <v>0</v>
      </c>
      <c r="AH297" s="120"/>
      <c r="AI297" s="238">
        <v>0</v>
      </c>
      <c r="AJ297" s="132"/>
      <c r="AK297" s="151">
        <v>2001.9</v>
      </c>
      <c r="AL297" s="154">
        <f t="shared" si="76"/>
        <v>0</v>
      </c>
      <c r="AM297" s="155"/>
      <c r="AN297" s="19">
        <f t="shared" si="77"/>
        <v>0</v>
      </c>
      <c r="AO297" s="118">
        <f>SUMIF('MPG Payment '!E:E,'Shayak Income '!D297,'MPG Payment '!AJ:AJ)</f>
        <v>0</v>
      </c>
      <c r="AP297" s="19">
        <f t="shared" si="78"/>
        <v>0</v>
      </c>
      <c r="AQ297" s="119">
        <f t="shared" si="88"/>
        <v>0</v>
      </c>
      <c r="AR297" s="91"/>
      <c r="AS297" s="91">
        <f t="shared" si="79"/>
        <v>0</v>
      </c>
      <c r="AT297" s="118"/>
      <c r="AU297" s="118"/>
      <c r="AV297" s="118"/>
    </row>
    <row r="298" spans="1:48" s="20" customFormat="1" x14ac:dyDescent="0.25">
      <c r="A298" s="17">
        <f>IFERROR(VLOOKUP(D298,'Monthly Deduction'!$I$3:$J$957,2,0),0)</f>
        <v>0</v>
      </c>
      <c r="B298" s="17">
        <f>IFERROR(VLOOKUP(D298,'Monthly Deduction'!$E$3:$F$957,2,0),0)</f>
        <v>13072.128265076841</v>
      </c>
      <c r="C298" s="17">
        <f t="shared" si="80"/>
        <v>13072.128265076841</v>
      </c>
      <c r="D298" s="41">
        <v>10110078</v>
      </c>
      <c r="E298" s="122" t="str">
        <f>VLOOKUP(D298,'MPG Payment '!$E$3:$G$497305,2,0)</f>
        <v>GOMUKH THATHA</v>
      </c>
      <c r="F298" s="146">
        <f>IFERROR(_xlfn.XLOOKUP(D298,'Monthly Deduction'!$I$3:$I$957,'Monthly Deduction'!$H$3:$H$957),0)</f>
        <v>0</v>
      </c>
      <c r="G298" s="123" t="str">
        <f>VLOOKUP(D298,'MPG Payment '!$E$3:$G$333666,3,0)</f>
        <v>MPG</v>
      </c>
      <c r="H298" s="124" t="str">
        <f>VLOOKUP(D298,'MPG Payment '!$E$3:$H$333666,4,0)</f>
        <v>Direct</v>
      </c>
      <c r="I298" s="88">
        <f>INDEX('MPG Payment '!$C:$C,MATCH('Shayak Income '!D298,'MPG Payment '!E:E,0))</f>
        <v>1011</v>
      </c>
      <c r="J298" s="88" t="str">
        <f>INDEX('MPG Payment '!$D:$D,MATCH('Shayak Income '!D298,'MPG Payment '!E:E,0))</f>
        <v>Sahibpur Kamal</v>
      </c>
      <c r="K298" s="125" t="s">
        <v>1594</v>
      </c>
      <c r="L298" s="125">
        <v>45429</v>
      </c>
      <c r="M298" s="126">
        <f>SUMIF('MPG Payment '!$E$3:$E$344841,'Shayak Income '!D298,'MPG Payment '!$I$3:$I$344841)</f>
        <v>993.7</v>
      </c>
      <c r="N298" s="126">
        <f>SUMIF('MPG Payment '!$E$3:$E$344841,'Shayak Income '!D298,'MPG Payment '!$J$3:$J$344841)</f>
        <v>37185.89</v>
      </c>
      <c r="O298" s="126">
        <f t="shared" si="81"/>
        <v>745.27500000000009</v>
      </c>
      <c r="P298" s="126">
        <f t="shared" si="82"/>
        <v>944.01499999999999</v>
      </c>
      <c r="Q298" s="126">
        <f>SUMIF('MPG Payment '!$E$3:$E$344841,'Shayak Income '!D298,'MPG Payment '!$S$3:$S$344841)</f>
        <v>0</v>
      </c>
      <c r="R298" s="126">
        <f t="shared" si="73"/>
        <v>1115.5766999999998</v>
      </c>
      <c r="S298" s="126">
        <f t="shared" si="74"/>
        <v>171.56169999999986</v>
      </c>
      <c r="T298" s="126">
        <f t="shared" si="83"/>
        <v>99.37</v>
      </c>
      <c r="U298" s="127">
        <f>((((((IF(K298="New",0,SUMIF('MPG Payment '!$E$3:$E$344841,'Shayak Income '!D298,'MPG Payment '!$AC$3:$AC$344841))))+0)+0)+0)+0)+0</f>
        <v>1349.5590685034065</v>
      </c>
      <c r="V298" s="127">
        <f t="shared" si="84"/>
        <v>240</v>
      </c>
      <c r="W298" s="19">
        <f t="shared" si="85"/>
        <v>0</v>
      </c>
      <c r="X298" s="19">
        <v>240</v>
      </c>
      <c r="Y298" s="128">
        <f>IFERROR(VLOOKUP(D298,'Monthly Deduction'!$M$2:$N$640,2,0),0)</f>
        <v>0</v>
      </c>
      <c r="Z298" s="128">
        <v>0</v>
      </c>
      <c r="AA298" s="126">
        <f>IFERROR(VLOOKUP(D298,'Monthly Deduction'!A:B,2,0),0)</f>
        <v>0</v>
      </c>
      <c r="AB298" s="129">
        <f t="shared" si="75"/>
        <v>0</v>
      </c>
      <c r="AC298" s="130">
        <v>0</v>
      </c>
      <c r="AD298" s="35">
        <f t="shared" si="86"/>
        <v>0</v>
      </c>
      <c r="AE298" s="166" t="str">
        <f t="shared" si="87"/>
        <v>Release</v>
      </c>
      <c r="AF298" s="127"/>
      <c r="AG298" s="18">
        <v>0</v>
      </c>
      <c r="AH298" s="132"/>
      <c r="AI298" s="238">
        <v>0</v>
      </c>
      <c r="AJ298" s="132"/>
      <c r="AK298" s="151">
        <v>253</v>
      </c>
      <c r="AL298" s="154">
        <f t="shared" si="76"/>
        <v>0</v>
      </c>
      <c r="AM298" s="155"/>
      <c r="AN298" s="19">
        <f t="shared" si="77"/>
        <v>0</v>
      </c>
      <c r="AO298" s="118">
        <f>SUMIF('MPG Payment '!E:E,'Shayak Income '!D298,'MPG Payment '!AJ:AJ)</f>
        <v>0</v>
      </c>
      <c r="AP298" s="19">
        <f t="shared" si="78"/>
        <v>0</v>
      </c>
      <c r="AQ298" s="119">
        <f t="shared" si="88"/>
        <v>0</v>
      </c>
      <c r="AR298" s="91"/>
      <c r="AS298" s="91">
        <f t="shared" si="79"/>
        <v>12832.128265076841</v>
      </c>
      <c r="AT298" s="118"/>
      <c r="AU298" s="118"/>
      <c r="AV298" s="118"/>
    </row>
    <row r="299" spans="1:48" s="20" customFormat="1" x14ac:dyDescent="0.25">
      <c r="A299" s="17">
        <f>IFERROR(VLOOKUP(D299,'Monthly Deduction'!$I$3:$J$957,2,0),0)</f>
        <v>71224.801023811888</v>
      </c>
      <c r="B299" s="17">
        <f>IFERROR(VLOOKUP(D299,'Monthly Deduction'!$E$3:$F$957,2,0),0)</f>
        <v>6400</v>
      </c>
      <c r="C299" s="17">
        <f t="shared" si="80"/>
        <v>77624.801023811888</v>
      </c>
      <c r="D299" s="41">
        <v>10110083</v>
      </c>
      <c r="E299" s="122" t="str">
        <f>VLOOKUP(D299,'MPG Payment '!$E$3:$G$497305,2,0)</f>
        <v>GOMUKH SANHA NAYATOLA</v>
      </c>
      <c r="F299" s="146">
        <f>IFERROR(_xlfn.XLOOKUP(D299,'Monthly Deduction'!$I$3:$I$957,'Monthly Deduction'!$H$3:$H$957),0)</f>
        <v>0</v>
      </c>
      <c r="G299" s="123" t="str">
        <f>VLOOKUP(D299,'MPG Payment '!$E$3:$G$333666,3,0)</f>
        <v>MPG</v>
      </c>
      <c r="H299" s="124" t="str">
        <f>VLOOKUP(D299,'MPG Payment '!$E$3:$H$333666,4,0)</f>
        <v>Direct</v>
      </c>
      <c r="I299" s="88">
        <f>INDEX('MPG Payment '!$C:$C,MATCH('Shayak Income '!D299,'MPG Payment '!E:E,0))</f>
        <v>1011</v>
      </c>
      <c r="J299" s="88" t="str">
        <f>INDEX('MPG Payment '!$D:$D,MATCH('Shayak Income '!D299,'MPG Payment '!E:E,0))</f>
        <v>Sahibpur Kamal</v>
      </c>
      <c r="K299" s="125" t="s">
        <v>1594</v>
      </c>
      <c r="L299" s="125">
        <v>45477</v>
      </c>
      <c r="M299" s="126">
        <f>SUMIF('MPG Payment '!$E$3:$E$344841,'Shayak Income '!D299,'MPG Payment '!$I$3:$I$344841)</f>
        <v>941.6</v>
      </c>
      <c r="N299" s="126">
        <f>SUMIF('MPG Payment '!$E$3:$E$344841,'Shayak Income '!D299,'MPG Payment '!$J$3:$J$344841)</f>
        <v>37189.75</v>
      </c>
      <c r="O299" s="126">
        <f t="shared" si="81"/>
        <v>706.2</v>
      </c>
      <c r="P299" s="126">
        <f t="shared" si="82"/>
        <v>894.52</v>
      </c>
      <c r="Q299" s="126">
        <f>SUMIF('MPG Payment '!$E$3:$E$344841,'Shayak Income '!D299,'MPG Payment '!$S$3:$S$344841)</f>
        <v>0</v>
      </c>
      <c r="R299" s="126">
        <f t="shared" si="73"/>
        <v>1115.6924999999999</v>
      </c>
      <c r="S299" s="126">
        <f t="shared" si="74"/>
        <v>221.1724999999999</v>
      </c>
      <c r="T299" s="126">
        <f t="shared" si="83"/>
        <v>94.160000000000011</v>
      </c>
      <c r="U299" s="127">
        <f>((((((IF(K299="New",0,SUMIF('MPG Payment '!$E$3:$E$344841,'Shayak Income '!D299,'MPG Payment '!$AC$3:$AC$344841))))+0)+0)+0)+0)+0</f>
        <v>1467.7038793326899</v>
      </c>
      <c r="V299" s="127">
        <f t="shared" si="84"/>
        <v>39</v>
      </c>
      <c r="W299" s="19">
        <v>39</v>
      </c>
      <c r="X299" s="19">
        <v>0</v>
      </c>
      <c r="Y299" s="128">
        <f>IFERROR(VLOOKUP(D299,'Monthly Deduction'!$M$2:$N$640,2,0),0)</f>
        <v>0</v>
      </c>
      <c r="Z299" s="128">
        <v>0</v>
      </c>
      <c r="AA299" s="126">
        <f>IFERROR(VLOOKUP(D299,'Monthly Deduction'!A:B,2,0),0)</f>
        <v>0</v>
      </c>
      <c r="AB299" s="129">
        <f t="shared" si="75"/>
        <v>0</v>
      </c>
      <c r="AC299" s="130">
        <v>0</v>
      </c>
      <c r="AD299" s="35">
        <f t="shared" si="86"/>
        <v>0</v>
      </c>
      <c r="AE299" s="166" t="str">
        <f t="shared" si="87"/>
        <v>Release</v>
      </c>
      <c r="AF299" s="127"/>
      <c r="AG299" s="18">
        <v>0</v>
      </c>
      <c r="AH299" s="132"/>
      <c r="AI299" s="238">
        <v>0</v>
      </c>
      <c r="AJ299" s="132"/>
      <c r="AK299" s="151">
        <v>180.6</v>
      </c>
      <c r="AL299" s="154">
        <f t="shared" si="76"/>
        <v>0</v>
      </c>
      <c r="AM299" s="155"/>
      <c r="AN299" s="19">
        <f t="shared" si="77"/>
        <v>1861</v>
      </c>
      <c r="AO299" s="118">
        <f>SUMIF('MPG Payment '!E:E,'Shayak Income '!D299,'MPG Payment '!AJ:AJ)</f>
        <v>0</v>
      </c>
      <c r="AP299" s="19">
        <f t="shared" si="78"/>
        <v>39</v>
      </c>
      <c r="AQ299" s="119">
        <f t="shared" si="88"/>
        <v>39</v>
      </c>
      <c r="AR299" s="91"/>
      <c r="AS299" s="91">
        <f t="shared" si="79"/>
        <v>6400</v>
      </c>
      <c r="AT299" s="118"/>
      <c r="AU299" s="118"/>
      <c r="AV299" s="118"/>
    </row>
    <row r="300" spans="1:48" s="20" customFormat="1" x14ac:dyDescent="0.25">
      <c r="A300" s="17">
        <f>IFERROR(VLOOKUP(D300,'Monthly Deduction'!$I$3:$J$957,2,0),0)</f>
        <v>51637.948226605455</v>
      </c>
      <c r="B300" s="17">
        <f>IFERROR(VLOOKUP(D300,'Monthly Deduction'!$E$3:$F$957,2,0),0)</f>
        <v>6400</v>
      </c>
      <c r="C300" s="17">
        <f t="shared" si="80"/>
        <v>58037.948226605455</v>
      </c>
      <c r="D300" s="41">
        <v>10110086</v>
      </c>
      <c r="E300" s="122" t="str">
        <f>VLOOKUP(D300,'MPG Payment '!$E$3:$G$497305,2,0)</f>
        <v>Gomukh Durgapur</v>
      </c>
      <c r="F300" s="146">
        <f>IFERROR(_xlfn.XLOOKUP(D300,'Monthly Deduction'!$I$3:$I$957,'Monthly Deduction'!$H$3:$H$957),0)</f>
        <v>0</v>
      </c>
      <c r="G300" s="123" t="str">
        <f>VLOOKUP(D300,'MPG Payment '!$E$3:$G$333666,3,0)</f>
        <v>MPG</v>
      </c>
      <c r="H300" s="124" t="str">
        <f>VLOOKUP(D300,'MPG Payment '!$E$3:$H$333666,4,0)</f>
        <v>Direct</v>
      </c>
      <c r="I300" s="88">
        <f>INDEX('MPG Payment '!$C:$C,MATCH('Shayak Income '!D300,'MPG Payment '!E:E,0))</f>
        <v>1011</v>
      </c>
      <c r="J300" s="88" t="str">
        <f>INDEX('MPG Payment '!$D:$D,MATCH('Shayak Income '!D300,'MPG Payment '!E:E,0))</f>
        <v>Sahibpur Kamal</v>
      </c>
      <c r="K300" s="125" t="s">
        <v>1594</v>
      </c>
      <c r="L300" s="125">
        <v>45523</v>
      </c>
      <c r="M300" s="126">
        <f>SUMIF('MPG Payment '!$E$3:$E$344841,'Shayak Income '!D300,'MPG Payment '!$I$3:$I$344841)</f>
        <v>1626.6000000000001</v>
      </c>
      <c r="N300" s="126">
        <f>SUMIF('MPG Payment '!$E$3:$E$344841,'Shayak Income '!D300,'MPG Payment '!$J$3:$J$344841)</f>
        <v>67611</v>
      </c>
      <c r="O300" s="126">
        <f t="shared" si="81"/>
        <v>1219.95</v>
      </c>
      <c r="P300" s="126">
        <f t="shared" si="82"/>
        <v>1545.27</v>
      </c>
      <c r="Q300" s="126">
        <f>SUMIF('MPG Payment '!$E$3:$E$344841,'Shayak Income '!D300,'MPG Payment '!$S$3:$S$344841)</f>
        <v>417.87</v>
      </c>
      <c r="R300" s="126">
        <f t="shared" si="73"/>
        <v>2028.33</v>
      </c>
      <c r="S300" s="126">
        <f t="shared" si="74"/>
        <v>483.05999999999995</v>
      </c>
      <c r="T300" s="126">
        <f t="shared" si="83"/>
        <v>162.66000000000003</v>
      </c>
      <c r="U300" s="127">
        <f>((((((IF(K300="New",0,SUMIF('MPG Payment '!$E$3:$E$344841,'Shayak Income '!D300,'MPG Payment '!$AC$3:$AC$344841))))+0)+0)+0)+0)+0</f>
        <v>962.02620952019367</v>
      </c>
      <c r="V300" s="127">
        <f t="shared" si="84"/>
        <v>2058</v>
      </c>
      <c r="W300" s="19">
        <f t="shared" si="85"/>
        <v>1861</v>
      </c>
      <c r="X300" s="19">
        <v>0</v>
      </c>
      <c r="Y300" s="128">
        <f>IFERROR(VLOOKUP(D300,'Monthly Deduction'!$M$2:$N$640,2,0),0)</f>
        <v>0</v>
      </c>
      <c r="Z300" s="128">
        <v>0</v>
      </c>
      <c r="AA300" s="126">
        <f>IFERROR(VLOOKUP(D300,'Monthly Deduction'!A:B,2,0),0)</f>
        <v>0</v>
      </c>
      <c r="AB300" s="129">
        <f t="shared" si="75"/>
        <v>197</v>
      </c>
      <c r="AC300" s="130">
        <v>0</v>
      </c>
      <c r="AD300" s="35">
        <f t="shared" si="86"/>
        <v>197</v>
      </c>
      <c r="AE300" s="166" t="str">
        <f t="shared" si="87"/>
        <v>Release</v>
      </c>
      <c r="AF300" s="127"/>
      <c r="AG300" s="18">
        <v>0</v>
      </c>
      <c r="AH300" s="120"/>
      <c r="AI300" s="238">
        <v>0</v>
      </c>
      <c r="AJ300" s="132"/>
      <c r="AK300" s="151">
        <v>218.4</v>
      </c>
      <c r="AL300" s="154">
        <f t="shared" si="76"/>
        <v>0</v>
      </c>
      <c r="AM300" s="155"/>
      <c r="AN300" s="19">
        <f t="shared" si="77"/>
        <v>1861</v>
      </c>
      <c r="AO300" s="118">
        <f>SUMIF('MPG Payment '!E:E,'Shayak Income '!D300,'MPG Payment '!AJ:AJ)</f>
        <v>0</v>
      </c>
      <c r="AP300" s="19">
        <f t="shared" si="78"/>
        <v>1861</v>
      </c>
      <c r="AQ300" s="119">
        <f t="shared" si="88"/>
        <v>1861</v>
      </c>
      <c r="AR300" s="91" t="s">
        <v>1144</v>
      </c>
      <c r="AS300" s="91">
        <f t="shared" si="79"/>
        <v>6400</v>
      </c>
      <c r="AT300" s="118"/>
      <c r="AU300" s="118"/>
      <c r="AV300" s="118"/>
    </row>
    <row r="301" spans="1:48" s="20" customFormat="1" x14ac:dyDescent="0.25">
      <c r="A301" s="17">
        <f>IFERROR(VLOOKUP(D301,'Monthly Deduction'!$I$3:$J$957,2,0),0)</f>
        <v>58752.494871608957</v>
      </c>
      <c r="B301" s="17">
        <f>IFERROR(VLOOKUP(D301,'Monthly Deduction'!$E$3:$F$957,2,0),0)</f>
        <v>4576.2305999999999</v>
      </c>
      <c r="C301" s="17">
        <f t="shared" si="80"/>
        <v>63328.725471608959</v>
      </c>
      <c r="D301" s="41">
        <v>10110093</v>
      </c>
      <c r="E301" s="122" t="str">
        <f>VLOOKUP(D301,'MPG Payment '!$E$3:$G$497305,2,0)</f>
        <v>Gomukh Koniya</v>
      </c>
      <c r="F301" s="146">
        <f>IFERROR(_xlfn.XLOOKUP(D301,'Monthly Deduction'!$I$3:$I$957,'Monthly Deduction'!$H$3:$H$957),0)</f>
        <v>0</v>
      </c>
      <c r="G301" s="123" t="str">
        <f>VLOOKUP(D301,'MPG Payment '!$E$3:$G$333666,3,0)</f>
        <v>MPG</v>
      </c>
      <c r="H301" s="124" t="str">
        <f>VLOOKUP(D301,'MPG Payment '!$E$3:$H$333666,4,0)</f>
        <v>Direct</v>
      </c>
      <c r="I301" s="88">
        <f>INDEX('MPG Payment '!$C:$C,MATCH('Shayak Income '!D301,'MPG Payment '!E:E,0))</f>
        <v>1054</v>
      </c>
      <c r="J301" s="88" t="str">
        <f>INDEX('MPG Payment '!$D:$D,MATCH('Shayak Income '!D301,'MPG Payment '!E:E,0))</f>
        <v xml:space="preserve">Alauli </v>
      </c>
      <c r="K301" s="125" t="s">
        <v>1594</v>
      </c>
      <c r="L301" s="125">
        <v>45629</v>
      </c>
      <c r="M301" s="126">
        <f>SUMIF('MPG Payment '!$E$3:$E$344841,'Shayak Income '!D301,'MPG Payment '!$I$3:$I$344841)</f>
        <v>1835.6999999999998</v>
      </c>
      <c r="N301" s="126">
        <f>SUMIF('MPG Payment '!$E$3:$E$344841,'Shayak Income '!D301,'MPG Payment '!$J$3:$J$344841)</f>
        <v>72521.680000000008</v>
      </c>
      <c r="O301" s="126">
        <f t="shared" si="81"/>
        <v>1376.7749999999999</v>
      </c>
      <c r="P301" s="126">
        <f t="shared" si="82"/>
        <v>1743.9149999999997</v>
      </c>
      <c r="Q301" s="126">
        <f>SUMIF('MPG Payment '!$E$3:$E$344841,'Shayak Income '!D301,'MPG Payment '!$S$3:$S$344841)</f>
        <v>1938.5700000000002</v>
      </c>
      <c r="R301" s="126">
        <f t="shared" si="73"/>
        <v>2175.6504</v>
      </c>
      <c r="S301" s="126">
        <f t="shared" si="74"/>
        <v>431.73540000000025</v>
      </c>
      <c r="T301" s="126">
        <f t="shared" si="83"/>
        <v>183.57</v>
      </c>
      <c r="U301" s="127">
        <f>((((((IF(K301="New",0,SUMIF('MPG Payment '!$E$3:$E$344841,'Shayak Income '!D301,'MPG Payment '!$AC$3:$AC$344841))))+0)+0)+0)+0)+0</f>
        <v>761.21337025278081</v>
      </c>
      <c r="V301" s="127">
        <f t="shared" si="84"/>
        <v>4114</v>
      </c>
      <c r="W301" s="19">
        <f t="shared" si="85"/>
        <v>1861</v>
      </c>
      <c r="X301" s="19">
        <v>0</v>
      </c>
      <c r="Y301" s="128">
        <f>IFERROR(VLOOKUP(D301,'Monthly Deduction'!$M$2:$N$640,2,0),0)</f>
        <v>0</v>
      </c>
      <c r="Z301" s="128">
        <v>0</v>
      </c>
      <c r="AA301" s="126">
        <f>IFERROR(VLOOKUP(D301,'Monthly Deduction'!A:B,2,0),0)</f>
        <v>0</v>
      </c>
      <c r="AB301" s="129">
        <f t="shared" si="75"/>
        <v>2253</v>
      </c>
      <c r="AC301" s="130">
        <f>AB301</f>
        <v>2253</v>
      </c>
      <c r="AD301" s="35">
        <f t="shared" si="86"/>
        <v>0</v>
      </c>
      <c r="AE301" s="166" t="str">
        <f t="shared" si="87"/>
        <v>Yes</v>
      </c>
      <c r="AF301" s="127"/>
      <c r="AG301" s="18">
        <v>0</v>
      </c>
      <c r="AH301" s="120" t="s">
        <v>1683</v>
      </c>
      <c r="AI301" s="238">
        <v>0</v>
      </c>
      <c r="AJ301" s="132"/>
      <c r="AK301" s="151">
        <v>335.7</v>
      </c>
      <c r="AL301" s="154">
        <f t="shared" si="76"/>
        <v>0</v>
      </c>
      <c r="AM301" s="155"/>
      <c r="AN301" s="19">
        <f t="shared" si="77"/>
        <v>1861</v>
      </c>
      <c r="AO301" s="118">
        <f>SUMIF('MPG Payment '!E:E,'Shayak Income '!D301,'MPG Payment '!AJ:AJ)</f>
        <v>0</v>
      </c>
      <c r="AP301" s="19">
        <f t="shared" si="78"/>
        <v>1861</v>
      </c>
      <c r="AQ301" s="119">
        <f t="shared" si="88"/>
        <v>1861</v>
      </c>
      <c r="AR301" s="91" t="s">
        <v>1144</v>
      </c>
      <c r="AS301" s="91">
        <f t="shared" si="79"/>
        <v>4576.2305999999999</v>
      </c>
      <c r="AT301" s="118"/>
      <c r="AU301" s="118"/>
      <c r="AV301" s="118"/>
    </row>
    <row r="302" spans="1:48" s="20" customFormat="1" x14ac:dyDescent="0.25">
      <c r="A302" s="17">
        <f>IFERROR(VLOOKUP(D302,'Monthly Deduction'!$I$3:$J$957,2,0),0)</f>
        <v>47180.409223911847</v>
      </c>
      <c r="B302" s="17">
        <f>IFERROR(VLOOKUP(D302,'Monthly Deduction'!$E$3:$F$957,2,0),0)</f>
        <v>12800</v>
      </c>
      <c r="C302" s="17">
        <f t="shared" si="80"/>
        <v>59980.409223911847</v>
      </c>
      <c r="D302" s="41">
        <v>10110094</v>
      </c>
      <c r="E302" s="122" t="str">
        <f>VLOOKUP(D302,'MPG Payment '!$E$3:$G$497305,2,0)</f>
        <v>GOMUKH ROHUA</v>
      </c>
      <c r="F302" s="146">
        <f>IFERROR(_xlfn.XLOOKUP(D302,'Monthly Deduction'!$I$3:$I$957,'Monthly Deduction'!$H$3:$H$957),0)</f>
        <v>0</v>
      </c>
      <c r="G302" s="123" t="str">
        <f>VLOOKUP(D302,'MPG Payment '!$E$3:$G$333666,3,0)</f>
        <v>MPG</v>
      </c>
      <c r="H302" s="124" t="str">
        <f>VLOOKUP(D302,'MPG Payment '!$E$3:$H$333666,4,0)</f>
        <v>Direct</v>
      </c>
      <c r="I302" s="88">
        <f>INDEX('MPG Payment '!$C:$C,MATCH('Shayak Income '!D302,'MPG Payment '!E:E,0))</f>
        <v>1011</v>
      </c>
      <c r="J302" s="88" t="str">
        <f>INDEX('MPG Payment '!$D:$D,MATCH('Shayak Income '!D302,'MPG Payment '!E:E,0))</f>
        <v>Sahibpur Kamal</v>
      </c>
      <c r="K302" s="125" t="s">
        <v>1594</v>
      </c>
      <c r="L302" s="125">
        <v>45631</v>
      </c>
      <c r="M302" s="126">
        <f>SUMIF('MPG Payment '!$E$3:$E$344841,'Shayak Income '!D302,'MPG Payment '!$I$3:$I$344841)</f>
        <v>1611.3999999999999</v>
      </c>
      <c r="N302" s="126">
        <f>SUMIF('MPG Payment '!$E$3:$E$344841,'Shayak Income '!D302,'MPG Payment '!$J$3:$J$344841)</f>
        <v>63974.639999999992</v>
      </c>
      <c r="O302" s="126">
        <f t="shared" si="81"/>
        <v>1208.55</v>
      </c>
      <c r="P302" s="126">
        <f t="shared" si="82"/>
        <v>1530.8299999999997</v>
      </c>
      <c r="Q302" s="126">
        <f>SUMIF('MPG Payment '!$E$3:$E$344841,'Shayak Income '!D302,'MPG Payment '!$S$3:$S$344841)</f>
        <v>956.90000000000009</v>
      </c>
      <c r="R302" s="126">
        <f t="shared" si="73"/>
        <v>1919.2391999999998</v>
      </c>
      <c r="S302" s="126">
        <f t="shared" si="74"/>
        <v>388.40920000000006</v>
      </c>
      <c r="T302" s="126">
        <f t="shared" si="83"/>
        <v>161.13999999999999</v>
      </c>
      <c r="U302" s="127">
        <f>((((((IF(K302="New",0,SUMIF('MPG Payment '!$E$3:$E$344841,'Shayak Income '!D302,'MPG Payment '!$AC$3:$AC$344841))))+0)+0)+0)+0)+0</f>
        <v>943.83939416642534</v>
      </c>
      <c r="V302" s="127">
        <f t="shared" si="84"/>
        <v>2591</v>
      </c>
      <c r="W302" s="19">
        <f t="shared" si="85"/>
        <v>1861</v>
      </c>
      <c r="X302" s="19">
        <v>0</v>
      </c>
      <c r="Y302" s="128">
        <f>IFERROR(VLOOKUP(D302,'Monthly Deduction'!$M$2:$N$640,2,0),0)</f>
        <v>0</v>
      </c>
      <c r="Z302" s="128">
        <v>0</v>
      </c>
      <c r="AA302" s="126">
        <f>IFERROR(VLOOKUP(D302,'Monthly Deduction'!A:B,2,0),0)</f>
        <v>0</v>
      </c>
      <c r="AB302" s="129">
        <f t="shared" si="75"/>
        <v>730</v>
      </c>
      <c r="AC302" s="130">
        <v>0</v>
      </c>
      <c r="AD302" s="35">
        <f t="shared" si="86"/>
        <v>730</v>
      </c>
      <c r="AE302" s="166" t="str">
        <f t="shared" si="87"/>
        <v>Release</v>
      </c>
      <c r="AF302" s="127"/>
      <c r="AG302" s="18">
        <v>0</v>
      </c>
      <c r="AH302" s="132"/>
      <c r="AI302" s="238">
        <v>0</v>
      </c>
      <c r="AJ302" s="132"/>
      <c r="AK302" s="151">
        <v>363.2</v>
      </c>
      <c r="AL302" s="154">
        <f t="shared" si="76"/>
        <v>0</v>
      </c>
      <c r="AM302" s="155"/>
      <c r="AN302" s="19">
        <f t="shared" si="77"/>
        <v>1861</v>
      </c>
      <c r="AO302" s="118">
        <f>SUMIF('MPG Payment '!E:E,'Shayak Income '!D302,'MPG Payment '!AJ:AJ)</f>
        <v>0</v>
      </c>
      <c r="AP302" s="19">
        <f t="shared" si="78"/>
        <v>1861</v>
      </c>
      <c r="AQ302" s="119">
        <f t="shared" si="88"/>
        <v>1861</v>
      </c>
      <c r="AR302" s="91" t="s">
        <v>1144</v>
      </c>
      <c r="AS302" s="91">
        <f t="shared" si="79"/>
        <v>12800</v>
      </c>
      <c r="AT302" s="118"/>
      <c r="AU302" s="118"/>
      <c r="AV302" s="118"/>
    </row>
    <row r="303" spans="1:48" s="20" customFormat="1" x14ac:dyDescent="0.25">
      <c r="A303" s="17">
        <f>IFERROR(VLOOKUP(D303,'Monthly Deduction'!$I$3:$J$957,2,0),0)</f>
        <v>58980.340098170302</v>
      </c>
      <c r="B303" s="17">
        <f>IFERROR(VLOOKUP(D303,'Monthly Deduction'!$E$3:$F$957,2,0),0)</f>
        <v>6400</v>
      </c>
      <c r="C303" s="17">
        <f t="shared" si="80"/>
        <v>65380.340098170302</v>
      </c>
      <c r="D303" s="41">
        <v>10110095</v>
      </c>
      <c r="E303" s="122" t="str">
        <f>VLOOKUP(D303,'MPG Payment '!$E$3:$G$497305,2,0)</f>
        <v>GOMUKH LAXMIPUR</v>
      </c>
      <c r="F303" s="146">
        <f>IFERROR(_xlfn.XLOOKUP(D303,'Monthly Deduction'!$I$3:$I$957,'Monthly Deduction'!$H$3:$H$957),0)</f>
        <v>0</v>
      </c>
      <c r="G303" s="123" t="str">
        <f>VLOOKUP(D303,'MPG Payment '!$E$3:$G$333666,3,0)</f>
        <v>MPG</v>
      </c>
      <c r="H303" s="124" t="str">
        <f>VLOOKUP(D303,'MPG Payment '!$E$3:$H$333666,4,0)</f>
        <v>Direct</v>
      </c>
      <c r="I303" s="88">
        <f>INDEX('MPG Payment '!$C:$C,MATCH('Shayak Income '!D303,'MPG Payment '!E:E,0))</f>
        <v>1011</v>
      </c>
      <c r="J303" s="88" t="str">
        <f>INDEX('MPG Payment '!$D:$D,MATCH('Shayak Income '!D303,'MPG Payment '!E:E,0))</f>
        <v>Sahibpur Kamal</v>
      </c>
      <c r="K303" s="125" t="s">
        <v>1594</v>
      </c>
      <c r="L303" s="125">
        <v>45629</v>
      </c>
      <c r="M303" s="126">
        <f>SUMIF('MPG Payment '!$E$3:$E$344841,'Shayak Income '!D303,'MPG Payment '!$I$3:$I$344841)</f>
        <v>1375.1</v>
      </c>
      <c r="N303" s="126">
        <f>SUMIF('MPG Payment '!$E$3:$E$344841,'Shayak Income '!D303,'MPG Payment '!$J$3:$J$344841)</f>
        <v>63215.960000000006</v>
      </c>
      <c r="O303" s="126">
        <f t="shared" si="81"/>
        <v>1031.3249999999998</v>
      </c>
      <c r="P303" s="126">
        <f t="shared" si="82"/>
        <v>1306.3449999999998</v>
      </c>
      <c r="Q303" s="126">
        <f>SUMIF('MPG Payment '!$E$3:$E$344841,'Shayak Income '!D303,'MPG Payment '!$S$3:$S$344841)</f>
        <v>1116.47</v>
      </c>
      <c r="R303" s="126">
        <f t="shared" si="73"/>
        <v>1896.4788000000001</v>
      </c>
      <c r="S303" s="126">
        <f t="shared" si="74"/>
        <v>590.13380000000029</v>
      </c>
      <c r="T303" s="126">
        <f t="shared" si="83"/>
        <v>137.51</v>
      </c>
      <c r="U303" s="127">
        <f>((((((IF(K303="New",0,SUMIF('MPG Payment '!$E$3:$E$344841,'Shayak Income '!D303,'MPG Payment '!$AC$3:$AC$344841))))+0)+0)+0)+0)+0</f>
        <v>1310.0061618327234</v>
      </c>
      <c r="V303" s="127">
        <f t="shared" si="84"/>
        <v>2007</v>
      </c>
      <c r="W303" s="19">
        <f t="shared" si="85"/>
        <v>1861</v>
      </c>
      <c r="X303" s="19">
        <v>0</v>
      </c>
      <c r="Y303" s="128">
        <v>146</v>
      </c>
      <c r="Z303" s="128">
        <v>0</v>
      </c>
      <c r="AA303" s="126">
        <f>IFERROR(VLOOKUP(D303,'Monthly Deduction'!A:B,2,0),0)</f>
        <v>0</v>
      </c>
      <c r="AB303" s="129">
        <f t="shared" si="75"/>
        <v>0</v>
      </c>
      <c r="AC303" s="130">
        <f>AB303</f>
        <v>0</v>
      </c>
      <c r="AD303" s="35">
        <f t="shared" si="86"/>
        <v>0</v>
      </c>
      <c r="AE303" s="166" t="str">
        <f t="shared" si="87"/>
        <v>Release</v>
      </c>
      <c r="AF303" s="127"/>
      <c r="AG303" s="18">
        <v>0</v>
      </c>
      <c r="AH303" s="120" t="s">
        <v>1683</v>
      </c>
      <c r="AI303" s="238">
        <v>0</v>
      </c>
      <c r="AJ303" s="132"/>
      <c r="AK303" s="151">
        <v>254.89999999999998</v>
      </c>
      <c r="AL303" s="154">
        <f t="shared" si="76"/>
        <v>0</v>
      </c>
      <c r="AM303" s="155"/>
      <c r="AN303" s="19">
        <f t="shared" si="77"/>
        <v>1861</v>
      </c>
      <c r="AO303" s="118">
        <f>SUMIF('MPG Payment '!E:E,'Shayak Income '!D303,'MPG Payment '!AJ:AJ)</f>
        <v>0</v>
      </c>
      <c r="AP303" s="19">
        <f t="shared" si="78"/>
        <v>1861</v>
      </c>
      <c r="AQ303" s="119">
        <f t="shared" si="88"/>
        <v>1861</v>
      </c>
      <c r="AR303" s="91" t="s">
        <v>1144</v>
      </c>
      <c r="AS303" s="91">
        <f t="shared" si="79"/>
        <v>6400</v>
      </c>
      <c r="AT303" s="118"/>
      <c r="AU303" s="118"/>
      <c r="AV303" s="118"/>
    </row>
    <row r="304" spans="1:48" s="20" customFormat="1" x14ac:dyDescent="0.25">
      <c r="A304" s="17">
        <f>IFERROR(VLOOKUP(D304,'Monthly Deduction'!$I$3:$J$957,2,0),0)</f>
        <v>68630</v>
      </c>
      <c r="B304" s="17">
        <f>IFERROR(VLOOKUP(D304,'Monthly Deduction'!$E$3:$F$957,2,0),0)</f>
        <v>6400</v>
      </c>
      <c r="C304" s="17">
        <f t="shared" si="80"/>
        <v>75030</v>
      </c>
      <c r="D304" s="41">
        <v>10110098</v>
      </c>
      <c r="E304" s="122" t="str">
        <f>VLOOKUP(D304,'MPG Payment '!$E$3:$G$497305,2,0)</f>
        <v>GOMUKH CHATAR</v>
      </c>
      <c r="F304" s="146">
        <f>IFERROR(_xlfn.XLOOKUP(D304,'Monthly Deduction'!$I$3:$I$957,'Monthly Deduction'!$H$3:$H$957),0)</f>
        <v>0</v>
      </c>
      <c r="G304" s="123" t="str">
        <f>VLOOKUP(D304,'MPG Payment '!$E$3:$G$333666,3,0)</f>
        <v>MPG</v>
      </c>
      <c r="H304" s="124" t="str">
        <f>VLOOKUP(D304,'MPG Payment '!$E$3:$H$333666,4,0)</f>
        <v>Direct</v>
      </c>
      <c r="I304" s="88">
        <f>INDEX('MPG Payment '!$C:$C,MATCH('Shayak Income '!D304,'MPG Payment '!E:E,0))</f>
        <v>1054</v>
      </c>
      <c r="J304" s="88" t="str">
        <f>INDEX('MPG Payment '!$D:$D,MATCH('Shayak Income '!D304,'MPG Payment '!E:E,0))</f>
        <v xml:space="preserve">Alauli </v>
      </c>
      <c r="K304" s="125" t="s">
        <v>1594</v>
      </c>
      <c r="L304" s="125">
        <v>45653</v>
      </c>
      <c r="M304" s="126">
        <f>SUMIF('MPG Payment '!$E$3:$E$344841,'Shayak Income '!D304,'MPG Payment '!$I$3:$I$344841)</f>
        <v>612.1</v>
      </c>
      <c r="N304" s="126">
        <f>SUMIF('MPG Payment '!$E$3:$E$344841,'Shayak Income '!D304,'MPG Payment '!$J$3:$J$344841)</f>
        <v>23093.8</v>
      </c>
      <c r="O304" s="126">
        <f t="shared" si="81"/>
        <v>459.07500000000005</v>
      </c>
      <c r="P304" s="126">
        <f t="shared" si="82"/>
        <v>581.495</v>
      </c>
      <c r="Q304" s="126">
        <f>SUMIF('MPG Payment '!$E$3:$E$344841,'Shayak Income '!D304,'MPG Payment '!$S$3:$S$344841)</f>
        <v>0</v>
      </c>
      <c r="R304" s="126">
        <f t="shared" si="73"/>
        <v>692.81399999999996</v>
      </c>
      <c r="S304" s="126">
        <f t="shared" si="74"/>
        <v>111.31899999999996</v>
      </c>
      <c r="T304" s="126">
        <f t="shared" si="83"/>
        <v>61.210000000000008</v>
      </c>
      <c r="U304" s="127">
        <f>((((((IF(K304="New",0,SUMIF('MPG Payment '!$E$3:$E$344841,'Shayak Income '!D304,'MPG Payment '!$AC$3:$AC$344841))))+0)+0)+0)+0)+-672</f>
        <v>979.41930287907803</v>
      </c>
      <c r="V304" s="127">
        <f t="shared" si="84"/>
        <v>0</v>
      </c>
      <c r="W304" s="19">
        <v>0</v>
      </c>
      <c r="X304" s="19">
        <v>0</v>
      </c>
      <c r="Y304" s="128">
        <v>0</v>
      </c>
      <c r="Z304" s="128">
        <v>0</v>
      </c>
      <c r="AA304" s="126">
        <v>0</v>
      </c>
      <c r="AB304" s="129">
        <f t="shared" si="75"/>
        <v>0</v>
      </c>
      <c r="AC304" s="130">
        <v>0</v>
      </c>
      <c r="AD304" s="35">
        <f t="shared" si="86"/>
        <v>0</v>
      </c>
      <c r="AE304" s="166" t="str">
        <f t="shared" si="87"/>
        <v>Release</v>
      </c>
      <c r="AF304" s="127"/>
      <c r="AG304" s="18">
        <v>0</v>
      </c>
      <c r="AH304" s="120"/>
      <c r="AI304" s="238">
        <v>0</v>
      </c>
      <c r="AJ304" s="132"/>
      <c r="AK304" s="151">
        <v>120.89999999999999</v>
      </c>
      <c r="AL304" s="154">
        <f t="shared" si="76"/>
        <v>0</v>
      </c>
      <c r="AM304" s="155"/>
      <c r="AN304" s="19">
        <f t="shared" si="77"/>
        <v>1861</v>
      </c>
      <c r="AO304" s="118">
        <f>SUMIF('MPG Payment '!E:E,'Shayak Income '!D304,'MPG Payment '!AJ:AJ)</f>
        <v>1364</v>
      </c>
      <c r="AP304" s="19">
        <f t="shared" si="78"/>
        <v>0</v>
      </c>
      <c r="AQ304" s="119">
        <f t="shared" si="88"/>
        <v>1364</v>
      </c>
      <c r="AR304" s="91" t="s">
        <v>1144</v>
      </c>
      <c r="AS304" s="91">
        <f t="shared" si="79"/>
        <v>6400</v>
      </c>
      <c r="AT304" s="118"/>
      <c r="AU304" s="118"/>
      <c r="AV304" s="118"/>
    </row>
    <row r="305" spans="1:48" s="20" customFormat="1" x14ac:dyDescent="0.25">
      <c r="A305" s="17">
        <f>IFERROR(VLOOKUP(D305,'Monthly Deduction'!$I$3:$J$957,2,0),0)</f>
        <v>0</v>
      </c>
      <c r="B305" s="17">
        <f>IFERROR(VLOOKUP(D305,'Monthly Deduction'!$E$3:$F$957,2,0),0)</f>
        <v>0</v>
      </c>
      <c r="C305" s="17">
        <f t="shared" si="80"/>
        <v>0</v>
      </c>
      <c r="D305" s="41">
        <v>10110100</v>
      </c>
      <c r="E305" s="122" t="str">
        <f>VLOOKUP(D305,'MPG Payment '!$E$3:$G$497305,2,0)</f>
        <v>GOMUKH BATHNAMA</v>
      </c>
      <c r="F305" s="146">
        <f>IFERROR(_xlfn.XLOOKUP(D305,'Monthly Deduction'!$I$3:$I$957,'Monthly Deduction'!$H$3:$H$957),0)</f>
        <v>0</v>
      </c>
      <c r="G305" s="123" t="str">
        <f>VLOOKUP(D305,'MPG Payment '!$E$3:$G$333666,3,0)</f>
        <v>MPG</v>
      </c>
      <c r="H305" s="124" t="str">
        <f>VLOOKUP(D305,'MPG Payment '!$E$3:$H$333666,4,0)</f>
        <v>Direct</v>
      </c>
      <c r="I305" s="88">
        <f>INDEX('MPG Payment '!$C:$C,MATCH('Shayak Income '!D305,'MPG Payment '!E:E,0))</f>
        <v>1054</v>
      </c>
      <c r="J305" s="88" t="str">
        <f>INDEX('MPG Payment '!$D:$D,MATCH('Shayak Income '!D305,'MPG Payment '!E:E,0))</f>
        <v xml:space="preserve">Alauli </v>
      </c>
      <c r="K305" s="125" t="s">
        <v>1594</v>
      </c>
      <c r="L305" s="125">
        <v>45653</v>
      </c>
      <c r="M305" s="126">
        <f>SUMIF('MPG Payment '!$E$3:$E$344841,'Shayak Income '!D305,'MPG Payment '!$I$3:$I$344841)</f>
        <v>16570.8</v>
      </c>
      <c r="N305" s="126">
        <f>SUMIF('MPG Payment '!$E$3:$E$344841,'Shayak Income '!D305,'MPG Payment '!$J$3:$J$344841)</f>
        <v>677654.00999999989</v>
      </c>
      <c r="O305" s="126">
        <f t="shared" si="81"/>
        <v>12428.099999999999</v>
      </c>
      <c r="P305" s="126">
        <f t="shared" si="82"/>
        <v>15742.259999999998</v>
      </c>
      <c r="Q305" s="126">
        <f>SUMIF('MPG Payment '!$E$3:$E$344841,'Shayak Income '!D305,'MPG Payment '!$S$3:$S$344841)</f>
        <v>0</v>
      </c>
      <c r="R305" s="126">
        <f t="shared" si="73"/>
        <v>20329.620299999995</v>
      </c>
      <c r="S305" s="126">
        <f t="shared" si="74"/>
        <v>4587.3602999999966</v>
      </c>
      <c r="T305" s="126">
        <f t="shared" si="83"/>
        <v>1657.08</v>
      </c>
      <c r="U305" s="127">
        <f>((((((IF(K305="New",0,SUMIF('MPG Payment '!$E$3:$E$344841,'Shayak Income '!D305,'MPG Payment '!$AC$3:$AC$344841))))+0)+0)+0)+0)+0</f>
        <v>0</v>
      </c>
      <c r="V305" s="127">
        <f t="shared" si="84"/>
        <v>26513</v>
      </c>
      <c r="W305" s="19">
        <f t="shared" si="85"/>
        <v>0</v>
      </c>
      <c r="X305" s="19">
        <f t="shared" si="89"/>
        <v>0</v>
      </c>
      <c r="Y305" s="128">
        <f>IFERROR(VLOOKUP(D305,'Monthly Deduction'!$M$2:$N$640,2,0),0)</f>
        <v>0</v>
      </c>
      <c r="Z305" s="128">
        <v>0</v>
      </c>
      <c r="AA305" s="126">
        <f>IFERROR(VLOOKUP(D305,'Monthly Deduction'!A:B,2,0),0)</f>
        <v>423.73543080156105</v>
      </c>
      <c r="AB305" s="129">
        <f t="shared" si="75"/>
        <v>26089</v>
      </c>
      <c r="AC305" s="130">
        <v>0</v>
      </c>
      <c r="AD305" s="35">
        <f t="shared" si="86"/>
        <v>26089</v>
      </c>
      <c r="AE305" s="166" t="str">
        <f t="shared" si="87"/>
        <v>Release</v>
      </c>
      <c r="AF305" s="127"/>
      <c r="AG305" s="18">
        <v>0</v>
      </c>
      <c r="AH305" s="132"/>
      <c r="AI305" s="238">
        <v>0</v>
      </c>
      <c r="AJ305" s="132"/>
      <c r="AK305" s="151">
        <v>3650.7999999999997</v>
      </c>
      <c r="AL305" s="154">
        <f t="shared" si="76"/>
        <v>0</v>
      </c>
      <c r="AM305" s="155"/>
      <c r="AN305" s="19">
        <f t="shared" si="77"/>
        <v>0</v>
      </c>
      <c r="AO305" s="118">
        <f>SUMIF('MPG Payment '!E:E,'Shayak Income '!D305,'MPG Payment '!AJ:AJ)</f>
        <v>0</v>
      </c>
      <c r="AP305" s="19">
        <f t="shared" si="78"/>
        <v>0</v>
      </c>
      <c r="AQ305" s="119">
        <f t="shared" si="88"/>
        <v>0</v>
      </c>
      <c r="AR305" s="91" t="s">
        <v>1144</v>
      </c>
      <c r="AS305" s="91">
        <f t="shared" si="79"/>
        <v>0</v>
      </c>
      <c r="AT305" s="118"/>
      <c r="AU305" s="118"/>
      <c r="AV305" s="118"/>
    </row>
    <row r="306" spans="1:48" s="20" customFormat="1" x14ac:dyDescent="0.25">
      <c r="A306" s="17">
        <f>IFERROR(VLOOKUP(D306,'Monthly Deduction'!$I$3:$J$957,2,0),0)</f>
        <v>63498.002</v>
      </c>
      <c r="B306" s="17">
        <f>IFERROR(VLOOKUP(D306,'Monthly Deduction'!$E$3:$F$957,2,0),0)</f>
        <v>12800</v>
      </c>
      <c r="C306" s="17">
        <f t="shared" si="80"/>
        <v>76298.002000000008</v>
      </c>
      <c r="D306" s="41">
        <v>10110101</v>
      </c>
      <c r="E306" s="122" t="str">
        <f>VLOOKUP(D306,'MPG Payment '!$E$3:$G$497305,2,0)</f>
        <v>GOMUKH TILAK NAGAR</v>
      </c>
      <c r="F306" s="146">
        <f>IFERROR(_xlfn.XLOOKUP(D306,'Monthly Deduction'!$I$3:$I$957,'Monthly Deduction'!$H$3:$H$957),0)</f>
        <v>0</v>
      </c>
      <c r="G306" s="123" t="str">
        <f>VLOOKUP(D306,'MPG Payment '!$E$3:$G$333666,3,0)</f>
        <v>MPG</v>
      </c>
      <c r="H306" s="124" t="str">
        <f>VLOOKUP(D306,'MPG Payment '!$E$3:$H$333666,4,0)</f>
        <v>Direct</v>
      </c>
      <c r="I306" s="88">
        <f>INDEX('MPG Payment '!$C:$C,MATCH('Shayak Income '!D306,'MPG Payment '!E:E,0))</f>
        <v>1054</v>
      </c>
      <c r="J306" s="88" t="str">
        <f>INDEX('MPG Payment '!$D:$D,MATCH('Shayak Income '!D306,'MPG Payment '!E:E,0))</f>
        <v xml:space="preserve">Alauli </v>
      </c>
      <c r="K306" s="125" t="s">
        <v>1594</v>
      </c>
      <c r="L306" s="125">
        <v>45672</v>
      </c>
      <c r="M306" s="126">
        <f>SUMIF('MPG Payment '!$E$3:$E$344841,'Shayak Income '!D306,'MPG Payment '!$I$3:$I$344841)</f>
        <v>1064.5999999999999</v>
      </c>
      <c r="N306" s="126">
        <f>SUMIF('MPG Payment '!$E$3:$E$344841,'Shayak Income '!D306,'MPG Payment '!$J$3:$J$344841)</f>
        <v>49178.619999999995</v>
      </c>
      <c r="O306" s="126">
        <f t="shared" si="81"/>
        <v>798.44999999999993</v>
      </c>
      <c r="P306" s="126">
        <f t="shared" si="82"/>
        <v>1011.3699999999999</v>
      </c>
      <c r="Q306" s="126">
        <f>SUMIF('MPG Payment '!$E$3:$E$344841,'Shayak Income '!D306,'MPG Payment '!$S$3:$S$344841)</f>
        <v>0</v>
      </c>
      <c r="R306" s="126">
        <f t="shared" si="73"/>
        <v>1475.3585999999998</v>
      </c>
      <c r="S306" s="126">
        <f t="shared" si="74"/>
        <v>463.98859999999991</v>
      </c>
      <c r="T306" s="126">
        <f t="shared" si="83"/>
        <v>106.46</v>
      </c>
      <c r="U306" s="127">
        <f>((((((IF(K306="New",0,SUMIF('MPG Payment '!$E$3:$E$344841,'Shayak Income '!D306,'MPG Payment '!$AC$3:$AC$344841))))+0)+0)+0)+0)+0</f>
        <v>1619.0831956830796</v>
      </c>
      <c r="V306" s="127">
        <f t="shared" si="84"/>
        <v>84</v>
      </c>
      <c r="W306" s="19">
        <v>84</v>
      </c>
      <c r="X306" s="19">
        <v>0</v>
      </c>
      <c r="Y306" s="128">
        <f>IFERROR(VLOOKUP(D306,'Monthly Deduction'!$M$2:$N$640,2,0),0)</f>
        <v>0</v>
      </c>
      <c r="Z306" s="128">
        <v>0</v>
      </c>
      <c r="AA306" s="126">
        <v>0</v>
      </c>
      <c r="AB306" s="129">
        <f t="shared" si="75"/>
        <v>0</v>
      </c>
      <c r="AC306" s="130">
        <v>0</v>
      </c>
      <c r="AD306" s="35">
        <f t="shared" si="86"/>
        <v>0</v>
      </c>
      <c r="AE306" s="166" t="str">
        <f t="shared" si="87"/>
        <v>Release</v>
      </c>
      <c r="AF306" s="127"/>
      <c r="AG306" s="127">
        <v>0</v>
      </c>
      <c r="AH306" s="132"/>
      <c r="AI306" s="238">
        <v>0</v>
      </c>
      <c r="AJ306" s="132"/>
      <c r="AK306" s="151">
        <v>306.00000000000006</v>
      </c>
      <c r="AL306" s="154">
        <f t="shared" si="76"/>
        <v>0</v>
      </c>
      <c r="AM306" s="155"/>
      <c r="AN306" s="19">
        <f t="shared" si="77"/>
        <v>1861</v>
      </c>
      <c r="AO306" s="118">
        <f>SUMIF('MPG Payment '!E:E,'Shayak Income '!D306,'MPG Payment '!AJ:AJ)</f>
        <v>0</v>
      </c>
      <c r="AP306" s="19">
        <f t="shared" si="78"/>
        <v>84</v>
      </c>
      <c r="AQ306" s="119">
        <f t="shared" si="88"/>
        <v>84</v>
      </c>
      <c r="AR306" s="91" t="s">
        <v>1144</v>
      </c>
      <c r="AS306" s="91">
        <f t="shared" si="79"/>
        <v>12800</v>
      </c>
      <c r="AT306" s="118"/>
      <c r="AU306" s="118"/>
      <c r="AV306" s="118"/>
    </row>
    <row r="307" spans="1:48" s="20" customFormat="1" x14ac:dyDescent="0.25">
      <c r="A307" s="17">
        <f>IFERROR(VLOOKUP(D307,'Monthly Deduction'!$I$3:$J$957,2,0),0)</f>
        <v>0</v>
      </c>
      <c r="B307" s="17">
        <f>IFERROR(VLOOKUP(D307,'Monthly Deduction'!$E$3:$F$957,2,0),0)</f>
        <v>0</v>
      </c>
      <c r="C307" s="17">
        <f t="shared" si="80"/>
        <v>0</v>
      </c>
      <c r="D307" s="41">
        <v>10110106</v>
      </c>
      <c r="E307" s="122" t="str">
        <f>VLOOKUP(D307,'MPG Payment '!$E$3:$G$497305,2,0)</f>
        <v>Gomukh Rahimpur Dakshin</v>
      </c>
      <c r="F307" s="146">
        <f>IFERROR(_xlfn.XLOOKUP(D307,'Monthly Deduction'!$I$3:$I$957,'Monthly Deduction'!$H$3:$H$957),0)</f>
        <v>0</v>
      </c>
      <c r="G307" s="123" t="str">
        <f>VLOOKUP(D307,'MPG Payment '!$E$3:$G$333666,3,0)</f>
        <v>MPG</v>
      </c>
      <c r="H307" s="124" t="str">
        <f>VLOOKUP(D307,'MPG Payment '!$E$3:$H$333666,4,0)</f>
        <v>Direct</v>
      </c>
      <c r="I307" s="88">
        <f>INDEX('MPG Payment '!$C:$C,MATCH('Shayak Income '!D307,'MPG Payment '!E:E,0))</f>
        <v>1011</v>
      </c>
      <c r="J307" s="88" t="str">
        <f>INDEX('MPG Payment '!$D:$D,MATCH('Shayak Income '!D307,'MPG Payment '!E:E,0))</f>
        <v>Sahibpur Kamal</v>
      </c>
      <c r="K307" s="125" t="s">
        <v>1594</v>
      </c>
      <c r="L307" s="125">
        <v>45692</v>
      </c>
      <c r="M307" s="126">
        <f>SUMIF('MPG Payment '!$E$3:$E$344841,'Shayak Income '!D307,'MPG Payment '!$I$3:$I$344841)</f>
        <v>28430.799999999996</v>
      </c>
      <c r="N307" s="126">
        <f>SUMIF('MPG Payment '!$E$3:$E$344841,'Shayak Income '!D307,'MPG Payment '!$J$3:$J$344841)</f>
        <v>1158684.72</v>
      </c>
      <c r="O307" s="126">
        <f t="shared" si="81"/>
        <v>21323.1</v>
      </c>
      <c r="P307" s="126">
        <f t="shared" si="82"/>
        <v>27009.259999999995</v>
      </c>
      <c r="Q307" s="126">
        <f>SUMIF('MPG Payment '!$E$3:$E$344841,'Shayak Income '!D307,'MPG Payment '!$S$3:$S$344841)</f>
        <v>2390.88</v>
      </c>
      <c r="R307" s="126">
        <f t="shared" si="73"/>
        <v>34760.541599999997</v>
      </c>
      <c r="S307" s="126">
        <f t="shared" si="74"/>
        <v>7751.2816000000021</v>
      </c>
      <c r="T307" s="126">
        <f t="shared" si="83"/>
        <v>2843.08</v>
      </c>
      <c r="U307" s="127">
        <f>((((((IF(K307="New",0,SUMIF('MPG Payment '!$E$3:$E$344841,'Shayak Income '!D307,'MPG Payment '!$AC$3:$AC$344841))))+0)+0)+0)+0)+0</f>
        <v>0</v>
      </c>
      <c r="V307" s="127">
        <f t="shared" si="84"/>
        <v>47880</v>
      </c>
      <c r="W307" s="19">
        <f t="shared" si="85"/>
        <v>0</v>
      </c>
      <c r="X307" s="19">
        <f t="shared" si="89"/>
        <v>0</v>
      </c>
      <c r="Y307" s="128">
        <f>IFERROR(VLOOKUP(D307,'Monthly Deduction'!$M$2:$N$640,2,0),0)</f>
        <v>0</v>
      </c>
      <c r="Z307" s="128">
        <v>3292.2</v>
      </c>
      <c r="AA307" s="126">
        <f>IFERROR(VLOOKUP(D307,'Monthly Deduction'!A:B,2,0),0)</f>
        <v>0</v>
      </c>
      <c r="AB307" s="129">
        <f t="shared" si="75"/>
        <v>44588</v>
      </c>
      <c r="AC307" s="130">
        <v>0</v>
      </c>
      <c r="AD307" s="35">
        <f t="shared" si="86"/>
        <v>44588</v>
      </c>
      <c r="AE307" s="166" t="str">
        <f t="shared" si="87"/>
        <v>Release</v>
      </c>
      <c r="AF307" s="127"/>
      <c r="AG307" s="18">
        <v>0</v>
      </c>
      <c r="AH307" s="132" t="s">
        <v>1680</v>
      </c>
      <c r="AI307" s="238">
        <v>0</v>
      </c>
      <c r="AJ307" s="132"/>
      <c r="AK307" s="151">
        <v>5248.9</v>
      </c>
      <c r="AL307" s="154">
        <f t="shared" si="76"/>
        <v>0</v>
      </c>
      <c r="AM307" s="155"/>
      <c r="AN307" s="19">
        <f t="shared" si="77"/>
        <v>0</v>
      </c>
      <c r="AO307" s="118">
        <f>SUMIF('MPG Payment '!E:E,'Shayak Income '!D307,'MPG Payment '!AJ:AJ)</f>
        <v>0</v>
      </c>
      <c r="AP307" s="19">
        <f t="shared" si="78"/>
        <v>0</v>
      </c>
      <c r="AQ307" s="119">
        <f t="shared" si="88"/>
        <v>0</v>
      </c>
      <c r="AR307" s="91"/>
      <c r="AS307" s="91">
        <f t="shared" si="79"/>
        <v>0</v>
      </c>
      <c r="AT307" s="118"/>
      <c r="AU307" s="118"/>
      <c r="AV307" s="118"/>
    </row>
    <row r="308" spans="1:48" s="20" customFormat="1" x14ac:dyDescent="0.25">
      <c r="A308" s="17">
        <f>IFERROR(VLOOKUP(D308,'Monthly Deduction'!$I$3:$J$957,2,0),0)</f>
        <v>73225</v>
      </c>
      <c r="B308" s="17">
        <f>IFERROR(VLOOKUP(D308,'Monthly Deduction'!$E$3:$F$957,2,0),0)</f>
        <v>12800</v>
      </c>
      <c r="C308" s="17">
        <f t="shared" si="80"/>
        <v>86025</v>
      </c>
      <c r="D308" s="41">
        <v>10110109</v>
      </c>
      <c r="E308" s="122" t="str">
        <f>VLOOKUP(D308,'MPG Payment '!$E$3:$G$497305,2,0)</f>
        <v>GOMUKH MORKAHI</v>
      </c>
      <c r="F308" s="146">
        <f>IFERROR(_xlfn.XLOOKUP(D308,'Monthly Deduction'!$I$3:$I$957,'Monthly Deduction'!$H$3:$H$957),0)</f>
        <v>0</v>
      </c>
      <c r="G308" s="123" t="str">
        <f>VLOOKUP(D308,'MPG Payment '!$E$3:$G$333666,3,0)</f>
        <v>MPG</v>
      </c>
      <c r="H308" s="124" t="str">
        <f>VLOOKUP(D308,'MPG Payment '!$E$3:$H$333666,4,0)</f>
        <v>Direct</v>
      </c>
      <c r="I308" s="88">
        <f>INDEX('MPG Payment '!$C:$C,MATCH('Shayak Income '!D308,'MPG Payment '!E:E,0))</f>
        <v>1054</v>
      </c>
      <c r="J308" s="88" t="str">
        <f>INDEX('MPG Payment '!$D:$D,MATCH('Shayak Income '!D308,'MPG Payment '!E:E,0))</f>
        <v xml:space="preserve">Alauli </v>
      </c>
      <c r="K308" s="125" t="s">
        <v>1594</v>
      </c>
      <c r="L308" s="125">
        <v>45702</v>
      </c>
      <c r="M308" s="126">
        <f>SUMIF('MPG Payment '!$E$3:$E$344841,'Shayak Income '!D308,'MPG Payment '!$I$3:$I$344841)</f>
        <v>2914</v>
      </c>
      <c r="N308" s="126">
        <f>SUMIF('MPG Payment '!$E$3:$E$344841,'Shayak Income '!D308,'MPG Payment '!$J$3:$J$344841)</f>
        <v>114370.82</v>
      </c>
      <c r="O308" s="126">
        <f t="shared" si="81"/>
        <v>2185.5</v>
      </c>
      <c r="P308" s="126">
        <f t="shared" si="82"/>
        <v>2768.2999999999997</v>
      </c>
      <c r="Q308" s="126">
        <f>SUMIF('MPG Payment '!$E$3:$E$344841,'Shayak Income '!D308,'MPG Payment '!$S$3:$S$344841)</f>
        <v>224.66000000000003</v>
      </c>
      <c r="R308" s="126">
        <f t="shared" si="73"/>
        <v>3431.1246000000001</v>
      </c>
      <c r="S308" s="126">
        <f t="shared" si="74"/>
        <v>662.82460000000037</v>
      </c>
      <c r="T308" s="126">
        <f t="shared" si="83"/>
        <v>291.40000000000003</v>
      </c>
      <c r="U308" s="127">
        <f>((((((IF(K308="New",0,SUMIF('MPG Payment '!$E$3:$E$344841,'Shayak Income '!D308,'MPG Payment '!$AC$3:$AC$344841))))+0)+0)+0)+0)+0</f>
        <v>69.006994937122386</v>
      </c>
      <c r="V308" s="127">
        <f t="shared" si="84"/>
        <v>4818</v>
      </c>
      <c r="W308" s="19">
        <f t="shared" si="85"/>
        <v>2287.4164000000001</v>
      </c>
      <c r="X308" s="19">
        <v>0</v>
      </c>
      <c r="Y308" s="128">
        <f>IFERROR(VLOOKUP(D308,'Monthly Deduction'!$M$2:$N$640,2,0),0)</f>
        <v>0</v>
      </c>
      <c r="Z308" s="128">
        <v>0</v>
      </c>
      <c r="AA308" s="126">
        <f>IFERROR(VLOOKUP(D308,'Monthly Deduction'!A:B,2,0),0)</f>
        <v>1303.775430801561</v>
      </c>
      <c r="AB308" s="129">
        <f t="shared" si="75"/>
        <v>1227</v>
      </c>
      <c r="AC308" s="130">
        <f>AB308</f>
        <v>1227</v>
      </c>
      <c r="AD308" s="35">
        <f t="shared" si="86"/>
        <v>0</v>
      </c>
      <c r="AE308" s="166" t="str">
        <f t="shared" si="87"/>
        <v>Yes</v>
      </c>
      <c r="AF308" s="127"/>
      <c r="AG308" s="127">
        <v>0</v>
      </c>
      <c r="AH308" s="120" t="s">
        <v>1685</v>
      </c>
      <c r="AI308" s="238">
        <v>5239</v>
      </c>
      <c r="AJ308" s="132"/>
      <c r="AK308" s="151">
        <v>614.6</v>
      </c>
      <c r="AL308" s="154">
        <f t="shared" si="76"/>
        <v>0</v>
      </c>
      <c r="AM308" s="155"/>
      <c r="AN308" s="19">
        <f t="shared" si="77"/>
        <v>2287.4164000000001</v>
      </c>
      <c r="AO308" s="118">
        <f>SUMIF('MPG Payment '!E:E,'Shayak Income '!D308,'MPG Payment '!AJ:AJ)</f>
        <v>0</v>
      </c>
      <c r="AP308" s="19">
        <f t="shared" si="78"/>
        <v>2287.4164000000001</v>
      </c>
      <c r="AQ308" s="119">
        <f t="shared" si="88"/>
        <v>2287.4164000000001</v>
      </c>
      <c r="AR308" s="91"/>
      <c r="AS308" s="91">
        <f t="shared" si="79"/>
        <v>12800</v>
      </c>
      <c r="AT308" s="118"/>
      <c r="AU308" s="118"/>
      <c r="AV308" s="118"/>
    </row>
    <row r="309" spans="1:48" s="20" customFormat="1" x14ac:dyDescent="0.25">
      <c r="A309" s="17">
        <f>IFERROR(VLOOKUP(D309,'Monthly Deduction'!$I$3:$J$957,2,0),0)</f>
        <v>63133</v>
      </c>
      <c r="B309" s="17">
        <f>IFERROR(VLOOKUP(D309,'Monthly Deduction'!$E$3:$F$957,2,0),0)</f>
        <v>10305.2229682096</v>
      </c>
      <c r="C309" s="17">
        <f t="shared" si="80"/>
        <v>73438.222968209593</v>
      </c>
      <c r="D309" s="41">
        <v>10110110</v>
      </c>
      <c r="E309" s="122" t="str">
        <f>VLOOKUP(D309,'MPG Payment '!$E$3:$G$497305,2,0)</f>
        <v>GOMUKH HANSPUR</v>
      </c>
      <c r="F309" s="146">
        <f>IFERROR(_xlfn.XLOOKUP(D309,'Monthly Deduction'!$I$3:$I$957,'Monthly Deduction'!$H$3:$H$957),0)</f>
        <v>0</v>
      </c>
      <c r="G309" s="123" t="str">
        <f>VLOOKUP(D309,'MPG Payment '!$E$3:$G$333666,3,0)</f>
        <v>MPG</v>
      </c>
      <c r="H309" s="124" t="str">
        <f>VLOOKUP(D309,'MPG Payment '!$E$3:$H$333666,4,0)</f>
        <v>Direct</v>
      </c>
      <c r="I309" s="88">
        <f>INDEX('MPG Payment '!$C:$C,MATCH('Shayak Income '!D309,'MPG Payment '!E:E,0))</f>
        <v>1055</v>
      </c>
      <c r="J309" s="88" t="str">
        <f>INDEX('MPG Payment '!$D:$D,MATCH('Shayak Income '!D309,'MPG Payment '!E:E,0))</f>
        <v>Matihani</v>
      </c>
      <c r="K309" s="125" t="s">
        <v>1594</v>
      </c>
      <c r="L309" s="125">
        <v>45745</v>
      </c>
      <c r="M309" s="126">
        <f>SUMIF('MPG Payment '!$E$3:$E$344841,'Shayak Income '!D309,'MPG Payment '!$I$3:$I$344841)</f>
        <v>238.89999999999998</v>
      </c>
      <c r="N309" s="126">
        <f>SUMIF('MPG Payment '!$E$3:$E$344841,'Shayak Income '!D309,'MPG Payment '!$J$3:$J$344841)</f>
        <v>10422.75</v>
      </c>
      <c r="O309" s="126">
        <f t="shared" si="81"/>
        <v>179.17499999999998</v>
      </c>
      <c r="P309" s="126">
        <f t="shared" si="82"/>
        <v>226.95499999999996</v>
      </c>
      <c r="Q309" s="126">
        <f>SUMIF('MPG Payment '!$E$3:$E$344841,'Shayak Income '!D309,'MPG Payment '!$S$3:$S$344841)</f>
        <v>0</v>
      </c>
      <c r="R309" s="126">
        <f t="shared" si="73"/>
        <v>312.6825</v>
      </c>
      <c r="S309" s="126">
        <f t="shared" si="74"/>
        <v>85.727500000000049</v>
      </c>
      <c r="T309" s="126">
        <f t="shared" si="83"/>
        <v>23.89</v>
      </c>
      <c r="U309" s="127">
        <f>((((((IF(K309="New",0,SUMIF('MPG Payment '!$E$3:$E$344841,'Shayak Income '!D309,'MPG Payment '!$AC$3:$AC$344841))))+0)+0)+0)+0)+-1837</f>
        <v>382.39504093231471</v>
      </c>
      <c r="V309" s="127">
        <f t="shared" si="84"/>
        <v>0</v>
      </c>
      <c r="W309" s="19">
        <v>0</v>
      </c>
      <c r="X309" s="19">
        <v>0</v>
      </c>
      <c r="Y309" s="128">
        <v>0</v>
      </c>
      <c r="Z309" s="128">
        <v>0</v>
      </c>
      <c r="AA309" s="126">
        <v>0</v>
      </c>
      <c r="AB309" s="129">
        <f t="shared" si="75"/>
        <v>0</v>
      </c>
      <c r="AC309" s="130">
        <v>0</v>
      </c>
      <c r="AD309" s="35">
        <f t="shared" si="86"/>
        <v>0</v>
      </c>
      <c r="AE309" s="166" t="str">
        <f t="shared" si="87"/>
        <v>Release</v>
      </c>
      <c r="AF309" s="127"/>
      <c r="AG309" s="18">
        <v>0</v>
      </c>
      <c r="AH309" s="215"/>
      <c r="AI309" s="238">
        <v>0</v>
      </c>
      <c r="AJ309" s="132"/>
      <c r="AK309" s="151">
        <v>7.2</v>
      </c>
      <c r="AL309" s="154">
        <f t="shared" si="76"/>
        <v>0</v>
      </c>
      <c r="AM309" s="155"/>
      <c r="AN309" s="19">
        <f t="shared" si="77"/>
        <v>1861</v>
      </c>
      <c r="AO309" s="118">
        <f>SUMIF('MPG Payment '!E:E,'Shayak Income '!D309,'MPG Payment '!AJ:AJ)</f>
        <v>2000</v>
      </c>
      <c r="AP309" s="19">
        <f t="shared" si="78"/>
        <v>0</v>
      </c>
      <c r="AQ309" s="119">
        <f t="shared" si="88"/>
        <v>2000</v>
      </c>
      <c r="AR309" s="91" t="s">
        <v>1144</v>
      </c>
      <c r="AS309" s="91">
        <f t="shared" si="79"/>
        <v>10305.2229682096</v>
      </c>
      <c r="AT309" s="118"/>
      <c r="AU309" s="118"/>
      <c r="AV309" s="118"/>
    </row>
    <row r="310" spans="1:48" s="20" customFormat="1" x14ac:dyDescent="0.25">
      <c r="A310" s="17">
        <f>IFERROR(VLOOKUP(D310,'Monthly Deduction'!$I$3:$J$957,2,0),0)</f>
        <v>64626.271935704208</v>
      </c>
      <c r="B310" s="17">
        <f>IFERROR(VLOOKUP(D310,'Monthly Deduction'!$E$3:$F$957,2,0),0)</f>
        <v>19200</v>
      </c>
      <c r="C310" s="17">
        <f t="shared" si="80"/>
        <v>83826.271935704208</v>
      </c>
      <c r="D310" s="41">
        <v>10110111</v>
      </c>
      <c r="E310" s="122" t="str">
        <f>VLOOKUP(D310,'MPG Payment '!$E$3:$G$497305,2,0)</f>
        <v>GOMUKH NAYAGAON 2</v>
      </c>
      <c r="F310" s="146">
        <f>IFERROR(_xlfn.XLOOKUP(D310,'Monthly Deduction'!$I$3:$I$957,'Monthly Deduction'!$H$3:$H$957),0)</f>
        <v>0</v>
      </c>
      <c r="G310" s="123" t="str">
        <f>VLOOKUP(D310,'MPG Payment '!$E$3:$G$333666,3,0)</f>
        <v>MPG</v>
      </c>
      <c r="H310" s="124" t="str">
        <f>VLOOKUP(D310,'MPG Payment '!$E$3:$H$333666,4,0)</f>
        <v>Direct</v>
      </c>
      <c r="I310" s="88">
        <f>INDEX('MPG Payment '!$C:$C,MATCH('Shayak Income '!D310,'MPG Payment '!E:E,0))</f>
        <v>1055</v>
      </c>
      <c r="J310" s="88" t="str">
        <f>INDEX('MPG Payment '!$D:$D,MATCH('Shayak Income '!D310,'MPG Payment '!E:E,0))</f>
        <v>Matihani</v>
      </c>
      <c r="K310" s="125" t="s">
        <v>1594</v>
      </c>
      <c r="L310" s="125">
        <v>45716</v>
      </c>
      <c r="M310" s="126">
        <f>SUMIF('MPG Payment '!$E$3:$E$344841,'Shayak Income '!D310,'MPG Payment '!$I$3:$I$344841)</f>
        <v>498</v>
      </c>
      <c r="N310" s="126">
        <f>SUMIF('MPG Payment '!$E$3:$E$344841,'Shayak Income '!D310,'MPG Payment '!$J$3:$J$344841)</f>
        <v>26604.36</v>
      </c>
      <c r="O310" s="126">
        <f t="shared" si="81"/>
        <v>373.5</v>
      </c>
      <c r="P310" s="126">
        <f t="shared" si="82"/>
        <v>473.09999999999997</v>
      </c>
      <c r="Q310" s="126">
        <f>SUMIF('MPG Payment '!$E$3:$E$344841,'Shayak Income '!D310,'MPG Payment '!$S$3:$S$344841)</f>
        <v>818.62999999999988</v>
      </c>
      <c r="R310" s="126">
        <f t="shared" si="73"/>
        <v>798.13080000000002</v>
      </c>
      <c r="S310" s="126">
        <f t="shared" si="74"/>
        <v>325.03080000000006</v>
      </c>
      <c r="T310" s="126">
        <f t="shared" si="83"/>
        <v>49.800000000000004</v>
      </c>
      <c r="U310" s="127">
        <f>((((((IF(K310="New",0,SUMIF('MPG Payment '!$E$3:$E$344841,'Shayak Income '!D310,'MPG Payment '!$AC$3:$AC$344841))))+0)+0)+0)+0)+-843</f>
        <v>1615.8416172166144</v>
      </c>
      <c r="V310" s="127">
        <f t="shared" si="84"/>
        <v>0</v>
      </c>
      <c r="W310" s="19">
        <v>0</v>
      </c>
      <c r="X310" s="19">
        <v>0</v>
      </c>
      <c r="Y310" s="128">
        <v>0</v>
      </c>
      <c r="Z310" s="128">
        <v>0</v>
      </c>
      <c r="AA310" s="126">
        <v>0</v>
      </c>
      <c r="AB310" s="129">
        <f t="shared" si="75"/>
        <v>0</v>
      </c>
      <c r="AC310" s="130">
        <v>0</v>
      </c>
      <c r="AD310" s="35">
        <f t="shared" si="86"/>
        <v>0</v>
      </c>
      <c r="AE310" s="166" t="str">
        <f t="shared" si="87"/>
        <v>Release</v>
      </c>
      <c r="AF310" s="127"/>
      <c r="AG310" s="18">
        <v>0</v>
      </c>
      <c r="AH310" s="120"/>
      <c r="AI310" s="238">
        <v>0</v>
      </c>
      <c r="AJ310" s="132"/>
      <c r="AK310" s="151">
        <v>81.2</v>
      </c>
      <c r="AL310" s="154">
        <f t="shared" si="76"/>
        <v>0</v>
      </c>
      <c r="AM310" s="155"/>
      <c r="AN310" s="19">
        <f t="shared" si="77"/>
        <v>1861</v>
      </c>
      <c r="AO310" s="118">
        <f>SUMIF('MPG Payment '!E:E,'Shayak Income '!D310,'MPG Payment '!AJ:AJ)</f>
        <v>0</v>
      </c>
      <c r="AP310" s="19">
        <f t="shared" si="78"/>
        <v>0</v>
      </c>
      <c r="AQ310" s="119">
        <f t="shared" si="88"/>
        <v>0</v>
      </c>
      <c r="AR310" s="91" t="s">
        <v>1144</v>
      </c>
      <c r="AS310" s="91">
        <f t="shared" si="79"/>
        <v>19200</v>
      </c>
      <c r="AT310" s="118"/>
      <c r="AU310" s="118"/>
      <c r="AV310" s="118"/>
    </row>
    <row r="311" spans="1:48" s="20" customFormat="1" x14ac:dyDescent="0.25">
      <c r="A311" s="17">
        <f>IFERROR(VLOOKUP(D311,'Monthly Deduction'!$I$3:$J$957,2,0),0)</f>
        <v>74001.71160000001</v>
      </c>
      <c r="B311" s="17">
        <f>IFERROR(VLOOKUP(D311,'Monthly Deduction'!$E$3:$F$957,2,0),0)</f>
        <v>12800</v>
      </c>
      <c r="C311" s="17">
        <f t="shared" si="80"/>
        <v>86801.71160000001</v>
      </c>
      <c r="D311" s="41">
        <v>10110114</v>
      </c>
      <c r="E311" s="122" t="str">
        <f>VLOOKUP(D311,'MPG Payment '!$E$3:$G$497305,2,0)</f>
        <v>GOMUKH LABHGAON</v>
      </c>
      <c r="F311" s="146">
        <f>IFERROR(_xlfn.XLOOKUP(D311,'Monthly Deduction'!$I$3:$I$957,'Monthly Deduction'!$H$3:$H$957),0)</f>
        <v>0</v>
      </c>
      <c r="G311" s="123" t="str">
        <f>VLOOKUP(D311,'MPG Payment '!$E$3:$G$333666,3,0)</f>
        <v>MPG</v>
      </c>
      <c r="H311" s="124" t="str">
        <f>VLOOKUP(D311,'MPG Payment '!$E$3:$H$333666,4,0)</f>
        <v>Direct</v>
      </c>
      <c r="I311" s="88">
        <f>INDEX('MPG Payment '!$C:$C,MATCH('Shayak Income '!D311,'MPG Payment '!E:E,0))</f>
        <v>1054</v>
      </c>
      <c r="J311" s="88" t="str">
        <f>INDEX('MPG Payment '!$D:$D,MATCH('Shayak Income '!D311,'MPG Payment '!E:E,0))</f>
        <v xml:space="preserve">Alauli </v>
      </c>
      <c r="K311" s="125" t="s">
        <v>1594</v>
      </c>
      <c r="L311" s="125">
        <v>45745</v>
      </c>
      <c r="M311" s="126">
        <f>SUMIF('MPG Payment '!$E$3:$E$344841,'Shayak Income '!D311,'MPG Payment '!$I$3:$I$344841)</f>
        <v>1324.8000000000002</v>
      </c>
      <c r="N311" s="126">
        <f>SUMIF('MPG Payment '!$E$3:$E$344841,'Shayak Income '!D311,'MPG Payment '!$J$3:$J$344841)</f>
        <v>54111.479999999996</v>
      </c>
      <c r="O311" s="126">
        <f t="shared" si="81"/>
        <v>993.60000000000014</v>
      </c>
      <c r="P311" s="126">
        <f t="shared" si="82"/>
        <v>1258.5600000000002</v>
      </c>
      <c r="Q311" s="126">
        <f>SUMIF('MPG Payment '!$E$3:$E$344841,'Shayak Income '!D311,'MPG Payment '!$S$3:$S$344841)</f>
        <v>0</v>
      </c>
      <c r="R311" s="126">
        <f t="shared" si="73"/>
        <v>1623.3443999999997</v>
      </c>
      <c r="S311" s="126">
        <f t="shared" si="74"/>
        <v>364.78439999999955</v>
      </c>
      <c r="T311" s="126">
        <f t="shared" si="83"/>
        <v>132.48000000000002</v>
      </c>
      <c r="U311" s="127">
        <f>((((((IF(K311="New",0,SUMIF('MPG Payment '!$E$3:$E$344841,'Shayak Income '!D311,'MPG Payment '!$AC$3:$AC$344841))))+0)+0)+0)+0)+0</f>
        <v>1209.6400200756723</v>
      </c>
      <c r="V311" s="127">
        <f t="shared" si="84"/>
        <v>910</v>
      </c>
      <c r="W311" s="19">
        <v>910</v>
      </c>
      <c r="X311" s="19">
        <v>0</v>
      </c>
      <c r="Y311" s="128">
        <f>IFERROR(VLOOKUP(D311,'Monthly Deduction'!$M$2:$N$640,2,0),0)</f>
        <v>0</v>
      </c>
      <c r="Z311" s="128">
        <v>0</v>
      </c>
      <c r="AA311" s="126">
        <v>0</v>
      </c>
      <c r="AB311" s="129">
        <f t="shared" si="75"/>
        <v>0</v>
      </c>
      <c r="AC311" s="130">
        <f t="shared" ref="AC311:AC312" si="90">AB311</f>
        <v>0</v>
      </c>
      <c r="AD311" s="35">
        <f t="shared" si="86"/>
        <v>0</v>
      </c>
      <c r="AE311" s="166" t="str">
        <f t="shared" si="87"/>
        <v>Release</v>
      </c>
      <c r="AF311" s="127"/>
      <c r="AG311" s="18">
        <v>0</v>
      </c>
      <c r="AH311" s="120" t="s">
        <v>1685</v>
      </c>
      <c r="AI311" s="238">
        <v>3192</v>
      </c>
      <c r="AJ311" s="132"/>
      <c r="AK311" s="151">
        <v>323</v>
      </c>
      <c r="AL311" s="154">
        <f t="shared" si="76"/>
        <v>0</v>
      </c>
      <c r="AM311" s="155"/>
      <c r="AN311" s="19">
        <f t="shared" si="77"/>
        <v>1861</v>
      </c>
      <c r="AO311" s="118">
        <f>SUMIF('MPG Payment '!E:E,'Shayak Income '!D311,'MPG Payment '!AJ:AJ)</f>
        <v>0</v>
      </c>
      <c r="AP311" s="19">
        <f t="shared" si="78"/>
        <v>910</v>
      </c>
      <c r="AQ311" s="119">
        <f t="shared" si="88"/>
        <v>910</v>
      </c>
      <c r="AR311" s="91" t="s">
        <v>1144</v>
      </c>
      <c r="AS311" s="91">
        <f t="shared" si="79"/>
        <v>12800</v>
      </c>
      <c r="AT311" s="118"/>
      <c r="AU311" s="118"/>
      <c r="AV311" s="118"/>
    </row>
    <row r="312" spans="1:48" s="20" customFormat="1" x14ac:dyDescent="0.25">
      <c r="A312" s="17">
        <f>IFERROR(VLOOKUP(D312,'Monthly Deduction'!$I$3:$J$957,2,0),0)</f>
        <v>62191.500342438143</v>
      </c>
      <c r="B312" s="17">
        <f>IFERROR(VLOOKUP(D312,'Monthly Deduction'!$E$3:$F$957,2,0),0)</f>
        <v>12800</v>
      </c>
      <c r="C312" s="17">
        <f t="shared" si="80"/>
        <v>74991.500342438143</v>
      </c>
      <c r="D312" s="41">
        <v>10110116</v>
      </c>
      <c r="E312" s="122" t="str">
        <f>VLOOKUP(D312,'MPG Payment '!$E$3:$G$497305,2,0)</f>
        <v>GOMUKH CHANDPURA</v>
      </c>
      <c r="F312" s="146">
        <f>IFERROR(_xlfn.XLOOKUP(D312,'Monthly Deduction'!$I$3:$I$957,'Monthly Deduction'!$H$3:$H$957),0)</f>
        <v>0</v>
      </c>
      <c r="G312" s="123" t="str">
        <f>VLOOKUP(D312,'MPG Payment '!$E$3:$G$333666,3,0)</f>
        <v>MPG</v>
      </c>
      <c r="H312" s="124" t="str">
        <f>VLOOKUP(D312,'MPG Payment '!$E$3:$H$333666,4,0)</f>
        <v>Direct</v>
      </c>
      <c r="I312" s="88">
        <f>INDEX('MPG Payment '!$C:$C,MATCH('Shayak Income '!D312,'MPG Payment '!E:E,0))</f>
        <v>1054</v>
      </c>
      <c r="J312" s="88" t="str">
        <f>INDEX('MPG Payment '!$D:$D,MATCH('Shayak Income '!D312,'MPG Payment '!E:E,0))</f>
        <v xml:space="preserve">Alauli </v>
      </c>
      <c r="K312" s="125" t="s">
        <v>1594</v>
      </c>
      <c r="L312" s="125">
        <v>45745</v>
      </c>
      <c r="M312" s="126">
        <f>SUMIF('MPG Payment '!$E$3:$E$344841,'Shayak Income '!D312,'MPG Payment '!$I$3:$I$344841)</f>
        <v>2999.8999999999996</v>
      </c>
      <c r="N312" s="126">
        <f>SUMIF('MPG Payment '!$E$3:$E$344841,'Shayak Income '!D312,'MPG Payment '!$J$3:$J$344841)</f>
        <v>113834.68000000001</v>
      </c>
      <c r="O312" s="126">
        <f t="shared" si="81"/>
        <v>2249.9249999999997</v>
      </c>
      <c r="P312" s="126">
        <f t="shared" si="82"/>
        <v>2849.9049999999997</v>
      </c>
      <c r="Q312" s="126">
        <f>SUMIF('MPG Payment '!$E$3:$E$344841,'Shayak Income '!D312,'MPG Payment '!$S$3:$S$344841)</f>
        <v>0</v>
      </c>
      <c r="R312" s="126">
        <f t="shared" si="73"/>
        <v>3415.0404000000003</v>
      </c>
      <c r="S312" s="126">
        <f t="shared" si="74"/>
        <v>565.13540000000057</v>
      </c>
      <c r="T312" s="126">
        <f t="shared" si="83"/>
        <v>299.98999999999995</v>
      </c>
      <c r="U312" s="127">
        <f>((((((IF(K312="New",0,SUMIF('MPG Payment '!$E$3:$E$344841,'Shayak Income '!D312,'MPG Payment '!$AC$3:$AC$344841))))+0)+0)+0)+0)+0</f>
        <v>23.484646540128516</v>
      </c>
      <c r="V312" s="127">
        <f t="shared" si="84"/>
        <v>4776</v>
      </c>
      <c r="W312" s="19">
        <f t="shared" si="85"/>
        <v>2276.6936000000001</v>
      </c>
      <c r="X312" s="19">
        <v>0</v>
      </c>
      <c r="Y312" s="128">
        <f>IFERROR(VLOOKUP(D312,'Monthly Deduction'!$M$2:$N$640,2,0),0)</f>
        <v>0</v>
      </c>
      <c r="Z312" s="128">
        <v>0</v>
      </c>
      <c r="AA312" s="126">
        <f>IFERROR(VLOOKUP(D312,'Monthly Deduction'!A:B,2,0),0)</f>
        <v>423.73543080156105</v>
      </c>
      <c r="AB312" s="129">
        <f t="shared" si="75"/>
        <v>2076</v>
      </c>
      <c r="AC312" s="130">
        <f t="shared" si="90"/>
        <v>2076</v>
      </c>
      <c r="AD312" s="35">
        <f t="shared" si="86"/>
        <v>0</v>
      </c>
      <c r="AE312" s="166" t="str">
        <f t="shared" si="87"/>
        <v>Yes</v>
      </c>
      <c r="AF312" s="127"/>
      <c r="AG312" s="18">
        <v>0</v>
      </c>
      <c r="AH312" s="120" t="s">
        <v>1685</v>
      </c>
      <c r="AI312" s="238">
        <v>188</v>
      </c>
      <c r="AJ312" s="132"/>
      <c r="AK312" s="151">
        <v>663.69999999999993</v>
      </c>
      <c r="AL312" s="154">
        <f t="shared" si="76"/>
        <v>0</v>
      </c>
      <c r="AM312" s="155"/>
      <c r="AN312" s="19">
        <f t="shared" si="77"/>
        <v>2276.6936000000001</v>
      </c>
      <c r="AO312" s="118">
        <f>SUMIF('MPG Payment '!E:E,'Shayak Income '!D312,'MPG Payment '!AJ:AJ)</f>
        <v>0</v>
      </c>
      <c r="AP312" s="19">
        <f t="shared" si="78"/>
        <v>2276.6936000000001</v>
      </c>
      <c r="AQ312" s="119">
        <f t="shared" si="88"/>
        <v>2276.6936000000001</v>
      </c>
      <c r="AR312" s="91"/>
      <c r="AS312" s="91">
        <f t="shared" si="79"/>
        <v>12800</v>
      </c>
      <c r="AT312" s="118"/>
      <c r="AU312" s="118"/>
      <c r="AV312" s="118"/>
    </row>
    <row r="313" spans="1:48" s="20" customFormat="1" x14ac:dyDescent="0.25">
      <c r="A313" s="17">
        <f>IFERROR(VLOOKUP(D313,'Monthly Deduction'!$I$3:$J$957,2,0),0)</f>
        <v>52891.591316453523</v>
      </c>
      <c r="B313" s="17">
        <f>IFERROR(VLOOKUP(D313,'Monthly Deduction'!$E$3:$F$957,2,0),0)</f>
        <v>9468.7371999999996</v>
      </c>
      <c r="C313" s="17">
        <f t="shared" si="80"/>
        <v>62360.328516453519</v>
      </c>
      <c r="D313" s="41">
        <v>10110118</v>
      </c>
      <c r="E313" s="122" t="str">
        <f>VLOOKUP(D313,'MPG Payment '!$E$3:$G$497305,2,0)</f>
        <v>GOMUKH BADIL TOL</v>
      </c>
      <c r="F313" s="146">
        <f>IFERROR(_xlfn.XLOOKUP(D313,'Monthly Deduction'!$I$3:$I$957,'Monthly Deduction'!$H$3:$H$957),0)</f>
        <v>0</v>
      </c>
      <c r="G313" s="123" t="str">
        <f>VLOOKUP(D313,'MPG Payment '!$E$3:$G$333666,3,0)</f>
        <v>MPG</v>
      </c>
      <c r="H313" s="124" t="str">
        <f>VLOOKUP(D313,'MPG Payment '!$E$3:$H$333666,4,0)</f>
        <v>Direct</v>
      </c>
      <c r="I313" s="88">
        <f>INDEX('MPG Payment '!$C:$C,MATCH('Shayak Income '!D313,'MPG Payment '!E:E,0))</f>
        <v>1054</v>
      </c>
      <c r="J313" s="88" t="str">
        <f>INDEX('MPG Payment '!$D:$D,MATCH('Shayak Income '!D313,'MPG Payment '!E:E,0))</f>
        <v xml:space="preserve">Alauli </v>
      </c>
      <c r="K313" s="125" t="s">
        <v>1594</v>
      </c>
      <c r="L313" s="125">
        <v>45745</v>
      </c>
      <c r="M313" s="126">
        <f>SUMIF('MPG Payment '!$E$3:$E$344841,'Shayak Income '!D313,'MPG Payment '!$I$3:$I$344841)</f>
        <v>1921.7</v>
      </c>
      <c r="N313" s="126">
        <f>SUMIF('MPG Payment '!$E$3:$E$344841,'Shayak Income '!D313,'MPG Payment '!$J$3:$J$344841)</f>
        <v>79664.66</v>
      </c>
      <c r="O313" s="126">
        <f t="shared" si="81"/>
        <v>1441.2750000000001</v>
      </c>
      <c r="P313" s="126">
        <f t="shared" si="82"/>
        <v>1825.615</v>
      </c>
      <c r="Q313" s="126">
        <f>SUMIF('MPG Payment '!$E$3:$E$344841,'Shayak Income '!D313,'MPG Payment '!$S$3:$S$344841)</f>
        <v>1862.83</v>
      </c>
      <c r="R313" s="126">
        <f t="shared" si="73"/>
        <v>2389.9398000000001</v>
      </c>
      <c r="S313" s="126">
        <f t="shared" si="74"/>
        <v>564.3248000000001</v>
      </c>
      <c r="T313" s="126">
        <f t="shared" si="83"/>
        <v>192.17000000000002</v>
      </c>
      <c r="U313" s="127">
        <f>((((((IF(K313="New",0,SUMIF('MPG Payment '!$E$3:$E$344841,'Shayak Income '!D313,'MPG Payment '!$AC$3:$AC$344841))))+0)+0)+0)+0)+0</f>
        <v>726.46358312923667</v>
      </c>
      <c r="V313" s="127">
        <f t="shared" si="84"/>
        <v>4211</v>
      </c>
      <c r="W313" s="19">
        <f t="shared" si="85"/>
        <v>1861</v>
      </c>
      <c r="X313" s="19">
        <v>0</v>
      </c>
      <c r="Y313" s="128">
        <f>IFERROR(VLOOKUP(D313,'Monthly Deduction'!$M$2:$N$640,2,0),0)</f>
        <v>0</v>
      </c>
      <c r="Z313" s="128">
        <v>0</v>
      </c>
      <c r="AA313" s="126">
        <f>IFERROR(VLOOKUP(D313,'Monthly Deduction'!A:B,2,0),0)</f>
        <v>423.73543080156105</v>
      </c>
      <c r="AB313" s="129">
        <f t="shared" si="75"/>
        <v>1926</v>
      </c>
      <c r="AC313" s="130">
        <v>0</v>
      </c>
      <c r="AD313" s="35">
        <f t="shared" si="86"/>
        <v>1926</v>
      </c>
      <c r="AE313" s="166" t="str">
        <f t="shared" si="87"/>
        <v>Release</v>
      </c>
      <c r="AF313" s="127"/>
      <c r="AG313" s="18">
        <v>0</v>
      </c>
      <c r="AH313" s="120"/>
      <c r="AI313" s="238">
        <v>0</v>
      </c>
      <c r="AJ313" s="132"/>
      <c r="AK313" s="151">
        <v>468.40000000000009</v>
      </c>
      <c r="AL313" s="154">
        <f t="shared" si="76"/>
        <v>0</v>
      </c>
      <c r="AM313" s="155"/>
      <c r="AN313" s="19">
        <f t="shared" si="77"/>
        <v>1861</v>
      </c>
      <c r="AO313" s="118">
        <f>SUMIF('MPG Payment '!E:E,'Shayak Income '!D313,'MPG Payment '!AJ:AJ)</f>
        <v>0</v>
      </c>
      <c r="AP313" s="19">
        <f t="shared" si="78"/>
        <v>1861</v>
      </c>
      <c r="AQ313" s="119">
        <f t="shared" si="88"/>
        <v>1861</v>
      </c>
      <c r="AR313" s="91" t="s">
        <v>1144</v>
      </c>
      <c r="AS313" s="91">
        <f t="shared" si="79"/>
        <v>9468.7371999999996</v>
      </c>
      <c r="AT313" s="118"/>
      <c r="AU313" s="118"/>
      <c r="AV313" s="118"/>
    </row>
    <row r="314" spans="1:48" s="20" customFormat="1" x14ac:dyDescent="0.25">
      <c r="A314" s="17">
        <f>IFERROR(VLOOKUP(D314,'Monthly Deduction'!$I$3:$J$957,2,0),0)</f>
        <v>74662</v>
      </c>
      <c r="B314" s="17">
        <f>IFERROR(VLOOKUP(D314,'Monthly Deduction'!$E$3:$F$957,2,0),0)</f>
        <v>12800</v>
      </c>
      <c r="C314" s="17">
        <f t="shared" si="80"/>
        <v>87462</v>
      </c>
      <c r="D314" s="41">
        <v>10110119</v>
      </c>
      <c r="E314" s="122" t="str">
        <f>VLOOKUP(D314,'MPG Payment '!$E$3:$G$497305,2,0)</f>
        <v>GOMUKH TRIBHUVAN TOLA</v>
      </c>
      <c r="F314" s="146">
        <f>IFERROR(_xlfn.XLOOKUP(D314,'Monthly Deduction'!$I$3:$I$957,'Monthly Deduction'!$H$3:$H$957),0)</f>
        <v>0</v>
      </c>
      <c r="G314" s="123" t="str">
        <f>VLOOKUP(D314,'MPG Payment '!$E$3:$G$333666,3,0)</f>
        <v>MPG</v>
      </c>
      <c r="H314" s="124" t="str">
        <f>VLOOKUP(D314,'MPG Payment '!$E$3:$H$333666,4,0)</f>
        <v>Direct</v>
      </c>
      <c r="I314" s="88">
        <f>INDEX('MPG Payment '!$C:$C,MATCH('Shayak Income '!D314,'MPG Payment '!E:E,0))</f>
        <v>1054</v>
      </c>
      <c r="J314" s="88" t="str">
        <f>INDEX('MPG Payment '!$D:$D,MATCH('Shayak Income '!D314,'MPG Payment '!E:E,0))</f>
        <v xml:space="preserve">Alauli </v>
      </c>
      <c r="K314" s="125" t="s">
        <v>1594</v>
      </c>
      <c r="L314" s="125">
        <v>45745</v>
      </c>
      <c r="M314" s="126">
        <f>SUMIF('MPG Payment '!$E$3:$E$344841,'Shayak Income '!D314,'MPG Payment '!$I$3:$I$344841)</f>
        <v>1635.6999999999998</v>
      </c>
      <c r="N314" s="126">
        <f>SUMIF('MPG Payment '!$E$3:$E$344841,'Shayak Income '!D314,'MPG Payment '!$J$3:$J$344841)</f>
        <v>62081.959999999992</v>
      </c>
      <c r="O314" s="126">
        <f t="shared" si="81"/>
        <v>1226.7749999999999</v>
      </c>
      <c r="P314" s="126">
        <f t="shared" si="82"/>
        <v>1553.9149999999997</v>
      </c>
      <c r="Q314" s="126">
        <f>SUMIF('MPG Payment '!$E$3:$E$344841,'Shayak Income '!D314,'MPG Payment '!$S$3:$S$344841)</f>
        <v>0</v>
      </c>
      <c r="R314" s="126">
        <f t="shared" si="73"/>
        <v>1862.4587999999997</v>
      </c>
      <c r="S314" s="126">
        <f t="shared" si="74"/>
        <v>308.54379999999992</v>
      </c>
      <c r="T314" s="126">
        <f t="shared" si="83"/>
        <v>163.57</v>
      </c>
      <c r="U314" s="127">
        <f>((((((IF(K314="New",0,SUMIF('MPG Payment '!$E$3:$E$344841,'Shayak Income '!D314,'MPG Payment '!$AC$3:$AC$344841))))+0)+0)+0)+0)+0</f>
        <v>883.7141846459408</v>
      </c>
      <c r="V314" s="127">
        <f t="shared" si="84"/>
        <v>1733</v>
      </c>
      <c r="W314" s="19">
        <v>1733</v>
      </c>
      <c r="X314" s="19">
        <v>0</v>
      </c>
      <c r="Y314" s="128">
        <f>IFERROR(VLOOKUP(D314,'Monthly Deduction'!$M$2:$N$640,2,0),0)</f>
        <v>0</v>
      </c>
      <c r="Z314" s="128">
        <v>0</v>
      </c>
      <c r="AA314" s="126">
        <v>0</v>
      </c>
      <c r="AB314" s="129">
        <f t="shared" si="75"/>
        <v>0</v>
      </c>
      <c r="AC314" s="130">
        <v>0</v>
      </c>
      <c r="AD314" s="35">
        <f t="shared" si="86"/>
        <v>0</v>
      </c>
      <c r="AE314" s="166" t="str">
        <f t="shared" si="87"/>
        <v>Release</v>
      </c>
      <c r="AF314" s="127"/>
      <c r="AG314" s="18">
        <v>0</v>
      </c>
      <c r="AH314" s="120"/>
      <c r="AI314" s="238">
        <v>0</v>
      </c>
      <c r="AJ314" s="132"/>
      <c r="AK314" s="151">
        <v>437.5</v>
      </c>
      <c r="AL314" s="154">
        <f t="shared" si="76"/>
        <v>0</v>
      </c>
      <c r="AM314" s="155"/>
      <c r="AN314" s="19">
        <f t="shared" si="77"/>
        <v>1861</v>
      </c>
      <c r="AO314" s="118">
        <f>SUMIF('MPG Payment '!E:E,'Shayak Income '!D314,'MPG Payment '!AJ:AJ)</f>
        <v>0</v>
      </c>
      <c r="AP314" s="19">
        <f t="shared" si="78"/>
        <v>1733</v>
      </c>
      <c r="AQ314" s="119">
        <f t="shared" si="88"/>
        <v>1733</v>
      </c>
      <c r="AR314" s="91"/>
      <c r="AS314" s="91">
        <f t="shared" si="79"/>
        <v>12800</v>
      </c>
      <c r="AT314" s="118"/>
      <c r="AU314" s="118"/>
      <c r="AV314" s="118"/>
    </row>
    <row r="315" spans="1:48" s="20" customFormat="1" x14ac:dyDescent="0.25">
      <c r="A315" s="17">
        <f>IFERROR(VLOOKUP(D315,'Monthly Deduction'!$I$3:$J$957,2,0),0)</f>
        <v>41528.920559550039</v>
      </c>
      <c r="B315" s="17">
        <f>IFERROR(VLOOKUP(D315,'Monthly Deduction'!$E$3:$F$957,2,0),0)</f>
        <v>14699</v>
      </c>
      <c r="C315" s="17">
        <f t="shared" si="80"/>
        <v>56227.920559550039</v>
      </c>
      <c r="D315" s="41">
        <v>10110120</v>
      </c>
      <c r="E315" s="122" t="str">
        <f>VLOOKUP(D315,'MPG Payment '!$E$3:$G$497305,2,0)</f>
        <v>GOMUKH SANTOSHPUL</v>
      </c>
      <c r="F315" s="146">
        <f>IFERROR(_xlfn.XLOOKUP(D315,'Monthly Deduction'!$I$3:$I$957,'Monthly Deduction'!$H$3:$H$957),0)</f>
        <v>0</v>
      </c>
      <c r="G315" s="123" t="str">
        <f>VLOOKUP(D315,'MPG Payment '!$E$3:$G$333666,3,0)</f>
        <v>MPG</v>
      </c>
      <c r="H315" s="124" t="str">
        <f>VLOOKUP(D315,'MPG Payment '!$E$3:$H$333666,4,0)</f>
        <v>Direct</v>
      </c>
      <c r="I315" s="88">
        <f>INDEX('MPG Payment '!$C:$C,MATCH('Shayak Income '!D315,'MPG Payment '!E:E,0))</f>
        <v>1054</v>
      </c>
      <c r="J315" s="88" t="str">
        <f>INDEX('MPG Payment '!$D:$D,MATCH('Shayak Income '!D315,'MPG Payment '!E:E,0))</f>
        <v xml:space="preserve">Alauli </v>
      </c>
      <c r="K315" s="125" t="s">
        <v>1594</v>
      </c>
      <c r="L315" s="125">
        <v>45819</v>
      </c>
      <c r="M315" s="126">
        <f>SUMIF('MPG Payment '!$E$3:$E$344841,'Shayak Income '!D315,'MPG Payment '!$I$3:$I$344841)</f>
        <v>4212.5</v>
      </c>
      <c r="N315" s="126">
        <f>SUMIF('MPG Payment '!$E$3:$E$344841,'Shayak Income '!D315,'MPG Payment '!$J$3:$J$344841)</f>
        <v>199304.04000000004</v>
      </c>
      <c r="O315" s="126">
        <f t="shared" si="81"/>
        <v>3159.375</v>
      </c>
      <c r="P315" s="126">
        <f t="shared" si="82"/>
        <v>4001.875</v>
      </c>
      <c r="Q315" s="126">
        <f>SUMIF('MPG Payment '!$E$3:$E$344841,'Shayak Income '!D315,'MPG Payment '!$S$3:$S$344841)</f>
        <v>0</v>
      </c>
      <c r="R315" s="126">
        <f t="shared" si="73"/>
        <v>5979.1212000000005</v>
      </c>
      <c r="S315" s="126">
        <f t="shared" si="74"/>
        <v>1977.2462000000005</v>
      </c>
      <c r="T315" s="126">
        <f t="shared" si="83"/>
        <v>421.25</v>
      </c>
      <c r="U315" s="127">
        <f>((((((IF(K315="New",0,SUMIF('MPG Payment '!$E$3:$E$344841,'Shayak Income '!D315,'MPG Payment '!$AC$3:$AC$344841))))+0)+0)+0)+0)+0</f>
        <v>0</v>
      </c>
      <c r="V315" s="127">
        <f t="shared" si="84"/>
        <v>6740</v>
      </c>
      <c r="W315" s="19">
        <f t="shared" si="85"/>
        <v>3986.0808000000006</v>
      </c>
      <c r="X315" s="19">
        <v>0</v>
      </c>
      <c r="Y315" s="128">
        <f>IFERROR(VLOOKUP(D315,'Monthly Deduction'!$M$2:$N$640,2,0),0)</f>
        <v>0</v>
      </c>
      <c r="Z315" s="128">
        <v>0</v>
      </c>
      <c r="AA315" s="126">
        <f>IFERROR(VLOOKUP(D315,'Monthly Deduction'!A:B,2,0),0)</f>
        <v>423.73543080156105</v>
      </c>
      <c r="AB315" s="129">
        <f t="shared" si="75"/>
        <v>2330</v>
      </c>
      <c r="AC315" s="130">
        <v>0</v>
      </c>
      <c r="AD315" s="35">
        <f t="shared" si="86"/>
        <v>2330</v>
      </c>
      <c r="AE315" s="166" t="str">
        <f t="shared" si="87"/>
        <v>Release</v>
      </c>
      <c r="AF315" s="127"/>
      <c r="AG315" s="127">
        <v>0</v>
      </c>
      <c r="AH315" s="132"/>
      <c r="AI315" s="238">
        <v>0</v>
      </c>
      <c r="AJ315" s="132"/>
      <c r="AK315" s="151">
        <v>1028.9999999999998</v>
      </c>
      <c r="AL315" s="154">
        <f t="shared" si="76"/>
        <v>0</v>
      </c>
      <c r="AM315" s="155"/>
      <c r="AN315" s="19">
        <f t="shared" si="77"/>
        <v>3986.0808000000006</v>
      </c>
      <c r="AO315" s="118">
        <f>SUMIF('MPG Payment '!E:E,'Shayak Income '!D315,'MPG Payment '!AJ:AJ)</f>
        <v>0</v>
      </c>
      <c r="AP315" s="19">
        <f t="shared" si="78"/>
        <v>3986.0808000000006</v>
      </c>
      <c r="AQ315" s="119">
        <f t="shared" si="88"/>
        <v>3986.0808000000006</v>
      </c>
      <c r="AR315" s="91" t="s">
        <v>1144</v>
      </c>
      <c r="AS315" s="91">
        <f t="shared" si="79"/>
        <v>14699</v>
      </c>
      <c r="AT315" s="118"/>
      <c r="AU315" s="118"/>
      <c r="AV315" s="118"/>
    </row>
    <row r="316" spans="1:48" s="20" customFormat="1" x14ac:dyDescent="0.25">
      <c r="A316" s="17">
        <f>IFERROR(VLOOKUP(D316,'Monthly Deduction'!$I$3:$J$957,2,0),0)</f>
        <v>71932</v>
      </c>
      <c r="B316" s="17">
        <f>IFERROR(VLOOKUP(D316,'Monthly Deduction'!$E$3:$F$957,2,0),0)</f>
        <v>11353.4992</v>
      </c>
      <c r="C316" s="17">
        <f t="shared" si="80"/>
        <v>83285.499200000006</v>
      </c>
      <c r="D316" s="41">
        <v>10110121</v>
      </c>
      <c r="E316" s="122" t="str">
        <f>VLOOKUP(D316,'MPG Payment '!$E$3:$G$497305,2,0)</f>
        <v>GOMUKH AHUNA</v>
      </c>
      <c r="F316" s="146">
        <f>IFERROR(_xlfn.XLOOKUP(D316,'Monthly Deduction'!$I$3:$I$957,'Monthly Deduction'!$H$3:$H$957),0)</f>
        <v>0</v>
      </c>
      <c r="G316" s="123" t="str">
        <f>VLOOKUP(D316,'MPG Payment '!$E$3:$G$333666,3,0)</f>
        <v>MPG</v>
      </c>
      <c r="H316" s="124" t="str">
        <f>VLOOKUP(D316,'MPG Payment '!$E$3:$H$333666,4,0)</f>
        <v>Direct</v>
      </c>
      <c r="I316" s="88">
        <f>INDEX('MPG Payment '!$C:$C,MATCH('Shayak Income '!D316,'MPG Payment '!E:E,0))</f>
        <v>1054</v>
      </c>
      <c r="J316" s="88" t="str">
        <f>INDEX('MPG Payment '!$D:$D,MATCH('Shayak Income '!D316,'MPG Payment '!E:E,0))</f>
        <v xml:space="preserve">Alauli </v>
      </c>
      <c r="K316" s="125" t="s">
        <v>1594</v>
      </c>
      <c r="L316" s="125">
        <v>45745</v>
      </c>
      <c r="M316" s="126">
        <f>SUMIF('MPG Payment '!$E$3:$E$344841,'Shayak Income '!D316,'MPG Payment '!$I$3:$I$344841)</f>
        <v>1413.3</v>
      </c>
      <c r="N316" s="126">
        <f>SUMIF('MPG Payment '!$E$3:$E$344841,'Shayak Income '!D316,'MPG Payment '!$J$3:$J$344841)</f>
        <v>55342.020000000004</v>
      </c>
      <c r="O316" s="126">
        <f t="shared" si="81"/>
        <v>1059.9749999999999</v>
      </c>
      <c r="P316" s="126">
        <f t="shared" si="82"/>
        <v>1342.635</v>
      </c>
      <c r="Q316" s="126">
        <f>SUMIF('MPG Payment '!$E$3:$E$344841,'Shayak Income '!D316,'MPG Payment '!$S$3:$S$344841)</f>
        <v>1005.87</v>
      </c>
      <c r="R316" s="126">
        <f t="shared" si="73"/>
        <v>1660.2606000000001</v>
      </c>
      <c r="S316" s="126">
        <f t="shared" si="74"/>
        <v>317.62560000000008</v>
      </c>
      <c r="T316" s="126">
        <f t="shared" si="83"/>
        <v>141.33000000000001</v>
      </c>
      <c r="U316" s="127">
        <f>((((((IF(K316="New",0,SUMIF('MPG Payment '!$E$3:$E$344841,'Shayak Income '!D316,'MPG Payment '!$AC$3:$AC$344841))))+0)+0)+0)+0)+0</f>
        <v>1086.4210776153354</v>
      </c>
      <c r="V316" s="127">
        <f t="shared" si="84"/>
        <v>2181</v>
      </c>
      <c r="W316" s="19">
        <f t="shared" si="85"/>
        <v>1861</v>
      </c>
      <c r="X316" s="19">
        <v>0</v>
      </c>
      <c r="Y316" s="128">
        <f>IFERROR(VLOOKUP(D316,'Monthly Deduction'!$M$2:$N$640,2,0),0)</f>
        <v>0</v>
      </c>
      <c r="Z316" s="128">
        <v>0</v>
      </c>
      <c r="AA316" s="126">
        <v>320</v>
      </c>
      <c r="AB316" s="129">
        <f t="shared" si="75"/>
        <v>0</v>
      </c>
      <c r="AC316" s="130">
        <v>0</v>
      </c>
      <c r="AD316" s="35">
        <f t="shared" si="86"/>
        <v>0</v>
      </c>
      <c r="AE316" s="166" t="str">
        <f t="shared" si="87"/>
        <v>Release</v>
      </c>
      <c r="AF316" s="127"/>
      <c r="AG316" s="18">
        <v>0</v>
      </c>
      <c r="AH316" s="120"/>
      <c r="AI316" s="238">
        <v>0</v>
      </c>
      <c r="AJ316" s="132"/>
      <c r="AK316" s="151">
        <v>336.50000000000006</v>
      </c>
      <c r="AL316" s="154">
        <f t="shared" si="76"/>
        <v>0</v>
      </c>
      <c r="AM316" s="155"/>
      <c r="AN316" s="19">
        <f t="shared" si="77"/>
        <v>1861</v>
      </c>
      <c r="AO316" s="118">
        <f>SUMIF('MPG Payment '!E:E,'Shayak Income '!D316,'MPG Payment '!AJ:AJ)</f>
        <v>0</v>
      </c>
      <c r="AP316" s="19">
        <f t="shared" si="78"/>
        <v>1861</v>
      </c>
      <c r="AQ316" s="119">
        <f t="shared" si="88"/>
        <v>1861</v>
      </c>
      <c r="AR316" s="91" t="s">
        <v>1144</v>
      </c>
      <c r="AS316" s="91">
        <f t="shared" si="79"/>
        <v>11353.4992</v>
      </c>
      <c r="AT316" s="118"/>
      <c r="AU316" s="118"/>
      <c r="AV316" s="118"/>
    </row>
    <row r="317" spans="1:48" s="20" customFormat="1" x14ac:dyDescent="0.25">
      <c r="A317" s="17">
        <f>IFERROR(VLOOKUP(D317,'Monthly Deduction'!$I$3:$J$957,2,0),0)</f>
        <v>49376.596188183947</v>
      </c>
      <c r="B317" s="17">
        <f>IFERROR(VLOOKUP(D317,'Monthly Deduction'!$E$3:$F$957,2,0),0)</f>
        <v>16000</v>
      </c>
      <c r="C317" s="17">
        <f t="shared" si="80"/>
        <v>65376.596188183947</v>
      </c>
      <c r="D317" s="41">
        <v>10110123</v>
      </c>
      <c r="E317" s="122" t="str">
        <f>VLOOKUP(D317,'MPG Payment '!$E$3:$G$497305,2,0)</f>
        <v>GOMUKH SHADIPUR</v>
      </c>
      <c r="F317" s="146">
        <f>IFERROR(_xlfn.XLOOKUP(D317,'Monthly Deduction'!$I$3:$I$957,'Monthly Deduction'!$H$3:$H$957),0)</f>
        <v>0</v>
      </c>
      <c r="G317" s="123" t="str">
        <f>VLOOKUP(D317,'MPG Payment '!$E$3:$G$333666,3,0)</f>
        <v>MPG</v>
      </c>
      <c r="H317" s="124" t="str">
        <f>VLOOKUP(D317,'MPG Payment '!$E$3:$H$333666,4,0)</f>
        <v>Direct</v>
      </c>
      <c r="I317" s="88">
        <f>INDEX('MPG Payment '!$C:$C,MATCH('Shayak Income '!D317,'MPG Payment '!E:E,0))</f>
        <v>1055</v>
      </c>
      <c r="J317" s="88" t="str">
        <f>INDEX('MPG Payment '!$D:$D,MATCH('Shayak Income '!D317,'MPG Payment '!E:E,0))</f>
        <v>Matihani</v>
      </c>
      <c r="K317" s="125" t="s">
        <v>1594</v>
      </c>
      <c r="L317" s="125">
        <v>45745</v>
      </c>
      <c r="M317" s="126">
        <f>SUMIF('MPG Payment '!$E$3:$E$344841,'Shayak Income '!D317,'MPG Payment '!$I$3:$I$344841)</f>
        <v>3741.6000000000004</v>
      </c>
      <c r="N317" s="126">
        <f>SUMIF('MPG Payment '!$E$3:$E$344841,'Shayak Income '!D317,'MPG Payment '!$J$3:$J$344841)</f>
        <v>157421.83999999997</v>
      </c>
      <c r="O317" s="126">
        <f t="shared" si="81"/>
        <v>2806.2000000000003</v>
      </c>
      <c r="P317" s="126">
        <f t="shared" si="82"/>
        <v>3554.52</v>
      </c>
      <c r="Q317" s="126">
        <f>SUMIF('MPG Payment '!$E$3:$E$344841,'Shayak Income '!D317,'MPG Payment '!$S$3:$S$344841)</f>
        <v>1941.2599999999998</v>
      </c>
      <c r="R317" s="126">
        <f t="shared" si="73"/>
        <v>4722.6551999999992</v>
      </c>
      <c r="S317" s="126">
        <f t="shared" si="74"/>
        <v>1168.1351999999993</v>
      </c>
      <c r="T317" s="126">
        <f t="shared" si="83"/>
        <v>374.16000000000008</v>
      </c>
      <c r="U317" s="127">
        <f>((((((IF(K317="New",0,SUMIF('MPG Payment '!$E$3:$E$344841,'Shayak Income '!D317,'MPG Payment '!$AC$3:$AC$344841))))+0)+0)+0)+0)+0</f>
        <v>0</v>
      </c>
      <c r="V317" s="127">
        <f t="shared" si="84"/>
        <v>7928</v>
      </c>
      <c r="W317" s="19">
        <f t="shared" si="85"/>
        <v>3148.4367999999995</v>
      </c>
      <c r="X317" s="19">
        <v>0</v>
      </c>
      <c r="Y317" s="128">
        <f>IFERROR(VLOOKUP(D317,'Monthly Deduction'!$M$2:$N$640,2,0),0)</f>
        <v>0</v>
      </c>
      <c r="Z317" s="128">
        <v>0</v>
      </c>
      <c r="AA317" s="126">
        <f>IFERROR(VLOOKUP(D317,'Monthly Deduction'!A:B,2,0),0)</f>
        <v>0</v>
      </c>
      <c r="AB317" s="129">
        <f t="shared" si="75"/>
        <v>4780</v>
      </c>
      <c r="AC317" s="130">
        <v>0</v>
      </c>
      <c r="AD317" s="35">
        <f t="shared" si="86"/>
        <v>4780</v>
      </c>
      <c r="AE317" s="166" t="str">
        <f t="shared" si="87"/>
        <v>Release</v>
      </c>
      <c r="AF317" s="127"/>
      <c r="AG317" s="18">
        <v>0</v>
      </c>
      <c r="AH317" s="120"/>
      <c r="AI317" s="238">
        <v>0</v>
      </c>
      <c r="AJ317" s="132"/>
      <c r="AK317" s="151">
        <v>919.90000000000009</v>
      </c>
      <c r="AL317" s="154">
        <f t="shared" si="76"/>
        <v>0</v>
      </c>
      <c r="AM317" s="155"/>
      <c r="AN317" s="19">
        <f t="shared" si="77"/>
        <v>3148.4367999999995</v>
      </c>
      <c r="AO317" s="118">
        <f>SUMIF('MPG Payment '!E:E,'Shayak Income '!D317,'MPG Payment '!AJ:AJ)</f>
        <v>0</v>
      </c>
      <c r="AP317" s="19">
        <f t="shared" si="78"/>
        <v>3148.4367999999995</v>
      </c>
      <c r="AQ317" s="119">
        <f t="shared" si="88"/>
        <v>3148.4367999999995</v>
      </c>
      <c r="AR317" s="91" t="s">
        <v>1144</v>
      </c>
      <c r="AS317" s="91">
        <f t="shared" si="79"/>
        <v>16000</v>
      </c>
      <c r="AT317" s="118"/>
      <c r="AU317" s="118"/>
      <c r="AV317" s="118"/>
    </row>
    <row r="318" spans="1:48" s="20" customFormat="1" x14ac:dyDescent="0.25">
      <c r="A318" s="17">
        <f>IFERROR(VLOOKUP(D318,'Monthly Deduction'!$I$3:$J$957,2,0),0)</f>
        <v>60280.2742534688</v>
      </c>
      <c r="B318" s="17">
        <f>IFERROR(VLOOKUP(D318,'Monthly Deduction'!$E$3:$F$957,2,0),0)</f>
        <v>19200</v>
      </c>
      <c r="C318" s="17">
        <f t="shared" si="80"/>
        <v>79480.2742534688</v>
      </c>
      <c r="D318" s="41">
        <v>10110124</v>
      </c>
      <c r="E318" s="122" t="str">
        <f>VLOOKUP(D318,'MPG Payment '!$E$3:$G$497305,2,0)</f>
        <v>GOMUKH ASHRAPHA DIYARA</v>
      </c>
      <c r="F318" s="146">
        <f>IFERROR(_xlfn.XLOOKUP(D318,'Monthly Deduction'!$I$3:$I$957,'Monthly Deduction'!$H$3:$H$957),0)</f>
        <v>0</v>
      </c>
      <c r="G318" s="123" t="str">
        <f>VLOOKUP(D318,'MPG Payment '!$E$3:$G$333666,3,0)</f>
        <v>MPG</v>
      </c>
      <c r="H318" s="124" t="str">
        <f>VLOOKUP(D318,'MPG Payment '!$E$3:$H$333666,4,0)</f>
        <v>Direct</v>
      </c>
      <c r="I318" s="88">
        <f>INDEX('MPG Payment '!$C:$C,MATCH('Shayak Income '!D318,'MPG Payment '!E:E,0))</f>
        <v>1055</v>
      </c>
      <c r="J318" s="88" t="str">
        <f>INDEX('MPG Payment '!$D:$D,MATCH('Shayak Income '!D318,'MPG Payment '!E:E,0))</f>
        <v>Matihani</v>
      </c>
      <c r="K318" s="125" t="s">
        <v>1594</v>
      </c>
      <c r="L318" s="125">
        <v>45745</v>
      </c>
      <c r="M318" s="126">
        <f>SUMIF('MPG Payment '!$E$3:$E$344841,'Shayak Income '!D318,'MPG Payment '!$I$3:$I$344841)</f>
        <v>4807</v>
      </c>
      <c r="N318" s="126">
        <f>SUMIF('MPG Payment '!$E$3:$E$344841,'Shayak Income '!D318,'MPG Payment '!$J$3:$J$344841)</f>
        <v>205642.51</v>
      </c>
      <c r="O318" s="126">
        <f t="shared" si="81"/>
        <v>3605.25</v>
      </c>
      <c r="P318" s="126">
        <f t="shared" si="82"/>
        <v>4566.6499999999996</v>
      </c>
      <c r="Q318" s="126">
        <f>SUMIF('MPG Payment '!$E$3:$E$344841,'Shayak Income '!D318,'MPG Payment '!$S$3:$S$344841)</f>
        <v>1458.76</v>
      </c>
      <c r="R318" s="126">
        <f t="shared" si="73"/>
        <v>6169.2753000000002</v>
      </c>
      <c r="S318" s="126">
        <f t="shared" si="74"/>
        <v>1602.6253000000006</v>
      </c>
      <c r="T318" s="126">
        <f t="shared" si="83"/>
        <v>480.70000000000005</v>
      </c>
      <c r="U318" s="127">
        <f>((((((IF(K318="New",0,SUMIF('MPG Payment '!$E$3:$E$344841,'Shayak Income '!D318,'MPG Payment '!$AC$3:$AC$344841))))+0)+0)+0)+0)+0</f>
        <v>0</v>
      </c>
      <c r="V318" s="127">
        <f t="shared" si="84"/>
        <v>9150</v>
      </c>
      <c r="W318" s="19">
        <f t="shared" si="85"/>
        <v>4112.8501999999999</v>
      </c>
      <c r="X318" s="19">
        <v>0</v>
      </c>
      <c r="Y318" s="128">
        <f>IFERROR(VLOOKUP(D318,'Monthly Deduction'!$M$2:$N$640,2,0),0)</f>
        <v>0</v>
      </c>
      <c r="Z318" s="128">
        <v>0</v>
      </c>
      <c r="AA318" s="126">
        <f>IFERROR(VLOOKUP(D318,'Monthly Deduction'!A:B,2,0),0)</f>
        <v>0</v>
      </c>
      <c r="AB318" s="129">
        <f t="shared" si="75"/>
        <v>5037</v>
      </c>
      <c r="AC318" s="130">
        <v>0</v>
      </c>
      <c r="AD318" s="35">
        <f t="shared" si="86"/>
        <v>5037</v>
      </c>
      <c r="AE318" s="166" t="str">
        <f t="shared" si="87"/>
        <v>Release</v>
      </c>
      <c r="AF318" s="127"/>
      <c r="AG318" s="18">
        <v>0</v>
      </c>
      <c r="AH318" s="120"/>
      <c r="AI318" s="238">
        <v>0</v>
      </c>
      <c r="AJ318" s="132"/>
      <c r="AK318" s="151">
        <v>1122.6999999999998</v>
      </c>
      <c r="AL318" s="154">
        <f t="shared" si="76"/>
        <v>0</v>
      </c>
      <c r="AM318" s="155"/>
      <c r="AN318" s="19">
        <f t="shared" si="77"/>
        <v>4112.8501999999999</v>
      </c>
      <c r="AO318" s="118">
        <f>SUMIF('MPG Payment '!E:E,'Shayak Income '!D318,'MPG Payment '!AJ:AJ)</f>
        <v>0</v>
      </c>
      <c r="AP318" s="19">
        <f t="shared" si="78"/>
        <v>4112.8501999999999</v>
      </c>
      <c r="AQ318" s="119">
        <f t="shared" si="88"/>
        <v>4112.8501999999999</v>
      </c>
      <c r="AR318" s="91" t="s">
        <v>1144</v>
      </c>
      <c r="AS318" s="91">
        <f t="shared" si="79"/>
        <v>19200</v>
      </c>
      <c r="AT318" s="118"/>
      <c r="AU318" s="118"/>
      <c r="AV318" s="118"/>
    </row>
    <row r="319" spans="1:48" s="20" customFormat="1" x14ac:dyDescent="0.25">
      <c r="A319" s="17">
        <f>IFERROR(VLOOKUP(D319,'Monthly Deduction'!$I$3:$J$957,2,0),0)</f>
        <v>57078.936101513798</v>
      </c>
      <c r="B319" s="17">
        <f>IFERROR(VLOOKUP(D319,'Monthly Deduction'!$E$3:$F$957,2,0),0)</f>
        <v>12496.7984</v>
      </c>
      <c r="C319" s="17">
        <f t="shared" si="80"/>
        <v>69575.734501513798</v>
      </c>
      <c r="D319" s="41">
        <v>10110128</v>
      </c>
      <c r="E319" s="122" t="str">
        <f>VLOOKUP(D319,'MPG Payment '!$E$3:$G$497305,2,0)</f>
        <v>GOMUKH MANIAPPA</v>
      </c>
      <c r="F319" s="146">
        <f>IFERROR(_xlfn.XLOOKUP(D319,'Monthly Deduction'!$I$3:$I$957,'Monthly Deduction'!$H$3:$H$957),0)</f>
        <v>0</v>
      </c>
      <c r="G319" s="123" t="str">
        <f>VLOOKUP(D319,'MPG Payment '!$E$3:$G$333666,3,0)</f>
        <v>MPG</v>
      </c>
      <c r="H319" s="124" t="str">
        <f>VLOOKUP(D319,'MPG Payment '!$E$3:$H$333666,4,0)</f>
        <v>Direct</v>
      </c>
      <c r="I319" s="88">
        <f>INDEX('MPG Payment '!$C:$C,MATCH('Shayak Income '!D319,'MPG Payment '!E:E,0))</f>
        <v>1055</v>
      </c>
      <c r="J319" s="88" t="str">
        <f>INDEX('MPG Payment '!$D:$D,MATCH('Shayak Income '!D319,'MPG Payment '!E:E,0))</f>
        <v>Matihani</v>
      </c>
      <c r="K319" s="125" t="s">
        <v>1594</v>
      </c>
      <c r="L319" s="125">
        <v>45745</v>
      </c>
      <c r="M319" s="126">
        <f>SUMIF('MPG Payment '!$E$3:$E$344841,'Shayak Income '!D319,'MPG Payment '!$I$3:$I$344841)</f>
        <v>2037.3000000000002</v>
      </c>
      <c r="N319" s="126">
        <f>SUMIF('MPG Payment '!$E$3:$E$344841,'Shayak Income '!D319,'MPG Payment '!$J$3:$J$344841)</f>
        <v>83900.57</v>
      </c>
      <c r="O319" s="126">
        <f t="shared" si="81"/>
        <v>1527.9750000000001</v>
      </c>
      <c r="P319" s="126">
        <f t="shared" si="82"/>
        <v>1935.4350000000002</v>
      </c>
      <c r="Q319" s="126">
        <f>SUMIF('MPG Payment '!$E$3:$E$344841,'Shayak Income '!D319,'MPG Payment '!$S$3:$S$344841)</f>
        <v>481.44</v>
      </c>
      <c r="R319" s="126">
        <f t="shared" si="73"/>
        <v>2517.0171</v>
      </c>
      <c r="S319" s="126">
        <f t="shared" si="74"/>
        <v>581.58209999999985</v>
      </c>
      <c r="T319" s="126">
        <f t="shared" si="83"/>
        <v>203.73000000000002</v>
      </c>
      <c r="U319" s="127">
        <f>((((((IF(K319="New",0,SUMIF('MPG Payment '!$E$3:$E$344841,'Shayak Income '!D319,'MPG Payment '!$AC$3:$AC$344841))))+0)+0)+0)+0)+0</f>
        <v>639.79104842281163</v>
      </c>
      <c r="V319" s="127">
        <f t="shared" si="84"/>
        <v>3101</v>
      </c>
      <c r="W319" s="19">
        <f t="shared" si="85"/>
        <v>1861</v>
      </c>
      <c r="X319" s="19">
        <v>0</v>
      </c>
      <c r="Y319" s="128">
        <f>IFERROR(VLOOKUP(D319,'Monthly Deduction'!$M$2:$N$640,2,0),0)</f>
        <v>0</v>
      </c>
      <c r="Z319" s="128">
        <v>0</v>
      </c>
      <c r="AA319" s="126">
        <f>IFERROR(VLOOKUP(D319,'Monthly Deduction'!A:B,2,0),0)</f>
        <v>0</v>
      </c>
      <c r="AB319" s="129">
        <f t="shared" si="75"/>
        <v>1240</v>
      </c>
      <c r="AC319" s="130">
        <v>0</v>
      </c>
      <c r="AD319" s="35">
        <f t="shared" si="86"/>
        <v>1240</v>
      </c>
      <c r="AE319" s="166" t="str">
        <f t="shared" si="87"/>
        <v>Release</v>
      </c>
      <c r="AF319" s="127"/>
      <c r="AG319" s="127">
        <v>0</v>
      </c>
      <c r="AH319" s="120" t="s">
        <v>1685</v>
      </c>
      <c r="AI319" s="238">
        <v>2885</v>
      </c>
      <c r="AJ319" s="132" t="s">
        <v>68</v>
      </c>
      <c r="AK319" s="151">
        <v>232.1</v>
      </c>
      <c r="AL319" s="154">
        <f t="shared" si="76"/>
        <v>0</v>
      </c>
      <c r="AM319" s="155"/>
      <c r="AN319" s="19">
        <f t="shared" si="77"/>
        <v>1861</v>
      </c>
      <c r="AO319" s="118">
        <f>SUMIF('MPG Payment '!E:E,'Shayak Income '!D319,'MPG Payment '!AJ:AJ)</f>
        <v>0</v>
      </c>
      <c r="AP319" s="19">
        <f t="shared" si="78"/>
        <v>1861</v>
      </c>
      <c r="AQ319" s="119">
        <f t="shared" si="88"/>
        <v>1861</v>
      </c>
      <c r="AR319" s="91" t="s">
        <v>1144</v>
      </c>
      <c r="AS319" s="91">
        <f t="shared" si="79"/>
        <v>12496.7984</v>
      </c>
      <c r="AT319" s="118"/>
      <c r="AU319" s="118"/>
      <c r="AV319" s="118"/>
    </row>
    <row r="320" spans="1:48" s="20" customFormat="1" x14ac:dyDescent="0.25">
      <c r="A320" s="17">
        <f>IFERROR(VLOOKUP(D320,'Monthly Deduction'!$I$3:$J$957,2,0),0)</f>
        <v>59490.996186488534</v>
      </c>
      <c r="B320" s="17">
        <f>IFERROR(VLOOKUP(D320,'Monthly Deduction'!$E$3:$F$957,2,0),0)</f>
        <v>9862.2540000000008</v>
      </c>
      <c r="C320" s="17">
        <f t="shared" si="80"/>
        <v>69353.250186488527</v>
      </c>
      <c r="D320" s="41">
        <v>10110129</v>
      </c>
      <c r="E320" s="122" t="str">
        <f>VLOOKUP(D320,'MPG Payment '!$E$3:$G$497305,2,0)</f>
        <v>GOMUKH D SANJHAUTI</v>
      </c>
      <c r="F320" s="146">
        <f>IFERROR(_xlfn.XLOOKUP(D320,'Monthly Deduction'!$I$3:$I$957,'Monthly Deduction'!$H$3:$H$957),0)</f>
        <v>0</v>
      </c>
      <c r="G320" s="123" t="str">
        <f>VLOOKUP(D320,'MPG Payment '!$E$3:$G$333666,3,0)</f>
        <v>MPG</v>
      </c>
      <c r="H320" s="124" t="str">
        <f>VLOOKUP(D320,'MPG Payment '!$E$3:$H$333666,4,0)</f>
        <v>Direct</v>
      </c>
      <c r="I320" s="88">
        <f>INDEX('MPG Payment '!$C:$C,MATCH('Shayak Income '!D320,'MPG Payment '!E:E,0))</f>
        <v>1054</v>
      </c>
      <c r="J320" s="88" t="str">
        <f>INDEX('MPG Payment '!$D:$D,MATCH('Shayak Income '!D320,'MPG Payment '!E:E,0))</f>
        <v xml:space="preserve">Alauli </v>
      </c>
      <c r="K320" s="125" t="s">
        <v>1594</v>
      </c>
      <c r="L320" s="125">
        <v>45831</v>
      </c>
      <c r="M320" s="126">
        <f>SUMIF('MPG Payment '!$E$3:$E$344841,'Shayak Income '!D320,'MPG Payment '!$I$3:$I$344841)</f>
        <v>2949.2</v>
      </c>
      <c r="N320" s="126">
        <f>SUMIF('MPG Payment '!$E$3:$E$344841,'Shayak Income '!D320,'MPG Payment '!$J$3:$J$344841)</f>
        <v>111978.91</v>
      </c>
      <c r="O320" s="126">
        <f t="shared" si="81"/>
        <v>2211.8999999999996</v>
      </c>
      <c r="P320" s="126">
        <f t="shared" si="82"/>
        <v>2801.74</v>
      </c>
      <c r="Q320" s="126">
        <f>SUMIF('MPG Payment '!$E$3:$E$344841,'Shayak Income '!D320,'MPG Payment '!$S$3:$S$344841)</f>
        <v>0</v>
      </c>
      <c r="R320" s="126">
        <f t="shared" si="73"/>
        <v>3359.3672999999999</v>
      </c>
      <c r="S320" s="126">
        <f t="shared" si="74"/>
        <v>557.6273000000001</v>
      </c>
      <c r="T320" s="126">
        <f t="shared" si="83"/>
        <v>294.92</v>
      </c>
      <c r="U320" s="127">
        <f>((((((IF(K320="New",0,SUMIF('MPG Payment '!$E$3:$E$344841,'Shayak Income '!D320,'MPG Payment '!$AC$3:$AC$344841))))+0)+0)+0)+0)+0</f>
        <v>60.415949321267007</v>
      </c>
      <c r="V320" s="127">
        <f t="shared" si="84"/>
        <v>4658</v>
      </c>
      <c r="W320" s="19">
        <f t="shared" si="85"/>
        <v>2239.5781999999999</v>
      </c>
      <c r="X320" s="19">
        <v>0</v>
      </c>
      <c r="Y320" s="128">
        <f>IFERROR(VLOOKUP(D320,'Monthly Deduction'!$M$2:$N$640,2,0),0)</f>
        <v>0</v>
      </c>
      <c r="Z320" s="128">
        <v>0</v>
      </c>
      <c r="AA320" s="126">
        <f>IFERROR(VLOOKUP(D320,'Monthly Deduction'!A:B,2,0),0)</f>
        <v>423.73543080156105</v>
      </c>
      <c r="AB320" s="129">
        <f t="shared" si="75"/>
        <v>1995</v>
      </c>
      <c r="AC320" s="130">
        <v>0</v>
      </c>
      <c r="AD320" s="35">
        <f t="shared" si="86"/>
        <v>1995</v>
      </c>
      <c r="AE320" s="166" t="str">
        <f t="shared" si="87"/>
        <v>Release</v>
      </c>
      <c r="AF320" s="127"/>
      <c r="AG320" s="18">
        <v>0</v>
      </c>
      <c r="AH320" s="120"/>
      <c r="AI320" s="238">
        <v>0</v>
      </c>
      <c r="AJ320" s="132"/>
      <c r="AK320" s="151">
        <v>628.80000000000018</v>
      </c>
      <c r="AL320" s="154">
        <f t="shared" si="76"/>
        <v>0</v>
      </c>
      <c r="AM320" s="155"/>
      <c r="AN320" s="19">
        <f t="shared" si="77"/>
        <v>2239.5781999999999</v>
      </c>
      <c r="AO320" s="118">
        <f>SUMIF('MPG Payment '!E:E,'Shayak Income '!D320,'MPG Payment '!AJ:AJ)</f>
        <v>0</v>
      </c>
      <c r="AP320" s="19">
        <f t="shared" si="78"/>
        <v>2239.5781999999999</v>
      </c>
      <c r="AQ320" s="119">
        <f t="shared" si="88"/>
        <v>2239.5781999999999</v>
      </c>
      <c r="AR320" s="91" t="s">
        <v>1144</v>
      </c>
      <c r="AS320" s="91">
        <f t="shared" si="79"/>
        <v>9862.2540000000008</v>
      </c>
      <c r="AT320" s="118"/>
      <c r="AU320" s="118"/>
      <c r="AV320" s="118"/>
    </row>
    <row r="321" spans="1:48" s="20" customFormat="1" x14ac:dyDescent="0.25">
      <c r="A321" s="17">
        <f>IFERROR(VLOOKUP(D321,'Monthly Deduction'!$I$3:$J$957,2,0),0)</f>
        <v>85443</v>
      </c>
      <c r="B321" s="17">
        <f>IFERROR(VLOOKUP(D321,'Monthly Deduction'!$E$3:$F$957,2,0),0)</f>
        <v>6400</v>
      </c>
      <c r="C321" s="17">
        <f t="shared" si="80"/>
        <v>91843</v>
      </c>
      <c r="D321" s="41">
        <v>10110132</v>
      </c>
      <c r="E321" s="122" t="str">
        <f>VLOOKUP(D321,'MPG Payment '!$E$3:$G$497305,2,0)</f>
        <v>GOMUKH DHUSMURI BISHANPUR</v>
      </c>
      <c r="F321" s="146">
        <f>IFERROR(_xlfn.XLOOKUP(D321,'Monthly Deduction'!$I$3:$I$957,'Monthly Deduction'!$H$3:$H$957),0)</f>
        <v>0</v>
      </c>
      <c r="G321" s="123" t="str">
        <f>VLOOKUP(D321,'MPG Payment '!$E$3:$G$333666,3,0)</f>
        <v>MPG</v>
      </c>
      <c r="H321" s="124" t="str">
        <f>VLOOKUP(D321,'MPG Payment '!$E$3:$H$333666,4,0)</f>
        <v>Direct</v>
      </c>
      <c r="I321" s="88">
        <f>INDEX('MPG Payment '!$C:$C,MATCH('Shayak Income '!D321,'MPG Payment '!E:E,0))</f>
        <v>1054</v>
      </c>
      <c r="J321" s="88" t="str">
        <f>INDEX('MPG Payment '!$D:$D,MATCH('Shayak Income '!D321,'MPG Payment '!E:E,0))</f>
        <v xml:space="preserve">Alauli </v>
      </c>
      <c r="K321" s="125" t="s">
        <v>1594</v>
      </c>
      <c r="L321" s="125">
        <v>45772</v>
      </c>
      <c r="M321" s="126">
        <f>SUMIF('MPG Payment '!$E$3:$E$344841,'Shayak Income '!D321,'MPG Payment '!$I$3:$I$344841)</f>
        <v>1422.1</v>
      </c>
      <c r="N321" s="126">
        <f>SUMIF('MPG Payment '!$E$3:$E$344841,'Shayak Income '!D321,'MPG Payment '!$J$3:$J$344841)</f>
        <v>57334.210000000006</v>
      </c>
      <c r="O321" s="126">
        <f t="shared" si="81"/>
        <v>1066.5749999999998</v>
      </c>
      <c r="P321" s="126">
        <f t="shared" si="82"/>
        <v>1350.9949999999999</v>
      </c>
      <c r="Q321" s="126">
        <f>SUMIF('MPG Payment '!$E$3:$E$344841,'Shayak Income '!D321,'MPG Payment '!$S$3:$S$344841)</f>
        <v>0</v>
      </c>
      <c r="R321" s="126">
        <f t="shared" si="73"/>
        <v>1720.0263000000002</v>
      </c>
      <c r="S321" s="126">
        <f t="shared" si="74"/>
        <v>369.03130000000033</v>
      </c>
      <c r="T321" s="126">
        <f t="shared" si="83"/>
        <v>142.21</v>
      </c>
      <c r="U321" s="127">
        <f>((((((IF(K321="New",0,SUMIF('MPG Payment '!$E$3:$E$344841,'Shayak Income '!D321,'MPG Payment '!$AC$3:$AC$344841))))+0)+0)+0)+0)+0</f>
        <v>1117.0404785173514</v>
      </c>
      <c r="V321" s="127">
        <f t="shared" si="84"/>
        <v>1158</v>
      </c>
      <c r="W321" s="19">
        <v>0</v>
      </c>
      <c r="X321" s="19">
        <f t="shared" si="89"/>
        <v>1146.6842000000001</v>
      </c>
      <c r="Y321" s="128">
        <f>IFERROR(VLOOKUP(D321,'Monthly Deduction'!$M$2:$N$640,2,0),0)</f>
        <v>0</v>
      </c>
      <c r="Z321" s="128">
        <v>0</v>
      </c>
      <c r="AA321" s="126">
        <v>11</v>
      </c>
      <c r="AB321" s="129">
        <f t="shared" si="75"/>
        <v>0</v>
      </c>
      <c r="AC321" s="130">
        <f>AB321</f>
        <v>0</v>
      </c>
      <c r="AD321" s="35">
        <f t="shared" si="86"/>
        <v>0</v>
      </c>
      <c r="AE321" s="166" t="str">
        <f t="shared" si="87"/>
        <v>Release</v>
      </c>
      <c r="AF321" s="127"/>
      <c r="AG321" s="18">
        <v>0</v>
      </c>
      <c r="AH321" s="120" t="s">
        <v>1685</v>
      </c>
      <c r="AI321" s="238">
        <v>9492</v>
      </c>
      <c r="AJ321" s="132"/>
      <c r="AK321" s="151">
        <v>325.3</v>
      </c>
      <c r="AL321" s="154">
        <f t="shared" si="76"/>
        <v>0</v>
      </c>
      <c r="AM321" s="155"/>
      <c r="AN321" s="19">
        <f t="shared" si="77"/>
        <v>1861</v>
      </c>
      <c r="AO321" s="118">
        <f>SUMIF('MPG Payment '!E:E,'Shayak Income '!D321,'MPG Payment '!AJ:AJ)</f>
        <v>2000</v>
      </c>
      <c r="AP321" s="19">
        <f t="shared" si="78"/>
        <v>0</v>
      </c>
      <c r="AQ321" s="119">
        <f t="shared" si="88"/>
        <v>2000</v>
      </c>
      <c r="AR321" s="91" t="s">
        <v>65</v>
      </c>
      <c r="AS321" s="91">
        <f t="shared" si="79"/>
        <v>5253.3158000000003</v>
      </c>
      <c r="AT321" s="118"/>
      <c r="AU321" s="118"/>
      <c r="AV321" s="118"/>
    </row>
    <row r="322" spans="1:48" s="20" customFormat="1" x14ac:dyDescent="0.25">
      <c r="A322" s="17">
        <f>IFERROR(VLOOKUP(D322,'Monthly Deduction'!$I$3:$J$957,2,0),0)</f>
        <v>0</v>
      </c>
      <c r="B322" s="17">
        <f>IFERROR(VLOOKUP(D322,'Monthly Deduction'!$E$3:$F$957,2,0),0)</f>
        <v>9828.4258075318721</v>
      </c>
      <c r="C322" s="17">
        <f t="shared" si="80"/>
        <v>9828.4258075318721</v>
      </c>
      <c r="D322" s="41">
        <v>10110133</v>
      </c>
      <c r="E322" s="122" t="str">
        <f>VLOOKUP(D322,'MPG Payment '!$E$3:$G$497305,2,0)</f>
        <v>GOMUKH ANANDPUR PARAS</v>
      </c>
      <c r="F322" s="146">
        <f>IFERROR(_xlfn.XLOOKUP(D322,'Monthly Deduction'!$I$3:$I$957,'Monthly Deduction'!$H$3:$H$957),0)</f>
        <v>0</v>
      </c>
      <c r="G322" s="123" t="str">
        <f>VLOOKUP(D322,'MPG Payment '!$E$3:$G$333666,3,0)</f>
        <v>MPG</v>
      </c>
      <c r="H322" s="124" t="str">
        <f>VLOOKUP(D322,'MPG Payment '!$E$3:$H$333666,4,0)</f>
        <v>Direct</v>
      </c>
      <c r="I322" s="88">
        <f>INDEX('MPG Payment '!$C:$C,MATCH('Shayak Income '!D322,'MPG Payment '!E:E,0))</f>
        <v>1054</v>
      </c>
      <c r="J322" s="88" t="str">
        <f>INDEX('MPG Payment '!$D:$D,MATCH('Shayak Income '!D322,'MPG Payment '!E:E,0))</f>
        <v xml:space="preserve">Alauli </v>
      </c>
      <c r="K322" s="125" t="s">
        <v>1594</v>
      </c>
      <c r="L322" s="125">
        <v>45786</v>
      </c>
      <c r="M322" s="126">
        <f>SUMIF('MPG Payment '!$E$3:$E$344841,'Shayak Income '!D322,'MPG Payment '!$I$3:$I$344841)</f>
        <v>11005.300000000001</v>
      </c>
      <c r="N322" s="126">
        <f>SUMIF('MPG Payment '!$E$3:$E$344841,'Shayak Income '!D322,'MPG Payment '!$J$3:$J$344841)</f>
        <v>438053.83</v>
      </c>
      <c r="O322" s="126">
        <f t="shared" si="81"/>
        <v>8253.9750000000004</v>
      </c>
      <c r="P322" s="126">
        <f t="shared" si="82"/>
        <v>10455.035</v>
      </c>
      <c r="Q322" s="126">
        <f>SUMIF('MPG Payment '!$E$3:$E$344841,'Shayak Income '!D322,'MPG Payment '!$S$3:$S$344841)</f>
        <v>0</v>
      </c>
      <c r="R322" s="126">
        <f t="shared" si="73"/>
        <v>13141.6149</v>
      </c>
      <c r="S322" s="126">
        <f t="shared" si="74"/>
        <v>2686.5799000000006</v>
      </c>
      <c r="T322" s="126">
        <f t="shared" si="83"/>
        <v>1100.5300000000002</v>
      </c>
      <c r="U322" s="127">
        <f>((((((IF(K322="New",0,SUMIF('MPG Payment '!$E$3:$E$344841,'Shayak Income '!D322,'MPG Payment '!$AC$3:$AC$344841))))+0)+0)+0)+0)+0</f>
        <v>0</v>
      </c>
      <c r="V322" s="127">
        <f t="shared" si="84"/>
        <v>17608</v>
      </c>
      <c r="W322" s="19">
        <f t="shared" si="85"/>
        <v>0</v>
      </c>
      <c r="X322" s="19">
        <f t="shared" si="89"/>
        <v>8761.0766000000003</v>
      </c>
      <c r="Y322" s="128">
        <f>IFERROR(VLOOKUP(D322,'Monthly Deduction'!$M$2:$N$640,2,0),0)</f>
        <v>0</v>
      </c>
      <c r="Z322" s="128">
        <v>0</v>
      </c>
      <c r="AA322" s="126">
        <f>IFERROR(VLOOKUP(D322,'Monthly Deduction'!A:B,2,0),0)</f>
        <v>753.06</v>
      </c>
      <c r="AB322" s="129">
        <f t="shared" si="75"/>
        <v>8094</v>
      </c>
      <c r="AC322" s="130">
        <v>0</v>
      </c>
      <c r="AD322" s="35">
        <f t="shared" si="86"/>
        <v>8094</v>
      </c>
      <c r="AE322" s="166" t="str">
        <f t="shared" si="87"/>
        <v>Release</v>
      </c>
      <c r="AF322" s="127"/>
      <c r="AG322" s="18">
        <v>0</v>
      </c>
      <c r="AH322" s="120"/>
      <c r="AI322" s="238">
        <v>0</v>
      </c>
      <c r="AJ322" s="132"/>
      <c r="AK322" s="151">
        <v>2945.3999999999996</v>
      </c>
      <c r="AL322" s="154">
        <f t="shared" si="76"/>
        <v>0</v>
      </c>
      <c r="AM322" s="155"/>
      <c r="AN322" s="19">
        <f t="shared" si="77"/>
        <v>0</v>
      </c>
      <c r="AO322" s="118">
        <f>SUMIF('MPG Payment '!E:E,'Shayak Income '!D322,'MPG Payment '!AJ:AJ)</f>
        <v>0</v>
      </c>
      <c r="AP322" s="19">
        <f t="shared" si="78"/>
        <v>0</v>
      </c>
      <c r="AQ322" s="119">
        <f t="shared" si="88"/>
        <v>0</v>
      </c>
      <c r="AR322" s="91" t="s">
        <v>1144</v>
      </c>
      <c r="AS322" s="91">
        <f t="shared" si="79"/>
        <v>1067.3492075318718</v>
      </c>
      <c r="AT322" s="118"/>
      <c r="AU322" s="118"/>
      <c r="AV322" s="118"/>
    </row>
    <row r="323" spans="1:48" s="20" customFormat="1" x14ac:dyDescent="0.25">
      <c r="A323" s="17">
        <f>IFERROR(VLOOKUP(D323,'Monthly Deduction'!$I$3:$J$957,2,0),0)</f>
        <v>78732</v>
      </c>
      <c r="B323" s="17">
        <f>IFERROR(VLOOKUP(D323,'Monthly Deduction'!$E$3:$F$957,2,0),0)</f>
        <v>12800</v>
      </c>
      <c r="C323" s="17">
        <f t="shared" si="80"/>
        <v>91532</v>
      </c>
      <c r="D323" s="41">
        <v>10110134</v>
      </c>
      <c r="E323" s="122" t="str">
        <f>VLOOKUP(D323,'MPG Payment '!$E$3:$G$497305,2,0)</f>
        <v>Gomukh Bishanpur</v>
      </c>
      <c r="F323" s="146">
        <f>IFERROR(_xlfn.XLOOKUP(D323,'Monthly Deduction'!$I$3:$I$957,'Monthly Deduction'!$H$3:$H$957),0)</f>
        <v>0</v>
      </c>
      <c r="G323" s="123" t="str">
        <f>VLOOKUP(D323,'MPG Payment '!$E$3:$G$333666,3,0)</f>
        <v>MPG</v>
      </c>
      <c r="H323" s="124" t="str">
        <f>VLOOKUP(D323,'MPG Payment '!$E$3:$H$333666,4,0)</f>
        <v>Direct</v>
      </c>
      <c r="I323" s="88">
        <f>INDEX('MPG Payment '!$C:$C,MATCH('Shayak Income '!D323,'MPG Payment '!E:E,0))</f>
        <v>1054</v>
      </c>
      <c r="J323" s="88" t="str">
        <f>INDEX('MPG Payment '!$D:$D,MATCH('Shayak Income '!D323,'MPG Payment '!E:E,0))</f>
        <v xml:space="preserve">Alauli </v>
      </c>
      <c r="K323" s="125" t="s">
        <v>1594</v>
      </c>
      <c r="L323" s="125">
        <v>45770</v>
      </c>
      <c r="M323" s="126">
        <f>SUMIF('MPG Payment '!$E$3:$E$344841,'Shayak Income '!D323,'MPG Payment '!$I$3:$I$344841)</f>
        <v>1149.5999999999999</v>
      </c>
      <c r="N323" s="126">
        <f>SUMIF('MPG Payment '!$E$3:$E$344841,'Shayak Income '!D323,'MPG Payment '!$J$3:$J$344841)</f>
        <v>48897.91</v>
      </c>
      <c r="O323" s="126">
        <f t="shared" si="81"/>
        <v>862.19999999999993</v>
      </c>
      <c r="P323" s="126">
        <f t="shared" si="82"/>
        <v>1092.1199999999999</v>
      </c>
      <c r="Q323" s="126">
        <f>SUMIF('MPG Payment '!$E$3:$E$344841,'Shayak Income '!D323,'MPG Payment '!$S$3:$S$344841)</f>
        <v>756.95</v>
      </c>
      <c r="R323" s="126">
        <f t="shared" si="73"/>
        <v>1466.9373000000001</v>
      </c>
      <c r="S323" s="126">
        <f t="shared" si="74"/>
        <v>374.81730000000016</v>
      </c>
      <c r="T323" s="126">
        <f t="shared" si="83"/>
        <v>114.96</v>
      </c>
      <c r="U323" s="127">
        <f>((((((IF(K323="New",0,SUMIF('MPG Payment '!$E$3:$E$344841,'Shayak Income '!D323,'MPG Payment '!$AC$3:$AC$344841))))+0)+0)+0)+0)+0</f>
        <v>1402.1896036707149</v>
      </c>
      <c r="V323" s="127">
        <f t="shared" si="84"/>
        <v>1194</v>
      </c>
      <c r="W323" s="19">
        <v>1194</v>
      </c>
      <c r="X323" s="19">
        <v>0</v>
      </c>
      <c r="Y323" s="128">
        <f>IFERROR(VLOOKUP(D323,'Monthly Deduction'!$M$2:$N$640,2,0),0)</f>
        <v>0</v>
      </c>
      <c r="Z323" s="128">
        <v>0</v>
      </c>
      <c r="AA323" s="126">
        <v>0</v>
      </c>
      <c r="AB323" s="129">
        <f t="shared" si="75"/>
        <v>0</v>
      </c>
      <c r="AC323" s="130">
        <v>0</v>
      </c>
      <c r="AD323" s="35">
        <f t="shared" si="86"/>
        <v>0</v>
      </c>
      <c r="AE323" s="166" t="str">
        <f t="shared" si="87"/>
        <v>Release</v>
      </c>
      <c r="AF323" s="127"/>
      <c r="AG323" s="18">
        <v>0</v>
      </c>
      <c r="AH323" s="120"/>
      <c r="AI323" s="238">
        <v>0</v>
      </c>
      <c r="AJ323" s="132"/>
      <c r="AK323" s="151">
        <v>244.6</v>
      </c>
      <c r="AL323" s="154">
        <f t="shared" si="76"/>
        <v>0</v>
      </c>
      <c r="AM323" s="155"/>
      <c r="AN323" s="19">
        <f t="shared" si="77"/>
        <v>1861</v>
      </c>
      <c r="AO323" s="118">
        <f>SUMIF('MPG Payment '!E:E,'Shayak Income '!D323,'MPG Payment '!AJ:AJ)</f>
        <v>0</v>
      </c>
      <c r="AP323" s="19">
        <f t="shared" si="78"/>
        <v>1194</v>
      </c>
      <c r="AQ323" s="119">
        <f t="shared" si="88"/>
        <v>1194</v>
      </c>
      <c r="AR323" s="91"/>
      <c r="AS323" s="91">
        <f t="shared" si="79"/>
        <v>12800</v>
      </c>
      <c r="AT323" s="118"/>
      <c r="AU323" s="118"/>
      <c r="AV323" s="118"/>
    </row>
    <row r="324" spans="1:48" s="20" customFormat="1" x14ac:dyDescent="0.25">
      <c r="A324" s="17">
        <f>IFERROR(VLOOKUP(D324,'Monthly Deduction'!$I$3:$J$957,2,0),0)</f>
        <v>62863.281116188598</v>
      </c>
      <c r="B324" s="17">
        <f>IFERROR(VLOOKUP(D324,'Monthly Deduction'!$E$3:$F$957,2,0),0)</f>
        <v>11013.945599999999</v>
      </c>
      <c r="C324" s="17">
        <f t="shared" si="80"/>
        <v>73877.226716188597</v>
      </c>
      <c r="D324" s="41">
        <v>10110135</v>
      </c>
      <c r="E324" s="122" t="str">
        <f>VLOOKUP(D324,'MPG Payment '!$E$3:$G$497305,2,0)</f>
        <v>GOMUKH BISHANPUR 2</v>
      </c>
      <c r="F324" s="146">
        <f>IFERROR(_xlfn.XLOOKUP(D324,'Monthly Deduction'!$I$3:$I$957,'Monthly Deduction'!$H$3:$H$957),0)</f>
        <v>0</v>
      </c>
      <c r="G324" s="123" t="str">
        <f>VLOOKUP(D324,'MPG Payment '!$E$3:$G$333666,3,0)</f>
        <v>MPG</v>
      </c>
      <c r="H324" s="124" t="str">
        <f>VLOOKUP(D324,'MPG Payment '!$E$3:$H$333666,4,0)</f>
        <v>Direct</v>
      </c>
      <c r="I324" s="88">
        <f>INDEX('MPG Payment '!$C:$C,MATCH('Shayak Income '!D324,'MPG Payment '!E:E,0))</f>
        <v>1054</v>
      </c>
      <c r="J324" s="88" t="str">
        <f>INDEX('MPG Payment '!$D:$D,MATCH('Shayak Income '!D324,'MPG Payment '!E:E,0))</f>
        <v xml:space="preserve">Alauli </v>
      </c>
      <c r="K324" s="125" t="s">
        <v>1594</v>
      </c>
      <c r="L324" s="125">
        <v>45767</v>
      </c>
      <c r="M324" s="126">
        <f>SUMIF('MPG Payment '!$E$3:$E$344841,'Shayak Income '!D324,'MPG Payment '!$I$3:$I$344841)</f>
        <v>2662.8</v>
      </c>
      <c r="N324" s="126">
        <f>SUMIF('MPG Payment '!$E$3:$E$344841,'Shayak Income '!D324,'MPG Payment '!$J$3:$J$344841)</f>
        <v>105596.37</v>
      </c>
      <c r="O324" s="126">
        <f t="shared" si="81"/>
        <v>1997.1000000000001</v>
      </c>
      <c r="P324" s="126">
        <f t="shared" si="82"/>
        <v>2529.66</v>
      </c>
      <c r="Q324" s="126">
        <f>SUMIF('MPG Payment '!$E$3:$E$344841,'Shayak Income '!D324,'MPG Payment '!$S$3:$S$344841)</f>
        <v>135.18</v>
      </c>
      <c r="R324" s="126">
        <f t="shared" ref="R324:R387" si="91">+N324*3%</f>
        <v>3167.8910999999998</v>
      </c>
      <c r="S324" s="126">
        <f t="shared" ref="S324:S387" si="92">R324-P324</f>
        <v>638.23109999999997</v>
      </c>
      <c r="T324" s="126">
        <f t="shared" si="83"/>
        <v>266.28000000000003</v>
      </c>
      <c r="U324" s="127">
        <f>((((((IF(K324="New",0,SUMIF('MPG Payment '!$E$3:$E$344841,'Shayak Income '!D324,'MPG Payment '!$AC$3:$AC$344841))))+0)+0)+0)+0)+0</f>
        <v>147.05191912429956</v>
      </c>
      <c r="V324" s="127">
        <f t="shared" si="84"/>
        <v>4249</v>
      </c>
      <c r="W324" s="19">
        <f t="shared" si="85"/>
        <v>2111.9274</v>
      </c>
      <c r="X324" s="19">
        <v>0</v>
      </c>
      <c r="Y324" s="128">
        <f>IFERROR(VLOOKUP(D324,'Monthly Deduction'!$M$2:$N$640,2,0),0)</f>
        <v>0</v>
      </c>
      <c r="Z324" s="128">
        <v>0</v>
      </c>
      <c r="AA324" s="126">
        <f>IFERROR(VLOOKUP(D324,'Monthly Deduction'!A:B,2,0),0)</f>
        <v>423.73543080156105</v>
      </c>
      <c r="AB324" s="129">
        <f t="shared" ref="AB324:AB387" si="93">ROUND(IFERROR(V324-SUM(W324:AA324),0),0)</f>
        <v>1713</v>
      </c>
      <c r="AC324" s="130">
        <v>0</v>
      </c>
      <c r="AD324" s="35">
        <f t="shared" si="86"/>
        <v>1713</v>
      </c>
      <c r="AE324" s="166" t="str">
        <f t="shared" si="87"/>
        <v>Release</v>
      </c>
      <c r="AF324" s="127"/>
      <c r="AG324" s="18">
        <v>0</v>
      </c>
      <c r="AH324" s="132"/>
      <c r="AI324" s="238">
        <v>0</v>
      </c>
      <c r="AJ324" s="132"/>
      <c r="AK324" s="151">
        <v>894.8</v>
      </c>
      <c r="AL324" s="154">
        <f t="shared" ref="AL324:AL387" si="94">COUNTIF(AK324:AK324,"=NA")</f>
        <v>0</v>
      </c>
      <c r="AM324" s="155"/>
      <c r="AN324" s="19">
        <f t="shared" ref="AN324:AN387" si="95">((MIN(IF(A324&gt;0,MAX(N324*2%,1861),0),A324)))+0</f>
        <v>2111.9274</v>
      </c>
      <c r="AO324" s="118">
        <f>SUMIF('MPG Payment '!E:E,'Shayak Income '!D324,'MPG Payment '!AJ:AJ)</f>
        <v>0</v>
      </c>
      <c r="AP324" s="19">
        <f t="shared" ref="AP324:AP387" si="96">W324</f>
        <v>2111.9274</v>
      </c>
      <c r="AQ324" s="119">
        <f t="shared" si="88"/>
        <v>2111.9274</v>
      </c>
      <c r="AR324" s="91" t="s">
        <v>1144</v>
      </c>
      <c r="AS324" s="91">
        <f t="shared" ref="AS324:AS387" si="97">B324-X324</f>
        <v>11013.945599999999</v>
      </c>
      <c r="AT324" s="118"/>
      <c r="AU324" s="118"/>
      <c r="AV324" s="118"/>
    </row>
    <row r="325" spans="1:48" s="20" customFormat="1" x14ac:dyDescent="0.25">
      <c r="A325" s="17">
        <f>IFERROR(VLOOKUP(D325,'Monthly Deduction'!$I$3:$J$957,2,0),0)</f>
        <v>73934.354599999991</v>
      </c>
      <c r="B325" s="17">
        <f>IFERROR(VLOOKUP(D325,'Monthly Deduction'!$E$3:$F$957,2,0),0)</f>
        <v>9600</v>
      </c>
      <c r="C325" s="17">
        <f t="shared" ref="C325:C388" si="98">A325+B325</f>
        <v>83534.354599999991</v>
      </c>
      <c r="D325" s="41">
        <v>10110140</v>
      </c>
      <c r="E325" s="122" t="str">
        <f>VLOOKUP(D325,'MPG Payment '!$E$3:$G$497305,2,0)</f>
        <v>GOMUKH GHAMARIYA</v>
      </c>
      <c r="F325" s="146">
        <f>IFERROR(_xlfn.XLOOKUP(D325,'Monthly Deduction'!$I$3:$I$957,'Monthly Deduction'!$H$3:$H$957),0)</f>
        <v>0</v>
      </c>
      <c r="G325" s="123" t="str">
        <f>VLOOKUP(D325,'MPG Payment '!$E$3:$G$333666,3,0)</f>
        <v>MPG</v>
      </c>
      <c r="H325" s="124" t="str">
        <f>VLOOKUP(D325,'MPG Payment '!$E$3:$H$333666,4,0)</f>
        <v>Direct</v>
      </c>
      <c r="I325" s="88">
        <f>INDEX('MPG Payment '!$C:$C,MATCH('Shayak Income '!D325,'MPG Payment '!E:E,0))</f>
        <v>1054</v>
      </c>
      <c r="J325" s="88" t="str">
        <f>INDEX('MPG Payment '!$D:$D,MATCH('Shayak Income '!D325,'MPG Payment '!E:E,0))</f>
        <v xml:space="preserve">Alauli </v>
      </c>
      <c r="K325" s="125" t="s">
        <v>1594</v>
      </c>
      <c r="L325" s="125">
        <v>45786</v>
      </c>
      <c r="M325" s="126">
        <f>SUMIF('MPG Payment '!$E$3:$E$344841,'Shayak Income '!D325,'MPG Payment '!$I$3:$I$344841)</f>
        <v>486.09999999999997</v>
      </c>
      <c r="N325" s="126">
        <f>SUMIF('MPG Payment '!$E$3:$E$344841,'Shayak Income '!D325,'MPG Payment '!$J$3:$J$344841)</f>
        <v>24929.99</v>
      </c>
      <c r="O325" s="126">
        <f t="shared" ref="O325:O388" si="99">+M325*0.75</f>
        <v>364.57499999999999</v>
      </c>
      <c r="P325" s="126">
        <f t="shared" ref="P325:P388" si="100">+M325*0.95</f>
        <v>461.79499999999996</v>
      </c>
      <c r="Q325" s="126">
        <f>SUMIF('MPG Payment '!$E$3:$E$344841,'Shayak Income '!D325,'MPG Payment '!$S$3:$S$344841)</f>
        <v>325.77000000000004</v>
      </c>
      <c r="R325" s="126">
        <f t="shared" si="91"/>
        <v>747.89970000000005</v>
      </c>
      <c r="S325" s="126">
        <f t="shared" si="92"/>
        <v>286.10470000000009</v>
      </c>
      <c r="T325" s="126">
        <f t="shared" ref="T325:T388" si="101">M325*0.1</f>
        <v>48.61</v>
      </c>
      <c r="U325" s="127">
        <f>((((((IF(K325="New",0,SUMIF('MPG Payment '!$E$3:$E$344841,'Shayak Income '!D325,'MPG Payment '!$AC$3:$AC$344841))))+0)+0)+0)+0)+-1274</f>
        <v>1103.69671025977</v>
      </c>
      <c r="V325" s="127">
        <f t="shared" ref="V325:V388" si="102">ROUND((SUM(O325:Q325)-SUM(T325:U325)),0)</f>
        <v>0</v>
      </c>
      <c r="W325" s="19">
        <v>0</v>
      </c>
      <c r="X325" s="19">
        <v>0</v>
      </c>
      <c r="Y325" s="128">
        <v>0</v>
      </c>
      <c r="Z325" s="128">
        <v>0</v>
      </c>
      <c r="AA325" s="126">
        <v>0</v>
      </c>
      <c r="AB325" s="129">
        <f t="shared" si="93"/>
        <v>0</v>
      </c>
      <c r="AC325" s="130">
        <v>0</v>
      </c>
      <c r="AD325" s="35">
        <f t="shared" ref="AD325:AD388" si="103">ROUND(AB325-AC325,0)</f>
        <v>0</v>
      </c>
      <c r="AE325" s="166" t="str">
        <f t="shared" ref="AE325:AE388" si="104">IF(AC325&lt;&gt;0,"Yes","Release")</f>
        <v>Release</v>
      </c>
      <c r="AF325" s="127"/>
      <c r="AG325" s="18">
        <v>0</v>
      </c>
      <c r="AH325" s="132"/>
      <c r="AI325" s="238">
        <v>0</v>
      </c>
      <c r="AJ325" s="132"/>
      <c r="AK325" s="151">
        <v>85.5</v>
      </c>
      <c r="AL325" s="154">
        <f t="shared" si="94"/>
        <v>0</v>
      </c>
      <c r="AM325" s="155"/>
      <c r="AN325" s="19">
        <f t="shared" si="95"/>
        <v>1861</v>
      </c>
      <c r="AO325" s="118">
        <f>SUMIF('MPG Payment '!E:E,'Shayak Income '!D325,'MPG Payment '!AJ:AJ)</f>
        <v>0</v>
      </c>
      <c r="AP325" s="19">
        <f t="shared" si="96"/>
        <v>0</v>
      </c>
      <c r="AQ325" s="119">
        <f t="shared" ref="AQ325:AQ388" si="105">AO325+AP325</f>
        <v>0</v>
      </c>
      <c r="AR325" s="91" t="s">
        <v>1144</v>
      </c>
      <c r="AS325" s="91">
        <f t="shared" si="97"/>
        <v>9600</v>
      </c>
      <c r="AT325" s="118"/>
      <c r="AU325" s="118"/>
      <c r="AV325" s="118"/>
    </row>
    <row r="326" spans="1:48" s="20" customFormat="1" x14ac:dyDescent="0.25">
      <c r="A326" s="17">
        <f>IFERROR(VLOOKUP(D326,'Monthly Deduction'!$I$3:$J$957,2,0),0)</f>
        <v>36877.216664763706</v>
      </c>
      <c r="B326" s="17">
        <f>IFERROR(VLOOKUP(D326,'Monthly Deduction'!$E$3:$F$957,2,0),0)</f>
        <v>15057.386200000001</v>
      </c>
      <c r="C326" s="17">
        <f t="shared" si="98"/>
        <v>51934.602864763707</v>
      </c>
      <c r="D326" s="41">
        <v>10110141</v>
      </c>
      <c r="E326" s="122" t="str">
        <f>VLOOKUP(D326,'MPG Payment '!$E$3:$G$497305,2,0)</f>
        <v>GOMUKH MEGHAUMA</v>
      </c>
      <c r="F326" s="146">
        <f>IFERROR(_xlfn.XLOOKUP(D326,'Monthly Deduction'!$I$3:$I$957,'Monthly Deduction'!$H$3:$H$957),0)</f>
        <v>0</v>
      </c>
      <c r="G326" s="123" t="str">
        <f>VLOOKUP(D326,'MPG Payment '!$E$3:$G$333666,3,0)</f>
        <v>MPG</v>
      </c>
      <c r="H326" s="124" t="str">
        <f>VLOOKUP(D326,'MPG Payment '!$E$3:$H$333666,4,0)</f>
        <v>Direct</v>
      </c>
      <c r="I326" s="88">
        <f>INDEX('MPG Payment '!$C:$C,MATCH('Shayak Income '!D326,'MPG Payment '!E:E,0))</f>
        <v>1054</v>
      </c>
      <c r="J326" s="88" t="str">
        <f>INDEX('MPG Payment '!$D:$D,MATCH('Shayak Income '!D326,'MPG Payment '!E:E,0))</f>
        <v xml:space="preserve">Alauli </v>
      </c>
      <c r="K326" s="125" t="s">
        <v>1594</v>
      </c>
      <c r="L326" s="125">
        <v>45786</v>
      </c>
      <c r="M326" s="126">
        <f>SUMIF('MPG Payment '!$E$3:$E$344841,'Shayak Income '!D326,'MPG Payment '!$I$3:$I$344841)</f>
        <v>3110</v>
      </c>
      <c r="N326" s="126">
        <f>SUMIF('MPG Payment '!$E$3:$E$344841,'Shayak Income '!D326,'MPG Payment '!$J$3:$J$344841)</f>
        <v>129185.17000000001</v>
      </c>
      <c r="O326" s="126">
        <f t="shared" si="99"/>
        <v>2332.5</v>
      </c>
      <c r="P326" s="126">
        <f t="shared" si="100"/>
        <v>2954.5</v>
      </c>
      <c r="Q326" s="126">
        <f>SUMIF('MPG Payment '!$E$3:$E$344841,'Shayak Income '!D326,'MPG Payment '!$S$3:$S$344841)</f>
        <v>1643.35</v>
      </c>
      <c r="R326" s="126">
        <f t="shared" si="91"/>
        <v>3875.5551</v>
      </c>
      <c r="S326" s="126">
        <f t="shared" si="92"/>
        <v>921.05510000000004</v>
      </c>
      <c r="T326" s="126">
        <f t="shared" si="101"/>
        <v>311</v>
      </c>
      <c r="U326" s="127">
        <f>((((((IF(K326="New",0,SUMIF('MPG Payment '!$E$3:$E$344841,'Shayak Income '!D326,'MPG Payment '!$AC$3:$AC$344841))))+0)+0)+0)+0)+0</f>
        <v>0</v>
      </c>
      <c r="V326" s="127">
        <f t="shared" si="102"/>
        <v>6619</v>
      </c>
      <c r="W326" s="19">
        <f t="shared" ref="W326:W387" si="106">(((AN326-AO326)))+0</f>
        <v>2583.7034000000003</v>
      </c>
      <c r="X326" s="19">
        <v>0</v>
      </c>
      <c r="Y326" s="128">
        <f>IFERROR(VLOOKUP(D326,'Monthly Deduction'!$M$2:$N$640,2,0),0)</f>
        <v>0</v>
      </c>
      <c r="Z326" s="128">
        <v>0</v>
      </c>
      <c r="AA326" s="126">
        <f>IFERROR(VLOOKUP(D326,'Monthly Deduction'!A:B,2,0),0)</f>
        <v>479.75543080156103</v>
      </c>
      <c r="AB326" s="129">
        <f t="shared" si="93"/>
        <v>3556</v>
      </c>
      <c r="AC326" s="130">
        <v>0</v>
      </c>
      <c r="AD326" s="35">
        <f t="shared" si="103"/>
        <v>3556</v>
      </c>
      <c r="AE326" s="166" t="str">
        <f t="shared" si="104"/>
        <v>Release</v>
      </c>
      <c r="AF326" s="127"/>
      <c r="AG326" s="18">
        <v>0</v>
      </c>
      <c r="AH326" s="120"/>
      <c r="AI326" s="238">
        <v>0</v>
      </c>
      <c r="AJ326" s="132"/>
      <c r="AK326" s="151">
        <v>724.30000000000007</v>
      </c>
      <c r="AL326" s="154">
        <f t="shared" si="94"/>
        <v>0</v>
      </c>
      <c r="AM326" s="155"/>
      <c r="AN326" s="19">
        <f t="shared" si="95"/>
        <v>2583.7034000000003</v>
      </c>
      <c r="AO326" s="118">
        <f>SUMIF('MPG Payment '!E:E,'Shayak Income '!D326,'MPG Payment '!AJ:AJ)</f>
        <v>0</v>
      </c>
      <c r="AP326" s="19">
        <f t="shared" si="96"/>
        <v>2583.7034000000003</v>
      </c>
      <c r="AQ326" s="119">
        <f t="shared" si="105"/>
        <v>2583.7034000000003</v>
      </c>
      <c r="AR326" s="91" t="s">
        <v>1144</v>
      </c>
      <c r="AS326" s="91">
        <f t="shared" si="97"/>
        <v>15057.386200000001</v>
      </c>
      <c r="AT326" s="118"/>
      <c r="AU326" s="118"/>
      <c r="AV326" s="118"/>
    </row>
    <row r="327" spans="1:48" s="20" customFormat="1" x14ac:dyDescent="0.25">
      <c r="A327" s="17">
        <f>IFERROR(VLOOKUP(D327,'Monthly Deduction'!$I$3:$J$957,2,0),0)</f>
        <v>33875.741514412453</v>
      </c>
      <c r="B327" s="17">
        <f>IFERROR(VLOOKUP(D327,'Monthly Deduction'!$E$3:$F$957,2,0),0)</f>
        <v>25600</v>
      </c>
      <c r="C327" s="17">
        <f t="shared" si="98"/>
        <v>59475.741514412453</v>
      </c>
      <c r="D327" s="41">
        <v>10110143</v>
      </c>
      <c r="E327" s="122" t="str">
        <f>VLOOKUP(D327,'MPG Payment '!$E$3:$G$497305,2,0)</f>
        <v>GOMUKH AURA</v>
      </c>
      <c r="F327" s="146">
        <f>IFERROR(_xlfn.XLOOKUP(D327,'Monthly Deduction'!$I$3:$I$957,'Monthly Deduction'!$H$3:$H$957),0)</f>
        <v>0</v>
      </c>
      <c r="G327" s="123" t="str">
        <f>VLOOKUP(D327,'MPG Payment '!$E$3:$G$333666,3,0)</f>
        <v>MPG</v>
      </c>
      <c r="H327" s="124" t="str">
        <f>VLOOKUP(D327,'MPG Payment '!$E$3:$H$333666,4,0)</f>
        <v>Direct</v>
      </c>
      <c r="I327" s="88">
        <f>INDEX('MPG Payment '!$C:$C,MATCH('Shayak Income '!D327,'MPG Payment '!E:E,0))</f>
        <v>1054</v>
      </c>
      <c r="J327" s="88" t="str">
        <f>INDEX('MPG Payment '!$D:$D,MATCH('Shayak Income '!D327,'MPG Payment '!E:E,0))</f>
        <v xml:space="preserve">Alauli </v>
      </c>
      <c r="K327" s="125" t="s">
        <v>1594</v>
      </c>
      <c r="L327" s="125">
        <v>45786</v>
      </c>
      <c r="M327" s="126">
        <f>SUMIF('MPG Payment '!$E$3:$E$344841,'Shayak Income '!D327,'MPG Payment '!$I$3:$I$344841)</f>
        <v>2829.4999999999995</v>
      </c>
      <c r="N327" s="126">
        <f>SUMIF('MPG Payment '!$E$3:$E$344841,'Shayak Income '!D327,'MPG Payment '!$J$3:$J$344841)</f>
        <v>109361.57</v>
      </c>
      <c r="O327" s="126">
        <f t="shared" si="99"/>
        <v>2122.1249999999995</v>
      </c>
      <c r="P327" s="126">
        <f t="shared" si="100"/>
        <v>2688.0249999999996</v>
      </c>
      <c r="Q327" s="126">
        <f>SUMIF('MPG Payment '!$E$3:$E$344841,'Shayak Income '!D327,'MPG Payment '!$S$3:$S$344841)</f>
        <v>0</v>
      </c>
      <c r="R327" s="126">
        <f t="shared" si="91"/>
        <v>3280.8471</v>
      </c>
      <c r="S327" s="126">
        <f t="shared" si="92"/>
        <v>592.82210000000032</v>
      </c>
      <c r="T327" s="126">
        <f t="shared" si="101"/>
        <v>282.95</v>
      </c>
      <c r="U327" s="127">
        <f>((((((IF(K327="New",0,SUMIF('MPG Payment '!$E$3:$E$344841,'Shayak Income '!D327,'MPG Payment '!$AC$3:$AC$344841))))+0)+0)+0)+0)+0</f>
        <v>28.625491331923929</v>
      </c>
      <c r="V327" s="127">
        <f t="shared" si="102"/>
        <v>4499</v>
      </c>
      <c r="W327" s="19">
        <f t="shared" si="106"/>
        <v>2187.2314000000001</v>
      </c>
      <c r="X327" s="19">
        <v>0</v>
      </c>
      <c r="Y327" s="128">
        <f>IFERROR(VLOOKUP(D327,'Monthly Deduction'!$M$2:$N$640,2,0),0)</f>
        <v>0</v>
      </c>
      <c r="Z327" s="128">
        <v>0</v>
      </c>
      <c r="AA327" s="126">
        <f>IFERROR(VLOOKUP(D327,'Monthly Deduction'!A:B,2,0),0)</f>
        <v>423.73543080156105</v>
      </c>
      <c r="AB327" s="129">
        <f t="shared" si="93"/>
        <v>1888</v>
      </c>
      <c r="AC327" s="130">
        <v>0</v>
      </c>
      <c r="AD327" s="35">
        <f t="shared" si="103"/>
        <v>1888</v>
      </c>
      <c r="AE327" s="166" t="str">
        <f t="shared" si="104"/>
        <v>Release</v>
      </c>
      <c r="AF327" s="127"/>
      <c r="AG327" s="18">
        <v>0</v>
      </c>
      <c r="AH327" s="120"/>
      <c r="AI327" s="238">
        <v>0</v>
      </c>
      <c r="AJ327" s="132"/>
      <c r="AK327" s="151">
        <v>672.5</v>
      </c>
      <c r="AL327" s="154">
        <f t="shared" si="94"/>
        <v>0</v>
      </c>
      <c r="AM327" s="155"/>
      <c r="AN327" s="19">
        <f t="shared" si="95"/>
        <v>2187.2314000000001</v>
      </c>
      <c r="AO327" s="118">
        <f>SUMIF('MPG Payment '!E:E,'Shayak Income '!D327,'MPG Payment '!AJ:AJ)</f>
        <v>0</v>
      </c>
      <c r="AP327" s="19">
        <f t="shared" si="96"/>
        <v>2187.2314000000001</v>
      </c>
      <c r="AQ327" s="119">
        <f t="shared" si="105"/>
        <v>2187.2314000000001</v>
      </c>
      <c r="AR327" s="91" t="s">
        <v>1144</v>
      </c>
      <c r="AS327" s="91">
        <f t="shared" si="97"/>
        <v>25600</v>
      </c>
      <c r="AT327" s="118"/>
      <c r="AU327" s="118"/>
      <c r="AV327" s="118"/>
    </row>
    <row r="328" spans="1:48" s="20" customFormat="1" x14ac:dyDescent="0.25">
      <c r="A328" s="17">
        <f>IFERROR(VLOOKUP(D328,'Monthly Deduction'!$I$3:$J$957,2,0),0)</f>
        <v>46928.429551055866</v>
      </c>
      <c r="B328" s="17">
        <f>IFERROR(VLOOKUP(D328,'Monthly Deduction'!$E$3:$F$957,2,0),0)</f>
        <v>15199.221600000001</v>
      </c>
      <c r="C328" s="17">
        <f t="shared" si="98"/>
        <v>62127.651151055863</v>
      </c>
      <c r="D328" s="41">
        <v>10110144</v>
      </c>
      <c r="E328" s="122" t="str">
        <f>VLOOKUP(D328,'MPG Payment '!$E$3:$G$497305,2,0)</f>
        <v>GOMUKH BEHORBA</v>
      </c>
      <c r="F328" s="146">
        <f>IFERROR(_xlfn.XLOOKUP(D328,'Monthly Deduction'!$I$3:$I$957,'Monthly Deduction'!$H$3:$H$957),0)</f>
        <v>0</v>
      </c>
      <c r="G328" s="123" t="str">
        <f>VLOOKUP(D328,'MPG Payment '!$E$3:$G$333666,3,0)</f>
        <v>MPG</v>
      </c>
      <c r="H328" s="124" t="str">
        <f>VLOOKUP(D328,'MPG Payment '!$E$3:$H$333666,4,0)</f>
        <v>Direct</v>
      </c>
      <c r="I328" s="88">
        <f>INDEX('MPG Payment '!$C:$C,MATCH('Shayak Income '!D328,'MPG Payment '!E:E,0))</f>
        <v>1054</v>
      </c>
      <c r="J328" s="88" t="str">
        <f>INDEX('MPG Payment '!$D:$D,MATCH('Shayak Income '!D328,'MPG Payment '!E:E,0))</f>
        <v xml:space="preserve">Alauli </v>
      </c>
      <c r="K328" s="125" t="s">
        <v>1594</v>
      </c>
      <c r="L328" s="125">
        <v>45786</v>
      </c>
      <c r="M328" s="126">
        <f>SUMIF('MPG Payment '!$E$3:$E$344841,'Shayak Income '!D328,'MPG Payment '!$I$3:$I$344841)</f>
        <v>2823.5</v>
      </c>
      <c r="N328" s="126">
        <f>SUMIF('MPG Payment '!$E$3:$E$344841,'Shayak Income '!D328,'MPG Payment '!$J$3:$J$344841)</f>
        <v>110355.81</v>
      </c>
      <c r="O328" s="126">
        <f t="shared" si="99"/>
        <v>2117.625</v>
      </c>
      <c r="P328" s="126">
        <f t="shared" si="100"/>
        <v>2682.3249999999998</v>
      </c>
      <c r="Q328" s="126">
        <f>SUMIF('MPG Payment '!$E$3:$E$344841,'Shayak Income '!D328,'MPG Payment '!$S$3:$S$344841)</f>
        <v>0</v>
      </c>
      <c r="R328" s="126">
        <f t="shared" si="91"/>
        <v>3310.6742999999997</v>
      </c>
      <c r="S328" s="126">
        <f t="shared" si="92"/>
        <v>628.34929999999986</v>
      </c>
      <c r="T328" s="126">
        <f t="shared" si="101"/>
        <v>282.35000000000002</v>
      </c>
      <c r="U328" s="127">
        <f>((((((IF(K328="New",0,SUMIF('MPG Payment '!$E$3:$E$344841,'Shayak Income '!D328,'MPG Payment '!$AC$3:$AC$344841))))+0)+0)+0)+0)+0</f>
        <v>23.516481068285401</v>
      </c>
      <c r="V328" s="127">
        <f t="shared" si="102"/>
        <v>4494</v>
      </c>
      <c r="W328" s="19">
        <f t="shared" si="106"/>
        <v>2207.1161999999999</v>
      </c>
      <c r="X328" s="19">
        <v>0</v>
      </c>
      <c r="Y328" s="128">
        <f>IFERROR(VLOOKUP(D328,'Monthly Deduction'!$M$2:$N$640,2,0),0)</f>
        <v>0</v>
      </c>
      <c r="Z328" s="128">
        <v>0</v>
      </c>
      <c r="AA328" s="126">
        <f>IFERROR(VLOOKUP(D328,'Monthly Deduction'!A:B,2,0),0)</f>
        <v>423.73543080156105</v>
      </c>
      <c r="AB328" s="129">
        <f t="shared" si="93"/>
        <v>1863</v>
      </c>
      <c r="AC328" s="130">
        <v>0</v>
      </c>
      <c r="AD328" s="35">
        <f t="shared" si="103"/>
        <v>1863</v>
      </c>
      <c r="AE328" s="166" t="str">
        <f t="shared" si="104"/>
        <v>Release</v>
      </c>
      <c r="AF328" s="127"/>
      <c r="AG328" s="18">
        <v>0</v>
      </c>
      <c r="AH328" s="132"/>
      <c r="AI328" s="238">
        <v>0</v>
      </c>
      <c r="AJ328" s="132"/>
      <c r="AK328" s="151">
        <v>714.8</v>
      </c>
      <c r="AL328" s="154">
        <f t="shared" si="94"/>
        <v>0</v>
      </c>
      <c r="AM328" s="155"/>
      <c r="AN328" s="19">
        <f t="shared" si="95"/>
        <v>2207.1161999999999</v>
      </c>
      <c r="AO328" s="118">
        <f>SUMIF('MPG Payment '!E:E,'Shayak Income '!D328,'MPG Payment '!AJ:AJ)</f>
        <v>0</v>
      </c>
      <c r="AP328" s="19">
        <f t="shared" si="96"/>
        <v>2207.1161999999999</v>
      </c>
      <c r="AQ328" s="119">
        <f t="shared" si="105"/>
        <v>2207.1161999999999</v>
      </c>
      <c r="AR328" s="91" t="s">
        <v>1144</v>
      </c>
      <c r="AS328" s="91">
        <f t="shared" si="97"/>
        <v>15199.221600000001</v>
      </c>
      <c r="AT328" s="118"/>
      <c r="AU328" s="118"/>
      <c r="AV328" s="118"/>
    </row>
    <row r="329" spans="1:48" s="20" customFormat="1" x14ac:dyDescent="0.25">
      <c r="A329" s="17">
        <f>IFERROR(VLOOKUP(D329,'Monthly Deduction'!$I$3:$J$957,2,0),0)</f>
        <v>0</v>
      </c>
      <c r="B329" s="17">
        <f>IFERROR(VLOOKUP(D329,'Monthly Deduction'!$E$3:$F$957,2,0),0)</f>
        <v>0</v>
      </c>
      <c r="C329" s="17">
        <f t="shared" si="98"/>
        <v>0</v>
      </c>
      <c r="D329" s="41">
        <v>10110146</v>
      </c>
      <c r="E329" s="122" t="str">
        <f>VLOOKUP(D329,'MPG Payment '!$E$3:$G$497305,2,0)</f>
        <v>GOMUKH SAIDPUR SAMASTIPUR</v>
      </c>
      <c r="F329" s="146">
        <f>IFERROR(_xlfn.XLOOKUP(D329,'Monthly Deduction'!$I$3:$I$957,'Monthly Deduction'!$H$3:$H$957),0)</f>
        <v>0</v>
      </c>
      <c r="G329" s="123" t="str">
        <f>VLOOKUP(D329,'MPG Payment '!$E$3:$G$333666,3,0)</f>
        <v>MPG</v>
      </c>
      <c r="H329" s="124" t="str">
        <f>VLOOKUP(D329,'MPG Payment '!$E$3:$H$333666,4,0)</f>
        <v>Direct</v>
      </c>
      <c r="I329" s="88">
        <f>INDEX('MPG Payment '!$C:$C,MATCH('Shayak Income '!D329,'MPG Payment '!E:E,0))</f>
        <v>1011</v>
      </c>
      <c r="J329" s="88" t="str">
        <f>INDEX('MPG Payment '!$D:$D,MATCH('Shayak Income '!D329,'MPG Payment '!E:E,0))</f>
        <v>Sahibpur Kamal</v>
      </c>
      <c r="K329" s="125" t="s">
        <v>1594</v>
      </c>
      <c r="L329" s="125">
        <v>45768</v>
      </c>
      <c r="M329" s="126">
        <f>SUMIF('MPG Payment '!$E$3:$E$344841,'Shayak Income '!D329,'MPG Payment '!$I$3:$I$344841)</f>
        <v>7639.8</v>
      </c>
      <c r="N329" s="126">
        <f>SUMIF('MPG Payment '!$E$3:$E$344841,'Shayak Income '!D329,'MPG Payment '!$J$3:$J$344841)</f>
        <v>310432.40000000002</v>
      </c>
      <c r="O329" s="126">
        <f t="shared" si="99"/>
        <v>5729.85</v>
      </c>
      <c r="P329" s="126">
        <f t="shared" si="100"/>
        <v>7257.8099999999995</v>
      </c>
      <c r="Q329" s="126">
        <f>SUMIF('MPG Payment '!$E$3:$E$344841,'Shayak Income '!D329,'MPG Payment '!$S$3:$S$344841)</f>
        <v>1624.42</v>
      </c>
      <c r="R329" s="126">
        <f t="shared" si="91"/>
        <v>9312.9719999999998</v>
      </c>
      <c r="S329" s="126">
        <f t="shared" si="92"/>
        <v>2055.1620000000003</v>
      </c>
      <c r="T329" s="126">
        <f t="shared" si="101"/>
        <v>763.98</v>
      </c>
      <c r="U329" s="127">
        <f>((((((IF(K329="New",0,SUMIF('MPG Payment '!$E$3:$E$344841,'Shayak Income '!D329,'MPG Payment '!$AC$3:$AC$344841))))+0)+0)+0)+0)+0</f>
        <v>0</v>
      </c>
      <c r="V329" s="127">
        <f t="shared" si="102"/>
        <v>13848</v>
      </c>
      <c r="W329" s="19">
        <f t="shared" si="106"/>
        <v>0</v>
      </c>
      <c r="X329" s="19">
        <f t="shared" ref="X329:X383" si="107">((MIN(IF(B329&gt;0,MAX(N329*2%),0),B329)))+0</f>
        <v>0</v>
      </c>
      <c r="Y329" s="128">
        <f>IFERROR(VLOOKUP(D329,'Monthly Deduction'!$M$2:$N$640,2,0),0)</f>
        <v>0</v>
      </c>
      <c r="Z329" s="128">
        <v>0</v>
      </c>
      <c r="AA329" s="126">
        <f>IFERROR(VLOOKUP(D329,'Monthly Deduction'!A:B,2,0),0)</f>
        <v>0</v>
      </c>
      <c r="AB329" s="129">
        <f t="shared" si="93"/>
        <v>13848</v>
      </c>
      <c r="AC329" s="130">
        <v>0</v>
      </c>
      <c r="AD329" s="35">
        <f t="shared" si="103"/>
        <v>13848</v>
      </c>
      <c r="AE329" s="166" t="str">
        <f t="shared" si="104"/>
        <v>Release</v>
      </c>
      <c r="AF329" s="127"/>
      <c r="AG329" s="18">
        <v>0</v>
      </c>
      <c r="AH329" s="120"/>
      <c r="AI329" s="238">
        <v>0</v>
      </c>
      <c r="AJ329" s="132"/>
      <c r="AK329" s="151">
        <v>620.99999999999989</v>
      </c>
      <c r="AL329" s="154">
        <f t="shared" si="94"/>
        <v>0</v>
      </c>
      <c r="AM329" s="155"/>
      <c r="AN329" s="19">
        <f t="shared" si="95"/>
        <v>0</v>
      </c>
      <c r="AO329" s="118">
        <f>SUMIF('MPG Payment '!E:E,'Shayak Income '!D329,'MPG Payment '!AJ:AJ)</f>
        <v>0</v>
      </c>
      <c r="AP329" s="19">
        <f t="shared" si="96"/>
        <v>0</v>
      </c>
      <c r="AQ329" s="119">
        <f t="shared" si="105"/>
        <v>0</v>
      </c>
      <c r="AR329" s="91" t="s">
        <v>1144</v>
      </c>
      <c r="AS329" s="91">
        <f t="shared" si="97"/>
        <v>0</v>
      </c>
      <c r="AT329" s="118"/>
      <c r="AU329" s="118"/>
      <c r="AV329" s="118"/>
    </row>
    <row r="330" spans="1:48" s="20" customFormat="1" x14ac:dyDescent="0.25">
      <c r="A330" s="17">
        <f>IFERROR(VLOOKUP(D330,'Monthly Deduction'!$I$3:$J$957,2,0),0)</f>
        <v>78832</v>
      </c>
      <c r="B330" s="17">
        <f>IFERROR(VLOOKUP(D330,'Monthly Deduction'!$E$3:$F$957,2,0),0)</f>
        <v>9600</v>
      </c>
      <c r="C330" s="17">
        <f t="shared" si="98"/>
        <v>88432</v>
      </c>
      <c r="D330" s="41">
        <v>10110149</v>
      </c>
      <c r="E330" s="122" t="str">
        <f>VLOOKUP(D330,'MPG Payment '!$E$3:$G$497305,2,0)</f>
        <v>GOMUKH PHULTAURA</v>
      </c>
      <c r="F330" s="146">
        <f>IFERROR(_xlfn.XLOOKUP(D330,'Monthly Deduction'!$I$3:$I$957,'Monthly Deduction'!$H$3:$H$957),0)</f>
        <v>0</v>
      </c>
      <c r="G330" s="123" t="str">
        <f>VLOOKUP(D330,'MPG Payment '!$E$3:$G$333666,3,0)</f>
        <v>MPG</v>
      </c>
      <c r="H330" s="124" t="str">
        <f>VLOOKUP(D330,'MPG Payment '!$E$3:$H$333666,4,0)</f>
        <v>Direct</v>
      </c>
      <c r="I330" s="88">
        <f>INDEX('MPG Payment '!$C:$C,MATCH('Shayak Income '!D330,'MPG Payment '!E:E,0))</f>
        <v>1054</v>
      </c>
      <c r="J330" s="88" t="str">
        <f>INDEX('MPG Payment '!$D:$D,MATCH('Shayak Income '!D330,'MPG Payment '!E:E,0))</f>
        <v xml:space="preserve">Alauli </v>
      </c>
      <c r="K330" s="125" t="s">
        <v>1594</v>
      </c>
      <c r="L330" s="125">
        <v>45805</v>
      </c>
      <c r="M330" s="126">
        <f>SUMIF('MPG Payment '!$E$3:$E$344841,'Shayak Income '!D330,'MPG Payment '!$I$3:$I$344841)</f>
        <v>2350.5</v>
      </c>
      <c r="N330" s="126">
        <f>SUMIF('MPG Payment '!$E$3:$E$344841,'Shayak Income '!D330,'MPG Payment '!$J$3:$J$344841)</f>
        <v>94021.830000000016</v>
      </c>
      <c r="O330" s="126">
        <f t="shared" si="99"/>
        <v>1762.875</v>
      </c>
      <c r="P330" s="126">
        <f t="shared" si="100"/>
        <v>2232.9749999999999</v>
      </c>
      <c r="Q330" s="126">
        <f>SUMIF('MPG Payment '!$E$3:$E$344841,'Shayak Income '!D330,'MPG Payment '!$S$3:$S$344841)</f>
        <v>0</v>
      </c>
      <c r="R330" s="126">
        <f t="shared" si="91"/>
        <v>2820.6549000000005</v>
      </c>
      <c r="S330" s="126">
        <f t="shared" si="92"/>
        <v>587.67990000000054</v>
      </c>
      <c r="T330" s="126">
        <f t="shared" si="101"/>
        <v>235.05</v>
      </c>
      <c r="U330" s="127">
        <f>((((((IF(K330="New",0,SUMIF('MPG Payment '!$E$3:$E$344841,'Shayak Income '!D330,'MPG Payment '!$AC$3:$AC$344841))))+0)+0)+0)+0)+0</f>
        <v>359.9766353457677</v>
      </c>
      <c r="V330" s="127">
        <f t="shared" si="102"/>
        <v>3401</v>
      </c>
      <c r="W330" s="19">
        <f t="shared" si="106"/>
        <v>1880.4366000000005</v>
      </c>
      <c r="X330" s="19">
        <v>0</v>
      </c>
      <c r="Y330" s="128">
        <f>IFERROR(VLOOKUP(D330,'Monthly Deduction'!$M$2:$N$640,2,0),0)</f>
        <v>0</v>
      </c>
      <c r="Z330" s="128">
        <v>0</v>
      </c>
      <c r="AA330" s="126">
        <f>IFERROR(VLOOKUP(D330,'Monthly Deduction'!A:B,2,0),0)</f>
        <v>473.25543080156103</v>
      </c>
      <c r="AB330" s="129">
        <f t="shared" si="93"/>
        <v>1047</v>
      </c>
      <c r="AC330" s="130">
        <v>0</v>
      </c>
      <c r="AD330" s="35">
        <f t="shared" si="103"/>
        <v>1047</v>
      </c>
      <c r="AE330" s="166" t="str">
        <f t="shared" si="104"/>
        <v>Release</v>
      </c>
      <c r="AF330" s="127"/>
      <c r="AG330" s="18">
        <v>0</v>
      </c>
      <c r="AH330" s="120"/>
      <c r="AI330" s="238">
        <v>0</v>
      </c>
      <c r="AJ330" s="132"/>
      <c r="AK330" s="151">
        <v>534.20000000000005</v>
      </c>
      <c r="AL330" s="154">
        <f t="shared" si="94"/>
        <v>0</v>
      </c>
      <c r="AM330" s="155"/>
      <c r="AN330" s="19">
        <f t="shared" si="95"/>
        <v>1880.4366000000005</v>
      </c>
      <c r="AO330" s="118">
        <f>SUMIF('MPG Payment '!E:E,'Shayak Income '!D330,'MPG Payment '!AJ:AJ)</f>
        <v>0</v>
      </c>
      <c r="AP330" s="19">
        <f t="shared" si="96"/>
        <v>1880.4366000000005</v>
      </c>
      <c r="AQ330" s="119">
        <f t="shared" si="105"/>
        <v>1880.4366000000005</v>
      </c>
      <c r="AR330" s="91" t="s">
        <v>1144</v>
      </c>
      <c r="AS330" s="91">
        <f t="shared" si="97"/>
        <v>9600</v>
      </c>
      <c r="AT330" s="118"/>
      <c r="AU330" s="118"/>
      <c r="AV330" s="118"/>
    </row>
    <row r="331" spans="1:48" s="20" customFormat="1" x14ac:dyDescent="0.25">
      <c r="A331" s="17">
        <f>IFERROR(VLOOKUP(D331,'Monthly Deduction'!$I$3:$J$957,2,0),0)</f>
        <v>0</v>
      </c>
      <c r="B331" s="17">
        <f>IFERROR(VLOOKUP(D331,'Monthly Deduction'!$E$3:$F$957,2,0),0)</f>
        <v>0</v>
      </c>
      <c r="C331" s="17">
        <f t="shared" si="98"/>
        <v>0</v>
      </c>
      <c r="D331" s="41">
        <v>10110153</v>
      </c>
      <c r="E331" s="122" t="str">
        <f>VLOOKUP(D331,'MPG Payment '!$E$3:$G$497305,2,0)</f>
        <v xml:space="preserve">Jangli Tol Vlc </v>
      </c>
      <c r="F331" s="146">
        <f>IFERROR(_xlfn.XLOOKUP(D331,'Monthly Deduction'!$I$3:$I$957,'Monthly Deduction'!$H$3:$H$957),0)</f>
        <v>0</v>
      </c>
      <c r="G331" s="123" t="str">
        <f>VLOOKUP(D331,'MPG Payment '!$E$3:$G$333666,3,0)</f>
        <v>vlc</v>
      </c>
      <c r="H331" s="124" t="str">
        <f>VLOOKUP(D331,'MPG Payment '!$E$3:$H$333666,4,0)</f>
        <v>Indirect</v>
      </c>
      <c r="I331" s="88">
        <f>INDEX('MPG Payment '!$C:$C,MATCH('Shayak Income '!D331,'MPG Payment '!E:E,0))</f>
        <v>1011</v>
      </c>
      <c r="J331" s="88" t="str">
        <f>INDEX('MPG Payment '!$D:$D,MATCH('Shayak Income '!D331,'MPG Payment '!E:E,0))</f>
        <v>Sahibpur Kamal</v>
      </c>
      <c r="K331" s="125" t="s">
        <v>1594</v>
      </c>
      <c r="L331" s="125">
        <v>45821</v>
      </c>
      <c r="M331" s="126">
        <f>SUMIF('MPG Payment '!$E$3:$E$344841,'Shayak Income '!D331,'MPG Payment '!$I$3:$I$344841)</f>
        <v>9253.8000000000011</v>
      </c>
      <c r="N331" s="126">
        <f>SUMIF('MPG Payment '!$E$3:$E$344841,'Shayak Income '!D331,'MPG Payment '!$J$3:$J$344841)</f>
        <v>380292.11000000004</v>
      </c>
      <c r="O331" s="126">
        <f t="shared" si="99"/>
        <v>6940.35</v>
      </c>
      <c r="P331" s="126">
        <f t="shared" si="100"/>
        <v>8791.11</v>
      </c>
      <c r="Q331" s="126">
        <f>SUMIF('MPG Payment '!$E$3:$E$344841,'Shayak Income '!D331,'MPG Payment '!$S$3:$S$344841)</f>
        <v>0</v>
      </c>
      <c r="R331" s="126">
        <f t="shared" si="91"/>
        <v>11408.763300000001</v>
      </c>
      <c r="S331" s="126">
        <f t="shared" si="92"/>
        <v>2617.6532999999999</v>
      </c>
      <c r="T331" s="126">
        <f t="shared" si="101"/>
        <v>925.38000000000011</v>
      </c>
      <c r="U331" s="127">
        <f>((((((IF(K331="New",0,SUMIF('MPG Payment '!$E$3:$E$344841,'Shayak Income '!D331,'MPG Payment '!$AC$3:$AC$344841))))+0)+0)+0)+0)+0</f>
        <v>0</v>
      </c>
      <c r="V331" s="127">
        <f t="shared" si="102"/>
        <v>14806</v>
      </c>
      <c r="W331" s="19">
        <f t="shared" si="106"/>
        <v>0</v>
      </c>
      <c r="X331" s="19">
        <f t="shared" si="107"/>
        <v>0</v>
      </c>
      <c r="Y331" s="128">
        <f>IFERROR(VLOOKUP(D331,'Monthly Deduction'!$M$2:$N$640,2,0),0)</f>
        <v>0</v>
      </c>
      <c r="Z331" s="128">
        <v>0</v>
      </c>
      <c r="AA331" s="126">
        <f>IFERROR(VLOOKUP(D331,'Monthly Deduction'!A:B,2,0),0)</f>
        <v>0</v>
      </c>
      <c r="AB331" s="129">
        <f t="shared" si="93"/>
        <v>14806</v>
      </c>
      <c r="AC331" s="130">
        <v>0</v>
      </c>
      <c r="AD331" s="35">
        <f t="shared" si="103"/>
        <v>14806</v>
      </c>
      <c r="AE331" s="166" t="str">
        <f t="shared" si="104"/>
        <v>Release</v>
      </c>
      <c r="AF331" s="127"/>
      <c r="AG331" s="18">
        <v>0</v>
      </c>
      <c r="AH331" s="132"/>
      <c r="AI331" s="238">
        <v>0</v>
      </c>
      <c r="AJ331" s="132"/>
      <c r="AK331" s="151">
        <v>1305.8</v>
      </c>
      <c r="AL331" s="154">
        <f t="shared" si="94"/>
        <v>0</v>
      </c>
      <c r="AM331" s="155"/>
      <c r="AN331" s="19">
        <f t="shared" si="95"/>
        <v>0</v>
      </c>
      <c r="AO331" s="118">
        <f>SUMIF('MPG Payment '!E:E,'Shayak Income '!D331,'MPG Payment '!AJ:AJ)</f>
        <v>0</v>
      </c>
      <c r="AP331" s="19">
        <f t="shared" si="96"/>
        <v>0</v>
      </c>
      <c r="AQ331" s="119">
        <f t="shared" si="105"/>
        <v>0</v>
      </c>
      <c r="AR331" s="91" t="s">
        <v>1144</v>
      </c>
      <c r="AS331" s="91">
        <f t="shared" si="97"/>
        <v>0</v>
      </c>
      <c r="AT331" s="118"/>
      <c r="AU331" s="118"/>
      <c r="AV331" s="118"/>
    </row>
    <row r="332" spans="1:48" s="20" customFormat="1" x14ac:dyDescent="0.25">
      <c r="A332" s="17">
        <f>IFERROR(VLOOKUP(D332,'Monthly Deduction'!$I$3:$J$957,2,0),0)</f>
        <v>0</v>
      </c>
      <c r="B332" s="17">
        <f>IFERROR(VLOOKUP(D332,'Monthly Deduction'!$E$3:$F$957,2,0),0)</f>
        <v>0</v>
      </c>
      <c r="C332" s="17">
        <f t="shared" si="98"/>
        <v>0</v>
      </c>
      <c r="D332" s="41">
        <v>10110155</v>
      </c>
      <c r="E332" s="122" t="str">
        <f>VLOOKUP(D332,'MPG Payment '!$E$3:$G$497305,2,0)</f>
        <v xml:space="preserve">DILKHUSH KUMAR </v>
      </c>
      <c r="F332" s="146">
        <f>IFERROR(_xlfn.XLOOKUP(D332,'Monthly Deduction'!$I$3:$I$957,'Monthly Deduction'!$H$3:$H$957),0)</f>
        <v>0</v>
      </c>
      <c r="G332" s="123" t="str">
        <f>VLOOKUP(D332,'MPG Payment '!$E$3:$G$333666,3,0)</f>
        <v>vlc</v>
      </c>
      <c r="H332" s="124" t="str">
        <f>VLOOKUP(D332,'MPG Payment '!$E$3:$H$333666,4,0)</f>
        <v>Indirect</v>
      </c>
      <c r="I332" s="88">
        <f>INDEX('MPG Payment '!$C:$C,MATCH('Shayak Income '!D332,'MPG Payment '!E:E,0))</f>
        <v>1055</v>
      </c>
      <c r="J332" s="88" t="str">
        <f>INDEX('MPG Payment '!$D:$D,MATCH('Shayak Income '!D332,'MPG Payment '!E:E,0))</f>
        <v>Matihani</v>
      </c>
      <c r="K332" s="125" t="s">
        <v>1594</v>
      </c>
      <c r="L332" s="125">
        <v>45828</v>
      </c>
      <c r="M332" s="126">
        <f>SUMIF('MPG Payment '!$E$3:$E$344841,'Shayak Income '!D332,'MPG Payment '!$I$3:$I$344841)</f>
        <v>1890.1</v>
      </c>
      <c r="N332" s="126">
        <f>SUMIF('MPG Payment '!$E$3:$E$344841,'Shayak Income '!D332,'MPG Payment '!$J$3:$J$344841)</f>
        <v>73279.319999999992</v>
      </c>
      <c r="O332" s="126">
        <f t="shared" si="99"/>
        <v>1417.5749999999998</v>
      </c>
      <c r="P332" s="126">
        <f t="shared" si="100"/>
        <v>1795.5949999999998</v>
      </c>
      <c r="Q332" s="126">
        <f>SUMIF('MPG Payment '!$E$3:$E$344841,'Shayak Income '!D332,'MPG Payment '!$S$3:$S$344841)</f>
        <v>0</v>
      </c>
      <c r="R332" s="126">
        <f t="shared" si="91"/>
        <v>2198.3795999999998</v>
      </c>
      <c r="S332" s="126">
        <f t="shared" si="92"/>
        <v>402.78459999999995</v>
      </c>
      <c r="T332" s="126">
        <f t="shared" si="101"/>
        <v>189.01</v>
      </c>
      <c r="U332" s="127">
        <f>((((((IF(K332="New",0,SUMIF('MPG Payment '!$E$3:$E$344841,'Shayak Income '!D332,'MPG Payment '!$AC$3:$AC$344841))))+0)+0)+0)+0)+0</f>
        <v>708.31112176706347</v>
      </c>
      <c r="V332" s="127">
        <f t="shared" si="102"/>
        <v>2316</v>
      </c>
      <c r="W332" s="19">
        <f t="shared" si="106"/>
        <v>0</v>
      </c>
      <c r="X332" s="19">
        <f t="shared" si="107"/>
        <v>0</v>
      </c>
      <c r="Y332" s="128">
        <f>IFERROR(VLOOKUP(D332,'Monthly Deduction'!$M$2:$N$640,2,0),0)</f>
        <v>0</v>
      </c>
      <c r="Z332" s="128">
        <v>0</v>
      </c>
      <c r="AA332" s="126">
        <f>IFERROR(VLOOKUP(D332,'Monthly Deduction'!A:B,2,0),0)</f>
        <v>0</v>
      </c>
      <c r="AB332" s="129">
        <f t="shared" si="93"/>
        <v>2316</v>
      </c>
      <c r="AC332" s="130">
        <v>0</v>
      </c>
      <c r="AD332" s="35">
        <f t="shared" si="103"/>
        <v>2316</v>
      </c>
      <c r="AE332" s="166" t="str">
        <f t="shared" si="104"/>
        <v>Release</v>
      </c>
      <c r="AF332" s="127"/>
      <c r="AG332" s="18">
        <v>0</v>
      </c>
      <c r="AH332" s="132"/>
      <c r="AI332" s="238">
        <v>0</v>
      </c>
      <c r="AJ332" s="132"/>
      <c r="AK332" s="151">
        <v>267.5</v>
      </c>
      <c r="AL332" s="154">
        <f t="shared" si="94"/>
        <v>0</v>
      </c>
      <c r="AM332" s="155"/>
      <c r="AN332" s="19">
        <f t="shared" si="95"/>
        <v>0</v>
      </c>
      <c r="AO332" s="118">
        <f>SUMIF('MPG Payment '!E:E,'Shayak Income '!D332,'MPG Payment '!AJ:AJ)</f>
        <v>0</v>
      </c>
      <c r="AP332" s="19">
        <f t="shared" si="96"/>
        <v>0</v>
      </c>
      <c r="AQ332" s="119">
        <f t="shared" si="105"/>
        <v>0</v>
      </c>
      <c r="AR332" s="91" t="s">
        <v>1144</v>
      </c>
      <c r="AS332" s="91">
        <f t="shared" si="97"/>
        <v>0</v>
      </c>
      <c r="AT332" s="118"/>
      <c r="AU332" s="118"/>
      <c r="AV332" s="118"/>
    </row>
    <row r="333" spans="1:48" s="20" customFormat="1" x14ac:dyDescent="0.25">
      <c r="A333" s="17">
        <f>IFERROR(VLOOKUP(D333,'Monthly Deduction'!$I$3:$J$957,2,0),0)</f>
        <v>0</v>
      </c>
      <c r="B333" s="17">
        <f>IFERROR(VLOOKUP(D333,'Monthly Deduction'!$E$3:$F$957,2,0),0)</f>
        <v>0</v>
      </c>
      <c r="C333" s="17">
        <f t="shared" si="98"/>
        <v>0</v>
      </c>
      <c r="D333" s="41">
        <v>10110158</v>
      </c>
      <c r="E333" s="122" t="str">
        <f>VLOOKUP(D333,'MPG Payment '!$E$3:$G$497305,2,0)</f>
        <v>GOMUKH CHOWKI 2</v>
      </c>
      <c r="F333" s="146">
        <f>IFERROR(_xlfn.XLOOKUP(D333,'Monthly Deduction'!$I$3:$I$957,'Monthly Deduction'!$H$3:$H$957),0)</f>
        <v>0</v>
      </c>
      <c r="G333" s="123" t="str">
        <f>VLOOKUP(D333,'MPG Payment '!$E$3:$G$333666,3,0)</f>
        <v>MPG</v>
      </c>
      <c r="H333" s="124" t="str">
        <f>VLOOKUP(D333,'MPG Payment '!$E$3:$H$333666,4,0)</f>
        <v>Direct</v>
      </c>
      <c r="I333" s="88">
        <f>INDEX('MPG Payment '!$C:$C,MATCH('Shayak Income '!D333,'MPG Payment '!E:E,0))</f>
        <v>1011</v>
      </c>
      <c r="J333" s="88" t="str">
        <f>INDEX('MPG Payment '!$D:$D,MATCH('Shayak Income '!D333,'MPG Payment '!E:E,0))</f>
        <v>Sahibpur Kamal</v>
      </c>
      <c r="K333" s="125" t="s">
        <v>1594</v>
      </c>
      <c r="L333" s="125">
        <v>45845</v>
      </c>
      <c r="M333" s="126">
        <f>SUMIF('MPG Payment '!$E$3:$E$344841,'Shayak Income '!D333,'MPG Payment '!$I$3:$I$344841)</f>
        <v>27447.800000000003</v>
      </c>
      <c r="N333" s="126">
        <f>SUMIF('MPG Payment '!$E$3:$E$344841,'Shayak Income '!D333,'MPG Payment '!$J$3:$J$344841)</f>
        <v>1068029.83</v>
      </c>
      <c r="O333" s="126">
        <f t="shared" si="99"/>
        <v>20585.850000000002</v>
      </c>
      <c r="P333" s="126">
        <f t="shared" si="100"/>
        <v>26075.41</v>
      </c>
      <c r="Q333" s="126">
        <f>SUMIF('MPG Payment '!$E$3:$E$344841,'Shayak Income '!D333,'MPG Payment '!$S$3:$S$344841)</f>
        <v>0</v>
      </c>
      <c r="R333" s="126">
        <f t="shared" si="91"/>
        <v>32040.894899999999</v>
      </c>
      <c r="S333" s="126">
        <f t="shared" si="92"/>
        <v>5965.4848999999995</v>
      </c>
      <c r="T333" s="126">
        <f t="shared" si="101"/>
        <v>2744.7800000000007</v>
      </c>
      <c r="U333" s="127">
        <f>((((((IF(K333="New",0,SUMIF('MPG Payment '!$E$3:$E$344841,'Shayak Income '!D333,'MPG Payment '!$AC$3:$AC$344841))))+0)+0)+0)+0)+0</f>
        <v>0</v>
      </c>
      <c r="V333" s="127">
        <f t="shared" si="102"/>
        <v>43916</v>
      </c>
      <c r="W333" s="19">
        <f t="shared" si="106"/>
        <v>0</v>
      </c>
      <c r="X333" s="19">
        <f t="shared" si="107"/>
        <v>0</v>
      </c>
      <c r="Y333" s="128">
        <f>IFERROR(VLOOKUP(D333,'Monthly Deduction'!$M$2:$N$640,2,0),0)</f>
        <v>0</v>
      </c>
      <c r="Z333" s="128">
        <v>0</v>
      </c>
      <c r="AA333" s="126">
        <f>IFERROR(VLOOKUP(D333,'Monthly Deduction'!A:B,2,0),0)</f>
        <v>0</v>
      </c>
      <c r="AB333" s="129">
        <f t="shared" si="93"/>
        <v>43916</v>
      </c>
      <c r="AC333" s="130">
        <v>0</v>
      </c>
      <c r="AD333" s="35">
        <f t="shared" si="103"/>
        <v>43916</v>
      </c>
      <c r="AE333" s="166" t="str">
        <f t="shared" si="104"/>
        <v>Release</v>
      </c>
      <c r="AF333" s="127"/>
      <c r="AG333" s="18">
        <v>0</v>
      </c>
      <c r="AH333" s="120"/>
      <c r="AI333" s="238">
        <v>0</v>
      </c>
      <c r="AJ333" s="132"/>
      <c r="AK333" s="151">
        <v>6044.1</v>
      </c>
      <c r="AL333" s="154">
        <f t="shared" si="94"/>
        <v>0</v>
      </c>
      <c r="AM333" s="155"/>
      <c r="AN333" s="19">
        <f t="shared" si="95"/>
        <v>0</v>
      </c>
      <c r="AO333" s="118">
        <f>SUMIF('MPG Payment '!E:E,'Shayak Income '!D333,'MPG Payment '!AJ:AJ)</f>
        <v>0</v>
      </c>
      <c r="AP333" s="19">
        <f t="shared" si="96"/>
        <v>0</v>
      </c>
      <c r="AQ333" s="119">
        <f t="shared" si="105"/>
        <v>0</v>
      </c>
      <c r="AR333" s="91"/>
      <c r="AS333" s="91">
        <f t="shared" si="97"/>
        <v>0</v>
      </c>
      <c r="AT333" s="118"/>
      <c r="AU333" s="118"/>
      <c r="AV333" s="118"/>
    </row>
    <row r="334" spans="1:48" s="20" customFormat="1" x14ac:dyDescent="0.25">
      <c r="A334" s="17">
        <f>IFERROR(VLOOKUP(D334,'Monthly Deduction'!$I$3:$J$957,2,0),0)</f>
        <v>50741.589629187001</v>
      </c>
      <c r="B334" s="17">
        <f>IFERROR(VLOOKUP(D334,'Monthly Deduction'!$E$3:$F$957,2,0),0)</f>
        <v>12800</v>
      </c>
      <c r="C334" s="17">
        <f t="shared" si="98"/>
        <v>63541.589629187001</v>
      </c>
      <c r="D334" s="41">
        <v>10110159</v>
      </c>
      <c r="E334" s="122" t="str">
        <f>VLOOKUP(D334,'MPG Payment '!$E$3:$G$497305,2,0)</f>
        <v>GOMUKH MOHABA</v>
      </c>
      <c r="F334" s="146">
        <f>IFERROR(_xlfn.XLOOKUP(D334,'Monthly Deduction'!$I$3:$I$957,'Monthly Deduction'!$H$3:$H$957),0)</f>
        <v>0</v>
      </c>
      <c r="G334" s="123" t="str">
        <f>VLOOKUP(D334,'MPG Payment '!$E$3:$G$333666,3,0)</f>
        <v>MPG</v>
      </c>
      <c r="H334" s="124" t="str">
        <f>VLOOKUP(D334,'MPG Payment '!$E$3:$H$333666,4,0)</f>
        <v>Direct</v>
      </c>
      <c r="I334" s="88">
        <f>INDEX('MPG Payment '!$C:$C,MATCH('Shayak Income '!D334,'MPG Payment '!E:E,0))</f>
        <v>1011</v>
      </c>
      <c r="J334" s="88" t="str">
        <f>INDEX('MPG Payment '!$D:$D,MATCH('Shayak Income '!D334,'MPG Payment '!E:E,0))</f>
        <v>Sahibpur Kamal</v>
      </c>
      <c r="K334" s="125" t="s">
        <v>1594</v>
      </c>
      <c r="L334" s="125">
        <v>45839</v>
      </c>
      <c r="M334" s="126">
        <f>SUMIF('MPG Payment '!$E$3:$E$344841,'Shayak Income '!D334,'MPG Payment '!$I$3:$I$344841)</f>
        <v>7041.0999999999995</v>
      </c>
      <c r="N334" s="126">
        <f>SUMIF('MPG Payment '!$E$3:$E$344841,'Shayak Income '!D334,'MPG Payment '!$J$3:$J$344841)</f>
        <v>275594.53000000003</v>
      </c>
      <c r="O334" s="126">
        <f t="shared" si="99"/>
        <v>5280.8249999999998</v>
      </c>
      <c r="P334" s="126">
        <f t="shared" si="100"/>
        <v>6689.0449999999992</v>
      </c>
      <c r="Q334" s="126">
        <f>SUMIF('MPG Payment '!$E$3:$E$344841,'Shayak Income '!D334,'MPG Payment '!$S$3:$S$344841)</f>
        <v>660.58</v>
      </c>
      <c r="R334" s="126">
        <f t="shared" si="91"/>
        <v>8267.8359</v>
      </c>
      <c r="S334" s="126">
        <f t="shared" si="92"/>
        <v>1578.7909000000009</v>
      </c>
      <c r="T334" s="126">
        <f t="shared" si="101"/>
        <v>704.11</v>
      </c>
      <c r="U334" s="127">
        <f>((((((IF(K334="New",0,SUMIF('MPG Payment '!$E$3:$E$344841,'Shayak Income '!D334,'MPG Payment '!$AC$3:$AC$344841))))+0)+0)+0)+0)+0</f>
        <v>0</v>
      </c>
      <c r="V334" s="127">
        <f t="shared" si="102"/>
        <v>11926</v>
      </c>
      <c r="W334" s="19">
        <f t="shared" si="106"/>
        <v>5511.8906000000006</v>
      </c>
      <c r="X334" s="19">
        <v>0</v>
      </c>
      <c r="Y334" s="128">
        <f>IFERROR(VLOOKUP(D334,'Monthly Deduction'!$M$2:$N$640,2,0),0)</f>
        <v>0</v>
      </c>
      <c r="Z334" s="128">
        <v>0</v>
      </c>
      <c r="AA334" s="126">
        <f>IFERROR(VLOOKUP(D334,'Monthly Deduction'!A:B,2,0),0)</f>
        <v>0</v>
      </c>
      <c r="AB334" s="129">
        <f t="shared" si="93"/>
        <v>6414</v>
      </c>
      <c r="AC334" s="130">
        <v>0</v>
      </c>
      <c r="AD334" s="35">
        <f t="shared" si="103"/>
        <v>6414</v>
      </c>
      <c r="AE334" s="166" t="str">
        <f t="shared" si="104"/>
        <v>Release</v>
      </c>
      <c r="AF334" s="127"/>
      <c r="AG334" s="18">
        <v>0</v>
      </c>
      <c r="AH334" s="132"/>
      <c r="AI334" s="238">
        <v>0</v>
      </c>
      <c r="AJ334" s="132"/>
      <c r="AK334" s="151">
        <v>1577.3999999999999</v>
      </c>
      <c r="AL334" s="154">
        <f t="shared" si="94"/>
        <v>0</v>
      </c>
      <c r="AM334" s="155"/>
      <c r="AN334" s="19">
        <f t="shared" si="95"/>
        <v>5511.8906000000006</v>
      </c>
      <c r="AO334" s="118">
        <f>SUMIF('MPG Payment '!E:E,'Shayak Income '!D334,'MPG Payment '!AJ:AJ)</f>
        <v>0</v>
      </c>
      <c r="AP334" s="19">
        <f t="shared" si="96"/>
        <v>5511.8906000000006</v>
      </c>
      <c r="AQ334" s="119">
        <f t="shared" si="105"/>
        <v>5511.8906000000006</v>
      </c>
      <c r="AR334" s="91"/>
      <c r="AS334" s="91">
        <f t="shared" si="97"/>
        <v>12800</v>
      </c>
      <c r="AT334" s="118"/>
      <c r="AU334" s="118"/>
      <c r="AV334" s="118"/>
    </row>
    <row r="335" spans="1:48" s="20" customFormat="1" x14ac:dyDescent="0.25">
      <c r="A335" s="17">
        <f>IFERROR(VLOOKUP(D335,'Monthly Deduction'!$I$3:$J$957,2,0),0)</f>
        <v>0</v>
      </c>
      <c r="B335" s="17">
        <f>IFERROR(VLOOKUP(D335,'Monthly Deduction'!$E$3:$F$957,2,0),0)</f>
        <v>0</v>
      </c>
      <c r="C335" s="17">
        <f t="shared" si="98"/>
        <v>0</v>
      </c>
      <c r="D335" s="41">
        <v>10110160</v>
      </c>
      <c r="E335" s="122" t="str">
        <f>VLOOKUP(D335,'MPG Payment '!$E$3:$G$497305,2,0)</f>
        <v>SANHA VLC</v>
      </c>
      <c r="F335" s="146">
        <f>IFERROR(_xlfn.XLOOKUP(D335,'Monthly Deduction'!$I$3:$I$957,'Monthly Deduction'!$H$3:$H$957),0)</f>
        <v>0</v>
      </c>
      <c r="G335" s="123" t="str">
        <f>VLOOKUP(D335,'MPG Payment '!$E$3:$G$333666,3,0)</f>
        <v>vlc</v>
      </c>
      <c r="H335" s="124" t="str">
        <f>VLOOKUP(D335,'MPG Payment '!$E$3:$H$333666,4,0)</f>
        <v>Indirect</v>
      </c>
      <c r="I335" s="88">
        <f>INDEX('MPG Payment '!$C:$C,MATCH('Shayak Income '!D335,'MPG Payment '!E:E,0))</f>
        <v>1011</v>
      </c>
      <c r="J335" s="88" t="str">
        <f>INDEX('MPG Payment '!$D:$D,MATCH('Shayak Income '!D335,'MPG Payment '!E:E,0))</f>
        <v>Sahibpur Kamal</v>
      </c>
      <c r="K335" s="125" t="s">
        <v>1594</v>
      </c>
      <c r="L335" s="125">
        <v>45850</v>
      </c>
      <c r="M335" s="126">
        <f>SUMIF('MPG Payment '!$E$3:$E$344841,'Shayak Income '!D335,'MPG Payment '!$I$3:$I$344841)</f>
        <v>2005.6000000000004</v>
      </c>
      <c r="N335" s="126">
        <f>SUMIF('MPG Payment '!$E$3:$E$344841,'Shayak Income '!D335,'MPG Payment '!$J$3:$J$344841)</f>
        <v>73958.509999999995</v>
      </c>
      <c r="O335" s="126">
        <f t="shared" si="99"/>
        <v>1504.2000000000003</v>
      </c>
      <c r="P335" s="126">
        <f t="shared" si="100"/>
        <v>1905.3200000000002</v>
      </c>
      <c r="Q335" s="126">
        <f>SUMIF('MPG Payment '!$E$3:$E$344841,'Shayak Income '!D335,'MPG Payment '!$S$3:$S$344841)</f>
        <v>0</v>
      </c>
      <c r="R335" s="126">
        <f t="shared" si="91"/>
        <v>2218.7552999999998</v>
      </c>
      <c r="S335" s="126">
        <f t="shared" si="92"/>
        <v>313.43529999999964</v>
      </c>
      <c r="T335" s="126">
        <f t="shared" si="101"/>
        <v>200.56000000000006</v>
      </c>
      <c r="U335" s="127">
        <f>((((((IF(K335="New",0,SUMIF('MPG Payment '!$E$3:$E$344841,'Shayak Income '!D335,'MPG Payment '!$AC$3:$AC$344841))))+0)+0)+0)+0)+0</f>
        <v>585.37281985051084</v>
      </c>
      <c r="V335" s="127">
        <f t="shared" si="102"/>
        <v>2624</v>
      </c>
      <c r="W335" s="19">
        <f t="shared" si="106"/>
        <v>0</v>
      </c>
      <c r="X335" s="19">
        <f t="shared" si="107"/>
        <v>0</v>
      </c>
      <c r="Y335" s="128">
        <f>IFERROR(VLOOKUP(D335,'Monthly Deduction'!$M$2:$N$640,2,0),0)</f>
        <v>0</v>
      </c>
      <c r="Z335" s="128">
        <v>0</v>
      </c>
      <c r="AA335" s="126">
        <f>IFERROR(VLOOKUP(D335,'Monthly Deduction'!A:B,2,0),0)</f>
        <v>0</v>
      </c>
      <c r="AB335" s="129">
        <f t="shared" si="93"/>
        <v>2624</v>
      </c>
      <c r="AC335" s="130">
        <v>0</v>
      </c>
      <c r="AD335" s="35">
        <f t="shared" si="103"/>
        <v>2624</v>
      </c>
      <c r="AE335" s="166" t="str">
        <f t="shared" si="104"/>
        <v>Release</v>
      </c>
      <c r="AF335" s="127"/>
      <c r="AG335" s="18">
        <v>0</v>
      </c>
      <c r="AH335" s="132"/>
      <c r="AI335" s="238">
        <v>0</v>
      </c>
      <c r="AJ335" s="132"/>
      <c r="AK335" s="151">
        <v>453.50000000000006</v>
      </c>
      <c r="AL335" s="154">
        <f t="shared" si="94"/>
        <v>0</v>
      </c>
      <c r="AM335" s="155"/>
      <c r="AN335" s="19">
        <f t="shared" si="95"/>
        <v>0</v>
      </c>
      <c r="AO335" s="118">
        <f>SUMIF('MPG Payment '!E:E,'Shayak Income '!D335,'MPG Payment '!AJ:AJ)</f>
        <v>0</v>
      </c>
      <c r="AP335" s="19">
        <f t="shared" si="96"/>
        <v>0</v>
      </c>
      <c r="AQ335" s="119">
        <f t="shared" si="105"/>
        <v>0</v>
      </c>
      <c r="AR335" s="91" t="s">
        <v>1144</v>
      </c>
      <c r="AS335" s="91">
        <f t="shared" si="97"/>
        <v>0</v>
      </c>
      <c r="AT335" s="118"/>
      <c r="AU335" s="118"/>
      <c r="AV335" s="118"/>
    </row>
    <row r="336" spans="1:48" s="20" customFormat="1" x14ac:dyDescent="0.25">
      <c r="A336" s="17">
        <f>IFERROR(VLOOKUP(D336,'Monthly Deduction'!$I$3:$J$957,2,0),0)</f>
        <v>0</v>
      </c>
      <c r="B336" s="17">
        <f>IFERROR(VLOOKUP(D336,'Monthly Deduction'!$E$3:$F$957,2,0),0)</f>
        <v>0</v>
      </c>
      <c r="C336" s="17">
        <f t="shared" si="98"/>
        <v>0</v>
      </c>
      <c r="D336" s="41">
        <v>10110161</v>
      </c>
      <c r="E336" s="122" t="str">
        <f>VLOOKUP(D336,'MPG Payment '!$E$3:$G$497305,2,0)</f>
        <v>MOHANPUR VLC</v>
      </c>
      <c r="F336" s="146">
        <f>IFERROR(_xlfn.XLOOKUP(D336,'Monthly Deduction'!$I$3:$I$957,'Monthly Deduction'!$H$3:$H$957),0)</f>
        <v>0</v>
      </c>
      <c r="G336" s="123" t="str">
        <f>VLOOKUP(D336,'MPG Payment '!$E$3:$G$333666,3,0)</f>
        <v>vlc</v>
      </c>
      <c r="H336" s="124" t="str">
        <f>VLOOKUP(D336,'MPG Payment '!$E$3:$H$333666,4,0)</f>
        <v>Indirect</v>
      </c>
      <c r="I336" s="88">
        <f>INDEX('MPG Payment '!$C:$C,MATCH('Shayak Income '!D336,'MPG Payment '!E:E,0))</f>
        <v>1011</v>
      </c>
      <c r="J336" s="88" t="str">
        <f>INDEX('MPG Payment '!$D:$D,MATCH('Shayak Income '!D336,'MPG Payment '!E:E,0))</f>
        <v>Sahibpur Kamal</v>
      </c>
      <c r="K336" s="125" t="s">
        <v>1594</v>
      </c>
      <c r="L336" s="125">
        <v>45849</v>
      </c>
      <c r="M336" s="126">
        <f>SUMIF('MPG Payment '!$E$3:$E$344841,'Shayak Income '!D336,'MPG Payment '!$I$3:$I$344841)</f>
        <v>3075.5</v>
      </c>
      <c r="N336" s="126">
        <f>SUMIF('MPG Payment '!$E$3:$E$344841,'Shayak Income '!D336,'MPG Payment '!$J$3:$J$344841)</f>
        <v>112057.1</v>
      </c>
      <c r="O336" s="126">
        <f t="shared" si="99"/>
        <v>2306.625</v>
      </c>
      <c r="P336" s="126">
        <f t="shared" si="100"/>
        <v>2921.7249999999999</v>
      </c>
      <c r="Q336" s="126">
        <f>SUMIF('MPG Payment '!$E$3:$E$344841,'Shayak Income '!D336,'MPG Payment '!$S$3:$S$344841)</f>
        <v>0</v>
      </c>
      <c r="R336" s="126">
        <f t="shared" si="91"/>
        <v>3361.7130000000002</v>
      </c>
      <c r="S336" s="126">
        <f t="shared" si="92"/>
        <v>439.98800000000028</v>
      </c>
      <c r="T336" s="126">
        <f t="shared" si="101"/>
        <v>307.55</v>
      </c>
      <c r="U336" s="127">
        <f>((((((IF(K336="New",0,SUMIF('MPG Payment '!$E$3:$E$344841,'Shayak Income '!D336,'MPG Payment '!$AC$3:$AC$344841))))+0)+0)+0)+0)+0</f>
        <v>22.104805970149286</v>
      </c>
      <c r="V336" s="127">
        <f t="shared" si="102"/>
        <v>4899</v>
      </c>
      <c r="W336" s="19">
        <f t="shared" si="106"/>
        <v>0</v>
      </c>
      <c r="X336" s="19">
        <f t="shared" si="107"/>
        <v>0</v>
      </c>
      <c r="Y336" s="128">
        <f>IFERROR(VLOOKUP(D336,'Monthly Deduction'!$M$2:$N$640,2,0),0)</f>
        <v>0</v>
      </c>
      <c r="Z336" s="128">
        <v>0</v>
      </c>
      <c r="AA336" s="126">
        <f>IFERROR(VLOOKUP(D336,'Monthly Deduction'!A:B,2,0),0)</f>
        <v>0</v>
      </c>
      <c r="AB336" s="129">
        <f t="shared" si="93"/>
        <v>4899</v>
      </c>
      <c r="AC336" s="130">
        <v>0</v>
      </c>
      <c r="AD336" s="35">
        <f t="shared" si="103"/>
        <v>4899</v>
      </c>
      <c r="AE336" s="166" t="str">
        <f t="shared" si="104"/>
        <v>Release</v>
      </c>
      <c r="AF336" s="127"/>
      <c r="AG336" s="127">
        <v>0</v>
      </c>
      <c r="AH336" s="120"/>
      <c r="AI336" s="238">
        <v>0</v>
      </c>
      <c r="AJ336" s="132"/>
      <c r="AK336" s="151">
        <v>632.6</v>
      </c>
      <c r="AL336" s="154">
        <f t="shared" si="94"/>
        <v>0</v>
      </c>
      <c r="AM336" s="155"/>
      <c r="AN336" s="19">
        <f t="shared" si="95"/>
        <v>0</v>
      </c>
      <c r="AO336" s="118">
        <f>SUMIF('MPG Payment '!E:E,'Shayak Income '!D336,'MPG Payment '!AJ:AJ)</f>
        <v>0</v>
      </c>
      <c r="AP336" s="19">
        <f t="shared" si="96"/>
        <v>0</v>
      </c>
      <c r="AQ336" s="119">
        <f t="shared" si="105"/>
        <v>0</v>
      </c>
      <c r="AR336" s="91"/>
      <c r="AS336" s="91">
        <f t="shared" si="97"/>
        <v>0</v>
      </c>
      <c r="AT336" s="118"/>
      <c r="AU336" s="118"/>
      <c r="AV336" s="118"/>
    </row>
    <row r="337" spans="1:48" s="20" customFormat="1" x14ac:dyDescent="0.25">
      <c r="A337" s="17">
        <f>IFERROR(VLOOKUP(D337,'Monthly Deduction'!$I$3:$J$957,2,0),0)</f>
        <v>0</v>
      </c>
      <c r="B337" s="17">
        <f>IFERROR(VLOOKUP(D337,'Monthly Deduction'!$E$3:$F$957,2,0),0)</f>
        <v>0</v>
      </c>
      <c r="C337" s="17">
        <f t="shared" si="98"/>
        <v>0</v>
      </c>
      <c r="D337" s="41">
        <v>10120001</v>
      </c>
      <c r="E337" s="122" t="str">
        <f>VLOOKUP(D337,'MPG Payment '!$E$3:$G$497305,2,0)</f>
        <v>GOMUKH SUBHANPUR</v>
      </c>
      <c r="F337" s="146">
        <f>IFERROR(_xlfn.XLOOKUP(D337,'Monthly Deduction'!$I$3:$I$957,'Monthly Deduction'!$H$3:$H$957),0)</f>
        <v>0</v>
      </c>
      <c r="G337" s="123" t="str">
        <f>VLOOKUP(D337,'MPG Payment '!$E$3:$G$333666,3,0)</f>
        <v>vlc</v>
      </c>
      <c r="H337" s="124" t="str">
        <f>VLOOKUP(D337,'MPG Payment '!$E$3:$H$333666,4,0)</f>
        <v>Indirect</v>
      </c>
      <c r="I337" s="88">
        <f>INDEX('MPG Payment '!$C:$C,MATCH('Shayak Income '!D337,'MPG Payment '!E:E,0))</f>
        <v>1012</v>
      </c>
      <c r="J337" s="88" t="str">
        <f>INDEX('MPG Payment '!$D:$D,MATCH('Shayak Income '!D337,'MPG Payment '!E:E,0))</f>
        <v>DalsinghSarai</v>
      </c>
      <c r="K337" s="125" t="s">
        <v>1594</v>
      </c>
      <c r="L337" s="125">
        <v>43622</v>
      </c>
      <c r="M337" s="126">
        <f>SUMIF('MPG Payment '!$E$3:$E$344841,'Shayak Income '!D337,'MPG Payment '!$I$3:$I$344841)</f>
        <v>983.43000000000006</v>
      </c>
      <c r="N337" s="126">
        <f>SUMIF('MPG Payment '!$E$3:$E$344841,'Shayak Income '!D337,'MPG Payment '!$J$3:$J$344841)</f>
        <v>39246.090000000004</v>
      </c>
      <c r="O337" s="126">
        <f t="shared" si="99"/>
        <v>737.57249999999999</v>
      </c>
      <c r="P337" s="126">
        <f t="shared" si="100"/>
        <v>934.25850000000003</v>
      </c>
      <c r="Q337" s="126">
        <f>SUMIF('MPG Payment '!$E$3:$E$344841,'Shayak Income '!D337,'MPG Payment '!$S$3:$S$344841)</f>
        <v>0</v>
      </c>
      <c r="R337" s="126">
        <f t="shared" si="91"/>
        <v>1177.3827000000001</v>
      </c>
      <c r="S337" s="126">
        <f t="shared" si="92"/>
        <v>243.12420000000009</v>
      </c>
      <c r="T337" s="126">
        <f t="shared" si="101"/>
        <v>98.343000000000018</v>
      </c>
      <c r="U337" s="127">
        <f>((((((IF(K337="New",0,SUMIF('MPG Payment '!$E$3:$E$344841,'Shayak Income '!D337,'MPG Payment '!$AC$3:$AC$344841))))+0)+0)+0)+0)+0</f>
        <v>1450.1202304024007</v>
      </c>
      <c r="V337" s="127">
        <f t="shared" si="102"/>
        <v>123</v>
      </c>
      <c r="W337" s="19">
        <f t="shared" si="106"/>
        <v>0</v>
      </c>
      <c r="X337" s="19">
        <f t="shared" si="107"/>
        <v>0</v>
      </c>
      <c r="Y337" s="128">
        <f>IFERROR(VLOOKUP(D337,'Monthly Deduction'!$M$2:$N$640,2,0),0)</f>
        <v>0</v>
      </c>
      <c r="Z337" s="128">
        <v>0</v>
      </c>
      <c r="AA337" s="126">
        <v>123</v>
      </c>
      <c r="AB337" s="129">
        <f t="shared" si="93"/>
        <v>0</v>
      </c>
      <c r="AC337" s="130">
        <v>0</v>
      </c>
      <c r="AD337" s="35">
        <f t="shared" si="103"/>
        <v>0</v>
      </c>
      <c r="AE337" s="166" t="str">
        <f t="shared" si="104"/>
        <v>Release</v>
      </c>
      <c r="AF337" s="127"/>
      <c r="AG337" s="18">
        <v>0</v>
      </c>
      <c r="AH337" s="120"/>
      <c r="AI337" s="238">
        <v>0</v>
      </c>
      <c r="AJ337" s="132"/>
      <c r="AK337" s="151">
        <v>306.95999999999998</v>
      </c>
      <c r="AL337" s="154">
        <f t="shared" si="94"/>
        <v>0</v>
      </c>
      <c r="AM337" s="155"/>
      <c r="AN337" s="19">
        <f t="shared" si="95"/>
        <v>0</v>
      </c>
      <c r="AO337" s="118">
        <f>SUMIF('MPG Payment '!E:E,'Shayak Income '!D337,'MPG Payment '!AJ:AJ)</f>
        <v>0</v>
      </c>
      <c r="AP337" s="19">
        <f t="shared" si="96"/>
        <v>0</v>
      </c>
      <c r="AQ337" s="119">
        <f t="shared" si="105"/>
        <v>0</v>
      </c>
      <c r="AR337" s="91" t="s">
        <v>1144</v>
      </c>
      <c r="AS337" s="91">
        <f t="shared" si="97"/>
        <v>0</v>
      </c>
      <c r="AT337" s="118"/>
      <c r="AU337" s="118"/>
      <c r="AV337" s="118"/>
    </row>
    <row r="338" spans="1:48" s="20" customFormat="1" x14ac:dyDescent="0.25">
      <c r="A338" s="17">
        <f>IFERROR(VLOOKUP(D338,'Monthly Deduction'!$I$3:$J$957,2,0),0)</f>
        <v>0</v>
      </c>
      <c r="B338" s="17">
        <f>IFERROR(VLOOKUP(D338,'Monthly Deduction'!$E$3:$F$957,2,0),0)</f>
        <v>0</v>
      </c>
      <c r="C338" s="17">
        <f t="shared" si="98"/>
        <v>0</v>
      </c>
      <c r="D338" s="41">
        <v>10120002</v>
      </c>
      <c r="E338" s="122" t="str">
        <f>VLOOKUP(D338,'MPG Payment '!$E$3:$G$497305,2,0)</f>
        <v>GOMUKH  BHAJANGAMA</v>
      </c>
      <c r="F338" s="146">
        <f>IFERROR(_xlfn.XLOOKUP(D338,'Monthly Deduction'!$I$3:$I$957,'Monthly Deduction'!$H$3:$H$957),0)</f>
        <v>0</v>
      </c>
      <c r="G338" s="123" t="str">
        <f>VLOOKUP(D338,'MPG Payment '!$E$3:$G$333666,3,0)</f>
        <v>vlc</v>
      </c>
      <c r="H338" s="124" t="str">
        <f>VLOOKUP(D338,'MPG Payment '!$E$3:$H$333666,4,0)</f>
        <v>Indirect</v>
      </c>
      <c r="I338" s="88">
        <f>INDEX('MPG Payment '!$C:$C,MATCH('Shayak Income '!D338,'MPG Payment '!E:E,0))</f>
        <v>1012</v>
      </c>
      <c r="J338" s="88" t="str">
        <f>INDEX('MPG Payment '!$D:$D,MATCH('Shayak Income '!D338,'MPG Payment '!E:E,0))</f>
        <v>DalsinghSarai</v>
      </c>
      <c r="K338" s="125" t="s">
        <v>1594</v>
      </c>
      <c r="L338" s="125">
        <v>43622</v>
      </c>
      <c r="M338" s="126">
        <f>SUMIF('MPG Payment '!$E$3:$E$344841,'Shayak Income '!D338,'MPG Payment '!$I$3:$I$344841)</f>
        <v>1911.1200000000001</v>
      </c>
      <c r="N338" s="126">
        <f>SUMIF('MPG Payment '!$E$3:$E$344841,'Shayak Income '!D338,'MPG Payment '!$J$3:$J$344841)</f>
        <v>75669.2</v>
      </c>
      <c r="O338" s="126">
        <f t="shared" si="99"/>
        <v>1433.3400000000001</v>
      </c>
      <c r="P338" s="126">
        <f t="shared" si="100"/>
        <v>1815.5640000000001</v>
      </c>
      <c r="Q338" s="126">
        <f>SUMIF('MPG Payment '!$E$3:$E$344841,'Shayak Income '!D338,'MPG Payment '!$S$3:$S$344841)</f>
        <v>0</v>
      </c>
      <c r="R338" s="126">
        <f t="shared" si="91"/>
        <v>2270.076</v>
      </c>
      <c r="S338" s="126">
        <f t="shared" si="92"/>
        <v>454.51199999999994</v>
      </c>
      <c r="T338" s="126">
        <f t="shared" si="101"/>
        <v>191.11200000000002</v>
      </c>
      <c r="U338" s="127">
        <f>((((((IF(K338="New",0,SUMIF('MPG Payment '!$E$3:$E$344841,'Shayak Income '!D338,'MPG Payment '!$AC$3:$AC$344841))))+0)+0)+0)+0)+0</f>
        <v>705.10167764366952</v>
      </c>
      <c r="V338" s="127">
        <f t="shared" si="102"/>
        <v>2353</v>
      </c>
      <c r="W338" s="19">
        <f t="shared" si="106"/>
        <v>0</v>
      </c>
      <c r="X338" s="19">
        <f t="shared" si="107"/>
        <v>0</v>
      </c>
      <c r="Y338" s="128">
        <v>2353</v>
      </c>
      <c r="Z338" s="128">
        <v>0</v>
      </c>
      <c r="AA338" s="126">
        <v>0</v>
      </c>
      <c r="AB338" s="129">
        <f t="shared" si="93"/>
        <v>0</v>
      </c>
      <c r="AC338" s="130">
        <v>0</v>
      </c>
      <c r="AD338" s="35">
        <f t="shared" si="103"/>
        <v>0</v>
      </c>
      <c r="AE338" s="166" t="str">
        <f t="shared" si="104"/>
        <v>Release</v>
      </c>
      <c r="AF338" s="127"/>
      <c r="AG338" s="18">
        <v>0</v>
      </c>
      <c r="AH338" s="120"/>
      <c r="AI338" s="238">
        <v>0</v>
      </c>
      <c r="AJ338" s="132"/>
      <c r="AK338" s="151">
        <v>493.98</v>
      </c>
      <c r="AL338" s="154">
        <f t="shared" si="94"/>
        <v>0</v>
      </c>
      <c r="AM338" s="155"/>
      <c r="AN338" s="19">
        <f t="shared" si="95"/>
        <v>0</v>
      </c>
      <c r="AO338" s="118">
        <f>SUMIF('MPG Payment '!E:E,'Shayak Income '!D338,'MPG Payment '!AJ:AJ)</f>
        <v>0</v>
      </c>
      <c r="AP338" s="19">
        <f t="shared" si="96"/>
        <v>0</v>
      </c>
      <c r="AQ338" s="119">
        <f t="shared" si="105"/>
        <v>0</v>
      </c>
      <c r="AR338" s="91" t="s">
        <v>1144</v>
      </c>
      <c r="AS338" s="91">
        <f t="shared" si="97"/>
        <v>0</v>
      </c>
      <c r="AT338" s="118"/>
      <c r="AU338" s="118"/>
      <c r="AV338" s="118"/>
    </row>
    <row r="339" spans="1:48" s="20" customFormat="1" x14ac:dyDescent="0.25">
      <c r="A339" s="17">
        <f>IFERROR(VLOOKUP(D339,'Monthly Deduction'!$I$3:$J$957,2,0),0)</f>
        <v>7432.4363347530307</v>
      </c>
      <c r="B339" s="17">
        <f>IFERROR(VLOOKUP(D339,'Monthly Deduction'!$E$3:$F$957,2,0),0)</f>
        <v>0</v>
      </c>
      <c r="C339" s="17">
        <f t="shared" si="98"/>
        <v>7432.4363347530307</v>
      </c>
      <c r="D339" s="41">
        <v>10120005</v>
      </c>
      <c r="E339" s="122" t="str">
        <f>VLOOKUP(D339,'MPG Payment '!$E$3:$G$497305,2,0)</f>
        <v>Gomukh Basadhiya Kurni</v>
      </c>
      <c r="F339" s="146">
        <f>IFERROR(_xlfn.XLOOKUP(D339,'Monthly Deduction'!$I$3:$I$957,'Monthly Deduction'!$H$3:$H$957),0)</f>
        <v>0</v>
      </c>
      <c r="G339" s="123" t="str">
        <f>VLOOKUP(D339,'MPG Payment '!$E$3:$G$333666,3,0)</f>
        <v>MPG</v>
      </c>
      <c r="H339" s="124" t="str">
        <f>VLOOKUP(D339,'MPG Payment '!$E$3:$H$333666,4,0)</f>
        <v>Direct</v>
      </c>
      <c r="I339" s="88">
        <f>INDEX('MPG Payment '!$C:$C,MATCH('Shayak Income '!D339,'MPG Payment '!E:E,0))</f>
        <v>1012</v>
      </c>
      <c r="J339" s="88" t="str">
        <f>INDEX('MPG Payment '!$D:$D,MATCH('Shayak Income '!D339,'MPG Payment '!E:E,0))</f>
        <v>DalsinghSarai</v>
      </c>
      <c r="K339" s="125" t="s">
        <v>1594</v>
      </c>
      <c r="L339" s="125">
        <v>43678</v>
      </c>
      <c r="M339" s="126">
        <f>SUMIF('MPG Payment '!$E$3:$E$344841,'Shayak Income '!D339,'MPG Payment '!$I$3:$I$344841)</f>
        <v>2117.58</v>
      </c>
      <c r="N339" s="126">
        <f>SUMIF('MPG Payment '!$E$3:$E$344841,'Shayak Income '!D339,'MPG Payment '!$J$3:$J$344841)</f>
        <v>82474.55</v>
      </c>
      <c r="O339" s="126">
        <f t="shared" si="99"/>
        <v>1588.1849999999999</v>
      </c>
      <c r="P339" s="126">
        <f t="shared" si="100"/>
        <v>2011.7009999999998</v>
      </c>
      <c r="Q339" s="126">
        <f>SUMIF('MPG Payment '!$E$3:$E$344841,'Shayak Income '!D339,'MPG Payment '!$S$3:$S$344841)</f>
        <v>0</v>
      </c>
      <c r="R339" s="126">
        <f t="shared" si="91"/>
        <v>2474.2365</v>
      </c>
      <c r="S339" s="126">
        <f t="shared" si="92"/>
        <v>462.53550000000018</v>
      </c>
      <c r="T339" s="126">
        <f t="shared" si="101"/>
        <v>211.75800000000001</v>
      </c>
      <c r="U339" s="127">
        <f>((((((IF(K339="New",0,SUMIF('MPG Payment '!$E$3:$E$344841,'Shayak Income '!D339,'MPG Payment '!$AC$3:$AC$344841))))+0)+0)+0)+0)+0</f>
        <v>534.39398821173052</v>
      </c>
      <c r="V339" s="127">
        <f t="shared" si="102"/>
        <v>2854</v>
      </c>
      <c r="W339" s="19">
        <f t="shared" si="106"/>
        <v>1861</v>
      </c>
      <c r="X339" s="19">
        <v>0</v>
      </c>
      <c r="Y339" s="128">
        <f>IFERROR(VLOOKUP(D339,'Monthly Deduction'!$M$2:$N$640,2,0),0)</f>
        <v>0</v>
      </c>
      <c r="Z339" s="128">
        <v>0</v>
      </c>
      <c r="AA339" s="126">
        <f>IFERROR(VLOOKUP(D339,'Monthly Deduction'!A:B,2,0),0)</f>
        <v>0</v>
      </c>
      <c r="AB339" s="129">
        <f t="shared" si="93"/>
        <v>993</v>
      </c>
      <c r="AC339" s="130">
        <v>0</v>
      </c>
      <c r="AD339" s="35">
        <f t="shared" si="103"/>
        <v>993</v>
      </c>
      <c r="AE339" s="166" t="str">
        <f t="shared" si="104"/>
        <v>Release</v>
      </c>
      <c r="AF339" s="127"/>
      <c r="AG339" s="18">
        <v>0</v>
      </c>
      <c r="AH339" s="120"/>
      <c r="AI339" s="238">
        <v>0</v>
      </c>
      <c r="AJ339" s="132"/>
      <c r="AK339" s="151">
        <v>582.6</v>
      </c>
      <c r="AL339" s="154">
        <f t="shared" si="94"/>
        <v>0</v>
      </c>
      <c r="AM339" s="155"/>
      <c r="AN339" s="19">
        <f t="shared" si="95"/>
        <v>1861</v>
      </c>
      <c r="AO339" s="118">
        <f>SUMIF('MPG Payment '!E:E,'Shayak Income '!D339,'MPG Payment '!AJ:AJ)</f>
        <v>0</v>
      </c>
      <c r="AP339" s="19">
        <f t="shared" si="96"/>
        <v>1861</v>
      </c>
      <c r="AQ339" s="119">
        <f t="shared" si="105"/>
        <v>1861</v>
      </c>
      <c r="AR339" s="91" t="s">
        <v>1144</v>
      </c>
      <c r="AS339" s="91">
        <f t="shared" si="97"/>
        <v>0</v>
      </c>
      <c r="AT339" s="118"/>
      <c r="AU339" s="118"/>
      <c r="AV339" s="118"/>
    </row>
    <row r="340" spans="1:48" s="20" customFormat="1" x14ac:dyDescent="0.25">
      <c r="A340" s="17">
        <f>IFERROR(VLOOKUP(D340,'Monthly Deduction'!$I$3:$J$957,2,0),0)</f>
        <v>0</v>
      </c>
      <c r="B340" s="17">
        <f>IFERROR(VLOOKUP(D340,'Monthly Deduction'!$E$3:$F$957,2,0),0)</f>
        <v>0</v>
      </c>
      <c r="C340" s="17">
        <f t="shared" si="98"/>
        <v>0</v>
      </c>
      <c r="D340" s="41">
        <v>10120006</v>
      </c>
      <c r="E340" s="122" t="str">
        <f>VLOOKUP(D340,'MPG Payment '!$E$3:$G$497305,2,0)</f>
        <v>KHAJURI</v>
      </c>
      <c r="F340" s="146">
        <f>IFERROR(_xlfn.XLOOKUP(D340,'Monthly Deduction'!$I$3:$I$957,'Monthly Deduction'!$H$3:$H$957),0)</f>
        <v>0</v>
      </c>
      <c r="G340" s="123" t="str">
        <f>VLOOKUP(D340,'MPG Payment '!$E$3:$G$333666,3,0)</f>
        <v>MPG</v>
      </c>
      <c r="H340" s="124" t="str">
        <f>VLOOKUP(D340,'MPG Payment '!$E$3:$H$333666,4,0)</f>
        <v>Direct</v>
      </c>
      <c r="I340" s="88">
        <f>INDEX('MPG Payment '!$C:$C,MATCH('Shayak Income '!D340,'MPG Payment '!E:E,0))</f>
        <v>1012</v>
      </c>
      <c r="J340" s="88" t="str">
        <f>INDEX('MPG Payment '!$D:$D,MATCH('Shayak Income '!D340,'MPG Payment '!E:E,0))</f>
        <v>DalsinghSarai</v>
      </c>
      <c r="K340" s="125" t="s">
        <v>1594</v>
      </c>
      <c r="L340" s="125">
        <v>43731</v>
      </c>
      <c r="M340" s="126">
        <f>SUMIF('MPG Payment '!$E$3:$E$344841,'Shayak Income '!D340,'MPG Payment '!$I$3:$I$344841)</f>
        <v>1382.3600000000001</v>
      </c>
      <c r="N340" s="126">
        <f>SUMIF('MPG Payment '!$E$3:$E$344841,'Shayak Income '!D340,'MPG Payment '!$J$3:$J$344841)</f>
        <v>52588.29</v>
      </c>
      <c r="O340" s="126">
        <f t="shared" si="99"/>
        <v>1036.77</v>
      </c>
      <c r="P340" s="126">
        <f t="shared" si="100"/>
        <v>1313.242</v>
      </c>
      <c r="Q340" s="126">
        <f>SUMIF('MPG Payment '!$E$3:$E$344841,'Shayak Income '!D340,'MPG Payment '!$S$3:$S$344841)</f>
        <v>472.92000000000007</v>
      </c>
      <c r="R340" s="126">
        <f t="shared" si="91"/>
        <v>1577.6487</v>
      </c>
      <c r="S340" s="126">
        <f t="shared" si="92"/>
        <v>264.4067</v>
      </c>
      <c r="T340" s="126">
        <f t="shared" si="101"/>
        <v>138.23600000000002</v>
      </c>
      <c r="U340" s="127">
        <f>((((((IF(K340="New",0,SUMIF('MPG Payment '!$E$3:$E$344841,'Shayak Income '!D340,'MPG Payment '!$AC$3:$AC$344841))))+0)+0)+0)+0)+0</f>
        <v>1077.8312452476034</v>
      </c>
      <c r="V340" s="127">
        <f t="shared" si="102"/>
        <v>1607</v>
      </c>
      <c r="W340" s="19">
        <f t="shared" si="106"/>
        <v>0</v>
      </c>
      <c r="X340" s="19">
        <f t="shared" si="107"/>
        <v>0</v>
      </c>
      <c r="Y340" s="128">
        <f>IFERROR(VLOOKUP(D340,'Monthly Deduction'!$M$2:$N$640,2,0),0)</f>
        <v>0</v>
      </c>
      <c r="Z340" s="128">
        <v>424.8</v>
      </c>
      <c r="AA340" s="126">
        <f>IFERROR(VLOOKUP(D340,'Monthly Deduction'!A:B,2,0),0)</f>
        <v>109.80000000000001</v>
      </c>
      <c r="AB340" s="129">
        <f t="shared" si="93"/>
        <v>1072</v>
      </c>
      <c r="AC340" s="130">
        <v>0</v>
      </c>
      <c r="AD340" s="35">
        <f t="shared" si="103"/>
        <v>1072</v>
      </c>
      <c r="AE340" s="166" t="str">
        <f t="shared" si="104"/>
        <v>Release</v>
      </c>
      <c r="AF340" s="127"/>
      <c r="AG340" s="18">
        <v>0</v>
      </c>
      <c r="AH340" s="132" t="s">
        <v>1680</v>
      </c>
      <c r="AI340" s="238">
        <v>0</v>
      </c>
      <c r="AJ340" s="132"/>
      <c r="AK340" s="151">
        <v>241.97000000000003</v>
      </c>
      <c r="AL340" s="154">
        <f t="shared" si="94"/>
        <v>0</v>
      </c>
      <c r="AM340" s="155"/>
      <c r="AN340" s="19">
        <f t="shared" si="95"/>
        <v>0</v>
      </c>
      <c r="AO340" s="118">
        <f>SUMIF('MPG Payment '!E:E,'Shayak Income '!D340,'MPG Payment '!AJ:AJ)</f>
        <v>0</v>
      </c>
      <c r="AP340" s="19">
        <f t="shared" si="96"/>
        <v>0</v>
      </c>
      <c r="AQ340" s="119">
        <f t="shared" si="105"/>
        <v>0</v>
      </c>
      <c r="AR340" s="91"/>
      <c r="AS340" s="91">
        <f t="shared" si="97"/>
        <v>0</v>
      </c>
      <c r="AT340" s="118"/>
      <c r="AU340" s="118"/>
      <c r="AV340" s="118"/>
    </row>
    <row r="341" spans="1:48" s="20" customFormat="1" x14ac:dyDescent="0.25">
      <c r="A341" s="17">
        <f>IFERROR(VLOOKUP(D341,'Monthly Deduction'!$I$3:$J$957,2,0),0)</f>
        <v>0</v>
      </c>
      <c r="B341" s="17">
        <f>IFERROR(VLOOKUP(D341,'Monthly Deduction'!$E$3:$F$957,2,0),0)</f>
        <v>0</v>
      </c>
      <c r="C341" s="17">
        <f t="shared" si="98"/>
        <v>0</v>
      </c>
      <c r="D341" s="41">
        <v>10120007</v>
      </c>
      <c r="E341" s="122" t="str">
        <f>VLOOKUP(D341,'MPG Payment '!$E$3:$G$497305,2,0)</f>
        <v>ARMAULI-2</v>
      </c>
      <c r="F341" s="146">
        <f>IFERROR(_xlfn.XLOOKUP(D341,'Monthly Deduction'!$I$3:$I$957,'Monthly Deduction'!$H$3:$H$957),0)</f>
        <v>0</v>
      </c>
      <c r="G341" s="123" t="str">
        <f>VLOOKUP(D341,'MPG Payment '!$E$3:$G$333666,3,0)</f>
        <v>MPG</v>
      </c>
      <c r="H341" s="124" t="str">
        <f>VLOOKUP(D341,'MPG Payment '!$E$3:$H$333666,4,0)</f>
        <v>Direct</v>
      </c>
      <c r="I341" s="88">
        <f>INDEX('MPG Payment '!$C:$C,MATCH('Shayak Income '!D341,'MPG Payment '!E:E,0))</f>
        <v>1012</v>
      </c>
      <c r="J341" s="88" t="str">
        <f>INDEX('MPG Payment '!$D:$D,MATCH('Shayak Income '!D341,'MPG Payment '!E:E,0))</f>
        <v>DalsinghSarai</v>
      </c>
      <c r="K341" s="125" t="s">
        <v>1594</v>
      </c>
      <c r="L341" s="125">
        <v>43731</v>
      </c>
      <c r="M341" s="126">
        <f>SUMIF('MPG Payment '!$E$3:$E$344841,'Shayak Income '!D341,'MPG Payment '!$I$3:$I$344841)</f>
        <v>4581.74</v>
      </c>
      <c r="N341" s="126">
        <f>SUMIF('MPG Payment '!$E$3:$E$344841,'Shayak Income '!D341,'MPG Payment '!$J$3:$J$344841)</f>
        <v>189827.84000000003</v>
      </c>
      <c r="O341" s="126">
        <f t="shared" si="99"/>
        <v>3436.3049999999998</v>
      </c>
      <c r="P341" s="126">
        <f t="shared" si="100"/>
        <v>4352.6529999999993</v>
      </c>
      <c r="Q341" s="126">
        <f>SUMIF('MPG Payment '!$E$3:$E$344841,'Shayak Income '!D341,'MPG Payment '!$S$3:$S$344841)</f>
        <v>2400.8199999999997</v>
      </c>
      <c r="R341" s="126">
        <f t="shared" si="91"/>
        <v>5694.8352000000004</v>
      </c>
      <c r="S341" s="126">
        <f t="shared" si="92"/>
        <v>1342.1822000000011</v>
      </c>
      <c r="T341" s="126">
        <f t="shared" si="101"/>
        <v>458.17399999999998</v>
      </c>
      <c r="U341" s="127">
        <f>((((((IF(K341="New",0,SUMIF('MPG Payment '!$E$3:$E$344841,'Shayak Income '!D341,'MPG Payment '!$AC$3:$AC$344841))))+0)+0)+0)+0)+0</f>
        <v>0</v>
      </c>
      <c r="V341" s="127">
        <f t="shared" si="102"/>
        <v>9732</v>
      </c>
      <c r="W341" s="19">
        <f t="shared" si="106"/>
        <v>0</v>
      </c>
      <c r="X341" s="19">
        <f t="shared" si="107"/>
        <v>0</v>
      </c>
      <c r="Y341" s="128">
        <f>IFERROR(VLOOKUP(D341,'Monthly Deduction'!$M$2:$N$640,2,0),0)</f>
        <v>0</v>
      </c>
      <c r="Z341" s="128">
        <v>0</v>
      </c>
      <c r="AA341" s="126">
        <f>IFERROR(VLOOKUP(D341,'Monthly Deduction'!A:B,2,0),0)</f>
        <v>0</v>
      </c>
      <c r="AB341" s="129">
        <f t="shared" si="93"/>
        <v>9732</v>
      </c>
      <c r="AC341" s="130">
        <v>0</v>
      </c>
      <c r="AD341" s="35">
        <f t="shared" si="103"/>
        <v>9732</v>
      </c>
      <c r="AE341" s="166" t="str">
        <f t="shared" si="104"/>
        <v>Release</v>
      </c>
      <c r="AF341" s="127"/>
      <c r="AG341" s="127">
        <v>0</v>
      </c>
      <c r="AH341" s="120"/>
      <c r="AI341" s="238">
        <v>0</v>
      </c>
      <c r="AJ341" s="132"/>
      <c r="AK341" s="151">
        <v>985.46</v>
      </c>
      <c r="AL341" s="154">
        <f t="shared" si="94"/>
        <v>0</v>
      </c>
      <c r="AM341" s="155"/>
      <c r="AN341" s="19">
        <f t="shared" si="95"/>
        <v>0</v>
      </c>
      <c r="AO341" s="118">
        <f>SUMIF('MPG Payment '!E:E,'Shayak Income '!D341,'MPG Payment '!AJ:AJ)</f>
        <v>0</v>
      </c>
      <c r="AP341" s="19">
        <f t="shared" si="96"/>
        <v>0</v>
      </c>
      <c r="AQ341" s="119">
        <f t="shared" si="105"/>
        <v>0</v>
      </c>
      <c r="AR341" s="91" t="s">
        <v>1144</v>
      </c>
      <c r="AS341" s="91">
        <f t="shared" si="97"/>
        <v>0</v>
      </c>
      <c r="AT341" s="118"/>
      <c r="AU341" s="118"/>
      <c r="AV341" s="118"/>
    </row>
    <row r="342" spans="1:48" s="20" customFormat="1" x14ac:dyDescent="0.25">
      <c r="A342" s="17">
        <f>IFERROR(VLOOKUP(D342,'Monthly Deduction'!$I$3:$J$957,2,0),0)</f>
        <v>0</v>
      </c>
      <c r="B342" s="17">
        <f>IFERROR(VLOOKUP(D342,'Monthly Deduction'!$E$3:$F$957,2,0),0)</f>
        <v>0</v>
      </c>
      <c r="C342" s="17">
        <f t="shared" si="98"/>
        <v>0</v>
      </c>
      <c r="D342" s="41">
        <v>10120008</v>
      </c>
      <c r="E342" s="122" t="str">
        <f>VLOOKUP(D342,'MPG Payment '!$E$3:$G$497305,2,0)</f>
        <v>MUSAPUR - 2</v>
      </c>
      <c r="F342" s="146">
        <f>IFERROR(_xlfn.XLOOKUP(D342,'Monthly Deduction'!$I$3:$I$957,'Monthly Deduction'!$H$3:$H$957),0)</f>
        <v>0</v>
      </c>
      <c r="G342" s="123" t="str">
        <f>VLOOKUP(D342,'MPG Payment '!$E$3:$G$333666,3,0)</f>
        <v>vlc</v>
      </c>
      <c r="H342" s="124" t="str">
        <f>VLOOKUP(D342,'MPG Payment '!$E$3:$H$333666,4,0)</f>
        <v>Indirect</v>
      </c>
      <c r="I342" s="88">
        <f>INDEX('MPG Payment '!$C:$C,MATCH('Shayak Income '!D342,'MPG Payment '!E:E,0))</f>
        <v>1012</v>
      </c>
      <c r="J342" s="88" t="str">
        <f>INDEX('MPG Payment '!$D:$D,MATCH('Shayak Income '!D342,'MPG Payment '!E:E,0))</f>
        <v>DalsinghSarai</v>
      </c>
      <c r="K342" s="125" t="s">
        <v>1594</v>
      </c>
      <c r="L342" s="125">
        <v>43756</v>
      </c>
      <c r="M342" s="126">
        <f>SUMIF('MPG Payment '!$E$3:$E$344841,'Shayak Income '!D342,'MPG Payment '!$I$3:$I$344841)</f>
        <v>252.83</v>
      </c>
      <c r="N342" s="126">
        <f>SUMIF('MPG Payment '!$E$3:$E$344841,'Shayak Income '!D342,'MPG Payment '!$J$3:$J$344841)</f>
        <v>8827.3599999999988</v>
      </c>
      <c r="O342" s="126">
        <f t="shared" si="99"/>
        <v>189.6225</v>
      </c>
      <c r="P342" s="126">
        <f t="shared" si="100"/>
        <v>240.1885</v>
      </c>
      <c r="Q342" s="126">
        <f>SUMIF('MPG Payment '!$E$3:$E$344841,'Shayak Income '!D342,'MPG Payment '!$S$3:$S$344841)</f>
        <v>0</v>
      </c>
      <c r="R342" s="126">
        <f t="shared" si="91"/>
        <v>264.82079999999996</v>
      </c>
      <c r="S342" s="126">
        <f t="shared" si="92"/>
        <v>24.632299999999958</v>
      </c>
      <c r="T342" s="126">
        <f t="shared" si="101"/>
        <v>25.283000000000001</v>
      </c>
      <c r="U342" s="127">
        <f>((((((IF(K342="New",0,SUMIF('MPG Payment '!$E$3:$E$344841,'Shayak Income '!D342,'MPG Payment '!$AC$3:$AC$344841))))+0)+0)+0)+0)+-1371</f>
        <v>404.96067704622237</v>
      </c>
      <c r="V342" s="127">
        <f t="shared" si="102"/>
        <v>0</v>
      </c>
      <c r="W342" s="19">
        <v>0</v>
      </c>
      <c r="X342" s="19">
        <v>0</v>
      </c>
      <c r="Y342" s="128">
        <v>0</v>
      </c>
      <c r="Z342" s="128">
        <v>0</v>
      </c>
      <c r="AA342" s="126">
        <v>0</v>
      </c>
      <c r="AB342" s="129">
        <f t="shared" si="93"/>
        <v>0</v>
      </c>
      <c r="AC342" s="130">
        <v>0</v>
      </c>
      <c r="AD342" s="35">
        <f t="shared" si="103"/>
        <v>0</v>
      </c>
      <c r="AE342" s="166" t="str">
        <f t="shared" si="104"/>
        <v>Release</v>
      </c>
      <c r="AF342" s="127"/>
      <c r="AG342" s="18">
        <v>0</v>
      </c>
      <c r="AH342" s="120"/>
      <c r="AI342" s="238">
        <v>0</v>
      </c>
      <c r="AJ342" s="132"/>
      <c r="AK342" s="151">
        <v>51.8</v>
      </c>
      <c r="AL342" s="154">
        <f t="shared" si="94"/>
        <v>0</v>
      </c>
      <c r="AM342" s="155"/>
      <c r="AN342" s="19">
        <f t="shared" si="95"/>
        <v>0</v>
      </c>
      <c r="AO342" s="118">
        <f>SUMIF('MPG Payment '!E:E,'Shayak Income '!D342,'MPG Payment '!AJ:AJ)</f>
        <v>0</v>
      </c>
      <c r="AP342" s="19">
        <f t="shared" si="96"/>
        <v>0</v>
      </c>
      <c r="AQ342" s="119">
        <f t="shared" si="105"/>
        <v>0</v>
      </c>
      <c r="AR342" s="91" t="s">
        <v>1144</v>
      </c>
      <c r="AS342" s="91">
        <f t="shared" si="97"/>
        <v>0</v>
      </c>
      <c r="AT342" s="118"/>
      <c r="AU342" s="118"/>
      <c r="AV342" s="118"/>
    </row>
    <row r="343" spans="1:48" s="20" customFormat="1" x14ac:dyDescent="0.25">
      <c r="A343" s="17">
        <f>IFERROR(VLOOKUP(D343,'Monthly Deduction'!$I$3:$J$957,2,0),0)</f>
        <v>0</v>
      </c>
      <c r="B343" s="17">
        <f>IFERROR(VLOOKUP(D343,'Monthly Deduction'!$E$3:$F$957,2,0),0)</f>
        <v>0</v>
      </c>
      <c r="C343" s="17">
        <f t="shared" si="98"/>
        <v>0</v>
      </c>
      <c r="D343" s="41">
        <v>10120010</v>
      </c>
      <c r="E343" s="122" t="str">
        <f>VLOOKUP(D343,'MPG Payment '!$E$3:$G$497305,2,0)</f>
        <v>Janganath Pur</v>
      </c>
      <c r="F343" s="146">
        <f>IFERROR(_xlfn.XLOOKUP(D343,'Monthly Deduction'!$I$3:$I$957,'Monthly Deduction'!$H$3:$H$957),0)</f>
        <v>0</v>
      </c>
      <c r="G343" s="123" t="str">
        <f>VLOOKUP(D343,'MPG Payment '!$E$3:$G$333666,3,0)</f>
        <v>vlc</v>
      </c>
      <c r="H343" s="124" t="str">
        <f>VLOOKUP(D343,'MPG Payment '!$E$3:$H$333666,4,0)</f>
        <v>Indirect</v>
      </c>
      <c r="I343" s="88">
        <f>INDEX('MPG Payment '!$C:$C,MATCH('Shayak Income '!D343,'MPG Payment '!E:E,0))</f>
        <v>1012</v>
      </c>
      <c r="J343" s="88" t="str">
        <f>INDEX('MPG Payment '!$D:$D,MATCH('Shayak Income '!D343,'MPG Payment '!E:E,0))</f>
        <v>DalsinghSarai</v>
      </c>
      <c r="K343" s="125" t="s">
        <v>1594</v>
      </c>
      <c r="L343" s="125">
        <v>43903</v>
      </c>
      <c r="M343" s="126">
        <f>SUMIF('MPG Payment '!$E$3:$E$344841,'Shayak Income '!D343,'MPG Payment '!$I$3:$I$344841)</f>
        <v>7803.5</v>
      </c>
      <c r="N343" s="126">
        <f>SUMIF('MPG Payment '!$E$3:$E$344841,'Shayak Income '!D343,'MPG Payment '!$J$3:$J$344841)</f>
        <v>335876.32000000007</v>
      </c>
      <c r="O343" s="126">
        <f t="shared" si="99"/>
        <v>5852.625</v>
      </c>
      <c r="P343" s="126">
        <f t="shared" si="100"/>
        <v>7413.3249999999998</v>
      </c>
      <c r="Q343" s="126">
        <f>SUMIF('MPG Payment '!$E$3:$E$344841,'Shayak Income '!D343,'MPG Payment '!$S$3:$S$344841)</f>
        <v>0</v>
      </c>
      <c r="R343" s="126">
        <f t="shared" si="91"/>
        <v>10076.289600000002</v>
      </c>
      <c r="S343" s="126">
        <f t="shared" si="92"/>
        <v>2662.9646000000021</v>
      </c>
      <c r="T343" s="126">
        <f t="shared" si="101"/>
        <v>780.35</v>
      </c>
      <c r="U343" s="127">
        <f>((((((IF(K343="New",0,SUMIF('MPG Payment '!$E$3:$E$344841,'Shayak Income '!D343,'MPG Payment '!$AC$3:$AC$344841))))+0)+0)+0)+0)+0</f>
        <v>0</v>
      </c>
      <c r="V343" s="127">
        <f t="shared" si="102"/>
        <v>12486</v>
      </c>
      <c r="W343" s="19">
        <f t="shared" si="106"/>
        <v>0</v>
      </c>
      <c r="X343" s="19">
        <f t="shared" si="107"/>
        <v>0</v>
      </c>
      <c r="Y343" s="128">
        <f>IFERROR(VLOOKUP(D343,'Monthly Deduction'!$M$2:$N$640,2,0),0)</f>
        <v>0</v>
      </c>
      <c r="Z343" s="128">
        <v>0</v>
      </c>
      <c r="AA343" s="126">
        <f>IFERROR(VLOOKUP(D343,'Monthly Deduction'!A:B,2,0),0)</f>
        <v>0</v>
      </c>
      <c r="AB343" s="129">
        <f t="shared" si="93"/>
        <v>12486</v>
      </c>
      <c r="AC343" s="130">
        <v>0</v>
      </c>
      <c r="AD343" s="35">
        <f t="shared" si="103"/>
        <v>12486</v>
      </c>
      <c r="AE343" s="166" t="str">
        <f t="shared" si="104"/>
        <v>Release</v>
      </c>
      <c r="AF343" s="127"/>
      <c r="AG343" s="18">
        <v>0</v>
      </c>
      <c r="AH343" s="120"/>
      <c r="AI343" s="238">
        <v>0</v>
      </c>
      <c r="AJ343" s="132"/>
      <c r="AK343" s="151">
        <v>1746.5800000000002</v>
      </c>
      <c r="AL343" s="154">
        <f t="shared" si="94"/>
        <v>0</v>
      </c>
      <c r="AM343" s="155"/>
      <c r="AN343" s="19">
        <f t="shared" si="95"/>
        <v>0</v>
      </c>
      <c r="AO343" s="118">
        <f>SUMIF('MPG Payment '!E:E,'Shayak Income '!D343,'MPG Payment '!AJ:AJ)</f>
        <v>0</v>
      </c>
      <c r="AP343" s="19">
        <f t="shared" si="96"/>
        <v>0</v>
      </c>
      <c r="AQ343" s="119">
        <f t="shared" si="105"/>
        <v>0</v>
      </c>
      <c r="AR343" s="91" t="s">
        <v>1144</v>
      </c>
      <c r="AS343" s="91">
        <f t="shared" si="97"/>
        <v>0</v>
      </c>
      <c r="AT343" s="118"/>
      <c r="AU343" s="118"/>
      <c r="AV343" s="118"/>
    </row>
    <row r="344" spans="1:48" s="20" customFormat="1" x14ac:dyDescent="0.25">
      <c r="A344" s="17">
        <f>IFERROR(VLOOKUP(D344,'Monthly Deduction'!$I$3:$J$957,2,0),0)</f>
        <v>0</v>
      </c>
      <c r="B344" s="17">
        <f>IFERROR(VLOOKUP(D344,'Monthly Deduction'!$E$3:$F$957,2,0),0)</f>
        <v>0</v>
      </c>
      <c r="C344" s="17">
        <f t="shared" si="98"/>
        <v>0</v>
      </c>
      <c r="D344" s="41">
        <v>10120011</v>
      </c>
      <c r="E344" s="122" t="str">
        <f>VLOOKUP(D344,'MPG Payment '!$E$3:$G$497305,2,0)</f>
        <v>Nagargama</v>
      </c>
      <c r="F344" s="146">
        <f>IFERROR(_xlfn.XLOOKUP(D344,'Monthly Deduction'!$I$3:$I$957,'Monthly Deduction'!$H$3:$H$957),0)</f>
        <v>0</v>
      </c>
      <c r="G344" s="123" t="str">
        <f>VLOOKUP(D344,'MPG Payment '!$E$3:$G$333666,3,0)</f>
        <v>vlc</v>
      </c>
      <c r="H344" s="124" t="str">
        <f>VLOOKUP(D344,'MPG Payment '!$E$3:$H$333666,4,0)</f>
        <v>Indirect</v>
      </c>
      <c r="I344" s="88">
        <f>INDEX('MPG Payment '!$C:$C,MATCH('Shayak Income '!D344,'MPG Payment '!E:E,0))</f>
        <v>1012</v>
      </c>
      <c r="J344" s="88" t="str">
        <f>INDEX('MPG Payment '!$D:$D,MATCH('Shayak Income '!D344,'MPG Payment '!E:E,0))</f>
        <v>DalsinghSarai</v>
      </c>
      <c r="K344" s="125" t="s">
        <v>1594</v>
      </c>
      <c r="L344" s="125">
        <v>43917</v>
      </c>
      <c r="M344" s="126">
        <f>SUMIF('MPG Payment '!$E$3:$E$344841,'Shayak Income '!D344,'MPG Payment '!$I$3:$I$344841)</f>
        <v>1772.39</v>
      </c>
      <c r="N344" s="126">
        <f>SUMIF('MPG Payment '!$E$3:$E$344841,'Shayak Income '!D344,'MPG Payment '!$J$3:$J$344841)</f>
        <v>73151.680000000008</v>
      </c>
      <c r="O344" s="126">
        <f t="shared" si="99"/>
        <v>1329.2925</v>
      </c>
      <c r="P344" s="126">
        <f t="shared" si="100"/>
        <v>1683.7705000000001</v>
      </c>
      <c r="Q344" s="126">
        <f>SUMIF('MPG Payment '!$E$3:$E$344841,'Shayak Income '!D344,'MPG Payment '!$S$3:$S$344841)</f>
        <v>0</v>
      </c>
      <c r="R344" s="126">
        <f t="shared" si="91"/>
        <v>2194.5504000000001</v>
      </c>
      <c r="S344" s="126">
        <f t="shared" si="92"/>
        <v>510.7799</v>
      </c>
      <c r="T344" s="126">
        <f t="shared" si="101"/>
        <v>177.23900000000003</v>
      </c>
      <c r="U344" s="127">
        <f>((((((IF(K344="New",0,SUMIF('MPG Payment '!$E$3:$E$344841,'Shayak Income '!D344,'MPG Payment '!$AC$3:$AC$344841))))+0)+0)+0)+0)+0</f>
        <v>848.32967145446275</v>
      </c>
      <c r="V344" s="127">
        <f t="shared" si="102"/>
        <v>1987</v>
      </c>
      <c r="W344" s="19">
        <f t="shared" si="106"/>
        <v>0</v>
      </c>
      <c r="X344" s="19">
        <f t="shared" si="107"/>
        <v>0</v>
      </c>
      <c r="Y344" s="128">
        <f>IFERROR(VLOOKUP(D344,'Monthly Deduction'!$M$2:$N$640,2,0),0)</f>
        <v>0</v>
      </c>
      <c r="Z344" s="128">
        <v>0</v>
      </c>
      <c r="AA344" s="126">
        <f>IFERROR(VLOOKUP(D344,'Monthly Deduction'!A:B,2,0),0)</f>
        <v>0</v>
      </c>
      <c r="AB344" s="129">
        <f t="shared" si="93"/>
        <v>1987</v>
      </c>
      <c r="AC344" s="130">
        <v>0</v>
      </c>
      <c r="AD344" s="35">
        <f t="shared" si="103"/>
        <v>1987</v>
      </c>
      <c r="AE344" s="166" t="str">
        <f t="shared" si="104"/>
        <v>Release</v>
      </c>
      <c r="AF344" s="127"/>
      <c r="AG344" s="18">
        <v>0</v>
      </c>
      <c r="AH344" s="132"/>
      <c r="AI344" s="238">
        <v>0</v>
      </c>
      <c r="AJ344" s="132"/>
      <c r="AK344" s="151">
        <v>482.93000000000006</v>
      </c>
      <c r="AL344" s="154">
        <f t="shared" si="94"/>
        <v>0</v>
      </c>
      <c r="AM344" s="155"/>
      <c r="AN344" s="19">
        <f t="shared" si="95"/>
        <v>0</v>
      </c>
      <c r="AO344" s="118">
        <f>SUMIF('MPG Payment '!E:E,'Shayak Income '!D344,'MPG Payment '!AJ:AJ)</f>
        <v>0</v>
      </c>
      <c r="AP344" s="19">
        <f t="shared" si="96"/>
        <v>0</v>
      </c>
      <c r="AQ344" s="119">
        <f t="shared" si="105"/>
        <v>0</v>
      </c>
      <c r="AR344" s="91" t="s">
        <v>1144</v>
      </c>
      <c r="AS344" s="91">
        <f t="shared" si="97"/>
        <v>0</v>
      </c>
      <c r="AT344" s="118"/>
      <c r="AU344" s="118"/>
      <c r="AV344" s="118"/>
    </row>
    <row r="345" spans="1:48" s="20" customFormat="1" x14ac:dyDescent="0.25">
      <c r="A345" s="17">
        <f>IFERROR(VLOOKUP(D345,'Monthly Deduction'!$I$3:$J$957,2,0),0)</f>
        <v>0</v>
      </c>
      <c r="B345" s="17">
        <f>IFERROR(VLOOKUP(D345,'Monthly Deduction'!$E$3:$F$957,2,0),0)</f>
        <v>0</v>
      </c>
      <c r="C345" s="17">
        <f t="shared" si="98"/>
        <v>0</v>
      </c>
      <c r="D345" s="41">
        <v>10120012</v>
      </c>
      <c r="E345" s="122" t="str">
        <f>VLOOKUP(D345,'MPG Payment '!$E$3:$G$497305,2,0)</f>
        <v>Sato Ghachchhi</v>
      </c>
      <c r="F345" s="146">
        <f>IFERROR(_xlfn.XLOOKUP(D345,'Monthly Deduction'!$I$3:$I$957,'Monthly Deduction'!$H$3:$H$957),0)</f>
        <v>0</v>
      </c>
      <c r="G345" s="123" t="str">
        <f>VLOOKUP(D345,'MPG Payment '!$E$3:$G$333666,3,0)</f>
        <v>MPG</v>
      </c>
      <c r="H345" s="124" t="str">
        <f>VLOOKUP(D345,'MPG Payment '!$E$3:$H$333666,4,0)</f>
        <v>Direct</v>
      </c>
      <c r="I345" s="88">
        <f>INDEX('MPG Payment '!$C:$C,MATCH('Shayak Income '!D345,'MPG Payment '!E:E,0))</f>
        <v>1012</v>
      </c>
      <c r="J345" s="88" t="str">
        <f>INDEX('MPG Payment '!$D:$D,MATCH('Shayak Income '!D345,'MPG Payment '!E:E,0))</f>
        <v>DalsinghSarai</v>
      </c>
      <c r="K345" s="125" t="s">
        <v>1594</v>
      </c>
      <c r="L345" s="125">
        <v>43924</v>
      </c>
      <c r="M345" s="126">
        <f>SUMIF('MPG Payment '!$E$3:$E$344841,'Shayak Income '!D345,'MPG Payment '!$I$3:$I$344841)</f>
        <v>2572.6999999999998</v>
      </c>
      <c r="N345" s="126">
        <f>SUMIF('MPG Payment '!$E$3:$E$344841,'Shayak Income '!D345,'MPG Payment '!$J$3:$J$344841)</f>
        <v>123795.08</v>
      </c>
      <c r="O345" s="126">
        <f t="shared" si="99"/>
        <v>1929.5249999999999</v>
      </c>
      <c r="P345" s="126">
        <f t="shared" si="100"/>
        <v>2444.0649999999996</v>
      </c>
      <c r="Q345" s="126">
        <f>SUMIF('MPG Payment '!$E$3:$E$344841,'Shayak Income '!D345,'MPG Payment '!$S$3:$S$344841)</f>
        <v>1932.5800000000002</v>
      </c>
      <c r="R345" s="126">
        <f t="shared" si="91"/>
        <v>3713.8523999999998</v>
      </c>
      <c r="S345" s="126">
        <f t="shared" si="92"/>
        <v>1269.7874000000002</v>
      </c>
      <c r="T345" s="126">
        <f t="shared" si="101"/>
        <v>257.27</v>
      </c>
      <c r="U345" s="127">
        <f>((((((IF(K345="New",0,SUMIF('MPG Payment '!$E$3:$E$344841,'Shayak Income '!D345,'MPG Payment '!$AC$3:$AC$344841))))+0)+0)+0)+0)+0</f>
        <v>217.9982045374976</v>
      </c>
      <c r="V345" s="127">
        <f t="shared" si="102"/>
        <v>5831</v>
      </c>
      <c r="W345" s="19">
        <f t="shared" si="106"/>
        <v>0</v>
      </c>
      <c r="X345" s="19">
        <f t="shared" si="107"/>
        <v>0</v>
      </c>
      <c r="Y345" s="128">
        <f>IFERROR(VLOOKUP(D345,'Monthly Deduction'!$M$2:$N$640,2,0),0)</f>
        <v>0</v>
      </c>
      <c r="Z345" s="128">
        <v>1239</v>
      </c>
      <c r="AA345" s="126">
        <f>IFERROR(VLOOKUP(D345,'Monthly Deduction'!A:B,2,0),0)</f>
        <v>0</v>
      </c>
      <c r="AB345" s="129">
        <f t="shared" si="93"/>
        <v>4592</v>
      </c>
      <c r="AC345" s="130">
        <v>0</v>
      </c>
      <c r="AD345" s="35">
        <f t="shared" si="103"/>
        <v>4592</v>
      </c>
      <c r="AE345" s="166" t="str">
        <f t="shared" si="104"/>
        <v>Release</v>
      </c>
      <c r="AF345" s="127"/>
      <c r="AG345" s="18">
        <v>0</v>
      </c>
      <c r="AH345" s="132" t="s">
        <v>1680</v>
      </c>
      <c r="AI345" s="238">
        <v>0</v>
      </c>
      <c r="AJ345" s="132"/>
      <c r="AK345" s="151">
        <v>534.90000000000009</v>
      </c>
      <c r="AL345" s="154">
        <f t="shared" si="94"/>
        <v>0</v>
      </c>
      <c r="AM345" s="155"/>
      <c r="AN345" s="19">
        <f t="shared" si="95"/>
        <v>0</v>
      </c>
      <c r="AO345" s="118">
        <f>SUMIF('MPG Payment '!E:E,'Shayak Income '!D345,'MPG Payment '!AJ:AJ)</f>
        <v>0</v>
      </c>
      <c r="AP345" s="19">
        <f t="shared" si="96"/>
        <v>0</v>
      </c>
      <c r="AQ345" s="119">
        <f t="shared" si="105"/>
        <v>0</v>
      </c>
      <c r="AR345" s="91" t="s">
        <v>1144</v>
      </c>
      <c r="AS345" s="91">
        <f t="shared" si="97"/>
        <v>0</v>
      </c>
      <c r="AT345" s="118"/>
      <c r="AU345" s="118"/>
      <c r="AV345" s="118"/>
    </row>
    <row r="346" spans="1:48" s="20" customFormat="1" x14ac:dyDescent="0.25">
      <c r="A346" s="17">
        <f>IFERROR(VLOOKUP(D346,'Monthly Deduction'!$I$3:$J$957,2,0),0)</f>
        <v>0</v>
      </c>
      <c r="B346" s="17">
        <f>IFERROR(VLOOKUP(D346,'Monthly Deduction'!$E$3:$F$957,2,0),0)</f>
        <v>0</v>
      </c>
      <c r="C346" s="17">
        <f t="shared" si="98"/>
        <v>0</v>
      </c>
      <c r="D346" s="41">
        <v>10120013</v>
      </c>
      <c r="E346" s="122" t="str">
        <f>VLOOKUP(D346,'MPG Payment '!$E$3:$G$497305,2,0)</f>
        <v>Bhatgama</v>
      </c>
      <c r="F346" s="146">
        <f>IFERROR(_xlfn.XLOOKUP(D346,'Monthly Deduction'!$I$3:$I$957,'Monthly Deduction'!$H$3:$H$957),0)</f>
        <v>0</v>
      </c>
      <c r="G346" s="123" t="str">
        <f>VLOOKUP(D346,'MPG Payment '!$E$3:$G$333666,3,0)</f>
        <v>vlc</v>
      </c>
      <c r="H346" s="124" t="str">
        <f>VLOOKUP(D346,'MPG Payment '!$E$3:$H$333666,4,0)</f>
        <v>Indirect</v>
      </c>
      <c r="I346" s="88">
        <f>INDEX('MPG Payment '!$C:$C,MATCH('Shayak Income '!D346,'MPG Payment '!E:E,0))</f>
        <v>1012</v>
      </c>
      <c r="J346" s="88" t="str">
        <f>INDEX('MPG Payment '!$D:$D,MATCH('Shayak Income '!D346,'MPG Payment '!E:E,0))</f>
        <v>DalsinghSarai</v>
      </c>
      <c r="K346" s="125" t="s">
        <v>1594</v>
      </c>
      <c r="L346" s="125">
        <v>43935</v>
      </c>
      <c r="M346" s="126">
        <f>SUMIF('MPG Payment '!$E$3:$E$344841,'Shayak Income '!D346,'MPG Payment '!$I$3:$I$344841)</f>
        <v>1822.71</v>
      </c>
      <c r="N346" s="126">
        <f>SUMIF('MPG Payment '!$E$3:$E$344841,'Shayak Income '!D346,'MPG Payment '!$J$3:$J$344841)</f>
        <v>63577.700000000004</v>
      </c>
      <c r="O346" s="126">
        <f t="shared" si="99"/>
        <v>1367.0325</v>
      </c>
      <c r="P346" s="126">
        <f t="shared" si="100"/>
        <v>1731.5744999999999</v>
      </c>
      <c r="Q346" s="126">
        <f>SUMIF('MPG Payment '!$E$3:$E$344841,'Shayak Income '!D346,'MPG Payment '!$S$3:$S$344841)</f>
        <v>0</v>
      </c>
      <c r="R346" s="126">
        <f t="shared" si="91"/>
        <v>1907.3310000000001</v>
      </c>
      <c r="S346" s="126">
        <f t="shared" si="92"/>
        <v>175.75650000000019</v>
      </c>
      <c r="T346" s="126">
        <f t="shared" si="101"/>
        <v>182.27100000000002</v>
      </c>
      <c r="U346" s="127">
        <f>((((((IF(K346="New",0,SUMIF('MPG Payment '!$E$3:$E$344841,'Shayak Income '!D346,'MPG Payment '!$AC$3:$AC$344841))))+0)+0)+0)+0)+0</f>
        <v>675.49646940157891</v>
      </c>
      <c r="V346" s="127">
        <f t="shared" si="102"/>
        <v>2241</v>
      </c>
      <c r="W346" s="19">
        <f t="shared" si="106"/>
        <v>0</v>
      </c>
      <c r="X346" s="19">
        <f t="shared" si="107"/>
        <v>0</v>
      </c>
      <c r="Y346" s="128">
        <f>IFERROR(VLOOKUP(D346,'Monthly Deduction'!$M$2:$N$640,2,0),0)</f>
        <v>0</v>
      </c>
      <c r="Z346" s="128">
        <v>0</v>
      </c>
      <c r="AA346" s="126">
        <f>IFERROR(VLOOKUP(D346,'Monthly Deduction'!A:B,2,0),0)</f>
        <v>0</v>
      </c>
      <c r="AB346" s="129">
        <f t="shared" si="93"/>
        <v>2241</v>
      </c>
      <c r="AC346" s="130">
        <v>0</v>
      </c>
      <c r="AD346" s="35">
        <f t="shared" si="103"/>
        <v>2241</v>
      </c>
      <c r="AE346" s="166" t="str">
        <f t="shared" si="104"/>
        <v>Release</v>
      </c>
      <c r="AF346" s="127"/>
      <c r="AG346" s="18">
        <v>0</v>
      </c>
      <c r="AH346" s="120"/>
      <c r="AI346" s="238">
        <v>0</v>
      </c>
      <c r="AJ346" s="132"/>
      <c r="AK346" s="151">
        <v>288.75000000000006</v>
      </c>
      <c r="AL346" s="154">
        <f t="shared" si="94"/>
        <v>0</v>
      </c>
      <c r="AM346" s="155"/>
      <c r="AN346" s="19">
        <f t="shared" si="95"/>
        <v>0</v>
      </c>
      <c r="AO346" s="118">
        <f>SUMIF('MPG Payment '!E:E,'Shayak Income '!D346,'MPG Payment '!AJ:AJ)</f>
        <v>0</v>
      </c>
      <c r="AP346" s="19">
        <f t="shared" si="96"/>
        <v>0</v>
      </c>
      <c r="AQ346" s="119">
        <f t="shared" si="105"/>
        <v>0</v>
      </c>
      <c r="AR346" s="91" t="s">
        <v>1144</v>
      </c>
      <c r="AS346" s="91">
        <f t="shared" si="97"/>
        <v>0</v>
      </c>
      <c r="AT346" s="118"/>
      <c r="AU346" s="118"/>
      <c r="AV346" s="118"/>
    </row>
    <row r="347" spans="1:48" s="20" customFormat="1" x14ac:dyDescent="0.25">
      <c r="A347" s="17">
        <f>IFERROR(VLOOKUP(D347,'Monthly Deduction'!$I$3:$J$957,2,0),0)</f>
        <v>0</v>
      </c>
      <c r="B347" s="17">
        <f>IFERROR(VLOOKUP(D347,'Monthly Deduction'!$E$3:$F$957,2,0),0)</f>
        <v>0</v>
      </c>
      <c r="C347" s="17">
        <f t="shared" si="98"/>
        <v>0</v>
      </c>
      <c r="D347" s="41">
        <v>10120014</v>
      </c>
      <c r="E347" s="122" t="str">
        <f>VLOOKUP(D347,'MPG Payment '!$E$3:$G$497305,2,0)</f>
        <v>Borna Rasalpur</v>
      </c>
      <c r="F347" s="146">
        <f>IFERROR(_xlfn.XLOOKUP(D347,'Monthly Deduction'!$I$3:$I$957,'Monthly Deduction'!$H$3:$H$957),0)</f>
        <v>0</v>
      </c>
      <c r="G347" s="123" t="str">
        <f>VLOOKUP(D347,'MPG Payment '!$E$3:$G$333666,3,0)</f>
        <v>MPG</v>
      </c>
      <c r="H347" s="124" t="str">
        <f>VLOOKUP(D347,'MPG Payment '!$E$3:$H$333666,4,0)</f>
        <v>Direct</v>
      </c>
      <c r="I347" s="88">
        <f>INDEX('MPG Payment '!$C:$C,MATCH('Shayak Income '!D347,'MPG Payment '!E:E,0))</f>
        <v>1012</v>
      </c>
      <c r="J347" s="88" t="str">
        <f>INDEX('MPG Payment '!$D:$D,MATCH('Shayak Income '!D347,'MPG Payment '!E:E,0))</f>
        <v>DalsinghSarai</v>
      </c>
      <c r="K347" s="125" t="s">
        <v>1594</v>
      </c>
      <c r="L347" s="125">
        <v>43936</v>
      </c>
      <c r="M347" s="126">
        <f>SUMIF('MPG Payment '!$E$3:$E$344841,'Shayak Income '!D347,'MPG Payment '!$I$3:$I$344841)</f>
        <v>4207.4500000000007</v>
      </c>
      <c r="N347" s="126">
        <f>SUMIF('MPG Payment '!$E$3:$E$344841,'Shayak Income '!D347,'MPG Payment '!$J$3:$J$344841)</f>
        <v>180026.07</v>
      </c>
      <c r="O347" s="126">
        <f t="shared" si="99"/>
        <v>3155.5875000000005</v>
      </c>
      <c r="P347" s="126">
        <f t="shared" si="100"/>
        <v>3997.0775000000003</v>
      </c>
      <c r="Q347" s="126">
        <f>SUMIF('MPG Payment '!$E$3:$E$344841,'Shayak Income '!D347,'MPG Payment '!$S$3:$S$344841)</f>
        <v>238.13</v>
      </c>
      <c r="R347" s="126">
        <f t="shared" si="91"/>
        <v>5400.7821000000004</v>
      </c>
      <c r="S347" s="126">
        <f t="shared" si="92"/>
        <v>1403.7046</v>
      </c>
      <c r="T347" s="126">
        <f t="shared" si="101"/>
        <v>420.74500000000012</v>
      </c>
      <c r="U347" s="127">
        <f>((((((IF(K347="New",0,SUMIF('MPG Payment '!$E$3:$E$344841,'Shayak Income '!D347,'MPG Payment '!$AC$3:$AC$344841))))+0)+0)+0)+0)+0</f>
        <v>0</v>
      </c>
      <c r="V347" s="127">
        <f t="shared" si="102"/>
        <v>6970</v>
      </c>
      <c r="W347" s="19">
        <f t="shared" si="106"/>
        <v>0</v>
      </c>
      <c r="X347" s="19">
        <f t="shared" si="107"/>
        <v>0</v>
      </c>
      <c r="Y347" s="128">
        <f>IFERROR(VLOOKUP(D347,'Monthly Deduction'!$M$2:$N$640,2,0),0)</f>
        <v>0</v>
      </c>
      <c r="Z347" s="128">
        <v>0</v>
      </c>
      <c r="AA347" s="126">
        <f>IFERROR(VLOOKUP(D347,'Monthly Deduction'!A:B,2,0),0)</f>
        <v>0</v>
      </c>
      <c r="AB347" s="129">
        <f t="shared" si="93"/>
        <v>6970</v>
      </c>
      <c r="AC347" s="130">
        <v>0</v>
      </c>
      <c r="AD347" s="35">
        <f t="shared" si="103"/>
        <v>6970</v>
      </c>
      <c r="AE347" s="166" t="str">
        <f t="shared" si="104"/>
        <v>Release</v>
      </c>
      <c r="AF347" s="127"/>
      <c r="AG347" s="127">
        <v>0</v>
      </c>
      <c r="AH347" s="132"/>
      <c r="AI347" s="238">
        <v>0</v>
      </c>
      <c r="AJ347" s="132"/>
      <c r="AK347" s="151">
        <v>1029.7599999999998</v>
      </c>
      <c r="AL347" s="154">
        <f t="shared" si="94"/>
        <v>0</v>
      </c>
      <c r="AM347" s="155"/>
      <c r="AN347" s="19">
        <f t="shared" si="95"/>
        <v>0</v>
      </c>
      <c r="AO347" s="118">
        <f>SUMIF('MPG Payment '!E:E,'Shayak Income '!D347,'MPG Payment '!AJ:AJ)</f>
        <v>0</v>
      </c>
      <c r="AP347" s="19">
        <f t="shared" si="96"/>
        <v>0</v>
      </c>
      <c r="AQ347" s="119">
        <f t="shared" si="105"/>
        <v>0</v>
      </c>
      <c r="AR347" s="91" t="s">
        <v>1144</v>
      </c>
      <c r="AS347" s="91">
        <f t="shared" si="97"/>
        <v>0</v>
      </c>
      <c r="AT347" s="118"/>
      <c r="AU347" s="118"/>
      <c r="AV347" s="118"/>
    </row>
    <row r="348" spans="1:48" s="20" customFormat="1" x14ac:dyDescent="0.25">
      <c r="A348" s="17">
        <f>IFERROR(VLOOKUP(D348,'Monthly Deduction'!$I$3:$J$957,2,0),0)</f>
        <v>0</v>
      </c>
      <c r="B348" s="17">
        <f>IFERROR(VLOOKUP(D348,'Monthly Deduction'!$E$3:$F$957,2,0),0)</f>
        <v>0</v>
      </c>
      <c r="C348" s="17">
        <f t="shared" si="98"/>
        <v>0</v>
      </c>
      <c r="D348" s="41">
        <v>10120015</v>
      </c>
      <c r="E348" s="122" t="str">
        <f>VLOOKUP(D348,'MPG Payment '!$E$3:$G$497305,2,0)</f>
        <v>Rasalpur</v>
      </c>
      <c r="F348" s="146">
        <f>IFERROR(_xlfn.XLOOKUP(D348,'Monthly Deduction'!$I$3:$I$957,'Monthly Deduction'!$H$3:$H$957),0)</f>
        <v>0</v>
      </c>
      <c r="G348" s="123" t="str">
        <f>VLOOKUP(D348,'MPG Payment '!$E$3:$G$333666,3,0)</f>
        <v>MPG</v>
      </c>
      <c r="H348" s="124" t="str">
        <f>VLOOKUP(D348,'MPG Payment '!$E$3:$H$333666,4,0)</f>
        <v>Direct</v>
      </c>
      <c r="I348" s="88">
        <f>INDEX('MPG Payment '!$C:$C,MATCH('Shayak Income '!D348,'MPG Payment '!E:E,0))</f>
        <v>1012</v>
      </c>
      <c r="J348" s="88" t="str">
        <f>INDEX('MPG Payment '!$D:$D,MATCH('Shayak Income '!D348,'MPG Payment '!E:E,0))</f>
        <v>DalsinghSarai</v>
      </c>
      <c r="K348" s="125" t="s">
        <v>1594</v>
      </c>
      <c r="L348" s="125">
        <v>43942</v>
      </c>
      <c r="M348" s="126">
        <f>SUMIF('MPG Payment '!$E$3:$E$344841,'Shayak Income '!D348,'MPG Payment '!$I$3:$I$344841)</f>
        <v>4803.2699999999995</v>
      </c>
      <c r="N348" s="126">
        <f>SUMIF('MPG Payment '!$E$3:$E$344841,'Shayak Income '!D348,'MPG Payment '!$J$3:$J$344841)</f>
        <v>186636.08000000002</v>
      </c>
      <c r="O348" s="126">
        <f t="shared" si="99"/>
        <v>3602.4524999999994</v>
      </c>
      <c r="P348" s="126">
        <f t="shared" si="100"/>
        <v>4563.106499999999</v>
      </c>
      <c r="Q348" s="126">
        <f>SUMIF('MPG Payment '!$E$3:$E$344841,'Shayak Income '!D348,'MPG Payment '!$S$3:$S$344841)</f>
        <v>0</v>
      </c>
      <c r="R348" s="126">
        <f t="shared" si="91"/>
        <v>5599.0824000000002</v>
      </c>
      <c r="S348" s="126">
        <f t="shared" si="92"/>
        <v>1035.9759000000013</v>
      </c>
      <c r="T348" s="126">
        <f t="shared" si="101"/>
        <v>480.327</v>
      </c>
      <c r="U348" s="127">
        <f>((((((IF(K348="New",0,SUMIF('MPG Payment '!$E$3:$E$344841,'Shayak Income '!D348,'MPG Payment '!$AC$3:$AC$344841))))+0)+0)+0)+0)+0</f>
        <v>0</v>
      </c>
      <c r="V348" s="127">
        <f t="shared" si="102"/>
        <v>7685</v>
      </c>
      <c r="W348" s="19">
        <f t="shared" si="106"/>
        <v>0</v>
      </c>
      <c r="X348" s="19">
        <f t="shared" si="107"/>
        <v>0</v>
      </c>
      <c r="Y348" s="128">
        <f>IFERROR(VLOOKUP(D348,'Monthly Deduction'!$M$2:$N$640,2,0),0)</f>
        <v>0</v>
      </c>
      <c r="Z348" s="128">
        <v>0</v>
      </c>
      <c r="AA348" s="126">
        <f>IFERROR(VLOOKUP(D348,'Monthly Deduction'!A:B,2,0),0)</f>
        <v>274.5</v>
      </c>
      <c r="AB348" s="129">
        <f t="shared" si="93"/>
        <v>7411</v>
      </c>
      <c r="AC348" s="130">
        <v>0</v>
      </c>
      <c r="AD348" s="35">
        <f t="shared" si="103"/>
        <v>7411</v>
      </c>
      <c r="AE348" s="166" t="str">
        <f t="shared" si="104"/>
        <v>Release</v>
      </c>
      <c r="AF348" s="127"/>
      <c r="AG348" s="18">
        <v>0</v>
      </c>
      <c r="AH348" s="120"/>
      <c r="AI348" s="238">
        <v>0</v>
      </c>
      <c r="AJ348" s="132"/>
      <c r="AK348" s="151">
        <v>1119.21</v>
      </c>
      <c r="AL348" s="154">
        <f t="shared" si="94"/>
        <v>0</v>
      </c>
      <c r="AM348" s="155"/>
      <c r="AN348" s="19">
        <f t="shared" si="95"/>
        <v>0</v>
      </c>
      <c r="AO348" s="118">
        <f>SUMIF('MPG Payment '!E:E,'Shayak Income '!D348,'MPG Payment '!AJ:AJ)</f>
        <v>0</v>
      </c>
      <c r="AP348" s="19">
        <f t="shared" si="96"/>
        <v>0</v>
      </c>
      <c r="AQ348" s="119">
        <f t="shared" si="105"/>
        <v>0</v>
      </c>
      <c r="AR348" s="91" t="s">
        <v>1144</v>
      </c>
      <c r="AS348" s="91">
        <f t="shared" si="97"/>
        <v>0</v>
      </c>
      <c r="AT348" s="118"/>
      <c r="AU348" s="118"/>
      <c r="AV348" s="118"/>
    </row>
    <row r="349" spans="1:48" s="20" customFormat="1" x14ac:dyDescent="0.25">
      <c r="A349" s="17">
        <f>IFERROR(VLOOKUP(D349,'Monthly Deduction'!$I$3:$J$957,2,0),0)</f>
        <v>16915.451360650244</v>
      </c>
      <c r="B349" s="17">
        <f>IFERROR(VLOOKUP(D349,'Monthly Deduction'!$E$3:$F$957,2,0),0)</f>
        <v>0</v>
      </c>
      <c r="C349" s="17">
        <f t="shared" si="98"/>
        <v>16915.451360650244</v>
      </c>
      <c r="D349" s="41">
        <v>10120016</v>
      </c>
      <c r="E349" s="122" t="str">
        <f>VLOOKUP(D349,'MPG Payment '!$E$3:$G$497305,2,0)</f>
        <v>Narahan</v>
      </c>
      <c r="F349" s="146">
        <f>IFERROR(_xlfn.XLOOKUP(D349,'Monthly Deduction'!$I$3:$I$957,'Monthly Deduction'!$H$3:$H$957),0)</f>
        <v>0</v>
      </c>
      <c r="G349" s="123" t="str">
        <f>VLOOKUP(D349,'MPG Payment '!$E$3:$G$333666,3,0)</f>
        <v>MPG</v>
      </c>
      <c r="H349" s="124" t="str">
        <f>VLOOKUP(D349,'MPG Payment '!$E$3:$H$333666,4,0)</f>
        <v>Direct</v>
      </c>
      <c r="I349" s="88">
        <f>INDEX('MPG Payment '!$C:$C,MATCH('Shayak Income '!D349,'MPG Payment '!E:E,0))</f>
        <v>1012</v>
      </c>
      <c r="J349" s="88" t="str">
        <f>INDEX('MPG Payment '!$D:$D,MATCH('Shayak Income '!D349,'MPG Payment '!E:E,0))</f>
        <v>DalsinghSarai</v>
      </c>
      <c r="K349" s="125" t="s">
        <v>1594</v>
      </c>
      <c r="L349" s="125">
        <v>44120</v>
      </c>
      <c r="M349" s="126">
        <f>SUMIF('MPG Payment '!$E$3:$E$344841,'Shayak Income '!D349,'MPG Payment '!$I$3:$I$344841)</f>
        <v>830.11</v>
      </c>
      <c r="N349" s="126">
        <f>SUMIF('MPG Payment '!$E$3:$E$344841,'Shayak Income '!D349,'MPG Payment '!$J$3:$J$344841)</f>
        <v>28990.87</v>
      </c>
      <c r="O349" s="126">
        <f t="shared" si="99"/>
        <v>622.58249999999998</v>
      </c>
      <c r="P349" s="126">
        <f t="shared" si="100"/>
        <v>788.60450000000003</v>
      </c>
      <c r="Q349" s="126">
        <f>SUMIF('MPG Payment '!$E$3:$E$344841,'Shayak Income '!D349,'MPG Payment '!$S$3:$S$344841)</f>
        <v>584.32000000000005</v>
      </c>
      <c r="R349" s="126">
        <f t="shared" si="91"/>
        <v>869.72609999999997</v>
      </c>
      <c r="S349" s="126">
        <f t="shared" si="92"/>
        <v>81.121599999999944</v>
      </c>
      <c r="T349" s="126">
        <f t="shared" si="101"/>
        <v>83.01100000000001</v>
      </c>
      <c r="U349" s="127">
        <f>((((((IF(K349="New",0,SUMIF('MPG Payment '!$E$3:$E$344841,'Shayak Income '!D349,'MPG Payment '!$AC$3:$AC$344841))))+0)+0)+0)+0)+0</f>
        <v>1377.5119851443271</v>
      </c>
      <c r="V349" s="127">
        <f t="shared" si="102"/>
        <v>535</v>
      </c>
      <c r="W349" s="19">
        <v>535</v>
      </c>
      <c r="X349" s="19">
        <v>0</v>
      </c>
      <c r="Y349" s="128">
        <f>IFERROR(VLOOKUP(D349,'Monthly Deduction'!$M$2:$N$640,2,0),0)</f>
        <v>0</v>
      </c>
      <c r="Z349" s="128">
        <v>0</v>
      </c>
      <c r="AA349" s="126">
        <v>0</v>
      </c>
      <c r="AB349" s="129">
        <f t="shared" si="93"/>
        <v>0</v>
      </c>
      <c r="AC349" s="130">
        <v>0</v>
      </c>
      <c r="AD349" s="35">
        <f t="shared" si="103"/>
        <v>0</v>
      </c>
      <c r="AE349" s="166" t="str">
        <f t="shared" si="104"/>
        <v>Release</v>
      </c>
      <c r="AF349" s="127"/>
      <c r="AG349" s="18">
        <v>0</v>
      </c>
      <c r="AH349" s="120"/>
      <c r="AI349" s="238">
        <v>0</v>
      </c>
      <c r="AJ349" s="132"/>
      <c r="AK349" s="151">
        <v>180.25</v>
      </c>
      <c r="AL349" s="154">
        <f t="shared" si="94"/>
        <v>0</v>
      </c>
      <c r="AM349" s="155"/>
      <c r="AN349" s="19">
        <f t="shared" si="95"/>
        <v>1861</v>
      </c>
      <c r="AO349" s="118">
        <f>SUMIF('MPG Payment '!E:E,'Shayak Income '!D349,'MPG Payment '!AJ:AJ)</f>
        <v>0</v>
      </c>
      <c r="AP349" s="19">
        <f t="shared" si="96"/>
        <v>535</v>
      </c>
      <c r="AQ349" s="119">
        <f t="shared" si="105"/>
        <v>535</v>
      </c>
      <c r="AR349" s="91" t="s">
        <v>1144</v>
      </c>
      <c r="AS349" s="91">
        <f t="shared" si="97"/>
        <v>0</v>
      </c>
      <c r="AT349" s="118"/>
      <c r="AU349" s="118"/>
      <c r="AV349" s="118"/>
    </row>
    <row r="350" spans="1:48" s="20" customFormat="1" x14ac:dyDescent="0.25">
      <c r="A350" s="17">
        <f>IFERROR(VLOOKUP(D350,'Monthly Deduction'!$I$3:$J$957,2,0),0)</f>
        <v>0</v>
      </c>
      <c r="B350" s="17">
        <f>IFERROR(VLOOKUP(D350,'Monthly Deduction'!$E$3:$F$957,2,0),0)</f>
        <v>0</v>
      </c>
      <c r="C350" s="17">
        <f t="shared" si="98"/>
        <v>0</v>
      </c>
      <c r="D350" s="41">
        <v>10120017</v>
      </c>
      <c r="E350" s="122" t="str">
        <f>VLOOKUP(D350,'MPG Payment '!$E$3:$G$497305,2,0)</f>
        <v>Gomukh Dumduma</v>
      </c>
      <c r="F350" s="146">
        <f>IFERROR(_xlfn.XLOOKUP(D350,'Monthly Deduction'!$I$3:$I$957,'Monthly Deduction'!$H$3:$H$957),0)</f>
        <v>0</v>
      </c>
      <c r="G350" s="123" t="str">
        <f>VLOOKUP(D350,'MPG Payment '!$E$3:$G$333666,3,0)</f>
        <v>MPG</v>
      </c>
      <c r="H350" s="124" t="str">
        <f>VLOOKUP(D350,'MPG Payment '!$E$3:$H$333666,4,0)</f>
        <v>Direct</v>
      </c>
      <c r="I350" s="88">
        <f>INDEX('MPG Payment '!$C:$C,MATCH('Shayak Income '!D350,'MPG Payment '!E:E,0))</f>
        <v>1012</v>
      </c>
      <c r="J350" s="88" t="str">
        <f>INDEX('MPG Payment '!$D:$D,MATCH('Shayak Income '!D350,'MPG Payment '!E:E,0))</f>
        <v>DalsinghSarai</v>
      </c>
      <c r="K350" s="125" t="s">
        <v>1594</v>
      </c>
      <c r="L350" s="125">
        <v>44135</v>
      </c>
      <c r="M350" s="126">
        <f>SUMIF('MPG Payment '!$E$3:$E$344841,'Shayak Income '!D350,'MPG Payment '!$I$3:$I$344841)</f>
        <v>1719.2299999999998</v>
      </c>
      <c r="N350" s="126">
        <f>SUMIF('MPG Payment '!$E$3:$E$344841,'Shayak Income '!D350,'MPG Payment '!$J$3:$J$344841)</f>
        <v>67467.11</v>
      </c>
      <c r="O350" s="126">
        <f t="shared" si="99"/>
        <v>1289.4224999999999</v>
      </c>
      <c r="P350" s="126">
        <f t="shared" si="100"/>
        <v>1633.2684999999997</v>
      </c>
      <c r="Q350" s="126">
        <f>SUMIF('MPG Payment '!$E$3:$E$344841,'Shayak Income '!D350,'MPG Payment '!$S$3:$S$344841)</f>
        <v>0</v>
      </c>
      <c r="R350" s="126">
        <f t="shared" si="91"/>
        <v>2024.0132999999998</v>
      </c>
      <c r="S350" s="126">
        <f t="shared" si="92"/>
        <v>390.74480000000017</v>
      </c>
      <c r="T350" s="126">
        <f t="shared" si="101"/>
        <v>171.923</v>
      </c>
      <c r="U350" s="127">
        <f>((((((IF(K350="New",0,SUMIF('MPG Payment '!$E$3:$E$344841,'Shayak Income '!D350,'MPG Payment '!$AC$3:$AC$344841))))+0)+0)+0)+0)+0</f>
        <v>847.21137854412882</v>
      </c>
      <c r="V350" s="127">
        <f t="shared" si="102"/>
        <v>1904</v>
      </c>
      <c r="W350" s="19">
        <f t="shared" si="106"/>
        <v>0</v>
      </c>
      <c r="X350" s="19">
        <f t="shared" si="107"/>
        <v>0</v>
      </c>
      <c r="Y350" s="128">
        <f>IFERROR(VLOOKUP(D350,'Monthly Deduction'!$M$2:$N$640,2,0),0)</f>
        <v>0</v>
      </c>
      <c r="Z350" s="128">
        <v>0</v>
      </c>
      <c r="AA350" s="126">
        <f>IFERROR(VLOOKUP(D350,'Monthly Deduction'!A:B,2,0),0)</f>
        <v>0</v>
      </c>
      <c r="AB350" s="129">
        <f t="shared" si="93"/>
        <v>1904</v>
      </c>
      <c r="AC350" s="130">
        <v>0</v>
      </c>
      <c r="AD350" s="35">
        <f t="shared" si="103"/>
        <v>1904</v>
      </c>
      <c r="AE350" s="166" t="str">
        <f t="shared" si="104"/>
        <v>Release</v>
      </c>
      <c r="AF350" s="127"/>
      <c r="AG350" s="18">
        <v>0</v>
      </c>
      <c r="AH350" s="132"/>
      <c r="AI350" s="238">
        <v>0</v>
      </c>
      <c r="AJ350" s="132"/>
      <c r="AK350" s="151">
        <v>443.66999999999996</v>
      </c>
      <c r="AL350" s="154">
        <f t="shared" si="94"/>
        <v>0</v>
      </c>
      <c r="AM350" s="155"/>
      <c r="AN350" s="19">
        <f t="shared" si="95"/>
        <v>0</v>
      </c>
      <c r="AO350" s="118">
        <f>SUMIF('MPG Payment '!E:E,'Shayak Income '!D350,'MPG Payment '!AJ:AJ)</f>
        <v>0</v>
      </c>
      <c r="AP350" s="19">
        <f t="shared" si="96"/>
        <v>0</v>
      </c>
      <c r="AQ350" s="119">
        <f t="shared" si="105"/>
        <v>0</v>
      </c>
      <c r="AR350" s="91" t="s">
        <v>1144</v>
      </c>
      <c r="AS350" s="91">
        <f t="shared" si="97"/>
        <v>0</v>
      </c>
      <c r="AT350" s="118"/>
      <c r="AU350" s="118"/>
      <c r="AV350" s="118"/>
    </row>
    <row r="351" spans="1:48" s="20" customFormat="1" x14ac:dyDescent="0.25">
      <c r="A351" s="17">
        <f>IFERROR(VLOOKUP(D351,'Monthly Deduction'!$I$3:$J$957,2,0),0)</f>
        <v>0</v>
      </c>
      <c r="B351" s="17">
        <f>IFERROR(VLOOKUP(D351,'Monthly Deduction'!$E$3:$F$957,2,0),0)</f>
        <v>6349.0524198909334</v>
      </c>
      <c r="C351" s="17">
        <f t="shared" si="98"/>
        <v>6349.0524198909334</v>
      </c>
      <c r="D351" s="41">
        <v>10120018</v>
      </c>
      <c r="E351" s="122" t="str">
        <f>VLOOKUP(D351,'MPG Payment '!$E$3:$G$497305,2,0)</f>
        <v>SUPOL</v>
      </c>
      <c r="F351" s="146">
        <f>IFERROR(_xlfn.XLOOKUP(D351,'Monthly Deduction'!$I$3:$I$957,'Monthly Deduction'!$H$3:$H$957),0)</f>
        <v>0</v>
      </c>
      <c r="G351" s="123" t="str">
        <f>VLOOKUP(D351,'MPG Payment '!$E$3:$G$333666,3,0)</f>
        <v>MPG</v>
      </c>
      <c r="H351" s="124" t="str">
        <f>VLOOKUP(D351,'MPG Payment '!$E$3:$H$333666,4,0)</f>
        <v>Direct</v>
      </c>
      <c r="I351" s="88">
        <f>INDEX('MPG Payment '!$C:$C,MATCH('Shayak Income '!D351,'MPG Payment '!E:E,0))</f>
        <v>1012</v>
      </c>
      <c r="J351" s="88" t="str">
        <f>INDEX('MPG Payment '!$D:$D,MATCH('Shayak Income '!D351,'MPG Payment '!E:E,0))</f>
        <v>DalsinghSarai</v>
      </c>
      <c r="K351" s="125" t="s">
        <v>1594</v>
      </c>
      <c r="L351" s="125">
        <v>44162</v>
      </c>
      <c r="M351" s="126">
        <f>SUMIF('MPG Payment '!$E$3:$E$344841,'Shayak Income '!D351,'MPG Payment '!$I$3:$I$344841)</f>
        <v>1676.2400000000002</v>
      </c>
      <c r="N351" s="126">
        <f>SUMIF('MPG Payment '!$E$3:$E$344841,'Shayak Income '!D351,'MPG Payment '!$J$3:$J$344841)</f>
        <v>72647.950000000012</v>
      </c>
      <c r="O351" s="126">
        <f t="shared" si="99"/>
        <v>1257.1800000000003</v>
      </c>
      <c r="P351" s="126">
        <f t="shared" si="100"/>
        <v>1592.4280000000001</v>
      </c>
      <c r="Q351" s="126">
        <f>SUMIF('MPG Payment '!$E$3:$E$344841,'Shayak Income '!D351,'MPG Payment '!$S$3:$S$344841)</f>
        <v>1759.7199999999998</v>
      </c>
      <c r="R351" s="126">
        <f t="shared" si="91"/>
        <v>2179.4385000000002</v>
      </c>
      <c r="S351" s="126">
        <f t="shared" si="92"/>
        <v>587.01050000000009</v>
      </c>
      <c r="T351" s="126">
        <f t="shared" si="101"/>
        <v>167.62400000000002</v>
      </c>
      <c r="U351" s="127">
        <f>((((((IF(K351="New",0,SUMIF('MPG Payment '!$E$3:$E$344841,'Shayak Income '!D351,'MPG Payment '!$AC$3:$AC$344841))))+0)+0)+0)+0)+0</f>
        <v>973.72527332135678</v>
      </c>
      <c r="V351" s="127">
        <f t="shared" si="102"/>
        <v>3468</v>
      </c>
      <c r="W351" s="19">
        <f t="shared" si="106"/>
        <v>0</v>
      </c>
      <c r="X351" s="19">
        <f t="shared" si="107"/>
        <v>1452.9590000000003</v>
      </c>
      <c r="Y351" s="128">
        <f>IFERROR(VLOOKUP(D351,'Monthly Deduction'!$M$2:$N$640,2,0),0)</f>
        <v>0</v>
      </c>
      <c r="Z351" s="128">
        <v>0</v>
      </c>
      <c r="AA351" s="126">
        <f>IFERROR(VLOOKUP(D351,'Monthly Deduction'!A:B,2,0),0)</f>
        <v>109.80000000000001</v>
      </c>
      <c r="AB351" s="129">
        <f t="shared" si="93"/>
        <v>1905</v>
      </c>
      <c r="AC351" s="130">
        <v>0</v>
      </c>
      <c r="AD351" s="35">
        <f t="shared" si="103"/>
        <v>1905</v>
      </c>
      <c r="AE351" s="166" t="str">
        <f t="shared" si="104"/>
        <v>Release</v>
      </c>
      <c r="AF351" s="127"/>
      <c r="AG351" s="18">
        <v>0</v>
      </c>
      <c r="AH351" s="132"/>
      <c r="AI351" s="238">
        <v>0</v>
      </c>
      <c r="AJ351" s="132"/>
      <c r="AK351" s="151">
        <v>311.34999999999997</v>
      </c>
      <c r="AL351" s="154">
        <f t="shared" si="94"/>
        <v>0</v>
      </c>
      <c r="AM351" s="155"/>
      <c r="AN351" s="19">
        <f t="shared" si="95"/>
        <v>0</v>
      </c>
      <c r="AO351" s="118">
        <f>SUMIF('MPG Payment '!E:E,'Shayak Income '!D351,'MPG Payment '!AJ:AJ)</f>
        <v>0</v>
      </c>
      <c r="AP351" s="19">
        <f t="shared" si="96"/>
        <v>0</v>
      </c>
      <c r="AQ351" s="119">
        <f t="shared" si="105"/>
        <v>0</v>
      </c>
      <c r="AR351" s="91" t="s">
        <v>1144</v>
      </c>
      <c r="AS351" s="91">
        <f t="shared" si="97"/>
        <v>4896.0934198909326</v>
      </c>
      <c r="AT351" s="118"/>
      <c r="AU351" s="118"/>
      <c r="AV351" s="118"/>
    </row>
    <row r="352" spans="1:48" s="20" customFormat="1" x14ac:dyDescent="0.25">
      <c r="A352" s="17">
        <f>IFERROR(VLOOKUP(D352,'Monthly Deduction'!$I$3:$J$957,2,0),0)</f>
        <v>26457</v>
      </c>
      <c r="B352" s="17">
        <f>IFERROR(VLOOKUP(D352,'Monthly Deduction'!$E$3:$F$957,2,0),0)</f>
        <v>0</v>
      </c>
      <c r="C352" s="17">
        <f t="shared" si="98"/>
        <v>26457</v>
      </c>
      <c r="D352" s="41">
        <v>10120019</v>
      </c>
      <c r="E352" s="122" t="str">
        <f>VLOOKUP(D352,'MPG Payment '!$E$3:$G$497305,2,0)</f>
        <v>BHUSARAI</v>
      </c>
      <c r="F352" s="146">
        <f>IFERROR(_xlfn.XLOOKUP(D352,'Monthly Deduction'!$I$3:$I$957,'Monthly Deduction'!$H$3:$H$957),0)</f>
        <v>0</v>
      </c>
      <c r="G352" s="123" t="str">
        <f>VLOOKUP(D352,'MPG Payment '!$E$3:$G$333666,3,0)</f>
        <v>MPG</v>
      </c>
      <c r="H352" s="124" t="str">
        <f>VLOOKUP(D352,'MPG Payment '!$E$3:$H$333666,4,0)</f>
        <v>Direct</v>
      </c>
      <c r="I352" s="88">
        <f>INDEX('MPG Payment '!$C:$C,MATCH('Shayak Income '!D352,'MPG Payment '!E:E,0))</f>
        <v>1012</v>
      </c>
      <c r="J352" s="88" t="str">
        <f>INDEX('MPG Payment '!$D:$D,MATCH('Shayak Income '!D352,'MPG Payment '!E:E,0))</f>
        <v>DalsinghSarai</v>
      </c>
      <c r="K352" s="125" t="s">
        <v>1594</v>
      </c>
      <c r="L352" s="125">
        <v>44165</v>
      </c>
      <c r="M352" s="126">
        <f>SUMIF('MPG Payment '!$E$3:$E$344841,'Shayak Income '!D352,'MPG Payment '!$I$3:$I$344841)</f>
        <v>908.5300000000002</v>
      </c>
      <c r="N352" s="126">
        <f>SUMIF('MPG Payment '!$E$3:$E$344841,'Shayak Income '!D352,'MPG Payment '!$J$3:$J$344841)</f>
        <v>39111.760000000002</v>
      </c>
      <c r="O352" s="126">
        <f t="shared" si="99"/>
        <v>681.39750000000015</v>
      </c>
      <c r="P352" s="126">
        <f t="shared" si="100"/>
        <v>863.10350000000017</v>
      </c>
      <c r="Q352" s="126">
        <f>SUMIF('MPG Payment '!$E$3:$E$344841,'Shayak Income '!D352,'MPG Payment '!$S$3:$S$344841)</f>
        <v>581.09</v>
      </c>
      <c r="R352" s="126">
        <f t="shared" si="91"/>
        <v>1173.3528000000001</v>
      </c>
      <c r="S352" s="126">
        <f t="shared" si="92"/>
        <v>310.24929999999995</v>
      </c>
      <c r="T352" s="126">
        <f t="shared" si="101"/>
        <v>90.853000000000023</v>
      </c>
      <c r="U352" s="127">
        <f>((((((IF(K352="New",0,SUMIF('MPG Payment '!$E$3:$E$344841,'Shayak Income '!D352,'MPG Payment '!$AC$3:$AC$344841))))+0)+0)+0)+0)+0</f>
        <v>1628.9470283121475</v>
      </c>
      <c r="V352" s="127">
        <f t="shared" si="102"/>
        <v>406</v>
      </c>
      <c r="W352" s="19">
        <v>406</v>
      </c>
      <c r="X352" s="19">
        <v>0</v>
      </c>
      <c r="Y352" s="128">
        <f>IFERROR(VLOOKUP(D352,'Monthly Deduction'!$M$2:$N$640,2,0),0)</f>
        <v>0</v>
      </c>
      <c r="Z352" s="128">
        <v>0</v>
      </c>
      <c r="AA352" s="126">
        <v>0</v>
      </c>
      <c r="AB352" s="129">
        <f t="shared" si="93"/>
        <v>0</v>
      </c>
      <c r="AC352" s="130">
        <v>0</v>
      </c>
      <c r="AD352" s="35">
        <f t="shared" si="103"/>
        <v>0</v>
      </c>
      <c r="AE352" s="166" t="str">
        <f t="shared" si="104"/>
        <v>Release</v>
      </c>
      <c r="AF352" s="127"/>
      <c r="AG352" s="18">
        <v>0</v>
      </c>
      <c r="AH352" s="120"/>
      <c r="AI352" s="238">
        <v>0</v>
      </c>
      <c r="AJ352" s="132"/>
      <c r="AK352" s="151">
        <v>218.31</v>
      </c>
      <c r="AL352" s="154">
        <f t="shared" si="94"/>
        <v>0</v>
      </c>
      <c r="AM352" s="155"/>
      <c r="AN352" s="19">
        <f t="shared" si="95"/>
        <v>1861</v>
      </c>
      <c r="AO352" s="118">
        <f>SUMIF('MPG Payment '!E:E,'Shayak Income '!D352,'MPG Payment '!AJ:AJ)</f>
        <v>0</v>
      </c>
      <c r="AP352" s="19">
        <f t="shared" si="96"/>
        <v>406</v>
      </c>
      <c r="AQ352" s="119">
        <f t="shared" si="105"/>
        <v>406</v>
      </c>
      <c r="AR352" s="91" t="s">
        <v>1144</v>
      </c>
      <c r="AS352" s="91">
        <f t="shared" si="97"/>
        <v>0</v>
      </c>
      <c r="AT352" s="118"/>
      <c r="AU352" s="118"/>
      <c r="AV352" s="118"/>
    </row>
    <row r="353" spans="1:48" s="20" customFormat="1" x14ac:dyDescent="0.25">
      <c r="A353" s="17">
        <f>IFERROR(VLOOKUP(D353,'Monthly Deduction'!$I$3:$J$957,2,0),0)</f>
        <v>0</v>
      </c>
      <c r="B353" s="17">
        <f>IFERROR(VLOOKUP(D353,'Monthly Deduction'!$E$3:$F$957,2,0),0)</f>
        <v>0</v>
      </c>
      <c r="C353" s="17">
        <f t="shared" si="98"/>
        <v>0</v>
      </c>
      <c r="D353" s="41">
        <v>10120022</v>
      </c>
      <c r="E353" s="122" t="str">
        <f>VLOOKUP(D353,'MPG Payment '!$E$3:$G$497305,2,0)</f>
        <v>Gomukha Jounapur</v>
      </c>
      <c r="F353" s="146">
        <f>IFERROR(_xlfn.XLOOKUP(D353,'Monthly Deduction'!$I$3:$I$957,'Monthly Deduction'!$H$3:$H$957),0)</f>
        <v>0</v>
      </c>
      <c r="G353" s="123" t="str">
        <f>VLOOKUP(D353,'MPG Payment '!$E$3:$G$333666,3,0)</f>
        <v>vlc</v>
      </c>
      <c r="H353" s="124" t="str">
        <f>VLOOKUP(D353,'MPG Payment '!$E$3:$H$333666,4,0)</f>
        <v>Indirect</v>
      </c>
      <c r="I353" s="88">
        <f>INDEX('MPG Payment '!$C:$C,MATCH('Shayak Income '!D353,'MPG Payment '!E:E,0))</f>
        <v>1012</v>
      </c>
      <c r="J353" s="88" t="str">
        <f>INDEX('MPG Payment '!$D:$D,MATCH('Shayak Income '!D353,'MPG Payment '!E:E,0))</f>
        <v>DalsinghSarai</v>
      </c>
      <c r="K353" s="125" t="s">
        <v>1594</v>
      </c>
      <c r="L353" s="125">
        <v>44184</v>
      </c>
      <c r="M353" s="126">
        <f>SUMIF('MPG Payment '!$E$3:$E$344841,'Shayak Income '!D353,'MPG Payment '!$I$3:$I$344841)</f>
        <v>558.45000000000005</v>
      </c>
      <c r="N353" s="126">
        <f>SUMIF('MPG Payment '!$E$3:$E$344841,'Shayak Income '!D353,'MPG Payment '!$J$3:$J$344841)</f>
        <v>26330.920000000002</v>
      </c>
      <c r="O353" s="126">
        <f t="shared" si="99"/>
        <v>418.83750000000003</v>
      </c>
      <c r="P353" s="126">
        <f t="shared" si="100"/>
        <v>530.52750000000003</v>
      </c>
      <c r="Q353" s="126">
        <f>SUMIF('MPG Payment '!$E$3:$E$344841,'Shayak Income '!D353,'MPG Payment '!$S$3:$S$344841)</f>
        <v>0</v>
      </c>
      <c r="R353" s="126">
        <f t="shared" si="91"/>
        <v>789.92759999999998</v>
      </c>
      <c r="S353" s="126">
        <f t="shared" si="92"/>
        <v>259.40009999999995</v>
      </c>
      <c r="T353" s="126">
        <f t="shared" si="101"/>
        <v>55.845000000000006</v>
      </c>
      <c r="U353" s="127">
        <f>((((((IF(K353="New",0,SUMIF('MPG Payment '!$E$3:$E$344841,'Shayak Income '!D353,'MPG Payment '!$AC$3:$AC$344841))))+0)+0)+0)+0)+-1221</f>
        <v>893.20700136297955</v>
      </c>
      <c r="V353" s="127">
        <f t="shared" si="102"/>
        <v>0</v>
      </c>
      <c r="W353" s="19">
        <v>0</v>
      </c>
      <c r="X353" s="19">
        <v>0</v>
      </c>
      <c r="Y353" s="128">
        <v>0</v>
      </c>
      <c r="Z353" s="128">
        <v>0</v>
      </c>
      <c r="AA353" s="126">
        <v>0</v>
      </c>
      <c r="AB353" s="129">
        <f t="shared" si="93"/>
        <v>0</v>
      </c>
      <c r="AC353" s="130">
        <v>0</v>
      </c>
      <c r="AD353" s="35">
        <f t="shared" si="103"/>
        <v>0</v>
      </c>
      <c r="AE353" s="166" t="str">
        <f t="shared" si="104"/>
        <v>Release</v>
      </c>
      <c r="AF353" s="127"/>
      <c r="AG353" s="18">
        <v>0</v>
      </c>
      <c r="AH353" s="120"/>
      <c r="AI353" s="238">
        <v>0</v>
      </c>
      <c r="AJ353" s="132"/>
      <c r="AK353" s="151">
        <v>140.51000000000002</v>
      </c>
      <c r="AL353" s="154">
        <f t="shared" si="94"/>
        <v>0</v>
      </c>
      <c r="AM353" s="155"/>
      <c r="AN353" s="19">
        <f t="shared" si="95"/>
        <v>0</v>
      </c>
      <c r="AO353" s="118">
        <f>SUMIF('MPG Payment '!E:E,'Shayak Income '!D353,'MPG Payment '!AJ:AJ)</f>
        <v>0</v>
      </c>
      <c r="AP353" s="19">
        <f t="shared" si="96"/>
        <v>0</v>
      </c>
      <c r="AQ353" s="119">
        <f t="shared" si="105"/>
        <v>0</v>
      </c>
      <c r="AR353" s="91" t="s">
        <v>1144</v>
      </c>
      <c r="AS353" s="91">
        <f t="shared" si="97"/>
        <v>0</v>
      </c>
      <c r="AT353" s="118"/>
      <c r="AU353" s="118"/>
      <c r="AV353" s="118"/>
    </row>
    <row r="354" spans="1:48" s="20" customFormat="1" x14ac:dyDescent="0.25">
      <c r="A354" s="17">
        <f>IFERROR(VLOOKUP(D354,'Monthly Deduction'!$I$3:$J$957,2,0),0)</f>
        <v>0</v>
      </c>
      <c r="B354" s="17">
        <f>IFERROR(VLOOKUP(D354,'Monthly Deduction'!$E$3:$F$957,2,0),0)</f>
        <v>0</v>
      </c>
      <c r="C354" s="17">
        <f t="shared" si="98"/>
        <v>0</v>
      </c>
      <c r="D354" s="41">
        <v>10120023</v>
      </c>
      <c r="E354" s="122" t="str">
        <f>VLOOKUP(D354,'MPG Payment '!$E$3:$G$497305,2,0)</f>
        <v>Patailliya</v>
      </c>
      <c r="F354" s="146">
        <f>IFERROR(_xlfn.XLOOKUP(D354,'Monthly Deduction'!$I$3:$I$957,'Monthly Deduction'!$H$3:$H$957),0)</f>
        <v>0</v>
      </c>
      <c r="G354" s="123" t="str">
        <f>VLOOKUP(D354,'MPG Payment '!$E$3:$G$333666,3,0)</f>
        <v>vlc</v>
      </c>
      <c r="H354" s="124" t="str">
        <f>VLOOKUP(D354,'MPG Payment '!$E$3:$H$333666,4,0)</f>
        <v>Indirect</v>
      </c>
      <c r="I354" s="88">
        <f>INDEX('MPG Payment '!$C:$C,MATCH('Shayak Income '!D354,'MPG Payment '!E:E,0))</f>
        <v>1012</v>
      </c>
      <c r="J354" s="88" t="str">
        <f>INDEX('MPG Payment '!$D:$D,MATCH('Shayak Income '!D354,'MPG Payment '!E:E,0))</f>
        <v>DalsinghSarai</v>
      </c>
      <c r="K354" s="125" t="s">
        <v>1594</v>
      </c>
      <c r="L354" s="125">
        <v>44190</v>
      </c>
      <c r="M354" s="126">
        <f>SUMIF('MPG Payment '!$E$3:$E$344841,'Shayak Income '!D354,'MPG Payment '!$I$3:$I$344841)</f>
        <v>907.36</v>
      </c>
      <c r="N354" s="126">
        <f>SUMIF('MPG Payment '!$E$3:$E$344841,'Shayak Income '!D354,'MPG Payment '!$J$3:$J$344841)</f>
        <v>34733.54</v>
      </c>
      <c r="O354" s="126">
        <f t="shared" si="99"/>
        <v>680.52</v>
      </c>
      <c r="P354" s="126">
        <f t="shared" si="100"/>
        <v>861.99199999999996</v>
      </c>
      <c r="Q354" s="126">
        <f>SUMIF('MPG Payment '!$E$3:$E$344841,'Shayak Income '!D354,'MPG Payment '!$S$3:$S$344841)</f>
        <v>0</v>
      </c>
      <c r="R354" s="126">
        <f t="shared" si="91"/>
        <v>1042.0062</v>
      </c>
      <c r="S354" s="126">
        <f t="shared" si="92"/>
        <v>180.01420000000007</v>
      </c>
      <c r="T354" s="126">
        <f t="shared" si="101"/>
        <v>90.736000000000004</v>
      </c>
      <c r="U354" s="127">
        <f>((((((IF(K354="New",0,SUMIF('MPG Payment '!$E$3:$E$344841,'Shayak Income '!D354,'MPG Payment '!$AC$3:$AC$344841))))+0)+0)+0)+0)+0</f>
        <v>1447.3708301507772</v>
      </c>
      <c r="V354" s="127">
        <f t="shared" si="102"/>
        <v>4</v>
      </c>
      <c r="W354" s="19">
        <f t="shared" si="106"/>
        <v>0</v>
      </c>
      <c r="X354" s="19">
        <f t="shared" si="107"/>
        <v>0</v>
      </c>
      <c r="Y354" s="128">
        <f>IFERROR(VLOOKUP(D354,'Monthly Deduction'!$M$2:$N$640,2,0),0)</f>
        <v>0</v>
      </c>
      <c r="Z354" s="128">
        <v>0</v>
      </c>
      <c r="AA354" s="126">
        <f>IFERROR(VLOOKUP(D354,'Monthly Deduction'!A:B,2,0),0)</f>
        <v>0</v>
      </c>
      <c r="AB354" s="129">
        <f t="shared" si="93"/>
        <v>4</v>
      </c>
      <c r="AC354" s="130">
        <v>0</v>
      </c>
      <c r="AD354" s="35">
        <f t="shared" si="103"/>
        <v>4</v>
      </c>
      <c r="AE354" s="166" t="str">
        <f t="shared" si="104"/>
        <v>Release</v>
      </c>
      <c r="AF354" s="127"/>
      <c r="AG354" s="18">
        <v>0</v>
      </c>
      <c r="AH354" s="120"/>
      <c r="AI354" s="238">
        <v>0</v>
      </c>
      <c r="AJ354" s="132"/>
      <c r="AK354" s="151">
        <v>164.84</v>
      </c>
      <c r="AL354" s="154">
        <f t="shared" si="94"/>
        <v>0</v>
      </c>
      <c r="AM354" s="155"/>
      <c r="AN354" s="19">
        <f t="shared" si="95"/>
        <v>0</v>
      </c>
      <c r="AO354" s="118">
        <f>SUMIF('MPG Payment '!E:E,'Shayak Income '!D354,'MPG Payment '!AJ:AJ)</f>
        <v>0</v>
      </c>
      <c r="AP354" s="19">
        <f t="shared" si="96"/>
        <v>0</v>
      </c>
      <c r="AQ354" s="119">
        <f t="shared" si="105"/>
        <v>0</v>
      </c>
      <c r="AR354" s="91" t="s">
        <v>1144</v>
      </c>
      <c r="AS354" s="91">
        <f t="shared" si="97"/>
        <v>0</v>
      </c>
      <c r="AT354" s="118"/>
      <c r="AU354" s="118"/>
      <c r="AV354" s="118"/>
    </row>
    <row r="355" spans="1:48" s="20" customFormat="1" x14ac:dyDescent="0.25">
      <c r="A355" s="17">
        <f>IFERROR(VLOOKUP(D355,'Monthly Deduction'!$I$3:$J$957,2,0),0)</f>
        <v>0</v>
      </c>
      <c r="B355" s="17">
        <f>IFERROR(VLOOKUP(D355,'Monthly Deduction'!$E$3:$F$957,2,0),0)</f>
        <v>0</v>
      </c>
      <c r="C355" s="17">
        <f t="shared" si="98"/>
        <v>0</v>
      </c>
      <c r="D355" s="41">
        <v>10120024</v>
      </c>
      <c r="E355" s="122" t="str">
        <f>VLOOKUP(D355,'MPG Payment '!$E$3:$G$497305,2,0)</f>
        <v>Badiya</v>
      </c>
      <c r="F355" s="146">
        <f>IFERROR(_xlfn.XLOOKUP(D355,'Monthly Deduction'!$I$3:$I$957,'Monthly Deduction'!$H$3:$H$957),0)</f>
        <v>0</v>
      </c>
      <c r="G355" s="123" t="str">
        <f>VLOOKUP(D355,'MPG Payment '!$E$3:$G$333666,3,0)</f>
        <v>vlc</v>
      </c>
      <c r="H355" s="124" t="str">
        <f>VLOOKUP(D355,'MPG Payment '!$E$3:$H$333666,4,0)</f>
        <v>Indirect</v>
      </c>
      <c r="I355" s="88">
        <f>INDEX('MPG Payment '!$C:$C,MATCH('Shayak Income '!D355,'MPG Payment '!E:E,0))</f>
        <v>1012</v>
      </c>
      <c r="J355" s="88" t="str">
        <f>INDEX('MPG Payment '!$D:$D,MATCH('Shayak Income '!D355,'MPG Payment '!E:E,0))</f>
        <v>DalsinghSarai</v>
      </c>
      <c r="K355" s="125" t="s">
        <v>1594</v>
      </c>
      <c r="L355" s="125">
        <v>44190</v>
      </c>
      <c r="M355" s="126">
        <f>SUMIF('MPG Payment '!$E$3:$E$344841,'Shayak Income '!D355,'MPG Payment '!$I$3:$I$344841)</f>
        <v>646.20000000000005</v>
      </c>
      <c r="N355" s="126">
        <f>SUMIF('MPG Payment '!$E$3:$E$344841,'Shayak Income '!D355,'MPG Payment '!$J$3:$J$344841)</f>
        <v>22472.25</v>
      </c>
      <c r="O355" s="126">
        <f t="shared" si="99"/>
        <v>484.65000000000003</v>
      </c>
      <c r="P355" s="126">
        <f t="shared" si="100"/>
        <v>613.89</v>
      </c>
      <c r="Q355" s="126">
        <f>SUMIF('MPG Payment '!$E$3:$E$344841,'Shayak Income '!D355,'MPG Payment '!$S$3:$S$344841)</f>
        <v>0</v>
      </c>
      <c r="R355" s="126">
        <f t="shared" si="91"/>
        <v>674.16750000000002</v>
      </c>
      <c r="S355" s="126">
        <f t="shared" si="92"/>
        <v>60.277500000000032</v>
      </c>
      <c r="T355" s="126">
        <f t="shared" si="101"/>
        <v>64.62</v>
      </c>
      <c r="U355" s="127">
        <f>((((((IF(K355="New",0,SUMIF('MPG Payment '!$E$3:$E$344841,'Shayak Income '!D355,'MPG Payment '!$AC$3:$AC$344841))))+0)+0)+0)+0)+-464</f>
        <v>1033.4301867811514</v>
      </c>
      <c r="V355" s="127">
        <f t="shared" si="102"/>
        <v>0</v>
      </c>
      <c r="W355" s="19">
        <v>0</v>
      </c>
      <c r="X355" s="19">
        <v>0</v>
      </c>
      <c r="Y355" s="128">
        <v>0</v>
      </c>
      <c r="Z355" s="128">
        <v>0</v>
      </c>
      <c r="AA355" s="126">
        <v>0</v>
      </c>
      <c r="AB355" s="129">
        <f t="shared" si="93"/>
        <v>0</v>
      </c>
      <c r="AC355" s="130">
        <v>0</v>
      </c>
      <c r="AD355" s="35">
        <f t="shared" si="103"/>
        <v>0</v>
      </c>
      <c r="AE355" s="166" t="str">
        <f t="shared" si="104"/>
        <v>Release</v>
      </c>
      <c r="AF355" s="127"/>
      <c r="AG355" s="18">
        <v>0</v>
      </c>
      <c r="AH355" s="132"/>
      <c r="AI355" s="238">
        <v>0</v>
      </c>
      <c r="AJ355" s="132"/>
      <c r="AK355" s="151">
        <v>143.84</v>
      </c>
      <c r="AL355" s="154">
        <f t="shared" si="94"/>
        <v>0</v>
      </c>
      <c r="AM355" s="155"/>
      <c r="AN355" s="19">
        <f t="shared" si="95"/>
        <v>0</v>
      </c>
      <c r="AO355" s="118">
        <f>SUMIF('MPG Payment '!E:E,'Shayak Income '!D355,'MPG Payment '!AJ:AJ)</f>
        <v>0</v>
      </c>
      <c r="AP355" s="19">
        <f t="shared" si="96"/>
        <v>0</v>
      </c>
      <c r="AQ355" s="119">
        <f t="shared" si="105"/>
        <v>0</v>
      </c>
      <c r="AR355" s="91" t="s">
        <v>1144</v>
      </c>
      <c r="AS355" s="91">
        <f t="shared" si="97"/>
        <v>0</v>
      </c>
      <c r="AT355" s="118"/>
      <c r="AU355" s="118"/>
      <c r="AV355" s="118"/>
    </row>
    <row r="356" spans="1:48" s="20" customFormat="1" x14ac:dyDescent="0.25">
      <c r="A356" s="17">
        <f>IFERROR(VLOOKUP(D356,'Monthly Deduction'!$I$3:$J$957,2,0),0)</f>
        <v>0</v>
      </c>
      <c r="B356" s="17">
        <f>IFERROR(VLOOKUP(D356,'Monthly Deduction'!$E$3:$F$957,2,0),0)</f>
        <v>0</v>
      </c>
      <c r="C356" s="17">
        <f t="shared" si="98"/>
        <v>0</v>
      </c>
      <c r="D356" s="41">
        <v>10120025</v>
      </c>
      <c r="E356" s="122" t="str">
        <f>VLOOKUP(D356,'MPG Payment '!$E$3:$G$497305,2,0)</f>
        <v>Gomukh Tabhka</v>
      </c>
      <c r="F356" s="146">
        <f>IFERROR(_xlfn.XLOOKUP(D356,'Monthly Deduction'!$I$3:$I$957,'Monthly Deduction'!$H$3:$H$957),0)</f>
        <v>0</v>
      </c>
      <c r="G356" s="123" t="str">
        <f>VLOOKUP(D356,'MPG Payment '!$E$3:$G$333666,3,0)</f>
        <v>MPG</v>
      </c>
      <c r="H356" s="124" t="str">
        <f>VLOOKUP(D356,'MPG Payment '!$E$3:$H$333666,4,0)</f>
        <v>Direct</v>
      </c>
      <c r="I356" s="88">
        <f>INDEX('MPG Payment '!$C:$C,MATCH('Shayak Income '!D356,'MPG Payment '!E:E,0))</f>
        <v>1012</v>
      </c>
      <c r="J356" s="88" t="str">
        <f>INDEX('MPG Payment '!$D:$D,MATCH('Shayak Income '!D356,'MPG Payment '!E:E,0))</f>
        <v>DalsinghSarai</v>
      </c>
      <c r="K356" s="125" t="s">
        <v>1594</v>
      </c>
      <c r="L356" s="125">
        <v>44453</v>
      </c>
      <c r="M356" s="126">
        <f>SUMIF('MPG Payment '!$E$3:$E$344841,'Shayak Income '!D356,'MPG Payment '!$I$3:$I$344841)</f>
        <v>9901.26</v>
      </c>
      <c r="N356" s="126">
        <f>SUMIF('MPG Payment '!$E$3:$E$344841,'Shayak Income '!D356,'MPG Payment '!$J$3:$J$344841)</f>
        <v>416443.35999999993</v>
      </c>
      <c r="O356" s="126">
        <f t="shared" si="99"/>
        <v>7425.9449999999997</v>
      </c>
      <c r="P356" s="126">
        <f t="shared" si="100"/>
        <v>9406.1970000000001</v>
      </c>
      <c r="Q356" s="126">
        <f>SUMIF('MPG Payment '!$E$3:$E$344841,'Shayak Income '!D356,'MPG Payment '!$S$3:$S$344841)</f>
        <v>2786.9900000000002</v>
      </c>
      <c r="R356" s="126">
        <f t="shared" si="91"/>
        <v>12493.300799999997</v>
      </c>
      <c r="S356" s="126">
        <f t="shared" si="92"/>
        <v>3087.1037999999971</v>
      </c>
      <c r="T356" s="126">
        <f t="shared" si="101"/>
        <v>990.12600000000009</v>
      </c>
      <c r="U356" s="127">
        <f>((((((IF(K356="New",0,SUMIF('MPG Payment '!$E$3:$E$344841,'Shayak Income '!D356,'MPG Payment '!$AC$3:$AC$344841))))+0)+0)+0)+0)+0</f>
        <v>0</v>
      </c>
      <c r="V356" s="127">
        <f t="shared" si="102"/>
        <v>18629</v>
      </c>
      <c r="W356" s="19">
        <f t="shared" si="106"/>
        <v>0</v>
      </c>
      <c r="X356" s="19">
        <f t="shared" si="107"/>
        <v>0</v>
      </c>
      <c r="Y356" s="128">
        <f>IFERROR(VLOOKUP(D356,'Monthly Deduction'!$M$2:$N$640,2,0),0)</f>
        <v>0</v>
      </c>
      <c r="Z356" s="128">
        <v>0</v>
      </c>
      <c r="AA356" s="126">
        <f>IFERROR(VLOOKUP(D356,'Monthly Deduction'!A:B,2,0),0)</f>
        <v>549</v>
      </c>
      <c r="AB356" s="129">
        <f t="shared" si="93"/>
        <v>18080</v>
      </c>
      <c r="AC356" s="130">
        <v>0</v>
      </c>
      <c r="AD356" s="35">
        <f t="shared" si="103"/>
        <v>18080</v>
      </c>
      <c r="AE356" s="166" t="str">
        <f t="shared" si="104"/>
        <v>Release</v>
      </c>
      <c r="AF356" s="127"/>
      <c r="AG356" s="18">
        <v>0</v>
      </c>
      <c r="AH356" s="120"/>
      <c r="AI356" s="238">
        <v>0</v>
      </c>
      <c r="AJ356" s="132"/>
      <c r="AK356" s="151">
        <v>2626.1200000000003</v>
      </c>
      <c r="AL356" s="154">
        <f t="shared" si="94"/>
        <v>0</v>
      </c>
      <c r="AM356" s="155"/>
      <c r="AN356" s="19">
        <f t="shared" si="95"/>
        <v>0</v>
      </c>
      <c r="AO356" s="118">
        <f>SUMIF('MPG Payment '!E:E,'Shayak Income '!D356,'MPG Payment '!AJ:AJ)</f>
        <v>0</v>
      </c>
      <c r="AP356" s="19">
        <f t="shared" si="96"/>
        <v>0</v>
      </c>
      <c r="AQ356" s="119">
        <f t="shared" si="105"/>
        <v>0</v>
      </c>
      <c r="AR356" s="91" t="s">
        <v>1144</v>
      </c>
      <c r="AS356" s="91">
        <f t="shared" si="97"/>
        <v>0</v>
      </c>
      <c r="AT356" s="118"/>
      <c r="AU356" s="118"/>
      <c r="AV356" s="118"/>
    </row>
    <row r="357" spans="1:48" s="20" customFormat="1" x14ac:dyDescent="0.25">
      <c r="A357" s="17">
        <f>IFERROR(VLOOKUP(D357,'Monthly Deduction'!$I$3:$J$957,2,0),0)</f>
        <v>0</v>
      </c>
      <c r="B357" s="17">
        <f>IFERROR(VLOOKUP(D357,'Monthly Deduction'!$E$3:$F$957,2,0),0)</f>
        <v>0</v>
      </c>
      <c r="C357" s="17">
        <f t="shared" si="98"/>
        <v>0</v>
      </c>
      <c r="D357" s="41">
        <v>10120026</v>
      </c>
      <c r="E357" s="122" t="str">
        <f>VLOOKUP(D357,'MPG Payment '!$E$3:$G$497305,2,0)</f>
        <v>Ghato</v>
      </c>
      <c r="F357" s="146">
        <f>IFERROR(_xlfn.XLOOKUP(D357,'Monthly Deduction'!$I$3:$I$957,'Monthly Deduction'!$H$3:$H$957),0)</f>
        <v>0</v>
      </c>
      <c r="G357" s="123" t="str">
        <f>VLOOKUP(D357,'MPG Payment '!$E$3:$G$333666,3,0)</f>
        <v>vlc</v>
      </c>
      <c r="H357" s="124" t="str">
        <f>VLOOKUP(D357,'MPG Payment '!$E$3:$H$333666,4,0)</f>
        <v>Indirect</v>
      </c>
      <c r="I357" s="88">
        <f>INDEX('MPG Payment '!$C:$C,MATCH('Shayak Income '!D357,'MPG Payment '!E:E,0))</f>
        <v>1012</v>
      </c>
      <c r="J357" s="88" t="str">
        <f>INDEX('MPG Payment '!$D:$D,MATCH('Shayak Income '!D357,'MPG Payment '!E:E,0))</f>
        <v>DalsinghSarai</v>
      </c>
      <c r="K357" s="125" t="s">
        <v>1594</v>
      </c>
      <c r="L357" s="125">
        <v>44571</v>
      </c>
      <c r="M357" s="126">
        <f>SUMIF('MPG Payment '!$E$3:$E$344841,'Shayak Income '!D357,'MPG Payment '!$I$3:$I$344841)</f>
        <v>145.96</v>
      </c>
      <c r="N357" s="126">
        <f>SUMIF('MPG Payment '!$E$3:$E$344841,'Shayak Income '!D357,'MPG Payment '!$J$3:$J$344841)</f>
        <v>5124.3999999999996</v>
      </c>
      <c r="O357" s="126">
        <f t="shared" si="99"/>
        <v>109.47</v>
      </c>
      <c r="P357" s="126">
        <f t="shared" si="100"/>
        <v>138.66200000000001</v>
      </c>
      <c r="Q357" s="126">
        <f>SUMIF('MPG Payment '!$E$3:$E$344841,'Shayak Income '!D357,'MPG Payment '!$S$3:$S$344841)</f>
        <v>0</v>
      </c>
      <c r="R357" s="126">
        <f t="shared" si="91"/>
        <v>153.73199999999997</v>
      </c>
      <c r="S357" s="126">
        <f t="shared" si="92"/>
        <v>15.069999999999965</v>
      </c>
      <c r="T357" s="126">
        <f t="shared" si="101"/>
        <v>14.596000000000002</v>
      </c>
      <c r="U357" s="127">
        <f>((((((IF(K357="New",0,SUMIF('MPG Payment '!$E$3:$E$344841,'Shayak Income '!D357,'MPG Payment '!$AC$3:$AC$344841))))+0)+0)+0)+0)+-1634</f>
        <v>233.95032404286439</v>
      </c>
      <c r="V357" s="127">
        <f t="shared" si="102"/>
        <v>0</v>
      </c>
      <c r="W357" s="19">
        <v>0</v>
      </c>
      <c r="X357" s="19">
        <v>0</v>
      </c>
      <c r="Y357" s="128">
        <v>0</v>
      </c>
      <c r="Z357" s="128">
        <v>0</v>
      </c>
      <c r="AA357" s="126">
        <v>0</v>
      </c>
      <c r="AB357" s="129">
        <f t="shared" si="93"/>
        <v>0</v>
      </c>
      <c r="AC357" s="130">
        <v>0</v>
      </c>
      <c r="AD357" s="35">
        <f t="shared" si="103"/>
        <v>0</v>
      </c>
      <c r="AE357" s="166" t="str">
        <f t="shared" si="104"/>
        <v>Release</v>
      </c>
      <c r="AF357" s="127"/>
      <c r="AG357" s="18">
        <v>0</v>
      </c>
      <c r="AH357" s="120"/>
      <c r="AI357" s="238">
        <v>0</v>
      </c>
      <c r="AJ357" s="132"/>
      <c r="AK357" s="151">
        <v>26.450000000000003</v>
      </c>
      <c r="AL357" s="154">
        <f t="shared" si="94"/>
        <v>0</v>
      </c>
      <c r="AM357" s="155"/>
      <c r="AN357" s="19">
        <f t="shared" si="95"/>
        <v>0</v>
      </c>
      <c r="AO357" s="118">
        <f>SUMIF('MPG Payment '!E:E,'Shayak Income '!D357,'MPG Payment '!AJ:AJ)</f>
        <v>0</v>
      </c>
      <c r="AP357" s="19">
        <f t="shared" si="96"/>
        <v>0</v>
      </c>
      <c r="AQ357" s="119">
        <f t="shared" si="105"/>
        <v>0</v>
      </c>
      <c r="AR357" s="91" t="s">
        <v>1144</v>
      </c>
      <c r="AS357" s="91">
        <f t="shared" si="97"/>
        <v>0</v>
      </c>
      <c r="AT357" s="118"/>
      <c r="AU357" s="118"/>
      <c r="AV357" s="118"/>
    </row>
    <row r="358" spans="1:48" s="20" customFormat="1" x14ac:dyDescent="0.25">
      <c r="A358" s="17">
        <f>IFERROR(VLOOKUP(D358,'Monthly Deduction'!$I$3:$J$957,2,0),0)</f>
        <v>0</v>
      </c>
      <c r="B358" s="17">
        <f>IFERROR(VLOOKUP(D358,'Monthly Deduction'!$E$3:$F$957,2,0),0)</f>
        <v>8223.3894584422014</v>
      </c>
      <c r="C358" s="17">
        <f t="shared" si="98"/>
        <v>8223.3894584422014</v>
      </c>
      <c r="D358" s="41">
        <v>10120029</v>
      </c>
      <c r="E358" s="122" t="str">
        <f>VLOOKUP(D358,'MPG Payment '!$E$3:$G$497305,2,0)</f>
        <v xml:space="preserve">RAMNATHPUR                                                                                          </v>
      </c>
      <c r="F358" s="146">
        <f>IFERROR(_xlfn.XLOOKUP(D358,'Monthly Deduction'!$I$3:$I$957,'Monthly Deduction'!$H$3:$H$957),0)</f>
        <v>0</v>
      </c>
      <c r="G358" s="123" t="str">
        <f>VLOOKUP(D358,'MPG Payment '!$E$3:$G$333666,3,0)</f>
        <v>MPG</v>
      </c>
      <c r="H358" s="124" t="str">
        <f>VLOOKUP(D358,'MPG Payment '!$E$3:$H$333666,4,0)</f>
        <v>Direct</v>
      </c>
      <c r="I358" s="88">
        <f>INDEX('MPG Payment '!$C:$C,MATCH('Shayak Income '!D358,'MPG Payment '!E:E,0))</f>
        <v>1012</v>
      </c>
      <c r="J358" s="88" t="str">
        <f>INDEX('MPG Payment '!$D:$D,MATCH('Shayak Income '!D358,'MPG Payment '!E:E,0))</f>
        <v>DalsinghSarai</v>
      </c>
      <c r="K358" s="125" t="s">
        <v>1594</v>
      </c>
      <c r="L358" s="125">
        <v>44729</v>
      </c>
      <c r="M358" s="126">
        <f>SUMIF('MPG Payment '!$E$3:$E$344841,'Shayak Income '!D358,'MPG Payment '!$I$3:$I$344841)</f>
        <v>2514.1200000000003</v>
      </c>
      <c r="N358" s="126">
        <f>SUMIF('MPG Payment '!$E$3:$E$344841,'Shayak Income '!D358,'MPG Payment '!$J$3:$J$344841)</f>
        <v>99075.26</v>
      </c>
      <c r="O358" s="126">
        <f t="shared" si="99"/>
        <v>1885.5900000000001</v>
      </c>
      <c r="P358" s="126">
        <f t="shared" si="100"/>
        <v>2388.4140000000002</v>
      </c>
      <c r="Q358" s="126">
        <f>SUMIF('MPG Payment '!$E$3:$E$344841,'Shayak Income '!D358,'MPG Payment '!$S$3:$S$344841)</f>
        <v>893.6400000000001</v>
      </c>
      <c r="R358" s="126">
        <f t="shared" si="91"/>
        <v>2972.2577999999999</v>
      </c>
      <c r="S358" s="126">
        <f t="shared" si="92"/>
        <v>583.84379999999965</v>
      </c>
      <c r="T358" s="126">
        <f t="shared" si="101"/>
        <v>251.41200000000003</v>
      </c>
      <c r="U358" s="127">
        <f>((((((IF(K358="New",0,SUMIF('MPG Payment '!$E$3:$E$344841,'Shayak Income '!D358,'MPG Payment '!$AC$3:$AC$344841))))+0)+0)+0)+0)+0</f>
        <v>225.21876827335205</v>
      </c>
      <c r="V358" s="127">
        <f t="shared" si="102"/>
        <v>4691</v>
      </c>
      <c r="W358" s="19">
        <f t="shared" si="106"/>
        <v>0</v>
      </c>
      <c r="X358" s="19">
        <f t="shared" si="107"/>
        <v>1981.5051999999998</v>
      </c>
      <c r="Y358" s="128">
        <f>IFERROR(VLOOKUP(D358,'Monthly Deduction'!$M$2:$N$640,2,0),0)</f>
        <v>0</v>
      </c>
      <c r="Z358" s="128">
        <v>265.5</v>
      </c>
      <c r="AA358" s="126">
        <f>IFERROR(VLOOKUP(D358,'Monthly Deduction'!A:B,2,0),0)</f>
        <v>164.70000000000002</v>
      </c>
      <c r="AB358" s="129">
        <f t="shared" si="93"/>
        <v>2279</v>
      </c>
      <c r="AC358" s="130">
        <v>0</v>
      </c>
      <c r="AD358" s="35">
        <f t="shared" si="103"/>
        <v>2279</v>
      </c>
      <c r="AE358" s="166" t="str">
        <f t="shared" si="104"/>
        <v>Release</v>
      </c>
      <c r="AF358" s="127"/>
      <c r="AG358" s="18">
        <v>0</v>
      </c>
      <c r="AH358" s="132" t="s">
        <v>1680</v>
      </c>
      <c r="AI358" s="238">
        <v>0</v>
      </c>
      <c r="AJ358" s="132"/>
      <c r="AK358" s="151">
        <v>462.38</v>
      </c>
      <c r="AL358" s="154">
        <f t="shared" si="94"/>
        <v>0</v>
      </c>
      <c r="AM358" s="155"/>
      <c r="AN358" s="19">
        <f t="shared" si="95"/>
        <v>0</v>
      </c>
      <c r="AO358" s="118">
        <f>SUMIF('MPG Payment '!E:E,'Shayak Income '!D358,'MPG Payment '!AJ:AJ)</f>
        <v>0</v>
      </c>
      <c r="AP358" s="19">
        <f t="shared" si="96"/>
        <v>0</v>
      </c>
      <c r="AQ358" s="119">
        <f t="shared" si="105"/>
        <v>0</v>
      </c>
      <c r="AR358" s="91" t="s">
        <v>1144</v>
      </c>
      <c r="AS358" s="91">
        <f t="shared" si="97"/>
        <v>6241.8842584422018</v>
      </c>
      <c r="AT358" s="118"/>
      <c r="AU358" s="118"/>
      <c r="AV358" s="118"/>
    </row>
    <row r="359" spans="1:48" s="20" customFormat="1" x14ac:dyDescent="0.25">
      <c r="A359" s="17">
        <f>IFERROR(VLOOKUP(D359,'Monthly Deduction'!$I$3:$J$957,2,0),0)</f>
        <v>0</v>
      </c>
      <c r="B359" s="17">
        <f>IFERROR(VLOOKUP(D359,'Monthly Deduction'!$E$3:$F$957,2,0),0)</f>
        <v>3164.9911117209958</v>
      </c>
      <c r="C359" s="17">
        <f t="shared" si="98"/>
        <v>3164.9911117209958</v>
      </c>
      <c r="D359" s="41">
        <v>10120031</v>
      </c>
      <c r="E359" s="122" t="str">
        <f>VLOOKUP(D359,'MPG Payment '!$E$3:$G$497305,2,0)</f>
        <v>DESUA</v>
      </c>
      <c r="F359" s="146">
        <f>IFERROR(_xlfn.XLOOKUP(D359,'Monthly Deduction'!$I$3:$I$957,'Monthly Deduction'!$H$3:$H$957),0)</f>
        <v>0</v>
      </c>
      <c r="G359" s="123" t="str">
        <f>VLOOKUP(D359,'MPG Payment '!$E$3:$G$333666,3,0)</f>
        <v>MPG</v>
      </c>
      <c r="H359" s="124" t="str">
        <f>VLOOKUP(D359,'MPG Payment '!$E$3:$H$333666,4,0)</f>
        <v>Direct</v>
      </c>
      <c r="I359" s="88">
        <f>INDEX('MPG Payment '!$C:$C,MATCH('Shayak Income '!D359,'MPG Payment '!E:E,0))</f>
        <v>1012</v>
      </c>
      <c r="J359" s="88" t="str">
        <f>INDEX('MPG Payment '!$D:$D,MATCH('Shayak Income '!D359,'MPG Payment '!E:E,0))</f>
        <v>DalsinghSarai</v>
      </c>
      <c r="K359" s="125" t="s">
        <v>1594</v>
      </c>
      <c r="L359" s="125">
        <v>44835</v>
      </c>
      <c r="M359" s="126">
        <f>SUMIF('MPG Payment '!$E$3:$E$344841,'Shayak Income '!D359,'MPG Payment '!$I$3:$I$344841)</f>
        <v>1827.79</v>
      </c>
      <c r="N359" s="126">
        <f>SUMIF('MPG Payment '!$E$3:$E$344841,'Shayak Income '!D359,'MPG Payment '!$J$3:$J$344841)</f>
        <v>78338.31</v>
      </c>
      <c r="O359" s="126">
        <f t="shared" si="99"/>
        <v>1370.8425</v>
      </c>
      <c r="P359" s="126">
        <f t="shared" si="100"/>
        <v>1736.4005</v>
      </c>
      <c r="Q359" s="126">
        <f>SUMIF('MPG Payment '!$E$3:$E$344841,'Shayak Income '!D359,'MPG Payment '!$S$3:$S$344841)</f>
        <v>443.51</v>
      </c>
      <c r="R359" s="126">
        <f t="shared" si="91"/>
        <v>2350.1493</v>
      </c>
      <c r="S359" s="126">
        <f t="shared" si="92"/>
        <v>613.74880000000007</v>
      </c>
      <c r="T359" s="126">
        <f t="shared" si="101"/>
        <v>182.779</v>
      </c>
      <c r="U359" s="127">
        <f>((((((IF(K359="New",0,SUMIF('MPG Payment '!$E$3:$E$344841,'Shayak Income '!D359,'MPG Payment '!$AC$3:$AC$344841))))+0)+0)+0)+0)+0</f>
        <v>833.64771320419675</v>
      </c>
      <c r="V359" s="127">
        <f t="shared" si="102"/>
        <v>2534</v>
      </c>
      <c r="W359" s="19">
        <f t="shared" si="106"/>
        <v>0</v>
      </c>
      <c r="X359" s="19">
        <f t="shared" si="107"/>
        <v>1566.7662</v>
      </c>
      <c r="Y359" s="128">
        <f>IFERROR(VLOOKUP(D359,'Monthly Deduction'!$M$2:$N$640,2,0),0)</f>
        <v>0</v>
      </c>
      <c r="Z359" s="128">
        <v>0</v>
      </c>
      <c r="AA359" s="126">
        <f>IFERROR(VLOOKUP(D359,'Monthly Deduction'!A:B,2,0),0)</f>
        <v>274.5</v>
      </c>
      <c r="AB359" s="129">
        <f t="shared" si="93"/>
        <v>693</v>
      </c>
      <c r="AC359" s="130">
        <v>0</v>
      </c>
      <c r="AD359" s="35">
        <f t="shared" si="103"/>
        <v>693</v>
      </c>
      <c r="AE359" s="166" t="str">
        <f t="shared" si="104"/>
        <v>Release</v>
      </c>
      <c r="AF359" s="127"/>
      <c r="AG359" s="18">
        <v>0</v>
      </c>
      <c r="AH359" s="120"/>
      <c r="AI359" s="238">
        <v>0</v>
      </c>
      <c r="AJ359" s="132"/>
      <c r="AK359" s="151">
        <v>419.78999999999996</v>
      </c>
      <c r="AL359" s="154">
        <f t="shared" si="94"/>
        <v>0</v>
      </c>
      <c r="AM359" s="155"/>
      <c r="AN359" s="19">
        <f t="shared" si="95"/>
        <v>0</v>
      </c>
      <c r="AO359" s="118">
        <f>SUMIF('MPG Payment '!E:E,'Shayak Income '!D359,'MPG Payment '!AJ:AJ)</f>
        <v>0</v>
      </c>
      <c r="AP359" s="19">
        <f t="shared" si="96"/>
        <v>0</v>
      </c>
      <c r="AQ359" s="119">
        <f t="shared" si="105"/>
        <v>0</v>
      </c>
      <c r="AR359" s="91" t="s">
        <v>1144</v>
      </c>
      <c r="AS359" s="91">
        <f t="shared" si="97"/>
        <v>1598.2249117209958</v>
      </c>
      <c r="AT359" s="118"/>
      <c r="AU359" s="118"/>
      <c r="AV359" s="118"/>
    </row>
    <row r="360" spans="1:48" s="20" customFormat="1" x14ac:dyDescent="0.25">
      <c r="A360" s="17">
        <f>IFERROR(VLOOKUP(D360,'Monthly Deduction'!$I$3:$J$957,2,0),0)</f>
        <v>0</v>
      </c>
      <c r="B360" s="17">
        <f>IFERROR(VLOOKUP(D360,'Monthly Deduction'!$E$3:$F$957,2,0),0)</f>
        <v>15208.8497711328</v>
      </c>
      <c r="C360" s="17">
        <f t="shared" si="98"/>
        <v>15208.8497711328</v>
      </c>
      <c r="D360" s="41">
        <v>10120034</v>
      </c>
      <c r="E360" s="122" t="str">
        <f>VLOOKUP(D360,'MPG Payment '!$E$3:$G$497305,2,0)</f>
        <v>Matior</v>
      </c>
      <c r="F360" s="146">
        <f>IFERROR(_xlfn.XLOOKUP(D360,'Monthly Deduction'!$I$3:$I$957,'Monthly Deduction'!$H$3:$H$957),0)</f>
        <v>0</v>
      </c>
      <c r="G360" s="123" t="str">
        <f>VLOOKUP(D360,'MPG Payment '!$E$3:$G$333666,3,0)</f>
        <v>MPG</v>
      </c>
      <c r="H360" s="124" t="str">
        <f>VLOOKUP(D360,'MPG Payment '!$E$3:$H$333666,4,0)</f>
        <v>Direct</v>
      </c>
      <c r="I360" s="88">
        <f>INDEX('MPG Payment '!$C:$C,MATCH('Shayak Income '!D360,'MPG Payment '!E:E,0))</f>
        <v>1012</v>
      </c>
      <c r="J360" s="88" t="str">
        <f>INDEX('MPG Payment '!$D:$D,MATCH('Shayak Income '!D360,'MPG Payment '!E:E,0))</f>
        <v>DalsinghSarai</v>
      </c>
      <c r="K360" s="125" t="s">
        <v>1594</v>
      </c>
      <c r="L360" s="125">
        <v>44942</v>
      </c>
      <c r="M360" s="126">
        <f>SUMIF('MPG Payment '!$E$3:$E$344841,'Shayak Income '!D360,'MPG Payment '!$I$3:$I$344841)</f>
        <v>869.78</v>
      </c>
      <c r="N360" s="126">
        <f>SUMIF('MPG Payment '!$E$3:$E$344841,'Shayak Income '!D360,'MPG Payment '!$J$3:$J$344841)</f>
        <v>33475.360000000001</v>
      </c>
      <c r="O360" s="126">
        <f t="shared" si="99"/>
        <v>652.33500000000004</v>
      </c>
      <c r="P360" s="126">
        <f t="shared" si="100"/>
        <v>826.29099999999994</v>
      </c>
      <c r="Q360" s="126">
        <f>SUMIF('MPG Payment '!$E$3:$E$344841,'Shayak Income '!D360,'MPG Payment '!$S$3:$S$344841)</f>
        <v>0</v>
      </c>
      <c r="R360" s="126">
        <f t="shared" si="91"/>
        <v>1004.2608</v>
      </c>
      <c r="S360" s="126">
        <f t="shared" si="92"/>
        <v>177.96980000000008</v>
      </c>
      <c r="T360" s="126">
        <f t="shared" si="101"/>
        <v>86.978000000000009</v>
      </c>
      <c r="U360" s="127">
        <f>((((((IF(K360="New",0,SUMIF('MPG Payment '!$E$3:$E$344841,'Shayak Income '!D360,'MPG Payment '!$AC$3:$AC$344841))))+0)+0)+0)+0)+-96</f>
        <v>1391.8941706019684</v>
      </c>
      <c r="V360" s="127">
        <f t="shared" si="102"/>
        <v>0</v>
      </c>
      <c r="W360" s="19">
        <v>0</v>
      </c>
      <c r="X360" s="19">
        <v>0</v>
      </c>
      <c r="Y360" s="128">
        <v>0</v>
      </c>
      <c r="Z360" s="128">
        <v>0</v>
      </c>
      <c r="AA360" s="126">
        <v>0</v>
      </c>
      <c r="AB360" s="129">
        <f t="shared" si="93"/>
        <v>0</v>
      </c>
      <c r="AC360" s="130">
        <v>0</v>
      </c>
      <c r="AD360" s="35">
        <f t="shared" si="103"/>
        <v>0</v>
      </c>
      <c r="AE360" s="166" t="str">
        <f t="shared" si="104"/>
        <v>Release</v>
      </c>
      <c r="AF360" s="127"/>
      <c r="AG360" s="18">
        <v>0</v>
      </c>
      <c r="AH360" s="132"/>
      <c r="AI360" s="238">
        <v>0</v>
      </c>
      <c r="AJ360" s="132"/>
      <c r="AK360" s="151">
        <v>174.54</v>
      </c>
      <c r="AL360" s="154">
        <f t="shared" si="94"/>
        <v>0</v>
      </c>
      <c r="AM360" s="155"/>
      <c r="AN360" s="19">
        <f t="shared" si="95"/>
        <v>0</v>
      </c>
      <c r="AO360" s="118">
        <f>SUMIF('MPG Payment '!E:E,'Shayak Income '!D360,'MPG Payment '!AJ:AJ)</f>
        <v>0</v>
      </c>
      <c r="AP360" s="19">
        <f t="shared" si="96"/>
        <v>0</v>
      </c>
      <c r="AQ360" s="119">
        <f t="shared" si="105"/>
        <v>0</v>
      </c>
      <c r="AR360" s="91" t="s">
        <v>1144</v>
      </c>
      <c r="AS360" s="91">
        <f t="shared" si="97"/>
        <v>15208.8497711328</v>
      </c>
      <c r="AT360" s="118"/>
      <c r="AU360" s="118"/>
      <c r="AV360" s="118"/>
    </row>
    <row r="361" spans="1:48" s="20" customFormat="1" x14ac:dyDescent="0.25">
      <c r="A361" s="17">
        <f>IFERROR(VLOOKUP(D361,'Monthly Deduction'!$I$3:$J$957,2,0),0)</f>
        <v>0</v>
      </c>
      <c r="B361" s="17">
        <f>IFERROR(VLOOKUP(D361,'Monthly Deduction'!$E$3:$F$957,2,0),0)</f>
        <v>2032</v>
      </c>
      <c r="C361" s="17">
        <f t="shared" si="98"/>
        <v>2032</v>
      </c>
      <c r="D361" s="41">
        <v>10120035</v>
      </c>
      <c r="E361" s="122" t="str">
        <f>VLOOKUP(D361,'MPG Payment '!$E$3:$G$497305,2,0)</f>
        <v>TELGAMA</v>
      </c>
      <c r="F361" s="146">
        <f>IFERROR(_xlfn.XLOOKUP(D361,'Monthly Deduction'!$I$3:$I$957,'Monthly Deduction'!$H$3:$H$957),0)</f>
        <v>0</v>
      </c>
      <c r="G361" s="123" t="str">
        <f>VLOOKUP(D361,'MPG Payment '!$E$3:$G$333666,3,0)</f>
        <v>vlc</v>
      </c>
      <c r="H361" s="124" t="str">
        <f>VLOOKUP(D361,'MPG Payment '!$E$3:$H$333666,4,0)</f>
        <v>Indirect</v>
      </c>
      <c r="I361" s="88">
        <f>INDEX('MPG Payment '!$C:$C,MATCH('Shayak Income '!D361,'MPG Payment '!E:E,0))</f>
        <v>1012</v>
      </c>
      <c r="J361" s="88" t="str">
        <f>INDEX('MPG Payment '!$D:$D,MATCH('Shayak Income '!D361,'MPG Payment '!E:E,0))</f>
        <v>DalsinghSarai</v>
      </c>
      <c r="K361" s="125" t="s">
        <v>1594</v>
      </c>
      <c r="L361" s="125">
        <v>44943</v>
      </c>
      <c r="M361" s="126">
        <f>SUMIF('MPG Payment '!$E$3:$E$344841,'Shayak Income '!D361,'MPG Payment '!$I$3:$I$344841)</f>
        <v>1327.21</v>
      </c>
      <c r="N361" s="126">
        <f>SUMIF('MPG Payment '!$E$3:$E$344841,'Shayak Income '!D361,'MPG Payment '!$J$3:$J$344841)</f>
        <v>56306.200000000004</v>
      </c>
      <c r="O361" s="126">
        <f t="shared" si="99"/>
        <v>995.40750000000003</v>
      </c>
      <c r="P361" s="126">
        <f t="shared" si="100"/>
        <v>1260.8495</v>
      </c>
      <c r="Q361" s="126">
        <f>SUMIF('MPG Payment '!$E$3:$E$344841,'Shayak Income '!D361,'MPG Payment '!$S$3:$S$344841)</f>
        <v>0</v>
      </c>
      <c r="R361" s="126">
        <f t="shared" si="91"/>
        <v>1689.1860000000001</v>
      </c>
      <c r="S361" s="126">
        <f t="shared" si="92"/>
        <v>428.33650000000011</v>
      </c>
      <c r="T361" s="126">
        <f t="shared" si="101"/>
        <v>132.721</v>
      </c>
      <c r="U361" s="127">
        <f>((((((IF(K361="New",0,SUMIF('MPG Payment '!$E$3:$E$344841,'Shayak Income '!D361,'MPG Payment '!$AC$3:$AC$344841))))+0)+0)+0)+0)+0</f>
        <v>1246.6700598691295</v>
      </c>
      <c r="V361" s="127">
        <f t="shared" si="102"/>
        <v>877</v>
      </c>
      <c r="W361" s="19">
        <f t="shared" si="106"/>
        <v>0</v>
      </c>
      <c r="X361" s="19">
        <v>877</v>
      </c>
      <c r="Y361" s="128">
        <v>0</v>
      </c>
      <c r="Z361" s="128">
        <v>0</v>
      </c>
      <c r="AA361" s="126">
        <f>IFERROR(VLOOKUP(D361,'Monthly Deduction'!A:B,2,0),0)</f>
        <v>0</v>
      </c>
      <c r="AB361" s="129">
        <f t="shared" si="93"/>
        <v>0</v>
      </c>
      <c r="AC361" s="130">
        <v>0</v>
      </c>
      <c r="AD361" s="35">
        <f t="shared" si="103"/>
        <v>0</v>
      </c>
      <c r="AE361" s="166" t="str">
        <f t="shared" si="104"/>
        <v>Release</v>
      </c>
      <c r="AF361" s="127"/>
      <c r="AG361" s="18">
        <v>0</v>
      </c>
      <c r="AH361" s="120"/>
      <c r="AI361" s="238">
        <v>0</v>
      </c>
      <c r="AJ361" s="132"/>
      <c r="AK361" s="151">
        <v>317.23000000000008</v>
      </c>
      <c r="AL361" s="154">
        <f t="shared" si="94"/>
        <v>0</v>
      </c>
      <c r="AM361" s="155"/>
      <c r="AN361" s="19">
        <f t="shared" si="95"/>
        <v>0</v>
      </c>
      <c r="AO361" s="118">
        <f>SUMIF('MPG Payment '!E:E,'Shayak Income '!D361,'MPG Payment '!AJ:AJ)</f>
        <v>0</v>
      </c>
      <c r="AP361" s="19">
        <f t="shared" si="96"/>
        <v>0</v>
      </c>
      <c r="AQ361" s="119">
        <f t="shared" si="105"/>
        <v>0</v>
      </c>
      <c r="AR361" s="91" t="s">
        <v>1144</v>
      </c>
      <c r="AS361" s="91">
        <f t="shared" si="97"/>
        <v>1155</v>
      </c>
      <c r="AT361" s="118"/>
      <c r="AU361" s="118"/>
      <c r="AV361" s="118"/>
    </row>
    <row r="362" spans="1:48" s="20" customFormat="1" x14ac:dyDescent="0.25">
      <c r="A362" s="17">
        <f>IFERROR(VLOOKUP(D362,'Monthly Deduction'!$I$3:$J$957,2,0),0)</f>
        <v>57475.160600000003</v>
      </c>
      <c r="B362" s="17">
        <f>IFERROR(VLOOKUP(D362,'Monthly Deduction'!$E$3:$F$957,2,0),0)</f>
        <v>6400</v>
      </c>
      <c r="C362" s="17">
        <f t="shared" si="98"/>
        <v>63875.160600000003</v>
      </c>
      <c r="D362" s="41">
        <v>10120043</v>
      </c>
      <c r="E362" s="122" t="str">
        <f>VLOOKUP(D362,'MPG Payment '!$E$3:$G$497305,2,0)</f>
        <v>GOMUKH TATARPUR</v>
      </c>
      <c r="F362" s="146">
        <f>IFERROR(_xlfn.XLOOKUP(D362,'Monthly Deduction'!$I$3:$I$957,'Monthly Deduction'!$H$3:$H$957),0)</f>
        <v>0</v>
      </c>
      <c r="G362" s="123" t="str">
        <f>VLOOKUP(D362,'MPG Payment '!$E$3:$G$333666,3,0)</f>
        <v>MPG</v>
      </c>
      <c r="H362" s="124" t="str">
        <f>VLOOKUP(D362,'MPG Payment '!$E$3:$H$333666,4,0)</f>
        <v>Direct</v>
      </c>
      <c r="I362" s="88">
        <f>INDEX('MPG Payment '!$C:$C,MATCH('Shayak Income '!D362,'MPG Payment '!E:E,0))</f>
        <v>1012</v>
      </c>
      <c r="J362" s="88" t="str">
        <f>INDEX('MPG Payment '!$D:$D,MATCH('Shayak Income '!D362,'MPG Payment '!E:E,0))</f>
        <v>DalsinghSarai</v>
      </c>
      <c r="K362" s="125" t="s">
        <v>1594</v>
      </c>
      <c r="L362" s="125">
        <v>45126</v>
      </c>
      <c r="M362" s="126">
        <f>SUMIF('MPG Payment '!$E$3:$E$344841,'Shayak Income '!D362,'MPG Payment '!$I$3:$I$344841)</f>
        <v>749.88</v>
      </c>
      <c r="N362" s="126">
        <f>SUMIF('MPG Payment '!$E$3:$E$344841,'Shayak Income '!D362,'MPG Payment '!$J$3:$J$344841)</f>
        <v>38588.000000000007</v>
      </c>
      <c r="O362" s="126">
        <f t="shared" si="99"/>
        <v>562.41</v>
      </c>
      <c r="P362" s="126">
        <f t="shared" si="100"/>
        <v>712.38599999999997</v>
      </c>
      <c r="Q362" s="126">
        <f>SUMIF('MPG Payment '!$E$3:$E$344841,'Shayak Income '!D362,'MPG Payment '!$S$3:$S$344841)</f>
        <v>0</v>
      </c>
      <c r="R362" s="126">
        <f t="shared" si="91"/>
        <v>1157.6400000000001</v>
      </c>
      <c r="S362" s="126">
        <f t="shared" si="92"/>
        <v>445.25400000000013</v>
      </c>
      <c r="T362" s="126">
        <f t="shared" si="101"/>
        <v>74.988</v>
      </c>
      <c r="U362" s="127">
        <f>((((((IF(K362="New",0,SUMIF('MPG Payment '!$E$3:$E$344841,'Shayak Income '!D362,'MPG Payment '!$AC$3:$AC$344841))))+0)+0)+0)+0)+-928</f>
        <v>1199.9484387729462</v>
      </c>
      <c r="V362" s="127">
        <f t="shared" si="102"/>
        <v>0</v>
      </c>
      <c r="W362" s="19">
        <v>0</v>
      </c>
      <c r="X362" s="19">
        <v>0</v>
      </c>
      <c r="Y362" s="128">
        <v>0</v>
      </c>
      <c r="Z362" s="128">
        <v>0</v>
      </c>
      <c r="AA362" s="126">
        <v>0</v>
      </c>
      <c r="AB362" s="129">
        <f t="shared" si="93"/>
        <v>0</v>
      </c>
      <c r="AC362" s="130">
        <v>0</v>
      </c>
      <c r="AD362" s="35">
        <f t="shared" si="103"/>
        <v>0</v>
      </c>
      <c r="AE362" s="166" t="str">
        <f t="shared" si="104"/>
        <v>Release</v>
      </c>
      <c r="AF362" s="127"/>
      <c r="AG362" s="18">
        <v>0</v>
      </c>
      <c r="AH362" s="132"/>
      <c r="AI362" s="238">
        <v>0</v>
      </c>
      <c r="AJ362" s="132"/>
      <c r="AK362" s="151">
        <v>151.55000000000004</v>
      </c>
      <c r="AL362" s="154">
        <f t="shared" si="94"/>
        <v>0</v>
      </c>
      <c r="AM362" s="155"/>
      <c r="AN362" s="19">
        <f t="shared" si="95"/>
        <v>1861</v>
      </c>
      <c r="AO362" s="118">
        <f>SUMIF('MPG Payment '!E:E,'Shayak Income '!D362,'MPG Payment '!AJ:AJ)</f>
        <v>2000</v>
      </c>
      <c r="AP362" s="19">
        <f t="shared" si="96"/>
        <v>0</v>
      </c>
      <c r="AQ362" s="119">
        <f t="shared" si="105"/>
        <v>2000</v>
      </c>
      <c r="AR362" s="91" t="s">
        <v>1144</v>
      </c>
      <c r="AS362" s="91">
        <f t="shared" si="97"/>
        <v>6400</v>
      </c>
      <c r="AT362" s="118"/>
      <c r="AU362" s="118"/>
      <c r="AV362" s="118"/>
    </row>
    <row r="363" spans="1:48" s="20" customFormat="1" x14ac:dyDescent="0.25">
      <c r="A363" s="17">
        <f>IFERROR(VLOOKUP(D363,'Monthly Deduction'!$I$3:$J$957,2,0),0)</f>
        <v>0</v>
      </c>
      <c r="B363" s="17">
        <f>IFERROR(VLOOKUP(D363,'Monthly Deduction'!$E$3:$F$957,2,0),0)</f>
        <v>0</v>
      </c>
      <c r="C363" s="17">
        <f t="shared" si="98"/>
        <v>0</v>
      </c>
      <c r="D363" s="41">
        <v>10120046</v>
      </c>
      <c r="E363" s="122" t="str">
        <f>VLOOKUP(D363,'MPG Payment '!$E$3:$G$497305,2,0)</f>
        <v>Gomukh Ghataho</v>
      </c>
      <c r="F363" s="146">
        <f>IFERROR(_xlfn.XLOOKUP(D363,'Monthly Deduction'!$I$3:$I$957,'Monthly Deduction'!$H$3:$H$957),0)</f>
        <v>0</v>
      </c>
      <c r="G363" s="123" t="str">
        <f>VLOOKUP(D363,'MPG Payment '!$E$3:$G$333666,3,0)</f>
        <v>MPG</v>
      </c>
      <c r="H363" s="124" t="str">
        <f>VLOOKUP(D363,'MPG Payment '!$E$3:$H$333666,4,0)</f>
        <v>Direct</v>
      </c>
      <c r="I363" s="88">
        <f>INDEX('MPG Payment '!$C:$C,MATCH('Shayak Income '!D363,'MPG Payment '!E:E,0))</f>
        <v>1012</v>
      </c>
      <c r="J363" s="88" t="str">
        <f>INDEX('MPG Payment '!$D:$D,MATCH('Shayak Income '!D363,'MPG Payment '!E:E,0))</f>
        <v>DalsinghSarai</v>
      </c>
      <c r="K363" s="125" t="s">
        <v>1594</v>
      </c>
      <c r="L363" s="125">
        <v>45142</v>
      </c>
      <c r="M363" s="126">
        <f>SUMIF('MPG Payment '!$E$3:$E$344841,'Shayak Income '!D363,'MPG Payment '!$I$3:$I$344841)</f>
        <v>9189.91</v>
      </c>
      <c r="N363" s="126">
        <f>SUMIF('MPG Payment '!$E$3:$E$344841,'Shayak Income '!D363,'MPG Payment '!$J$3:$J$344841)</f>
        <v>364256.31</v>
      </c>
      <c r="O363" s="126">
        <f t="shared" si="99"/>
        <v>6892.4324999999999</v>
      </c>
      <c r="P363" s="126">
        <f t="shared" si="100"/>
        <v>8730.414499999999</v>
      </c>
      <c r="Q363" s="126">
        <f>SUMIF('MPG Payment '!$E$3:$E$344841,'Shayak Income '!D363,'MPG Payment '!$S$3:$S$344841)</f>
        <v>4700.92</v>
      </c>
      <c r="R363" s="126">
        <f t="shared" si="91"/>
        <v>10927.6893</v>
      </c>
      <c r="S363" s="126">
        <f t="shared" si="92"/>
        <v>2197.2748000000011</v>
      </c>
      <c r="T363" s="126">
        <f t="shared" si="101"/>
        <v>918.99099999999999</v>
      </c>
      <c r="U363" s="127">
        <f>((((((IF(K363="New",0,SUMIF('MPG Payment '!$E$3:$E$344841,'Shayak Income '!D363,'MPG Payment '!$AC$3:$AC$344841))))+0)+0)+0)+0)+0</f>
        <v>0</v>
      </c>
      <c r="V363" s="127">
        <f t="shared" si="102"/>
        <v>19405</v>
      </c>
      <c r="W363" s="19">
        <f t="shared" si="106"/>
        <v>0</v>
      </c>
      <c r="X363" s="19">
        <f t="shared" si="107"/>
        <v>0</v>
      </c>
      <c r="Y363" s="128">
        <f>IFERROR(VLOOKUP(D363,'Monthly Deduction'!$M$2:$N$640,2,0),0)</f>
        <v>0</v>
      </c>
      <c r="Z363" s="128">
        <v>0</v>
      </c>
      <c r="AA363" s="126">
        <f>IFERROR(VLOOKUP(D363,'Monthly Deduction'!A:B,2,0),0)</f>
        <v>0</v>
      </c>
      <c r="AB363" s="129">
        <f t="shared" si="93"/>
        <v>19405</v>
      </c>
      <c r="AC363" s="130">
        <v>0</v>
      </c>
      <c r="AD363" s="35">
        <f t="shared" si="103"/>
        <v>19405</v>
      </c>
      <c r="AE363" s="166" t="str">
        <f t="shared" si="104"/>
        <v>Release</v>
      </c>
      <c r="AF363" s="127"/>
      <c r="AG363" s="18">
        <v>0</v>
      </c>
      <c r="AH363" s="132"/>
      <c r="AI363" s="238">
        <v>0</v>
      </c>
      <c r="AJ363" s="132"/>
      <c r="AK363" s="151">
        <v>2369.7600000000002</v>
      </c>
      <c r="AL363" s="154">
        <f t="shared" si="94"/>
        <v>0</v>
      </c>
      <c r="AM363" s="155"/>
      <c r="AN363" s="19">
        <f t="shared" si="95"/>
        <v>0</v>
      </c>
      <c r="AO363" s="118">
        <f>SUMIF('MPG Payment '!E:E,'Shayak Income '!D363,'MPG Payment '!AJ:AJ)</f>
        <v>0</v>
      </c>
      <c r="AP363" s="19">
        <f t="shared" si="96"/>
        <v>0</v>
      </c>
      <c r="AQ363" s="119">
        <f t="shared" si="105"/>
        <v>0</v>
      </c>
      <c r="AR363" s="91" t="s">
        <v>1144</v>
      </c>
      <c r="AS363" s="91">
        <f t="shared" si="97"/>
        <v>0</v>
      </c>
      <c r="AT363" s="118"/>
      <c r="AU363" s="118"/>
      <c r="AV363" s="118"/>
    </row>
    <row r="364" spans="1:48" s="20" customFormat="1" x14ac:dyDescent="0.25">
      <c r="A364" s="17">
        <f>IFERROR(VLOOKUP(D364,'Monthly Deduction'!$I$3:$J$957,2,0),0)</f>
        <v>0</v>
      </c>
      <c r="B364" s="17">
        <f>IFERROR(VLOOKUP(D364,'Monthly Deduction'!$E$3:$F$957,2,0),0)</f>
        <v>0</v>
      </c>
      <c r="C364" s="17">
        <f t="shared" si="98"/>
        <v>0</v>
      </c>
      <c r="D364" s="41">
        <v>10120049</v>
      </c>
      <c r="E364" s="122" t="str">
        <f>VLOOKUP(D364,'MPG Payment '!$E$3:$G$497305,2,0)</f>
        <v>Kacha - Amarjeet</v>
      </c>
      <c r="F364" s="146">
        <f>IFERROR(_xlfn.XLOOKUP(D364,'Monthly Deduction'!$I$3:$I$957,'Monthly Deduction'!$H$3:$H$957),0)</f>
        <v>0</v>
      </c>
      <c r="G364" s="123" t="str">
        <f>VLOOKUP(D364,'MPG Payment '!$E$3:$G$333666,3,0)</f>
        <v>vlc</v>
      </c>
      <c r="H364" s="124" t="str">
        <f>VLOOKUP(D364,'MPG Payment '!$E$3:$H$333666,4,0)</f>
        <v>Indirect</v>
      </c>
      <c r="I364" s="88">
        <f>INDEX('MPG Payment '!$C:$C,MATCH('Shayak Income '!D364,'MPG Payment '!E:E,0))</f>
        <v>1012</v>
      </c>
      <c r="J364" s="88" t="str">
        <f>INDEX('MPG Payment '!$D:$D,MATCH('Shayak Income '!D364,'MPG Payment '!E:E,0))</f>
        <v>DalsinghSarai</v>
      </c>
      <c r="K364" s="125" t="s">
        <v>1594</v>
      </c>
      <c r="L364" s="125">
        <v>45058</v>
      </c>
      <c r="M364" s="126">
        <f>SUMIF('MPG Payment '!$E$3:$E$344841,'Shayak Income '!D364,'MPG Payment '!$I$3:$I$344841)</f>
        <v>1363.75</v>
      </c>
      <c r="N364" s="126">
        <f>SUMIF('MPG Payment '!$E$3:$E$344841,'Shayak Income '!D364,'MPG Payment '!$J$3:$J$344841)</f>
        <v>62034.62</v>
      </c>
      <c r="O364" s="126">
        <f t="shared" si="99"/>
        <v>1022.8125</v>
      </c>
      <c r="P364" s="126">
        <f t="shared" si="100"/>
        <v>1295.5625</v>
      </c>
      <c r="Q364" s="126">
        <f>SUMIF('MPG Payment '!$E$3:$E$344841,'Shayak Income '!D364,'MPG Payment '!$S$3:$S$344841)</f>
        <v>0</v>
      </c>
      <c r="R364" s="126">
        <f t="shared" si="91"/>
        <v>1861.0386000000001</v>
      </c>
      <c r="S364" s="126">
        <f t="shared" si="92"/>
        <v>565.47610000000009</v>
      </c>
      <c r="T364" s="126">
        <f t="shared" si="101"/>
        <v>136.375</v>
      </c>
      <c r="U364" s="127">
        <f>((((((IF(K364="New",0,SUMIF('MPG Payment '!$E$3:$E$344841,'Shayak Income '!D364,'MPG Payment '!$AC$3:$AC$344841))))+0)+0)+0)+0)+0</f>
        <v>1305.1500403670652</v>
      </c>
      <c r="V364" s="127">
        <f t="shared" si="102"/>
        <v>877</v>
      </c>
      <c r="W364" s="19">
        <f t="shared" si="106"/>
        <v>0</v>
      </c>
      <c r="X364" s="19">
        <f t="shared" si="107"/>
        <v>0</v>
      </c>
      <c r="Y364" s="128">
        <f>IFERROR(VLOOKUP(D364,'Monthly Deduction'!$M$2:$N$640,2,0),0)</f>
        <v>0</v>
      </c>
      <c r="Z364" s="128">
        <v>0</v>
      </c>
      <c r="AA364" s="126">
        <f>IFERROR(VLOOKUP(D364,'Monthly Deduction'!A:B,2,0),0)</f>
        <v>0</v>
      </c>
      <c r="AB364" s="129">
        <f t="shared" si="93"/>
        <v>877</v>
      </c>
      <c r="AC364" s="130">
        <v>0</v>
      </c>
      <c r="AD364" s="35">
        <f t="shared" si="103"/>
        <v>877</v>
      </c>
      <c r="AE364" s="166" t="str">
        <f t="shared" si="104"/>
        <v>Release</v>
      </c>
      <c r="AF364" s="127"/>
      <c r="AG364" s="18">
        <v>0</v>
      </c>
      <c r="AH364" s="120"/>
      <c r="AI364" s="238">
        <v>0</v>
      </c>
      <c r="AJ364" s="132"/>
      <c r="AK364" s="151">
        <v>265.07</v>
      </c>
      <c r="AL364" s="154">
        <f t="shared" si="94"/>
        <v>0</v>
      </c>
      <c r="AM364" s="155"/>
      <c r="AN364" s="19">
        <f t="shared" si="95"/>
        <v>0</v>
      </c>
      <c r="AO364" s="118">
        <f>SUMIF('MPG Payment '!E:E,'Shayak Income '!D364,'MPG Payment '!AJ:AJ)</f>
        <v>0</v>
      </c>
      <c r="AP364" s="19">
        <f t="shared" si="96"/>
        <v>0</v>
      </c>
      <c r="AQ364" s="119">
        <f t="shared" si="105"/>
        <v>0</v>
      </c>
      <c r="AR364" s="91" t="s">
        <v>1144</v>
      </c>
      <c r="AS364" s="91">
        <f t="shared" si="97"/>
        <v>0</v>
      </c>
      <c r="AT364" s="118"/>
      <c r="AU364" s="118"/>
      <c r="AV364" s="118"/>
    </row>
    <row r="365" spans="1:48" s="20" customFormat="1" x14ac:dyDescent="0.25">
      <c r="A365" s="17">
        <f>IFERROR(VLOOKUP(D365,'Monthly Deduction'!$I$3:$J$957,2,0),0)</f>
        <v>0</v>
      </c>
      <c r="B365" s="17">
        <f>IFERROR(VLOOKUP(D365,'Monthly Deduction'!$E$3:$F$957,2,0),0)</f>
        <v>0</v>
      </c>
      <c r="C365" s="17">
        <f t="shared" si="98"/>
        <v>0</v>
      </c>
      <c r="D365" s="41">
        <v>10120050</v>
      </c>
      <c r="E365" s="122" t="str">
        <f>VLOOKUP(D365,'MPG Payment '!$E$3:$G$497305,2,0)</f>
        <v>Simri - Suman</v>
      </c>
      <c r="F365" s="146">
        <f>IFERROR(_xlfn.XLOOKUP(D365,'Monthly Deduction'!$I$3:$I$957,'Monthly Deduction'!$H$3:$H$957),0)</f>
        <v>0</v>
      </c>
      <c r="G365" s="123" t="str">
        <f>VLOOKUP(D365,'MPG Payment '!$E$3:$G$333666,3,0)</f>
        <v>vlc</v>
      </c>
      <c r="H365" s="124" t="str">
        <f>VLOOKUP(D365,'MPG Payment '!$E$3:$H$333666,4,0)</f>
        <v>Indirect</v>
      </c>
      <c r="I365" s="88">
        <f>INDEX('MPG Payment '!$C:$C,MATCH('Shayak Income '!D365,'MPG Payment '!E:E,0))</f>
        <v>1012</v>
      </c>
      <c r="J365" s="88" t="str">
        <f>INDEX('MPG Payment '!$D:$D,MATCH('Shayak Income '!D365,'MPG Payment '!E:E,0))</f>
        <v>DalsinghSarai</v>
      </c>
      <c r="K365" s="125" t="s">
        <v>1594</v>
      </c>
      <c r="L365" s="125">
        <v>44957</v>
      </c>
      <c r="M365" s="126">
        <f>SUMIF('MPG Payment '!$E$3:$E$344841,'Shayak Income '!D365,'MPG Payment '!$I$3:$I$344841)</f>
        <v>12642.1</v>
      </c>
      <c r="N365" s="126">
        <f>SUMIF('MPG Payment '!$E$3:$E$344841,'Shayak Income '!D365,'MPG Payment '!$J$3:$J$344841)</f>
        <v>493725.93000000005</v>
      </c>
      <c r="O365" s="126">
        <f t="shared" si="99"/>
        <v>9481.5750000000007</v>
      </c>
      <c r="P365" s="126">
        <f t="shared" si="100"/>
        <v>12009.994999999999</v>
      </c>
      <c r="Q365" s="126">
        <f>SUMIF('MPG Payment '!$E$3:$E$344841,'Shayak Income '!D365,'MPG Payment '!$S$3:$S$344841)</f>
        <v>0</v>
      </c>
      <c r="R365" s="126">
        <f t="shared" si="91"/>
        <v>14811.777900000001</v>
      </c>
      <c r="S365" s="126">
        <f t="shared" si="92"/>
        <v>2801.782900000002</v>
      </c>
      <c r="T365" s="126">
        <f t="shared" si="101"/>
        <v>1264.21</v>
      </c>
      <c r="U365" s="127">
        <f>((((((IF(K365="New",0,SUMIF('MPG Payment '!$E$3:$E$344841,'Shayak Income '!D365,'MPG Payment '!$AC$3:$AC$344841))))+0)+0)+0)+0)+0</f>
        <v>0</v>
      </c>
      <c r="V365" s="127">
        <f t="shared" si="102"/>
        <v>20227</v>
      </c>
      <c r="W365" s="19">
        <f t="shared" si="106"/>
        <v>0</v>
      </c>
      <c r="X365" s="19">
        <f t="shared" si="107"/>
        <v>0</v>
      </c>
      <c r="Y365" s="128">
        <f>IFERROR(VLOOKUP(D365,'Monthly Deduction'!$M$2:$N$640,2,0),0)</f>
        <v>0</v>
      </c>
      <c r="Z365" s="128">
        <v>0</v>
      </c>
      <c r="AA365" s="126">
        <f>IFERROR(VLOOKUP(D365,'Monthly Deduction'!A:B,2,0),0)</f>
        <v>0</v>
      </c>
      <c r="AB365" s="129">
        <f t="shared" si="93"/>
        <v>20227</v>
      </c>
      <c r="AC365" s="130">
        <v>0</v>
      </c>
      <c r="AD365" s="35">
        <f t="shared" si="103"/>
        <v>20227</v>
      </c>
      <c r="AE365" s="166" t="str">
        <f t="shared" si="104"/>
        <v>Release</v>
      </c>
      <c r="AF365" s="127"/>
      <c r="AG365" s="18">
        <v>0</v>
      </c>
      <c r="AH365" s="132"/>
      <c r="AI365" s="238">
        <v>0</v>
      </c>
      <c r="AJ365" s="132"/>
      <c r="AK365" s="151">
        <v>4820</v>
      </c>
      <c r="AL365" s="154">
        <f t="shared" si="94"/>
        <v>0</v>
      </c>
      <c r="AM365" s="155"/>
      <c r="AN365" s="19">
        <f t="shared" si="95"/>
        <v>0</v>
      </c>
      <c r="AO365" s="118">
        <f>SUMIF('MPG Payment '!E:E,'Shayak Income '!D365,'MPG Payment '!AJ:AJ)</f>
        <v>0</v>
      </c>
      <c r="AP365" s="19">
        <f t="shared" si="96"/>
        <v>0</v>
      </c>
      <c r="AQ365" s="119">
        <f t="shared" si="105"/>
        <v>0</v>
      </c>
      <c r="AR365" s="91" t="s">
        <v>1144</v>
      </c>
      <c r="AS365" s="91">
        <f t="shared" si="97"/>
        <v>0</v>
      </c>
      <c r="AT365" s="118"/>
      <c r="AU365" s="118"/>
      <c r="AV365" s="118"/>
    </row>
    <row r="366" spans="1:48" s="20" customFormat="1" x14ac:dyDescent="0.25">
      <c r="A366" s="17">
        <f>IFERROR(VLOOKUP(D366,'Monthly Deduction'!$I$3:$J$957,2,0),0)</f>
        <v>45331.03284127354</v>
      </c>
      <c r="B366" s="17">
        <f>IFERROR(VLOOKUP(D366,'Monthly Deduction'!$E$3:$F$957,2,0),0)</f>
        <v>10700</v>
      </c>
      <c r="C366" s="17">
        <f t="shared" si="98"/>
        <v>56031.03284127354</v>
      </c>
      <c r="D366" s="41">
        <v>10120051</v>
      </c>
      <c r="E366" s="122" t="str">
        <f>VLOOKUP(D366,'MPG Payment '!$E$3:$G$497305,2,0)</f>
        <v>Narenpur</v>
      </c>
      <c r="F366" s="146">
        <f>IFERROR(_xlfn.XLOOKUP(D366,'Monthly Deduction'!$I$3:$I$957,'Monthly Deduction'!$H$3:$H$957),0)</f>
        <v>0</v>
      </c>
      <c r="G366" s="123" t="str">
        <f>VLOOKUP(D366,'MPG Payment '!$E$3:$G$333666,3,0)</f>
        <v>MPG</v>
      </c>
      <c r="H366" s="124" t="str">
        <f>VLOOKUP(D366,'MPG Payment '!$E$3:$H$333666,4,0)</f>
        <v>Direct</v>
      </c>
      <c r="I366" s="88">
        <f>INDEX('MPG Payment '!$C:$C,MATCH('Shayak Income '!D366,'MPG Payment '!E:E,0))</f>
        <v>1012</v>
      </c>
      <c r="J366" s="88" t="str">
        <f>INDEX('MPG Payment '!$D:$D,MATCH('Shayak Income '!D366,'MPG Payment '!E:E,0))</f>
        <v>DalsinghSarai</v>
      </c>
      <c r="K366" s="125" t="s">
        <v>1594</v>
      </c>
      <c r="L366" s="125">
        <v>45226</v>
      </c>
      <c r="M366" s="126">
        <f>SUMIF('MPG Payment '!$E$3:$E$344841,'Shayak Income '!D366,'MPG Payment '!$I$3:$I$344841)</f>
        <v>1180.75</v>
      </c>
      <c r="N366" s="126">
        <f>SUMIF('MPG Payment '!$E$3:$E$344841,'Shayak Income '!D366,'MPG Payment '!$J$3:$J$344841)</f>
        <v>49410.130000000005</v>
      </c>
      <c r="O366" s="126">
        <f t="shared" si="99"/>
        <v>885.5625</v>
      </c>
      <c r="P366" s="126">
        <f t="shared" si="100"/>
        <v>1121.7124999999999</v>
      </c>
      <c r="Q366" s="126">
        <f>SUMIF('MPG Payment '!$E$3:$E$344841,'Shayak Income '!D366,'MPG Payment '!$S$3:$S$344841)</f>
        <v>0</v>
      </c>
      <c r="R366" s="126">
        <f t="shared" si="91"/>
        <v>1482.3039000000001</v>
      </c>
      <c r="S366" s="126">
        <f t="shared" si="92"/>
        <v>360.59140000000025</v>
      </c>
      <c r="T366" s="126">
        <f t="shared" si="101"/>
        <v>118.075</v>
      </c>
      <c r="U366" s="127">
        <f>((((((IF(K366="New",0,SUMIF('MPG Payment '!$E$3:$E$344841,'Shayak Income '!D366,'MPG Payment '!$AC$3:$AC$344841))))+0)+0)+0)+0)+0</f>
        <v>1362.5796657764092</v>
      </c>
      <c r="V366" s="127">
        <f t="shared" si="102"/>
        <v>527</v>
      </c>
      <c r="W366" s="19">
        <v>527</v>
      </c>
      <c r="X366" s="19">
        <v>0</v>
      </c>
      <c r="Y366" s="128">
        <f>IFERROR(VLOOKUP(D366,'Monthly Deduction'!$M$2:$N$640,2,0),0)</f>
        <v>0</v>
      </c>
      <c r="Z366" s="128">
        <v>0</v>
      </c>
      <c r="AA366" s="126">
        <v>0</v>
      </c>
      <c r="AB366" s="129">
        <f t="shared" si="93"/>
        <v>0</v>
      </c>
      <c r="AC366" s="130">
        <v>0</v>
      </c>
      <c r="AD366" s="35">
        <f t="shared" si="103"/>
        <v>0</v>
      </c>
      <c r="AE366" s="166" t="str">
        <f t="shared" si="104"/>
        <v>Release</v>
      </c>
      <c r="AF366" s="127"/>
      <c r="AG366" s="18">
        <v>0</v>
      </c>
      <c r="AH366" s="120"/>
      <c r="AI366" s="238">
        <v>0</v>
      </c>
      <c r="AJ366" s="132"/>
      <c r="AK366" s="151">
        <v>307.36</v>
      </c>
      <c r="AL366" s="154">
        <f t="shared" si="94"/>
        <v>0</v>
      </c>
      <c r="AM366" s="155"/>
      <c r="AN366" s="19">
        <f t="shared" si="95"/>
        <v>1861</v>
      </c>
      <c r="AO366" s="118">
        <f>SUMIF('MPG Payment '!E:E,'Shayak Income '!D366,'MPG Payment '!AJ:AJ)</f>
        <v>0</v>
      </c>
      <c r="AP366" s="19">
        <f t="shared" si="96"/>
        <v>527</v>
      </c>
      <c r="AQ366" s="119">
        <f t="shared" si="105"/>
        <v>527</v>
      </c>
      <c r="AR366" s="91" t="s">
        <v>1144</v>
      </c>
      <c r="AS366" s="91">
        <f t="shared" si="97"/>
        <v>10700</v>
      </c>
      <c r="AT366" s="118"/>
      <c r="AU366" s="118"/>
      <c r="AV366" s="118"/>
    </row>
    <row r="367" spans="1:48" s="20" customFormat="1" x14ac:dyDescent="0.25">
      <c r="A367" s="17">
        <f>IFERROR(VLOOKUP(D367,'Monthly Deduction'!$I$3:$J$957,2,0),0)</f>
        <v>0</v>
      </c>
      <c r="B367" s="17">
        <f>IFERROR(VLOOKUP(D367,'Monthly Deduction'!$E$3:$F$957,2,0),0)</f>
        <v>0</v>
      </c>
      <c r="C367" s="17">
        <f t="shared" si="98"/>
        <v>0</v>
      </c>
      <c r="D367" s="41">
        <v>10120052</v>
      </c>
      <c r="E367" s="122" t="str">
        <f>VLOOKUP(D367,'MPG Payment '!$E$3:$G$497305,2,0)</f>
        <v>Mordiba</v>
      </c>
      <c r="F367" s="146">
        <f>IFERROR(_xlfn.XLOOKUP(D367,'Monthly Deduction'!$I$3:$I$957,'Monthly Deduction'!$H$3:$H$957),0)</f>
        <v>0</v>
      </c>
      <c r="G367" s="123" t="str">
        <f>VLOOKUP(D367,'MPG Payment '!$E$3:$G$333666,3,0)</f>
        <v>MPG</v>
      </c>
      <c r="H367" s="124" t="str">
        <f>VLOOKUP(D367,'MPG Payment '!$E$3:$H$333666,4,0)</f>
        <v>Direct</v>
      </c>
      <c r="I367" s="88">
        <f>INDEX('MPG Payment '!$C:$C,MATCH('Shayak Income '!D367,'MPG Payment '!E:E,0))</f>
        <v>1012</v>
      </c>
      <c r="J367" s="88" t="str">
        <f>INDEX('MPG Payment '!$D:$D,MATCH('Shayak Income '!D367,'MPG Payment '!E:E,0))</f>
        <v>DalsinghSarai</v>
      </c>
      <c r="K367" s="125" t="s">
        <v>1594</v>
      </c>
      <c r="L367" s="125">
        <v>45240</v>
      </c>
      <c r="M367" s="126">
        <f>SUMIF('MPG Payment '!$E$3:$E$344841,'Shayak Income '!D367,'MPG Payment '!$I$3:$I$344841)</f>
        <v>6645.7100000000009</v>
      </c>
      <c r="N367" s="126">
        <f>SUMIF('MPG Payment '!$E$3:$E$344841,'Shayak Income '!D367,'MPG Payment '!$J$3:$J$344841)</f>
        <v>268248.87</v>
      </c>
      <c r="O367" s="126">
        <f t="shared" si="99"/>
        <v>4984.2825000000012</v>
      </c>
      <c r="P367" s="126">
        <f t="shared" si="100"/>
        <v>6313.424500000001</v>
      </c>
      <c r="Q367" s="126">
        <f>SUMIF('MPG Payment '!$E$3:$E$344841,'Shayak Income '!D367,'MPG Payment '!$S$3:$S$344841)</f>
        <v>603.66999999999996</v>
      </c>
      <c r="R367" s="126">
        <f t="shared" si="91"/>
        <v>8047.4660999999996</v>
      </c>
      <c r="S367" s="126">
        <f t="shared" si="92"/>
        <v>1734.0415999999987</v>
      </c>
      <c r="T367" s="126">
        <f t="shared" si="101"/>
        <v>664.57100000000014</v>
      </c>
      <c r="U367" s="127">
        <f>((((((IF(K367="New",0,SUMIF('MPG Payment '!$E$3:$E$344841,'Shayak Income '!D367,'MPG Payment '!$AC$3:$AC$344841))))+0)+0)+0)+0)+0</f>
        <v>0</v>
      </c>
      <c r="V367" s="127">
        <f t="shared" si="102"/>
        <v>11237</v>
      </c>
      <c r="W367" s="19">
        <f t="shared" si="106"/>
        <v>0</v>
      </c>
      <c r="X367" s="19">
        <f t="shared" si="107"/>
        <v>0</v>
      </c>
      <c r="Y367" s="128">
        <f>IFERROR(VLOOKUP(D367,'Monthly Deduction'!$M$2:$N$640,2,0),0)</f>
        <v>0</v>
      </c>
      <c r="Z367" s="128">
        <v>0</v>
      </c>
      <c r="AA367" s="126">
        <f>IFERROR(VLOOKUP(D367,'Monthly Deduction'!A:B,2,0),0)</f>
        <v>274.5</v>
      </c>
      <c r="AB367" s="129">
        <f t="shared" si="93"/>
        <v>10963</v>
      </c>
      <c r="AC367" s="130">
        <v>0</v>
      </c>
      <c r="AD367" s="35">
        <f t="shared" si="103"/>
        <v>10963</v>
      </c>
      <c r="AE367" s="166" t="str">
        <f t="shared" si="104"/>
        <v>Release</v>
      </c>
      <c r="AF367" s="127"/>
      <c r="AG367" s="127">
        <v>0</v>
      </c>
      <c r="AH367" s="120"/>
      <c r="AI367" s="238">
        <v>0</v>
      </c>
      <c r="AJ367" s="132"/>
      <c r="AK367" s="151">
        <v>1288.43</v>
      </c>
      <c r="AL367" s="154">
        <f t="shared" si="94"/>
        <v>0</v>
      </c>
      <c r="AM367" s="155"/>
      <c r="AN367" s="19">
        <f t="shared" si="95"/>
        <v>0</v>
      </c>
      <c r="AO367" s="118">
        <f>SUMIF('MPG Payment '!E:E,'Shayak Income '!D367,'MPG Payment '!AJ:AJ)</f>
        <v>0</v>
      </c>
      <c r="AP367" s="19">
        <f t="shared" si="96"/>
        <v>0</v>
      </c>
      <c r="AQ367" s="119">
        <f t="shared" si="105"/>
        <v>0</v>
      </c>
      <c r="AR367" s="91" t="s">
        <v>1144</v>
      </c>
      <c r="AS367" s="91">
        <f t="shared" si="97"/>
        <v>0</v>
      </c>
      <c r="AT367" s="118"/>
      <c r="AU367" s="118"/>
      <c r="AV367" s="118"/>
    </row>
    <row r="368" spans="1:48" s="20" customFormat="1" x14ac:dyDescent="0.25">
      <c r="A368" s="17">
        <f>IFERROR(VLOOKUP(D368,'Monthly Deduction'!$I$3:$J$957,2,0),0)</f>
        <v>51433.627188145634</v>
      </c>
      <c r="B368" s="17">
        <f>IFERROR(VLOOKUP(D368,'Monthly Deduction'!$E$3:$F$957,2,0),0)</f>
        <v>9600</v>
      </c>
      <c r="C368" s="17">
        <f t="shared" si="98"/>
        <v>61033.627188145634</v>
      </c>
      <c r="D368" s="41">
        <v>10120053</v>
      </c>
      <c r="E368" s="122" t="str">
        <f>VLOOKUP(D368,'MPG Payment '!$E$3:$G$497305,2,0)</f>
        <v>Jagdispur</v>
      </c>
      <c r="F368" s="146">
        <f>IFERROR(_xlfn.XLOOKUP(D368,'Monthly Deduction'!$I$3:$I$957,'Monthly Deduction'!$H$3:$H$957),0)</f>
        <v>0</v>
      </c>
      <c r="G368" s="123" t="str">
        <f>VLOOKUP(D368,'MPG Payment '!$E$3:$G$333666,3,0)</f>
        <v>MPG</v>
      </c>
      <c r="H368" s="124" t="str">
        <f>VLOOKUP(D368,'MPG Payment '!$E$3:$H$333666,4,0)</f>
        <v>Direct</v>
      </c>
      <c r="I368" s="88">
        <f>INDEX('MPG Payment '!$C:$C,MATCH('Shayak Income '!D368,'MPG Payment '!E:E,0))</f>
        <v>1012</v>
      </c>
      <c r="J368" s="88" t="str">
        <f>INDEX('MPG Payment '!$D:$D,MATCH('Shayak Income '!D368,'MPG Payment '!E:E,0))</f>
        <v>DalsinghSarai</v>
      </c>
      <c r="K368" s="125" t="s">
        <v>1594</v>
      </c>
      <c r="L368" s="125">
        <v>45226</v>
      </c>
      <c r="M368" s="126">
        <f>SUMIF('MPG Payment '!$E$3:$E$344841,'Shayak Income '!D368,'MPG Payment '!$I$3:$I$344841)</f>
        <v>738.34</v>
      </c>
      <c r="N368" s="126">
        <f>SUMIF('MPG Payment '!$E$3:$E$344841,'Shayak Income '!D368,'MPG Payment '!$J$3:$J$344841)</f>
        <v>29235.45</v>
      </c>
      <c r="O368" s="126">
        <f t="shared" si="99"/>
        <v>553.755</v>
      </c>
      <c r="P368" s="126">
        <f t="shared" si="100"/>
        <v>701.423</v>
      </c>
      <c r="Q368" s="126">
        <f>SUMIF('MPG Payment '!$E$3:$E$344841,'Shayak Income '!D368,'MPG Payment '!$S$3:$S$344841)</f>
        <v>0</v>
      </c>
      <c r="R368" s="126">
        <f t="shared" si="91"/>
        <v>877.06349999999998</v>
      </c>
      <c r="S368" s="126">
        <f t="shared" si="92"/>
        <v>175.64049999999997</v>
      </c>
      <c r="T368" s="126">
        <f t="shared" si="101"/>
        <v>73.834000000000003</v>
      </c>
      <c r="U368" s="127">
        <f>((((((IF(K368="New",0,SUMIF('MPG Payment '!$E$3:$E$344841,'Shayak Income '!D368,'MPG Payment '!$AC$3:$AC$344841))))+0)+0)+0)+0)+-453</f>
        <v>1181.4662798148959</v>
      </c>
      <c r="V368" s="127">
        <f t="shared" si="102"/>
        <v>0</v>
      </c>
      <c r="W368" s="19">
        <v>0</v>
      </c>
      <c r="X368" s="19">
        <v>0</v>
      </c>
      <c r="Y368" s="128">
        <v>0</v>
      </c>
      <c r="Z368" s="128">
        <v>0</v>
      </c>
      <c r="AA368" s="126">
        <v>0</v>
      </c>
      <c r="AB368" s="129">
        <f t="shared" si="93"/>
        <v>0</v>
      </c>
      <c r="AC368" s="130">
        <v>0</v>
      </c>
      <c r="AD368" s="35">
        <f t="shared" si="103"/>
        <v>0</v>
      </c>
      <c r="AE368" s="166" t="str">
        <f t="shared" si="104"/>
        <v>Release</v>
      </c>
      <c r="AF368" s="127"/>
      <c r="AG368" s="18">
        <v>0</v>
      </c>
      <c r="AH368" s="120"/>
      <c r="AI368" s="238">
        <v>0</v>
      </c>
      <c r="AJ368" s="132"/>
      <c r="AK368" s="151">
        <v>138.41999999999999</v>
      </c>
      <c r="AL368" s="154">
        <f t="shared" si="94"/>
        <v>0</v>
      </c>
      <c r="AM368" s="155"/>
      <c r="AN368" s="19">
        <f t="shared" si="95"/>
        <v>1861</v>
      </c>
      <c r="AO368" s="118">
        <f>SUMIF('MPG Payment '!E:E,'Shayak Income '!D368,'MPG Payment '!AJ:AJ)</f>
        <v>0</v>
      </c>
      <c r="AP368" s="19">
        <f t="shared" si="96"/>
        <v>0</v>
      </c>
      <c r="AQ368" s="119">
        <f t="shared" si="105"/>
        <v>0</v>
      </c>
      <c r="AR368" s="91" t="s">
        <v>1144</v>
      </c>
      <c r="AS368" s="91">
        <f t="shared" si="97"/>
        <v>9600</v>
      </c>
      <c r="AT368" s="118"/>
      <c r="AU368" s="118"/>
      <c r="AV368" s="118"/>
    </row>
    <row r="369" spans="1:48" s="20" customFormat="1" x14ac:dyDescent="0.25">
      <c r="A369" s="17">
        <f>IFERROR(VLOOKUP(D369,'Monthly Deduction'!$I$3:$J$957,2,0),0)</f>
        <v>0</v>
      </c>
      <c r="B369" s="17">
        <f>IFERROR(VLOOKUP(D369,'Monthly Deduction'!$E$3:$F$957,2,0),0)</f>
        <v>0</v>
      </c>
      <c r="C369" s="17">
        <f t="shared" si="98"/>
        <v>0</v>
      </c>
      <c r="D369" s="41">
        <v>10120060</v>
      </c>
      <c r="E369" s="122" t="str">
        <f>VLOOKUP(D369,'MPG Payment '!$E$3:$G$497305,2,0)</f>
        <v>Chaklal Sahi_Vikrant</v>
      </c>
      <c r="F369" s="146">
        <f>IFERROR(_xlfn.XLOOKUP(D369,'Monthly Deduction'!$I$3:$I$957,'Monthly Deduction'!$H$3:$H$957),0)</f>
        <v>0</v>
      </c>
      <c r="G369" s="123" t="str">
        <f>VLOOKUP(D369,'MPG Payment '!$E$3:$G$333666,3,0)</f>
        <v>vlc</v>
      </c>
      <c r="H369" s="124" t="str">
        <f>VLOOKUP(D369,'MPG Payment '!$E$3:$H$333666,4,0)</f>
        <v>Indirect</v>
      </c>
      <c r="I369" s="88">
        <f>INDEX('MPG Payment '!$C:$C,MATCH('Shayak Income '!D369,'MPG Payment '!E:E,0))</f>
        <v>1012</v>
      </c>
      <c r="J369" s="88" t="str">
        <f>INDEX('MPG Payment '!$D:$D,MATCH('Shayak Income '!D369,'MPG Payment '!E:E,0))</f>
        <v>DalsinghSarai</v>
      </c>
      <c r="K369" s="125" t="s">
        <v>1594</v>
      </c>
      <c r="L369" s="125">
        <v>45260</v>
      </c>
      <c r="M369" s="126">
        <f>SUMIF('MPG Payment '!$E$3:$E$344841,'Shayak Income '!D369,'MPG Payment '!$I$3:$I$344841)</f>
        <v>12707.75</v>
      </c>
      <c r="N369" s="126">
        <f>SUMIF('MPG Payment '!$E$3:$E$344841,'Shayak Income '!D369,'MPG Payment '!$J$3:$J$344841)</f>
        <v>492565.89</v>
      </c>
      <c r="O369" s="126">
        <f t="shared" si="99"/>
        <v>9530.8125</v>
      </c>
      <c r="P369" s="126">
        <f t="shared" si="100"/>
        <v>12072.362499999999</v>
      </c>
      <c r="Q369" s="126">
        <f>SUMIF('MPG Payment '!$E$3:$E$344841,'Shayak Income '!D369,'MPG Payment '!$S$3:$S$344841)</f>
        <v>0</v>
      </c>
      <c r="R369" s="126">
        <f t="shared" si="91"/>
        <v>14776.976699999999</v>
      </c>
      <c r="S369" s="126">
        <f t="shared" si="92"/>
        <v>2704.6142</v>
      </c>
      <c r="T369" s="126">
        <f t="shared" si="101"/>
        <v>1270.7750000000001</v>
      </c>
      <c r="U369" s="127">
        <f>((((((IF(K369="New",0,SUMIF('MPG Payment '!$E$3:$E$344841,'Shayak Income '!D369,'MPG Payment '!$AC$3:$AC$344841))))+0)+0)+0)+0)+0</f>
        <v>0</v>
      </c>
      <c r="V369" s="127">
        <f t="shared" si="102"/>
        <v>20332</v>
      </c>
      <c r="W369" s="19">
        <f t="shared" si="106"/>
        <v>0</v>
      </c>
      <c r="X369" s="19">
        <f t="shared" si="107"/>
        <v>0</v>
      </c>
      <c r="Y369" s="128">
        <f>IFERROR(VLOOKUP(D369,'Monthly Deduction'!$M$2:$N$640,2,0),0)</f>
        <v>0</v>
      </c>
      <c r="Z369" s="128">
        <v>0</v>
      </c>
      <c r="AA369" s="126">
        <f>IFERROR(VLOOKUP(D369,'Monthly Deduction'!A:B,2,0),0)</f>
        <v>0</v>
      </c>
      <c r="AB369" s="129">
        <f t="shared" si="93"/>
        <v>20332</v>
      </c>
      <c r="AC369" s="130">
        <v>0</v>
      </c>
      <c r="AD369" s="35">
        <f t="shared" si="103"/>
        <v>20332</v>
      </c>
      <c r="AE369" s="166" t="str">
        <f t="shared" si="104"/>
        <v>Release</v>
      </c>
      <c r="AF369" s="127"/>
      <c r="AG369" s="18">
        <v>0</v>
      </c>
      <c r="AH369" s="120"/>
      <c r="AI369" s="238">
        <v>0</v>
      </c>
      <c r="AJ369" s="132"/>
      <c r="AK369" s="151">
        <v>5370</v>
      </c>
      <c r="AL369" s="154">
        <f t="shared" si="94"/>
        <v>0</v>
      </c>
      <c r="AM369" s="155"/>
      <c r="AN369" s="19">
        <f t="shared" si="95"/>
        <v>0</v>
      </c>
      <c r="AO369" s="118">
        <f>SUMIF('MPG Payment '!E:E,'Shayak Income '!D369,'MPG Payment '!AJ:AJ)</f>
        <v>0</v>
      </c>
      <c r="AP369" s="19">
        <f t="shared" si="96"/>
        <v>0</v>
      </c>
      <c r="AQ369" s="119">
        <f t="shared" si="105"/>
        <v>0</v>
      </c>
      <c r="AR369" s="91" t="s">
        <v>1144</v>
      </c>
      <c r="AS369" s="91">
        <f t="shared" si="97"/>
        <v>0</v>
      </c>
      <c r="AT369" s="118"/>
      <c r="AU369" s="118"/>
      <c r="AV369" s="118"/>
    </row>
    <row r="370" spans="1:48" s="20" customFormat="1" x14ac:dyDescent="0.25">
      <c r="A370" s="17">
        <f>IFERROR(VLOOKUP(D370,'Monthly Deduction'!$I$3:$J$957,2,0),0)</f>
        <v>0</v>
      </c>
      <c r="B370" s="17">
        <f>IFERROR(VLOOKUP(D370,'Monthly Deduction'!$E$3:$F$957,2,0),0)</f>
        <v>0</v>
      </c>
      <c r="C370" s="17">
        <f t="shared" si="98"/>
        <v>0</v>
      </c>
      <c r="D370" s="41">
        <v>10120066</v>
      </c>
      <c r="E370" s="122" t="str">
        <f>VLOOKUP(D370,'MPG Payment '!$E$3:$G$497305,2,0)</f>
        <v>Piparpaati</v>
      </c>
      <c r="F370" s="146">
        <f>IFERROR(_xlfn.XLOOKUP(D370,'Monthly Deduction'!$I$3:$I$957,'Monthly Deduction'!$H$3:$H$957),0)</f>
        <v>0</v>
      </c>
      <c r="G370" s="123" t="str">
        <f>VLOOKUP(D370,'MPG Payment '!$E$3:$G$333666,3,0)</f>
        <v>vlc</v>
      </c>
      <c r="H370" s="124" t="str">
        <f>VLOOKUP(D370,'MPG Payment '!$E$3:$H$333666,4,0)</f>
        <v>Indirect</v>
      </c>
      <c r="I370" s="88">
        <f>INDEX('MPG Payment '!$C:$C,MATCH('Shayak Income '!D370,'MPG Payment '!E:E,0))</f>
        <v>1012</v>
      </c>
      <c r="J370" s="88" t="str">
        <f>INDEX('MPG Payment '!$D:$D,MATCH('Shayak Income '!D370,'MPG Payment '!E:E,0))</f>
        <v>DalsinghSarai</v>
      </c>
      <c r="K370" s="125" t="s">
        <v>1594</v>
      </c>
      <c r="L370" s="125">
        <v>45323</v>
      </c>
      <c r="M370" s="126">
        <f>SUMIF('MPG Payment '!$E$3:$E$344841,'Shayak Income '!D370,'MPG Payment '!$I$3:$I$344841)</f>
        <v>62.099999999999994</v>
      </c>
      <c r="N370" s="126">
        <f>SUMIF('MPG Payment '!$E$3:$E$344841,'Shayak Income '!D370,'MPG Payment '!$J$3:$J$344841)</f>
        <v>2363.1600000000003</v>
      </c>
      <c r="O370" s="126">
        <f t="shared" si="99"/>
        <v>46.574999999999996</v>
      </c>
      <c r="P370" s="126">
        <f t="shared" si="100"/>
        <v>58.99499999999999</v>
      </c>
      <c r="Q370" s="126">
        <f>SUMIF('MPG Payment '!$E$3:$E$344841,'Shayak Income '!D370,'MPG Payment '!$S$3:$S$344841)</f>
        <v>0</v>
      </c>
      <c r="R370" s="126">
        <f t="shared" si="91"/>
        <v>70.894800000000004</v>
      </c>
      <c r="S370" s="126">
        <f t="shared" si="92"/>
        <v>11.899800000000013</v>
      </c>
      <c r="T370" s="126">
        <f t="shared" si="101"/>
        <v>6.21</v>
      </c>
      <c r="U370" s="127">
        <f>((((((IF(K370="New",0,SUMIF('MPG Payment '!$E$3:$E$344841,'Shayak Income '!D370,'MPG Payment '!$AC$3:$AC$344841))))+0)+0)+0)+0)+-891</f>
        <v>99.06295384615396</v>
      </c>
      <c r="V370" s="127">
        <f t="shared" si="102"/>
        <v>0</v>
      </c>
      <c r="W370" s="19">
        <v>0</v>
      </c>
      <c r="X370" s="19">
        <v>0</v>
      </c>
      <c r="Y370" s="128">
        <v>0</v>
      </c>
      <c r="Z370" s="128">
        <v>0</v>
      </c>
      <c r="AA370" s="126">
        <v>0</v>
      </c>
      <c r="AB370" s="129">
        <f t="shared" si="93"/>
        <v>0</v>
      </c>
      <c r="AC370" s="130">
        <f>AB370</f>
        <v>0</v>
      </c>
      <c r="AD370" s="35">
        <f t="shared" si="103"/>
        <v>0</v>
      </c>
      <c r="AE370" s="166" t="str">
        <f t="shared" si="104"/>
        <v>Release</v>
      </c>
      <c r="AF370" s="127"/>
      <c r="AG370" s="18">
        <v>0</v>
      </c>
      <c r="AH370" s="132" t="s">
        <v>1597</v>
      </c>
      <c r="AI370" s="238">
        <v>0</v>
      </c>
      <c r="AJ370" s="132"/>
      <c r="AK370" s="151">
        <v>0</v>
      </c>
      <c r="AL370" s="154">
        <f t="shared" si="94"/>
        <v>0</v>
      </c>
      <c r="AM370" s="155"/>
      <c r="AN370" s="19">
        <f t="shared" si="95"/>
        <v>0</v>
      </c>
      <c r="AO370" s="118">
        <f>SUMIF('MPG Payment '!E:E,'Shayak Income '!D370,'MPG Payment '!AJ:AJ)</f>
        <v>0</v>
      </c>
      <c r="AP370" s="19">
        <f t="shared" si="96"/>
        <v>0</v>
      </c>
      <c r="AQ370" s="119">
        <f t="shared" si="105"/>
        <v>0</v>
      </c>
      <c r="AR370" s="91" t="s">
        <v>1144</v>
      </c>
      <c r="AS370" s="91">
        <f t="shared" si="97"/>
        <v>0</v>
      </c>
      <c r="AT370" s="118"/>
      <c r="AU370" s="118"/>
      <c r="AV370" s="118"/>
    </row>
    <row r="371" spans="1:48" s="20" customFormat="1" x14ac:dyDescent="0.25">
      <c r="A371" s="17">
        <f>IFERROR(VLOOKUP(D371,'Monthly Deduction'!$I$3:$J$957,2,0),0)</f>
        <v>37857.600680005518</v>
      </c>
      <c r="B371" s="17">
        <f>IFERROR(VLOOKUP(D371,'Monthly Deduction'!$E$3:$F$957,2,0),0)</f>
        <v>0</v>
      </c>
      <c r="C371" s="17">
        <f t="shared" si="98"/>
        <v>37857.600680005518</v>
      </c>
      <c r="D371" s="41">
        <v>10120071</v>
      </c>
      <c r="E371" s="122" t="str">
        <f>VLOOKUP(D371,'MPG Payment '!$E$3:$G$497305,2,0)</f>
        <v>Suratpur</v>
      </c>
      <c r="F371" s="146">
        <f>IFERROR(_xlfn.XLOOKUP(D371,'Monthly Deduction'!$I$3:$I$957,'Monthly Deduction'!$H$3:$H$957),0)</f>
        <v>0</v>
      </c>
      <c r="G371" s="123" t="str">
        <f>VLOOKUP(D371,'MPG Payment '!$E$3:$G$333666,3,0)</f>
        <v>MPG</v>
      </c>
      <c r="H371" s="124" t="str">
        <f>VLOOKUP(D371,'MPG Payment '!$E$3:$H$333666,4,0)</f>
        <v>Direct</v>
      </c>
      <c r="I371" s="88">
        <f>INDEX('MPG Payment '!$C:$C,MATCH('Shayak Income '!D371,'MPG Payment '!E:E,0))</f>
        <v>1012</v>
      </c>
      <c r="J371" s="88" t="str">
        <f>INDEX('MPG Payment '!$D:$D,MATCH('Shayak Income '!D371,'MPG Payment '!E:E,0))</f>
        <v>DalsinghSarai</v>
      </c>
      <c r="K371" s="125" t="s">
        <v>1594</v>
      </c>
      <c r="L371" s="125">
        <v>45413</v>
      </c>
      <c r="M371" s="126">
        <f>SUMIF('MPG Payment '!$E$3:$E$344841,'Shayak Income '!D371,'MPG Payment '!$I$3:$I$344841)</f>
        <v>4143.67</v>
      </c>
      <c r="N371" s="126">
        <f>SUMIF('MPG Payment '!$E$3:$E$344841,'Shayak Income '!D371,'MPG Payment '!$J$3:$J$344841)</f>
        <v>164901.41</v>
      </c>
      <c r="O371" s="126">
        <f t="shared" si="99"/>
        <v>3107.7525000000001</v>
      </c>
      <c r="P371" s="126">
        <f t="shared" si="100"/>
        <v>3936.4865</v>
      </c>
      <c r="Q371" s="126">
        <f>SUMIF('MPG Payment '!$E$3:$E$344841,'Shayak Income '!D371,'MPG Payment '!$S$3:$S$344841)</f>
        <v>359.07000000000005</v>
      </c>
      <c r="R371" s="126">
        <f t="shared" si="91"/>
        <v>4947.0423000000001</v>
      </c>
      <c r="S371" s="126">
        <f t="shared" si="92"/>
        <v>1010.5558000000001</v>
      </c>
      <c r="T371" s="126">
        <f t="shared" si="101"/>
        <v>414.36700000000002</v>
      </c>
      <c r="U371" s="127">
        <f>((((((IF(K371="New",0,SUMIF('MPG Payment '!$E$3:$E$344841,'Shayak Income '!D371,'MPG Payment '!$AC$3:$AC$344841))))+0)+0)+0)+0)+0</f>
        <v>0</v>
      </c>
      <c r="V371" s="127">
        <f t="shared" si="102"/>
        <v>6989</v>
      </c>
      <c r="W371" s="19">
        <f t="shared" si="106"/>
        <v>3298.0282000000002</v>
      </c>
      <c r="X371" s="19">
        <v>0</v>
      </c>
      <c r="Y371" s="128">
        <f>IFERROR(VLOOKUP(D371,'Monthly Deduction'!$M$2:$N$640,2,0),0)</f>
        <v>0</v>
      </c>
      <c r="Z371" s="128">
        <v>413</v>
      </c>
      <c r="AA371" s="126">
        <f>IFERROR(VLOOKUP(D371,'Monthly Deduction'!A:B,2,0),0)</f>
        <v>0</v>
      </c>
      <c r="AB371" s="129">
        <f t="shared" si="93"/>
        <v>3278</v>
      </c>
      <c r="AC371" s="130">
        <v>0</v>
      </c>
      <c r="AD371" s="35">
        <f t="shared" si="103"/>
        <v>3278</v>
      </c>
      <c r="AE371" s="166" t="str">
        <f t="shared" si="104"/>
        <v>Release</v>
      </c>
      <c r="AF371" s="127"/>
      <c r="AG371" s="18">
        <v>0</v>
      </c>
      <c r="AH371" s="132" t="s">
        <v>1680</v>
      </c>
      <c r="AI371" s="238">
        <v>0</v>
      </c>
      <c r="AJ371" s="132"/>
      <c r="AK371" s="151">
        <v>883.8</v>
      </c>
      <c r="AL371" s="154">
        <f t="shared" si="94"/>
        <v>0</v>
      </c>
      <c r="AM371" s="155"/>
      <c r="AN371" s="19">
        <f t="shared" si="95"/>
        <v>3298.0282000000002</v>
      </c>
      <c r="AO371" s="118">
        <f>SUMIF('MPG Payment '!E:E,'Shayak Income '!D371,'MPG Payment '!AJ:AJ)</f>
        <v>0</v>
      </c>
      <c r="AP371" s="19">
        <f t="shared" si="96"/>
        <v>3298.0282000000002</v>
      </c>
      <c r="AQ371" s="119">
        <f t="shared" si="105"/>
        <v>3298.0282000000002</v>
      </c>
      <c r="AR371" s="91" t="s">
        <v>1144</v>
      </c>
      <c r="AS371" s="91">
        <f t="shared" si="97"/>
        <v>0</v>
      </c>
      <c r="AT371" s="118"/>
      <c r="AU371" s="118"/>
      <c r="AV371" s="118"/>
    </row>
    <row r="372" spans="1:48" s="20" customFormat="1" x14ac:dyDescent="0.25">
      <c r="A372" s="17">
        <f>IFERROR(VLOOKUP(D372,'Monthly Deduction'!$I$3:$J$957,2,0),0)</f>
        <v>9758.3246389383858</v>
      </c>
      <c r="B372" s="17">
        <f>IFERROR(VLOOKUP(D372,'Monthly Deduction'!$E$3:$F$957,2,0),0)</f>
        <v>16000</v>
      </c>
      <c r="C372" s="17">
        <f t="shared" si="98"/>
        <v>25758.324638938386</v>
      </c>
      <c r="D372" s="41">
        <v>10120083</v>
      </c>
      <c r="E372" s="122" t="str">
        <f>VLOOKUP(D372,'MPG Payment '!$E$3:$G$497305,2,0)</f>
        <v>Beri</v>
      </c>
      <c r="F372" s="146">
        <f>IFERROR(_xlfn.XLOOKUP(D372,'Monthly Deduction'!$I$3:$I$957,'Monthly Deduction'!$H$3:$H$957),0)</f>
        <v>0</v>
      </c>
      <c r="G372" s="123" t="str">
        <f>VLOOKUP(D372,'MPG Payment '!$E$3:$G$333666,3,0)</f>
        <v>MPG</v>
      </c>
      <c r="H372" s="124" t="str">
        <f>VLOOKUP(D372,'MPG Payment '!$E$3:$H$333666,4,0)</f>
        <v>Direct</v>
      </c>
      <c r="I372" s="88">
        <f>INDEX('MPG Payment '!$C:$C,MATCH('Shayak Income '!D372,'MPG Payment '!E:E,0))</f>
        <v>1012</v>
      </c>
      <c r="J372" s="88" t="str">
        <f>INDEX('MPG Payment '!$D:$D,MATCH('Shayak Income '!D372,'MPG Payment '!E:E,0))</f>
        <v>DalsinghSarai</v>
      </c>
      <c r="K372" s="125" t="s">
        <v>1594</v>
      </c>
      <c r="L372" s="125">
        <v>45530</v>
      </c>
      <c r="M372" s="126">
        <f>SUMIF('MPG Payment '!$E$3:$E$344841,'Shayak Income '!D372,'MPG Payment '!$I$3:$I$344841)</f>
        <v>1002.5999999999999</v>
      </c>
      <c r="N372" s="126">
        <f>SUMIF('MPG Payment '!$E$3:$E$344841,'Shayak Income '!D372,'MPG Payment '!$J$3:$J$344841)</f>
        <v>42728.02</v>
      </c>
      <c r="O372" s="126">
        <f t="shared" si="99"/>
        <v>751.94999999999993</v>
      </c>
      <c r="P372" s="126">
        <f t="shared" si="100"/>
        <v>952.46999999999991</v>
      </c>
      <c r="Q372" s="126">
        <f>SUMIF('MPG Payment '!$E$3:$E$344841,'Shayak Income '!D372,'MPG Payment '!$S$3:$S$344841)</f>
        <v>0</v>
      </c>
      <c r="R372" s="126">
        <f t="shared" si="91"/>
        <v>1281.8405999999998</v>
      </c>
      <c r="S372" s="126">
        <f t="shared" si="92"/>
        <v>329.37059999999985</v>
      </c>
      <c r="T372" s="126">
        <f t="shared" si="101"/>
        <v>100.25999999999999</v>
      </c>
      <c r="U372" s="127">
        <f>((((((IF(K372="New",0,SUMIF('MPG Payment '!$E$3:$E$344841,'Shayak Income '!D372,'MPG Payment '!$AC$3:$AC$344841))))+0)+0)+0)+0)+-193</f>
        <v>1604.1725625593247</v>
      </c>
      <c r="V372" s="127">
        <f t="shared" si="102"/>
        <v>0</v>
      </c>
      <c r="W372" s="19">
        <v>0</v>
      </c>
      <c r="X372" s="19">
        <v>0</v>
      </c>
      <c r="Y372" s="128">
        <v>0</v>
      </c>
      <c r="Z372" s="128">
        <v>0</v>
      </c>
      <c r="AA372" s="126">
        <v>0</v>
      </c>
      <c r="AB372" s="129">
        <f t="shared" si="93"/>
        <v>0</v>
      </c>
      <c r="AC372" s="130">
        <f>AB372</f>
        <v>0</v>
      </c>
      <c r="AD372" s="35">
        <f t="shared" si="103"/>
        <v>0</v>
      </c>
      <c r="AE372" s="166" t="str">
        <f t="shared" si="104"/>
        <v>Release</v>
      </c>
      <c r="AF372" s="127"/>
      <c r="AG372" s="127">
        <v>0</v>
      </c>
      <c r="AH372" s="132" t="s">
        <v>1597</v>
      </c>
      <c r="AI372" s="238">
        <v>0</v>
      </c>
      <c r="AJ372" s="132"/>
      <c r="AK372" s="151">
        <v>0</v>
      </c>
      <c r="AL372" s="154">
        <f t="shared" si="94"/>
        <v>0</v>
      </c>
      <c r="AM372" s="155"/>
      <c r="AN372" s="19">
        <f t="shared" si="95"/>
        <v>1861</v>
      </c>
      <c r="AO372" s="118">
        <f>SUMIF('MPG Payment '!E:E,'Shayak Income '!D372,'MPG Payment '!AJ:AJ)</f>
        <v>0</v>
      </c>
      <c r="AP372" s="19">
        <f t="shared" si="96"/>
        <v>0</v>
      </c>
      <c r="AQ372" s="119">
        <f t="shared" si="105"/>
        <v>0</v>
      </c>
      <c r="AR372" s="91" t="s">
        <v>1144</v>
      </c>
      <c r="AS372" s="91">
        <f t="shared" si="97"/>
        <v>16000</v>
      </c>
      <c r="AT372" s="118"/>
      <c r="AU372" s="118"/>
      <c r="AV372" s="118"/>
    </row>
    <row r="373" spans="1:48" s="20" customFormat="1" x14ac:dyDescent="0.25">
      <c r="A373" s="17">
        <f>IFERROR(VLOOKUP(D373,'Monthly Deduction'!$I$3:$J$957,2,0),0)</f>
        <v>0</v>
      </c>
      <c r="B373" s="17">
        <f>IFERROR(VLOOKUP(D373,'Monthly Deduction'!$E$3:$F$957,2,0),0)</f>
        <v>4986.1544731430786</v>
      </c>
      <c r="C373" s="17">
        <f t="shared" si="98"/>
        <v>4986.1544731430786</v>
      </c>
      <c r="D373" s="41">
        <v>10120084</v>
      </c>
      <c r="E373" s="122" t="str">
        <f>VLOOKUP(D373,'MPG Payment '!$E$3:$G$497305,2,0)</f>
        <v>Mahmmadipur</v>
      </c>
      <c r="F373" s="146">
        <f>IFERROR(_xlfn.XLOOKUP(D373,'Monthly Deduction'!$I$3:$I$957,'Monthly Deduction'!$H$3:$H$957),0)</f>
        <v>0</v>
      </c>
      <c r="G373" s="123" t="str">
        <f>VLOOKUP(D373,'MPG Payment '!$E$3:$G$333666,3,0)</f>
        <v>MPG</v>
      </c>
      <c r="H373" s="124" t="str">
        <f>VLOOKUP(D373,'MPG Payment '!$E$3:$H$333666,4,0)</f>
        <v>Direct</v>
      </c>
      <c r="I373" s="88">
        <f>INDEX('MPG Payment '!$C:$C,MATCH('Shayak Income '!D373,'MPG Payment '!E:E,0))</f>
        <v>1012</v>
      </c>
      <c r="J373" s="88" t="str">
        <f>INDEX('MPG Payment '!$D:$D,MATCH('Shayak Income '!D373,'MPG Payment '!E:E,0))</f>
        <v>DalsinghSarai</v>
      </c>
      <c r="K373" s="125" t="s">
        <v>1594</v>
      </c>
      <c r="L373" s="125">
        <v>45536</v>
      </c>
      <c r="M373" s="126">
        <f>SUMIF('MPG Payment '!$E$3:$E$344841,'Shayak Income '!D373,'MPG Payment '!$I$3:$I$344841)</f>
        <v>10001.180000000002</v>
      </c>
      <c r="N373" s="126">
        <f>SUMIF('MPG Payment '!$E$3:$E$344841,'Shayak Income '!D373,'MPG Payment '!$J$3:$J$344841)</f>
        <v>513784.53</v>
      </c>
      <c r="O373" s="126">
        <f t="shared" si="99"/>
        <v>7500.885000000002</v>
      </c>
      <c r="P373" s="126">
        <f t="shared" si="100"/>
        <v>9501.121000000001</v>
      </c>
      <c r="Q373" s="126">
        <f>SUMIF('MPG Payment '!$E$3:$E$344841,'Shayak Income '!D373,'MPG Payment '!$S$3:$S$344841)</f>
        <v>0</v>
      </c>
      <c r="R373" s="126">
        <f t="shared" si="91"/>
        <v>15413.535900000001</v>
      </c>
      <c r="S373" s="126">
        <f t="shared" si="92"/>
        <v>5912.4148999999998</v>
      </c>
      <c r="T373" s="126">
        <f t="shared" si="101"/>
        <v>1000.1180000000003</v>
      </c>
      <c r="U373" s="127">
        <f>((((((IF(K373="New",0,SUMIF('MPG Payment '!$E$3:$E$344841,'Shayak Income '!D373,'MPG Payment '!$AC$3:$AC$344841))))+0)+0)+0)+0)+0</f>
        <v>0</v>
      </c>
      <c r="V373" s="127">
        <f t="shared" si="102"/>
        <v>16002</v>
      </c>
      <c r="W373" s="19">
        <f t="shared" si="106"/>
        <v>0</v>
      </c>
      <c r="X373" s="19">
        <f t="shared" si="107"/>
        <v>4986.1544731430786</v>
      </c>
      <c r="Y373" s="128">
        <f>IFERROR(VLOOKUP(D373,'Monthly Deduction'!$M$2:$N$640,2,0),0)</f>
        <v>0</v>
      </c>
      <c r="Z373" s="128">
        <v>0</v>
      </c>
      <c r="AA373" s="126">
        <f>IFERROR(VLOOKUP(D373,'Monthly Deduction'!A:B,2,0),0)</f>
        <v>274.5</v>
      </c>
      <c r="AB373" s="129">
        <f t="shared" si="93"/>
        <v>10741</v>
      </c>
      <c r="AC373" s="130">
        <v>0</v>
      </c>
      <c r="AD373" s="35">
        <f t="shared" si="103"/>
        <v>10741</v>
      </c>
      <c r="AE373" s="166" t="str">
        <f t="shared" si="104"/>
        <v>Release</v>
      </c>
      <c r="AF373" s="127"/>
      <c r="AG373" s="18">
        <v>0</v>
      </c>
      <c r="AH373" s="120"/>
      <c r="AI373" s="238">
        <v>0</v>
      </c>
      <c r="AJ373" s="132"/>
      <c r="AK373" s="151">
        <v>2361.0099999999998</v>
      </c>
      <c r="AL373" s="154">
        <f t="shared" si="94"/>
        <v>0</v>
      </c>
      <c r="AM373" s="155"/>
      <c r="AN373" s="19">
        <f t="shared" si="95"/>
        <v>0</v>
      </c>
      <c r="AO373" s="118">
        <f>SUMIF('MPG Payment '!E:E,'Shayak Income '!D373,'MPG Payment '!AJ:AJ)</f>
        <v>0</v>
      </c>
      <c r="AP373" s="19">
        <f t="shared" si="96"/>
        <v>0</v>
      </c>
      <c r="AQ373" s="119">
        <f t="shared" si="105"/>
        <v>0</v>
      </c>
      <c r="AR373" s="91" t="s">
        <v>1144</v>
      </c>
      <c r="AS373" s="91">
        <f t="shared" si="97"/>
        <v>0</v>
      </c>
      <c r="AT373" s="118"/>
      <c r="AU373" s="118"/>
      <c r="AV373" s="118"/>
    </row>
    <row r="374" spans="1:48" s="20" customFormat="1" x14ac:dyDescent="0.25">
      <c r="A374" s="17">
        <f>IFERROR(VLOOKUP(D374,'Monthly Deduction'!$I$3:$J$957,2,0),0)</f>
        <v>0</v>
      </c>
      <c r="B374" s="17">
        <f>IFERROR(VLOOKUP(D374,'Monthly Deduction'!$E$3:$F$957,2,0),0)</f>
        <v>0</v>
      </c>
      <c r="C374" s="17">
        <f t="shared" si="98"/>
        <v>0</v>
      </c>
      <c r="D374" s="41">
        <v>10120086</v>
      </c>
      <c r="E374" s="122" t="str">
        <f>VLOOKUP(D374,'MPG Payment '!$E$3:$G$497305,2,0)</f>
        <v>Simri-Rupesh</v>
      </c>
      <c r="F374" s="146">
        <f>IFERROR(_xlfn.XLOOKUP(D374,'Monthly Deduction'!$I$3:$I$957,'Monthly Deduction'!$H$3:$H$957),0)</f>
        <v>0</v>
      </c>
      <c r="G374" s="123" t="str">
        <f>VLOOKUP(D374,'MPG Payment '!$E$3:$G$333666,3,0)</f>
        <v>vlc</v>
      </c>
      <c r="H374" s="124" t="str">
        <f>VLOOKUP(D374,'MPG Payment '!$E$3:$H$333666,4,0)</f>
        <v>Indirect</v>
      </c>
      <c r="I374" s="88">
        <f>INDEX('MPG Payment '!$C:$C,MATCH('Shayak Income '!D374,'MPG Payment '!E:E,0))</f>
        <v>1012</v>
      </c>
      <c r="J374" s="88" t="str">
        <f>INDEX('MPG Payment '!$D:$D,MATCH('Shayak Income '!D374,'MPG Payment '!E:E,0))</f>
        <v>DalsinghSarai</v>
      </c>
      <c r="K374" s="125" t="s">
        <v>1594</v>
      </c>
      <c r="L374" s="125">
        <v>45529</v>
      </c>
      <c r="M374" s="126">
        <f>SUMIF('MPG Payment '!$E$3:$E$344841,'Shayak Income '!D374,'MPG Payment '!$I$3:$I$344841)</f>
        <v>216.7</v>
      </c>
      <c r="N374" s="126">
        <f>SUMIF('MPG Payment '!$E$3:$E$344841,'Shayak Income '!D374,'MPG Payment '!$J$3:$J$344841)</f>
        <v>8844</v>
      </c>
      <c r="O374" s="126">
        <f t="shared" si="99"/>
        <v>162.52499999999998</v>
      </c>
      <c r="P374" s="126">
        <f t="shared" si="100"/>
        <v>205.86499999999998</v>
      </c>
      <c r="Q374" s="126">
        <f>SUMIF('MPG Payment '!$E$3:$E$344841,'Shayak Income '!D374,'MPG Payment '!$S$3:$S$344841)</f>
        <v>0</v>
      </c>
      <c r="R374" s="126">
        <f t="shared" si="91"/>
        <v>265.32</v>
      </c>
      <c r="S374" s="126">
        <f t="shared" si="92"/>
        <v>59.455000000000013</v>
      </c>
      <c r="T374" s="126">
        <f t="shared" si="101"/>
        <v>21.67</v>
      </c>
      <c r="U374" s="127">
        <f>((((((IF(K374="New",0,SUMIF('MPG Payment '!$E$3:$E$344841,'Shayak Income '!D374,'MPG Payment '!$AC$3:$AC$344841))))+0)+0)+0)+0)+-603</f>
        <v>346.38500397790551</v>
      </c>
      <c r="V374" s="127">
        <f t="shared" si="102"/>
        <v>0</v>
      </c>
      <c r="W374" s="19">
        <v>0</v>
      </c>
      <c r="X374" s="19">
        <v>0</v>
      </c>
      <c r="Y374" s="128">
        <v>0</v>
      </c>
      <c r="Z374" s="128">
        <v>0</v>
      </c>
      <c r="AA374" s="126">
        <v>0</v>
      </c>
      <c r="AB374" s="129">
        <f t="shared" si="93"/>
        <v>0</v>
      </c>
      <c r="AC374" s="130">
        <f>AB374</f>
        <v>0</v>
      </c>
      <c r="AD374" s="35">
        <f t="shared" si="103"/>
        <v>0</v>
      </c>
      <c r="AE374" s="166" t="str">
        <f t="shared" si="104"/>
        <v>Release</v>
      </c>
      <c r="AF374" s="127"/>
      <c r="AG374" s="18">
        <v>0</v>
      </c>
      <c r="AH374" s="132" t="s">
        <v>1597</v>
      </c>
      <c r="AI374" s="238">
        <v>0</v>
      </c>
      <c r="AJ374" s="132"/>
      <c r="AK374" s="151">
        <v>0</v>
      </c>
      <c r="AL374" s="154">
        <f t="shared" si="94"/>
        <v>0</v>
      </c>
      <c r="AM374" s="155"/>
      <c r="AN374" s="19">
        <f t="shared" si="95"/>
        <v>0</v>
      </c>
      <c r="AO374" s="118">
        <f>SUMIF('MPG Payment '!E:E,'Shayak Income '!D374,'MPG Payment '!AJ:AJ)</f>
        <v>0</v>
      </c>
      <c r="AP374" s="19">
        <f t="shared" si="96"/>
        <v>0</v>
      </c>
      <c r="AQ374" s="119">
        <f t="shared" si="105"/>
        <v>0</v>
      </c>
      <c r="AR374" s="91" t="s">
        <v>1144</v>
      </c>
      <c r="AS374" s="91">
        <f t="shared" si="97"/>
        <v>0</v>
      </c>
      <c r="AT374" s="118"/>
      <c r="AU374" s="118"/>
      <c r="AV374" s="118"/>
    </row>
    <row r="375" spans="1:48" s="20" customFormat="1" x14ac:dyDescent="0.25">
      <c r="A375" s="17">
        <f>IFERROR(VLOOKUP(D375,'Monthly Deduction'!$I$3:$J$957,2,0),0)</f>
        <v>62240.92972129432</v>
      </c>
      <c r="B375" s="17">
        <f>IFERROR(VLOOKUP(D375,'Monthly Deduction'!$E$3:$F$957,2,0),0)</f>
        <v>10700</v>
      </c>
      <c r="C375" s="17">
        <f t="shared" si="98"/>
        <v>72940.92972129432</v>
      </c>
      <c r="D375" s="41">
        <v>10120089</v>
      </c>
      <c r="E375" s="122" t="str">
        <f>VLOOKUP(D375,'MPG Payment '!$E$3:$G$497305,2,0)</f>
        <v>Gomukh Jhaura Tabhka</v>
      </c>
      <c r="F375" s="146">
        <f>IFERROR(_xlfn.XLOOKUP(D375,'Monthly Deduction'!$I$3:$I$957,'Monthly Deduction'!$H$3:$H$957),0)</f>
        <v>0</v>
      </c>
      <c r="G375" s="123" t="str">
        <f>VLOOKUP(D375,'MPG Payment '!$E$3:$G$333666,3,0)</f>
        <v>MPG</v>
      </c>
      <c r="H375" s="124" t="str">
        <f>VLOOKUP(D375,'MPG Payment '!$E$3:$H$333666,4,0)</f>
        <v>Direct</v>
      </c>
      <c r="I375" s="88">
        <f>INDEX('MPG Payment '!$C:$C,MATCH('Shayak Income '!D375,'MPG Payment '!E:E,0))</f>
        <v>1012</v>
      </c>
      <c r="J375" s="88" t="str">
        <f>INDEX('MPG Payment '!$D:$D,MATCH('Shayak Income '!D375,'MPG Payment '!E:E,0))</f>
        <v>DalsinghSarai</v>
      </c>
      <c r="K375" s="125" t="s">
        <v>1594</v>
      </c>
      <c r="L375" s="125">
        <v>45649</v>
      </c>
      <c r="M375" s="126">
        <f>SUMIF('MPG Payment '!$E$3:$E$344841,'Shayak Income '!D375,'MPG Payment '!$I$3:$I$344841)</f>
        <v>2547.34</v>
      </c>
      <c r="N375" s="126">
        <f>SUMIF('MPG Payment '!$E$3:$E$344841,'Shayak Income '!D375,'MPG Payment '!$J$3:$J$344841)</f>
        <v>99862.67</v>
      </c>
      <c r="O375" s="126">
        <f t="shared" si="99"/>
        <v>1910.5050000000001</v>
      </c>
      <c r="P375" s="126">
        <f t="shared" si="100"/>
        <v>2419.973</v>
      </c>
      <c r="Q375" s="126">
        <f>SUMIF('MPG Payment '!$E$3:$E$344841,'Shayak Income '!D375,'MPG Payment '!$S$3:$S$344841)</f>
        <v>223.73000000000002</v>
      </c>
      <c r="R375" s="126">
        <f t="shared" si="91"/>
        <v>2995.8800999999999</v>
      </c>
      <c r="S375" s="126">
        <f t="shared" si="92"/>
        <v>575.9070999999999</v>
      </c>
      <c r="T375" s="126">
        <f t="shared" si="101"/>
        <v>254.73400000000004</v>
      </c>
      <c r="U375" s="127">
        <f>((((((IF(K375="New",0,SUMIF('MPG Payment '!$E$3:$E$344841,'Shayak Income '!D375,'MPG Payment '!$AC$3:$AC$344841))))+0)+0)+0)+0)+0</f>
        <v>225.38302355661983</v>
      </c>
      <c r="V375" s="127">
        <f t="shared" si="102"/>
        <v>4074</v>
      </c>
      <c r="W375" s="19">
        <f t="shared" si="106"/>
        <v>1997.2534000000001</v>
      </c>
      <c r="X375" s="19">
        <v>0</v>
      </c>
      <c r="Y375" s="128">
        <f>IFERROR(VLOOKUP(D375,'Monthly Deduction'!$M$2:$N$640,2,0),0)</f>
        <v>0</v>
      </c>
      <c r="Z375" s="128">
        <v>172.28</v>
      </c>
      <c r="AA375" s="126">
        <f>IFERROR(VLOOKUP(D375,'Monthly Deduction'!A:B,2,0),0)</f>
        <v>274.5</v>
      </c>
      <c r="AB375" s="129">
        <f t="shared" si="93"/>
        <v>1630</v>
      </c>
      <c r="AC375" s="130">
        <v>0</v>
      </c>
      <c r="AD375" s="35">
        <f t="shared" si="103"/>
        <v>1630</v>
      </c>
      <c r="AE375" s="166" t="str">
        <f t="shared" si="104"/>
        <v>Release</v>
      </c>
      <c r="AF375" s="127"/>
      <c r="AG375" s="127">
        <v>0</v>
      </c>
      <c r="AH375" s="132" t="s">
        <v>1680</v>
      </c>
      <c r="AI375" s="238">
        <v>0</v>
      </c>
      <c r="AJ375" s="132"/>
      <c r="AK375" s="151">
        <v>478.42</v>
      </c>
      <c r="AL375" s="154">
        <f t="shared" si="94"/>
        <v>0</v>
      </c>
      <c r="AM375" s="155"/>
      <c r="AN375" s="19">
        <f t="shared" si="95"/>
        <v>1997.2534000000001</v>
      </c>
      <c r="AO375" s="118">
        <f>SUMIF('MPG Payment '!E:E,'Shayak Income '!D375,'MPG Payment '!AJ:AJ)</f>
        <v>0</v>
      </c>
      <c r="AP375" s="19">
        <f t="shared" si="96"/>
        <v>1997.2534000000001</v>
      </c>
      <c r="AQ375" s="119">
        <f t="shared" si="105"/>
        <v>1997.2534000000001</v>
      </c>
      <c r="AR375" s="91" t="s">
        <v>1144</v>
      </c>
      <c r="AS375" s="91">
        <f t="shared" si="97"/>
        <v>10700</v>
      </c>
      <c r="AT375" s="118"/>
      <c r="AU375" s="118"/>
      <c r="AV375" s="118"/>
    </row>
    <row r="376" spans="1:48" s="20" customFormat="1" x14ac:dyDescent="0.25">
      <c r="A376" s="17">
        <f>IFERROR(VLOOKUP(D376,'Monthly Deduction'!$I$3:$J$957,2,0),0)</f>
        <v>57815.520123813287</v>
      </c>
      <c r="B376" s="17">
        <f>IFERROR(VLOOKUP(D376,'Monthly Deduction'!$E$3:$F$957,2,0),0)</f>
        <v>4300</v>
      </c>
      <c r="C376" s="17">
        <f t="shared" si="98"/>
        <v>62115.520123813287</v>
      </c>
      <c r="D376" s="41">
        <v>10120091</v>
      </c>
      <c r="E376" s="122" t="str">
        <f>VLOOKUP(D376,'MPG Payment '!$E$3:$G$497305,2,0)</f>
        <v>Gomukh Mohanpur</v>
      </c>
      <c r="F376" s="146">
        <f>IFERROR(_xlfn.XLOOKUP(D376,'Monthly Deduction'!$I$3:$I$957,'Monthly Deduction'!$H$3:$H$957),0)</f>
        <v>0</v>
      </c>
      <c r="G376" s="123" t="str">
        <f>VLOOKUP(D376,'MPG Payment '!$E$3:$G$333666,3,0)</f>
        <v>MPG</v>
      </c>
      <c r="H376" s="124" t="str">
        <f>VLOOKUP(D376,'MPG Payment '!$E$3:$H$333666,4,0)</f>
        <v>Direct</v>
      </c>
      <c r="I376" s="88">
        <f>INDEX('MPG Payment '!$C:$C,MATCH('Shayak Income '!D376,'MPG Payment '!E:E,0))</f>
        <v>1012</v>
      </c>
      <c r="J376" s="88" t="str">
        <f>INDEX('MPG Payment '!$D:$D,MATCH('Shayak Income '!D376,'MPG Payment '!E:E,0))</f>
        <v>DalsinghSarai</v>
      </c>
      <c r="K376" s="125" t="s">
        <v>1594</v>
      </c>
      <c r="L376" s="125">
        <v>45653</v>
      </c>
      <c r="M376" s="126">
        <f>SUMIF('MPG Payment '!$E$3:$E$344841,'Shayak Income '!D376,'MPG Payment '!$I$3:$I$344841)</f>
        <v>1604.2599999999998</v>
      </c>
      <c r="N376" s="126">
        <f>SUMIF('MPG Payment '!$E$3:$E$344841,'Shayak Income '!D376,'MPG Payment '!$J$3:$J$344841)</f>
        <v>61407.41</v>
      </c>
      <c r="O376" s="126">
        <f t="shared" si="99"/>
        <v>1203.1949999999997</v>
      </c>
      <c r="P376" s="126">
        <f t="shared" si="100"/>
        <v>1524.0469999999998</v>
      </c>
      <c r="Q376" s="126">
        <f>SUMIF('MPG Payment '!$E$3:$E$344841,'Shayak Income '!D376,'MPG Payment '!$S$3:$S$344841)</f>
        <v>1544.69</v>
      </c>
      <c r="R376" s="126">
        <f t="shared" si="91"/>
        <v>1842.2223000000001</v>
      </c>
      <c r="S376" s="126">
        <f t="shared" si="92"/>
        <v>318.17530000000033</v>
      </c>
      <c r="T376" s="126">
        <f t="shared" si="101"/>
        <v>160.42599999999999</v>
      </c>
      <c r="U376" s="127">
        <f>((((((IF(K376="New",0,SUMIF('MPG Payment '!$E$3:$E$344841,'Shayak Income '!D376,'MPG Payment '!$AC$3:$AC$344841))))+0)+0)+0)+0)+0</f>
        <v>913.53195000625522</v>
      </c>
      <c r="V376" s="127">
        <f t="shared" si="102"/>
        <v>3198</v>
      </c>
      <c r="W376" s="19">
        <f t="shared" si="106"/>
        <v>1861</v>
      </c>
      <c r="X376" s="19">
        <v>0</v>
      </c>
      <c r="Y376" s="128">
        <f>IFERROR(VLOOKUP(D376,'Monthly Deduction'!$M$2:$N$640,2,0),0)</f>
        <v>0</v>
      </c>
      <c r="Z376" s="128">
        <v>0</v>
      </c>
      <c r="AA376" s="126">
        <f>IFERROR(VLOOKUP(D376,'Monthly Deduction'!A:B,2,0),0)</f>
        <v>274.5</v>
      </c>
      <c r="AB376" s="129">
        <f t="shared" si="93"/>
        <v>1063</v>
      </c>
      <c r="AC376" s="130">
        <v>0</v>
      </c>
      <c r="AD376" s="35">
        <f t="shared" si="103"/>
        <v>1063</v>
      </c>
      <c r="AE376" s="166" t="str">
        <f t="shared" si="104"/>
        <v>Release</v>
      </c>
      <c r="AF376" s="127"/>
      <c r="AG376" s="18">
        <v>0</v>
      </c>
      <c r="AH376" s="132"/>
      <c r="AI376" s="238">
        <v>0</v>
      </c>
      <c r="AJ376" s="132"/>
      <c r="AK376" s="151">
        <v>349.89000000000004</v>
      </c>
      <c r="AL376" s="154">
        <f t="shared" si="94"/>
        <v>0</v>
      </c>
      <c r="AM376" s="155"/>
      <c r="AN376" s="19">
        <f t="shared" si="95"/>
        <v>1861</v>
      </c>
      <c r="AO376" s="118">
        <f>SUMIF('MPG Payment '!E:E,'Shayak Income '!D376,'MPG Payment '!AJ:AJ)</f>
        <v>0</v>
      </c>
      <c r="AP376" s="19">
        <f t="shared" si="96"/>
        <v>1861</v>
      </c>
      <c r="AQ376" s="119">
        <f t="shared" si="105"/>
        <v>1861</v>
      </c>
      <c r="AR376" s="91" t="s">
        <v>1144</v>
      </c>
      <c r="AS376" s="91">
        <f t="shared" si="97"/>
        <v>4300</v>
      </c>
      <c r="AT376" s="118"/>
      <c r="AU376" s="118"/>
      <c r="AV376" s="118"/>
    </row>
    <row r="377" spans="1:48" s="20" customFormat="1" x14ac:dyDescent="0.25">
      <c r="A377" s="17">
        <f>IFERROR(VLOOKUP(D377,'Monthly Deduction'!$I$3:$J$957,2,0),0)</f>
        <v>36304.671770791087</v>
      </c>
      <c r="B377" s="17">
        <f>IFERROR(VLOOKUP(D377,'Monthly Deduction'!$E$3:$F$957,2,0),0)</f>
        <v>22400</v>
      </c>
      <c r="C377" s="17">
        <f t="shared" si="98"/>
        <v>58704.671770791087</v>
      </c>
      <c r="D377" s="41">
        <v>10120094</v>
      </c>
      <c r="E377" s="122" t="str">
        <f>VLOOKUP(D377,'MPG Payment '!$E$3:$G$497305,2,0)</f>
        <v>Gomukh Bochaha</v>
      </c>
      <c r="F377" s="146">
        <f>IFERROR(_xlfn.XLOOKUP(D377,'Monthly Deduction'!$I$3:$I$957,'Monthly Deduction'!$H$3:$H$957),0)</f>
        <v>0</v>
      </c>
      <c r="G377" s="123" t="str">
        <f>VLOOKUP(D377,'MPG Payment '!$E$3:$G$333666,3,0)</f>
        <v>MPG</v>
      </c>
      <c r="H377" s="124" t="str">
        <f>VLOOKUP(D377,'MPG Payment '!$E$3:$H$333666,4,0)</f>
        <v>Direct</v>
      </c>
      <c r="I377" s="88">
        <f>INDEX('MPG Payment '!$C:$C,MATCH('Shayak Income '!D377,'MPG Payment '!E:E,0))</f>
        <v>1012</v>
      </c>
      <c r="J377" s="88" t="str">
        <f>INDEX('MPG Payment '!$D:$D,MATCH('Shayak Income '!D377,'MPG Payment '!E:E,0))</f>
        <v>DalsinghSarai</v>
      </c>
      <c r="K377" s="125" t="s">
        <v>1594</v>
      </c>
      <c r="L377" s="125">
        <v>45666</v>
      </c>
      <c r="M377" s="126">
        <f>SUMIF('MPG Payment '!$E$3:$E$344841,'Shayak Income '!D377,'MPG Payment '!$I$3:$I$344841)</f>
        <v>4848.34</v>
      </c>
      <c r="N377" s="126">
        <f>SUMIF('MPG Payment '!$E$3:$E$344841,'Shayak Income '!D377,'MPG Payment '!$J$3:$J$344841)</f>
        <v>220828.44</v>
      </c>
      <c r="O377" s="126">
        <f t="shared" si="99"/>
        <v>3636.2550000000001</v>
      </c>
      <c r="P377" s="126">
        <f t="shared" si="100"/>
        <v>4605.9229999999998</v>
      </c>
      <c r="Q377" s="126">
        <f>SUMIF('MPG Payment '!$E$3:$E$344841,'Shayak Income '!D377,'MPG Payment '!$S$3:$S$344841)</f>
        <v>0</v>
      </c>
      <c r="R377" s="126">
        <f t="shared" si="91"/>
        <v>6624.8531999999996</v>
      </c>
      <c r="S377" s="126">
        <f t="shared" si="92"/>
        <v>2018.9301999999998</v>
      </c>
      <c r="T377" s="126">
        <f t="shared" si="101"/>
        <v>484.83400000000006</v>
      </c>
      <c r="U377" s="127">
        <f>((((((IF(K377="New",0,SUMIF('MPG Payment '!$E$3:$E$344841,'Shayak Income '!D377,'MPG Payment '!$AC$3:$AC$344841))))+0)+0)+0)+0)+0</f>
        <v>0</v>
      </c>
      <c r="V377" s="127">
        <f t="shared" si="102"/>
        <v>7757</v>
      </c>
      <c r="W377" s="19">
        <f t="shared" si="106"/>
        <v>4416.5688</v>
      </c>
      <c r="X377" s="19">
        <v>0</v>
      </c>
      <c r="Y377" s="128">
        <f>IFERROR(VLOOKUP(D377,'Monthly Deduction'!$M$2:$N$640,2,0),0)</f>
        <v>0</v>
      </c>
      <c r="Z377" s="128">
        <v>265.5</v>
      </c>
      <c r="AA377" s="126">
        <f>IFERROR(VLOOKUP(D377,'Monthly Deduction'!A:B,2,0),0)</f>
        <v>109.80000000000001</v>
      </c>
      <c r="AB377" s="129">
        <f t="shared" si="93"/>
        <v>2965</v>
      </c>
      <c r="AC377" s="130">
        <v>0</v>
      </c>
      <c r="AD377" s="35">
        <f t="shared" si="103"/>
        <v>2965</v>
      </c>
      <c r="AE377" s="166" t="str">
        <f t="shared" si="104"/>
        <v>Release</v>
      </c>
      <c r="AF377" s="127"/>
      <c r="AG377" s="127">
        <v>0</v>
      </c>
      <c r="AH377" s="132" t="s">
        <v>1680</v>
      </c>
      <c r="AI377" s="238">
        <v>0</v>
      </c>
      <c r="AJ377" s="132"/>
      <c r="AK377" s="151">
        <v>1235.4999999999998</v>
      </c>
      <c r="AL377" s="154">
        <f t="shared" si="94"/>
        <v>0</v>
      </c>
      <c r="AM377" s="155"/>
      <c r="AN377" s="19">
        <f t="shared" si="95"/>
        <v>4416.5688</v>
      </c>
      <c r="AO377" s="118">
        <f>SUMIF('MPG Payment '!E:E,'Shayak Income '!D377,'MPG Payment '!AJ:AJ)</f>
        <v>0</v>
      </c>
      <c r="AP377" s="19">
        <f t="shared" si="96"/>
        <v>4416.5688</v>
      </c>
      <c r="AQ377" s="119">
        <f t="shared" si="105"/>
        <v>4416.5688</v>
      </c>
      <c r="AR377" s="91" t="s">
        <v>1144</v>
      </c>
      <c r="AS377" s="91">
        <f t="shared" si="97"/>
        <v>22400</v>
      </c>
      <c r="AT377" s="118"/>
      <c r="AU377" s="118"/>
      <c r="AV377" s="118"/>
    </row>
    <row r="378" spans="1:48" s="20" customFormat="1" x14ac:dyDescent="0.25">
      <c r="A378" s="17">
        <f>IFERROR(VLOOKUP(D378,'Monthly Deduction'!$I$3:$J$957,2,0),0)</f>
        <v>68493</v>
      </c>
      <c r="B378" s="17">
        <f>IFERROR(VLOOKUP(D378,'Monthly Deduction'!$E$3:$F$957,2,0),0)</f>
        <v>7650.5474332718404</v>
      </c>
      <c r="C378" s="17">
        <f t="shared" si="98"/>
        <v>76143.547433271844</v>
      </c>
      <c r="D378" s="41">
        <v>10120095</v>
      </c>
      <c r="E378" s="122" t="str">
        <f>VLOOKUP(D378,'MPG Payment '!$E$3:$G$497305,2,0)</f>
        <v>Gomukh Terganj</v>
      </c>
      <c r="F378" s="146">
        <f>IFERROR(_xlfn.XLOOKUP(D378,'Monthly Deduction'!$I$3:$I$957,'Monthly Deduction'!$H$3:$H$957),0)</f>
        <v>0</v>
      </c>
      <c r="G378" s="123" t="str">
        <f>VLOOKUP(D378,'MPG Payment '!$E$3:$G$333666,3,0)</f>
        <v>MPG</v>
      </c>
      <c r="H378" s="124" t="str">
        <f>VLOOKUP(D378,'MPG Payment '!$E$3:$H$333666,4,0)</f>
        <v>Direct</v>
      </c>
      <c r="I378" s="88">
        <f>INDEX('MPG Payment '!$C:$C,MATCH('Shayak Income '!D378,'MPG Payment '!E:E,0))</f>
        <v>1012</v>
      </c>
      <c r="J378" s="88" t="str">
        <f>INDEX('MPG Payment '!$D:$D,MATCH('Shayak Income '!D378,'MPG Payment '!E:E,0))</f>
        <v>DalsinghSarai</v>
      </c>
      <c r="K378" s="125" t="s">
        <v>1594</v>
      </c>
      <c r="L378" s="125">
        <v>45705</v>
      </c>
      <c r="M378" s="126">
        <f>SUMIF('MPG Payment '!$E$3:$E$344841,'Shayak Income '!D378,'MPG Payment '!$I$3:$I$344841)</f>
        <v>880.62999999999988</v>
      </c>
      <c r="N378" s="126">
        <f>SUMIF('MPG Payment '!$E$3:$E$344841,'Shayak Income '!D378,'MPG Payment '!$J$3:$J$344841)</f>
        <v>36822.86</v>
      </c>
      <c r="O378" s="126">
        <f t="shared" si="99"/>
        <v>660.47249999999985</v>
      </c>
      <c r="P378" s="126">
        <f t="shared" si="100"/>
        <v>836.59849999999983</v>
      </c>
      <c r="Q378" s="126">
        <f>SUMIF('MPG Payment '!$E$3:$E$344841,'Shayak Income '!D378,'MPG Payment '!$S$3:$S$344841)</f>
        <v>0</v>
      </c>
      <c r="R378" s="126">
        <f t="shared" si="91"/>
        <v>1104.6858</v>
      </c>
      <c r="S378" s="126">
        <f t="shared" si="92"/>
        <v>268.08730000000014</v>
      </c>
      <c r="T378" s="126">
        <f t="shared" si="101"/>
        <v>88.062999999999988</v>
      </c>
      <c r="U378" s="127">
        <f>((((((IF(K378="New",0,SUMIF('MPG Payment '!$E$3:$E$344841,'Shayak Income '!D378,'MPG Payment '!$AC$3:$AC$344841))))+0)+0)+0)+0)+-200</f>
        <v>1408.7071503242962</v>
      </c>
      <c r="V378" s="127">
        <f t="shared" si="102"/>
        <v>0</v>
      </c>
      <c r="W378" s="19">
        <v>0</v>
      </c>
      <c r="X378" s="19">
        <v>0</v>
      </c>
      <c r="Y378" s="128">
        <v>0</v>
      </c>
      <c r="Z378" s="128">
        <v>0</v>
      </c>
      <c r="AA378" s="126">
        <v>0</v>
      </c>
      <c r="AB378" s="129">
        <f t="shared" si="93"/>
        <v>0</v>
      </c>
      <c r="AC378" s="130">
        <f>AB378</f>
        <v>0</v>
      </c>
      <c r="AD378" s="35">
        <f t="shared" si="103"/>
        <v>0</v>
      </c>
      <c r="AE378" s="166" t="str">
        <f t="shared" si="104"/>
        <v>Release</v>
      </c>
      <c r="AF378" s="127"/>
      <c r="AG378" s="127">
        <v>0</v>
      </c>
      <c r="AH378" s="120" t="s">
        <v>1686</v>
      </c>
      <c r="AI378" s="238">
        <v>6148</v>
      </c>
      <c r="AJ378" s="132"/>
      <c r="AK378" s="151">
        <v>165.10000000000002</v>
      </c>
      <c r="AL378" s="154">
        <f t="shared" si="94"/>
        <v>0</v>
      </c>
      <c r="AM378" s="155"/>
      <c r="AN378" s="19">
        <f t="shared" si="95"/>
        <v>1861</v>
      </c>
      <c r="AO378" s="118">
        <f>SUMIF('MPG Payment '!E:E,'Shayak Income '!D378,'MPG Payment '!AJ:AJ)</f>
        <v>2000</v>
      </c>
      <c r="AP378" s="19">
        <f t="shared" si="96"/>
        <v>0</v>
      </c>
      <c r="AQ378" s="119">
        <f t="shared" si="105"/>
        <v>2000</v>
      </c>
      <c r="AR378" s="91" t="s">
        <v>1144</v>
      </c>
      <c r="AS378" s="91">
        <f t="shared" si="97"/>
        <v>7650.5474332718404</v>
      </c>
      <c r="AT378" s="118"/>
      <c r="AU378" s="118"/>
      <c r="AV378" s="118"/>
    </row>
    <row r="379" spans="1:48" s="20" customFormat="1" x14ac:dyDescent="0.25">
      <c r="A379" s="17">
        <f>IFERROR(VLOOKUP(D379,'Monthly Deduction'!$I$3:$J$957,2,0),0)</f>
        <v>0</v>
      </c>
      <c r="B379" s="17">
        <f>IFERROR(VLOOKUP(D379,'Monthly Deduction'!$E$3:$F$957,2,0),0)</f>
        <v>0</v>
      </c>
      <c r="C379" s="17">
        <f t="shared" si="98"/>
        <v>0</v>
      </c>
      <c r="D379" s="41">
        <v>10120096</v>
      </c>
      <c r="E379" s="122" t="str">
        <f>VLOOKUP(D379,'MPG Payment '!$E$3:$G$497305,2,0)</f>
        <v>Gomukh Chapra</v>
      </c>
      <c r="F379" s="146">
        <f>IFERROR(_xlfn.XLOOKUP(D379,'Monthly Deduction'!$I$3:$I$957,'Monthly Deduction'!$H$3:$H$957),0)</f>
        <v>0</v>
      </c>
      <c r="G379" s="123" t="str">
        <f>VLOOKUP(D379,'MPG Payment '!$E$3:$G$333666,3,0)</f>
        <v>vlc</v>
      </c>
      <c r="H379" s="124" t="str">
        <f>VLOOKUP(D379,'MPG Payment '!$E$3:$H$333666,4,0)</f>
        <v>Indirect</v>
      </c>
      <c r="I379" s="88">
        <f>INDEX('MPG Payment '!$C:$C,MATCH('Shayak Income '!D379,'MPG Payment '!E:E,0))</f>
        <v>1012</v>
      </c>
      <c r="J379" s="88" t="str">
        <f>INDEX('MPG Payment '!$D:$D,MATCH('Shayak Income '!D379,'MPG Payment '!E:E,0))</f>
        <v>DalsinghSarai</v>
      </c>
      <c r="K379" s="125" t="s">
        <v>1594</v>
      </c>
      <c r="L379" s="125">
        <v>45664</v>
      </c>
      <c r="M379" s="126">
        <f>SUMIF('MPG Payment '!$E$3:$E$344841,'Shayak Income '!D379,'MPG Payment '!$I$3:$I$344841)</f>
        <v>5934.8</v>
      </c>
      <c r="N379" s="126">
        <f>SUMIF('MPG Payment '!$E$3:$E$344841,'Shayak Income '!D379,'MPG Payment '!$J$3:$J$344841)</f>
        <v>276222.28000000003</v>
      </c>
      <c r="O379" s="126">
        <f t="shared" si="99"/>
        <v>4451.1000000000004</v>
      </c>
      <c r="P379" s="126">
        <f t="shared" si="100"/>
        <v>5638.0599999999995</v>
      </c>
      <c r="Q379" s="126">
        <f>SUMIF('MPG Payment '!$E$3:$E$344841,'Shayak Income '!D379,'MPG Payment '!$S$3:$S$344841)</f>
        <v>0</v>
      </c>
      <c r="R379" s="126">
        <f t="shared" si="91"/>
        <v>8286.6684000000005</v>
      </c>
      <c r="S379" s="126">
        <f t="shared" si="92"/>
        <v>2648.608400000001</v>
      </c>
      <c r="T379" s="126">
        <f t="shared" si="101"/>
        <v>593.48</v>
      </c>
      <c r="U379" s="127">
        <f>((((((IF(K379="New",0,SUMIF('MPG Payment '!$E$3:$E$344841,'Shayak Income '!D379,'MPG Payment '!$AC$3:$AC$344841))))+0)+0)+0)+0)+0</f>
        <v>0</v>
      </c>
      <c r="V379" s="127">
        <f t="shared" si="102"/>
        <v>9496</v>
      </c>
      <c r="W379" s="19">
        <f t="shared" si="106"/>
        <v>0</v>
      </c>
      <c r="X379" s="19">
        <f t="shared" si="107"/>
        <v>0</v>
      </c>
      <c r="Y379" s="128">
        <f>IFERROR(VLOOKUP(D379,'Monthly Deduction'!$M$2:$N$640,2,0),0)</f>
        <v>0</v>
      </c>
      <c r="Z379" s="128">
        <v>0</v>
      </c>
      <c r="AA379" s="126">
        <f>IFERROR(VLOOKUP(D379,'Monthly Deduction'!A:B,2,0),0)</f>
        <v>0</v>
      </c>
      <c r="AB379" s="129">
        <f t="shared" si="93"/>
        <v>9496</v>
      </c>
      <c r="AC379" s="130">
        <v>0</v>
      </c>
      <c r="AD379" s="35">
        <f t="shared" si="103"/>
        <v>9496</v>
      </c>
      <c r="AE379" s="166" t="str">
        <f t="shared" si="104"/>
        <v>Release</v>
      </c>
      <c r="AF379" s="127"/>
      <c r="AG379" s="18">
        <v>0</v>
      </c>
      <c r="AH379" s="120"/>
      <c r="AI379" s="238">
        <v>0</v>
      </c>
      <c r="AJ379" s="132"/>
      <c r="AK379" s="151">
        <v>3234.0799999999995</v>
      </c>
      <c r="AL379" s="154">
        <f t="shared" si="94"/>
        <v>0</v>
      </c>
      <c r="AM379" s="155"/>
      <c r="AN379" s="19">
        <f t="shared" si="95"/>
        <v>0</v>
      </c>
      <c r="AO379" s="118">
        <f>SUMIF('MPG Payment '!E:E,'Shayak Income '!D379,'MPG Payment '!AJ:AJ)</f>
        <v>0</v>
      </c>
      <c r="AP379" s="19">
        <f t="shared" si="96"/>
        <v>0</v>
      </c>
      <c r="AQ379" s="119">
        <f t="shared" si="105"/>
        <v>0</v>
      </c>
      <c r="AR379" s="91" t="s">
        <v>1144</v>
      </c>
      <c r="AS379" s="91">
        <f t="shared" si="97"/>
        <v>0</v>
      </c>
      <c r="AT379" s="118"/>
      <c r="AU379" s="118"/>
      <c r="AV379" s="118"/>
    </row>
    <row r="380" spans="1:48" s="20" customFormat="1" x14ac:dyDescent="0.25">
      <c r="A380" s="17">
        <f>IFERROR(VLOOKUP(D380,'Monthly Deduction'!$I$3:$J$957,2,0),0)</f>
        <v>0</v>
      </c>
      <c r="B380" s="17">
        <f>IFERROR(VLOOKUP(D380,'Monthly Deduction'!$E$3:$F$957,2,0),0)</f>
        <v>0</v>
      </c>
      <c r="C380" s="17">
        <f t="shared" si="98"/>
        <v>0</v>
      </c>
      <c r="D380" s="41">
        <v>10120099</v>
      </c>
      <c r="E380" s="122" t="str">
        <f>VLOOKUP(D380,'MPG Payment '!$E$3:$G$497305,2,0)</f>
        <v>GOMUKH Chiranjipur</v>
      </c>
      <c r="F380" s="146">
        <f>IFERROR(_xlfn.XLOOKUP(D380,'Monthly Deduction'!$I$3:$I$957,'Monthly Deduction'!$H$3:$H$957),0)</f>
        <v>0</v>
      </c>
      <c r="G380" s="123" t="str">
        <f>VLOOKUP(D380,'MPG Payment '!$E$3:$G$333666,3,0)</f>
        <v>vlc</v>
      </c>
      <c r="H380" s="124" t="str">
        <f>VLOOKUP(D380,'MPG Payment '!$E$3:$H$333666,4,0)</f>
        <v>Indirect</v>
      </c>
      <c r="I380" s="88">
        <f>INDEX('MPG Payment '!$C:$C,MATCH('Shayak Income '!D380,'MPG Payment '!E:E,0))</f>
        <v>1012</v>
      </c>
      <c r="J380" s="88" t="str">
        <f>INDEX('MPG Payment '!$D:$D,MATCH('Shayak Income '!D380,'MPG Payment '!E:E,0))</f>
        <v>DalsinghSarai</v>
      </c>
      <c r="K380" s="125" t="s">
        <v>1594</v>
      </c>
      <c r="L380" s="125">
        <v>45715</v>
      </c>
      <c r="M380" s="126">
        <f>SUMIF('MPG Payment '!$E$3:$E$344841,'Shayak Income '!D380,'MPG Payment '!$I$3:$I$344841)</f>
        <v>38174</v>
      </c>
      <c r="N380" s="126">
        <f>SUMIF('MPG Payment '!$E$3:$E$344841,'Shayak Income '!D380,'MPG Payment '!$J$3:$J$344841)</f>
        <v>1535434.88</v>
      </c>
      <c r="O380" s="126">
        <f t="shared" si="99"/>
        <v>28630.5</v>
      </c>
      <c r="P380" s="126">
        <f t="shared" si="100"/>
        <v>36265.299999999996</v>
      </c>
      <c r="Q380" s="126">
        <f>SUMIF('MPG Payment '!$E$3:$E$344841,'Shayak Income '!D380,'MPG Payment '!$S$3:$S$344841)</f>
        <v>0</v>
      </c>
      <c r="R380" s="126">
        <f t="shared" si="91"/>
        <v>46063.046399999992</v>
      </c>
      <c r="S380" s="126">
        <f t="shared" si="92"/>
        <v>9797.7463999999964</v>
      </c>
      <c r="T380" s="126">
        <f t="shared" si="101"/>
        <v>3817.4</v>
      </c>
      <c r="U380" s="127">
        <f>((((((IF(K380="New",0,SUMIF('MPG Payment '!$E$3:$E$344841,'Shayak Income '!D380,'MPG Payment '!$AC$3:$AC$344841))))+0)+0)+0)+0)+0</f>
        <v>0</v>
      </c>
      <c r="V380" s="127">
        <f t="shared" si="102"/>
        <v>61078</v>
      </c>
      <c r="W380" s="19">
        <f t="shared" si="106"/>
        <v>0</v>
      </c>
      <c r="X380" s="19">
        <f t="shared" si="107"/>
        <v>0</v>
      </c>
      <c r="Y380" s="128">
        <f>IFERROR(VLOOKUP(D380,'Monthly Deduction'!$M$2:$N$640,2,0),0)</f>
        <v>0</v>
      </c>
      <c r="Z380" s="128">
        <v>0</v>
      </c>
      <c r="AA380" s="126">
        <f>IFERROR(VLOOKUP(D380,'Monthly Deduction'!A:B,2,0),0)</f>
        <v>0</v>
      </c>
      <c r="AB380" s="129">
        <f t="shared" si="93"/>
        <v>61078</v>
      </c>
      <c r="AC380" s="130">
        <v>0</v>
      </c>
      <c r="AD380" s="35">
        <f t="shared" si="103"/>
        <v>61078</v>
      </c>
      <c r="AE380" s="166" t="str">
        <f t="shared" si="104"/>
        <v>Release</v>
      </c>
      <c r="AF380" s="127"/>
      <c r="AG380" s="18">
        <v>0</v>
      </c>
      <c r="AH380" s="120"/>
      <c r="AI380" s="238">
        <v>0</v>
      </c>
      <c r="AJ380" s="132"/>
      <c r="AK380" s="151">
        <v>8074</v>
      </c>
      <c r="AL380" s="154">
        <f t="shared" si="94"/>
        <v>0</v>
      </c>
      <c r="AM380" s="155"/>
      <c r="AN380" s="19">
        <f t="shared" si="95"/>
        <v>0</v>
      </c>
      <c r="AO380" s="118">
        <f>SUMIF('MPG Payment '!E:E,'Shayak Income '!D380,'MPG Payment '!AJ:AJ)</f>
        <v>0</v>
      </c>
      <c r="AP380" s="19">
        <f t="shared" si="96"/>
        <v>0</v>
      </c>
      <c r="AQ380" s="119">
        <f t="shared" si="105"/>
        <v>0</v>
      </c>
      <c r="AR380" s="91" t="s">
        <v>1144</v>
      </c>
      <c r="AS380" s="91">
        <f t="shared" si="97"/>
        <v>0</v>
      </c>
      <c r="AT380" s="118"/>
      <c r="AU380" s="118"/>
      <c r="AV380" s="118"/>
    </row>
    <row r="381" spans="1:48" s="20" customFormat="1" x14ac:dyDescent="0.25">
      <c r="A381" s="17">
        <f>IFERROR(VLOOKUP(D381,'Monthly Deduction'!$I$3:$J$957,2,0),0)</f>
        <v>0</v>
      </c>
      <c r="B381" s="17">
        <f>IFERROR(VLOOKUP(D381,'Monthly Deduction'!$E$3:$F$957,2,0),0)</f>
        <v>0</v>
      </c>
      <c r="C381" s="17">
        <f t="shared" si="98"/>
        <v>0</v>
      </c>
      <c r="D381" s="41">
        <v>10120103</v>
      </c>
      <c r="E381" s="122" t="str">
        <f>VLOOKUP(D381,'MPG Payment '!$E$3:$G$497305,2,0)</f>
        <v>Gomukh Sahu Tol</v>
      </c>
      <c r="F381" s="146">
        <f>IFERROR(_xlfn.XLOOKUP(D381,'Monthly Deduction'!$I$3:$I$957,'Monthly Deduction'!$H$3:$H$957),0)</f>
        <v>0</v>
      </c>
      <c r="G381" s="123" t="str">
        <f>VLOOKUP(D381,'MPG Payment '!$E$3:$G$333666,3,0)</f>
        <v>vlc</v>
      </c>
      <c r="H381" s="124" t="str">
        <f>VLOOKUP(D381,'MPG Payment '!$E$3:$H$333666,4,0)</f>
        <v>Indirect</v>
      </c>
      <c r="I381" s="88">
        <f>INDEX('MPG Payment '!$C:$C,MATCH('Shayak Income '!D381,'MPG Payment '!E:E,0))</f>
        <v>1012</v>
      </c>
      <c r="J381" s="88" t="str">
        <f>INDEX('MPG Payment '!$D:$D,MATCH('Shayak Income '!D381,'MPG Payment '!E:E,0))</f>
        <v>DalsinghSarai</v>
      </c>
      <c r="K381" s="125" t="s">
        <v>1594</v>
      </c>
      <c r="L381" s="125">
        <v>45743</v>
      </c>
      <c r="M381" s="126">
        <f>SUMIF('MPG Payment '!$E$3:$E$344841,'Shayak Income '!D381,'MPG Payment '!$I$3:$I$344841)</f>
        <v>5825.6500000000005</v>
      </c>
      <c r="N381" s="126">
        <f>SUMIF('MPG Payment '!$E$3:$E$344841,'Shayak Income '!D381,'MPG Payment '!$J$3:$J$344841)</f>
        <v>233854.61000000002</v>
      </c>
      <c r="O381" s="126">
        <f t="shared" si="99"/>
        <v>4369.2375000000002</v>
      </c>
      <c r="P381" s="126">
        <f t="shared" si="100"/>
        <v>5534.3675000000003</v>
      </c>
      <c r="Q381" s="126">
        <f>SUMIF('MPG Payment '!$E$3:$E$344841,'Shayak Income '!D381,'MPG Payment '!$S$3:$S$344841)</f>
        <v>0</v>
      </c>
      <c r="R381" s="126">
        <f t="shared" si="91"/>
        <v>7015.6383000000005</v>
      </c>
      <c r="S381" s="126">
        <f t="shared" si="92"/>
        <v>1481.2708000000002</v>
      </c>
      <c r="T381" s="126">
        <f t="shared" si="101"/>
        <v>582.56500000000005</v>
      </c>
      <c r="U381" s="127">
        <f>((((((IF(K381="New",0,SUMIF('MPG Payment '!$E$3:$E$344841,'Shayak Income '!D381,'MPG Payment '!$AC$3:$AC$344841))))+0)+0)+0)+0)+0</f>
        <v>0</v>
      </c>
      <c r="V381" s="127">
        <f t="shared" si="102"/>
        <v>9321</v>
      </c>
      <c r="W381" s="19">
        <f t="shared" si="106"/>
        <v>0</v>
      </c>
      <c r="X381" s="19">
        <f t="shared" si="107"/>
        <v>0</v>
      </c>
      <c r="Y381" s="128">
        <f>IFERROR(VLOOKUP(D381,'Monthly Deduction'!$M$2:$N$640,2,0),0)</f>
        <v>0</v>
      </c>
      <c r="Z381" s="128">
        <v>0</v>
      </c>
      <c r="AA381" s="126">
        <f>IFERROR(VLOOKUP(D381,'Monthly Deduction'!A:B,2,0),0)</f>
        <v>0</v>
      </c>
      <c r="AB381" s="129">
        <f t="shared" si="93"/>
        <v>9321</v>
      </c>
      <c r="AC381" s="130">
        <v>0</v>
      </c>
      <c r="AD381" s="35">
        <f t="shared" si="103"/>
        <v>9321</v>
      </c>
      <c r="AE381" s="166" t="str">
        <f t="shared" si="104"/>
        <v>Release</v>
      </c>
      <c r="AF381" s="127"/>
      <c r="AG381" s="18">
        <v>0</v>
      </c>
      <c r="AH381" s="120"/>
      <c r="AI381" s="238">
        <v>0</v>
      </c>
      <c r="AJ381" s="132"/>
      <c r="AK381" s="151">
        <v>1945</v>
      </c>
      <c r="AL381" s="154">
        <f t="shared" si="94"/>
        <v>0</v>
      </c>
      <c r="AM381" s="155"/>
      <c r="AN381" s="19">
        <f t="shared" si="95"/>
        <v>0</v>
      </c>
      <c r="AO381" s="118">
        <f>SUMIF('MPG Payment '!E:E,'Shayak Income '!D381,'MPG Payment '!AJ:AJ)</f>
        <v>0</v>
      </c>
      <c r="AP381" s="19">
        <f t="shared" si="96"/>
        <v>0</v>
      </c>
      <c r="AQ381" s="119">
        <f t="shared" si="105"/>
        <v>0</v>
      </c>
      <c r="AR381" s="91" t="s">
        <v>1144</v>
      </c>
      <c r="AS381" s="91">
        <f t="shared" si="97"/>
        <v>0</v>
      </c>
      <c r="AT381" s="118"/>
      <c r="AU381" s="118"/>
      <c r="AV381" s="118"/>
    </row>
    <row r="382" spans="1:48" s="20" customFormat="1" x14ac:dyDescent="0.25">
      <c r="A382" s="17">
        <f>IFERROR(VLOOKUP(D382,'Monthly Deduction'!$I$3:$J$957,2,0),0)</f>
        <v>44075.354476185748</v>
      </c>
      <c r="B382" s="17">
        <f>IFERROR(VLOOKUP(D382,'Monthly Deduction'!$E$3:$F$957,2,0),0)</f>
        <v>9600</v>
      </c>
      <c r="C382" s="17">
        <f t="shared" si="98"/>
        <v>53675.354476185748</v>
      </c>
      <c r="D382" s="41">
        <v>10120104</v>
      </c>
      <c r="E382" s="122" t="str">
        <f>VLOOKUP(D382,'MPG Payment '!$E$3:$G$497305,2,0)</f>
        <v>Gomukh Mordiwa East</v>
      </c>
      <c r="F382" s="146">
        <f>IFERROR(_xlfn.XLOOKUP(D382,'Monthly Deduction'!$I$3:$I$957,'Monthly Deduction'!$H$3:$H$957),0)</f>
        <v>0</v>
      </c>
      <c r="G382" s="123" t="str">
        <f>VLOOKUP(D382,'MPG Payment '!$E$3:$G$333666,3,0)</f>
        <v>MPG</v>
      </c>
      <c r="H382" s="124" t="str">
        <f>VLOOKUP(D382,'MPG Payment '!$E$3:$H$333666,4,0)</f>
        <v>Direct</v>
      </c>
      <c r="I382" s="88">
        <f>INDEX('MPG Payment '!$C:$C,MATCH('Shayak Income '!D382,'MPG Payment '!E:E,0))</f>
        <v>1012</v>
      </c>
      <c r="J382" s="88" t="str">
        <f>INDEX('MPG Payment '!$D:$D,MATCH('Shayak Income '!D382,'MPG Payment '!E:E,0))</f>
        <v>DalsinghSarai</v>
      </c>
      <c r="K382" s="125" t="s">
        <v>1594</v>
      </c>
      <c r="L382" s="125">
        <v>45793</v>
      </c>
      <c r="M382" s="126">
        <f>SUMIF('MPG Payment '!$E$3:$E$344841,'Shayak Income '!D382,'MPG Payment '!$I$3:$I$344841)</f>
        <v>4974.0199999999995</v>
      </c>
      <c r="N382" s="126">
        <f>SUMIF('MPG Payment '!$E$3:$E$344841,'Shayak Income '!D382,'MPG Payment '!$J$3:$J$344841)</f>
        <v>199522.09</v>
      </c>
      <c r="O382" s="126">
        <f t="shared" si="99"/>
        <v>3730.5149999999994</v>
      </c>
      <c r="P382" s="126">
        <f t="shared" si="100"/>
        <v>4725.3189999999995</v>
      </c>
      <c r="Q382" s="126">
        <f>SUMIF('MPG Payment '!$E$3:$E$344841,'Shayak Income '!D382,'MPG Payment '!$S$3:$S$344841)</f>
        <v>711.66000000000008</v>
      </c>
      <c r="R382" s="126">
        <f t="shared" si="91"/>
        <v>5985.6626999999999</v>
      </c>
      <c r="S382" s="126">
        <f t="shared" si="92"/>
        <v>1260.3437000000004</v>
      </c>
      <c r="T382" s="126">
        <f t="shared" si="101"/>
        <v>497.40199999999999</v>
      </c>
      <c r="U382" s="127">
        <f>((((((IF(K382="New",0,SUMIF('MPG Payment '!$E$3:$E$344841,'Shayak Income '!D382,'MPG Payment '!$AC$3:$AC$344841))))+0)+0)+0)+0)+0</f>
        <v>0</v>
      </c>
      <c r="V382" s="127">
        <f t="shared" si="102"/>
        <v>8670</v>
      </c>
      <c r="W382" s="19">
        <f t="shared" si="106"/>
        <v>3990.4418000000001</v>
      </c>
      <c r="X382" s="19">
        <v>0</v>
      </c>
      <c r="Y382" s="128">
        <f>IFERROR(VLOOKUP(D382,'Monthly Deduction'!$M$2:$N$640,2,0),0)</f>
        <v>0</v>
      </c>
      <c r="Z382" s="128">
        <v>0</v>
      </c>
      <c r="AA382" s="126">
        <f>IFERROR(VLOOKUP(D382,'Monthly Deduction'!A:B,2,0),0)</f>
        <v>164.70000000000002</v>
      </c>
      <c r="AB382" s="129">
        <f t="shared" si="93"/>
        <v>4515</v>
      </c>
      <c r="AC382" s="130">
        <v>0</v>
      </c>
      <c r="AD382" s="35">
        <f t="shared" si="103"/>
        <v>4515</v>
      </c>
      <c r="AE382" s="166" t="str">
        <f t="shared" si="104"/>
        <v>Release</v>
      </c>
      <c r="AF382" s="127"/>
      <c r="AG382" s="18">
        <v>0</v>
      </c>
      <c r="AH382" s="120"/>
      <c r="AI382" s="238">
        <v>0</v>
      </c>
      <c r="AJ382" s="132"/>
      <c r="AK382" s="151">
        <v>1149.44</v>
      </c>
      <c r="AL382" s="154">
        <f t="shared" si="94"/>
        <v>0</v>
      </c>
      <c r="AM382" s="155"/>
      <c r="AN382" s="19">
        <f t="shared" si="95"/>
        <v>3990.4418000000001</v>
      </c>
      <c r="AO382" s="118">
        <f>SUMIF('MPG Payment '!E:E,'Shayak Income '!D382,'MPG Payment '!AJ:AJ)</f>
        <v>0</v>
      </c>
      <c r="AP382" s="19">
        <f t="shared" si="96"/>
        <v>3990.4418000000001</v>
      </c>
      <c r="AQ382" s="119">
        <f t="shared" si="105"/>
        <v>3990.4418000000001</v>
      </c>
      <c r="AR382" s="91" t="s">
        <v>1144</v>
      </c>
      <c r="AS382" s="91">
        <f t="shared" si="97"/>
        <v>9600</v>
      </c>
      <c r="AT382" s="118"/>
      <c r="AU382" s="118"/>
      <c r="AV382" s="118"/>
    </row>
    <row r="383" spans="1:48" s="20" customFormat="1" x14ac:dyDescent="0.25">
      <c r="A383" s="17">
        <f>IFERROR(VLOOKUP(D383,'Monthly Deduction'!$I$3:$J$957,2,0),0)</f>
        <v>0</v>
      </c>
      <c r="B383" s="17">
        <f>IFERROR(VLOOKUP(D383,'Monthly Deduction'!$E$3:$F$957,2,0),0)</f>
        <v>0</v>
      </c>
      <c r="C383" s="17">
        <f t="shared" si="98"/>
        <v>0</v>
      </c>
      <c r="D383" s="41">
        <v>10120106</v>
      </c>
      <c r="E383" s="122" t="str">
        <f>VLOOKUP(D383,'MPG Payment '!$E$3:$G$497305,2,0)</f>
        <v>Gomukh Belamegh</v>
      </c>
      <c r="F383" s="146">
        <f>IFERROR(_xlfn.XLOOKUP(D383,'Monthly Deduction'!$I$3:$I$957,'Monthly Deduction'!$H$3:$H$957),0)</f>
        <v>0</v>
      </c>
      <c r="G383" s="123" t="str">
        <f>VLOOKUP(D383,'MPG Payment '!$E$3:$G$333666,3,0)</f>
        <v>vlc</v>
      </c>
      <c r="H383" s="124" t="str">
        <f>VLOOKUP(D383,'MPG Payment '!$E$3:$H$333666,4,0)</f>
        <v>Indirect</v>
      </c>
      <c r="I383" s="88">
        <f>INDEX('MPG Payment '!$C:$C,MATCH('Shayak Income '!D383,'MPG Payment '!E:E,0))</f>
        <v>1012</v>
      </c>
      <c r="J383" s="88" t="str">
        <f>INDEX('MPG Payment '!$D:$D,MATCH('Shayak Income '!D383,'MPG Payment '!E:E,0))</f>
        <v>DalsinghSarai</v>
      </c>
      <c r="K383" s="125" t="s">
        <v>1594</v>
      </c>
      <c r="L383" s="125">
        <v>45783</v>
      </c>
      <c r="M383" s="126">
        <f>SUMIF('MPG Payment '!$E$3:$E$344841,'Shayak Income '!D383,'MPG Payment '!$I$3:$I$344841)</f>
        <v>5959.65</v>
      </c>
      <c r="N383" s="126">
        <f>SUMIF('MPG Payment '!$E$3:$E$344841,'Shayak Income '!D383,'MPG Payment '!$J$3:$J$344841)</f>
        <v>227647.46000000002</v>
      </c>
      <c r="O383" s="126">
        <f t="shared" si="99"/>
        <v>4469.7374999999993</v>
      </c>
      <c r="P383" s="126">
        <f t="shared" si="100"/>
        <v>5661.6674999999996</v>
      </c>
      <c r="Q383" s="126">
        <f>SUMIF('MPG Payment '!$E$3:$E$344841,'Shayak Income '!D383,'MPG Payment '!$S$3:$S$344841)</f>
        <v>0</v>
      </c>
      <c r="R383" s="126">
        <f t="shared" si="91"/>
        <v>6829.4238000000005</v>
      </c>
      <c r="S383" s="126">
        <f t="shared" si="92"/>
        <v>1167.7563000000009</v>
      </c>
      <c r="T383" s="126">
        <f t="shared" si="101"/>
        <v>595.96500000000003</v>
      </c>
      <c r="U383" s="127">
        <f>((((((IF(K383="New",0,SUMIF('MPG Payment '!$E$3:$E$344841,'Shayak Income '!D383,'MPG Payment '!$AC$3:$AC$344841))))+0)+0)+0)+0)+0</f>
        <v>0</v>
      </c>
      <c r="V383" s="127">
        <f t="shared" si="102"/>
        <v>9535</v>
      </c>
      <c r="W383" s="19">
        <f t="shared" si="106"/>
        <v>0</v>
      </c>
      <c r="X383" s="19">
        <f t="shared" si="107"/>
        <v>0</v>
      </c>
      <c r="Y383" s="128">
        <f>IFERROR(VLOOKUP(D383,'Monthly Deduction'!$M$2:$N$640,2,0),0)</f>
        <v>0</v>
      </c>
      <c r="Z383" s="128">
        <v>0</v>
      </c>
      <c r="AA383" s="126">
        <f>IFERROR(VLOOKUP(D383,'Monthly Deduction'!A:B,2,0),0)</f>
        <v>0</v>
      </c>
      <c r="AB383" s="129">
        <f t="shared" si="93"/>
        <v>9535</v>
      </c>
      <c r="AC383" s="130">
        <v>0</v>
      </c>
      <c r="AD383" s="35">
        <f t="shared" si="103"/>
        <v>9535</v>
      </c>
      <c r="AE383" s="166" t="str">
        <f t="shared" si="104"/>
        <v>Release</v>
      </c>
      <c r="AF383" s="127"/>
      <c r="AG383" s="18">
        <v>0</v>
      </c>
      <c r="AH383" s="120"/>
      <c r="AI383" s="238">
        <v>0</v>
      </c>
      <c r="AJ383" s="132"/>
      <c r="AK383" s="151">
        <v>980</v>
      </c>
      <c r="AL383" s="154">
        <f t="shared" si="94"/>
        <v>0</v>
      </c>
      <c r="AM383" s="155"/>
      <c r="AN383" s="19">
        <f t="shared" si="95"/>
        <v>0</v>
      </c>
      <c r="AO383" s="118">
        <f>SUMIF('MPG Payment '!E:E,'Shayak Income '!D383,'MPG Payment '!AJ:AJ)</f>
        <v>0</v>
      </c>
      <c r="AP383" s="19">
        <f t="shared" si="96"/>
        <v>0</v>
      </c>
      <c r="AQ383" s="119">
        <f t="shared" si="105"/>
        <v>0</v>
      </c>
      <c r="AR383" s="91" t="s">
        <v>1144</v>
      </c>
      <c r="AS383" s="91">
        <f t="shared" si="97"/>
        <v>0</v>
      </c>
      <c r="AT383" s="118"/>
      <c r="AU383" s="118"/>
      <c r="AV383" s="118"/>
    </row>
    <row r="384" spans="1:48" s="20" customFormat="1" x14ac:dyDescent="0.25">
      <c r="A384" s="17">
        <f>IFERROR(VLOOKUP(D384,'Monthly Deduction'!$I$3:$J$957,2,0),0)</f>
        <v>45566.31619818334</v>
      </c>
      <c r="B384" s="17">
        <f>IFERROR(VLOOKUP(D384,'Monthly Deduction'!$E$3:$F$957,2,0),0)</f>
        <v>12800</v>
      </c>
      <c r="C384" s="17">
        <f t="shared" si="98"/>
        <v>58366.31619818334</v>
      </c>
      <c r="D384" s="41">
        <v>10120107</v>
      </c>
      <c r="E384" s="122" t="str">
        <f>VLOOKUP(D384,'MPG Payment '!$E$3:$G$497305,2,0)</f>
        <v>Gomukh Ramaiya</v>
      </c>
      <c r="F384" s="146">
        <f>IFERROR(_xlfn.XLOOKUP(D384,'Monthly Deduction'!$I$3:$I$957,'Monthly Deduction'!$H$3:$H$957),0)</f>
        <v>0</v>
      </c>
      <c r="G384" s="123" t="str">
        <f>VLOOKUP(D384,'MPG Payment '!$E$3:$G$333666,3,0)</f>
        <v>MPG</v>
      </c>
      <c r="H384" s="124" t="str">
        <f>VLOOKUP(D384,'MPG Payment '!$E$3:$H$333666,4,0)</f>
        <v>Direct</v>
      </c>
      <c r="I384" s="88">
        <f>INDEX('MPG Payment '!$C:$C,MATCH('Shayak Income '!D384,'MPG Payment '!E:E,0))</f>
        <v>1012</v>
      </c>
      <c r="J384" s="88" t="str">
        <f>INDEX('MPG Payment '!$D:$D,MATCH('Shayak Income '!D384,'MPG Payment '!E:E,0))</f>
        <v>DalsinghSarai</v>
      </c>
      <c r="K384" s="125" t="s">
        <v>1594</v>
      </c>
      <c r="L384" s="125">
        <v>45798</v>
      </c>
      <c r="M384" s="126">
        <f>SUMIF('MPG Payment '!$E$3:$E$344841,'Shayak Income '!D384,'MPG Payment '!$I$3:$I$344841)</f>
        <v>2982.58</v>
      </c>
      <c r="N384" s="126">
        <f>SUMIF('MPG Payment '!$E$3:$E$344841,'Shayak Income '!D384,'MPG Payment '!$J$3:$J$344841)</f>
        <v>121159.32999999999</v>
      </c>
      <c r="O384" s="126">
        <f t="shared" si="99"/>
        <v>2236.9349999999999</v>
      </c>
      <c r="P384" s="126">
        <f t="shared" si="100"/>
        <v>2833.451</v>
      </c>
      <c r="Q384" s="126">
        <f>SUMIF('MPG Payment '!$E$3:$E$344841,'Shayak Income '!D384,'MPG Payment '!$S$3:$S$344841)</f>
        <v>0</v>
      </c>
      <c r="R384" s="126">
        <f t="shared" si="91"/>
        <v>3634.7798999999995</v>
      </c>
      <c r="S384" s="126">
        <f t="shared" si="92"/>
        <v>801.32889999999952</v>
      </c>
      <c r="T384" s="126">
        <f t="shared" si="101"/>
        <v>298.25799999999998</v>
      </c>
      <c r="U384" s="127">
        <f>((((((IF(K384="New",0,SUMIF('MPG Payment '!$E$3:$E$344841,'Shayak Income '!D384,'MPG Payment '!$AC$3:$AC$344841))))+0)+0)+0)+0)+0</f>
        <v>2.4167862266858084</v>
      </c>
      <c r="V384" s="127">
        <f t="shared" si="102"/>
        <v>4770</v>
      </c>
      <c r="W384" s="19">
        <f t="shared" si="106"/>
        <v>2423.1866</v>
      </c>
      <c r="X384" s="19">
        <v>0</v>
      </c>
      <c r="Y384" s="128">
        <v>2347</v>
      </c>
      <c r="Z384" s="128">
        <v>0</v>
      </c>
      <c r="AA384" s="126">
        <f>IFERROR(VLOOKUP(D384,'Monthly Deduction'!A:B,2,0),0)</f>
        <v>0</v>
      </c>
      <c r="AB384" s="129">
        <f t="shared" si="93"/>
        <v>0</v>
      </c>
      <c r="AC384" s="130">
        <v>0</v>
      </c>
      <c r="AD384" s="35">
        <f t="shared" si="103"/>
        <v>0</v>
      </c>
      <c r="AE384" s="166" t="str">
        <f t="shared" si="104"/>
        <v>Release</v>
      </c>
      <c r="AF384" s="127"/>
      <c r="AG384" s="18">
        <v>0</v>
      </c>
      <c r="AH384" s="120"/>
      <c r="AI384" s="238">
        <v>0</v>
      </c>
      <c r="AJ384" s="132"/>
      <c r="AK384" s="151">
        <v>667.84999999999991</v>
      </c>
      <c r="AL384" s="154">
        <f t="shared" si="94"/>
        <v>0</v>
      </c>
      <c r="AM384" s="155"/>
      <c r="AN384" s="19">
        <f t="shared" si="95"/>
        <v>2423.1866</v>
      </c>
      <c r="AO384" s="118">
        <f>SUMIF('MPG Payment '!E:E,'Shayak Income '!D384,'MPG Payment '!AJ:AJ)</f>
        <v>0</v>
      </c>
      <c r="AP384" s="19">
        <f t="shared" si="96"/>
        <v>2423.1866</v>
      </c>
      <c r="AQ384" s="119">
        <f t="shared" si="105"/>
        <v>2423.1866</v>
      </c>
      <c r="AR384" s="91" t="s">
        <v>1144</v>
      </c>
      <c r="AS384" s="91">
        <f t="shared" si="97"/>
        <v>12800</v>
      </c>
      <c r="AT384" s="118"/>
      <c r="AU384" s="118"/>
      <c r="AV384" s="118"/>
    </row>
    <row r="385" spans="1:48" s="20" customFormat="1" x14ac:dyDescent="0.25">
      <c r="A385" s="17">
        <f>IFERROR(VLOOKUP(D385,'Monthly Deduction'!$I$3:$J$957,2,0),0)</f>
        <v>75947.503564829647</v>
      </c>
      <c r="B385" s="17">
        <f>IFERROR(VLOOKUP(D385,'Monthly Deduction'!$E$3:$F$957,2,0),0)</f>
        <v>12800</v>
      </c>
      <c r="C385" s="17">
        <f t="shared" si="98"/>
        <v>88747.503564829647</v>
      </c>
      <c r="D385" s="41">
        <v>10120108</v>
      </c>
      <c r="E385" s="122" t="str">
        <f>VLOOKUP(D385,'MPG Payment '!$E$3:$G$497305,2,0)</f>
        <v>GOMUKH MANIKA EAST</v>
      </c>
      <c r="F385" s="146">
        <f>IFERROR(_xlfn.XLOOKUP(D385,'Monthly Deduction'!$I$3:$I$957,'Monthly Deduction'!$H$3:$H$957),0)</f>
        <v>0</v>
      </c>
      <c r="G385" s="123" t="str">
        <f>VLOOKUP(D385,'MPG Payment '!$E$3:$G$333666,3,0)</f>
        <v>MPG</v>
      </c>
      <c r="H385" s="124" t="str">
        <f>VLOOKUP(D385,'MPG Payment '!$E$3:$H$333666,4,0)</f>
        <v>Direct</v>
      </c>
      <c r="I385" s="88">
        <f>INDEX('MPG Payment '!$C:$C,MATCH('Shayak Income '!D385,'MPG Payment '!E:E,0))</f>
        <v>1012</v>
      </c>
      <c r="J385" s="88" t="str">
        <f>INDEX('MPG Payment '!$D:$D,MATCH('Shayak Income '!D385,'MPG Payment '!E:E,0))</f>
        <v>DalsinghSarai</v>
      </c>
      <c r="K385" s="125" t="s">
        <v>1594</v>
      </c>
      <c r="L385" s="125">
        <v>45869</v>
      </c>
      <c r="M385" s="126">
        <f>SUMIF('MPG Payment '!$E$3:$E$344841,'Shayak Income '!D385,'MPG Payment '!$I$3:$I$344841)</f>
        <v>2498.4000000000005</v>
      </c>
      <c r="N385" s="126">
        <f>SUMIF('MPG Payment '!$E$3:$E$344841,'Shayak Income '!D385,'MPG Payment '!$J$3:$J$344841)</f>
        <v>97871.63</v>
      </c>
      <c r="O385" s="126">
        <f t="shared" si="99"/>
        <v>1873.8000000000004</v>
      </c>
      <c r="P385" s="126">
        <f t="shared" si="100"/>
        <v>2373.4800000000005</v>
      </c>
      <c r="Q385" s="126">
        <f>SUMIF('MPG Payment '!$E$3:$E$344841,'Shayak Income '!D385,'MPG Payment '!$S$3:$S$344841)</f>
        <v>0</v>
      </c>
      <c r="R385" s="126">
        <f t="shared" si="91"/>
        <v>2936.1489000000001</v>
      </c>
      <c r="S385" s="126">
        <f t="shared" si="92"/>
        <v>562.66889999999967</v>
      </c>
      <c r="T385" s="126">
        <f t="shared" si="101"/>
        <v>249.84000000000006</v>
      </c>
      <c r="U385" s="127">
        <f>((((((IF(K385="New",0,SUMIF('MPG Payment '!$E$3:$E$344841,'Shayak Income '!D385,'MPG Payment '!$AC$3:$AC$344841))))+0)+0)+0)+0)+0</f>
        <v>234.30405863093284</v>
      </c>
      <c r="V385" s="127">
        <f t="shared" si="102"/>
        <v>3763</v>
      </c>
      <c r="W385" s="19">
        <f t="shared" si="106"/>
        <v>1957.4326000000001</v>
      </c>
      <c r="X385" s="19">
        <v>0</v>
      </c>
      <c r="Y385" s="128">
        <f>IFERROR(VLOOKUP(D385,'Monthly Deduction'!$M$2:$N$640,2,0),0)</f>
        <v>0</v>
      </c>
      <c r="Z385" s="128">
        <v>0</v>
      </c>
      <c r="AA385" s="126">
        <f>IFERROR(VLOOKUP(D385,'Monthly Deduction'!A:B,2,0),0)</f>
        <v>274.5</v>
      </c>
      <c r="AB385" s="129">
        <f t="shared" si="93"/>
        <v>1531</v>
      </c>
      <c r="AC385" s="130">
        <f>AB385</f>
        <v>1531</v>
      </c>
      <c r="AD385" s="35">
        <f t="shared" si="103"/>
        <v>0</v>
      </c>
      <c r="AE385" s="166" t="str">
        <f t="shared" si="104"/>
        <v>Yes</v>
      </c>
      <c r="AF385" s="127"/>
      <c r="AG385" s="18">
        <v>0</v>
      </c>
      <c r="AH385" s="120" t="s">
        <v>1686</v>
      </c>
      <c r="AI385" s="238">
        <v>5686</v>
      </c>
      <c r="AJ385" s="132"/>
      <c r="AK385" s="151">
        <v>416.7600000000001</v>
      </c>
      <c r="AL385" s="154">
        <f t="shared" si="94"/>
        <v>0</v>
      </c>
      <c r="AM385" s="155"/>
      <c r="AN385" s="19">
        <f t="shared" si="95"/>
        <v>1957.4326000000001</v>
      </c>
      <c r="AO385" s="118">
        <f>SUMIF('MPG Payment '!E:E,'Shayak Income '!D385,'MPG Payment '!AJ:AJ)</f>
        <v>0</v>
      </c>
      <c r="AP385" s="19">
        <f t="shared" si="96"/>
        <v>1957.4326000000001</v>
      </c>
      <c r="AQ385" s="119">
        <f t="shared" si="105"/>
        <v>1957.4326000000001</v>
      </c>
      <c r="AR385" s="91" t="s">
        <v>1144</v>
      </c>
      <c r="AS385" s="91">
        <f t="shared" si="97"/>
        <v>12800</v>
      </c>
      <c r="AT385" s="118"/>
      <c r="AU385" s="118"/>
      <c r="AV385" s="118"/>
    </row>
    <row r="386" spans="1:48" s="20" customFormat="1" x14ac:dyDescent="0.25">
      <c r="A386" s="17">
        <f>IFERROR(VLOOKUP(D386,'Monthly Deduction'!$I$3:$J$957,2,0),0)</f>
        <v>55990.426691144647</v>
      </c>
      <c r="B386" s="17">
        <f>IFERROR(VLOOKUP(D386,'Monthly Deduction'!$E$3:$F$957,2,0),0)</f>
        <v>12800</v>
      </c>
      <c r="C386" s="17">
        <f t="shared" si="98"/>
        <v>68790.426691144647</v>
      </c>
      <c r="D386" s="41">
        <v>10120111</v>
      </c>
      <c r="E386" s="122" t="str">
        <f>VLOOKUP(D386,'MPG Payment '!$E$3:$G$497305,2,0)</f>
        <v>GOMUKH Kisanpur Tabhka</v>
      </c>
      <c r="F386" s="146">
        <f>IFERROR(_xlfn.XLOOKUP(D386,'Monthly Deduction'!$I$3:$I$957,'Monthly Deduction'!$H$3:$H$957),0)</f>
        <v>0</v>
      </c>
      <c r="G386" s="123" t="str">
        <f>VLOOKUP(D386,'MPG Payment '!$E$3:$G$333666,3,0)</f>
        <v>MPG</v>
      </c>
      <c r="H386" s="124" t="str">
        <f>VLOOKUP(D386,'MPG Payment '!$E$3:$H$333666,4,0)</f>
        <v>Direct</v>
      </c>
      <c r="I386" s="88">
        <f>INDEX('MPG Payment '!$C:$C,MATCH('Shayak Income '!D386,'MPG Payment '!E:E,0))</f>
        <v>1012</v>
      </c>
      <c r="J386" s="88" t="str">
        <f>INDEX('MPG Payment '!$D:$D,MATCH('Shayak Income '!D386,'MPG Payment '!E:E,0))</f>
        <v>DalsinghSarai</v>
      </c>
      <c r="K386" s="125" t="s">
        <v>1594</v>
      </c>
      <c r="L386" s="125">
        <v>45870</v>
      </c>
      <c r="M386" s="126">
        <f>SUMIF('MPG Payment '!$E$3:$E$344841,'Shayak Income '!D386,'MPG Payment '!$I$3:$I$344841)</f>
        <v>4080.46</v>
      </c>
      <c r="N386" s="126">
        <f>SUMIF('MPG Payment '!$E$3:$E$344841,'Shayak Income '!D386,'MPG Payment '!$J$3:$J$344841)</f>
        <v>165642.47</v>
      </c>
      <c r="O386" s="126">
        <f t="shared" si="99"/>
        <v>3060.3450000000003</v>
      </c>
      <c r="P386" s="126">
        <f t="shared" si="100"/>
        <v>3876.4369999999999</v>
      </c>
      <c r="Q386" s="126">
        <f>SUMIF('MPG Payment '!$E$3:$E$344841,'Shayak Income '!D386,'MPG Payment '!$S$3:$S$344841)</f>
        <v>77.12</v>
      </c>
      <c r="R386" s="126">
        <f t="shared" si="91"/>
        <v>4969.2740999999996</v>
      </c>
      <c r="S386" s="126">
        <f t="shared" si="92"/>
        <v>1092.8370999999997</v>
      </c>
      <c r="T386" s="126">
        <f t="shared" si="101"/>
        <v>408.04600000000005</v>
      </c>
      <c r="U386" s="127">
        <f>((((((IF(K386="New",0,SUMIF('MPG Payment '!$E$3:$E$344841,'Shayak Income '!D386,'MPG Payment '!$AC$3:$AC$344841))))+0)+0)+0)+0)+0</f>
        <v>0</v>
      </c>
      <c r="V386" s="127">
        <f t="shared" si="102"/>
        <v>6606</v>
      </c>
      <c r="W386" s="19">
        <f t="shared" si="106"/>
        <v>3312.8494000000001</v>
      </c>
      <c r="X386" s="19">
        <v>0</v>
      </c>
      <c r="Y386" s="128">
        <f>IFERROR(VLOOKUP(D386,'Monthly Deduction'!$M$2:$N$640,2,0),0)</f>
        <v>0</v>
      </c>
      <c r="Z386" s="128">
        <v>0</v>
      </c>
      <c r="AA386" s="126">
        <f>IFERROR(VLOOKUP(D386,'Monthly Deduction'!A:B,2,0),0)</f>
        <v>274.5</v>
      </c>
      <c r="AB386" s="129">
        <f t="shared" si="93"/>
        <v>3019</v>
      </c>
      <c r="AC386" s="130">
        <v>0</v>
      </c>
      <c r="AD386" s="35">
        <f t="shared" si="103"/>
        <v>3019</v>
      </c>
      <c r="AE386" s="166" t="str">
        <f t="shared" si="104"/>
        <v>Release</v>
      </c>
      <c r="AF386" s="127"/>
      <c r="AG386" s="18">
        <v>0</v>
      </c>
      <c r="AH386" s="120"/>
      <c r="AI386" s="238">
        <v>0</v>
      </c>
      <c r="AJ386" s="132"/>
      <c r="AK386" s="151">
        <v>895.17</v>
      </c>
      <c r="AL386" s="154">
        <f t="shared" si="94"/>
        <v>0</v>
      </c>
      <c r="AM386" s="155"/>
      <c r="AN386" s="19">
        <f t="shared" si="95"/>
        <v>3312.8494000000001</v>
      </c>
      <c r="AO386" s="118">
        <f>SUMIF('MPG Payment '!E:E,'Shayak Income '!D386,'MPG Payment '!AJ:AJ)</f>
        <v>0</v>
      </c>
      <c r="AP386" s="19">
        <f t="shared" si="96"/>
        <v>3312.8494000000001</v>
      </c>
      <c r="AQ386" s="119">
        <f t="shared" si="105"/>
        <v>3312.8494000000001</v>
      </c>
      <c r="AR386" s="91" t="s">
        <v>1144</v>
      </c>
      <c r="AS386" s="91">
        <f t="shared" si="97"/>
        <v>12800</v>
      </c>
      <c r="AT386" s="118"/>
      <c r="AU386" s="118"/>
      <c r="AV386" s="118"/>
    </row>
    <row r="387" spans="1:48" s="20" customFormat="1" x14ac:dyDescent="0.25">
      <c r="A387" s="17">
        <f>IFERROR(VLOOKUP(D387,'Monthly Deduction'!$I$3:$J$957,2,0),0)</f>
        <v>125.22539376100758</v>
      </c>
      <c r="B387" s="17">
        <f>IFERROR(VLOOKUP(D387,'Monthly Deduction'!$E$3:$F$957,2,0),0)</f>
        <v>4162.4417999999987</v>
      </c>
      <c r="C387" s="17">
        <f t="shared" si="98"/>
        <v>4287.6671937610063</v>
      </c>
      <c r="D387" s="41">
        <v>10130001</v>
      </c>
      <c r="E387" s="122" t="str">
        <f>VLOOKUP(D387,'MPG Payment '!$E$3:$G$497305,2,0)</f>
        <v>GOMUKH BANGHARH KISHANPUR</v>
      </c>
      <c r="F387" s="146">
        <f>IFERROR(_xlfn.XLOOKUP(D387,'Monthly Deduction'!$I$3:$I$957,'Monthly Deduction'!$H$3:$H$957),0)</f>
        <v>0</v>
      </c>
      <c r="G387" s="123" t="str">
        <f>VLOOKUP(D387,'MPG Payment '!$E$3:$G$333666,3,0)</f>
        <v>MPG</v>
      </c>
      <c r="H387" s="124" t="str">
        <f>VLOOKUP(D387,'MPG Payment '!$E$3:$H$333666,4,0)</f>
        <v>Direct</v>
      </c>
      <c r="I387" s="88">
        <f>INDEX('MPG Payment '!$C:$C,MATCH('Shayak Income '!D387,'MPG Payment '!E:E,0))</f>
        <v>1013</v>
      </c>
      <c r="J387" s="88" t="str">
        <f>INDEX('MPG Payment '!$D:$D,MATCH('Shayak Income '!D387,'MPG Payment '!E:E,0))</f>
        <v>Musrigharari</v>
      </c>
      <c r="K387" s="125" t="s">
        <v>1594</v>
      </c>
      <c r="L387" s="125">
        <v>43622</v>
      </c>
      <c r="M387" s="126">
        <f>SUMIF('MPG Payment '!$E$3:$E$344841,'Shayak Income '!D387,'MPG Payment '!$I$3:$I$344841)</f>
        <v>2676.2000000000007</v>
      </c>
      <c r="N387" s="126">
        <f>SUMIF('MPG Payment '!$E$3:$E$344841,'Shayak Income '!D387,'MPG Payment '!$J$3:$J$344841)</f>
        <v>100802.41</v>
      </c>
      <c r="O387" s="126">
        <f t="shared" si="99"/>
        <v>2007.1500000000005</v>
      </c>
      <c r="P387" s="126">
        <f t="shared" si="100"/>
        <v>2542.3900000000008</v>
      </c>
      <c r="Q387" s="126">
        <f>SUMIF('MPG Payment '!$E$3:$E$344841,'Shayak Income '!D387,'MPG Payment '!$S$3:$S$344841)</f>
        <v>521.70000000000005</v>
      </c>
      <c r="R387" s="126">
        <f t="shared" si="91"/>
        <v>3024.0722999999998</v>
      </c>
      <c r="S387" s="126">
        <f t="shared" si="92"/>
        <v>481.68229999999903</v>
      </c>
      <c r="T387" s="126">
        <f t="shared" si="101"/>
        <v>267.62000000000006</v>
      </c>
      <c r="U387" s="127">
        <f>((((((IF(K387="New",0,SUMIF('MPG Payment '!$E$3:$E$344841,'Shayak Income '!D387,'MPG Payment '!$AC$3:$AC$344841))))+0)+0)+0)+0)+0</f>
        <v>203.87786650653817</v>
      </c>
      <c r="V387" s="127">
        <f t="shared" si="102"/>
        <v>4600</v>
      </c>
      <c r="W387" s="19">
        <f t="shared" si="106"/>
        <v>125.22539376100758</v>
      </c>
      <c r="X387" s="19">
        <v>0</v>
      </c>
      <c r="Y387" s="128">
        <f>IFERROR(VLOOKUP(D387,'Monthly Deduction'!$M$2:$N$640,2,0),0)</f>
        <v>0</v>
      </c>
      <c r="Z387" s="128">
        <v>424.8</v>
      </c>
      <c r="AA387" s="126">
        <f>IFERROR(VLOOKUP(D387,'Monthly Deduction'!A:B,2,0),0)</f>
        <v>109.80000000000001</v>
      </c>
      <c r="AB387" s="129">
        <f t="shared" si="93"/>
        <v>3940</v>
      </c>
      <c r="AC387" s="130">
        <v>0</v>
      </c>
      <c r="AD387" s="35">
        <f t="shared" si="103"/>
        <v>3940</v>
      </c>
      <c r="AE387" s="166" t="str">
        <f t="shared" si="104"/>
        <v>Release</v>
      </c>
      <c r="AF387" s="127"/>
      <c r="AG387" s="127">
        <v>0</v>
      </c>
      <c r="AH387" s="132" t="s">
        <v>1680</v>
      </c>
      <c r="AI387" s="238">
        <v>0</v>
      </c>
      <c r="AJ387" s="132"/>
      <c r="AK387" s="151">
        <v>512.79999999999995</v>
      </c>
      <c r="AL387" s="154">
        <f t="shared" si="94"/>
        <v>0</v>
      </c>
      <c r="AM387" s="155"/>
      <c r="AN387" s="19">
        <f t="shared" si="95"/>
        <v>125.22539376100758</v>
      </c>
      <c r="AO387" s="118">
        <f>SUMIF('MPG Payment '!E:E,'Shayak Income '!D387,'MPG Payment '!AJ:AJ)</f>
        <v>0</v>
      </c>
      <c r="AP387" s="19">
        <f t="shared" si="96"/>
        <v>125.22539376100758</v>
      </c>
      <c r="AQ387" s="119">
        <f t="shared" si="105"/>
        <v>125.22539376100758</v>
      </c>
      <c r="AR387" s="91" t="s">
        <v>1144</v>
      </c>
      <c r="AS387" s="91">
        <f t="shared" si="97"/>
        <v>4162.4417999999987</v>
      </c>
      <c r="AT387" s="118"/>
      <c r="AU387" s="118"/>
      <c r="AV387" s="118"/>
    </row>
    <row r="388" spans="1:48" s="20" customFormat="1" x14ac:dyDescent="0.25">
      <c r="A388" s="17">
        <f>IFERROR(VLOOKUP(D388,'Monthly Deduction'!$I$3:$J$957,2,0),0)</f>
        <v>0</v>
      </c>
      <c r="B388" s="17">
        <f>IFERROR(VLOOKUP(D388,'Monthly Deduction'!$E$3:$F$957,2,0),0)</f>
        <v>13576.075400000002</v>
      </c>
      <c r="C388" s="17">
        <f t="shared" si="98"/>
        <v>13576.075400000002</v>
      </c>
      <c r="D388" s="41">
        <v>10130002</v>
      </c>
      <c r="E388" s="122" t="str">
        <f>VLOOKUP(D388,'MPG Payment '!$E$3:$G$497305,2,0)</f>
        <v>Gomukh Serpur Narsari</v>
      </c>
      <c r="F388" s="146">
        <f>IFERROR(_xlfn.XLOOKUP(D388,'Monthly Deduction'!$I$3:$I$957,'Monthly Deduction'!$H$3:$H$957),0)</f>
        <v>0</v>
      </c>
      <c r="G388" s="123" t="str">
        <f>VLOOKUP(D388,'MPG Payment '!$E$3:$G$333666,3,0)</f>
        <v>vlc</v>
      </c>
      <c r="H388" s="124" t="str">
        <f>VLOOKUP(D388,'MPG Payment '!$E$3:$H$333666,4,0)</f>
        <v>Indirect</v>
      </c>
      <c r="I388" s="88">
        <f>INDEX('MPG Payment '!$C:$C,MATCH('Shayak Income '!D388,'MPG Payment '!E:E,0))</f>
        <v>1013</v>
      </c>
      <c r="J388" s="88" t="str">
        <f>INDEX('MPG Payment '!$D:$D,MATCH('Shayak Income '!D388,'MPG Payment '!E:E,0))</f>
        <v>Musrigharari</v>
      </c>
      <c r="K388" s="125" t="s">
        <v>1594</v>
      </c>
      <c r="L388" s="125">
        <v>43756</v>
      </c>
      <c r="M388" s="126">
        <f>SUMIF('MPG Payment '!$E$3:$E$344841,'Shayak Income '!D388,'MPG Payment '!$I$3:$I$344841)</f>
        <v>827.4</v>
      </c>
      <c r="N388" s="126">
        <f>SUMIF('MPG Payment '!$E$3:$E$344841,'Shayak Income '!D388,'MPG Payment '!$J$3:$J$344841)</f>
        <v>30189.360000000001</v>
      </c>
      <c r="O388" s="126">
        <f t="shared" si="99"/>
        <v>620.54999999999995</v>
      </c>
      <c r="P388" s="126">
        <f t="shared" si="100"/>
        <v>786.03</v>
      </c>
      <c r="Q388" s="126">
        <f>SUMIF('MPG Payment '!$E$3:$E$344841,'Shayak Income '!D388,'MPG Payment '!$S$3:$S$344841)</f>
        <v>0</v>
      </c>
      <c r="R388" s="126">
        <f t="shared" ref="R388:R451" si="108">+N388*3%</f>
        <v>905.68079999999998</v>
      </c>
      <c r="S388" s="126">
        <f t="shared" ref="S388:S451" si="109">R388-P388</f>
        <v>119.6508</v>
      </c>
      <c r="T388" s="126">
        <f t="shared" si="101"/>
        <v>82.740000000000009</v>
      </c>
      <c r="U388" s="127">
        <f>((((((IF(K388="New",0,SUMIF('MPG Payment '!$E$3:$E$344841,'Shayak Income '!D388,'MPG Payment '!$AC$3:$AC$344841))))+0)+0)+0)+0)+-105</f>
        <v>1323.9372319202471</v>
      </c>
      <c r="V388" s="127">
        <f t="shared" si="102"/>
        <v>0</v>
      </c>
      <c r="W388" s="19">
        <v>0</v>
      </c>
      <c r="X388" s="19">
        <v>0</v>
      </c>
      <c r="Y388" s="128">
        <v>0</v>
      </c>
      <c r="Z388" s="128">
        <v>0</v>
      </c>
      <c r="AA388" s="126">
        <v>0</v>
      </c>
      <c r="AB388" s="129">
        <f t="shared" ref="AB388:AB451" si="110">ROUND(IFERROR(V388-SUM(W388:AA388),0),0)</f>
        <v>0</v>
      </c>
      <c r="AC388" s="130">
        <v>0</v>
      </c>
      <c r="AD388" s="35">
        <f t="shared" si="103"/>
        <v>0</v>
      </c>
      <c r="AE388" s="166" t="str">
        <f t="shared" si="104"/>
        <v>Release</v>
      </c>
      <c r="AF388" s="127"/>
      <c r="AG388" s="18">
        <v>0</v>
      </c>
      <c r="AH388" s="132"/>
      <c r="AI388" s="238">
        <v>0</v>
      </c>
      <c r="AJ388" s="132"/>
      <c r="AK388" s="151">
        <v>205.99999999999997</v>
      </c>
      <c r="AL388" s="154">
        <f t="shared" ref="AL388:AL451" si="111">COUNTIF(AK388:AK388,"=NA")</f>
        <v>0</v>
      </c>
      <c r="AM388" s="155"/>
      <c r="AN388" s="19">
        <f t="shared" ref="AN388:AN451" si="112">((MIN(IF(A388&gt;0,MAX(N388*2%,1861),0),A388)))+0</f>
        <v>0</v>
      </c>
      <c r="AO388" s="118">
        <f>SUMIF('MPG Payment '!E:E,'Shayak Income '!D388,'MPG Payment '!AJ:AJ)</f>
        <v>0</v>
      </c>
      <c r="AP388" s="19">
        <f t="shared" ref="AP388:AP451" si="113">W388</f>
        <v>0</v>
      </c>
      <c r="AQ388" s="119">
        <f t="shared" si="105"/>
        <v>0</v>
      </c>
      <c r="AR388" s="91" t="s">
        <v>1144</v>
      </c>
      <c r="AS388" s="91">
        <f t="shared" ref="AS388:AS451" si="114">B388-X388</f>
        <v>13576.075400000002</v>
      </c>
      <c r="AT388" s="118"/>
      <c r="AU388" s="118"/>
      <c r="AV388" s="118"/>
    </row>
    <row r="389" spans="1:48" s="20" customFormat="1" x14ac:dyDescent="0.25">
      <c r="A389" s="17">
        <f>IFERROR(VLOOKUP(D389,'Monthly Deduction'!$I$3:$J$957,2,0),0)</f>
        <v>0</v>
      </c>
      <c r="B389" s="17">
        <f>IFERROR(VLOOKUP(D389,'Monthly Deduction'!$E$3:$F$957,2,0),0)</f>
        <v>0</v>
      </c>
      <c r="C389" s="17">
        <f t="shared" ref="C389:C452" si="115">A389+B389</f>
        <v>0</v>
      </c>
      <c r="D389" s="41">
        <v>10130003</v>
      </c>
      <c r="E389" s="122" t="str">
        <f>VLOOKUP(D389,'MPG Payment '!$E$3:$G$497305,2,0)</f>
        <v>PARORIYA</v>
      </c>
      <c r="F389" s="146">
        <f>IFERROR(_xlfn.XLOOKUP(D389,'Monthly Deduction'!$I$3:$I$957,'Monthly Deduction'!$H$3:$H$957),0)</f>
        <v>0</v>
      </c>
      <c r="G389" s="123" t="str">
        <f>VLOOKUP(D389,'MPG Payment '!$E$3:$G$333666,3,0)</f>
        <v>MPG</v>
      </c>
      <c r="H389" s="124" t="str">
        <f>VLOOKUP(D389,'MPG Payment '!$E$3:$H$333666,4,0)</f>
        <v>Direct</v>
      </c>
      <c r="I389" s="88">
        <f>INDEX('MPG Payment '!$C:$C,MATCH('Shayak Income '!D389,'MPG Payment '!E:E,0))</f>
        <v>1013</v>
      </c>
      <c r="J389" s="88" t="str">
        <f>INDEX('MPG Payment '!$D:$D,MATCH('Shayak Income '!D389,'MPG Payment '!E:E,0))</f>
        <v>Musrigharari</v>
      </c>
      <c r="K389" s="125" t="s">
        <v>1594</v>
      </c>
      <c r="L389" s="125">
        <v>43756</v>
      </c>
      <c r="M389" s="126">
        <f>SUMIF('MPG Payment '!$E$3:$E$344841,'Shayak Income '!D389,'MPG Payment '!$I$3:$I$344841)</f>
        <v>355.1</v>
      </c>
      <c r="N389" s="126">
        <f>SUMIF('MPG Payment '!$E$3:$E$344841,'Shayak Income '!D389,'MPG Payment '!$J$3:$J$344841)</f>
        <v>11416.93</v>
      </c>
      <c r="O389" s="126">
        <f t="shared" ref="O389:O452" si="116">+M389*0.75</f>
        <v>266.32500000000005</v>
      </c>
      <c r="P389" s="126">
        <f t="shared" ref="P389:P452" si="117">+M389*0.95</f>
        <v>337.34500000000003</v>
      </c>
      <c r="Q389" s="126">
        <f>SUMIF('MPG Payment '!$E$3:$E$344841,'Shayak Income '!D389,'MPG Payment '!$S$3:$S$344841)</f>
        <v>87.800000000000011</v>
      </c>
      <c r="R389" s="126">
        <f t="shared" si="108"/>
        <v>342.50790000000001</v>
      </c>
      <c r="S389" s="126">
        <f t="shared" si="109"/>
        <v>5.1628999999999792</v>
      </c>
      <c r="T389" s="126">
        <f t="shared" ref="T389:T452" si="118">M389*0.1</f>
        <v>35.510000000000005</v>
      </c>
      <c r="U389" s="127">
        <f>((((((IF(K389="New",0,SUMIF('MPG Payment '!$E$3:$E$344841,'Shayak Income '!D389,'MPG Payment '!$AC$3:$AC$344841))))+0)+0)+0)+0)+-916</f>
        <v>655.60009137786255</v>
      </c>
      <c r="V389" s="127">
        <f t="shared" ref="V389:V452" si="119">ROUND((SUM(O389:Q389)-SUM(T389:U389)),0)</f>
        <v>0</v>
      </c>
      <c r="W389" s="19">
        <v>0</v>
      </c>
      <c r="X389" s="19">
        <v>0</v>
      </c>
      <c r="Y389" s="128">
        <v>0</v>
      </c>
      <c r="Z389" s="128">
        <v>0</v>
      </c>
      <c r="AA389" s="126">
        <v>0</v>
      </c>
      <c r="AB389" s="129">
        <f t="shared" si="110"/>
        <v>0</v>
      </c>
      <c r="AC389" s="130">
        <v>0</v>
      </c>
      <c r="AD389" s="35">
        <f t="shared" ref="AD389:AD452" si="120">ROUND(AB389-AC389,0)</f>
        <v>0</v>
      </c>
      <c r="AE389" s="166" t="str">
        <f t="shared" ref="AE389:AE452" si="121">IF(AC389&lt;&gt;0,"Yes","Release")</f>
        <v>Release</v>
      </c>
      <c r="AF389" s="127"/>
      <c r="AG389" s="18">
        <v>0</v>
      </c>
      <c r="AH389" s="132"/>
      <c r="AI389" s="238">
        <v>0</v>
      </c>
      <c r="AJ389" s="132"/>
      <c r="AK389" s="151">
        <v>84.40000000000002</v>
      </c>
      <c r="AL389" s="154">
        <f t="shared" si="111"/>
        <v>0</v>
      </c>
      <c r="AM389" s="155"/>
      <c r="AN389" s="19">
        <f t="shared" si="112"/>
        <v>0</v>
      </c>
      <c r="AO389" s="118">
        <f>SUMIF('MPG Payment '!E:E,'Shayak Income '!D389,'MPG Payment '!AJ:AJ)</f>
        <v>0</v>
      </c>
      <c r="AP389" s="19">
        <f t="shared" si="113"/>
        <v>0</v>
      </c>
      <c r="AQ389" s="119">
        <f t="shared" ref="AQ389:AQ452" si="122">AO389+AP389</f>
        <v>0</v>
      </c>
      <c r="AR389" s="91" t="s">
        <v>1144</v>
      </c>
      <c r="AS389" s="91">
        <f t="shared" si="114"/>
        <v>0</v>
      </c>
      <c r="AT389" s="118"/>
      <c r="AU389" s="118"/>
      <c r="AV389" s="118"/>
    </row>
    <row r="390" spans="1:48" s="20" customFormat="1" x14ac:dyDescent="0.25">
      <c r="A390" s="17">
        <f>IFERROR(VLOOKUP(D390,'Monthly Deduction'!$I$3:$J$957,2,0),0)</f>
        <v>0</v>
      </c>
      <c r="B390" s="17">
        <f>IFERROR(VLOOKUP(D390,'Monthly Deduction'!$E$3:$F$957,2,0),0)</f>
        <v>0</v>
      </c>
      <c r="C390" s="17">
        <f t="shared" si="115"/>
        <v>0</v>
      </c>
      <c r="D390" s="41">
        <v>10130005</v>
      </c>
      <c r="E390" s="122" t="str">
        <f>VLOOKUP(D390,'MPG Payment '!$E$3:$G$497305,2,0)</f>
        <v>JHAKHRA</v>
      </c>
      <c r="F390" s="146">
        <f>IFERROR(_xlfn.XLOOKUP(D390,'Monthly Deduction'!$I$3:$I$957,'Monthly Deduction'!$H$3:$H$957),0)</f>
        <v>0</v>
      </c>
      <c r="G390" s="123" t="str">
        <f>VLOOKUP(D390,'MPG Payment '!$E$3:$G$333666,3,0)</f>
        <v>vlc</v>
      </c>
      <c r="H390" s="124" t="str">
        <f>VLOOKUP(D390,'MPG Payment '!$E$3:$H$333666,4,0)</f>
        <v>Indirect</v>
      </c>
      <c r="I390" s="88">
        <f>INDEX('MPG Payment '!$C:$C,MATCH('Shayak Income '!D390,'MPG Payment '!E:E,0))</f>
        <v>1013</v>
      </c>
      <c r="J390" s="88" t="str">
        <f>INDEX('MPG Payment '!$D:$D,MATCH('Shayak Income '!D390,'MPG Payment '!E:E,0))</f>
        <v>Musrigharari</v>
      </c>
      <c r="K390" s="125" t="s">
        <v>1594</v>
      </c>
      <c r="L390" s="125">
        <v>43758</v>
      </c>
      <c r="M390" s="126">
        <f>SUMIF('MPG Payment '!$E$3:$E$344841,'Shayak Income '!D390,'MPG Payment '!$I$3:$I$344841)</f>
        <v>165.9</v>
      </c>
      <c r="N390" s="126">
        <f>SUMIF('MPG Payment '!$E$3:$E$344841,'Shayak Income '!D390,'MPG Payment '!$J$3:$J$344841)</f>
        <v>5853.9800000000005</v>
      </c>
      <c r="O390" s="126">
        <f t="shared" si="116"/>
        <v>124.42500000000001</v>
      </c>
      <c r="P390" s="126">
        <f t="shared" si="117"/>
        <v>157.60499999999999</v>
      </c>
      <c r="Q390" s="126">
        <f>SUMIF('MPG Payment '!$E$3:$E$344841,'Shayak Income '!D390,'MPG Payment '!$S$3:$S$344841)</f>
        <v>0</v>
      </c>
      <c r="R390" s="126">
        <f t="shared" si="108"/>
        <v>175.61940000000001</v>
      </c>
      <c r="S390" s="126">
        <f t="shared" si="109"/>
        <v>18.014400000000023</v>
      </c>
      <c r="T390" s="126">
        <f t="shared" si="118"/>
        <v>16.59</v>
      </c>
      <c r="U390" s="127">
        <f>((((((IF(K390="New",0,SUMIF('MPG Payment '!$E$3:$E$344841,'Shayak Income '!D390,'MPG Payment '!$AC$3:$AC$344841))))+0)+0)+0)+0)+-1589</f>
        <v>265.83318875094028</v>
      </c>
      <c r="V390" s="127">
        <f t="shared" si="119"/>
        <v>0</v>
      </c>
      <c r="W390" s="19">
        <v>0</v>
      </c>
      <c r="X390" s="19">
        <v>0</v>
      </c>
      <c r="Y390" s="128">
        <v>0</v>
      </c>
      <c r="Z390" s="128">
        <v>0</v>
      </c>
      <c r="AA390" s="126">
        <v>0</v>
      </c>
      <c r="AB390" s="129">
        <f t="shared" si="110"/>
        <v>0</v>
      </c>
      <c r="AC390" s="130">
        <v>0</v>
      </c>
      <c r="AD390" s="35">
        <f t="shared" si="120"/>
        <v>0</v>
      </c>
      <c r="AE390" s="166" t="str">
        <f t="shared" si="121"/>
        <v>Release</v>
      </c>
      <c r="AF390" s="127"/>
      <c r="AG390" s="18">
        <v>0</v>
      </c>
      <c r="AH390" s="120"/>
      <c r="AI390" s="238">
        <v>0</v>
      </c>
      <c r="AJ390" s="132"/>
      <c r="AK390" s="151">
        <v>75.100000000000009</v>
      </c>
      <c r="AL390" s="154">
        <f t="shared" si="111"/>
        <v>0</v>
      </c>
      <c r="AM390" s="155"/>
      <c r="AN390" s="19">
        <f t="shared" si="112"/>
        <v>0</v>
      </c>
      <c r="AO390" s="118">
        <f>SUMIF('MPG Payment '!E:E,'Shayak Income '!D390,'MPG Payment '!AJ:AJ)</f>
        <v>0</v>
      </c>
      <c r="AP390" s="19">
        <f t="shared" si="113"/>
        <v>0</v>
      </c>
      <c r="AQ390" s="119">
        <f t="shared" si="122"/>
        <v>0</v>
      </c>
      <c r="AR390" s="91" t="s">
        <v>1144</v>
      </c>
      <c r="AS390" s="91">
        <f t="shared" si="114"/>
        <v>0</v>
      </c>
      <c r="AT390" s="118"/>
      <c r="AU390" s="118"/>
      <c r="AV390" s="118"/>
    </row>
    <row r="391" spans="1:48" s="20" customFormat="1" x14ac:dyDescent="0.25">
      <c r="A391" s="17">
        <f>IFERROR(VLOOKUP(D391,'Monthly Deduction'!$I$3:$J$957,2,0),0)</f>
        <v>0</v>
      </c>
      <c r="B391" s="17">
        <f>IFERROR(VLOOKUP(D391,'Monthly Deduction'!$E$3:$F$957,2,0),0)</f>
        <v>0</v>
      </c>
      <c r="C391" s="17">
        <f t="shared" si="115"/>
        <v>0</v>
      </c>
      <c r="D391" s="41">
        <v>10130006</v>
      </c>
      <c r="E391" s="122" t="str">
        <f>VLOOKUP(D391,'MPG Payment '!$E$3:$G$497305,2,0)</f>
        <v>GOMUKH ANDAHA</v>
      </c>
      <c r="F391" s="146">
        <f>IFERROR(_xlfn.XLOOKUP(D391,'Monthly Deduction'!$I$3:$I$957,'Monthly Deduction'!$H$3:$H$957),0)</f>
        <v>0</v>
      </c>
      <c r="G391" s="123" t="str">
        <f>VLOOKUP(D391,'MPG Payment '!$E$3:$G$333666,3,0)</f>
        <v>MPG</v>
      </c>
      <c r="H391" s="124" t="str">
        <f>VLOOKUP(D391,'MPG Payment '!$E$3:$H$333666,4,0)</f>
        <v>Direct</v>
      </c>
      <c r="I391" s="88">
        <f>INDEX('MPG Payment '!$C:$C,MATCH('Shayak Income '!D391,'MPG Payment '!E:E,0))</f>
        <v>1013</v>
      </c>
      <c r="J391" s="88" t="str">
        <f>INDEX('MPG Payment '!$D:$D,MATCH('Shayak Income '!D391,'MPG Payment '!E:E,0))</f>
        <v>Musrigharari</v>
      </c>
      <c r="K391" s="125" t="s">
        <v>1594</v>
      </c>
      <c r="L391" s="125">
        <v>43786</v>
      </c>
      <c r="M391" s="126">
        <f>SUMIF('MPG Payment '!$E$3:$E$344841,'Shayak Income '!D391,'MPG Payment '!$I$3:$I$344841)</f>
        <v>2082.5</v>
      </c>
      <c r="N391" s="126">
        <f>SUMIF('MPG Payment '!$E$3:$E$344841,'Shayak Income '!D391,'MPG Payment '!$J$3:$J$344841)</f>
        <v>81001.7</v>
      </c>
      <c r="O391" s="126">
        <f t="shared" si="116"/>
        <v>1561.875</v>
      </c>
      <c r="P391" s="126">
        <f t="shared" si="117"/>
        <v>1978.375</v>
      </c>
      <c r="Q391" s="126">
        <f>SUMIF('MPG Payment '!$E$3:$E$344841,'Shayak Income '!D391,'MPG Payment '!$S$3:$S$344841)</f>
        <v>0</v>
      </c>
      <c r="R391" s="126">
        <f t="shared" si="108"/>
        <v>2430.0509999999999</v>
      </c>
      <c r="S391" s="126">
        <f t="shared" si="109"/>
        <v>451.67599999999993</v>
      </c>
      <c r="T391" s="126">
        <f t="shared" si="118"/>
        <v>208.25</v>
      </c>
      <c r="U391" s="127">
        <f>((((((IF(K391="New",0,SUMIF('MPG Payment '!$E$3:$E$344841,'Shayak Income '!D391,'MPG Payment '!$AC$3:$AC$344841))))+0)+0)+0)+0)+0</f>
        <v>557.90812355082289</v>
      </c>
      <c r="V391" s="127">
        <f t="shared" si="119"/>
        <v>2774</v>
      </c>
      <c r="W391" s="19">
        <f t="shared" ref="W391:W452" si="123">(((AN391-AO391)))+0</f>
        <v>0</v>
      </c>
      <c r="X391" s="19">
        <f t="shared" ref="X391:X446" si="124">((MIN(IF(B391&gt;0,MAX(N391*2%),0),B391)))+0</f>
        <v>0</v>
      </c>
      <c r="Y391" s="128">
        <f>IFERROR(VLOOKUP(D391,'Monthly Deduction'!$M$2:$N$640,2,0),0)</f>
        <v>0</v>
      </c>
      <c r="Z391" s="128">
        <v>0</v>
      </c>
      <c r="AA391" s="126">
        <f>IFERROR(VLOOKUP(D391,'Monthly Deduction'!A:B,2,0),0)</f>
        <v>109.80000000000001</v>
      </c>
      <c r="AB391" s="129">
        <f t="shared" si="110"/>
        <v>2664</v>
      </c>
      <c r="AC391" s="130">
        <v>0</v>
      </c>
      <c r="AD391" s="35">
        <f t="shared" si="120"/>
        <v>2664</v>
      </c>
      <c r="AE391" s="166" t="str">
        <f t="shared" si="121"/>
        <v>Release</v>
      </c>
      <c r="AF391" s="127"/>
      <c r="AG391" s="127">
        <v>0</v>
      </c>
      <c r="AH391" s="132"/>
      <c r="AI391" s="238">
        <v>0</v>
      </c>
      <c r="AJ391" s="132"/>
      <c r="AK391" s="151">
        <v>467.20000000000005</v>
      </c>
      <c r="AL391" s="154">
        <f t="shared" si="111"/>
        <v>0</v>
      </c>
      <c r="AM391" s="155"/>
      <c r="AN391" s="19">
        <f t="shared" si="112"/>
        <v>0</v>
      </c>
      <c r="AO391" s="118">
        <f>SUMIF('MPG Payment '!E:E,'Shayak Income '!D391,'MPG Payment '!AJ:AJ)</f>
        <v>0</v>
      </c>
      <c r="AP391" s="19">
        <f t="shared" si="113"/>
        <v>0</v>
      </c>
      <c r="AQ391" s="119">
        <f t="shared" si="122"/>
        <v>0</v>
      </c>
      <c r="AR391" s="91" t="s">
        <v>1144</v>
      </c>
      <c r="AS391" s="91">
        <f t="shared" si="114"/>
        <v>0</v>
      </c>
      <c r="AT391" s="118"/>
      <c r="AU391" s="118"/>
      <c r="AV391" s="118"/>
    </row>
    <row r="392" spans="1:48" s="20" customFormat="1" x14ac:dyDescent="0.25">
      <c r="A392" s="17">
        <f>IFERROR(VLOOKUP(D392,'Monthly Deduction'!$I$3:$J$957,2,0),0)</f>
        <v>0</v>
      </c>
      <c r="B392" s="17">
        <f>IFERROR(VLOOKUP(D392,'Monthly Deduction'!$E$3:$F$957,2,0),0)</f>
        <v>0</v>
      </c>
      <c r="C392" s="17">
        <f t="shared" si="115"/>
        <v>0</v>
      </c>
      <c r="D392" s="41">
        <v>10130008</v>
      </c>
      <c r="E392" s="122" t="str">
        <f>VLOOKUP(D392,'MPG Payment '!$E$3:$G$497305,2,0)</f>
        <v>Gomukha Rohua</v>
      </c>
      <c r="F392" s="146">
        <f>IFERROR(_xlfn.XLOOKUP(D392,'Monthly Deduction'!$I$3:$I$957,'Monthly Deduction'!$H$3:$H$957),0)</f>
        <v>0</v>
      </c>
      <c r="G392" s="123" t="str">
        <f>VLOOKUP(D392,'MPG Payment '!$E$3:$G$333666,3,0)</f>
        <v>MPG</v>
      </c>
      <c r="H392" s="124" t="str">
        <f>VLOOKUP(D392,'MPG Payment '!$E$3:$H$333666,4,0)</f>
        <v>Direct</v>
      </c>
      <c r="I392" s="88">
        <f>INDEX('MPG Payment '!$C:$C,MATCH('Shayak Income '!D392,'MPG Payment '!E:E,0))</f>
        <v>1013</v>
      </c>
      <c r="J392" s="88" t="str">
        <f>INDEX('MPG Payment '!$D:$D,MATCH('Shayak Income '!D392,'MPG Payment '!E:E,0))</f>
        <v>Musrigharari</v>
      </c>
      <c r="K392" s="125" t="s">
        <v>1594</v>
      </c>
      <c r="L392" s="125">
        <v>43913</v>
      </c>
      <c r="M392" s="126">
        <f>SUMIF('MPG Payment '!$E$3:$E$344841,'Shayak Income '!D392,'MPG Payment '!$I$3:$I$344841)</f>
        <v>1732.1999999999998</v>
      </c>
      <c r="N392" s="126">
        <f>SUMIF('MPG Payment '!$E$3:$E$344841,'Shayak Income '!D392,'MPG Payment '!$J$3:$J$344841)</f>
        <v>70897.830000000016</v>
      </c>
      <c r="O392" s="126">
        <f t="shared" si="116"/>
        <v>1299.1499999999999</v>
      </c>
      <c r="P392" s="126">
        <f t="shared" si="117"/>
        <v>1645.5899999999997</v>
      </c>
      <c r="Q392" s="126">
        <f>SUMIF('MPG Payment '!$E$3:$E$344841,'Shayak Income '!D392,'MPG Payment '!$S$3:$S$344841)</f>
        <v>949.98</v>
      </c>
      <c r="R392" s="126">
        <f t="shared" si="108"/>
        <v>2126.9349000000002</v>
      </c>
      <c r="S392" s="126">
        <f t="shared" si="109"/>
        <v>481.34490000000051</v>
      </c>
      <c r="T392" s="126">
        <f t="shared" si="118"/>
        <v>173.22</v>
      </c>
      <c r="U392" s="127">
        <f>((((((IF(K392="New",0,SUMIF('MPG Payment '!$E$3:$E$344841,'Shayak Income '!D392,'MPG Payment '!$AC$3:$AC$344841))))+0)+0)+0)+0)+0</f>
        <v>869.99591078898072</v>
      </c>
      <c r="V392" s="127">
        <f t="shared" si="119"/>
        <v>2852</v>
      </c>
      <c r="W392" s="19">
        <f t="shared" si="123"/>
        <v>0</v>
      </c>
      <c r="X392" s="19">
        <f t="shared" si="124"/>
        <v>0</v>
      </c>
      <c r="Y392" s="128">
        <f>IFERROR(VLOOKUP(D392,'Monthly Deduction'!$M$2:$N$640,2,0),0)</f>
        <v>0</v>
      </c>
      <c r="Z392" s="128">
        <v>280.83999999999997</v>
      </c>
      <c r="AA392" s="126">
        <f>IFERROR(VLOOKUP(D392,'Monthly Deduction'!A:B,2,0),0)</f>
        <v>0</v>
      </c>
      <c r="AB392" s="129">
        <f t="shared" si="110"/>
        <v>2571</v>
      </c>
      <c r="AC392" s="130">
        <v>0</v>
      </c>
      <c r="AD392" s="35">
        <f t="shared" si="120"/>
        <v>2571</v>
      </c>
      <c r="AE392" s="166" t="str">
        <f t="shared" si="121"/>
        <v>Release</v>
      </c>
      <c r="AF392" s="127"/>
      <c r="AG392" s="127">
        <v>0</v>
      </c>
      <c r="AH392" s="132" t="s">
        <v>1680</v>
      </c>
      <c r="AI392" s="238">
        <v>0</v>
      </c>
      <c r="AJ392" s="132"/>
      <c r="AK392" s="151">
        <v>437.19999999999993</v>
      </c>
      <c r="AL392" s="154">
        <f t="shared" si="111"/>
        <v>0</v>
      </c>
      <c r="AM392" s="155"/>
      <c r="AN392" s="19">
        <f t="shared" si="112"/>
        <v>0</v>
      </c>
      <c r="AO392" s="118">
        <f>SUMIF('MPG Payment '!E:E,'Shayak Income '!D392,'MPG Payment '!AJ:AJ)</f>
        <v>0</v>
      </c>
      <c r="AP392" s="19">
        <f t="shared" si="113"/>
        <v>0</v>
      </c>
      <c r="AQ392" s="119">
        <f t="shared" si="122"/>
        <v>0</v>
      </c>
      <c r="AR392" s="91" t="s">
        <v>1144</v>
      </c>
      <c r="AS392" s="91">
        <f t="shared" si="114"/>
        <v>0</v>
      </c>
      <c r="AT392" s="118"/>
      <c r="AU392" s="118"/>
      <c r="AV392" s="118"/>
    </row>
    <row r="393" spans="1:48" s="20" customFormat="1" x14ac:dyDescent="0.25">
      <c r="A393" s="17">
        <f>IFERROR(VLOOKUP(D393,'Monthly Deduction'!$I$3:$J$957,2,0),0)</f>
        <v>0</v>
      </c>
      <c r="B393" s="17">
        <f>IFERROR(VLOOKUP(D393,'Monthly Deduction'!$E$3:$F$957,2,0),0)</f>
        <v>0</v>
      </c>
      <c r="C393" s="17">
        <f t="shared" si="115"/>
        <v>0</v>
      </c>
      <c r="D393" s="41">
        <v>10130012</v>
      </c>
      <c r="E393" s="122" t="str">
        <f>VLOOKUP(D393,'MPG Payment '!$E$3:$G$497305,2,0)</f>
        <v>Gomukha Arniya Ganj</v>
      </c>
      <c r="F393" s="146">
        <f>IFERROR(_xlfn.XLOOKUP(D393,'Monthly Deduction'!$I$3:$I$957,'Monthly Deduction'!$H$3:$H$957),0)</f>
        <v>0</v>
      </c>
      <c r="G393" s="123" t="str">
        <f>VLOOKUP(D393,'MPG Payment '!$E$3:$G$333666,3,0)</f>
        <v>MPG</v>
      </c>
      <c r="H393" s="124" t="str">
        <f>VLOOKUP(D393,'MPG Payment '!$E$3:$H$333666,4,0)</f>
        <v>Direct</v>
      </c>
      <c r="I393" s="88">
        <f>INDEX('MPG Payment '!$C:$C,MATCH('Shayak Income '!D393,'MPG Payment '!E:E,0))</f>
        <v>1013</v>
      </c>
      <c r="J393" s="88" t="str">
        <f>INDEX('MPG Payment '!$D:$D,MATCH('Shayak Income '!D393,'MPG Payment '!E:E,0))</f>
        <v>Musrigharari</v>
      </c>
      <c r="K393" s="125" t="s">
        <v>1594</v>
      </c>
      <c r="L393" s="125">
        <v>44102</v>
      </c>
      <c r="M393" s="126">
        <f>SUMIF('MPG Payment '!$E$3:$E$344841,'Shayak Income '!D393,'MPG Payment '!$I$3:$I$344841)</f>
        <v>11652.3</v>
      </c>
      <c r="N393" s="126">
        <f>SUMIF('MPG Payment '!$E$3:$E$344841,'Shayak Income '!D393,'MPG Payment '!$J$3:$J$344841)</f>
        <v>445195.52999999991</v>
      </c>
      <c r="O393" s="126">
        <f t="shared" si="116"/>
        <v>8739.2249999999985</v>
      </c>
      <c r="P393" s="126">
        <f t="shared" si="117"/>
        <v>11069.684999999999</v>
      </c>
      <c r="Q393" s="126">
        <f>SUMIF('MPG Payment '!$E$3:$E$344841,'Shayak Income '!D393,'MPG Payment '!$S$3:$S$344841)</f>
        <v>5412.12</v>
      </c>
      <c r="R393" s="126">
        <f t="shared" si="108"/>
        <v>13355.865899999997</v>
      </c>
      <c r="S393" s="126">
        <f t="shared" si="109"/>
        <v>2286.1808999999976</v>
      </c>
      <c r="T393" s="126">
        <f t="shared" si="118"/>
        <v>1165.23</v>
      </c>
      <c r="U393" s="127">
        <f>((((((IF(K393="New",0,SUMIF('MPG Payment '!$E$3:$E$344841,'Shayak Income '!D393,'MPG Payment '!$AC$3:$AC$344841))))+0)+0)+0)+0)+0</f>
        <v>0</v>
      </c>
      <c r="V393" s="127">
        <f t="shared" si="119"/>
        <v>24056</v>
      </c>
      <c r="W393" s="19">
        <f t="shared" si="123"/>
        <v>0</v>
      </c>
      <c r="X393" s="19">
        <f t="shared" si="124"/>
        <v>0</v>
      </c>
      <c r="Y393" s="128">
        <f>IFERROR(VLOOKUP(D393,'Monthly Deduction'!$M$2:$N$640,2,0),0)</f>
        <v>0</v>
      </c>
      <c r="Z393" s="128">
        <v>0</v>
      </c>
      <c r="AA393" s="126">
        <f>IFERROR(VLOOKUP(D393,'Monthly Deduction'!A:B,2,0),0)</f>
        <v>0</v>
      </c>
      <c r="AB393" s="129">
        <f t="shared" si="110"/>
        <v>24056</v>
      </c>
      <c r="AC393" s="130">
        <v>0</v>
      </c>
      <c r="AD393" s="35">
        <f t="shared" si="120"/>
        <v>24056</v>
      </c>
      <c r="AE393" s="166" t="str">
        <f t="shared" si="121"/>
        <v>Release</v>
      </c>
      <c r="AF393" s="127"/>
      <c r="AG393" s="18">
        <v>0</v>
      </c>
      <c r="AH393" s="120"/>
      <c r="AI393" s="238">
        <v>0</v>
      </c>
      <c r="AJ393" s="132"/>
      <c r="AK393" s="151">
        <v>2384</v>
      </c>
      <c r="AL393" s="154">
        <f t="shared" si="111"/>
        <v>0</v>
      </c>
      <c r="AM393" s="155"/>
      <c r="AN393" s="19">
        <f t="shared" si="112"/>
        <v>0</v>
      </c>
      <c r="AO393" s="118">
        <f>SUMIF('MPG Payment '!E:E,'Shayak Income '!D393,'MPG Payment '!AJ:AJ)</f>
        <v>0</v>
      </c>
      <c r="AP393" s="19">
        <f t="shared" si="113"/>
        <v>0</v>
      </c>
      <c r="AQ393" s="119">
        <f t="shared" si="122"/>
        <v>0</v>
      </c>
      <c r="AR393" s="91"/>
      <c r="AS393" s="91">
        <f t="shared" si="114"/>
        <v>0</v>
      </c>
      <c r="AT393" s="118"/>
      <c r="AU393" s="118"/>
      <c r="AV393" s="118"/>
    </row>
    <row r="394" spans="1:48" s="20" customFormat="1" x14ac:dyDescent="0.25">
      <c r="A394" s="17">
        <f>IFERROR(VLOOKUP(D394,'Monthly Deduction'!$I$3:$J$957,2,0),0)</f>
        <v>0</v>
      </c>
      <c r="B394" s="17">
        <f>IFERROR(VLOOKUP(D394,'Monthly Deduction'!$E$3:$F$957,2,0),0)</f>
        <v>0</v>
      </c>
      <c r="C394" s="17">
        <f t="shared" si="115"/>
        <v>0</v>
      </c>
      <c r="D394" s="41">
        <v>10130015</v>
      </c>
      <c r="E394" s="122" t="str">
        <f>VLOOKUP(D394,'MPG Payment '!$E$3:$G$497305,2,0)</f>
        <v>Gomukha Vishanupatti II</v>
      </c>
      <c r="F394" s="146">
        <f>IFERROR(_xlfn.XLOOKUP(D394,'Monthly Deduction'!$I$3:$I$957,'Monthly Deduction'!$H$3:$H$957),0)</f>
        <v>0</v>
      </c>
      <c r="G394" s="123" t="str">
        <f>VLOOKUP(D394,'MPG Payment '!$E$3:$G$333666,3,0)</f>
        <v>vlc</v>
      </c>
      <c r="H394" s="124" t="str">
        <f>VLOOKUP(D394,'MPG Payment '!$E$3:$H$333666,4,0)</f>
        <v>Indirect</v>
      </c>
      <c r="I394" s="88">
        <f>INDEX('MPG Payment '!$C:$C,MATCH('Shayak Income '!D394,'MPG Payment '!E:E,0))</f>
        <v>1013</v>
      </c>
      <c r="J394" s="88" t="str">
        <f>INDEX('MPG Payment '!$D:$D,MATCH('Shayak Income '!D394,'MPG Payment '!E:E,0))</f>
        <v>Musrigharari</v>
      </c>
      <c r="K394" s="125" t="s">
        <v>1594</v>
      </c>
      <c r="L394" s="125">
        <v>44225</v>
      </c>
      <c r="M394" s="126">
        <f>SUMIF('MPG Payment '!$E$3:$E$344841,'Shayak Income '!D394,'MPG Payment '!$I$3:$I$344841)</f>
        <v>2852.6000000000004</v>
      </c>
      <c r="N394" s="126">
        <f>SUMIF('MPG Payment '!$E$3:$E$344841,'Shayak Income '!D394,'MPG Payment '!$J$3:$J$344841)</f>
        <v>109964.37</v>
      </c>
      <c r="O394" s="126">
        <f t="shared" si="116"/>
        <v>2139.4500000000003</v>
      </c>
      <c r="P394" s="126">
        <f t="shared" si="117"/>
        <v>2709.9700000000003</v>
      </c>
      <c r="Q394" s="126">
        <f>SUMIF('MPG Payment '!$E$3:$E$344841,'Shayak Income '!D394,'MPG Payment '!$S$3:$S$344841)</f>
        <v>0</v>
      </c>
      <c r="R394" s="126">
        <f t="shared" si="108"/>
        <v>3298.9310999999998</v>
      </c>
      <c r="S394" s="126">
        <f t="shared" si="109"/>
        <v>588.96109999999953</v>
      </c>
      <c r="T394" s="126">
        <f t="shared" si="118"/>
        <v>285.26000000000005</v>
      </c>
      <c r="U394" s="127">
        <f>((((((IF(K394="New",0,SUMIF('MPG Payment '!$E$3:$E$344841,'Shayak Income '!D394,'MPG Payment '!$AC$3:$AC$344841))))+0)+0)+0)+0)+0</f>
        <v>35.904720770877987</v>
      </c>
      <c r="V394" s="127">
        <f t="shared" si="119"/>
        <v>4528</v>
      </c>
      <c r="W394" s="19">
        <f t="shared" si="123"/>
        <v>0</v>
      </c>
      <c r="X394" s="19">
        <f t="shared" si="124"/>
        <v>0</v>
      </c>
      <c r="Y394" s="128">
        <f>IFERROR(VLOOKUP(D394,'Monthly Deduction'!$M$2:$N$640,2,0),0)</f>
        <v>3000</v>
      </c>
      <c r="Z394" s="128">
        <v>0</v>
      </c>
      <c r="AA394" s="126">
        <f>IFERROR(VLOOKUP(D394,'Monthly Deduction'!A:B,2,0),0)</f>
        <v>0</v>
      </c>
      <c r="AB394" s="129">
        <f t="shared" si="110"/>
        <v>1528</v>
      </c>
      <c r="AC394" s="130">
        <v>0</v>
      </c>
      <c r="AD394" s="35">
        <f t="shared" si="120"/>
        <v>1528</v>
      </c>
      <c r="AE394" s="166" t="str">
        <f t="shared" si="121"/>
        <v>Release</v>
      </c>
      <c r="AF394" s="127"/>
      <c r="AG394" s="127">
        <v>0</v>
      </c>
      <c r="AH394" s="120"/>
      <c r="AI394" s="238">
        <v>0</v>
      </c>
      <c r="AJ394" s="132"/>
      <c r="AK394" s="151">
        <v>666.7</v>
      </c>
      <c r="AL394" s="154">
        <f t="shared" si="111"/>
        <v>0</v>
      </c>
      <c r="AM394" s="155"/>
      <c r="AN394" s="19">
        <f t="shared" si="112"/>
        <v>0</v>
      </c>
      <c r="AO394" s="118">
        <f>SUMIF('MPG Payment '!E:E,'Shayak Income '!D394,'MPG Payment '!AJ:AJ)</f>
        <v>0</v>
      </c>
      <c r="AP394" s="19">
        <f t="shared" si="113"/>
        <v>0</v>
      </c>
      <c r="AQ394" s="119">
        <f t="shared" si="122"/>
        <v>0</v>
      </c>
      <c r="AR394" s="91" t="s">
        <v>1144</v>
      </c>
      <c r="AS394" s="91">
        <f t="shared" si="114"/>
        <v>0</v>
      </c>
      <c r="AT394" s="118"/>
      <c r="AU394" s="118"/>
      <c r="AV394" s="118"/>
    </row>
    <row r="395" spans="1:48" s="20" customFormat="1" x14ac:dyDescent="0.25">
      <c r="A395" s="17">
        <f>IFERROR(VLOOKUP(D395,'Monthly Deduction'!$I$3:$J$957,2,0),0)</f>
        <v>0</v>
      </c>
      <c r="B395" s="17">
        <f>IFERROR(VLOOKUP(D395,'Monthly Deduction'!$E$3:$F$957,2,0),0)</f>
        <v>0</v>
      </c>
      <c r="C395" s="17">
        <f t="shared" si="115"/>
        <v>0</v>
      </c>
      <c r="D395" s="41">
        <v>10130016</v>
      </c>
      <c r="E395" s="122" t="str">
        <f>VLOOKUP(D395,'MPG Payment '!$E$3:$G$497305,2,0)</f>
        <v>Gomukh Khesarhiya</v>
      </c>
      <c r="F395" s="146">
        <f>IFERROR(_xlfn.XLOOKUP(D395,'Monthly Deduction'!$I$3:$I$957,'Monthly Deduction'!$H$3:$H$957),0)</f>
        <v>0</v>
      </c>
      <c r="G395" s="123" t="str">
        <f>VLOOKUP(D395,'MPG Payment '!$E$3:$G$333666,3,0)</f>
        <v>vlc</v>
      </c>
      <c r="H395" s="124" t="str">
        <f>VLOOKUP(D395,'MPG Payment '!$E$3:$H$333666,4,0)</f>
        <v>Indirect</v>
      </c>
      <c r="I395" s="88">
        <f>INDEX('MPG Payment '!$C:$C,MATCH('Shayak Income '!D395,'MPG Payment '!E:E,0))</f>
        <v>1013</v>
      </c>
      <c r="J395" s="88" t="str">
        <f>INDEX('MPG Payment '!$D:$D,MATCH('Shayak Income '!D395,'MPG Payment '!E:E,0))</f>
        <v>Musrigharari</v>
      </c>
      <c r="K395" s="125" t="s">
        <v>1594</v>
      </c>
      <c r="L395" s="125">
        <v>44256</v>
      </c>
      <c r="M395" s="126">
        <f>SUMIF('MPG Payment '!$E$3:$E$344841,'Shayak Income '!D395,'MPG Payment '!$I$3:$I$344841)</f>
        <v>955.19999999999993</v>
      </c>
      <c r="N395" s="126">
        <f>SUMIF('MPG Payment '!$E$3:$E$344841,'Shayak Income '!D395,'MPG Payment '!$J$3:$J$344841)</f>
        <v>39881.14</v>
      </c>
      <c r="O395" s="126">
        <f t="shared" si="116"/>
        <v>716.4</v>
      </c>
      <c r="P395" s="126">
        <f t="shared" si="117"/>
        <v>907.43999999999994</v>
      </c>
      <c r="Q395" s="126">
        <f>SUMIF('MPG Payment '!$E$3:$E$344841,'Shayak Income '!D395,'MPG Payment '!$S$3:$S$344841)</f>
        <v>0</v>
      </c>
      <c r="R395" s="126">
        <f t="shared" si="108"/>
        <v>1196.4341999999999</v>
      </c>
      <c r="S395" s="126">
        <f t="shared" si="109"/>
        <v>288.99419999999998</v>
      </c>
      <c r="T395" s="126">
        <f t="shared" si="118"/>
        <v>95.52</v>
      </c>
      <c r="U395" s="127">
        <f>((((((IF(K395="New",0,SUMIF('MPG Payment '!$E$3:$E$344841,'Shayak Income '!D395,'MPG Payment '!$AC$3:$AC$344841))))+0)+0)+0)+0)+-14</f>
        <v>1527.8402283719356</v>
      </c>
      <c r="V395" s="127">
        <f t="shared" si="119"/>
        <v>0</v>
      </c>
      <c r="W395" s="19">
        <v>0</v>
      </c>
      <c r="X395" s="19">
        <v>0</v>
      </c>
      <c r="Y395" s="128">
        <v>0</v>
      </c>
      <c r="Z395" s="128">
        <v>0</v>
      </c>
      <c r="AA395" s="126">
        <v>0</v>
      </c>
      <c r="AB395" s="129">
        <f t="shared" si="110"/>
        <v>0</v>
      </c>
      <c r="AC395" s="130">
        <v>0</v>
      </c>
      <c r="AD395" s="35">
        <f t="shared" si="120"/>
        <v>0</v>
      </c>
      <c r="AE395" s="166" t="str">
        <f t="shared" si="121"/>
        <v>Release</v>
      </c>
      <c r="AF395" s="127"/>
      <c r="AG395" s="18">
        <v>0</v>
      </c>
      <c r="AH395" s="132"/>
      <c r="AI395" s="238">
        <v>0</v>
      </c>
      <c r="AJ395" s="132"/>
      <c r="AK395" s="151">
        <v>268.7</v>
      </c>
      <c r="AL395" s="154">
        <f t="shared" si="111"/>
        <v>0</v>
      </c>
      <c r="AM395" s="155"/>
      <c r="AN395" s="19">
        <f t="shared" si="112"/>
        <v>0</v>
      </c>
      <c r="AO395" s="118">
        <f>SUMIF('MPG Payment '!E:E,'Shayak Income '!D395,'MPG Payment '!AJ:AJ)</f>
        <v>0</v>
      </c>
      <c r="AP395" s="19">
        <f t="shared" si="113"/>
        <v>0</v>
      </c>
      <c r="AQ395" s="119">
        <f t="shared" si="122"/>
        <v>0</v>
      </c>
      <c r="AR395" s="91"/>
      <c r="AS395" s="91">
        <f t="shared" si="114"/>
        <v>0</v>
      </c>
      <c r="AT395" s="118"/>
      <c r="AU395" s="118"/>
      <c r="AV395" s="118"/>
    </row>
    <row r="396" spans="1:48" s="20" customFormat="1" x14ac:dyDescent="0.25">
      <c r="A396" s="17">
        <f>IFERROR(VLOOKUP(D396,'Monthly Deduction'!$I$3:$J$957,2,0),0)</f>
        <v>0</v>
      </c>
      <c r="B396" s="17">
        <f>IFERROR(VLOOKUP(D396,'Monthly Deduction'!$E$3:$F$957,2,0),0)</f>
        <v>0</v>
      </c>
      <c r="C396" s="17">
        <f t="shared" si="115"/>
        <v>0</v>
      </c>
      <c r="D396" s="41">
        <v>10130018</v>
      </c>
      <c r="E396" s="122" t="str">
        <f>VLOOKUP(D396,'MPG Payment '!$E$3:$G$497305,2,0)</f>
        <v>Harsingpur</v>
      </c>
      <c r="F396" s="146">
        <f>IFERROR(_xlfn.XLOOKUP(D396,'Monthly Deduction'!$I$3:$I$957,'Monthly Deduction'!$H$3:$H$957),0)</f>
        <v>0</v>
      </c>
      <c r="G396" s="123" t="str">
        <f>VLOOKUP(D396,'MPG Payment '!$E$3:$G$333666,3,0)</f>
        <v>vlc</v>
      </c>
      <c r="H396" s="124" t="str">
        <f>VLOOKUP(D396,'MPG Payment '!$E$3:$H$333666,4,0)</f>
        <v>Indirect</v>
      </c>
      <c r="I396" s="88">
        <f>INDEX('MPG Payment '!$C:$C,MATCH('Shayak Income '!D396,'MPG Payment '!E:E,0))</f>
        <v>1013</v>
      </c>
      <c r="J396" s="88" t="str">
        <f>INDEX('MPG Payment '!$D:$D,MATCH('Shayak Income '!D396,'MPG Payment '!E:E,0))</f>
        <v>Musrigharari</v>
      </c>
      <c r="K396" s="125" t="s">
        <v>1594</v>
      </c>
      <c r="L396" s="125">
        <v>44699</v>
      </c>
      <c r="M396" s="126">
        <f>SUMIF('MPG Payment '!$E$3:$E$344841,'Shayak Income '!D396,'MPG Payment '!$I$3:$I$344841)</f>
        <v>1642.4</v>
      </c>
      <c r="N396" s="126">
        <f>SUMIF('MPG Payment '!$E$3:$E$344841,'Shayak Income '!D396,'MPG Payment '!$J$3:$J$344841)</f>
        <v>55948.259999999995</v>
      </c>
      <c r="O396" s="126">
        <f t="shared" si="116"/>
        <v>1231.8000000000002</v>
      </c>
      <c r="P396" s="126">
        <f t="shared" si="117"/>
        <v>1560.28</v>
      </c>
      <c r="Q396" s="126">
        <f>SUMIF('MPG Payment '!$E$3:$E$344841,'Shayak Income '!D396,'MPG Payment '!$S$3:$S$344841)</f>
        <v>0</v>
      </c>
      <c r="R396" s="126">
        <f t="shared" si="108"/>
        <v>1678.4477999999997</v>
      </c>
      <c r="S396" s="126">
        <f t="shared" si="109"/>
        <v>118.16779999999972</v>
      </c>
      <c r="T396" s="126">
        <f t="shared" si="118"/>
        <v>164.24</v>
      </c>
      <c r="U396" s="127">
        <f>((((((IF(K396="New",0,SUMIF('MPG Payment '!$E$3:$E$344841,'Shayak Income '!D396,'MPG Payment '!$AC$3:$AC$344841))))+0)+0)+0)+0)+0</f>
        <v>790.43142912180463</v>
      </c>
      <c r="V396" s="127">
        <f t="shared" si="119"/>
        <v>1837</v>
      </c>
      <c r="W396" s="19">
        <f t="shared" si="123"/>
        <v>0</v>
      </c>
      <c r="X396" s="19">
        <f t="shared" si="124"/>
        <v>0</v>
      </c>
      <c r="Y396" s="128">
        <f>IFERROR(VLOOKUP(D396,'Monthly Deduction'!$M$2:$N$640,2,0),0)</f>
        <v>0</v>
      </c>
      <c r="Z396" s="128">
        <v>0</v>
      </c>
      <c r="AA396" s="126">
        <f>IFERROR(VLOOKUP(D396,'Monthly Deduction'!A:B,2,0),0)</f>
        <v>0</v>
      </c>
      <c r="AB396" s="129">
        <f t="shared" si="110"/>
        <v>1837</v>
      </c>
      <c r="AC396" s="130">
        <v>0</v>
      </c>
      <c r="AD396" s="35">
        <f t="shared" si="120"/>
        <v>1837</v>
      </c>
      <c r="AE396" s="166" t="str">
        <f t="shared" si="121"/>
        <v>Release</v>
      </c>
      <c r="AF396" s="127"/>
      <c r="AG396" s="18">
        <v>0</v>
      </c>
      <c r="AH396" s="120"/>
      <c r="AI396" s="238">
        <v>0</v>
      </c>
      <c r="AJ396" s="132"/>
      <c r="AK396" s="151">
        <v>335.3</v>
      </c>
      <c r="AL396" s="154">
        <f t="shared" si="111"/>
        <v>0</v>
      </c>
      <c r="AM396" s="155"/>
      <c r="AN396" s="19">
        <f t="shared" si="112"/>
        <v>0</v>
      </c>
      <c r="AO396" s="118">
        <f>SUMIF('MPG Payment '!E:E,'Shayak Income '!D396,'MPG Payment '!AJ:AJ)</f>
        <v>0</v>
      </c>
      <c r="AP396" s="19">
        <f t="shared" si="113"/>
        <v>0</v>
      </c>
      <c r="AQ396" s="119">
        <f t="shared" si="122"/>
        <v>0</v>
      </c>
      <c r="AR396" s="91"/>
      <c r="AS396" s="91">
        <f t="shared" si="114"/>
        <v>0</v>
      </c>
      <c r="AT396" s="118"/>
      <c r="AU396" s="118"/>
      <c r="AV396" s="118"/>
    </row>
    <row r="397" spans="1:48" s="20" customFormat="1" x14ac:dyDescent="0.25">
      <c r="A397" s="17">
        <f>IFERROR(VLOOKUP(D397,'Monthly Deduction'!$I$3:$J$957,2,0),0)</f>
        <v>0</v>
      </c>
      <c r="B397" s="17">
        <f>IFERROR(VLOOKUP(D397,'Monthly Deduction'!$E$3:$F$957,2,0),0)</f>
        <v>0</v>
      </c>
      <c r="C397" s="17">
        <f t="shared" si="115"/>
        <v>0</v>
      </c>
      <c r="D397" s="41">
        <v>10130020</v>
      </c>
      <c r="E397" s="122" t="str">
        <f>VLOOKUP(D397,'MPG Payment '!$E$3:$G$497305,2,0)</f>
        <v>Gomukh ID Mahathi</v>
      </c>
      <c r="F397" s="146">
        <f>IFERROR(_xlfn.XLOOKUP(D397,'Monthly Deduction'!$I$3:$I$957,'Monthly Deduction'!$H$3:$H$957),0)</f>
        <v>0</v>
      </c>
      <c r="G397" s="123" t="str">
        <f>VLOOKUP(D397,'MPG Payment '!$E$3:$G$333666,3,0)</f>
        <v>vlc</v>
      </c>
      <c r="H397" s="124" t="str">
        <f>VLOOKUP(D397,'MPG Payment '!$E$3:$H$333666,4,0)</f>
        <v>Indirect</v>
      </c>
      <c r="I397" s="88">
        <f>INDEX('MPG Payment '!$C:$C,MATCH('Shayak Income '!D397,'MPG Payment '!E:E,0))</f>
        <v>1013</v>
      </c>
      <c r="J397" s="88" t="str">
        <f>INDEX('MPG Payment '!$D:$D,MATCH('Shayak Income '!D397,'MPG Payment '!E:E,0))</f>
        <v>Musrigharari</v>
      </c>
      <c r="K397" s="125" t="s">
        <v>1594</v>
      </c>
      <c r="L397" s="125">
        <v>44724</v>
      </c>
      <c r="M397" s="126">
        <f>SUMIF('MPG Payment '!$E$3:$E$344841,'Shayak Income '!D397,'MPG Payment '!$I$3:$I$344841)</f>
        <v>2328.4</v>
      </c>
      <c r="N397" s="126">
        <f>SUMIF('MPG Payment '!$E$3:$E$344841,'Shayak Income '!D397,'MPG Payment '!$J$3:$J$344841)</f>
        <v>93132.91</v>
      </c>
      <c r="O397" s="126">
        <f t="shared" si="116"/>
        <v>1746.3000000000002</v>
      </c>
      <c r="P397" s="126">
        <f t="shared" si="117"/>
        <v>2211.98</v>
      </c>
      <c r="Q397" s="126">
        <f>SUMIF('MPG Payment '!$E$3:$E$344841,'Shayak Income '!D397,'MPG Payment '!$S$3:$S$344841)</f>
        <v>0</v>
      </c>
      <c r="R397" s="126">
        <f t="shared" si="108"/>
        <v>2793.9872999999998</v>
      </c>
      <c r="S397" s="126">
        <f t="shared" si="109"/>
        <v>582.00729999999976</v>
      </c>
      <c r="T397" s="126">
        <f t="shared" si="118"/>
        <v>232.84000000000003</v>
      </c>
      <c r="U397" s="127">
        <f>((((((IF(K397="New",0,SUMIF('MPG Payment '!$E$3:$E$344841,'Shayak Income '!D397,'MPG Payment '!$AC$3:$AC$344841))))+0)+0)+0)+0)+0</f>
        <v>375.36042575061776</v>
      </c>
      <c r="V397" s="127">
        <f t="shared" si="119"/>
        <v>3350</v>
      </c>
      <c r="W397" s="19">
        <f t="shared" si="123"/>
        <v>0</v>
      </c>
      <c r="X397" s="19">
        <f t="shared" si="124"/>
        <v>0</v>
      </c>
      <c r="Y397" s="128">
        <f>IFERROR(VLOOKUP(D397,'Monthly Deduction'!$M$2:$N$640,2,0),0)</f>
        <v>0</v>
      </c>
      <c r="Z397" s="128">
        <v>0</v>
      </c>
      <c r="AA397" s="126">
        <f>IFERROR(VLOOKUP(D397,'Monthly Deduction'!A:B,2,0),0)</f>
        <v>0</v>
      </c>
      <c r="AB397" s="129">
        <f t="shared" si="110"/>
        <v>3350</v>
      </c>
      <c r="AC397" s="130">
        <v>0</v>
      </c>
      <c r="AD397" s="35">
        <f t="shared" si="120"/>
        <v>3350</v>
      </c>
      <c r="AE397" s="166" t="str">
        <f t="shared" si="121"/>
        <v>Release</v>
      </c>
      <c r="AF397" s="127"/>
      <c r="AG397" s="18">
        <v>0</v>
      </c>
      <c r="AH397" s="132"/>
      <c r="AI397" s="238">
        <v>0</v>
      </c>
      <c r="AJ397" s="132"/>
      <c r="AK397" s="151">
        <v>521.6</v>
      </c>
      <c r="AL397" s="154">
        <f t="shared" si="111"/>
        <v>0</v>
      </c>
      <c r="AM397" s="155"/>
      <c r="AN397" s="19">
        <f t="shared" si="112"/>
        <v>0</v>
      </c>
      <c r="AO397" s="118">
        <f>SUMIF('MPG Payment '!E:E,'Shayak Income '!D397,'MPG Payment '!AJ:AJ)</f>
        <v>0</v>
      </c>
      <c r="AP397" s="19">
        <f t="shared" si="113"/>
        <v>0</v>
      </c>
      <c r="AQ397" s="119">
        <f t="shared" si="122"/>
        <v>0</v>
      </c>
      <c r="AR397" s="91"/>
      <c r="AS397" s="91">
        <f t="shared" si="114"/>
        <v>0</v>
      </c>
      <c r="AT397" s="118"/>
      <c r="AU397" s="118"/>
      <c r="AV397" s="118"/>
    </row>
    <row r="398" spans="1:48" s="20" customFormat="1" x14ac:dyDescent="0.25">
      <c r="A398" s="17">
        <f>IFERROR(VLOOKUP(D398,'Monthly Deduction'!$I$3:$J$957,2,0),0)</f>
        <v>0</v>
      </c>
      <c r="B398" s="17">
        <f>IFERROR(VLOOKUP(D398,'Monthly Deduction'!$E$3:$F$957,2,0),0)</f>
        <v>4767.9447290074731</v>
      </c>
      <c r="C398" s="17">
        <f t="shared" si="115"/>
        <v>4767.9447290074731</v>
      </c>
      <c r="D398" s="41">
        <v>10130025</v>
      </c>
      <c r="E398" s="122" t="str">
        <f>VLOOKUP(D398,'MPG Payment '!$E$3:$G$497305,2,0)</f>
        <v>MURTUJAPUR</v>
      </c>
      <c r="F398" s="146">
        <f>IFERROR(_xlfn.XLOOKUP(D398,'Monthly Deduction'!$I$3:$I$957,'Monthly Deduction'!$H$3:$H$957),0)</f>
        <v>0</v>
      </c>
      <c r="G398" s="123" t="str">
        <f>VLOOKUP(D398,'MPG Payment '!$E$3:$G$333666,3,0)</f>
        <v>vlc</v>
      </c>
      <c r="H398" s="124" t="str">
        <f>VLOOKUP(D398,'MPG Payment '!$E$3:$H$333666,4,0)</f>
        <v>Indirect</v>
      </c>
      <c r="I398" s="88">
        <f>INDEX('MPG Payment '!$C:$C,MATCH('Shayak Income '!D398,'MPG Payment '!E:E,0))</f>
        <v>1013</v>
      </c>
      <c r="J398" s="88" t="str">
        <f>INDEX('MPG Payment '!$D:$D,MATCH('Shayak Income '!D398,'MPG Payment '!E:E,0))</f>
        <v>Musrigharari</v>
      </c>
      <c r="K398" s="125" t="s">
        <v>1594</v>
      </c>
      <c r="L398" s="125">
        <v>44949</v>
      </c>
      <c r="M398" s="126">
        <f>SUMIF('MPG Payment '!$E$3:$E$344841,'Shayak Income '!D398,'MPG Payment '!$I$3:$I$344841)</f>
        <v>1690.3000000000002</v>
      </c>
      <c r="N398" s="126">
        <f>SUMIF('MPG Payment '!$E$3:$E$344841,'Shayak Income '!D398,'MPG Payment '!$J$3:$J$344841)</f>
        <v>70839.69</v>
      </c>
      <c r="O398" s="126">
        <f t="shared" si="116"/>
        <v>1267.7250000000001</v>
      </c>
      <c r="P398" s="126">
        <f t="shared" si="117"/>
        <v>1605.7850000000001</v>
      </c>
      <c r="Q398" s="126">
        <f>SUMIF('MPG Payment '!$E$3:$E$344841,'Shayak Income '!D398,'MPG Payment '!$S$3:$S$344841)</f>
        <v>0</v>
      </c>
      <c r="R398" s="126">
        <f t="shared" si="108"/>
        <v>2125.1907000000001</v>
      </c>
      <c r="S398" s="126">
        <f t="shared" si="109"/>
        <v>519.40570000000002</v>
      </c>
      <c r="T398" s="126">
        <f t="shared" si="118"/>
        <v>169.03000000000003</v>
      </c>
      <c r="U398" s="127">
        <f>((((((IF(K398="New",0,SUMIF('MPG Payment '!$E$3:$E$344841,'Shayak Income '!D398,'MPG Payment '!$AC$3:$AC$344841))))+0)+0)+0)+0)+0</f>
        <v>944.49881725427235</v>
      </c>
      <c r="V398" s="127">
        <f t="shared" si="119"/>
        <v>1760</v>
      </c>
      <c r="W398" s="19">
        <f t="shared" si="123"/>
        <v>0</v>
      </c>
      <c r="X398" s="19">
        <f t="shared" si="124"/>
        <v>1416.7938000000001</v>
      </c>
      <c r="Y398" s="128">
        <f>IFERROR(VLOOKUP(D398,'Monthly Deduction'!$M$2:$N$640,2,0),0)</f>
        <v>0</v>
      </c>
      <c r="Z398" s="128">
        <v>0</v>
      </c>
      <c r="AA398" s="126">
        <f>IFERROR(VLOOKUP(D398,'Monthly Deduction'!A:B,2,0),0)</f>
        <v>0</v>
      </c>
      <c r="AB398" s="129">
        <f t="shared" si="110"/>
        <v>343</v>
      </c>
      <c r="AC398" s="130">
        <v>0</v>
      </c>
      <c r="AD398" s="35">
        <f t="shared" si="120"/>
        <v>343</v>
      </c>
      <c r="AE398" s="166" t="str">
        <f t="shared" si="121"/>
        <v>Release</v>
      </c>
      <c r="AF398" s="127"/>
      <c r="AG398" s="18">
        <v>0</v>
      </c>
      <c r="AH398" s="132"/>
      <c r="AI398" s="238">
        <v>0</v>
      </c>
      <c r="AJ398" s="132"/>
      <c r="AK398" s="151">
        <v>416.8</v>
      </c>
      <c r="AL398" s="154">
        <f t="shared" si="111"/>
        <v>0</v>
      </c>
      <c r="AM398" s="155"/>
      <c r="AN398" s="19">
        <f t="shared" si="112"/>
        <v>0</v>
      </c>
      <c r="AO398" s="118">
        <f>SUMIF('MPG Payment '!E:E,'Shayak Income '!D398,'MPG Payment '!AJ:AJ)</f>
        <v>0</v>
      </c>
      <c r="AP398" s="19">
        <f t="shared" si="113"/>
        <v>0</v>
      </c>
      <c r="AQ398" s="119">
        <f t="shared" si="122"/>
        <v>0</v>
      </c>
      <c r="AR398" s="91"/>
      <c r="AS398" s="91">
        <f t="shared" si="114"/>
        <v>3351.1509290074728</v>
      </c>
      <c r="AT398" s="118"/>
      <c r="AU398" s="118"/>
      <c r="AV398" s="118"/>
    </row>
    <row r="399" spans="1:48" s="20" customFormat="1" x14ac:dyDescent="0.25">
      <c r="A399" s="17">
        <f>IFERROR(VLOOKUP(D399,'Monthly Deduction'!$I$3:$J$957,2,0),0)</f>
        <v>13037.452000000005</v>
      </c>
      <c r="B399" s="17">
        <f>IFERROR(VLOOKUP(D399,'Monthly Deduction'!$E$3:$F$957,2,0),0)</f>
        <v>6400</v>
      </c>
      <c r="C399" s="17">
        <f t="shared" si="115"/>
        <v>19437.452000000005</v>
      </c>
      <c r="D399" s="41">
        <v>10130026</v>
      </c>
      <c r="E399" s="122" t="str">
        <f>VLOOKUP(D399,'MPG Payment '!$E$3:$G$497305,2,0)</f>
        <v>Rasalpur</v>
      </c>
      <c r="F399" s="146">
        <f>IFERROR(_xlfn.XLOOKUP(D399,'Monthly Deduction'!$I$3:$I$957,'Monthly Deduction'!$H$3:$H$957),0)</f>
        <v>0</v>
      </c>
      <c r="G399" s="123" t="str">
        <f>VLOOKUP(D399,'MPG Payment '!$E$3:$G$333666,3,0)</f>
        <v>MPG</v>
      </c>
      <c r="H399" s="124" t="str">
        <f>VLOOKUP(D399,'MPG Payment '!$E$3:$H$333666,4,0)</f>
        <v>Direct</v>
      </c>
      <c r="I399" s="88">
        <f>INDEX('MPG Payment '!$C:$C,MATCH('Shayak Income '!D399,'MPG Payment '!E:E,0))</f>
        <v>1013</v>
      </c>
      <c r="J399" s="88" t="str">
        <f>INDEX('MPG Payment '!$D:$D,MATCH('Shayak Income '!D399,'MPG Payment '!E:E,0))</f>
        <v>Musrigharari</v>
      </c>
      <c r="K399" s="125" t="s">
        <v>1594</v>
      </c>
      <c r="L399" s="125">
        <v>44982</v>
      </c>
      <c r="M399" s="126">
        <f>SUMIF('MPG Payment '!$E$3:$E$344841,'Shayak Income '!D399,'MPG Payment '!$I$3:$I$344841)</f>
        <v>831.7</v>
      </c>
      <c r="N399" s="126">
        <f>SUMIF('MPG Payment '!$E$3:$E$344841,'Shayak Income '!D399,'MPG Payment '!$J$3:$J$344841)</f>
        <v>36361.99</v>
      </c>
      <c r="O399" s="126">
        <f t="shared" si="116"/>
        <v>623.77500000000009</v>
      </c>
      <c r="P399" s="126">
        <f t="shared" si="117"/>
        <v>790.11500000000001</v>
      </c>
      <c r="Q399" s="126">
        <f>SUMIF('MPG Payment '!$E$3:$E$344841,'Shayak Income '!D399,'MPG Payment '!$S$3:$S$344841)</f>
        <v>374.48</v>
      </c>
      <c r="R399" s="126">
        <f t="shared" si="108"/>
        <v>1090.8597</v>
      </c>
      <c r="S399" s="126">
        <f t="shared" si="109"/>
        <v>300.74469999999997</v>
      </c>
      <c r="T399" s="126">
        <f t="shared" si="118"/>
        <v>83.170000000000016</v>
      </c>
      <c r="U399" s="127">
        <f>((((((IF(K399="New",0,SUMIF('MPG Payment '!$E$3:$E$344841,'Shayak Income '!D399,'MPG Payment '!$AC$3:$AC$344841))))+0)+0)+0)+0)+0</f>
        <v>1692.4674523276979</v>
      </c>
      <c r="V399" s="127">
        <f t="shared" si="119"/>
        <v>13</v>
      </c>
      <c r="W399" s="19">
        <v>0</v>
      </c>
      <c r="X399" s="19">
        <v>13</v>
      </c>
      <c r="Y399" s="128">
        <v>0</v>
      </c>
      <c r="Z399" s="128">
        <v>0</v>
      </c>
      <c r="AA399" s="126">
        <f>IFERROR(VLOOKUP(D399,'Monthly Deduction'!A:B,2,0),0)</f>
        <v>0</v>
      </c>
      <c r="AB399" s="129">
        <f t="shared" si="110"/>
        <v>0</v>
      </c>
      <c r="AC399" s="130">
        <v>0</v>
      </c>
      <c r="AD399" s="35">
        <f t="shared" si="120"/>
        <v>0</v>
      </c>
      <c r="AE399" s="166" t="str">
        <f t="shared" si="121"/>
        <v>Release</v>
      </c>
      <c r="AF399" s="127"/>
      <c r="AG399" s="18">
        <v>0</v>
      </c>
      <c r="AH399" s="120"/>
      <c r="AI399" s="238">
        <v>0</v>
      </c>
      <c r="AJ399" s="132"/>
      <c r="AK399" s="151">
        <v>189.89999999999998</v>
      </c>
      <c r="AL399" s="154">
        <f t="shared" si="111"/>
        <v>0</v>
      </c>
      <c r="AM399" s="155"/>
      <c r="AN399" s="19">
        <f t="shared" si="112"/>
        <v>1861</v>
      </c>
      <c r="AO399" s="118">
        <f>SUMIF('MPG Payment '!E:E,'Shayak Income '!D399,'MPG Payment '!AJ:AJ)</f>
        <v>2000</v>
      </c>
      <c r="AP399" s="19">
        <f t="shared" si="113"/>
        <v>0</v>
      </c>
      <c r="AQ399" s="119">
        <f t="shared" si="122"/>
        <v>2000</v>
      </c>
      <c r="AR399" s="91"/>
      <c r="AS399" s="91">
        <f t="shared" si="114"/>
        <v>6387</v>
      </c>
      <c r="AT399" s="118"/>
      <c r="AU399" s="118"/>
      <c r="AV399" s="118"/>
    </row>
    <row r="400" spans="1:48" s="20" customFormat="1" x14ac:dyDescent="0.25">
      <c r="A400" s="17">
        <f>IFERROR(VLOOKUP(D400,'Monthly Deduction'!$I$3:$J$957,2,0),0)</f>
        <v>0</v>
      </c>
      <c r="B400" s="17">
        <f>IFERROR(VLOOKUP(D400,'Monthly Deduction'!$E$3:$F$957,2,0),0)</f>
        <v>0</v>
      </c>
      <c r="C400" s="17">
        <f t="shared" si="115"/>
        <v>0</v>
      </c>
      <c r="D400" s="41">
        <v>10130030</v>
      </c>
      <c r="E400" s="122" t="str">
        <f>VLOOKUP(D400,'MPG Payment '!$E$3:$G$497305,2,0)</f>
        <v xml:space="preserve">Chhuchhipur                                                                                         </v>
      </c>
      <c r="F400" s="146">
        <f>IFERROR(_xlfn.XLOOKUP(D400,'Monthly Deduction'!$I$3:$I$957,'Monthly Deduction'!$H$3:$H$957),0)</f>
        <v>0</v>
      </c>
      <c r="G400" s="123" t="str">
        <f>VLOOKUP(D400,'MPG Payment '!$E$3:$G$333666,3,0)</f>
        <v>MPG</v>
      </c>
      <c r="H400" s="124" t="str">
        <f>VLOOKUP(D400,'MPG Payment '!$E$3:$H$333666,4,0)</f>
        <v>Direct</v>
      </c>
      <c r="I400" s="88">
        <f>INDEX('MPG Payment '!$C:$C,MATCH('Shayak Income '!D400,'MPG Payment '!E:E,0))</f>
        <v>1013</v>
      </c>
      <c r="J400" s="88" t="str">
        <f>INDEX('MPG Payment '!$D:$D,MATCH('Shayak Income '!D400,'MPG Payment '!E:E,0))</f>
        <v>Musrigharari</v>
      </c>
      <c r="K400" s="125" t="s">
        <v>1594</v>
      </c>
      <c r="L400" s="125">
        <v>45038</v>
      </c>
      <c r="M400" s="126">
        <f>SUMIF('MPG Payment '!$E$3:$E$344841,'Shayak Income '!D400,'MPG Payment '!$I$3:$I$344841)</f>
        <v>1026.3999999999999</v>
      </c>
      <c r="N400" s="126">
        <f>SUMIF('MPG Payment '!$E$3:$E$344841,'Shayak Income '!D400,'MPG Payment '!$J$3:$J$344841)</f>
        <v>35943.120000000003</v>
      </c>
      <c r="O400" s="126">
        <f t="shared" si="116"/>
        <v>769.8</v>
      </c>
      <c r="P400" s="126">
        <f t="shared" si="117"/>
        <v>975.07999999999981</v>
      </c>
      <c r="Q400" s="126">
        <f>SUMIF('MPG Payment '!$E$3:$E$344841,'Shayak Income '!D400,'MPG Payment '!$S$3:$S$344841)</f>
        <v>42.269999999999996</v>
      </c>
      <c r="R400" s="126">
        <f t="shared" si="108"/>
        <v>1078.2936</v>
      </c>
      <c r="S400" s="126">
        <f t="shared" si="109"/>
        <v>103.21360000000016</v>
      </c>
      <c r="T400" s="126">
        <f t="shared" si="118"/>
        <v>102.63999999999999</v>
      </c>
      <c r="U400" s="127">
        <f>((((((IF(K400="New",0,SUMIF('MPG Payment '!$E$3:$E$344841,'Shayak Income '!D400,'MPG Payment '!$AC$3:$AC$344841))))+0)+0)+0)+0)+0</f>
        <v>1261.3919495074465</v>
      </c>
      <c r="V400" s="127">
        <f t="shared" si="119"/>
        <v>423</v>
      </c>
      <c r="W400" s="19">
        <f t="shared" si="123"/>
        <v>0</v>
      </c>
      <c r="X400" s="19">
        <f t="shared" si="124"/>
        <v>0</v>
      </c>
      <c r="Y400" s="128">
        <f>IFERROR(VLOOKUP(D400,'Monthly Deduction'!$M$2:$N$640,2,0),0)</f>
        <v>0</v>
      </c>
      <c r="Z400" s="128">
        <v>0</v>
      </c>
      <c r="AA400" s="126">
        <f>IFERROR(VLOOKUP(D400,'Monthly Deduction'!A:B,2,0),0)</f>
        <v>0</v>
      </c>
      <c r="AB400" s="129">
        <f t="shared" si="110"/>
        <v>423</v>
      </c>
      <c r="AC400" s="130">
        <v>0</v>
      </c>
      <c r="AD400" s="35">
        <f t="shared" si="120"/>
        <v>423</v>
      </c>
      <c r="AE400" s="166" t="str">
        <f t="shared" si="121"/>
        <v>Release</v>
      </c>
      <c r="AF400" s="127"/>
      <c r="AG400" s="18">
        <v>0</v>
      </c>
      <c r="AH400" s="120"/>
      <c r="AI400" s="238">
        <v>0</v>
      </c>
      <c r="AJ400" s="132"/>
      <c r="AK400" s="151">
        <v>172.79999999999998</v>
      </c>
      <c r="AL400" s="154">
        <f t="shared" si="111"/>
        <v>0</v>
      </c>
      <c r="AM400" s="155"/>
      <c r="AN400" s="19">
        <f t="shared" si="112"/>
        <v>0</v>
      </c>
      <c r="AO400" s="118">
        <f>SUMIF('MPG Payment '!E:E,'Shayak Income '!D400,'MPG Payment '!AJ:AJ)</f>
        <v>0</v>
      </c>
      <c r="AP400" s="19">
        <f t="shared" si="113"/>
        <v>0</v>
      </c>
      <c r="AQ400" s="119">
        <f t="shared" si="122"/>
        <v>0</v>
      </c>
      <c r="AR400" s="91" t="s">
        <v>1144</v>
      </c>
      <c r="AS400" s="91">
        <f t="shared" si="114"/>
        <v>0</v>
      </c>
      <c r="AT400" s="118"/>
      <c r="AU400" s="118"/>
      <c r="AV400" s="118"/>
    </row>
    <row r="401" spans="1:48" s="20" customFormat="1" x14ac:dyDescent="0.25">
      <c r="A401" s="17">
        <f>IFERROR(VLOOKUP(D401,'Monthly Deduction'!$I$3:$J$957,2,0),0)</f>
        <v>0</v>
      </c>
      <c r="B401" s="17">
        <f>IFERROR(VLOOKUP(D401,'Monthly Deduction'!$E$3:$F$957,2,0),0)</f>
        <v>0</v>
      </c>
      <c r="C401" s="17">
        <f t="shared" si="115"/>
        <v>0</v>
      </c>
      <c r="D401" s="41">
        <v>10130031</v>
      </c>
      <c r="E401" s="122" t="str">
        <f>VLOOKUP(D401,'MPG Payment '!$E$3:$G$497305,2,0)</f>
        <v>Gomukh ID Sararanjan</v>
      </c>
      <c r="F401" s="146">
        <f>IFERROR(_xlfn.XLOOKUP(D401,'Monthly Deduction'!$I$3:$I$957,'Monthly Deduction'!$H$3:$H$957),0)</f>
        <v>0</v>
      </c>
      <c r="G401" s="123" t="str">
        <f>VLOOKUP(D401,'MPG Payment '!$E$3:$G$333666,3,0)</f>
        <v>vlc</v>
      </c>
      <c r="H401" s="124" t="str">
        <f>VLOOKUP(D401,'MPG Payment '!$E$3:$H$333666,4,0)</f>
        <v>Indirect</v>
      </c>
      <c r="I401" s="88">
        <f>INDEX('MPG Payment '!$C:$C,MATCH('Shayak Income '!D401,'MPG Payment '!E:E,0))</f>
        <v>1013</v>
      </c>
      <c r="J401" s="88" t="str">
        <f>INDEX('MPG Payment '!$D:$D,MATCH('Shayak Income '!D401,'MPG Payment '!E:E,0))</f>
        <v>Musrigharari</v>
      </c>
      <c r="K401" s="125" t="s">
        <v>1594</v>
      </c>
      <c r="L401" s="125">
        <v>45074</v>
      </c>
      <c r="M401" s="126">
        <f>SUMIF('MPG Payment '!$E$3:$E$344841,'Shayak Income '!D401,'MPG Payment '!$I$3:$I$344841)</f>
        <v>492.70000000000005</v>
      </c>
      <c r="N401" s="126">
        <f>SUMIF('MPG Payment '!$E$3:$E$344841,'Shayak Income '!D401,'MPG Payment '!$J$3:$J$344841)</f>
        <v>17096.21</v>
      </c>
      <c r="O401" s="126">
        <f t="shared" si="116"/>
        <v>369.52500000000003</v>
      </c>
      <c r="P401" s="126">
        <f t="shared" si="117"/>
        <v>468.065</v>
      </c>
      <c r="Q401" s="126">
        <f>SUMIF('MPG Payment '!$E$3:$E$344841,'Shayak Income '!D401,'MPG Payment '!$S$3:$S$344841)</f>
        <v>0</v>
      </c>
      <c r="R401" s="126">
        <f t="shared" si="108"/>
        <v>512.88630000000001</v>
      </c>
      <c r="S401" s="126">
        <f t="shared" si="109"/>
        <v>44.821300000000008</v>
      </c>
      <c r="T401" s="126">
        <f t="shared" si="118"/>
        <v>49.27000000000001</v>
      </c>
      <c r="U401" s="127">
        <f>((((((IF(K401="New",0,SUMIF('MPG Payment '!$E$3:$E$344841,'Shayak Income '!D401,'MPG Payment '!$AC$3:$AC$344841))))+0)+0)+0)+0)+-817</f>
        <v>787.9018046028591</v>
      </c>
      <c r="V401" s="127">
        <f t="shared" si="119"/>
        <v>0</v>
      </c>
      <c r="W401" s="19">
        <v>0</v>
      </c>
      <c r="X401" s="19">
        <v>0</v>
      </c>
      <c r="Y401" s="128">
        <v>0</v>
      </c>
      <c r="Z401" s="128">
        <v>0</v>
      </c>
      <c r="AA401" s="126">
        <v>0</v>
      </c>
      <c r="AB401" s="129">
        <f t="shared" si="110"/>
        <v>0</v>
      </c>
      <c r="AC401" s="130">
        <v>0</v>
      </c>
      <c r="AD401" s="35">
        <f t="shared" si="120"/>
        <v>0</v>
      </c>
      <c r="AE401" s="166" t="str">
        <f t="shared" si="121"/>
        <v>Release</v>
      </c>
      <c r="AF401" s="127"/>
      <c r="AG401" s="18">
        <v>0</v>
      </c>
      <c r="AH401" s="120"/>
      <c r="AI401" s="238">
        <v>0</v>
      </c>
      <c r="AJ401" s="132"/>
      <c r="AK401" s="151">
        <v>123.90000000000002</v>
      </c>
      <c r="AL401" s="154">
        <f t="shared" si="111"/>
        <v>0</v>
      </c>
      <c r="AM401" s="155"/>
      <c r="AN401" s="19">
        <f t="shared" si="112"/>
        <v>0</v>
      </c>
      <c r="AO401" s="118">
        <f>SUMIF('MPG Payment '!E:E,'Shayak Income '!D401,'MPG Payment '!AJ:AJ)</f>
        <v>0</v>
      </c>
      <c r="AP401" s="19">
        <f t="shared" si="113"/>
        <v>0</v>
      </c>
      <c r="AQ401" s="119">
        <f t="shared" si="122"/>
        <v>0</v>
      </c>
      <c r="AR401" s="91" t="s">
        <v>1144</v>
      </c>
      <c r="AS401" s="91">
        <f t="shared" si="114"/>
        <v>0</v>
      </c>
      <c r="AT401" s="118"/>
      <c r="AU401" s="118"/>
      <c r="AV401" s="118"/>
    </row>
    <row r="402" spans="1:48" s="20" customFormat="1" x14ac:dyDescent="0.25">
      <c r="A402" s="17">
        <f>IFERROR(VLOOKUP(D402,'Monthly Deduction'!$I$3:$J$957,2,0),0)</f>
        <v>14916</v>
      </c>
      <c r="B402" s="17">
        <f>IFERROR(VLOOKUP(D402,'Monthly Deduction'!$E$3:$F$957,2,0),0)</f>
        <v>6229</v>
      </c>
      <c r="C402" s="17">
        <f t="shared" si="115"/>
        <v>21145</v>
      </c>
      <c r="D402" s="41">
        <v>10130032</v>
      </c>
      <c r="E402" s="122" t="str">
        <f>VLOOKUP(D402,'MPG Payment '!$E$3:$G$497305,2,0)</f>
        <v xml:space="preserve">Gomukh Soharthi Purvi Tola                                                                          </v>
      </c>
      <c r="F402" s="146">
        <f>IFERROR(_xlfn.XLOOKUP(D402,'Monthly Deduction'!$I$3:$I$957,'Monthly Deduction'!$H$3:$H$957),0)</f>
        <v>0</v>
      </c>
      <c r="G402" s="123" t="str">
        <f>VLOOKUP(D402,'MPG Payment '!$E$3:$G$333666,3,0)</f>
        <v>MPG</v>
      </c>
      <c r="H402" s="124" t="str">
        <f>VLOOKUP(D402,'MPG Payment '!$E$3:$H$333666,4,0)</f>
        <v>Direct</v>
      </c>
      <c r="I402" s="88">
        <f>INDEX('MPG Payment '!$C:$C,MATCH('Shayak Income '!D402,'MPG Payment '!E:E,0))</f>
        <v>1013</v>
      </c>
      <c r="J402" s="88" t="str">
        <f>INDEX('MPG Payment '!$D:$D,MATCH('Shayak Income '!D402,'MPG Payment '!E:E,0))</f>
        <v>Musrigharari</v>
      </c>
      <c r="K402" s="125" t="s">
        <v>1594</v>
      </c>
      <c r="L402" s="125">
        <v>45076</v>
      </c>
      <c r="M402" s="126">
        <f>SUMIF('MPG Payment '!$E$3:$E$344841,'Shayak Income '!D402,'MPG Payment '!$I$3:$I$344841)</f>
        <v>186.3</v>
      </c>
      <c r="N402" s="126">
        <f>SUMIF('MPG Payment '!$E$3:$E$344841,'Shayak Income '!D402,'MPG Payment '!$J$3:$J$344841)</f>
        <v>7973.9000000000005</v>
      </c>
      <c r="O402" s="126">
        <f t="shared" si="116"/>
        <v>139.72500000000002</v>
      </c>
      <c r="P402" s="126">
        <f t="shared" si="117"/>
        <v>176.98500000000001</v>
      </c>
      <c r="Q402" s="126">
        <f>SUMIF('MPG Payment '!$E$3:$E$344841,'Shayak Income '!D402,'MPG Payment '!$S$3:$S$344841)</f>
        <v>0</v>
      </c>
      <c r="R402" s="126">
        <f t="shared" si="108"/>
        <v>239.21700000000001</v>
      </c>
      <c r="S402" s="126">
        <f t="shared" si="109"/>
        <v>62.231999999999999</v>
      </c>
      <c r="T402" s="126">
        <f t="shared" si="118"/>
        <v>18.630000000000003</v>
      </c>
      <c r="U402" s="127">
        <f>((((((IF(K402="New",0,SUMIF('MPG Payment '!$E$3:$E$344841,'Shayak Income '!D402,'MPG Payment '!$AC$3:$AC$344841))))+0)+0)+0)+0)+-1340</f>
        <v>298.27907349154657</v>
      </c>
      <c r="V402" s="127">
        <f t="shared" si="119"/>
        <v>0</v>
      </c>
      <c r="W402" s="19">
        <v>0</v>
      </c>
      <c r="X402" s="19">
        <v>0</v>
      </c>
      <c r="Y402" s="128">
        <v>0</v>
      </c>
      <c r="Z402" s="128">
        <v>0</v>
      </c>
      <c r="AA402" s="126">
        <v>0</v>
      </c>
      <c r="AB402" s="129">
        <f t="shared" si="110"/>
        <v>0</v>
      </c>
      <c r="AC402" s="130">
        <f>AB402</f>
        <v>0</v>
      </c>
      <c r="AD402" s="35">
        <f t="shared" si="120"/>
        <v>0</v>
      </c>
      <c r="AE402" s="166" t="str">
        <f t="shared" si="121"/>
        <v>Release</v>
      </c>
      <c r="AF402" s="127"/>
      <c r="AG402" s="18">
        <v>0</v>
      </c>
      <c r="AH402" s="132" t="s">
        <v>1597</v>
      </c>
      <c r="AI402" s="238">
        <v>0</v>
      </c>
      <c r="AJ402" s="132"/>
      <c r="AK402" s="151">
        <v>0</v>
      </c>
      <c r="AL402" s="154">
        <f t="shared" si="111"/>
        <v>0</v>
      </c>
      <c r="AM402" s="155"/>
      <c r="AN402" s="19">
        <f t="shared" si="112"/>
        <v>1861</v>
      </c>
      <c r="AO402" s="118">
        <f>SUMIF('MPG Payment '!E:E,'Shayak Income '!D402,'MPG Payment '!AJ:AJ)</f>
        <v>1500</v>
      </c>
      <c r="AP402" s="19">
        <f t="shared" si="113"/>
        <v>0</v>
      </c>
      <c r="AQ402" s="119">
        <f t="shared" si="122"/>
        <v>1500</v>
      </c>
      <c r="AR402" s="91"/>
      <c r="AS402" s="91">
        <f t="shared" si="114"/>
        <v>6229</v>
      </c>
      <c r="AT402" s="118"/>
      <c r="AU402" s="118"/>
      <c r="AV402" s="118"/>
    </row>
    <row r="403" spans="1:48" s="20" customFormat="1" x14ac:dyDescent="0.25">
      <c r="A403" s="17">
        <f>IFERROR(VLOOKUP(D403,'Monthly Deduction'!$I$3:$J$957,2,0),0)</f>
        <v>0</v>
      </c>
      <c r="B403" s="17">
        <f>IFERROR(VLOOKUP(D403,'Monthly Deduction'!$E$3:$F$957,2,0),0)</f>
        <v>0</v>
      </c>
      <c r="C403" s="17">
        <f t="shared" si="115"/>
        <v>0</v>
      </c>
      <c r="D403" s="41">
        <v>10130040</v>
      </c>
      <c r="E403" s="122" t="str">
        <f>VLOOKUP(D403,'MPG Payment '!$E$3:$G$497305,2,0)</f>
        <v>Birnama</v>
      </c>
      <c r="F403" s="146">
        <f>IFERROR(_xlfn.XLOOKUP(D403,'Monthly Deduction'!$I$3:$I$957,'Monthly Deduction'!$H$3:$H$957),0)</f>
        <v>0</v>
      </c>
      <c r="G403" s="123" t="str">
        <f>VLOOKUP(D403,'MPG Payment '!$E$3:$G$333666,3,0)</f>
        <v>vlc</v>
      </c>
      <c r="H403" s="124" t="str">
        <f>VLOOKUP(D403,'MPG Payment '!$E$3:$H$333666,4,0)</f>
        <v>Indirect</v>
      </c>
      <c r="I403" s="88">
        <f>INDEX('MPG Payment '!$C:$C,MATCH('Shayak Income '!D403,'MPG Payment '!E:E,0))</f>
        <v>1013</v>
      </c>
      <c r="J403" s="88" t="str">
        <f>INDEX('MPG Payment '!$D:$D,MATCH('Shayak Income '!D403,'MPG Payment '!E:E,0))</f>
        <v>Musrigharari</v>
      </c>
      <c r="K403" s="125" t="s">
        <v>1594</v>
      </c>
      <c r="L403" s="125">
        <v>45151</v>
      </c>
      <c r="M403" s="126">
        <f>SUMIF('MPG Payment '!$E$3:$E$344841,'Shayak Income '!D403,'MPG Payment '!$I$3:$I$344841)</f>
        <v>4070.4</v>
      </c>
      <c r="N403" s="126">
        <f>SUMIF('MPG Payment '!$E$3:$E$344841,'Shayak Income '!D403,'MPG Payment '!$J$3:$J$344841)</f>
        <v>112040.38</v>
      </c>
      <c r="O403" s="126">
        <f t="shared" si="116"/>
        <v>3052.8</v>
      </c>
      <c r="P403" s="126">
        <f t="shared" si="117"/>
        <v>3866.88</v>
      </c>
      <c r="Q403" s="126">
        <f>SUMIF('MPG Payment '!$E$3:$E$344841,'Shayak Income '!D403,'MPG Payment '!$S$3:$S$344841)</f>
        <v>0</v>
      </c>
      <c r="R403" s="126">
        <f t="shared" si="108"/>
        <v>3361.2114000000001</v>
      </c>
      <c r="S403" s="126">
        <f t="shared" si="109"/>
        <v>-505.66859999999997</v>
      </c>
      <c r="T403" s="126">
        <f t="shared" si="118"/>
        <v>407.04</v>
      </c>
      <c r="U403" s="127">
        <f>((((((IF(K403="New",0,SUMIF('MPG Payment '!$E$3:$E$344841,'Shayak Income '!D403,'MPG Payment '!$AC$3:$AC$344841))))+0)+0)+0)+0)+0</f>
        <v>0</v>
      </c>
      <c r="V403" s="127">
        <f t="shared" si="119"/>
        <v>6513</v>
      </c>
      <c r="W403" s="19">
        <f t="shared" si="123"/>
        <v>0</v>
      </c>
      <c r="X403" s="19">
        <f t="shared" si="124"/>
        <v>0</v>
      </c>
      <c r="Y403" s="128">
        <f>IFERROR(VLOOKUP(D403,'Monthly Deduction'!$M$2:$N$640,2,0),0)</f>
        <v>0</v>
      </c>
      <c r="Z403" s="128">
        <v>0</v>
      </c>
      <c r="AA403" s="126">
        <f>IFERROR(VLOOKUP(D403,'Monthly Deduction'!A:B,2,0),0)</f>
        <v>0</v>
      </c>
      <c r="AB403" s="129">
        <f t="shared" si="110"/>
        <v>6513</v>
      </c>
      <c r="AC403" s="130">
        <v>0</v>
      </c>
      <c r="AD403" s="35">
        <f t="shared" si="120"/>
        <v>6513</v>
      </c>
      <c r="AE403" s="166" t="str">
        <f t="shared" si="121"/>
        <v>Release</v>
      </c>
      <c r="AF403" s="127"/>
      <c r="AG403" s="18">
        <v>0</v>
      </c>
      <c r="AH403" s="132"/>
      <c r="AI403" s="238">
        <v>0</v>
      </c>
      <c r="AJ403" s="132"/>
      <c r="AK403" s="151">
        <v>573.9</v>
      </c>
      <c r="AL403" s="154">
        <f t="shared" si="111"/>
        <v>0</v>
      </c>
      <c r="AM403" s="155"/>
      <c r="AN403" s="19">
        <f t="shared" si="112"/>
        <v>0</v>
      </c>
      <c r="AO403" s="118">
        <f>SUMIF('MPG Payment '!E:E,'Shayak Income '!D403,'MPG Payment '!AJ:AJ)</f>
        <v>0</v>
      </c>
      <c r="AP403" s="19">
        <f t="shared" si="113"/>
        <v>0</v>
      </c>
      <c r="AQ403" s="119">
        <f t="shared" si="122"/>
        <v>0</v>
      </c>
      <c r="AR403" s="91"/>
      <c r="AS403" s="91">
        <f t="shared" si="114"/>
        <v>0</v>
      </c>
      <c r="AT403" s="118"/>
      <c r="AU403" s="118"/>
      <c r="AV403" s="118"/>
    </row>
    <row r="404" spans="1:48" s="20" customFormat="1" x14ac:dyDescent="0.25">
      <c r="A404" s="17">
        <f>IFERROR(VLOOKUP(D404,'Monthly Deduction'!$I$3:$J$957,2,0),0)</f>
        <v>0</v>
      </c>
      <c r="B404" s="17">
        <f>IFERROR(VLOOKUP(D404,'Monthly Deduction'!$E$3:$F$957,2,0),0)</f>
        <v>0</v>
      </c>
      <c r="C404" s="17">
        <f t="shared" si="115"/>
        <v>0</v>
      </c>
      <c r="D404" s="41">
        <v>10130041</v>
      </c>
      <c r="E404" s="122" t="str">
        <f>VLOOKUP(D404,'MPG Payment '!$E$3:$G$497305,2,0)</f>
        <v>Maraie - Rubi</v>
      </c>
      <c r="F404" s="146">
        <f>IFERROR(_xlfn.XLOOKUP(D404,'Monthly Deduction'!$I$3:$I$957,'Monthly Deduction'!$H$3:$H$957),0)</f>
        <v>0</v>
      </c>
      <c r="G404" s="123" t="str">
        <f>VLOOKUP(D404,'MPG Payment '!$E$3:$G$333666,3,0)</f>
        <v>vlc</v>
      </c>
      <c r="H404" s="124" t="str">
        <f>VLOOKUP(D404,'MPG Payment '!$E$3:$H$333666,4,0)</f>
        <v>Indirect</v>
      </c>
      <c r="I404" s="88">
        <f>INDEX('MPG Payment '!$C:$C,MATCH('Shayak Income '!D404,'MPG Payment '!E:E,0))</f>
        <v>1013</v>
      </c>
      <c r="J404" s="88" t="str">
        <f>INDEX('MPG Payment '!$D:$D,MATCH('Shayak Income '!D404,'MPG Payment '!E:E,0))</f>
        <v>Musrigharari</v>
      </c>
      <c r="K404" s="125" t="s">
        <v>1594</v>
      </c>
      <c r="L404" s="125">
        <v>44911</v>
      </c>
      <c r="M404" s="126">
        <f>SUMIF('MPG Payment '!$E$3:$E$344841,'Shayak Income '!D404,'MPG Payment '!$I$3:$I$344841)</f>
        <v>146</v>
      </c>
      <c r="N404" s="126">
        <f>SUMIF('MPG Payment '!$E$3:$E$344841,'Shayak Income '!D404,'MPG Payment '!$J$3:$J$344841)</f>
        <v>5702.02</v>
      </c>
      <c r="O404" s="126">
        <f t="shared" si="116"/>
        <v>109.5</v>
      </c>
      <c r="P404" s="126">
        <f t="shared" si="117"/>
        <v>138.69999999999999</v>
      </c>
      <c r="Q404" s="126">
        <f>SUMIF('MPG Payment '!$E$3:$E$344841,'Shayak Income '!D404,'MPG Payment '!$S$3:$S$344841)</f>
        <v>0</v>
      </c>
      <c r="R404" s="126">
        <f t="shared" si="108"/>
        <v>171.06059999999999</v>
      </c>
      <c r="S404" s="126">
        <f t="shared" si="109"/>
        <v>32.360600000000005</v>
      </c>
      <c r="T404" s="126">
        <f t="shared" si="118"/>
        <v>14.600000000000001</v>
      </c>
      <c r="U404" s="127">
        <f>((((((IF(K404="New",0,SUMIF('MPG Payment '!$E$3:$E$344841,'Shayak Income '!D404,'MPG Payment '!$AC$3:$AC$344841))))+0)+0)+0)+0)+-1815</f>
        <v>233.55356808866509</v>
      </c>
      <c r="V404" s="127">
        <f t="shared" si="119"/>
        <v>0</v>
      </c>
      <c r="W404" s="19">
        <v>0</v>
      </c>
      <c r="X404" s="19">
        <v>0</v>
      </c>
      <c r="Y404" s="128">
        <v>0</v>
      </c>
      <c r="Z404" s="128">
        <v>0</v>
      </c>
      <c r="AA404" s="126">
        <v>0</v>
      </c>
      <c r="AB404" s="129">
        <f t="shared" si="110"/>
        <v>0</v>
      </c>
      <c r="AC404" s="130">
        <v>0</v>
      </c>
      <c r="AD404" s="35">
        <f t="shared" si="120"/>
        <v>0</v>
      </c>
      <c r="AE404" s="166" t="str">
        <f t="shared" si="121"/>
        <v>Release</v>
      </c>
      <c r="AF404" s="127"/>
      <c r="AG404" s="127">
        <v>0</v>
      </c>
      <c r="AH404" s="132"/>
      <c r="AI404" s="238">
        <v>0</v>
      </c>
      <c r="AJ404" s="132"/>
      <c r="AK404" s="151">
        <v>66.2</v>
      </c>
      <c r="AL404" s="154">
        <f t="shared" si="111"/>
        <v>0</v>
      </c>
      <c r="AM404" s="155"/>
      <c r="AN404" s="19">
        <f t="shared" si="112"/>
        <v>0</v>
      </c>
      <c r="AO404" s="118">
        <f>SUMIF('MPG Payment '!E:E,'Shayak Income '!D404,'MPG Payment '!AJ:AJ)</f>
        <v>0</v>
      </c>
      <c r="AP404" s="19">
        <f t="shared" si="113"/>
        <v>0</v>
      </c>
      <c r="AQ404" s="119">
        <f t="shared" si="122"/>
        <v>0</v>
      </c>
      <c r="AR404" s="91" t="s">
        <v>1144</v>
      </c>
      <c r="AS404" s="91">
        <f t="shared" si="114"/>
        <v>0</v>
      </c>
      <c r="AT404" s="118"/>
      <c r="AU404" s="118"/>
      <c r="AV404" s="118"/>
    </row>
    <row r="405" spans="1:48" s="20" customFormat="1" x14ac:dyDescent="0.25">
      <c r="A405" s="17">
        <f>IFERROR(VLOOKUP(D405,'Monthly Deduction'!$I$3:$J$957,2,0),0)</f>
        <v>0</v>
      </c>
      <c r="B405" s="17">
        <f>IFERROR(VLOOKUP(D405,'Monthly Deduction'!$E$3:$F$957,2,0),0)</f>
        <v>0</v>
      </c>
      <c r="C405" s="17">
        <f t="shared" si="115"/>
        <v>0</v>
      </c>
      <c r="D405" s="41">
        <v>10130042</v>
      </c>
      <c r="E405" s="122" t="str">
        <f>VLOOKUP(D405,'MPG Payment '!$E$3:$G$497305,2,0)</f>
        <v>Arniya East Tola - Seema</v>
      </c>
      <c r="F405" s="146">
        <f>IFERROR(_xlfn.XLOOKUP(D405,'Monthly Deduction'!$I$3:$I$957,'Monthly Deduction'!$H$3:$H$957),0)</f>
        <v>0</v>
      </c>
      <c r="G405" s="123" t="str">
        <f>VLOOKUP(D405,'MPG Payment '!$E$3:$G$333666,3,0)</f>
        <v>vlc</v>
      </c>
      <c r="H405" s="124" t="str">
        <f>VLOOKUP(D405,'MPG Payment '!$E$3:$H$333666,4,0)</f>
        <v>Indirect</v>
      </c>
      <c r="I405" s="88">
        <f>INDEX('MPG Payment '!$C:$C,MATCH('Shayak Income '!D405,'MPG Payment '!E:E,0))</f>
        <v>1013</v>
      </c>
      <c r="J405" s="88" t="str">
        <f>INDEX('MPG Payment '!$D:$D,MATCH('Shayak Income '!D405,'MPG Payment '!E:E,0))</f>
        <v>Musrigharari</v>
      </c>
      <c r="K405" s="125" t="s">
        <v>1594</v>
      </c>
      <c r="L405" s="125">
        <v>45212</v>
      </c>
      <c r="M405" s="126">
        <f>SUMIF('MPG Payment '!$E$3:$E$344841,'Shayak Income '!D405,'MPG Payment '!$I$3:$I$344841)</f>
        <v>95.899999999999977</v>
      </c>
      <c r="N405" s="126">
        <f>SUMIF('MPG Payment '!$E$3:$E$344841,'Shayak Income '!D405,'MPG Payment '!$J$3:$J$344841)</f>
        <v>3565.74</v>
      </c>
      <c r="O405" s="126">
        <f t="shared" si="116"/>
        <v>71.924999999999983</v>
      </c>
      <c r="P405" s="126">
        <f t="shared" si="117"/>
        <v>91.104999999999976</v>
      </c>
      <c r="Q405" s="126">
        <f>SUMIF('MPG Payment '!$E$3:$E$344841,'Shayak Income '!D405,'MPG Payment '!$S$3:$S$344841)</f>
        <v>0</v>
      </c>
      <c r="R405" s="126">
        <f t="shared" si="108"/>
        <v>106.97219999999999</v>
      </c>
      <c r="S405" s="126">
        <f t="shared" si="109"/>
        <v>15.867200000000011</v>
      </c>
      <c r="T405" s="126">
        <f t="shared" si="118"/>
        <v>9.5899999999999981</v>
      </c>
      <c r="U405" s="127">
        <f>((((((IF(K405="New",0,SUMIF('MPG Payment '!$E$3:$E$344841,'Shayak Income '!D405,'MPG Payment '!$AC$3:$AC$344841))))+0)+0)+0)+0)+-1920</f>
        <v>153.89257291947843</v>
      </c>
      <c r="V405" s="127">
        <f t="shared" si="119"/>
        <v>0</v>
      </c>
      <c r="W405" s="19">
        <v>0</v>
      </c>
      <c r="X405" s="19">
        <v>0</v>
      </c>
      <c r="Y405" s="128">
        <v>0</v>
      </c>
      <c r="Z405" s="128">
        <v>0</v>
      </c>
      <c r="AA405" s="126">
        <v>0</v>
      </c>
      <c r="AB405" s="129">
        <f t="shared" si="110"/>
        <v>0</v>
      </c>
      <c r="AC405" s="130">
        <v>0</v>
      </c>
      <c r="AD405" s="35">
        <f t="shared" si="120"/>
        <v>0</v>
      </c>
      <c r="AE405" s="166" t="str">
        <f t="shared" si="121"/>
        <v>Release</v>
      </c>
      <c r="AF405" s="127"/>
      <c r="AG405" s="18">
        <v>0</v>
      </c>
      <c r="AH405" s="120"/>
      <c r="AI405" s="238">
        <v>0</v>
      </c>
      <c r="AJ405" s="132"/>
      <c r="AK405" s="151">
        <v>44.7</v>
      </c>
      <c r="AL405" s="154">
        <f t="shared" si="111"/>
        <v>0</v>
      </c>
      <c r="AM405" s="155"/>
      <c r="AN405" s="19">
        <f t="shared" si="112"/>
        <v>0</v>
      </c>
      <c r="AO405" s="118">
        <f>SUMIF('MPG Payment '!E:E,'Shayak Income '!D405,'MPG Payment '!AJ:AJ)</f>
        <v>0</v>
      </c>
      <c r="AP405" s="19">
        <f t="shared" si="113"/>
        <v>0</v>
      </c>
      <c r="AQ405" s="119">
        <f t="shared" si="122"/>
        <v>0</v>
      </c>
      <c r="AR405" s="91" t="s">
        <v>1144</v>
      </c>
      <c r="AS405" s="91">
        <f t="shared" si="114"/>
        <v>0</v>
      </c>
      <c r="AT405" s="118"/>
      <c r="AU405" s="118"/>
      <c r="AV405" s="118"/>
    </row>
    <row r="406" spans="1:48" s="20" customFormat="1" x14ac:dyDescent="0.25">
      <c r="A406" s="17">
        <f>IFERROR(VLOOKUP(D406,'Monthly Deduction'!$I$3:$J$957,2,0),0)</f>
        <v>0</v>
      </c>
      <c r="B406" s="17">
        <f>IFERROR(VLOOKUP(D406,'Monthly Deduction'!$E$3:$F$957,2,0),0)</f>
        <v>0</v>
      </c>
      <c r="C406" s="17">
        <f t="shared" si="115"/>
        <v>0</v>
      </c>
      <c r="D406" s="41">
        <v>10130044</v>
      </c>
      <c r="E406" s="122" t="str">
        <f>VLOOKUP(D406,'MPG Payment '!$E$3:$G$497305,2,0)</f>
        <v>Lakshmipur Western Tol - Rajeev</v>
      </c>
      <c r="F406" s="146">
        <f>IFERROR(_xlfn.XLOOKUP(D406,'Monthly Deduction'!$I$3:$I$957,'Monthly Deduction'!$H$3:$H$957),0)</f>
        <v>0</v>
      </c>
      <c r="G406" s="123" t="str">
        <f>VLOOKUP(D406,'MPG Payment '!$E$3:$G$333666,3,0)</f>
        <v>MPG</v>
      </c>
      <c r="H406" s="124" t="str">
        <f>VLOOKUP(D406,'MPG Payment '!$E$3:$H$333666,4,0)</f>
        <v>Indirect</v>
      </c>
      <c r="I406" s="88">
        <f>INDEX('MPG Payment '!$C:$C,MATCH('Shayak Income '!D406,'MPG Payment '!E:E,0))</f>
        <v>1013</v>
      </c>
      <c r="J406" s="88" t="str">
        <f>INDEX('MPG Payment '!$D:$D,MATCH('Shayak Income '!D406,'MPG Payment '!E:E,0))</f>
        <v>Musrigharari</v>
      </c>
      <c r="K406" s="125" t="s">
        <v>1594</v>
      </c>
      <c r="L406" s="125">
        <v>44915</v>
      </c>
      <c r="M406" s="126">
        <f>SUMIF('MPG Payment '!$E$3:$E$344841,'Shayak Income '!D406,'MPG Payment '!$I$3:$I$344841)</f>
        <v>9702.6</v>
      </c>
      <c r="N406" s="126">
        <f>SUMIF('MPG Payment '!$E$3:$E$344841,'Shayak Income '!D406,'MPG Payment '!$J$3:$J$344841)</f>
        <v>436769.89000000007</v>
      </c>
      <c r="O406" s="126">
        <f t="shared" si="116"/>
        <v>7276.9500000000007</v>
      </c>
      <c r="P406" s="126">
        <f t="shared" si="117"/>
        <v>9217.4699999999993</v>
      </c>
      <c r="Q406" s="126">
        <f>SUMIF('MPG Payment '!$E$3:$E$344841,'Shayak Income '!D406,'MPG Payment '!$S$3:$S$344841)</f>
        <v>0</v>
      </c>
      <c r="R406" s="126">
        <f t="shared" si="108"/>
        <v>13103.096700000002</v>
      </c>
      <c r="S406" s="126">
        <f t="shared" si="109"/>
        <v>3885.6267000000025</v>
      </c>
      <c r="T406" s="126">
        <f t="shared" si="118"/>
        <v>970.2600000000001</v>
      </c>
      <c r="U406" s="127">
        <f>((((((IF(K406="New",0,SUMIF('MPG Payment '!$E$3:$E$344841,'Shayak Income '!D406,'MPG Payment '!$AC$3:$AC$344841))))+0)+0)+0)+0)+0</f>
        <v>0</v>
      </c>
      <c r="V406" s="127">
        <f t="shared" si="119"/>
        <v>15524</v>
      </c>
      <c r="W406" s="19">
        <f t="shared" si="123"/>
        <v>0</v>
      </c>
      <c r="X406" s="19">
        <f t="shared" si="124"/>
        <v>0</v>
      </c>
      <c r="Y406" s="128">
        <f>IFERROR(VLOOKUP(D406,'Monthly Deduction'!$M$2:$N$640,2,0),0)</f>
        <v>0</v>
      </c>
      <c r="Z406" s="128">
        <v>269.03999999999996</v>
      </c>
      <c r="AA406" s="126">
        <f>IFERROR(VLOOKUP(D406,'Monthly Deduction'!A:B,2,0),0)</f>
        <v>0</v>
      </c>
      <c r="AB406" s="129">
        <f t="shared" si="110"/>
        <v>15255</v>
      </c>
      <c r="AC406" s="130">
        <v>0</v>
      </c>
      <c r="AD406" s="35">
        <f t="shared" si="120"/>
        <v>15255</v>
      </c>
      <c r="AE406" s="166" t="str">
        <f t="shared" si="121"/>
        <v>Release</v>
      </c>
      <c r="AF406" s="127"/>
      <c r="AG406" s="18">
        <v>0</v>
      </c>
      <c r="AH406" s="132" t="s">
        <v>1680</v>
      </c>
      <c r="AI406" s="238">
        <v>0</v>
      </c>
      <c r="AJ406" s="132"/>
      <c r="AK406" s="151">
        <v>1888.8000000000002</v>
      </c>
      <c r="AL406" s="154">
        <f t="shared" si="111"/>
        <v>0</v>
      </c>
      <c r="AM406" s="155"/>
      <c r="AN406" s="19">
        <f t="shared" si="112"/>
        <v>0</v>
      </c>
      <c r="AO406" s="118">
        <f>SUMIF('MPG Payment '!E:E,'Shayak Income '!D406,'MPG Payment '!AJ:AJ)</f>
        <v>0</v>
      </c>
      <c r="AP406" s="19">
        <f t="shared" si="113"/>
        <v>0</v>
      </c>
      <c r="AQ406" s="119">
        <f t="shared" si="122"/>
        <v>0</v>
      </c>
      <c r="AR406" s="91"/>
      <c r="AS406" s="91">
        <f t="shared" si="114"/>
        <v>0</v>
      </c>
      <c r="AT406" s="118"/>
      <c r="AU406" s="118"/>
      <c r="AV406" s="118"/>
    </row>
    <row r="407" spans="1:48" s="20" customFormat="1" x14ac:dyDescent="0.25">
      <c r="A407" s="17">
        <f>IFERROR(VLOOKUP(D407,'Monthly Deduction'!$I$3:$J$957,2,0),0)</f>
        <v>36628.854616309371</v>
      </c>
      <c r="B407" s="17">
        <f>IFERROR(VLOOKUP(D407,'Monthly Deduction'!$E$3:$F$957,2,0),0)</f>
        <v>14950</v>
      </c>
      <c r="C407" s="17">
        <f t="shared" si="115"/>
        <v>51578.854616309371</v>
      </c>
      <c r="D407" s="41">
        <v>10130046</v>
      </c>
      <c r="E407" s="122" t="str">
        <f>VLOOKUP(D407,'MPG Payment '!$E$3:$G$497305,2,0)</f>
        <v>Jahangipur Salkhanni</v>
      </c>
      <c r="F407" s="146">
        <f>IFERROR(_xlfn.XLOOKUP(D407,'Monthly Deduction'!$I$3:$I$957,'Monthly Deduction'!$H$3:$H$957),0)</f>
        <v>0</v>
      </c>
      <c r="G407" s="123" t="str">
        <f>VLOOKUP(D407,'MPG Payment '!$E$3:$G$333666,3,0)</f>
        <v>MPG</v>
      </c>
      <c r="H407" s="124" t="str">
        <f>VLOOKUP(D407,'MPG Payment '!$E$3:$H$333666,4,0)</f>
        <v>Direct</v>
      </c>
      <c r="I407" s="88">
        <f>INDEX('MPG Payment '!$C:$C,MATCH('Shayak Income '!D407,'MPG Payment '!E:E,0))</f>
        <v>1013</v>
      </c>
      <c r="J407" s="88" t="str">
        <f>INDEX('MPG Payment '!$D:$D,MATCH('Shayak Income '!D407,'MPG Payment '!E:E,0))</f>
        <v>Musrigharari</v>
      </c>
      <c r="K407" s="125" t="s">
        <v>1594</v>
      </c>
      <c r="L407" s="125">
        <v>45238</v>
      </c>
      <c r="M407" s="126">
        <f>SUMIF('MPG Payment '!$E$3:$E$344841,'Shayak Income '!D407,'MPG Payment '!$I$3:$I$344841)</f>
        <v>1278.5</v>
      </c>
      <c r="N407" s="126">
        <f>SUMIF('MPG Payment '!$E$3:$E$344841,'Shayak Income '!D407,'MPG Payment '!$J$3:$J$344841)</f>
        <v>57421.57</v>
      </c>
      <c r="O407" s="126">
        <f t="shared" si="116"/>
        <v>958.875</v>
      </c>
      <c r="P407" s="126">
        <f t="shared" si="117"/>
        <v>1214.575</v>
      </c>
      <c r="Q407" s="126">
        <f>SUMIF('MPG Payment '!$E$3:$E$344841,'Shayak Income '!D407,'MPG Payment '!$S$3:$S$344841)</f>
        <v>0</v>
      </c>
      <c r="R407" s="126">
        <f t="shared" si="108"/>
        <v>1722.6470999999999</v>
      </c>
      <c r="S407" s="126">
        <f t="shared" si="109"/>
        <v>508.07209999999986</v>
      </c>
      <c r="T407" s="126">
        <f t="shared" si="118"/>
        <v>127.85000000000001</v>
      </c>
      <c r="U407" s="127">
        <f>((((((IF(K407="New",0,SUMIF('MPG Payment '!$E$3:$E$344841,'Shayak Income '!D407,'MPG Payment '!$AC$3:$AC$344841))))+0)+0)+0)+0)+0</f>
        <v>1368.6506809442071</v>
      </c>
      <c r="V407" s="127">
        <f t="shared" si="119"/>
        <v>677</v>
      </c>
      <c r="W407" s="19">
        <v>677</v>
      </c>
      <c r="X407" s="19">
        <v>0</v>
      </c>
      <c r="Y407" s="128">
        <v>0</v>
      </c>
      <c r="Z407" s="128">
        <v>0</v>
      </c>
      <c r="AA407" s="126">
        <f>IFERROR(VLOOKUP(D407,'Monthly Deduction'!A:B,2,0),0)</f>
        <v>0</v>
      </c>
      <c r="AB407" s="129">
        <f t="shared" si="110"/>
        <v>0</v>
      </c>
      <c r="AC407" s="130">
        <v>0</v>
      </c>
      <c r="AD407" s="35">
        <f t="shared" si="120"/>
        <v>0</v>
      </c>
      <c r="AE407" s="166" t="str">
        <f t="shared" si="121"/>
        <v>Release</v>
      </c>
      <c r="AF407" s="127"/>
      <c r="AG407" s="18">
        <v>0</v>
      </c>
      <c r="AH407" s="132"/>
      <c r="AI407" s="238">
        <v>0</v>
      </c>
      <c r="AJ407" s="132"/>
      <c r="AK407" s="151">
        <v>296.09999999999997</v>
      </c>
      <c r="AL407" s="154">
        <f t="shared" si="111"/>
        <v>0</v>
      </c>
      <c r="AM407" s="155"/>
      <c r="AN407" s="19">
        <f t="shared" si="112"/>
        <v>1861</v>
      </c>
      <c r="AO407" s="118">
        <f>SUMIF('MPG Payment '!E:E,'Shayak Income '!D407,'MPG Payment '!AJ:AJ)</f>
        <v>0</v>
      </c>
      <c r="AP407" s="19">
        <f t="shared" si="113"/>
        <v>677</v>
      </c>
      <c r="AQ407" s="119">
        <f t="shared" si="122"/>
        <v>677</v>
      </c>
      <c r="AR407" s="91"/>
      <c r="AS407" s="91">
        <f t="shared" si="114"/>
        <v>14950</v>
      </c>
      <c r="AT407" s="118"/>
      <c r="AU407" s="118"/>
      <c r="AV407" s="118"/>
    </row>
    <row r="408" spans="1:48" s="20" customFormat="1" x14ac:dyDescent="0.25">
      <c r="A408" s="17">
        <f>IFERROR(VLOOKUP(D408,'Monthly Deduction'!$I$3:$J$957,2,0),0)</f>
        <v>60898.551200000002</v>
      </c>
      <c r="B408" s="17">
        <f>IFERROR(VLOOKUP(D408,'Monthly Deduction'!$E$3:$F$957,2,0),0)</f>
        <v>11750</v>
      </c>
      <c r="C408" s="17">
        <f t="shared" si="115"/>
        <v>72648.551200000002</v>
      </c>
      <c r="D408" s="41">
        <v>10130047</v>
      </c>
      <c r="E408" s="122" t="str">
        <f>VLOOKUP(D408,'MPG Payment '!$E$3:$G$497305,2,0)</f>
        <v>Sekhpura</v>
      </c>
      <c r="F408" s="146">
        <f>IFERROR(_xlfn.XLOOKUP(D408,'Monthly Deduction'!$I$3:$I$957,'Monthly Deduction'!$H$3:$H$957),0)</f>
        <v>0</v>
      </c>
      <c r="G408" s="123" t="str">
        <f>VLOOKUP(D408,'MPG Payment '!$E$3:$G$333666,3,0)</f>
        <v>MPG</v>
      </c>
      <c r="H408" s="124" t="str">
        <f>VLOOKUP(D408,'MPG Payment '!$E$3:$H$333666,4,0)</f>
        <v>Direct</v>
      </c>
      <c r="I408" s="88">
        <f>INDEX('MPG Payment '!$C:$C,MATCH('Shayak Income '!D408,'MPG Payment '!E:E,0))</f>
        <v>1013</v>
      </c>
      <c r="J408" s="88" t="str">
        <f>INDEX('MPG Payment '!$D:$D,MATCH('Shayak Income '!D408,'MPG Payment '!E:E,0))</f>
        <v>Musrigharari</v>
      </c>
      <c r="K408" s="125" t="s">
        <v>1594</v>
      </c>
      <c r="L408" s="125">
        <v>45232</v>
      </c>
      <c r="M408" s="126">
        <f>SUMIF('MPG Payment '!$E$3:$E$344841,'Shayak Income '!D408,'MPG Payment '!$I$3:$I$344841)</f>
        <v>1039.5999999999999</v>
      </c>
      <c r="N408" s="126">
        <f>SUMIF('MPG Payment '!$E$3:$E$344841,'Shayak Income '!D408,'MPG Payment '!$J$3:$J$344841)</f>
        <v>40061.189999999995</v>
      </c>
      <c r="O408" s="126">
        <f t="shared" si="116"/>
        <v>779.69999999999993</v>
      </c>
      <c r="P408" s="126">
        <f t="shared" si="117"/>
        <v>987.61999999999989</v>
      </c>
      <c r="Q408" s="126">
        <f>SUMIF('MPG Payment '!$E$3:$E$344841,'Shayak Income '!D408,'MPG Payment '!$S$3:$S$344841)</f>
        <v>346.52</v>
      </c>
      <c r="R408" s="126">
        <f t="shared" si="108"/>
        <v>1201.8356999999999</v>
      </c>
      <c r="S408" s="126">
        <f t="shared" si="109"/>
        <v>214.21569999999997</v>
      </c>
      <c r="T408" s="126">
        <f t="shared" si="118"/>
        <v>103.96</v>
      </c>
      <c r="U408" s="127">
        <f>((((((IF(K408="New",0,SUMIF('MPG Payment '!$E$3:$E$344841,'Shayak Income '!D408,'MPG Payment '!$AC$3:$AC$344841))))+0)+0)+0)+0)+0</f>
        <v>1357.8522544374614</v>
      </c>
      <c r="V408" s="127">
        <f t="shared" si="119"/>
        <v>652</v>
      </c>
      <c r="W408" s="19">
        <v>652</v>
      </c>
      <c r="X408" s="19">
        <v>0</v>
      </c>
      <c r="Y408" s="128">
        <v>0</v>
      </c>
      <c r="Z408" s="128">
        <v>0</v>
      </c>
      <c r="AA408" s="126">
        <v>0</v>
      </c>
      <c r="AB408" s="129">
        <f t="shared" si="110"/>
        <v>0</v>
      </c>
      <c r="AC408" s="130">
        <v>0</v>
      </c>
      <c r="AD408" s="35">
        <f t="shared" si="120"/>
        <v>0</v>
      </c>
      <c r="AE408" s="166" t="str">
        <f t="shared" si="121"/>
        <v>Release</v>
      </c>
      <c r="AF408" s="127"/>
      <c r="AG408" s="18">
        <v>0</v>
      </c>
      <c r="AH408" s="132"/>
      <c r="AI408" s="238">
        <v>0</v>
      </c>
      <c r="AJ408" s="132"/>
      <c r="AK408" s="151">
        <v>240.7</v>
      </c>
      <c r="AL408" s="154">
        <f t="shared" si="111"/>
        <v>0</v>
      </c>
      <c r="AM408" s="155"/>
      <c r="AN408" s="19">
        <f t="shared" si="112"/>
        <v>1861</v>
      </c>
      <c r="AO408" s="118">
        <f>SUMIF('MPG Payment '!E:E,'Shayak Income '!D408,'MPG Payment '!AJ:AJ)</f>
        <v>0</v>
      </c>
      <c r="AP408" s="19">
        <f t="shared" si="113"/>
        <v>652</v>
      </c>
      <c r="AQ408" s="119">
        <f t="shared" si="122"/>
        <v>652</v>
      </c>
      <c r="AR408" s="91" t="s">
        <v>1144</v>
      </c>
      <c r="AS408" s="91">
        <f t="shared" si="114"/>
        <v>11750</v>
      </c>
      <c r="AT408" s="118"/>
      <c r="AU408" s="118"/>
      <c r="AV408" s="118"/>
    </row>
    <row r="409" spans="1:48" s="20" customFormat="1" x14ac:dyDescent="0.25">
      <c r="A409" s="17">
        <f>IFERROR(VLOOKUP(D409,'Monthly Deduction'!$I$3:$J$957,2,0),0)</f>
        <v>9506.3206411998108</v>
      </c>
      <c r="B409" s="17">
        <f>IFERROR(VLOOKUP(D409,'Monthly Deduction'!$E$3:$F$957,2,0),0)</f>
        <v>21350</v>
      </c>
      <c r="C409" s="17">
        <f t="shared" si="115"/>
        <v>30856.320641199811</v>
      </c>
      <c r="D409" s="41">
        <v>10130052</v>
      </c>
      <c r="E409" s="122" t="str">
        <f>VLOOKUP(D409,'MPG Payment '!$E$3:$G$497305,2,0)</f>
        <v>Songar</v>
      </c>
      <c r="F409" s="146">
        <f>IFERROR(_xlfn.XLOOKUP(D409,'Monthly Deduction'!$I$3:$I$957,'Monthly Deduction'!$H$3:$H$957),0)</f>
        <v>0</v>
      </c>
      <c r="G409" s="123" t="str">
        <f>VLOOKUP(D409,'MPG Payment '!$E$3:$G$333666,3,0)</f>
        <v>MPG</v>
      </c>
      <c r="H409" s="124" t="str">
        <f>VLOOKUP(D409,'MPG Payment '!$E$3:$H$333666,4,0)</f>
        <v>Direct</v>
      </c>
      <c r="I409" s="88">
        <f>INDEX('MPG Payment '!$C:$C,MATCH('Shayak Income '!D409,'MPG Payment '!E:E,0))</f>
        <v>1013</v>
      </c>
      <c r="J409" s="88" t="str">
        <f>INDEX('MPG Payment '!$D:$D,MATCH('Shayak Income '!D409,'MPG Payment '!E:E,0))</f>
        <v>Musrigharari</v>
      </c>
      <c r="K409" s="125" t="s">
        <v>1594</v>
      </c>
      <c r="L409" s="125">
        <v>45392</v>
      </c>
      <c r="M409" s="126">
        <f>SUMIF('MPG Payment '!$E$3:$E$344841,'Shayak Income '!D409,'MPG Payment '!$I$3:$I$344841)</f>
        <v>4292.4000000000005</v>
      </c>
      <c r="N409" s="126">
        <f>SUMIF('MPG Payment '!$E$3:$E$344841,'Shayak Income '!D409,'MPG Payment '!$J$3:$J$344841)</f>
        <v>155187.83999999997</v>
      </c>
      <c r="O409" s="126">
        <f t="shared" si="116"/>
        <v>3219.3</v>
      </c>
      <c r="P409" s="126">
        <f t="shared" si="117"/>
        <v>4077.78</v>
      </c>
      <c r="Q409" s="126">
        <f>SUMIF('MPG Payment '!$E$3:$E$344841,'Shayak Income '!D409,'MPG Payment '!$S$3:$S$344841)</f>
        <v>1569.3400000000001</v>
      </c>
      <c r="R409" s="126">
        <f t="shared" si="108"/>
        <v>4655.6351999999988</v>
      </c>
      <c r="S409" s="126">
        <f t="shared" si="109"/>
        <v>577.8551999999986</v>
      </c>
      <c r="T409" s="126">
        <f t="shared" si="118"/>
        <v>429.24000000000007</v>
      </c>
      <c r="U409" s="127">
        <f>((((((IF(K409="New",0,SUMIF('MPG Payment '!$E$3:$E$344841,'Shayak Income '!D409,'MPG Payment '!$AC$3:$AC$344841))))+0)+0)+0)+0)+0</f>
        <v>0</v>
      </c>
      <c r="V409" s="127">
        <f t="shared" si="119"/>
        <v>8437</v>
      </c>
      <c r="W409" s="19">
        <f t="shared" si="123"/>
        <v>3103.7567999999992</v>
      </c>
      <c r="X409" s="19">
        <v>0</v>
      </c>
      <c r="Y409" s="128">
        <f>IFERROR(VLOOKUP(D409,'Monthly Deduction'!$M$2:$N$640,2,0),0)</f>
        <v>0</v>
      </c>
      <c r="Z409" s="128">
        <v>932.2</v>
      </c>
      <c r="AA409" s="126">
        <f>IFERROR(VLOOKUP(D409,'Monthly Deduction'!A:B,2,0),0)</f>
        <v>0</v>
      </c>
      <c r="AB409" s="129">
        <f t="shared" si="110"/>
        <v>4401</v>
      </c>
      <c r="AC409" s="130">
        <v>0</v>
      </c>
      <c r="AD409" s="35">
        <f t="shared" si="120"/>
        <v>4401</v>
      </c>
      <c r="AE409" s="166" t="str">
        <f t="shared" si="121"/>
        <v>Release</v>
      </c>
      <c r="AF409" s="127"/>
      <c r="AG409" s="18">
        <v>0</v>
      </c>
      <c r="AH409" s="132" t="s">
        <v>1680</v>
      </c>
      <c r="AI409" s="238">
        <v>0</v>
      </c>
      <c r="AJ409" s="132"/>
      <c r="AK409" s="151">
        <v>947.30000000000007</v>
      </c>
      <c r="AL409" s="154">
        <f t="shared" si="111"/>
        <v>0</v>
      </c>
      <c r="AM409" s="155"/>
      <c r="AN409" s="19">
        <f t="shared" si="112"/>
        <v>3103.7567999999992</v>
      </c>
      <c r="AO409" s="118">
        <f>SUMIF('MPG Payment '!E:E,'Shayak Income '!D409,'MPG Payment '!AJ:AJ)</f>
        <v>0</v>
      </c>
      <c r="AP409" s="19">
        <f t="shared" si="113"/>
        <v>3103.7567999999992</v>
      </c>
      <c r="AQ409" s="119">
        <f t="shared" si="122"/>
        <v>3103.7567999999992</v>
      </c>
      <c r="AR409" s="91" t="s">
        <v>1144</v>
      </c>
      <c r="AS409" s="91">
        <f t="shared" si="114"/>
        <v>21350</v>
      </c>
      <c r="AT409" s="118"/>
      <c r="AU409" s="118"/>
      <c r="AV409" s="118"/>
    </row>
    <row r="410" spans="1:48" s="20" customFormat="1" x14ac:dyDescent="0.25">
      <c r="A410" s="17">
        <f>IFERROR(VLOOKUP(D410,'Monthly Deduction'!$I$3:$J$957,2,0),0)</f>
        <v>17985.174491763348</v>
      </c>
      <c r="B410" s="17">
        <f>IFERROR(VLOOKUP(D410,'Monthly Deduction'!$E$3:$F$957,2,0),0)</f>
        <v>11750</v>
      </c>
      <c r="C410" s="17">
        <f t="shared" si="115"/>
        <v>29735.174491763348</v>
      </c>
      <c r="D410" s="41">
        <v>10130054</v>
      </c>
      <c r="E410" s="122" t="str">
        <f>VLOOKUP(D410,'MPG Payment '!$E$3:$G$497305,2,0)</f>
        <v>Rampur Maheshpur</v>
      </c>
      <c r="F410" s="146">
        <f>IFERROR(_xlfn.XLOOKUP(D410,'Monthly Deduction'!$I$3:$I$957,'Monthly Deduction'!$H$3:$H$957),0)</f>
        <v>0</v>
      </c>
      <c r="G410" s="123" t="str">
        <f>VLOOKUP(D410,'MPG Payment '!$E$3:$G$333666,3,0)</f>
        <v>MPG</v>
      </c>
      <c r="H410" s="124" t="str">
        <f>VLOOKUP(D410,'MPG Payment '!$E$3:$H$333666,4,0)</f>
        <v>Direct</v>
      </c>
      <c r="I410" s="88">
        <f>INDEX('MPG Payment '!$C:$C,MATCH('Shayak Income '!D410,'MPG Payment '!E:E,0))</f>
        <v>1013</v>
      </c>
      <c r="J410" s="88" t="str">
        <f>INDEX('MPG Payment '!$D:$D,MATCH('Shayak Income '!D410,'MPG Payment '!E:E,0))</f>
        <v>Musrigharari</v>
      </c>
      <c r="K410" s="125" t="s">
        <v>1594</v>
      </c>
      <c r="L410" s="125">
        <v>45392</v>
      </c>
      <c r="M410" s="126">
        <f>SUMIF('MPG Payment '!$E$3:$E$344841,'Shayak Income '!D410,'MPG Payment '!$I$3:$I$344841)</f>
        <v>3071.3999999999996</v>
      </c>
      <c r="N410" s="126">
        <f>SUMIF('MPG Payment '!$E$3:$E$344841,'Shayak Income '!D410,'MPG Payment '!$J$3:$J$344841)</f>
        <v>126025.40999999999</v>
      </c>
      <c r="O410" s="126">
        <f t="shared" si="116"/>
        <v>2303.5499999999997</v>
      </c>
      <c r="P410" s="126">
        <f t="shared" si="117"/>
        <v>2917.8299999999995</v>
      </c>
      <c r="Q410" s="126">
        <f>SUMIF('MPG Payment '!$E$3:$E$344841,'Shayak Income '!D410,'MPG Payment '!$S$3:$S$344841)</f>
        <v>152.37</v>
      </c>
      <c r="R410" s="126">
        <f t="shared" si="108"/>
        <v>3780.7622999999994</v>
      </c>
      <c r="S410" s="126">
        <f t="shared" si="109"/>
        <v>862.93229999999994</v>
      </c>
      <c r="T410" s="126">
        <f t="shared" si="118"/>
        <v>307.14</v>
      </c>
      <c r="U410" s="127">
        <f>((((((IF(K410="New",0,SUMIF('MPG Payment '!$E$3:$E$344841,'Shayak Income '!D410,'MPG Payment '!$AC$3:$AC$344841))))+0)+0)+0)+0)+0</f>
        <v>0</v>
      </c>
      <c r="V410" s="127">
        <f t="shared" si="119"/>
        <v>5067</v>
      </c>
      <c r="W410" s="19">
        <f t="shared" si="123"/>
        <v>2520.5081999999998</v>
      </c>
      <c r="X410" s="19">
        <v>0</v>
      </c>
      <c r="Y410" s="128">
        <f>IFERROR(VLOOKUP(D410,'Monthly Deduction'!$M$2:$N$640,2,0),0)</f>
        <v>0</v>
      </c>
      <c r="Z410" s="128">
        <v>0</v>
      </c>
      <c r="AA410" s="126">
        <f>IFERROR(VLOOKUP(D410,'Monthly Deduction'!A:B,2,0),0)</f>
        <v>109.80000000000001</v>
      </c>
      <c r="AB410" s="129">
        <f t="shared" si="110"/>
        <v>2437</v>
      </c>
      <c r="AC410" s="130">
        <v>0</v>
      </c>
      <c r="AD410" s="35">
        <f t="shared" si="120"/>
        <v>2437</v>
      </c>
      <c r="AE410" s="166" t="str">
        <f t="shared" si="121"/>
        <v>Release</v>
      </c>
      <c r="AF410" s="127"/>
      <c r="AG410" s="18">
        <v>0</v>
      </c>
      <c r="AH410" s="120"/>
      <c r="AI410" s="238">
        <v>0</v>
      </c>
      <c r="AJ410" s="132"/>
      <c r="AK410" s="151">
        <v>753.3</v>
      </c>
      <c r="AL410" s="154">
        <f t="shared" si="111"/>
        <v>0</v>
      </c>
      <c r="AM410" s="155"/>
      <c r="AN410" s="19">
        <f t="shared" si="112"/>
        <v>2520.5081999999998</v>
      </c>
      <c r="AO410" s="118">
        <f>SUMIF('MPG Payment '!E:E,'Shayak Income '!D410,'MPG Payment '!AJ:AJ)</f>
        <v>0</v>
      </c>
      <c r="AP410" s="19">
        <f t="shared" si="113"/>
        <v>2520.5081999999998</v>
      </c>
      <c r="AQ410" s="119">
        <f t="shared" si="122"/>
        <v>2520.5081999999998</v>
      </c>
      <c r="AR410" s="91" t="s">
        <v>1144</v>
      </c>
      <c r="AS410" s="91">
        <f t="shared" si="114"/>
        <v>11750</v>
      </c>
      <c r="AT410" s="118"/>
      <c r="AU410" s="118"/>
      <c r="AV410" s="118"/>
    </row>
    <row r="411" spans="1:48" s="20" customFormat="1" x14ac:dyDescent="0.25">
      <c r="A411" s="17">
        <f>IFERROR(VLOOKUP(D411,'Monthly Deduction'!$I$3:$J$957,2,0),0)</f>
        <v>0</v>
      </c>
      <c r="B411" s="17">
        <f>IFERROR(VLOOKUP(D411,'Monthly Deduction'!$E$3:$F$957,2,0),0)</f>
        <v>0</v>
      </c>
      <c r="C411" s="17">
        <f t="shared" si="115"/>
        <v>0</v>
      </c>
      <c r="D411" s="41">
        <v>10130058</v>
      </c>
      <c r="E411" s="122" t="str">
        <f>VLOOKUP(D411,'MPG Payment '!$E$3:$G$497305,2,0)</f>
        <v>Godhiyari</v>
      </c>
      <c r="F411" s="146">
        <f>IFERROR(_xlfn.XLOOKUP(D411,'Monthly Deduction'!$I$3:$I$957,'Monthly Deduction'!$H$3:$H$957),0)</f>
        <v>0</v>
      </c>
      <c r="G411" s="123" t="str">
        <f>VLOOKUP(D411,'MPG Payment '!$E$3:$G$333666,3,0)</f>
        <v>vlc</v>
      </c>
      <c r="H411" s="124" t="str">
        <f>VLOOKUP(D411,'MPG Payment '!$E$3:$H$333666,4,0)</f>
        <v>Indirect</v>
      </c>
      <c r="I411" s="88">
        <f>INDEX('MPG Payment '!$C:$C,MATCH('Shayak Income '!D411,'MPG Payment '!E:E,0))</f>
        <v>1013</v>
      </c>
      <c r="J411" s="88" t="str">
        <f>INDEX('MPG Payment '!$D:$D,MATCH('Shayak Income '!D411,'MPG Payment '!E:E,0))</f>
        <v>Musrigharari</v>
      </c>
      <c r="K411" s="125" t="s">
        <v>1594</v>
      </c>
      <c r="L411" s="125">
        <v>45412</v>
      </c>
      <c r="M411" s="126">
        <f>SUMIF('MPG Payment '!$E$3:$E$344841,'Shayak Income '!D411,'MPG Payment '!$I$3:$I$344841)</f>
        <v>5309.5999999999995</v>
      </c>
      <c r="N411" s="126">
        <f>SUMIF('MPG Payment '!$E$3:$E$344841,'Shayak Income '!D411,'MPG Payment '!$J$3:$J$344841)</f>
        <v>177706.01</v>
      </c>
      <c r="O411" s="126">
        <f t="shared" si="116"/>
        <v>3982.2</v>
      </c>
      <c r="P411" s="126">
        <f t="shared" si="117"/>
        <v>5044.119999999999</v>
      </c>
      <c r="Q411" s="126">
        <f>SUMIF('MPG Payment '!$E$3:$E$344841,'Shayak Income '!D411,'MPG Payment '!$S$3:$S$344841)</f>
        <v>0</v>
      </c>
      <c r="R411" s="126">
        <f t="shared" si="108"/>
        <v>5331.1803</v>
      </c>
      <c r="S411" s="126">
        <f t="shared" si="109"/>
        <v>287.06030000000101</v>
      </c>
      <c r="T411" s="126">
        <f t="shared" si="118"/>
        <v>530.95999999999992</v>
      </c>
      <c r="U411" s="127">
        <f>((((((IF(K411="New",0,SUMIF('MPG Payment '!$E$3:$E$344841,'Shayak Income '!D411,'MPG Payment '!$AC$3:$AC$344841))))+0)+0)+0)+0)+0</f>
        <v>0</v>
      </c>
      <c r="V411" s="127">
        <f t="shared" si="119"/>
        <v>8495</v>
      </c>
      <c r="W411" s="19">
        <f t="shared" si="123"/>
        <v>0</v>
      </c>
      <c r="X411" s="19">
        <f t="shared" si="124"/>
        <v>0</v>
      </c>
      <c r="Y411" s="128">
        <f>IFERROR(VLOOKUP(D411,'Monthly Deduction'!$M$2:$N$640,2,0),0)</f>
        <v>0</v>
      </c>
      <c r="Z411" s="128">
        <v>0</v>
      </c>
      <c r="AA411" s="126">
        <f>IFERROR(VLOOKUP(D411,'Monthly Deduction'!A:B,2,0),0)</f>
        <v>0</v>
      </c>
      <c r="AB411" s="129">
        <f t="shared" si="110"/>
        <v>8495</v>
      </c>
      <c r="AC411" s="130">
        <v>0</v>
      </c>
      <c r="AD411" s="35">
        <f t="shared" si="120"/>
        <v>8495</v>
      </c>
      <c r="AE411" s="166" t="str">
        <f t="shared" si="121"/>
        <v>Release</v>
      </c>
      <c r="AF411" s="127"/>
      <c r="AG411" s="18">
        <v>0</v>
      </c>
      <c r="AH411" s="120"/>
      <c r="AI411" s="238">
        <v>0</v>
      </c>
      <c r="AJ411" s="132"/>
      <c r="AK411" s="151">
        <v>1373.1000000000001</v>
      </c>
      <c r="AL411" s="154">
        <f t="shared" si="111"/>
        <v>0</v>
      </c>
      <c r="AM411" s="155"/>
      <c r="AN411" s="19">
        <f t="shared" si="112"/>
        <v>0</v>
      </c>
      <c r="AO411" s="118">
        <f>SUMIF('MPG Payment '!E:E,'Shayak Income '!D411,'MPG Payment '!AJ:AJ)</f>
        <v>0</v>
      </c>
      <c r="AP411" s="19">
        <f t="shared" si="113"/>
        <v>0</v>
      </c>
      <c r="AQ411" s="119">
        <f t="shared" si="122"/>
        <v>0</v>
      </c>
      <c r="AR411" s="91" t="s">
        <v>1144</v>
      </c>
      <c r="AS411" s="91">
        <f t="shared" si="114"/>
        <v>0</v>
      </c>
      <c r="AT411" s="118"/>
      <c r="AU411" s="118"/>
      <c r="AV411" s="118"/>
    </row>
    <row r="412" spans="1:48" s="20" customFormat="1" x14ac:dyDescent="0.25">
      <c r="A412" s="17">
        <f>IFERROR(VLOOKUP(D412,'Monthly Deduction'!$I$3:$J$957,2,0),0)</f>
        <v>0</v>
      </c>
      <c r="B412" s="17">
        <f>IFERROR(VLOOKUP(D412,'Monthly Deduction'!$E$3:$F$957,2,0),0)</f>
        <v>0</v>
      </c>
      <c r="C412" s="17">
        <f t="shared" si="115"/>
        <v>0</v>
      </c>
      <c r="D412" s="41">
        <v>10130065</v>
      </c>
      <c r="E412" s="122" t="str">
        <f>VLOOKUP(D412,'MPG Payment '!$E$3:$G$497305,2,0)</f>
        <v>Jhakhra-Rambilash</v>
      </c>
      <c r="F412" s="146">
        <f>IFERROR(_xlfn.XLOOKUP(D412,'Monthly Deduction'!$I$3:$I$957,'Monthly Deduction'!$H$3:$H$957),0)</f>
        <v>0</v>
      </c>
      <c r="G412" s="123" t="str">
        <f>VLOOKUP(D412,'MPG Payment '!$E$3:$G$333666,3,0)</f>
        <v>vlc</v>
      </c>
      <c r="H412" s="124" t="str">
        <f>VLOOKUP(D412,'MPG Payment '!$E$3:$H$333666,4,0)</f>
        <v>Indirect</v>
      </c>
      <c r="I412" s="88">
        <f>INDEX('MPG Payment '!$C:$C,MATCH('Shayak Income '!D412,'MPG Payment '!E:E,0))</f>
        <v>1013</v>
      </c>
      <c r="J412" s="88" t="str">
        <f>INDEX('MPG Payment '!$D:$D,MATCH('Shayak Income '!D412,'MPG Payment '!E:E,0))</f>
        <v>Musrigharari</v>
      </c>
      <c r="K412" s="125" t="s">
        <v>1594</v>
      </c>
      <c r="L412" s="125">
        <v>45440</v>
      </c>
      <c r="M412" s="126">
        <f>SUMIF('MPG Payment '!$E$3:$E$344841,'Shayak Income '!D412,'MPG Payment '!$I$3:$I$344841)</f>
        <v>2153.4</v>
      </c>
      <c r="N412" s="126">
        <f>SUMIF('MPG Payment '!$E$3:$E$344841,'Shayak Income '!D412,'MPG Payment '!$J$3:$J$344841)</f>
        <v>86465.35</v>
      </c>
      <c r="O412" s="126">
        <f t="shared" si="116"/>
        <v>1615.0500000000002</v>
      </c>
      <c r="P412" s="126">
        <f t="shared" si="117"/>
        <v>2045.73</v>
      </c>
      <c r="Q412" s="126">
        <f>SUMIF('MPG Payment '!$E$3:$E$344841,'Shayak Income '!D412,'MPG Payment '!$S$3:$S$344841)</f>
        <v>0</v>
      </c>
      <c r="R412" s="126">
        <f t="shared" si="108"/>
        <v>2593.9605000000001</v>
      </c>
      <c r="S412" s="126">
        <f t="shared" si="109"/>
        <v>548.23050000000012</v>
      </c>
      <c r="T412" s="126">
        <f t="shared" si="118"/>
        <v>215.34000000000003</v>
      </c>
      <c r="U412" s="127">
        <f>((((((IF(K412="New",0,SUMIF('MPG Payment '!$E$3:$E$344841,'Shayak Income '!D412,'MPG Payment '!$AC$3:$AC$344841))))+0)+0)+0)+0)+0</f>
        <v>519.79444505426227</v>
      </c>
      <c r="V412" s="127">
        <f t="shared" si="119"/>
        <v>2926</v>
      </c>
      <c r="W412" s="19">
        <f t="shared" si="123"/>
        <v>0</v>
      </c>
      <c r="X412" s="19">
        <f t="shared" si="124"/>
        <v>0</v>
      </c>
      <c r="Y412" s="128">
        <f>IFERROR(VLOOKUP(D412,'Monthly Deduction'!$M$2:$N$640,2,0),0)</f>
        <v>0</v>
      </c>
      <c r="Z412" s="128">
        <v>0</v>
      </c>
      <c r="AA412" s="126">
        <f>IFERROR(VLOOKUP(D412,'Monthly Deduction'!A:B,2,0),0)</f>
        <v>0</v>
      </c>
      <c r="AB412" s="129">
        <f t="shared" si="110"/>
        <v>2926</v>
      </c>
      <c r="AC412" s="130">
        <v>0</v>
      </c>
      <c r="AD412" s="35">
        <f t="shared" si="120"/>
        <v>2926</v>
      </c>
      <c r="AE412" s="166" t="str">
        <f t="shared" si="121"/>
        <v>Release</v>
      </c>
      <c r="AF412" s="127"/>
      <c r="AG412" s="18">
        <v>0</v>
      </c>
      <c r="AH412" s="120"/>
      <c r="AI412" s="238">
        <v>0</v>
      </c>
      <c r="AJ412" s="132"/>
      <c r="AK412" s="151">
        <v>417.1</v>
      </c>
      <c r="AL412" s="154">
        <f t="shared" si="111"/>
        <v>0</v>
      </c>
      <c r="AM412" s="155"/>
      <c r="AN412" s="19">
        <f t="shared" si="112"/>
        <v>0</v>
      </c>
      <c r="AO412" s="118">
        <f>SUMIF('MPG Payment '!E:E,'Shayak Income '!D412,'MPG Payment '!AJ:AJ)</f>
        <v>0</v>
      </c>
      <c r="AP412" s="19">
        <f t="shared" si="113"/>
        <v>0</v>
      </c>
      <c r="AQ412" s="119">
        <f t="shared" si="122"/>
        <v>0</v>
      </c>
      <c r="AR412" s="91" t="s">
        <v>1144</v>
      </c>
      <c r="AS412" s="91">
        <f t="shared" si="114"/>
        <v>0</v>
      </c>
      <c r="AT412" s="118"/>
      <c r="AU412" s="118"/>
      <c r="AV412" s="118"/>
    </row>
    <row r="413" spans="1:48" s="20" customFormat="1" x14ac:dyDescent="0.25">
      <c r="A413" s="17">
        <f>IFERROR(VLOOKUP(D413,'Monthly Deduction'!$I$3:$J$957,2,0),0)</f>
        <v>51555.88801334225</v>
      </c>
      <c r="B413" s="17">
        <f>IFERROR(VLOOKUP(D413,'Monthly Deduction'!$E$3:$F$957,2,0),0)</f>
        <v>10700</v>
      </c>
      <c r="C413" s="17">
        <f t="shared" si="115"/>
        <v>62255.88801334225</v>
      </c>
      <c r="D413" s="41">
        <v>10130074</v>
      </c>
      <c r="E413" s="122" t="str">
        <f>VLOOKUP(D413,'MPG Payment '!$E$3:$G$497305,2,0)</f>
        <v>Chakmilki</v>
      </c>
      <c r="F413" s="146">
        <f>IFERROR(_xlfn.XLOOKUP(D413,'Monthly Deduction'!$I$3:$I$957,'Monthly Deduction'!$H$3:$H$957),0)</f>
        <v>0</v>
      </c>
      <c r="G413" s="123" t="str">
        <f>VLOOKUP(D413,'MPG Payment '!$E$3:$G$333666,3,0)</f>
        <v>MPG</v>
      </c>
      <c r="H413" s="124" t="str">
        <f>VLOOKUP(D413,'MPG Payment '!$E$3:$H$333666,4,0)</f>
        <v>Direct</v>
      </c>
      <c r="I413" s="88">
        <f>INDEX('MPG Payment '!$C:$C,MATCH('Shayak Income '!D413,'MPG Payment '!E:E,0))</f>
        <v>1013</v>
      </c>
      <c r="J413" s="88" t="str">
        <f>INDEX('MPG Payment '!$D:$D,MATCH('Shayak Income '!D413,'MPG Payment '!E:E,0))</f>
        <v>Musrigharari</v>
      </c>
      <c r="K413" s="125" t="s">
        <v>1594</v>
      </c>
      <c r="L413" s="125">
        <v>45583</v>
      </c>
      <c r="M413" s="126">
        <f>SUMIF('MPG Payment '!$E$3:$E$344841,'Shayak Income '!D413,'MPG Payment '!$I$3:$I$344841)</f>
        <v>876.69999999999993</v>
      </c>
      <c r="N413" s="126">
        <f>SUMIF('MPG Payment '!$E$3:$E$344841,'Shayak Income '!D413,'MPG Payment '!$J$3:$J$344841)</f>
        <v>33592.25</v>
      </c>
      <c r="O413" s="126">
        <f t="shared" si="116"/>
        <v>657.52499999999998</v>
      </c>
      <c r="P413" s="126">
        <f t="shared" si="117"/>
        <v>832.8649999999999</v>
      </c>
      <c r="Q413" s="126">
        <f>SUMIF('MPG Payment '!$E$3:$E$344841,'Shayak Income '!D413,'MPG Payment '!$S$3:$S$344841)</f>
        <v>600.23</v>
      </c>
      <c r="R413" s="126">
        <f t="shared" si="108"/>
        <v>1007.7674999999999</v>
      </c>
      <c r="S413" s="126">
        <f t="shared" si="109"/>
        <v>174.90250000000003</v>
      </c>
      <c r="T413" s="126">
        <f t="shared" si="118"/>
        <v>87.67</v>
      </c>
      <c r="U413" s="127">
        <f>((((((IF(K413="New",0,SUMIF('MPG Payment '!$E$3:$E$344841,'Shayak Income '!D413,'MPG Payment '!$AC$3:$AC$344841))))+0)+0)+0)+0)+0</f>
        <v>1473.2585928200233</v>
      </c>
      <c r="V413" s="127">
        <f t="shared" si="119"/>
        <v>530</v>
      </c>
      <c r="W413" s="19">
        <v>530</v>
      </c>
      <c r="X413" s="19">
        <v>0</v>
      </c>
      <c r="Y413" s="128">
        <f>IFERROR(VLOOKUP(D413,'Monthly Deduction'!$M$2:$N$640,2,0),0)</f>
        <v>0</v>
      </c>
      <c r="Z413" s="128">
        <v>0</v>
      </c>
      <c r="AA413" s="126">
        <f>IFERROR(VLOOKUP(D413,'Monthly Deduction'!A:B,2,0),0)</f>
        <v>0</v>
      </c>
      <c r="AB413" s="129">
        <f t="shared" si="110"/>
        <v>0</v>
      </c>
      <c r="AC413" s="130">
        <v>0</v>
      </c>
      <c r="AD413" s="35">
        <f t="shared" si="120"/>
        <v>0</v>
      </c>
      <c r="AE413" s="166" t="str">
        <f t="shared" si="121"/>
        <v>Release</v>
      </c>
      <c r="AF413" s="127"/>
      <c r="AG413" s="18">
        <v>0</v>
      </c>
      <c r="AH413" s="120"/>
      <c r="AI413" s="238">
        <v>0</v>
      </c>
      <c r="AJ413" s="132"/>
      <c r="AK413" s="151">
        <v>193.7</v>
      </c>
      <c r="AL413" s="154">
        <f t="shared" si="111"/>
        <v>0</v>
      </c>
      <c r="AM413" s="155"/>
      <c r="AN413" s="19">
        <f t="shared" si="112"/>
        <v>1861</v>
      </c>
      <c r="AO413" s="118">
        <f>SUMIF('MPG Payment '!E:E,'Shayak Income '!D413,'MPG Payment '!AJ:AJ)</f>
        <v>0</v>
      </c>
      <c r="AP413" s="19">
        <f t="shared" si="113"/>
        <v>530</v>
      </c>
      <c r="AQ413" s="119">
        <f t="shared" si="122"/>
        <v>530</v>
      </c>
      <c r="AR413" s="91" t="s">
        <v>1144</v>
      </c>
      <c r="AS413" s="91">
        <f t="shared" si="114"/>
        <v>10700</v>
      </c>
      <c r="AT413" s="118"/>
      <c r="AU413" s="118"/>
      <c r="AV413" s="118"/>
    </row>
    <row r="414" spans="1:48" s="20" customFormat="1" x14ac:dyDescent="0.25">
      <c r="A414" s="17">
        <f>IFERROR(VLOOKUP(D414,'Monthly Deduction'!$I$3:$J$957,2,0),0)</f>
        <v>70686</v>
      </c>
      <c r="B414" s="17">
        <f>IFERROR(VLOOKUP(D414,'Monthly Deduction'!$E$3:$F$957,2,0),0)</f>
        <v>7500</v>
      </c>
      <c r="C414" s="17">
        <f t="shared" si="115"/>
        <v>78186</v>
      </c>
      <c r="D414" s="41">
        <v>10130077</v>
      </c>
      <c r="E414" s="122" t="str">
        <f>VLOOKUP(D414,'MPG Payment '!$E$3:$G$497305,2,0)</f>
        <v>Gomukh Akaha</v>
      </c>
      <c r="F414" s="146">
        <f>IFERROR(_xlfn.XLOOKUP(D414,'Monthly Deduction'!$I$3:$I$957,'Monthly Deduction'!$H$3:$H$957),0)</f>
        <v>0</v>
      </c>
      <c r="G414" s="123" t="str">
        <f>VLOOKUP(D414,'MPG Payment '!$E$3:$G$333666,3,0)</f>
        <v>MPG</v>
      </c>
      <c r="H414" s="124" t="str">
        <f>VLOOKUP(D414,'MPG Payment '!$E$3:$H$333666,4,0)</f>
        <v>Direct</v>
      </c>
      <c r="I414" s="88">
        <f>INDEX('MPG Payment '!$C:$C,MATCH('Shayak Income '!D414,'MPG Payment '!E:E,0))</f>
        <v>1013</v>
      </c>
      <c r="J414" s="88" t="str">
        <f>INDEX('MPG Payment '!$D:$D,MATCH('Shayak Income '!D414,'MPG Payment '!E:E,0))</f>
        <v>Musrigharari</v>
      </c>
      <c r="K414" s="125" t="s">
        <v>1594</v>
      </c>
      <c r="L414" s="125">
        <v>45631</v>
      </c>
      <c r="M414" s="126">
        <f>SUMIF('MPG Payment '!$E$3:$E$344841,'Shayak Income '!D414,'MPG Payment '!$I$3:$I$344841)</f>
        <v>1478.8</v>
      </c>
      <c r="N414" s="126">
        <f>SUMIF('MPG Payment '!$E$3:$E$344841,'Shayak Income '!D414,'MPG Payment '!$J$3:$J$344841)</f>
        <v>54541.33</v>
      </c>
      <c r="O414" s="126">
        <f t="shared" si="116"/>
        <v>1109.0999999999999</v>
      </c>
      <c r="P414" s="126">
        <f t="shared" si="117"/>
        <v>1404.86</v>
      </c>
      <c r="Q414" s="126">
        <f>SUMIF('MPG Payment '!$E$3:$E$344841,'Shayak Income '!D414,'MPG Payment '!$S$3:$S$344841)</f>
        <v>200.92000000000002</v>
      </c>
      <c r="R414" s="126">
        <f t="shared" si="108"/>
        <v>1636.2399</v>
      </c>
      <c r="S414" s="126">
        <f t="shared" si="109"/>
        <v>231.37990000000013</v>
      </c>
      <c r="T414" s="126">
        <f t="shared" si="118"/>
        <v>147.88</v>
      </c>
      <c r="U414" s="127">
        <f>((((((IF(K414="New",0,SUMIF('MPG Payment '!$E$3:$E$344841,'Shayak Income '!D414,'MPG Payment '!$AC$3:$AC$344841))))+0)+0)+0)+0)+0</f>
        <v>973.2143803372187</v>
      </c>
      <c r="V414" s="127">
        <f t="shared" si="119"/>
        <v>1594</v>
      </c>
      <c r="W414" s="19">
        <v>0</v>
      </c>
      <c r="X414" s="19">
        <f t="shared" si="124"/>
        <v>1090.8266000000001</v>
      </c>
      <c r="Y414" s="128">
        <f>IFERROR(VLOOKUP(D414,'Monthly Deduction'!$M$2:$N$640,2,0),0)</f>
        <v>0</v>
      </c>
      <c r="Z414" s="128">
        <v>393</v>
      </c>
      <c r="AA414" s="126">
        <f>IFERROR(VLOOKUP(D414,'Monthly Deduction'!A:B,2,0),0)</f>
        <v>109.80000000000001</v>
      </c>
      <c r="AB414" s="129">
        <f t="shared" si="110"/>
        <v>0</v>
      </c>
      <c r="AC414" s="130">
        <f>AB414</f>
        <v>0</v>
      </c>
      <c r="AD414" s="35">
        <f t="shared" si="120"/>
        <v>0</v>
      </c>
      <c r="AE414" s="166" t="str">
        <f t="shared" si="121"/>
        <v>Release</v>
      </c>
      <c r="AF414" s="127"/>
      <c r="AG414" s="127">
        <v>0</v>
      </c>
      <c r="AH414" s="132" t="s">
        <v>1687</v>
      </c>
      <c r="AI414" s="238">
        <v>6461</v>
      </c>
      <c r="AJ414" s="132"/>
      <c r="AK414" s="151">
        <v>318.2</v>
      </c>
      <c r="AL414" s="154">
        <f t="shared" si="111"/>
        <v>0</v>
      </c>
      <c r="AM414" s="155"/>
      <c r="AN414" s="19">
        <f t="shared" si="112"/>
        <v>1861</v>
      </c>
      <c r="AO414" s="118">
        <f>SUMIF('MPG Payment '!E:E,'Shayak Income '!D414,'MPG Payment '!AJ:AJ)</f>
        <v>2000</v>
      </c>
      <c r="AP414" s="19">
        <f t="shared" si="113"/>
        <v>0</v>
      </c>
      <c r="AQ414" s="119">
        <f t="shared" si="122"/>
        <v>2000</v>
      </c>
      <c r="AR414" s="91" t="s">
        <v>1144</v>
      </c>
      <c r="AS414" s="91">
        <f t="shared" si="114"/>
        <v>6409.1733999999997</v>
      </c>
      <c r="AT414" s="118"/>
      <c r="AU414" s="118"/>
      <c r="AV414" s="118"/>
    </row>
    <row r="415" spans="1:48" s="20" customFormat="1" x14ac:dyDescent="0.25">
      <c r="A415" s="17">
        <f>IFERROR(VLOOKUP(D415,'Monthly Deduction'!$I$3:$J$957,2,0),0)</f>
        <v>0</v>
      </c>
      <c r="B415" s="17">
        <f>IFERROR(VLOOKUP(D415,'Monthly Deduction'!$E$3:$F$957,2,0),0)</f>
        <v>0</v>
      </c>
      <c r="C415" s="17">
        <f t="shared" si="115"/>
        <v>0</v>
      </c>
      <c r="D415" s="41">
        <v>10130080</v>
      </c>
      <c r="E415" s="122" t="str">
        <f>VLOOKUP(D415,'MPG Payment '!$E$3:$G$497305,2,0)</f>
        <v>Nauachak-Pankaj</v>
      </c>
      <c r="F415" s="146">
        <f>IFERROR(_xlfn.XLOOKUP(D415,'Monthly Deduction'!$I$3:$I$957,'Monthly Deduction'!$H$3:$H$957),0)</f>
        <v>0</v>
      </c>
      <c r="G415" s="123" t="str">
        <f>VLOOKUP(D415,'MPG Payment '!$E$3:$G$333666,3,0)</f>
        <v>vlc</v>
      </c>
      <c r="H415" s="124" t="str">
        <f>VLOOKUP(D415,'MPG Payment '!$E$3:$H$333666,4,0)</f>
        <v>Indirect</v>
      </c>
      <c r="I415" s="88">
        <f>INDEX('MPG Payment '!$C:$C,MATCH('Shayak Income '!D415,'MPG Payment '!E:E,0))</f>
        <v>1013</v>
      </c>
      <c r="J415" s="88" t="str">
        <f>INDEX('MPG Payment '!$D:$D,MATCH('Shayak Income '!D415,'MPG Payment '!E:E,0))</f>
        <v>Musrigharari</v>
      </c>
      <c r="K415" s="125" t="s">
        <v>1594</v>
      </c>
      <c r="L415" s="125">
        <v>45630</v>
      </c>
      <c r="M415" s="126">
        <f>SUMIF('MPG Payment '!$E$3:$E$344841,'Shayak Income '!D415,'MPG Payment '!$I$3:$I$344841)</f>
        <v>142.5</v>
      </c>
      <c r="N415" s="126">
        <f>SUMIF('MPG Payment '!$E$3:$E$344841,'Shayak Income '!D415,'MPG Payment '!$J$3:$J$344841)</f>
        <v>5932.33</v>
      </c>
      <c r="O415" s="126">
        <f t="shared" si="116"/>
        <v>106.875</v>
      </c>
      <c r="P415" s="126">
        <f t="shared" si="117"/>
        <v>135.375</v>
      </c>
      <c r="Q415" s="126">
        <f>SUMIF('MPG Payment '!$E$3:$E$344841,'Shayak Income '!D415,'MPG Payment '!$S$3:$S$344841)</f>
        <v>0</v>
      </c>
      <c r="R415" s="126">
        <f t="shared" si="108"/>
        <v>177.9699</v>
      </c>
      <c r="S415" s="126">
        <f t="shared" si="109"/>
        <v>42.594899999999996</v>
      </c>
      <c r="T415" s="126">
        <f t="shared" si="118"/>
        <v>14.25</v>
      </c>
      <c r="U415" s="127">
        <f>((((((IF(K415="New",0,SUMIF('MPG Payment '!$E$3:$E$344841,'Shayak Income '!D415,'MPG Payment '!$AC$3:$AC$344841))))+0)+0)+0)+0)+-1987</f>
        <v>227.9388255464919</v>
      </c>
      <c r="V415" s="127">
        <f t="shared" si="119"/>
        <v>0</v>
      </c>
      <c r="W415" s="19">
        <v>0</v>
      </c>
      <c r="X415" s="19">
        <v>0</v>
      </c>
      <c r="Y415" s="128">
        <v>0</v>
      </c>
      <c r="Z415" s="128">
        <v>0</v>
      </c>
      <c r="AA415" s="126">
        <v>0</v>
      </c>
      <c r="AB415" s="129">
        <f t="shared" si="110"/>
        <v>0</v>
      </c>
      <c r="AC415" s="130">
        <v>0</v>
      </c>
      <c r="AD415" s="35">
        <f t="shared" si="120"/>
        <v>0</v>
      </c>
      <c r="AE415" s="166" t="str">
        <f t="shared" si="121"/>
        <v>Release</v>
      </c>
      <c r="AF415" s="127"/>
      <c r="AG415" s="18">
        <v>0</v>
      </c>
      <c r="AH415" s="132"/>
      <c r="AI415" s="238">
        <v>0</v>
      </c>
      <c r="AJ415" s="132"/>
      <c r="AK415" s="151">
        <v>56.9</v>
      </c>
      <c r="AL415" s="154">
        <f t="shared" si="111"/>
        <v>0</v>
      </c>
      <c r="AM415" s="155"/>
      <c r="AN415" s="19">
        <f t="shared" si="112"/>
        <v>0</v>
      </c>
      <c r="AO415" s="118">
        <f>SUMIF('MPG Payment '!E:E,'Shayak Income '!D415,'MPG Payment '!AJ:AJ)</f>
        <v>0</v>
      </c>
      <c r="AP415" s="19">
        <f t="shared" si="113"/>
        <v>0</v>
      </c>
      <c r="AQ415" s="119">
        <f t="shared" si="122"/>
        <v>0</v>
      </c>
      <c r="AR415" s="91" t="s">
        <v>1144</v>
      </c>
      <c r="AS415" s="91">
        <f t="shared" si="114"/>
        <v>0</v>
      </c>
      <c r="AT415" s="118"/>
      <c r="AU415" s="118"/>
      <c r="AV415" s="118"/>
    </row>
    <row r="416" spans="1:48" s="20" customFormat="1" x14ac:dyDescent="0.25">
      <c r="A416" s="17">
        <f>IFERROR(VLOOKUP(D416,'Monthly Deduction'!$I$3:$J$957,2,0),0)</f>
        <v>0</v>
      </c>
      <c r="B416" s="17">
        <f>IFERROR(VLOOKUP(D416,'Monthly Deduction'!$E$3:$F$957,2,0),0)</f>
        <v>0</v>
      </c>
      <c r="C416" s="17">
        <f t="shared" si="115"/>
        <v>0</v>
      </c>
      <c r="D416" s="41">
        <v>10130083</v>
      </c>
      <c r="E416" s="122" t="str">
        <f>VLOOKUP(D416,'MPG Payment '!$E$3:$G$497305,2,0)</f>
        <v>Gomukh Sirdulpur 2</v>
      </c>
      <c r="F416" s="146">
        <f>IFERROR(_xlfn.XLOOKUP(D416,'Monthly Deduction'!$I$3:$I$957,'Monthly Deduction'!$H$3:$H$957),0)</f>
        <v>0</v>
      </c>
      <c r="G416" s="123" t="str">
        <f>VLOOKUP(D416,'MPG Payment '!$E$3:$G$333666,3,0)</f>
        <v>vlc</v>
      </c>
      <c r="H416" s="124" t="str">
        <f>VLOOKUP(D416,'MPG Payment '!$E$3:$H$333666,4,0)</f>
        <v>Indirect</v>
      </c>
      <c r="I416" s="88">
        <f>INDEX('MPG Payment '!$C:$C,MATCH('Shayak Income '!D416,'MPG Payment '!E:E,0))</f>
        <v>1013</v>
      </c>
      <c r="J416" s="88" t="str">
        <f>INDEX('MPG Payment '!$D:$D,MATCH('Shayak Income '!D416,'MPG Payment '!E:E,0))</f>
        <v>Musrigharari</v>
      </c>
      <c r="K416" s="125" t="s">
        <v>1594</v>
      </c>
      <c r="L416" s="125">
        <v>45645</v>
      </c>
      <c r="M416" s="126">
        <f>SUMIF('MPG Payment '!$E$3:$E$344841,'Shayak Income '!D416,'MPG Payment '!$I$3:$I$344841)</f>
        <v>3956.4</v>
      </c>
      <c r="N416" s="126">
        <f>SUMIF('MPG Payment '!$E$3:$E$344841,'Shayak Income '!D416,'MPG Payment '!$J$3:$J$344841)</f>
        <v>126429.95000000001</v>
      </c>
      <c r="O416" s="126">
        <f t="shared" si="116"/>
        <v>2967.3</v>
      </c>
      <c r="P416" s="126">
        <f t="shared" si="117"/>
        <v>3758.58</v>
      </c>
      <c r="Q416" s="126">
        <f>SUMIF('MPG Payment '!$E$3:$E$344841,'Shayak Income '!D416,'MPG Payment '!$S$3:$S$344841)</f>
        <v>0</v>
      </c>
      <c r="R416" s="126">
        <f t="shared" si="108"/>
        <v>3792.8985000000002</v>
      </c>
      <c r="S416" s="126">
        <f t="shared" si="109"/>
        <v>34.318500000000313</v>
      </c>
      <c r="T416" s="126">
        <f t="shared" si="118"/>
        <v>395.64000000000004</v>
      </c>
      <c r="U416" s="127">
        <f>((((((IF(K416="New",0,SUMIF('MPG Payment '!$E$3:$E$344841,'Shayak Income '!D416,'MPG Payment '!$AC$3:$AC$344841))))+0)+0)+0)+0)+0</f>
        <v>49.126077432845406</v>
      </c>
      <c r="V416" s="127">
        <f t="shared" si="119"/>
        <v>6281</v>
      </c>
      <c r="W416" s="19">
        <f t="shared" si="123"/>
        <v>0</v>
      </c>
      <c r="X416" s="19">
        <f t="shared" si="124"/>
        <v>0</v>
      </c>
      <c r="Y416" s="128">
        <f>IFERROR(VLOOKUP(D416,'Monthly Deduction'!$M$2:$N$640,2,0),0)</f>
        <v>0</v>
      </c>
      <c r="Z416" s="128">
        <v>0</v>
      </c>
      <c r="AA416" s="126">
        <f>IFERROR(VLOOKUP(D416,'Monthly Deduction'!A:B,2,0),0)</f>
        <v>0</v>
      </c>
      <c r="AB416" s="129">
        <f t="shared" si="110"/>
        <v>6281</v>
      </c>
      <c r="AC416" s="130">
        <v>0</v>
      </c>
      <c r="AD416" s="35">
        <f t="shared" si="120"/>
        <v>6281</v>
      </c>
      <c r="AE416" s="166" t="str">
        <f t="shared" si="121"/>
        <v>Release</v>
      </c>
      <c r="AF416" s="127"/>
      <c r="AG416" s="18">
        <v>0</v>
      </c>
      <c r="AH416" s="132"/>
      <c r="AI416" s="238">
        <v>0</v>
      </c>
      <c r="AJ416" s="132"/>
      <c r="AK416" s="151">
        <v>985.19999999999993</v>
      </c>
      <c r="AL416" s="154">
        <f t="shared" si="111"/>
        <v>0</v>
      </c>
      <c r="AM416" s="155"/>
      <c r="AN416" s="19">
        <f t="shared" si="112"/>
        <v>0</v>
      </c>
      <c r="AO416" s="118">
        <f>SUMIF('MPG Payment '!E:E,'Shayak Income '!D416,'MPG Payment '!AJ:AJ)</f>
        <v>0</v>
      </c>
      <c r="AP416" s="19">
        <f t="shared" si="113"/>
        <v>0</v>
      </c>
      <c r="AQ416" s="119">
        <f t="shared" si="122"/>
        <v>0</v>
      </c>
      <c r="AR416" s="91" t="s">
        <v>1144</v>
      </c>
      <c r="AS416" s="91">
        <f t="shared" si="114"/>
        <v>0</v>
      </c>
      <c r="AT416" s="118"/>
      <c r="AU416" s="118"/>
      <c r="AV416" s="118"/>
    </row>
    <row r="417" spans="1:48" s="20" customFormat="1" x14ac:dyDescent="0.25">
      <c r="A417" s="17">
        <f>IFERROR(VLOOKUP(D417,'Monthly Deduction'!$I$3:$J$957,2,0),0)</f>
        <v>72011</v>
      </c>
      <c r="B417" s="17">
        <f>IFERROR(VLOOKUP(D417,'Monthly Deduction'!$E$3:$F$957,2,0),0)</f>
        <v>7786.4009999999998</v>
      </c>
      <c r="C417" s="17">
        <f t="shared" si="115"/>
        <v>79797.400999999998</v>
      </c>
      <c r="D417" s="41">
        <v>10130093</v>
      </c>
      <c r="E417" s="122" t="str">
        <f>VLOOKUP(D417,'MPG Payment '!$E$3:$G$497305,2,0)</f>
        <v>Gomukh Sherpur Narsari East</v>
      </c>
      <c r="F417" s="146">
        <f>IFERROR(_xlfn.XLOOKUP(D417,'Monthly Deduction'!$I$3:$I$957,'Monthly Deduction'!$H$3:$H$957),0)</f>
        <v>0</v>
      </c>
      <c r="G417" s="123" t="str">
        <f>VLOOKUP(D417,'MPG Payment '!$E$3:$G$333666,3,0)</f>
        <v>MPG</v>
      </c>
      <c r="H417" s="124" t="str">
        <f>VLOOKUP(D417,'MPG Payment '!$E$3:$H$333666,4,0)</f>
        <v>Direct</v>
      </c>
      <c r="I417" s="88">
        <f>INDEX('MPG Payment '!$C:$C,MATCH('Shayak Income '!D417,'MPG Payment '!E:E,0))</f>
        <v>1013</v>
      </c>
      <c r="J417" s="88" t="str">
        <f>INDEX('MPG Payment '!$D:$D,MATCH('Shayak Income '!D417,'MPG Payment '!E:E,0))</f>
        <v>Musrigharari</v>
      </c>
      <c r="K417" s="125" t="s">
        <v>1594</v>
      </c>
      <c r="L417" s="125">
        <v>45740</v>
      </c>
      <c r="M417" s="126">
        <f>SUMIF('MPG Payment '!$E$3:$E$344841,'Shayak Income '!D417,'MPG Payment '!$I$3:$I$344841)</f>
        <v>1017.4000000000001</v>
      </c>
      <c r="N417" s="126">
        <f>SUMIF('MPG Payment '!$E$3:$E$344841,'Shayak Income '!D417,'MPG Payment '!$J$3:$J$344841)</f>
        <v>44433.54</v>
      </c>
      <c r="O417" s="126">
        <f t="shared" si="116"/>
        <v>763.05000000000007</v>
      </c>
      <c r="P417" s="126">
        <f t="shared" si="117"/>
        <v>966.53000000000009</v>
      </c>
      <c r="Q417" s="126">
        <f>SUMIF('MPG Payment '!$E$3:$E$344841,'Shayak Income '!D417,'MPG Payment '!$S$3:$S$344841)</f>
        <v>164.63</v>
      </c>
      <c r="R417" s="126">
        <f t="shared" si="108"/>
        <v>1333.0062</v>
      </c>
      <c r="S417" s="126">
        <f t="shared" si="109"/>
        <v>366.47619999999995</v>
      </c>
      <c r="T417" s="126">
        <f t="shared" si="118"/>
        <v>101.74000000000001</v>
      </c>
      <c r="U417" s="127">
        <f>((((((IF(K417="New",0,SUMIF('MPG Payment '!$E$3:$E$344841,'Shayak Income '!D417,'MPG Payment '!$AC$3:$AC$344841))))+0)+0)+0)+0)+0</f>
        <v>1556.6066667967339</v>
      </c>
      <c r="V417" s="127">
        <f t="shared" si="119"/>
        <v>236</v>
      </c>
      <c r="W417" s="19">
        <v>236</v>
      </c>
      <c r="X417" s="19">
        <v>0</v>
      </c>
      <c r="Y417" s="128">
        <v>0</v>
      </c>
      <c r="Z417" s="128">
        <v>0</v>
      </c>
      <c r="AA417" s="126">
        <v>0</v>
      </c>
      <c r="AB417" s="129">
        <f t="shared" si="110"/>
        <v>0</v>
      </c>
      <c r="AC417" s="130">
        <f t="shared" ref="AC417:AC418" si="125">AB417</f>
        <v>0</v>
      </c>
      <c r="AD417" s="35">
        <f t="shared" si="120"/>
        <v>0</v>
      </c>
      <c r="AE417" s="166" t="str">
        <f t="shared" si="121"/>
        <v>Release</v>
      </c>
      <c r="AF417" s="127"/>
      <c r="AG417" s="18">
        <v>0</v>
      </c>
      <c r="AH417" s="120" t="s">
        <v>1685</v>
      </c>
      <c r="AI417" s="238">
        <v>1355</v>
      </c>
      <c r="AJ417" s="132"/>
      <c r="AK417" s="151">
        <v>277.8</v>
      </c>
      <c r="AL417" s="154">
        <f t="shared" si="111"/>
        <v>0</v>
      </c>
      <c r="AM417" s="155"/>
      <c r="AN417" s="19">
        <f t="shared" si="112"/>
        <v>1861</v>
      </c>
      <c r="AO417" s="118">
        <f>SUMIF('MPG Payment '!E:E,'Shayak Income '!D417,'MPG Payment '!AJ:AJ)</f>
        <v>0</v>
      </c>
      <c r="AP417" s="19">
        <f t="shared" si="113"/>
        <v>236</v>
      </c>
      <c r="AQ417" s="119">
        <f t="shared" si="122"/>
        <v>236</v>
      </c>
      <c r="AR417" s="91" t="s">
        <v>1144</v>
      </c>
      <c r="AS417" s="91">
        <f t="shared" si="114"/>
        <v>7786.4009999999998</v>
      </c>
      <c r="AT417" s="118"/>
      <c r="AU417" s="118"/>
      <c r="AV417" s="118"/>
    </row>
    <row r="418" spans="1:48" s="20" customFormat="1" x14ac:dyDescent="0.25">
      <c r="A418" s="17">
        <f>IFERROR(VLOOKUP(D418,'Monthly Deduction'!$I$3:$J$957,2,0),0)</f>
        <v>88003</v>
      </c>
      <c r="B418" s="17">
        <f>IFERROR(VLOOKUP(D418,'Monthly Deduction'!$E$3:$F$957,2,0),0)</f>
        <v>6400</v>
      </c>
      <c r="C418" s="17">
        <f t="shared" si="115"/>
        <v>94403</v>
      </c>
      <c r="D418" s="41">
        <v>10130097</v>
      </c>
      <c r="E418" s="122" t="str">
        <f>VLOOKUP(D418,'MPG Payment '!$E$3:$G$497305,2,0)</f>
        <v>Gomukh Karhatti</v>
      </c>
      <c r="F418" s="146">
        <f>IFERROR(_xlfn.XLOOKUP(D418,'Monthly Deduction'!$I$3:$I$957,'Monthly Deduction'!$H$3:$H$957),0)</f>
        <v>0</v>
      </c>
      <c r="G418" s="123" t="str">
        <f>VLOOKUP(D418,'MPG Payment '!$E$3:$G$333666,3,0)</f>
        <v>MPG</v>
      </c>
      <c r="H418" s="124" t="str">
        <f>VLOOKUP(D418,'MPG Payment '!$E$3:$H$333666,4,0)</f>
        <v>Direct</v>
      </c>
      <c r="I418" s="88">
        <f>INDEX('MPG Payment '!$C:$C,MATCH('Shayak Income '!D418,'MPG Payment '!E:E,0))</f>
        <v>1013</v>
      </c>
      <c r="J418" s="88" t="str">
        <f>INDEX('MPG Payment '!$D:$D,MATCH('Shayak Income '!D418,'MPG Payment '!E:E,0))</f>
        <v>Musrigharari</v>
      </c>
      <c r="K418" s="125" t="s">
        <v>1594</v>
      </c>
      <c r="L418" s="125">
        <v>45826</v>
      </c>
      <c r="M418" s="126">
        <f>SUMIF('MPG Payment '!$E$3:$E$344841,'Shayak Income '!D418,'MPG Payment '!$I$3:$I$344841)</f>
        <v>331</v>
      </c>
      <c r="N418" s="126">
        <f>SUMIF('MPG Payment '!$E$3:$E$344841,'Shayak Income '!D418,'MPG Payment '!$J$3:$J$344841)</f>
        <v>10896.42</v>
      </c>
      <c r="O418" s="126">
        <f t="shared" si="116"/>
        <v>248.25</v>
      </c>
      <c r="P418" s="126">
        <f t="shared" si="117"/>
        <v>314.45</v>
      </c>
      <c r="Q418" s="126">
        <f>SUMIF('MPG Payment '!$E$3:$E$344841,'Shayak Income '!D418,'MPG Payment '!$S$3:$S$344841)</f>
        <v>0</v>
      </c>
      <c r="R418" s="126">
        <f t="shared" si="108"/>
        <v>326.89260000000002</v>
      </c>
      <c r="S418" s="126">
        <f t="shared" si="109"/>
        <v>12.442600000000027</v>
      </c>
      <c r="T418" s="126">
        <f t="shared" si="118"/>
        <v>33.1</v>
      </c>
      <c r="U418" s="127">
        <f>((((((IF(K418="New",0,SUMIF('MPG Payment '!$E$3:$E$344841,'Shayak Income '!D418,'MPG Payment '!$AC$3:$AC$344841))))+0)+0)+0)+0)+-1094</f>
        <v>529.44608133160887</v>
      </c>
      <c r="V418" s="127">
        <f t="shared" si="119"/>
        <v>0</v>
      </c>
      <c r="W418" s="19">
        <v>0</v>
      </c>
      <c r="X418" s="19">
        <v>0</v>
      </c>
      <c r="Y418" s="128">
        <v>0</v>
      </c>
      <c r="Z418" s="128">
        <v>0</v>
      </c>
      <c r="AA418" s="126">
        <v>0</v>
      </c>
      <c r="AB418" s="129">
        <f t="shared" si="110"/>
        <v>0</v>
      </c>
      <c r="AC418" s="130">
        <f t="shared" si="125"/>
        <v>0</v>
      </c>
      <c r="AD418" s="35">
        <f t="shared" si="120"/>
        <v>0</v>
      </c>
      <c r="AE418" s="166" t="str">
        <f t="shared" si="121"/>
        <v>Release</v>
      </c>
      <c r="AF418" s="127"/>
      <c r="AG418" s="18">
        <v>0</v>
      </c>
      <c r="AH418" s="120" t="s">
        <v>1686</v>
      </c>
      <c r="AI418" s="238">
        <v>10000</v>
      </c>
      <c r="AJ418" s="132"/>
      <c r="AK418" s="151">
        <v>45.699999999999996</v>
      </c>
      <c r="AL418" s="154">
        <f t="shared" si="111"/>
        <v>0</v>
      </c>
      <c r="AM418" s="155"/>
      <c r="AN418" s="19">
        <f t="shared" si="112"/>
        <v>1861</v>
      </c>
      <c r="AO418" s="118">
        <f>SUMIF('MPG Payment '!E:E,'Shayak Income '!D418,'MPG Payment '!AJ:AJ)</f>
        <v>2000</v>
      </c>
      <c r="AP418" s="19">
        <f t="shared" si="113"/>
        <v>0</v>
      </c>
      <c r="AQ418" s="119">
        <f t="shared" si="122"/>
        <v>2000</v>
      </c>
      <c r="AR418" s="91" t="s">
        <v>1144</v>
      </c>
      <c r="AS418" s="91">
        <f t="shared" si="114"/>
        <v>6400</v>
      </c>
      <c r="AT418" s="118"/>
      <c r="AU418" s="118"/>
      <c r="AV418" s="118"/>
    </row>
    <row r="419" spans="1:48" s="20" customFormat="1" x14ac:dyDescent="0.25">
      <c r="A419" s="17">
        <f>IFERROR(VLOOKUP(D419,'Monthly Deduction'!$I$3:$J$957,2,0),0)</f>
        <v>37395.041091390478</v>
      </c>
      <c r="B419" s="17">
        <f>IFERROR(VLOOKUP(D419,'Monthly Deduction'!$E$3:$F$957,2,0),0)</f>
        <v>19200</v>
      </c>
      <c r="C419" s="17">
        <f t="shared" si="115"/>
        <v>56595.041091390478</v>
      </c>
      <c r="D419" s="41">
        <v>10130098</v>
      </c>
      <c r="E419" s="122" t="str">
        <f>VLOOKUP(D419,'MPG Payment '!$E$3:$G$497305,2,0)</f>
        <v>Gomukh Gaopur Bhagwatpur</v>
      </c>
      <c r="F419" s="146">
        <f>IFERROR(_xlfn.XLOOKUP(D419,'Monthly Deduction'!$I$3:$I$957,'Monthly Deduction'!$H$3:$H$957),0)</f>
        <v>0</v>
      </c>
      <c r="G419" s="123" t="str">
        <f>VLOOKUP(D419,'MPG Payment '!$E$3:$G$333666,3,0)</f>
        <v>MPG</v>
      </c>
      <c r="H419" s="124" t="str">
        <f>VLOOKUP(D419,'MPG Payment '!$E$3:$H$333666,4,0)</f>
        <v>Direct</v>
      </c>
      <c r="I419" s="88">
        <f>INDEX('MPG Payment '!$C:$C,MATCH('Shayak Income '!D419,'MPG Payment '!E:E,0))</f>
        <v>1013</v>
      </c>
      <c r="J419" s="88" t="str">
        <f>INDEX('MPG Payment '!$D:$D,MATCH('Shayak Income '!D419,'MPG Payment '!E:E,0))</f>
        <v>Musrigharari</v>
      </c>
      <c r="K419" s="125" t="s">
        <v>1594</v>
      </c>
      <c r="L419" s="125">
        <v>45765</v>
      </c>
      <c r="M419" s="126">
        <f>SUMIF('MPG Payment '!$E$3:$E$344841,'Shayak Income '!D419,'MPG Payment '!$I$3:$I$344841)</f>
        <v>879</v>
      </c>
      <c r="N419" s="126">
        <f>SUMIF('MPG Payment '!$E$3:$E$344841,'Shayak Income '!D419,'MPG Payment '!$J$3:$J$344841)</f>
        <v>45420.47</v>
      </c>
      <c r="O419" s="126">
        <f t="shared" si="116"/>
        <v>659.25</v>
      </c>
      <c r="P419" s="126">
        <f t="shared" si="117"/>
        <v>835.05</v>
      </c>
      <c r="Q419" s="126">
        <f>SUMIF('MPG Payment '!$E$3:$E$344841,'Shayak Income '!D419,'MPG Payment '!$S$3:$S$344841)</f>
        <v>53.44</v>
      </c>
      <c r="R419" s="126">
        <f t="shared" si="108"/>
        <v>1362.6141</v>
      </c>
      <c r="S419" s="126">
        <f t="shared" si="109"/>
        <v>527.56410000000005</v>
      </c>
      <c r="T419" s="126">
        <f t="shared" si="118"/>
        <v>87.9</v>
      </c>
      <c r="U419" s="127">
        <f>((((((IF(K419="New",0,SUMIF('MPG Payment '!$E$3:$E$344841,'Shayak Income '!D419,'MPG Payment '!$AC$3:$AC$344841))))+0)+0)+0)+0)+-535</f>
        <v>1460.2168073269984</v>
      </c>
      <c r="V419" s="127">
        <f t="shared" si="119"/>
        <v>0</v>
      </c>
      <c r="W419" s="19">
        <v>0</v>
      </c>
      <c r="X419" s="19">
        <v>0</v>
      </c>
      <c r="Y419" s="128">
        <v>0</v>
      </c>
      <c r="Z419" s="128">
        <v>0</v>
      </c>
      <c r="AA419" s="126">
        <v>0</v>
      </c>
      <c r="AB419" s="129">
        <f t="shared" si="110"/>
        <v>0</v>
      </c>
      <c r="AC419" s="130">
        <v>0</v>
      </c>
      <c r="AD419" s="35">
        <f t="shared" si="120"/>
        <v>0</v>
      </c>
      <c r="AE419" s="166" t="str">
        <f t="shared" si="121"/>
        <v>Release</v>
      </c>
      <c r="AF419" s="127"/>
      <c r="AG419" s="18">
        <v>0</v>
      </c>
      <c r="AH419" s="120"/>
      <c r="AI419" s="238">
        <v>0</v>
      </c>
      <c r="AJ419" s="132"/>
      <c r="AK419" s="151">
        <v>346.29999999999995</v>
      </c>
      <c r="AL419" s="154">
        <f t="shared" si="111"/>
        <v>0</v>
      </c>
      <c r="AM419" s="155"/>
      <c r="AN419" s="19">
        <f t="shared" si="112"/>
        <v>1861</v>
      </c>
      <c r="AO419" s="118">
        <f>SUMIF('MPG Payment '!E:E,'Shayak Income '!D419,'MPG Payment '!AJ:AJ)</f>
        <v>0</v>
      </c>
      <c r="AP419" s="19">
        <f t="shared" si="113"/>
        <v>0</v>
      </c>
      <c r="AQ419" s="119">
        <f t="shared" si="122"/>
        <v>0</v>
      </c>
      <c r="AR419" s="91"/>
      <c r="AS419" s="91">
        <f t="shared" si="114"/>
        <v>19200</v>
      </c>
      <c r="AT419" s="118"/>
      <c r="AU419" s="118"/>
      <c r="AV419" s="118"/>
    </row>
    <row r="420" spans="1:48" s="20" customFormat="1" x14ac:dyDescent="0.25">
      <c r="A420" s="17">
        <f>IFERROR(VLOOKUP(D420,'Monthly Deduction'!$I$3:$J$957,2,0),0)</f>
        <v>83735</v>
      </c>
      <c r="B420" s="17">
        <f>IFERROR(VLOOKUP(D420,'Monthly Deduction'!$E$3:$F$957,2,0),0)</f>
        <v>6400</v>
      </c>
      <c r="C420" s="17">
        <f t="shared" si="115"/>
        <v>90135</v>
      </c>
      <c r="D420" s="41">
        <v>10130100</v>
      </c>
      <c r="E420" s="122" t="str">
        <f>VLOOKUP(D420,'MPG Payment '!$E$3:$G$497305,2,0)</f>
        <v>Gomukh Rajwara</v>
      </c>
      <c r="F420" s="146">
        <f>IFERROR(_xlfn.XLOOKUP(D420,'Monthly Deduction'!$I$3:$I$957,'Monthly Deduction'!$H$3:$H$957),0)</f>
        <v>0</v>
      </c>
      <c r="G420" s="123" t="str">
        <f>VLOOKUP(D420,'MPG Payment '!$E$3:$G$333666,3,0)</f>
        <v>MPG</v>
      </c>
      <c r="H420" s="124" t="str">
        <f>VLOOKUP(D420,'MPG Payment '!$E$3:$H$333666,4,0)</f>
        <v>Direct</v>
      </c>
      <c r="I420" s="88">
        <f>INDEX('MPG Payment '!$C:$C,MATCH('Shayak Income '!D420,'MPG Payment '!E:E,0))</f>
        <v>1013</v>
      </c>
      <c r="J420" s="88" t="str">
        <f>INDEX('MPG Payment '!$D:$D,MATCH('Shayak Income '!D420,'MPG Payment '!E:E,0))</f>
        <v>Musrigharari</v>
      </c>
      <c r="K420" s="125" t="s">
        <v>1594</v>
      </c>
      <c r="L420" s="125">
        <v>45809</v>
      </c>
      <c r="M420" s="126">
        <f>SUMIF('MPG Payment '!$E$3:$E$344841,'Shayak Income '!D420,'MPG Payment '!$I$3:$I$344841)</f>
        <v>358.61</v>
      </c>
      <c r="N420" s="126">
        <f>SUMIF('MPG Payment '!$E$3:$E$344841,'Shayak Income '!D420,'MPG Payment '!$J$3:$J$344841)</f>
        <v>14307.97</v>
      </c>
      <c r="O420" s="126">
        <f t="shared" si="116"/>
        <v>268.95749999999998</v>
      </c>
      <c r="P420" s="126">
        <f t="shared" si="117"/>
        <v>340.67950000000002</v>
      </c>
      <c r="Q420" s="126">
        <f>SUMIF('MPG Payment '!$E$3:$E$344841,'Shayak Income '!D420,'MPG Payment '!$S$3:$S$344841)</f>
        <v>34.199999999999996</v>
      </c>
      <c r="R420" s="126">
        <f t="shared" si="108"/>
        <v>429.23909999999995</v>
      </c>
      <c r="S420" s="126">
        <f t="shared" si="109"/>
        <v>88.559599999999932</v>
      </c>
      <c r="T420" s="126">
        <f t="shared" si="118"/>
        <v>35.861000000000004</v>
      </c>
      <c r="U420" s="127">
        <f>((((((IF(K420="New",0,SUMIF('MPG Payment '!$E$3:$E$344841,'Shayak Income '!D420,'MPG Payment '!$AC$3:$AC$344841))))+0)+0)+0)+0)+-1340</f>
        <v>607.89086268614119</v>
      </c>
      <c r="V420" s="127">
        <f t="shared" si="119"/>
        <v>0</v>
      </c>
      <c r="W420" s="19">
        <v>0</v>
      </c>
      <c r="X420" s="19">
        <v>0</v>
      </c>
      <c r="Y420" s="128">
        <v>0</v>
      </c>
      <c r="Z420" s="128">
        <v>0</v>
      </c>
      <c r="AA420" s="126">
        <v>0</v>
      </c>
      <c r="AB420" s="129">
        <f t="shared" si="110"/>
        <v>0</v>
      </c>
      <c r="AC420" s="130">
        <f t="shared" ref="AC420:AC421" si="126">AB420</f>
        <v>0</v>
      </c>
      <c r="AD420" s="35">
        <f t="shared" si="120"/>
        <v>0</v>
      </c>
      <c r="AE420" s="166" t="str">
        <f t="shared" si="121"/>
        <v>Release</v>
      </c>
      <c r="AF420" s="127"/>
      <c r="AG420" s="127">
        <v>0</v>
      </c>
      <c r="AH420" s="120" t="s">
        <v>1686</v>
      </c>
      <c r="AI420" s="238">
        <v>7957</v>
      </c>
      <c r="AJ420" s="132"/>
      <c r="AK420" s="151">
        <v>79.300000000000011</v>
      </c>
      <c r="AL420" s="154">
        <f t="shared" si="111"/>
        <v>0</v>
      </c>
      <c r="AM420" s="155"/>
      <c r="AN420" s="19">
        <f t="shared" si="112"/>
        <v>1861</v>
      </c>
      <c r="AO420" s="118">
        <f>SUMIF('MPG Payment '!E:E,'Shayak Income '!D420,'MPG Payment '!AJ:AJ)</f>
        <v>2000</v>
      </c>
      <c r="AP420" s="19">
        <f t="shared" si="113"/>
        <v>0</v>
      </c>
      <c r="AQ420" s="119">
        <f t="shared" si="122"/>
        <v>2000</v>
      </c>
      <c r="AR420" s="91" t="s">
        <v>1144</v>
      </c>
      <c r="AS420" s="91">
        <f t="shared" si="114"/>
        <v>6400</v>
      </c>
      <c r="AT420" s="118"/>
      <c r="AU420" s="118"/>
      <c r="AV420" s="118"/>
    </row>
    <row r="421" spans="1:48" s="20" customFormat="1" x14ac:dyDescent="0.25">
      <c r="A421" s="17">
        <f>IFERROR(VLOOKUP(D421,'Monthly Deduction'!$I$3:$J$957,2,0),0)</f>
        <v>0</v>
      </c>
      <c r="B421" s="17">
        <f>IFERROR(VLOOKUP(D421,'Monthly Deduction'!$E$3:$F$957,2,0),0)</f>
        <v>0</v>
      </c>
      <c r="C421" s="17">
        <f t="shared" si="115"/>
        <v>0</v>
      </c>
      <c r="D421" s="41">
        <v>10130102</v>
      </c>
      <c r="E421" s="122" t="str">
        <f>VLOOKUP(D421,'MPG Payment '!$E$3:$G$497305,2,0)</f>
        <v>GOMUKH NIKASPUR</v>
      </c>
      <c r="F421" s="146">
        <f>IFERROR(_xlfn.XLOOKUP(D421,'Monthly Deduction'!$I$3:$I$957,'Monthly Deduction'!$H$3:$H$957),0)</f>
        <v>0</v>
      </c>
      <c r="G421" s="123" t="str">
        <f>VLOOKUP(D421,'MPG Payment '!$E$3:$G$333666,3,0)</f>
        <v>vlc</v>
      </c>
      <c r="H421" s="124" t="str">
        <f>VLOOKUP(D421,'MPG Payment '!$E$3:$H$333666,4,0)</f>
        <v>Indirect</v>
      </c>
      <c r="I421" s="88">
        <f>INDEX('MPG Payment '!$C:$C,MATCH('Shayak Income '!D421,'MPG Payment '!E:E,0))</f>
        <v>1013</v>
      </c>
      <c r="J421" s="88" t="str">
        <f>INDEX('MPG Payment '!$D:$D,MATCH('Shayak Income '!D421,'MPG Payment '!E:E,0))</f>
        <v>Musrigharari</v>
      </c>
      <c r="K421" s="125" t="s">
        <v>1594</v>
      </c>
      <c r="L421" s="125">
        <v>45847</v>
      </c>
      <c r="M421" s="126">
        <f>SUMIF('MPG Payment '!$E$3:$E$344841,'Shayak Income '!D421,'MPG Payment '!$I$3:$I$344841)</f>
        <v>721.4</v>
      </c>
      <c r="N421" s="126">
        <f>SUMIF('MPG Payment '!$E$3:$E$344841,'Shayak Income '!D421,'MPG Payment '!$J$3:$J$344841)</f>
        <v>25179.53</v>
      </c>
      <c r="O421" s="126">
        <f t="shared" si="116"/>
        <v>541.04999999999995</v>
      </c>
      <c r="P421" s="126">
        <f t="shared" si="117"/>
        <v>685.32999999999993</v>
      </c>
      <c r="Q421" s="126">
        <f>SUMIF('MPG Payment '!$E$3:$E$344841,'Shayak Income '!D421,'MPG Payment '!$S$3:$S$344841)</f>
        <v>0</v>
      </c>
      <c r="R421" s="126">
        <f t="shared" si="108"/>
        <v>755.38589999999999</v>
      </c>
      <c r="S421" s="126">
        <f t="shared" si="109"/>
        <v>70.055900000000065</v>
      </c>
      <c r="T421" s="126">
        <f t="shared" si="118"/>
        <v>72.14</v>
      </c>
      <c r="U421" s="127">
        <f>((((((IF(K421="New",0,SUMIF('MPG Payment '!$E$3:$E$344841,'Shayak Income '!D421,'MPG Payment '!$AC$3:$AC$344841))))+0)+0)+0)+0)+-318</f>
        <v>1154.649979459052</v>
      </c>
      <c r="V421" s="127">
        <f t="shared" si="119"/>
        <v>0</v>
      </c>
      <c r="W421" s="19">
        <v>0</v>
      </c>
      <c r="X421" s="19">
        <v>0</v>
      </c>
      <c r="Y421" s="128">
        <v>0</v>
      </c>
      <c r="Z421" s="128">
        <v>0</v>
      </c>
      <c r="AA421" s="126">
        <v>0</v>
      </c>
      <c r="AB421" s="129">
        <f t="shared" si="110"/>
        <v>0</v>
      </c>
      <c r="AC421" s="130">
        <f t="shared" si="126"/>
        <v>0</v>
      </c>
      <c r="AD421" s="35">
        <f t="shared" si="120"/>
        <v>0</v>
      </c>
      <c r="AE421" s="166" t="str">
        <f t="shared" si="121"/>
        <v>Release</v>
      </c>
      <c r="AF421" s="127"/>
      <c r="AG421" s="127">
        <v>0</v>
      </c>
      <c r="AH421" s="120" t="s">
        <v>1683</v>
      </c>
      <c r="AI421" s="238">
        <v>0</v>
      </c>
      <c r="AJ421" s="132"/>
      <c r="AK421" s="151">
        <v>52.800000000000004</v>
      </c>
      <c r="AL421" s="154">
        <f t="shared" si="111"/>
        <v>0</v>
      </c>
      <c r="AM421" s="155"/>
      <c r="AN421" s="19">
        <f t="shared" si="112"/>
        <v>0</v>
      </c>
      <c r="AO421" s="118">
        <f>SUMIF('MPG Payment '!E:E,'Shayak Income '!D421,'MPG Payment '!AJ:AJ)</f>
        <v>0</v>
      </c>
      <c r="AP421" s="19">
        <f t="shared" si="113"/>
        <v>0</v>
      </c>
      <c r="AQ421" s="119">
        <f t="shared" si="122"/>
        <v>0</v>
      </c>
      <c r="AR421" s="91" t="s">
        <v>1144</v>
      </c>
      <c r="AS421" s="91">
        <f t="shared" si="114"/>
        <v>0</v>
      </c>
      <c r="AT421" s="118"/>
      <c r="AU421" s="118"/>
      <c r="AV421" s="118"/>
    </row>
    <row r="422" spans="1:48" s="20" customFormat="1" x14ac:dyDescent="0.25">
      <c r="A422" s="17">
        <f>IFERROR(VLOOKUP(D422,'Monthly Deduction'!$I$3:$J$957,2,0),0)</f>
        <v>0</v>
      </c>
      <c r="B422" s="17">
        <f>IFERROR(VLOOKUP(D422,'Monthly Deduction'!$E$3:$F$957,2,0),0)</f>
        <v>0</v>
      </c>
      <c r="C422" s="17">
        <f t="shared" si="115"/>
        <v>0</v>
      </c>
      <c r="D422" s="41">
        <v>10130107</v>
      </c>
      <c r="E422" s="122" t="str">
        <f>VLOOKUP(D422,'MPG Payment '!$E$3:$G$497305,2,0)</f>
        <v>Gomukh Morwa Mohanpur</v>
      </c>
      <c r="F422" s="146">
        <f>IFERROR(_xlfn.XLOOKUP(D422,'Monthly Deduction'!$I$3:$I$957,'Monthly Deduction'!$H$3:$H$957),0)</f>
        <v>0</v>
      </c>
      <c r="G422" s="123" t="str">
        <f>VLOOKUP(D422,'MPG Payment '!$E$3:$G$333666,3,0)</f>
        <v>vlc</v>
      </c>
      <c r="H422" s="124" t="str">
        <f>VLOOKUP(D422,'MPG Payment '!$E$3:$H$333666,4,0)</f>
        <v>Indirect</v>
      </c>
      <c r="I422" s="88">
        <f>INDEX('MPG Payment '!$C:$C,MATCH('Shayak Income '!D422,'MPG Payment '!E:E,0))</f>
        <v>1013</v>
      </c>
      <c r="J422" s="88" t="str">
        <f>INDEX('MPG Payment '!$D:$D,MATCH('Shayak Income '!D422,'MPG Payment '!E:E,0))</f>
        <v>Musrigharari</v>
      </c>
      <c r="K422" s="125" t="s">
        <v>1594</v>
      </c>
      <c r="L422" s="125">
        <v>45868</v>
      </c>
      <c r="M422" s="126">
        <f>SUMIF('MPG Payment '!$E$3:$E$344841,'Shayak Income '!D422,'MPG Payment '!$I$3:$I$344841)</f>
        <v>1190.7</v>
      </c>
      <c r="N422" s="126">
        <f>SUMIF('MPG Payment '!$E$3:$E$344841,'Shayak Income '!D422,'MPG Payment '!$J$3:$J$344841)</f>
        <v>50059.399999999994</v>
      </c>
      <c r="O422" s="126">
        <f t="shared" si="116"/>
        <v>893.02500000000009</v>
      </c>
      <c r="P422" s="126">
        <f t="shared" si="117"/>
        <v>1131.165</v>
      </c>
      <c r="Q422" s="126">
        <f>SUMIF('MPG Payment '!$E$3:$E$344841,'Shayak Income '!D422,'MPG Payment '!$S$3:$S$344841)</f>
        <v>0</v>
      </c>
      <c r="R422" s="126">
        <f t="shared" si="108"/>
        <v>1501.7819999999997</v>
      </c>
      <c r="S422" s="126">
        <f t="shared" si="109"/>
        <v>370.61699999999973</v>
      </c>
      <c r="T422" s="126">
        <f t="shared" si="118"/>
        <v>119.07000000000001</v>
      </c>
      <c r="U422" s="127">
        <f>((((((IF(K422="New",0,SUMIF('MPG Payment '!$E$3:$E$344841,'Shayak Income '!D422,'MPG Payment '!$AC$3:$AC$344841))))+0)+0)+0)+0)+0</f>
        <v>1348.486016023631</v>
      </c>
      <c r="V422" s="127">
        <f t="shared" si="119"/>
        <v>557</v>
      </c>
      <c r="W422" s="19">
        <f t="shared" si="123"/>
        <v>0</v>
      </c>
      <c r="X422" s="19">
        <f t="shared" si="124"/>
        <v>0</v>
      </c>
      <c r="Y422" s="128">
        <f>IFERROR(VLOOKUP(D422,'Monthly Deduction'!$M$2:$N$640,2,0),0)</f>
        <v>0</v>
      </c>
      <c r="Z422" s="128">
        <v>0</v>
      </c>
      <c r="AA422" s="126">
        <f>IFERROR(VLOOKUP(D422,'Monthly Deduction'!A:B,2,0),0)</f>
        <v>0</v>
      </c>
      <c r="AB422" s="129">
        <f t="shared" si="110"/>
        <v>557</v>
      </c>
      <c r="AC422" s="130">
        <v>0</v>
      </c>
      <c r="AD422" s="35">
        <f t="shared" si="120"/>
        <v>557</v>
      </c>
      <c r="AE422" s="166" t="str">
        <f t="shared" si="121"/>
        <v>Release</v>
      </c>
      <c r="AF422" s="127"/>
      <c r="AG422" s="127">
        <v>0</v>
      </c>
      <c r="AH422" s="120"/>
      <c r="AI422" s="238">
        <v>0</v>
      </c>
      <c r="AJ422" s="132"/>
      <c r="AK422" s="151">
        <v>266.3</v>
      </c>
      <c r="AL422" s="154">
        <f t="shared" si="111"/>
        <v>0</v>
      </c>
      <c r="AM422" s="155"/>
      <c r="AN422" s="19">
        <f t="shared" si="112"/>
        <v>0</v>
      </c>
      <c r="AO422" s="118">
        <f>SUMIF('MPG Payment '!E:E,'Shayak Income '!D422,'MPG Payment '!AJ:AJ)</f>
        <v>0</v>
      </c>
      <c r="AP422" s="19">
        <f t="shared" si="113"/>
        <v>0</v>
      </c>
      <c r="AQ422" s="119">
        <f t="shared" si="122"/>
        <v>0</v>
      </c>
      <c r="AR422" s="91" t="s">
        <v>1144</v>
      </c>
      <c r="AS422" s="91">
        <f t="shared" si="114"/>
        <v>0</v>
      </c>
      <c r="AT422" s="118"/>
      <c r="AU422" s="118"/>
      <c r="AV422" s="118"/>
    </row>
    <row r="423" spans="1:48" s="20" customFormat="1" x14ac:dyDescent="0.25">
      <c r="A423" s="17">
        <f>IFERROR(VLOOKUP(D423,'Monthly Deduction'!$I$3:$J$957,2,0),0)</f>
        <v>0</v>
      </c>
      <c r="B423" s="17">
        <f>IFERROR(VLOOKUP(D423,'Monthly Deduction'!$E$3:$F$957,2,0),0)</f>
        <v>1957.3475058402746</v>
      </c>
      <c r="C423" s="17">
        <f t="shared" si="115"/>
        <v>1957.3475058402746</v>
      </c>
      <c r="D423" s="41">
        <v>10140001</v>
      </c>
      <c r="E423" s="122" t="str">
        <f>VLOOKUP(D423,'MPG Payment '!$E$3:$G$497305,2,0)</f>
        <v>Dumri Purvi Tola</v>
      </c>
      <c r="F423" s="146">
        <f>IFERROR(_xlfn.XLOOKUP(D423,'Monthly Deduction'!$I$3:$I$957,'Monthly Deduction'!$H$3:$H$957),0)</f>
        <v>0</v>
      </c>
      <c r="G423" s="123" t="str">
        <f>VLOOKUP(D423,'MPG Payment '!$E$3:$G$333666,3,0)</f>
        <v>MPG</v>
      </c>
      <c r="H423" s="124" t="str">
        <f>VLOOKUP(D423,'MPG Payment '!$E$3:$H$333666,4,0)</f>
        <v>Direct</v>
      </c>
      <c r="I423" s="88">
        <f>INDEX('MPG Payment '!$C:$C,MATCH('Shayak Income '!D423,'MPG Payment '!E:E,0))</f>
        <v>1014</v>
      </c>
      <c r="J423" s="88" t="str">
        <f>INDEX('MPG Payment '!$D:$D,MATCH('Shayak Income '!D423,'MPG Payment '!E:E,0))</f>
        <v>Dumraon</v>
      </c>
      <c r="K423" s="125" t="s">
        <v>1594</v>
      </c>
      <c r="L423" s="125">
        <v>44664</v>
      </c>
      <c r="M423" s="126">
        <f>SUMIF('MPG Payment '!$E$3:$E$344841,'Shayak Income '!D423,'MPG Payment '!$I$3:$I$344841)</f>
        <v>2340.8000000000002</v>
      </c>
      <c r="N423" s="126">
        <f>SUMIF('MPG Payment '!$E$3:$E$344841,'Shayak Income '!D423,'MPG Payment '!$J$3:$J$344841)</f>
        <v>79070</v>
      </c>
      <c r="O423" s="126">
        <f t="shared" si="116"/>
        <v>1755.6000000000001</v>
      </c>
      <c r="P423" s="126">
        <f t="shared" si="117"/>
        <v>2223.7600000000002</v>
      </c>
      <c r="Q423" s="126">
        <f>SUMIF('MPG Payment '!$E$3:$E$344841,'Shayak Income '!D423,'MPG Payment '!$S$3:$S$344841)</f>
        <v>0</v>
      </c>
      <c r="R423" s="126">
        <f t="shared" si="108"/>
        <v>2372.1</v>
      </c>
      <c r="S423" s="126">
        <f t="shared" si="109"/>
        <v>148.33999999999969</v>
      </c>
      <c r="T423" s="126">
        <f t="shared" si="118"/>
        <v>234.08000000000004</v>
      </c>
      <c r="U423" s="127">
        <f>((((((IF(K423="New",0,SUMIF('MPG Payment '!$E$3:$E$344841,'Shayak Income '!D423,'MPG Payment '!$AC$3:$AC$344841))))+0)+0)+0)+0)+0</f>
        <v>309.42622691171027</v>
      </c>
      <c r="V423" s="127">
        <f t="shared" si="119"/>
        <v>3436</v>
      </c>
      <c r="W423" s="19">
        <f t="shared" si="123"/>
        <v>0</v>
      </c>
      <c r="X423" s="19">
        <f t="shared" si="124"/>
        <v>1581.4</v>
      </c>
      <c r="Y423" s="128">
        <v>1855</v>
      </c>
      <c r="Z423" s="128">
        <v>0</v>
      </c>
      <c r="AA423" s="126">
        <v>0</v>
      </c>
      <c r="AB423" s="129">
        <f t="shared" si="110"/>
        <v>0</v>
      </c>
      <c r="AC423" s="130">
        <v>0</v>
      </c>
      <c r="AD423" s="35">
        <f t="shared" si="120"/>
        <v>0</v>
      </c>
      <c r="AE423" s="166" t="str">
        <f t="shared" si="121"/>
        <v>Release</v>
      </c>
      <c r="AF423" s="127"/>
      <c r="AG423" s="127">
        <v>0</v>
      </c>
      <c r="AH423" s="120"/>
      <c r="AI423" s="238">
        <v>0</v>
      </c>
      <c r="AJ423" s="132"/>
      <c r="AK423" s="151">
        <v>556.00000000000011</v>
      </c>
      <c r="AL423" s="154">
        <f t="shared" si="111"/>
        <v>0</v>
      </c>
      <c r="AM423" s="155"/>
      <c r="AN423" s="19">
        <f t="shared" si="112"/>
        <v>0</v>
      </c>
      <c r="AO423" s="118">
        <f>SUMIF('MPG Payment '!E:E,'Shayak Income '!D423,'MPG Payment '!AJ:AJ)</f>
        <v>0</v>
      </c>
      <c r="AP423" s="19">
        <f t="shared" si="113"/>
        <v>0</v>
      </c>
      <c r="AQ423" s="119">
        <f t="shared" si="122"/>
        <v>0</v>
      </c>
      <c r="AR423" s="91" t="s">
        <v>1144</v>
      </c>
      <c r="AS423" s="91">
        <f t="shared" si="114"/>
        <v>375.94750584027452</v>
      </c>
      <c r="AT423" s="118"/>
      <c r="AU423" s="118"/>
      <c r="AV423" s="118"/>
    </row>
    <row r="424" spans="1:48" s="20" customFormat="1" x14ac:dyDescent="0.25">
      <c r="A424" s="17">
        <f>IFERROR(VLOOKUP(D424,'Monthly Deduction'!$I$3:$J$957,2,0),0)</f>
        <v>0</v>
      </c>
      <c r="B424" s="17">
        <f>IFERROR(VLOOKUP(D424,'Monthly Deduction'!$E$3:$F$957,2,0),0)</f>
        <v>1258.0352145440011</v>
      </c>
      <c r="C424" s="17">
        <f t="shared" si="115"/>
        <v>1258.0352145440011</v>
      </c>
      <c r="D424" s="41">
        <v>10140002</v>
      </c>
      <c r="E424" s="122" t="str">
        <f>VLOOKUP(D424,'MPG Payment '!$E$3:$G$497305,2,0)</f>
        <v>Simri</v>
      </c>
      <c r="F424" s="146">
        <f>IFERROR(_xlfn.XLOOKUP(D424,'Monthly Deduction'!$I$3:$I$957,'Monthly Deduction'!$H$3:$H$957),0)</f>
        <v>0</v>
      </c>
      <c r="G424" s="123" t="str">
        <f>VLOOKUP(D424,'MPG Payment '!$E$3:$G$333666,3,0)</f>
        <v>MPG</v>
      </c>
      <c r="H424" s="124" t="str">
        <f>VLOOKUP(D424,'MPG Payment '!$E$3:$H$333666,4,0)</f>
        <v>Direct</v>
      </c>
      <c r="I424" s="88">
        <f>INDEX('MPG Payment '!$C:$C,MATCH('Shayak Income '!D424,'MPG Payment '!E:E,0))</f>
        <v>1014</v>
      </c>
      <c r="J424" s="88" t="str">
        <f>INDEX('MPG Payment '!$D:$D,MATCH('Shayak Income '!D424,'MPG Payment '!E:E,0))</f>
        <v>Dumraon</v>
      </c>
      <c r="K424" s="125" t="s">
        <v>1594</v>
      </c>
      <c r="L424" s="125">
        <v>44664</v>
      </c>
      <c r="M424" s="126">
        <f>SUMIF('MPG Payment '!$E$3:$E$344841,'Shayak Income '!D424,'MPG Payment '!$I$3:$I$344841)</f>
        <v>2761.4</v>
      </c>
      <c r="N424" s="126">
        <f>SUMIF('MPG Payment '!$E$3:$E$344841,'Shayak Income '!D424,'MPG Payment '!$J$3:$J$344841)</f>
        <v>104878.09999999999</v>
      </c>
      <c r="O424" s="126">
        <f t="shared" si="116"/>
        <v>2071.0500000000002</v>
      </c>
      <c r="P424" s="126">
        <f t="shared" si="117"/>
        <v>2623.33</v>
      </c>
      <c r="Q424" s="126">
        <f>SUMIF('MPG Payment '!$E$3:$E$344841,'Shayak Income '!D424,'MPG Payment '!$S$3:$S$344841)</f>
        <v>0</v>
      </c>
      <c r="R424" s="126">
        <f t="shared" si="108"/>
        <v>3146.3429999999998</v>
      </c>
      <c r="S424" s="126">
        <f t="shared" si="109"/>
        <v>523.01299999999992</v>
      </c>
      <c r="T424" s="126">
        <f t="shared" si="118"/>
        <v>276.14000000000004</v>
      </c>
      <c r="U424" s="127">
        <f>((((((IF(K424="New",0,SUMIF('MPG Payment '!$E$3:$E$344841,'Shayak Income '!D424,'MPG Payment '!$AC$3:$AC$344841))))+0)+0)+0)+0)+0</f>
        <v>84.899330665008392</v>
      </c>
      <c r="V424" s="127">
        <f t="shared" si="119"/>
        <v>4333</v>
      </c>
      <c r="W424" s="19">
        <f t="shared" si="123"/>
        <v>0</v>
      </c>
      <c r="X424" s="19">
        <f t="shared" si="124"/>
        <v>1258.0352145440011</v>
      </c>
      <c r="Y424" s="128">
        <f>IFERROR(VLOOKUP(D424,'Monthly Deduction'!$M$2:$N$640,2,0),0)</f>
        <v>0</v>
      </c>
      <c r="Z424" s="128">
        <v>0</v>
      </c>
      <c r="AA424" s="126">
        <f>IFERROR(VLOOKUP(D424,'Monthly Deduction'!A:B,2,0),0)</f>
        <v>0</v>
      </c>
      <c r="AB424" s="129">
        <f t="shared" si="110"/>
        <v>3075</v>
      </c>
      <c r="AC424" s="130">
        <v>0</v>
      </c>
      <c r="AD424" s="35">
        <f t="shared" si="120"/>
        <v>3075</v>
      </c>
      <c r="AE424" s="166" t="str">
        <f t="shared" si="121"/>
        <v>Release</v>
      </c>
      <c r="AF424" s="127"/>
      <c r="AG424" s="18">
        <v>0</v>
      </c>
      <c r="AH424" s="132"/>
      <c r="AI424" s="238">
        <v>0</v>
      </c>
      <c r="AJ424" s="132"/>
      <c r="AK424" s="151">
        <v>551</v>
      </c>
      <c r="AL424" s="154">
        <f t="shared" si="111"/>
        <v>0</v>
      </c>
      <c r="AM424" s="155"/>
      <c r="AN424" s="19">
        <f t="shared" si="112"/>
        <v>0</v>
      </c>
      <c r="AO424" s="118">
        <f>SUMIF('MPG Payment '!E:E,'Shayak Income '!D424,'MPG Payment '!AJ:AJ)</f>
        <v>0</v>
      </c>
      <c r="AP424" s="19">
        <f t="shared" si="113"/>
        <v>0</v>
      </c>
      <c r="AQ424" s="119">
        <f t="shared" si="122"/>
        <v>0</v>
      </c>
      <c r="AR424" s="91" t="s">
        <v>1144</v>
      </c>
      <c r="AS424" s="91">
        <f t="shared" si="114"/>
        <v>0</v>
      </c>
      <c r="AT424" s="118"/>
      <c r="AU424" s="118"/>
      <c r="AV424" s="118"/>
    </row>
    <row r="425" spans="1:48" s="20" customFormat="1" x14ac:dyDescent="0.25">
      <c r="A425" s="17">
        <f>IFERROR(VLOOKUP(D425,'Monthly Deduction'!$I$3:$J$957,2,0),0)</f>
        <v>0</v>
      </c>
      <c r="B425" s="17">
        <f>IFERROR(VLOOKUP(D425,'Monthly Deduction'!$E$3:$F$957,2,0),0)</f>
        <v>0</v>
      </c>
      <c r="C425" s="17">
        <f t="shared" si="115"/>
        <v>0</v>
      </c>
      <c r="D425" s="41">
        <v>10140003</v>
      </c>
      <c r="E425" s="122" t="str">
        <f>VLOOKUP(D425,'MPG Payment '!$E$3:$G$497305,2,0)</f>
        <v>Sahiyar</v>
      </c>
      <c r="F425" s="146">
        <f>IFERROR(_xlfn.XLOOKUP(D425,'Monthly Deduction'!$I$3:$I$957,'Monthly Deduction'!$H$3:$H$957),0)</f>
        <v>0</v>
      </c>
      <c r="G425" s="123" t="str">
        <f>VLOOKUP(D425,'MPG Payment '!$E$3:$G$333666,3,0)</f>
        <v>MPG</v>
      </c>
      <c r="H425" s="124" t="str">
        <f>VLOOKUP(D425,'MPG Payment '!$E$3:$H$333666,4,0)</f>
        <v>Direct</v>
      </c>
      <c r="I425" s="88">
        <f>INDEX('MPG Payment '!$C:$C,MATCH('Shayak Income '!D425,'MPG Payment '!E:E,0))</f>
        <v>1014</v>
      </c>
      <c r="J425" s="88" t="str">
        <f>INDEX('MPG Payment '!$D:$D,MATCH('Shayak Income '!D425,'MPG Payment '!E:E,0))</f>
        <v>Dumraon</v>
      </c>
      <c r="K425" s="125" t="s">
        <v>1594</v>
      </c>
      <c r="L425" s="125">
        <v>44664</v>
      </c>
      <c r="M425" s="126">
        <f>SUMIF('MPG Payment '!$E$3:$E$344841,'Shayak Income '!D425,'MPG Payment '!$I$3:$I$344841)</f>
        <v>4247.1000000000004</v>
      </c>
      <c r="N425" s="126">
        <f>SUMIF('MPG Payment '!$E$3:$E$344841,'Shayak Income '!D425,'MPG Payment '!$J$3:$J$344841)</f>
        <v>176472.97999999998</v>
      </c>
      <c r="O425" s="126">
        <f t="shared" si="116"/>
        <v>3185.3250000000003</v>
      </c>
      <c r="P425" s="126">
        <f t="shared" si="117"/>
        <v>4034.7450000000003</v>
      </c>
      <c r="Q425" s="126">
        <f>SUMIF('MPG Payment '!$E$3:$E$344841,'Shayak Income '!D425,'MPG Payment '!$S$3:$S$344841)</f>
        <v>4551.9399999999996</v>
      </c>
      <c r="R425" s="126">
        <f t="shared" si="108"/>
        <v>5294.1893999999993</v>
      </c>
      <c r="S425" s="126">
        <f t="shared" si="109"/>
        <v>1259.444399999999</v>
      </c>
      <c r="T425" s="126">
        <f t="shared" si="118"/>
        <v>424.71000000000004</v>
      </c>
      <c r="U425" s="127">
        <f>((((((IF(K425="New",0,SUMIF('MPG Payment '!$E$3:$E$344841,'Shayak Income '!D425,'MPG Payment '!$AC$3:$AC$344841))))+0)+0)+0)+0)+0</f>
        <v>0</v>
      </c>
      <c r="V425" s="127">
        <f t="shared" si="119"/>
        <v>11347</v>
      </c>
      <c r="W425" s="19">
        <f t="shared" si="123"/>
        <v>0</v>
      </c>
      <c r="X425" s="19">
        <f t="shared" si="124"/>
        <v>0</v>
      </c>
      <c r="Y425" s="128">
        <f>IFERROR(VLOOKUP(D425,'Monthly Deduction'!$M$2:$N$640,2,0),0)</f>
        <v>0</v>
      </c>
      <c r="Z425" s="128">
        <v>82.6</v>
      </c>
      <c r="AA425" s="126">
        <f>IFERROR(VLOOKUP(D425,'Monthly Deduction'!A:B,2,0),0)</f>
        <v>0</v>
      </c>
      <c r="AB425" s="129">
        <f t="shared" si="110"/>
        <v>11264</v>
      </c>
      <c r="AC425" s="130">
        <v>0</v>
      </c>
      <c r="AD425" s="35">
        <f t="shared" si="120"/>
        <v>11264</v>
      </c>
      <c r="AE425" s="166" t="str">
        <f t="shared" si="121"/>
        <v>Release</v>
      </c>
      <c r="AF425" s="127"/>
      <c r="AG425" s="18">
        <v>0</v>
      </c>
      <c r="AH425" s="132" t="s">
        <v>1680</v>
      </c>
      <c r="AI425" s="238">
        <v>0</v>
      </c>
      <c r="AJ425" s="132"/>
      <c r="AK425" s="151">
        <v>856.2</v>
      </c>
      <c r="AL425" s="154">
        <f t="shared" si="111"/>
        <v>0</v>
      </c>
      <c r="AM425" s="155"/>
      <c r="AN425" s="19">
        <f t="shared" si="112"/>
        <v>0</v>
      </c>
      <c r="AO425" s="118">
        <f>SUMIF('MPG Payment '!E:E,'Shayak Income '!D425,'MPG Payment '!AJ:AJ)</f>
        <v>0</v>
      </c>
      <c r="AP425" s="19">
        <f t="shared" si="113"/>
        <v>0</v>
      </c>
      <c r="AQ425" s="119">
        <f t="shared" si="122"/>
        <v>0</v>
      </c>
      <c r="AR425" s="91" t="s">
        <v>1144</v>
      </c>
      <c r="AS425" s="91">
        <f t="shared" si="114"/>
        <v>0</v>
      </c>
      <c r="AT425" s="118"/>
      <c r="AU425" s="118"/>
      <c r="AV425" s="118"/>
    </row>
    <row r="426" spans="1:48" s="20" customFormat="1" x14ac:dyDescent="0.25">
      <c r="A426" s="17">
        <f>IFERROR(VLOOKUP(D426,'Monthly Deduction'!$I$3:$J$957,2,0),0)</f>
        <v>0</v>
      </c>
      <c r="B426" s="17">
        <f>IFERROR(VLOOKUP(D426,'Monthly Deduction'!$E$3:$F$957,2,0),0)</f>
        <v>0</v>
      </c>
      <c r="C426" s="17">
        <f t="shared" si="115"/>
        <v>0</v>
      </c>
      <c r="D426" s="41">
        <v>10140007</v>
      </c>
      <c r="E426" s="122" t="str">
        <f>VLOOKUP(D426,'MPG Payment '!$E$3:$G$497305,2,0)</f>
        <v>ENGLISH DUBAULI</v>
      </c>
      <c r="F426" s="146">
        <f>IFERROR(_xlfn.XLOOKUP(D426,'Monthly Deduction'!$I$3:$I$957,'Monthly Deduction'!$H$3:$H$957),0)</f>
        <v>0</v>
      </c>
      <c r="G426" s="123" t="str">
        <f>VLOOKUP(D426,'MPG Payment '!$E$3:$G$333666,3,0)</f>
        <v>MPG</v>
      </c>
      <c r="H426" s="124" t="str">
        <f>VLOOKUP(D426,'MPG Payment '!$E$3:$H$333666,4,0)</f>
        <v>Direct</v>
      </c>
      <c r="I426" s="88">
        <f>INDEX('MPG Payment '!$C:$C,MATCH('Shayak Income '!D426,'MPG Payment '!E:E,0))</f>
        <v>1014</v>
      </c>
      <c r="J426" s="88" t="str">
        <f>INDEX('MPG Payment '!$D:$D,MATCH('Shayak Income '!D426,'MPG Payment '!E:E,0))</f>
        <v>Dumraon</v>
      </c>
      <c r="K426" s="125" t="s">
        <v>1594</v>
      </c>
      <c r="L426" s="125">
        <v>44664</v>
      </c>
      <c r="M426" s="126">
        <f>SUMIF('MPG Payment '!$E$3:$E$344841,'Shayak Income '!D426,'MPG Payment '!$I$3:$I$344841)</f>
        <v>2902.2000000000003</v>
      </c>
      <c r="N426" s="126">
        <f>SUMIF('MPG Payment '!$E$3:$E$344841,'Shayak Income '!D426,'MPG Payment '!$J$3:$J$344841)</f>
        <v>108177.91999999998</v>
      </c>
      <c r="O426" s="126">
        <f t="shared" si="116"/>
        <v>2176.65</v>
      </c>
      <c r="P426" s="126">
        <f t="shared" si="117"/>
        <v>2757.09</v>
      </c>
      <c r="Q426" s="126">
        <f>SUMIF('MPG Payment '!$E$3:$E$344841,'Shayak Income '!D426,'MPG Payment '!$S$3:$S$344841)</f>
        <v>5667.45</v>
      </c>
      <c r="R426" s="126">
        <f t="shared" si="108"/>
        <v>3245.3375999999994</v>
      </c>
      <c r="S426" s="126">
        <f t="shared" si="109"/>
        <v>488.24759999999924</v>
      </c>
      <c r="T426" s="126">
        <f t="shared" si="118"/>
        <v>290.22000000000003</v>
      </c>
      <c r="U426" s="127">
        <f>((((((IF(K426="New",0,SUMIF('MPG Payment '!$E$3:$E$344841,'Shayak Income '!D426,'MPG Payment '!$AC$3:$AC$344841))))+0)+0)+0)+0)+0</f>
        <v>20.852883395383451</v>
      </c>
      <c r="V426" s="127">
        <f t="shared" si="119"/>
        <v>10290</v>
      </c>
      <c r="W426" s="19">
        <f t="shared" si="123"/>
        <v>0</v>
      </c>
      <c r="X426" s="19">
        <f t="shared" si="124"/>
        <v>0</v>
      </c>
      <c r="Y426" s="128">
        <f>IFERROR(VLOOKUP(D426,'Monthly Deduction'!$M$2:$N$640,2,0),0)</f>
        <v>0</v>
      </c>
      <c r="Z426" s="128">
        <v>82.6</v>
      </c>
      <c r="AA426" s="126">
        <f>IFERROR(VLOOKUP(D426,'Monthly Deduction'!A:B,2,0),0)</f>
        <v>0</v>
      </c>
      <c r="AB426" s="129">
        <f t="shared" si="110"/>
        <v>10207</v>
      </c>
      <c r="AC426" s="130">
        <v>0</v>
      </c>
      <c r="AD426" s="35">
        <f t="shared" si="120"/>
        <v>10207</v>
      </c>
      <c r="AE426" s="166" t="str">
        <f t="shared" si="121"/>
        <v>Release</v>
      </c>
      <c r="AF426" s="127"/>
      <c r="AG426" s="127">
        <v>0</v>
      </c>
      <c r="AH426" s="132" t="s">
        <v>1680</v>
      </c>
      <c r="AI426" s="238">
        <v>0</v>
      </c>
      <c r="AJ426" s="132"/>
      <c r="AK426" s="151">
        <v>681.1</v>
      </c>
      <c r="AL426" s="154">
        <f t="shared" si="111"/>
        <v>0</v>
      </c>
      <c r="AM426" s="155"/>
      <c r="AN426" s="19">
        <f t="shared" si="112"/>
        <v>0</v>
      </c>
      <c r="AO426" s="118">
        <f>SUMIF('MPG Payment '!E:E,'Shayak Income '!D426,'MPG Payment '!AJ:AJ)</f>
        <v>0</v>
      </c>
      <c r="AP426" s="19">
        <f t="shared" si="113"/>
        <v>0</v>
      </c>
      <c r="AQ426" s="119">
        <f t="shared" si="122"/>
        <v>0</v>
      </c>
      <c r="AR426" s="91" t="s">
        <v>1144</v>
      </c>
      <c r="AS426" s="91">
        <f t="shared" si="114"/>
        <v>0</v>
      </c>
      <c r="AT426" s="118"/>
      <c r="AU426" s="118"/>
      <c r="AV426" s="118"/>
    </row>
    <row r="427" spans="1:48" s="20" customFormat="1" x14ac:dyDescent="0.25">
      <c r="A427" s="17">
        <f>IFERROR(VLOOKUP(D427,'Monthly Deduction'!$I$3:$J$957,2,0),0)</f>
        <v>0</v>
      </c>
      <c r="B427" s="17">
        <f>IFERROR(VLOOKUP(D427,'Monthly Deduction'!$E$3:$F$957,2,0),0)</f>
        <v>0</v>
      </c>
      <c r="C427" s="17">
        <f t="shared" si="115"/>
        <v>0</v>
      </c>
      <c r="D427" s="41">
        <v>10140008</v>
      </c>
      <c r="E427" s="122" t="str">
        <f>VLOOKUP(D427,'MPG Payment '!$E$3:$G$497305,2,0)</f>
        <v>Ramo Bariya</v>
      </c>
      <c r="F427" s="146">
        <f>IFERROR(_xlfn.XLOOKUP(D427,'Monthly Deduction'!$I$3:$I$957,'Monthly Deduction'!$H$3:$H$957),0)</f>
        <v>0</v>
      </c>
      <c r="G427" s="123" t="str">
        <f>VLOOKUP(D427,'MPG Payment '!$E$3:$G$333666,3,0)</f>
        <v>MPG</v>
      </c>
      <c r="H427" s="124" t="str">
        <f>VLOOKUP(D427,'MPG Payment '!$E$3:$H$333666,4,0)</f>
        <v>Direct</v>
      </c>
      <c r="I427" s="88">
        <f>INDEX('MPG Payment '!$C:$C,MATCH('Shayak Income '!D427,'MPG Payment '!E:E,0))</f>
        <v>1014</v>
      </c>
      <c r="J427" s="88" t="str">
        <f>INDEX('MPG Payment '!$D:$D,MATCH('Shayak Income '!D427,'MPG Payment '!E:E,0))</f>
        <v>Dumraon</v>
      </c>
      <c r="K427" s="125" t="s">
        <v>1594</v>
      </c>
      <c r="L427" s="125">
        <v>44665</v>
      </c>
      <c r="M427" s="126">
        <f>SUMIF('MPG Payment '!$E$3:$E$344841,'Shayak Income '!D427,'MPG Payment '!$I$3:$I$344841)</f>
        <v>2254.8000000000002</v>
      </c>
      <c r="N427" s="126">
        <f>SUMIF('MPG Payment '!$E$3:$E$344841,'Shayak Income '!D427,'MPG Payment '!$J$3:$J$344841)</f>
        <v>87895.069999999978</v>
      </c>
      <c r="O427" s="126">
        <f t="shared" si="116"/>
        <v>1691.1000000000001</v>
      </c>
      <c r="P427" s="126">
        <f t="shared" si="117"/>
        <v>2142.06</v>
      </c>
      <c r="Q427" s="126">
        <f>SUMIF('MPG Payment '!$E$3:$E$344841,'Shayak Income '!D427,'MPG Payment '!$S$3:$S$344841)</f>
        <v>449.61</v>
      </c>
      <c r="R427" s="126">
        <f t="shared" si="108"/>
        <v>2636.8520999999992</v>
      </c>
      <c r="S427" s="126">
        <f t="shared" si="109"/>
        <v>494.79209999999921</v>
      </c>
      <c r="T427" s="126">
        <f t="shared" si="118"/>
        <v>225.48000000000002</v>
      </c>
      <c r="U427" s="127">
        <f>((((((IF(K427="New",0,SUMIF('MPG Payment '!$E$3:$E$344841,'Shayak Income '!D427,'MPG Payment '!$AC$3:$AC$344841))))+0)+0)+0)+0)+0</f>
        <v>422.40937042994858</v>
      </c>
      <c r="V427" s="127">
        <f t="shared" si="119"/>
        <v>3635</v>
      </c>
      <c r="W427" s="19">
        <f t="shared" si="123"/>
        <v>0</v>
      </c>
      <c r="X427" s="19">
        <f t="shared" si="124"/>
        <v>0</v>
      </c>
      <c r="Y427" s="128">
        <f>IFERROR(VLOOKUP(D427,'Monthly Deduction'!$M$2:$N$640,2,0),0)</f>
        <v>0</v>
      </c>
      <c r="Z427" s="128">
        <v>0</v>
      </c>
      <c r="AA427" s="126">
        <f>IFERROR(VLOOKUP(D427,'Monthly Deduction'!A:B,2,0),0)</f>
        <v>0</v>
      </c>
      <c r="AB427" s="129">
        <f t="shared" si="110"/>
        <v>3635</v>
      </c>
      <c r="AC427" s="130">
        <v>0</v>
      </c>
      <c r="AD427" s="35">
        <f t="shared" si="120"/>
        <v>3635</v>
      </c>
      <c r="AE427" s="166" t="str">
        <f t="shared" si="121"/>
        <v>Release</v>
      </c>
      <c r="AF427" s="127"/>
      <c r="AG427" s="18">
        <v>0</v>
      </c>
      <c r="AH427" s="132"/>
      <c r="AI427" s="238">
        <v>0</v>
      </c>
      <c r="AJ427" s="132"/>
      <c r="AK427" s="151">
        <v>374.49999999999994</v>
      </c>
      <c r="AL427" s="154">
        <f t="shared" si="111"/>
        <v>0</v>
      </c>
      <c r="AM427" s="155"/>
      <c r="AN427" s="19">
        <f t="shared" si="112"/>
        <v>0</v>
      </c>
      <c r="AO427" s="118">
        <f>SUMIF('MPG Payment '!E:E,'Shayak Income '!D427,'MPG Payment '!AJ:AJ)</f>
        <v>0</v>
      </c>
      <c r="AP427" s="19">
        <f t="shared" si="113"/>
        <v>0</v>
      </c>
      <c r="AQ427" s="119">
        <f t="shared" si="122"/>
        <v>0</v>
      </c>
      <c r="AR427" s="91" t="s">
        <v>1144</v>
      </c>
      <c r="AS427" s="91">
        <f t="shared" si="114"/>
        <v>0</v>
      </c>
      <c r="AT427" s="118"/>
      <c r="AU427" s="118"/>
      <c r="AV427" s="118"/>
    </row>
    <row r="428" spans="1:48" s="20" customFormat="1" x14ac:dyDescent="0.25">
      <c r="A428" s="17">
        <f>IFERROR(VLOOKUP(D428,'Monthly Deduction'!$I$3:$J$957,2,0),0)</f>
        <v>0</v>
      </c>
      <c r="B428" s="17">
        <f>IFERROR(VLOOKUP(D428,'Monthly Deduction'!$E$3:$F$957,2,0),0)</f>
        <v>0</v>
      </c>
      <c r="C428" s="17">
        <f t="shared" si="115"/>
        <v>0</v>
      </c>
      <c r="D428" s="41">
        <v>10140009</v>
      </c>
      <c r="E428" s="122" t="str">
        <f>VLOOKUP(D428,'MPG Payment '!$E$3:$G$497305,2,0)</f>
        <v>HITAN PARARI</v>
      </c>
      <c r="F428" s="146">
        <f>IFERROR(_xlfn.XLOOKUP(D428,'Monthly Deduction'!$I$3:$I$957,'Monthly Deduction'!$H$3:$H$957),0)</f>
        <v>0</v>
      </c>
      <c r="G428" s="123" t="str">
        <f>VLOOKUP(D428,'MPG Payment '!$E$3:$G$333666,3,0)</f>
        <v>MPG</v>
      </c>
      <c r="H428" s="124" t="str">
        <f>VLOOKUP(D428,'MPG Payment '!$E$3:$H$333666,4,0)</f>
        <v>Direct</v>
      </c>
      <c r="I428" s="88">
        <f>INDEX('MPG Payment '!$C:$C,MATCH('Shayak Income '!D428,'MPG Payment '!E:E,0))</f>
        <v>1014</v>
      </c>
      <c r="J428" s="88" t="str">
        <f>INDEX('MPG Payment '!$D:$D,MATCH('Shayak Income '!D428,'MPG Payment '!E:E,0))</f>
        <v>Dumraon</v>
      </c>
      <c r="K428" s="125" t="s">
        <v>1594</v>
      </c>
      <c r="L428" s="125">
        <v>44669</v>
      </c>
      <c r="M428" s="126">
        <f>SUMIF('MPG Payment '!$E$3:$E$344841,'Shayak Income '!D428,'MPG Payment '!$I$3:$I$344841)</f>
        <v>4749.3999999999996</v>
      </c>
      <c r="N428" s="126">
        <f>SUMIF('MPG Payment '!$E$3:$E$344841,'Shayak Income '!D428,'MPG Payment '!$J$3:$J$344841)</f>
        <v>200730.76</v>
      </c>
      <c r="O428" s="126">
        <f t="shared" si="116"/>
        <v>3562.0499999999997</v>
      </c>
      <c r="P428" s="126">
        <f t="shared" si="117"/>
        <v>4511.9299999999994</v>
      </c>
      <c r="Q428" s="126">
        <f>SUMIF('MPG Payment '!$E$3:$E$344841,'Shayak Income '!D428,'MPG Payment '!$S$3:$S$344841)</f>
        <v>0</v>
      </c>
      <c r="R428" s="126">
        <f t="shared" si="108"/>
        <v>6021.9228000000003</v>
      </c>
      <c r="S428" s="126">
        <f t="shared" si="109"/>
        <v>1509.9928000000009</v>
      </c>
      <c r="T428" s="126">
        <f t="shared" si="118"/>
        <v>474.94</v>
      </c>
      <c r="U428" s="127">
        <f>((((((IF(K428="New",0,SUMIF('MPG Payment '!$E$3:$E$344841,'Shayak Income '!D428,'MPG Payment '!$AC$3:$AC$344841))))+0)+0)+0)+0)+0</f>
        <v>0</v>
      </c>
      <c r="V428" s="127">
        <f t="shared" si="119"/>
        <v>7599</v>
      </c>
      <c r="W428" s="19">
        <f t="shared" si="123"/>
        <v>0</v>
      </c>
      <c r="X428" s="19">
        <f t="shared" si="124"/>
        <v>0</v>
      </c>
      <c r="Y428" s="128">
        <f>IFERROR(VLOOKUP(D428,'Monthly Deduction'!$M$2:$N$640,2,0),0)</f>
        <v>0</v>
      </c>
      <c r="Z428" s="128">
        <v>0</v>
      </c>
      <c r="AA428" s="126">
        <f>IFERROR(VLOOKUP(D428,'Monthly Deduction'!A:B,2,0),0)</f>
        <v>0</v>
      </c>
      <c r="AB428" s="129">
        <f t="shared" si="110"/>
        <v>7599</v>
      </c>
      <c r="AC428" s="130">
        <v>0</v>
      </c>
      <c r="AD428" s="35">
        <f t="shared" si="120"/>
        <v>7599</v>
      </c>
      <c r="AE428" s="166" t="str">
        <f t="shared" si="121"/>
        <v>Release</v>
      </c>
      <c r="AF428" s="127"/>
      <c r="AG428" s="18">
        <v>0</v>
      </c>
      <c r="AH428" s="120"/>
      <c r="AI428" s="238">
        <v>0</v>
      </c>
      <c r="AJ428" s="132"/>
      <c r="AK428" s="151">
        <v>925.80000000000007</v>
      </c>
      <c r="AL428" s="154">
        <f t="shared" si="111"/>
        <v>0</v>
      </c>
      <c r="AM428" s="155"/>
      <c r="AN428" s="19">
        <f t="shared" si="112"/>
        <v>0</v>
      </c>
      <c r="AO428" s="118">
        <f>SUMIF('MPG Payment '!E:E,'Shayak Income '!D428,'MPG Payment '!AJ:AJ)</f>
        <v>0</v>
      </c>
      <c r="AP428" s="19">
        <f t="shared" si="113"/>
        <v>0</v>
      </c>
      <c r="AQ428" s="119">
        <f t="shared" si="122"/>
        <v>0</v>
      </c>
      <c r="AR428" s="91" t="s">
        <v>1144</v>
      </c>
      <c r="AS428" s="91">
        <f t="shared" si="114"/>
        <v>0</v>
      </c>
      <c r="AT428" s="118"/>
      <c r="AU428" s="118"/>
      <c r="AV428" s="118"/>
    </row>
    <row r="429" spans="1:48" s="20" customFormat="1" x14ac:dyDescent="0.25">
      <c r="A429" s="17">
        <f>IFERROR(VLOOKUP(D429,'Monthly Deduction'!$I$3:$J$957,2,0),0)</f>
        <v>0</v>
      </c>
      <c r="B429" s="17">
        <f>IFERROR(VLOOKUP(D429,'Monthly Deduction'!$E$3:$F$957,2,0),0)</f>
        <v>0</v>
      </c>
      <c r="C429" s="17">
        <f t="shared" si="115"/>
        <v>0</v>
      </c>
      <c r="D429" s="41">
        <v>10140012</v>
      </c>
      <c r="E429" s="122" t="str">
        <f>VLOOKUP(D429,'MPG Payment '!$E$3:$G$497305,2,0)</f>
        <v>Gangauli</v>
      </c>
      <c r="F429" s="146">
        <f>IFERROR(_xlfn.XLOOKUP(D429,'Monthly Deduction'!$I$3:$I$957,'Monthly Deduction'!$H$3:$H$957),0)</f>
        <v>0</v>
      </c>
      <c r="G429" s="123" t="str">
        <f>VLOOKUP(D429,'MPG Payment '!$E$3:$G$333666,3,0)</f>
        <v>MPG</v>
      </c>
      <c r="H429" s="124" t="str">
        <f>VLOOKUP(D429,'MPG Payment '!$E$3:$H$333666,4,0)</f>
        <v>Direct</v>
      </c>
      <c r="I429" s="88">
        <f>INDEX('MPG Payment '!$C:$C,MATCH('Shayak Income '!D429,'MPG Payment '!E:E,0))</f>
        <v>1014</v>
      </c>
      <c r="J429" s="88" t="str">
        <f>INDEX('MPG Payment '!$D:$D,MATCH('Shayak Income '!D429,'MPG Payment '!E:E,0))</f>
        <v>Dumraon</v>
      </c>
      <c r="K429" s="125" t="s">
        <v>1594</v>
      </c>
      <c r="L429" s="125">
        <v>44703</v>
      </c>
      <c r="M429" s="126">
        <f>SUMIF('MPG Payment '!$E$3:$E$344841,'Shayak Income '!D429,'MPG Payment '!$I$3:$I$344841)</f>
        <v>5545.7999999999993</v>
      </c>
      <c r="N429" s="126">
        <f>SUMIF('MPG Payment '!$E$3:$E$344841,'Shayak Income '!D429,'MPG Payment '!$J$3:$J$344841)</f>
        <v>251068.59000000003</v>
      </c>
      <c r="O429" s="126">
        <f t="shared" si="116"/>
        <v>4159.3499999999995</v>
      </c>
      <c r="P429" s="126">
        <f t="shared" si="117"/>
        <v>5268.5099999999993</v>
      </c>
      <c r="Q429" s="126">
        <f>SUMIF('MPG Payment '!$E$3:$E$344841,'Shayak Income '!D429,'MPG Payment '!$S$3:$S$344841)</f>
        <v>1072.48</v>
      </c>
      <c r="R429" s="126">
        <f t="shared" si="108"/>
        <v>7532.0577000000003</v>
      </c>
      <c r="S429" s="126">
        <f t="shared" si="109"/>
        <v>2263.547700000001</v>
      </c>
      <c r="T429" s="126">
        <f t="shared" si="118"/>
        <v>554.57999999999993</v>
      </c>
      <c r="U429" s="127">
        <f>((((((IF(K429="New",0,SUMIF('MPG Payment '!$E$3:$E$344841,'Shayak Income '!D429,'MPG Payment '!$AC$3:$AC$344841))))+0)+0)+0)+0)+0</f>
        <v>0</v>
      </c>
      <c r="V429" s="127">
        <f t="shared" si="119"/>
        <v>9946</v>
      </c>
      <c r="W429" s="19">
        <f t="shared" si="123"/>
        <v>0</v>
      </c>
      <c r="X429" s="19">
        <f t="shared" si="124"/>
        <v>0</v>
      </c>
      <c r="Y429" s="128">
        <f>IFERROR(VLOOKUP(D429,'Monthly Deduction'!$M$2:$N$640,2,0),0)</f>
        <v>3000</v>
      </c>
      <c r="Z429" s="128">
        <v>2454.4</v>
      </c>
      <c r="AA429" s="126">
        <f>IFERROR(VLOOKUP(D429,'Monthly Deduction'!A:B,2,0),0)</f>
        <v>0</v>
      </c>
      <c r="AB429" s="129">
        <f t="shared" si="110"/>
        <v>4492</v>
      </c>
      <c r="AC429" s="130">
        <v>0</v>
      </c>
      <c r="AD429" s="35">
        <f t="shared" si="120"/>
        <v>4492</v>
      </c>
      <c r="AE429" s="166" t="str">
        <f t="shared" si="121"/>
        <v>Release</v>
      </c>
      <c r="AF429" s="127"/>
      <c r="AG429" s="18">
        <v>0</v>
      </c>
      <c r="AH429" s="132" t="s">
        <v>1680</v>
      </c>
      <c r="AI429" s="238">
        <v>0</v>
      </c>
      <c r="AJ429" s="132"/>
      <c r="AK429" s="151">
        <v>1222.8</v>
      </c>
      <c r="AL429" s="154">
        <f t="shared" si="111"/>
        <v>0</v>
      </c>
      <c r="AM429" s="155"/>
      <c r="AN429" s="19">
        <f t="shared" si="112"/>
        <v>0</v>
      </c>
      <c r="AO429" s="118">
        <f>SUMIF('MPG Payment '!E:E,'Shayak Income '!D429,'MPG Payment '!AJ:AJ)</f>
        <v>0</v>
      </c>
      <c r="AP429" s="19">
        <f t="shared" si="113"/>
        <v>0</v>
      </c>
      <c r="AQ429" s="119">
        <f t="shared" si="122"/>
        <v>0</v>
      </c>
      <c r="AR429" s="91" t="s">
        <v>1144</v>
      </c>
      <c r="AS429" s="91">
        <f t="shared" si="114"/>
        <v>0</v>
      </c>
      <c r="AT429" s="118"/>
      <c r="AU429" s="118"/>
      <c r="AV429" s="118"/>
    </row>
    <row r="430" spans="1:48" s="20" customFormat="1" x14ac:dyDescent="0.25">
      <c r="A430" s="17">
        <f>IFERROR(VLOOKUP(D430,'Monthly Deduction'!$I$3:$J$957,2,0),0)</f>
        <v>0</v>
      </c>
      <c r="B430" s="17">
        <f>IFERROR(VLOOKUP(D430,'Monthly Deduction'!$E$3:$F$957,2,0),0)</f>
        <v>0</v>
      </c>
      <c r="C430" s="17">
        <f t="shared" si="115"/>
        <v>0</v>
      </c>
      <c r="D430" s="41">
        <v>10140013</v>
      </c>
      <c r="E430" s="122" t="str">
        <f>VLOOKUP(D430,'MPG Payment '!$E$3:$G$497305,2,0)</f>
        <v>MATHURA DERA</v>
      </c>
      <c r="F430" s="146">
        <f>IFERROR(_xlfn.XLOOKUP(D430,'Monthly Deduction'!$I$3:$I$957,'Monthly Deduction'!$H$3:$H$957),0)</f>
        <v>0</v>
      </c>
      <c r="G430" s="123" t="str">
        <f>VLOOKUP(D430,'MPG Payment '!$E$3:$G$333666,3,0)</f>
        <v>MPG</v>
      </c>
      <c r="H430" s="124" t="str">
        <f>VLOOKUP(D430,'MPG Payment '!$E$3:$H$333666,4,0)</f>
        <v>Direct</v>
      </c>
      <c r="I430" s="88">
        <f>INDEX('MPG Payment '!$C:$C,MATCH('Shayak Income '!D430,'MPG Payment '!E:E,0))</f>
        <v>1014</v>
      </c>
      <c r="J430" s="88" t="str">
        <f>INDEX('MPG Payment '!$D:$D,MATCH('Shayak Income '!D430,'MPG Payment '!E:E,0))</f>
        <v>Dumraon</v>
      </c>
      <c r="K430" s="125" t="s">
        <v>1594</v>
      </c>
      <c r="L430" s="125">
        <v>44703</v>
      </c>
      <c r="M430" s="126">
        <f>SUMIF('MPG Payment '!$E$3:$E$344841,'Shayak Income '!D430,'MPG Payment '!$I$3:$I$344841)</f>
        <v>8848</v>
      </c>
      <c r="N430" s="126">
        <f>SUMIF('MPG Payment '!$E$3:$E$344841,'Shayak Income '!D430,'MPG Payment '!$J$3:$J$344841)</f>
        <v>358677</v>
      </c>
      <c r="O430" s="126">
        <f t="shared" si="116"/>
        <v>6636</v>
      </c>
      <c r="P430" s="126">
        <f t="shared" si="117"/>
        <v>8405.6</v>
      </c>
      <c r="Q430" s="126">
        <f>SUMIF('MPG Payment '!$E$3:$E$344841,'Shayak Income '!D430,'MPG Payment '!$S$3:$S$344841)</f>
        <v>585.83000000000004</v>
      </c>
      <c r="R430" s="126">
        <f t="shared" si="108"/>
        <v>10760.31</v>
      </c>
      <c r="S430" s="126">
        <f t="shared" si="109"/>
        <v>2354.7099999999991</v>
      </c>
      <c r="T430" s="126">
        <f t="shared" si="118"/>
        <v>884.80000000000007</v>
      </c>
      <c r="U430" s="127">
        <f>((((((IF(K430="New",0,SUMIF('MPG Payment '!$E$3:$E$344841,'Shayak Income '!D430,'MPG Payment '!$AC$3:$AC$344841))))+0)+0)+0)+0)+0</f>
        <v>0</v>
      </c>
      <c r="V430" s="127">
        <f t="shared" si="119"/>
        <v>14743</v>
      </c>
      <c r="W430" s="19">
        <f t="shared" si="123"/>
        <v>0</v>
      </c>
      <c r="X430" s="19">
        <f t="shared" si="124"/>
        <v>0</v>
      </c>
      <c r="Y430" s="128">
        <f>IFERROR(VLOOKUP(D430,'Monthly Deduction'!$M$2:$N$640,2,0),0)</f>
        <v>0</v>
      </c>
      <c r="Z430" s="128">
        <v>0</v>
      </c>
      <c r="AA430" s="126">
        <f>IFERROR(VLOOKUP(D430,'Monthly Deduction'!A:B,2,0),0)</f>
        <v>0</v>
      </c>
      <c r="AB430" s="129">
        <f t="shared" si="110"/>
        <v>14743</v>
      </c>
      <c r="AC430" s="130">
        <v>0</v>
      </c>
      <c r="AD430" s="35">
        <f t="shared" si="120"/>
        <v>14743</v>
      </c>
      <c r="AE430" s="166" t="str">
        <f t="shared" si="121"/>
        <v>Release</v>
      </c>
      <c r="AF430" s="127"/>
      <c r="AG430" s="18">
        <v>0</v>
      </c>
      <c r="AH430" s="132"/>
      <c r="AI430" s="238">
        <v>0</v>
      </c>
      <c r="AJ430" s="132"/>
      <c r="AK430" s="151">
        <v>1442.5</v>
      </c>
      <c r="AL430" s="154">
        <f t="shared" si="111"/>
        <v>0</v>
      </c>
      <c r="AM430" s="155"/>
      <c r="AN430" s="19">
        <f t="shared" si="112"/>
        <v>0</v>
      </c>
      <c r="AO430" s="118">
        <f>SUMIF('MPG Payment '!E:E,'Shayak Income '!D430,'MPG Payment '!AJ:AJ)</f>
        <v>0</v>
      </c>
      <c r="AP430" s="19">
        <f t="shared" si="113"/>
        <v>0</v>
      </c>
      <c r="AQ430" s="119">
        <f t="shared" si="122"/>
        <v>0</v>
      </c>
      <c r="AR430" s="91"/>
      <c r="AS430" s="91">
        <f t="shared" si="114"/>
        <v>0</v>
      </c>
      <c r="AT430" s="118"/>
      <c r="AU430" s="118"/>
      <c r="AV430" s="118"/>
    </row>
    <row r="431" spans="1:48" s="20" customFormat="1" x14ac:dyDescent="0.25">
      <c r="A431" s="17">
        <f>IFERROR(VLOOKUP(D431,'Monthly Deduction'!$I$3:$J$957,2,0),0)</f>
        <v>0</v>
      </c>
      <c r="B431" s="17">
        <f>IFERROR(VLOOKUP(D431,'Monthly Deduction'!$E$3:$F$957,2,0),0)</f>
        <v>0</v>
      </c>
      <c r="C431" s="17">
        <f t="shared" si="115"/>
        <v>0</v>
      </c>
      <c r="D431" s="41">
        <v>10140018</v>
      </c>
      <c r="E431" s="122" t="str">
        <f>VLOOKUP(D431,'MPG Payment '!$E$3:$G$497305,2,0)</f>
        <v>NANDAN</v>
      </c>
      <c r="F431" s="146">
        <f>IFERROR(_xlfn.XLOOKUP(D431,'Monthly Deduction'!$I$3:$I$957,'Monthly Deduction'!$H$3:$H$957),0)</f>
        <v>0</v>
      </c>
      <c r="G431" s="123" t="str">
        <f>VLOOKUP(D431,'MPG Payment '!$E$3:$G$333666,3,0)</f>
        <v>MPG</v>
      </c>
      <c r="H431" s="124" t="str">
        <f>VLOOKUP(D431,'MPG Payment '!$E$3:$H$333666,4,0)</f>
        <v>Direct</v>
      </c>
      <c r="I431" s="88">
        <f>INDEX('MPG Payment '!$C:$C,MATCH('Shayak Income '!D431,'MPG Payment '!E:E,0))</f>
        <v>1014</v>
      </c>
      <c r="J431" s="88" t="str">
        <f>INDEX('MPG Payment '!$D:$D,MATCH('Shayak Income '!D431,'MPG Payment '!E:E,0))</f>
        <v>Dumraon</v>
      </c>
      <c r="K431" s="125" t="s">
        <v>1594</v>
      </c>
      <c r="L431" s="125">
        <v>44753</v>
      </c>
      <c r="M431" s="126">
        <f>SUMIF('MPG Payment '!$E$3:$E$344841,'Shayak Income '!D431,'MPG Payment '!$I$3:$I$344841)</f>
        <v>1146.8999999999999</v>
      </c>
      <c r="N431" s="126">
        <f>SUMIF('MPG Payment '!$E$3:$E$344841,'Shayak Income '!D431,'MPG Payment '!$J$3:$J$344841)</f>
        <v>60782.869999999995</v>
      </c>
      <c r="O431" s="126">
        <f t="shared" si="116"/>
        <v>860.17499999999995</v>
      </c>
      <c r="P431" s="126">
        <f t="shared" si="117"/>
        <v>1089.5549999999998</v>
      </c>
      <c r="Q431" s="126">
        <f>SUMIF('MPG Payment '!$E$3:$E$344841,'Shayak Income '!D431,'MPG Payment '!$S$3:$S$344841)</f>
        <v>0</v>
      </c>
      <c r="R431" s="126">
        <f t="shared" si="108"/>
        <v>1823.4860999999999</v>
      </c>
      <c r="S431" s="126">
        <f t="shared" si="109"/>
        <v>733.93110000000001</v>
      </c>
      <c r="T431" s="126">
        <f t="shared" si="118"/>
        <v>114.69</v>
      </c>
      <c r="U431" s="127">
        <f>((((((IF(K431="New",0,SUMIF('MPG Payment '!$E$3:$E$344841,'Shayak Income '!D431,'MPG Payment '!$AC$3:$AC$344841))))+0)+0)+0)+0)+0</f>
        <v>1764.3333140684804</v>
      </c>
      <c r="V431" s="127">
        <f t="shared" si="119"/>
        <v>71</v>
      </c>
      <c r="W431" s="19">
        <f t="shared" si="123"/>
        <v>0</v>
      </c>
      <c r="X431" s="19">
        <f t="shared" si="124"/>
        <v>0</v>
      </c>
      <c r="Y431" s="128">
        <f>IFERROR(VLOOKUP(D431,'Monthly Deduction'!$M$2:$N$640,2,0),0)</f>
        <v>0</v>
      </c>
      <c r="Z431" s="128">
        <v>0</v>
      </c>
      <c r="AA431" s="126">
        <f>IFERROR(VLOOKUP(D431,'Monthly Deduction'!A:B,2,0),0)</f>
        <v>0</v>
      </c>
      <c r="AB431" s="129">
        <f t="shared" si="110"/>
        <v>71</v>
      </c>
      <c r="AC431" s="130">
        <v>0</v>
      </c>
      <c r="AD431" s="35">
        <f t="shared" si="120"/>
        <v>71</v>
      </c>
      <c r="AE431" s="166" t="str">
        <f t="shared" si="121"/>
        <v>Release</v>
      </c>
      <c r="AF431" s="127"/>
      <c r="AG431" s="18">
        <v>0</v>
      </c>
      <c r="AH431" s="132"/>
      <c r="AI431" s="238">
        <v>0</v>
      </c>
      <c r="AJ431" s="132"/>
      <c r="AK431" s="151">
        <v>225.79999999999998</v>
      </c>
      <c r="AL431" s="154">
        <f t="shared" si="111"/>
        <v>0</v>
      </c>
      <c r="AM431" s="155"/>
      <c r="AN431" s="19">
        <f t="shared" si="112"/>
        <v>0</v>
      </c>
      <c r="AO431" s="118">
        <f>SUMIF('MPG Payment '!E:E,'Shayak Income '!D431,'MPG Payment '!AJ:AJ)</f>
        <v>0</v>
      </c>
      <c r="AP431" s="19">
        <f t="shared" si="113"/>
        <v>0</v>
      </c>
      <c r="AQ431" s="119">
        <f t="shared" si="122"/>
        <v>0</v>
      </c>
      <c r="AR431" s="91" t="s">
        <v>1144</v>
      </c>
      <c r="AS431" s="91">
        <f t="shared" si="114"/>
        <v>0</v>
      </c>
      <c r="AT431" s="118"/>
      <c r="AU431" s="118"/>
      <c r="AV431" s="118"/>
    </row>
    <row r="432" spans="1:48" s="20" customFormat="1" x14ac:dyDescent="0.25">
      <c r="A432" s="17">
        <f>IFERROR(VLOOKUP(D432,'Monthly Deduction'!$I$3:$J$957,2,0),0)</f>
        <v>6619.7644947589433</v>
      </c>
      <c r="B432" s="17">
        <f>IFERROR(VLOOKUP(D432,'Monthly Deduction'!$E$3:$F$957,2,0),0)</f>
        <v>13022.026456633601</v>
      </c>
      <c r="C432" s="17">
        <f t="shared" si="115"/>
        <v>19641.790951392544</v>
      </c>
      <c r="D432" s="41">
        <v>10140022</v>
      </c>
      <c r="E432" s="122" t="str">
        <f>VLOOKUP(D432,'MPG Payment '!$E$3:$G$497305,2,0)</f>
        <v>HEMDAPUR</v>
      </c>
      <c r="F432" s="146">
        <f>IFERROR(_xlfn.XLOOKUP(D432,'Monthly Deduction'!$I$3:$I$957,'Monthly Deduction'!$H$3:$H$957),0)</f>
        <v>0</v>
      </c>
      <c r="G432" s="123" t="str">
        <f>VLOOKUP(D432,'MPG Payment '!$E$3:$G$333666,3,0)</f>
        <v>MPG</v>
      </c>
      <c r="H432" s="124" t="str">
        <f>VLOOKUP(D432,'MPG Payment '!$E$3:$H$333666,4,0)</f>
        <v>Direct</v>
      </c>
      <c r="I432" s="88">
        <f>INDEX('MPG Payment '!$C:$C,MATCH('Shayak Income '!D432,'MPG Payment '!E:E,0))</f>
        <v>1014</v>
      </c>
      <c r="J432" s="88" t="str">
        <f>INDEX('MPG Payment '!$D:$D,MATCH('Shayak Income '!D432,'MPG Payment '!E:E,0))</f>
        <v>Dumraon</v>
      </c>
      <c r="K432" s="125" t="s">
        <v>1594</v>
      </c>
      <c r="L432" s="125">
        <v>44774</v>
      </c>
      <c r="M432" s="126">
        <f>SUMIF('MPG Payment '!$E$3:$E$344841,'Shayak Income '!D432,'MPG Payment '!$I$3:$I$344841)</f>
        <v>2094.3000000000002</v>
      </c>
      <c r="N432" s="126">
        <f>SUMIF('MPG Payment '!$E$3:$E$344841,'Shayak Income '!D432,'MPG Payment '!$J$3:$J$344841)</f>
        <v>79005.02</v>
      </c>
      <c r="O432" s="126">
        <f t="shared" si="116"/>
        <v>1570.7250000000001</v>
      </c>
      <c r="P432" s="126">
        <f t="shared" si="117"/>
        <v>1989.585</v>
      </c>
      <c r="Q432" s="126">
        <f>SUMIF('MPG Payment '!$E$3:$E$344841,'Shayak Income '!D432,'MPG Payment '!$S$3:$S$344841)</f>
        <v>0</v>
      </c>
      <c r="R432" s="126">
        <f t="shared" si="108"/>
        <v>2370.1505999999999</v>
      </c>
      <c r="S432" s="126">
        <f t="shared" si="109"/>
        <v>380.5655999999999</v>
      </c>
      <c r="T432" s="126">
        <f t="shared" si="118"/>
        <v>209.43000000000004</v>
      </c>
      <c r="U432" s="127">
        <f>((((((IF(K432="New",0,SUMIF('MPG Payment '!$E$3:$E$344841,'Shayak Income '!D432,'MPG Payment '!$AC$3:$AC$344841))))+0)+0)+0)+0)+0</f>
        <v>533.79051595886574</v>
      </c>
      <c r="V432" s="127">
        <f t="shared" si="119"/>
        <v>2817</v>
      </c>
      <c r="W432" s="19">
        <f t="shared" si="123"/>
        <v>1861</v>
      </c>
      <c r="X432" s="19">
        <v>0</v>
      </c>
      <c r="Y432" s="128">
        <v>956</v>
      </c>
      <c r="Z432" s="128">
        <v>0</v>
      </c>
      <c r="AA432" s="126">
        <v>0</v>
      </c>
      <c r="AB432" s="129">
        <f t="shared" si="110"/>
        <v>0</v>
      </c>
      <c r="AC432" s="130">
        <v>0</v>
      </c>
      <c r="AD432" s="35">
        <f t="shared" si="120"/>
        <v>0</v>
      </c>
      <c r="AE432" s="166" t="str">
        <f t="shared" si="121"/>
        <v>Release</v>
      </c>
      <c r="AF432" s="127"/>
      <c r="AG432" s="127">
        <v>0</v>
      </c>
      <c r="AH432" s="132"/>
      <c r="AI432" s="238">
        <v>0</v>
      </c>
      <c r="AJ432" s="132"/>
      <c r="AK432" s="151">
        <v>442.5</v>
      </c>
      <c r="AL432" s="154">
        <f t="shared" si="111"/>
        <v>0</v>
      </c>
      <c r="AM432" s="155"/>
      <c r="AN432" s="19">
        <f t="shared" si="112"/>
        <v>1861</v>
      </c>
      <c r="AO432" s="118">
        <f>SUMIF('MPG Payment '!E:E,'Shayak Income '!D432,'MPG Payment '!AJ:AJ)</f>
        <v>0</v>
      </c>
      <c r="AP432" s="19">
        <f t="shared" si="113"/>
        <v>1861</v>
      </c>
      <c r="AQ432" s="119">
        <f t="shared" si="122"/>
        <v>1861</v>
      </c>
      <c r="AR432" s="91" t="s">
        <v>1144</v>
      </c>
      <c r="AS432" s="91">
        <f t="shared" si="114"/>
        <v>13022.026456633601</v>
      </c>
      <c r="AT432" s="118"/>
      <c r="AU432" s="118"/>
      <c r="AV432" s="118"/>
    </row>
    <row r="433" spans="1:48" s="20" customFormat="1" x14ac:dyDescent="0.25">
      <c r="A433" s="17">
        <f>IFERROR(VLOOKUP(D433,'Monthly Deduction'!$I$3:$J$957,2,0),0)</f>
        <v>11930.021566305746</v>
      </c>
      <c r="B433" s="17">
        <f>IFERROR(VLOOKUP(D433,'Monthly Deduction'!$E$3:$F$957,2,0),0)</f>
        <v>22400</v>
      </c>
      <c r="C433" s="17">
        <f t="shared" si="115"/>
        <v>34330.021566305746</v>
      </c>
      <c r="D433" s="41">
        <v>10140032</v>
      </c>
      <c r="E433" s="122" t="str">
        <f>VLOOKUP(D433,'MPG Payment '!$E$3:$G$497305,2,0)</f>
        <v>Chaugain</v>
      </c>
      <c r="F433" s="146">
        <f>IFERROR(_xlfn.XLOOKUP(D433,'Monthly Deduction'!$I$3:$I$957,'Monthly Deduction'!$H$3:$H$957),0)</f>
        <v>0</v>
      </c>
      <c r="G433" s="123" t="str">
        <f>VLOOKUP(D433,'MPG Payment '!$E$3:$G$333666,3,0)</f>
        <v>MPG</v>
      </c>
      <c r="H433" s="124" t="str">
        <f>VLOOKUP(D433,'MPG Payment '!$E$3:$H$333666,4,0)</f>
        <v>Direct</v>
      </c>
      <c r="I433" s="88">
        <f>INDEX('MPG Payment '!$C:$C,MATCH('Shayak Income '!D433,'MPG Payment '!E:E,0))</f>
        <v>1014</v>
      </c>
      <c r="J433" s="88" t="str">
        <f>INDEX('MPG Payment '!$D:$D,MATCH('Shayak Income '!D433,'MPG Payment '!E:E,0))</f>
        <v>Dumraon</v>
      </c>
      <c r="K433" s="125" t="s">
        <v>1594</v>
      </c>
      <c r="L433" s="125">
        <v>44923</v>
      </c>
      <c r="M433" s="126">
        <f>SUMIF('MPG Payment '!$E$3:$E$344841,'Shayak Income '!D433,'MPG Payment '!$I$3:$I$344841)</f>
        <v>1247</v>
      </c>
      <c r="N433" s="126">
        <f>SUMIF('MPG Payment '!$E$3:$E$344841,'Shayak Income '!D433,'MPG Payment '!$J$3:$J$344841)</f>
        <v>44456.69</v>
      </c>
      <c r="O433" s="126">
        <f t="shared" si="116"/>
        <v>935.25</v>
      </c>
      <c r="P433" s="126">
        <f t="shared" si="117"/>
        <v>1184.6499999999999</v>
      </c>
      <c r="Q433" s="126">
        <f>SUMIF('MPG Payment '!$E$3:$E$344841,'Shayak Income '!D433,'MPG Payment '!$S$3:$S$344841)</f>
        <v>0</v>
      </c>
      <c r="R433" s="126">
        <f t="shared" si="108"/>
        <v>1333.7007000000001</v>
      </c>
      <c r="S433" s="126">
        <f t="shared" si="109"/>
        <v>149.05070000000023</v>
      </c>
      <c r="T433" s="126">
        <f t="shared" si="118"/>
        <v>124.7</v>
      </c>
      <c r="U433" s="127">
        <f>((((((IF(K433="New",0,SUMIF('MPG Payment '!$E$3:$E$344841,'Shayak Income '!D433,'MPG Payment '!$AC$3:$AC$344841))))+0)+0)+0)+0)+0</f>
        <v>1078.4631287283073</v>
      </c>
      <c r="V433" s="127">
        <f t="shared" si="119"/>
        <v>917</v>
      </c>
      <c r="W433" s="19">
        <v>0</v>
      </c>
      <c r="X433" s="19">
        <f t="shared" si="124"/>
        <v>889.13380000000006</v>
      </c>
      <c r="Y433" s="128">
        <f>IFERROR(VLOOKUP(D433,'Monthly Deduction'!$M$2:$N$640,2,0),0)</f>
        <v>0</v>
      </c>
      <c r="Z433" s="128">
        <v>0</v>
      </c>
      <c r="AA433" s="126">
        <f>IFERROR(VLOOKUP(D433,'Monthly Deduction'!A:B,2,0),0)</f>
        <v>0</v>
      </c>
      <c r="AB433" s="129">
        <f t="shared" si="110"/>
        <v>28</v>
      </c>
      <c r="AC433" s="130">
        <v>0</v>
      </c>
      <c r="AD433" s="35">
        <f t="shared" si="120"/>
        <v>28</v>
      </c>
      <c r="AE433" s="166" t="str">
        <f t="shared" si="121"/>
        <v>Release</v>
      </c>
      <c r="AF433" s="127"/>
      <c r="AG433" s="18">
        <v>0</v>
      </c>
      <c r="AH433" s="132"/>
      <c r="AI433" s="238">
        <v>0</v>
      </c>
      <c r="AJ433" s="132"/>
      <c r="AK433" s="151">
        <v>55</v>
      </c>
      <c r="AL433" s="154">
        <f t="shared" si="111"/>
        <v>0</v>
      </c>
      <c r="AM433" s="155"/>
      <c r="AN433" s="19">
        <f t="shared" si="112"/>
        <v>1861</v>
      </c>
      <c r="AO433" s="118">
        <f>SUMIF('MPG Payment '!E:E,'Shayak Income '!D433,'MPG Payment '!AJ:AJ)</f>
        <v>2000</v>
      </c>
      <c r="AP433" s="19">
        <f t="shared" si="113"/>
        <v>0</v>
      </c>
      <c r="AQ433" s="119">
        <f t="shared" si="122"/>
        <v>2000</v>
      </c>
      <c r="AR433" s="91" t="s">
        <v>1144</v>
      </c>
      <c r="AS433" s="91">
        <f t="shared" si="114"/>
        <v>21510.8662</v>
      </c>
      <c r="AT433" s="118"/>
      <c r="AU433" s="118"/>
      <c r="AV433" s="118"/>
    </row>
    <row r="434" spans="1:48" s="20" customFormat="1" x14ac:dyDescent="0.25">
      <c r="A434" s="17">
        <f>IFERROR(VLOOKUP(D434,'Monthly Deduction'!$I$3:$J$957,2,0),0)</f>
        <v>23966.214297624058</v>
      </c>
      <c r="B434" s="17">
        <f>IFERROR(VLOOKUP(D434,'Monthly Deduction'!$E$3:$F$957,2,0),0)</f>
        <v>11222.663</v>
      </c>
      <c r="C434" s="17">
        <f t="shared" si="115"/>
        <v>35188.877297624058</v>
      </c>
      <c r="D434" s="41">
        <v>10140033</v>
      </c>
      <c r="E434" s="122" t="str">
        <f>VLOOKUP(D434,'MPG Payment '!$E$3:$G$497305,2,0)</f>
        <v>Akalupur</v>
      </c>
      <c r="F434" s="146">
        <f>IFERROR(_xlfn.XLOOKUP(D434,'Monthly Deduction'!$I$3:$I$957,'Monthly Deduction'!$H$3:$H$957),0)</f>
        <v>0</v>
      </c>
      <c r="G434" s="123" t="str">
        <f>VLOOKUP(D434,'MPG Payment '!$E$3:$G$333666,3,0)</f>
        <v>MPG</v>
      </c>
      <c r="H434" s="124" t="str">
        <f>VLOOKUP(D434,'MPG Payment '!$E$3:$H$333666,4,0)</f>
        <v>Direct</v>
      </c>
      <c r="I434" s="88">
        <f>INDEX('MPG Payment '!$C:$C,MATCH('Shayak Income '!D434,'MPG Payment '!E:E,0))</f>
        <v>1014</v>
      </c>
      <c r="J434" s="88" t="str">
        <f>INDEX('MPG Payment '!$D:$D,MATCH('Shayak Income '!D434,'MPG Payment '!E:E,0))</f>
        <v>Dumraon</v>
      </c>
      <c r="K434" s="125" t="s">
        <v>1594</v>
      </c>
      <c r="L434" s="125">
        <v>44923</v>
      </c>
      <c r="M434" s="126">
        <f>SUMIF('MPG Payment '!$E$3:$E$344841,'Shayak Income '!D434,'MPG Payment '!$I$3:$I$344841)</f>
        <v>204.60000000000002</v>
      </c>
      <c r="N434" s="126">
        <f>SUMIF('MPG Payment '!$E$3:$E$344841,'Shayak Income '!D434,'MPG Payment '!$J$3:$J$344841)</f>
        <v>7658.9300000000012</v>
      </c>
      <c r="O434" s="126">
        <f t="shared" si="116"/>
        <v>153.45000000000002</v>
      </c>
      <c r="P434" s="126">
        <f t="shared" si="117"/>
        <v>194.37</v>
      </c>
      <c r="Q434" s="126">
        <f>SUMIF('MPG Payment '!$E$3:$E$344841,'Shayak Income '!D434,'MPG Payment '!$S$3:$S$344841)</f>
        <v>0</v>
      </c>
      <c r="R434" s="126">
        <f t="shared" si="108"/>
        <v>229.76790000000003</v>
      </c>
      <c r="S434" s="126">
        <f t="shared" si="109"/>
        <v>35.397900000000021</v>
      </c>
      <c r="T434" s="126">
        <f t="shared" si="118"/>
        <v>20.460000000000004</v>
      </c>
      <c r="U434" s="127">
        <f>((((((IF(K434="New",0,SUMIF('MPG Payment '!$E$3:$E$344841,'Shayak Income '!D434,'MPG Payment '!$AC$3:$AC$344841))))+0)+0)+0)+0)+-1599</f>
        <v>327.72556454369351</v>
      </c>
      <c r="V434" s="127">
        <f t="shared" si="119"/>
        <v>0</v>
      </c>
      <c r="W434" s="19">
        <v>0</v>
      </c>
      <c r="X434" s="19">
        <v>0</v>
      </c>
      <c r="Y434" s="128">
        <v>0</v>
      </c>
      <c r="Z434" s="128">
        <v>0</v>
      </c>
      <c r="AA434" s="126">
        <v>0</v>
      </c>
      <c r="AB434" s="129">
        <f t="shared" si="110"/>
        <v>0</v>
      </c>
      <c r="AC434" s="130">
        <v>0</v>
      </c>
      <c r="AD434" s="35">
        <f t="shared" si="120"/>
        <v>0</v>
      </c>
      <c r="AE434" s="166" t="str">
        <f t="shared" si="121"/>
        <v>Release</v>
      </c>
      <c r="AF434" s="127"/>
      <c r="AG434" s="18">
        <v>0</v>
      </c>
      <c r="AH434" s="120"/>
      <c r="AI434" s="238">
        <v>0</v>
      </c>
      <c r="AJ434" s="132"/>
      <c r="AK434" s="151">
        <v>31.4</v>
      </c>
      <c r="AL434" s="154">
        <f t="shared" si="111"/>
        <v>0</v>
      </c>
      <c r="AM434" s="155"/>
      <c r="AN434" s="19">
        <f t="shared" si="112"/>
        <v>1861</v>
      </c>
      <c r="AO434" s="118">
        <f>SUMIF('MPG Payment '!E:E,'Shayak Income '!D434,'MPG Payment '!AJ:AJ)</f>
        <v>0</v>
      </c>
      <c r="AP434" s="19">
        <f t="shared" si="113"/>
        <v>0</v>
      </c>
      <c r="AQ434" s="119">
        <f t="shared" si="122"/>
        <v>0</v>
      </c>
      <c r="AR434" s="91"/>
      <c r="AS434" s="91">
        <f t="shared" si="114"/>
        <v>11222.663</v>
      </c>
      <c r="AT434" s="118"/>
      <c r="AU434" s="118"/>
      <c r="AV434" s="118"/>
    </row>
    <row r="435" spans="1:48" s="20" customFormat="1" x14ac:dyDescent="0.25">
      <c r="A435" s="17">
        <f>IFERROR(VLOOKUP(D435,'Monthly Deduction'!$I$3:$J$957,2,0),0)</f>
        <v>17884.029808731255</v>
      </c>
      <c r="B435" s="17">
        <f>IFERROR(VLOOKUP(D435,'Monthly Deduction'!$E$3:$F$957,2,0),0)</f>
        <v>12800</v>
      </c>
      <c r="C435" s="17">
        <f t="shared" si="115"/>
        <v>30684.029808731255</v>
      </c>
      <c r="D435" s="41">
        <v>10140034</v>
      </c>
      <c r="E435" s="122" t="str">
        <f>VLOOKUP(D435,'MPG Payment '!$E$3:$G$497305,2,0)</f>
        <v>Chhotka Sihanpura</v>
      </c>
      <c r="F435" s="146">
        <f>IFERROR(_xlfn.XLOOKUP(D435,'Monthly Deduction'!$I$3:$I$957,'Monthly Deduction'!$H$3:$H$957),0)</f>
        <v>0</v>
      </c>
      <c r="G435" s="123" t="str">
        <f>VLOOKUP(D435,'MPG Payment '!$E$3:$G$333666,3,0)</f>
        <v>MPG</v>
      </c>
      <c r="H435" s="124" t="str">
        <f>VLOOKUP(D435,'MPG Payment '!$E$3:$H$333666,4,0)</f>
        <v>Direct</v>
      </c>
      <c r="I435" s="88">
        <f>INDEX('MPG Payment '!$C:$C,MATCH('Shayak Income '!D435,'MPG Payment '!E:E,0))</f>
        <v>1014</v>
      </c>
      <c r="J435" s="88" t="str">
        <f>INDEX('MPG Payment '!$D:$D,MATCH('Shayak Income '!D435,'MPG Payment '!E:E,0))</f>
        <v>Dumraon</v>
      </c>
      <c r="K435" s="125" t="s">
        <v>1594</v>
      </c>
      <c r="L435" s="125">
        <v>44928</v>
      </c>
      <c r="M435" s="126">
        <f>SUMIF('MPG Payment '!$E$3:$E$344841,'Shayak Income '!D435,'MPG Payment '!$I$3:$I$344841)</f>
        <v>1543.8</v>
      </c>
      <c r="N435" s="126">
        <f>SUMIF('MPG Payment '!$E$3:$E$344841,'Shayak Income '!D435,'MPG Payment '!$J$3:$J$344841)</f>
        <v>56949.54</v>
      </c>
      <c r="O435" s="126">
        <f t="shared" si="116"/>
        <v>1157.8499999999999</v>
      </c>
      <c r="P435" s="126">
        <f t="shared" si="117"/>
        <v>1466.61</v>
      </c>
      <c r="Q435" s="126">
        <f>SUMIF('MPG Payment '!$E$3:$E$344841,'Shayak Income '!D435,'MPG Payment '!$S$3:$S$344841)</f>
        <v>632.79999999999995</v>
      </c>
      <c r="R435" s="126">
        <f t="shared" si="108"/>
        <v>1708.4862000000001</v>
      </c>
      <c r="S435" s="126">
        <f t="shared" si="109"/>
        <v>241.87620000000015</v>
      </c>
      <c r="T435" s="126">
        <f t="shared" si="118"/>
        <v>154.38</v>
      </c>
      <c r="U435" s="127">
        <f>((((((IF(K435="New",0,SUMIF('MPG Payment '!$E$3:$E$344841,'Shayak Income '!D435,'MPG Payment '!$AC$3:$AC$344841))))+0)+0)+0)+0)+0</f>
        <v>927.2179562104609</v>
      </c>
      <c r="V435" s="127">
        <f t="shared" si="119"/>
        <v>2176</v>
      </c>
      <c r="W435" s="19">
        <f t="shared" si="123"/>
        <v>1861</v>
      </c>
      <c r="X435" s="19">
        <v>0</v>
      </c>
      <c r="Y435" s="128">
        <f>IFERROR(VLOOKUP(D435,'Monthly Deduction'!$M$2:$N$640,2,0),0)</f>
        <v>0</v>
      </c>
      <c r="Z435" s="128">
        <v>0</v>
      </c>
      <c r="AA435" s="126">
        <f>IFERROR(VLOOKUP(D435,'Monthly Deduction'!A:B,2,0),0)</f>
        <v>0</v>
      </c>
      <c r="AB435" s="129">
        <f t="shared" si="110"/>
        <v>315</v>
      </c>
      <c r="AC435" s="130">
        <v>0</v>
      </c>
      <c r="AD435" s="35">
        <f t="shared" si="120"/>
        <v>315</v>
      </c>
      <c r="AE435" s="166" t="str">
        <f t="shared" si="121"/>
        <v>Release</v>
      </c>
      <c r="AF435" s="127"/>
      <c r="AG435" s="18">
        <v>0</v>
      </c>
      <c r="AH435" s="120"/>
      <c r="AI435" s="238">
        <v>0</v>
      </c>
      <c r="AJ435" s="132"/>
      <c r="AK435" s="151">
        <v>515.20000000000005</v>
      </c>
      <c r="AL435" s="154">
        <f t="shared" si="111"/>
        <v>0</v>
      </c>
      <c r="AM435" s="155"/>
      <c r="AN435" s="19">
        <f t="shared" si="112"/>
        <v>1861</v>
      </c>
      <c r="AO435" s="118">
        <f>SUMIF('MPG Payment '!E:E,'Shayak Income '!D435,'MPG Payment '!AJ:AJ)</f>
        <v>0</v>
      </c>
      <c r="AP435" s="19">
        <f t="shared" si="113"/>
        <v>1861</v>
      </c>
      <c r="AQ435" s="119">
        <f t="shared" si="122"/>
        <v>1861</v>
      </c>
      <c r="AR435" s="91"/>
      <c r="AS435" s="91">
        <f t="shared" si="114"/>
        <v>12800</v>
      </c>
      <c r="AT435" s="118"/>
      <c r="AU435" s="118"/>
      <c r="AV435" s="118"/>
    </row>
    <row r="436" spans="1:48" s="20" customFormat="1" x14ac:dyDescent="0.25">
      <c r="A436" s="17">
        <f>IFERROR(VLOOKUP(D436,'Monthly Deduction'!$I$3:$J$957,2,0),0)</f>
        <v>0</v>
      </c>
      <c r="B436" s="17">
        <f>IFERROR(VLOOKUP(D436,'Monthly Deduction'!$E$3:$F$957,2,0),0)</f>
        <v>0</v>
      </c>
      <c r="C436" s="17">
        <f t="shared" si="115"/>
        <v>0</v>
      </c>
      <c r="D436" s="41">
        <v>10140039</v>
      </c>
      <c r="E436" s="122" t="str">
        <f>VLOOKUP(D436,'MPG Payment '!$E$3:$G$497305,2,0)</f>
        <v>Dharauli</v>
      </c>
      <c r="F436" s="146">
        <f>IFERROR(_xlfn.XLOOKUP(D436,'Monthly Deduction'!$I$3:$I$957,'Monthly Deduction'!$H$3:$H$957),0)</f>
        <v>0</v>
      </c>
      <c r="G436" s="123" t="str">
        <f>VLOOKUP(D436,'MPG Payment '!$E$3:$G$333666,3,0)</f>
        <v>MPG</v>
      </c>
      <c r="H436" s="124" t="str">
        <f>VLOOKUP(D436,'MPG Payment '!$E$3:$H$333666,4,0)</f>
        <v>Direct</v>
      </c>
      <c r="I436" s="88">
        <f>INDEX('MPG Payment '!$C:$C,MATCH('Shayak Income '!D436,'MPG Payment '!E:E,0))</f>
        <v>1014</v>
      </c>
      <c r="J436" s="88" t="str">
        <f>INDEX('MPG Payment '!$D:$D,MATCH('Shayak Income '!D436,'MPG Payment '!E:E,0))</f>
        <v>Dumraon</v>
      </c>
      <c r="K436" s="125" t="s">
        <v>1594</v>
      </c>
      <c r="L436" s="125">
        <v>44974</v>
      </c>
      <c r="M436" s="126">
        <f>SUMIF('MPG Payment '!$E$3:$E$344841,'Shayak Income '!D436,'MPG Payment '!$I$3:$I$344841)</f>
        <v>966.2</v>
      </c>
      <c r="N436" s="126">
        <f>SUMIF('MPG Payment '!$E$3:$E$344841,'Shayak Income '!D436,'MPG Payment '!$J$3:$J$344841)</f>
        <v>38154.300000000003</v>
      </c>
      <c r="O436" s="126">
        <f t="shared" si="116"/>
        <v>724.65000000000009</v>
      </c>
      <c r="P436" s="126">
        <f t="shared" si="117"/>
        <v>917.89</v>
      </c>
      <c r="Q436" s="126">
        <f>SUMIF('MPG Payment '!$E$3:$E$344841,'Shayak Income '!D436,'MPG Payment '!$S$3:$S$344841)</f>
        <v>635.05000000000007</v>
      </c>
      <c r="R436" s="126">
        <f t="shared" si="108"/>
        <v>1144.6290000000001</v>
      </c>
      <c r="S436" s="126">
        <f t="shared" si="109"/>
        <v>226.73900000000015</v>
      </c>
      <c r="T436" s="126">
        <f t="shared" si="118"/>
        <v>96.62</v>
      </c>
      <c r="U436" s="127">
        <f>((((((IF(K436="New",0,SUMIF('MPG Payment '!$E$3:$E$344841,'Shayak Income '!D436,'MPG Payment '!$AC$3:$AC$344841))))+0)+0)+0)+0)+0</f>
        <v>1447.5949498997488</v>
      </c>
      <c r="V436" s="127">
        <f t="shared" si="119"/>
        <v>733</v>
      </c>
      <c r="W436" s="19">
        <f t="shared" si="123"/>
        <v>0</v>
      </c>
      <c r="X436" s="19">
        <f t="shared" si="124"/>
        <v>0</v>
      </c>
      <c r="Y436" s="128">
        <f>IFERROR(VLOOKUP(D436,'Monthly Deduction'!$M$2:$N$640,2,0),0)</f>
        <v>0</v>
      </c>
      <c r="Z436" s="128">
        <v>0</v>
      </c>
      <c r="AA436" s="126">
        <f>IFERROR(VLOOKUP(D436,'Monthly Deduction'!A:B,2,0),0)</f>
        <v>0</v>
      </c>
      <c r="AB436" s="129">
        <f t="shared" si="110"/>
        <v>733</v>
      </c>
      <c r="AC436" s="130">
        <v>0</v>
      </c>
      <c r="AD436" s="35">
        <f t="shared" si="120"/>
        <v>733</v>
      </c>
      <c r="AE436" s="166" t="str">
        <f t="shared" si="121"/>
        <v>Release</v>
      </c>
      <c r="AF436" s="127"/>
      <c r="AG436" s="18">
        <v>0</v>
      </c>
      <c r="AH436" s="120"/>
      <c r="AI436" s="238">
        <v>0</v>
      </c>
      <c r="AJ436" s="132"/>
      <c r="AK436" s="151">
        <v>169</v>
      </c>
      <c r="AL436" s="154">
        <f t="shared" si="111"/>
        <v>0</v>
      </c>
      <c r="AM436" s="155"/>
      <c r="AN436" s="19">
        <f t="shared" si="112"/>
        <v>0</v>
      </c>
      <c r="AO436" s="118">
        <f>SUMIF('MPG Payment '!E:E,'Shayak Income '!D436,'MPG Payment '!AJ:AJ)</f>
        <v>0</v>
      </c>
      <c r="AP436" s="19">
        <f t="shared" si="113"/>
        <v>0</v>
      </c>
      <c r="AQ436" s="119">
        <f t="shared" si="122"/>
        <v>0</v>
      </c>
      <c r="AR436" s="91" t="s">
        <v>1144</v>
      </c>
      <c r="AS436" s="91">
        <f t="shared" si="114"/>
        <v>0</v>
      </c>
      <c r="AT436" s="118"/>
      <c r="AU436" s="118"/>
      <c r="AV436" s="118"/>
    </row>
    <row r="437" spans="1:48" s="20" customFormat="1" x14ac:dyDescent="0.25">
      <c r="A437" s="17">
        <f>IFERROR(VLOOKUP(D437,'Monthly Deduction'!$I$3:$J$957,2,0),0)</f>
        <v>8191.9453298808803</v>
      </c>
      <c r="B437" s="17">
        <f>IFERROR(VLOOKUP(D437,'Monthly Deduction'!$E$3:$F$957,2,0),0)</f>
        <v>22400</v>
      </c>
      <c r="C437" s="17">
        <f t="shared" si="115"/>
        <v>30591.94532988088</v>
      </c>
      <c r="D437" s="41">
        <v>10140043</v>
      </c>
      <c r="E437" s="122" t="str">
        <f>VLOOKUP(D437,'MPG Payment '!$E$3:$G$497305,2,0)</f>
        <v>Kaithi</v>
      </c>
      <c r="F437" s="146">
        <f>IFERROR(_xlfn.XLOOKUP(D437,'Monthly Deduction'!$I$3:$I$957,'Monthly Deduction'!$H$3:$H$957),0)</f>
        <v>0</v>
      </c>
      <c r="G437" s="123" t="str">
        <f>VLOOKUP(D437,'MPG Payment '!$E$3:$G$333666,3,0)</f>
        <v>MPG</v>
      </c>
      <c r="H437" s="124" t="str">
        <f>VLOOKUP(D437,'MPG Payment '!$E$3:$H$333666,4,0)</f>
        <v>Direct</v>
      </c>
      <c r="I437" s="88">
        <f>INDEX('MPG Payment '!$C:$C,MATCH('Shayak Income '!D437,'MPG Payment '!E:E,0))</f>
        <v>1014</v>
      </c>
      <c r="J437" s="88" t="str">
        <f>INDEX('MPG Payment '!$D:$D,MATCH('Shayak Income '!D437,'MPG Payment '!E:E,0))</f>
        <v>Dumraon</v>
      </c>
      <c r="K437" s="125" t="s">
        <v>1594</v>
      </c>
      <c r="L437" s="125">
        <v>44984</v>
      </c>
      <c r="M437" s="126">
        <f>SUMIF('MPG Payment '!$E$3:$E$344841,'Shayak Income '!D437,'MPG Payment '!$I$3:$I$344841)</f>
        <v>844</v>
      </c>
      <c r="N437" s="126">
        <f>SUMIF('MPG Payment '!$E$3:$E$344841,'Shayak Income '!D437,'MPG Payment '!$J$3:$J$344841)</f>
        <v>34318.720000000001</v>
      </c>
      <c r="O437" s="126">
        <f t="shared" si="116"/>
        <v>633</v>
      </c>
      <c r="P437" s="126">
        <f t="shared" si="117"/>
        <v>801.8</v>
      </c>
      <c r="Q437" s="126">
        <f>SUMIF('MPG Payment '!$E$3:$E$344841,'Shayak Income '!D437,'MPG Payment '!$S$3:$S$344841)</f>
        <v>0</v>
      </c>
      <c r="R437" s="126">
        <f t="shared" si="108"/>
        <v>1029.5616</v>
      </c>
      <c r="S437" s="126">
        <f t="shared" si="109"/>
        <v>227.76160000000004</v>
      </c>
      <c r="T437" s="126">
        <f t="shared" si="118"/>
        <v>84.4</v>
      </c>
      <c r="U437" s="127">
        <f>((((((IF(K437="New",0,SUMIF('MPG Payment '!$E$3:$E$344841,'Shayak Income '!D437,'MPG Payment '!$AC$3:$AC$344841))))+0)+0)+0)+0)+-226</f>
        <v>1349.9006825556689</v>
      </c>
      <c r="V437" s="127">
        <f t="shared" si="119"/>
        <v>0</v>
      </c>
      <c r="W437" s="19">
        <v>0</v>
      </c>
      <c r="X437" s="19">
        <v>0</v>
      </c>
      <c r="Y437" s="128">
        <v>0</v>
      </c>
      <c r="Z437" s="128">
        <v>0</v>
      </c>
      <c r="AA437" s="126">
        <v>0</v>
      </c>
      <c r="AB437" s="129">
        <f t="shared" si="110"/>
        <v>0</v>
      </c>
      <c r="AC437" s="130">
        <v>0</v>
      </c>
      <c r="AD437" s="35">
        <f t="shared" si="120"/>
        <v>0</v>
      </c>
      <c r="AE437" s="166" t="str">
        <f t="shared" si="121"/>
        <v>Release</v>
      </c>
      <c r="AF437" s="127"/>
      <c r="AG437" s="18">
        <v>0</v>
      </c>
      <c r="AH437" s="132"/>
      <c r="AI437" s="238">
        <v>0</v>
      </c>
      <c r="AJ437" s="132"/>
      <c r="AK437" s="151">
        <v>120</v>
      </c>
      <c r="AL437" s="154">
        <f t="shared" si="111"/>
        <v>0</v>
      </c>
      <c r="AM437" s="155"/>
      <c r="AN437" s="19">
        <f t="shared" si="112"/>
        <v>1861</v>
      </c>
      <c r="AO437" s="118">
        <f>SUMIF('MPG Payment '!E:E,'Shayak Income '!D437,'MPG Payment '!AJ:AJ)</f>
        <v>2000</v>
      </c>
      <c r="AP437" s="19">
        <f t="shared" si="113"/>
        <v>0</v>
      </c>
      <c r="AQ437" s="119">
        <f t="shared" si="122"/>
        <v>2000</v>
      </c>
      <c r="AR437" s="91" t="s">
        <v>1144</v>
      </c>
      <c r="AS437" s="91">
        <f t="shared" si="114"/>
        <v>22400</v>
      </c>
      <c r="AT437" s="118"/>
      <c r="AU437" s="118"/>
      <c r="AV437" s="118"/>
    </row>
    <row r="438" spans="1:48" s="20" customFormat="1" x14ac:dyDescent="0.25">
      <c r="A438" s="17">
        <f>IFERROR(VLOOKUP(D438,'Monthly Deduction'!$I$3:$J$957,2,0),0)</f>
        <v>0</v>
      </c>
      <c r="B438" s="17">
        <f>IFERROR(VLOOKUP(D438,'Monthly Deduction'!$E$3:$F$957,2,0),0)</f>
        <v>8262.2341514371255</v>
      </c>
      <c r="C438" s="17">
        <f t="shared" si="115"/>
        <v>8262.2341514371255</v>
      </c>
      <c r="D438" s="41">
        <v>10140045</v>
      </c>
      <c r="E438" s="122" t="str">
        <f>VLOOKUP(D438,'MPG Payment '!$E$3:$G$497305,2,0)</f>
        <v>Rangi Dera</v>
      </c>
      <c r="F438" s="146">
        <f>IFERROR(_xlfn.XLOOKUP(D438,'Monthly Deduction'!$I$3:$I$957,'Monthly Deduction'!$H$3:$H$957),0)</f>
        <v>0</v>
      </c>
      <c r="G438" s="123" t="str">
        <f>VLOOKUP(D438,'MPG Payment '!$E$3:$G$333666,3,0)</f>
        <v>MPG</v>
      </c>
      <c r="H438" s="124" t="str">
        <f>VLOOKUP(D438,'MPG Payment '!$E$3:$H$333666,4,0)</f>
        <v>Direct</v>
      </c>
      <c r="I438" s="88">
        <f>INDEX('MPG Payment '!$C:$C,MATCH('Shayak Income '!D438,'MPG Payment '!E:E,0))</f>
        <v>1014</v>
      </c>
      <c r="J438" s="88" t="str">
        <f>INDEX('MPG Payment '!$D:$D,MATCH('Shayak Income '!D438,'MPG Payment '!E:E,0))</f>
        <v>Dumraon</v>
      </c>
      <c r="K438" s="125" t="s">
        <v>1594</v>
      </c>
      <c r="L438" s="125">
        <v>44995</v>
      </c>
      <c r="M438" s="126">
        <f>SUMIF('MPG Payment '!$E$3:$E$344841,'Shayak Income '!D438,'MPG Payment '!$I$3:$I$344841)</f>
        <v>595.6</v>
      </c>
      <c r="N438" s="126">
        <f>SUMIF('MPG Payment '!$E$3:$E$344841,'Shayak Income '!D438,'MPG Payment '!$J$3:$J$344841)</f>
        <v>23770.36</v>
      </c>
      <c r="O438" s="126">
        <f t="shared" si="116"/>
        <v>446.70000000000005</v>
      </c>
      <c r="P438" s="126">
        <f t="shared" si="117"/>
        <v>565.82000000000005</v>
      </c>
      <c r="Q438" s="126">
        <f>SUMIF('MPG Payment '!$E$3:$E$344841,'Shayak Income '!D438,'MPG Payment '!$S$3:$S$344841)</f>
        <v>0</v>
      </c>
      <c r="R438" s="126">
        <f t="shared" si="108"/>
        <v>713.11080000000004</v>
      </c>
      <c r="S438" s="126">
        <f t="shared" si="109"/>
        <v>147.29079999999999</v>
      </c>
      <c r="T438" s="126">
        <f t="shared" si="118"/>
        <v>59.56</v>
      </c>
      <c r="U438" s="127">
        <f>((((((IF(K438="New",0,SUMIF('MPG Payment '!$E$3:$E$344841,'Shayak Income '!D438,'MPG Payment '!$AC$3:$AC$344841))))+0)+0)+0)+0)+-807</f>
        <v>952.57868316294434</v>
      </c>
      <c r="V438" s="127">
        <f t="shared" si="119"/>
        <v>0</v>
      </c>
      <c r="W438" s="19">
        <v>0</v>
      </c>
      <c r="X438" s="19">
        <v>0</v>
      </c>
      <c r="Y438" s="128">
        <v>0</v>
      </c>
      <c r="Z438" s="128">
        <v>0</v>
      </c>
      <c r="AA438" s="126">
        <v>0</v>
      </c>
      <c r="AB438" s="129">
        <f t="shared" si="110"/>
        <v>0</v>
      </c>
      <c r="AC438" s="130">
        <v>0</v>
      </c>
      <c r="AD438" s="35">
        <f t="shared" si="120"/>
        <v>0</v>
      </c>
      <c r="AE438" s="166" t="str">
        <f t="shared" si="121"/>
        <v>Release</v>
      </c>
      <c r="AF438" s="127"/>
      <c r="AG438" s="18">
        <v>0</v>
      </c>
      <c r="AH438" s="132"/>
      <c r="AI438" s="238">
        <v>0</v>
      </c>
      <c r="AJ438" s="132"/>
      <c r="AK438" s="151">
        <v>126.4</v>
      </c>
      <c r="AL438" s="154">
        <f t="shared" si="111"/>
        <v>0</v>
      </c>
      <c r="AM438" s="155"/>
      <c r="AN438" s="19">
        <f t="shared" si="112"/>
        <v>0</v>
      </c>
      <c r="AO438" s="118">
        <f>SUMIF('MPG Payment '!E:E,'Shayak Income '!D438,'MPG Payment '!AJ:AJ)</f>
        <v>0</v>
      </c>
      <c r="AP438" s="19">
        <f t="shared" si="113"/>
        <v>0</v>
      </c>
      <c r="AQ438" s="119">
        <f t="shared" si="122"/>
        <v>0</v>
      </c>
      <c r="AR438" s="91" t="s">
        <v>1144</v>
      </c>
      <c r="AS438" s="91">
        <f t="shared" si="114"/>
        <v>8262.2341514371255</v>
      </c>
      <c r="AT438" s="118"/>
      <c r="AU438" s="118"/>
      <c r="AV438" s="118"/>
    </row>
    <row r="439" spans="1:48" s="20" customFormat="1" x14ac:dyDescent="0.25">
      <c r="A439" s="17">
        <f>IFERROR(VLOOKUP(D439,'Monthly Deduction'!$I$3:$J$957,2,0),0)</f>
        <v>0</v>
      </c>
      <c r="B439" s="17">
        <f>IFERROR(VLOOKUP(D439,'Monthly Deduction'!$E$3:$F$957,2,0),0)</f>
        <v>25716.2213897123</v>
      </c>
      <c r="C439" s="17">
        <f t="shared" si="115"/>
        <v>25716.2213897123</v>
      </c>
      <c r="D439" s="41">
        <v>10140047</v>
      </c>
      <c r="E439" s="122" t="str">
        <f>VLOOKUP(D439,'MPG Payment '!$E$3:$G$497305,2,0)</f>
        <v>Dubki</v>
      </c>
      <c r="F439" s="146">
        <f>IFERROR(_xlfn.XLOOKUP(D439,'Monthly Deduction'!$I$3:$I$957,'Monthly Deduction'!$H$3:$H$957),0)</f>
        <v>0</v>
      </c>
      <c r="G439" s="123" t="str">
        <f>VLOOKUP(D439,'MPG Payment '!$E$3:$G$333666,3,0)</f>
        <v>MPG</v>
      </c>
      <c r="H439" s="124" t="str">
        <f>VLOOKUP(D439,'MPG Payment '!$E$3:$H$333666,4,0)</f>
        <v>Direct</v>
      </c>
      <c r="I439" s="88">
        <f>INDEX('MPG Payment '!$C:$C,MATCH('Shayak Income '!D439,'MPG Payment '!E:E,0))</f>
        <v>1014</v>
      </c>
      <c r="J439" s="88" t="str">
        <f>INDEX('MPG Payment '!$D:$D,MATCH('Shayak Income '!D439,'MPG Payment '!E:E,0))</f>
        <v>Dumraon</v>
      </c>
      <c r="K439" s="125" t="s">
        <v>1594</v>
      </c>
      <c r="L439" s="125">
        <v>44996</v>
      </c>
      <c r="M439" s="126">
        <f>SUMIF('MPG Payment '!$E$3:$E$344841,'Shayak Income '!D439,'MPG Payment '!$I$3:$I$344841)</f>
        <v>1989.4</v>
      </c>
      <c r="N439" s="126">
        <f>SUMIF('MPG Payment '!$E$3:$E$344841,'Shayak Income '!D439,'MPG Payment '!$J$3:$J$344841)</f>
        <v>96952.320000000007</v>
      </c>
      <c r="O439" s="126">
        <f t="shared" si="116"/>
        <v>1492.0500000000002</v>
      </c>
      <c r="P439" s="126">
        <f t="shared" si="117"/>
        <v>1889.93</v>
      </c>
      <c r="Q439" s="126">
        <f>SUMIF('MPG Payment '!$E$3:$E$344841,'Shayak Income '!D439,'MPG Payment '!$S$3:$S$344841)</f>
        <v>311.35000000000002</v>
      </c>
      <c r="R439" s="126">
        <f t="shared" si="108"/>
        <v>2908.5696000000003</v>
      </c>
      <c r="S439" s="126">
        <f t="shared" si="109"/>
        <v>1018.6396000000002</v>
      </c>
      <c r="T439" s="126">
        <f t="shared" si="118"/>
        <v>198.94000000000003</v>
      </c>
      <c r="U439" s="127">
        <f>((((((IF(K439="New",0,SUMIF('MPG Payment '!$E$3:$E$344841,'Shayak Income '!D439,'MPG Payment '!$AC$3:$AC$344841))))+0)+0)+0)+0)+0</f>
        <v>790.09670801163065</v>
      </c>
      <c r="V439" s="127">
        <f t="shared" si="119"/>
        <v>2704</v>
      </c>
      <c r="W439" s="19">
        <f t="shared" si="123"/>
        <v>0</v>
      </c>
      <c r="X439" s="19">
        <f t="shared" si="124"/>
        <v>1939.0464000000002</v>
      </c>
      <c r="Y439" s="128">
        <f>IFERROR(VLOOKUP(D439,'Monthly Deduction'!$M$2:$N$640,2,0),0)</f>
        <v>0</v>
      </c>
      <c r="Z439" s="128">
        <v>0</v>
      </c>
      <c r="AA439" s="126">
        <f>IFERROR(VLOOKUP(D439,'Monthly Deduction'!A:B,2,0),0)</f>
        <v>340.32</v>
      </c>
      <c r="AB439" s="129">
        <f t="shared" si="110"/>
        <v>425</v>
      </c>
      <c r="AC439" s="130">
        <v>0</v>
      </c>
      <c r="AD439" s="35">
        <f t="shared" si="120"/>
        <v>425</v>
      </c>
      <c r="AE439" s="166" t="str">
        <f t="shared" si="121"/>
        <v>Release</v>
      </c>
      <c r="AF439" s="127"/>
      <c r="AG439" s="127">
        <v>0</v>
      </c>
      <c r="AH439" s="120"/>
      <c r="AI439" s="238">
        <v>0</v>
      </c>
      <c r="AJ439" s="132"/>
      <c r="AK439" s="151">
        <v>293.10000000000002</v>
      </c>
      <c r="AL439" s="154">
        <f t="shared" si="111"/>
        <v>0</v>
      </c>
      <c r="AM439" s="155"/>
      <c r="AN439" s="19">
        <f t="shared" si="112"/>
        <v>0</v>
      </c>
      <c r="AO439" s="118">
        <f>SUMIF('MPG Payment '!E:E,'Shayak Income '!D439,'MPG Payment '!AJ:AJ)</f>
        <v>0</v>
      </c>
      <c r="AP439" s="19">
        <f t="shared" si="113"/>
        <v>0</v>
      </c>
      <c r="AQ439" s="119">
        <f t="shared" si="122"/>
        <v>0</v>
      </c>
      <c r="AR439" s="91" t="s">
        <v>1144</v>
      </c>
      <c r="AS439" s="91">
        <f t="shared" si="114"/>
        <v>23777.174989712301</v>
      </c>
      <c r="AT439" s="118"/>
      <c r="AU439" s="118"/>
      <c r="AV439" s="118"/>
    </row>
    <row r="440" spans="1:48" s="20" customFormat="1" x14ac:dyDescent="0.25">
      <c r="A440" s="17">
        <f>IFERROR(VLOOKUP(D440,'Monthly Deduction'!$I$3:$J$957,2,0),0)</f>
        <v>53531.069022970609</v>
      </c>
      <c r="B440" s="17">
        <f>IFERROR(VLOOKUP(D440,'Monthly Deduction'!$E$3:$F$957,2,0),0)</f>
        <v>0</v>
      </c>
      <c r="C440" s="17">
        <f t="shared" si="115"/>
        <v>53531.069022970609</v>
      </c>
      <c r="D440" s="41">
        <v>10140048</v>
      </c>
      <c r="E440" s="122" t="str">
        <f>VLOOKUP(D440,'MPG Payment '!$E$3:$G$497305,2,0)</f>
        <v>Sonvarsa</v>
      </c>
      <c r="F440" s="146">
        <f>IFERROR(_xlfn.XLOOKUP(D440,'Monthly Deduction'!$I$3:$I$957,'Monthly Deduction'!$H$3:$H$957),0)</f>
        <v>0</v>
      </c>
      <c r="G440" s="123" t="str">
        <f>VLOOKUP(D440,'MPG Payment '!$E$3:$G$333666,3,0)</f>
        <v>MPG</v>
      </c>
      <c r="H440" s="124" t="str">
        <f>VLOOKUP(D440,'MPG Payment '!$E$3:$H$333666,4,0)</f>
        <v>Direct</v>
      </c>
      <c r="I440" s="88">
        <f>INDEX('MPG Payment '!$C:$C,MATCH('Shayak Income '!D440,'MPG Payment '!E:E,0))</f>
        <v>1014</v>
      </c>
      <c r="J440" s="88" t="str">
        <f>INDEX('MPG Payment '!$D:$D,MATCH('Shayak Income '!D440,'MPG Payment '!E:E,0))</f>
        <v>Dumraon</v>
      </c>
      <c r="K440" s="125" t="s">
        <v>1594</v>
      </c>
      <c r="L440" s="125">
        <v>44998</v>
      </c>
      <c r="M440" s="126">
        <f>SUMIF('MPG Payment '!$E$3:$E$344841,'Shayak Income '!D440,'MPG Payment '!$I$3:$I$344841)</f>
        <v>1164.2</v>
      </c>
      <c r="N440" s="126">
        <f>SUMIF('MPG Payment '!$E$3:$E$344841,'Shayak Income '!D440,'MPG Payment '!$J$3:$J$344841)</f>
        <v>46592.83</v>
      </c>
      <c r="O440" s="126">
        <f t="shared" si="116"/>
        <v>873.15000000000009</v>
      </c>
      <c r="P440" s="126">
        <f t="shared" si="117"/>
        <v>1105.99</v>
      </c>
      <c r="Q440" s="126">
        <f>SUMIF('MPG Payment '!$E$3:$E$344841,'Shayak Income '!D440,'MPG Payment '!$S$3:$S$344841)</f>
        <v>0</v>
      </c>
      <c r="R440" s="126">
        <f t="shared" si="108"/>
        <v>1397.7849000000001</v>
      </c>
      <c r="S440" s="126">
        <f t="shared" si="109"/>
        <v>291.7949000000001</v>
      </c>
      <c r="T440" s="126">
        <f t="shared" si="118"/>
        <v>116.42000000000002</v>
      </c>
      <c r="U440" s="127">
        <f>((((((IF(K440="New",0,SUMIF('MPG Payment '!$E$3:$E$344841,'Shayak Income '!D440,'MPG Payment '!$AC$3:$AC$344841))))+0)+0)+0)+0)+0</f>
        <v>1308.4157409673048</v>
      </c>
      <c r="V440" s="127">
        <f t="shared" si="119"/>
        <v>554</v>
      </c>
      <c r="W440" s="19">
        <v>554</v>
      </c>
      <c r="X440" s="19">
        <v>0</v>
      </c>
      <c r="Y440" s="128">
        <f>IFERROR(VLOOKUP(D440,'Monthly Deduction'!$M$2:$N$640,2,0),0)</f>
        <v>0</v>
      </c>
      <c r="Z440" s="128">
        <v>0</v>
      </c>
      <c r="AA440" s="126">
        <v>0</v>
      </c>
      <c r="AB440" s="129">
        <f t="shared" si="110"/>
        <v>0</v>
      </c>
      <c r="AC440" s="130">
        <v>0</v>
      </c>
      <c r="AD440" s="35">
        <f t="shared" si="120"/>
        <v>0</v>
      </c>
      <c r="AE440" s="166" t="str">
        <f t="shared" si="121"/>
        <v>Release</v>
      </c>
      <c r="AF440" s="127"/>
      <c r="AG440" s="18">
        <v>0</v>
      </c>
      <c r="AH440" s="120"/>
      <c r="AI440" s="238">
        <v>0</v>
      </c>
      <c r="AJ440" s="132"/>
      <c r="AK440" s="151">
        <v>115.9</v>
      </c>
      <c r="AL440" s="154">
        <f t="shared" si="111"/>
        <v>0</v>
      </c>
      <c r="AM440" s="155"/>
      <c r="AN440" s="19">
        <f t="shared" si="112"/>
        <v>1861</v>
      </c>
      <c r="AO440" s="118">
        <f>SUMIF('MPG Payment '!E:E,'Shayak Income '!D440,'MPG Payment '!AJ:AJ)</f>
        <v>0</v>
      </c>
      <c r="AP440" s="19">
        <f t="shared" si="113"/>
        <v>554</v>
      </c>
      <c r="AQ440" s="119">
        <f t="shared" si="122"/>
        <v>554</v>
      </c>
      <c r="AR440" s="91" t="s">
        <v>1144</v>
      </c>
      <c r="AS440" s="91">
        <f t="shared" si="114"/>
        <v>0</v>
      </c>
      <c r="AT440" s="118"/>
      <c r="AU440" s="118"/>
      <c r="AV440" s="118"/>
    </row>
    <row r="441" spans="1:48" s="20" customFormat="1" x14ac:dyDescent="0.25">
      <c r="A441" s="17">
        <f>IFERROR(VLOOKUP(D441,'Monthly Deduction'!$I$3:$J$957,2,0),0)</f>
        <v>23587.961056414919</v>
      </c>
      <c r="B441" s="17">
        <f>IFERROR(VLOOKUP(D441,'Monthly Deduction'!$E$3:$F$957,2,0),0)</f>
        <v>12800</v>
      </c>
      <c r="C441" s="17">
        <f t="shared" si="115"/>
        <v>36387.961056414919</v>
      </c>
      <c r="D441" s="41">
        <v>10140054</v>
      </c>
      <c r="E441" s="122" t="str">
        <f>VLOOKUP(D441,'MPG Payment '!$E$3:$G$497305,2,0)</f>
        <v>Soan</v>
      </c>
      <c r="F441" s="146">
        <f>IFERROR(_xlfn.XLOOKUP(D441,'Monthly Deduction'!$I$3:$I$957,'Monthly Deduction'!$H$3:$H$957),0)</f>
        <v>0</v>
      </c>
      <c r="G441" s="123" t="str">
        <f>VLOOKUP(D441,'MPG Payment '!$E$3:$G$333666,3,0)</f>
        <v>MPG</v>
      </c>
      <c r="H441" s="124" t="str">
        <f>VLOOKUP(D441,'MPG Payment '!$E$3:$H$333666,4,0)</f>
        <v>Direct</v>
      </c>
      <c r="I441" s="88">
        <f>INDEX('MPG Payment '!$C:$C,MATCH('Shayak Income '!D441,'MPG Payment '!E:E,0))</f>
        <v>1014</v>
      </c>
      <c r="J441" s="88" t="str">
        <f>INDEX('MPG Payment '!$D:$D,MATCH('Shayak Income '!D441,'MPG Payment '!E:E,0))</f>
        <v>Dumraon</v>
      </c>
      <c r="K441" s="125" t="s">
        <v>1594</v>
      </c>
      <c r="L441" s="125">
        <v>45014</v>
      </c>
      <c r="M441" s="126">
        <f>SUMIF('MPG Payment '!$E$3:$E$344841,'Shayak Income '!D441,'MPG Payment '!$I$3:$I$344841)</f>
        <v>1034.3000000000002</v>
      </c>
      <c r="N441" s="126">
        <f>SUMIF('MPG Payment '!$E$3:$E$344841,'Shayak Income '!D441,'MPG Payment '!$J$3:$J$344841)</f>
        <v>46469.829999999994</v>
      </c>
      <c r="O441" s="126">
        <f t="shared" si="116"/>
        <v>775.72500000000014</v>
      </c>
      <c r="P441" s="126">
        <f t="shared" si="117"/>
        <v>982.58500000000015</v>
      </c>
      <c r="Q441" s="126">
        <f>SUMIF('MPG Payment '!$E$3:$E$344841,'Shayak Income '!D441,'MPG Payment '!$S$3:$S$344841)</f>
        <v>474.9</v>
      </c>
      <c r="R441" s="126">
        <f t="shared" si="108"/>
        <v>1394.0948999999998</v>
      </c>
      <c r="S441" s="126">
        <f t="shared" si="109"/>
        <v>411.50989999999967</v>
      </c>
      <c r="T441" s="126">
        <f t="shared" si="118"/>
        <v>103.43000000000002</v>
      </c>
      <c r="U441" s="127">
        <f>((((((IF(K441="New",0,SUMIF('MPG Payment '!$E$3:$E$344841,'Shayak Income '!D441,'MPG Payment '!$AC$3:$AC$344841))))+0)+0)+0)+0)+0</f>
        <v>1633.9957815985913</v>
      </c>
      <c r="V441" s="127">
        <f t="shared" si="119"/>
        <v>496</v>
      </c>
      <c r="W441" s="19">
        <v>496</v>
      </c>
      <c r="X441" s="19">
        <v>0</v>
      </c>
      <c r="Y441" s="128">
        <f>IFERROR(VLOOKUP(D441,'Monthly Deduction'!$M$2:$N$640,2,0),0)</f>
        <v>0</v>
      </c>
      <c r="Z441" s="128">
        <v>0</v>
      </c>
      <c r="AA441" s="126">
        <v>0</v>
      </c>
      <c r="AB441" s="129">
        <f t="shared" si="110"/>
        <v>0</v>
      </c>
      <c r="AC441" s="130">
        <v>0</v>
      </c>
      <c r="AD441" s="35">
        <f t="shared" si="120"/>
        <v>0</v>
      </c>
      <c r="AE441" s="166" t="str">
        <f t="shared" si="121"/>
        <v>Release</v>
      </c>
      <c r="AF441" s="127"/>
      <c r="AG441" s="18">
        <v>0</v>
      </c>
      <c r="AH441" s="132"/>
      <c r="AI441" s="238">
        <v>0</v>
      </c>
      <c r="AJ441" s="132"/>
      <c r="AK441" s="151">
        <v>126</v>
      </c>
      <c r="AL441" s="154">
        <f t="shared" si="111"/>
        <v>0</v>
      </c>
      <c r="AM441" s="155"/>
      <c r="AN441" s="19">
        <f t="shared" si="112"/>
        <v>1861</v>
      </c>
      <c r="AO441" s="118">
        <f>SUMIF('MPG Payment '!E:E,'Shayak Income '!D441,'MPG Payment '!AJ:AJ)</f>
        <v>0</v>
      </c>
      <c r="AP441" s="19">
        <f t="shared" si="113"/>
        <v>496</v>
      </c>
      <c r="AQ441" s="119">
        <f t="shared" si="122"/>
        <v>496</v>
      </c>
      <c r="AR441" s="91" t="s">
        <v>1144</v>
      </c>
      <c r="AS441" s="91">
        <f t="shared" si="114"/>
        <v>12800</v>
      </c>
      <c r="AT441" s="118"/>
      <c r="AU441" s="118"/>
      <c r="AV441" s="118"/>
    </row>
    <row r="442" spans="1:48" s="20" customFormat="1" x14ac:dyDescent="0.25">
      <c r="A442" s="17">
        <f>IFERROR(VLOOKUP(D442,'Monthly Deduction'!$I$3:$J$957,2,0),0)</f>
        <v>5267.0976870975574</v>
      </c>
      <c r="B442" s="17">
        <f>IFERROR(VLOOKUP(D442,'Monthly Deduction'!$E$3:$F$957,2,0),0)</f>
        <v>6400</v>
      </c>
      <c r="C442" s="17">
        <f t="shared" si="115"/>
        <v>11667.097687097557</v>
      </c>
      <c r="D442" s="41">
        <v>10140055</v>
      </c>
      <c r="E442" s="122" t="str">
        <f>VLOOKUP(D442,'MPG Payment '!$E$3:$G$497305,2,0)</f>
        <v xml:space="preserve">PURANA BHOJPUR                                                                                      </v>
      </c>
      <c r="F442" s="146">
        <f>IFERROR(_xlfn.XLOOKUP(D442,'Monthly Deduction'!$I$3:$I$957,'Monthly Deduction'!$H$3:$H$957),0)</f>
        <v>0</v>
      </c>
      <c r="G442" s="123" t="str">
        <f>VLOOKUP(D442,'MPG Payment '!$E$3:$G$333666,3,0)</f>
        <v>MPG</v>
      </c>
      <c r="H442" s="124" t="str">
        <f>VLOOKUP(D442,'MPG Payment '!$E$3:$H$333666,4,0)</f>
        <v>Direct</v>
      </c>
      <c r="I442" s="88">
        <f>INDEX('MPG Payment '!$C:$C,MATCH('Shayak Income '!D442,'MPG Payment '!E:E,0))</f>
        <v>1014</v>
      </c>
      <c r="J442" s="88" t="str">
        <f>INDEX('MPG Payment '!$D:$D,MATCH('Shayak Income '!D442,'MPG Payment '!E:E,0))</f>
        <v>Dumraon</v>
      </c>
      <c r="K442" s="125" t="s">
        <v>1594</v>
      </c>
      <c r="L442" s="125">
        <v>45076</v>
      </c>
      <c r="M442" s="126">
        <f>SUMIF('MPG Payment '!$E$3:$E$344841,'Shayak Income '!D442,'MPG Payment '!$I$3:$I$344841)</f>
        <v>999</v>
      </c>
      <c r="N442" s="126">
        <f>SUMIF('MPG Payment '!$E$3:$E$344841,'Shayak Income '!D442,'MPG Payment '!$J$3:$J$344841)</f>
        <v>38459.71</v>
      </c>
      <c r="O442" s="126">
        <f t="shared" si="116"/>
        <v>749.25</v>
      </c>
      <c r="P442" s="126">
        <f t="shared" si="117"/>
        <v>949.05</v>
      </c>
      <c r="Q442" s="126">
        <f>SUMIF('MPG Payment '!$E$3:$E$344841,'Shayak Income '!D442,'MPG Payment '!$S$3:$S$344841)</f>
        <v>0</v>
      </c>
      <c r="R442" s="126">
        <f t="shared" si="108"/>
        <v>1153.7912999999999</v>
      </c>
      <c r="S442" s="126">
        <f t="shared" si="109"/>
        <v>204.74129999999991</v>
      </c>
      <c r="T442" s="126">
        <f t="shared" si="118"/>
        <v>99.9</v>
      </c>
      <c r="U442" s="127">
        <f>((((((IF(K442="New",0,SUMIF('MPG Payment '!$E$3:$E$344841,'Shayak Income '!D442,'MPG Payment '!$AC$3:$AC$344841))))+0)+0)+0)+0)+0</f>
        <v>1388.1856688115683</v>
      </c>
      <c r="V442" s="127">
        <f t="shared" si="119"/>
        <v>210</v>
      </c>
      <c r="W442" s="19">
        <v>210</v>
      </c>
      <c r="X442" s="19">
        <v>0</v>
      </c>
      <c r="Y442" s="128">
        <f>IFERROR(VLOOKUP(D442,'Monthly Deduction'!$M$2:$N$640,2,0),0)</f>
        <v>0</v>
      </c>
      <c r="Z442" s="128">
        <v>0</v>
      </c>
      <c r="AA442" s="126">
        <v>0</v>
      </c>
      <c r="AB442" s="129">
        <f t="shared" si="110"/>
        <v>0</v>
      </c>
      <c r="AC442" s="130">
        <v>0</v>
      </c>
      <c r="AD442" s="35">
        <f t="shared" si="120"/>
        <v>0</v>
      </c>
      <c r="AE442" s="166" t="str">
        <f t="shared" si="121"/>
        <v>Release</v>
      </c>
      <c r="AF442" s="127"/>
      <c r="AG442" s="18">
        <v>0</v>
      </c>
      <c r="AH442" s="120"/>
      <c r="AI442" s="238">
        <v>0</v>
      </c>
      <c r="AJ442" s="132"/>
      <c r="AK442" s="151">
        <v>139.9</v>
      </c>
      <c r="AL442" s="154">
        <f t="shared" si="111"/>
        <v>0</v>
      </c>
      <c r="AM442" s="155"/>
      <c r="AN442" s="19">
        <f t="shared" si="112"/>
        <v>1861</v>
      </c>
      <c r="AO442" s="118">
        <f>SUMIF('MPG Payment '!E:E,'Shayak Income '!D442,'MPG Payment '!AJ:AJ)</f>
        <v>0</v>
      </c>
      <c r="AP442" s="19">
        <f t="shared" si="113"/>
        <v>210</v>
      </c>
      <c r="AQ442" s="119">
        <f t="shared" si="122"/>
        <v>210</v>
      </c>
      <c r="AR442" s="91" t="s">
        <v>1144</v>
      </c>
      <c r="AS442" s="91">
        <f t="shared" si="114"/>
        <v>6400</v>
      </c>
      <c r="AT442" s="118"/>
      <c r="AU442" s="118"/>
      <c r="AV442" s="118"/>
    </row>
    <row r="443" spans="1:48" s="20" customFormat="1" x14ac:dyDescent="0.25">
      <c r="A443" s="17">
        <f>IFERROR(VLOOKUP(D443,'Monthly Deduction'!$I$3:$J$957,2,0),0)</f>
        <v>21560.561313829894</v>
      </c>
      <c r="B443" s="17">
        <f>IFERROR(VLOOKUP(D443,'Monthly Deduction'!$E$3:$F$957,2,0),0)</f>
        <v>10516.0602</v>
      </c>
      <c r="C443" s="17">
        <f t="shared" si="115"/>
        <v>32076.621513829894</v>
      </c>
      <c r="D443" s="41">
        <v>10140066</v>
      </c>
      <c r="E443" s="122" t="str">
        <f>VLOOKUP(D443,'MPG Payment '!$E$3:$G$497305,2,0)</f>
        <v>Gomukh Kant</v>
      </c>
      <c r="F443" s="146">
        <f>IFERROR(_xlfn.XLOOKUP(D443,'Monthly Deduction'!$I$3:$I$957,'Monthly Deduction'!$H$3:$H$957),0)</f>
        <v>0</v>
      </c>
      <c r="G443" s="123" t="str">
        <f>VLOOKUP(D443,'MPG Payment '!$E$3:$G$333666,3,0)</f>
        <v>MPG</v>
      </c>
      <c r="H443" s="124" t="str">
        <f>VLOOKUP(D443,'MPG Payment '!$E$3:$H$333666,4,0)</f>
        <v>Direct</v>
      </c>
      <c r="I443" s="88">
        <f>INDEX('MPG Payment '!$C:$C,MATCH('Shayak Income '!D443,'MPG Payment '!E:E,0))</f>
        <v>1014</v>
      </c>
      <c r="J443" s="88" t="str">
        <f>INDEX('MPG Payment '!$D:$D,MATCH('Shayak Income '!D443,'MPG Payment '!E:E,0))</f>
        <v>Dumraon</v>
      </c>
      <c r="K443" s="125" t="s">
        <v>1594</v>
      </c>
      <c r="L443" s="125">
        <v>45170</v>
      </c>
      <c r="M443" s="126">
        <f>SUMIF('MPG Payment '!$E$3:$E$344841,'Shayak Income '!D443,'MPG Payment '!$I$3:$I$344841)</f>
        <v>736.7</v>
      </c>
      <c r="N443" s="126">
        <f>SUMIF('MPG Payment '!$E$3:$E$344841,'Shayak Income '!D443,'MPG Payment '!$J$3:$J$344841)</f>
        <v>37409.789999999994</v>
      </c>
      <c r="O443" s="126">
        <f t="shared" si="116"/>
        <v>552.52500000000009</v>
      </c>
      <c r="P443" s="126">
        <f t="shared" si="117"/>
        <v>699.86500000000001</v>
      </c>
      <c r="Q443" s="126">
        <f>SUMIF('MPG Payment '!$E$3:$E$344841,'Shayak Income '!D443,'MPG Payment '!$S$3:$S$344841)</f>
        <v>214.04</v>
      </c>
      <c r="R443" s="126">
        <f t="shared" si="108"/>
        <v>1122.2936999999997</v>
      </c>
      <c r="S443" s="126">
        <f t="shared" si="109"/>
        <v>422.42869999999971</v>
      </c>
      <c r="T443" s="126">
        <f t="shared" si="118"/>
        <v>73.67</v>
      </c>
      <c r="U443" s="127">
        <f>((((((IF(K443="New",0,SUMIF('MPG Payment '!$E$3:$E$344841,'Shayak Income '!D443,'MPG Payment '!$AC$3:$AC$344841))))+0)+0)+0)+0)+-743</f>
        <v>1393.0640648624876</v>
      </c>
      <c r="V443" s="127">
        <f t="shared" si="119"/>
        <v>0</v>
      </c>
      <c r="W443" s="19">
        <v>0</v>
      </c>
      <c r="X443" s="19">
        <v>0</v>
      </c>
      <c r="Y443" s="128">
        <v>0</v>
      </c>
      <c r="Z443" s="128">
        <v>0</v>
      </c>
      <c r="AA443" s="126">
        <v>0</v>
      </c>
      <c r="AB443" s="129">
        <f t="shared" si="110"/>
        <v>0</v>
      </c>
      <c r="AC443" s="130">
        <f>AB443</f>
        <v>0</v>
      </c>
      <c r="AD443" s="35">
        <f t="shared" si="120"/>
        <v>0</v>
      </c>
      <c r="AE443" s="166" t="str">
        <f t="shared" si="121"/>
        <v>Release</v>
      </c>
      <c r="AF443" s="127"/>
      <c r="AG443" s="18">
        <v>0</v>
      </c>
      <c r="AH443" s="132" t="s">
        <v>1597</v>
      </c>
      <c r="AI443" s="238">
        <v>0</v>
      </c>
      <c r="AJ443" s="132"/>
      <c r="AK443" s="151">
        <v>0</v>
      </c>
      <c r="AL443" s="154">
        <f t="shared" si="111"/>
        <v>0</v>
      </c>
      <c r="AM443" s="155"/>
      <c r="AN443" s="19">
        <f t="shared" si="112"/>
        <v>1861</v>
      </c>
      <c r="AO443" s="118">
        <f>SUMIF('MPG Payment '!E:E,'Shayak Income '!D443,'MPG Payment '!AJ:AJ)</f>
        <v>2000</v>
      </c>
      <c r="AP443" s="19">
        <f t="shared" si="113"/>
        <v>0</v>
      </c>
      <c r="AQ443" s="119">
        <f t="shared" si="122"/>
        <v>2000</v>
      </c>
      <c r="AR443" s="91" t="s">
        <v>1144</v>
      </c>
      <c r="AS443" s="91">
        <f t="shared" si="114"/>
        <v>10516.0602</v>
      </c>
      <c r="AT443" s="118"/>
      <c r="AU443" s="118"/>
      <c r="AV443" s="118"/>
    </row>
    <row r="444" spans="1:48" s="20" customFormat="1" x14ac:dyDescent="0.25">
      <c r="A444" s="17">
        <f>IFERROR(VLOOKUP(D444,'Monthly Deduction'!$I$3:$J$957,2,0),0)</f>
        <v>38647.151818725833</v>
      </c>
      <c r="B444" s="17">
        <f>IFERROR(VLOOKUP(D444,'Monthly Deduction'!$E$3:$F$957,2,0),0)</f>
        <v>9469.3031999999985</v>
      </c>
      <c r="C444" s="17">
        <f t="shared" si="115"/>
        <v>48116.455018725828</v>
      </c>
      <c r="D444" s="41">
        <v>10140068</v>
      </c>
      <c r="E444" s="122" t="str">
        <f>VLOOKUP(D444,'MPG Payment '!$E$3:$G$497305,2,0)</f>
        <v>Gomukh Naat</v>
      </c>
      <c r="F444" s="146">
        <f>IFERROR(_xlfn.XLOOKUP(D444,'Monthly Deduction'!$I$3:$I$957,'Monthly Deduction'!$H$3:$H$957),0)</f>
        <v>0</v>
      </c>
      <c r="G444" s="123" t="str">
        <f>VLOOKUP(D444,'MPG Payment '!$E$3:$G$333666,3,0)</f>
        <v>MPG</v>
      </c>
      <c r="H444" s="124" t="str">
        <f>VLOOKUP(D444,'MPG Payment '!$E$3:$H$333666,4,0)</f>
        <v>Direct</v>
      </c>
      <c r="I444" s="88">
        <f>INDEX('MPG Payment '!$C:$C,MATCH('Shayak Income '!D444,'MPG Payment '!E:E,0))</f>
        <v>1014</v>
      </c>
      <c r="J444" s="88" t="str">
        <f>INDEX('MPG Payment '!$D:$D,MATCH('Shayak Income '!D444,'MPG Payment '!E:E,0))</f>
        <v>Dumraon</v>
      </c>
      <c r="K444" s="125" t="s">
        <v>1594</v>
      </c>
      <c r="L444" s="125">
        <v>45170</v>
      </c>
      <c r="M444" s="126">
        <f>SUMIF('MPG Payment '!$E$3:$E$344841,'Shayak Income '!D444,'MPG Payment '!$I$3:$I$344841)</f>
        <v>1975.3999999999996</v>
      </c>
      <c r="N444" s="126">
        <f>SUMIF('MPG Payment '!$E$3:$E$344841,'Shayak Income '!D444,'MPG Payment '!$J$3:$J$344841)</f>
        <v>75007.47</v>
      </c>
      <c r="O444" s="126">
        <f t="shared" si="116"/>
        <v>1481.5499999999997</v>
      </c>
      <c r="P444" s="126">
        <f t="shared" si="117"/>
        <v>1876.6299999999997</v>
      </c>
      <c r="Q444" s="126">
        <f>SUMIF('MPG Payment '!$E$3:$E$344841,'Shayak Income '!D444,'MPG Payment '!$S$3:$S$344841)</f>
        <v>0</v>
      </c>
      <c r="R444" s="126">
        <f t="shared" si="108"/>
        <v>2250.2240999999999</v>
      </c>
      <c r="S444" s="126">
        <f t="shared" si="109"/>
        <v>373.59410000000025</v>
      </c>
      <c r="T444" s="126">
        <f t="shared" si="118"/>
        <v>197.53999999999996</v>
      </c>
      <c r="U444" s="127">
        <f>((((((IF(K444="New",0,SUMIF('MPG Payment '!$E$3:$E$344841,'Shayak Income '!D444,'MPG Payment '!$AC$3:$AC$344841))))+0)+0)+0)+0)+0</f>
        <v>630.25198508062476</v>
      </c>
      <c r="V444" s="127">
        <f t="shared" si="119"/>
        <v>2530</v>
      </c>
      <c r="W444" s="19">
        <f t="shared" si="123"/>
        <v>1861</v>
      </c>
      <c r="X444" s="19">
        <v>0</v>
      </c>
      <c r="Y444" s="128">
        <v>669</v>
      </c>
      <c r="Z444" s="128">
        <v>0</v>
      </c>
      <c r="AA444" s="126">
        <v>0</v>
      </c>
      <c r="AB444" s="129">
        <f t="shared" si="110"/>
        <v>0</v>
      </c>
      <c r="AC444" s="130">
        <v>0</v>
      </c>
      <c r="AD444" s="35">
        <f t="shared" si="120"/>
        <v>0</v>
      </c>
      <c r="AE444" s="166" t="str">
        <f t="shared" si="121"/>
        <v>Release</v>
      </c>
      <c r="AF444" s="127"/>
      <c r="AG444" s="18">
        <v>0</v>
      </c>
      <c r="AH444" s="120"/>
      <c r="AI444" s="238">
        <v>0</v>
      </c>
      <c r="AJ444" s="132"/>
      <c r="AK444" s="151">
        <v>282</v>
      </c>
      <c r="AL444" s="154">
        <f t="shared" si="111"/>
        <v>0</v>
      </c>
      <c r="AM444" s="155"/>
      <c r="AN444" s="19">
        <f t="shared" si="112"/>
        <v>1861</v>
      </c>
      <c r="AO444" s="118">
        <f>SUMIF('MPG Payment '!E:E,'Shayak Income '!D444,'MPG Payment '!AJ:AJ)</f>
        <v>0</v>
      </c>
      <c r="AP444" s="19">
        <f t="shared" si="113"/>
        <v>1861</v>
      </c>
      <c r="AQ444" s="119">
        <f t="shared" si="122"/>
        <v>1861</v>
      </c>
      <c r="AR444" s="91" t="s">
        <v>1144</v>
      </c>
      <c r="AS444" s="91">
        <f t="shared" si="114"/>
        <v>9469.3031999999985</v>
      </c>
      <c r="AT444" s="118"/>
      <c r="AU444" s="118"/>
      <c r="AV444" s="118"/>
    </row>
    <row r="445" spans="1:48" s="20" customFormat="1" x14ac:dyDescent="0.25">
      <c r="A445" s="17">
        <f>IFERROR(VLOOKUP(D445,'Monthly Deduction'!$I$3:$J$957,2,0),0)</f>
        <v>17613.740524789057</v>
      </c>
      <c r="B445" s="17">
        <f>IFERROR(VLOOKUP(D445,'Monthly Deduction'!$E$3:$F$957,2,0),0)</f>
        <v>20608.7408</v>
      </c>
      <c r="C445" s="17">
        <f t="shared" si="115"/>
        <v>38222.481324789056</v>
      </c>
      <c r="D445" s="41">
        <v>10140069</v>
      </c>
      <c r="E445" s="122" t="str">
        <f>VLOOKUP(D445,'MPG Payment '!$E$3:$G$497305,2,0)</f>
        <v>Gomukh Raghunathpur</v>
      </c>
      <c r="F445" s="146">
        <f>IFERROR(_xlfn.XLOOKUP(D445,'Monthly Deduction'!$I$3:$I$957,'Monthly Deduction'!$H$3:$H$957),0)</f>
        <v>0</v>
      </c>
      <c r="G445" s="123" t="str">
        <f>VLOOKUP(D445,'MPG Payment '!$E$3:$G$333666,3,0)</f>
        <v>MPG</v>
      </c>
      <c r="H445" s="124" t="str">
        <f>VLOOKUP(D445,'MPG Payment '!$E$3:$H$333666,4,0)</f>
        <v>Direct</v>
      </c>
      <c r="I445" s="88">
        <f>INDEX('MPG Payment '!$C:$C,MATCH('Shayak Income '!D445,'MPG Payment '!E:E,0))</f>
        <v>1014</v>
      </c>
      <c r="J445" s="88" t="str">
        <f>INDEX('MPG Payment '!$D:$D,MATCH('Shayak Income '!D445,'MPG Payment '!E:E,0))</f>
        <v>Dumraon</v>
      </c>
      <c r="K445" s="125" t="s">
        <v>1594</v>
      </c>
      <c r="L445" s="125">
        <v>45170</v>
      </c>
      <c r="M445" s="126">
        <f>SUMIF('MPG Payment '!$E$3:$E$344841,'Shayak Income '!D445,'MPG Payment '!$I$3:$I$344841)</f>
        <v>1491.2399999999998</v>
      </c>
      <c r="N445" s="126">
        <f>SUMIF('MPG Payment '!$E$3:$E$344841,'Shayak Income '!D445,'MPG Payment '!$J$3:$J$344841)</f>
        <v>59414.53</v>
      </c>
      <c r="O445" s="126">
        <f t="shared" si="116"/>
        <v>1118.4299999999998</v>
      </c>
      <c r="P445" s="126">
        <f t="shared" si="117"/>
        <v>1416.6779999999997</v>
      </c>
      <c r="Q445" s="126">
        <f>SUMIF('MPG Payment '!$E$3:$E$344841,'Shayak Income '!D445,'MPG Payment '!$S$3:$S$344841)</f>
        <v>0</v>
      </c>
      <c r="R445" s="126">
        <f t="shared" si="108"/>
        <v>1782.4358999999999</v>
      </c>
      <c r="S445" s="126">
        <f t="shared" si="109"/>
        <v>365.75790000000029</v>
      </c>
      <c r="T445" s="126">
        <f t="shared" si="118"/>
        <v>149.124</v>
      </c>
      <c r="U445" s="127">
        <f>((((((IF(K445="New",0,SUMIF('MPG Payment '!$E$3:$E$344841,'Shayak Income '!D445,'MPG Payment '!$AC$3:$AC$344841))))+0)+0)+0)+0)+0</f>
        <v>1047.8666702387886</v>
      </c>
      <c r="V445" s="127">
        <f t="shared" si="119"/>
        <v>1338</v>
      </c>
      <c r="W445" s="19">
        <v>1338</v>
      </c>
      <c r="X445" s="19">
        <v>0</v>
      </c>
      <c r="Y445" s="128">
        <f>IFERROR(VLOOKUP(D445,'Monthly Deduction'!$M$2:$N$640,2,0),0)</f>
        <v>0</v>
      </c>
      <c r="Z445" s="128">
        <v>0</v>
      </c>
      <c r="AA445" s="126">
        <f>IFERROR(VLOOKUP(D445,'Monthly Deduction'!A:B,2,0),0)</f>
        <v>0</v>
      </c>
      <c r="AB445" s="129">
        <f t="shared" si="110"/>
        <v>0</v>
      </c>
      <c r="AC445" s="130">
        <v>0</v>
      </c>
      <c r="AD445" s="35">
        <f t="shared" si="120"/>
        <v>0</v>
      </c>
      <c r="AE445" s="166" t="str">
        <f t="shared" si="121"/>
        <v>Release</v>
      </c>
      <c r="AF445" s="127"/>
      <c r="AG445" s="127">
        <v>0</v>
      </c>
      <c r="AH445" s="120"/>
      <c r="AI445" s="238">
        <v>0</v>
      </c>
      <c r="AJ445" s="132"/>
      <c r="AK445" s="151">
        <v>305.3</v>
      </c>
      <c r="AL445" s="154">
        <f t="shared" si="111"/>
        <v>0</v>
      </c>
      <c r="AM445" s="155"/>
      <c r="AN445" s="19">
        <f t="shared" si="112"/>
        <v>1861</v>
      </c>
      <c r="AO445" s="118">
        <f>SUMIF('MPG Payment '!E:E,'Shayak Income '!D445,'MPG Payment '!AJ:AJ)</f>
        <v>0</v>
      </c>
      <c r="AP445" s="19">
        <f t="shared" si="113"/>
        <v>1338</v>
      </c>
      <c r="AQ445" s="119">
        <f t="shared" si="122"/>
        <v>1338</v>
      </c>
      <c r="AR445" s="91" t="s">
        <v>1144</v>
      </c>
      <c r="AS445" s="91">
        <f t="shared" si="114"/>
        <v>20608.7408</v>
      </c>
      <c r="AT445" s="118"/>
      <c r="AU445" s="118"/>
      <c r="AV445" s="118"/>
    </row>
    <row r="446" spans="1:48" s="20" customFormat="1" x14ac:dyDescent="0.25">
      <c r="A446" s="17">
        <f>IFERROR(VLOOKUP(D446,'Monthly Deduction'!$I$3:$J$957,2,0),0)</f>
        <v>0</v>
      </c>
      <c r="B446" s="17">
        <f>IFERROR(VLOOKUP(D446,'Monthly Deduction'!$E$3:$F$957,2,0),0)</f>
        <v>0</v>
      </c>
      <c r="C446" s="17">
        <f t="shared" si="115"/>
        <v>0</v>
      </c>
      <c r="D446" s="41">
        <v>10140071</v>
      </c>
      <c r="E446" s="122" t="str">
        <f>VLOOKUP(D446,'MPG Payment '!$E$3:$G$497305,2,0)</f>
        <v>Gomukh Tilakraika Hata 1 - Manoj</v>
      </c>
      <c r="F446" s="146">
        <f>IFERROR(_xlfn.XLOOKUP(D446,'Monthly Deduction'!$I$3:$I$957,'Monthly Deduction'!$H$3:$H$957),0)</f>
        <v>0</v>
      </c>
      <c r="G446" s="123" t="str">
        <f>VLOOKUP(D446,'MPG Payment '!$E$3:$G$333666,3,0)</f>
        <v>vlc</v>
      </c>
      <c r="H446" s="124" t="str">
        <f>VLOOKUP(D446,'MPG Payment '!$E$3:$H$333666,4,0)</f>
        <v>Indirect</v>
      </c>
      <c r="I446" s="88">
        <f>INDEX('MPG Payment '!$C:$C,MATCH('Shayak Income '!D446,'MPG Payment '!E:E,0))</f>
        <v>1014</v>
      </c>
      <c r="J446" s="88" t="str">
        <f>INDEX('MPG Payment '!$D:$D,MATCH('Shayak Income '!D446,'MPG Payment '!E:E,0))</f>
        <v>Dumraon</v>
      </c>
      <c r="K446" s="125" t="s">
        <v>1594</v>
      </c>
      <c r="L446" s="125">
        <v>45141</v>
      </c>
      <c r="M446" s="126">
        <f>SUMIF('MPG Payment '!$E$3:$E$344841,'Shayak Income '!D446,'MPG Payment '!$I$3:$I$344841)</f>
        <v>4419.6000000000004</v>
      </c>
      <c r="N446" s="126">
        <f>SUMIF('MPG Payment '!$E$3:$E$344841,'Shayak Income '!D446,'MPG Payment '!$J$3:$J$344841)</f>
        <v>155894.01</v>
      </c>
      <c r="O446" s="126">
        <f t="shared" si="116"/>
        <v>3314.7000000000003</v>
      </c>
      <c r="P446" s="126">
        <f t="shared" si="117"/>
        <v>4198.62</v>
      </c>
      <c r="Q446" s="126">
        <f>SUMIF('MPG Payment '!$E$3:$E$344841,'Shayak Income '!D446,'MPG Payment '!$S$3:$S$344841)</f>
        <v>0</v>
      </c>
      <c r="R446" s="126">
        <f t="shared" si="108"/>
        <v>4676.8203000000003</v>
      </c>
      <c r="S446" s="126">
        <f t="shared" si="109"/>
        <v>478.20030000000042</v>
      </c>
      <c r="T446" s="126">
        <f t="shared" si="118"/>
        <v>441.96000000000004</v>
      </c>
      <c r="U446" s="127">
        <f>((((((IF(K446="New",0,SUMIF('MPG Payment '!$E$3:$E$344841,'Shayak Income '!D446,'MPG Payment '!$AC$3:$AC$344841))))+0)+0)+0)+0)+0</f>
        <v>367.98904732824428</v>
      </c>
      <c r="V446" s="127">
        <f t="shared" si="119"/>
        <v>6703</v>
      </c>
      <c r="W446" s="19">
        <f t="shared" si="123"/>
        <v>0</v>
      </c>
      <c r="X446" s="19">
        <f t="shared" si="124"/>
        <v>0</v>
      </c>
      <c r="Y446" s="128">
        <f>IFERROR(VLOOKUP(D446,'Monthly Deduction'!$M$2:$N$640,2,0),0)</f>
        <v>0</v>
      </c>
      <c r="Z446" s="128">
        <v>0</v>
      </c>
      <c r="AA446" s="126">
        <f>IFERROR(VLOOKUP(D446,'Monthly Deduction'!A:B,2,0),0)</f>
        <v>0</v>
      </c>
      <c r="AB446" s="129">
        <f t="shared" si="110"/>
        <v>6703</v>
      </c>
      <c r="AC446" s="130">
        <f>AB446</f>
        <v>6703</v>
      </c>
      <c r="AD446" s="35">
        <f t="shared" si="120"/>
        <v>0</v>
      </c>
      <c r="AE446" s="166" t="str">
        <f t="shared" si="121"/>
        <v>Yes</v>
      </c>
      <c r="AF446" s="127"/>
      <c r="AG446" s="18">
        <v>0</v>
      </c>
      <c r="AH446" s="132" t="s">
        <v>1597</v>
      </c>
      <c r="AI446" s="238">
        <v>0</v>
      </c>
      <c r="AJ446" s="132"/>
      <c r="AK446" s="151">
        <v>0</v>
      </c>
      <c r="AL446" s="154">
        <f t="shared" si="111"/>
        <v>0</v>
      </c>
      <c r="AM446" s="155"/>
      <c r="AN446" s="19">
        <f t="shared" si="112"/>
        <v>0</v>
      </c>
      <c r="AO446" s="118">
        <f>SUMIF('MPG Payment '!E:E,'Shayak Income '!D446,'MPG Payment '!AJ:AJ)</f>
        <v>0</v>
      </c>
      <c r="AP446" s="19">
        <f t="shared" si="113"/>
        <v>0</v>
      </c>
      <c r="AQ446" s="119">
        <f t="shared" si="122"/>
        <v>0</v>
      </c>
      <c r="AR446" s="91" t="s">
        <v>1144</v>
      </c>
      <c r="AS446" s="91">
        <f t="shared" si="114"/>
        <v>0</v>
      </c>
      <c r="AT446" s="118"/>
      <c r="AU446" s="118"/>
      <c r="AV446" s="118"/>
    </row>
    <row r="447" spans="1:48" s="20" customFormat="1" x14ac:dyDescent="0.25">
      <c r="A447" s="17">
        <f>IFERROR(VLOOKUP(D447,'Monthly Deduction'!$I$3:$J$957,2,0),0)</f>
        <v>30730.340935902277</v>
      </c>
      <c r="B447" s="17">
        <f>IFERROR(VLOOKUP(D447,'Monthly Deduction'!$E$3:$F$957,2,0),0)</f>
        <v>0</v>
      </c>
      <c r="C447" s="17">
        <f t="shared" si="115"/>
        <v>30730.340935902277</v>
      </c>
      <c r="D447" s="41">
        <v>10140083</v>
      </c>
      <c r="E447" s="122" t="str">
        <f>VLOOKUP(D447,'MPG Payment '!$E$3:$G$497305,2,0)</f>
        <v>Gomukh Murar</v>
      </c>
      <c r="F447" s="146">
        <f>IFERROR(_xlfn.XLOOKUP(D447,'Monthly Deduction'!$I$3:$I$957,'Monthly Deduction'!$H$3:$H$957),0)</f>
        <v>0</v>
      </c>
      <c r="G447" s="123" t="str">
        <f>VLOOKUP(D447,'MPG Payment '!$E$3:$G$333666,3,0)</f>
        <v>MPG</v>
      </c>
      <c r="H447" s="124" t="str">
        <f>VLOOKUP(D447,'MPG Payment '!$E$3:$H$333666,4,0)</f>
        <v>Direct</v>
      </c>
      <c r="I447" s="88">
        <f>INDEX('MPG Payment '!$C:$C,MATCH('Shayak Income '!D447,'MPG Payment '!E:E,0))</f>
        <v>1014</v>
      </c>
      <c r="J447" s="88" t="str">
        <f>INDEX('MPG Payment '!$D:$D,MATCH('Shayak Income '!D447,'MPG Payment '!E:E,0))</f>
        <v>Dumraon</v>
      </c>
      <c r="K447" s="125" t="s">
        <v>1594</v>
      </c>
      <c r="L447" s="125">
        <v>45291</v>
      </c>
      <c r="M447" s="126">
        <f>SUMIF('MPG Payment '!$E$3:$E$344841,'Shayak Income '!D447,'MPG Payment '!$I$3:$I$344841)</f>
        <v>4001.12</v>
      </c>
      <c r="N447" s="126">
        <f>SUMIF('MPG Payment '!$E$3:$E$344841,'Shayak Income '!D447,'MPG Payment '!$J$3:$J$344841)</f>
        <v>164487.69999999998</v>
      </c>
      <c r="O447" s="126">
        <f t="shared" si="116"/>
        <v>3000.84</v>
      </c>
      <c r="P447" s="126">
        <f t="shared" si="117"/>
        <v>3801.0639999999999</v>
      </c>
      <c r="Q447" s="126">
        <f>SUMIF('MPG Payment '!$E$3:$E$344841,'Shayak Income '!D447,'MPG Payment '!$S$3:$S$344841)</f>
        <v>1379.9099999999999</v>
      </c>
      <c r="R447" s="126">
        <f t="shared" si="108"/>
        <v>4934.6309999999994</v>
      </c>
      <c r="S447" s="126">
        <f t="shared" si="109"/>
        <v>1133.5669999999996</v>
      </c>
      <c r="T447" s="126">
        <f t="shared" si="118"/>
        <v>400.11200000000002</v>
      </c>
      <c r="U447" s="127">
        <f>((((((IF(K447="New",0,SUMIF('MPG Payment '!$E$3:$E$344841,'Shayak Income '!D447,'MPG Payment '!$AC$3:$AC$344841))))+0)+0)+0)+0)+0</f>
        <v>0</v>
      </c>
      <c r="V447" s="127">
        <f t="shared" si="119"/>
        <v>7782</v>
      </c>
      <c r="W447" s="19">
        <f t="shared" si="123"/>
        <v>3289.7539999999999</v>
      </c>
      <c r="X447" s="19">
        <v>0</v>
      </c>
      <c r="Y447" s="128">
        <f>IFERROR(VLOOKUP(D447,'Monthly Deduction'!$M$2:$N$640,2,0),0)</f>
        <v>0</v>
      </c>
      <c r="Z447" s="128">
        <v>0</v>
      </c>
      <c r="AA447" s="126">
        <f>IFERROR(VLOOKUP(D447,'Monthly Deduction'!A:B,2,0),0)</f>
        <v>0</v>
      </c>
      <c r="AB447" s="129">
        <f t="shared" si="110"/>
        <v>4492</v>
      </c>
      <c r="AC447" s="130">
        <v>0</v>
      </c>
      <c r="AD447" s="35">
        <f t="shared" si="120"/>
        <v>4492</v>
      </c>
      <c r="AE447" s="166" t="str">
        <f t="shared" si="121"/>
        <v>Release</v>
      </c>
      <c r="AF447" s="127"/>
      <c r="AG447" s="18">
        <v>0</v>
      </c>
      <c r="AH447" s="120"/>
      <c r="AI447" s="238">
        <v>0</v>
      </c>
      <c r="AJ447" s="132"/>
      <c r="AK447" s="151">
        <v>542.5</v>
      </c>
      <c r="AL447" s="154">
        <f t="shared" si="111"/>
        <v>0</v>
      </c>
      <c r="AM447" s="155"/>
      <c r="AN447" s="19">
        <f t="shared" si="112"/>
        <v>3289.7539999999999</v>
      </c>
      <c r="AO447" s="118">
        <f>SUMIF('MPG Payment '!E:E,'Shayak Income '!D447,'MPG Payment '!AJ:AJ)</f>
        <v>0</v>
      </c>
      <c r="AP447" s="19">
        <f t="shared" si="113"/>
        <v>3289.7539999999999</v>
      </c>
      <c r="AQ447" s="119">
        <f t="shared" si="122"/>
        <v>3289.7539999999999</v>
      </c>
      <c r="AR447" s="91" t="s">
        <v>1144</v>
      </c>
      <c r="AS447" s="91">
        <f t="shared" si="114"/>
        <v>0</v>
      </c>
      <c r="AT447" s="118"/>
      <c r="AU447" s="118"/>
      <c r="AV447" s="118"/>
    </row>
    <row r="448" spans="1:48" s="20" customFormat="1" x14ac:dyDescent="0.25">
      <c r="A448" s="17">
        <f>IFERROR(VLOOKUP(D448,'Monthly Deduction'!$I$3:$J$957,2,0),0)</f>
        <v>45176.462652943905</v>
      </c>
      <c r="B448" s="17">
        <f>IFERROR(VLOOKUP(D448,'Monthly Deduction'!$E$3:$F$957,2,0),0)</f>
        <v>7070.1681213311995</v>
      </c>
      <c r="C448" s="17">
        <f t="shared" si="115"/>
        <v>52246.630774275101</v>
      </c>
      <c r="D448" s="41">
        <v>10140087</v>
      </c>
      <c r="E448" s="122" t="str">
        <f>VLOOKUP(D448,'MPG Payment '!$E$3:$G$497305,2,0)</f>
        <v xml:space="preserve">Gomukh Churamanpur                                                                                  </v>
      </c>
      <c r="F448" s="146">
        <f>IFERROR(_xlfn.XLOOKUP(D448,'Monthly Deduction'!$I$3:$I$957,'Monthly Deduction'!$H$3:$H$957),0)</f>
        <v>0</v>
      </c>
      <c r="G448" s="123" t="str">
        <f>VLOOKUP(D448,'MPG Payment '!$E$3:$G$333666,3,0)</f>
        <v>MPG</v>
      </c>
      <c r="H448" s="124" t="str">
        <f>VLOOKUP(D448,'MPG Payment '!$E$3:$H$333666,4,0)</f>
        <v>Direct</v>
      </c>
      <c r="I448" s="88">
        <f>INDEX('MPG Payment '!$C:$C,MATCH('Shayak Income '!D448,'MPG Payment '!E:E,0))</f>
        <v>1014</v>
      </c>
      <c r="J448" s="88" t="str">
        <f>INDEX('MPG Payment '!$D:$D,MATCH('Shayak Income '!D448,'MPG Payment '!E:E,0))</f>
        <v>Dumraon</v>
      </c>
      <c r="K448" s="125" t="s">
        <v>1594</v>
      </c>
      <c r="L448" s="125">
        <v>45297</v>
      </c>
      <c r="M448" s="126">
        <f>SUMIF('MPG Payment '!$E$3:$E$344841,'Shayak Income '!D448,'MPG Payment '!$I$3:$I$344841)</f>
        <v>720.89999999999986</v>
      </c>
      <c r="N448" s="126">
        <f>SUMIF('MPG Payment '!$E$3:$E$344841,'Shayak Income '!D448,'MPG Payment '!$J$3:$J$344841)</f>
        <v>30135.260000000002</v>
      </c>
      <c r="O448" s="126">
        <f t="shared" si="116"/>
        <v>540.67499999999995</v>
      </c>
      <c r="P448" s="126">
        <f t="shared" si="117"/>
        <v>684.85499999999979</v>
      </c>
      <c r="Q448" s="126">
        <f>SUMIF('MPG Payment '!$E$3:$E$344841,'Shayak Income '!D448,'MPG Payment '!$S$3:$S$344841)</f>
        <v>0</v>
      </c>
      <c r="R448" s="126">
        <f t="shared" si="108"/>
        <v>904.05780000000004</v>
      </c>
      <c r="S448" s="126">
        <f t="shared" si="109"/>
        <v>219.20280000000025</v>
      </c>
      <c r="T448" s="126">
        <f t="shared" si="118"/>
        <v>72.089999999999989</v>
      </c>
      <c r="U448" s="127">
        <f>((((((IF(K448="New",0,SUMIF('MPG Payment '!$E$3:$E$344841,'Shayak Income '!D448,'MPG Payment '!$AC$3:$AC$344841))))+0)+0)+0)+0)+-584</f>
        <v>1152.9769370273918</v>
      </c>
      <c r="V448" s="127">
        <f t="shared" si="119"/>
        <v>0</v>
      </c>
      <c r="W448" s="19">
        <v>0</v>
      </c>
      <c r="X448" s="19">
        <v>0</v>
      </c>
      <c r="Y448" s="128">
        <v>0</v>
      </c>
      <c r="Z448" s="128">
        <v>0</v>
      </c>
      <c r="AA448" s="126">
        <v>0</v>
      </c>
      <c r="AB448" s="129">
        <f t="shared" si="110"/>
        <v>0</v>
      </c>
      <c r="AC448" s="130">
        <v>0</v>
      </c>
      <c r="AD448" s="35">
        <f t="shared" si="120"/>
        <v>0</v>
      </c>
      <c r="AE448" s="166" t="str">
        <f t="shared" si="121"/>
        <v>Release</v>
      </c>
      <c r="AF448" s="127"/>
      <c r="AG448" s="18">
        <v>0</v>
      </c>
      <c r="AH448" s="120"/>
      <c r="AI448" s="238">
        <v>0</v>
      </c>
      <c r="AJ448" s="132"/>
      <c r="AK448" s="151">
        <v>186.49999999999997</v>
      </c>
      <c r="AL448" s="154">
        <f t="shared" si="111"/>
        <v>0</v>
      </c>
      <c r="AM448" s="155"/>
      <c r="AN448" s="19">
        <f t="shared" si="112"/>
        <v>1861</v>
      </c>
      <c r="AO448" s="118">
        <f>SUMIF('MPG Payment '!E:E,'Shayak Income '!D448,'MPG Payment '!AJ:AJ)</f>
        <v>0</v>
      </c>
      <c r="AP448" s="19">
        <f t="shared" si="113"/>
        <v>0</v>
      </c>
      <c r="AQ448" s="119">
        <f t="shared" si="122"/>
        <v>0</v>
      </c>
      <c r="AR448" s="91" t="s">
        <v>1144</v>
      </c>
      <c r="AS448" s="91">
        <f t="shared" si="114"/>
        <v>7070.1681213311995</v>
      </c>
      <c r="AT448" s="118"/>
      <c r="AU448" s="118"/>
      <c r="AV448" s="118"/>
    </row>
    <row r="449" spans="1:48" s="20" customFormat="1" x14ac:dyDescent="0.25">
      <c r="A449" s="17">
        <f>IFERROR(VLOOKUP(D449,'Monthly Deduction'!$I$3:$J$957,2,0),0)</f>
        <v>74112.472600000008</v>
      </c>
      <c r="B449" s="17">
        <f>IFERROR(VLOOKUP(D449,'Monthly Deduction'!$E$3:$F$957,2,0),0)</f>
        <v>6400</v>
      </c>
      <c r="C449" s="17">
        <f t="shared" si="115"/>
        <v>80512.472600000008</v>
      </c>
      <c r="D449" s="41">
        <v>10140095</v>
      </c>
      <c r="E449" s="122" t="str">
        <f>VLOOKUP(D449,'MPG Payment '!$E$3:$G$497305,2,0)</f>
        <v>Gomukh Ekauni Karuwaj</v>
      </c>
      <c r="F449" s="146">
        <f>IFERROR(_xlfn.XLOOKUP(D449,'Monthly Deduction'!$I$3:$I$957,'Monthly Deduction'!$H$3:$H$957),0)</f>
        <v>0</v>
      </c>
      <c r="G449" s="123" t="str">
        <f>VLOOKUP(D449,'MPG Payment '!$E$3:$G$333666,3,0)</f>
        <v>MPG</v>
      </c>
      <c r="H449" s="124" t="str">
        <f>VLOOKUP(D449,'MPG Payment '!$E$3:$H$333666,4,0)</f>
        <v>Direct</v>
      </c>
      <c r="I449" s="88">
        <f>INDEX('MPG Payment '!$C:$C,MATCH('Shayak Income '!D449,'MPG Payment '!E:E,0))</f>
        <v>1014</v>
      </c>
      <c r="J449" s="88" t="str">
        <f>INDEX('MPG Payment '!$D:$D,MATCH('Shayak Income '!D449,'MPG Payment '!E:E,0))</f>
        <v>Dumraon</v>
      </c>
      <c r="K449" s="125" t="s">
        <v>1594</v>
      </c>
      <c r="L449" s="125">
        <v>45352</v>
      </c>
      <c r="M449" s="126">
        <f>SUMIF('MPG Payment '!$E$3:$E$344841,'Shayak Income '!D449,'MPG Payment '!$I$3:$I$344841)</f>
        <v>64.400000000000006</v>
      </c>
      <c r="N449" s="126">
        <f>SUMIF('MPG Payment '!$E$3:$E$344841,'Shayak Income '!D449,'MPG Payment '!$J$3:$J$344841)</f>
        <v>2303.69</v>
      </c>
      <c r="O449" s="126">
        <f t="shared" si="116"/>
        <v>48.300000000000004</v>
      </c>
      <c r="P449" s="126">
        <f t="shared" si="117"/>
        <v>61.18</v>
      </c>
      <c r="Q449" s="126">
        <f>SUMIF('MPG Payment '!$E$3:$E$344841,'Shayak Income '!D449,'MPG Payment '!$S$3:$S$344841)</f>
        <v>0</v>
      </c>
      <c r="R449" s="126">
        <f t="shared" si="108"/>
        <v>69.110699999999994</v>
      </c>
      <c r="S449" s="126">
        <f t="shared" si="109"/>
        <v>7.9306999999999945</v>
      </c>
      <c r="T449" s="126">
        <f t="shared" si="118"/>
        <v>6.4400000000000013</v>
      </c>
      <c r="U449" s="127">
        <f>((((((IF(K449="New",0,SUMIF('MPG Payment '!$E$3:$E$344841,'Shayak Income '!D449,'MPG Payment '!$AC$3:$AC$344841))))+0)+0)+0)+0)+-1832</f>
        <v>102.79299214042976</v>
      </c>
      <c r="V449" s="127">
        <f t="shared" si="119"/>
        <v>0</v>
      </c>
      <c r="W449" s="19">
        <v>0</v>
      </c>
      <c r="X449" s="19">
        <v>0</v>
      </c>
      <c r="Y449" s="128">
        <v>0</v>
      </c>
      <c r="Z449" s="128">
        <v>0</v>
      </c>
      <c r="AA449" s="126">
        <v>0</v>
      </c>
      <c r="AB449" s="129">
        <f t="shared" si="110"/>
        <v>0</v>
      </c>
      <c r="AC449" s="130">
        <v>0</v>
      </c>
      <c r="AD449" s="35">
        <f t="shared" si="120"/>
        <v>0</v>
      </c>
      <c r="AE449" s="166" t="str">
        <f t="shared" si="121"/>
        <v>Release</v>
      </c>
      <c r="AF449" s="127"/>
      <c r="AG449" s="18">
        <v>0</v>
      </c>
      <c r="AH449" s="132"/>
      <c r="AI449" s="238">
        <v>0</v>
      </c>
      <c r="AJ449" s="132"/>
      <c r="AK449" s="151">
        <v>11.5</v>
      </c>
      <c r="AL449" s="154">
        <f t="shared" si="111"/>
        <v>0</v>
      </c>
      <c r="AM449" s="155"/>
      <c r="AN449" s="19">
        <f t="shared" si="112"/>
        <v>1861</v>
      </c>
      <c r="AO449" s="118">
        <f>SUMIF('MPG Payment '!E:E,'Shayak Income '!D449,'MPG Payment '!AJ:AJ)</f>
        <v>1226</v>
      </c>
      <c r="AP449" s="19">
        <f t="shared" si="113"/>
        <v>0</v>
      </c>
      <c r="AQ449" s="119">
        <f t="shared" si="122"/>
        <v>1226</v>
      </c>
      <c r="AR449" s="91" t="s">
        <v>1144</v>
      </c>
      <c r="AS449" s="91">
        <f t="shared" si="114"/>
        <v>6400</v>
      </c>
      <c r="AT449" s="118"/>
      <c r="AU449" s="118"/>
      <c r="AV449" s="118"/>
    </row>
    <row r="450" spans="1:48" s="20" customFormat="1" x14ac:dyDescent="0.25">
      <c r="A450" s="17">
        <f>IFERROR(VLOOKUP(D450,'Monthly Deduction'!$I$3:$J$957,2,0),0)</f>
        <v>14228.384116397909</v>
      </c>
      <c r="B450" s="17">
        <f>IFERROR(VLOOKUP(D450,'Monthly Deduction'!$E$3:$F$957,2,0),0)</f>
        <v>16544</v>
      </c>
      <c r="C450" s="17">
        <f t="shared" si="115"/>
        <v>30772.384116397909</v>
      </c>
      <c r="D450" s="41">
        <v>10140098</v>
      </c>
      <c r="E450" s="122" t="str">
        <f>VLOOKUP(D450,'MPG Payment '!$E$3:$G$497305,2,0)</f>
        <v>Kulharia Agriculture Producer Company Limited</v>
      </c>
      <c r="F450" s="146">
        <f>IFERROR(_xlfn.XLOOKUP(D450,'Monthly Deduction'!$I$3:$I$957,'Monthly Deduction'!$H$3:$H$957),0)</f>
        <v>0</v>
      </c>
      <c r="G450" s="123" t="str">
        <f>VLOOKUP(D450,'MPG Payment '!$E$3:$G$333666,3,0)</f>
        <v>MPG</v>
      </c>
      <c r="H450" s="124" t="str">
        <f>VLOOKUP(D450,'MPG Payment '!$E$3:$H$333666,4,0)</f>
        <v>Direct</v>
      </c>
      <c r="I450" s="88">
        <f>INDEX('MPG Payment '!$C:$C,MATCH('Shayak Income '!D450,'MPG Payment '!E:E,0))</f>
        <v>1014</v>
      </c>
      <c r="J450" s="88" t="str">
        <f>INDEX('MPG Payment '!$D:$D,MATCH('Shayak Income '!D450,'MPG Payment '!E:E,0))</f>
        <v>Dumraon</v>
      </c>
      <c r="K450" s="125" t="s">
        <v>1594</v>
      </c>
      <c r="L450" s="125">
        <v>45457</v>
      </c>
      <c r="M450" s="126">
        <f>SUMIF('MPG Payment '!$E$3:$E$344841,'Shayak Income '!D450,'MPG Payment '!$I$3:$I$344841)</f>
        <v>3915.8</v>
      </c>
      <c r="N450" s="126">
        <f>SUMIF('MPG Payment '!$E$3:$E$344841,'Shayak Income '!D450,'MPG Payment '!$J$3:$J$344841)</f>
        <v>161451.92000000004</v>
      </c>
      <c r="O450" s="126">
        <f t="shared" si="116"/>
        <v>2936.8500000000004</v>
      </c>
      <c r="P450" s="126">
        <f t="shared" si="117"/>
        <v>3720.01</v>
      </c>
      <c r="Q450" s="126">
        <f>SUMIF('MPG Payment '!$E$3:$E$344841,'Shayak Income '!D450,'MPG Payment '!$S$3:$S$344841)</f>
        <v>1785.6</v>
      </c>
      <c r="R450" s="126">
        <f t="shared" si="108"/>
        <v>4843.557600000001</v>
      </c>
      <c r="S450" s="126">
        <f t="shared" si="109"/>
        <v>1123.5476000000008</v>
      </c>
      <c r="T450" s="126">
        <f t="shared" si="118"/>
        <v>391.58000000000004</v>
      </c>
      <c r="U450" s="127">
        <f>((((((IF(K450="New",0,SUMIF('MPG Payment '!$E$3:$E$344841,'Shayak Income '!D450,'MPG Payment '!$AC$3:$AC$344841))))+0)+0)+0)+0)+0</f>
        <v>0</v>
      </c>
      <c r="V450" s="127">
        <f t="shared" si="119"/>
        <v>8051</v>
      </c>
      <c r="W450" s="19">
        <f t="shared" si="123"/>
        <v>3229.0384000000008</v>
      </c>
      <c r="X450" s="19">
        <v>0</v>
      </c>
      <c r="Y450" s="128">
        <f>IFERROR(VLOOKUP(D450,'Monthly Deduction'!$M$2:$N$640,2,0),0)</f>
        <v>0</v>
      </c>
      <c r="Z450" s="128">
        <v>0</v>
      </c>
      <c r="AA450" s="126">
        <f>IFERROR(VLOOKUP(D450,'Monthly Deduction'!A:B,2,0),0)</f>
        <v>0</v>
      </c>
      <c r="AB450" s="129">
        <f t="shared" si="110"/>
        <v>4822</v>
      </c>
      <c r="AC450" s="130">
        <v>0</v>
      </c>
      <c r="AD450" s="35">
        <f t="shared" si="120"/>
        <v>4822</v>
      </c>
      <c r="AE450" s="166" t="str">
        <f t="shared" si="121"/>
        <v>Release</v>
      </c>
      <c r="AF450" s="127"/>
      <c r="AG450" s="18">
        <v>0</v>
      </c>
      <c r="AH450" s="132"/>
      <c r="AI450" s="238">
        <v>0</v>
      </c>
      <c r="AJ450" s="132"/>
      <c r="AK450" s="151">
        <v>882.80000000000007</v>
      </c>
      <c r="AL450" s="154">
        <f t="shared" si="111"/>
        <v>0</v>
      </c>
      <c r="AM450" s="155"/>
      <c r="AN450" s="19">
        <f t="shared" si="112"/>
        <v>3229.0384000000008</v>
      </c>
      <c r="AO450" s="118">
        <f>SUMIF('MPG Payment '!E:E,'Shayak Income '!D450,'MPG Payment '!AJ:AJ)</f>
        <v>0</v>
      </c>
      <c r="AP450" s="19">
        <f t="shared" si="113"/>
        <v>3229.0384000000008</v>
      </c>
      <c r="AQ450" s="119">
        <f t="shared" si="122"/>
        <v>3229.0384000000008</v>
      </c>
      <c r="AR450" s="91"/>
      <c r="AS450" s="91">
        <f t="shared" si="114"/>
        <v>16544</v>
      </c>
      <c r="AT450" s="118"/>
      <c r="AU450" s="118"/>
      <c r="AV450" s="118"/>
    </row>
    <row r="451" spans="1:48" s="20" customFormat="1" x14ac:dyDescent="0.25">
      <c r="A451" s="17">
        <f>IFERROR(VLOOKUP(D451,'Monthly Deduction'!$I$3:$J$957,2,0),0)</f>
        <v>53607</v>
      </c>
      <c r="B451" s="17">
        <f>IFERROR(VLOOKUP(D451,'Monthly Deduction'!$E$3:$F$957,2,0),0)</f>
        <v>2329.0893371431998</v>
      </c>
      <c r="C451" s="17">
        <f t="shared" si="115"/>
        <v>55936.089337143203</v>
      </c>
      <c r="D451" s="41">
        <v>10140099</v>
      </c>
      <c r="E451" s="122" t="str">
        <f>VLOOKUP(D451,'MPG Payment '!$E$3:$G$497305,2,0)</f>
        <v>Gomukh Dhakaich</v>
      </c>
      <c r="F451" s="146">
        <f>IFERROR(_xlfn.XLOOKUP(D451,'Monthly Deduction'!$I$3:$I$957,'Monthly Deduction'!$H$3:$H$957),0)</f>
        <v>0</v>
      </c>
      <c r="G451" s="123" t="str">
        <f>VLOOKUP(D451,'MPG Payment '!$E$3:$G$333666,3,0)</f>
        <v>MPG</v>
      </c>
      <c r="H451" s="124" t="str">
        <f>VLOOKUP(D451,'MPG Payment '!$E$3:$H$333666,4,0)</f>
        <v>Direct</v>
      </c>
      <c r="I451" s="88">
        <f>INDEX('MPG Payment '!$C:$C,MATCH('Shayak Income '!D451,'MPG Payment '!E:E,0))</f>
        <v>1014</v>
      </c>
      <c r="J451" s="88" t="str">
        <f>INDEX('MPG Payment '!$D:$D,MATCH('Shayak Income '!D451,'MPG Payment '!E:E,0))</f>
        <v>Dumraon</v>
      </c>
      <c r="K451" s="125" t="s">
        <v>1594</v>
      </c>
      <c r="L451" s="125">
        <v>45408</v>
      </c>
      <c r="M451" s="126">
        <f>SUMIF('MPG Payment '!$E$3:$E$344841,'Shayak Income '!D451,'MPG Payment '!$I$3:$I$344841)</f>
        <v>647.29999999999995</v>
      </c>
      <c r="N451" s="126">
        <f>SUMIF('MPG Payment '!$E$3:$E$344841,'Shayak Income '!D451,'MPG Payment '!$J$3:$J$344841)</f>
        <v>25548.13</v>
      </c>
      <c r="O451" s="126">
        <f t="shared" si="116"/>
        <v>485.47499999999997</v>
      </c>
      <c r="P451" s="126">
        <f t="shared" si="117"/>
        <v>614.93499999999995</v>
      </c>
      <c r="Q451" s="126">
        <f>SUMIF('MPG Payment '!$E$3:$E$344841,'Shayak Income '!D451,'MPG Payment '!$S$3:$S$344841)</f>
        <v>0</v>
      </c>
      <c r="R451" s="126">
        <f t="shared" si="108"/>
        <v>766.44389999999999</v>
      </c>
      <c r="S451" s="126">
        <f t="shared" si="109"/>
        <v>151.50890000000004</v>
      </c>
      <c r="T451" s="126">
        <f t="shared" si="118"/>
        <v>64.73</v>
      </c>
      <c r="U451" s="127">
        <f>((((((IF(K451="New",0,SUMIF('MPG Payment '!$E$3:$E$344841,'Shayak Income '!D451,'MPG Payment '!$AC$3:$AC$344841))))+0)+0)+0)+0)+-664</f>
        <v>1035.7903808393767</v>
      </c>
      <c r="V451" s="127">
        <f t="shared" si="119"/>
        <v>0</v>
      </c>
      <c r="W451" s="19">
        <v>0</v>
      </c>
      <c r="X451" s="19">
        <v>0</v>
      </c>
      <c r="Y451" s="128">
        <v>0</v>
      </c>
      <c r="Z451" s="128">
        <v>0</v>
      </c>
      <c r="AA451" s="126">
        <v>0</v>
      </c>
      <c r="AB451" s="129">
        <f t="shared" si="110"/>
        <v>0</v>
      </c>
      <c r="AC451" s="130">
        <v>0</v>
      </c>
      <c r="AD451" s="35">
        <f t="shared" si="120"/>
        <v>0</v>
      </c>
      <c r="AE451" s="166" t="str">
        <f t="shared" si="121"/>
        <v>Release</v>
      </c>
      <c r="AF451" s="127"/>
      <c r="AG451" s="18">
        <v>0</v>
      </c>
      <c r="AH451" s="132"/>
      <c r="AI451" s="238">
        <v>0</v>
      </c>
      <c r="AJ451" s="132"/>
      <c r="AK451" s="151">
        <v>95.3</v>
      </c>
      <c r="AL451" s="154">
        <f t="shared" si="111"/>
        <v>0</v>
      </c>
      <c r="AM451" s="155"/>
      <c r="AN451" s="19">
        <f t="shared" si="112"/>
        <v>1861</v>
      </c>
      <c r="AO451" s="118">
        <f>SUMIF('MPG Payment '!E:E,'Shayak Income '!D451,'MPG Payment '!AJ:AJ)</f>
        <v>0</v>
      </c>
      <c r="AP451" s="19">
        <f t="shared" si="113"/>
        <v>0</v>
      </c>
      <c r="AQ451" s="119">
        <f t="shared" si="122"/>
        <v>0</v>
      </c>
      <c r="AR451" s="91"/>
      <c r="AS451" s="91">
        <f t="shared" si="114"/>
        <v>2329.0893371431998</v>
      </c>
      <c r="AT451" s="118"/>
      <c r="AU451" s="118"/>
      <c r="AV451" s="118"/>
    </row>
    <row r="452" spans="1:48" s="20" customFormat="1" x14ac:dyDescent="0.25">
      <c r="A452" s="17">
        <f>IFERROR(VLOOKUP(D452,'Monthly Deduction'!$I$3:$J$957,2,0),0)</f>
        <v>0</v>
      </c>
      <c r="B452" s="17">
        <f>IFERROR(VLOOKUP(D452,'Monthly Deduction'!$E$3:$F$957,2,0),0)</f>
        <v>0</v>
      </c>
      <c r="C452" s="17">
        <f t="shared" si="115"/>
        <v>0</v>
      </c>
      <c r="D452" s="41">
        <v>10140109</v>
      </c>
      <c r="E452" s="122" t="str">
        <f>VLOOKUP(D452,'MPG Payment '!$E$3:$G$497305,2,0)</f>
        <v>Gomukh Kajipura Chandan</v>
      </c>
      <c r="F452" s="146">
        <f>IFERROR(_xlfn.XLOOKUP(D452,'Monthly Deduction'!$I$3:$I$957,'Monthly Deduction'!$H$3:$H$957),0)</f>
        <v>0</v>
      </c>
      <c r="G452" s="123" t="str">
        <f>VLOOKUP(D452,'MPG Payment '!$E$3:$G$333666,3,0)</f>
        <v>vlc</v>
      </c>
      <c r="H452" s="124" t="str">
        <f>VLOOKUP(D452,'MPG Payment '!$E$3:$H$333666,4,0)</f>
        <v>Indirect</v>
      </c>
      <c r="I452" s="88">
        <f>INDEX('MPG Payment '!$C:$C,MATCH('Shayak Income '!D452,'MPG Payment '!E:E,0))</f>
        <v>1014</v>
      </c>
      <c r="J452" s="88" t="str">
        <f>INDEX('MPG Payment '!$D:$D,MATCH('Shayak Income '!D452,'MPG Payment '!E:E,0))</f>
        <v>Dumraon</v>
      </c>
      <c r="K452" s="125" t="s">
        <v>1594</v>
      </c>
      <c r="L452" s="125">
        <v>45444</v>
      </c>
      <c r="M452" s="126">
        <f>SUMIF('MPG Payment '!$E$3:$E$344841,'Shayak Income '!D452,'MPG Payment '!$I$3:$I$344841)</f>
        <v>2826.9000000000005</v>
      </c>
      <c r="N452" s="126">
        <f>SUMIF('MPG Payment '!$E$3:$E$344841,'Shayak Income '!D452,'MPG Payment '!$J$3:$J$344841)</f>
        <v>106111.28</v>
      </c>
      <c r="O452" s="126">
        <f t="shared" si="116"/>
        <v>2120.1750000000002</v>
      </c>
      <c r="P452" s="126">
        <f t="shared" si="117"/>
        <v>2685.5550000000003</v>
      </c>
      <c r="Q452" s="126">
        <f>SUMIF('MPG Payment '!$E$3:$E$344841,'Shayak Income '!D452,'MPG Payment '!$S$3:$S$344841)</f>
        <v>0</v>
      </c>
      <c r="R452" s="126">
        <f t="shared" ref="R452:R515" si="127">+N452*3%</f>
        <v>3183.3383999999996</v>
      </c>
      <c r="S452" s="126">
        <f t="shared" ref="S452:S515" si="128">R452-P452</f>
        <v>497.78339999999935</v>
      </c>
      <c r="T452" s="126">
        <f t="shared" si="118"/>
        <v>282.69000000000005</v>
      </c>
      <c r="U452" s="127">
        <f>((((((IF(K452="New",0,SUMIF('MPG Payment '!$E$3:$E$344841,'Shayak Income '!D452,'MPG Payment '!$AC$3:$AC$344841))))+0)+0)+0)+0)+0</f>
        <v>88.176731426393289</v>
      </c>
      <c r="V452" s="127">
        <f t="shared" si="119"/>
        <v>4435</v>
      </c>
      <c r="W452" s="19">
        <f t="shared" si="123"/>
        <v>0</v>
      </c>
      <c r="X452" s="19">
        <f t="shared" ref="X452:X515" si="129">((MIN(IF(B452&gt;0,MAX(N452*2%),0),B452)))+0</f>
        <v>0</v>
      </c>
      <c r="Y452" s="128">
        <f>IFERROR(VLOOKUP(D452,'Monthly Deduction'!$M$2:$N$640,2,0),0)</f>
        <v>0</v>
      </c>
      <c r="Z452" s="128">
        <v>0</v>
      </c>
      <c r="AA452" s="126">
        <f>IFERROR(VLOOKUP(D452,'Monthly Deduction'!A:B,2,0),0)</f>
        <v>0</v>
      </c>
      <c r="AB452" s="129">
        <f t="shared" ref="AB452:AB515" si="130">ROUND(IFERROR(V452-SUM(W452:AA452),0),0)</f>
        <v>4435</v>
      </c>
      <c r="AC452" s="130">
        <v>0</v>
      </c>
      <c r="AD452" s="35">
        <f t="shared" si="120"/>
        <v>4435</v>
      </c>
      <c r="AE452" s="166" t="str">
        <f t="shared" si="121"/>
        <v>Release</v>
      </c>
      <c r="AF452" s="127"/>
      <c r="AG452" s="18">
        <v>0</v>
      </c>
      <c r="AH452" s="120"/>
      <c r="AI452" s="238">
        <v>0</v>
      </c>
      <c r="AJ452" s="132"/>
      <c r="AK452" s="151">
        <v>242.1</v>
      </c>
      <c r="AL452" s="154">
        <f t="shared" ref="AL452:AL515" si="131">COUNTIF(AK452:AK452,"=NA")</f>
        <v>0</v>
      </c>
      <c r="AM452" s="155"/>
      <c r="AN452" s="19">
        <f t="shared" ref="AN452:AN515" si="132">((MIN(IF(A452&gt;0,MAX(N452*2%,1861),0),A452)))+0</f>
        <v>0</v>
      </c>
      <c r="AO452" s="118">
        <f>SUMIF('MPG Payment '!E:E,'Shayak Income '!D452,'MPG Payment '!AJ:AJ)</f>
        <v>0</v>
      </c>
      <c r="AP452" s="19">
        <f t="shared" ref="AP452:AP515" si="133">W452</f>
        <v>0</v>
      </c>
      <c r="AQ452" s="119">
        <f t="shared" si="122"/>
        <v>0</v>
      </c>
      <c r="AR452" s="91" t="s">
        <v>1144</v>
      </c>
      <c r="AS452" s="91">
        <f t="shared" ref="AS452:AS515" si="134">B452-X452</f>
        <v>0</v>
      </c>
      <c r="AT452" s="118"/>
      <c r="AU452" s="118"/>
      <c r="AV452" s="118"/>
    </row>
    <row r="453" spans="1:48" s="20" customFormat="1" x14ac:dyDescent="0.25">
      <c r="A453" s="17">
        <f>IFERROR(VLOOKUP(D453,'Monthly Deduction'!$I$3:$J$957,2,0),0)</f>
        <v>67783</v>
      </c>
      <c r="B453" s="17">
        <f>IFERROR(VLOOKUP(D453,'Monthly Deduction'!$E$3:$F$957,2,0),0)</f>
        <v>3200</v>
      </c>
      <c r="C453" s="17">
        <f t="shared" ref="C453:C516" si="135">A453+B453</f>
        <v>70983</v>
      </c>
      <c r="D453" s="41">
        <v>10140120</v>
      </c>
      <c r="E453" s="122" t="str">
        <f>VLOOKUP(D453,'MPG Payment '!$E$3:$G$497305,2,0)</f>
        <v>Gomukh Sikraul Lakh</v>
      </c>
      <c r="F453" s="146">
        <f>IFERROR(_xlfn.XLOOKUP(D453,'Monthly Deduction'!$I$3:$I$957,'Monthly Deduction'!$H$3:$H$957),0)</f>
        <v>0</v>
      </c>
      <c r="G453" s="123" t="str">
        <f>VLOOKUP(D453,'MPG Payment '!$E$3:$G$333666,3,0)</f>
        <v>MPG</v>
      </c>
      <c r="H453" s="124" t="str">
        <f>VLOOKUP(D453,'MPG Payment '!$E$3:$H$333666,4,0)</f>
        <v>Direct</v>
      </c>
      <c r="I453" s="88">
        <f>INDEX('MPG Payment '!$C:$C,MATCH('Shayak Income '!D453,'MPG Payment '!E:E,0))</f>
        <v>1014</v>
      </c>
      <c r="J453" s="88" t="str">
        <f>INDEX('MPG Payment '!$D:$D,MATCH('Shayak Income '!D453,'MPG Payment '!E:E,0))</f>
        <v>Dumraon</v>
      </c>
      <c r="K453" s="125" t="s">
        <v>1594</v>
      </c>
      <c r="L453" s="125">
        <v>45590</v>
      </c>
      <c r="M453" s="126">
        <f>SUMIF('MPG Payment '!$E$3:$E$344841,'Shayak Income '!D453,'MPG Payment '!$I$3:$I$344841)</f>
        <v>2117.4</v>
      </c>
      <c r="N453" s="126">
        <f>SUMIF('MPG Payment '!$E$3:$E$344841,'Shayak Income '!D453,'MPG Payment '!$J$3:$J$344841)</f>
        <v>87770.189999999988</v>
      </c>
      <c r="O453" s="126">
        <f t="shared" ref="O453:O516" si="136">+M453*0.75</f>
        <v>1588.0500000000002</v>
      </c>
      <c r="P453" s="126">
        <f t="shared" ref="P453:P516" si="137">+M453*0.95</f>
        <v>2011.53</v>
      </c>
      <c r="Q453" s="126">
        <f>SUMIF('MPG Payment '!$E$3:$E$344841,'Shayak Income '!D453,'MPG Payment '!$S$3:$S$344841)</f>
        <v>1330.05</v>
      </c>
      <c r="R453" s="126">
        <f t="shared" si="127"/>
        <v>2633.1056999999996</v>
      </c>
      <c r="S453" s="126">
        <f t="shared" si="128"/>
        <v>621.57569999999964</v>
      </c>
      <c r="T453" s="126">
        <f t="shared" ref="T453:T516" si="138">M453*0.1</f>
        <v>211.74</v>
      </c>
      <c r="U453" s="127">
        <f>((((((IF(K453="New",0,SUMIF('MPG Payment '!$E$3:$E$344841,'Shayak Income '!D453,'MPG Payment '!$AC$3:$AC$344841))))+0)+0)+0)+0)+0</f>
        <v>567.44367371544161</v>
      </c>
      <c r="V453" s="127">
        <f t="shared" ref="V453:V516" si="139">ROUND((SUM(O453:Q453)-SUM(T453:U453)),0)</f>
        <v>4150</v>
      </c>
      <c r="W453" s="19">
        <f t="shared" ref="W453:W516" si="140">(((AN453-AO453)))+0</f>
        <v>1861</v>
      </c>
      <c r="X453" s="19">
        <v>0</v>
      </c>
      <c r="Y453" s="128">
        <f>IFERROR(VLOOKUP(D453,'Monthly Deduction'!$M$2:$N$640,2,0),0)</f>
        <v>0</v>
      </c>
      <c r="Z453" s="128">
        <v>0</v>
      </c>
      <c r="AA453" s="126">
        <f>IFERROR(VLOOKUP(D453,'Monthly Deduction'!A:B,2,0),0)</f>
        <v>0</v>
      </c>
      <c r="AB453" s="129">
        <f t="shared" si="130"/>
        <v>2289</v>
      </c>
      <c r="AC453" s="130">
        <v>0</v>
      </c>
      <c r="AD453" s="35">
        <f t="shared" ref="AD453:AD516" si="141">ROUND(AB453-AC453,0)</f>
        <v>2289</v>
      </c>
      <c r="AE453" s="166" t="str">
        <f t="shared" ref="AE453:AE516" si="142">IF(AC453&lt;&gt;0,"Yes","Release")</f>
        <v>Release</v>
      </c>
      <c r="AF453" s="127"/>
      <c r="AG453" s="18">
        <v>0</v>
      </c>
      <c r="AH453" s="132"/>
      <c r="AI453" s="238">
        <v>0</v>
      </c>
      <c r="AJ453" s="132"/>
      <c r="AK453" s="151">
        <v>557.9</v>
      </c>
      <c r="AL453" s="154">
        <f t="shared" si="131"/>
        <v>0</v>
      </c>
      <c r="AM453" s="155"/>
      <c r="AN453" s="19">
        <f t="shared" si="132"/>
        <v>1861</v>
      </c>
      <c r="AO453" s="118">
        <f>SUMIF('MPG Payment '!E:E,'Shayak Income '!D453,'MPG Payment '!AJ:AJ)</f>
        <v>0</v>
      </c>
      <c r="AP453" s="19">
        <f t="shared" si="133"/>
        <v>1861</v>
      </c>
      <c r="AQ453" s="119">
        <f t="shared" ref="AQ453:AQ516" si="143">AO453+AP453</f>
        <v>1861</v>
      </c>
      <c r="AR453" s="91" t="s">
        <v>1144</v>
      </c>
      <c r="AS453" s="91">
        <f t="shared" si="134"/>
        <v>3200</v>
      </c>
      <c r="AT453" s="118"/>
      <c r="AU453" s="118"/>
      <c r="AV453" s="118"/>
    </row>
    <row r="454" spans="1:48" s="20" customFormat="1" x14ac:dyDescent="0.25">
      <c r="A454" s="17">
        <f>IFERROR(VLOOKUP(D454,'Monthly Deduction'!$I$3:$J$957,2,0),0)</f>
        <v>65187.065571768006</v>
      </c>
      <c r="B454" s="17">
        <f>IFERROR(VLOOKUP(D454,'Monthly Deduction'!$E$3:$F$957,2,0),0)</f>
        <v>9600</v>
      </c>
      <c r="C454" s="17">
        <f t="shared" si="135"/>
        <v>74787.065571768006</v>
      </c>
      <c r="D454" s="41">
        <v>10140126</v>
      </c>
      <c r="E454" s="122" t="str">
        <f>VLOOKUP(D454,'MPG Payment '!$E$3:$G$497305,2,0)</f>
        <v>Gomukh Dafadihari</v>
      </c>
      <c r="F454" s="146">
        <f>IFERROR(_xlfn.XLOOKUP(D454,'Monthly Deduction'!$I$3:$I$957,'Monthly Deduction'!$H$3:$H$957),0)</f>
        <v>0</v>
      </c>
      <c r="G454" s="123" t="str">
        <f>VLOOKUP(D454,'MPG Payment '!$E$3:$G$333666,3,0)</f>
        <v>MPG</v>
      </c>
      <c r="H454" s="124" t="str">
        <f>VLOOKUP(D454,'MPG Payment '!$E$3:$H$333666,4,0)</f>
        <v>Direct</v>
      </c>
      <c r="I454" s="88">
        <f>INDEX('MPG Payment '!$C:$C,MATCH('Shayak Income '!D454,'MPG Payment '!E:E,0))</f>
        <v>1014</v>
      </c>
      <c r="J454" s="88" t="str">
        <f>INDEX('MPG Payment '!$D:$D,MATCH('Shayak Income '!D454,'MPG Payment '!E:E,0))</f>
        <v>Dumraon</v>
      </c>
      <c r="K454" s="125" t="s">
        <v>1594</v>
      </c>
      <c r="L454" s="125">
        <v>45590</v>
      </c>
      <c r="M454" s="126">
        <f>SUMIF('MPG Payment '!$E$3:$E$344841,'Shayak Income '!D454,'MPG Payment '!$I$3:$I$344841)</f>
        <v>810.80000000000007</v>
      </c>
      <c r="N454" s="126">
        <f>SUMIF('MPG Payment '!$E$3:$E$344841,'Shayak Income '!D454,'MPG Payment '!$J$3:$J$344841)</f>
        <v>29743.489999999998</v>
      </c>
      <c r="O454" s="126">
        <f t="shared" si="136"/>
        <v>608.1</v>
      </c>
      <c r="P454" s="126">
        <f t="shared" si="137"/>
        <v>770.26</v>
      </c>
      <c r="Q454" s="126">
        <f>SUMIF('MPG Payment '!$E$3:$E$344841,'Shayak Income '!D454,'MPG Payment '!$S$3:$S$344841)</f>
        <v>268.17</v>
      </c>
      <c r="R454" s="126">
        <f t="shared" si="127"/>
        <v>892.30469999999991</v>
      </c>
      <c r="S454" s="126">
        <f t="shared" si="128"/>
        <v>122.04469999999992</v>
      </c>
      <c r="T454" s="126">
        <f t="shared" si="138"/>
        <v>81.080000000000013</v>
      </c>
      <c r="U454" s="127">
        <f>((((((IF(K454="New",0,SUMIF('MPG Payment '!$E$3:$E$344841,'Shayak Income '!D454,'MPG Payment '!$AC$3:$AC$344841))))+0)+0)+0)+0)+0</f>
        <v>1459.9101891258756</v>
      </c>
      <c r="V454" s="127">
        <f t="shared" si="139"/>
        <v>106</v>
      </c>
      <c r="W454" s="19">
        <v>106</v>
      </c>
      <c r="X454" s="19">
        <v>0</v>
      </c>
      <c r="Y454" s="128">
        <f>IFERROR(VLOOKUP(D454,'Monthly Deduction'!$M$2:$N$640,2,0),0)</f>
        <v>0</v>
      </c>
      <c r="Z454" s="128">
        <v>0</v>
      </c>
      <c r="AA454" s="126">
        <v>0</v>
      </c>
      <c r="AB454" s="129">
        <f t="shared" si="130"/>
        <v>0</v>
      </c>
      <c r="AC454" s="130">
        <v>0</v>
      </c>
      <c r="AD454" s="35">
        <f t="shared" si="141"/>
        <v>0</v>
      </c>
      <c r="AE454" s="166" t="str">
        <f t="shared" si="142"/>
        <v>Release</v>
      </c>
      <c r="AF454" s="127"/>
      <c r="AG454" s="18">
        <v>0</v>
      </c>
      <c r="AH454" s="120"/>
      <c r="AI454" s="238">
        <v>0</v>
      </c>
      <c r="AJ454" s="132"/>
      <c r="AK454" s="151">
        <v>152.30000000000001</v>
      </c>
      <c r="AL454" s="154">
        <f t="shared" si="131"/>
        <v>0</v>
      </c>
      <c r="AM454" s="155"/>
      <c r="AN454" s="19">
        <f t="shared" si="132"/>
        <v>1861</v>
      </c>
      <c r="AO454" s="118">
        <f>SUMIF('MPG Payment '!E:E,'Shayak Income '!D454,'MPG Payment '!AJ:AJ)</f>
        <v>0</v>
      </c>
      <c r="AP454" s="19">
        <f t="shared" si="133"/>
        <v>106</v>
      </c>
      <c r="AQ454" s="119">
        <f t="shared" si="143"/>
        <v>106</v>
      </c>
      <c r="AR454" s="91" t="s">
        <v>1144</v>
      </c>
      <c r="AS454" s="91">
        <f t="shared" si="134"/>
        <v>9600</v>
      </c>
      <c r="AT454" s="118"/>
      <c r="AU454" s="118"/>
      <c r="AV454" s="118"/>
    </row>
    <row r="455" spans="1:48" s="20" customFormat="1" x14ac:dyDescent="0.25">
      <c r="A455" s="17">
        <f>IFERROR(VLOOKUP(D455,'Monthly Deduction'!$I$3:$J$957,2,0),0)</f>
        <v>42784.719413926781</v>
      </c>
      <c r="B455" s="17">
        <f>IFERROR(VLOOKUP(D455,'Monthly Deduction'!$E$3:$F$957,2,0),0)</f>
        <v>5900</v>
      </c>
      <c r="C455" s="17">
        <f t="shared" si="135"/>
        <v>48684.719413926781</v>
      </c>
      <c r="D455" s="41">
        <v>10140129</v>
      </c>
      <c r="E455" s="122" t="str">
        <f>VLOOKUP(D455,'MPG Payment '!$E$3:$G$497305,2,0)</f>
        <v>Gomukh Paharpur</v>
      </c>
      <c r="F455" s="146">
        <f>IFERROR(_xlfn.XLOOKUP(D455,'Monthly Deduction'!$I$3:$I$957,'Monthly Deduction'!$H$3:$H$957),0)</f>
        <v>0</v>
      </c>
      <c r="G455" s="123" t="str">
        <f>VLOOKUP(D455,'MPG Payment '!$E$3:$G$333666,3,0)</f>
        <v>MPG</v>
      </c>
      <c r="H455" s="124" t="str">
        <f>VLOOKUP(D455,'MPG Payment '!$E$3:$H$333666,4,0)</f>
        <v>Direct</v>
      </c>
      <c r="I455" s="88">
        <f>INDEX('MPG Payment '!$C:$C,MATCH('Shayak Income '!D455,'MPG Payment '!E:E,0))</f>
        <v>1014</v>
      </c>
      <c r="J455" s="88" t="str">
        <f>INDEX('MPG Payment '!$D:$D,MATCH('Shayak Income '!D455,'MPG Payment '!E:E,0))</f>
        <v>Dumraon</v>
      </c>
      <c r="K455" s="125" t="s">
        <v>1594</v>
      </c>
      <c r="L455" s="125">
        <v>45590</v>
      </c>
      <c r="M455" s="126">
        <f>SUMIF('MPG Payment '!$E$3:$E$344841,'Shayak Income '!D455,'MPG Payment '!$I$3:$I$344841)</f>
        <v>429.4</v>
      </c>
      <c r="N455" s="126">
        <f>SUMIF('MPG Payment '!$E$3:$E$344841,'Shayak Income '!D455,'MPG Payment '!$J$3:$J$344841)</f>
        <v>15981.86</v>
      </c>
      <c r="O455" s="126">
        <f t="shared" si="136"/>
        <v>322.04999999999995</v>
      </c>
      <c r="P455" s="126">
        <f t="shared" si="137"/>
        <v>407.92999999999995</v>
      </c>
      <c r="Q455" s="126">
        <f>SUMIF('MPG Payment '!$E$3:$E$344841,'Shayak Income '!D455,'MPG Payment '!$S$3:$S$344841)</f>
        <v>0</v>
      </c>
      <c r="R455" s="126">
        <f t="shared" si="127"/>
        <v>479.45580000000001</v>
      </c>
      <c r="S455" s="126">
        <f t="shared" si="128"/>
        <v>71.525800000000061</v>
      </c>
      <c r="T455" s="126">
        <f t="shared" si="138"/>
        <v>42.94</v>
      </c>
      <c r="U455" s="127">
        <f>((((((IF(K455="New",0,SUMIF('MPG Payment '!$E$3:$E$344841,'Shayak Income '!D455,'MPG Payment '!$AC$3:$AC$344841))))+0)+0)+0)+0)+-1072</f>
        <v>686.66297858134044</v>
      </c>
      <c r="V455" s="127">
        <f t="shared" si="139"/>
        <v>0</v>
      </c>
      <c r="W455" s="19">
        <v>0</v>
      </c>
      <c r="X455" s="19">
        <v>0</v>
      </c>
      <c r="Y455" s="128">
        <v>0</v>
      </c>
      <c r="Z455" s="128">
        <v>0</v>
      </c>
      <c r="AA455" s="126">
        <v>0</v>
      </c>
      <c r="AB455" s="129">
        <f t="shared" si="130"/>
        <v>0</v>
      </c>
      <c r="AC455" s="130">
        <f>AB455</f>
        <v>0</v>
      </c>
      <c r="AD455" s="35">
        <f t="shared" si="141"/>
        <v>0</v>
      </c>
      <c r="AE455" s="166" t="str">
        <f t="shared" si="142"/>
        <v>Release</v>
      </c>
      <c r="AF455" s="127"/>
      <c r="AG455" s="18">
        <v>0</v>
      </c>
      <c r="AH455" s="120" t="s">
        <v>1685</v>
      </c>
      <c r="AI455" s="238">
        <v>110</v>
      </c>
      <c r="AJ455" s="132"/>
      <c r="AK455" s="151">
        <v>102.7</v>
      </c>
      <c r="AL455" s="154">
        <f t="shared" si="131"/>
        <v>0</v>
      </c>
      <c r="AM455" s="155"/>
      <c r="AN455" s="19">
        <f t="shared" si="132"/>
        <v>1861</v>
      </c>
      <c r="AO455" s="118">
        <f>SUMIF('MPG Payment '!E:E,'Shayak Income '!D455,'MPG Payment '!AJ:AJ)</f>
        <v>2000</v>
      </c>
      <c r="AP455" s="19">
        <f t="shared" si="133"/>
        <v>0</v>
      </c>
      <c r="AQ455" s="119">
        <f t="shared" si="143"/>
        <v>2000</v>
      </c>
      <c r="AR455" s="91" t="s">
        <v>1144</v>
      </c>
      <c r="AS455" s="91">
        <f t="shared" si="134"/>
        <v>5900</v>
      </c>
      <c r="AT455" s="118"/>
      <c r="AU455" s="118"/>
      <c r="AV455" s="118"/>
    </row>
    <row r="456" spans="1:48" s="20" customFormat="1" x14ac:dyDescent="0.25">
      <c r="A456" s="17">
        <f>IFERROR(VLOOKUP(D456,'Monthly Deduction'!$I$3:$J$957,2,0),0)</f>
        <v>90992.81877117914</v>
      </c>
      <c r="B456" s="17">
        <f>IFERROR(VLOOKUP(D456,'Monthly Deduction'!$E$3:$F$957,2,0),0)</f>
        <v>8288.0897999999997</v>
      </c>
      <c r="C456" s="17">
        <f t="shared" si="135"/>
        <v>99280.908571179141</v>
      </c>
      <c r="D456" s="41">
        <v>10140131</v>
      </c>
      <c r="E456" s="122" t="str">
        <f>VLOOKUP(D456,'MPG Payment '!$E$3:$G$497305,2,0)</f>
        <v>Gomukh Basaon Kalan</v>
      </c>
      <c r="F456" s="146">
        <f>IFERROR(_xlfn.XLOOKUP(D456,'Monthly Deduction'!$I$3:$I$957,'Monthly Deduction'!$H$3:$H$957),0)</f>
        <v>0</v>
      </c>
      <c r="G456" s="123" t="str">
        <f>VLOOKUP(D456,'MPG Payment '!$E$3:$G$333666,3,0)</f>
        <v>MPG</v>
      </c>
      <c r="H456" s="124" t="str">
        <f>VLOOKUP(D456,'MPG Payment '!$E$3:$H$333666,4,0)</f>
        <v>Direct</v>
      </c>
      <c r="I456" s="88">
        <f>INDEX('MPG Payment '!$C:$C,MATCH('Shayak Income '!D456,'MPG Payment '!E:E,0))</f>
        <v>1014</v>
      </c>
      <c r="J456" s="88" t="str">
        <f>INDEX('MPG Payment '!$D:$D,MATCH('Shayak Income '!D456,'MPG Payment '!E:E,0))</f>
        <v>Dumraon</v>
      </c>
      <c r="K456" s="125" t="s">
        <v>1594</v>
      </c>
      <c r="L456" s="125">
        <v>45590</v>
      </c>
      <c r="M456" s="126">
        <f>SUMIF('MPG Payment '!$E$3:$E$344841,'Shayak Income '!D456,'MPG Payment '!$I$3:$I$344841)</f>
        <v>171.5</v>
      </c>
      <c r="N456" s="126">
        <f>SUMIF('MPG Payment '!$E$3:$E$344841,'Shayak Income '!D456,'MPG Payment '!$J$3:$J$344841)</f>
        <v>6382.42</v>
      </c>
      <c r="O456" s="126">
        <f t="shared" si="136"/>
        <v>128.625</v>
      </c>
      <c r="P456" s="126">
        <f t="shared" si="137"/>
        <v>162.92499999999998</v>
      </c>
      <c r="Q456" s="126">
        <f>SUMIF('MPG Payment '!$E$3:$E$344841,'Shayak Income '!D456,'MPG Payment '!$S$3:$S$344841)</f>
        <v>0</v>
      </c>
      <c r="R456" s="126">
        <f t="shared" si="127"/>
        <v>191.4726</v>
      </c>
      <c r="S456" s="126">
        <f t="shared" si="128"/>
        <v>28.547600000000017</v>
      </c>
      <c r="T456" s="126">
        <f t="shared" si="138"/>
        <v>17.150000000000002</v>
      </c>
      <c r="U456" s="127">
        <f>((((((IF(K456="New",0,SUMIF('MPG Payment '!$E$3:$E$344841,'Shayak Income '!D456,'MPG Payment '!$AC$3:$AC$344841))))+0)+0)+0)+0)+-1718</f>
        <v>274.17260703630745</v>
      </c>
      <c r="V456" s="127">
        <f t="shared" si="139"/>
        <v>0</v>
      </c>
      <c r="W456" s="19">
        <v>0</v>
      </c>
      <c r="X456" s="19">
        <v>0</v>
      </c>
      <c r="Y456" s="128">
        <v>0</v>
      </c>
      <c r="Z456" s="128">
        <v>0</v>
      </c>
      <c r="AA456" s="126">
        <v>0</v>
      </c>
      <c r="AB456" s="129">
        <f t="shared" si="130"/>
        <v>0</v>
      </c>
      <c r="AC456" s="130">
        <v>0</v>
      </c>
      <c r="AD456" s="35">
        <f t="shared" si="141"/>
        <v>0</v>
      </c>
      <c r="AE456" s="166" t="str">
        <f t="shared" si="142"/>
        <v>Release</v>
      </c>
      <c r="AF456" s="127"/>
      <c r="AG456" s="18">
        <v>0</v>
      </c>
      <c r="AH456" s="120"/>
      <c r="AI456" s="238">
        <v>0</v>
      </c>
      <c r="AJ456" s="132"/>
      <c r="AK456" s="151">
        <v>59.199999999999996</v>
      </c>
      <c r="AL456" s="154">
        <f t="shared" si="131"/>
        <v>0</v>
      </c>
      <c r="AM456" s="155"/>
      <c r="AN456" s="19">
        <f t="shared" si="132"/>
        <v>1861</v>
      </c>
      <c r="AO456" s="118">
        <f>SUMIF('MPG Payment '!E:E,'Shayak Income '!D456,'MPG Payment '!AJ:AJ)</f>
        <v>0</v>
      </c>
      <c r="AP456" s="19">
        <f t="shared" si="133"/>
        <v>0</v>
      </c>
      <c r="AQ456" s="119">
        <f t="shared" si="143"/>
        <v>0</v>
      </c>
      <c r="AR456" s="91" t="s">
        <v>1144</v>
      </c>
      <c r="AS456" s="91">
        <f t="shared" si="134"/>
        <v>8288.0897999999997</v>
      </c>
      <c r="AT456" s="118"/>
      <c r="AU456" s="118"/>
      <c r="AV456" s="118"/>
    </row>
    <row r="457" spans="1:48" s="20" customFormat="1" x14ac:dyDescent="0.25">
      <c r="A457" s="17">
        <f>IFERROR(VLOOKUP(D457,'Monthly Deduction'!$I$3:$J$957,2,0),0)</f>
        <v>57343</v>
      </c>
      <c r="B457" s="17">
        <f>IFERROR(VLOOKUP(D457,'Monthly Deduction'!$E$3:$F$957,2,0),0)</f>
        <v>6400</v>
      </c>
      <c r="C457" s="17">
        <f t="shared" si="135"/>
        <v>63743</v>
      </c>
      <c r="D457" s="41">
        <v>10140132</v>
      </c>
      <c r="E457" s="122" t="str">
        <f>VLOOKUP(D457,'MPG Payment '!$E$3:$G$497305,2,0)</f>
        <v>Gomukh Mangolpur</v>
      </c>
      <c r="F457" s="146">
        <f>IFERROR(_xlfn.XLOOKUP(D457,'Monthly Deduction'!$I$3:$I$957,'Monthly Deduction'!$H$3:$H$957),0)</f>
        <v>0</v>
      </c>
      <c r="G457" s="123" t="str">
        <f>VLOOKUP(D457,'MPG Payment '!$E$3:$G$333666,3,0)</f>
        <v>MPG</v>
      </c>
      <c r="H457" s="124" t="str">
        <f>VLOOKUP(D457,'MPG Payment '!$E$3:$H$333666,4,0)</f>
        <v>Direct</v>
      </c>
      <c r="I457" s="88">
        <f>INDEX('MPG Payment '!$C:$C,MATCH('Shayak Income '!D457,'MPG Payment '!E:E,0))</f>
        <v>1014</v>
      </c>
      <c r="J457" s="88" t="str">
        <f>INDEX('MPG Payment '!$D:$D,MATCH('Shayak Income '!D457,'MPG Payment '!E:E,0))</f>
        <v>Dumraon</v>
      </c>
      <c r="K457" s="125" t="s">
        <v>1594</v>
      </c>
      <c r="L457" s="125">
        <v>45590</v>
      </c>
      <c r="M457" s="126">
        <f>SUMIF('MPG Payment '!$E$3:$E$344841,'Shayak Income '!D457,'MPG Payment '!$I$3:$I$344841)</f>
        <v>1417.7000000000003</v>
      </c>
      <c r="N457" s="126">
        <f>SUMIF('MPG Payment '!$E$3:$E$344841,'Shayak Income '!D457,'MPG Payment '!$J$3:$J$344841)</f>
        <v>49379.560000000012</v>
      </c>
      <c r="O457" s="126">
        <f t="shared" si="136"/>
        <v>1063.2750000000001</v>
      </c>
      <c r="P457" s="126">
        <f t="shared" si="137"/>
        <v>1346.8150000000003</v>
      </c>
      <c r="Q457" s="126">
        <f>SUMIF('MPG Payment '!$E$3:$E$344841,'Shayak Income '!D457,'MPG Payment '!$S$3:$S$344841)</f>
        <v>759.28</v>
      </c>
      <c r="R457" s="126">
        <f t="shared" si="127"/>
        <v>1481.3868000000002</v>
      </c>
      <c r="S457" s="126">
        <f t="shared" si="128"/>
        <v>134.57179999999994</v>
      </c>
      <c r="T457" s="126">
        <f t="shared" si="138"/>
        <v>141.77000000000004</v>
      </c>
      <c r="U457" s="127">
        <f>((((((IF(K457="New",0,SUMIF('MPG Payment '!$E$3:$E$344841,'Shayak Income '!D457,'MPG Payment '!$AC$3:$AC$344841))))+0)+0)+0)+0)+0</f>
        <v>962.80355786756866</v>
      </c>
      <c r="V457" s="127">
        <f t="shared" si="139"/>
        <v>2065</v>
      </c>
      <c r="W457" s="19">
        <f t="shared" si="140"/>
        <v>1861</v>
      </c>
      <c r="X457" s="19">
        <v>0</v>
      </c>
      <c r="Y457" s="128">
        <v>204</v>
      </c>
      <c r="Z457" s="128">
        <v>0</v>
      </c>
      <c r="AA457" s="126">
        <v>0</v>
      </c>
      <c r="AB457" s="129">
        <f t="shared" si="130"/>
        <v>0</v>
      </c>
      <c r="AC457" s="130">
        <v>0</v>
      </c>
      <c r="AD457" s="35">
        <f t="shared" si="141"/>
        <v>0</v>
      </c>
      <c r="AE457" s="166" t="str">
        <f t="shared" si="142"/>
        <v>Release</v>
      </c>
      <c r="AF457" s="127"/>
      <c r="AG457" s="18">
        <v>0</v>
      </c>
      <c r="AH457" s="132"/>
      <c r="AI457" s="238">
        <v>0</v>
      </c>
      <c r="AJ457" s="132"/>
      <c r="AK457" s="151">
        <v>383.59999999999991</v>
      </c>
      <c r="AL457" s="154">
        <f t="shared" si="131"/>
        <v>0</v>
      </c>
      <c r="AM457" s="155"/>
      <c r="AN457" s="19">
        <f t="shared" si="132"/>
        <v>1861</v>
      </c>
      <c r="AO457" s="118">
        <f>SUMIF('MPG Payment '!E:E,'Shayak Income '!D457,'MPG Payment '!AJ:AJ)</f>
        <v>0</v>
      </c>
      <c r="AP457" s="19">
        <f t="shared" si="133"/>
        <v>1861</v>
      </c>
      <c r="AQ457" s="119">
        <f t="shared" si="143"/>
        <v>1861</v>
      </c>
      <c r="AR457" s="91" t="s">
        <v>1144</v>
      </c>
      <c r="AS457" s="91">
        <f t="shared" si="134"/>
        <v>6400</v>
      </c>
      <c r="AT457" s="118"/>
      <c r="AU457" s="118"/>
      <c r="AV457" s="118"/>
    </row>
    <row r="458" spans="1:48" s="20" customFormat="1" x14ac:dyDescent="0.25">
      <c r="A458" s="17">
        <f>IFERROR(VLOOKUP(D458,'Monthly Deduction'!$I$3:$J$957,2,0),0)</f>
        <v>50708.601925478833</v>
      </c>
      <c r="B458" s="17">
        <f>IFERROR(VLOOKUP(D458,'Monthly Deduction'!$E$3:$F$957,2,0),0)</f>
        <v>16000</v>
      </c>
      <c r="C458" s="17">
        <f t="shared" si="135"/>
        <v>66708.601925478841</v>
      </c>
      <c r="D458" s="41">
        <v>10140135</v>
      </c>
      <c r="E458" s="122" t="str">
        <f>VLOOKUP(D458,'MPG Payment '!$E$3:$G$497305,2,0)</f>
        <v>Gomukh Dhanipur</v>
      </c>
      <c r="F458" s="146">
        <f>IFERROR(_xlfn.XLOOKUP(D458,'Monthly Deduction'!$I$3:$I$957,'Monthly Deduction'!$H$3:$H$957),0)</f>
        <v>0</v>
      </c>
      <c r="G458" s="123" t="str">
        <f>VLOOKUP(D458,'MPG Payment '!$E$3:$G$333666,3,0)</f>
        <v>MPG</v>
      </c>
      <c r="H458" s="124" t="str">
        <f>VLOOKUP(D458,'MPG Payment '!$E$3:$H$333666,4,0)</f>
        <v>Direct</v>
      </c>
      <c r="I458" s="88">
        <f>INDEX('MPG Payment '!$C:$C,MATCH('Shayak Income '!D458,'MPG Payment '!E:E,0))</f>
        <v>1014</v>
      </c>
      <c r="J458" s="88" t="str">
        <f>INDEX('MPG Payment '!$D:$D,MATCH('Shayak Income '!D458,'MPG Payment '!E:E,0))</f>
        <v>Dumraon</v>
      </c>
      <c r="K458" s="125" t="s">
        <v>1594</v>
      </c>
      <c r="L458" s="125">
        <v>45599</v>
      </c>
      <c r="M458" s="126">
        <f>SUMIF('MPG Payment '!$E$3:$E$344841,'Shayak Income '!D458,'MPG Payment '!$I$3:$I$344841)</f>
        <v>1433.8000000000002</v>
      </c>
      <c r="N458" s="126">
        <f>SUMIF('MPG Payment '!$E$3:$E$344841,'Shayak Income '!D458,'MPG Payment '!$J$3:$J$344841)</f>
        <v>58641.51999999999</v>
      </c>
      <c r="O458" s="126">
        <f t="shared" si="136"/>
        <v>1075.3500000000001</v>
      </c>
      <c r="P458" s="126">
        <f t="shared" si="137"/>
        <v>1362.1100000000001</v>
      </c>
      <c r="Q458" s="126">
        <f>SUMIF('MPG Payment '!$E$3:$E$344841,'Shayak Income '!D458,'MPG Payment '!$S$3:$S$344841)</f>
        <v>0</v>
      </c>
      <c r="R458" s="126">
        <f t="shared" si="127"/>
        <v>1759.2455999999995</v>
      </c>
      <c r="S458" s="126">
        <f t="shared" si="128"/>
        <v>397.13559999999939</v>
      </c>
      <c r="T458" s="126">
        <f t="shared" si="138"/>
        <v>143.38000000000002</v>
      </c>
      <c r="U458" s="127">
        <f>((((((IF(K458="New",0,SUMIF('MPG Payment '!$E$3:$E$344841,'Shayak Income '!D458,'MPG Payment '!$AC$3:$AC$344841))))+0)+0)+0)+0)+0</f>
        <v>1136.4213721336077</v>
      </c>
      <c r="V458" s="127">
        <f t="shared" si="139"/>
        <v>1158</v>
      </c>
      <c r="W458" s="19">
        <v>1158</v>
      </c>
      <c r="X458" s="19">
        <v>0</v>
      </c>
      <c r="Y458" s="128">
        <f>IFERROR(VLOOKUP(D458,'Monthly Deduction'!$M$2:$N$640,2,0),0)</f>
        <v>0</v>
      </c>
      <c r="Z458" s="128">
        <v>0</v>
      </c>
      <c r="AA458" s="126">
        <v>0</v>
      </c>
      <c r="AB458" s="129">
        <f t="shared" si="130"/>
        <v>0</v>
      </c>
      <c r="AC458" s="130">
        <v>0</v>
      </c>
      <c r="AD458" s="35">
        <f t="shared" si="141"/>
        <v>0</v>
      </c>
      <c r="AE458" s="166" t="str">
        <f t="shared" si="142"/>
        <v>Release</v>
      </c>
      <c r="AF458" s="127"/>
      <c r="AG458" s="18">
        <v>0</v>
      </c>
      <c r="AH458" s="120"/>
      <c r="AI458" s="238">
        <v>0</v>
      </c>
      <c r="AJ458" s="132"/>
      <c r="AK458" s="151">
        <v>331.20000000000005</v>
      </c>
      <c r="AL458" s="154">
        <f t="shared" si="131"/>
        <v>0</v>
      </c>
      <c r="AM458" s="155"/>
      <c r="AN458" s="19">
        <f t="shared" si="132"/>
        <v>1861</v>
      </c>
      <c r="AO458" s="118">
        <f>SUMIF('MPG Payment '!E:E,'Shayak Income '!D458,'MPG Payment '!AJ:AJ)</f>
        <v>0</v>
      </c>
      <c r="AP458" s="19">
        <f t="shared" si="133"/>
        <v>1158</v>
      </c>
      <c r="AQ458" s="119">
        <f t="shared" si="143"/>
        <v>1158</v>
      </c>
      <c r="AR458" s="91"/>
      <c r="AS458" s="91">
        <f t="shared" si="134"/>
        <v>16000</v>
      </c>
      <c r="AT458" s="118"/>
      <c r="AU458" s="118"/>
      <c r="AV458" s="118"/>
    </row>
    <row r="459" spans="1:48" s="20" customFormat="1" x14ac:dyDescent="0.25">
      <c r="A459" s="17">
        <f>IFERROR(VLOOKUP(D459,'Monthly Deduction'!$I$3:$J$957,2,0),0)</f>
        <v>31748.46785567113</v>
      </c>
      <c r="B459" s="17">
        <f>IFERROR(VLOOKUP(D459,'Monthly Deduction'!$E$3:$F$957,2,0),0)</f>
        <v>6400</v>
      </c>
      <c r="C459" s="17">
        <f t="shared" si="135"/>
        <v>38148.46785567113</v>
      </c>
      <c r="D459" s="41">
        <v>10140137</v>
      </c>
      <c r="E459" s="122" t="str">
        <f>VLOOKUP(D459,'MPG Payment '!$E$3:$G$497305,2,0)</f>
        <v>Gomukh Rakshanagar_tola</v>
      </c>
      <c r="F459" s="146">
        <f>IFERROR(_xlfn.XLOOKUP(D459,'Monthly Deduction'!$I$3:$I$957,'Monthly Deduction'!$H$3:$H$957),0)</f>
        <v>0</v>
      </c>
      <c r="G459" s="123" t="str">
        <f>VLOOKUP(D459,'MPG Payment '!$E$3:$G$333666,3,0)</f>
        <v>MPG</v>
      </c>
      <c r="H459" s="124" t="str">
        <f>VLOOKUP(D459,'MPG Payment '!$E$3:$H$333666,4,0)</f>
        <v>Direct</v>
      </c>
      <c r="I459" s="88">
        <f>INDEX('MPG Payment '!$C:$C,MATCH('Shayak Income '!D459,'MPG Payment '!E:E,0))</f>
        <v>1014</v>
      </c>
      <c r="J459" s="88" t="str">
        <f>INDEX('MPG Payment '!$D:$D,MATCH('Shayak Income '!D459,'MPG Payment '!E:E,0))</f>
        <v>Dumraon</v>
      </c>
      <c r="K459" s="125" t="s">
        <v>1594</v>
      </c>
      <c r="L459" s="125">
        <v>45616</v>
      </c>
      <c r="M459" s="126">
        <f>SUMIF('MPG Payment '!$E$3:$E$344841,'Shayak Income '!D459,'MPG Payment '!$I$3:$I$344841)</f>
        <v>2017.5</v>
      </c>
      <c r="N459" s="126">
        <f>SUMIF('MPG Payment '!$E$3:$E$344841,'Shayak Income '!D459,'MPG Payment '!$J$3:$J$344841)</f>
        <v>87933.17</v>
      </c>
      <c r="O459" s="126">
        <f t="shared" si="136"/>
        <v>1513.125</v>
      </c>
      <c r="P459" s="126">
        <f t="shared" si="137"/>
        <v>1916.625</v>
      </c>
      <c r="Q459" s="126">
        <f>SUMIF('MPG Payment '!$E$3:$E$344841,'Shayak Income '!D459,'MPG Payment '!$S$3:$S$344841)</f>
        <v>0</v>
      </c>
      <c r="R459" s="126">
        <f t="shared" si="127"/>
        <v>2637.9950999999996</v>
      </c>
      <c r="S459" s="126">
        <f t="shared" si="128"/>
        <v>721.37009999999964</v>
      </c>
      <c r="T459" s="126">
        <f t="shared" si="138"/>
        <v>201.75</v>
      </c>
      <c r="U459" s="127">
        <f>((((((IF(K459="New",0,SUMIF('MPG Payment '!$E$3:$E$344841,'Shayak Income '!D459,'MPG Payment '!$AC$3:$AC$344841))))+0)+0)+0)+0)+0</f>
        <v>676.41133537702422</v>
      </c>
      <c r="V459" s="127">
        <f t="shared" si="139"/>
        <v>2552</v>
      </c>
      <c r="W459" s="19">
        <f t="shared" si="140"/>
        <v>1861</v>
      </c>
      <c r="X459" s="19">
        <v>0</v>
      </c>
      <c r="Y459" s="128">
        <v>691</v>
      </c>
      <c r="Z459" s="128">
        <v>0</v>
      </c>
      <c r="AA459" s="126">
        <v>0</v>
      </c>
      <c r="AB459" s="129">
        <f t="shared" si="130"/>
        <v>0</v>
      </c>
      <c r="AC459" s="130">
        <v>0</v>
      </c>
      <c r="AD459" s="35">
        <f t="shared" si="141"/>
        <v>0</v>
      </c>
      <c r="AE459" s="166" t="str">
        <f t="shared" si="142"/>
        <v>Release</v>
      </c>
      <c r="AF459" s="127"/>
      <c r="AG459" s="127">
        <v>0</v>
      </c>
      <c r="AH459" s="132"/>
      <c r="AI459" s="238">
        <v>0</v>
      </c>
      <c r="AJ459" s="132"/>
      <c r="AK459" s="151">
        <v>111.7</v>
      </c>
      <c r="AL459" s="154">
        <f t="shared" si="131"/>
        <v>0</v>
      </c>
      <c r="AM459" s="155"/>
      <c r="AN459" s="19">
        <f t="shared" si="132"/>
        <v>1861</v>
      </c>
      <c r="AO459" s="118">
        <f>SUMIF('MPG Payment '!E:E,'Shayak Income '!D459,'MPG Payment '!AJ:AJ)</f>
        <v>0</v>
      </c>
      <c r="AP459" s="19">
        <f t="shared" si="133"/>
        <v>1861</v>
      </c>
      <c r="AQ459" s="119">
        <f t="shared" si="143"/>
        <v>1861</v>
      </c>
      <c r="AR459" s="91" t="s">
        <v>1144</v>
      </c>
      <c r="AS459" s="91">
        <f t="shared" si="134"/>
        <v>6400</v>
      </c>
      <c r="AT459" s="118"/>
      <c r="AU459" s="118"/>
      <c r="AV459" s="118"/>
    </row>
    <row r="460" spans="1:48" s="20" customFormat="1" x14ac:dyDescent="0.25">
      <c r="A460" s="17">
        <f>IFERROR(VLOOKUP(D460,'Monthly Deduction'!$I$3:$J$957,2,0),0)</f>
        <v>54920.387351001598</v>
      </c>
      <c r="B460" s="17">
        <f>IFERROR(VLOOKUP(D460,'Monthly Deduction'!$E$3:$F$957,2,0),0)</f>
        <v>6062.0788000000002</v>
      </c>
      <c r="C460" s="17">
        <f t="shared" si="135"/>
        <v>60982.466151001601</v>
      </c>
      <c r="D460" s="41">
        <v>10140139</v>
      </c>
      <c r="E460" s="122" t="str">
        <f>VLOOKUP(D460,'MPG Payment '!$E$3:$G$497305,2,0)</f>
        <v>Gomukh Nadaon</v>
      </c>
      <c r="F460" s="146">
        <f>IFERROR(_xlfn.XLOOKUP(D460,'Monthly Deduction'!$I$3:$I$957,'Monthly Deduction'!$H$3:$H$957),0)</f>
        <v>0</v>
      </c>
      <c r="G460" s="123" t="str">
        <f>VLOOKUP(D460,'MPG Payment '!$E$3:$G$333666,3,0)</f>
        <v>MPG</v>
      </c>
      <c r="H460" s="124" t="str">
        <f>VLOOKUP(D460,'MPG Payment '!$E$3:$H$333666,4,0)</f>
        <v>Direct</v>
      </c>
      <c r="I460" s="88">
        <f>INDEX('MPG Payment '!$C:$C,MATCH('Shayak Income '!D460,'MPG Payment '!E:E,0))</f>
        <v>1014</v>
      </c>
      <c r="J460" s="88" t="str">
        <f>INDEX('MPG Payment '!$D:$D,MATCH('Shayak Income '!D460,'MPG Payment '!E:E,0))</f>
        <v>Dumraon</v>
      </c>
      <c r="K460" s="125" t="s">
        <v>1594</v>
      </c>
      <c r="L460" s="125">
        <v>45625</v>
      </c>
      <c r="M460" s="126">
        <f>SUMIF('MPG Payment '!$E$3:$E$344841,'Shayak Income '!D460,'MPG Payment '!$I$3:$I$344841)</f>
        <v>1139.5</v>
      </c>
      <c r="N460" s="126">
        <f>SUMIF('MPG Payment '!$E$3:$E$344841,'Shayak Income '!D460,'MPG Payment '!$J$3:$J$344841)</f>
        <v>34030.909999999996</v>
      </c>
      <c r="O460" s="126">
        <f t="shared" si="136"/>
        <v>854.625</v>
      </c>
      <c r="P460" s="126">
        <f t="shared" si="137"/>
        <v>1082.5249999999999</v>
      </c>
      <c r="Q460" s="126">
        <f>SUMIF('MPG Payment '!$E$3:$E$344841,'Shayak Income '!D460,'MPG Payment '!$S$3:$S$344841)</f>
        <v>0</v>
      </c>
      <c r="R460" s="126">
        <f t="shared" si="127"/>
        <v>1020.9272999999998</v>
      </c>
      <c r="S460" s="126">
        <f t="shared" si="128"/>
        <v>-61.597700000000032</v>
      </c>
      <c r="T460" s="126">
        <f t="shared" si="138"/>
        <v>113.95</v>
      </c>
      <c r="U460" s="127">
        <f>((((((IF(K460="New",0,SUMIF('MPG Payment '!$E$3:$E$344841,'Shayak Income '!D460,'MPG Payment '!$AC$3:$AC$344841))))+0)+0)+0)+0)+0</f>
        <v>999.5367499654094</v>
      </c>
      <c r="V460" s="127">
        <f t="shared" si="139"/>
        <v>824</v>
      </c>
      <c r="W460" s="19">
        <v>0</v>
      </c>
      <c r="X460" s="19">
        <f t="shared" si="129"/>
        <v>680.61819999999989</v>
      </c>
      <c r="Y460" s="128">
        <f>IFERROR(VLOOKUP(D460,'Monthly Deduction'!$M$2:$N$640,2,0),0)</f>
        <v>0</v>
      </c>
      <c r="Z460" s="128">
        <v>0</v>
      </c>
      <c r="AA460" s="126">
        <f>IFERROR(VLOOKUP(D460,'Monthly Deduction'!A:B,2,0),0)</f>
        <v>0</v>
      </c>
      <c r="AB460" s="129">
        <f t="shared" si="130"/>
        <v>143</v>
      </c>
      <c r="AC460" s="130">
        <v>0</v>
      </c>
      <c r="AD460" s="35">
        <f t="shared" si="141"/>
        <v>143</v>
      </c>
      <c r="AE460" s="166" t="str">
        <f t="shared" si="142"/>
        <v>Release</v>
      </c>
      <c r="AF460" s="127"/>
      <c r="AG460" s="18">
        <v>0</v>
      </c>
      <c r="AH460" s="132"/>
      <c r="AI460" s="238">
        <v>0</v>
      </c>
      <c r="AJ460" s="132"/>
      <c r="AK460" s="151">
        <v>499.10000000000008</v>
      </c>
      <c r="AL460" s="154">
        <f t="shared" si="131"/>
        <v>0</v>
      </c>
      <c r="AM460" s="155"/>
      <c r="AN460" s="19">
        <f t="shared" si="132"/>
        <v>1861</v>
      </c>
      <c r="AO460" s="118">
        <f>SUMIF('MPG Payment '!E:E,'Shayak Income '!D460,'MPG Payment '!AJ:AJ)</f>
        <v>2000</v>
      </c>
      <c r="AP460" s="19">
        <f t="shared" si="133"/>
        <v>0</v>
      </c>
      <c r="AQ460" s="119">
        <f t="shared" si="143"/>
        <v>2000</v>
      </c>
      <c r="AR460" s="91" t="s">
        <v>1144</v>
      </c>
      <c r="AS460" s="91">
        <f t="shared" si="134"/>
        <v>5381.4606000000003</v>
      </c>
      <c r="AT460" s="118"/>
      <c r="AU460" s="118"/>
      <c r="AV460" s="118"/>
    </row>
    <row r="461" spans="1:48" s="20" customFormat="1" x14ac:dyDescent="0.25">
      <c r="A461" s="17">
        <f>IFERROR(VLOOKUP(D461,'Monthly Deduction'!$I$3:$J$957,2,0),0)</f>
        <v>70044</v>
      </c>
      <c r="B461" s="17">
        <f>IFERROR(VLOOKUP(D461,'Monthly Deduction'!$E$3:$F$957,2,0),0)</f>
        <v>4218.6918025240002</v>
      </c>
      <c r="C461" s="17">
        <f t="shared" si="135"/>
        <v>74262.691802524001</v>
      </c>
      <c r="D461" s="41">
        <v>10140153</v>
      </c>
      <c r="E461" s="122" t="str">
        <f>VLOOKUP(D461,'MPG Payment '!$E$3:$G$497305,2,0)</f>
        <v>Gomukh Bramhpur</v>
      </c>
      <c r="F461" s="146">
        <f>IFERROR(_xlfn.XLOOKUP(D461,'Monthly Deduction'!$I$3:$I$957,'Monthly Deduction'!$H$3:$H$957),0)</f>
        <v>0</v>
      </c>
      <c r="G461" s="123" t="str">
        <f>VLOOKUP(D461,'MPG Payment '!$E$3:$G$333666,3,0)</f>
        <v>MPG</v>
      </c>
      <c r="H461" s="124" t="str">
        <f>VLOOKUP(D461,'MPG Payment '!$E$3:$H$333666,4,0)</f>
        <v>Direct</v>
      </c>
      <c r="I461" s="88">
        <f>INDEX('MPG Payment '!$C:$C,MATCH('Shayak Income '!D461,'MPG Payment '!E:E,0))</f>
        <v>1014</v>
      </c>
      <c r="J461" s="88" t="str">
        <f>INDEX('MPG Payment '!$D:$D,MATCH('Shayak Income '!D461,'MPG Payment '!E:E,0))</f>
        <v>Dumraon</v>
      </c>
      <c r="K461" s="125" t="s">
        <v>1594</v>
      </c>
      <c r="L461" s="125">
        <v>45680</v>
      </c>
      <c r="M461" s="126">
        <f>SUMIF('MPG Payment '!$E$3:$E$344841,'Shayak Income '!D461,'MPG Payment '!$I$3:$I$344841)</f>
        <v>422.2</v>
      </c>
      <c r="N461" s="126">
        <f>SUMIF('MPG Payment '!$E$3:$E$344841,'Shayak Income '!D461,'MPG Payment '!$J$3:$J$344841)</f>
        <v>14614.41</v>
      </c>
      <c r="O461" s="126">
        <f t="shared" si="136"/>
        <v>316.64999999999998</v>
      </c>
      <c r="P461" s="126">
        <f t="shared" si="137"/>
        <v>401.09</v>
      </c>
      <c r="Q461" s="126">
        <f>SUMIF('MPG Payment '!$E$3:$E$344841,'Shayak Income '!D461,'MPG Payment '!$S$3:$S$344841)</f>
        <v>0</v>
      </c>
      <c r="R461" s="126">
        <f t="shared" si="127"/>
        <v>438.4323</v>
      </c>
      <c r="S461" s="126">
        <f t="shared" si="128"/>
        <v>37.342300000000023</v>
      </c>
      <c r="T461" s="126">
        <f t="shared" si="138"/>
        <v>42.22</v>
      </c>
      <c r="U461" s="127">
        <f>((((((IF(K461="New",0,SUMIF('MPG Payment '!$E$3:$E$344841,'Shayak Income '!D461,'MPG Payment '!$AC$3:$AC$344841))))+0)+0)+0)+0)+-1016</f>
        <v>675.96033088243257</v>
      </c>
      <c r="V461" s="127">
        <f t="shared" si="139"/>
        <v>0</v>
      </c>
      <c r="W461" s="19">
        <v>0</v>
      </c>
      <c r="X461" s="19">
        <v>0</v>
      </c>
      <c r="Y461" s="128">
        <v>0</v>
      </c>
      <c r="Z461" s="128">
        <v>0</v>
      </c>
      <c r="AA461" s="126">
        <v>0</v>
      </c>
      <c r="AB461" s="129">
        <f t="shared" si="130"/>
        <v>0</v>
      </c>
      <c r="AC461" s="130">
        <f>AB461</f>
        <v>0</v>
      </c>
      <c r="AD461" s="35">
        <f t="shared" si="141"/>
        <v>0</v>
      </c>
      <c r="AE461" s="166" t="str">
        <f t="shared" si="142"/>
        <v>Release</v>
      </c>
      <c r="AF461" s="127"/>
      <c r="AG461" s="18">
        <v>0</v>
      </c>
      <c r="AH461" s="120" t="s">
        <v>1685</v>
      </c>
      <c r="AI461" s="238">
        <v>4967</v>
      </c>
      <c r="AJ461" s="132"/>
      <c r="AK461" s="151">
        <v>25</v>
      </c>
      <c r="AL461" s="154">
        <f t="shared" si="131"/>
        <v>0</v>
      </c>
      <c r="AM461" s="155"/>
      <c r="AN461" s="19">
        <f t="shared" si="132"/>
        <v>1861</v>
      </c>
      <c r="AO461" s="118">
        <f>SUMIF('MPG Payment '!E:E,'Shayak Income '!D461,'MPG Payment '!AJ:AJ)</f>
        <v>2000</v>
      </c>
      <c r="AP461" s="19">
        <f t="shared" si="133"/>
        <v>0</v>
      </c>
      <c r="AQ461" s="119">
        <f t="shared" si="143"/>
        <v>2000</v>
      </c>
      <c r="AR461" s="91"/>
      <c r="AS461" s="91">
        <f t="shared" si="134"/>
        <v>4218.6918025240002</v>
      </c>
      <c r="AT461" s="118"/>
      <c r="AU461" s="118"/>
      <c r="AV461" s="118"/>
    </row>
    <row r="462" spans="1:48" s="20" customFormat="1" x14ac:dyDescent="0.25">
      <c r="A462" s="17">
        <f>IFERROR(VLOOKUP(D462,'Monthly Deduction'!$I$3:$J$957,2,0),0)</f>
        <v>40661.74589577943</v>
      </c>
      <c r="B462" s="17">
        <f>IFERROR(VLOOKUP(D462,'Monthly Deduction'!$E$3:$F$957,2,0),0)</f>
        <v>12800</v>
      </c>
      <c r="C462" s="17">
        <f t="shared" si="135"/>
        <v>53461.74589577943</v>
      </c>
      <c r="D462" s="41">
        <v>10140156</v>
      </c>
      <c r="E462" s="122" t="str">
        <f>VLOOKUP(D462,'MPG Payment '!$E$3:$G$497305,2,0)</f>
        <v>Gomukh Mashariya</v>
      </c>
      <c r="F462" s="146">
        <f>IFERROR(_xlfn.XLOOKUP(D462,'Monthly Deduction'!$I$3:$I$957,'Monthly Deduction'!$H$3:$H$957),0)</f>
        <v>0</v>
      </c>
      <c r="G462" s="123" t="str">
        <f>VLOOKUP(D462,'MPG Payment '!$E$3:$G$333666,3,0)</f>
        <v>MPG</v>
      </c>
      <c r="H462" s="124" t="str">
        <f>VLOOKUP(D462,'MPG Payment '!$E$3:$H$333666,4,0)</f>
        <v>Direct</v>
      </c>
      <c r="I462" s="88">
        <f>INDEX('MPG Payment '!$C:$C,MATCH('Shayak Income '!D462,'MPG Payment '!E:E,0))</f>
        <v>1014</v>
      </c>
      <c r="J462" s="88" t="str">
        <f>INDEX('MPG Payment '!$D:$D,MATCH('Shayak Income '!D462,'MPG Payment '!E:E,0))</f>
        <v>Dumraon</v>
      </c>
      <c r="K462" s="125" t="s">
        <v>1594</v>
      </c>
      <c r="L462" s="125">
        <v>45684</v>
      </c>
      <c r="M462" s="126">
        <f>SUMIF('MPG Payment '!$E$3:$E$344841,'Shayak Income '!D462,'MPG Payment '!$I$3:$I$344841)</f>
        <v>3248.7</v>
      </c>
      <c r="N462" s="126">
        <f>SUMIF('MPG Payment '!$E$3:$E$344841,'Shayak Income '!D462,'MPG Payment '!$J$3:$J$344841)</f>
        <v>127192.73999999998</v>
      </c>
      <c r="O462" s="126">
        <f t="shared" si="136"/>
        <v>2436.5249999999996</v>
      </c>
      <c r="P462" s="126">
        <f t="shared" si="137"/>
        <v>3086.2649999999999</v>
      </c>
      <c r="Q462" s="126">
        <f>SUMIF('MPG Payment '!$E$3:$E$344841,'Shayak Income '!D462,'MPG Payment '!$S$3:$S$344841)</f>
        <v>3432.84</v>
      </c>
      <c r="R462" s="126">
        <f t="shared" si="127"/>
        <v>3815.7821999999992</v>
      </c>
      <c r="S462" s="126">
        <f t="shared" si="128"/>
        <v>729.51719999999932</v>
      </c>
      <c r="T462" s="126">
        <f t="shared" si="138"/>
        <v>324.87</v>
      </c>
      <c r="U462" s="127">
        <f>((((((IF(K462="New",0,SUMIF('MPG Payment '!$E$3:$E$344841,'Shayak Income '!D462,'MPG Payment '!$AC$3:$AC$344841))))+0)+0)+0)+0)+0</f>
        <v>397.89230062751096</v>
      </c>
      <c r="V462" s="127">
        <f t="shared" si="139"/>
        <v>8233</v>
      </c>
      <c r="W462" s="19">
        <f t="shared" si="140"/>
        <v>2543.8547999999996</v>
      </c>
      <c r="X462" s="19">
        <v>0</v>
      </c>
      <c r="Y462" s="128">
        <f>IFERROR(VLOOKUP(D462,'Monthly Deduction'!$M$2:$N$640,2,0),0)</f>
        <v>0</v>
      </c>
      <c r="Z462" s="128">
        <v>0</v>
      </c>
      <c r="AA462" s="126">
        <f>IFERROR(VLOOKUP(D462,'Monthly Deduction'!A:B,2,0),0)</f>
        <v>0</v>
      </c>
      <c r="AB462" s="129">
        <f t="shared" si="130"/>
        <v>5689</v>
      </c>
      <c r="AC462" s="130">
        <v>0</v>
      </c>
      <c r="AD462" s="35">
        <f t="shared" si="141"/>
        <v>5689</v>
      </c>
      <c r="AE462" s="166" t="str">
        <f t="shared" si="142"/>
        <v>Release</v>
      </c>
      <c r="AF462" s="127"/>
      <c r="AG462" s="18">
        <v>0</v>
      </c>
      <c r="AH462" s="132"/>
      <c r="AI462" s="238">
        <v>0</v>
      </c>
      <c r="AJ462" s="132"/>
      <c r="AK462" s="151">
        <v>313.83</v>
      </c>
      <c r="AL462" s="154">
        <f t="shared" si="131"/>
        <v>0</v>
      </c>
      <c r="AM462" s="155"/>
      <c r="AN462" s="19">
        <f t="shared" si="132"/>
        <v>2543.8547999999996</v>
      </c>
      <c r="AO462" s="118">
        <f>SUMIF('MPG Payment '!E:E,'Shayak Income '!D462,'MPG Payment '!AJ:AJ)</f>
        <v>0</v>
      </c>
      <c r="AP462" s="19">
        <f t="shared" si="133"/>
        <v>2543.8547999999996</v>
      </c>
      <c r="AQ462" s="119">
        <f t="shared" si="143"/>
        <v>2543.8547999999996</v>
      </c>
      <c r="AR462" s="91" t="s">
        <v>1144</v>
      </c>
      <c r="AS462" s="91">
        <f t="shared" si="134"/>
        <v>12800</v>
      </c>
      <c r="AT462" s="118"/>
      <c r="AU462" s="118"/>
      <c r="AV462" s="118"/>
    </row>
    <row r="463" spans="1:48" s="20" customFormat="1" x14ac:dyDescent="0.25">
      <c r="A463" s="17">
        <f>IFERROR(VLOOKUP(D463,'Monthly Deduction'!$I$3:$J$957,2,0),0)</f>
        <v>72736</v>
      </c>
      <c r="B463" s="17">
        <f>IFERROR(VLOOKUP(D463,'Monthly Deduction'!$E$3:$F$957,2,0),0)</f>
        <v>5090.7209999999995</v>
      </c>
      <c r="C463" s="17">
        <f t="shared" si="135"/>
        <v>77826.721000000005</v>
      </c>
      <c r="D463" s="41">
        <v>10140166</v>
      </c>
      <c r="E463" s="122" t="str">
        <f>VLOOKUP(D463,'MPG Payment '!$E$3:$G$497305,2,0)</f>
        <v>Gomukh KritSagar</v>
      </c>
      <c r="F463" s="146">
        <f>IFERROR(_xlfn.XLOOKUP(D463,'Monthly Deduction'!$I$3:$I$957,'Monthly Deduction'!$H$3:$H$957),0)</f>
        <v>0</v>
      </c>
      <c r="G463" s="123" t="str">
        <f>VLOOKUP(D463,'MPG Payment '!$E$3:$G$333666,3,0)</f>
        <v>MPG</v>
      </c>
      <c r="H463" s="124" t="str">
        <f>VLOOKUP(D463,'MPG Payment '!$E$3:$H$333666,4,0)</f>
        <v>Direct</v>
      </c>
      <c r="I463" s="88">
        <f>INDEX('MPG Payment '!$C:$C,MATCH('Shayak Income '!D463,'MPG Payment '!E:E,0))</f>
        <v>1014</v>
      </c>
      <c r="J463" s="88" t="str">
        <f>INDEX('MPG Payment '!$D:$D,MATCH('Shayak Income '!D463,'MPG Payment '!E:E,0))</f>
        <v>Dumraon</v>
      </c>
      <c r="K463" s="125" t="s">
        <v>1594</v>
      </c>
      <c r="L463" s="125">
        <v>45745</v>
      </c>
      <c r="M463" s="126">
        <f>SUMIF('MPG Payment '!$E$3:$E$344841,'Shayak Income '!D463,'MPG Payment '!$I$3:$I$344841)</f>
        <v>1219.9000000000001</v>
      </c>
      <c r="N463" s="126">
        <f>SUMIF('MPG Payment '!$E$3:$E$344841,'Shayak Income '!D463,'MPG Payment '!$J$3:$J$344841)</f>
        <v>60980.560000000005</v>
      </c>
      <c r="O463" s="126">
        <f t="shared" si="136"/>
        <v>914.92500000000007</v>
      </c>
      <c r="P463" s="126">
        <f t="shared" si="137"/>
        <v>1158.905</v>
      </c>
      <c r="Q463" s="126">
        <f>SUMIF('MPG Payment '!$E$3:$E$344841,'Shayak Income '!D463,'MPG Payment '!$S$3:$S$344841)</f>
        <v>0</v>
      </c>
      <c r="R463" s="126">
        <f t="shared" si="127"/>
        <v>1829.4168000000002</v>
      </c>
      <c r="S463" s="126">
        <f t="shared" si="128"/>
        <v>670.51180000000022</v>
      </c>
      <c r="T463" s="126">
        <f t="shared" si="138"/>
        <v>121.99000000000001</v>
      </c>
      <c r="U463" s="127">
        <f>((((((IF(K463="New",0,SUMIF('MPG Payment '!$E$3:$E$344841,'Shayak Income '!D463,'MPG Payment '!$AC$3:$AC$344841))))+0)+0)+0)+0)+0</f>
        <v>1589.9801765083187</v>
      </c>
      <c r="V463" s="127">
        <f t="shared" si="139"/>
        <v>362</v>
      </c>
      <c r="W463" s="19">
        <v>362</v>
      </c>
      <c r="X463" s="19">
        <v>0</v>
      </c>
      <c r="Y463" s="128">
        <f>IFERROR(VLOOKUP(D463,'Monthly Deduction'!$M$2:$N$640,2,0),0)</f>
        <v>0</v>
      </c>
      <c r="Z463" s="128">
        <v>0</v>
      </c>
      <c r="AA463" s="126">
        <v>0</v>
      </c>
      <c r="AB463" s="129">
        <f t="shared" si="130"/>
        <v>0</v>
      </c>
      <c r="AC463" s="130">
        <f>AB463</f>
        <v>0</v>
      </c>
      <c r="AD463" s="35">
        <f t="shared" si="141"/>
        <v>0</v>
      </c>
      <c r="AE463" s="166" t="str">
        <f t="shared" si="142"/>
        <v>Release</v>
      </c>
      <c r="AF463" s="127"/>
      <c r="AG463" s="18">
        <v>0</v>
      </c>
      <c r="AH463" s="120" t="s">
        <v>1686</v>
      </c>
      <c r="AI463" s="238">
        <v>8139</v>
      </c>
      <c r="AJ463" s="132"/>
      <c r="AK463" s="151">
        <v>225.35999999999999</v>
      </c>
      <c r="AL463" s="154">
        <f t="shared" si="131"/>
        <v>0</v>
      </c>
      <c r="AM463" s="155"/>
      <c r="AN463" s="19">
        <f t="shared" si="132"/>
        <v>1861</v>
      </c>
      <c r="AO463" s="118">
        <f>SUMIF('MPG Payment '!E:E,'Shayak Income '!D463,'MPG Payment '!AJ:AJ)</f>
        <v>0</v>
      </c>
      <c r="AP463" s="19">
        <f t="shared" si="133"/>
        <v>362</v>
      </c>
      <c r="AQ463" s="119">
        <f t="shared" si="143"/>
        <v>362</v>
      </c>
      <c r="AR463" s="91" t="s">
        <v>1144</v>
      </c>
      <c r="AS463" s="91">
        <f t="shared" si="134"/>
        <v>5090.7209999999995</v>
      </c>
      <c r="AT463" s="118"/>
      <c r="AU463" s="118"/>
      <c r="AV463" s="118"/>
    </row>
    <row r="464" spans="1:48" s="20" customFormat="1" x14ac:dyDescent="0.25">
      <c r="A464" s="17">
        <f>IFERROR(VLOOKUP(D464,'Monthly Deduction'!$I$3:$J$957,2,0),0)</f>
        <v>0</v>
      </c>
      <c r="B464" s="17">
        <f>IFERROR(VLOOKUP(D464,'Monthly Deduction'!$E$3:$F$957,2,0),0)</f>
        <v>0</v>
      </c>
      <c r="C464" s="17">
        <f t="shared" si="135"/>
        <v>0</v>
      </c>
      <c r="D464" s="41">
        <v>10140167</v>
      </c>
      <c r="E464" s="122" t="str">
        <f>VLOOKUP(D464,'MPG Payment '!$E$3:$G$497305,2,0)</f>
        <v>Gomukh Navdera Jaipraksh</v>
      </c>
      <c r="F464" s="146">
        <f>IFERROR(_xlfn.XLOOKUP(D464,'Monthly Deduction'!$I$3:$I$957,'Monthly Deduction'!$H$3:$H$957),0)</f>
        <v>0</v>
      </c>
      <c r="G464" s="123" t="str">
        <f>VLOOKUP(D464,'MPG Payment '!$E$3:$G$333666,3,0)</f>
        <v>vlc</v>
      </c>
      <c r="H464" s="124" t="str">
        <f>VLOOKUP(D464,'MPG Payment '!$E$3:$H$333666,4,0)</f>
        <v>Indirect</v>
      </c>
      <c r="I464" s="88">
        <f>INDEX('MPG Payment '!$C:$C,MATCH('Shayak Income '!D464,'MPG Payment '!E:E,0))</f>
        <v>1014</v>
      </c>
      <c r="J464" s="88" t="str">
        <f>INDEX('MPG Payment '!$D:$D,MATCH('Shayak Income '!D464,'MPG Payment '!E:E,0))</f>
        <v>Dumraon</v>
      </c>
      <c r="K464" s="125" t="s">
        <v>1594</v>
      </c>
      <c r="L464" s="125">
        <v>45745</v>
      </c>
      <c r="M464" s="126">
        <f>SUMIF('MPG Payment '!$E$3:$E$344841,'Shayak Income '!D464,'MPG Payment '!$I$3:$I$344841)</f>
        <v>7742.5</v>
      </c>
      <c r="N464" s="126">
        <f>SUMIF('MPG Payment '!$E$3:$E$344841,'Shayak Income '!D464,'MPG Payment '!$J$3:$J$344841)</f>
        <v>299389.59000000003</v>
      </c>
      <c r="O464" s="126">
        <f t="shared" si="136"/>
        <v>5806.875</v>
      </c>
      <c r="P464" s="126">
        <f t="shared" si="137"/>
        <v>7355.375</v>
      </c>
      <c r="Q464" s="126">
        <f>SUMIF('MPG Payment '!$E$3:$E$344841,'Shayak Income '!D464,'MPG Payment '!$S$3:$S$344841)</f>
        <v>0</v>
      </c>
      <c r="R464" s="126">
        <f t="shared" si="127"/>
        <v>8981.6877000000004</v>
      </c>
      <c r="S464" s="126">
        <f t="shared" si="128"/>
        <v>1626.3127000000004</v>
      </c>
      <c r="T464" s="126">
        <f t="shared" si="138"/>
        <v>774.25</v>
      </c>
      <c r="U464" s="127">
        <f>((((((IF(K464="New",0,SUMIF('MPG Payment '!$E$3:$E$344841,'Shayak Income '!D464,'MPG Payment '!$AC$3:$AC$344841))))+0)+0)+0)+0)+0</f>
        <v>0</v>
      </c>
      <c r="V464" s="127">
        <f t="shared" si="139"/>
        <v>12388</v>
      </c>
      <c r="W464" s="19">
        <f t="shared" si="140"/>
        <v>0</v>
      </c>
      <c r="X464" s="19">
        <f t="shared" si="129"/>
        <v>0</v>
      </c>
      <c r="Y464" s="128">
        <f>IFERROR(VLOOKUP(D464,'Monthly Deduction'!$M$2:$N$640,2,0),0)</f>
        <v>0</v>
      </c>
      <c r="Z464" s="128">
        <v>0</v>
      </c>
      <c r="AA464" s="126">
        <f>IFERROR(VLOOKUP(D464,'Monthly Deduction'!A:B,2,0),0)</f>
        <v>0</v>
      </c>
      <c r="AB464" s="129">
        <f t="shared" si="130"/>
        <v>12388</v>
      </c>
      <c r="AC464" s="130">
        <v>0</v>
      </c>
      <c r="AD464" s="35">
        <f t="shared" si="141"/>
        <v>12388</v>
      </c>
      <c r="AE464" s="166" t="str">
        <f t="shared" si="142"/>
        <v>Release</v>
      </c>
      <c r="AF464" s="127"/>
      <c r="AG464" s="18">
        <v>0</v>
      </c>
      <c r="AH464" s="132"/>
      <c r="AI464" s="238">
        <v>0</v>
      </c>
      <c r="AJ464" s="132"/>
      <c r="AK464" s="151">
        <v>1467.8</v>
      </c>
      <c r="AL464" s="154">
        <f t="shared" si="131"/>
        <v>0</v>
      </c>
      <c r="AM464" s="155"/>
      <c r="AN464" s="19">
        <f t="shared" si="132"/>
        <v>0</v>
      </c>
      <c r="AO464" s="118">
        <f>SUMIF('MPG Payment '!E:E,'Shayak Income '!D464,'MPG Payment '!AJ:AJ)</f>
        <v>0</v>
      </c>
      <c r="AP464" s="19">
        <f t="shared" si="133"/>
        <v>0</v>
      </c>
      <c r="AQ464" s="119">
        <f t="shared" si="143"/>
        <v>0</v>
      </c>
      <c r="AR464" s="91" t="s">
        <v>1144</v>
      </c>
      <c r="AS464" s="91">
        <f t="shared" si="134"/>
        <v>0</v>
      </c>
      <c r="AT464" s="118"/>
      <c r="AU464" s="118"/>
      <c r="AV464" s="118"/>
    </row>
    <row r="465" spans="1:48" s="20" customFormat="1" x14ac:dyDescent="0.25">
      <c r="A465" s="17">
        <f>IFERROR(VLOOKUP(D465,'Monthly Deduction'!$I$3:$J$957,2,0),0)</f>
        <v>68617.411555030296</v>
      </c>
      <c r="B465" s="17">
        <f>IFERROR(VLOOKUP(D465,'Monthly Deduction'!$E$3:$F$957,2,0),0)</f>
        <v>6400</v>
      </c>
      <c r="C465" s="17">
        <f t="shared" si="135"/>
        <v>75017.411555030296</v>
      </c>
      <c r="D465" s="41">
        <v>10140170</v>
      </c>
      <c r="E465" s="122" t="str">
        <f>VLOOKUP(D465,'MPG Payment '!$E$3:$G$497305,2,0)</f>
        <v>Gomukh Ataon</v>
      </c>
      <c r="F465" s="146">
        <f>IFERROR(_xlfn.XLOOKUP(D465,'Monthly Deduction'!$I$3:$I$957,'Monthly Deduction'!$H$3:$H$957),0)</f>
        <v>0</v>
      </c>
      <c r="G465" s="123" t="str">
        <f>VLOOKUP(D465,'MPG Payment '!$E$3:$G$333666,3,0)</f>
        <v>MPG</v>
      </c>
      <c r="H465" s="124" t="str">
        <f>VLOOKUP(D465,'MPG Payment '!$E$3:$H$333666,4,0)</f>
        <v>Direct</v>
      </c>
      <c r="I465" s="88">
        <f>INDEX('MPG Payment '!$C:$C,MATCH('Shayak Income '!D465,'MPG Payment '!E:E,0))</f>
        <v>1014</v>
      </c>
      <c r="J465" s="88" t="str">
        <f>INDEX('MPG Payment '!$D:$D,MATCH('Shayak Income '!D465,'MPG Payment '!E:E,0))</f>
        <v>Dumraon</v>
      </c>
      <c r="K465" s="125" t="s">
        <v>1594</v>
      </c>
      <c r="L465" s="125">
        <v>45763</v>
      </c>
      <c r="M465" s="126">
        <f>SUMIF('MPG Payment '!$E$3:$E$344841,'Shayak Income '!D465,'MPG Payment '!$I$3:$I$344841)</f>
        <v>1338</v>
      </c>
      <c r="N465" s="126">
        <f>SUMIF('MPG Payment '!$E$3:$E$344841,'Shayak Income '!D465,'MPG Payment '!$J$3:$J$344841)</f>
        <v>59410.729999999996</v>
      </c>
      <c r="O465" s="126">
        <f t="shared" si="136"/>
        <v>1003.5</v>
      </c>
      <c r="P465" s="126">
        <f t="shared" si="137"/>
        <v>1271.0999999999999</v>
      </c>
      <c r="Q465" s="126">
        <f>SUMIF('MPG Payment '!$E$3:$E$344841,'Shayak Income '!D465,'MPG Payment '!$S$3:$S$344841)</f>
        <v>0</v>
      </c>
      <c r="R465" s="126">
        <f t="shared" si="127"/>
        <v>1782.3218999999999</v>
      </c>
      <c r="S465" s="126">
        <f t="shared" si="128"/>
        <v>511.22190000000001</v>
      </c>
      <c r="T465" s="126">
        <f t="shared" si="138"/>
        <v>133.80000000000001</v>
      </c>
      <c r="U465" s="127">
        <f>((((((IF(K465="New",0,SUMIF('MPG Payment '!$E$3:$E$344841,'Shayak Income '!D465,'MPG Payment '!$AC$3:$AC$344841))))+0)+0)+0)+0)+0</f>
        <v>1303.2257527691215</v>
      </c>
      <c r="V465" s="127">
        <f t="shared" si="139"/>
        <v>838</v>
      </c>
      <c r="W465" s="19">
        <v>838</v>
      </c>
      <c r="X465" s="19">
        <v>0</v>
      </c>
      <c r="Y465" s="128">
        <f>IFERROR(VLOOKUP(D465,'Monthly Deduction'!$M$2:$N$640,2,0),0)</f>
        <v>0</v>
      </c>
      <c r="Z465" s="128">
        <v>0</v>
      </c>
      <c r="AA465" s="126">
        <f>IFERROR(VLOOKUP(D465,'Monthly Deduction'!A:B,2,0),0)</f>
        <v>0</v>
      </c>
      <c r="AB465" s="129">
        <f t="shared" si="130"/>
        <v>0</v>
      </c>
      <c r="AC465" s="130">
        <f>AB465</f>
        <v>0</v>
      </c>
      <c r="AD465" s="35">
        <f t="shared" si="141"/>
        <v>0</v>
      </c>
      <c r="AE465" s="166" t="str">
        <f t="shared" si="142"/>
        <v>Release</v>
      </c>
      <c r="AF465" s="127"/>
      <c r="AG465" s="18">
        <v>0</v>
      </c>
      <c r="AH465" s="120" t="s">
        <v>1683</v>
      </c>
      <c r="AI465" s="238">
        <v>0</v>
      </c>
      <c r="AJ465" s="132"/>
      <c r="AK465" s="151">
        <v>241.4</v>
      </c>
      <c r="AL465" s="154">
        <f t="shared" si="131"/>
        <v>0</v>
      </c>
      <c r="AM465" s="155"/>
      <c r="AN465" s="19">
        <f t="shared" si="132"/>
        <v>1861</v>
      </c>
      <c r="AO465" s="118">
        <f>SUMIF('MPG Payment '!E:E,'Shayak Income '!D465,'MPG Payment '!AJ:AJ)</f>
        <v>0</v>
      </c>
      <c r="AP465" s="19">
        <f t="shared" si="133"/>
        <v>838</v>
      </c>
      <c r="AQ465" s="119">
        <f t="shared" si="143"/>
        <v>838</v>
      </c>
      <c r="AR465" s="91" t="s">
        <v>1144</v>
      </c>
      <c r="AS465" s="91">
        <f t="shared" si="134"/>
        <v>6400</v>
      </c>
      <c r="AT465" s="118"/>
      <c r="AU465" s="118"/>
      <c r="AV465" s="118"/>
    </row>
    <row r="466" spans="1:48" s="20" customFormat="1" x14ac:dyDescent="0.25">
      <c r="A466" s="17">
        <f>IFERROR(VLOOKUP(D466,'Monthly Deduction'!$I$3:$J$957,2,0),0)</f>
        <v>54198.9118945554</v>
      </c>
      <c r="B466" s="17">
        <f>IFERROR(VLOOKUP(D466,'Monthly Deduction'!$E$3:$F$957,2,0),0)</f>
        <v>12800</v>
      </c>
      <c r="C466" s="17">
        <f t="shared" si="135"/>
        <v>66998.911894555407</v>
      </c>
      <c r="D466" s="41">
        <v>10140173</v>
      </c>
      <c r="E466" s="122" t="str">
        <f>VLOOKUP(D466,'MPG Payment '!$E$3:$G$497305,2,0)</f>
        <v>Gumukh Gayghat</v>
      </c>
      <c r="F466" s="146">
        <f>IFERROR(_xlfn.XLOOKUP(D466,'Monthly Deduction'!$I$3:$I$957,'Monthly Deduction'!$H$3:$H$957),0)</f>
        <v>0</v>
      </c>
      <c r="G466" s="123" t="str">
        <f>VLOOKUP(D466,'MPG Payment '!$E$3:$G$333666,3,0)</f>
        <v>MPG</v>
      </c>
      <c r="H466" s="124" t="str">
        <f>VLOOKUP(D466,'MPG Payment '!$E$3:$H$333666,4,0)</f>
        <v>Direct</v>
      </c>
      <c r="I466" s="88">
        <f>INDEX('MPG Payment '!$C:$C,MATCH('Shayak Income '!D466,'MPG Payment '!E:E,0))</f>
        <v>1014</v>
      </c>
      <c r="J466" s="88" t="str">
        <f>INDEX('MPG Payment '!$D:$D,MATCH('Shayak Income '!D466,'MPG Payment '!E:E,0))</f>
        <v>Dumraon</v>
      </c>
      <c r="K466" s="125" t="s">
        <v>1594</v>
      </c>
      <c r="L466" s="125">
        <v>45777</v>
      </c>
      <c r="M466" s="126">
        <f>SUMIF('MPG Payment '!$E$3:$E$344841,'Shayak Income '!D466,'MPG Payment '!$I$3:$I$344841)</f>
        <v>3471</v>
      </c>
      <c r="N466" s="126">
        <f>SUMIF('MPG Payment '!$E$3:$E$344841,'Shayak Income '!D466,'MPG Payment '!$J$3:$J$344841)</f>
        <v>129010.09999999999</v>
      </c>
      <c r="O466" s="126">
        <f t="shared" si="136"/>
        <v>2603.25</v>
      </c>
      <c r="P466" s="126">
        <f t="shared" si="137"/>
        <v>3297.45</v>
      </c>
      <c r="Q466" s="126">
        <f>SUMIF('MPG Payment '!$E$3:$E$344841,'Shayak Income '!D466,'MPG Payment '!$S$3:$S$344841)</f>
        <v>0</v>
      </c>
      <c r="R466" s="126">
        <f t="shared" si="127"/>
        <v>3870.3029999999994</v>
      </c>
      <c r="S466" s="126">
        <f t="shared" si="128"/>
        <v>572.85299999999961</v>
      </c>
      <c r="T466" s="126">
        <f t="shared" si="138"/>
        <v>347.1</v>
      </c>
      <c r="U466" s="127">
        <f>((((((IF(K466="New",0,SUMIF('MPG Payment '!$E$3:$E$344841,'Shayak Income '!D466,'MPG Payment '!$AC$3:$AC$344841))))+0)+0)+0)+0)+0</f>
        <v>0</v>
      </c>
      <c r="V466" s="127">
        <f t="shared" si="139"/>
        <v>5554</v>
      </c>
      <c r="W466" s="19">
        <f t="shared" si="140"/>
        <v>2580.2019999999998</v>
      </c>
      <c r="X466" s="19">
        <v>0</v>
      </c>
      <c r="Y466" s="128">
        <f>IFERROR(VLOOKUP(D466,'Monthly Deduction'!$M$2:$N$640,2,0),0)</f>
        <v>0</v>
      </c>
      <c r="Z466" s="128">
        <v>0</v>
      </c>
      <c r="AA466" s="126">
        <f>IFERROR(VLOOKUP(D466,'Monthly Deduction'!A:B,2,0),0)</f>
        <v>0</v>
      </c>
      <c r="AB466" s="129">
        <f t="shared" si="130"/>
        <v>2974</v>
      </c>
      <c r="AC466" s="130">
        <v>0</v>
      </c>
      <c r="AD466" s="35">
        <f t="shared" si="141"/>
        <v>2974</v>
      </c>
      <c r="AE466" s="166" t="str">
        <f t="shared" si="142"/>
        <v>Release</v>
      </c>
      <c r="AF466" s="127"/>
      <c r="AG466" s="127">
        <v>0</v>
      </c>
      <c r="AH466" s="120"/>
      <c r="AI466" s="238">
        <v>0</v>
      </c>
      <c r="AJ466" s="132"/>
      <c r="AK466" s="151">
        <v>776.5999999999998</v>
      </c>
      <c r="AL466" s="154">
        <f t="shared" si="131"/>
        <v>0</v>
      </c>
      <c r="AM466" s="155"/>
      <c r="AN466" s="19">
        <f t="shared" si="132"/>
        <v>2580.2019999999998</v>
      </c>
      <c r="AO466" s="118">
        <f>SUMIF('MPG Payment '!E:E,'Shayak Income '!D466,'MPG Payment '!AJ:AJ)</f>
        <v>0</v>
      </c>
      <c r="AP466" s="19">
        <f t="shared" si="133"/>
        <v>2580.2019999999998</v>
      </c>
      <c r="AQ466" s="119">
        <f t="shared" si="143"/>
        <v>2580.2019999999998</v>
      </c>
      <c r="AR466" s="91"/>
      <c r="AS466" s="91">
        <f t="shared" si="134"/>
        <v>12800</v>
      </c>
      <c r="AT466" s="118"/>
      <c r="AU466" s="118"/>
      <c r="AV466" s="118"/>
    </row>
    <row r="467" spans="1:48" s="20" customFormat="1" x14ac:dyDescent="0.25">
      <c r="A467" s="17">
        <f>IFERROR(VLOOKUP(D467,'Monthly Deduction'!$I$3:$J$957,2,0),0)</f>
        <v>0</v>
      </c>
      <c r="B467" s="17">
        <f>IFERROR(VLOOKUP(D467,'Monthly Deduction'!$E$3:$F$957,2,0),0)</f>
        <v>0</v>
      </c>
      <c r="C467" s="17">
        <f t="shared" si="135"/>
        <v>0</v>
      </c>
      <c r="D467" s="41">
        <v>10140176</v>
      </c>
      <c r="E467" s="122" t="str">
        <f>VLOOKUP(D467,'MPG Payment '!$E$3:$G$497305,2,0)</f>
        <v>Gomukh Chakki Janardan Yadav</v>
      </c>
      <c r="F467" s="146">
        <f>IFERROR(_xlfn.XLOOKUP(D467,'Monthly Deduction'!$I$3:$I$957,'Monthly Deduction'!$H$3:$H$957),0)</f>
        <v>0</v>
      </c>
      <c r="G467" s="123" t="str">
        <f>VLOOKUP(D467,'MPG Payment '!$E$3:$G$333666,3,0)</f>
        <v>vlc</v>
      </c>
      <c r="H467" s="124" t="str">
        <f>VLOOKUP(D467,'MPG Payment '!$E$3:$H$333666,4,0)</f>
        <v>Indirect</v>
      </c>
      <c r="I467" s="88">
        <f>INDEX('MPG Payment '!$C:$C,MATCH('Shayak Income '!D467,'MPG Payment '!E:E,0))</f>
        <v>1014</v>
      </c>
      <c r="J467" s="88" t="str">
        <f>INDEX('MPG Payment '!$D:$D,MATCH('Shayak Income '!D467,'MPG Payment '!E:E,0))</f>
        <v>Dumraon</v>
      </c>
      <c r="K467" s="125" t="s">
        <v>1594</v>
      </c>
      <c r="L467" s="125">
        <v>45786</v>
      </c>
      <c r="M467" s="126">
        <f>SUMIF('MPG Payment '!$E$3:$E$344841,'Shayak Income '!D467,'MPG Payment '!$I$3:$I$344841)</f>
        <v>432.3</v>
      </c>
      <c r="N467" s="126">
        <f>SUMIF('MPG Payment '!$E$3:$E$344841,'Shayak Income '!D467,'MPG Payment '!$J$3:$J$344841)</f>
        <v>16324.33</v>
      </c>
      <c r="O467" s="126">
        <f t="shared" si="136"/>
        <v>324.22500000000002</v>
      </c>
      <c r="P467" s="126">
        <f t="shared" si="137"/>
        <v>410.685</v>
      </c>
      <c r="Q467" s="126">
        <f>SUMIF('MPG Payment '!$E$3:$E$344841,'Shayak Income '!D467,'MPG Payment '!$S$3:$S$344841)</f>
        <v>0</v>
      </c>
      <c r="R467" s="126">
        <f t="shared" si="127"/>
        <v>489.72989999999999</v>
      </c>
      <c r="S467" s="126">
        <f t="shared" si="128"/>
        <v>79.044899999999984</v>
      </c>
      <c r="T467" s="126">
        <f t="shared" si="138"/>
        <v>43.230000000000004</v>
      </c>
      <c r="U467" s="127">
        <f>((((((IF(K467="New",0,SUMIF('MPG Payment '!$E$3:$E$344841,'Shayak Income '!D467,'MPG Payment '!$AC$3:$AC$344841))))+0)+0)+0)+0)+-1095</f>
        <v>691.59425335338256</v>
      </c>
      <c r="V467" s="127">
        <f t="shared" si="139"/>
        <v>0</v>
      </c>
      <c r="W467" s="19">
        <v>0</v>
      </c>
      <c r="X467" s="19">
        <v>0</v>
      </c>
      <c r="Y467" s="128">
        <v>0</v>
      </c>
      <c r="Z467" s="128">
        <v>0</v>
      </c>
      <c r="AA467" s="126">
        <v>0</v>
      </c>
      <c r="AB467" s="129">
        <f t="shared" si="130"/>
        <v>0</v>
      </c>
      <c r="AC467" s="130">
        <v>0</v>
      </c>
      <c r="AD467" s="35">
        <f t="shared" si="141"/>
        <v>0</v>
      </c>
      <c r="AE467" s="166" t="str">
        <f t="shared" si="142"/>
        <v>Release</v>
      </c>
      <c r="AF467" s="127"/>
      <c r="AG467" s="18">
        <v>0</v>
      </c>
      <c r="AH467" s="120"/>
      <c r="AI467" s="238">
        <v>0</v>
      </c>
      <c r="AJ467" s="132"/>
      <c r="AK467" s="151">
        <v>57.500000000000007</v>
      </c>
      <c r="AL467" s="154">
        <f t="shared" si="131"/>
        <v>0</v>
      </c>
      <c r="AM467" s="155"/>
      <c r="AN467" s="19">
        <f t="shared" si="132"/>
        <v>0</v>
      </c>
      <c r="AO467" s="118">
        <f>SUMIF('MPG Payment '!E:E,'Shayak Income '!D467,'MPG Payment '!AJ:AJ)</f>
        <v>0</v>
      </c>
      <c r="AP467" s="19">
        <f t="shared" si="133"/>
        <v>0</v>
      </c>
      <c r="AQ467" s="119">
        <f t="shared" si="143"/>
        <v>0</v>
      </c>
      <c r="AR467" s="91" t="s">
        <v>1144</v>
      </c>
      <c r="AS467" s="91">
        <f t="shared" si="134"/>
        <v>0</v>
      </c>
      <c r="AT467" s="118"/>
      <c r="AU467" s="118"/>
      <c r="AV467" s="118"/>
    </row>
    <row r="468" spans="1:48" s="20" customFormat="1" x14ac:dyDescent="0.25">
      <c r="A468" s="17">
        <f>IFERROR(VLOOKUP(D468,'Monthly Deduction'!$I$3:$J$957,2,0),0)</f>
        <v>56046.511703208816</v>
      </c>
      <c r="B468" s="17">
        <f>IFERROR(VLOOKUP(D468,'Monthly Deduction'!$E$3:$F$957,2,0),0)</f>
        <v>12800</v>
      </c>
      <c r="C468" s="17">
        <f t="shared" si="135"/>
        <v>68846.511703208816</v>
      </c>
      <c r="D468" s="41">
        <v>10140179</v>
      </c>
      <c r="E468" s="122" t="str">
        <f>VLOOKUP(D468,'MPG Payment '!$E$3:$G$497305,2,0)</f>
        <v>Gomukh Rajpur</v>
      </c>
      <c r="F468" s="146">
        <f>IFERROR(_xlfn.XLOOKUP(D468,'Monthly Deduction'!$I$3:$I$957,'Monthly Deduction'!$H$3:$H$957),0)</f>
        <v>0</v>
      </c>
      <c r="G468" s="123" t="str">
        <f>VLOOKUP(D468,'MPG Payment '!$E$3:$G$333666,3,0)</f>
        <v>MPG</v>
      </c>
      <c r="H468" s="124" t="str">
        <f>VLOOKUP(D468,'MPG Payment '!$E$3:$H$333666,4,0)</f>
        <v>Direct</v>
      </c>
      <c r="I468" s="88">
        <f>INDEX('MPG Payment '!$C:$C,MATCH('Shayak Income '!D468,'MPG Payment '!E:E,0))</f>
        <v>1014</v>
      </c>
      <c r="J468" s="88" t="str">
        <f>INDEX('MPG Payment '!$D:$D,MATCH('Shayak Income '!D468,'MPG Payment '!E:E,0))</f>
        <v>Dumraon</v>
      </c>
      <c r="K468" s="125" t="s">
        <v>1594</v>
      </c>
      <c r="L468" s="125">
        <v>45800</v>
      </c>
      <c r="M468" s="126">
        <f>SUMIF('MPG Payment '!$E$3:$E$344841,'Shayak Income '!D468,'MPG Payment '!$I$3:$I$344841)</f>
        <v>4223.6000000000004</v>
      </c>
      <c r="N468" s="126">
        <f>SUMIF('MPG Payment '!$E$3:$E$344841,'Shayak Income '!D468,'MPG Payment '!$J$3:$J$344841)</f>
        <v>178940.55000000005</v>
      </c>
      <c r="O468" s="126">
        <f t="shared" si="136"/>
        <v>3167.7000000000003</v>
      </c>
      <c r="P468" s="126">
        <f t="shared" si="137"/>
        <v>4012.42</v>
      </c>
      <c r="Q468" s="126">
        <f>SUMIF('MPG Payment '!$E$3:$E$344841,'Shayak Income '!D468,'MPG Payment '!$S$3:$S$344841)</f>
        <v>2176.56</v>
      </c>
      <c r="R468" s="126">
        <f t="shared" si="127"/>
        <v>5368.2165000000014</v>
      </c>
      <c r="S468" s="126">
        <f t="shared" si="128"/>
        <v>1355.7965000000013</v>
      </c>
      <c r="T468" s="126">
        <f t="shared" si="138"/>
        <v>422.36000000000007</v>
      </c>
      <c r="U468" s="127">
        <f>((((((IF(K468="New",0,SUMIF('MPG Payment '!$E$3:$E$344841,'Shayak Income '!D468,'MPG Payment '!$AC$3:$AC$344841))))+0)+0)+0)+0)+0</f>
        <v>0</v>
      </c>
      <c r="V468" s="127">
        <f t="shared" si="139"/>
        <v>8934</v>
      </c>
      <c r="W468" s="19">
        <f t="shared" si="140"/>
        <v>3578.8110000000011</v>
      </c>
      <c r="X468" s="19">
        <v>0</v>
      </c>
      <c r="Y468" s="128">
        <f>IFERROR(VLOOKUP(D468,'Monthly Deduction'!$M$2:$N$640,2,0),0)</f>
        <v>0</v>
      </c>
      <c r="Z468" s="128">
        <v>0</v>
      </c>
      <c r="AA468" s="126">
        <f>IFERROR(VLOOKUP(D468,'Monthly Deduction'!A:B,2,0),0)</f>
        <v>0</v>
      </c>
      <c r="AB468" s="129">
        <f t="shared" si="130"/>
        <v>5355</v>
      </c>
      <c r="AC468" s="130">
        <v>0</v>
      </c>
      <c r="AD468" s="35">
        <f t="shared" si="141"/>
        <v>5355</v>
      </c>
      <c r="AE468" s="166" t="str">
        <f t="shared" si="142"/>
        <v>Release</v>
      </c>
      <c r="AF468" s="127"/>
      <c r="AG468" s="18">
        <v>0</v>
      </c>
      <c r="AH468" s="120" t="s">
        <v>1685</v>
      </c>
      <c r="AI468" s="238">
        <v>3737</v>
      </c>
      <c r="AJ468" s="132" t="s">
        <v>68</v>
      </c>
      <c r="AK468" s="151">
        <v>787.7</v>
      </c>
      <c r="AL468" s="154">
        <f t="shared" si="131"/>
        <v>0</v>
      </c>
      <c r="AM468" s="155"/>
      <c r="AN468" s="19">
        <f t="shared" si="132"/>
        <v>3578.8110000000011</v>
      </c>
      <c r="AO468" s="118">
        <f>SUMIF('MPG Payment '!E:E,'Shayak Income '!D468,'MPG Payment '!AJ:AJ)</f>
        <v>0</v>
      </c>
      <c r="AP468" s="19">
        <f t="shared" si="133"/>
        <v>3578.8110000000011</v>
      </c>
      <c r="AQ468" s="119">
        <f t="shared" si="143"/>
        <v>3578.8110000000011</v>
      </c>
      <c r="AR468" s="91" t="s">
        <v>1144</v>
      </c>
      <c r="AS468" s="91">
        <f t="shared" si="134"/>
        <v>12800</v>
      </c>
      <c r="AT468" s="118"/>
      <c r="AU468" s="118"/>
      <c r="AV468" s="118"/>
    </row>
    <row r="469" spans="1:48" s="20" customFormat="1" x14ac:dyDescent="0.25">
      <c r="A469" s="17">
        <f>IFERROR(VLOOKUP(D469,'Monthly Deduction'!$I$3:$J$957,2,0),0)</f>
        <v>81039.266399999993</v>
      </c>
      <c r="B469" s="17">
        <f>IFERROR(VLOOKUP(D469,'Monthly Deduction'!$E$3:$F$957,2,0),0)</f>
        <v>6400</v>
      </c>
      <c r="C469" s="17">
        <f t="shared" si="135"/>
        <v>87439.266399999993</v>
      </c>
      <c r="D469" s="41">
        <v>10140180</v>
      </c>
      <c r="E469" s="122" t="str">
        <f>VLOOKUP(D469,'MPG Payment '!$E$3:$G$497305,2,0)</f>
        <v>Gomukh Gangauli Dubha</v>
      </c>
      <c r="F469" s="146">
        <f>IFERROR(_xlfn.XLOOKUP(D469,'Monthly Deduction'!$I$3:$I$957,'Monthly Deduction'!$H$3:$H$957),0)</f>
        <v>0</v>
      </c>
      <c r="G469" s="123" t="str">
        <f>VLOOKUP(D469,'MPG Payment '!$E$3:$G$333666,3,0)</f>
        <v>MPG</v>
      </c>
      <c r="H469" s="124" t="str">
        <f>VLOOKUP(D469,'MPG Payment '!$E$3:$H$333666,4,0)</f>
        <v>Direct</v>
      </c>
      <c r="I469" s="88">
        <f>INDEX('MPG Payment '!$C:$C,MATCH('Shayak Income '!D469,'MPG Payment '!E:E,0))</f>
        <v>1014</v>
      </c>
      <c r="J469" s="88" t="str">
        <f>INDEX('MPG Payment '!$D:$D,MATCH('Shayak Income '!D469,'MPG Payment '!E:E,0))</f>
        <v>Dumraon</v>
      </c>
      <c r="K469" s="125" t="s">
        <v>1594</v>
      </c>
      <c r="L469" s="125">
        <v>45809</v>
      </c>
      <c r="M469" s="126">
        <f>SUMIF('MPG Payment '!$E$3:$E$344841,'Shayak Income '!D469,'MPG Payment '!$I$3:$I$344841)</f>
        <v>771.82999999999993</v>
      </c>
      <c r="N469" s="126">
        <f>SUMIF('MPG Payment '!$E$3:$E$344841,'Shayak Income '!D469,'MPG Payment '!$J$3:$J$344841)</f>
        <v>31699.120000000003</v>
      </c>
      <c r="O469" s="126">
        <f t="shared" si="136"/>
        <v>578.87249999999995</v>
      </c>
      <c r="P469" s="126">
        <f t="shared" si="137"/>
        <v>733.23849999999993</v>
      </c>
      <c r="Q469" s="126">
        <f>SUMIF('MPG Payment '!$E$3:$E$344841,'Shayak Income '!D469,'MPG Payment '!$S$3:$S$344841)</f>
        <v>484.39</v>
      </c>
      <c r="R469" s="126">
        <f t="shared" si="127"/>
        <v>950.97360000000003</v>
      </c>
      <c r="S469" s="126">
        <f t="shared" si="128"/>
        <v>217.7351000000001</v>
      </c>
      <c r="T469" s="126">
        <f t="shared" si="138"/>
        <v>77.182999999999993</v>
      </c>
      <c r="U469" s="127">
        <f>((((((IF(K469="New",0,SUMIF('MPG Payment '!$E$3:$E$344841,'Shayak Income '!D469,'MPG Payment '!$AC$3:$AC$344841))))+0)+0)+0)+0)+0</f>
        <v>1667.5525109626797</v>
      </c>
      <c r="V469" s="127">
        <f t="shared" si="139"/>
        <v>52</v>
      </c>
      <c r="W469" s="19">
        <v>52</v>
      </c>
      <c r="X469" s="19">
        <v>0</v>
      </c>
      <c r="Y469" s="128">
        <f>IFERROR(VLOOKUP(D469,'Monthly Deduction'!$M$2:$N$640,2,0),0)</f>
        <v>0</v>
      </c>
      <c r="Z469" s="128">
        <v>0</v>
      </c>
      <c r="AA469" s="126">
        <v>0</v>
      </c>
      <c r="AB469" s="129">
        <f t="shared" si="130"/>
        <v>0</v>
      </c>
      <c r="AC469" s="130">
        <f t="shared" ref="AC469" si="144">AB469</f>
        <v>0</v>
      </c>
      <c r="AD469" s="35">
        <f t="shared" si="141"/>
        <v>0</v>
      </c>
      <c r="AE469" s="166" t="str">
        <f t="shared" si="142"/>
        <v>Release</v>
      </c>
      <c r="AF469" s="127"/>
      <c r="AG469" s="18">
        <v>0</v>
      </c>
      <c r="AH469" s="120" t="s">
        <v>1686</v>
      </c>
      <c r="AI469" s="238">
        <v>4193</v>
      </c>
      <c r="AJ469" s="132"/>
      <c r="AK469" s="151">
        <v>100.10000000000001</v>
      </c>
      <c r="AL469" s="154">
        <f t="shared" si="131"/>
        <v>0</v>
      </c>
      <c r="AM469" s="155"/>
      <c r="AN469" s="19">
        <f t="shared" si="132"/>
        <v>1861</v>
      </c>
      <c r="AO469" s="118">
        <f>SUMIF('MPG Payment '!E:E,'Shayak Income '!D469,'MPG Payment '!AJ:AJ)</f>
        <v>0</v>
      </c>
      <c r="AP469" s="19">
        <f t="shared" si="133"/>
        <v>52</v>
      </c>
      <c r="AQ469" s="119">
        <f t="shared" si="143"/>
        <v>52</v>
      </c>
      <c r="AR469" s="91"/>
      <c r="AS469" s="91">
        <f t="shared" si="134"/>
        <v>6400</v>
      </c>
      <c r="AT469" s="118"/>
      <c r="AU469" s="118"/>
      <c r="AV469" s="118"/>
    </row>
    <row r="470" spans="1:48" s="20" customFormat="1" x14ac:dyDescent="0.25">
      <c r="A470" s="17">
        <f>IFERROR(VLOOKUP(D470,'Monthly Deduction'!$I$3:$J$957,2,0),0)</f>
        <v>46546.375636862023</v>
      </c>
      <c r="B470" s="17">
        <f>IFERROR(VLOOKUP(D470,'Monthly Deduction'!$E$3:$F$957,2,0),0)</f>
        <v>6400</v>
      </c>
      <c r="C470" s="17">
        <f t="shared" si="135"/>
        <v>52946.375636862023</v>
      </c>
      <c r="D470" s="41">
        <v>10140185</v>
      </c>
      <c r="E470" s="122" t="str">
        <f>VLOOKUP(D470,'MPG Payment '!$E$3:$G$497305,2,0)</f>
        <v>Gomukh Jagdishpur</v>
      </c>
      <c r="F470" s="146">
        <f>IFERROR(_xlfn.XLOOKUP(D470,'Monthly Deduction'!$I$3:$I$957,'Monthly Deduction'!$H$3:$H$957),0)</f>
        <v>0</v>
      </c>
      <c r="G470" s="123" t="str">
        <f>VLOOKUP(D470,'MPG Payment '!$E$3:$G$333666,3,0)</f>
        <v>MPG</v>
      </c>
      <c r="H470" s="124" t="str">
        <f>VLOOKUP(D470,'MPG Payment '!$E$3:$H$333666,4,0)</f>
        <v>Direct</v>
      </c>
      <c r="I470" s="88">
        <f>INDEX('MPG Payment '!$C:$C,MATCH('Shayak Income '!D470,'MPG Payment '!E:E,0))</f>
        <v>1014</v>
      </c>
      <c r="J470" s="88" t="str">
        <f>INDEX('MPG Payment '!$D:$D,MATCH('Shayak Income '!D470,'MPG Payment '!E:E,0))</f>
        <v>Dumraon</v>
      </c>
      <c r="K470" s="125" t="s">
        <v>1594</v>
      </c>
      <c r="L470" s="125">
        <v>45868</v>
      </c>
      <c r="M470" s="126">
        <f>SUMIF('MPG Payment '!$E$3:$E$344841,'Shayak Income '!D470,'MPG Payment '!$I$3:$I$344841)</f>
        <v>1474.9</v>
      </c>
      <c r="N470" s="126">
        <f>SUMIF('MPG Payment '!$E$3:$E$344841,'Shayak Income '!D470,'MPG Payment '!$J$3:$J$344841)</f>
        <v>50608.19</v>
      </c>
      <c r="O470" s="126">
        <f t="shared" si="136"/>
        <v>1106.1750000000002</v>
      </c>
      <c r="P470" s="126">
        <f t="shared" si="137"/>
        <v>1401.155</v>
      </c>
      <c r="Q470" s="126">
        <f>SUMIF('MPG Payment '!$E$3:$E$344841,'Shayak Income '!D470,'MPG Payment '!$S$3:$S$344841)</f>
        <v>0</v>
      </c>
      <c r="R470" s="126">
        <f t="shared" si="127"/>
        <v>1518.2456999999999</v>
      </c>
      <c r="S470" s="126">
        <f t="shared" si="128"/>
        <v>117.09069999999997</v>
      </c>
      <c r="T470" s="126">
        <f t="shared" si="138"/>
        <v>147.49</v>
      </c>
      <c r="U470" s="127">
        <f>((((((IF(K470="New",0,SUMIF('MPG Payment '!$E$3:$E$344841,'Shayak Income '!D470,'MPG Payment '!$AC$3:$AC$344841))))+0)+0)+0)+0)+0</f>
        <v>903.13245716714846</v>
      </c>
      <c r="V470" s="127">
        <f t="shared" si="139"/>
        <v>1457</v>
      </c>
      <c r="W470" s="19">
        <v>1457</v>
      </c>
      <c r="X470" s="19">
        <v>0</v>
      </c>
      <c r="Y470" s="128">
        <f>IFERROR(VLOOKUP(D470,'Monthly Deduction'!$M$2:$N$640,2,0),0)</f>
        <v>0</v>
      </c>
      <c r="Z470" s="128">
        <v>0</v>
      </c>
      <c r="AA470" s="126">
        <f>IFERROR(VLOOKUP(D470,'Monthly Deduction'!A:B,2,0),0)</f>
        <v>0</v>
      </c>
      <c r="AB470" s="129">
        <f t="shared" si="130"/>
        <v>0</v>
      </c>
      <c r="AC470" s="130">
        <v>0</v>
      </c>
      <c r="AD470" s="35">
        <f t="shared" si="141"/>
        <v>0</v>
      </c>
      <c r="AE470" s="166" t="str">
        <f t="shared" si="142"/>
        <v>Release</v>
      </c>
      <c r="AF470" s="127"/>
      <c r="AG470" s="18">
        <v>0</v>
      </c>
      <c r="AH470" s="120"/>
      <c r="AI470" s="238">
        <v>0</v>
      </c>
      <c r="AJ470" s="132"/>
      <c r="AK470" s="151">
        <v>259</v>
      </c>
      <c r="AL470" s="154">
        <f t="shared" si="131"/>
        <v>0</v>
      </c>
      <c r="AM470" s="155"/>
      <c r="AN470" s="19">
        <f t="shared" si="132"/>
        <v>1861</v>
      </c>
      <c r="AO470" s="118">
        <f>SUMIF('MPG Payment '!E:E,'Shayak Income '!D470,'MPG Payment '!AJ:AJ)</f>
        <v>0</v>
      </c>
      <c r="AP470" s="19">
        <f t="shared" si="133"/>
        <v>1457</v>
      </c>
      <c r="AQ470" s="119">
        <f t="shared" si="143"/>
        <v>1457</v>
      </c>
      <c r="AR470" s="91" t="s">
        <v>1144</v>
      </c>
      <c r="AS470" s="91">
        <f t="shared" si="134"/>
        <v>6400</v>
      </c>
      <c r="AT470" s="118"/>
      <c r="AU470" s="118"/>
      <c r="AV470" s="118"/>
    </row>
    <row r="471" spans="1:48" s="20" customFormat="1" x14ac:dyDescent="0.25">
      <c r="A471" s="17">
        <f>IFERROR(VLOOKUP(D471,'Monthly Deduction'!$I$3:$J$957,2,0),0)</f>
        <v>0</v>
      </c>
      <c r="B471" s="17">
        <f>IFERROR(VLOOKUP(D471,'Monthly Deduction'!$E$3:$F$957,2,0),0)</f>
        <v>0</v>
      </c>
      <c r="C471" s="17">
        <f t="shared" si="135"/>
        <v>0</v>
      </c>
      <c r="D471" s="41">
        <v>10180001</v>
      </c>
      <c r="E471" s="122" t="str">
        <f>VLOOKUP(D471,'MPG Payment '!$E$3:$G$497305,2,0)</f>
        <v>Gaachhi Tola</v>
      </c>
      <c r="F471" s="146">
        <f>IFERROR(_xlfn.XLOOKUP(D471,'Monthly Deduction'!$I$3:$I$957,'Monthly Deduction'!$H$3:$H$957),0)</f>
        <v>0</v>
      </c>
      <c r="G471" s="123" t="str">
        <f>VLOOKUP(D471,'MPG Payment '!$E$3:$G$333666,3,0)</f>
        <v>vlc</v>
      </c>
      <c r="H471" s="124" t="str">
        <f>VLOOKUP(D471,'MPG Payment '!$E$3:$H$333666,4,0)</f>
        <v>Indirect</v>
      </c>
      <c r="I471" s="88">
        <f>INDEX('MPG Payment '!$C:$C,MATCH('Shayak Income '!D471,'MPG Payment '!E:E,0))</f>
        <v>1002</v>
      </c>
      <c r="J471" s="88" t="str">
        <f>INDEX('MPG Payment '!$D:$D,MATCH('Shayak Income '!D471,'MPG Payment '!E:E,0))</f>
        <v>Laldiyara</v>
      </c>
      <c r="K471" s="125" t="s">
        <v>1594</v>
      </c>
      <c r="L471" s="125">
        <v>43510</v>
      </c>
      <c r="M471" s="126">
        <f>SUMIF('MPG Payment '!$E$3:$E$344841,'Shayak Income '!D471,'MPG Payment '!$I$3:$I$344841)</f>
        <v>2848.3</v>
      </c>
      <c r="N471" s="126">
        <f>SUMIF('MPG Payment '!$E$3:$E$344841,'Shayak Income '!D471,'MPG Payment '!$J$3:$J$344841)</f>
        <v>118352.8</v>
      </c>
      <c r="O471" s="126">
        <f t="shared" si="136"/>
        <v>2136.2250000000004</v>
      </c>
      <c r="P471" s="126">
        <f t="shared" si="137"/>
        <v>2705.8850000000002</v>
      </c>
      <c r="Q471" s="126">
        <f>SUMIF('MPG Payment '!$E$3:$E$344841,'Shayak Income '!D471,'MPG Payment '!$S$3:$S$344841)</f>
        <v>0</v>
      </c>
      <c r="R471" s="126">
        <f t="shared" si="127"/>
        <v>3550.5839999999998</v>
      </c>
      <c r="S471" s="126">
        <f t="shared" si="128"/>
        <v>844.69899999999961</v>
      </c>
      <c r="T471" s="126">
        <f t="shared" si="138"/>
        <v>284.83000000000004</v>
      </c>
      <c r="U471" s="127">
        <f>((((((IF(K471="New",0,SUMIF('MPG Payment '!$E$3:$E$344841,'Shayak Income '!D471,'MPG Payment '!$AC$3:$AC$344841))))+0)+0)+0)+0)+0</f>
        <v>64.187732145470051</v>
      </c>
      <c r="V471" s="127">
        <f t="shared" si="139"/>
        <v>4493</v>
      </c>
      <c r="W471" s="19">
        <f t="shared" si="140"/>
        <v>0</v>
      </c>
      <c r="X471" s="19">
        <f t="shared" si="129"/>
        <v>0</v>
      </c>
      <c r="Y471" s="128">
        <f>IFERROR(VLOOKUP(D471,'Monthly Deduction'!$M$2:$N$640,2,0),0)</f>
        <v>0</v>
      </c>
      <c r="Z471" s="128">
        <v>0</v>
      </c>
      <c r="AA471" s="126">
        <f>IFERROR(VLOOKUP(D471,'Monthly Deduction'!A:B,2,0),0)</f>
        <v>0</v>
      </c>
      <c r="AB471" s="129">
        <f t="shared" si="130"/>
        <v>4493</v>
      </c>
      <c r="AC471" s="130">
        <v>0</v>
      </c>
      <c r="AD471" s="35">
        <f t="shared" si="141"/>
        <v>4493</v>
      </c>
      <c r="AE471" s="166" t="str">
        <f t="shared" si="142"/>
        <v>Release</v>
      </c>
      <c r="AF471" s="127"/>
      <c r="AG471" s="18">
        <v>0</v>
      </c>
      <c r="AH471" s="120"/>
      <c r="AI471" s="238">
        <v>0</v>
      </c>
      <c r="AJ471" s="132"/>
      <c r="AK471" s="151">
        <v>608.29999999999995</v>
      </c>
      <c r="AL471" s="154">
        <f t="shared" si="131"/>
        <v>0</v>
      </c>
      <c r="AM471" s="155"/>
      <c r="AN471" s="19">
        <f t="shared" si="132"/>
        <v>0</v>
      </c>
      <c r="AO471" s="118">
        <f>SUMIF('MPG Payment '!E:E,'Shayak Income '!D471,'MPG Payment '!AJ:AJ)</f>
        <v>0</v>
      </c>
      <c r="AP471" s="19">
        <f t="shared" si="133"/>
        <v>0</v>
      </c>
      <c r="AQ471" s="119">
        <f t="shared" si="143"/>
        <v>0</v>
      </c>
      <c r="AR471" s="91"/>
      <c r="AS471" s="91">
        <f t="shared" si="134"/>
        <v>0</v>
      </c>
      <c r="AT471" s="118"/>
      <c r="AU471" s="118"/>
      <c r="AV471" s="118"/>
    </row>
    <row r="472" spans="1:48" s="20" customFormat="1" x14ac:dyDescent="0.25">
      <c r="A472" s="17">
        <f>IFERROR(VLOOKUP(D472,'Monthly Deduction'!$I$3:$J$957,2,0),0)</f>
        <v>0</v>
      </c>
      <c r="B472" s="17">
        <f>IFERROR(VLOOKUP(D472,'Monthly Deduction'!$E$3:$F$957,2,0),0)</f>
        <v>0</v>
      </c>
      <c r="C472" s="17">
        <f t="shared" si="135"/>
        <v>0</v>
      </c>
      <c r="D472" s="41">
        <v>10240001</v>
      </c>
      <c r="E472" s="122" t="str">
        <f>VLOOKUP(D472,'MPG Payment '!$E$3:$G$497305,2,0)</f>
        <v>KUMARPUIR KATHARA</v>
      </c>
      <c r="F472" s="146">
        <f>IFERROR(_xlfn.XLOOKUP(D472,'Monthly Deduction'!$I$3:$I$957,'Monthly Deduction'!$H$3:$H$957),0)</f>
        <v>0</v>
      </c>
      <c r="G472" s="123" t="str">
        <f>VLOOKUP(D472,'MPG Payment '!$E$3:$G$333666,3,0)</f>
        <v>RMC</v>
      </c>
      <c r="H472" s="124" t="str">
        <f>VLOOKUP(D472,'MPG Payment '!$E$3:$H$333666,4,0)</f>
        <v>Direct</v>
      </c>
      <c r="I472" s="88">
        <f>INDEX('MPG Payment '!$C:$C,MATCH('Shayak Income '!D472,'MPG Payment '!E:E,0))</f>
        <v>1003</v>
      </c>
      <c r="J472" s="88" t="str">
        <f>INDEX('MPG Payment '!$D:$D,MATCH('Shayak Income '!D472,'MPG Payment '!E:E,0))</f>
        <v>Asarganj</v>
      </c>
      <c r="K472" s="125" t="s">
        <v>1594</v>
      </c>
      <c r="L472" s="125">
        <v>42979</v>
      </c>
      <c r="M472" s="126">
        <f>SUMIF('MPG Payment '!$E$3:$E$344841,'Shayak Income '!D472,'MPG Payment '!$I$3:$I$344841)</f>
        <v>8827.4</v>
      </c>
      <c r="N472" s="126">
        <f>SUMIF('MPG Payment '!$E$3:$E$344841,'Shayak Income '!D472,'MPG Payment '!$J$3:$J$344841)</f>
        <v>336680.88</v>
      </c>
      <c r="O472" s="126">
        <f t="shared" si="136"/>
        <v>6620.5499999999993</v>
      </c>
      <c r="P472" s="126">
        <f t="shared" si="137"/>
        <v>8386.0299999999988</v>
      </c>
      <c r="Q472" s="126">
        <f>SUMIF('MPG Payment '!$E$3:$E$344841,'Shayak Income '!D472,'MPG Payment '!$S$3:$S$344841)</f>
        <v>5760.78</v>
      </c>
      <c r="R472" s="126">
        <f t="shared" si="127"/>
        <v>10100.4264</v>
      </c>
      <c r="S472" s="126">
        <f t="shared" si="128"/>
        <v>1714.3964000000014</v>
      </c>
      <c r="T472" s="126">
        <f t="shared" si="138"/>
        <v>882.74</v>
      </c>
      <c r="U472" s="127">
        <f>((((((IF(K472="New",0,SUMIF('MPG Payment '!$E$3:$E$344841,'Shayak Income '!D472,'MPG Payment '!$AC$3:$AC$344841))))+0)+0)+0)+0)+0</f>
        <v>0</v>
      </c>
      <c r="V472" s="127">
        <f t="shared" si="139"/>
        <v>19885</v>
      </c>
      <c r="W472" s="19">
        <f t="shared" si="140"/>
        <v>0</v>
      </c>
      <c r="X472" s="19">
        <f t="shared" si="129"/>
        <v>0</v>
      </c>
      <c r="Y472" s="128">
        <f>IFERROR(VLOOKUP(D472,'Monthly Deduction'!$M$2:$N$640,2,0),0)</f>
        <v>0</v>
      </c>
      <c r="Z472" s="128">
        <v>0</v>
      </c>
      <c r="AA472" s="126">
        <f>IFERROR(VLOOKUP(D472,'Monthly Deduction'!A:B,2,0),0)</f>
        <v>0</v>
      </c>
      <c r="AB472" s="129">
        <f t="shared" si="130"/>
        <v>19885</v>
      </c>
      <c r="AC472" s="130">
        <v>0</v>
      </c>
      <c r="AD472" s="35">
        <f t="shared" si="141"/>
        <v>19885</v>
      </c>
      <c r="AE472" s="166" t="str">
        <f t="shared" si="142"/>
        <v>Release</v>
      </c>
      <c r="AF472" s="127"/>
      <c r="AG472" s="18">
        <v>0</v>
      </c>
      <c r="AH472" s="132"/>
      <c r="AI472" s="238">
        <v>0</v>
      </c>
      <c r="AJ472" s="132"/>
      <c r="AK472" s="151">
        <v>1858.3000000000002</v>
      </c>
      <c r="AL472" s="154">
        <f t="shared" si="131"/>
        <v>0</v>
      </c>
      <c r="AM472" s="155"/>
      <c r="AN472" s="19">
        <f t="shared" si="132"/>
        <v>0</v>
      </c>
      <c r="AO472" s="118">
        <f>SUMIF('MPG Payment '!E:E,'Shayak Income '!D472,'MPG Payment '!AJ:AJ)</f>
        <v>0</v>
      </c>
      <c r="AP472" s="19">
        <f t="shared" si="133"/>
        <v>0</v>
      </c>
      <c r="AQ472" s="119">
        <f t="shared" si="143"/>
        <v>0</v>
      </c>
      <c r="AR472" s="91"/>
      <c r="AS472" s="91">
        <f t="shared" si="134"/>
        <v>0</v>
      </c>
      <c r="AT472" s="118"/>
      <c r="AU472" s="118"/>
      <c r="AV472" s="118"/>
    </row>
    <row r="473" spans="1:48" s="20" customFormat="1" x14ac:dyDescent="0.25">
      <c r="A473" s="17">
        <f>IFERROR(VLOOKUP(D473,'Monthly Deduction'!$I$3:$J$957,2,0),0)</f>
        <v>0</v>
      </c>
      <c r="B473" s="17">
        <f>IFERROR(VLOOKUP(D473,'Monthly Deduction'!$E$3:$F$957,2,0),0)</f>
        <v>0</v>
      </c>
      <c r="C473" s="17">
        <f t="shared" si="135"/>
        <v>0</v>
      </c>
      <c r="D473" s="41">
        <v>10250001</v>
      </c>
      <c r="E473" s="122" t="str">
        <f>VLOOKUP(D473,'MPG Payment '!$E$3:$G$497305,2,0)</f>
        <v>KUDHIYA MPG</v>
      </c>
      <c r="F473" s="146">
        <f>IFERROR(_xlfn.XLOOKUP(D473,'Monthly Deduction'!$I$3:$I$957,'Monthly Deduction'!$H$3:$H$957),0)</f>
        <v>0</v>
      </c>
      <c r="G473" s="123" t="str">
        <f>VLOOKUP(D473,'MPG Payment '!$E$3:$G$333666,3,0)</f>
        <v>RMC</v>
      </c>
      <c r="H473" s="124" t="str">
        <f>VLOOKUP(D473,'MPG Payment '!$E$3:$H$333666,4,0)</f>
        <v>Direct</v>
      </c>
      <c r="I473" s="88">
        <f>INDEX('MPG Payment '!$C:$C,MATCH('Shayak Income '!D473,'MPG Payment '!E:E,0))</f>
        <v>1003</v>
      </c>
      <c r="J473" s="88" t="str">
        <f>INDEX('MPG Payment '!$D:$D,MATCH('Shayak Income '!D473,'MPG Payment '!E:E,0))</f>
        <v>Asarganj</v>
      </c>
      <c r="K473" s="125" t="s">
        <v>1594</v>
      </c>
      <c r="L473" s="125">
        <v>42979</v>
      </c>
      <c r="M473" s="126">
        <f>SUMIF('MPG Payment '!$E$3:$E$344841,'Shayak Income '!D473,'MPG Payment '!$I$3:$I$344841)</f>
        <v>7315.9500000000007</v>
      </c>
      <c r="N473" s="126">
        <f>SUMIF('MPG Payment '!$E$3:$E$344841,'Shayak Income '!D473,'MPG Payment '!$J$3:$J$344841)</f>
        <v>321938.95999999996</v>
      </c>
      <c r="O473" s="126">
        <f t="shared" si="136"/>
        <v>5486.9625000000005</v>
      </c>
      <c r="P473" s="126">
        <f t="shared" si="137"/>
        <v>6950.1525000000001</v>
      </c>
      <c r="Q473" s="126">
        <f>SUMIF('MPG Payment '!$E$3:$E$344841,'Shayak Income '!D473,'MPG Payment '!$S$3:$S$344841)</f>
        <v>2408.44</v>
      </c>
      <c r="R473" s="126">
        <f t="shared" si="127"/>
        <v>9658.1687999999976</v>
      </c>
      <c r="S473" s="126">
        <f t="shared" si="128"/>
        <v>2708.0162999999975</v>
      </c>
      <c r="T473" s="126">
        <f t="shared" si="138"/>
        <v>731.59500000000014</v>
      </c>
      <c r="U473" s="127">
        <f>((((((IF(K473="New",0,SUMIF('MPG Payment '!$E$3:$E$344841,'Shayak Income '!D473,'MPG Payment '!$AC$3:$AC$344841))))+0)+0)+0)+0)+0</f>
        <v>0</v>
      </c>
      <c r="V473" s="127">
        <f t="shared" si="139"/>
        <v>14114</v>
      </c>
      <c r="W473" s="19">
        <f t="shared" si="140"/>
        <v>0</v>
      </c>
      <c r="X473" s="19">
        <f t="shared" si="129"/>
        <v>0</v>
      </c>
      <c r="Y473" s="128">
        <f>IFERROR(VLOOKUP(D473,'Monthly Deduction'!$M$2:$N$640,2,0),0)</f>
        <v>0</v>
      </c>
      <c r="Z473" s="128">
        <v>0</v>
      </c>
      <c r="AA473" s="126">
        <f>IFERROR(VLOOKUP(D473,'Monthly Deduction'!A:B,2,0),0)</f>
        <v>0</v>
      </c>
      <c r="AB473" s="129">
        <f t="shared" si="130"/>
        <v>14114</v>
      </c>
      <c r="AC473" s="130">
        <v>0</v>
      </c>
      <c r="AD473" s="35">
        <f t="shared" si="141"/>
        <v>14114</v>
      </c>
      <c r="AE473" s="166" t="str">
        <f t="shared" si="142"/>
        <v>Release</v>
      </c>
      <c r="AF473" s="127"/>
      <c r="AG473" s="18">
        <v>0</v>
      </c>
      <c r="AH473" s="132"/>
      <c r="AI473" s="238">
        <v>0</v>
      </c>
      <c r="AJ473" s="132"/>
      <c r="AK473" s="151">
        <v>1684.9500000000003</v>
      </c>
      <c r="AL473" s="154">
        <f t="shared" si="131"/>
        <v>0</v>
      </c>
      <c r="AM473" s="155"/>
      <c r="AN473" s="19">
        <f t="shared" si="132"/>
        <v>0</v>
      </c>
      <c r="AO473" s="118">
        <f>SUMIF('MPG Payment '!E:E,'Shayak Income '!D473,'MPG Payment '!AJ:AJ)</f>
        <v>0</v>
      </c>
      <c r="AP473" s="19">
        <f t="shared" si="133"/>
        <v>0</v>
      </c>
      <c r="AQ473" s="119">
        <f t="shared" si="143"/>
        <v>0</v>
      </c>
      <c r="AR473" s="91"/>
      <c r="AS473" s="91">
        <f t="shared" si="134"/>
        <v>0</v>
      </c>
      <c r="AT473" s="118"/>
      <c r="AU473" s="118"/>
      <c r="AV473" s="118"/>
    </row>
    <row r="474" spans="1:48" s="20" customFormat="1" x14ac:dyDescent="0.25">
      <c r="A474" s="17">
        <f>IFERROR(VLOOKUP(D474,'Monthly Deduction'!$I$3:$J$957,2,0),0)</f>
        <v>0</v>
      </c>
      <c r="B474" s="17">
        <f>IFERROR(VLOOKUP(D474,'Monthly Deduction'!$E$3:$F$957,2,0),0)</f>
        <v>0</v>
      </c>
      <c r="C474" s="17">
        <f t="shared" si="135"/>
        <v>0</v>
      </c>
      <c r="D474" s="41">
        <v>10260001</v>
      </c>
      <c r="E474" s="122" t="str">
        <f>VLOOKUP(D474,'MPG Payment '!$E$3:$G$497305,2,0)</f>
        <v>SHAHJADPUR MPG</v>
      </c>
      <c r="F474" s="146">
        <f>IFERROR(_xlfn.XLOOKUP(D474,'Monthly Deduction'!$I$3:$I$957,'Monthly Deduction'!$H$3:$H$957),0)</f>
        <v>0</v>
      </c>
      <c r="G474" s="123" t="str">
        <f>VLOOKUP(D474,'MPG Payment '!$E$3:$G$333666,3,0)</f>
        <v>RMC</v>
      </c>
      <c r="H474" s="124" t="str">
        <f>VLOOKUP(D474,'MPG Payment '!$E$3:$H$333666,4,0)</f>
        <v>Direct</v>
      </c>
      <c r="I474" s="88">
        <f>INDEX('MPG Payment '!$C:$C,MATCH('Shayak Income '!D474,'MPG Payment '!E:E,0))</f>
        <v>1003</v>
      </c>
      <c r="J474" s="88" t="str">
        <f>INDEX('MPG Payment '!$D:$D,MATCH('Shayak Income '!D474,'MPG Payment '!E:E,0))</f>
        <v>Asarganj</v>
      </c>
      <c r="K474" s="125" t="s">
        <v>1594</v>
      </c>
      <c r="L474" s="125">
        <v>42979</v>
      </c>
      <c r="M474" s="126">
        <f>SUMIF('MPG Payment '!$E$3:$E$344841,'Shayak Income '!D474,'MPG Payment '!$I$3:$I$344841)</f>
        <v>5968.9000000000005</v>
      </c>
      <c r="N474" s="126">
        <f>SUMIF('MPG Payment '!$E$3:$E$344841,'Shayak Income '!D474,'MPG Payment '!$J$3:$J$344841)</f>
        <v>227823.4</v>
      </c>
      <c r="O474" s="126">
        <f t="shared" si="136"/>
        <v>4476.6750000000002</v>
      </c>
      <c r="P474" s="126">
        <f t="shared" si="137"/>
        <v>5670.4549999999999</v>
      </c>
      <c r="Q474" s="126">
        <f>SUMIF('MPG Payment '!$E$3:$E$344841,'Shayak Income '!D474,'MPG Payment '!$S$3:$S$344841)</f>
        <v>1364.16</v>
      </c>
      <c r="R474" s="126">
        <f t="shared" si="127"/>
        <v>6834.7019999999993</v>
      </c>
      <c r="S474" s="126">
        <f t="shared" si="128"/>
        <v>1164.2469999999994</v>
      </c>
      <c r="T474" s="126">
        <f t="shared" si="138"/>
        <v>596.8900000000001</v>
      </c>
      <c r="U474" s="127">
        <f>((((((IF(K474="New",0,SUMIF('MPG Payment '!$E$3:$E$344841,'Shayak Income '!D474,'MPG Payment '!$AC$3:$AC$344841))))+0)+0)+0)+0)+0</f>
        <v>0</v>
      </c>
      <c r="V474" s="127">
        <f t="shared" si="139"/>
        <v>10914</v>
      </c>
      <c r="W474" s="19">
        <f t="shared" si="140"/>
        <v>0</v>
      </c>
      <c r="X474" s="19">
        <f t="shared" si="129"/>
        <v>0</v>
      </c>
      <c r="Y474" s="128">
        <f>IFERROR(VLOOKUP(D474,'Monthly Deduction'!$M$2:$N$640,2,0),0)</f>
        <v>0</v>
      </c>
      <c r="Z474" s="128">
        <v>0</v>
      </c>
      <c r="AA474" s="126">
        <f>IFERROR(VLOOKUP(D474,'Monthly Deduction'!A:B,2,0),0)</f>
        <v>0</v>
      </c>
      <c r="AB474" s="129">
        <f t="shared" si="130"/>
        <v>10914</v>
      </c>
      <c r="AC474" s="130">
        <v>0</v>
      </c>
      <c r="AD474" s="35">
        <f t="shared" si="141"/>
        <v>10914</v>
      </c>
      <c r="AE474" s="166" t="str">
        <f t="shared" si="142"/>
        <v>Release</v>
      </c>
      <c r="AF474" s="127"/>
      <c r="AG474" s="18">
        <v>0</v>
      </c>
      <c r="AH474" s="132"/>
      <c r="AI474" s="238">
        <v>0</v>
      </c>
      <c r="AJ474" s="132"/>
      <c r="AK474" s="151">
        <v>846.9</v>
      </c>
      <c r="AL474" s="154">
        <f t="shared" si="131"/>
        <v>0</v>
      </c>
      <c r="AM474" s="155"/>
      <c r="AN474" s="19">
        <f t="shared" si="132"/>
        <v>0</v>
      </c>
      <c r="AO474" s="118">
        <f>SUMIF('MPG Payment '!E:E,'Shayak Income '!D474,'MPG Payment '!AJ:AJ)</f>
        <v>0</v>
      </c>
      <c r="AP474" s="19">
        <f t="shared" si="133"/>
        <v>0</v>
      </c>
      <c r="AQ474" s="119">
        <f t="shared" si="143"/>
        <v>0</v>
      </c>
      <c r="AR474" s="91" t="s">
        <v>1144</v>
      </c>
      <c r="AS474" s="91">
        <f t="shared" si="134"/>
        <v>0</v>
      </c>
      <c r="AT474" s="118"/>
      <c r="AU474" s="118"/>
      <c r="AV474" s="118"/>
    </row>
    <row r="475" spans="1:48" s="20" customFormat="1" x14ac:dyDescent="0.25">
      <c r="A475" s="17">
        <f>IFERROR(VLOOKUP(D475,'Monthly Deduction'!$I$3:$J$957,2,0),0)</f>
        <v>0</v>
      </c>
      <c r="B475" s="17">
        <f>IFERROR(VLOOKUP(D475,'Monthly Deduction'!$E$3:$F$957,2,0),0)</f>
        <v>0</v>
      </c>
      <c r="C475" s="17">
        <f t="shared" si="135"/>
        <v>0</v>
      </c>
      <c r="D475" s="41">
        <v>10290001</v>
      </c>
      <c r="E475" s="122" t="str">
        <f>VLOOKUP(D475,'MPG Payment '!$E$3:$G$497305,2,0)</f>
        <v>FARDA - 3</v>
      </c>
      <c r="F475" s="146">
        <f>IFERROR(_xlfn.XLOOKUP(D475,'Monthly Deduction'!$I$3:$I$957,'Monthly Deduction'!$H$3:$H$957),0)</f>
        <v>0</v>
      </c>
      <c r="G475" s="123" t="str">
        <f>VLOOKUP(D475,'MPG Payment '!$E$3:$G$333666,3,0)</f>
        <v>RMC</v>
      </c>
      <c r="H475" s="124" t="str">
        <f>VLOOKUP(D475,'MPG Payment '!$E$3:$H$333666,4,0)</f>
        <v>Direct</v>
      </c>
      <c r="I475" s="88">
        <f>INDEX('MPG Payment '!$C:$C,MATCH('Shayak Income '!D475,'MPG Payment '!E:E,0))</f>
        <v>1006</v>
      </c>
      <c r="J475" s="88" t="str">
        <f>INDEX('MPG Payment '!$D:$D,MATCH('Shayak Income '!D475,'MPG Payment '!E:E,0))</f>
        <v>Sonvarsha</v>
      </c>
      <c r="K475" s="125" t="s">
        <v>1594</v>
      </c>
      <c r="L475" s="125">
        <v>42979</v>
      </c>
      <c r="M475" s="126">
        <f>SUMIF('MPG Payment '!$E$3:$E$344841,'Shayak Income '!D475,'MPG Payment '!$I$3:$I$344841)</f>
        <v>7674.1999999999989</v>
      </c>
      <c r="N475" s="126">
        <f>SUMIF('MPG Payment '!$E$3:$E$344841,'Shayak Income '!D475,'MPG Payment '!$J$3:$J$344841)</f>
        <v>285640.07</v>
      </c>
      <c r="O475" s="126">
        <f t="shared" si="136"/>
        <v>5755.65</v>
      </c>
      <c r="P475" s="126">
        <f t="shared" si="137"/>
        <v>7290.4899999999989</v>
      </c>
      <c r="Q475" s="126">
        <f>SUMIF('MPG Payment '!$E$3:$E$344841,'Shayak Income '!D475,'MPG Payment '!$S$3:$S$344841)</f>
        <v>1165.51</v>
      </c>
      <c r="R475" s="126">
        <f t="shared" si="127"/>
        <v>8569.2021000000004</v>
      </c>
      <c r="S475" s="126">
        <f t="shared" si="128"/>
        <v>1278.7121000000016</v>
      </c>
      <c r="T475" s="126">
        <f t="shared" si="138"/>
        <v>767.42</v>
      </c>
      <c r="U475" s="127">
        <f>((((((IF(K475="New",0,SUMIF('MPG Payment '!$E$3:$E$344841,'Shayak Income '!D475,'MPG Payment '!$AC$3:$AC$344841))))+0)+0)+0)+0)+0</f>
        <v>0</v>
      </c>
      <c r="V475" s="127">
        <f t="shared" si="139"/>
        <v>13444</v>
      </c>
      <c r="W475" s="19">
        <f t="shared" si="140"/>
        <v>0</v>
      </c>
      <c r="X475" s="19">
        <f t="shared" si="129"/>
        <v>0</v>
      </c>
      <c r="Y475" s="128">
        <f>IFERROR(VLOOKUP(D475,'Monthly Deduction'!$M$2:$N$640,2,0),0)</f>
        <v>0</v>
      </c>
      <c r="Z475" s="128">
        <v>0</v>
      </c>
      <c r="AA475" s="126">
        <f>IFERROR(VLOOKUP(D475,'Monthly Deduction'!A:B,2,0),0)</f>
        <v>0</v>
      </c>
      <c r="AB475" s="129">
        <f t="shared" si="130"/>
        <v>13444</v>
      </c>
      <c r="AC475" s="130">
        <v>0</v>
      </c>
      <c r="AD475" s="35">
        <f t="shared" si="141"/>
        <v>13444</v>
      </c>
      <c r="AE475" s="166" t="str">
        <f t="shared" si="142"/>
        <v>Release</v>
      </c>
      <c r="AF475" s="127"/>
      <c r="AG475" s="18">
        <v>0</v>
      </c>
      <c r="AH475" s="132"/>
      <c r="AI475" s="238">
        <v>0</v>
      </c>
      <c r="AJ475" s="132"/>
      <c r="AK475" s="151">
        <v>1461.2999999999997</v>
      </c>
      <c r="AL475" s="154">
        <f t="shared" si="131"/>
        <v>0</v>
      </c>
      <c r="AM475" s="155"/>
      <c r="AN475" s="19">
        <f t="shared" si="132"/>
        <v>0</v>
      </c>
      <c r="AO475" s="118">
        <f>SUMIF('MPG Payment '!E:E,'Shayak Income '!D475,'MPG Payment '!AJ:AJ)</f>
        <v>0</v>
      </c>
      <c r="AP475" s="19">
        <f t="shared" si="133"/>
        <v>0</v>
      </c>
      <c r="AQ475" s="119">
        <f t="shared" si="143"/>
        <v>0</v>
      </c>
      <c r="AR475" s="91" t="s">
        <v>1144</v>
      </c>
      <c r="AS475" s="91">
        <f t="shared" si="134"/>
        <v>0</v>
      </c>
      <c r="AT475" s="118"/>
      <c r="AU475" s="118"/>
      <c r="AV475" s="118"/>
    </row>
    <row r="476" spans="1:48" s="20" customFormat="1" x14ac:dyDescent="0.25">
      <c r="A476" s="17">
        <f>IFERROR(VLOOKUP(D476,'Monthly Deduction'!$I$3:$J$957,2,0),0)</f>
        <v>0</v>
      </c>
      <c r="B476" s="17">
        <f>IFERROR(VLOOKUP(D476,'Monthly Deduction'!$E$3:$F$957,2,0),0)</f>
        <v>0</v>
      </c>
      <c r="C476" s="17">
        <f t="shared" si="135"/>
        <v>0</v>
      </c>
      <c r="D476" s="41">
        <v>10300001</v>
      </c>
      <c r="E476" s="122" t="str">
        <f>VLOOKUP(D476,'MPG Payment '!$E$3:$G$497305,2,0)</f>
        <v>CHANDANPURA</v>
      </c>
      <c r="F476" s="146">
        <f>IFERROR(_xlfn.XLOOKUP(D476,'Monthly Deduction'!$I$3:$I$957,'Monthly Deduction'!$H$3:$H$957),0)</f>
        <v>0</v>
      </c>
      <c r="G476" s="123" t="str">
        <f>VLOOKUP(D476,'MPG Payment '!$E$3:$G$333666,3,0)</f>
        <v>vlc</v>
      </c>
      <c r="H476" s="124" t="str">
        <f>VLOOKUP(D476,'MPG Payment '!$E$3:$H$333666,4,0)</f>
        <v>Indirect</v>
      </c>
      <c r="I476" s="88">
        <f>INDEX('MPG Payment '!$C:$C,MATCH('Shayak Income '!D476,'MPG Payment '!E:E,0))</f>
        <v>1006</v>
      </c>
      <c r="J476" s="88" t="str">
        <f>INDEX('MPG Payment '!$D:$D,MATCH('Shayak Income '!D476,'MPG Payment '!E:E,0))</f>
        <v>Sonvarsha</v>
      </c>
      <c r="K476" s="125" t="s">
        <v>1594</v>
      </c>
      <c r="L476" s="125">
        <v>42979</v>
      </c>
      <c r="M476" s="126">
        <f>SUMIF('MPG Payment '!$E$3:$E$344841,'Shayak Income '!D476,'MPG Payment '!$I$3:$I$344841)</f>
        <v>5123.3</v>
      </c>
      <c r="N476" s="126">
        <f>SUMIF('MPG Payment '!$E$3:$E$344841,'Shayak Income '!D476,'MPG Payment '!$J$3:$J$344841)</f>
        <v>216174.53000000003</v>
      </c>
      <c r="O476" s="126">
        <f t="shared" si="136"/>
        <v>3842.4750000000004</v>
      </c>
      <c r="P476" s="126">
        <f t="shared" si="137"/>
        <v>4867.1350000000002</v>
      </c>
      <c r="Q476" s="126">
        <f>SUMIF('MPG Payment '!$E$3:$E$344841,'Shayak Income '!D476,'MPG Payment '!$S$3:$S$344841)</f>
        <v>0</v>
      </c>
      <c r="R476" s="126">
        <f t="shared" si="127"/>
        <v>6485.2359000000006</v>
      </c>
      <c r="S476" s="126">
        <f t="shared" si="128"/>
        <v>1618.1009000000004</v>
      </c>
      <c r="T476" s="126">
        <f t="shared" si="138"/>
        <v>512.33000000000004</v>
      </c>
      <c r="U476" s="127">
        <f>((((((IF(K476="New",0,SUMIF('MPG Payment '!$E$3:$E$344841,'Shayak Income '!D476,'MPG Payment '!$AC$3:$AC$344841))))+0)+0)+0)+0)+0</f>
        <v>114.62649576059844</v>
      </c>
      <c r="V476" s="127">
        <f t="shared" si="139"/>
        <v>8083</v>
      </c>
      <c r="W476" s="19">
        <f t="shared" si="140"/>
        <v>0</v>
      </c>
      <c r="X476" s="19">
        <f t="shared" si="129"/>
        <v>0</v>
      </c>
      <c r="Y476" s="128">
        <f>IFERROR(VLOOKUP(D476,'Monthly Deduction'!$M$2:$N$640,2,0),0)</f>
        <v>0</v>
      </c>
      <c r="Z476" s="128">
        <v>0</v>
      </c>
      <c r="AA476" s="126">
        <f>IFERROR(VLOOKUP(D476,'Monthly Deduction'!A:B,2,0),0)</f>
        <v>0</v>
      </c>
      <c r="AB476" s="129">
        <f t="shared" si="130"/>
        <v>8083</v>
      </c>
      <c r="AC476" s="130">
        <v>0</v>
      </c>
      <c r="AD476" s="35">
        <f t="shared" si="141"/>
        <v>8083</v>
      </c>
      <c r="AE476" s="166" t="str">
        <f t="shared" si="142"/>
        <v>Release</v>
      </c>
      <c r="AF476" s="127"/>
      <c r="AG476" s="18">
        <v>0</v>
      </c>
      <c r="AH476" s="132"/>
      <c r="AI476" s="238">
        <v>0</v>
      </c>
      <c r="AJ476" s="132"/>
      <c r="AK476" s="151">
        <v>1199</v>
      </c>
      <c r="AL476" s="154">
        <f t="shared" si="131"/>
        <v>0</v>
      </c>
      <c r="AM476" s="155"/>
      <c r="AN476" s="19">
        <f t="shared" si="132"/>
        <v>0</v>
      </c>
      <c r="AO476" s="118">
        <f>SUMIF('MPG Payment '!E:E,'Shayak Income '!D476,'MPG Payment '!AJ:AJ)</f>
        <v>0</v>
      </c>
      <c r="AP476" s="19">
        <f t="shared" si="133"/>
        <v>0</v>
      </c>
      <c r="AQ476" s="119">
        <f t="shared" si="143"/>
        <v>0</v>
      </c>
      <c r="AR476" s="91" t="s">
        <v>1144</v>
      </c>
      <c r="AS476" s="91">
        <f t="shared" si="134"/>
        <v>0</v>
      </c>
      <c r="AT476" s="118"/>
      <c r="AU476" s="118"/>
      <c r="AV476" s="118"/>
    </row>
    <row r="477" spans="1:48" s="20" customFormat="1" x14ac:dyDescent="0.25">
      <c r="A477" s="17">
        <f>IFERROR(VLOOKUP(D477,'Monthly Deduction'!$I$3:$J$957,2,0),0)</f>
        <v>0</v>
      </c>
      <c r="B477" s="17">
        <f>IFERROR(VLOOKUP(D477,'Monthly Deduction'!$E$3:$F$957,2,0),0)</f>
        <v>0</v>
      </c>
      <c r="C477" s="17">
        <f t="shared" si="135"/>
        <v>0</v>
      </c>
      <c r="D477" s="41">
        <v>10310001</v>
      </c>
      <c r="E477" s="122" t="str">
        <f>VLOOKUP(D477,'MPG Payment '!$E$3:$G$497305,2,0)</f>
        <v>MANIKPUR</v>
      </c>
      <c r="F477" s="146">
        <f>IFERROR(_xlfn.XLOOKUP(D477,'Monthly Deduction'!$I$3:$I$957,'Monthly Deduction'!$H$3:$H$957),0)</f>
        <v>0</v>
      </c>
      <c r="G477" s="123" t="str">
        <f>VLOOKUP(D477,'MPG Payment '!$E$3:$G$333666,3,0)</f>
        <v>RMC</v>
      </c>
      <c r="H477" s="124" t="str">
        <f>VLOOKUP(D477,'MPG Payment '!$E$3:$H$333666,4,0)</f>
        <v>Direct</v>
      </c>
      <c r="I477" s="88">
        <f>INDEX('MPG Payment '!$C:$C,MATCH('Shayak Income '!D477,'MPG Payment '!E:E,0))</f>
        <v>1006</v>
      </c>
      <c r="J477" s="88" t="str">
        <f>INDEX('MPG Payment '!$D:$D,MATCH('Shayak Income '!D477,'MPG Payment '!E:E,0))</f>
        <v>Sonvarsha</v>
      </c>
      <c r="K477" s="125" t="s">
        <v>1594</v>
      </c>
      <c r="L477" s="125">
        <v>42979</v>
      </c>
      <c r="M477" s="126">
        <f>SUMIF('MPG Payment '!$E$3:$E$344841,'Shayak Income '!D477,'MPG Payment '!$I$3:$I$344841)</f>
        <v>3811.5</v>
      </c>
      <c r="N477" s="126">
        <f>SUMIF('MPG Payment '!$E$3:$E$344841,'Shayak Income '!D477,'MPG Payment '!$J$3:$J$344841)</f>
        <v>158387.88</v>
      </c>
      <c r="O477" s="126">
        <f t="shared" si="136"/>
        <v>2858.625</v>
      </c>
      <c r="P477" s="126">
        <f t="shared" si="137"/>
        <v>3620.9249999999997</v>
      </c>
      <c r="Q477" s="126">
        <f>SUMIF('MPG Payment '!$E$3:$E$344841,'Shayak Income '!D477,'MPG Payment '!$S$3:$S$344841)</f>
        <v>992.36</v>
      </c>
      <c r="R477" s="126">
        <f t="shared" si="127"/>
        <v>4751.6364000000003</v>
      </c>
      <c r="S477" s="126">
        <f t="shared" si="128"/>
        <v>1130.7114000000006</v>
      </c>
      <c r="T477" s="126">
        <f t="shared" si="138"/>
        <v>381.15000000000003</v>
      </c>
      <c r="U477" s="127">
        <f>((((((IF(K477="New",0,SUMIF('MPG Payment '!$E$3:$E$344841,'Shayak Income '!D477,'MPG Payment '!$AC$3:$AC$344841))))+0)+0)+0)+0)+0</f>
        <v>0</v>
      </c>
      <c r="V477" s="127">
        <f t="shared" si="139"/>
        <v>7091</v>
      </c>
      <c r="W477" s="19">
        <f t="shared" si="140"/>
        <v>0</v>
      </c>
      <c r="X477" s="19">
        <f t="shared" si="129"/>
        <v>0</v>
      </c>
      <c r="Y477" s="128">
        <f>IFERROR(VLOOKUP(D477,'Monthly Deduction'!$M$2:$N$640,2,0),0)</f>
        <v>0</v>
      </c>
      <c r="Z477" s="128">
        <v>115.64</v>
      </c>
      <c r="AA477" s="126">
        <f>IFERROR(VLOOKUP(D477,'Monthly Deduction'!A:B,2,0),0)</f>
        <v>0</v>
      </c>
      <c r="AB477" s="129">
        <f t="shared" si="130"/>
        <v>6975</v>
      </c>
      <c r="AC477" s="130">
        <v>0</v>
      </c>
      <c r="AD477" s="35">
        <f t="shared" si="141"/>
        <v>6975</v>
      </c>
      <c r="AE477" s="166" t="str">
        <f t="shared" si="142"/>
        <v>Release</v>
      </c>
      <c r="AF477" s="127"/>
      <c r="AG477" s="18">
        <v>0</v>
      </c>
      <c r="AH477" s="132" t="s">
        <v>1680</v>
      </c>
      <c r="AI477" s="238">
        <v>0</v>
      </c>
      <c r="AJ477" s="132"/>
      <c r="AK477" s="151">
        <v>619.5</v>
      </c>
      <c r="AL477" s="154">
        <f t="shared" si="131"/>
        <v>0</v>
      </c>
      <c r="AM477" s="155"/>
      <c r="AN477" s="19">
        <f t="shared" si="132"/>
        <v>0</v>
      </c>
      <c r="AO477" s="118">
        <f>SUMIF('MPG Payment '!E:E,'Shayak Income '!D477,'MPG Payment '!AJ:AJ)</f>
        <v>0</v>
      </c>
      <c r="AP477" s="19">
        <f t="shared" si="133"/>
        <v>0</v>
      </c>
      <c r="AQ477" s="119">
        <f t="shared" si="143"/>
        <v>0</v>
      </c>
      <c r="AR477" s="91" t="s">
        <v>1144</v>
      </c>
      <c r="AS477" s="91">
        <f t="shared" si="134"/>
        <v>0</v>
      </c>
      <c r="AT477" s="118"/>
      <c r="AU477" s="118"/>
      <c r="AV477" s="118"/>
    </row>
    <row r="478" spans="1:48" s="20" customFormat="1" x14ac:dyDescent="0.25">
      <c r="A478" s="17">
        <f>IFERROR(VLOOKUP(D478,'Monthly Deduction'!$I$3:$J$957,2,0),0)</f>
        <v>0</v>
      </c>
      <c r="B478" s="17">
        <f>IFERROR(VLOOKUP(D478,'Monthly Deduction'!$E$3:$F$957,2,0),0)</f>
        <v>0</v>
      </c>
      <c r="C478" s="17">
        <f t="shared" si="135"/>
        <v>0</v>
      </c>
      <c r="D478" s="41">
        <v>10320001</v>
      </c>
      <c r="E478" s="122" t="str">
        <f>VLOOKUP(D478,'MPG Payment '!$E$3:$G$497305,2,0)</f>
        <v>JAKARPURA</v>
      </c>
      <c r="F478" s="146">
        <f>IFERROR(_xlfn.XLOOKUP(D478,'Monthly Deduction'!$I$3:$I$957,'Monthly Deduction'!$H$3:$H$957),0)</f>
        <v>0</v>
      </c>
      <c r="G478" s="123" t="str">
        <f>VLOOKUP(D478,'MPG Payment '!$E$3:$G$333666,3,0)</f>
        <v>vlc</v>
      </c>
      <c r="H478" s="124" t="str">
        <f>VLOOKUP(D478,'MPG Payment '!$E$3:$H$333666,4,0)</f>
        <v>Indirect</v>
      </c>
      <c r="I478" s="88">
        <f>INDEX('MPG Payment '!$C:$C,MATCH('Shayak Income '!D478,'MPG Payment '!E:E,0))</f>
        <v>1006</v>
      </c>
      <c r="J478" s="88" t="str">
        <f>INDEX('MPG Payment '!$D:$D,MATCH('Shayak Income '!D478,'MPG Payment '!E:E,0))</f>
        <v>Sonvarsha</v>
      </c>
      <c r="K478" s="125" t="s">
        <v>1594</v>
      </c>
      <c r="L478" s="125">
        <v>42979</v>
      </c>
      <c r="M478" s="126">
        <f>SUMIF('MPG Payment '!$E$3:$E$344841,'Shayak Income '!D478,'MPG Payment '!$I$3:$I$344841)</f>
        <v>6457.3</v>
      </c>
      <c r="N478" s="126">
        <f>SUMIF('MPG Payment '!$E$3:$E$344841,'Shayak Income '!D478,'MPG Payment '!$J$3:$J$344841)</f>
        <v>257740.98000000004</v>
      </c>
      <c r="O478" s="126">
        <f t="shared" si="136"/>
        <v>4842.9750000000004</v>
      </c>
      <c r="P478" s="126">
        <f t="shared" si="137"/>
        <v>6134.4349999999995</v>
      </c>
      <c r="Q478" s="126">
        <f>SUMIF('MPG Payment '!$E$3:$E$344841,'Shayak Income '!D478,'MPG Payment '!$S$3:$S$344841)</f>
        <v>0</v>
      </c>
      <c r="R478" s="126">
        <f t="shared" si="127"/>
        <v>7732.2294000000011</v>
      </c>
      <c r="S478" s="126">
        <f t="shared" si="128"/>
        <v>1597.7944000000016</v>
      </c>
      <c r="T478" s="126">
        <f t="shared" si="138"/>
        <v>645.73</v>
      </c>
      <c r="U478" s="127">
        <f>((((((IF(K478="New",0,SUMIF('MPG Payment '!$E$3:$E$344841,'Shayak Income '!D478,'MPG Payment '!$AC$3:$AC$344841))))+0)+0)+0)+0)+0</f>
        <v>0</v>
      </c>
      <c r="V478" s="127">
        <f t="shared" si="139"/>
        <v>10332</v>
      </c>
      <c r="W478" s="19">
        <f t="shared" si="140"/>
        <v>0</v>
      </c>
      <c r="X478" s="19">
        <f t="shared" si="129"/>
        <v>0</v>
      </c>
      <c r="Y478" s="128">
        <f>IFERROR(VLOOKUP(D478,'Monthly Deduction'!$M$2:$N$640,2,0),0)</f>
        <v>0</v>
      </c>
      <c r="Z478" s="128">
        <v>0</v>
      </c>
      <c r="AA478" s="126">
        <f>IFERROR(VLOOKUP(D478,'Monthly Deduction'!A:B,2,0),0)</f>
        <v>0</v>
      </c>
      <c r="AB478" s="129">
        <f t="shared" si="130"/>
        <v>10332</v>
      </c>
      <c r="AC478" s="130">
        <v>0</v>
      </c>
      <c r="AD478" s="35">
        <f t="shared" si="141"/>
        <v>10332</v>
      </c>
      <c r="AE478" s="166" t="str">
        <f t="shared" si="142"/>
        <v>Release</v>
      </c>
      <c r="AF478" s="127"/>
      <c r="AG478" s="18">
        <v>0</v>
      </c>
      <c r="AH478" s="132"/>
      <c r="AI478" s="238">
        <v>0</v>
      </c>
      <c r="AJ478" s="132"/>
      <c r="AK478" s="151">
        <v>983.10000000000014</v>
      </c>
      <c r="AL478" s="154">
        <f t="shared" si="131"/>
        <v>0</v>
      </c>
      <c r="AM478" s="155"/>
      <c r="AN478" s="19">
        <f t="shared" si="132"/>
        <v>0</v>
      </c>
      <c r="AO478" s="118">
        <f>SUMIF('MPG Payment '!E:E,'Shayak Income '!D478,'MPG Payment '!AJ:AJ)</f>
        <v>0</v>
      </c>
      <c r="AP478" s="19">
        <f t="shared" si="133"/>
        <v>0</v>
      </c>
      <c r="AQ478" s="119">
        <f t="shared" si="143"/>
        <v>0</v>
      </c>
      <c r="AR478" s="91" t="s">
        <v>1144</v>
      </c>
      <c r="AS478" s="91">
        <f t="shared" si="134"/>
        <v>0</v>
      </c>
      <c r="AT478" s="118"/>
      <c r="AU478" s="118"/>
      <c r="AV478" s="118"/>
    </row>
    <row r="479" spans="1:48" s="20" customFormat="1" x14ac:dyDescent="0.25">
      <c r="A479" s="17">
        <f>IFERROR(VLOOKUP(D479,'Monthly Deduction'!$I$3:$J$957,2,0),0)</f>
        <v>0</v>
      </c>
      <c r="B479" s="17">
        <f>IFERROR(VLOOKUP(D479,'Monthly Deduction'!$E$3:$F$957,2,0),0)</f>
        <v>0</v>
      </c>
      <c r="C479" s="17">
        <f t="shared" si="135"/>
        <v>0</v>
      </c>
      <c r="D479" s="41">
        <v>10340001</v>
      </c>
      <c r="E479" s="122" t="str">
        <f>VLOOKUP(D479,'MPG Payment '!$E$3:$G$497305,2,0)</f>
        <v>NANDPUR</v>
      </c>
      <c r="F479" s="146">
        <f>IFERROR(_xlfn.XLOOKUP(D479,'Monthly Deduction'!$I$3:$I$957,'Monthly Deduction'!$H$3:$H$957),0)</f>
        <v>0</v>
      </c>
      <c r="G479" s="123" t="str">
        <f>VLOOKUP(D479,'MPG Payment '!$E$3:$G$333666,3,0)</f>
        <v>vlc</v>
      </c>
      <c r="H479" s="124" t="str">
        <f>VLOOKUP(D479,'MPG Payment '!$E$3:$H$333666,4,0)</f>
        <v>Indirect</v>
      </c>
      <c r="I479" s="88">
        <f>INDEX('MPG Payment '!$C:$C,MATCH('Shayak Income '!D479,'MPG Payment '!E:E,0))</f>
        <v>1006</v>
      </c>
      <c r="J479" s="88" t="str">
        <f>INDEX('MPG Payment '!$D:$D,MATCH('Shayak Income '!D479,'MPG Payment '!E:E,0))</f>
        <v>Sonvarsha</v>
      </c>
      <c r="K479" s="125" t="s">
        <v>1594</v>
      </c>
      <c r="L479" s="125">
        <v>42979</v>
      </c>
      <c r="M479" s="126">
        <f>SUMIF('MPG Payment '!$E$3:$E$344841,'Shayak Income '!D479,'MPG Payment '!$I$3:$I$344841)</f>
        <v>5669.4</v>
      </c>
      <c r="N479" s="126">
        <f>SUMIF('MPG Payment '!$E$3:$E$344841,'Shayak Income '!D479,'MPG Payment '!$J$3:$J$344841)</f>
        <v>218607.40999999997</v>
      </c>
      <c r="O479" s="126">
        <f t="shared" si="136"/>
        <v>4252.0499999999993</v>
      </c>
      <c r="P479" s="126">
        <f t="shared" si="137"/>
        <v>5385.9299999999994</v>
      </c>
      <c r="Q479" s="126">
        <f>SUMIF('MPG Payment '!$E$3:$E$344841,'Shayak Income '!D479,'MPG Payment '!$S$3:$S$344841)</f>
        <v>0</v>
      </c>
      <c r="R479" s="126">
        <f t="shared" si="127"/>
        <v>6558.2222999999985</v>
      </c>
      <c r="S479" s="126">
        <f t="shared" si="128"/>
        <v>1172.2922999999992</v>
      </c>
      <c r="T479" s="126">
        <f t="shared" si="138"/>
        <v>566.93999999999994</v>
      </c>
      <c r="U479" s="127">
        <f>((((((IF(K479="New",0,SUMIF('MPG Payment '!$E$3:$E$344841,'Shayak Income '!D479,'MPG Payment '!$AC$3:$AC$344841))))+0)+0)+0)+0)+0</f>
        <v>0</v>
      </c>
      <c r="V479" s="127">
        <f t="shared" si="139"/>
        <v>9071</v>
      </c>
      <c r="W479" s="19">
        <f t="shared" si="140"/>
        <v>0</v>
      </c>
      <c r="X479" s="19">
        <f t="shared" si="129"/>
        <v>0</v>
      </c>
      <c r="Y479" s="128">
        <f>IFERROR(VLOOKUP(D479,'Monthly Deduction'!$M$2:$N$640,2,0),0)</f>
        <v>0</v>
      </c>
      <c r="Z479" s="128">
        <v>0</v>
      </c>
      <c r="AA479" s="126">
        <f>IFERROR(VLOOKUP(D479,'Monthly Deduction'!A:B,2,0),0)</f>
        <v>0</v>
      </c>
      <c r="AB479" s="129">
        <f t="shared" si="130"/>
        <v>9071</v>
      </c>
      <c r="AC479" s="130">
        <v>0</v>
      </c>
      <c r="AD479" s="35">
        <f t="shared" si="141"/>
        <v>9071</v>
      </c>
      <c r="AE479" s="166" t="str">
        <f t="shared" si="142"/>
        <v>Release</v>
      </c>
      <c r="AF479" s="127"/>
      <c r="AG479" s="18">
        <v>0</v>
      </c>
      <c r="AH479" s="120"/>
      <c r="AI479" s="238">
        <v>0</v>
      </c>
      <c r="AJ479" s="132"/>
      <c r="AK479" s="151">
        <v>1201.2</v>
      </c>
      <c r="AL479" s="154">
        <f t="shared" si="131"/>
        <v>0</v>
      </c>
      <c r="AM479" s="155"/>
      <c r="AN479" s="19">
        <f t="shared" si="132"/>
        <v>0</v>
      </c>
      <c r="AO479" s="118">
        <f>SUMIF('MPG Payment '!E:E,'Shayak Income '!D479,'MPG Payment '!AJ:AJ)</f>
        <v>0</v>
      </c>
      <c r="AP479" s="19">
        <f t="shared" si="133"/>
        <v>0</v>
      </c>
      <c r="AQ479" s="119">
        <f t="shared" si="143"/>
        <v>0</v>
      </c>
      <c r="AR479" s="91" t="s">
        <v>1144</v>
      </c>
      <c r="AS479" s="91">
        <f t="shared" si="134"/>
        <v>0</v>
      </c>
      <c r="AT479" s="118"/>
      <c r="AU479" s="118"/>
      <c r="AV479" s="118"/>
    </row>
    <row r="480" spans="1:48" s="20" customFormat="1" x14ac:dyDescent="0.25">
      <c r="A480" s="17">
        <f>IFERROR(VLOOKUP(D480,'Monthly Deduction'!$I$3:$J$957,2,0),0)</f>
        <v>0</v>
      </c>
      <c r="B480" s="17">
        <f>IFERROR(VLOOKUP(D480,'Monthly Deduction'!$E$3:$F$957,2,0),0)</f>
        <v>0</v>
      </c>
      <c r="C480" s="17">
        <f t="shared" si="135"/>
        <v>0</v>
      </c>
      <c r="D480" s="41">
        <v>10350001</v>
      </c>
      <c r="E480" s="122" t="str">
        <f>VLOOKUP(D480,'MPG Payment '!$E$3:$G$497305,2,0)</f>
        <v>NOWAGADHI</v>
      </c>
      <c r="F480" s="146">
        <f>IFERROR(_xlfn.XLOOKUP(D480,'Monthly Deduction'!$I$3:$I$957,'Monthly Deduction'!$H$3:$H$957),0)</f>
        <v>0</v>
      </c>
      <c r="G480" s="123" t="str">
        <f>VLOOKUP(D480,'MPG Payment '!$E$3:$G$333666,3,0)</f>
        <v>RMC</v>
      </c>
      <c r="H480" s="124" t="str">
        <f>VLOOKUP(D480,'MPG Payment '!$E$3:$H$333666,4,0)</f>
        <v>Direct</v>
      </c>
      <c r="I480" s="88">
        <f>INDEX('MPG Payment '!$C:$C,MATCH('Shayak Income '!D480,'MPG Payment '!E:E,0))</f>
        <v>1006</v>
      </c>
      <c r="J480" s="88" t="str">
        <f>INDEX('MPG Payment '!$D:$D,MATCH('Shayak Income '!D480,'MPG Payment '!E:E,0))</f>
        <v>Sonvarsha</v>
      </c>
      <c r="K480" s="125" t="s">
        <v>1594</v>
      </c>
      <c r="L480" s="125">
        <v>42979</v>
      </c>
      <c r="M480" s="126">
        <f>SUMIF('MPG Payment '!$E$3:$E$344841,'Shayak Income '!D480,'MPG Payment '!$I$3:$I$344841)</f>
        <v>6864.7999999999993</v>
      </c>
      <c r="N480" s="126">
        <f>SUMIF('MPG Payment '!$E$3:$E$344841,'Shayak Income '!D480,'MPG Payment '!$J$3:$J$344841)</f>
        <v>284165.61</v>
      </c>
      <c r="O480" s="126">
        <f t="shared" si="136"/>
        <v>5148.5999999999995</v>
      </c>
      <c r="P480" s="126">
        <f t="shared" si="137"/>
        <v>6521.5599999999986</v>
      </c>
      <c r="Q480" s="126">
        <f>SUMIF('MPG Payment '!$E$3:$E$344841,'Shayak Income '!D480,'MPG Payment '!$S$3:$S$344841)</f>
        <v>2814.47</v>
      </c>
      <c r="R480" s="126">
        <f t="shared" si="127"/>
        <v>8524.9682999999986</v>
      </c>
      <c r="S480" s="126">
        <f t="shared" si="128"/>
        <v>2003.4083000000001</v>
      </c>
      <c r="T480" s="126">
        <f t="shared" si="138"/>
        <v>686.48</v>
      </c>
      <c r="U480" s="127">
        <f>((((((IF(K480="New",0,SUMIF('MPG Payment '!$E$3:$E$344841,'Shayak Income '!D480,'MPG Payment '!$AC$3:$AC$344841))))+0)+0)+0)+0)+0</f>
        <v>0</v>
      </c>
      <c r="V480" s="127">
        <f t="shared" si="139"/>
        <v>13798</v>
      </c>
      <c r="W480" s="19">
        <f t="shared" si="140"/>
        <v>0</v>
      </c>
      <c r="X480" s="19">
        <f t="shared" si="129"/>
        <v>0</v>
      </c>
      <c r="Y480" s="128">
        <f>IFERROR(VLOOKUP(D480,'Monthly Deduction'!$M$2:$N$640,2,0),0)</f>
        <v>0</v>
      </c>
      <c r="Z480" s="128">
        <v>920.4</v>
      </c>
      <c r="AA480" s="126">
        <f>IFERROR(VLOOKUP(D480,'Monthly Deduction'!A:B,2,0),0)</f>
        <v>0</v>
      </c>
      <c r="AB480" s="129">
        <f t="shared" si="130"/>
        <v>12878</v>
      </c>
      <c r="AC480" s="130">
        <v>0</v>
      </c>
      <c r="AD480" s="35">
        <f t="shared" si="141"/>
        <v>12878</v>
      </c>
      <c r="AE480" s="166" t="str">
        <f t="shared" si="142"/>
        <v>Release</v>
      </c>
      <c r="AF480" s="127"/>
      <c r="AG480" s="18">
        <v>0</v>
      </c>
      <c r="AH480" s="132" t="s">
        <v>1680</v>
      </c>
      <c r="AI480" s="238">
        <v>0</v>
      </c>
      <c r="AJ480" s="132"/>
      <c r="AK480" s="151">
        <v>1464.5</v>
      </c>
      <c r="AL480" s="154">
        <f t="shared" si="131"/>
        <v>0</v>
      </c>
      <c r="AM480" s="155"/>
      <c r="AN480" s="19">
        <f t="shared" si="132"/>
        <v>0</v>
      </c>
      <c r="AO480" s="118">
        <f>SUMIF('MPG Payment '!E:E,'Shayak Income '!D480,'MPG Payment '!AJ:AJ)</f>
        <v>0</v>
      </c>
      <c r="AP480" s="19">
        <f t="shared" si="133"/>
        <v>0</v>
      </c>
      <c r="AQ480" s="119">
        <f t="shared" si="143"/>
        <v>0</v>
      </c>
      <c r="AR480" s="91" t="s">
        <v>1144</v>
      </c>
      <c r="AS480" s="91">
        <f t="shared" si="134"/>
        <v>0</v>
      </c>
      <c r="AT480" s="118"/>
      <c r="AU480" s="118"/>
      <c r="AV480" s="118"/>
    </row>
    <row r="481" spans="1:48" s="20" customFormat="1" x14ac:dyDescent="0.25">
      <c r="A481" s="17">
        <f>IFERROR(VLOOKUP(D481,'Monthly Deduction'!$I$3:$J$957,2,0),0)</f>
        <v>0</v>
      </c>
      <c r="B481" s="17">
        <f>IFERROR(VLOOKUP(D481,'Monthly Deduction'!$E$3:$F$957,2,0),0)</f>
        <v>0</v>
      </c>
      <c r="C481" s="17">
        <f t="shared" si="135"/>
        <v>0</v>
      </c>
      <c r="D481" s="41">
        <v>10360001</v>
      </c>
      <c r="E481" s="122" t="str">
        <f>VLOOKUP(D481,'MPG Payment '!$E$3:$G$497305,2,0)</f>
        <v>MAHADAT PUR 2</v>
      </c>
      <c r="F481" s="146">
        <f>IFERROR(_xlfn.XLOOKUP(D481,'Monthly Deduction'!$I$3:$I$957,'Monthly Deduction'!$H$3:$H$957),0)</f>
        <v>0</v>
      </c>
      <c r="G481" s="123" t="str">
        <f>VLOOKUP(D481,'MPG Payment '!$E$3:$G$333666,3,0)</f>
        <v>RMC</v>
      </c>
      <c r="H481" s="124" t="str">
        <f>VLOOKUP(D481,'MPG Payment '!$E$3:$H$333666,4,0)</f>
        <v>Direct</v>
      </c>
      <c r="I481" s="88">
        <f>INDEX('MPG Payment '!$C:$C,MATCH('Shayak Income '!D481,'MPG Payment '!E:E,0))</f>
        <v>1036</v>
      </c>
      <c r="J481" s="88" t="str">
        <f>INDEX('MPG Payment '!$D:$D,MATCH('Shayak Income '!D481,'MPG Payment '!E:E,0))</f>
        <v>MAHADAT PUR 2</v>
      </c>
      <c r="K481" s="125" t="s">
        <v>1594</v>
      </c>
      <c r="L481" s="125">
        <v>42979</v>
      </c>
      <c r="M481" s="126">
        <f>SUMIF('MPG Payment '!$E$3:$E$344841,'Shayak Income '!D481,'MPG Payment '!$I$3:$I$344841)</f>
        <v>9095</v>
      </c>
      <c r="N481" s="126">
        <f>SUMIF('MPG Payment '!$E$3:$E$344841,'Shayak Income '!D481,'MPG Payment '!$J$3:$J$344841)</f>
        <v>356722.28</v>
      </c>
      <c r="O481" s="126">
        <f t="shared" si="136"/>
        <v>6821.25</v>
      </c>
      <c r="P481" s="126">
        <f t="shared" si="137"/>
        <v>8640.25</v>
      </c>
      <c r="Q481" s="126">
        <f>SUMIF('MPG Payment '!$E$3:$E$344841,'Shayak Income '!D481,'MPG Payment '!$S$3:$S$344841)</f>
        <v>6167.2300000000005</v>
      </c>
      <c r="R481" s="126">
        <f t="shared" si="127"/>
        <v>10701.6684</v>
      </c>
      <c r="S481" s="126">
        <f t="shared" si="128"/>
        <v>2061.4184000000005</v>
      </c>
      <c r="T481" s="126">
        <f t="shared" si="138"/>
        <v>909.5</v>
      </c>
      <c r="U481" s="127">
        <f>((((((IF(K481="New",0,SUMIF('MPG Payment '!$E$3:$E$344841,'Shayak Income '!D481,'MPG Payment '!$AC$3:$AC$344841))))+0)+0)+0)+0)+0</f>
        <v>0</v>
      </c>
      <c r="V481" s="127">
        <f t="shared" si="139"/>
        <v>20719</v>
      </c>
      <c r="W481" s="19">
        <f t="shared" si="140"/>
        <v>0</v>
      </c>
      <c r="X481" s="19">
        <f t="shared" si="129"/>
        <v>0</v>
      </c>
      <c r="Y481" s="128">
        <f>IFERROR(VLOOKUP(D481,'Monthly Deduction'!$M$2:$N$640,2,0),0)</f>
        <v>0</v>
      </c>
      <c r="Z481" s="128">
        <v>14584.8</v>
      </c>
      <c r="AA481" s="126">
        <f>IFERROR(VLOOKUP(D481,'Monthly Deduction'!A:B,2,0),0)</f>
        <v>0</v>
      </c>
      <c r="AB481" s="129">
        <f t="shared" si="130"/>
        <v>6134</v>
      </c>
      <c r="AC481" s="130">
        <v>0</v>
      </c>
      <c r="AD481" s="35">
        <f t="shared" si="141"/>
        <v>6134</v>
      </c>
      <c r="AE481" s="166" t="str">
        <f t="shared" si="142"/>
        <v>Release</v>
      </c>
      <c r="AF481" s="127"/>
      <c r="AG481" s="18">
        <v>0</v>
      </c>
      <c r="AH481" s="132" t="s">
        <v>1680</v>
      </c>
      <c r="AI481" s="238">
        <v>0</v>
      </c>
      <c r="AJ481" s="132"/>
      <c r="AK481" s="151">
        <v>2063.9</v>
      </c>
      <c r="AL481" s="154">
        <f t="shared" si="131"/>
        <v>0</v>
      </c>
      <c r="AM481" s="155"/>
      <c r="AN481" s="19">
        <f t="shared" si="132"/>
        <v>0</v>
      </c>
      <c r="AO481" s="118">
        <f>SUMIF('MPG Payment '!E:E,'Shayak Income '!D481,'MPG Payment '!AJ:AJ)</f>
        <v>0</v>
      </c>
      <c r="AP481" s="19">
        <f t="shared" si="133"/>
        <v>0</v>
      </c>
      <c r="AQ481" s="119">
        <f t="shared" si="143"/>
        <v>0</v>
      </c>
      <c r="AR481" s="91"/>
      <c r="AS481" s="91">
        <f t="shared" si="134"/>
        <v>0</v>
      </c>
      <c r="AT481" s="118"/>
      <c r="AU481" s="118"/>
      <c r="AV481" s="118"/>
    </row>
    <row r="482" spans="1:48" s="20" customFormat="1" x14ac:dyDescent="0.25">
      <c r="A482" s="17">
        <f>IFERROR(VLOOKUP(D482,'Monthly Deduction'!$I$3:$J$957,2,0),0)</f>
        <v>0</v>
      </c>
      <c r="B482" s="17">
        <f>IFERROR(VLOOKUP(D482,'Monthly Deduction'!$E$3:$F$957,2,0),0)</f>
        <v>0</v>
      </c>
      <c r="C482" s="17">
        <f t="shared" si="135"/>
        <v>0</v>
      </c>
      <c r="D482" s="41">
        <v>10380001</v>
      </c>
      <c r="E482" s="122" t="str">
        <f>VLOOKUP(D482,'MPG Payment '!$E$3:$G$497305,2,0)</f>
        <v>SONBARSHA 1</v>
      </c>
      <c r="F482" s="146">
        <f>IFERROR(_xlfn.XLOOKUP(D482,'Monthly Deduction'!$I$3:$I$957,'Monthly Deduction'!$H$3:$H$957),0)</f>
        <v>0</v>
      </c>
      <c r="G482" s="123" t="str">
        <f>VLOOKUP(D482,'MPG Payment '!$E$3:$G$333666,3,0)</f>
        <v>RMC</v>
      </c>
      <c r="H482" s="124" t="str">
        <f>VLOOKUP(D482,'MPG Payment '!$E$3:$H$333666,4,0)</f>
        <v>Direct</v>
      </c>
      <c r="I482" s="88">
        <f>INDEX('MPG Payment '!$C:$C,MATCH('Shayak Income '!D482,'MPG Payment '!E:E,0))</f>
        <v>1007</v>
      </c>
      <c r="J482" s="88" t="str">
        <f>INDEX('MPG Payment '!$D:$D,MATCH('Shayak Income '!D482,'MPG Payment '!E:E,0))</f>
        <v>Araria</v>
      </c>
      <c r="K482" s="125" t="s">
        <v>1594</v>
      </c>
      <c r="L482" s="125">
        <v>42979</v>
      </c>
      <c r="M482" s="126">
        <f>SUMIF('MPG Payment '!$E$3:$E$344841,'Shayak Income '!D482,'MPG Payment '!$I$3:$I$344841)</f>
        <v>2484</v>
      </c>
      <c r="N482" s="126">
        <f>SUMIF('MPG Payment '!$E$3:$E$344841,'Shayak Income '!D482,'MPG Payment '!$J$3:$J$344841)</f>
        <v>88979.44</v>
      </c>
      <c r="O482" s="126">
        <f t="shared" si="136"/>
        <v>1863</v>
      </c>
      <c r="P482" s="126">
        <f t="shared" si="137"/>
        <v>2359.7999999999997</v>
      </c>
      <c r="Q482" s="126">
        <f>SUMIF('MPG Payment '!$E$3:$E$344841,'Shayak Income '!D482,'MPG Payment '!$S$3:$S$344841)</f>
        <v>643.8900000000001</v>
      </c>
      <c r="R482" s="126">
        <f t="shared" si="127"/>
        <v>2669.3831999999998</v>
      </c>
      <c r="S482" s="126">
        <f t="shared" si="128"/>
        <v>309.58320000000003</v>
      </c>
      <c r="T482" s="126">
        <f t="shared" si="138"/>
        <v>248.4</v>
      </c>
      <c r="U482" s="127">
        <f>((((((IF(K482="New",0,SUMIF('MPG Payment '!$E$3:$E$344841,'Shayak Income '!D482,'MPG Payment '!$AC$3:$AC$344841))))+0)+0)+0)+0)+0</f>
        <v>503.35400000000004</v>
      </c>
      <c r="V482" s="127">
        <f t="shared" si="139"/>
        <v>4115</v>
      </c>
      <c r="W482" s="19">
        <f t="shared" si="140"/>
        <v>0</v>
      </c>
      <c r="X482" s="19">
        <f t="shared" si="129"/>
        <v>0</v>
      </c>
      <c r="Y482" s="128">
        <f>IFERROR(VLOOKUP(D482,'Monthly Deduction'!$M$2:$N$640,2,0),0)</f>
        <v>0</v>
      </c>
      <c r="Z482" s="128">
        <v>0</v>
      </c>
      <c r="AA482" s="126">
        <f>IFERROR(VLOOKUP(D482,'Monthly Deduction'!A:B,2,0),0)</f>
        <v>0</v>
      </c>
      <c r="AB482" s="129">
        <f t="shared" si="130"/>
        <v>4115</v>
      </c>
      <c r="AC482" s="130">
        <v>0</v>
      </c>
      <c r="AD482" s="35">
        <f t="shared" si="141"/>
        <v>4115</v>
      </c>
      <c r="AE482" s="166" t="str">
        <f t="shared" si="142"/>
        <v>Release</v>
      </c>
      <c r="AF482" s="127"/>
      <c r="AG482" s="18">
        <v>0</v>
      </c>
      <c r="AH482" s="120"/>
      <c r="AI482" s="238">
        <v>0</v>
      </c>
      <c r="AJ482" s="132"/>
      <c r="AK482" s="151">
        <v>557</v>
      </c>
      <c r="AL482" s="154">
        <f t="shared" si="131"/>
        <v>0</v>
      </c>
      <c r="AM482" s="155"/>
      <c r="AN482" s="19">
        <f t="shared" si="132"/>
        <v>0</v>
      </c>
      <c r="AO482" s="118">
        <f>SUMIF('MPG Payment '!E:E,'Shayak Income '!D482,'MPG Payment '!AJ:AJ)</f>
        <v>0</v>
      </c>
      <c r="AP482" s="19">
        <f t="shared" si="133"/>
        <v>0</v>
      </c>
      <c r="AQ482" s="119">
        <f t="shared" si="143"/>
        <v>0</v>
      </c>
      <c r="AR482" s="91"/>
      <c r="AS482" s="91">
        <f t="shared" si="134"/>
        <v>0</v>
      </c>
      <c r="AT482" s="118"/>
      <c r="AU482" s="118"/>
      <c r="AV482" s="118"/>
    </row>
    <row r="483" spans="1:48" s="20" customFormat="1" x14ac:dyDescent="0.25">
      <c r="A483" s="17">
        <f>IFERROR(VLOOKUP(D483,'Monthly Deduction'!$I$3:$J$957,2,0),0)</f>
        <v>0</v>
      </c>
      <c r="B483" s="17">
        <f>IFERROR(VLOOKUP(D483,'Monthly Deduction'!$E$3:$F$957,2,0),0)</f>
        <v>0</v>
      </c>
      <c r="C483" s="17">
        <f t="shared" si="135"/>
        <v>0</v>
      </c>
      <c r="D483" s="41">
        <v>10390001</v>
      </c>
      <c r="E483" s="122" t="str">
        <f>VLOOKUP(D483,'MPG Payment '!$E$3:$G$497305,2,0)</f>
        <v>GANOUL</v>
      </c>
      <c r="F483" s="146">
        <f>IFERROR(_xlfn.XLOOKUP(D483,'Monthly Deduction'!$I$3:$I$957,'Monthly Deduction'!$H$3:$H$957),0)</f>
        <v>0</v>
      </c>
      <c r="G483" s="123" t="str">
        <f>VLOOKUP(D483,'MPG Payment '!$E$3:$G$333666,3,0)</f>
        <v>RMC</v>
      </c>
      <c r="H483" s="124" t="str">
        <f>VLOOKUP(D483,'MPG Payment '!$E$3:$H$333666,4,0)</f>
        <v>Indirect</v>
      </c>
      <c r="I483" s="88">
        <f>INDEX('MPG Payment '!$C:$C,MATCH('Shayak Income '!D483,'MPG Payment '!E:E,0))</f>
        <v>1007</v>
      </c>
      <c r="J483" s="88" t="str">
        <f>INDEX('MPG Payment '!$D:$D,MATCH('Shayak Income '!D483,'MPG Payment '!E:E,0))</f>
        <v>Araria</v>
      </c>
      <c r="K483" s="125" t="s">
        <v>1594</v>
      </c>
      <c r="L483" s="125">
        <v>44946</v>
      </c>
      <c r="M483" s="126">
        <f>SUMIF('MPG Payment '!$E$3:$E$344841,'Shayak Income '!D483,'MPG Payment '!$I$3:$I$344841)</f>
        <v>2225</v>
      </c>
      <c r="N483" s="126">
        <f>SUMIF('MPG Payment '!$E$3:$E$344841,'Shayak Income '!D483,'MPG Payment '!$J$3:$J$344841)</f>
        <v>79740.36</v>
      </c>
      <c r="O483" s="126">
        <f t="shared" si="136"/>
        <v>1668.75</v>
      </c>
      <c r="P483" s="126">
        <f t="shared" si="137"/>
        <v>2113.75</v>
      </c>
      <c r="Q483" s="126">
        <f>SUMIF('MPG Payment '!$E$3:$E$344841,'Shayak Income '!D483,'MPG Payment '!$S$3:$S$344841)</f>
        <v>296.77</v>
      </c>
      <c r="R483" s="126">
        <f t="shared" si="127"/>
        <v>2392.2107999999998</v>
      </c>
      <c r="S483" s="126">
        <f t="shared" si="128"/>
        <v>278.46079999999984</v>
      </c>
      <c r="T483" s="126">
        <f t="shared" si="138"/>
        <v>222.5</v>
      </c>
      <c r="U483" s="127">
        <f>((((((IF(K483="New",0,SUMIF('MPG Payment '!$E$3:$E$344841,'Shayak Income '!D483,'MPG Payment '!$AC$3:$AC$344841))))+0)+0)+0)+0)+0</f>
        <v>422.5972655913979</v>
      </c>
      <c r="V483" s="127">
        <f t="shared" si="139"/>
        <v>3434</v>
      </c>
      <c r="W483" s="19">
        <f t="shared" si="140"/>
        <v>0</v>
      </c>
      <c r="X483" s="19">
        <f t="shared" si="129"/>
        <v>0</v>
      </c>
      <c r="Y483" s="128">
        <f>IFERROR(VLOOKUP(D483,'Monthly Deduction'!$M$2:$N$640,2,0),0)</f>
        <v>0</v>
      </c>
      <c r="Z483" s="128">
        <v>0</v>
      </c>
      <c r="AA483" s="126">
        <f>IFERROR(VLOOKUP(D483,'Monthly Deduction'!A:B,2,0),0)</f>
        <v>0</v>
      </c>
      <c r="AB483" s="129">
        <f t="shared" si="130"/>
        <v>3434</v>
      </c>
      <c r="AC483" s="130">
        <v>0</v>
      </c>
      <c r="AD483" s="35">
        <f t="shared" si="141"/>
        <v>3434</v>
      </c>
      <c r="AE483" s="166" t="str">
        <f t="shared" si="142"/>
        <v>Release</v>
      </c>
      <c r="AF483" s="127"/>
      <c r="AG483" s="18">
        <v>0</v>
      </c>
      <c r="AH483" s="120"/>
      <c r="AI483" s="238">
        <v>0</v>
      </c>
      <c r="AJ483" s="132"/>
      <c r="AK483" s="151">
        <v>475</v>
      </c>
      <c r="AL483" s="154">
        <f t="shared" si="131"/>
        <v>0</v>
      </c>
      <c r="AM483" s="155"/>
      <c r="AN483" s="19">
        <f t="shared" si="132"/>
        <v>0</v>
      </c>
      <c r="AO483" s="118">
        <f>SUMIF('MPG Payment '!E:E,'Shayak Income '!D483,'MPG Payment '!AJ:AJ)</f>
        <v>0</v>
      </c>
      <c r="AP483" s="19">
        <f t="shared" si="133"/>
        <v>0</v>
      </c>
      <c r="AQ483" s="119">
        <f t="shared" si="143"/>
        <v>0</v>
      </c>
      <c r="AR483" s="91"/>
      <c r="AS483" s="91">
        <f t="shared" si="134"/>
        <v>0</v>
      </c>
      <c r="AT483" s="118"/>
      <c r="AU483" s="118"/>
      <c r="AV483" s="118"/>
    </row>
    <row r="484" spans="1:48" s="20" customFormat="1" x14ac:dyDescent="0.25">
      <c r="A484" s="17">
        <f>IFERROR(VLOOKUP(D484,'Monthly Deduction'!$I$3:$J$957,2,0),0)</f>
        <v>0</v>
      </c>
      <c r="B484" s="17">
        <f>IFERROR(VLOOKUP(D484,'Monthly Deduction'!$E$3:$F$957,2,0),0)</f>
        <v>0</v>
      </c>
      <c r="C484" s="17">
        <f t="shared" si="135"/>
        <v>0</v>
      </c>
      <c r="D484" s="41">
        <v>10400001</v>
      </c>
      <c r="E484" s="122" t="str">
        <f>VLOOKUP(D484,'MPG Payment '!$E$3:$G$497305,2,0)</f>
        <v>Gauripur</v>
      </c>
      <c r="F484" s="146">
        <f>IFERROR(_xlfn.XLOOKUP(D484,'Monthly Deduction'!$I$3:$I$957,'Monthly Deduction'!$H$3:$H$957),0)</f>
        <v>0</v>
      </c>
      <c r="G484" s="123" t="str">
        <f>VLOOKUP(D484,'MPG Payment '!$E$3:$G$333666,3,0)</f>
        <v>RMC</v>
      </c>
      <c r="H484" s="124" t="str">
        <f>VLOOKUP(D484,'MPG Payment '!$E$3:$H$333666,4,0)</f>
        <v>Direct</v>
      </c>
      <c r="I484" s="88">
        <f>INDEX('MPG Payment '!$C:$C,MATCH('Shayak Income '!D484,'MPG Payment '!E:E,0))</f>
        <v>1007</v>
      </c>
      <c r="J484" s="88" t="str">
        <f>INDEX('MPG Payment '!$D:$D,MATCH('Shayak Income '!D484,'MPG Payment '!E:E,0))</f>
        <v>Araria</v>
      </c>
      <c r="K484" s="125" t="s">
        <v>1594</v>
      </c>
      <c r="L484" s="125">
        <v>42979</v>
      </c>
      <c r="M484" s="126">
        <f>SUMIF('MPG Payment '!$E$3:$E$344841,'Shayak Income '!D484,'MPG Payment '!$I$3:$I$344841)</f>
        <v>8528</v>
      </c>
      <c r="N484" s="126">
        <f>SUMIF('MPG Payment '!$E$3:$E$344841,'Shayak Income '!D484,'MPG Payment '!$J$3:$J$344841)</f>
        <v>301667.96000000002</v>
      </c>
      <c r="O484" s="126">
        <f t="shared" si="136"/>
        <v>6396</v>
      </c>
      <c r="P484" s="126">
        <f t="shared" si="137"/>
        <v>8101.5999999999995</v>
      </c>
      <c r="Q484" s="126">
        <f>SUMIF('MPG Payment '!$E$3:$E$344841,'Shayak Income '!D484,'MPG Payment '!$S$3:$S$344841)</f>
        <v>1036.19</v>
      </c>
      <c r="R484" s="126">
        <f t="shared" si="127"/>
        <v>9050.0388000000003</v>
      </c>
      <c r="S484" s="126">
        <f t="shared" si="128"/>
        <v>948.43880000000081</v>
      </c>
      <c r="T484" s="126">
        <f t="shared" si="138"/>
        <v>852.80000000000007</v>
      </c>
      <c r="U484" s="127">
        <f>((((((IF(K484="New",0,SUMIF('MPG Payment '!$E$3:$E$344841,'Shayak Income '!D484,'MPG Payment '!$AC$3:$AC$344841))))+0)+0)+0)+0)+0</f>
        <v>0</v>
      </c>
      <c r="V484" s="127">
        <f t="shared" si="139"/>
        <v>14681</v>
      </c>
      <c r="W484" s="19">
        <f t="shared" si="140"/>
        <v>0</v>
      </c>
      <c r="X484" s="19">
        <f t="shared" si="129"/>
        <v>0</v>
      </c>
      <c r="Y484" s="128">
        <f>IFERROR(VLOOKUP(D484,'Monthly Deduction'!$M$2:$N$640,2,0),0)</f>
        <v>0</v>
      </c>
      <c r="Z484" s="128">
        <v>3304</v>
      </c>
      <c r="AA484" s="126">
        <f>IFERROR(VLOOKUP(D484,'Monthly Deduction'!A:B,2,0),0)</f>
        <v>0</v>
      </c>
      <c r="AB484" s="129">
        <f t="shared" si="130"/>
        <v>11377</v>
      </c>
      <c r="AC484" s="130">
        <v>0</v>
      </c>
      <c r="AD484" s="35">
        <f t="shared" si="141"/>
        <v>11377</v>
      </c>
      <c r="AE484" s="166" t="str">
        <f t="shared" si="142"/>
        <v>Release</v>
      </c>
      <c r="AF484" s="127"/>
      <c r="AG484" s="18">
        <v>0</v>
      </c>
      <c r="AH484" s="132" t="s">
        <v>1680</v>
      </c>
      <c r="AI484" s="238">
        <v>0</v>
      </c>
      <c r="AJ484" s="132"/>
      <c r="AK484" s="151">
        <v>2350</v>
      </c>
      <c r="AL484" s="154">
        <f t="shared" si="131"/>
        <v>0</v>
      </c>
      <c r="AM484" s="155"/>
      <c r="AN484" s="19">
        <f t="shared" si="132"/>
        <v>0</v>
      </c>
      <c r="AO484" s="118">
        <f>SUMIF('MPG Payment '!E:E,'Shayak Income '!D484,'MPG Payment '!AJ:AJ)</f>
        <v>0</v>
      </c>
      <c r="AP484" s="19">
        <f t="shared" si="133"/>
        <v>0</v>
      </c>
      <c r="AQ484" s="119">
        <f t="shared" si="143"/>
        <v>0</v>
      </c>
      <c r="AR484" s="91"/>
      <c r="AS484" s="91">
        <f t="shared" si="134"/>
        <v>0</v>
      </c>
      <c r="AT484" s="118"/>
      <c r="AU484" s="118"/>
      <c r="AV484" s="118"/>
    </row>
    <row r="485" spans="1:48" s="20" customFormat="1" x14ac:dyDescent="0.25">
      <c r="A485" s="17">
        <f>IFERROR(VLOOKUP(D485,'Monthly Deduction'!$I$3:$J$957,2,0),0)</f>
        <v>0</v>
      </c>
      <c r="B485" s="17">
        <f>IFERROR(VLOOKUP(D485,'Monthly Deduction'!$E$3:$F$957,2,0),0)</f>
        <v>0</v>
      </c>
      <c r="C485" s="17">
        <f t="shared" si="135"/>
        <v>0</v>
      </c>
      <c r="D485" s="41">
        <v>10410001</v>
      </c>
      <c r="E485" s="122" t="str">
        <f>VLOOKUP(D485,'MPG Payment '!$E$3:$G$497305,2,0)</f>
        <v>Bhramarpur</v>
      </c>
      <c r="F485" s="146">
        <f>IFERROR(_xlfn.XLOOKUP(D485,'Monthly Deduction'!$I$3:$I$957,'Monthly Deduction'!$H$3:$H$957),0)</f>
        <v>0</v>
      </c>
      <c r="G485" s="123" t="str">
        <f>VLOOKUP(D485,'MPG Payment '!$E$3:$G$333666,3,0)</f>
        <v>RMC</v>
      </c>
      <c r="H485" s="124" t="str">
        <f>VLOOKUP(D485,'MPG Payment '!$E$3:$H$333666,4,0)</f>
        <v>Direct</v>
      </c>
      <c r="I485" s="88">
        <f>INDEX('MPG Payment '!$C:$C,MATCH('Shayak Income '!D485,'MPG Payment '!E:E,0))</f>
        <v>1007</v>
      </c>
      <c r="J485" s="88" t="str">
        <f>INDEX('MPG Payment '!$D:$D,MATCH('Shayak Income '!D485,'MPG Payment '!E:E,0))</f>
        <v>Araria</v>
      </c>
      <c r="K485" s="125" t="s">
        <v>1594</v>
      </c>
      <c r="L485" s="125">
        <v>43080</v>
      </c>
      <c r="M485" s="126">
        <f>SUMIF('MPG Payment '!$E$3:$E$344841,'Shayak Income '!D485,'MPG Payment '!$I$3:$I$344841)</f>
        <v>11714</v>
      </c>
      <c r="N485" s="126">
        <f>SUMIF('MPG Payment '!$E$3:$E$344841,'Shayak Income '!D485,'MPG Payment '!$J$3:$J$344841)</f>
        <v>406349.06</v>
      </c>
      <c r="O485" s="126">
        <f t="shared" si="136"/>
        <v>8785.5</v>
      </c>
      <c r="P485" s="126">
        <f t="shared" si="137"/>
        <v>11128.3</v>
      </c>
      <c r="Q485" s="126">
        <f>SUMIF('MPG Payment '!$E$3:$E$344841,'Shayak Income '!D485,'MPG Payment '!$S$3:$S$344841)</f>
        <v>763.21999999999991</v>
      </c>
      <c r="R485" s="126">
        <f t="shared" si="127"/>
        <v>12190.471799999999</v>
      </c>
      <c r="S485" s="126">
        <f t="shared" si="128"/>
        <v>1062.1718000000001</v>
      </c>
      <c r="T485" s="126">
        <f t="shared" si="138"/>
        <v>1171.4000000000001</v>
      </c>
      <c r="U485" s="127">
        <f>((((((IF(K485="New",0,SUMIF('MPG Payment '!$E$3:$E$344841,'Shayak Income '!D485,'MPG Payment '!$AC$3:$AC$344841))))+0)+0)+0)+0)+0</f>
        <v>0</v>
      </c>
      <c r="V485" s="127">
        <f t="shared" si="139"/>
        <v>19506</v>
      </c>
      <c r="W485" s="19">
        <f t="shared" si="140"/>
        <v>0</v>
      </c>
      <c r="X485" s="19">
        <f t="shared" si="129"/>
        <v>0</v>
      </c>
      <c r="Y485" s="128">
        <f>IFERROR(VLOOKUP(D485,'Monthly Deduction'!$M$2:$N$640,2,0),0)</f>
        <v>0</v>
      </c>
      <c r="Z485" s="128">
        <v>0</v>
      </c>
      <c r="AA485" s="126">
        <f>IFERROR(VLOOKUP(D485,'Monthly Deduction'!A:B,2,0),0)</f>
        <v>0</v>
      </c>
      <c r="AB485" s="129">
        <f t="shared" si="130"/>
        <v>19506</v>
      </c>
      <c r="AC485" s="130">
        <v>0</v>
      </c>
      <c r="AD485" s="35">
        <f t="shared" si="141"/>
        <v>19506</v>
      </c>
      <c r="AE485" s="166" t="str">
        <f t="shared" si="142"/>
        <v>Release</v>
      </c>
      <c r="AF485" s="127"/>
      <c r="AG485" s="18">
        <v>0</v>
      </c>
      <c r="AH485" s="120"/>
      <c r="AI485" s="238">
        <v>0</v>
      </c>
      <c r="AJ485" s="132"/>
      <c r="AK485" s="151">
        <v>3559</v>
      </c>
      <c r="AL485" s="154">
        <f t="shared" si="131"/>
        <v>0</v>
      </c>
      <c r="AM485" s="155"/>
      <c r="AN485" s="19">
        <f t="shared" si="132"/>
        <v>0</v>
      </c>
      <c r="AO485" s="118">
        <f>SUMIF('MPG Payment '!E:E,'Shayak Income '!D485,'MPG Payment '!AJ:AJ)</f>
        <v>0</v>
      </c>
      <c r="AP485" s="19">
        <f t="shared" si="133"/>
        <v>0</v>
      </c>
      <c r="AQ485" s="119">
        <f t="shared" si="143"/>
        <v>0</v>
      </c>
      <c r="AR485" s="91"/>
      <c r="AS485" s="91">
        <f t="shared" si="134"/>
        <v>0</v>
      </c>
      <c r="AT485" s="118"/>
      <c r="AU485" s="118"/>
      <c r="AV485" s="118"/>
    </row>
    <row r="486" spans="1:48" s="20" customFormat="1" x14ac:dyDescent="0.25">
      <c r="A486" s="17">
        <f>IFERROR(VLOOKUP(D486,'Monthly Deduction'!$I$3:$J$957,2,0),0)</f>
        <v>0</v>
      </c>
      <c r="B486" s="17">
        <f>IFERROR(VLOOKUP(D486,'Monthly Deduction'!$E$3:$F$957,2,0),0)</f>
        <v>0</v>
      </c>
      <c r="C486" s="17">
        <f t="shared" si="135"/>
        <v>0</v>
      </c>
      <c r="D486" s="41">
        <v>10440001</v>
      </c>
      <c r="E486" s="122" t="str">
        <f>VLOOKUP(D486,'MPG Payment '!$E$3:$G$497305,2,0)</f>
        <v>Gomukh Sadananpur</v>
      </c>
      <c r="F486" s="146">
        <f>IFERROR(_xlfn.XLOOKUP(D486,'Monthly Deduction'!$I$3:$I$957,'Monthly Deduction'!$H$3:$H$957),0)</f>
        <v>0</v>
      </c>
      <c r="G486" s="123" t="str">
        <f>VLOOKUP(D486,'MPG Payment '!$E$3:$G$333666,3,0)</f>
        <v>MPG</v>
      </c>
      <c r="H486" s="124" t="str">
        <f>VLOOKUP(D486,'MPG Payment '!$E$3:$H$333666,4,0)</f>
        <v>Direct</v>
      </c>
      <c r="I486" s="88">
        <f>INDEX('MPG Payment '!$C:$C,MATCH('Shayak Income '!D486,'MPG Payment '!E:E,0))</f>
        <v>1011</v>
      </c>
      <c r="J486" s="88" t="str">
        <f>INDEX('MPG Payment '!$D:$D,MATCH('Shayak Income '!D486,'MPG Payment '!E:E,0))</f>
        <v>Sahibpur Kamal</v>
      </c>
      <c r="K486" s="125" t="s">
        <v>1594</v>
      </c>
      <c r="L486" s="125">
        <v>42979</v>
      </c>
      <c r="M486" s="126">
        <f>SUMIF('MPG Payment '!$E$3:$E$344841,'Shayak Income '!D486,'MPG Payment '!$I$3:$I$344841)</f>
        <v>290.10000000000002</v>
      </c>
      <c r="N486" s="126">
        <f>SUMIF('MPG Payment '!$E$3:$E$344841,'Shayak Income '!D486,'MPG Payment '!$J$3:$J$344841)</f>
        <v>10010.419999999998</v>
      </c>
      <c r="O486" s="126">
        <f t="shared" si="136"/>
        <v>217.57500000000002</v>
      </c>
      <c r="P486" s="126">
        <f t="shared" si="137"/>
        <v>275.59500000000003</v>
      </c>
      <c r="Q486" s="126">
        <f>SUMIF('MPG Payment '!$E$3:$E$344841,'Shayak Income '!D486,'MPG Payment '!$S$3:$S$344841)</f>
        <v>0</v>
      </c>
      <c r="R486" s="126">
        <f t="shared" si="127"/>
        <v>300.31259999999992</v>
      </c>
      <c r="S486" s="126">
        <f t="shared" si="128"/>
        <v>24.717599999999891</v>
      </c>
      <c r="T486" s="126">
        <f t="shared" si="138"/>
        <v>29.010000000000005</v>
      </c>
      <c r="U486" s="127">
        <f>((((((IF(K486="New",0,SUMIF('MPG Payment '!$E$3:$E$344841,'Shayak Income '!D486,'MPG Payment '!$AC$3:$AC$344841))))+0)+0)+0)+0)+-1274</f>
        <v>464.46491619030758</v>
      </c>
      <c r="V486" s="127">
        <f t="shared" si="139"/>
        <v>0</v>
      </c>
      <c r="W486" s="19">
        <v>0</v>
      </c>
      <c r="X486" s="19">
        <v>0</v>
      </c>
      <c r="Y486" s="128">
        <v>0</v>
      </c>
      <c r="Z486" s="128">
        <v>0</v>
      </c>
      <c r="AA486" s="126">
        <v>0</v>
      </c>
      <c r="AB486" s="129">
        <f t="shared" si="130"/>
        <v>0</v>
      </c>
      <c r="AC486" s="130">
        <v>0</v>
      </c>
      <c r="AD486" s="35">
        <f t="shared" si="141"/>
        <v>0</v>
      </c>
      <c r="AE486" s="166" t="str">
        <f t="shared" si="142"/>
        <v>Release</v>
      </c>
      <c r="AF486" s="127"/>
      <c r="AG486" s="18">
        <v>0</v>
      </c>
      <c r="AH486" s="120"/>
      <c r="AI486" s="238">
        <v>0</v>
      </c>
      <c r="AJ486" s="132"/>
      <c r="AK486" s="151">
        <v>37.099999999999994</v>
      </c>
      <c r="AL486" s="154">
        <f t="shared" si="131"/>
        <v>0</v>
      </c>
      <c r="AM486" s="155"/>
      <c r="AN486" s="19">
        <f t="shared" si="132"/>
        <v>0</v>
      </c>
      <c r="AO486" s="118">
        <f>SUMIF('MPG Payment '!E:E,'Shayak Income '!D486,'MPG Payment '!AJ:AJ)</f>
        <v>0</v>
      </c>
      <c r="AP486" s="19">
        <f t="shared" si="133"/>
        <v>0</v>
      </c>
      <c r="AQ486" s="119">
        <f t="shared" si="143"/>
        <v>0</v>
      </c>
      <c r="AR486" s="91" t="s">
        <v>1144</v>
      </c>
      <c r="AS486" s="91">
        <f t="shared" si="134"/>
        <v>0</v>
      </c>
      <c r="AT486" s="118"/>
      <c r="AU486" s="118"/>
      <c r="AV486" s="118"/>
    </row>
    <row r="487" spans="1:48" s="20" customFormat="1" x14ac:dyDescent="0.25">
      <c r="A487" s="17">
        <f>IFERROR(VLOOKUP(D487,'Monthly Deduction'!$I$3:$J$957,2,0),0)</f>
        <v>0</v>
      </c>
      <c r="B487" s="17">
        <f>IFERROR(VLOOKUP(D487,'Monthly Deduction'!$E$3:$F$957,2,0),0)</f>
        <v>0</v>
      </c>
      <c r="C487" s="17">
        <f t="shared" si="135"/>
        <v>0</v>
      </c>
      <c r="D487" s="41">
        <v>10460001</v>
      </c>
      <c r="E487" s="122" t="str">
        <f>VLOOKUP(D487,'MPG Payment '!$E$3:$G$497305,2,0)</f>
        <v>TILAKPUR  2</v>
      </c>
      <c r="F487" s="146">
        <f>IFERROR(_xlfn.XLOOKUP(D487,'Monthly Deduction'!$I$3:$I$957,'Monthly Deduction'!$H$3:$H$957),0)</f>
        <v>0</v>
      </c>
      <c r="G487" s="123" t="str">
        <f>VLOOKUP(D487,'MPG Payment '!$E$3:$G$333666,3,0)</f>
        <v>MPG</v>
      </c>
      <c r="H487" s="124" t="str">
        <f>VLOOKUP(D487,'MPG Payment '!$E$3:$H$333666,4,0)</f>
        <v>Direct</v>
      </c>
      <c r="I487" s="88">
        <f>INDEX('MPG Payment '!$C:$C,MATCH('Shayak Income '!D487,'MPG Payment '!E:E,0))</f>
        <v>1003</v>
      </c>
      <c r="J487" s="88" t="str">
        <f>INDEX('MPG Payment '!$D:$D,MATCH('Shayak Income '!D487,'MPG Payment '!E:E,0))</f>
        <v>Asarganj</v>
      </c>
      <c r="K487" s="125" t="s">
        <v>1594</v>
      </c>
      <c r="L487" s="125">
        <v>42979</v>
      </c>
      <c r="M487" s="126">
        <f>SUMIF('MPG Payment '!$E$3:$E$344841,'Shayak Income '!D487,'MPG Payment '!$I$3:$I$344841)</f>
        <v>2170.1</v>
      </c>
      <c r="N487" s="126">
        <f>SUMIF('MPG Payment '!$E$3:$E$344841,'Shayak Income '!D487,'MPG Payment '!$J$3:$J$344841)</f>
        <v>76621.47</v>
      </c>
      <c r="O487" s="126">
        <f t="shared" si="136"/>
        <v>1627.5749999999998</v>
      </c>
      <c r="P487" s="126">
        <f t="shared" si="137"/>
        <v>2061.5949999999998</v>
      </c>
      <c r="Q487" s="126">
        <f>SUMIF('MPG Payment '!$E$3:$E$344841,'Shayak Income '!D487,'MPG Payment '!$S$3:$S$344841)</f>
        <v>306.49</v>
      </c>
      <c r="R487" s="126">
        <f t="shared" si="127"/>
        <v>2298.6441</v>
      </c>
      <c r="S487" s="126">
        <f t="shared" si="128"/>
        <v>237.04910000000018</v>
      </c>
      <c r="T487" s="126">
        <f t="shared" si="138"/>
        <v>217.01</v>
      </c>
      <c r="U487" s="127">
        <f>((((((IF(K487="New",0,SUMIF('MPG Payment '!$E$3:$E$344841,'Shayak Income '!D487,'MPG Payment '!$AC$3:$AC$344841))))+0)+0)+0)+0)+0</f>
        <v>445.66841383765586</v>
      </c>
      <c r="V487" s="127">
        <f t="shared" si="139"/>
        <v>3333</v>
      </c>
      <c r="W487" s="19">
        <f t="shared" si="140"/>
        <v>0</v>
      </c>
      <c r="X487" s="19">
        <f t="shared" si="129"/>
        <v>0</v>
      </c>
      <c r="Y487" s="128">
        <f>IFERROR(VLOOKUP(D487,'Monthly Deduction'!$M$2:$N$640,2,0),0)</f>
        <v>0</v>
      </c>
      <c r="Z487" s="128">
        <v>0</v>
      </c>
      <c r="AA487" s="126">
        <f>IFERROR(VLOOKUP(D487,'Monthly Deduction'!A:B,2,0),0)</f>
        <v>0</v>
      </c>
      <c r="AB487" s="129">
        <f t="shared" si="130"/>
        <v>3333</v>
      </c>
      <c r="AC487" s="130">
        <v>0</v>
      </c>
      <c r="AD487" s="35">
        <f t="shared" si="141"/>
        <v>3333</v>
      </c>
      <c r="AE487" s="166" t="str">
        <f t="shared" si="142"/>
        <v>Release</v>
      </c>
      <c r="AF487" s="127"/>
      <c r="AG487" s="18">
        <v>0</v>
      </c>
      <c r="AH487" s="120"/>
      <c r="AI487" s="238">
        <v>0</v>
      </c>
      <c r="AJ487" s="132"/>
      <c r="AK487" s="151">
        <v>392.85</v>
      </c>
      <c r="AL487" s="154">
        <f t="shared" si="131"/>
        <v>0</v>
      </c>
      <c r="AM487" s="155"/>
      <c r="AN487" s="19">
        <f t="shared" si="132"/>
        <v>0</v>
      </c>
      <c r="AO487" s="118">
        <f>SUMIF('MPG Payment '!E:E,'Shayak Income '!D487,'MPG Payment '!AJ:AJ)</f>
        <v>0</v>
      </c>
      <c r="AP487" s="19">
        <f t="shared" si="133"/>
        <v>0</v>
      </c>
      <c r="AQ487" s="119">
        <f t="shared" si="143"/>
        <v>0</v>
      </c>
      <c r="AR487" s="91" t="s">
        <v>1144</v>
      </c>
      <c r="AS487" s="91">
        <f t="shared" si="134"/>
        <v>0</v>
      </c>
      <c r="AT487" s="118"/>
      <c r="AU487" s="118"/>
      <c r="AV487" s="118"/>
    </row>
    <row r="488" spans="1:48" s="20" customFormat="1" x14ac:dyDescent="0.25">
      <c r="A488" s="17">
        <f>IFERROR(VLOOKUP(D488,'Monthly Deduction'!$I$3:$J$957,2,0),0)</f>
        <v>22181.576994909643</v>
      </c>
      <c r="B488" s="17">
        <f>IFERROR(VLOOKUP(D488,'Monthly Deduction'!$E$3:$F$957,2,0),0)</f>
        <v>8529.4035252083195</v>
      </c>
      <c r="C488" s="17">
        <f t="shared" si="135"/>
        <v>30710.980520117962</v>
      </c>
      <c r="D488" s="41">
        <v>10460002</v>
      </c>
      <c r="E488" s="122" t="str">
        <f>VLOOKUP(D488,'MPG Payment '!$E$3:$G$497305,2,0)</f>
        <v>TILAKPUR</v>
      </c>
      <c r="F488" s="146">
        <f>IFERROR(_xlfn.XLOOKUP(D488,'Monthly Deduction'!$I$3:$I$957,'Monthly Deduction'!$H$3:$H$957),0)</f>
        <v>0</v>
      </c>
      <c r="G488" s="123" t="str">
        <f>VLOOKUP(D488,'MPG Payment '!$E$3:$G$333666,3,0)</f>
        <v>MPG</v>
      </c>
      <c r="H488" s="124" t="str">
        <f>VLOOKUP(D488,'MPG Payment '!$E$3:$H$333666,4,0)</f>
        <v>Direct</v>
      </c>
      <c r="I488" s="88">
        <f>INDEX('MPG Payment '!$C:$C,MATCH('Shayak Income '!D488,'MPG Payment '!E:E,0))</f>
        <v>1003</v>
      </c>
      <c r="J488" s="88" t="str">
        <f>INDEX('MPG Payment '!$D:$D,MATCH('Shayak Income '!D488,'MPG Payment '!E:E,0))</f>
        <v>Asarganj</v>
      </c>
      <c r="K488" s="125" t="s">
        <v>1594</v>
      </c>
      <c r="L488" s="125">
        <v>44988</v>
      </c>
      <c r="M488" s="126">
        <f>SUMIF('MPG Payment '!$E$3:$E$344841,'Shayak Income '!D488,'MPG Payment '!$I$3:$I$344841)</f>
        <v>3035.7</v>
      </c>
      <c r="N488" s="126">
        <f>SUMIF('MPG Payment '!$E$3:$E$344841,'Shayak Income '!D488,'MPG Payment '!$J$3:$J$344841)</f>
        <v>96538.4</v>
      </c>
      <c r="O488" s="126">
        <f t="shared" si="136"/>
        <v>2276.7749999999996</v>
      </c>
      <c r="P488" s="126">
        <f t="shared" si="137"/>
        <v>2883.9149999999995</v>
      </c>
      <c r="Q488" s="126">
        <f>SUMIF('MPG Payment '!$E$3:$E$344841,'Shayak Income '!D488,'MPG Payment '!$S$3:$S$344841)</f>
        <v>820.49999999999989</v>
      </c>
      <c r="R488" s="126">
        <f t="shared" si="127"/>
        <v>2896.1519999999996</v>
      </c>
      <c r="S488" s="126">
        <f t="shared" si="128"/>
        <v>12.23700000000008</v>
      </c>
      <c r="T488" s="126">
        <f t="shared" si="138"/>
        <v>303.57</v>
      </c>
      <c r="U488" s="127">
        <f>((((((IF(K488="New",0,SUMIF('MPG Payment '!$E$3:$E$344841,'Shayak Income '!D488,'MPG Payment '!$AC$3:$AC$344841))))+0)+0)+0)+0)+0</f>
        <v>6.8872490604367584</v>
      </c>
      <c r="V488" s="127">
        <f t="shared" si="139"/>
        <v>5671</v>
      </c>
      <c r="W488" s="19">
        <f t="shared" si="140"/>
        <v>1930.768</v>
      </c>
      <c r="X488" s="19">
        <v>0</v>
      </c>
      <c r="Y488" s="128">
        <f>IFERROR(VLOOKUP(D488,'Monthly Deduction'!$M$2:$N$640,2,0),0)</f>
        <v>0</v>
      </c>
      <c r="Z488" s="128">
        <v>0</v>
      </c>
      <c r="AA488" s="126">
        <f>IFERROR(VLOOKUP(D488,'Monthly Deduction'!A:B,2,0),0)</f>
        <v>0</v>
      </c>
      <c r="AB488" s="129">
        <f t="shared" si="130"/>
        <v>3740</v>
      </c>
      <c r="AC488" s="130">
        <v>0</v>
      </c>
      <c r="AD488" s="35">
        <f t="shared" si="141"/>
        <v>3740</v>
      </c>
      <c r="AE488" s="166" t="str">
        <f t="shared" si="142"/>
        <v>Release</v>
      </c>
      <c r="AF488" s="127"/>
      <c r="AG488" s="18">
        <v>0</v>
      </c>
      <c r="AH488" s="132"/>
      <c r="AI488" s="238">
        <v>0</v>
      </c>
      <c r="AJ488" s="132"/>
      <c r="AK488" s="151">
        <v>458.20000000000005</v>
      </c>
      <c r="AL488" s="154">
        <f t="shared" si="131"/>
        <v>0</v>
      </c>
      <c r="AM488" s="155"/>
      <c r="AN488" s="19">
        <f t="shared" si="132"/>
        <v>1930.768</v>
      </c>
      <c r="AO488" s="118">
        <f>SUMIF('MPG Payment '!E:E,'Shayak Income '!D488,'MPG Payment '!AJ:AJ)</f>
        <v>0</v>
      </c>
      <c r="AP488" s="19">
        <f t="shared" si="133"/>
        <v>1930.768</v>
      </c>
      <c r="AQ488" s="119">
        <f t="shared" si="143"/>
        <v>1930.768</v>
      </c>
      <c r="AR488" s="91" t="s">
        <v>1144</v>
      </c>
      <c r="AS488" s="91">
        <f t="shared" si="134"/>
        <v>8529.4035252083195</v>
      </c>
      <c r="AT488" s="118"/>
      <c r="AU488" s="118"/>
      <c r="AV488" s="118"/>
    </row>
    <row r="489" spans="1:48" s="20" customFormat="1" x14ac:dyDescent="0.25">
      <c r="A489" s="17">
        <f>IFERROR(VLOOKUP(D489,'Monthly Deduction'!$I$3:$J$957,2,0),0)</f>
        <v>35699.526400000002</v>
      </c>
      <c r="B489" s="17">
        <f>IFERROR(VLOOKUP(D489,'Monthly Deduction'!$E$3:$F$957,2,0),0)</f>
        <v>24802</v>
      </c>
      <c r="C489" s="17">
        <f t="shared" si="135"/>
        <v>60501.526400000002</v>
      </c>
      <c r="D489" s="41">
        <v>10480001</v>
      </c>
      <c r="E489" s="122" t="str">
        <f>VLOOKUP(D489,'MPG Payment '!$E$3:$G$497305,2,0)</f>
        <v>Prasharpur Kadwa Gomukh</v>
      </c>
      <c r="F489" s="146">
        <f>IFERROR(_xlfn.XLOOKUP(D489,'Monthly Deduction'!$I$3:$I$957,'Monthly Deduction'!$H$3:$H$957),0)</f>
        <v>0</v>
      </c>
      <c r="G489" s="123" t="str">
        <f>VLOOKUP(D489,'MPG Payment '!$E$3:$G$333666,3,0)</f>
        <v>MPG</v>
      </c>
      <c r="H489" s="124" t="str">
        <f>VLOOKUP(D489,'MPG Payment '!$E$3:$H$333666,4,0)</f>
        <v>Direct</v>
      </c>
      <c r="I489" s="88">
        <f>INDEX('MPG Payment '!$C:$C,MATCH('Shayak Income '!D489,'MPG Payment '!E:E,0))</f>
        <v>1036</v>
      </c>
      <c r="J489" s="88" t="str">
        <f>INDEX('MPG Payment '!$D:$D,MATCH('Shayak Income '!D489,'MPG Payment '!E:E,0))</f>
        <v>MAHADAT PUR 2</v>
      </c>
      <c r="K489" s="125" t="s">
        <v>1594</v>
      </c>
      <c r="L489" s="125">
        <v>43756</v>
      </c>
      <c r="M489" s="126">
        <f>SUMIF('MPG Payment '!$E$3:$E$344841,'Shayak Income '!D489,'MPG Payment '!$I$3:$I$344841)</f>
        <v>1419.8</v>
      </c>
      <c r="N489" s="126">
        <f>SUMIF('MPG Payment '!$E$3:$E$344841,'Shayak Income '!D489,'MPG Payment '!$J$3:$J$344841)</f>
        <v>54765.39</v>
      </c>
      <c r="O489" s="126">
        <f t="shared" si="136"/>
        <v>1064.8499999999999</v>
      </c>
      <c r="P489" s="126">
        <f t="shared" si="137"/>
        <v>1348.81</v>
      </c>
      <c r="Q489" s="126">
        <f>SUMIF('MPG Payment '!$E$3:$E$344841,'Shayak Income '!D489,'MPG Payment '!$S$3:$S$344841)</f>
        <v>502.55000000000007</v>
      </c>
      <c r="R489" s="126">
        <f t="shared" si="127"/>
        <v>1642.9616999999998</v>
      </c>
      <c r="S489" s="126">
        <f t="shared" si="128"/>
        <v>294.15169999999989</v>
      </c>
      <c r="T489" s="126">
        <f t="shared" si="138"/>
        <v>141.97999999999999</v>
      </c>
      <c r="U489" s="127">
        <f>((((((IF(K489="New",0,SUMIF('MPG Payment '!$E$3:$E$344841,'Shayak Income '!D489,'MPG Payment '!$AC$3:$AC$344841))))+0)+0)+0)+0)+0</f>
        <v>1067.2870789083386</v>
      </c>
      <c r="V489" s="127">
        <f t="shared" si="139"/>
        <v>1707</v>
      </c>
      <c r="W489" s="19">
        <v>1707</v>
      </c>
      <c r="X489" s="19">
        <v>0</v>
      </c>
      <c r="Y489" s="128">
        <f>IFERROR(VLOOKUP(D489,'Monthly Deduction'!$M$2:$N$640,2,0),0)</f>
        <v>0</v>
      </c>
      <c r="Z489" s="128">
        <v>0</v>
      </c>
      <c r="AA489" s="126">
        <f>IFERROR(VLOOKUP(D489,'Monthly Deduction'!A:B,2,0),0)</f>
        <v>0</v>
      </c>
      <c r="AB489" s="129">
        <f t="shared" si="130"/>
        <v>0</v>
      </c>
      <c r="AC489" s="130">
        <v>0</v>
      </c>
      <c r="AD489" s="35">
        <f t="shared" si="141"/>
        <v>0</v>
      </c>
      <c r="AE489" s="166" t="str">
        <f t="shared" si="142"/>
        <v>Release</v>
      </c>
      <c r="AF489" s="127"/>
      <c r="AG489" s="18">
        <v>0</v>
      </c>
      <c r="AH489" s="120"/>
      <c r="AI489" s="238">
        <v>0</v>
      </c>
      <c r="AJ489" s="132"/>
      <c r="AK489" s="151">
        <v>328.1</v>
      </c>
      <c r="AL489" s="154">
        <f t="shared" si="131"/>
        <v>0</v>
      </c>
      <c r="AM489" s="155"/>
      <c r="AN489" s="19">
        <f t="shared" si="132"/>
        <v>1861</v>
      </c>
      <c r="AO489" s="118">
        <f>SUMIF('MPG Payment '!E:E,'Shayak Income '!D489,'MPG Payment '!AJ:AJ)</f>
        <v>0</v>
      </c>
      <c r="AP489" s="19">
        <f t="shared" si="133"/>
        <v>1707</v>
      </c>
      <c r="AQ489" s="119">
        <f t="shared" si="143"/>
        <v>1707</v>
      </c>
      <c r="AR489" s="91" t="s">
        <v>1144</v>
      </c>
      <c r="AS489" s="91">
        <f t="shared" si="134"/>
        <v>24802</v>
      </c>
      <c r="AT489" s="118"/>
      <c r="AU489" s="118"/>
      <c r="AV489" s="118"/>
    </row>
    <row r="490" spans="1:48" s="20" customFormat="1" x14ac:dyDescent="0.25">
      <c r="A490" s="17">
        <f>IFERROR(VLOOKUP(D490,'Monthly Deduction'!$I$3:$J$957,2,0),0)</f>
        <v>0</v>
      </c>
      <c r="B490" s="17">
        <f>IFERROR(VLOOKUP(D490,'Monthly Deduction'!$E$3:$F$957,2,0),0)</f>
        <v>9262.8678140003703</v>
      </c>
      <c r="C490" s="17">
        <f t="shared" si="135"/>
        <v>9262.8678140003703</v>
      </c>
      <c r="D490" s="41">
        <v>10480002</v>
      </c>
      <c r="E490" s="122" t="str">
        <f>VLOOKUP(D490,'MPG Payment '!$E$3:$G$497305,2,0)</f>
        <v>Borwa Tola Gomukh</v>
      </c>
      <c r="F490" s="146">
        <f>IFERROR(_xlfn.XLOOKUP(D490,'Monthly Deduction'!$I$3:$I$957,'Monthly Deduction'!$H$3:$H$957),0)</f>
        <v>0</v>
      </c>
      <c r="G490" s="123" t="str">
        <f>VLOOKUP(D490,'MPG Payment '!$E$3:$G$333666,3,0)</f>
        <v>vlc</v>
      </c>
      <c r="H490" s="124" t="str">
        <f>VLOOKUP(D490,'MPG Payment '!$E$3:$H$333666,4,0)</f>
        <v>Indirect</v>
      </c>
      <c r="I490" s="88">
        <f>INDEX('MPG Payment '!$C:$C,MATCH('Shayak Income '!D490,'MPG Payment '!E:E,0))</f>
        <v>1036</v>
      </c>
      <c r="J490" s="88" t="str">
        <f>INDEX('MPG Payment '!$D:$D,MATCH('Shayak Income '!D490,'MPG Payment '!E:E,0))</f>
        <v>MAHADAT PUR 2</v>
      </c>
      <c r="K490" s="125" t="s">
        <v>1594</v>
      </c>
      <c r="L490" s="125">
        <v>43756</v>
      </c>
      <c r="M490" s="126">
        <f>SUMIF('MPG Payment '!$E$3:$E$344841,'Shayak Income '!D490,'MPG Payment '!$I$3:$I$344841)</f>
        <v>1556.9</v>
      </c>
      <c r="N490" s="126">
        <f>SUMIF('MPG Payment '!$E$3:$E$344841,'Shayak Income '!D490,'MPG Payment '!$J$3:$J$344841)</f>
        <v>53934.630000000005</v>
      </c>
      <c r="O490" s="126">
        <f t="shared" si="136"/>
        <v>1167.6750000000002</v>
      </c>
      <c r="P490" s="126">
        <f t="shared" si="137"/>
        <v>1479.0550000000001</v>
      </c>
      <c r="Q490" s="126">
        <f>SUMIF('MPG Payment '!$E$3:$E$344841,'Shayak Income '!D490,'MPG Payment '!$S$3:$S$344841)</f>
        <v>0</v>
      </c>
      <c r="R490" s="126">
        <f t="shared" si="127"/>
        <v>1618.0389</v>
      </c>
      <c r="S490" s="126">
        <f t="shared" si="128"/>
        <v>138.98389999999995</v>
      </c>
      <c r="T490" s="126">
        <f t="shared" si="138"/>
        <v>155.69000000000003</v>
      </c>
      <c r="U490" s="127">
        <f>((((((IF(K490="New",0,SUMIF('MPG Payment '!$E$3:$E$344841,'Shayak Income '!D490,'MPG Payment '!$AC$3:$AC$344841))))+0)+0)+0)+0)+0</f>
        <v>870.18352431788435</v>
      </c>
      <c r="V490" s="127">
        <f t="shared" si="139"/>
        <v>1621</v>
      </c>
      <c r="W490" s="19">
        <f t="shared" si="140"/>
        <v>0</v>
      </c>
      <c r="X490" s="19">
        <f t="shared" si="129"/>
        <v>1078.6926000000001</v>
      </c>
      <c r="Y490" s="128">
        <f>IFERROR(VLOOKUP(D490,'Monthly Deduction'!$M$2:$N$640,2,0),0)</f>
        <v>0</v>
      </c>
      <c r="Z490" s="128">
        <v>0</v>
      </c>
      <c r="AA490" s="126">
        <f>IFERROR(VLOOKUP(D490,'Monthly Deduction'!A:B,2,0),0)</f>
        <v>0</v>
      </c>
      <c r="AB490" s="129">
        <f t="shared" si="130"/>
        <v>542</v>
      </c>
      <c r="AC490" s="130">
        <v>0</v>
      </c>
      <c r="AD490" s="35">
        <f t="shared" si="141"/>
        <v>542</v>
      </c>
      <c r="AE490" s="166" t="str">
        <f t="shared" si="142"/>
        <v>Release</v>
      </c>
      <c r="AF490" s="127"/>
      <c r="AG490" s="18">
        <v>0</v>
      </c>
      <c r="AH490" s="132"/>
      <c r="AI490" s="238">
        <v>0</v>
      </c>
      <c r="AJ490" s="132"/>
      <c r="AK490" s="151">
        <v>214.4</v>
      </c>
      <c r="AL490" s="154">
        <f t="shared" si="131"/>
        <v>0</v>
      </c>
      <c r="AM490" s="155"/>
      <c r="AN490" s="19">
        <f t="shared" si="132"/>
        <v>0</v>
      </c>
      <c r="AO490" s="118">
        <f>SUMIF('MPG Payment '!E:E,'Shayak Income '!D490,'MPG Payment '!AJ:AJ)</f>
        <v>0</v>
      </c>
      <c r="AP490" s="19">
        <f t="shared" si="133"/>
        <v>0</v>
      </c>
      <c r="AQ490" s="119">
        <f t="shared" si="143"/>
        <v>0</v>
      </c>
      <c r="AR490" s="91" t="s">
        <v>1144</v>
      </c>
      <c r="AS490" s="91">
        <f t="shared" si="134"/>
        <v>8184.17521400037</v>
      </c>
      <c r="AT490" s="118"/>
      <c r="AU490" s="118"/>
      <c r="AV490" s="118"/>
    </row>
    <row r="491" spans="1:48" s="20" customFormat="1" x14ac:dyDescent="0.25">
      <c r="A491" s="17">
        <f>IFERROR(VLOOKUP(D491,'Monthly Deduction'!$I$3:$J$957,2,0),0)</f>
        <v>0</v>
      </c>
      <c r="B491" s="17">
        <f>IFERROR(VLOOKUP(D491,'Monthly Deduction'!$E$3:$F$957,2,0),0)</f>
        <v>0</v>
      </c>
      <c r="C491" s="17">
        <f t="shared" si="135"/>
        <v>0</v>
      </c>
      <c r="D491" s="41">
        <v>10480003</v>
      </c>
      <c r="E491" s="122" t="str">
        <f>VLOOKUP(D491,'MPG Payment '!$E$3:$G$497305,2,0)</f>
        <v>Sheela Devi</v>
      </c>
      <c r="F491" s="146">
        <f>IFERROR(_xlfn.XLOOKUP(D491,'Monthly Deduction'!$I$3:$I$957,'Monthly Deduction'!$H$3:$H$957),0)</f>
        <v>0</v>
      </c>
      <c r="G491" s="123" t="str">
        <f>VLOOKUP(D491,'MPG Payment '!$E$3:$G$333666,3,0)</f>
        <v>vlc</v>
      </c>
      <c r="H491" s="124" t="str">
        <f>VLOOKUP(D491,'MPG Payment '!$E$3:$H$333666,4,0)</f>
        <v>Indirect</v>
      </c>
      <c r="I491" s="88">
        <f>INDEX('MPG Payment '!$C:$C,MATCH('Shayak Income '!D491,'MPG Payment '!E:E,0))</f>
        <v>1007</v>
      </c>
      <c r="J491" s="88" t="str">
        <f>INDEX('MPG Payment '!$D:$D,MATCH('Shayak Income '!D491,'MPG Payment '!E:E,0))</f>
        <v>Araria</v>
      </c>
      <c r="K491" s="125" t="s">
        <v>1594</v>
      </c>
      <c r="L491" s="125">
        <v>43932</v>
      </c>
      <c r="M491" s="126">
        <f>SUMIF('MPG Payment '!$E$3:$E$344841,'Shayak Income '!D491,'MPG Payment '!$I$3:$I$344841)</f>
        <v>4776</v>
      </c>
      <c r="N491" s="126">
        <f>SUMIF('MPG Payment '!$E$3:$E$344841,'Shayak Income '!D491,'MPG Payment '!$J$3:$J$344841)</f>
        <v>152369.28999999998</v>
      </c>
      <c r="O491" s="126">
        <f t="shared" si="136"/>
        <v>3582</v>
      </c>
      <c r="P491" s="126">
        <f t="shared" si="137"/>
        <v>4537.2</v>
      </c>
      <c r="Q491" s="126">
        <f>SUMIF('MPG Payment '!$E$3:$E$344841,'Shayak Income '!D491,'MPG Payment '!$S$3:$S$344841)</f>
        <v>0</v>
      </c>
      <c r="R491" s="126">
        <f t="shared" si="127"/>
        <v>4571.0786999999991</v>
      </c>
      <c r="S491" s="126">
        <f t="shared" si="128"/>
        <v>33.878699999999299</v>
      </c>
      <c r="T491" s="126">
        <f t="shared" si="138"/>
        <v>477.6</v>
      </c>
      <c r="U491" s="127">
        <f>((((((IF(K491="New",0,SUMIF('MPG Payment '!$E$3:$E$344841,'Shayak Income '!D491,'MPG Payment '!$AC$3:$AC$344841))))+0)+0)+0)+0)+0</f>
        <v>56.868637209302307</v>
      </c>
      <c r="V491" s="127">
        <f t="shared" si="139"/>
        <v>7585</v>
      </c>
      <c r="W491" s="19">
        <f t="shared" si="140"/>
        <v>0</v>
      </c>
      <c r="X491" s="19">
        <f t="shared" si="129"/>
        <v>0</v>
      </c>
      <c r="Y491" s="128">
        <f>IFERROR(VLOOKUP(D491,'Monthly Deduction'!$M$2:$N$640,2,0),0)</f>
        <v>0</v>
      </c>
      <c r="Z491" s="128">
        <v>0</v>
      </c>
      <c r="AA491" s="126">
        <f>IFERROR(VLOOKUP(D491,'Monthly Deduction'!A:B,2,0),0)</f>
        <v>0</v>
      </c>
      <c r="AB491" s="129">
        <f t="shared" si="130"/>
        <v>7585</v>
      </c>
      <c r="AC491" s="130">
        <v>0</v>
      </c>
      <c r="AD491" s="35">
        <f t="shared" si="141"/>
        <v>7585</v>
      </c>
      <c r="AE491" s="166" t="str">
        <f t="shared" si="142"/>
        <v>Release</v>
      </c>
      <c r="AF491" s="127"/>
      <c r="AG491" s="18">
        <v>0</v>
      </c>
      <c r="AH491" s="120"/>
      <c r="AI491" s="238">
        <v>0</v>
      </c>
      <c r="AJ491" s="132"/>
      <c r="AK491" s="151">
        <v>680</v>
      </c>
      <c r="AL491" s="154">
        <f t="shared" si="131"/>
        <v>0</v>
      </c>
      <c r="AM491" s="155"/>
      <c r="AN491" s="19">
        <f t="shared" si="132"/>
        <v>0</v>
      </c>
      <c r="AO491" s="118">
        <f>SUMIF('MPG Payment '!E:E,'Shayak Income '!D491,'MPG Payment '!AJ:AJ)</f>
        <v>0</v>
      </c>
      <c r="AP491" s="19">
        <f t="shared" si="133"/>
        <v>0</v>
      </c>
      <c r="AQ491" s="119">
        <f t="shared" si="143"/>
        <v>0</v>
      </c>
      <c r="AR491" s="91" t="s">
        <v>1144</v>
      </c>
      <c r="AS491" s="91">
        <f t="shared" si="134"/>
        <v>0</v>
      </c>
      <c r="AT491" s="118"/>
      <c r="AU491" s="118"/>
      <c r="AV491" s="118"/>
    </row>
    <row r="492" spans="1:48" s="20" customFormat="1" x14ac:dyDescent="0.25">
      <c r="A492" s="17">
        <f>IFERROR(VLOOKUP(D492,'Monthly Deduction'!$I$3:$J$957,2,0),0)</f>
        <v>23823.025469606597</v>
      </c>
      <c r="B492" s="17">
        <f>IFERROR(VLOOKUP(D492,'Monthly Deduction'!$E$3:$F$957,2,0),0)</f>
        <v>6793.08712399872</v>
      </c>
      <c r="C492" s="17">
        <f t="shared" si="135"/>
        <v>30616.112593605318</v>
      </c>
      <c r="D492" s="41">
        <v>10480005</v>
      </c>
      <c r="E492" s="122" t="str">
        <f>VLOOKUP(D492,'MPG Payment '!$E$3:$G$497305,2,0)</f>
        <v>Gomukh Vijay Lalganj</v>
      </c>
      <c r="F492" s="146">
        <f>IFERROR(_xlfn.XLOOKUP(D492,'Monthly Deduction'!$I$3:$I$957,'Monthly Deduction'!$H$3:$H$957),0)</f>
        <v>0</v>
      </c>
      <c r="G492" s="123" t="str">
        <f>VLOOKUP(D492,'MPG Payment '!$E$3:$G$333666,3,0)</f>
        <v>MPG</v>
      </c>
      <c r="H492" s="124" t="str">
        <f>VLOOKUP(D492,'MPG Payment '!$E$3:$H$333666,4,0)</f>
        <v>Direct</v>
      </c>
      <c r="I492" s="88">
        <f>INDEX('MPG Payment '!$C:$C,MATCH('Shayak Income '!D492,'MPG Payment '!E:E,0))</f>
        <v>1036</v>
      </c>
      <c r="J492" s="88" t="str">
        <f>INDEX('MPG Payment '!$D:$D,MATCH('Shayak Income '!D492,'MPG Payment '!E:E,0))</f>
        <v>MAHADAT PUR 2</v>
      </c>
      <c r="K492" s="125" t="s">
        <v>1594</v>
      </c>
      <c r="L492" s="125">
        <v>44974</v>
      </c>
      <c r="M492" s="126">
        <f>SUMIF('MPG Payment '!$E$3:$E$344841,'Shayak Income '!D492,'MPG Payment '!$I$3:$I$344841)</f>
        <v>1484.2</v>
      </c>
      <c r="N492" s="126">
        <f>SUMIF('MPG Payment '!$E$3:$E$344841,'Shayak Income '!D492,'MPG Payment '!$J$3:$J$344841)</f>
        <v>61182.7</v>
      </c>
      <c r="O492" s="126">
        <f t="shared" si="136"/>
        <v>1113.1500000000001</v>
      </c>
      <c r="P492" s="126">
        <f t="shared" si="137"/>
        <v>1409.99</v>
      </c>
      <c r="Q492" s="126">
        <f>SUMIF('MPG Payment '!$E$3:$E$344841,'Shayak Income '!D492,'MPG Payment '!$S$3:$S$344841)</f>
        <v>234.25000000000003</v>
      </c>
      <c r="R492" s="126">
        <f t="shared" si="127"/>
        <v>1835.4809999999998</v>
      </c>
      <c r="S492" s="126">
        <f t="shared" si="128"/>
        <v>425.49099999999976</v>
      </c>
      <c r="T492" s="126">
        <f t="shared" si="138"/>
        <v>148.42000000000002</v>
      </c>
      <c r="U492" s="127">
        <f>((((((IF(K492="New",0,SUMIF('MPG Payment '!$E$3:$E$344841,'Shayak Income '!D492,'MPG Payment '!$AC$3:$AC$344841))))+0)+0)+0)+0)+0</f>
        <v>1087.7453092833359</v>
      </c>
      <c r="V492" s="127">
        <f t="shared" si="139"/>
        <v>1521</v>
      </c>
      <c r="W492" s="19">
        <v>1521</v>
      </c>
      <c r="X492" s="19">
        <v>0</v>
      </c>
      <c r="Y492" s="128">
        <f>IFERROR(VLOOKUP(D492,'Monthly Deduction'!$M$2:$N$640,2,0),0)</f>
        <v>0</v>
      </c>
      <c r="Z492" s="128">
        <v>0</v>
      </c>
      <c r="AA492" s="126">
        <f>IFERROR(VLOOKUP(D492,'Monthly Deduction'!A:B,2,0),0)</f>
        <v>0</v>
      </c>
      <c r="AB492" s="129">
        <f t="shared" si="130"/>
        <v>0</v>
      </c>
      <c r="AC492" s="130">
        <v>0</v>
      </c>
      <c r="AD492" s="35">
        <f t="shared" si="141"/>
        <v>0</v>
      </c>
      <c r="AE492" s="166" t="str">
        <f t="shared" si="142"/>
        <v>Release</v>
      </c>
      <c r="AF492" s="127"/>
      <c r="AG492" s="18">
        <v>0</v>
      </c>
      <c r="AH492" s="120"/>
      <c r="AI492" s="238">
        <v>0</v>
      </c>
      <c r="AJ492" s="132"/>
      <c r="AK492" s="151">
        <v>367.70000000000005</v>
      </c>
      <c r="AL492" s="154">
        <f t="shared" si="131"/>
        <v>0</v>
      </c>
      <c r="AM492" s="155"/>
      <c r="AN492" s="19">
        <f t="shared" si="132"/>
        <v>1861</v>
      </c>
      <c r="AO492" s="118">
        <f>SUMIF('MPG Payment '!E:E,'Shayak Income '!D492,'MPG Payment '!AJ:AJ)</f>
        <v>0</v>
      </c>
      <c r="AP492" s="19">
        <f t="shared" si="133"/>
        <v>1521</v>
      </c>
      <c r="AQ492" s="119">
        <f t="shared" si="143"/>
        <v>1521</v>
      </c>
      <c r="AR492" s="91" t="s">
        <v>1144</v>
      </c>
      <c r="AS492" s="91">
        <f t="shared" si="134"/>
        <v>6793.08712399872</v>
      </c>
      <c r="AT492" s="118"/>
      <c r="AU492" s="118"/>
      <c r="AV492" s="118"/>
    </row>
    <row r="493" spans="1:48" s="20" customFormat="1" x14ac:dyDescent="0.25">
      <c r="A493" s="17">
        <f>IFERROR(VLOOKUP(D493,'Monthly Deduction'!$I$3:$J$957,2,0),0)</f>
        <v>14397.040572177153</v>
      </c>
      <c r="B493" s="17">
        <f>IFERROR(VLOOKUP(D493,'Monthly Deduction'!$E$3:$F$957,2,0),0)</f>
        <v>15638.113473057279</v>
      </c>
      <c r="C493" s="17">
        <f t="shared" si="135"/>
        <v>30035.154045234434</v>
      </c>
      <c r="D493" s="41">
        <v>10480008</v>
      </c>
      <c r="E493" s="122" t="str">
        <f>VLOOKUP(D493,'MPG Payment '!$E$3:$G$497305,2,0)</f>
        <v>Gomukh Sarswati Nagar Nakdahri</v>
      </c>
      <c r="F493" s="146">
        <f>IFERROR(_xlfn.XLOOKUP(D493,'Monthly Deduction'!$I$3:$I$957,'Monthly Deduction'!$H$3:$H$957),0)</f>
        <v>0</v>
      </c>
      <c r="G493" s="123" t="str">
        <f>VLOOKUP(D493,'MPG Payment '!$E$3:$G$333666,3,0)</f>
        <v>MPG</v>
      </c>
      <c r="H493" s="124" t="str">
        <f>VLOOKUP(D493,'MPG Payment '!$E$3:$H$333666,4,0)</f>
        <v>Direct</v>
      </c>
      <c r="I493" s="88">
        <f>INDEX('MPG Payment '!$C:$C,MATCH('Shayak Income '!D493,'MPG Payment '!E:E,0))</f>
        <v>1036</v>
      </c>
      <c r="J493" s="88" t="str">
        <f>INDEX('MPG Payment '!$D:$D,MATCH('Shayak Income '!D493,'MPG Payment '!E:E,0))</f>
        <v>MAHADAT PUR 2</v>
      </c>
      <c r="K493" s="125" t="s">
        <v>1594</v>
      </c>
      <c r="L493" s="125">
        <v>44975</v>
      </c>
      <c r="M493" s="126">
        <f>SUMIF('MPG Payment '!$E$3:$E$344841,'Shayak Income '!D493,'MPG Payment '!$I$3:$I$344841)</f>
        <v>1974.1000000000001</v>
      </c>
      <c r="N493" s="126">
        <f>SUMIF('MPG Payment '!$E$3:$E$344841,'Shayak Income '!D493,'MPG Payment '!$J$3:$J$344841)</f>
        <v>80302.559999999998</v>
      </c>
      <c r="O493" s="126">
        <f t="shared" si="136"/>
        <v>1480.575</v>
      </c>
      <c r="P493" s="126">
        <f t="shared" si="137"/>
        <v>1875.395</v>
      </c>
      <c r="Q493" s="126">
        <f>SUMIF('MPG Payment '!$E$3:$E$344841,'Shayak Income '!D493,'MPG Payment '!$S$3:$S$344841)</f>
        <v>498.31000000000006</v>
      </c>
      <c r="R493" s="126">
        <f t="shared" si="127"/>
        <v>2409.0767999999998</v>
      </c>
      <c r="S493" s="126">
        <f t="shared" si="128"/>
        <v>533.68179999999984</v>
      </c>
      <c r="T493" s="126">
        <f t="shared" si="138"/>
        <v>197.41000000000003</v>
      </c>
      <c r="U493" s="127">
        <f>((((((IF(K493="New",0,SUMIF('MPG Payment '!$E$3:$E$344841,'Shayak Income '!D493,'MPG Payment '!$AC$3:$AC$344841))))+0)+0)+0)+0)+0</f>
        <v>672.99249552818651</v>
      </c>
      <c r="V493" s="127">
        <f t="shared" si="139"/>
        <v>2984</v>
      </c>
      <c r="W493" s="19">
        <f t="shared" si="140"/>
        <v>1861</v>
      </c>
      <c r="X493" s="19">
        <v>0</v>
      </c>
      <c r="Y493" s="128">
        <f>IFERROR(VLOOKUP(D493,'Monthly Deduction'!$M$2:$N$640,2,0),0)</f>
        <v>0</v>
      </c>
      <c r="Z493" s="128">
        <v>0</v>
      </c>
      <c r="AA493" s="126">
        <f>IFERROR(VLOOKUP(D493,'Monthly Deduction'!A:B,2,0),0)</f>
        <v>0</v>
      </c>
      <c r="AB493" s="129">
        <f t="shared" si="130"/>
        <v>1123</v>
      </c>
      <c r="AC493" s="130">
        <v>0</v>
      </c>
      <c r="AD493" s="35">
        <f t="shared" si="141"/>
        <v>1123</v>
      </c>
      <c r="AE493" s="166" t="str">
        <f t="shared" si="142"/>
        <v>Release</v>
      </c>
      <c r="AF493" s="127"/>
      <c r="AG493" s="18">
        <v>0</v>
      </c>
      <c r="AH493" s="120"/>
      <c r="AI493" s="238">
        <v>0</v>
      </c>
      <c r="AJ493" s="132"/>
      <c r="AK493" s="151">
        <v>368.70000000000005</v>
      </c>
      <c r="AL493" s="154">
        <f t="shared" si="131"/>
        <v>0</v>
      </c>
      <c r="AM493" s="155"/>
      <c r="AN493" s="19">
        <f t="shared" si="132"/>
        <v>1861</v>
      </c>
      <c r="AO493" s="118">
        <f>SUMIF('MPG Payment '!E:E,'Shayak Income '!D493,'MPG Payment '!AJ:AJ)</f>
        <v>0</v>
      </c>
      <c r="AP493" s="19">
        <f t="shared" si="133"/>
        <v>1861</v>
      </c>
      <c r="AQ493" s="119">
        <f t="shared" si="143"/>
        <v>1861</v>
      </c>
      <c r="AR493" s="91" t="s">
        <v>1144</v>
      </c>
      <c r="AS493" s="91">
        <f t="shared" si="134"/>
        <v>15638.113473057279</v>
      </c>
      <c r="AT493" s="118"/>
      <c r="AU493" s="118"/>
      <c r="AV493" s="118"/>
    </row>
    <row r="494" spans="1:48" s="20" customFormat="1" x14ac:dyDescent="0.25">
      <c r="A494" s="17">
        <f>IFERROR(VLOOKUP(D494,'Monthly Deduction'!$I$3:$J$957,2,0),0)</f>
        <v>66174.927373104525</v>
      </c>
      <c r="B494" s="17">
        <f>IFERROR(VLOOKUP(D494,'Monthly Deduction'!$E$3:$F$957,2,0),0)</f>
        <v>1945.8801999999998</v>
      </c>
      <c r="C494" s="17">
        <f t="shared" si="135"/>
        <v>68120.807573104525</v>
      </c>
      <c r="D494" s="41">
        <v>10480022</v>
      </c>
      <c r="E494" s="122" t="str">
        <f>VLOOKUP(D494,'MPG Payment '!$E$3:$G$497305,2,0)</f>
        <v>Dhobina Basa</v>
      </c>
      <c r="F494" s="146">
        <f>IFERROR(_xlfn.XLOOKUP(D494,'Monthly Deduction'!$I$3:$I$957,'Monthly Deduction'!$H$3:$H$957),0)</f>
        <v>0</v>
      </c>
      <c r="G494" s="123" t="str">
        <f>VLOOKUP(D494,'MPG Payment '!$E$3:$G$333666,3,0)</f>
        <v>MPG</v>
      </c>
      <c r="H494" s="124" t="str">
        <f>VLOOKUP(D494,'MPG Payment '!$E$3:$H$333666,4,0)</f>
        <v>Direct</v>
      </c>
      <c r="I494" s="88">
        <f>INDEX('MPG Payment '!$C:$C,MATCH('Shayak Income '!D494,'MPG Payment '!E:E,0))</f>
        <v>1036</v>
      </c>
      <c r="J494" s="88" t="str">
        <f>INDEX('MPG Payment '!$D:$D,MATCH('Shayak Income '!D494,'MPG Payment '!E:E,0))</f>
        <v>MAHADAT PUR 2</v>
      </c>
      <c r="K494" s="125" t="s">
        <v>1594</v>
      </c>
      <c r="L494" s="125">
        <v>45642</v>
      </c>
      <c r="M494" s="126">
        <f>SUMIF('MPG Payment '!$E$3:$E$344841,'Shayak Income '!D494,'MPG Payment '!$I$3:$I$344841)</f>
        <v>1851.3</v>
      </c>
      <c r="N494" s="126">
        <f>SUMIF('MPG Payment '!$E$3:$E$344841,'Shayak Income '!D494,'MPG Payment '!$J$3:$J$344841)</f>
        <v>71927.42</v>
      </c>
      <c r="O494" s="126">
        <f t="shared" si="136"/>
        <v>1388.4749999999999</v>
      </c>
      <c r="P494" s="126">
        <f t="shared" si="137"/>
        <v>1758.7349999999999</v>
      </c>
      <c r="Q494" s="126">
        <f>SUMIF('MPG Payment '!$E$3:$E$344841,'Shayak Income '!D494,'MPG Payment '!$S$3:$S$344841)</f>
        <v>201.01999999999998</v>
      </c>
      <c r="R494" s="126">
        <f t="shared" si="127"/>
        <v>2157.8226</v>
      </c>
      <c r="S494" s="126">
        <f t="shared" si="128"/>
        <v>399.08760000000007</v>
      </c>
      <c r="T494" s="126">
        <f t="shared" si="138"/>
        <v>185.13</v>
      </c>
      <c r="U494" s="127">
        <f>((((((IF(K494="New",0,SUMIF('MPG Payment '!$E$3:$E$344841,'Shayak Income '!D494,'MPG Payment '!$AC$3:$AC$344841))))+0)+0)+0)+0)+0</f>
        <v>736.74701490776135</v>
      </c>
      <c r="V494" s="127">
        <f t="shared" si="139"/>
        <v>2426</v>
      </c>
      <c r="W494" s="19">
        <f t="shared" si="140"/>
        <v>1861</v>
      </c>
      <c r="X494" s="19">
        <v>0</v>
      </c>
      <c r="Y494" s="128">
        <f>IFERROR(VLOOKUP(D494,'Monthly Deduction'!$M$2:$N$640,2,0),0)</f>
        <v>0</v>
      </c>
      <c r="Z494" s="128">
        <v>0</v>
      </c>
      <c r="AA494" s="126">
        <f>IFERROR(VLOOKUP(D494,'Monthly Deduction'!A:B,2,0),0)</f>
        <v>0</v>
      </c>
      <c r="AB494" s="129">
        <f t="shared" si="130"/>
        <v>565</v>
      </c>
      <c r="AC494" s="130">
        <v>0</v>
      </c>
      <c r="AD494" s="35">
        <f t="shared" si="141"/>
        <v>565</v>
      </c>
      <c r="AE494" s="166" t="str">
        <f t="shared" si="142"/>
        <v>Release</v>
      </c>
      <c r="AF494" s="127"/>
      <c r="AG494" s="18">
        <v>0</v>
      </c>
      <c r="AH494" s="120"/>
      <c r="AI494" s="238">
        <v>0</v>
      </c>
      <c r="AJ494" s="132"/>
      <c r="AK494" s="151">
        <v>364.90000000000003</v>
      </c>
      <c r="AL494" s="154">
        <f t="shared" si="131"/>
        <v>0</v>
      </c>
      <c r="AM494" s="155"/>
      <c r="AN494" s="19">
        <f t="shared" si="132"/>
        <v>1861</v>
      </c>
      <c r="AO494" s="118">
        <f>SUMIF('MPG Payment '!E:E,'Shayak Income '!D494,'MPG Payment '!AJ:AJ)</f>
        <v>0</v>
      </c>
      <c r="AP494" s="19">
        <f t="shared" si="133"/>
        <v>1861</v>
      </c>
      <c r="AQ494" s="119">
        <f t="shared" si="143"/>
        <v>1861</v>
      </c>
      <c r="AR494" s="91" t="s">
        <v>1144</v>
      </c>
      <c r="AS494" s="91">
        <f t="shared" si="134"/>
        <v>1945.8801999999998</v>
      </c>
      <c r="AT494" s="118"/>
      <c r="AU494" s="118"/>
      <c r="AV494" s="118"/>
    </row>
    <row r="495" spans="1:48" s="20" customFormat="1" x14ac:dyDescent="0.25">
      <c r="A495" s="17">
        <f>IFERROR(VLOOKUP(D495,'Monthly Deduction'!$I$3:$J$957,2,0),0)</f>
        <v>39900.702459485314</v>
      </c>
      <c r="B495" s="17">
        <f>IFERROR(VLOOKUP(D495,'Monthly Deduction'!$E$3:$F$957,2,0),0)</f>
        <v>0</v>
      </c>
      <c r="C495" s="17">
        <f t="shared" si="135"/>
        <v>39900.702459485314</v>
      </c>
      <c r="D495" s="41">
        <v>10480023</v>
      </c>
      <c r="E495" s="122" t="str">
        <f>VLOOKUP(D495,'MPG Payment '!$E$3:$G$497305,2,0)</f>
        <v>Gomukh Shreepur Madhay</v>
      </c>
      <c r="F495" s="146">
        <f>IFERROR(_xlfn.XLOOKUP(D495,'Monthly Deduction'!$I$3:$I$957,'Monthly Deduction'!$H$3:$H$957),0)</f>
        <v>0</v>
      </c>
      <c r="G495" s="123" t="str">
        <f>VLOOKUP(D495,'MPG Payment '!$E$3:$G$333666,3,0)</f>
        <v>MPG</v>
      </c>
      <c r="H495" s="124" t="str">
        <f>VLOOKUP(D495,'MPG Payment '!$E$3:$H$333666,4,0)</f>
        <v>Direct</v>
      </c>
      <c r="I495" s="88">
        <f>INDEX('MPG Payment '!$C:$C,MATCH('Shayak Income '!D495,'MPG Payment '!E:E,0))</f>
        <v>1036</v>
      </c>
      <c r="J495" s="88" t="str">
        <f>INDEX('MPG Payment '!$D:$D,MATCH('Shayak Income '!D495,'MPG Payment '!E:E,0))</f>
        <v>MAHADAT PUR 2</v>
      </c>
      <c r="K495" s="125" t="s">
        <v>1594</v>
      </c>
      <c r="L495" s="125">
        <v>45664</v>
      </c>
      <c r="M495" s="126">
        <f>SUMIF('MPG Payment '!$E$3:$E$344841,'Shayak Income '!D495,'MPG Payment '!$I$3:$I$344841)</f>
        <v>6707.6</v>
      </c>
      <c r="N495" s="126">
        <f>SUMIF('MPG Payment '!$E$3:$E$344841,'Shayak Income '!D495,'MPG Payment '!$J$3:$J$344841)</f>
        <v>270868.32</v>
      </c>
      <c r="O495" s="126">
        <f t="shared" si="136"/>
        <v>5030.7000000000007</v>
      </c>
      <c r="P495" s="126">
        <f t="shared" si="137"/>
        <v>6372.22</v>
      </c>
      <c r="Q495" s="126">
        <f>SUMIF('MPG Payment '!$E$3:$E$344841,'Shayak Income '!D495,'MPG Payment '!$S$3:$S$344841)</f>
        <v>11715.439999999999</v>
      </c>
      <c r="R495" s="126">
        <f t="shared" si="127"/>
        <v>8126.0496000000003</v>
      </c>
      <c r="S495" s="126">
        <f t="shared" si="128"/>
        <v>1753.8296</v>
      </c>
      <c r="T495" s="126">
        <f t="shared" si="138"/>
        <v>670.7600000000001</v>
      </c>
      <c r="U495" s="127">
        <f>((((((IF(K495="New",0,SUMIF('MPG Payment '!$E$3:$E$344841,'Shayak Income '!D495,'MPG Payment '!$AC$3:$AC$344841))))+0)+0)+0)+0)+0</f>
        <v>0</v>
      </c>
      <c r="V495" s="127">
        <f t="shared" si="139"/>
        <v>22448</v>
      </c>
      <c r="W495" s="19">
        <f t="shared" si="140"/>
        <v>5417.3663999999999</v>
      </c>
      <c r="X495" s="19">
        <v>0</v>
      </c>
      <c r="Y495" s="128">
        <f>IFERROR(VLOOKUP(D495,'Monthly Deduction'!$M$2:$N$640,2,0),0)</f>
        <v>0</v>
      </c>
      <c r="Z495" s="128">
        <v>0</v>
      </c>
      <c r="AA495" s="126">
        <f>IFERROR(VLOOKUP(D495,'Monthly Deduction'!A:B,2,0),0)</f>
        <v>0</v>
      </c>
      <c r="AB495" s="129">
        <f t="shared" si="130"/>
        <v>17031</v>
      </c>
      <c r="AC495" s="130">
        <v>0</v>
      </c>
      <c r="AD495" s="35">
        <f t="shared" si="141"/>
        <v>17031</v>
      </c>
      <c r="AE495" s="166" t="str">
        <f t="shared" si="142"/>
        <v>Release</v>
      </c>
      <c r="AF495" s="127"/>
      <c r="AG495" s="127">
        <v>0</v>
      </c>
      <c r="AH495" s="132"/>
      <c r="AI495" s="238">
        <v>0</v>
      </c>
      <c r="AJ495" s="132"/>
      <c r="AK495" s="151">
        <v>1589.9999999999995</v>
      </c>
      <c r="AL495" s="154">
        <f t="shared" si="131"/>
        <v>0</v>
      </c>
      <c r="AM495" s="155"/>
      <c r="AN495" s="19">
        <f t="shared" si="132"/>
        <v>5417.3663999999999</v>
      </c>
      <c r="AO495" s="118">
        <f>SUMIF('MPG Payment '!E:E,'Shayak Income '!D495,'MPG Payment '!AJ:AJ)</f>
        <v>0</v>
      </c>
      <c r="AP495" s="19">
        <f t="shared" si="133"/>
        <v>5417.3663999999999</v>
      </c>
      <c r="AQ495" s="119">
        <f t="shared" si="143"/>
        <v>5417.3663999999999</v>
      </c>
      <c r="AR495" s="91" t="s">
        <v>1144</v>
      </c>
      <c r="AS495" s="91">
        <f t="shared" si="134"/>
        <v>0</v>
      </c>
      <c r="AT495" s="118"/>
      <c r="AU495" s="118"/>
      <c r="AV495" s="118"/>
    </row>
    <row r="496" spans="1:48" s="20" customFormat="1" x14ac:dyDescent="0.25">
      <c r="A496" s="17">
        <f>IFERROR(VLOOKUP(D496,'Monthly Deduction'!$I$3:$J$957,2,0),0)</f>
        <v>0</v>
      </c>
      <c r="B496" s="17">
        <f>IFERROR(VLOOKUP(D496,'Monthly Deduction'!$E$3:$F$957,2,0),0)</f>
        <v>9600</v>
      </c>
      <c r="C496" s="17">
        <f t="shared" si="135"/>
        <v>9600</v>
      </c>
      <c r="D496" s="41">
        <v>10480028</v>
      </c>
      <c r="E496" s="122" t="str">
        <f>VLOOKUP(D496,'MPG Payment '!$E$3:$G$497305,2,0)</f>
        <v>Gomukh Dhoriya Dadpur -VLC</v>
      </c>
      <c r="F496" s="146">
        <f>IFERROR(_xlfn.XLOOKUP(D496,'Monthly Deduction'!$I$3:$I$957,'Monthly Deduction'!$H$3:$H$957),0)</f>
        <v>0</v>
      </c>
      <c r="G496" s="123" t="str">
        <f>VLOOKUP(D496,'MPG Payment '!$E$3:$G$333666,3,0)</f>
        <v>vlc</v>
      </c>
      <c r="H496" s="124" t="str">
        <f>VLOOKUP(D496,'MPG Payment '!$E$3:$H$333666,4,0)</f>
        <v>Indirect</v>
      </c>
      <c r="I496" s="88">
        <f>INDEX('MPG Payment '!$C:$C,MATCH('Shayak Income '!D496,'MPG Payment '!E:E,0))</f>
        <v>1036</v>
      </c>
      <c r="J496" s="88" t="str">
        <f>INDEX('MPG Payment '!$D:$D,MATCH('Shayak Income '!D496,'MPG Payment '!E:E,0))</f>
        <v>MAHADAT PUR 2</v>
      </c>
      <c r="K496" s="125" t="s">
        <v>1594</v>
      </c>
      <c r="L496" s="125">
        <v>45711</v>
      </c>
      <c r="M496" s="126">
        <f>SUMIF('MPG Payment '!$E$3:$E$344841,'Shayak Income '!D496,'MPG Payment '!$I$3:$I$344841)</f>
        <v>2064.9</v>
      </c>
      <c r="N496" s="126">
        <f>SUMIF('MPG Payment '!$E$3:$E$344841,'Shayak Income '!D496,'MPG Payment '!$J$3:$J$344841)</f>
        <v>77480.439999999988</v>
      </c>
      <c r="O496" s="126">
        <f t="shared" si="136"/>
        <v>1548.6750000000002</v>
      </c>
      <c r="P496" s="126">
        <f t="shared" si="137"/>
        <v>1961.655</v>
      </c>
      <c r="Q496" s="126">
        <f>SUMIF('MPG Payment '!$E$3:$E$344841,'Shayak Income '!D496,'MPG Payment '!$S$3:$S$344841)</f>
        <v>0</v>
      </c>
      <c r="R496" s="126">
        <f t="shared" si="127"/>
        <v>2324.4131999999995</v>
      </c>
      <c r="S496" s="126">
        <f t="shared" si="128"/>
        <v>362.75819999999953</v>
      </c>
      <c r="T496" s="126">
        <f t="shared" si="138"/>
        <v>206.49</v>
      </c>
      <c r="U496" s="127">
        <f>((((((IF(K496="New",0,SUMIF('MPG Payment '!$E$3:$E$344841,'Shayak Income '!D496,'MPG Payment '!$AC$3:$AC$344841))))+0)+0)+0)+0)+0</f>
        <v>699.95925991144532</v>
      </c>
      <c r="V496" s="127">
        <f t="shared" si="139"/>
        <v>2604</v>
      </c>
      <c r="W496" s="19">
        <f t="shared" si="140"/>
        <v>0</v>
      </c>
      <c r="X496" s="19">
        <f t="shared" si="129"/>
        <v>1549.6087999999997</v>
      </c>
      <c r="Y496" s="128">
        <f>IFERROR(VLOOKUP(D496,'Monthly Deduction'!$M$2:$N$640,2,0),0)</f>
        <v>0</v>
      </c>
      <c r="Z496" s="128">
        <v>0</v>
      </c>
      <c r="AA496" s="126">
        <f>IFERROR(VLOOKUP(D496,'Monthly Deduction'!A:B,2,0),0)</f>
        <v>0</v>
      </c>
      <c r="AB496" s="129">
        <f t="shared" si="130"/>
        <v>1054</v>
      </c>
      <c r="AC496" s="130">
        <v>0</v>
      </c>
      <c r="AD496" s="35">
        <f t="shared" si="141"/>
        <v>1054</v>
      </c>
      <c r="AE496" s="166" t="str">
        <f t="shared" si="142"/>
        <v>Release</v>
      </c>
      <c r="AF496" s="127"/>
      <c r="AG496" s="18">
        <v>0</v>
      </c>
      <c r="AH496" s="132"/>
      <c r="AI496" s="238">
        <v>0</v>
      </c>
      <c r="AJ496" s="132"/>
      <c r="AK496" s="151">
        <v>517.1</v>
      </c>
      <c r="AL496" s="154">
        <f t="shared" si="131"/>
        <v>0</v>
      </c>
      <c r="AM496" s="155"/>
      <c r="AN496" s="19">
        <f t="shared" si="132"/>
        <v>0</v>
      </c>
      <c r="AO496" s="118">
        <f>SUMIF('MPG Payment '!E:E,'Shayak Income '!D496,'MPG Payment '!AJ:AJ)</f>
        <v>0</v>
      </c>
      <c r="AP496" s="19">
        <f t="shared" si="133"/>
        <v>0</v>
      </c>
      <c r="AQ496" s="119">
        <f t="shared" si="143"/>
        <v>0</v>
      </c>
      <c r="AR496" s="91" t="s">
        <v>1144</v>
      </c>
      <c r="AS496" s="91">
        <f t="shared" si="134"/>
        <v>8050.3912</v>
      </c>
      <c r="AT496" s="118"/>
      <c r="AU496" s="118"/>
      <c r="AV496" s="118"/>
    </row>
    <row r="497" spans="1:48" s="20" customFormat="1" x14ac:dyDescent="0.25">
      <c r="A497" s="17">
        <f>IFERROR(VLOOKUP(D497,'Monthly Deduction'!$I$3:$J$957,2,0),0)</f>
        <v>0</v>
      </c>
      <c r="B497" s="17">
        <f>IFERROR(VLOOKUP(D497,'Monthly Deduction'!$E$3:$F$957,2,0),0)</f>
        <v>0</v>
      </c>
      <c r="C497" s="17">
        <f t="shared" si="135"/>
        <v>0</v>
      </c>
      <c r="D497" s="41">
        <v>10480034</v>
      </c>
      <c r="E497" s="122" t="str">
        <f>VLOOKUP(D497,'MPG Payment '!$E$3:$G$497305,2,0)</f>
        <v>Gomukh Abhirampur VLC</v>
      </c>
      <c r="F497" s="146">
        <f>IFERROR(_xlfn.XLOOKUP(D497,'Monthly Deduction'!$I$3:$I$957,'Monthly Deduction'!$H$3:$H$957),0)</f>
        <v>0</v>
      </c>
      <c r="G497" s="123" t="str">
        <f>VLOOKUP(D497,'MPG Payment '!$E$3:$G$333666,3,0)</f>
        <v>vlc</v>
      </c>
      <c r="H497" s="124" t="str">
        <f>VLOOKUP(D497,'MPG Payment '!$E$3:$H$333666,4,0)</f>
        <v>Indirect</v>
      </c>
      <c r="I497" s="88">
        <f>INDEX('MPG Payment '!$C:$C,MATCH('Shayak Income '!D497,'MPG Payment '!E:E,0))</f>
        <v>1036</v>
      </c>
      <c r="J497" s="88" t="str">
        <f>INDEX('MPG Payment '!$D:$D,MATCH('Shayak Income '!D497,'MPG Payment '!E:E,0))</f>
        <v>MAHADAT PUR 2</v>
      </c>
      <c r="K497" s="125" t="s">
        <v>1594</v>
      </c>
      <c r="L497" s="125">
        <v>45865</v>
      </c>
      <c r="M497" s="126">
        <f>SUMIF('MPG Payment '!$E$3:$E$344841,'Shayak Income '!D497,'MPG Payment '!$I$3:$I$344841)</f>
        <v>1186.3</v>
      </c>
      <c r="N497" s="126">
        <f>SUMIF('MPG Payment '!$E$3:$E$344841,'Shayak Income '!D497,'MPG Payment '!$J$3:$J$344841)</f>
        <v>49168.43</v>
      </c>
      <c r="O497" s="126">
        <f t="shared" si="136"/>
        <v>889.72499999999991</v>
      </c>
      <c r="P497" s="126">
        <f t="shared" si="137"/>
        <v>1126.9849999999999</v>
      </c>
      <c r="Q497" s="126">
        <f>SUMIF('MPG Payment '!$E$3:$E$344841,'Shayak Income '!D497,'MPG Payment '!$S$3:$S$344841)</f>
        <v>0</v>
      </c>
      <c r="R497" s="126">
        <f t="shared" si="127"/>
        <v>1475.0528999999999</v>
      </c>
      <c r="S497" s="126">
        <f t="shared" si="128"/>
        <v>348.06790000000001</v>
      </c>
      <c r="T497" s="126">
        <f t="shared" si="138"/>
        <v>118.63</v>
      </c>
      <c r="U497" s="127">
        <f>((((((IF(K497="New",0,SUMIF('MPG Payment '!$E$3:$E$344841,'Shayak Income '!D497,'MPG Payment '!$AC$3:$AC$344841))))+0)+0)+0)+0)+0</f>
        <v>1338.2826983322993</v>
      </c>
      <c r="V497" s="127">
        <f t="shared" si="139"/>
        <v>560</v>
      </c>
      <c r="W497" s="19">
        <f t="shared" si="140"/>
        <v>0</v>
      </c>
      <c r="X497" s="19">
        <f t="shared" si="129"/>
        <v>0</v>
      </c>
      <c r="Y497" s="128">
        <f>IFERROR(VLOOKUP(D497,'Monthly Deduction'!$M$2:$N$640,2,0),0)</f>
        <v>0</v>
      </c>
      <c r="Z497" s="128">
        <v>0</v>
      </c>
      <c r="AA497" s="126">
        <f>IFERROR(VLOOKUP(D497,'Monthly Deduction'!A:B,2,0),0)</f>
        <v>0</v>
      </c>
      <c r="AB497" s="129">
        <f t="shared" si="130"/>
        <v>560</v>
      </c>
      <c r="AC497" s="130">
        <v>0</v>
      </c>
      <c r="AD497" s="35">
        <f t="shared" si="141"/>
        <v>560</v>
      </c>
      <c r="AE497" s="166" t="str">
        <f t="shared" si="142"/>
        <v>Release</v>
      </c>
      <c r="AF497" s="127"/>
      <c r="AG497" s="18">
        <v>0</v>
      </c>
      <c r="AH497" s="120"/>
      <c r="AI497" s="238">
        <v>0</v>
      </c>
      <c r="AJ497" s="132"/>
      <c r="AK497" s="151">
        <v>268</v>
      </c>
      <c r="AL497" s="154">
        <f t="shared" si="131"/>
        <v>0</v>
      </c>
      <c r="AM497" s="155"/>
      <c r="AN497" s="19">
        <f t="shared" si="132"/>
        <v>0</v>
      </c>
      <c r="AO497" s="118">
        <f>SUMIF('MPG Payment '!E:E,'Shayak Income '!D497,'MPG Payment '!AJ:AJ)</f>
        <v>0</v>
      </c>
      <c r="AP497" s="19">
        <f t="shared" si="133"/>
        <v>0</v>
      </c>
      <c r="AQ497" s="119">
        <f t="shared" si="143"/>
        <v>0</v>
      </c>
      <c r="AR497" s="91" t="s">
        <v>1144</v>
      </c>
      <c r="AS497" s="91">
        <f t="shared" si="134"/>
        <v>0</v>
      </c>
      <c r="AT497" s="118"/>
      <c r="AU497" s="118"/>
      <c r="AV497" s="118"/>
    </row>
    <row r="498" spans="1:48" s="20" customFormat="1" x14ac:dyDescent="0.25">
      <c r="A498" s="17">
        <f>IFERROR(VLOOKUP(D498,'Monthly Deduction'!$I$3:$J$957,2,0),0)</f>
        <v>0</v>
      </c>
      <c r="B498" s="17">
        <f>IFERROR(VLOOKUP(D498,'Monthly Deduction'!$E$3:$F$957,2,0),0)</f>
        <v>0</v>
      </c>
      <c r="C498" s="17">
        <f t="shared" si="135"/>
        <v>0</v>
      </c>
      <c r="D498" s="41">
        <v>10500001</v>
      </c>
      <c r="E498" s="122" t="str">
        <f>VLOOKUP(D498,'MPG Payment '!$E$3:$G$497305,2,0)</f>
        <v>KUNTHA M</v>
      </c>
      <c r="F498" s="146">
        <f>IFERROR(_xlfn.XLOOKUP(D498,'Monthly Deduction'!$I$3:$I$957,'Monthly Deduction'!$H$3:$H$957),0)</f>
        <v>0</v>
      </c>
      <c r="G498" s="123" t="str">
        <f>VLOOKUP(D498,'MPG Payment '!$E$3:$G$333666,3,0)</f>
        <v>RMC</v>
      </c>
      <c r="H498" s="124" t="str">
        <f>VLOOKUP(D498,'MPG Payment '!$E$3:$H$333666,4,0)</f>
        <v>Direct</v>
      </c>
      <c r="I498" s="88">
        <f>INDEX('MPG Payment '!$C:$C,MATCH('Shayak Income '!D498,'MPG Payment '!E:E,0))</f>
        <v>1003</v>
      </c>
      <c r="J498" s="88" t="str">
        <f>INDEX('MPG Payment '!$D:$D,MATCH('Shayak Income '!D498,'MPG Payment '!E:E,0))</f>
        <v>Asarganj</v>
      </c>
      <c r="K498" s="125" t="s">
        <v>1594</v>
      </c>
      <c r="L498" s="125">
        <v>42979</v>
      </c>
      <c r="M498" s="126">
        <f>SUMIF('MPG Payment '!$E$3:$E$344841,'Shayak Income '!D498,'MPG Payment '!$I$3:$I$344841)</f>
        <v>3576.25</v>
      </c>
      <c r="N498" s="126">
        <f>SUMIF('MPG Payment '!$E$3:$E$344841,'Shayak Income '!D498,'MPG Payment '!$J$3:$J$344841)</f>
        <v>136852.38</v>
      </c>
      <c r="O498" s="126">
        <f t="shared" si="136"/>
        <v>2682.1875</v>
      </c>
      <c r="P498" s="126">
        <f t="shared" si="137"/>
        <v>3397.4375</v>
      </c>
      <c r="Q498" s="126">
        <f>SUMIF('MPG Payment '!$E$3:$E$344841,'Shayak Income '!D498,'MPG Payment '!$S$3:$S$344841)</f>
        <v>1828.2999999999997</v>
      </c>
      <c r="R498" s="126">
        <f t="shared" si="127"/>
        <v>4105.5713999999998</v>
      </c>
      <c r="S498" s="126">
        <f t="shared" si="128"/>
        <v>708.13389999999981</v>
      </c>
      <c r="T498" s="126">
        <f t="shared" si="138"/>
        <v>357.625</v>
      </c>
      <c r="U498" s="127">
        <f>((((((IF(K498="New",0,SUMIF('MPG Payment '!$E$3:$E$344841,'Shayak Income '!D498,'MPG Payment '!$AC$3:$AC$344841))))+0)+0)+0)+0)+0</f>
        <v>0</v>
      </c>
      <c r="V498" s="127">
        <f t="shared" si="139"/>
        <v>7550</v>
      </c>
      <c r="W498" s="19">
        <f t="shared" si="140"/>
        <v>0</v>
      </c>
      <c r="X498" s="19">
        <f t="shared" si="129"/>
        <v>0</v>
      </c>
      <c r="Y498" s="128">
        <f>IFERROR(VLOOKUP(D498,'Monthly Deduction'!$M$2:$N$640,2,0),0)</f>
        <v>2700</v>
      </c>
      <c r="Z498" s="128">
        <v>0</v>
      </c>
      <c r="AA498" s="126">
        <f>IFERROR(VLOOKUP(D498,'Monthly Deduction'!A:B,2,0),0)</f>
        <v>0</v>
      </c>
      <c r="AB498" s="129">
        <f t="shared" si="130"/>
        <v>4850</v>
      </c>
      <c r="AC498" s="130">
        <v>0</v>
      </c>
      <c r="AD498" s="35">
        <f t="shared" si="141"/>
        <v>4850</v>
      </c>
      <c r="AE498" s="166" t="str">
        <f t="shared" si="142"/>
        <v>Release</v>
      </c>
      <c r="AF498" s="127"/>
      <c r="AG498" s="18">
        <v>0</v>
      </c>
      <c r="AH498" s="132"/>
      <c r="AI498" s="238">
        <v>0</v>
      </c>
      <c r="AJ498" s="132"/>
      <c r="AK498" s="151">
        <v>900.1</v>
      </c>
      <c r="AL498" s="154">
        <f t="shared" si="131"/>
        <v>0</v>
      </c>
      <c r="AM498" s="155"/>
      <c r="AN498" s="19">
        <f t="shared" si="132"/>
        <v>0</v>
      </c>
      <c r="AO498" s="118">
        <f>SUMIF('MPG Payment '!E:E,'Shayak Income '!D498,'MPG Payment '!AJ:AJ)</f>
        <v>0</v>
      </c>
      <c r="AP498" s="19">
        <f t="shared" si="133"/>
        <v>0</v>
      </c>
      <c r="AQ498" s="119">
        <f t="shared" si="143"/>
        <v>0</v>
      </c>
      <c r="AR498" s="91" t="s">
        <v>1144</v>
      </c>
      <c r="AS498" s="91">
        <f t="shared" si="134"/>
        <v>0</v>
      </c>
      <c r="AT498" s="118"/>
      <c r="AU498" s="118"/>
      <c r="AV498" s="118"/>
    </row>
    <row r="499" spans="1:48" s="20" customFormat="1" x14ac:dyDescent="0.25">
      <c r="A499" s="17">
        <f>IFERROR(VLOOKUP(D499,'Monthly Deduction'!$I$3:$J$957,2,0),0)</f>
        <v>0</v>
      </c>
      <c r="B499" s="17">
        <f>IFERROR(VLOOKUP(D499,'Monthly Deduction'!$E$3:$F$957,2,0),0)</f>
        <v>0</v>
      </c>
      <c r="C499" s="17">
        <f t="shared" si="135"/>
        <v>0</v>
      </c>
      <c r="D499" s="41">
        <v>10510001</v>
      </c>
      <c r="E499" s="122" t="str">
        <f>VLOOKUP(D499,'MPG Payment '!$E$3:$G$497305,2,0)</f>
        <v>ARAK</v>
      </c>
      <c r="F499" s="146">
        <f>IFERROR(_xlfn.XLOOKUP(D499,'Monthly Deduction'!$I$3:$I$957,'Monthly Deduction'!$H$3:$H$957),0)</f>
        <v>0</v>
      </c>
      <c r="G499" s="123" t="str">
        <f>VLOOKUP(D499,'MPG Payment '!$E$3:$G$333666,3,0)</f>
        <v>MPG</v>
      </c>
      <c r="H499" s="124" t="str">
        <f>VLOOKUP(D499,'MPG Payment '!$E$3:$H$333666,4,0)</f>
        <v>Direct</v>
      </c>
      <c r="I499" s="88">
        <f>INDEX('MPG Payment '!$C:$C,MATCH('Shayak Income '!D499,'MPG Payment '!E:E,0))</f>
        <v>1014</v>
      </c>
      <c r="J499" s="88" t="str">
        <f>INDEX('MPG Payment '!$D:$D,MATCH('Shayak Income '!D499,'MPG Payment '!E:E,0))</f>
        <v>Dumraon</v>
      </c>
      <c r="K499" s="125" t="s">
        <v>1594</v>
      </c>
      <c r="L499" s="125">
        <v>44708</v>
      </c>
      <c r="M499" s="126">
        <f>SUMIF('MPG Payment '!$E$3:$E$344841,'Shayak Income '!D499,'MPG Payment '!$I$3:$I$344841)</f>
        <v>9082.4999999999982</v>
      </c>
      <c r="N499" s="126">
        <f>SUMIF('MPG Payment '!$E$3:$E$344841,'Shayak Income '!D499,'MPG Payment '!$J$3:$J$344841)</f>
        <v>346457.89999999997</v>
      </c>
      <c r="O499" s="126">
        <f t="shared" si="136"/>
        <v>6811.8749999999982</v>
      </c>
      <c r="P499" s="126">
        <f t="shared" si="137"/>
        <v>8628.3749999999982</v>
      </c>
      <c r="Q499" s="126">
        <f>SUMIF('MPG Payment '!$E$3:$E$344841,'Shayak Income '!D499,'MPG Payment '!$S$3:$S$344841)</f>
        <v>2911.29</v>
      </c>
      <c r="R499" s="126">
        <f t="shared" si="127"/>
        <v>10393.736999999999</v>
      </c>
      <c r="S499" s="126">
        <f t="shared" si="128"/>
        <v>1765.362000000001</v>
      </c>
      <c r="T499" s="126">
        <f t="shared" si="138"/>
        <v>908.24999999999989</v>
      </c>
      <c r="U499" s="127">
        <f>((((((IF(K499="New",0,SUMIF('MPG Payment '!$E$3:$E$344841,'Shayak Income '!D499,'MPG Payment '!$AC$3:$AC$344841))))+0)+0)+0)+0)+0</f>
        <v>0</v>
      </c>
      <c r="V499" s="127">
        <f t="shared" si="139"/>
        <v>17443</v>
      </c>
      <c r="W499" s="19">
        <f t="shared" si="140"/>
        <v>0</v>
      </c>
      <c r="X499" s="19">
        <f t="shared" si="129"/>
        <v>0</v>
      </c>
      <c r="Y499" s="128">
        <f>IFERROR(VLOOKUP(D499,'Monthly Deduction'!$M$2:$N$640,2,0),0)</f>
        <v>0</v>
      </c>
      <c r="Z499" s="128">
        <v>0</v>
      </c>
      <c r="AA499" s="126">
        <f>IFERROR(VLOOKUP(D499,'Monthly Deduction'!A:B,2,0),0)</f>
        <v>0</v>
      </c>
      <c r="AB499" s="129">
        <f t="shared" si="130"/>
        <v>17443</v>
      </c>
      <c r="AC499" s="130">
        <v>0</v>
      </c>
      <c r="AD499" s="35">
        <f t="shared" si="141"/>
        <v>17443</v>
      </c>
      <c r="AE499" s="166" t="str">
        <f t="shared" si="142"/>
        <v>Release</v>
      </c>
      <c r="AF499" s="127"/>
      <c r="AG499" s="18">
        <v>0</v>
      </c>
      <c r="AH499" s="132"/>
      <c r="AI499" s="238">
        <v>0</v>
      </c>
      <c r="AJ499" s="132"/>
      <c r="AK499" s="151">
        <v>1896.7</v>
      </c>
      <c r="AL499" s="154">
        <f t="shared" si="131"/>
        <v>0</v>
      </c>
      <c r="AM499" s="155"/>
      <c r="AN499" s="19">
        <f t="shared" si="132"/>
        <v>0</v>
      </c>
      <c r="AO499" s="118">
        <f>SUMIF('MPG Payment '!E:E,'Shayak Income '!D499,'MPG Payment '!AJ:AJ)</f>
        <v>0</v>
      </c>
      <c r="AP499" s="19">
        <f t="shared" si="133"/>
        <v>0</v>
      </c>
      <c r="AQ499" s="119">
        <f t="shared" si="143"/>
        <v>0</v>
      </c>
      <c r="AR499" s="91" t="s">
        <v>1144</v>
      </c>
      <c r="AS499" s="91">
        <f t="shared" si="134"/>
        <v>0</v>
      </c>
      <c r="AT499" s="118"/>
      <c r="AU499" s="118"/>
      <c r="AV499" s="118"/>
    </row>
    <row r="500" spans="1:48" s="20" customFormat="1" x14ac:dyDescent="0.25">
      <c r="A500" s="17">
        <f>IFERROR(VLOOKUP(D500,'Monthly Deduction'!$I$3:$J$957,2,0),0)</f>
        <v>0</v>
      </c>
      <c r="B500" s="17">
        <f>IFERROR(VLOOKUP(D500,'Monthly Deduction'!$E$3:$F$957,2,0),0)</f>
        <v>0</v>
      </c>
      <c r="C500" s="17">
        <f t="shared" si="135"/>
        <v>0</v>
      </c>
      <c r="D500" s="41">
        <v>10510002</v>
      </c>
      <c r="E500" s="122" t="str">
        <f>VLOOKUP(D500,'MPG Payment '!$E$3:$G$497305,2,0)</f>
        <v>Diyaman</v>
      </c>
      <c r="F500" s="146">
        <f>IFERROR(_xlfn.XLOOKUP(D500,'Monthly Deduction'!$I$3:$I$957,'Monthly Deduction'!$H$3:$H$957),0)</f>
        <v>0</v>
      </c>
      <c r="G500" s="123" t="str">
        <f>VLOOKUP(D500,'MPG Payment '!$E$3:$G$333666,3,0)</f>
        <v>MPG</v>
      </c>
      <c r="H500" s="124" t="str">
        <f>VLOOKUP(D500,'MPG Payment '!$E$3:$H$333666,4,0)</f>
        <v>Direct</v>
      </c>
      <c r="I500" s="88">
        <f>INDEX('MPG Payment '!$C:$C,MATCH('Shayak Income '!D500,'MPG Payment '!E:E,0))</f>
        <v>1014</v>
      </c>
      <c r="J500" s="88" t="str">
        <f>INDEX('MPG Payment '!$D:$D,MATCH('Shayak Income '!D500,'MPG Payment '!E:E,0))</f>
        <v>Dumraon</v>
      </c>
      <c r="K500" s="125" t="s">
        <v>1594</v>
      </c>
      <c r="L500" s="125">
        <v>44664</v>
      </c>
      <c r="M500" s="126">
        <f>SUMIF('MPG Payment '!$E$3:$E$344841,'Shayak Income '!D500,'MPG Payment '!$I$3:$I$344841)</f>
        <v>4499.0999999999995</v>
      </c>
      <c r="N500" s="126">
        <f>SUMIF('MPG Payment '!$E$3:$E$344841,'Shayak Income '!D500,'MPG Payment '!$J$3:$J$344841)</f>
        <v>188697.52</v>
      </c>
      <c r="O500" s="126">
        <f t="shared" si="136"/>
        <v>3374.3249999999998</v>
      </c>
      <c r="P500" s="126">
        <f t="shared" si="137"/>
        <v>4274.1449999999995</v>
      </c>
      <c r="Q500" s="126">
        <f>SUMIF('MPG Payment '!$E$3:$E$344841,'Shayak Income '!D500,'MPG Payment '!$S$3:$S$344841)</f>
        <v>1003.97</v>
      </c>
      <c r="R500" s="126">
        <f t="shared" si="127"/>
        <v>5660.9255999999996</v>
      </c>
      <c r="S500" s="126">
        <f t="shared" si="128"/>
        <v>1386.7806</v>
      </c>
      <c r="T500" s="126">
        <f t="shared" si="138"/>
        <v>449.90999999999997</v>
      </c>
      <c r="U500" s="127">
        <f>((((((IF(K500="New",0,SUMIF('MPG Payment '!$E$3:$E$344841,'Shayak Income '!D500,'MPG Payment '!$AC$3:$AC$344841))))+0)+0)+0)+0)+0</f>
        <v>0</v>
      </c>
      <c r="V500" s="127">
        <f t="shared" si="139"/>
        <v>8203</v>
      </c>
      <c r="W500" s="19">
        <f t="shared" si="140"/>
        <v>0</v>
      </c>
      <c r="X500" s="19">
        <f t="shared" si="129"/>
        <v>0</v>
      </c>
      <c r="Y500" s="128">
        <f>IFERROR(VLOOKUP(D500,'Monthly Deduction'!$M$2:$N$640,2,0),0)</f>
        <v>0</v>
      </c>
      <c r="Z500" s="128">
        <v>0</v>
      </c>
      <c r="AA500" s="126">
        <f>IFERROR(VLOOKUP(D500,'Monthly Deduction'!A:B,2,0),0)</f>
        <v>0</v>
      </c>
      <c r="AB500" s="129">
        <f t="shared" si="130"/>
        <v>8203</v>
      </c>
      <c r="AC500" s="130">
        <v>0</v>
      </c>
      <c r="AD500" s="35">
        <f t="shared" si="141"/>
        <v>8203</v>
      </c>
      <c r="AE500" s="166" t="str">
        <f t="shared" si="142"/>
        <v>Release</v>
      </c>
      <c r="AF500" s="127"/>
      <c r="AG500" s="18">
        <v>0</v>
      </c>
      <c r="AH500" s="132"/>
      <c r="AI500" s="238">
        <v>0</v>
      </c>
      <c r="AJ500" s="132"/>
      <c r="AK500" s="151">
        <v>1075.6000000000001</v>
      </c>
      <c r="AL500" s="154">
        <f t="shared" si="131"/>
        <v>0</v>
      </c>
      <c r="AM500" s="155"/>
      <c r="AN500" s="19">
        <f t="shared" si="132"/>
        <v>0</v>
      </c>
      <c r="AO500" s="118">
        <f>SUMIF('MPG Payment '!E:E,'Shayak Income '!D500,'MPG Payment '!AJ:AJ)</f>
        <v>0</v>
      </c>
      <c r="AP500" s="19">
        <f t="shared" si="133"/>
        <v>0</v>
      </c>
      <c r="AQ500" s="119">
        <f t="shared" si="143"/>
        <v>0</v>
      </c>
      <c r="AR500" s="91" t="s">
        <v>1144</v>
      </c>
      <c r="AS500" s="91">
        <f t="shared" si="134"/>
        <v>0</v>
      </c>
      <c r="AT500" s="118"/>
      <c r="AU500" s="118"/>
      <c r="AV500" s="118"/>
    </row>
    <row r="501" spans="1:48" s="20" customFormat="1" x14ac:dyDescent="0.25">
      <c r="A501" s="17">
        <f>IFERROR(VLOOKUP(D501,'Monthly Deduction'!$I$3:$J$957,2,0),0)</f>
        <v>0</v>
      </c>
      <c r="B501" s="17">
        <f>IFERROR(VLOOKUP(D501,'Monthly Deduction'!$E$3:$F$957,2,0),0)</f>
        <v>0</v>
      </c>
      <c r="C501" s="17">
        <f t="shared" si="135"/>
        <v>0</v>
      </c>
      <c r="D501" s="41">
        <v>10510004</v>
      </c>
      <c r="E501" s="122" t="str">
        <f>VLOOKUP(D501,'MPG Payment '!$E$3:$G$497305,2,0)</f>
        <v>HENHA</v>
      </c>
      <c r="F501" s="146">
        <f>IFERROR(_xlfn.XLOOKUP(D501,'Monthly Deduction'!$I$3:$I$957,'Monthly Deduction'!$H$3:$H$957),0)</f>
        <v>0</v>
      </c>
      <c r="G501" s="123" t="str">
        <f>VLOOKUP(D501,'MPG Payment '!$E$3:$G$333666,3,0)</f>
        <v>MPG</v>
      </c>
      <c r="H501" s="124" t="str">
        <f>VLOOKUP(D501,'MPG Payment '!$E$3:$H$333666,4,0)</f>
        <v>Direct</v>
      </c>
      <c r="I501" s="88">
        <f>INDEX('MPG Payment '!$C:$C,MATCH('Shayak Income '!D501,'MPG Payment '!E:E,0))</f>
        <v>1014</v>
      </c>
      <c r="J501" s="88" t="str">
        <f>INDEX('MPG Payment '!$D:$D,MATCH('Shayak Income '!D501,'MPG Payment '!E:E,0))</f>
        <v>Dumraon</v>
      </c>
      <c r="K501" s="125" t="s">
        <v>1594</v>
      </c>
      <c r="L501" s="125">
        <v>45016</v>
      </c>
      <c r="M501" s="126">
        <f>SUMIF('MPG Payment '!$E$3:$E$344841,'Shayak Income '!D501,'MPG Payment '!$I$3:$I$344841)</f>
        <v>8897.6999999999989</v>
      </c>
      <c r="N501" s="126">
        <f>SUMIF('MPG Payment '!$E$3:$E$344841,'Shayak Income '!D501,'MPG Payment '!$J$3:$J$344841)</f>
        <v>347907.99</v>
      </c>
      <c r="O501" s="126">
        <f t="shared" si="136"/>
        <v>6673.2749999999996</v>
      </c>
      <c r="P501" s="126">
        <f t="shared" si="137"/>
        <v>8452.8149999999987</v>
      </c>
      <c r="Q501" s="126">
        <f>SUMIF('MPG Payment '!$E$3:$E$344841,'Shayak Income '!D501,'MPG Payment '!$S$3:$S$344841)</f>
        <v>4240.4599999999991</v>
      </c>
      <c r="R501" s="126">
        <f t="shared" si="127"/>
        <v>10437.2397</v>
      </c>
      <c r="S501" s="126">
        <f t="shared" si="128"/>
        <v>1984.4247000000014</v>
      </c>
      <c r="T501" s="126">
        <f t="shared" si="138"/>
        <v>889.77</v>
      </c>
      <c r="U501" s="127">
        <f>((((((IF(K501="New",0,SUMIF('MPG Payment '!$E$3:$E$344841,'Shayak Income '!D501,'MPG Payment '!$AC$3:$AC$344841))))+0)+0)+0)+0)+0</f>
        <v>0</v>
      </c>
      <c r="V501" s="127">
        <f t="shared" si="139"/>
        <v>18477</v>
      </c>
      <c r="W501" s="19">
        <f t="shared" si="140"/>
        <v>0</v>
      </c>
      <c r="X501" s="19">
        <f t="shared" si="129"/>
        <v>0</v>
      </c>
      <c r="Y501" s="128">
        <f>IFERROR(VLOOKUP(D501,'Monthly Deduction'!$M$2:$N$640,2,0),0)</f>
        <v>0</v>
      </c>
      <c r="Z501" s="128">
        <v>0</v>
      </c>
      <c r="AA501" s="126">
        <f>IFERROR(VLOOKUP(D501,'Monthly Deduction'!A:B,2,0),0)</f>
        <v>0</v>
      </c>
      <c r="AB501" s="129">
        <f t="shared" si="130"/>
        <v>18477</v>
      </c>
      <c r="AC501" s="130">
        <v>0</v>
      </c>
      <c r="AD501" s="35">
        <f t="shared" si="141"/>
        <v>18477</v>
      </c>
      <c r="AE501" s="166" t="str">
        <f t="shared" si="142"/>
        <v>Release</v>
      </c>
      <c r="AF501" s="127"/>
      <c r="AG501" s="18">
        <v>0</v>
      </c>
      <c r="AH501" s="132"/>
      <c r="AI501" s="238">
        <v>0</v>
      </c>
      <c r="AJ501" s="132"/>
      <c r="AK501" s="151">
        <v>1829.3</v>
      </c>
      <c r="AL501" s="154">
        <f t="shared" si="131"/>
        <v>0</v>
      </c>
      <c r="AM501" s="155"/>
      <c r="AN501" s="19">
        <f t="shared" si="132"/>
        <v>0</v>
      </c>
      <c r="AO501" s="118">
        <f>SUMIF('MPG Payment '!E:E,'Shayak Income '!D501,'MPG Payment '!AJ:AJ)</f>
        <v>0</v>
      </c>
      <c r="AP501" s="19">
        <f t="shared" si="133"/>
        <v>0</v>
      </c>
      <c r="AQ501" s="119">
        <f t="shared" si="143"/>
        <v>0</v>
      </c>
      <c r="AR501" s="91" t="s">
        <v>1144</v>
      </c>
      <c r="AS501" s="91">
        <f t="shared" si="134"/>
        <v>0</v>
      </c>
      <c r="AT501" s="118"/>
      <c r="AU501" s="118"/>
      <c r="AV501" s="118"/>
    </row>
    <row r="502" spans="1:48" s="20" customFormat="1" x14ac:dyDescent="0.25">
      <c r="A502" s="17">
        <f>IFERROR(VLOOKUP(D502,'Monthly Deduction'!$I$3:$J$957,2,0),0)</f>
        <v>0</v>
      </c>
      <c r="B502" s="17">
        <f>IFERROR(VLOOKUP(D502,'Monthly Deduction'!$E$3:$F$957,2,0),0)</f>
        <v>0</v>
      </c>
      <c r="C502" s="17">
        <f t="shared" si="135"/>
        <v>0</v>
      </c>
      <c r="D502" s="41">
        <v>10520006</v>
      </c>
      <c r="E502" s="122" t="str">
        <f>VLOOKUP(D502,'MPG Payment '!$E$3:$G$497305,2,0)</f>
        <v>Suddh Dairy</v>
      </c>
      <c r="F502" s="146">
        <f>IFERROR(_xlfn.XLOOKUP(D502,'Monthly Deduction'!$I$3:$I$957,'Monthly Deduction'!$H$3:$H$957),0)</f>
        <v>0</v>
      </c>
      <c r="G502" s="123" t="str">
        <f>VLOOKUP(D502,'MPG Payment '!$E$3:$G$333666,3,0)</f>
        <v>vlc</v>
      </c>
      <c r="H502" s="124" t="str">
        <f>VLOOKUP(D502,'MPG Payment '!$E$3:$H$333666,4,0)</f>
        <v>Indirect</v>
      </c>
      <c r="I502" s="88">
        <f>INDEX('MPG Payment '!$C:$C,MATCH('Shayak Income '!D502,'MPG Payment '!E:E,0))</f>
        <v>1012</v>
      </c>
      <c r="J502" s="88" t="str">
        <f>INDEX('MPG Payment '!$D:$D,MATCH('Shayak Income '!D502,'MPG Payment '!E:E,0))</f>
        <v>DalsinghSarai</v>
      </c>
      <c r="K502" s="125" t="s">
        <v>1594</v>
      </c>
      <c r="L502" s="125">
        <v>45763</v>
      </c>
      <c r="M502" s="126">
        <f>SUMIF('MPG Payment '!$E$3:$E$344841,'Shayak Income '!D502,'MPG Payment '!$I$3:$I$344841)</f>
        <v>85500</v>
      </c>
      <c r="N502" s="126">
        <f>SUMIF('MPG Payment '!$E$3:$E$344841,'Shayak Income '!D502,'MPG Payment '!$J$3:$J$344841)</f>
        <v>3197725.05</v>
      </c>
      <c r="O502" s="126">
        <f t="shared" si="136"/>
        <v>64125</v>
      </c>
      <c r="P502" s="126">
        <f t="shared" si="137"/>
        <v>81225</v>
      </c>
      <c r="Q502" s="126">
        <f>SUMIF('MPG Payment '!$E$3:$E$344841,'Shayak Income '!D502,'MPG Payment '!$S$3:$S$344841)</f>
        <v>0</v>
      </c>
      <c r="R502" s="126">
        <f t="shared" si="127"/>
        <v>95931.751499999984</v>
      </c>
      <c r="S502" s="126">
        <f t="shared" si="128"/>
        <v>14706.751499999984</v>
      </c>
      <c r="T502" s="126">
        <v>0</v>
      </c>
      <c r="U502" s="127">
        <f>((((((IF(K502="New",0,SUMIF('MPG Payment '!$E$3:$E$344841,'Shayak Income '!D502,'MPG Payment '!$AC$3:$AC$344841))))+0)+0)+0)+0)+0</f>
        <v>0</v>
      </c>
      <c r="V502" s="127">
        <v>0</v>
      </c>
      <c r="W502" s="19">
        <f t="shared" si="140"/>
        <v>0</v>
      </c>
      <c r="X502" s="19">
        <f t="shared" si="129"/>
        <v>0</v>
      </c>
      <c r="Y502" s="128">
        <f>IFERROR(VLOOKUP(D502,'Monthly Deduction'!$M$2:$N$640,2,0),0)</f>
        <v>0</v>
      </c>
      <c r="Z502" s="128">
        <v>0</v>
      </c>
      <c r="AA502" s="126">
        <f>IFERROR(VLOOKUP(D502,'Monthly Deduction'!A:B,2,0),0)</f>
        <v>0</v>
      </c>
      <c r="AB502" s="129">
        <f t="shared" si="130"/>
        <v>0</v>
      </c>
      <c r="AC502" s="130">
        <v>0</v>
      </c>
      <c r="AD502" s="35">
        <f t="shared" si="141"/>
        <v>0</v>
      </c>
      <c r="AE502" s="166" t="str">
        <f t="shared" si="142"/>
        <v>Release</v>
      </c>
      <c r="AF502" s="127"/>
      <c r="AG502" s="127">
        <v>0</v>
      </c>
      <c r="AH502" s="132"/>
      <c r="AI502" s="238">
        <v>0</v>
      </c>
      <c r="AJ502" s="132"/>
      <c r="AK502" s="151">
        <v>6150</v>
      </c>
      <c r="AL502" s="154">
        <f t="shared" si="131"/>
        <v>0</v>
      </c>
      <c r="AM502" s="155"/>
      <c r="AN502" s="19">
        <f t="shared" si="132"/>
        <v>0</v>
      </c>
      <c r="AO502" s="118">
        <f>SUMIF('MPG Payment '!E:E,'Shayak Income '!D502,'MPG Payment '!AJ:AJ)</f>
        <v>0</v>
      </c>
      <c r="AP502" s="19">
        <f t="shared" si="133"/>
        <v>0</v>
      </c>
      <c r="AQ502" s="119">
        <f t="shared" si="143"/>
        <v>0</v>
      </c>
      <c r="AR502" s="91" t="s">
        <v>1144</v>
      </c>
      <c r="AS502" s="91">
        <f t="shared" si="134"/>
        <v>0</v>
      </c>
      <c r="AT502" s="118"/>
      <c r="AU502" s="118"/>
      <c r="AV502" s="118"/>
    </row>
    <row r="503" spans="1:48" s="20" customFormat="1" x14ac:dyDescent="0.25">
      <c r="A503" s="17">
        <f>IFERROR(VLOOKUP(D503,'Monthly Deduction'!$I$3:$J$957,2,0),0)</f>
        <v>33112.083471138249</v>
      </c>
      <c r="B503" s="17">
        <f>IFERROR(VLOOKUP(D503,'Monthly Deduction'!$E$3:$F$957,2,0),0)</f>
        <v>19200</v>
      </c>
      <c r="C503" s="17">
        <f t="shared" si="135"/>
        <v>52312.083471138249</v>
      </c>
      <c r="D503" s="41">
        <v>10530001</v>
      </c>
      <c r="E503" s="122" t="str">
        <f>VLOOKUP(D503,'MPG Payment '!$E$3:$G$497305,2,0)</f>
        <v>Gomukh CHANDAULI</v>
      </c>
      <c r="F503" s="146">
        <f>IFERROR(_xlfn.XLOOKUP(D503,'Monthly Deduction'!$I$3:$I$957,'Monthly Deduction'!$H$3:$H$957),0)</f>
        <v>0</v>
      </c>
      <c r="G503" s="123" t="str">
        <f>VLOOKUP(D503,'MPG Payment '!$E$3:$G$333666,3,0)</f>
        <v>MPG</v>
      </c>
      <c r="H503" s="124" t="str">
        <f>VLOOKUP(D503,'MPG Payment '!$E$3:$H$333666,4,0)</f>
        <v>Direct</v>
      </c>
      <c r="I503" s="88">
        <f>INDEX('MPG Payment '!$C:$C,MATCH('Shayak Income '!D503,'MPG Payment '!E:E,0))</f>
        <v>1053</v>
      </c>
      <c r="J503" s="88" t="str">
        <f>INDEX('MPG Payment '!$D:$D,MATCH('Shayak Income '!D503,'MPG Payment '!E:E,0))</f>
        <v>Kalyanpur</v>
      </c>
      <c r="K503" s="125" t="s">
        <v>1594</v>
      </c>
      <c r="L503" s="125">
        <v>45696</v>
      </c>
      <c r="M503" s="126">
        <f>SUMIF('MPG Payment '!$E$3:$E$344841,'Shayak Income '!D503,'MPG Payment '!$I$3:$I$344841)</f>
        <v>5639.4</v>
      </c>
      <c r="N503" s="126">
        <f>SUMIF('MPG Payment '!$E$3:$E$344841,'Shayak Income '!D503,'MPG Payment '!$J$3:$J$344841)</f>
        <v>240277.35000000003</v>
      </c>
      <c r="O503" s="126">
        <f t="shared" si="136"/>
        <v>4229.5499999999993</v>
      </c>
      <c r="P503" s="126">
        <f t="shared" si="137"/>
        <v>5357.4299999999994</v>
      </c>
      <c r="Q503" s="126">
        <f>SUMIF('MPG Payment '!$E$3:$E$344841,'Shayak Income '!D503,'MPG Payment '!$S$3:$S$344841)</f>
        <v>2381.71</v>
      </c>
      <c r="R503" s="126">
        <f t="shared" si="127"/>
        <v>7208.3205000000007</v>
      </c>
      <c r="S503" s="126">
        <f t="shared" si="128"/>
        <v>1850.8905000000013</v>
      </c>
      <c r="T503" s="126">
        <f t="shared" si="138"/>
        <v>563.93999999999994</v>
      </c>
      <c r="U503" s="127">
        <f>((((((IF(K503="New",0,SUMIF('MPG Payment '!$E$3:$E$344841,'Shayak Income '!D503,'MPG Payment '!$AC$3:$AC$344841))))+0)+0)+0)+0)+0</f>
        <v>0</v>
      </c>
      <c r="V503" s="127">
        <f t="shared" si="139"/>
        <v>11405</v>
      </c>
      <c r="W503" s="19">
        <f t="shared" si="140"/>
        <v>4805.5470000000005</v>
      </c>
      <c r="X503" s="19">
        <v>0</v>
      </c>
      <c r="Y503" s="128">
        <f>IFERROR(VLOOKUP(D503,'Monthly Deduction'!$M$2:$N$640,2,0),0)</f>
        <v>0</v>
      </c>
      <c r="Z503" s="128">
        <v>0</v>
      </c>
      <c r="AA503" s="126">
        <f>IFERROR(VLOOKUP(D503,'Monthly Deduction'!A:B,2,0),0)</f>
        <v>404.6154308015611</v>
      </c>
      <c r="AB503" s="129">
        <f t="shared" si="130"/>
        <v>6195</v>
      </c>
      <c r="AC503" s="130">
        <v>0</v>
      </c>
      <c r="AD503" s="35">
        <f t="shared" si="141"/>
        <v>6195</v>
      </c>
      <c r="AE503" s="166" t="str">
        <f t="shared" si="142"/>
        <v>Release</v>
      </c>
      <c r="AF503" s="127"/>
      <c r="AG503" s="18">
        <v>0</v>
      </c>
      <c r="AH503" s="132"/>
      <c r="AI503" s="238">
        <v>0</v>
      </c>
      <c r="AJ503" s="132"/>
      <c r="AK503" s="151">
        <v>1441.8</v>
      </c>
      <c r="AL503" s="154">
        <f t="shared" si="131"/>
        <v>0</v>
      </c>
      <c r="AM503" s="155"/>
      <c r="AN503" s="19">
        <f t="shared" si="132"/>
        <v>4805.5470000000005</v>
      </c>
      <c r="AO503" s="118">
        <f>SUMIF('MPG Payment '!E:E,'Shayak Income '!D503,'MPG Payment '!AJ:AJ)</f>
        <v>0</v>
      </c>
      <c r="AP503" s="19">
        <f t="shared" si="133"/>
        <v>4805.5470000000005</v>
      </c>
      <c r="AQ503" s="119">
        <f t="shared" si="143"/>
        <v>4805.5470000000005</v>
      </c>
      <c r="AR503" s="91" t="s">
        <v>1144</v>
      </c>
      <c r="AS503" s="91">
        <f t="shared" si="134"/>
        <v>19200</v>
      </c>
      <c r="AT503" s="118"/>
      <c r="AU503" s="118"/>
      <c r="AV503" s="118"/>
    </row>
    <row r="504" spans="1:48" s="20" customFormat="1" x14ac:dyDescent="0.25">
      <c r="A504" s="17">
        <f>IFERROR(VLOOKUP(D504,'Monthly Deduction'!$I$3:$J$957,2,0),0)</f>
        <v>16390.12343161543</v>
      </c>
      <c r="B504" s="17">
        <f>IFERROR(VLOOKUP(D504,'Monthly Deduction'!$E$3:$F$957,2,0),0)</f>
        <v>32000</v>
      </c>
      <c r="C504" s="17">
        <f t="shared" si="135"/>
        <v>48390.12343161543</v>
      </c>
      <c r="D504" s="41">
        <v>10530002</v>
      </c>
      <c r="E504" s="122" t="str">
        <f>VLOOKUP(D504,'MPG Payment '!$E$3:$G$497305,2,0)</f>
        <v>GOMUKH HATHA</v>
      </c>
      <c r="F504" s="146">
        <f>IFERROR(_xlfn.XLOOKUP(D504,'Monthly Deduction'!$I$3:$I$957,'Monthly Deduction'!$H$3:$H$957),0)</f>
        <v>0</v>
      </c>
      <c r="G504" s="123" t="str">
        <f>VLOOKUP(D504,'MPG Payment '!$E$3:$G$333666,3,0)</f>
        <v>MPG</v>
      </c>
      <c r="H504" s="124" t="str">
        <f>VLOOKUP(D504,'MPG Payment '!$E$3:$H$333666,4,0)</f>
        <v>Direct</v>
      </c>
      <c r="I504" s="88">
        <f>INDEX('MPG Payment '!$C:$C,MATCH('Shayak Income '!D504,'MPG Payment '!E:E,0))</f>
        <v>1053</v>
      </c>
      <c r="J504" s="88" t="str">
        <f>INDEX('MPG Payment '!$D:$D,MATCH('Shayak Income '!D504,'MPG Payment '!E:E,0))</f>
        <v>Kalyanpur</v>
      </c>
      <c r="K504" s="125" t="s">
        <v>1594</v>
      </c>
      <c r="L504" s="125">
        <v>45696</v>
      </c>
      <c r="M504" s="126">
        <f>SUMIF('MPG Payment '!$E$3:$E$344841,'Shayak Income '!D504,'MPG Payment '!$I$3:$I$344841)</f>
        <v>7185.35</v>
      </c>
      <c r="N504" s="126">
        <f>SUMIF('MPG Payment '!$E$3:$E$344841,'Shayak Income '!D504,'MPG Payment '!$J$3:$J$344841)</f>
        <v>289630.61</v>
      </c>
      <c r="O504" s="126">
        <f t="shared" si="136"/>
        <v>5389.0125000000007</v>
      </c>
      <c r="P504" s="126">
        <f t="shared" si="137"/>
        <v>6826.0825000000004</v>
      </c>
      <c r="Q504" s="126">
        <f>SUMIF('MPG Payment '!$E$3:$E$344841,'Shayak Income '!D504,'MPG Payment '!$S$3:$S$344841)</f>
        <v>2454.6800000000003</v>
      </c>
      <c r="R504" s="126">
        <f t="shared" si="127"/>
        <v>8688.9182999999994</v>
      </c>
      <c r="S504" s="126">
        <f t="shared" si="128"/>
        <v>1862.8357999999989</v>
      </c>
      <c r="T504" s="126">
        <f t="shared" si="138"/>
        <v>718.53500000000008</v>
      </c>
      <c r="U504" s="127">
        <f>((((((IF(K504="New",0,SUMIF('MPG Payment '!$E$3:$E$344841,'Shayak Income '!D504,'MPG Payment '!$AC$3:$AC$344841))))+0)+0)+0)+0)+0</f>
        <v>0</v>
      </c>
      <c r="V504" s="127">
        <f t="shared" si="139"/>
        <v>13951</v>
      </c>
      <c r="W504" s="19">
        <f t="shared" si="140"/>
        <v>5792.6121999999996</v>
      </c>
      <c r="X504" s="19">
        <v>0</v>
      </c>
      <c r="Y504" s="128">
        <f>IFERROR(VLOOKUP(D504,'Monthly Deduction'!$M$2:$N$640,2,0),0)</f>
        <v>0</v>
      </c>
      <c r="Z504" s="128">
        <v>0</v>
      </c>
      <c r="AA504" s="126">
        <f>IFERROR(VLOOKUP(D504,'Monthly Deduction'!A:B,2,0),0)</f>
        <v>404.6154308015611</v>
      </c>
      <c r="AB504" s="129">
        <f t="shared" si="130"/>
        <v>7754</v>
      </c>
      <c r="AC504" s="130">
        <v>0</v>
      </c>
      <c r="AD504" s="35">
        <f t="shared" si="141"/>
        <v>7754</v>
      </c>
      <c r="AE504" s="166" t="str">
        <f t="shared" si="142"/>
        <v>Release</v>
      </c>
      <c r="AF504" s="127"/>
      <c r="AG504" s="18">
        <v>0</v>
      </c>
      <c r="AH504" s="120"/>
      <c r="AI504" s="238">
        <v>0</v>
      </c>
      <c r="AJ504" s="132"/>
      <c r="AK504" s="151">
        <v>1701.2</v>
      </c>
      <c r="AL504" s="154">
        <f t="shared" si="131"/>
        <v>0</v>
      </c>
      <c r="AM504" s="155"/>
      <c r="AN504" s="19">
        <f t="shared" si="132"/>
        <v>5792.6121999999996</v>
      </c>
      <c r="AO504" s="118">
        <f>SUMIF('MPG Payment '!E:E,'Shayak Income '!D504,'MPG Payment '!AJ:AJ)</f>
        <v>0</v>
      </c>
      <c r="AP504" s="19">
        <f t="shared" si="133"/>
        <v>5792.6121999999996</v>
      </c>
      <c r="AQ504" s="119">
        <f t="shared" si="143"/>
        <v>5792.6121999999996</v>
      </c>
      <c r="AR504" s="91" t="s">
        <v>1144</v>
      </c>
      <c r="AS504" s="91">
        <f t="shared" si="134"/>
        <v>32000</v>
      </c>
      <c r="AT504" s="118"/>
      <c r="AU504" s="118"/>
      <c r="AV504" s="118"/>
    </row>
    <row r="505" spans="1:48" s="20" customFormat="1" x14ac:dyDescent="0.25">
      <c r="A505" s="17">
        <f>IFERROR(VLOOKUP(D505,'Monthly Deduction'!$I$3:$J$957,2,0),0)</f>
        <v>18612.283764562366</v>
      </c>
      <c r="B505" s="17">
        <f>IFERROR(VLOOKUP(D505,'Monthly Deduction'!$E$3:$F$957,2,0),0)</f>
        <v>28800</v>
      </c>
      <c r="C505" s="17">
        <f t="shared" si="135"/>
        <v>47412.283764562366</v>
      </c>
      <c r="D505" s="41">
        <v>10530003</v>
      </c>
      <c r="E505" s="122" t="str">
        <f>VLOOKUP(D505,'MPG Payment '!$E$3:$G$497305,2,0)</f>
        <v>GOMUKH VADEYA</v>
      </c>
      <c r="F505" s="146">
        <f>IFERROR(_xlfn.XLOOKUP(D505,'Monthly Deduction'!$I$3:$I$957,'Monthly Deduction'!$H$3:$H$957),0)</f>
        <v>0</v>
      </c>
      <c r="G505" s="123" t="str">
        <f>VLOOKUP(D505,'MPG Payment '!$E$3:$G$333666,3,0)</f>
        <v>MPG</v>
      </c>
      <c r="H505" s="124" t="str">
        <f>VLOOKUP(D505,'MPG Payment '!$E$3:$H$333666,4,0)</f>
        <v>Direct</v>
      </c>
      <c r="I505" s="88">
        <f>INDEX('MPG Payment '!$C:$C,MATCH('Shayak Income '!D505,'MPG Payment '!E:E,0))</f>
        <v>1053</v>
      </c>
      <c r="J505" s="88" t="str">
        <f>INDEX('MPG Payment '!$D:$D,MATCH('Shayak Income '!D505,'MPG Payment '!E:E,0))</f>
        <v>Kalyanpur</v>
      </c>
      <c r="K505" s="125" t="s">
        <v>1594</v>
      </c>
      <c r="L505" s="125">
        <v>45696</v>
      </c>
      <c r="M505" s="126">
        <f>SUMIF('MPG Payment '!$E$3:$E$344841,'Shayak Income '!D505,'MPG Payment '!$I$3:$I$344841)</f>
        <v>3775.05</v>
      </c>
      <c r="N505" s="126">
        <f>SUMIF('MPG Payment '!$E$3:$E$344841,'Shayak Income '!D505,'MPG Payment '!$J$3:$J$344841)</f>
        <v>165867.77000000002</v>
      </c>
      <c r="O505" s="126">
        <f t="shared" si="136"/>
        <v>2831.2875000000004</v>
      </c>
      <c r="P505" s="126">
        <f t="shared" si="137"/>
        <v>3586.2975000000001</v>
      </c>
      <c r="Q505" s="126">
        <f>SUMIF('MPG Payment '!$E$3:$E$344841,'Shayak Income '!D505,'MPG Payment '!$S$3:$S$344841)</f>
        <v>1429.8</v>
      </c>
      <c r="R505" s="126">
        <f t="shared" si="127"/>
        <v>4976.0331000000006</v>
      </c>
      <c r="S505" s="126">
        <f t="shared" si="128"/>
        <v>1389.7356000000004</v>
      </c>
      <c r="T505" s="126">
        <f t="shared" si="138"/>
        <v>377.50500000000005</v>
      </c>
      <c r="U505" s="127">
        <f>((((((IF(K505="New",0,SUMIF('MPG Payment '!$E$3:$E$344841,'Shayak Income '!D505,'MPG Payment '!$AC$3:$AC$344841))))+0)+0)+0)+0)+0</f>
        <v>41.344328403001093</v>
      </c>
      <c r="V505" s="127">
        <f t="shared" si="139"/>
        <v>7429</v>
      </c>
      <c r="W505" s="19">
        <f t="shared" si="140"/>
        <v>3317.3554000000004</v>
      </c>
      <c r="X505" s="19">
        <v>0</v>
      </c>
      <c r="Y505" s="128">
        <f>IFERROR(VLOOKUP(D505,'Monthly Deduction'!$M$2:$N$640,2,0),0)</f>
        <v>0</v>
      </c>
      <c r="Z505" s="128">
        <v>0</v>
      </c>
      <c r="AA505" s="126">
        <f>IFERROR(VLOOKUP(D505,'Monthly Deduction'!A:B,2,0),0)</f>
        <v>404.61543080156116</v>
      </c>
      <c r="AB505" s="129">
        <f t="shared" si="130"/>
        <v>3707</v>
      </c>
      <c r="AC505" s="130">
        <v>0</v>
      </c>
      <c r="AD505" s="35">
        <f t="shared" si="141"/>
        <v>3707</v>
      </c>
      <c r="AE505" s="166" t="str">
        <f t="shared" si="142"/>
        <v>Release</v>
      </c>
      <c r="AF505" s="127"/>
      <c r="AG505" s="18">
        <v>0</v>
      </c>
      <c r="AH505" s="132"/>
      <c r="AI505" s="238">
        <v>0</v>
      </c>
      <c r="AJ505" s="132"/>
      <c r="AK505" s="151">
        <v>1269.3500000000001</v>
      </c>
      <c r="AL505" s="154">
        <f t="shared" si="131"/>
        <v>0</v>
      </c>
      <c r="AM505" s="155"/>
      <c r="AN505" s="19">
        <f t="shared" si="132"/>
        <v>3317.3554000000004</v>
      </c>
      <c r="AO505" s="118">
        <f>SUMIF('MPG Payment '!E:E,'Shayak Income '!D505,'MPG Payment '!AJ:AJ)</f>
        <v>0</v>
      </c>
      <c r="AP505" s="19">
        <f t="shared" si="133"/>
        <v>3317.3554000000004</v>
      </c>
      <c r="AQ505" s="119">
        <f t="shared" si="143"/>
        <v>3317.3554000000004</v>
      </c>
      <c r="AR505" s="91" t="s">
        <v>1144</v>
      </c>
      <c r="AS505" s="91">
        <f t="shared" si="134"/>
        <v>28800</v>
      </c>
      <c r="AT505" s="118"/>
      <c r="AU505" s="118"/>
      <c r="AV505" s="118"/>
    </row>
    <row r="506" spans="1:48" s="20" customFormat="1" x14ac:dyDescent="0.25">
      <c r="A506" s="17">
        <f>IFERROR(VLOOKUP(D506,'Monthly Deduction'!$I$3:$J$957,2,0),0)</f>
        <v>53462.382389722377</v>
      </c>
      <c r="B506" s="17">
        <f>IFERROR(VLOOKUP(D506,'Monthly Deduction'!$E$3:$F$957,2,0),0)</f>
        <v>16000</v>
      </c>
      <c r="C506" s="17">
        <f t="shared" si="135"/>
        <v>69462.382389722377</v>
      </c>
      <c r="D506" s="41">
        <v>10530005</v>
      </c>
      <c r="E506" s="122" t="str">
        <f>VLOOKUP(D506,'MPG Payment '!$E$3:$G$497305,2,0)</f>
        <v>GOMUKH CHANDPURA</v>
      </c>
      <c r="F506" s="146">
        <f>IFERROR(_xlfn.XLOOKUP(D506,'Monthly Deduction'!$I$3:$I$957,'Monthly Deduction'!$H$3:$H$957),0)</f>
        <v>0</v>
      </c>
      <c r="G506" s="123" t="str">
        <f>VLOOKUP(D506,'MPG Payment '!$E$3:$G$333666,3,0)</f>
        <v>MPG</v>
      </c>
      <c r="H506" s="124" t="str">
        <f>VLOOKUP(D506,'MPG Payment '!$E$3:$H$333666,4,0)</f>
        <v>Direct</v>
      </c>
      <c r="I506" s="88">
        <f>INDEX('MPG Payment '!$C:$C,MATCH('Shayak Income '!D506,'MPG Payment '!E:E,0))</f>
        <v>1053</v>
      </c>
      <c r="J506" s="88" t="str">
        <f>INDEX('MPG Payment '!$D:$D,MATCH('Shayak Income '!D506,'MPG Payment '!E:E,0))</f>
        <v>Kalyanpur</v>
      </c>
      <c r="K506" s="125" t="s">
        <v>1594</v>
      </c>
      <c r="L506" s="125">
        <v>45696</v>
      </c>
      <c r="M506" s="126">
        <f>SUMIF('MPG Payment '!$E$3:$E$344841,'Shayak Income '!D506,'MPG Payment '!$I$3:$I$344841)</f>
        <v>2664.9500000000003</v>
      </c>
      <c r="N506" s="126">
        <f>SUMIF('MPG Payment '!$E$3:$E$344841,'Shayak Income '!D506,'MPG Payment '!$J$3:$J$344841)</f>
        <v>126402.71</v>
      </c>
      <c r="O506" s="126">
        <f t="shared" si="136"/>
        <v>1998.7125000000001</v>
      </c>
      <c r="P506" s="126">
        <f t="shared" si="137"/>
        <v>2531.7025000000003</v>
      </c>
      <c r="Q506" s="126">
        <f>SUMIF('MPG Payment '!$E$3:$E$344841,'Shayak Income '!D506,'MPG Payment '!$S$3:$S$344841)</f>
        <v>2074.71</v>
      </c>
      <c r="R506" s="126">
        <f t="shared" si="127"/>
        <v>3792.0812999999998</v>
      </c>
      <c r="S506" s="126">
        <f t="shared" si="128"/>
        <v>1260.3787999999995</v>
      </c>
      <c r="T506" s="126">
        <f t="shared" si="138"/>
        <v>266.49500000000006</v>
      </c>
      <c r="U506" s="127">
        <f>((((((IF(K506="New",0,SUMIF('MPG Payment '!$E$3:$E$344841,'Shayak Income '!D506,'MPG Payment '!$AC$3:$AC$344841))))+0)+0)+0)+0)+0</f>
        <v>127.69261233454179</v>
      </c>
      <c r="V506" s="127">
        <f t="shared" si="139"/>
        <v>6211</v>
      </c>
      <c r="W506" s="19">
        <f t="shared" si="140"/>
        <v>2528.0542</v>
      </c>
      <c r="X506" s="19">
        <v>0</v>
      </c>
      <c r="Y506" s="128">
        <f>IFERROR(VLOOKUP(D506,'Monthly Deduction'!$M$2:$N$640,2,0),0)</f>
        <v>0</v>
      </c>
      <c r="Z506" s="128">
        <v>0</v>
      </c>
      <c r="AA506" s="126">
        <f>IFERROR(VLOOKUP(D506,'Monthly Deduction'!A:B,2,0),0)</f>
        <v>294.81543080156109</v>
      </c>
      <c r="AB506" s="129">
        <f t="shared" si="130"/>
        <v>3388</v>
      </c>
      <c r="AC506" s="130">
        <v>0</v>
      </c>
      <c r="AD506" s="35">
        <f t="shared" si="141"/>
        <v>3388</v>
      </c>
      <c r="AE506" s="166" t="str">
        <f t="shared" si="142"/>
        <v>Release</v>
      </c>
      <c r="AF506" s="127"/>
      <c r="AG506" s="18">
        <v>0</v>
      </c>
      <c r="AH506" s="215"/>
      <c r="AI506" s="238">
        <v>0</v>
      </c>
      <c r="AJ506" s="132"/>
      <c r="AK506" s="151">
        <v>612.75000000000023</v>
      </c>
      <c r="AL506" s="154">
        <f t="shared" si="131"/>
        <v>0</v>
      </c>
      <c r="AM506" s="155"/>
      <c r="AN506" s="19">
        <f t="shared" si="132"/>
        <v>2528.0542</v>
      </c>
      <c r="AO506" s="118">
        <f>SUMIF('MPG Payment '!E:E,'Shayak Income '!D506,'MPG Payment '!AJ:AJ)</f>
        <v>0</v>
      </c>
      <c r="AP506" s="19">
        <f t="shared" si="133"/>
        <v>2528.0542</v>
      </c>
      <c r="AQ506" s="119">
        <f t="shared" si="143"/>
        <v>2528.0542</v>
      </c>
      <c r="AR506" s="91" t="s">
        <v>1144</v>
      </c>
      <c r="AS506" s="91">
        <f t="shared" si="134"/>
        <v>16000</v>
      </c>
      <c r="AT506" s="118"/>
      <c r="AU506" s="118"/>
      <c r="AV506" s="118"/>
    </row>
    <row r="507" spans="1:48" s="20" customFormat="1" x14ac:dyDescent="0.25">
      <c r="A507" s="17">
        <f>IFERROR(VLOOKUP(D507,'Monthly Deduction'!$I$3:$J$957,2,0),0)</f>
        <v>27943.687783119385</v>
      </c>
      <c r="B507" s="17">
        <f>IFERROR(VLOOKUP(D507,'Monthly Deduction'!$E$3:$F$957,2,0),0)</f>
        <v>28800</v>
      </c>
      <c r="C507" s="17">
        <f t="shared" si="135"/>
        <v>56743.687783119385</v>
      </c>
      <c r="D507" s="41">
        <v>10530006</v>
      </c>
      <c r="E507" s="122" t="str">
        <f>VLOOKUP(D507,'MPG Payment '!$E$3:$G$497305,2,0)</f>
        <v>GOMUKH BARGAMA</v>
      </c>
      <c r="F507" s="146">
        <f>IFERROR(_xlfn.XLOOKUP(D507,'Monthly Deduction'!$I$3:$I$957,'Monthly Deduction'!$H$3:$H$957),0)</f>
        <v>0</v>
      </c>
      <c r="G507" s="123" t="str">
        <f>VLOOKUP(D507,'MPG Payment '!$E$3:$G$333666,3,0)</f>
        <v>MPG</v>
      </c>
      <c r="H507" s="124" t="str">
        <f>VLOOKUP(D507,'MPG Payment '!$E$3:$H$333666,4,0)</f>
        <v>Direct</v>
      </c>
      <c r="I507" s="88">
        <f>INDEX('MPG Payment '!$C:$C,MATCH('Shayak Income '!D507,'MPG Payment '!E:E,0))</f>
        <v>1053</v>
      </c>
      <c r="J507" s="88" t="str">
        <f>INDEX('MPG Payment '!$D:$D,MATCH('Shayak Income '!D507,'MPG Payment '!E:E,0))</f>
        <v>Kalyanpur</v>
      </c>
      <c r="K507" s="125" t="s">
        <v>1594</v>
      </c>
      <c r="L507" s="125">
        <v>45696</v>
      </c>
      <c r="M507" s="126">
        <f>SUMIF('MPG Payment '!$E$3:$E$344841,'Shayak Income '!D507,'MPG Payment '!$I$3:$I$344841)</f>
        <v>5022.8</v>
      </c>
      <c r="N507" s="126">
        <f>SUMIF('MPG Payment '!$E$3:$E$344841,'Shayak Income '!D507,'MPG Payment '!$J$3:$J$344841)</f>
        <v>232304.83</v>
      </c>
      <c r="O507" s="126">
        <f t="shared" si="136"/>
        <v>3767.1000000000004</v>
      </c>
      <c r="P507" s="126">
        <f t="shared" si="137"/>
        <v>4771.66</v>
      </c>
      <c r="Q507" s="126">
        <f>SUMIF('MPG Payment '!$E$3:$E$344841,'Shayak Income '!D507,'MPG Payment '!$S$3:$S$344841)</f>
        <v>13258.21</v>
      </c>
      <c r="R507" s="126">
        <f t="shared" si="127"/>
        <v>6969.1448999999993</v>
      </c>
      <c r="S507" s="126">
        <f t="shared" si="128"/>
        <v>2197.4848999999995</v>
      </c>
      <c r="T507" s="126">
        <f t="shared" si="138"/>
        <v>502.28000000000003</v>
      </c>
      <c r="U507" s="127">
        <f>((((((IF(K507="New",0,SUMIF('MPG Payment '!$E$3:$E$344841,'Shayak Income '!D507,'MPG Payment '!$AC$3:$AC$344841))))+0)+0)+0)+0)+0</f>
        <v>0</v>
      </c>
      <c r="V507" s="127">
        <f t="shared" si="139"/>
        <v>21295</v>
      </c>
      <c r="W507" s="19">
        <f t="shared" si="140"/>
        <v>4646.0965999999999</v>
      </c>
      <c r="X507" s="19">
        <v>0</v>
      </c>
      <c r="Y507" s="128">
        <f>IFERROR(VLOOKUP(D507,'Monthly Deduction'!$M$2:$N$640,2,0),0)</f>
        <v>0</v>
      </c>
      <c r="Z507" s="128">
        <v>0</v>
      </c>
      <c r="AA507" s="126">
        <f>IFERROR(VLOOKUP(D507,'Monthly Deduction'!A:B,2,0),0)</f>
        <v>75.215430801561084</v>
      </c>
      <c r="AB507" s="129">
        <f t="shared" si="130"/>
        <v>16574</v>
      </c>
      <c r="AC507" s="130">
        <v>0</v>
      </c>
      <c r="AD507" s="35">
        <f t="shared" si="141"/>
        <v>16574</v>
      </c>
      <c r="AE507" s="166" t="str">
        <f t="shared" si="142"/>
        <v>Release</v>
      </c>
      <c r="AF507" s="127"/>
      <c r="AG507" s="18">
        <v>0</v>
      </c>
      <c r="AH507" s="132"/>
      <c r="AI507" s="238">
        <v>0</v>
      </c>
      <c r="AJ507" s="132"/>
      <c r="AK507" s="151">
        <v>1161.1499999999999</v>
      </c>
      <c r="AL507" s="154">
        <f t="shared" si="131"/>
        <v>0</v>
      </c>
      <c r="AM507" s="155"/>
      <c r="AN507" s="19">
        <f t="shared" si="132"/>
        <v>4646.0965999999999</v>
      </c>
      <c r="AO507" s="118">
        <f>SUMIF('MPG Payment '!E:E,'Shayak Income '!D507,'MPG Payment '!AJ:AJ)</f>
        <v>0</v>
      </c>
      <c r="AP507" s="19">
        <f t="shared" si="133"/>
        <v>4646.0965999999999</v>
      </c>
      <c r="AQ507" s="119">
        <f t="shared" si="143"/>
        <v>4646.0965999999999</v>
      </c>
      <c r="AR507" s="91" t="s">
        <v>1144</v>
      </c>
      <c r="AS507" s="91">
        <f t="shared" si="134"/>
        <v>28800</v>
      </c>
      <c r="AT507" s="118"/>
      <c r="AU507" s="118"/>
      <c r="AV507" s="118"/>
    </row>
    <row r="508" spans="1:48" s="20" customFormat="1" x14ac:dyDescent="0.25">
      <c r="A508" s="17">
        <f>IFERROR(VLOOKUP(D508,'Monthly Deduction'!$I$3:$J$957,2,0),0)</f>
        <v>57529.577151588266</v>
      </c>
      <c r="B508" s="17">
        <f>IFERROR(VLOOKUP(D508,'Monthly Deduction'!$E$3:$F$957,2,0),0)</f>
        <v>16000</v>
      </c>
      <c r="C508" s="17">
        <f t="shared" si="135"/>
        <v>73529.577151588266</v>
      </c>
      <c r="D508" s="41">
        <v>10530007</v>
      </c>
      <c r="E508" s="122" t="str">
        <f>VLOOKUP(D508,'MPG Payment '!$E$3:$G$497305,2,0)</f>
        <v>Gomukh Gograha Tola</v>
      </c>
      <c r="F508" s="146">
        <f>IFERROR(_xlfn.XLOOKUP(D508,'Monthly Deduction'!$I$3:$I$957,'Monthly Deduction'!$H$3:$H$957),0)</f>
        <v>0</v>
      </c>
      <c r="G508" s="123" t="str">
        <f>VLOOKUP(D508,'MPG Payment '!$E$3:$G$333666,3,0)</f>
        <v>MPG</v>
      </c>
      <c r="H508" s="124" t="str">
        <f>VLOOKUP(D508,'MPG Payment '!$E$3:$H$333666,4,0)</f>
        <v>Direct</v>
      </c>
      <c r="I508" s="88">
        <f>INDEX('MPG Payment '!$C:$C,MATCH('Shayak Income '!D508,'MPG Payment '!E:E,0))</f>
        <v>1053</v>
      </c>
      <c r="J508" s="88" t="str">
        <f>INDEX('MPG Payment '!$D:$D,MATCH('Shayak Income '!D508,'MPG Payment '!E:E,0))</f>
        <v>Kalyanpur</v>
      </c>
      <c r="K508" s="125" t="s">
        <v>1594</v>
      </c>
      <c r="L508" s="125">
        <v>45696</v>
      </c>
      <c r="M508" s="126">
        <f>SUMIF('MPG Payment '!$E$3:$E$344841,'Shayak Income '!D508,'MPG Payment '!$I$3:$I$344841)</f>
        <v>1908.6999999999998</v>
      </c>
      <c r="N508" s="126">
        <f>SUMIF('MPG Payment '!$E$3:$E$344841,'Shayak Income '!D508,'MPG Payment '!$J$3:$J$344841)</f>
        <v>86532.12</v>
      </c>
      <c r="O508" s="126">
        <f t="shared" si="136"/>
        <v>1431.5249999999999</v>
      </c>
      <c r="P508" s="126">
        <f t="shared" si="137"/>
        <v>1813.2649999999996</v>
      </c>
      <c r="Q508" s="126">
        <f>SUMIF('MPG Payment '!$E$3:$E$344841,'Shayak Income '!D508,'MPG Payment '!$S$3:$S$344841)</f>
        <v>65.710000000000008</v>
      </c>
      <c r="R508" s="126">
        <f t="shared" si="127"/>
        <v>2595.9635999999996</v>
      </c>
      <c r="S508" s="126">
        <f t="shared" si="128"/>
        <v>782.69859999999994</v>
      </c>
      <c r="T508" s="126">
        <f t="shared" si="138"/>
        <v>190.87</v>
      </c>
      <c r="U508" s="127">
        <f>((((((IF(K508="New",0,SUMIF('MPG Payment '!$E$3:$E$344841,'Shayak Income '!D508,'MPG Payment '!$AC$3:$AC$344841))))+0)+0)+0)+0)+0</f>
        <v>809.17569695906116</v>
      </c>
      <c r="V508" s="127">
        <f t="shared" si="139"/>
        <v>2310</v>
      </c>
      <c r="W508" s="19">
        <f t="shared" si="140"/>
        <v>1861</v>
      </c>
      <c r="X508" s="19">
        <v>0</v>
      </c>
      <c r="Y508" s="128">
        <f>IFERROR(VLOOKUP(D508,'Monthly Deduction'!$M$2:$N$640,2,0),0)</f>
        <v>0</v>
      </c>
      <c r="Z508" s="128">
        <v>0</v>
      </c>
      <c r="AA508" s="126">
        <f>IFERROR(VLOOKUP(D508,'Monthly Deduction'!A:B,2,0),0)</f>
        <v>294.81543080156109</v>
      </c>
      <c r="AB508" s="129">
        <f t="shared" si="130"/>
        <v>154</v>
      </c>
      <c r="AC508" s="130">
        <v>0</v>
      </c>
      <c r="AD508" s="35">
        <f t="shared" si="141"/>
        <v>154</v>
      </c>
      <c r="AE508" s="166" t="str">
        <f t="shared" si="142"/>
        <v>Release</v>
      </c>
      <c r="AF508" s="127"/>
      <c r="AG508" s="18">
        <v>0</v>
      </c>
      <c r="AH508" s="120"/>
      <c r="AI508" s="238">
        <v>0</v>
      </c>
      <c r="AJ508" s="132"/>
      <c r="AK508" s="151">
        <v>579.30000000000007</v>
      </c>
      <c r="AL508" s="154">
        <f t="shared" si="131"/>
        <v>0</v>
      </c>
      <c r="AM508" s="155"/>
      <c r="AN508" s="19">
        <f t="shared" si="132"/>
        <v>1861</v>
      </c>
      <c r="AO508" s="118">
        <f>SUMIF('MPG Payment '!E:E,'Shayak Income '!D508,'MPG Payment '!AJ:AJ)</f>
        <v>0</v>
      </c>
      <c r="AP508" s="19">
        <f t="shared" si="133"/>
        <v>1861</v>
      </c>
      <c r="AQ508" s="119">
        <f t="shared" si="143"/>
        <v>1861</v>
      </c>
      <c r="AR508" s="91" t="s">
        <v>1144</v>
      </c>
      <c r="AS508" s="91">
        <f t="shared" si="134"/>
        <v>16000</v>
      </c>
      <c r="AT508" s="118"/>
      <c r="AU508" s="118"/>
      <c r="AV508" s="118"/>
    </row>
    <row r="509" spans="1:48" s="20" customFormat="1" x14ac:dyDescent="0.25">
      <c r="A509" s="17">
        <f>IFERROR(VLOOKUP(D509,'Monthly Deduction'!$I$3:$J$957,2,0),0)</f>
        <v>62775.924223360533</v>
      </c>
      <c r="B509" s="17">
        <f>IFERROR(VLOOKUP(D509,'Monthly Deduction'!$E$3:$F$957,2,0),0)</f>
        <v>12800</v>
      </c>
      <c r="C509" s="17">
        <f t="shared" si="135"/>
        <v>75575.924223360533</v>
      </c>
      <c r="D509" s="41">
        <v>10530008</v>
      </c>
      <c r="E509" s="122" t="str">
        <f>VLOOKUP(D509,'MPG Payment '!$E$3:$G$497305,2,0)</f>
        <v>Gomukh Patsara</v>
      </c>
      <c r="F509" s="146">
        <f>IFERROR(_xlfn.XLOOKUP(D509,'Monthly Deduction'!$I$3:$I$957,'Monthly Deduction'!$H$3:$H$957),0)</f>
        <v>0</v>
      </c>
      <c r="G509" s="123" t="str">
        <f>VLOOKUP(D509,'MPG Payment '!$E$3:$G$333666,3,0)</f>
        <v>MPG</v>
      </c>
      <c r="H509" s="124" t="str">
        <f>VLOOKUP(D509,'MPG Payment '!$E$3:$H$333666,4,0)</f>
        <v>Direct</v>
      </c>
      <c r="I509" s="88">
        <f>INDEX('MPG Payment '!$C:$C,MATCH('Shayak Income '!D509,'MPG Payment '!E:E,0))</f>
        <v>1053</v>
      </c>
      <c r="J509" s="88" t="str">
        <f>INDEX('MPG Payment '!$D:$D,MATCH('Shayak Income '!D509,'MPG Payment '!E:E,0))</f>
        <v>Kalyanpur</v>
      </c>
      <c r="K509" s="125" t="s">
        <v>1594</v>
      </c>
      <c r="L509" s="125">
        <v>45696</v>
      </c>
      <c r="M509" s="126">
        <f>SUMIF('MPG Payment '!$E$3:$E$344841,'Shayak Income '!D509,'MPG Payment '!$I$3:$I$344841)</f>
        <v>1524.9499999999998</v>
      </c>
      <c r="N509" s="126">
        <f>SUMIF('MPG Payment '!$E$3:$E$344841,'Shayak Income '!D509,'MPG Payment '!$J$3:$J$344841)</f>
        <v>69911.149999999994</v>
      </c>
      <c r="O509" s="126">
        <f t="shared" si="136"/>
        <v>1143.7124999999999</v>
      </c>
      <c r="P509" s="126">
        <f t="shared" si="137"/>
        <v>1448.7024999999999</v>
      </c>
      <c r="Q509" s="126">
        <f>SUMIF('MPG Payment '!$E$3:$E$344841,'Shayak Income '!D509,'MPG Payment '!$S$3:$S$344841)</f>
        <v>401.30999999999995</v>
      </c>
      <c r="R509" s="126">
        <f t="shared" si="127"/>
        <v>2097.3344999999999</v>
      </c>
      <c r="S509" s="126">
        <f t="shared" si="128"/>
        <v>648.63200000000006</v>
      </c>
      <c r="T509" s="126">
        <f t="shared" si="138"/>
        <v>152.49499999999998</v>
      </c>
      <c r="U509" s="127">
        <f>((((((IF(K509="New",0,SUMIF('MPG Payment '!$E$3:$E$344841,'Shayak Income '!D509,'MPG Payment '!$AC$3:$AC$344841))))+0)+0)+0)+0)+0</f>
        <v>1169.9608204370911</v>
      </c>
      <c r="V509" s="127">
        <f t="shared" si="139"/>
        <v>1671</v>
      </c>
      <c r="W509" s="19">
        <v>1671</v>
      </c>
      <c r="X509" s="19">
        <v>0</v>
      </c>
      <c r="Y509" s="128">
        <f>IFERROR(VLOOKUP(D509,'Monthly Deduction'!$M$2:$N$640,2,0),0)</f>
        <v>0</v>
      </c>
      <c r="Z509" s="128">
        <v>0</v>
      </c>
      <c r="AA509" s="126">
        <v>0</v>
      </c>
      <c r="AB509" s="129">
        <f t="shared" si="130"/>
        <v>0</v>
      </c>
      <c r="AC509" s="130">
        <v>0</v>
      </c>
      <c r="AD509" s="35">
        <f t="shared" si="141"/>
        <v>0</v>
      </c>
      <c r="AE509" s="166" t="str">
        <f t="shared" si="142"/>
        <v>Release</v>
      </c>
      <c r="AF509" s="127"/>
      <c r="AG509" s="127">
        <v>0</v>
      </c>
      <c r="AH509" s="132"/>
      <c r="AI509" s="238">
        <v>0</v>
      </c>
      <c r="AJ509" s="132"/>
      <c r="AK509" s="151">
        <v>337.8</v>
      </c>
      <c r="AL509" s="154">
        <f t="shared" si="131"/>
        <v>0</v>
      </c>
      <c r="AM509" s="155"/>
      <c r="AN509" s="19">
        <f t="shared" si="132"/>
        <v>1861</v>
      </c>
      <c r="AO509" s="118">
        <f>SUMIF('MPG Payment '!E:E,'Shayak Income '!D509,'MPG Payment '!AJ:AJ)</f>
        <v>0</v>
      </c>
      <c r="AP509" s="19">
        <f t="shared" si="133"/>
        <v>1671</v>
      </c>
      <c r="AQ509" s="119">
        <f t="shared" si="143"/>
        <v>1671</v>
      </c>
      <c r="AR509" s="91" t="s">
        <v>1144</v>
      </c>
      <c r="AS509" s="91">
        <f t="shared" si="134"/>
        <v>12800</v>
      </c>
      <c r="AT509" s="118"/>
      <c r="AU509" s="118"/>
      <c r="AV509" s="118"/>
    </row>
    <row r="510" spans="1:48" s="20" customFormat="1" x14ac:dyDescent="0.25">
      <c r="A510" s="17">
        <f>IFERROR(VLOOKUP(D510,'Monthly Deduction'!$I$3:$J$957,2,0),0)</f>
        <v>0</v>
      </c>
      <c r="B510" s="17">
        <f>IFERROR(VLOOKUP(D510,'Monthly Deduction'!$E$3:$F$957,2,0),0)</f>
        <v>0</v>
      </c>
      <c r="C510" s="17">
        <f t="shared" si="135"/>
        <v>0</v>
      </c>
      <c r="D510" s="41">
        <v>10530009</v>
      </c>
      <c r="E510" s="122" t="str">
        <f>VLOOKUP(D510,'MPG Payment '!$E$3:$G$497305,2,0)</f>
        <v>Gomukh Singhiya</v>
      </c>
      <c r="F510" s="146">
        <f>IFERROR(_xlfn.XLOOKUP(D510,'Monthly Deduction'!$I$3:$I$957,'Monthly Deduction'!$H$3:$H$957),0)</f>
        <v>0</v>
      </c>
      <c r="G510" s="123" t="str">
        <f>VLOOKUP(D510,'MPG Payment '!$E$3:$G$333666,3,0)</f>
        <v>vlc</v>
      </c>
      <c r="H510" s="124" t="str">
        <f>VLOOKUP(D510,'MPG Payment '!$E$3:$H$333666,4,0)</f>
        <v>Indirect</v>
      </c>
      <c r="I510" s="88">
        <f>INDEX('MPG Payment '!$C:$C,MATCH('Shayak Income '!D510,'MPG Payment '!E:E,0))</f>
        <v>1053</v>
      </c>
      <c r="J510" s="88" t="str">
        <f>INDEX('MPG Payment '!$D:$D,MATCH('Shayak Income '!D510,'MPG Payment '!E:E,0))</f>
        <v>Kalyanpur</v>
      </c>
      <c r="K510" s="125" t="s">
        <v>1594</v>
      </c>
      <c r="L510" s="125">
        <v>45696</v>
      </c>
      <c r="M510" s="126">
        <f>SUMIF('MPG Payment '!$E$3:$E$344841,'Shayak Income '!D510,'MPG Payment '!$I$3:$I$344841)</f>
        <v>27920.9</v>
      </c>
      <c r="N510" s="126">
        <f>SUMIF('MPG Payment '!$E$3:$E$344841,'Shayak Income '!D510,'MPG Payment '!$J$3:$J$344841)</f>
        <v>1156660.4300000002</v>
      </c>
      <c r="O510" s="126">
        <f t="shared" si="136"/>
        <v>20940.675000000003</v>
      </c>
      <c r="P510" s="126">
        <f t="shared" si="137"/>
        <v>26524.855</v>
      </c>
      <c r="Q510" s="126">
        <f>SUMIF('MPG Payment '!$E$3:$E$344841,'Shayak Income '!D510,'MPG Payment '!$S$3:$S$344841)</f>
        <v>0</v>
      </c>
      <c r="R510" s="126">
        <f t="shared" si="127"/>
        <v>34699.812900000004</v>
      </c>
      <c r="S510" s="126">
        <f t="shared" si="128"/>
        <v>8174.9579000000049</v>
      </c>
      <c r="T510" s="126">
        <f t="shared" si="138"/>
        <v>2792.09</v>
      </c>
      <c r="U510" s="127">
        <f>((((((IF(K510="New",0,SUMIF('MPG Payment '!$E$3:$E$344841,'Shayak Income '!D510,'MPG Payment '!$AC$3:$AC$344841))))+0)+0)+0)+0)+0</f>
        <v>0</v>
      </c>
      <c r="V510" s="127">
        <f t="shared" si="139"/>
        <v>44673</v>
      </c>
      <c r="W510" s="19">
        <f t="shared" si="140"/>
        <v>0</v>
      </c>
      <c r="X510" s="19">
        <f t="shared" si="129"/>
        <v>0</v>
      </c>
      <c r="Y510" s="128">
        <f>IFERROR(VLOOKUP(D510,'Monthly Deduction'!$M$2:$N$640,2,0),0)</f>
        <v>0</v>
      </c>
      <c r="Z510" s="128">
        <v>0</v>
      </c>
      <c r="AA510" s="126">
        <f>IFERROR(VLOOKUP(D510,'Monthly Deduction'!A:B,2,0),0)</f>
        <v>0</v>
      </c>
      <c r="AB510" s="129">
        <f t="shared" si="130"/>
        <v>44673</v>
      </c>
      <c r="AC510" s="130">
        <v>0</v>
      </c>
      <c r="AD510" s="35">
        <f t="shared" si="141"/>
        <v>44673</v>
      </c>
      <c r="AE510" s="166" t="str">
        <f t="shared" si="142"/>
        <v>Release</v>
      </c>
      <c r="AF510" s="127"/>
      <c r="AG510" s="18">
        <v>0</v>
      </c>
      <c r="AH510" s="132"/>
      <c r="AI510" s="238">
        <v>0</v>
      </c>
      <c r="AJ510" s="132"/>
      <c r="AK510" s="151">
        <v>5613.35</v>
      </c>
      <c r="AL510" s="154">
        <f t="shared" si="131"/>
        <v>0</v>
      </c>
      <c r="AM510" s="155"/>
      <c r="AN510" s="19">
        <f t="shared" si="132"/>
        <v>0</v>
      </c>
      <c r="AO510" s="118">
        <f>SUMIF('MPG Payment '!E:E,'Shayak Income '!D510,'MPG Payment '!AJ:AJ)</f>
        <v>0</v>
      </c>
      <c r="AP510" s="19">
        <f t="shared" si="133"/>
        <v>0</v>
      </c>
      <c r="AQ510" s="119">
        <f t="shared" si="143"/>
        <v>0</v>
      </c>
      <c r="AR510" s="91" t="s">
        <v>1144</v>
      </c>
      <c r="AS510" s="91">
        <f t="shared" si="134"/>
        <v>0</v>
      </c>
      <c r="AT510" s="118"/>
      <c r="AU510" s="118"/>
      <c r="AV510" s="118"/>
    </row>
    <row r="511" spans="1:48" s="20" customFormat="1" x14ac:dyDescent="0.25">
      <c r="A511" s="17">
        <f>IFERROR(VLOOKUP(D511,'Monthly Deduction'!$I$3:$J$957,2,0),0)</f>
        <v>0</v>
      </c>
      <c r="B511" s="17">
        <f>IFERROR(VLOOKUP(D511,'Monthly Deduction'!$E$3:$F$957,2,0),0)</f>
        <v>0</v>
      </c>
      <c r="C511" s="17">
        <f t="shared" si="135"/>
        <v>0</v>
      </c>
      <c r="D511" s="41">
        <v>10530010</v>
      </c>
      <c r="E511" s="122" t="str">
        <f>VLOOKUP(D511,'MPG Payment '!$E$3:$G$497305,2,0)</f>
        <v xml:space="preserve">Gomukh BALHA </v>
      </c>
      <c r="F511" s="146">
        <f>IFERROR(_xlfn.XLOOKUP(D511,'Monthly Deduction'!$I$3:$I$957,'Monthly Deduction'!$H$3:$H$957),0)</f>
        <v>0</v>
      </c>
      <c r="G511" s="123" t="str">
        <f>VLOOKUP(D511,'MPG Payment '!$E$3:$G$333666,3,0)</f>
        <v>vlc</v>
      </c>
      <c r="H511" s="124" t="str">
        <f>VLOOKUP(D511,'MPG Payment '!$E$3:$H$333666,4,0)</f>
        <v>Indirect</v>
      </c>
      <c r="I511" s="88">
        <f>INDEX('MPG Payment '!$C:$C,MATCH('Shayak Income '!D511,'MPG Payment '!E:E,0))</f>
        <v>1053</v>
      </c>
      <c r="J511" s="88" t="str">
        <f>INDEX('MPG Payment '!$D:$D,MATCH('Shayak Income '!D511,'MPG Payment '!E:E,0))</f>
        <v>Kalyanpur</v>
      </c>
      <c r="K511" s="125" t="s">
        <v>1594</v>
      </c>
      <c r="L511" s="125">
        <v>45696</v>
      </c>
      <c r="M511" s="126">
        <f>SUMIF('MPG Payment '!$E$3:$E$344841,'Shayak Income '!D511,'MPG Payment '!$I$3:$I$344841)</f>
        <v>11549.45</v>
      </c>
      <c r="N511" s="126">
        <f>SUMIF('MPG Payment '!$E$3:$E$344841,'Shayak Income '!D511,'MPG Payment '!$J$3:$J$344841)</f>
        <v>499758.39</v>
      </c>
      <c r="O511" s="126">
        <f t="shared" si="136"/>
        <v>8662.0875000000015</v>
      </c>
      <c r="P511" s="126">
        <f t="shared" si="137"/>
        <v>10971.977500000001</v>
      </c>
      <c r="Q511" s="126">
        <f>SUMIF('MPG Payment '!$E$3:$E$344841,'Shayak Income '!D511,'MPG Payment '!$S$3:$S$344841)</f>
        <v>0</v>
      </c>
      <c r="R511" s="126">
        <f t="shared" si="127"/>
        <v>14992.751700000001</v>
      </c>
      <c r="S511" s="126">
        <f t="shared" si="128"/>
        <v>4020.7741999999998</v>
      </c>
      <c r="T511" s="126">
        <f t="shared" si="138"/>
        <v>1154.9450000000002</v>
      </c>
      <c r="U511" s="127">
        <f>((((((IF(K511="New",0,SUMIF('MPG Payment '!$E$3:$E$344841,'Shayak Income '!D511,'MPG Payment '!$AC$3:$AC$344841))))+0)+0)+0)+0)+0</f>
        <v>0</v>
      </c>
      <c r="V511" s="127">
        <f t="shared" si="139"/>
        <v>18479</v>
      </c>
      <c r="W511" s="19">
        <f t="shared" si="140"/>
        <v>0</v>
      </c>
      <c r="X511" s="19">
        <f t="shared" si="129"/>
        <v>0</v>
      </c>
      <c r="Y511" s="128">
        <f>IFERROR(VLOOKUP(D511,'Monthly Deduction'!$M$2:$N$640,2,0),0)</f>
        <v>0</v>
      </c>
      <c r="Z511" s="128">
        <v>0</v>
      </c>
      <c r="AA511" s="126">
        <f>IFERROR(VLOOKUP(D511,'Monthly Deduction'!A:B,2,0),0)</f>
        <v>0</v>
      </c>
      <c r="AB511" s="129">
        <f t="shared" si="130"/>
        <v>18479</v>
      </c>
      <c r="AC511" s="130">
        <v>0</v>
      </c>
      <c r="AD511" s="35">
        <f t="shared" si="141"/>
        <v>18479</v>
      </c>
      <c r="AE511" s="166" t="str">
        <f t="shared" si="142"/>
        <v>Release</v>
      </c>
      <c r="AF511" s="127"/>
      <c r="AG511" s="18">
        <v>0</v>
      </c>
      <c r="AH511" s="120"/>
      <c r="AI511" s="238">
        <v>0</v>
      </c>
      <c r="AJ511" s="132"/>
      <c r="AK511" s="151">
        <v>2167.4499999999998</v>
      </c>
      <c r="AL511" s="154">
        <f t="shared" si="131"/>
        <v>0</v>
      </c>
      <c r="AM511" s="155"/>
      <c r="AN511" s="19">
        <f t="shared" si="132"/>
        <v>0</v>
      </c>
      <c r="AO511" s="118">
        <f>SUMIF('MPG Payment '!E:E,'Shayak Income '!D511,'MPG Payment '!AJ:AJ)</f>
        <v>0</v>
      </c>
      <c r="AP511" s="19">
        <f t="shared" si="133"/>
        <v>0</v>
      </c>
      <c r="AQ511" s="119">
        <f t="shared" si="143"/>
        <v>0</v>
      </c>
      <c r="AR511" s="91" t="s">
        <v>1144</v>
      </c>
      <c r="AS511" s="91">
        <f t="shared" si="134"/>
        <v>0</v>
      </c>
      <c r="AT511" s="118"/>
      <c r="AU511" s="118"/>
      <c r="AV511" s="118"/>
    </row>
    <row r="512" spans="1:48" s="20" customFormat="1" x14ac:dyDescent="0.25">
      <c r="A512" s="17">
        <f>IFERROR(VLOOKUP(D512,'Monthly Deduction'!$I$3:$J$957,2,0),0)</f>
        <v>0</v>
      </c>
      <c r="B512" s="17">
        <f>IFERROR(VLOOKUP(D512,'Monthly Deduction'!$E$3:$F$957,2,0),0)</f>
        <v>0</v>
      </c>
      <c r="C512" s="17">
        <f t="shared" si="135"/>
        <v>0</v>
      </c>
      <c r="D512" s="41">
        <v>10530014</v>
      </c>
      <c r="E512" s="122" t="str">
        <f>VLOOKUP(D512,'MPG Payment '!$E$3:$G$497305,2,0)</f>
        <v>Gomukh Namapur 2</v>
      </c>
      <c r="F512" s="146">
        <f>IFERROR(_xlfn.XLOOKUP(D512,'Monthly Deduction'!$I$3:$I$957,'Monthly Deduction'!$H$3:$H$957),0)</f>
        <v>0</v>
      </c>
      <c r="G512" s="123" t="str">
        <f>VLOOKUP(D512,'MPG Payment '!$E$3:$G$333666,3,0)</f>
        <v>vlc</v>
      </c>
      <c r="H512" s="124" t="str">
        <f>VLOOKUP(D512,'MPG Payment '!$E$3:$H$333666,4,0)</f>
        <v>Indirect</v>
      </c>
      <c r="I512" s="88">
        <f>INDEX('MPG Payment '!$C:$C,MATCH('Shayak Income '!D512,'MPG Payment '!E:E,0))</f>
        <v>1053</v>
      </c>
      <c r="J512" s="88" t="str">
        <f>INDEX('MPG Payment '!$D:$D,MATCH('Shayak Income '!D512,'MPG Payment '!E:E,0))</f>
        <v>Kalyanpur</v>
      </c>
      <c r="K512" s="125" t="s">
        <v>1594</v>
      </c>
      <c r="L512" s="125">
        <v>45696</v>
      </c>
      <c r="M512" s="126">
        <f>SUMIF('MPG Payment '!$E$3:$E$344841,'Shayak Income '!D512,'MPG Payment '!$I$3:$I$344841)</f>
        <v>5867.75</v>
      </c>
      <c r="N512" s="126">
        <f>SUMIF('MPG Payment '!$E$3:$E$344841,'Shayak Income '!D512,'MPG Payment '!$J$3:$J$344841)</f>
        <v>227582.65999999997</v>
      </c>
      <c r="O512" s="126">
        <f t="shared" si="136"/>
        <v>4400.8125</v>
      </c>
      <c r="P512" s="126">
        <f t="shared" si="137"/>
        <v>5574.3625000000002</v>
      </c>
      <c r="Q512" s="126">
        <f>SUMIF('MPG Payment '!$E$3:$E$344841,'Shayak Income '!D512,'MPG Payment '!$S$3:$S$344841)</f>
        <v>0</v>
      </c>
      <c r="R512" s="126">
        <f t="shared" si="127"/>
        <v>6827.4797999999992</v>
      </c>
      <c r="S512" s="126">
        <f t="shared" si="128"/>
        <v>1253.117299999999</v>
      </c>
      <c r="T512" s="126">
        <f t="shared" si="138"/>
        <v>586.77499999999998</v>
      </c>
      <c r="U512" s="127">
        <f>((((((IF(K512="New",0,SUMIF('MPG Payment '!$E$3:$E$344841,'Shayak Income '!D512,'MPG Payment '!$AC$3:$AC$344841))))+0)+0)+0)+0)+0</f>
        <v>490.68819392789368</v>
      </c>
      <c r="V512" s="127">
        <f t="shared" si="139"/>
        <v>8898</v>
      </c>
      <c r="W512" s="19">
        <f t="shared" si="140"/>
        <v>0</v>
      </c>
      <c r="X512" s="19">
        <f t="shared" si="129"/>
        <v>0</v>
      </c>
      <c r="Y512" s="128">
        <f>IFERROR(VLOOKUP(D512,'Monthly Deduction'!$M$2:$N$640,2,0),0)</f>
        <v>0</v>
      </c>
      <c r="Z512" s="128">
        <v>0</v>
      </c>
      <c r="AA512" s="126">
        <f>IFERROR(VLOOKUP(D512,'Monthly Deduction'!A:B,2,0),0)</f>
        <v>0</v>
      </c>
      <c r="AB512" s="129">
        <f t="shared" si="130"/>
        <v>8898</v>
      </c>
      <c r="AC512" s="130">
        <v>0</v>
      </c>
      <c r="AD512" s="35">
        <f t="shared" si="141"/>
        <v>8898</v>
      </c>
      <c r="AE512" s="166" t="str">
        <f t="shared" si="142"/>
        <v>Release</v>
      </c>
      <c r="AF512" s="127"/>
      <c r="AG512" s="18">
        <v>0</v>
      </c>
      <c r="AH512" s="120"/>
      <c r="AI512" s="238">
        <v>0</v>
      </c>
      <c r="AJ512" s="132"/>
      <c r="AK512" s="151">
        <v>1325.0499999999997</v>
      </c>
      <c r="AL512" s="154">
        <f t="shared" si="131"/>
        <v>0</v>
      </c>
      <c r="AM512" s="155"/>
      <c r="AN512" s="19">
        <f t="shared" si="132"/>
        <v>0</v>
      </c>
      <c r="AO512" s="118">
        <f>SUMIF('MPG Payment '!E:E,'Shayak Income '!D512,'MPG Payment '!AJ:AJ)</f>
        <v>0</v>
      </c>
      <c r="AP512" s="19">
        <f t="shared" si="133"/>
        <v>0</v>
      </c>
      <c r="AQ512" s="119">
        <f t="shared" si="143"/>
        <v>0</v>
      </c>
      <c r="AR512" s="91" t="s">
        <v>1144</v>
      </c>
      <c r="AS512" s="91">
        <f t="shared" si="134"/>
        <v>0</v>
      </c>
      <c r="AT512" s="118"/>
      <c r="AU512" s="118"/>
      <c r="AV512" s="118"/>
    </row>
    <row r="513" spans="1:48" s="20" customFormat="1" x14ac:dyDescent="0.25">
      <c r="A513" s="17">
        <f>IFERROR(VLOOKUP(D513,'Monthly Deduction'!$I$3:$J$957,2,0),0)</f>
        <v>0</v>
      </c>
      <c r="B513" s="17">
        <f>IFERROR(VLOOKUP(D513,'Monthly Deduction'!$E$3:$F$957,2,0),0)</f>
        <v>0</v>
      </c>
      <c r="C513" s="17">
        <f t="shared" si="135"/>
        <v>0</v>
      </c>
      <c r="D513" s="41">
        <v>10530015</v>
      </c>
      <c r="E513" s="122" t="str">
        <f>VLOOKUP(D513,'MPG Payment '!$E$3:$G$497305,2,0)</f>
        <v>Gomukh Madhopur</v>
      </c>
      <c r="F513" s="146">
        <f>IFERROR(_xlfn.XLOOKUP(D513,'Monthly Deduction'!$I$3:$I$957,'Monthly Deduction'!$H$3:$H$957),0)</f>
        <v>0</v>
      </c>
      <c r="G513" s="123" t="str">
        <f>VLOOKUP(D513,'MPG Payment '!$E$3:$G$333666,3,0)</f>
        <v>vlc</v>
      </c>
      <c r="H513" s="124" t="str">
        <f>VLOOKUP(D513,'MPG Payment '!$E$3:$H$333666,4,0)</f>
        <v>Indirect</v>
      </c>
      <c r="I513" s="88">
        <f>INDEX('MPG Payment '!$C:$C,MATCH('Shayak Income '!D513,'MPG Payment '!E:E,0))</f>
        <v>1053</v>
      </c>
      <c r="J513" s="88" t="str">
        <f>INDEX('MPG Payment '!$D:$D,MATCH('Shayak Income '!D513,'MPG Payment '!E:E,0))</f>
        <v>Kalyanpur</v>
      </c>
      <c r="K513" s="125" t="s">
        <v>1594</v>
      </c>
      <c r="L513" s="125">
        <v>45696</v>
      </c>
      <c r="M513" s="126">
        <f>SUMIF('MPG Payment '!$E$3:$E$344841,'Shayak Income '!D513,'MPG Payment '!$I$3:$I$344841)</f>
        <v>2426.1</v>
      </c>
      <c r="N513" s="126">
        <f>SUMIF('MPG Payment '!$E$3:$E$344841,'Shayak Income '!D513,'MPG Payment '!$J$3:$J$344841)</f>
        <v>100901.56</v>
      </c>
      <c r="O513" s="126">
        <f t="shared" si="136"/>
        <v>1819.5749999999998</v>
      </c>
      <c r="P513" s="126">
        <f t="shared" si="137"/>
        <v>2304.7949999999996</v>
      </c>
      <c r="Q513" s="126">
        <f>SUMIF('MPG Payment '!$E$3:$E$344841,'Shayak Income '!D513,'MPG Payment '!$S$3:$S$344841)</f>
        <v>0</v>
      </c>
      <c r="R513" s="126">
        <f t="shared" si="127"/>
        <v>3027.0467999999996</v>
      </c>
      <c r="S513" s="126">
        <f t="shared" si="128"/>
        <v>722.2518</v>
      </c>
      <c r="T513" s="126">
        <f t="shared" si="138"/>
        <v>242.61</v>
      </c>
      <c r="U513" s="127">
        <f>((((((IF(K513="New",0,SUMIF('MPG Payment '!$E$3:$E$344841,'Shayak Income '!D513,'MPG Payment '!$AC$3:$AC$344841))))+0)+0)+0)+0)+0</f>
        <v>346.87248103645305</v>
      </c>
      <c r="V513" s="127">
        <f t="shared" si="139"/>
        <v>3535</v>
      </c>
      <c r="W513" s="19">
        <f t="shared" si="140"/>
        <v>0</v>
      </c>
      <c r="X513" s="19">
        <f t="shared" si="129"/>
        <v>0</v>
      </c>
      <c r="Y513" s="128">
        <f>IFERROR(VLOOKUP(D513,'Monthly Deduction'!$M$2:$N$640,2,0),0)</f>
        <v>0</v>
      </c>
      <c r="Z513" s="128">
        <v>0</v>
      </c>
      <c r="AA513" s="126">
        <f>IFERROR(VLOOKUP(D513,'Monthly Deduction'!A:B,2,0),0)</f>
        <v>0</v>
      </c>
      <c r="AB513" s="129">
        <f t="shared" si="130"/>
        <v>3535</v>
      </c>
      <c r="AC513" s="130">
        <v>0</v>
      </c>
      <c r="AD513" s="35">
        <f t="shared" si="141"/>
        <v>3535</v>
      </c>
      <c r="AE513" s="166" t="str">
        <f t="shared" si="142"/>
        <v>Release</v>
      </c>
      <c r="AF513" s="127"/>
      <c r="AG513" s="127">
        <v>0</v>
      </c>
      <c r="AH513" s="120"/>
      <c r="AI513" s="238">
        <v>0</v>
      </c>
      <c r="AJ513" s="132"/>
      <c r="AK513" s="151">
        <v>591.85</v>
      </c>
      <c r="AL513" s="154">
        <f t="shared" si="131"/>
        <v>0</v>
      </c>
      <c r="AM513" s="155"/>
      <c r="AN513" s="19">
        <f t="shared" si="132"/>
        <v>0</v>
      </c>
      <c r="AO513" s="118">
        <f>SUMIF('MPG Payment '!E:E,'Shayak Income '!D513,'MPG Payment '!AJ:AJ)</f>
        <v>0</v>
      </c>
      <c r="AP513" s="19">
        <f t="shared" si="133"/>
        <v>0</v>
      </c>
      <c r="AQ513" s="119">
        <f t="shared" si="143"/>
        <v>0</v>
      </c>
      <c r="AR513" s="91" t="s">
        <v>1144</v>
      </c>
      <c r="AS513" s="91">
        <f t="shared" si="134"/>
        <v>0</v>
      </c>
      <c r="AT513" s="118"/>
      <c r="AU513" s="118"/>
      <c r="AV513" s="118"/>
    </row>
    <row r="514" spans="1:48" s="20" customFormat="1" x14ac:dyDescent="0.25">
      <c r="A514" s="17">
        <f>IFERROR(VLOOKUP(D514,'Monthly Deduction'!$I$3:$J$957,2,0),0)</f>
        <v>0</v>
      </c>
      <c r="B514" s="17">
        <f>IFERROR(VLOOKUP(D514,'Monthly Deduction'!$E$3:$F$957,2,0),0)</f>
        <v>0</v>
      </c>
      <c r="C514" s="17">
        <f t="shared" si="135"/>
        <v>0</v>
      </c>
      <c r="D514" s="41">
        <v>10530016</v>
      </c>
      <c r="E514" s="122" t="str">
        <f>VLOOKUP(D514,'MPG Payment '!$E$3:$G$497305,2,0)</f>
        <v>Gomukh Kalyanpur East</v>
      </c>
      <c r="F514" s="146">
        <f>IFERROR(_xlfn.XLOOKUP(D514,'Monthly Deduction'!$I$3:$I$957,'Monthly Deduction'!$H$3:$H$957),0)</f>
        <v>0</v>
      </c>
      <c r="G514" s="123" t="str">
        <f>VLOOKUP(D514,'MPG Payment '!$E$3:$G$333666,3,0)</f>
        <v>vlc</v>
      </c>
      <c r="H514" s="124" t="str">
        <f>VLOOKUP(D514,'MPG Payment '!$E$3:$H$333666,4,0)</f>
        <v>Indirect</v>
      </c>
      <c r="I514" s="88">
        <f>INDEX('MPG Payment '!$C:$C,MATCH('Shayak Income '!D514,'MPG Payment '!E:E,0))</f>
        <v>1053</v>
      </c>
      <c r="J514" s="88" t="str">
        <f>INDEX('MPG Payment '!$D:$D,MATCH('Shayak Income '!D514,'MPG Payment '!E:E,0))</f>
        <v>Kalyanpur</v>
      </c>
      <c r="K514" s="125" t="s">
        <v>1594</v>
      </c>
      <c r="L514" s="125">
        <v>45697</v>
      </c>
      <c r="M514" s="126">
        <f>SUMIF('MPG Payment '!$E$3:$E$344841,'Shayak Income '!D514,'MPG Payment '!$I$3:$I$344841)</f>
        <v>3502.85</v>
      </c>
      <c r="N514" s="126">
        <f>SUMIF('MPG Payment '!$E$3:$E$344841,'Shayak Income '!D514,'MPG Payment '!$J$3:$J$344841)</f>
        <v>141432.46999999997</v>
      </c>
      <c r="O514" s="126">
        <f t="shared" si="136"/>
        <v>2627.1374999999998</v>
      </c>
      <c r="P514" s="126">
        <f t="shared" si="137"/>
        <v>3327.7075</v>
      </c>
      <c r="Q514" s="126">
        <f>SUMIF('MPG Payment '!$E$3:$E$344841,'Shayak Income '!D514,'MPG Payment '!$S$3:$S$344841)</f>
        <v>0</v>
      </c>
      <c r="R514" s="126">
        <f t="shared" si="127"/>
        <v>4242.9740999999995</v>
      </c>
      <c r="S514" s="126">
        <f t="shared" si="128"/>
        <v>915.26659999999947</v>
      </c>
      <c r="T514" s="126">
        <f t="shared" si="138"/>
        <v>350.28500000000003</v>
      </c>
      <c r="U514" s="127">
        <f>((((((IF(K514="New",0,SUMIF('MPG Payment '!$E$3:$E$344841,'Shayak Income '!D514,'MPG Payment '!$AC$3:$AC$344841))))+0)+0)+0)+0)+0</f>
        <v>0</v>
      </c>
      <c r="V514" s="127">
        <f t="shared" si="139"/>
        <v>5605</v>
      </c>
      <c r="W514" s="19">
        <f t="shared" si="140"/>
        <v>0</v>
      </c>
      <c r="X514" s="19">
        <f t="shared" si="129"/>
        <v>0</v>
      </c>
      <c r="Y514" s="128">
        <f>IFERROR(VLOOKUP(D514,'Monthly Deduction'!$M$2:$N$640,2,0),0)</f>
        <v>0</v>
      </c>
      <c r="Z514" s="128">
        <v>0</v>
      </c>
      <c r="AA514" s="126">
        <f>IFERROR(VLOOKUP(D514,'Monthly Deduction'!A:B,2,0),0)</f>
        <v>0</v>
      </c>
      <c r="AB514" s="129">
        <f t="shared" si="130"/>
        <v>5605</v>
      </c>
      <c r="AC514" s="130">
        <v>0</v>
      </c>
      <c r="AD514" s="35">
        <f t="shared" si="141"/>
        <v>5605</v>
      </c>
      <c r="AE514" s="166" t="str">
        <f t="shared" si="142"/>
        <v>Release</v>
      </c>
      <c r="AF514" s="127"/>
      <c r="AG514" s="127">
        <v>0</v>
      </c>
      <c r="AH514" s="120"/>
      <c r="AI514" s="238">
        <v>0</v>
      </c>
      <c r="AJ514" s="132"/>
      <c r="AK514" s="151">
        <v>890.05000000000007</v>
      </c>
      <c r="AL514" s="154">
        <f t="shared" si="131"/>
        <v>0</v>
      </c>
      <c r="AM514" s="155"/>
      <c r="AN514" s="19">
        <f t="shared" si="132"/>
        <v>0</v>
      </c>
      <c r="AO514" s="118">
        <f>SUMIF('MPG Payment '!E:E,'Shayak Income '!D514,'MPG Payment '!AJ:AJ)</f>
        <v>0</v>
      </c>
      <c r="AP514" s="19">
        <f t="shared" si="133"/>
        <v>0</v>
      </c>
      <c r="AQ514" s="119">
        <f t="shared" si="143"/>
        <v>0</v>
      </c>
      <c r="AR514" s="91" t="s">
        <v>1144</v>
      </c>
      <c r="AS514" s="91">
        <f t="shared" si="134"/>
        <v>0</v>
      </c>
      <c r="AT514" s="118"/>
      <c r="AU514" s="118"/>
      <c r="AV514" s="118"/>
    </row>
    <row r="515" spans="1:48" s="20" customFormat="1" x14ac:dyDescent="0.25">
      <c r="A515" s="17">
        <f>IFERROR(VLOOKUP(D515,'Monthly Deduction'!$I$3:$J$957,2,0),0)</f>
        <v>0</v>
      </c>
      <c r="B515" s="17">
        <f>IFERROR(VLOOKUP(D515,'Monthly Deduction'!$E$3:$F$957,2,0),0)</f>
        <v>0</v>
      </c>
      <c r="C515" s="17">
        <f t="shared" si="135"/>
        <v>0</v>
      </c>
      <c r="D515" s="41">
        <v>10530017</v>
      </c>
      <c r="E515" s="122" t="str">
        <f>VLOOKUP(D515,'MPG Payment '!$E$3:$G$497305,2,0)</f>
        <v>Gomukh Bazidpur</v>
      </c>
      <c r="F515" s="146">
        <f>IFERROR(_xlfn.XLOOKUP(D515,'Monthly Deduction'!$I$3:$I$957,'Monthly Deduction'!$H$3:$H$957),0)</f>
        <v>0</v>
      </c>
      <c r="G515" s="123" t="str">
        <f>VLOOKUP(D515,'MPG Payment '!$E$3:$G$333666,3,0)</f>
        <v>vlc</v>
      </c>
      <c r="H515" s="124" t="str">
        <f>VLOOKUP(D515,'MPG Payment '!$E$3:$H$333666,4,0)</f>
        <v>Indirect</v>
      </c>
      <c r="I515" s="88">
        <f>INDEX('MPG Payment '!$C:$C,MATCH('Shayak Income '!D515,'MPG Payment '!E:E,0))</f>
        <v>1053</v>
      </c>
      <c r="J515" s="88" t="str">
        <f>INDEX('MPG Payment '!$D:$D,MATCH('Shayak Income '!D515,'MPG Payment '!E:E,0))</f>
        <v>Kalyanpur</v>
      </c>
      <c r="K515" s="125" t="s">
        <v>1594</v>
      </c>
      <c r="L515" s="125">
        <v>45699</v>
      </c>
      <c r="M515" s="126">
        <f>SUMIF('MPG Payment '!$E$3:$E$344841,'Shayak Income '!D515,'MPG Payment '!$I$3:$I$344841)</f>
        <v>11409</v>
      </c>
      <c r="N515" s="126">
        <f>SUMIF('MPG Payment '!$E$3:$E$344841,'Shayak Income '!D515,'MPG Payment '!$J$3:$J$344841)</f>
        <v>506557.29000000004</v>
      </c>
      <c r="O515" s="126">
        <f t="shared" si="136"/>
        <v>8556.75</v>
      </c>
      <c r="P515" s="126">
        <f t="shared" si="137"/>
        <v>10838.55</v>
      </c>
      <c r="Q515" s="126">
        <f>SUMIF('MPG Payment '!$E$3:$E$344841,'Shayak Income '!D515,'MPG Payment '!$S$3:$S$344841)</f>
        <v>0</v>
      </c>
      <c r="R515" s="126">
        <f t="shared" si="127"/>
        <v>15196.718700000001</v>
      </c>
      <c r="S515" s="126">
        <f t="shared" si="128"/>
        <v>4358.168700000002</v>
      </c>
      <c r="T515" s="126">
        <f t="shared" si="138"/>
        <v>1140.9000000000001</v>
      </c>
      <c r="U515" s="127">
        <f>((((((IF(K515="New",0,SUMIF('MPG Payment '!$E$3:$E$344841,'Shayak Income '!D515,'MPG Payment '!$AC$3:$AC$344841))))+0)+0)+0)+0)+0</f>
        <v>0</v>
      </c>
      <c r="V515" s="127">
        <f t="shared" si="139"/>
        <v>18254</v>
      </c>
      <c r="W515" s="19">
        <f t="shared" si="140"/>
        <v>0</v>
      </c>
      <c r="X515" s="19">
        <f t="shared" si="129"/>
        <v>0</v>
      </c>
      <c r="Y515" s="128">
        <f>IFERROR(VLOOKUP(D515,'Monthly Deduction'!$M$2:$N$640,2,0),0)</f>
        <v>0</v>
      </c>
      <c r="Z515" s="128">
        <v>0</v>
      </c>
      <c r="AA515" s="126">
        <f>IFERROR(VLOOKUP(D515,'Monthly Deduction'!A:B,2,0),0)</f>
        <v>0</v>
      </c>
      <c r="AB515" s="129">
        <f t="shared" si="130"/>
        <v>18254</v>
      </c>
      <c r="AC515" s="130">
        <v>0</v>
      </c>
      <c r="AD515" s="35">
        <f t="shared" si="141"/>
        <v>18254</v>
      </c>
      <c r="AE515" s="166" t="str">
        <f t="shared" si="142"/>
        <v>Release</v>
      </c>
      <c r="AF515" s="127"/>
      <c r="AG515" s="127">
        <v>0</v>
      </c>
      <c r="AH515" s="120"/>
      <c r="AI515" s="238">
        <v>0</v>
      </c>
      <c r="AJ515" s="132"/>
      <c r="AK515" s="151">
        <v>1663.2499999999998</v>
      </c>
      <c r="AL515" s="154">
        <f t="shared" si="131"/>
        <v>0</v>
      </c>
      <c r="AM515" s="155"/>
      <c r="AN515" s="19">
        <f t="shared" si="132"/>
        <v>0</v>
      </c>
      <c r="AO515" s="118">
        <f>SUMIF('MPG Payment '!E:E,'Shayak Income '!D515,'MPG Payment '!AJ:AJ)</f>
        <v>0</v>
      </c>
      <c r="AP515" s="19">
        <f t="shared" si="133"/>
        <v>0</v>
      </c>
      <c r="AQ515" s="119">
        <f t="shared" si="143"/>
        <v>0</v>
      </c>
      <c r="AR515" s="91" t="s">
        <v>1144</v>
      </c>
      <c r="AS515" s="91">
        <f t="shared" si="134"/>
        <v>0</v>
      </c>
      <c r="AT515" s="118"/>
      <c r="AU515" s="118"/>
      <c r="AV515" s="118"/>
    </row>
    <row r="516" spans="1:48" s="20" customFormat="1" x14ac:dyDescent="0.25">
      <c r="A516" s="17">
        <f>IFERROR(VLOOKUP(D516,'Monthly Deduction'!$I$3:$J$957,2,0),0)</f>
        <v>0</v>
      </c>
      <c r="B516" s="17">
        <f>IFERROR(VLOOKUP(D516,'Monthly Deduction'!$E$3:$F$957,2,0),0)</f>
        <v>0</v>
      </c>
      <c r="C516" s="17">
        <f t="shared" si="135"/>
        <v>0</v>
      </c>
      <c r="D516" s="41">
        <v>10530018</v>
      </c>
      <c r="E516" s="122" t="str">
        <f>VLOOKUP(D516,'MPG Payment '!$E$3:$G$497305,2,0)</f>
        <v>Gomukh Belsandi</v>
      </c>
      <c r="F516" s="146">
        <f>IFERROR(_xlfn.XLOOKUP(D516,'Monthly Deduction'!$I$3:$I$957,'Monthly Deduction'!$H$3:$H$957),0)</f>
        <v>0</v>
      </c>
      <c r="G516" s="123" t="str">
        <f>VLOOKUP(D516,'MPG Payment '!$E$3:$G$333666,3,0)</f>
        <v>vlc</v>
      </c>
      <c r="H516" s="124" t="str">
        <f>VLOOKUP(D516,'MPG Payment '!$E$3:$H$333666,4,0)</f>
        <v>Indirect</v>
      </c>
      <c r="I516" s="88">
        <f>INDEX('MPG Payment '!$C:$C,MATCH('Shayak Income '!D516,'MPG Payment '!E:E,0))</f>
        <v>1053</v>
      </c>
      <c r="J516" s="88" t="str">
        <f>INDEX('MPG Payment '!$D:$D,MATCH('Shayak Income '!D516,'MPG Payment '!E:E,0))</f>
        <v>Kalyanpur</v>
      </c>
      <c r="K516" s="125" t="s">
        <v>1594</v>
      </c>
      <c r="L516" s="125">
        <v>45700</v>
      </c>
      <c r="M516" s="126">
        <f>SUMIF('MPG Payment '!$E$3:$E$344841,'Shayak Income '!D516,'MPG Payment '!$I$3:$I$344841)</f>
        <v>3814.5</v>
      </c>
      <c r="N516" s="126">
        <f>SUMIF('MPG Payment '!$E$3:$E$344841,'Shayak Income '!D516,'MPG Payment '!$J$3:$J$344841)</f>
        <v>157622.93</v>
      </c>
      <c r="O516" s="126">
        <f t="shared" si="136"/>
        <v>2860.875</v>
      </c>
      <c r="P516" s="126">
        <f t="shared" si="137"/>
        <v>3623.7749999999996</v>
      </c>
      <c r="Q516" s="126">
        <f>SUMIF('MPG Payment '!$E$3:$E$344841,'Shayak Income '!D516,'MPG Payment '!$S$3:$S$344841)</f>
        <v>0</v>
      </c>
      <c r="R516" s="126">
        <f t="shared" ref="R516:R579" si="145">+N516*3%</f>
        <v>4728.6878999999999</v>
      </c>
      <c r="S516" s="126">
        <f t="shared" ref="S516:S579" si="146">R516-P516</f>
        <v>1104.9129000000003</v>
      </c>
      <c r="T516" s="126">
        <f t="shared" si="138"/>
        <v>381.45000000000005</v>
      </c>
      <c r="U516" s="127">
        <f>((((((IF(K516="New",0,SUMIF('MPG Payment '!$E$3:$E$344841,'Shayak Income '!D516,'MPG Payment '!$AC$3:$AC$344841))))+0)+0)+0)+0)+0</f>
        <v>79.080735396773122</v>
      </c>
      <c r="V516" s="127">
        <f t="shared" si="139"/>
        <v>6024</v>
      </c>
      <c r="W516" s="19">
        <f t="shared" si="140"/>
        <v>0</v>
      </c>
      <c r="X516" s="19">
        <f t="shared" ref="X516:X578" si="147">((MIN(IF(B516&gt;0,MAX(N516*2%),0),B516)))+0</f>
        <v>0</v>
      </c>
      <c r="Y516" s="128">
        <f>IFERROR(VLOOKUP(D516,'Monthly Deduction'!$M$2:$N$640,2,0),0)</f>
        <v>0</v>
      </c>
      <c r="Z516" s="128">
        <v>0</v>
      </c>
      <c r="AA516" s="126">
        <f>IFERROR(VLOOKUP(D516,'Monthly Deduction'!A:B,2,0),0)</f>
        <v>0</v>
      </c>
      <c r="AB516" s="129">
        <f t="shared" ref="AB516:AB579" si="148">ROUND(IFERROR(V516-SUM(W516:AA516),0),0)</f>
        <v>6024</v>
      </c>
      <c r="AC516" s="130">
        <v>0</v>
      </c>
      <c r="AD516" s="35">
        <f t="shared" si="141"/>
        <v>6024</v>
      </c>
      <c r="AE516" s="166" t="str">
        <f t="shared" si="142"/>
        <v>Release</v>
      </c>
      <c r="AF516" s="127"/>
      <c r="AG516" s="127">
        <v>0</v>
      </c>
      <c r="AH516" s="215"/>
      <c r="AI516" s="238">
        <v>0</v>
      </c>
      <c r="AJ516" s="132"/>
      <c r="AK516" s="151">
        <v>1021.7500000000001</v>
      </c>
      <c r="AL516" s="154">
        <f t="shared" ref="AL516:AL579" si="149">COUNTIF(AK516:AK516,"=NA")</f>
        <v>0</v>
      </c>
      <c r="AM516" s="155"/>
      <c r="AN516" s="19">
        <f t="shared" ref="AN516:AN579" si="150">((MIN(IF(A516&gt;0,MAX(N516*2%,1861),0),A516)))+0</f>
        <v>0</v>
      </c>
      <c r="AO516" s="118">
        <f>SUMIF('MPG Payment '!E:E,'Shayak Income '!D516,'MPG Payment '!AJ:AJ)</f>
        <v>0</v>
      </c>
      <c r="AP516" s="19">
        <f t="shared" ref="AP516:AP579" si="151">W516</f>
        <v>0</v>
      </c>
      <c r="AQ516" s="119">
        <f t="shared" si="143"/>
        <v>0</v>
      </c>
      <c r="AR516" s="91" t="s">
        <v>1144</v>
      </c>
      <c r="AS516" s="91">
        <f t="shared" ref="AS516:AS579" si="152">B516-X516</f>
        <v>0</v>
      </c>
      <c r="AT516" s="118"/>
      <c r="AU516" s="118"/>
      <c r="AV516" s="118"/>
    </row>
    <row r="517" spans="1:48" s="20" customFormat="1" x14ac:dyDescent="0.25">
      <c r="A517" s="17">
        <f>IFERROR(VLOOKUP(D517,'Monthly Deduction'!$I$3:$J$957,2,0),0)</f>
        <v>0</v>
      </c>
      <c r="B517" s="17">
        <f>IFERROR(VLOOKUP(D517,'Monthly Deduction'!$E$3:$F$957,2,0),0)</f>
        <v>0</v>
      </c>
      <c r="C517" s="17">
        <f t="shared" ref="C517:C580" si="153">A517+B517</f>
        <v>0</v>
      </c>
      <c r="D517" s="41">
        <v>10530019</v>
      </c>
      <c r="E517" s="122" t="str">
        <f>VLOOKUP(D517,'MPG Payment '!$E$3:$G$497305,2,0)</f>
        <v>Gomukh Namapur Ward 8</v>
      </c>
      <c r="F517" s="146">
        <f>IFERROR(_xlfn.XLOOKUP(D517,'Monthly Deduction'!$I$3:$I$957,'Monthly Deduction'!$H$3:$H$957),0)</f>
        <v>0</v>
      </c>
      <c r="G517" s="123" t="str">
        <f>VLOOKUP(D517,'MPG Payment '!$E$3:$G$333666,3,0)</f>
        <v>VLC</v>
      </c>
      <c r="H517" s="124" t="str">
        <f>VLOOKUP(D517,'MPG Payment '!$E$3:$H$333666,4,0)</f>
        <v>Indirect</v>
      </c>
      <c r="I517" s="88">
        <f>INDEX('MPG Payment '!$C:$C,MATCH('Shayak Income '!D517,'MPG Payment '!E:E,0))</f>
        <v>1053</v>
      </c>
      <c r="J517" s="88" t="str">
        <f>INDEX('MPG Payment '!$D:$D,MATCH('Shayak Income '!D517,'MPG Payment '!E:E,0))</f>
        <v>Kalyanpur</v>
      </c>
      <c r="K517" s="125" t="s">
        <v>1594</v>
      </c>
      <c r="L517" s="125">
        <v>45701</v>
      </c>
      <c r="M517" s="126">
        <f>SUMIF('MPG Payment '!$E$3:$E$344841,'Shayak Income '!D517,'MPG Payment '!$I$3:$I$344841)</f>
        <v>4028.8</v>
      </c>
      <c r="N517" s="126">
        <f>SUMIF('MPG Payment '!$E$3:$E$344841,'Shayak Income '!D517,'MPG Payment '!$J$3:$J$344841)</f>
        <v>166946.91999999998</v>
      </c>
      <c r="O517" s="126">
        <f t="shared" ref="O517:O580" si="154">+M517*0.75</f>
        <v>3021.6000000000004</v>
      </c>
      <c r="P517" s="126">
        <f t="shared" ref="P517:P580" si="155">+M517*0.95</f>
        <v>3827.36</v>
      </c>
      <c r="Q517" s="126">
        <f>SUMIF('MPG Payment '!$E$3:$E$344841,'Shayak Income '!D517,'MPG Payment '!$S$3:$S$344841)</f>
        <v>0</v>
      </c>
      <c r="R517" s="126">
        <f t="shared" si="145"/>
        <v>5008.4075999999995</v>
      </c>
      <c r="S517" s="126">
        <f t="shared" si="146"/>
        <v>1181.0475999999994</v>
      </c>
      <c r="T517" s="126">
        <f t="shared" ref="T517:T580" si="156">M517*0.1</f>
        <v>402.88000000000005</v>
      </c>
      <c r="U517" s="127">
        <f>((((((IF(K517="New",0,SUMIF('MPG Payment '!$E$3:$E$344841,'Shayak Income '!D517,'MPG Payment '!$AC$3:$AC$344841))))+0)+0)+0)+0)+0</f>
        <v>0</v>
      </c>
      <c r="V517" s="127">
        <f t="shared" ref="V517:V580" si="157">ROUND((SUM(O517:Q517)-SUM(T517:U517)),0)</f>
        <v>6446</v>
      </c>
      <c r="W517" s="19">
        <f t="shared" ref="W517:W580" si="158">(((AN517-AO517)))+0</f>
        <v>0</v>
      </c>
      <c r="X517" s="19">
        <f t="shared" si="147"/>
        <v>0</v>
      </c>
      <c r="Y517" s="128">
        <f>IFERROR(VLOOKUP(D517,'Monthly Deduction'!$M$2:$N$640,2,0),0)</f>
        <v>0</v>
      </c>
      <c r="Z517" s="128">
        <v>0</v>
      </c>
      <c r="AA517" s="126">
        <f>IFERROR(VLOOKUP(D517,'Monthly Deduction'!A:B,2,0),0)</f>
        <v>0</v>
      </c>
      <c r="AB517" s="129">
        <f t="shared" si="148"/>
        <v>6446</v>
      </c>
      <c r="AC517" s="130">
        <v>0</v>
      </c>
      <c r="AD517" s="35">
        <f t="shared" ref="AD517:AD580" si="159">ROUND(AB517-AC517,0)</f>
        <v>6446</v>
      </c>
      <c r="AE517" s="166" t="str">
        <f t="shared" ref="AE517:AE580" si="160">IF(AC517&lt;&gt;0,"Yes","Release")</f>
        <v>Release</v>
      </c>
      <c r="AF517" s="127"/>
      <c r="AG517" s="18">
        <v>0</v>
      </c>
      <c r="AH517" s="120"/>
      <c r="AI517" s="238">
        <v>0</v>
      </c>
      <c r="AJ517" s="132"/>
      <c r="AK517" s="151">
        <v>964.25</v>
      </c>
      <c r="AL517" s="154">
        <f t="shared" si="149"/>
        <v>0</v>
      </c>
      <c r="AM517" s="155"/>
      <c r="AN517" s="19">
        <f t="shared" si="150"/>
        <v>0</v>
      </c>
      <c r="AO517" s="118">
        <f>SUMIF('MPG Payment '!E:E,'Shayak Income '!D517,'MPG Payment '!AJ:AJ)</f>
        <v>0</v>
      </c>
      <c r="AP517" s="19">
        <f t="shared" si="151"/>
        <v>0</v>
      </c>
      <c r="AQ517" s="119">
        <f t="shared" ref="AQ517:AQ580" si="161">AO517+AP517</f>
        <v>0</v>
      </c>
      <c r="AR517" s="91" t="s">
        <v>1144</v>
      </c>
      <c r="AS517" s="91">
        <f t="shared" si="152"/>
        <v>0</v>
      </c>
      <c r="AT517" s="118"/>
      <c r="AU517" s="118"/>
      <c r="AV517" s="118"/>
    </row>
    <row r="518" spans="1:48" s="20" customFormat="1" x14ac:dyDescent="0.25">
      <c r="A518" s="17">
        <f>IFERROR(VLOOKUP(D518,'Monthly Deduction'!$I$3:$J$957,2,0),0)</f>
        <v>0</v>
      </c>
      <c r="B518" s="17">
        <f>IFERROR(VLOOKUP(D518,'Monthly Deduction'!$E$3:$F$957,2,0),0)</f>
        <v>0</v>
      </c>
      <c r="C518" s="17">
        <f t="shared" si="153"/>
        <v>0</v>
      </c>
      <c r="D518" s="41">
        <v>10530025</v>
      </c>
      <c r="E518" s="122" t="str">
        <f>VLOOKUP(D518,'MPG Payment '!$E$3:$G$497305,2,0)</f>
        <v>Belsandi</v>
      </c>
      <c r="F518" s="146">
        <f>IFERROR(_xlfn.XLOOKUP(D518,'Monthly Deduction'!$I$3:$I$957,'Monthly Deduction'!$H$3:$H$957),0)</f>
        <v>0</v>
      </c>
      <c r="G518" s="123" t="str">
        <f>VLOOKUP(D518,'MPG Payment '!$E$3:$G$333666,3,0)</f>
        <v>vlc</v>
      </c>
      <c r="H518" s="124" t="str">
        <f>VLOOKUP(D518,'MPG Payment '!$E$3:$H$333666,4,0)</f>
        <v>Indirect</v>
      </c>
      <c r="I518" s="88">
        <f>INDEX('MPG Payment '!$C:$C,MATCH('Shayak Income '!D518,'MPG Payment '!E:E,0))</f>
        <v>1053</v>
      </c>
      <c r="J518" s="88" t="str">
        <f>INDEX('MPG Payment '!$D:$D,MATCH('Shayak Income '!D518,'MPG Payment '!E:E,0))</f>
        <v>Kalyanpur</v>
      </c>
      <c r="K518" s="125" t="s">
        <v>1594</v>
      </c>
      <c r="L518" s="125">
        <v>45711</v>
      </c>
      <c r="M518" s="126">
        <f>SUMIF('MPG Payment '!$E$3:$E$344841,'Shayak Income '!D518,'MPG Payment '!$I$3:$I$344841)</f>
        <v>1366.1</v>
      </c>
      <c r="N518" s="126">
        <f>SUMIF('MPG Payment '!$E$3:$E$344841,'Shayak Income '!D518,'MPG Payment '!$J$3:$J$344841)</f>
        <v>60820.770000000004</v>
      </c>
      <c r="O518" s="126">
        <f t="shared" si="154"/>
        <v>1024.5749999999998</v>
      </c>
      <c r="P518" s="126">
        <f t="shared" si="155"/>
        <v>1297.7949999999998</v>
      </c>
      <c r="Q518" s="126">
        <f>SUMIF('MPG Payment '!$E$3:$E$344841,'Shayak Income '!D518,'MPG Payment '!$S$3:$S$344841)</f>
        <v>0</v>
      </c>
      <c r="R518" s="126">
        <f t="shared" si="145"/>
        <v>1824.6231</v>
      </c>
      <c r="S518" s="126">
        <f t="shared" si="146"/>
        <v>526.82810000000018</v>
      </c>
      <c r="T518" s="126">
        <f t="shared" si="156"/>
        <v>136.60999999999999</v>
      </c>
      <c r="U518" s="127">
        <f>((((((IF(K518="New",0,SUMIF('MPG Payment '!$E$3:$E$344841,'Shayak Income '!D518,'MPG Payment '!$AC$3:$AC$344841))))+0)+0)+0)+0)+0</f>
        <v>1268.625498893656</v>
      </c>
      <c r="V518" s="127">
        <f t="shared" si="157"/>
        <v>917</v>
      </c>
      <c r="W518" s="19">
        <f t="shared" si="158"/>
        <v>0</v>
      </c>
      <c r="X518" s="19">
        <f t="shared" si="147"/>
        <v>0</v>
      </c>
      <c r="Y518" s="128">
        <f>IFERROR(VLOOKUP(D518,'Monthly Deduction'!$M$2:$N$640,2,0),0)</f>
        <v>0</v>
      </c>
      <c r="Z518" s="128">
        <v>0</v>
      </c>
      <c r="AA518" s="126">
        <f>IFERROR(VLOOKUP(D518,'Monthly Deduction'!A:B,2,0),0)</f>
        <v>0</v>
      </c>
      <c r="AB518" s="129">
        <f t="shared" si="148"/>
        <v>917</v>
      </c>
      <c r="AC518" s="130">
        <v>0</v>
      </c>
      <c r="AD518" s="35">
        <f t="shared" si="159"/>
        <v>917</v>
      </c>
      <c r="AE518" s="166" t="str">
        <f t="shared" si="160"/>
        <v>Release</v>
      </c>
      <c r="AF518" s="127"/>
      <c r="AG518" s="127">
        <v>0</v>
      </c>
      <c r="AH518" s="215"/>
      <c r="AI518" s="238">
        <v>0</v>
      </c>
      <c r="AJ518" s="132"/>
      <c r="AK518" s="151">
        <v>178.15</v>
      </c>
      <c r="AL518" s="154">
        <f t="shared" si="149"/>
        <v>0</v>
      </c>
      <c r="AM518" s="155"/>
      <c r="AN518" s="19">
        <f t="shared" si="150"/>
        <v>0</v>
      </c>
      <c r="AO518" s="118">
        <f>SUMIF('MPG Payment '!E:E,'Shayak Income '!D518,'MPG Payment '!AJ:AJ)</f>
        <v>0</v>
      </c>
      <c r="AP518" s="19">
        <f t="shared" si="151"/>
        <v>0</v>
      </c>
      <c r="AQ518" s="119">
        <f t="shared" si="161"/>
        <v>0</v>
      </c>
      <c r="AR518" s="91" t="s">
        <v>1144</v>
      </c>
      <c r="AS518" s="91">
        <f t="shared" si="152"/>
        <v>0</v>
      </c>
      <c r="AT518" s="118"/>
      <c r="AU518" s="118"/>
      <c r="AV518" s="118"/>
    </row>
    <row r="519" spans="1:48" s="20" customFormat="1" x14ac:dyDescent="0.25">
      <c r="A519" s="17">
        <f>IFERROR(VLOOKUP(D519,'Monthly Deduction'!$I$3:$J$957,2,0),0)</f>
        <v>0</v>
      </c>
      <c r="B519" s="17">
        <f>IFERROR(VLOOKUP(D519,'Monthly Deduction'!$E$3:$F$957,2,0),0)</f>
        <v>0</v>
      </c>
      <c r="C519" s="17">
        <f t="shared" si="153"/>
        <v>0</v>
      </c>
      <c r="D519" s="41">
        <v>10530029</v>
      </c>
      <c r="E519" s="122" t="str">
        <f>VLOOKUP(D519,'MPG Payment '!$E$3:$G$497305,2,0)</f>
        <v>Gomukh Belsandi East</v>
      </c>
      <c r="F519" s="146">
        <f>IFERROR(_xlfn.XLOOKUP(D519,'Monthly Deduction'!$I$3:$I$957,'Monthly Deduction'!$H$3:$H$957),0)</f>
        <v>0</v>
      </c>
      <c r="G519" s="123" t="str">
        <f>VLOOKUP(D519,'MPG Payment '!$E$3:$G$333666,3,0)</f>
        <v>vlc</v>
      </c>
      <c r="H519" s="124" t="str">
        <f>VLOOKUP(D519,'MPG Payment '!$E$3:$H$333666,4,0)</f>
        <v>Indirect</v>
      </c>
      <c r="I519" s="88">
        <f>INDEX('MPG Payment '!$C:$C,MATCH('Shayak Income '!D519,'MPG Payment '!E:E,0))</f>
        <v>1053</v>
      </c>
      <c r="J519" s="88" t="str">
        <f>INDEX('MPG Payment '!$D:$D,MATCH('Shayak Income '!D519,'MPG Payment '!E:E,0))</f>
        <v>Kalyanpur</v>
      </c>
      <c r="K519" s="125" t="s">
        <v>1594</v>
      </c>
      <c r="L519" s="125">
        <v>45717</v>
      </c>
      <c r="M519" s="126">
        <f>SUMIF('MPG Payment '!$E$3:$E$344841,'Shayak Income '!D519,'MPG Payment '!$I$3:$I$344841)</f>
        <v>3520.3999999999996</v>
      </c>
      <c r="N519" s="126">
        <f>SUMIF('MPG Payment '!$E$3:$E$344841,'Shayak Income '!D519,'MPG Payment '!$J$3:$J$344841)</f>
        <v>159918.72999999998</v>
      </c>
      <c r="O519" s="126">
        <f t="shared" si="154"/>
        <v>2640.2999999999997</v>
      </c>
      <c r="P519" s="126">
        <f t="shared" si="155"/>
        <v>3344.3799999999997</v>
      </c>
      <c r="Q519" s="126">
        <f>SUMIF('MPG Payment '!$E$3:$E$344841,'Shayak Income '!D519,'MPG Payment '!$S$3:$S$344841)</f>
        <v>0</v>
      </c>
      <c r="R519" s="126">
        <f t="shared" si="145"/>
        <v>4797.5618999999997</v>
      </c>
      <c r="S519" s="126">
        <f t="shared" si="146"/>
        <v>1453.1819</v>
      </c>
      <c r="T519" s="126">
        <f t="shared" si="156"/>
        <v>352.03999999999996</v>
      </c>
      <c r="U519" s="127">
        <f>((((((IF(K519="New",0,SUMIF('MPG Payment '!$E$3:$E$344841,'Shayak Income '!D519,'MPG Payment '!$AC$3:$AC$344841))))+0)+0)+0)+0)+0</f>
        <v>371.06615334986998</v>
      </c>
      <c r="V519" s="127">
        <f t="shared" si="157"/>
        <v>5262</v>
      </c>
      <c r="W519" s="19">
        <f t="shared" si="158"/>
        <v>0</v>
      </c>
      <c r="X519" s="19">
        <f t="shared" si="147"/>
        <v>0</v>
      </c>
      <c r="Y519" s="128">
        <f>IFERROR(VLOOKUP(D519,'Monthly Deduction'!$M$2:$N$640,2,0),0)</f>
        <v>0</v>
      </c>
      <c r="Z519" s="128">
        <v>0</v>
      </c>
      <c r="AA519" s="126">
        <f>IFERROR(VLOOKUP(D519,'Monthly Deduction'!A:B,2,0),0)</f>
        <v>0</v>
      </c>
      <c r="AB519" s="129">
        <f t="shared" si="148"/>
        <v>5262</v>
      </c>
      <c r="AC519" s="130">
        <v>0</v>
      </c>
      <c r="AD519" s="35">
        <f t="shared" si="159"/>
        <v>5262</v>
      </c>
      <c r="AE519" s="166" t="str">
        <f t="shared" si="160"/>
        <v>Release</v>
      </c>
      <c r="AF519" s="127"/>
      <c r="AG519" s="18">
        <v>0</v>
      </c>
      <c r="AH519" s="120"/>
      <c r="AI519" s="238">
        <v>0</v>
      </c>
      <c r="AJ519" s="132"/>
      <c r="AK519" s="151">
        <v>456.05</v>
      </c>
      <c r="AL519" s="154">
        <f t="shared" si="149"/>
        <v>0</v>
      </c>
      <c r="AM519" s="155"/>
      <c r="AN519" s="19">
        <f t="shared" si="150"/>
        <v>0</v>
      </c>
      <c r="AO519" s="118">
        <f>SUMIF('MPG Payment '!E:E,'Shayak Income '!D519,'MPG Payment '!AJ:AJ)</f>
        <v>0</v>
      </c>
      <c r="AP519" s="19">
        <f t="shared" si="151"/>
        <v>0</v>
      </c>
      <c r="AQ519" s="119">
        <f t="shared" si="161"/>
        <v>0</v>
      </c>
      <c r="AR519" s="91" t="s">
        <v>1144</v>
      </c>
      <c r="AS519" s="91">
        <f t="shared" si="152"/>
        <v>0</v>
      </c>
      <c r="AT519" s="118"/>
      <c r="AU519" s="118"/>
      <c r="AV519" s="118"/>
    </row>
    <row r="520" spans="1:48" s="20" customFormat="1" x14ac:dyDescent="0.25">
      <c r="A520" s="17">
        <f>IFERROR(VLOOKUP(D520,'Monthly Deduction'!$I$3:$J$957,2,0),0)</f>
        <v>0</v>
      </c>
      <c r="B520" s="17">
        <f>IFERROR(VLOOKUP(D520,'Monthly Deduction'!$E$3:$F$957,2,0),0)</f>
        <v>0</v>
      </c>
      <c r="C520" s="17">
        <f t="shared" si="153"/>
        <v>0</v>
      </c>
      <c r="D520" s="41">
        <v>10530030</v>
      </c>
      <c r="E520" s="122" t="str">
        <f>VLOOKUP(D520,'MPG Payment '!$E$3:$G$497305,2,0)</f>
        <v>Gomukh Belsandi West Tola</v>
      </c>
      <c r="F520" s="146">
        <f>IFERROR(_xlfn.XLOOKUP(D520,'Monthly Deduction'!$I$3:$I$957,'Monthly Deduction'!$H$3:$H$957),0)</f>
        <v>0</v>
      </c>
      <c r="G520" s="123" t="str">
        <f>VLOOKUP(D520,'MPG Payment '!$E$3:$G$333666,3,0)</f>
        <v>vlc</v>
      </c>
      <c r="H520" s="124" t="str">
        <f>VLOOKUP(D520,'MPG Payment '!$E$3:$H$333666,4,0)</f>
        <v>Indirect</v>
      </c>
      <c r="I520" s="88">
        <f>INDEX('MPG Payment '!$C:$C,MATCH('Shayak Income '!D520,'MPG Payment '!E:E,0))</f>
        <v>1053</v>
      </c>
      <c r="J520" s="88" t="str">
        <f>INDEX('MPG Payment '!$D:$D,MATCH('Shayak Income '!D520,'MPG Payment '!E:E,0))</f>
        <v>Kalyanpur</v>
      </c>
      <c r="K520" s="125" t="s">
        <v>1594</v>
      </c>
      <c r="L520" s="125">
        <v>45716</v>
      </c>
      <c r="M520" s="126">
        <f>SUMIF('MPG Payment '!$E$3:$E$344841,'Shayak Income '!D520,'MPG Payment '!$I$3:$I$344841)</f>
        <v>1266.1999999999998</v>
      </c>
      <c r="N520" s="126">
        <f>SUMIF('MPG Payment '!$E$3:$E$344841,'Shayak Income '!D520,'MPG Payment '!$J$3:$J$344841)</f>
        <v>51563.97</v>
      </c>
      <c r="O520" s="126">
        <f t="shared" si="154"/>
        <v>949.64999999999986</v>
      </c>
      <c r="P520" s="126">
        <f t="shared" si="155"/>
        <v>1202.8899999999999</v>
      </c>
      <c r="Q520" s="126">
        <f>SUMIF('MPG Payment '!$E$3:$E$344841,'Shayak Income '!D520,'MPG Payment '!$S$3:$S$344841)</f>
        <v>0</v>
      </c>
      <c r="R520" s="126">
        <f t="shared" si="145"/>
        <v>1546.9191000000001</v>
      </c>
      <c r="S520" s="126">
        <f t="shared" si="146"/>
        <v>344.0291000000002</v>
      </c>
      <c r="T520" s="126">
        <f t="shared" si="156"/>
        <v>126.61999999999999</v>
      </c>
      <c r="U520" s="127">
        <f>((((((IF(K520="New",0,SUMIF('MPG Payment '!$E$3:$E$344841,'Shayak Income '!D520,'MPG Payment '!$AC$3:$AC$344841))))+0)+0)+0)+0)+0</f>
        <v>1248.5524808896982</v>
      </c>
      <c r="V520" s="127">
        <f t="shared" si="157"/>
        <v>777</v>
      </c>
      <c r="W520" s="19">
        <f t="shared" si="158"/>
        <v>0</v>
      </c>
      <c r="X520" s="19">
        <f t="shared" si="147"/>
        <v>0</v>
      </c>
      <c r="Y520" s="128">
        <f>IFERROR(VLOOKUP(D520,'Monthly Deduction'!$M$2:$N$640,2,0),0)</f>
        <v>0</v>
      </c>
      <c r="Z520" s="128">
        <v>0</v>
      </c>
      <c r="AA520" s="126">
        <f>IFERROR(VLOOKUP(D520,'Monthly Deduction'!A:B,2,0),0)</f>
        <v>0</v>
      </c>
      <c r="AB520" s="129">
        <f t="shared" si="148"/>
        <v>777</v>
      </c>
      <c r="AC520" s="130">
        <v>0</v>
      </c>
      <c r="AD520" s="35">
        <f t="shared" si="159"/>
        <v>777</v>
      </c>
      <c r="AE520" s="166" t="str">
        <f t="shared" si="160"/>
        <v>Release</v>
      </c>
      <c r="AF520" s="127"/>
      <c r="AG520" s="18">
        <v>0</v>
      </c>
      <c r="AH520" s="120"/>
      <c r="AI520" s="238">
        <v>0</v>
      </c>
      <c r="AJ520" s="132"/>
      <c r="AK520" s="151">
        <v>326.99999999999994</v>
      </c>
      <c r="AL520" s="154">
        <f t="shared" si="149"/>
        <v>0</v>
      </c>
      <c r="AM520" s="155"/>
      <c r="AN520" s="19">
        <f t="shared" si="150"/>
        <v>0</v>
      </c>
      <c r="AO520" s="118">
        <f>SUMIF('MPG Payment '!E:E,'Shayak Income '!D520,'MPG Payment '!AJ:AJ)</f>
        <v>0</v>
      </c>
      <c r="AP520" s="19">
        <f t="shared" si="151"/>
        <v>0</v>
      </c>
      <c r="AQ520" s="119">
        <f t="shared" si="161"/>
        <v>0</v>
      </c>
      <c r="AR520" s="91" t="s">
        <v>1144</v>
      </c>
      <c r="AS520" s="91">
        <f t="shared" si="152"/>
        <v>0</v>
      </c>
      <c r="AT520" s="118"/>
      <c r="AU520" s="118"/>
      <c r="AV520" s="118"/>
    </row>
    <row r="521" spans="1:48" s="20" customFormat="1" x14ac:dyDescent="0.25">
      <c r="A521" s="17">
        <f>IFERROR(VLOOKUP(D521,'Monthly Deduction'!$I$3:$J$957,2,0),0)</f>
        <v>0</v>
      </c>
      <c r="B521" s="17">
        <f>IFERROR(VLOOKUP(D521,'Monthly Deduction'!$E$3:$F$957,2,0),0)</f>
        <v>0</v>
      </c>
      <c r="C521" s="17">
        <f t="shared" si="153"/>
        <v>0</v>
      </c>
      <c r="D521" s="41">
        <v>10530031</v>
      </c>
      <c r="E521" s="122" t="str">
        <f>VLOOKUP(D521,'MPG Payment '!$E$3:$G$497305,2,0)</f>
        <v>Gomukh Gopalpur</v>
      </c>
      <c r="F521" s="146">
        <f>IFERROR(_xlfn.XLOOKUP(D521,'Monthly Deduction'!$I$3:$I$957,'Monthly Deduction'!$H$3:$H$957),0)</f>
        <v>0</v>
      </c>
      <c r="G521" s="123" t="str">
        <f>VLOOKUP(D521,'MPG Payment '!$E$3:$G$333666,3,0)</f>
        <v>vlc</v>
      </c>
      <c r="H521" s="124" t="str">
        <f>VLOOKUP(D521,'MPG Payment '!$E$3:$H$333666,4,0)</f>
        <v>Indirect</v>
      </c>
      <c r="I521" s="88">
        <f>INDEX('MPG Payment '!$C:$C,MATCH('Shayak Income '!D521,'MPG Payment '!E:E,0))</f>
        <v>1053</v>
      </c>
      <c r="J521" s="88" t="str">
        <f>INDEX('MPG Payment '!$D:$D,MATCH('Shayak Income '!D521,'MPG Payment '!E:E,0))</f>
        <v>Kalyanpur</v>
      </c>
      <c r="K521" s="125" t="s">
        <v>1594</v>
      </c>
      <c r="L521" s="125">
        <v>45720</v>
      </c>
      <c r="M521" s="126">
        <f>SUMIF('MPG Payment '!$E$3:$E$344841,'Shayak Income '!D521,'MPG Payment '!$I$3:$I$344841)</f>
        <v>12159.1</v>
      </c>
      <c r="N521" s="126">
        <f>SUMIF('MPG Payment '!$E$3:$E$344841,'Shayak Income '!D521,'MPG Payment '!$J$3:$J$344841)</f>
        <v>513129.03</v>
      </c>
      <c r="O521" s="126">
        <f t="shared" si="154"/>
        <v>9119.3250000000007</v>
      </c>
      <c r="P521" s="126">
        <f t="shared" si="155"/>
        <v>11551.145</v>
      </c>
      <c r="Q521" s="126">
        <f>SUMIF('MPG Payment '!$E$3:$E$344841,'Shayak Income '!D521,'MPG Payment '!$S$3:$S$344841)</f>
        <v>0</v>
      </c>
      <c r="R521" s="126">
        <f t="shared" si="145"/>
        <v>15393.8709</v>
      </c>
      <c r="S521" s="126">
        <f t="shared" si="146"/>
        <v>3842.7258999999995</v>
      </c>
      <c r="T521" s="126">
        <f t="shared" si="156"/>
        <v>1215.9100000000001</v>
      </c>
      <c r="U521" s="127">
        <f>((((((IF(K521="New",0,SUMIF('MPG Payment '!$E$3:$E$344841,'Shayak Income '!D521,'MPG Payment '!$AC$3:$AC$344841))))+0)+0)+0)+0)+0</f>
        <v>0</v>
      </c>
      <c r="V521" s="127">
        <f t="shared" si="157"/>
        <v>19455</v>
      </c>
      <c r="W521" s="19">
        <f t="shared" si="158"/>
        <v>0</v>
      </c>
      <c r="X521" s="19">
        <f t="shared" si="147"/>
        <v>0</v>
      </c>
      <c r="Y521" s="128">
        <f>IFERROR(VLOOKUP(D521,'Monthly Deduction'!$M$2:$N$640,2,0),0)</f>
        <v>0</v>
      </c>
      <c r="Z521" s="128">
        <v>0</v>
      </c>
      <c r="AA521" s="126">
        <f>IFERROR(VLOOKUP(D521,'Monthly Deduction'!A:B,2,0),0)</f>
        <v>0</v>
      </c>
      <c r="AB521" s="129">
        <f t="shared" si="148"/>
        <v>19455</v>
      </c>
      <c r="AC521" s="130">
        <v>0</v>
      </c>
      <c r="AD521" s="35">
        <f t="shared" si="159"/>
        <v>19455</v>
      </c>
      <c r="AE521" s="166" t="str">
        <f t="shared" si="160"/>
        <v>Release</v>
      </c>
      <c r="AF521" s="127"/>
      <c r="AG521" s="18">
        <v>0</v>
      </c>
      <c r="AH521" s="120"/>
      <c r="AI521" s="238">
        <v>0</v>
      </c>
      <c r="AJ521" s="132"/>
      <c r="AK521" s="151">
        <v>2467.9500000000003</v>
      </c>
      <c r="AL521" s="154">
        <f t="shared" si="149"/>
        <v>0</v>
      </c>
      <c r="AM521" s="155"/>
      <c r="AN521" s="19">
        <f t="shared" si="150"/>
        <v>0</v>
      </c>
      <c r="AO521" s="118">
        <f>SUMIF('MPG Payment '!E:E,'Shayak Income '!D521,'MPG Payment '!AJ:AJ)</f>
        <v>0</v>
      </c>
      <c r="AP521" s="19">
        <f t="shared" si="151"/>
        <v>0</v>
      </c>
      <c r="AQ521" s="119">
        <f t="shared" si="161"/>
        <v>0</v>
      </c>
      <c r="AR521" s="91" t="s">
        <v>1144</v>
      </c>
      <c r="AS521" s="91">
        <f t="shared" si="152"/>
        <v>0</v>
      </c>
      <c r="AT521" s="118"/>
      <c r="AU521" s="118"/>
      <c r="AV521" s="118"/>
    </row>
    <row r="522" spans="1:48" s="20" customFormat="1" x14ac:dyDescent="0.25">
      <c r="A522" s="17">
        <f>IFERROR(VLOOKUP(D522,'Monthly Deduction'!$I$3:$J$957,2,0),0)</f>
        <v>50083.030583236454</v>
      </c>
      <c r="B522" s="17">
        <f>IFERROR(VLOOKUP(D522,'Monthly Deduction'!$E$3:$F$957,2,0),0)</f>
        <v>13900</v>
      </c>
      <c r="C522" s="17">
        <f t="shared" si="153"/>
        <v>63983.030583236454</v>
      </c>
      <c r="D522" s="41">
        <v>10530032</v>
      </c>
      <c r="E522" s="122" t="str">
        <f>VLOOKUP(D522,'MPG Payment '!$E$3:$G$497305,2,0)</f>
        <v>Gomukh Bharav</v>
      </c>
      <c r="F522" s="146">
        <f>IFERROR(_xlfn.XLOOKUP(D522,'Monthly Deduction'!$I$3:$I$957,'Monthly Deduction'!$H$3:$H$957),0)</f>
        <v>0</v>
      </c>
      <c r="G522" s="123" t="str">
        <f>VLOOKUP(D522,'MPG Payment '!$E$3:$G$333666,3,0)</f>
        <v>MPG</v>
      </c>
      <c r="H522" s="124" t="str">
        <f>VLOOKUP(D522,'MPG Payment '!$E$3:$H$333666,4,0)</f>
        <v>Direct</v>
      </c>
      <c r="I522" s="88">
        <f>INDEX('MPG Payment '!$C:$C,MATCH('Shayak Income '!D522,'MPG Payment '!E:E,0))</f>
        <v>1053</v>
      </c>
      <c r="J522" s="88" t="str">
        <f>INDEX('MPG Payment '!$D:$D,MATCH('Shayak Income '!D522,'MPG Payment '!E:E,0))</f>
        <v>Kalyanpur</v>
      </c>
      <c r="K522" s="125" t="s">
        <v>1594</v>
      </c>
      <c r="L522" s="125">
        <v>45739</v>
      </c>
      <c r="M522" s="126">
        <f>SUMIF('MPG Payment '!$E$3:$E$344841,'Shayak Income '!D522,'MPG Payment '!$I$3:$I$344841)</f>
        <v>2421.9</v>
      </c>
      <c r="N522" s="126">
        <f>SUMIF('MPG Payment '!$E$3:$E$344841,'Shayak Income '!D522,'MPG Payment '!$J$3:$J$344841)</f>
        <v>117994.04</v>
      </c>
      <c r="O522" s="126">
        <f t="shared" si="154"/>
        <v>1816.4250000000002</v>
      </c>
      <c r="P522" s="126">
        <f t="shared" si="155"/>
        <v>2300.8049999999998</v>
      </c>
      <c r="Q522" s="126">
        <f>SUMIF('MPG Payment '!$E$3:$E$344841,'Shayak Income '!D522,'MPG Payment '!$S$3:$S$344841)</f>
        <v>2876.33</v>
      </c>
      <c r="R522" s="126">
        <f t="shared" si="145"/>
        <v>3539.8211999999999</v>
      </c>
      <c r="S522" s="126">
        <f t="shared" si="146"/>
        <v>1239.0162</v>
      </c>
      <c r="T522" s="126">
        <f t="shared" si="156"/>
        <v>242.19000000000003</v>
      </c>
      <c r="U522" s="127">
        <f>((((((IF(K522="New",0,SUMIF('MPG Payment '!$E$3:$E$344841,'Shayak Income '!D522,'MPG Payment '!$AC$3:$AC$344841))))+0)+0)+0)+0)+0</f>
        <v>469.7922063081985</v>
      </c>
      <c r="V522" s="127">
        <f t="shared" si="157"/>
        <v>6282</v>
      </c>
      <c r="W522" s="19">
        <f t="shared" si="158"/>
        <v>2359.8807999999999</v>
      </c>
      <c r="X522" s="19">
        <v>0</v>
      </c>
      <c r="Y522" s="128">
        <f>IFERROR(VLOOKUP(D522,'Monthly Deduction'!$M$2:$N$640,2,0),0)</f>
        <v>0</v>
      </c>
      <c r="Z522" s="128">
        <v>0</v>
      </c>
      <c r="AA522" s="126">
        <f>IFERROR(VLOOKUP(D522,'Monthly Deduction'!A:B,2,0),0)</f>
        <v>294.81543080156109</v>
      </c>
      <c r="AB522" s="129">
        <f t="shared" si="148"/>
        <v>3627</v>
      </c>
      <c r="AC522" s="130">
        <v>0</v>
      </c>
      <c r="AD522" s="35">
        <f t="shared" si="159"/>
        <v>3627</v>
      </c>
      <c r="AE522" s="166" t="str">
        <f t="shared" si="160"/>
        <v>Release</v>
      </c>
      <c r="AF522" s="127"/>
      <c r="AG522" s="18">
        <v>0</v>
      </c>
      <c r="AH522" s="120"/>
      <c r="AI522" s="238">
        <v>0</v>
      </c>
      <c r="AJ522" s="132"/>
      <c r="AK522" s="151">
        <v>755.85000000000014</v>
      </c>
      <c r="AL522" s="154">
        <f t="shared" si="149"/>
        <v>0</v>
      </c>
      <c r="AM522" s="155"/>
      <c r="AN522" s="19">
        <f t="shared" si="150"/>
        <v>2359.8807999999999</v>
      </c>
      <c r="AO522" s="118">
        <f>SUMIF('MPG Payment '!E:E,'Shayak Income '!D522,'MPG Payment '!AJ:AJ)</f>
        <v>0</v>
      </c>
      <c r="AP522" s="19">
        <f t="shared" si="151"/>
        <v>2359.8807999999999</v>
      </c>
      <c r="AQ522" s="119">
        <f t="shared" si="161"/>
        <v>2359.8807999999999</v>
      </c>
      <c r="AR522" s="91" t="s">
        <v>1144</v>
      </c>
      <c r="AS522" s="91">
        <f t="shared" si="152"/>
        <v>13900</v>
      </c>
      <c r="AT522" s="118"/>
      <c r="AU522" s="118"/>
      <c r="AV522" s="118"/>
    </row>
    <row r="523" spans="1:48" s="20" customFormat="1" x14ac:dyDescent="0.25">
      <c r="A523" s="17">
        <f>IFERROR(VLOOKUP(D523,'Monthly Deduction'!$I$3:$J$957,2,0),0)</f>
        <v>41555.063043496062</v>
      </c>
      <c r="B523" s="17">
        <f>IFERROR(VLOOKUP(D523,'Monthly Deduction'!$E$3:$F$957,2,0),0)</f>
        <v>23500</v>
      </c>
      <c r="C523" s="17">
        <f t="shared" si="153"/>
        <v>65055.063043496062</v>
      </c>
      <c r="D523" s="41">
        <v>10530033</v>
      </c>
      <c r="E523" s="122" t="str">
        <f>VLOOKUP(D523,'MPG Payment '!$E$3:$G$497305,2,0)</f>
        <v>Gomukh Harpur</v>
      </c>
      <c r="F523" s="146">
        <f>IFERROR(_xlfn.XLOOKUP(D523,'Monthly Deduction'!$I$3:$I$957,'Monthly Deduction'!$H$3:$H$957),0)</f>
        <v>0</v>
      </c>
      <c r="G523" s="123" t="str">
        <f>VLOOKUP(D523,'MPG Payment '!$E$3:$G$333666,3,0)</f>
        <v>MPG</v>
      </c>
      <c r="H523" s="124" t="str">
        <f>VLOOKUP(D523,'MPG Payment '!$E$3:$H$333666,4,0)</f>
        <v>Direct</v>
      </c>
      <c r="I523" s="88">
        <f>INDEX('MPG Payment '!$C:$C,MATCH('Shayak Income '!D523,'MPG Payment '!E:E,0))</f>
        <v>1053</v>
      </c>
      <c r="J523" s="88" t="str">
        <f>INDEX('MPG Payment '!$D:$D,MATCH('Shayak Income '!D523,'MPG Payment '!E:E,0))</f>
        <v>Kalyanpur</v>
      </c>
      <c r="K523" s="125" t="s">
        <v>1594</v>
      </c>
      <c r="L523" s="125">
        <v>45745</v>
      </c>
      <c r="M523" s="126">
        <f>SUMIF('MPG Payment '!$E$3:$E$344841,'Shayak Income '!D523,'MPG Payment '!$I$3:$I$344841)</f>
        <v>3270.1000000000004</v>
      </c>
      <c r="N523" s="126">
        <f>SUMIF('MPG Payment '!$E$3:$E$344841,'Shayak Income '!D523,'MPG Payment '!$J$3:$J$344841)</f>
        <v>148140.49</v>
      </c>
      <c r="O523" s="126">
        <f t="shared" si="154"/>
        <v>2452.5750000000003</v>
      </c>
      <c r="P523" s="126">
        <f t="shared" si="155"/>
        <v>3106.5950000000003</v>
      </c>
      <c r="Q523" s="126">
        <f>SUMIF('MPG Payment '!$E$3:$E$344841,'Shayak Income '!D523,'MPG Payment '!$S$3:$S$344841)</f>
        <v>2568.59</v>
      </c>
      <c r="R523" s="126">
        <f t="shared" si="145"/>
        <v>4444.2146999999995</v>
      </c>
      <c r="S523" s="126">
        <f t="shared" si="146"/>
        <v>1337.6196999999993</v>
      </c>
      <c r="T523" s="126">
        <f t="shared" si="156"/>
        <v>327.01000000000005</v>
      </c>
      <c r="U523" s="127">
        <f>((((((IF(K523="New",0,SUMIF('MPG Payment '!$E$3:$E$344841,'Shayak Income '!D523,'MPG Payment '!$AC$3:$AC$344841))))+0)+0)+0)+0)+0</f>
        <v>0</v>
      </c>
      <c r="V523" s="127">
        <f t="shared" si="157"/>
        <v>7801</v>
      </c>
      <c r="W523" s="19">
        <f t="shared" si="158"/>
        <v>2962.8098</v>
      </c>
      <c r="X523" s="19">
        <v>0</v>
      </c>
      <c r="Y523" s="128">
        <f>IFERROR(VLOOKUP(D523,'Monthly Deduction'!$M$2:$N$640,2,0),0)</f>
        <v>0</v>
      </c>
      <c r="Z523" s="128">
        <v>0</v>
      </c>
      <c r="AA523" s="126">
        <f>IFERROR(VLOOKUP(D523,'Monthly Deduction'!A:B,2,0),0)</f>
        <v>624.21543080156107</v>
      </c>
      <c r="AB523" s="129">
        <f t="shared" si="148"/>
        <v>4214</v>
      </c>
      <c r="AC523" s="130">
        <v>0</v>
      </c>
      <c r="AD523" s="35">
        <f t="shared" si="159"/>
        <v>4214</v>
      </c>
      <c r="AE523" s="166" t="str">
        <f t="shared" si="160"/>
        <v>Release</v>
      </c>
      <c r="AF523" s="127"/>
      <c r="AG523" s="18">
        <v>0</v>
      </c>
      <c r="AH523" s="132"/>
      <c r="AI523" s="238">
        <v>0</v>
      </c>
      <c r="AJ523" s="132"/>
      <c r="AK523" s="151">
        <v>735.40000000000009</v>
      </c>
      <c r="AL523" s="154">
        <f t="shared" si="149"/>
        <v>0</v>
      </c>
      <c r="AM523" s="155"/>
      <c r="AN523" s="19">
        <f t="shared" si="150"/>
        <v>2962.8098</v>
      </c>
      <c r="AO523" s="118">
        <f>SUMIF('MPG Payment '!E:E,'Shayak Income '!D523,'MPG Payment '!AJ:AJ)</f>
        <v>0</v>
      </c>
      <c r="AP523" s="19">
        <f t="shared" si="151"/>
        <v>2962.8098</v>
      </c>
      <c r="AQ523" s="119">
        <f t="shared" si="161"/>
        <v>2962.8098</v>
      </c>
      <c r="AR523" s="91" t="s">
        <v>1144</v>
      </c>
      <c r="AS523" s="91">
        <f t="shared" si="152"/>
        <v>23500</v>
      </c>
      <c r="AT523" s="118"/>
      <c r="AU523" s="118"/>
      <c r="AV523" s="118"/>
    </row>
    <row r="524" spans="1:48" s="20" customFormat="1" x14ac:dyDescent="0.25">
      <c r="A524" s="17">
        <f>IFERROR(VLOOKUP(D524,'Monthly Deduction'!$I$3:$J$957,2,0),0)</f>
        <v>3873.8114163771825</v>
      </c>
      <c r="B524" s="17">
        <f>IFERROR(VLOOKUP(D524,'Monthly Deduction'!$E$3:$F$957,2,0),0)</f>
        <v>32000</v>
      </c>
      <c r="C524" s="17">
        <f t="shared" si="153"/>
        <v>35873.811416377182</v>
      </c>
      <c r="D524" s="41">
        <v>10530034</v>
      </c>
      <c r="E524" s="122" t="str">
        <f>VLOOKUP(D524,'MPG Payment '!$E$3:$G$497305,2,0)</f>
        <v>Gomukh Fulhatta</v>
      </c>
      <c r="F524" s="146">
        <f>IFERROR(_xlfn.XLOOKUP(D524,'Monthly Deduction'!$I$3:$I$957,'Monthly Deduction'!$H$3:$H$957),0)</f>
        <v>0</v>
      </c>
      <c r="G524" s="123" t="str">
        <f>VLOOKUP(D524,'MPG Payment '!$E$3:$G$333666,3,0)</f>
        <v>MPG</v>
      </c>
      <c r="H524" s="124" t="str">
        <f>VLOOKUP(D524,'MPG Payment '!$E$3:$H$333666,4,0)</f>
        <v>Direct</v>
      </c>
      <c r="I524" s="88">
        <f>INDEX('MPG Payment '!$C:$C,MATCH('Shayak Income '!D524,'MPG Payment '!E:E,0))</f>
        <v>1053</v>
      </c>
      <c r="J524" s="88" t="str">
        <f>INDEX('MPG Payment '!$D:$D,MATCH('Shayak Income '!D524,'MPG Payment '!E:E,0))</f>
        <v>Kalyanpur</v>
      </c>
      <c r="K524" s="125" t="s">
        <v>1594</v>
      </c>
      <c r="L524" s="125">
        <v>45745</v>
      </c>
      <c r="M524" s="126">
        <f>SUMIF('MPG Payment '!$E$3:$E$344841,'Shayak Income '!D524,'MPG Payment '!$I$3:$I$344841)</f>
        <v>7164.0499999999993</v>
      </c>
      <c r="N524" s="126">
        <f>SUMIF('MPG Payment '!$E$3:$E$344841,'Shayak Income '!D524,'MPG Payment '!$J$3:$J$344841)</f>
        <v>368449.31</v>
      </c>
      <c r="O524" s="126">
        <f t="shared" si="154"/>
        <v>5373.0374999999995</v>
      </c>
      <c r="P524" s="126">
        <f t="shared" si="155"/>
        <v>6805.8474999999989</v>
      </c>
      <c r="Q524" s="126">
        <f>SUMIF('MPG Payment '!$E$3:$E$344841,'Shayak Income '!D524,'MPG Payment '!$S$3:$S$344841)</f>
        <v>0</v>
      </c>
      <c r="R524" s="126">
        <f t="shared" si="145"/>
        <v>11053.479299999999</v>
      </c>
      <c r="S524" s="126">
        <f t="shared" si="146"/>
        <v>4247.6318000000001</v>
      </c>
      <c r="T524" s="126">
        <f t="shared" si="156"/>
        <v>716.40499999999997</v>
      </c>
      <c r="U524" s="127">
        <f>((((((IF(K524="New",0,SUMIF('MPG Payment '!$E$3:$E$344841,'Shayak Income '!D524,'MPG Payment '!$AC$3:$AC$344841))))+0)+0)+0)+0)+0</f>
        <v>0</v>
      </c>
      <c r="V524" s="127">
        <f t="shared" si="157"/>
        <v>11462</v>
      </c>
      <c r="W524" s="19">
        <f t="shared" si="158"/>
        <v>3873.8114163771825</v>
      </c>
      <c r="X524" s="19">
        <v>0</v>
      </c>
      <c r="Y524" s="128">
        <f>IFERROR(VLOOKUP(D524,'Monthly Deduction'!$M$2:$N$640,2,0),0)</f>
        <v>0</v>
      </c>
      <c r="Z524" s="128">
        <v>0</v>
      </c>
      <c r="AA524" s="126">
        <f>IFERROR(VLOOKUP(D524,'Monthly Deduction'!A:B,2,0),0)</f>
        <v>404.61543080156116</v>
      </c>
      <c r="AB524" s="129">
        <f t="shared" si="148"/>
        <v>7184</v>
      </c>
      <c r="AC524" s="130">
        <v>0</v>
      </c>
      <c r="AD524" s="35">
        <f t="shared" si="159"/>
        <v>7184</v>
      </c>
      <c r="AE524" s="166" t="str">
        <f t="shared" si="160"/>
        <v>Release</v>
      </c>
      <c r="AF524" s="127"/>
      <c r="AG524" s="127">
        <v>0</v>
      </c>
      <c r="AH524" s="132"/>
      <c r="AI524" s="238">
        <v>0</v>
      </c>
      <c r="AJ524" s="132"/>
      <c r="AK524" s="151">
        <v>2270.7999999999997</v>
      </c>
      <c r="AL524" s="154">
        <f t="shared" si="149"/>
        <v>0</v>
      </c>
      <c r="AM524" s="155"/>
      <c r="AN524" s="19">
        <f t="shared" si="150"/>
        <v>3873.8114163771825</v>
      </c>
      <c r="AO524" s="118">
        <f>SUMIF('MPG Payment '!E:E,'Shayak Income '!D524,'MPG Payment '!AJ:AJ)</f>
        <v>0</v>
      </c>
      <c r="AP524" s="19">
        <f t="shared" si="151"/>
        <v>3873.8114163771825</v>
      </c>
      <c r="AQ524" s="119">
        <f t="shared" si="161"/>
        <v>3873.8114163771825</v>
      </c>
      <c r="AR524" s="91" t="s">
        <v>1144</v>
      </c>
      <c r="AS524" s="91">
        <f t="shared" si="152"/>
        <v>32000</v>
      </c>
      <c r="AT524" s="118"/>
      <c r="AU524" s="118"/>
      <c r="AV524" s="118"/>
    </row>
    <row r="525" spans="1:48" s="20" customFormat="1" x14ac:dyDescent="0.25">
      <c r="A525" s="17">
        <f>IFERROR(VLOOKUP(D525,'Monthly Deduction'!$I$3:$J$957,2,0),0)</f>
        <v>37575.402951042197</v>
      </c>
      <c r="B525" s="17">
        <f>IFERROR(VLOOKUP(D525,'Monthly Deduction'!$E$3:$F$957,2,0),0)</f>
        <v>17100</v>
      </c>
      <c r="C525" s="17">
        <f t="shared" si="153"/>
        <v>54675.402951042197</v>
      </c>
      <c r="D525" s="41">
        <v>10530035</v>
      </c>
      <c r="E525" s="122" t="str">
        <f>VLOOKUP(D525,'MPG Payment '!$E$3:$G$497305,2,0)</f>
        <v>Gomukh Birauli Khurd</v>
      </c>
      <c r="F525" s="146">
        <f>IFERROR(_xlfn.XLOOKUP(D525,'Monthly Deduction'!$I$3:$I$957,'Monthly Deduction'!$H$3:$H$957),0)</f>
        <v>0</v>
      </c>
      <c r="G525" s="123" t="str">
        <f>VLOOKUP(D525,'MPG Payment '!$E$3:$G$333666,3,0)</f>
        <v>MPG</v>
      </c>
      <c r="H525" s="124" t="str">
        <f>VLOOKUP(D525,'MPG Payment '!$E$3:$H$333666,4,0)</f>
        <v>Direct</v>
      </c>
      <c r="I525" s="88">
        <f>INDEX('MPG Payment '!$C:$C,MATCH('Shayak Income '!D525,'MPG Payment '!E:E,0))</f>
        <v>1053</v>
      </c>
      <c r="J525" s="88" t="str">
        <f>INDEX('MPG Payment '!$D:$D,MATCH('Shayak Income '!D525,'MPG Payment '!E:E,0))</f>
        <v>Kalyanpur</v>
      </c>
      <c r="K525" s="125" t="s">
        <v>1594</v>
      </c>
      <c r="L525" s="125">
        <v>45745</v>
      </c>
      <c r="M525" s="126">
        <f>SUMIF('MPG Payment '!$E$3:$E$344841,'Shayak Income '!D525,'MPG Payment '!$I$3:$I$344841)</f>
        <v>3156.55</v>
      </c>
      <c r="N525" s="126">
        <f>SUMIF('MPG Payment '!$E$3:$E$344841,'Shayak Income '!D525,'MPG Payment '!$J$3:$J$344841)</f>
        <v>154031.08000000002</v>
      </c>
      <c r="O525" s="126">
        <f t="shared" si="154"/>
        <v>2367.4125000000004</v>
      </c>
      <c r="P525" s="126">
        <f t="shared" si="155"/>
        <v>2998.7224999999999</v>
      </c>
      <c r="Q525" s="126">
        <f>SUMIF('MPG Payment '!$E$3:$E$344841,'Shayak Income '!D525,'MPG Payment '!$S$3:$S$344841)</f>
        <v>4321.99</v>
      </c>
      <c r="R525" s="126">
        <f t="shared" si="145"/>
        <v>4620.9324000000006</v>
      </c>
      <c r="S525" s="126">
        <f t="shared" si="146"/>
        <v>1622.2099000000007</v>
      </c>
      <c r="T525" s="126">
        <f t="shared" si="156"/>
        <v>315.65500000000003</v>
      </c>
      <c r="U525" s="127">
        <f>((((((IF(K525="New",0,SUMIF('MPG Payment '!$E$3:$E$344841,'Shayak Income '!D525,'MPG Payment '!$AC$3:$AC$344841))))+0)+0)+0)+0)+0</f>
        <v>0</v>
      </c>
      <c r="V525" s="127">
        <f t="shared" si="157"/>
        <v>9372</v>
      </c>
      <c r="W525" s="19">
        <f t="shared" si="158"/>
        <v>3080.6216000000004</v>
      </c>
      <c r="X525" s="19">
        <v>0</v>
      </c>
      <c r="Y525" s="128">
        <f>IFERROR(VLOOKUP(D525,'Monthly Deduction'!$M$2:$N$640,2,0),0)</f>
        <v>0</v>
      </c>
      <c r="Z525" s="128">
        <v>0</v>
      </c>
      <c r="AA525" s="126">
        <f>IFERROR(VLOOKUP(D525,'Monthly Deduction'!A:B,2,0),0)</f>
        <v>349.71543080156107</v>
      </c>
      <c r="AB525" s="129">
        <f t="shared" si="148"/>
        <v>5942</v>
      </c>
      <c r="AC525" s="130">
        <v>0</v>
      </c>
      <c r="AD525" s="35">
        <f t="shared" si="159"/>
        <v>5942</v>
      </c>
      <c r="AE525" s="166" t="str">
        <f t="shared" si="160"/>
        <v>Release</v>
      </c>
      <c r="AF525" s="127"/>
      <c r="AG525" s="127">
        <v>0</v>
      </c>
      <c r="AH525" s="120"/>
      <c r="AI525" s="238">
        <v>0</v>
      </c>
      <c r="AJ525" s="132"/>
      <c r="AK525" s="151">
        <v>809.6</v>
      </c>
      <c r="AL525" s="154">
        <f t="shared" si="149"/>
        <v>0</v>
      </c>
      <c r="AM525" s="155"/>
      <c r="AN525" s="19">
        <f t="shared" si="150"/>
        <v>3080.6216000000004</v>
      </c>
      <c r="AO525" s="118">
        <f>SUMIF('MPG Payment '!E:E,'Shayak Income '!D525,'MPG Payment '!AJ:AJ)</f>
        <v>0</v>
      </c>
      <c r="AP525" s="19">
        <f t="shared" si="151"/>
        <v>3080.6216000000004</v>
      </c>
      <c r="AQ525" s="119">
        <f t="shared" si="161"/>
        <v>3080.6216000000004</v>
      </c>
      <c r="AR525" s="91"/>
      <c r="AS525" s="91">
        <f t="shared" si="152"/>
        <v>17100</v>
      </c>
      <c r="AT525" s="118"/>
      <c r="AU525" s="118"/>
      <c r="AV525" s="118"/>
    </row>
    <row r="526" spans="1:48" s="20" customFormat="1" x14ac:dyDescent="0.25">
      <c r="A526" s="17">
        <f>IFERROR(VLOOKUP(D526,'Monthly Deduction'!$I$3:$J$957,2,0),0)</f>
        <v>0</v>
      </c>
      <c r="B526" s="17">
        <f>IFERROR(VLOOKUP(D526,'Monthly Deduction'!$E$3:$F$957,2,0),0)</f>
        <v>0</v>
      </c>
      <c r="C526" s="17">
        <f t="shared" si="153"/>
        <v>0</v>
      </c>
      <c r="D526" s="41">
        <v>10530038</v>
      </c>
      <c r="E526" s="122" t="str">
        <f>VLOOKUP(D526,'MPG Payment '!$E$3:$G$497305,2,0)</f>
        <v>Gomukh Bedauliya</v>
      </c>
      <c r="F526" s="146">
        <f>IFERROR(_xlfn.XLOOKUP(D526,'Monthly Deduction'!$I$3:$I$957,'Monthly Deduction'!$H$3:$H$957),0)</f>
        <v>0</v>
      </c>
      <c r="G526" s="123" t="str">
        <f>VLOOKUP(D526,'MPG Payment '!$E$3:$G$333666,3,0)</f>
        <v>vlc</v>
      </c>
      <c r="H526" s="124" t="str">
        <f>VLOOKUP(D526,'MPG Payment '!$E$3:$H$333666,4,0)</f>
        <v>Indirect</v>
      </c>
      <c r="I526" s="88">
        <f>INDEX('MPG Payment '!$C:$C,MATCH('Shayak Income '!D526,'MPG Payment '!E:E,0))</f>
        <v>1053</v>
      </c>
      <c r="J526" s="88" t="str">
        <f>INDEX('MPG Payment '!$D:$D,MATCH('Shayak Income '!D526,'MPG Payment '!E:E,0))</f>
        <v>Kalyanpur</v>
      </c>
      <c r="K526" s="125" t="s">
        <v>1594</v>
      </c>
      <c r="L526" s="125">
        <v>45745</v>
      </c>
      <c r="M526" s="126">
        <f>SUMIF('MPG Payment '!$E$3:$E$344841,'Shayak Income '!D526,'MPG Payment '!$I$3:$I$344841)</f>
        <v>2731.7999999999997</v>
      </c>
      <c r="N526" s="126">
        <f>SUMIF('MPG Payment '!$E$3:$E$344841,'Shayak Income '!D526,'MPG Payment '!$J$3:$J$344841)</f>
        <v>112978.73</v>
      </c>
      <c r="O526" s="126">
        <f t="shared" si="154"/>
        <v>2048.85</v>
      </c>
      <c r="P526" s="126">
        <f t="shared" si="155"/>
        <v>2595.2099999999996</v>
      </c>
      <c r="Q526" s="126">
        <f>SUMIF('MPG Payment '!$E$3:$E$344841,'Shayak Income '!D526,'MPG Payment '!$S$3:$S$344841)</f>
        <v>0</v>
      </c>
      <c r="R526" s="126">
        <f t="shared" si="145"/>
        <v>3389.3618999999999</v>
      </c>
      <c r="S526" s="126">
        <f t="shared" si="146"/>
        <v>794.1519000000003</v>
      </c>
      <c r="T526" s="126">
        <f t="shared" si="156"/>
        <v>273.18</v>
      </c>
      <c r="U526" s="127">
        <f>((((((IF(K526="New",0,SUMIF('MPG Payment '!$E$3:$E$344841,'Shayak Income '!D526,'MPG Payment '!$AC$3:$AC$344841))))+0)+0)+0)+0)+0</f>
        <v>263.32475715024412</v>
      </c>
      <c r="V526" s="127">
        <f t="shared" si="157"/>
        <v>4108</v>
      </c>
      <c r="W526" s="19">
        <f t="shared" si="158"/>
        <v>0</v>
      </c>
      <c r="X526" s="19">
        <f t="shared" si="147"/>
        <v>0</v>
      </c>
      <c r="Y526" s="128">
        <f>IFERROR(VLOOKUP(D526,'Monthly Deduction'!$M$2:$N$640,2,0),0)</f>
        <v>0</v>
      </c>
      <c r="Z526" s="128">
        <v>0</v>
      </c>
      <c r="AA526" s="126">
        <f>IFERROR(VLOOKUP(D526,'Monthly Deduction'!A:B,2,0),0)</f>
        <v>0</v>
      </c>
      <c r="AB526" s="129">
        <f t="shared" si="148"/>
        <v>4108</v>
      </c>
      <c r="AC526" s="130">
        <v>0</v>
      </c>
      <c r="AD526" s="35">
        <f t="shared" si="159"/>
        <v>4108</v>
      </c>
      <c r="AE526" s="166" t="str">
        <f t="shared" si="160"/>
        <v>Release</v>
      </c>
      <c r="AF526" s="127"/>
      <c r="AG526" s="18">
        <v>0</v>
      </c>
      <c r="AH526" s="120"/>
      <c r="AI526" s="238">
        <v>0</v>
      </c>
      <c r="AJ526" s="132"/>
      <c r="AK526" s="151">
        <v>434.1</v>
      </c>
      <c r="AL526" s="154">
        <f t="shared" si="149"/>
        <v>0</v>
      </c>
      <c r="AM526" s="155"/>
      <c r="AN526" s="19">
        <f t="shared" si="150"/>
        <v>0</v>
      </c>
      <c r="AO526" s="118">
        <f>SUMIF('MPG Payment '!E:E,'Shayak Income '!D526,'MPG Payment '!AJ:AJ)</f>
        <v>0</v>
      </c>
      <c r="AP526" s="19">
        <f t="shared" si="151"/>
        <v>0</v>
      </c>
      <c r="AQ526" s="119">
        <f t="shared" si="161"/>
        <v>0</v>
      </c>
      <c r="AR526" s="91" t="s">
        <v>1144</v>
      </c>
      <c r="AS526" s="91">
        <f t="shared" si="152"/>
        <v>0</v>
      </c>
      <c r="AT526" s="118"/>
      <c r="AU526" s="118"/>
      <c r="AV526" s="118"/>
    </row>
    <row r="527" spans="1:48" s="20" customFormat="1" x14ac:dyDescent="0.25">
      <c r="A527" s="17">
        <f>IFERROR(VLOOKUP(D527,'Monthly Deduction'!$I$3:$J$957,2,0),0)</f>
        <v>32937.562938091316</v>
      </c>
      <c r="B527" s="17">
        <f>IFERROR(VLOOKUP(D527,'Monthly Deduction'!$E$3:$F$957,2,0),0)</f>
        <v>23500</v>
      </c>
      <c r="C527" s="17">
        <f t="shared" si="153"/>
        <v>56437.562938091316</v>
      </c>
      <c r="D527" s="41">
        <v>10530040</v>
      </c>
      <c r="E527" s="122" t="str">
        <f>VLOOKUP(D527,'MPG Payment '!$E$3:$G$497305,2,0)</f>
        <v>Gomukh Khanua</v>
      </c>
      <c r="F527" s="146">
        <f>IFERROR(_xlfn.XLOOKUP(D527,'Monthly Deduction'!$I$3:$I$957,'Monthly Deduction'!$H$3:$H$957),0)</f>
        <v>0</v>
      </c>
      <c r="G527" s="123" t="str">
        <f>VLOOKUP(D527,'MPG Payment '!$E$3:$G$333666,3,0)</f>
        <v>MPG</v>
      </c>
      <c r="H527" s="124" t="str">
        <f>VLOOKUP(D527,'MPG Payment '!$E$3:$H$333666,4,0)</f>
        <v>Direct</v>
      </c>
      <c r="I527" s="88">
        <f>INDEX('MPG Payment '!$C:$C,MATCH('Shayak Income '!D527,'MPG Payment '!E:E,0))</f>
        <v>1053</v>
      </c>
      <c r="J527" s="88" t="str">
        <f>INDEX('MPG Payment '!$D:$D,MATCH('Shayak Income '!D527,'MPG Payment '!E:E,0))</f>
        <v>Kalyanpur</v>
      </c>
      <c r="K527" s="125" t="s">
        <v>1594</v>
      </c>
      <c r="L527" s="125">
        <v>45745</v>
      </c>
      <c r="M527" s="126">
        <f>SUMIF('MPG Payment '!$E$3:$E$344841,'Shayak Income '!D527,'MPG Payment '!$I$3:$I$344841)</f>
        <v>2036.75</v>
      </c>
      <c r="N527" s="126">
        <f>SUMIF('MPG Payment '!$E$3:$E$344841,'Shayak Income '!D527,'MPG Payment '!$J$3:$J$344841)</f>
        <v>98915.26</v>
      </c>
      <c r="O527" s="126">
        <f t="shared" si="154"/>
        <v>1527.5625</v>
      </c>
      <c r="P527" s="126">
        <f t="shared" si="155"/>
        <v>1934.9124999999999</v>
      </c>
      <c r="Q527" s="126">
        <f>SUMIF('MPG Payment '!$E$3:$E$344841,'Shayak Income '!D527,'MPG Payment '!$S$3:$S$344841)</f>
        <v>4787.34</v>
      </c>
      <c r="R527" s="126">
        <f t="shared" si="145"/>
        <v>2967.4577999999997</v>
      </c>
      <c r="S527" s="126">
        <f t="shared" si="146"/>
        <v>1032.5452999999998</v>
      </c>
      <c r="T527" s="126">
        <f t="shared" si="156"/>
        <v>203.67500000000001</v>
      </c>
      <c r="U527" s="127">
        <f>((((((IF(K527="New",0,SUMIF('MPG Payment '!$E$3:$E$344841,'Shayak Income '!D527,'MPG Payment '!$AC$3:$AC$344841))))+0)+0)+0)+0)+0</f>
        <v>738.70986674730352</v>
      </c>
      <c r="V527" s="127">
        <f t="shared" si="157"/>
        <v>7307</v>
      </c>
      <c r="W527" s="19">
        <f t="shared" si="158"/>
        <v>1978.3052</v>
      </c>
      <c r="X527" s="19">
        <v>0</v>
      </c>
      <c r="Y527" s="128">
        <f>IFERROR(VLOOKUP(D527,'Monthly Deduction'!$M$2:$N$640,2,0),0)</f>
        <v>0</v>
      </c>
      <c r="Z527" s="128">
        <v>0</v>
      </c>
      <c r="AA527" s="126">
        <f>IFERROR(VLOOKUP(D527,'Monthly Deduction'!A:B,2,0),0)</f>
        <v>404.6154308015611</v>
      </c>
      <c r="AB527" s="129">
        <f t="shared" si="148"/>
        <v>4924</v>
      </c>
      <c r="AC527" s="130">
        <v>0</v>
      </c>
      <c r="AD527" s="35">
        <f t="shared" si="159"/>
        <v>4924</v>
      </c>
      <c r="AE527" s="166" t="str">
        <f t="shared" si="160"/>
        <v>Release</v>
      </c>
      <c r="AF527" s="127"/>
      <c r="AG527" s="127">
        <v>0</v>
      </c>
      <c r="AH527" s="120"/>
      <c r="AI527" s="238">
        <v>0</v>
      </c>
      <c r="AJ527" s="132"/>
      <c r="AK527" s="151">
        <v>923.6500000000002</v>
      </c>
      <c r="AL527" s="154">
        <f t="shared" si="149"/>
        <v>0</v>
      </c>
      <c r="AM527" s="155"/>
      <c r="AN527" s="19">
        <f t="shared" si="150"/>
        <v>1978.3052</v>
      </c>
      <c r="AO527" s="118">
        <f>SUMIF('MPG Payment '!E:E,'Shayak Income '!D527,'MPG Payment '!AJ:AJ)</f>
        <v>0</v>
      </c>
      <c r="AP527" s="19">
        <f t="shared" si="151"/>
        <v>1978.3052</v>
      </c>
      <c r="AQ527" s="119">
        <f t="shared" si="161"/>
        <v>1978.3052</v>
      </c>
      <c r="AR527" s="91" t="s">
        <v>1144</v>
      </c>
      <c r="AS527" s="91">
        <f t="shared" si="152"/>
        <v>23500</v>
      </c>
      <c r="AT527" s="118"/>
      <c r="AU527" s="118"/>
      <c r="AV527" s="118"/>
    </row>
    <row r="528" spans="1:48" s="20" customFormat="1" x14ac:dyDescent="0.25">
      <c r="A528" s="17">
        <f>IFERROR(VLOOKUP(D528,'Monthly Deduction'!$I$3:$J$957,2,0),0)</f>
        <v>31068.753252251976</v>
      </c>
      <c r="B528" s="17">
        <f>IFERROR(VLOOKUP(D528,'Monthly Deduction'!$E$3:$F$957,2,0),0)</f>
        <v>13900</v>
      </c>
      <c r="C528" s="17">
        <f t="shared" si="153"/>
        <v>44968.753252251976</v>
      </c>
      <c r="D528" s="41">
        <v>10530044</v>
      </c>
      <c r="E528" s="122" t="str">
        <f>VLOOKUP(D528,'MPG Payment '!$E$3:$G$497305,2,0)</f>
        <v>Gomukh Punas</v>
      </c>
      <c r="F528" s="146">
        <f>IFERROR(_xlfn.XLOOKUP(D528,'Monthly Deduction'!$I$3:$I$957,'Monthly Deduction'!$H$3:$H$957),0)</f>
        <v>0</v>
      </c>
      <c r="G528" s="123" t="str">
        <f>VLOOKUP(D528,'MPG Payment '!$E$3:$G$333666,3,0)</f>
        <v>MPG</v>
      </c>
      <c r="H528" s="124" t="str">
        <f>VLOOKUP(D528,'MPG Payment '!$E$3:$H$333666,4,0)</f>
        <v>Direct</v>
      </c>
      <c r="I528" s="88">
        <f>INDEX('MPG Payment '!$C:$C,MATCH('Shayak Income '!D528,'MPG Payment '!E:E,0))</f>
        <v>1053</v>
      </c>
      <c r="J528" s="88" t="str">
        <f>INDEX('MPG Payment '!$D:$D,MATCH('Shayak Income '!D528,'MPG Payment '!E:E,0))</f>
        <v>Kalyanpur</v>
      </c>
      <c r="K528" s="125" t="s">
        <v>1594</v>
      </c>
      <c r="L528" s="125">
        <v>45745</v>
      </c>
      <c r="M528" s="126">
        <f>SUMIF('MPG Payment '!$E$3:$E$344841,'Shayak Income '!D528,'MPG Payment '!$I$3:$I$344841)</f>
        <v>5242</v>
      </c>
      <c r="N528" s="126">
        <f>SUMIF('MPG Payment '!$E$3:$E$344841,'Shayak Income '!D528,'MPG Payment '!$J$3:$J$344841)</f>
        <v>244798.89</v>
      </c>
      <c r="O528" s="126">
        <f t="shared" si="154"/>
        <v>3931.5</v>
      </c>
      <c r="P528" s="126">
        <f t="shared" si="155"/>
        <v>4979.8999999999996</v>
      </c>
      <c r="Q528" s="126">
        <f>SUMIF('MPG Payment '!$E$3:$E$344841,'Shayak Income '!D528,'MPG Payment '!$S$3:$S$344841)</f>
        <v>2961.7799999999997</v>
      </c>
      <c r="R528" s="126">
        <f t="shared" si="145"/>
        <v>7343.9666999999999</v>
      </c>
      <c r="S528" s="126">
        <f t="shared" si="146"/>
        <v>2364.0667000000003</v>
      </c>
      <c r="T528" s="126">
        <f t="shared" si="156"/>
        <v>524.20000000000005</v>
      </c>
      <c r="U528" s="127">
        <f>((((((IF(K528="New",0,SUMIF('MPG Payment '!$E$3:$E$344841,'Shayak Income '!D528,'MPG Payment '!$AC$3:$AC$344841))))+0)+0)+0)+0)+0</f>
        <v>0</v>
      </c>
      <c r="V528" s="127">
        <f t="shared" si="157"/>
        <v>11349</v>
      </c>
      <c r="W528" s="19">
        <f t="shared" si="158"/>
        <v>4895.9778000000006</v>
      </c>
      <c r="X528" s="19">
        <v>0</v>
      </c>
      <c r="Y528" s="128">
        <f>IFERROR(VLOOKUP(D528,'Monthly Deduction'!$M$2:$N$640,2,0),0)</f>
        <v>0</v>
      </c>
      <c r="Z528" s="128">
        <v>0</v>
      </c>
      <c r="AA528" s="126">
        <f>IFERROR(VLOOKUP(D528,'Monthly Deduction'!A:B,2,0),0)</f>
        <v>349.71543080156107</v>
      </c>
      <c r="AB528" s="129">
        <f t="shared" si="148"/>
        <v>6103</v>
      </c>
      <c r="AC528" s="130">
        <v>0</v>
      </c>
      <c r="AD528" s="35">
        <f t="shared" si="159"/>
        <v>6103</v>
      </c>
      <c r="AE528" s="166" t="str">
        <f t="shared" si="160"/>
        <v>Release</v>
      </c>
      <c r="AF528" s="127"/>
      <c r="AG528" s="18">
        <v>0</v>
      </c>
      <c r="AH528" s="132"/>
      <c r="AI528" s="238">
        <v>0</v>
      </c>
      <c r="AJ528" s="132"/>
      <c r="AK528" s="151">
        <v>1197.05</v>
      </c>
      <c r="AL528" s="154">
        <f t="shared" si="149"/>
        <v>0</v>
      </c>
      <c r="AM528" s="155"/>
      <c r="AN528" s="19">
        <f t="shared" si="150"/>
        <v>4895.9778000000006</v>
      </c>
      <c r="AO528" s="118">
        <f>SUMIF('MPG Payment '!E:E,'Shayak Income '!D528,'MPG Payment '!AJ:AJ)</f>
        <v>0</v>
      </c>
      <c r="AP528" s="19">
        <f t="shared" si="151"/>
        <v>4895.9778000000006</v>
      </c>
      <c r="AQ528" s="119">
        <f t="shared" si="161"/>
        <v>4895.9778000000006</v>
      </c>
      <c r="AR528" s="91"/>
      <c r="AS528" s="91">
        <f t="shared" si="152"/>
        <v>13900</v>
      </c>
      <c r="AT528" s="118"/>
      <c r="AU528" s="118"/>
      <c r="AV528" s="118"/>
    </row>
    <row r="529" spans="1:48" s="20" customFormat="1" x14ac:dyDescent="0.25">
      <c r="A529" s="17">
        <f>IFERROR(VLOOKUP(D529,'Monthly Deduction'!$I$3:$J$957,2,0),0)</f>
        <v>0</v>
      </c>
      <c r="B529" s="17">
        <f>IFERROR(VLOOKUP(D529,'Monthly Deduction'!$E$3:$F$957,2,0),0)</f>
        <v>0</v>
      </c>
      <c r="C529" s="17">
        <f t="shared" si="153"/>
        <v>0</v>
      </c>
      <c r="D529" s="41">
        <v>10530046</v>
      </c>
      <c r="E529" s="122" t="str">
        <f>VLOOKUP(D529,'MPG Payment '!$E$3:$G$497305,2,0)</f>
        <v>Gomukh Loharkha</v>
      </c>
      <c r="F529" s="146">
        <f>IFERROR(_xlfn.XLOOKUP(D529,'Monthly Deduction'!$I$3:$I$957,'Monthly Deduction'!$H$3:$H$957),0)</f>
        <v>0</v>
      </c>
      <c r="G529" s="123" t="str">
        <f>VLOOKUP(D529,'MPG Payment '!$E$3:$G$333666,3,0)</f>
        <v>MPG</v>
      </c>
      <c r="H529" s="124" t="str">
        <f>VLOOKUP(D529,'MPG Payment '!$E$3:$H$333666,4,0)</f>
        <v>Direct</v>
      </c>
      <c r="I529" s="88">
        <f>INDEX('MPG Payment '!$C:$C,MATCH('Shayak Income '!D529,'MPG Payment '!E:E,0))</f>
        <v>1053</v>
      </c>
      <c r="J529" s="88" t="str">
        <f>INDEX('MPG Payment '!$D:$D,MATCH('Shayak Income '!D529,'MPG Payment '!E:E,0))</f>
        <v>Kalyanpur</v>
      </c>
      <c r="K529" s="125" t="s">
        <v>1594</v>
      </c>
      <c r="L529" s="125">
        <v>45751</v>
      </c>
      <c r="M529" s="126">
        <f>SUMIF('MPG Payment '!$E$3:$E$344841,'Shayak Income '!D529,'MPG Payment '!$I$3:$I$344841)</f>
        <v>1236.05</v>
      </c>
      <c r="N529" s="126">
        <f>SUMIF('MPG Payment '!$E$3:$E$344841,'Shayak Income '!D529,'MPG Payment '!$J$3:$J$344841)</f>
        <v>61472.569999999992</v>
      </c>
      <c r="O529" s="126">
        <f t="shared" si="154"/>
        <v>927.03749999999991</v>
      </c>
      <c r="P529" s="126">
        <f t="shared" si="155"/>
        <v>1174.2474999999999</v>
      </c>
      <c r="Q529" s="126">
        <f>SUMIF('MPG Payment '!$E$3:$E$344841,'Shayak Income '!D529,'MPG Payment '!$S$3:$S$344841)</f>
        <v>19.54</v>
      </c>
      <c r="R529" s="126">
        <f t="shared" si="145"/>
        <v>1844.1770999999997</v>
      </c>
      <c r="S529" s="126">
        <f t="shared" si="146"/>
        <v>669.92959999999971</v>
      </c>
      <c r="T529" s="126">
        <f t="shared" si="156"/>
        <v>123.605</v>
      </c>
      <c r="U529" s="127">
        <f>((((((IF(K529="New",0,SUMIF('MPG Payment '!$E$3:$E$344841,'Shayak Income '!D529,'MPG Payment '!$AC$3:$AC$344841))))+0)+0)+0)+0)+0</f>
        <v>1565.2780517102497</v>
      </c>
      <c r="V529" s="127">
        <f t="shared" si="157"/>
        <v>432</v>
      </c>
      <c r="W529" s="19">
        <f t="shared" si="158"/>
        <v>0</v>
      </c>
      <c r="X529" s="19">
        <f t="shared" si="147"/>
        <v>0</v>
      </c>
      <c r="Y529" s="128">
        <f>IFERROR(VLOOKUP(D529,'Monthly Deduction'!$M$2:$N$640,2,0),0)</f>
        <v>0</v>
      </c>
      <c r="Z529" s="128">
        <v>0</v>
      </c>
      <c r="AA529" s="126">
        <f>IFERROR(VLOOKUP(D529,'Monthly Deduction'!A:B,2,0),0)</f>
        <v>294.81543080156109</v>
      </c>
      <c r="AB529" s="129">
        <f t="shared" si="148"/>
        <v>137</v>
      </c>
      <c r="AC529" s="130">
        <v>0</v>
      </c>
      <c r="AD529" s="35">
        <f t="shared" si="159"/>
        <v>137</v>
      </c>
      <c r="AE529" s="166" t="str">
        <f t="shared" si="160"/>
        <v>Release</v>
      </c>
      <c r="AF529" s="127"/>
      <c r="AG529" s="18">
        <v>0</v>
      </c>
      <c r="AH529" s="132"/>
      <c r="AI529" s="238">
        <v>0</v>
      </c>
      <c r="AJ529" s="132"/>
      <c r="AK529" s="151">
        <v>309.5499999999999</v>
      </c>
      <c r="AL529" s="154">
        <f t="shared" si="149"/>
        <v>0</v>
      </c>
      <c r="AM529" s="155"/>
      <c r="AN529" s="19">
        <f t="shared" si="150"/>
        <v>0</v>
      </c>
      <c r="AO529" s="118">
        <f>SUMIF('MPG Payment '!E:E,'Shayak Income '!D529,'MPG Payment '!AJ:AJ)</f>
        <v>0</v>
      </c>
      <c r="AP529" s="19">
        <f t="shared" si="151"/>
        <v>0</v>
      </c>
      <c r="AQ529" s="119">
        <f t="shared" si="161"/>
        <v>0</v>
      </c>
      <c r="AR529" s="91" t="s">
        <v>1144</v>
      </c>
      <c r="AS529" s="91">
        <f t="shared" si="152"/>
        <v>0</v>
      </c>
      <c r="AT529" s="118"/>
      <c r="AU529" s="118"/>
      <c r="AV529" s="118"/>
    </row>
    <row r="530" spans="1:48" s="20" customFormat="1" x14ac:dyDescent="0.25">
      <c r="A530" s="17">
        <f>IFERROR(VLOOKUP(D530,'Monthly Deduction'!$I$3:$J$957,2,0),0)</f>
        <v>66605.312256515434</v>
      </c>
      <c r="B530" s="17">
        <f>IFERROR(VLOOKUP(D530,'Monthly Deduction'!$E$3:$F$957,2,0),0)</f>
        <v>13900</v>
      </c>
      <c r="C530" s="17">
        <f t="shared" si="153"/>
        <v>80505.312256515434</v>
      </c>
      <c r="D530" s="41">
        <v>10530047</v>
      </c>
      <c r="E530" s="122" t="str">
        <f>VLOOKUP(D530,'MPG Payment '!$E$3:$G$497305,2,0)</f>
        <v>Gomukh Dighra</v>
      </c>
      <c r="F530" s="146">
        <f>IFERROR(_xlfn.XLOOKUP(D530,'Monthly Deduction'!$I$3:$I$957,'Monthly Deduction'!$H$3:$H$957),0)</f>
        <v>0</v>
      </c>
      <c r="G530" s="123" t="str">
        <f>VLOOKUP(D530,'MPG Payment '!$E$3:$G$333666,3,0)</f>
        <v>MPG</v>
      </c>
      <c r="H530" s="124" t="str">
        <f>VLOOKUP(D530,'MPG Payment '!$E$3:$H$333666,4,0)</f>
        <v>Direct</v>
      </c>
      <c r="I530" s="88">
        <f>INDEX('MPG Payment '!$C:$C,MATCH('Shayak Income '!D530,'MPG Payment '!E:E,0))</f>
        <v>1053</v>
      </c>
      <c r="J530" s="88" t="str">
        <f>INDEX('MPG Payment '!$D:$D,MATCH('Shayak Income '!D530,'MPG Payment '!E:E,0))</f>
        <v>Kalyanpur</v>
      </c>
      <c r="K530" s="125" t="s">
        <v>1594</v>
      </c>
      <c r="L530" s="125">
        <v>45745</v>
      </c>
      <c r="M530" s="126">
        <f>SUMIF('MPG Payment '!$E$3:$E$344841,'Shayak Income '!D530,'MPG Payment '!$I$3:$I$344841)</f>
        <v>1350.1</v>
      </c>
      <c r="N530" s="126">
        <f>SUMIF('MPG Payment '!$E$3:$E$344841,'Shayak Income '!D530,'MPG Payment '!$J$3:$J$344841)</f>
        <v>48065.5</v>
      </c>
      <c r="O530" s="126">
        <f t="shared" si="154"/>
        <v>1012.5749999999999</v>
      </c>
      <c r="P530" s="126">
        <f t="shared" si="155"/>
        <v>1282.5949999999998</v>
      </c>
      <c r="Q530" s="126">
        <f>SUMIF('MPG Payment '!$E$3:$E$344841,'Shayak Income '!D530,'MPG Payment '!$S$3:$S$344841)</f>
        <v>589.69999999999993</v>
      </c>
      <c r="R530" s="126">
        <f t="shared" si="145"/>
        <v>1441.9649999999999</v>
      </c>
      <c r="S530" s="126">
        <f t="shared" si="146"/>
        <v>159.37000000000012</v>
      </c>
      <c r="T530" s="126">
        <f t="shared" si="156"/>
        <v>135.01</v>
      </c>
      <c r="U530" s="127">
        <f>((((((IF(K530="New",0,SUMIF('MPG Payment '!$E$3:$E$344841,'Shayak Income '!D530,'MPG Payment '!$AC$3:$AC$344841))))+0)+0)+0)+0)+0</f>
        <v>1033.4081718881657</v>
      </c>
      <c r="V530" s="127">
        <f t="shared" si="157"/>
        <v>1716</v>
      </c>
      <c r="W530" s="19">
        <v>1716</v>
      </c>
      <c r="X530" s="19">
        <v>0</v>
      </c>
      <c r="Y530" s="128">
        <f>IFERROR(VLOOKUP(D530,'Monthly Deduction'!$M$2:$N$640,2,0),0)</f>
        <v>0</v>
      </c>
      <c r="Z530" s="128">
        <v>0</v>
      </c>
      <c r="AA530" s="126">
        <v>0</v>
      </c>
      <c r="AB530" s="129">
        <f t="shared" si="148"/>
        <v>0</v>
      </c>
      <c r="AC530" s="130">
        <v>0</v>
      </c>
      <c r="AD530" s="35">
        <f t="shared" si="159"/>
        <v>0</v>
      </c>
      <c r="AE530" s="166" t="str">
        <f t="shared" si="160"/>
        <v>Release</v>
      </c>
      <c r="AF530" s="127"/>
      <c r="AG530" s="18">
        <v>0</v>
      </c>
      <c r="AH530" s="120"/>
      <c r="AI530" s="238">
        <v>0</v>
      </c>
      <c r="AJ530" s="132"/>
      <c r="AK530" s="151">
        <v>276.5</v>
      </c>
      <c r="AL530" s="154">
        <f t="shared" si="149"/>
        <v>0</v>
      </c>
      <c r="AM530" s="155"/>
      <c r="AN530" s="19">
        <f t="shared" si="150"/>
        <v>1861</v>
      </c>
      <c r="AO530" s="118">
        <f>SUMIF('MPG Payment '!E:E,'Shayak Income '!D530,'MPG Payment '!AJ:AJ)</f>
        <v>0</v>
      </c>
      <c r="AP530" s="19">
        <f t="shared" si="151"/>
        <v>1716</v>
      </c>
      <c r="AQ530" s="119">
        <f t="shared" si="161"/>
        <v>1716</v>
      </c>
      <c r="AR530" s="91" t="s">
        <v>1144</v>
      </c>
      <c r="AS530" s="91">
        <f t="shared" si="152"/>
        <v>13900</v>
      </c>
      <c r="AT530" s="118"/>
      <c r="AU530" s="118"/>
      <c r="AV530" s="118"/>
    </row>
    <row r="531" spans="1:48" s="20" customFormat="1" x14ac:dyDescent="0.25">
      <c r="A531" s="17">
        <f>IFERROR(VLOOKUP(D531,'Monthly Deduction'!$I$3:$J$957,2,0),0)</f>
        <v>64508</v>
      </c>
      <c r="B531" s="17">
        <f>IFERROR(VLOOKUP(D531,'Monthly Deduction'!$E$3:$F$957,2,0),0)</f>
        <v>10700</v>
      </c>
      <c r="C531" s="17">
        <f t="shared" si="153"/>
        <v>75208</v>
      </c>
      <c r="D531" s="41">
        <v>10530048</v>
      </c>
      <c r="E531" s="122" t="str">
        <f>VLOOKUP(D531,'MPG Payment '!$E$3:$G$497305,2,0)</f>
        <v>Basuwari</v>
      </c>
      <c r="F531" s="146">
        <f>IFERROR(_xlfn.XLOOKUP(D531,'Monthly Deduction'!$I$3:$I$957,'Monthly Deduction'!$H$3:$H$957),0)</f>
        <v>0</v>
      </c>
      <c r="G531" s="123" t="str">
        <f>VLOOKUP(D531,'MPG Payment '!$E$3:$G$333666,3,0)</f>
        <v>MPG</v>
      </c>
      <c r="H531" s="124" t="str">
        <f>VLOOKUP(D531,'MPG Payment '!$E$3:$H$333666,4,0)</f>
        <v>Direct</v>
      </c>
      <c r="I531" s="88">
        <f>INDEX('MPG Payment '!$C:$C,MATCH('Shayak Income '!D531,'MPG Payment '!E:E,0))</f>
        <v>1053</v>
      </c>
      <c r="J531" s="88" t="str">
        <f>INDEX('MPG Payment '!$D:$D,MATCH('Shayak Income '!D531,'MPG Payment '!E:E,0))</f>
        <v>Kalyanpur</v>
      </c>
      <c r="K531" s="125" t="s">
        <v>1594</v>
      </c>
      <c r="L531" s="125">
        <v>45755</v>
      </c>
      <c r="M531" s="126">
        <f>SUMIF('MPG Payment '!$E$3:$E$344841,'Shayak Income '!D531,'MPG Payment '!$I$3:$I$344841)</f>
        <v>1172.75</v>
      </c>
      <c r="N531" s="126">
        <f>SUMIF('MPG Payment '!$E$3:$E$344841,'Shayak Income '!D531,'MPG Payment '!$J$3:$J$344841)</f>
        <v>47866.319999999992</v>
      </c>
      <c r="O531" s="126">
        <f t="shared" si="154"/>
        <v>879.5625</v>
      </c>
      <c r="P531" s="126">
        <f t="shared" si="155"/>
        <v>1114.1125</v>
      </c>
      <c r="Q531" s="126">
        <f>SUMIF('MPG Payment '!$E$3:$E$344841,'Shayak Income '!D531,'MPG Payment '!$S$3:$S$344841)</f>
        <v>1169.0999999999999</v>
      </c>
      <c r="R531" s="126">
        <f t="shared" si="145"/>
        <v>1435.9895999999997</v>
      </c>
      <c r="S531" s="126">
        <f t="shared" si="146"/>
        <v>321.8770999999997</v>
      </c>
      <c r="T531" s="126">
        <f t="shared" si="156"/>
        <v>117.27500000000001</v>
      </c>
      <c r="U531" s="127">
        <f>((((((IF(K531="New",0,SUMIF('MPG Payment '!$E$3:$E$344841,'Shayak Income '!D531,'MPG Payment '!$AC$3:$AC$344841))))+0)+0)+0)+0)+0</f>
        <v>1327.1136264151023</v>
      </c>
      <c r="V531" s="127">
        <f t="shared" si="157"/>
        <v>1718</v>
      </c>
      <c r="W531" s="19">
        <v>1718</v>
      </c>
      <c r="X531" s="19">
        <v>0</v>
      </c>
      <c r="Y531" s="128">
        <f>IFERROR(VLOOKUP(D531,'Monthly Deduction'!$M$2:$N$640,2,0),0)</f>
        <v>0</v>
      </c>
      <c r="Z531" s="128">
        <v>0</v>
      </c>
      <c r="AA531" s="126">
        <v>0</v>
      </c>
      <c r="AB531" s="129">
        <f t="shared" si="148"/>
        <v>0</v>
      </c>
      <c r="AC531" s="130">
        <v>0</v>
      </c>
      <c r="AD531" s="35">
        <f t="shared" si="159"/>
        <v>0</v>
      </c>
      <c r="AE531" s="166" t="str">
        <f t="shared" si="160"/>
        <v>Release</v>
      </c>
      <c r="AF531" s="127"/>
      <c r="AG531" s="18">
        <v>0</v>
      </c>
      <c r="AH531" s="120"/>
      <c r="AI531" s="238">
        <v>0</v>
      </c>
      <c r="AJ531" s="132"/>
      <c r="AK531" s="151">
        <v>362</v>
      </c>
      <c r="AL531" s="154">
        <f t="shared" si="149"/>
        <v>0</v>
      </c>
      <c r="AM531" s="155"/>
      <c r="AN531" s="19">
        <f t="shared" si="150"/>
        <v>1861</v>
      </c>
      <c r="AO531" s="118">
        <f>SUMIF('MPG Payment '!E:E,'Shayak Income '!D531,'MPG Payment '!AJ:AJ)</f>
        <v>0</v>
      </c>
      <c r="AP531" s="19">
        <f t="shared" si="151"/>
        <v>1718</v>
      </c>
      <c r="AQ531" s="119">
        <f t="shared" si="161"/>
        <v>1718</v>
      </c>
      <c r="AR531" s="91" t="s">
        <v>1144</v>
      </c>
      <c r="AS531" s="91">
        <f t="shared" si="152"/>
        <v>10700</v>
      </c>
      <c r="AT531" s="118"/>
      <c r="AU531" s="118"/>
      <c r="AV531" s="118"/>
    </row>
    <row r="532" spans="1:48" s="20" customFormat="1" x14ac:dyDescent="0.25">
      <c r="A532" s="17">
        <f>IFERROR(VLOOKUP(D532,'Monthly Deduction'!$I$3:$J$957,2,0),0)</f>
        <v>0</v>
      </c>
      <c r="B532" s="17">
        <f>IFERROR(VLOOKUP(D532,'Monthly Deduction'!$E$3:$F$957,2,0),0)</f>
        <v>0</v>
      </c>
      <c r="C532" s="17">
        <f t="shared" si="153"/>
        <v>0</v>
      </c>
      <c r="D532" s="41">
        <v>10530049</v>
      </c>
      <c r="E532" s="122" t="str">
        <f>VLOOKUP(D532,'MPG Payment '!$E$3:$G$497305,2,0)</f>
        <v>Belsandi 3</v>
      </c>
      <c r="F532" s="146">
        <f>IFERROR(_xlfn.XLOOKUP(D532,'Monthly Deduction'!$I$3:$I$957,'Monthly Deduction'!$H$3:$H$957),0)</f>
        <v>0</v>
      </c>
      <c r="G532" s="123" t="str">
        <f>VLOOKUP(D532,'MPG Payment '!$E$3:$G$333666,3,0)</f>
        <v>vlc</v>
      </c>
      <c r="H532" s="124" t="str">
        <f>VLOOKUP(D532,'MPG Payment '!$E$3:$H$333666,4,0)</f>
        <v>Indirect</v>
      </c>
      <c r="I532" s="88">
        <f>INDEX('MPG Payment '!$C:$C,MATCH('Shayak Income '!D532,'MPG Payment '!E:E,0))</f>
        <v>1053</v>
      </c>
      <c r="J532" s="88" t="str">
        <f>INDEX('MPG Payment '!$D:$D,MATCH('Shayak Income '!D532,'MPG Payment '!E:E,0))</f>
        <v>Kalyanpur</v>
      </c>
      <c r="K532" s="125" t="s">
        <v>1594</v>
      </c>
      <c r="L532" s="125">
        <v>45745</v>
      </c>
      <c r="M532" s="126">
        <f>SUMIF('MPG Payment '!$E$3:$E$344841,'Shayak Income '!D532,'MPG Payment '!$I$3:$I$344841)</f>
        <v>7963.1999999999989</v>
      </c>
      <c r="N532" s="126">
        <f>SUMIF('MPG Payment '!$E$3:$E$344841,'Shayak Income '!D532,'MPG Payment '!$J$3:$J$344841)</f>
        <v>316876.78999999998</v>
      </c>
      <c r="O532" s="126">
        <f t="shared" si="154"/>
        <v>5972.4</v>
      </c>
      <c r="P532" s="126">
        <f t="shared" si="155"/>
        <v>7565.0399999999991</v>
      </c>
      <c r="Q532" s="126">
        <f>SUMIF('MPG Payment '!$E$3:$E$344841,'Shayak Income '!D532,'MPG Payment '!$S$3:$S$344841)</f>
        <v>0</v>
      </c>
      <c r="R532" s="126">
        <f t="shared" si="145"/>
        <v>9506.3036999999986</v>
      </c>
      <c r="S532" s="126">
        <f t="shared" si="146"/>
        <v>1941.2636999999995</v>
      </c>
      <c r="T532" s="126">
        <f t="shared" si="156"/>
        <v>796.31999999999994</v>
      </c>
      <c r="U532" s="127">
        <f>((((((IF(K532="New",0,SUMIF('MPG Payment '!$E$3:$E$344841,'Shayak Income '!D532,'MPG Payment '!$AC$3:$AC$344841))))+0)+0)+0)+0)+0</f>
        <v>0</v>
      </c>
      <c r="V532" s="127">
        <f t="shared" si="157"/>
        <v>12741</v>
      </c>
      <c r="W532" s="19">
        <f t="shared" si="158"/>
        <v>0</v>
      </c>
      <c r="X532" s="19">
        <f t="shared" si="147"/>
        <v>0</v>
      </c>
      <c r="Y532" s="128">
        <f>IFERROR(VLOOKUP(D532,'Monthly Deduction'!$M$2:$N$640,2,0),0)</f>
        <v>0</v>
      </c>
      <c r="Z532" s="128">
        <v>0</v>
      </c>
      <c r="AA532" s="126">
        <f>IFERROR(VLOOKUP(D532,'Monthly Deduction'!A:B,2,0),0)</f>
        <v>0</v>
      </c>
      <c r="AB532" s="129">
        <f t="shared" si="148"/>
        <v>12741</v>
      </c>
      <c r="AC532" s="130">
        <v>0</v>
      </c>
      <c r="AD532" s="35">
        <f t="shared" si="159"/>
        <v>12741</v>
      </c>
      <c r="AE532" s="166" t="str">
        <f t="shared" si="160"/>
        <v>Release</v>
      </c>
      <c r="AF532" s="127"/>
      <c r="AG532" s="18">
        <v>0</v>
      </c>
      <c r="AH532" s="132"/>
      <c r="AI532" s="238">
        <v>0</v>
      </c>
      <c r="AJ532" s="132"/>
      <c r="AK532" s="151">
        <v>2296.7999999999997</v>
      </c>
      <c r="AL532" s="154">
        <f t="shared" si="149"/>
        <v>0</v>
      </c>
      <c r="AM532" s="155"/>
      <c r="AN532" s="19">
        <f t="shared" si="150"/>
        <v>0</v>
      </c>
      <c r="AO532" s="118">
        <f>SUMIF('MPG Payment '!E:E,'Shayak Income '!D532,'MPG Payment '!AJ:AJ)</f>
        <v>0</v>
      </c>
      <c r="AP532" s="19">
        <f t="shared" si="151"/>
        <v>0</v>
      </c>
      <c r="AQ532" s="119">
        <f t="shared" si="161"/>
        <v>0</v>
      </c>
      <c r="AR532" s="91" t="s">
        <v>1144</v>
      </c>
      <c r="AS532" s="91">
        <f t="shared" si="152"/>
        <v>0</v>
      </c>
      <c r="AT532" s="118"/>
      <c r="AU532" s="118"/>
      <c r="AV532" s="118"/>
    </row>
    <row r="533" spans="1:48" s="20" customFormat="1" x14ac:dyDescent="0.25">
      <c r="A533" s="17">
        <f>IFERROR(VLOOKUP(D533,'Monthly Deduction'!$I$3:$J$957,2,0),0)</f>
        <v>0</v>
      </c>
      <c r="B533" s="17">
        <f>IFERROR(VLOOKUP(D533,'Monthly Deduction'!$E$3:$F$957,2,0),0)</f>
        <v>0</v>
      </c>
      <c r="C533" s="17">
        <f t="shared" si="153"/>
        <v>0</v>
      </c>
      <c r="D533" s="41">
        <v>10530050</v>
      </c>
      <c r="E533" s="122" t="str">
        <f>VLOOKUP(D533,'MPG Payment '!$E$3:$G$497305,2,0)</f>
        <v>Gomukh Bhagwanpur</v>
      </c>
      <c r="F533" s="146">
        <f>IFERROR(_xlfn.XLOOKUP(D533,'Monthly Deduction'!$I$3:$I$957,'Monthly Deduction'!$H$3:$H$957),0)</f>
        <v>0</v>
      </c>
      <c r="G533" s="123" t="str">
        <f>VLOOKUP(D533,'MPG Payment '!$E$3:$G$333666,3,0)</f>
        <v>vlc</v>
      </c>
      <c r="H533" s="124" t="str">
        <f>VLOOKUP(D533,'MPG Payment '!$E$3:$H$333666,4,0)</f>
        <v>Indirect</v>
      </c>
      <c r="I533" s="88">
        <f>INDEX('MPG Payment '!$C:$C,MATCH('Shayak Income '!D533,'MPG Payment '!E:E,0))</f>
        <v>1053</v>
      </c>
      <c r="J533" s="88" t="str">
        <f>INDEX('MPG Payment '!$D:$D,MATCH('Shayak Income '!D533,'MPG Payment '!E:E,0))</f>
        <v>Kalyanpur</v>
      </c>
      <c r="K533" s="125" t="s">
        <v>1594</v>
      </c>
      <c r="L533" s="125">
        <v>45749</v>
      </c>
      <c r="M533" s="126">
        <f>SUMIF('MPG Payment '!$E$3:$E$344841,'Shayak Income '!D533,'MPG Payment '!$I$3:$I$344841)</f>
        <v>1214.0500000000002</v>
      </c>
      <c r="N533" s="126">
        <f>SUMIF('MPG Payment '!$E$3:$E$344841,'Shayak Income '!D533,'MPG Payment '!$J$3:$J$344841)</f>
        <v>61325.960000000006</v>
      </c>
      <c r="O533" s="126">
        <f t="shared" si="154"/>
        <v>910.53750000000014</v>
      </c>
      <c r="P533" s="126">
        <f t="shared" si="155"/>
        <v>1153.3475000000001</v>
      </c>
      <c r="Q533" s="126">
        <f>SUMIF('MPG Payment '!$E$3:$E$344841,'Shayak Income '!D533,'MPG Payment '!$S$3:$S$344841)</f>
        <v>0</v>
      </c>
      <c r="R533" s="126">
        <f t="shared" si="145"/>
        <v>1839.7788</v>
      </c>
      <c r="S533" s="126">
        <f t="shared" si="146"/>
        <v>686.43129999999996</v>
      </c>
      <c r="T533" s="126">
        <f t="shared" si="156"/>
        <v>121.40500000000003</v>
      </c>
      <c r="U533" s="127">
        <f>((((((IF(K533="New",0,SUMIF('MPG Payment '!$E$3:$E$344841,'Shayak Income '!D533,'MPG Payment '!$AC$3:$AC$344841))))+0)+0)+0)+0)+0</f>
        <v>1608.9505567156477</v>
      </c>
      <c r="V533" s="127">
        <f t="shared" si="157"/>
        <v>334</v>
      </c>
      <c r="W533" s="19">
        <f t="shared" si="158"/>
        <v>0</v>
      </c>
      <c r="X533" s="19">
        <f t="shared" si="147"/>
        <v>0</v>
      </c>
      <c r="Y533" s="128">
        <f>IFERROR(VLOOKUP(D533,'Monthly Deduction'!$M$2:$N$640,2,0),0)</f>
        <v>0</v>
      </c>
      <c r="Z533" s="128">
        <v>0</v>
      </c>
      <c r="AA533" s="126">
        <f>IFERROR(VLOOKUP(D533,'Monthly Deduction'!A:B,2,0),0)</f>
        <v>0</v>
      </c>
      <c r="AB533" s="129">
        <f t="shared" si="148"/>
        <v>334</v>
      </c>
      <c r="AC533" s="130">
        <v>0</v>
      </c>
      <c r="AD533" s="35">
        <f t="shared" si="159"/>
        <v>334</v>
      </c>
      <c r="AE533" s="166" t="str">
        <f t="shared" si="160"/>
        <v>Release</v>
      </c>
      <c r="AF533" s="127"/>
      <c r="AG533" s="18">
        <v>0</v>
      </c>
      <c r="AH533" s="120"/>
      <c r="AI533" s="238">
        <v>0</v>
      </c>
      <c r="AJ533" s="132"/>
      <c r="AK533" s="151">
        <v>352.2</v>
      </c>
      <c r="AL533" s="154">
        <f t="shared" si="149"/>
        <v>0</v>
      </c>
      <c r="AM533" s="155"/>
      <c r="AN533" s="19">
        <f t="shared" si="150"/>
        <v>0</v>
      </c>
      <c r="AO533" s="118">
        <f>SUMIF('MPG Payment '!E:E,'Shayak Income '!D533,'MPG Payment '!AJ:AJ)</f>
        <v>0</v>
      </c>
      <c r="AP533" s="19">
        <f t="shared" si="151"/>
        <v>0</v>
      </c>
      <c r="AQ533" s="119">
        <f t="shared" si="161"/>
        <v>0</v>
      </c>
      <c r="AR533" s="91" t="s">
        <v>1144</v>
      </c>
      <c r="AS533" s="91">
        <f t="shared" si="152"/>
        <v>0</v>
      </c>
      <c r="AT533" s="118"/>
      <c r="AU533" s="118"/>
      <c r="AV533" s="118"/>
    </row>
    <row r="534" spans="1:48" s="20" customFormat="1" x14ac:dyDescent="0.25">
      <c r="A534" s="17">
        <f>IFERROR(VLOOKUP(D534,'Monthly Deduction'!$I$3:$J$957,2,0),0)</f>
        <v>2426.1887519985758</v>
      </c>
      <c r="B534" s="17">
        <f>IFERROR(VLOOKUP(D534,'Monthly Deduction'!$E$3:$F$957,2,0),0)</f>
        <v>25600</v>
      </c>
      <c r="C534" s="17">
        <f t="shared" si="153"/>
        <v>28026.188751998576</v>
      </c>
      <c r="D534" s="41">
        <v>10530055</v>
      </c>
      <c r="E534" s="122" t="str">
        <f>VLOOKUP(D534,'MPG Payment '!$E$3:$G$497305,2,0)</f>
        <v>GOMUKH HARPUR W-13</v>
      </c>
      <c r="F534" s="146">
        <f>IFERROR(_xlfn.XLOOKUP(D534,'Monthly Deduction'!$I$3:$I$957,'Monthly Deduction'!$H$3:$H$957),0)</f>
        <v>0</v>
      </c>
      <c r="G534" s="123" t="str">
        <f>VLOOKUP(D534,'MPG Payment '!$E$3:$G$333666,3,0)</f>
        <v>MPG</v>
      </c>
      <c r="H534" s="124" t="str">
        <f>VLOOKUP(D534,'MPG Payment '!$E$3:$H$333666,4,0)</f>
        <v>Direct</v>
      </c>
      <c r="I534" s="88">
        <f>INDEX('MPG Payment '!$C:$C,MATCH('Shayak Income '!D534,'MPG Payment '!E:E,0))</f>
        <v>1053</v>
      </c>
      <c r="J534" s="88" t="str">
        <f>INDEX('MPG Payment '!$D:$D,MATCH('Shayak Income '!D534,'MPG Payment '!E:E,0))</f>
        <v>Kalyanpur</v>
      </c>
      <c r="K534" s="125" t="s">
        <v>1594</v>
      </c>
      <c r="L534" s="125">
        <v>45778</v>
      </c>
      <c r="M534" s="126">
        <f>SUMIF('MPG Payment '!$E$3:$E$344841,'Shayak Income '!D534,'MPG Payment '!$I$3:$I$344841)</f>
        <v>6617.05</v>
      </c>
      <c r="N534" s="126">
        <f>SUMIF('MPG Payment '!$E$3:$E$344841,'Shayak Income '!D534,'MPG Payment '!$J$3:$J$344841)</f>
        <v>275019.89</v>
      </c>
      <c r="O534" s="126">
        <f t="shared" si="154"/>
        <v>4962.7875000000004</v>
      </c>
      <c r="P534" s="126">
        <f t="shared" si="155"/>
        <v>6286.1975000000002</v>
      </c>
      <c r="Q534" s="126">
        <f>SUMIF('MPG Payment '!$E$3:$E$344841,'Shayak Income '!D534,'MPG Payment '!$S$3:$S$344841)</f>
        <v>4114.17</v>
      </c>
      <c r="R534" s="126">
        <f t="shared" si="145"/>
        <v>8250.5967000000001</v>
      </c>
      <c r="S534" s="126">
        <f t="shared" si="146"/>
        <v>1964.3991999999998</v>
      </c>
      <c r="T534" s="126">
        <f t="shared" si="156"/>
        <v>661.70500000000004</v>
      </c>
      <c r="U534" s="127">
        <f>((((((IF(K534="New",0,SUMIF('MPG Payment '!$E$3:$E$344841,'Shayak Income '!D534,'MPG Payment '!$AC$3:$AC$344841))))+0)+0)+0)+0)+0</f>
        <v>0</v>
      </c>
      <c r="V534" s="127">
        <f t="shared" si="157"/>
        <v>14701</v>
      </c>
      <c r="W534" s="19">
        <f t="shared" si="158"/>
        <v>2426.1887519985758</v>
      </c>
      <c r="X534" s="19">
        <v>0</v>
      </c>
      <c r="Y534" s="128">
        <f>IFERROR(VLOOKUP(D534,'Monthly Deduction'!$M$2:$N$640,2,0),0)</f>
        <v>0</v>
      </c>
      <c r="Z534" s="128">
        <v>0</v>
      </c>
      <c r="AA534" s="126">
        <f>IFERROR(VLOOKUP(D534,'Monthly Deduction'!A:B,2,0),0)</f>
        <v>75.215430801561084</v>
      </c>
      <c r="AB534" s="129">
        <f t="shared" si="148"/>
        <v>12200</v>
      </c>
      <c r="AC534" s="130">
        <v>0</v>
      </c>
      <c r="AD534" s="35">
        <f t="shared" si="159"/>
        <v>12200</v>
      </c>
      <c r="AE534" s="166" t="str">
        <f t="shared" si="160"/>
        <v>Release</v>
      </c>
      <c r="AF534" s="127"/>
      <c r="AG534" s="18">
        <v>0</v>
      </c>
      <c r="AH534" s="120"/>
      <c r="AI534" s="238">
        <v>0</v>
      </c>
      <c r="AJ534" s="132"/>
      <c r="AK534" s="151">
        <v>1620.35</v>
      </c>
      <c r="AL534" s="154">
        <f t="shared" si="149"/>
        <v>0</v>
      </c>
      <c r="AM534" s="155"/>
      <c r="AN534" s="19">
        <f t="shared" si="150"/>
        <v>2426.1887519985758</v>
      </c>
      <c r="AO534" s="118">
        <f>SUMIF('MPG Payment '!E:E,'Shayak Income '!D534,'MPG Payment '!AJ:AJ)</f>
        <v>0</v>
      </c>
      <c r="AP534" s="19">
        <f t="shared" si="151"/>
        <v>2426.1887519985758</v>
      </c>
      <c r="AQ534" s="119">
        <f t="shared" si="161"/>
        <v>2426.1887519985758</v>
      </c>
      <c r="AR534" s="91" t="s">
        <v>1144</v>
      </c>
      <c r="AS534" s="91">
        <f t="shared" si="152"/>
        <v>25600</v>
      </c>
      <c r="AT534" s="118"/>
      <c r="AU534" s="118"/>
      <c r="AV534" s="118"/>
    </row>
    <row r="535" spans="1:48" s="20" customFormat="1" x14ac:dyDescent="0.25">
      <c r="A535" s="17">
        <f>IFERROR(VLOOKUP(D535,'Monthly Deduction'!$I$3:$J$957,2,0),0)</f>
        <v>0</v>
      </c>
      <c r="B535" s="17">
        <f>IFERROR(VLOOKUP(D535,'Monthly Deduction'!$E$3:$F$957,2,0),0)</f>
        <v>0</v>
      </c>
      <c r="C535" s="17">
        <f t="shared" si="153"/>
        <v>0</v>
      </c>
      <c r="D535" s="41">
        <v>10530057</v>
      </c>
      <c r="E535" s="122" t="str">
        <f>VLOOKUP(D535,'MPG Payment '!$E$3:$G$497305,2,0)</f>
        <v>GOMUKH MILKI</v>
      </c>
      <c r="F535" s="146">
        <f>IFERROR(_xlfn.XLOOKUP(D535,'Monthly Deduction'!$I$3:$I$957,'Monthly Deduction'!$H$3:$H$957),0)</f>
        <v>0</v>
      </c>
      <c r="G535" s="123" t="str">
        <f>VLOOKUP(D535,'MPG Payment '!$E$3:$G$333666,3,0)</f>
        <v>vlc</v>
      </c>
      <c r="H535" s="124" t="str">
        <f>VLOOKUP(D535,'MPG Payment '!$E$3:$H$333666,4,0)</f>
        <v>Indirect</v>
      </c>
      <c r="I535" s="88">
        <f>INDEX('MPG Payment '!$C:$C,MATCH('Shayak Income '!D535,'MPG Payment '!E:E,0))</f>
        <v>1053</v>
      </c>
      <c r="J535" s="88" t="str">
        <f>INDEX('MPG Payment '!$D:$D,MATCH('Shayak Income '!D535,'MPG Payment '!E:E,0))</f>
        <v>Kalyanpur</v>
      </c>
      <c r="K535" s="125" t="s">
        <v>1594</v>
      </c>
      <c r="L535" s="125">
        <v>45775</v>
      </c>
      <c r="M535" s="126">
        <f>SUMIF('MPG Payment '!$E$3:$E$344841,'Shayak Income '!D535,'MPG Payment '!$I$3:$I$344841)</f>
        <v>240.55</v>
      </c>
      <c r="N535" s="126">
        <f>SUMIF('MPG Payment '!$E$3:$E$344841,'Shayak Income '!D535,'MPG Payment '!$J$3:$J$344841)</f>
        <v>10659.09</v>
      </c>
      <c r="O535" s="126">
        <f t="shared" si="154"/>
        <v>180.41250000000002</v>
      </c>
      <c r="P535" s="126">
        <f t="shared" si="155"/>
        <v>228.52250000000001</v>
      </c>
      <c r="Q535" s="126">
        <f>SUMIF('MPG Payment '!$E$3:$E$344841,'Shayak Income '!D535,'MPG Payment '!$S$3:$S$344841)</f>
        <v>0</v>
      </c>
      <c r="R535" s="126">
        <f t="shared" si="145"/>
        <v>319.77269999999999</v>
      </c>
      <c r="S535" s="126">
        <f t="shared" si="146"/>
        <v>91.250199999999978</v>
      </c>
      <c r="T535" s="126">
        <f t="shared" si="156"/>
        <v>24.055000000000003</v>
      </c>
      <c r="U535" s="127">
        <f>((((((IF(K535="New",0,SUMIF('MPG Payment '!$E$3:$E$344841,'Shayak Income '!D535,'MPG Payment '!$AC$3:$AC$344841))))+0)+0)+0)+0)+-1885</f>
        <v>385.268934071883</v>
      </c>
      <c r="V535" s="127">
        <f t="shared" si="157"/>
        <v>0</v>
      </c>
      <c r="W535" s="19">
        <v>0</v>
      </c>
      <c r="X535" s="19">
        <v>0</v>
      </c>
      <c r="Y535" s="128">
        <v>0</v>
      </c>
      <c r="Z535" s="128">
        <v>0</v>
      </c>
      <c r="AA535" s="126">
        <v>0</v>
      </c>
      <c r="AB535" s="129">
        <f t="shared" si="148"/>
        <v>0</v>
      </c>
      <c r="AC535" s="130">
        <v>0</v>
      </c>
      <c r="AD535" s="35">
        <f t="shared" si="159"/>
        <v>0</v>
      </c>
      <c r="AE535" s="166" t="str">
        <f t="shared" si="160"/>
        <v>Release</v>
      </c>
      <c r="AF535" s="127"/>
      <c r="AG535" s="18">
        <v>0</v>
      </c>
      <c r="AH535" s="132"/>
      <c r="AI535" s="238">
        <v>0</v>
      </c>
      <c r="AJ535" s="132"/>
      <c r="AK535" s="151">
        <v>93.5</v>
      </c>
      <c r="AL535" s="154">
        <f t="shared" si="149"/>
        <v>0</v>
      </c>
      <c r="AM535" s="155"/>
      <c r="AN535" s="19">
        <f t="shared" si="150"/>
        <v>0</v>
      </c>
      <c r="AO535" s="118">
        <f>SUMIF('MPG Payment '!E:E,'Shayak Income '!D535,'MPG Payment '!AJ:AJ)</f>
        <v>0</v>
      </c>
      <c r="AP535" s="19">
        <f t="shared" si="151"/>
        <v>0</v>
      </c>
      <c r="AQ535" s="119">
        <f t="shared" si="161"/>
        <v>0</v>
      </c>
      <c r="AR535" s="91" t="s">
        <v>1144</v>
      </c>
      <c r="AS535" s="91">
        <f t="shared" si="152"/>
        <v>0</v>
      </c>
      <c r="AT535" s="118"/>
      <c r="AU535" s="118"/>
      <c r="AV535" s="118"/>
    </row>
    <row r="536" spans="1:48" s="20" customFormat="1" x14ac:dyDescent="0.25">
      <c r="A536" s="17">
        <f>IFERROR(VLOOKUP(D536,'Monthly Deduction'!$I$3:$J$957,2,0),0)</f>
        <v>70670</v>
      </c>
      <c r="B536" s="17">
        <f>IFERROR(VLOOKUP(D536,'Monthly Deduction'!$E$3:$F$957,2,0),0)</f>
        <v>6400</v>
      </c>
      <c r="C536" s="17">
        <f t="shared" si="153"/>
        <v>77070</v>
      </c>
      <c r="D536" s="41">
        <v>10530058</v>
      </c>
      <c r="E536" s="122" t="str">
        <f>VLOOKUP(D536,'MPG Payment '!$E$3:$G$497305,2,0)</f>
        <v>Gomukh Ratwara</v>
      </c>
      <c r="F536" s="146">
        <f>IFERROR(_xlfn.XLOOKUP(D536,'Monthly Deduction'!$I$3:$I$957,'Monthly Deduction'!$H$3:$H$957),0)</f>
        <v>0</v>
      </c>
      <c r="G536" s="123" t="str">
        <f>VLOOKUP(D536,'MPG Payment '!$E$3:$G$333666,3,0)</f>
        <v>MPG</v>
      </c>
      <c r="H536" s="124" t="str">
        <f>VLOOKUP(D536,'MPG Payment '!$E$3:$H$333666,4,0)</f>
        <v>Direct</v>
      </c>
      <c r="I536" s="88">
        <f>INDEX('MPG Payment '!$C:$C,MATCH('Shayak Income '!D536,'MPG Payment '!E:E,0))</f>
        <v>1053</v>
      </c>
      <c r="J536" s="88" t="str">
        <f>INDEX('MPG Payment '!$D:$D,MATCH('Shayak Income '!D536,'MPG Payment '!E:E,0))</f>
        <v>Kalyanpur</v>
      </c>
      <c r="K536" s="125" t="s">
        <v>1594</v>
      </c>
      <c r="L536" s="125">
        <v>45779</v>
      </c>
      <c r="M536" s="126">
        <f>SUMIF('MPG Payment '!$E$3:$E$344841,'Shayak Income '!D536,'MPG Payment '!$I$3:$I$344841)</f>
        <v>565.94999999999993</v>
      </c>
      <c r="N536" s="126">
        <f>SUMIF('MPG Payment '!$E$3:$E$344841,'Shayak Income '!D536,'MPG Payment '!$J$3:$J$344841)</f>
        <v>20803.669999999998</v>
      </c>
      <c r="O536" s="126">
        <f t="shared" si="154"/>
        <v>424.46249999999998</v>
      </c>
      <c r="P536" s="126">
        <f t="shared" si="155"/>
        <v>537.65249999999992</v>
      </c>
      <c r="Q536" s="126">
        <f>SUMIF('MPG Payment '!$E$3:$E$344841,'Shayak Income '!D536,'MPG Payment '!$S$3:$S$344841)</f>
        <v>0</v>
      </c>
      <c r="R536" s="126">
        <f t="shared" si="145"/>
        <v>624.11009999999987</v>
      </c>
      <c r="S536" s="126">
        <f t="shared" si="146"/>
        <v>86.457599999999957</v>
      </c>
      <c r="T536" s="126">
        <f t="shared" si="156"/>
        <v>56.594999999999999</v>
      </c>
      <c r="U536" s="127">
        <f>((((((IF(K536="New",0,SUMIF('MPG Payment '!$E$3:$E$344841,'Shayak Income '!D536,'MPG Payment '!$AC$3:$AC$344841))))+0)+0)+0)+0)+-738</f>
        <v>905.94036951606722</v>
      </c>
      <c r="V536" s="127">
        <f t="shared" si="157"/>
        <v>0</v>
      </c>
      <c r="W536" s="19">
        <v>0</v>
      </c>
      <c r="X536" s="19">
        <v>0</v>
      </c>
      <c r="Y536" s="128">
        <v>0</v>
      </c>
      <c r="Z536" s="128">
        <v>0</v>
      </c>
      <c r="AA536" s="126">
        <v>0</v>
      </c>
      <c r="AB536" s="129">
        <f t="shared" si="148"/>
        <v>0</v>
      </c>
      <c r="AC536" s="130">
        <v>0</v>
      </c>
      <c r="AD536" s="35">
        <f t="shared" si="159"/>
        <v>0</v>
      </c>
      <c r="AE536" s="166" t="str">
        <f t="shared" si="160"/>
        <v>Release</v>
      </c>
      <c r="AF536" s="127"/>
      <c r="AG536" s="127">
        <v>0</v>
      </c>
      <c r="AH536" s="132"/>
      <c r="AI536" s="238">
        <v>0</v>
      </c>
      <c r="AJ536" s="132"/>
      <c r="AK536" s="151">
        <v>177.7</v>
      </c>
      <c r="AL536" s="154">
        <f t="shared" si="149"/>
        <v>0</v>
      </c>
      <c r="AM536" s="155"/>
      <c r="AN536" s="19">
        <f t="shared" si="150"/>
        <v>1861</v>
      </c>
      <c r="AO536" s="118">
        <f>SUMIF('MPG Payment '!E:E,'Shayak Income '!D536,'MPG Payment '!AJ:AJ)</f>
        <v>2000</v>
      </c>
      <c r="AP536" s="19">
        <f t="shared" si="151"/>
        <v>0</v>
      </c>
      <c r="AQ536" s="119">
        <f t="shared" si="161"/>
        <v>2000</v>
      </c>
      <c r="AR536" s="91"/>
      <c r="AS536" s="91">
        <f t="shared" si="152"/>
        <v>6400</v>
      </c>
      <c r="AT536" s="118"/>
      <c r="AU536" s="118"/>
      <c r="AV536" s="118"/>
    </row>
    <row r="537" spans="1:48" s="20" customFormat="1" x14ac:dyDescent="0.25">
      <c r="A537" s="17">
        <f>IFERROR(VLOOKUP(D537,'Monthly Deduction'!$I$3:$J$957,2,0),0)</f>
        <v>0</v>
      </c>
      <c r="B537" s="17">
        <f>IFERROR(VLOOKUP(D537,'Monthly Deduction'!$E$3:$F$957,2,0),0)</f>
        <v>0</v>
      </c>
      <c r="C537" s="17">
        <f t="shared" si="153"/>
        <v>0</v>
      </c>
      <c r="D537" s="41">
        <v>10530059</v>
      </c>
      <c r="E537" s="122" t="str">
        <f>VLOOKUP(D537,'MPG Payment '!$E$3:$G$497305,2,0)</f>
        <v>Gomukh Fulhara</v>
      </c>
      <c r="F537" s="146">
        <f>IFERROR(_xlfn.XLOOKUP(D537,'Monthly Deduction'!$I$3:$I$957,'Monthly Deduction'!$H$3:$H$957),0)</f>
        <v>0</v>
      </c>
      <c r="G537" s="123" t="str">
        <f>VLOOKUP(D537,'MPG Payment '!$E$3:$G$333666,3,0)</f>
        <v>vlc</v>
      </c>
      <c r="H537" s="124" t="str">
        <f>VLOOKUP(D537,'MPG Payment '!$E$3:$H$333666,4,0)</f>
        <v>Indirect</v>
      </c>
      <c r="I537" s="88">
        <f>INDEX('MPG Payment '!$C:$C,MATCH('Shayak Income '!D537,'MPG Payment '!E:E,0))</f>
        <v>1053</v>
      </c>
      <c r="J537" s="88" t="str">
        <f>INDEX('MPG Payment '!$D:$D,MATCH('Shayak Income '!D537,'MPG Payment '!E:E,0))</f>
        <v>Kalyanpur</v>
      </c>
      <c r="K537" s="125" t="s">
        <v>1594</v>
      </c>
      <c r="L537" s="125">
        <v>45778</v>
      </c>
      <c r="M537" s="126">
        <f>SUMIF('MPG Payment '!$E$3:$E$344841,'Shayak Income '!D537,'MPG Payment '!$I$3:$I$344841)</f>
        <v>8063.9</v>
      </c>
      <c r="N537" s="126">
        <f>SUMIF('MPG Payment '!$E$3:$E$344841,'Shayak Income '!D537,'MPG Payment '!$J$3:$J$344841)</f>
        <v>367799.34</v>
      </c>
      <c r="O537" s="126">
        <f t="shared" si="154"/>
        <v>6047.9249999999993</v>
      </c>
      <c r="P537" s="126">
        <f t="shared" si="155"/>
        <v>7660.704999999999</v>
      </c>
      <c r="Q537" s="126">
        <f>SUMIF('MPG Payment '!$E$3:$E$344841,'Shayak Income '!D537,'MPG Payment '!$S$3:$S$344841)</f>
        <v>0</v>
      </c>
      <c r="R537" s="126">
        <f t="shared" si="145"/>
        <v>11033.9802</v>
      </c>
      <c r="S537" s="126">
        <f t="shared" si="146"/>
        <v>3373.275200000001</v>
      </c>
      <c r="T537" s="126">
        <f t="shared" si="156"/>
        <v>806.39</v>
      </c>
      <c r="U537" s="127">
        <f>((((((IF(K537="New",0,SUMIF('MPG Payment '!$E$3:$E$344841,'Shayak Income '!D537,'MPG Payment '!$AC$3:$AC$344841))))+0)+0)+0)+0)+0</f>
        <v>0</v>
      </c>
      <c r="V537" s="127">
        <f t="shared" si="157"/>
        <v>12902</v>
      </c>
      <c r="W537" s="19">
        <f t="shared" si="158"/>
        <v>0</v>
      </c>
      <c r="X537" s="19">
        <f t="shared" si="147"/>
        <v>0</v>
      </c>
      <c r="Y537" s="128">
        <f>IFERROR(VLOOKUP(D537,'Monthly Deduction'!$M$2:$N$640,2,0),0)</f>
        <v>0</v>
      </c>
      <c r="Z537" s="128">
        <v>0</v>
      </c>
      <c r="AA537" s="126">
        <f>IFERROR(VLOOKUP(D537,'Monthly Deduction'!A:B,2,0),0)</f>
        <v>0</v>
      </c>
      <c r="AB537" s="129">
        <f t="shared" si="148"/>
        <v>12902</v>
      </c>
      <c r="AC537" s="130">
        <v>0</v>
      </c>
      <c r="AD537" s="35">
        <f t="shared" si="159"/>
        <v>12902</v>
      </c>
      <c r="AE537" s="166" t="str">
        <f t="shared" si="160"/>
        <v>Release</v>
      </c>
      <c r="AF537" s="127"/>
      <c r="AG537" s="18">
        <v>0</v>
      </c>
      <c r="AH537" s="120"/>
      <c r="AI537" s="238">
        <v>0</v>
      </c>
      <c r="AJ537" s="132"/>
      <c r="AK537" s="151">
        <v>2006.6499999999994</v>
      </c>
      <c r="AL537" s="154">
        <f t="shared" si="149"/>
        <v>0</v>
      </c>
      <c r="AM537" s="155"/>
      <c r="AN537" s="19">
        <f t="shared" si="150"/>
        <v>0</v>
      </c>
      <c r="AO537" s="118">
        <f>SUMIF('MPG Payment '!E:E,'Shayak Income '!D537,'MPG Payment '!AJ:AJ)</f>
        <v>0</v>
      </c>
      <c r="AP537" s="19">
        <f t="shared" si="151"/>
        <v>0</v>
      </c>
      <c r="AQ537" s="119">
        <f t="shared" si="161"/>
        <v>0</v>
      </c>
      <c r="AR537" s="91" t="s">
        <v>1144</v>
      </c>
      <c r="AS537" s="91">
        <f t="shared" si="152"/>
        <v>0</v>
      </c>
      <c r="AT537" s="118"/>
      <c r="AU537" s="118"/>
      <c r="AV537" s="118"/>
    </row>
    <row r="538" spans="1:48" s="20" customFormat="1" x14ac:dyDescent="0.25">
      <c r="A538" s="17">
        <f>IFERROR(VLOOKUP(D538,'Monthly Deduction'!$I$3:$J$957,2,0),0)</f>
        <v>0</v>
      </c>
      <c r="B538" s="17">
        <f>IFERROR(VLOOKUP(D538,'Monthly Deduction'!$E$3:$F$957,2,0),0)</f>
        <v>0</v>
      </c>
      <c r="C538" s="17">
        <f t="shared" si="153"/>
        <v>0</v>
      </c>
      <c r="D538" s="41">
        <v>10530060</v>
      </c>
      <c r="E538" s="122" t="str">
        <f>VLOOKUP(D538,'MPG Payment '!$E$3:$G$497305,2,0)</f>
        <v>Gomukh Ranitola</v>
      </c>
      <c r="F538" s="146">
        <f>IFERROR(_xlfn.XLOOKUP(D538,'Monthly Deduction'!$I$3:$I$957,'Monthly Deduction'!$H$3:$H$957),0)</f>
        <v>0</v>
      </c>
      <c r="G538" s="123" t="str">
        <f>VLOOKUP(D538,'MPG Payment '!$E$3:$G$333666,3,0)</f>
        <v>vlc</v>
      </c>
      <c r="H538" s="124" t="str">
        <f>VLOOKUP(D538,'MPG Payment '!$E$3:$H$333666,4,0)</f>
        <v>Indirect</v>
      </c>
      <c r="I538" s="88">
        <f>INDEX('MPG Payment '!$C:$C,MATCH('Shayak Income '!D538,'MPG Payment '!E:E,0))</f>
        <v>1053</v>
      </c>
      <c r="J538" s="88" t="str">
        <f>INDEX('MPG Payment '!$D:$D,MATCH('Shayak Income '!D538,'MPG Payment '!E:E,0))</f>
        <v>Kalyanpur</v>
      </c>
      <c r="K538" s="125" t="s">
        <v>1594</v>
      </c>
      <c r="L538" s="125">
        <v>45779</v>
      </c>
      <c r="M538" s="126">
        <f>SUMIF('MPG Payment '!$E$3:$E$344841,'Shayak Income '!D538,'MPG Payment '!$I$3:$I$344841)</f>
        <v>4662</v>
      </c>
      <c r="N538" s="126">
        <f>SUMIF('MPG Payment '!$E$3:$E$344841,'Shayak Income '!D538,'MPG Payment '!$J$3:$J$344841)</f>
        <v>201913.03</v>
      </c>
      <c r="O538" s="126">
        <f t="shared" si="154"/>
        <v>3496.5</v>
      </c>
      <c r="P538" s="126">
        <f t="shared" si="155"/>
        <v>4428.8999999999996</v>
      </c>
      <c r="Q538" s="126">
        <f>SUMIF('MPG Payment '!$E$3:$E$344841,'Shayak Income '!D538,'MPG Payment '!$S$3:$S$344841)</f>
        <v>0</v>
      </c>
      <c r="R538" s="126">
        <f t="shared" si="145"/>
        <v>6057.3908999999994</v>
      </c>
      <c r="S538" s="126">
        <f t="shared" si="146"/>
        <v>1628.4908999999998</v>
      </c>
      <c r="T538" s="126">
        <f t="shared" si="156"/>
        <v>466.20000000000005</v>
      </c>
      <c r="U538" s="127">
        <f>((((((IF(K538="New",0,SUMIF('MPG Payment '!$E$3:$E$344841,'Shayak Income '!D538,'MPG Payment '!$AC$3:$AC$344841))))+0)+0)+0)+0)+0</f>
        <v>55.512872768581602</v>
      </c>
      <c r="V538" s="127">
        <f t="shared" si="157"/>
        <v>7404</v>
      </c>
      <c r="W538" s="19">
        <f t="shared" si="158"/>
        <v>0</v>
      </c>
      <c r="X538" s="19">
        <f t="shared" si="147"/>
        <v>0</v>
      </c>
      <c r="Y538" s="128">
        <f>IFERROR(VLOOKUP(D538,'Monthly Deduction'!$M$2:$N$640,2,0),0)</f>
        <v>0</v>
      </c>
      <c r="Z538" s="128">
        <v>0</v>
      </c>
      <c r="AA538" s="126">
        <f>IFERROR(VLOOKUP(D538,'Monthly Deduction'!A:B,2,0),0)</f>
        <v>0</v>
      </c>
      <c r="AB538" s="129">
        <f t="shared" si="148"/>
        <v>7404</v>
      </c>
      <c r="AC538" s="130">
        <v>0</v>
      </c>
      <c r="AD538" s="35">
        <f t="shared" si="159"/>
        <v>7404</v>
      </c>
      <c r="AE538" s="166" t="str">
        <f t="shared" si="160"/>
        <v>Release</v>
      </c>
      <c r="AF538" s="127"/>
      <c r="AG538" s="18">
        <v>0</v>
      </c>
      <c r="AH538" s="120"/>
      <c r="AI538" s="238">
        <v>0</v>
      </c>
      <c r="AJ538" s="132"/>
      <c r="AK538" s="151">
        <v>1329</v>
      </c>
      <c r="AL538" s="154">
        <f t="shared" si="149"/>
        <v>0</v>
      </c>
      <c r="AM538" s="155"/>
      <c r="AN538" s="19">
        <f t="shared" si="150"/>
        <v>0</v>
      </c>
      <c r="AO538" s="118">
        <f>SUMIF('MPG Payment '!E:E,'Shayak Income '!D538,'MPG Payment '!AJ:AJ)</f>
        <v>0</v>
      </c>
      <c r="AP538" s="19">
        <f t="shared" si="151"/>
        <v>0</v>
      </c>
      <c r="AQ538" s="119">
        <f t="shared" si="161"/>
        <v>0</v>
      </c>
      <c r="AR538" s="91" t="s">
        <v>1144</v>
      </c>
      <c r="AS538" s="91">
        <f t="shared" si="152"/>
        <v>0</v>
      </c>
      <c r="AT538" s="118"/>
      <c r="AU538" s="118"/>
      <c r="AV538" s="118"/>
    </row>
    <row r="539" spans="1:48" s="20" customFormat="1" x14ac:dyDescent="0.25">
      <c r="A539" s="17">
        <f>IFERROR(VLOOKUP(D539,'Monthly Deduction'!$I$3:$J$957,2,0),0)</f>
        <v>50496.117545712281</v>
      </c>
      <c r="B539" s="17">
        <f>IFERROR(VLOOKUP(D539,'Monthly Deduction'!$E$3:$F$957,2,0),0)</f>
        <v>19200</v>
      </c>
      <c r="C539" s="17">
        <f t="shared" si="153"/>
        <v>69696.117545712274</v>
      </c>
      <c r="D539" s="41">
        <v>10530062</v>
      </c>
      <c r="E539" s="122" t="str">
        <f>VLOOKUP(D539,'MPG Payment '!$E$3:$G$497305,2,0)</f>
        <v>Gomukh Malinagar East</v>
      </c>
      <c r="F539" s="146">
        <f>IFERROR(_xlfn.XLOOKUP(D539,'Monthly Deduction'!$I$3:$I$957,'Monthly Deduction'!$H$3:$H$957),0)</f>
        <v>0</v>
      </c>
      <c r="G539" s="123" t="str">
        <f>VLOOKUP(D539,'MPG Payment '!$E$3:$G$333666,3,0)</f>
        <v>MPG</v>
      </c>
      <c r="H539" s="124" t="str">
        <f>VLOOKUP(D539,'MPG Payment '!$E$3:$H$333666,4,0)</f>
        <v>Direct</v>
      </c>
      <c r="I539" s="88">
        <f>INDEX('MPG Payment '!$C:$C,MATCH('Shayak Income '!D539,'MPG Payment '!E:E,0))</f>
        <v>1053</v>
      </c>
      <c r="J539" s="88" t="str">
        <f>INDEX('MPG Payment '!$D:$D,MATCH('Shayak Income '!D539,'MPG Payment '!E:E,0))</f>
        <v>Kalyanpur</v>
      </c>
      <c r="K539" s="125" t="s">
        <v>1594</v>
      </c>
      <c r="L539" s="125">
        <v>45796</v>
      </c>
      <c r="M539" s="126">
        <f>SUMIF('MPG Payment '!$E$3:$E$344841,'Shayak Income '!D539,'MPG Payment '!$I$3:$I$344841)</f>
        <v>4581.55</v>
      </c>
      <c r="N539" s="126">
        <f>SUMIF('MPG Payment '!$E$3:$E$344841,'Shayak Income '!D539,'MPG Payment '!$J$3:$J$344841)</f>
        <v>198528.71000000002</v>
      </c>
      <c r="O539" s="126">
        <f t="shared" si="154"/>
        <v>3436.1625000000004</v>
      </c>
      <c r="P539" s="126">
        <f t="shared" si="155"/>
        <v>4352.4724999999999</v>
      </c>
      <c r="Q539" s="126">
        <f>SUMIF('MPG Payment '!$E$3:$E$344841,'Shayak Income '!D539,'MPG Payment '!$S$3:$S$344841)</f>
        <v>1153.47</v>
      </c>
      <c r="R539" s="126">
        <f t="shared" si="145"/>
        <v>5955.8613000000005</v>
      </c>
      <c r="S539" s="126">
        <f t="shared" si="146"/>
        <v>1603.3888000000006</v>
      </c>
      <c r="T539" s="126">
        <f t="shared" si="156"/>
        <v>458.15500000000003</v>
      </c>
      <c r="U539" s="127">
        <f>((((((IF(K539="New",0,SUMIF('MPG Payment '!$E$3:$E$344841,'Shayak Income '!D539,'MPG Payment '!$AC$3:$AC$344841))))+0)+0)+0)+0)+0</f>
        <v>0</v>
      </c>
      <c r="V539" s="127">
        <f t="shared" si="157"/>
        <v>8484</v>
      </c>
      <c r="W539" s="19">
        <f t="shared" si="158"/>
        <v>3970.5742000000005</v>
      </c>
      <c r="X539" s="19">
        <v>0</v>
      </c>
      <c r="Y539" s="128">
        <f>IFERROR(VLOOKUP(D539,'Monthly Deduction'!$M$2:$N$640,2,0),0)</f>
        <v>0</v>
      </c>
      <c r="Z539" s="128">
        <v>0</v>
      </c>
      <c r="AA539" s="126">
        <f>IFERROR(VLOOKUP(D539,'Monthly Deduction'!A:B,2,0),0)</f>
        <v>294.81543080156109</v>
      </c>
      <c r="AB539" s="129">
        <f t="shared" si="148"/>
        <v>4219</v>
      </c>
      <c r="AC539" s="130">
        <v>0</v>
      </c>
      <c r="AD539" s="35">
        <f t="shared" si="159"/>
        <v>4219</v>
      </c>
      <c r="AE539" s="166" t="str">
        <f t="shared" si="160"/>
        <v>Release</v>
      </c>
      <c r="AF539" s="127"/>
      <c r="AG539" s="18">
        <v>0</v>
      </c>
      <c r="AH539" s="120"/>
      <c r="AI539" s="238">
        <v>0</v>
      </c>
      <c r="AJ539" s="132"/>
      <c r="AK539" s="151">
        <v>1237.55</v>
      </c>
      <c r="AL539" s="154">
        <f t="shared" si="149"/>
        <v>0</v>
      </c>
      <c r="AM539" s="155"/>
      <c r="AN539" s="19">
        <f t="shared" si="150"/>
        <v>3970.5742000000005</v>
      </c>
      <c r="AO539" s="118">
        <f>SUMIF('MPG Payment '!E:E,'Shayak Income '!D539,'MPG Payment '!AJ:AJ)</f>
        <v>0</v>
      </c>
      <c r="AP539" s="19">
        <f t="shared" si="151"/>
        <v>3970.5742000000005</v>
      </c>
      <c r="AQ539" s="119">
        <f t="shared" si="161"/>
        <v>3970.5742000000005</v>
      </c>
      <c r="AR539" s="91" t="s">
        <v>1144</v>
      </c>
      <c r="AS539" s="91">
        <f t="shared" si="152"/>
        <v>19200</v>
      </c>
      <c r="AT539" s="118"/>
      <c r="AU539" s="118"/>
      <c r="AV539" s="118"/>
    </row>
    <row r="540" spans="1:48" s="20" customFormat="1" x14ac:dyDescent="0.25">
      <c r="A540" s="17">
        <f>IFERROR(VLOOKUP(D540,'Monthly Deduction'!$I$3:$J$957,2,0),0)</f>
        <v>0</v>
      </c>
      <c r="B540" s="17">
        <f>IFERROR(VLOOKUP(D540,'Monthly Deduction'!$E$3:$F$957,2,0),0)</f>
        <v>0</v>
      </c>
      <c r="C540" s="17">
        <f t="shared" si="153"/>
        <v>0</v>
      </c>
      <c r="D540" s="41">
        <v>10530063</v>
      </c>
      <c r="E540" s="122" t="str">
        <f>VLOOKUP(D540,'MPG Payment '!$E$3:$G$497305,2,0)</f>
        <v>GOMUKH Singhiya Ward 11</v>
      </c>
      <c r="F540" s="146">
        <f>IFERROR(_xlfn.XLOOKUP(D540,'Monthly Deduction'!$I$3:$I$957,'Monthly Deduction'!$H$3:$H$957),0)</f>
        <v>0</v>
      </c>
      <c r="G540" s="123" t="str">
        <f>VLOOKUP(D540,'MPG Payment '!$E$3:$G$333666,3,0)</f>
        <v>vlc</v>
      </c>
      <c r="H540" s="124" t="str">
        <f>VLOOKUP(D540,'MPG Payment '!$E$3:$H$333666,4,0)</f>
        <v>Indirect</v>
      </c>
      <c r="I540" s="88">
        <f>INDEX('MPG Payment '!$C:$C,MATCH('Shayak Income '!D540,'MPG Payment '!E:E,0))</f>
        <v>1053</v>
      </c>
      <c r="J540" s="88" t="str">
        <f>INDEX('MPG Payment '!$D:$D,MATCH('Shayak Income '!D540,'MPG Payment '!E:E,0))</f>
        <v>Kalyanpur</v>
      </c>
      <c r="K540" s="125" t="s">
        <v>1594</v>
      </c>
      <c r="L540" s="125">
        <v>45794</v>
      </c>
      <c r="M540" s="126">
        <f>SUMIF('MPG Payment '!$E$3:$E$344841,'Shayak Income '!D540,'MPG Payment '!$I$3:$I$344841)</f>
        <v>1285.25</v>
      </c>
      <c r="N540" s="126">
        <f>SUMIF('MPG Payment '!$E$3:$E$344841,'Shayak Income '!D540,'MPG Payment '!$J$3:$J$344841)</f>
        <v>60979.149999999994</v>
      </c>
      <c r="O540" s="126">
        <f t="shared" si="154"/>
        <v>963.9375</v>
      </c>
      <c r="P540" s="126">
        <f t="shared" si="155"/>
        <v>1220.9875</v>
      </c>
      <c r="Q540" s="126">
        <f>SUMIF('MPG Payment '!$E$3:$E$344841,'Shayak Income '!D540,'MPG Payment '!$S$3:$S$344841)</f>
        <v>0</v>
      </c>
      <c r="R540" s="126">
        <f t="shared" si="145"/>
        <v>1829.3744999999997</v>
      </c>
      <c r="S540" s="126">
        <f t="shared" si="146"/>
        <v>608.38699999999972</v>
      </c>
      <c r="T540" s="126">
        <f t="shared" si="156"/>
        <v>128.52500000000001</v>
      </c>
      <c r="U540" s="127">
        <f>((((((IF(K540="New",0,SUMIF('MPG Payment '!$E$3:$E$344841,'Shayak Income '!D540,'MPG Payment '!$AC$3:$AC$344841))))+0)+0)+0)+0)+0</f>
        <v>1428.0813154624914</v>
      </c>
      <c r="V540" s="127">
        <f t="shared" si="157"/>
        <v>628</v>
      </c>
      <c r="W540" s="19">
        <f t="shared" si="158"/>
        <v>0</v>
      </c>
      <c r="X540" s="19">
        <f t="shared" si="147"/>
        <v>0</v>
      </c>
      <c r="Y540" s="128">
        <f>IFERROR(VLOOKUP(D540,'Monthly Deduction'!$M$2:$N$640,2,0),0)</f>
        <v>0</v>
      </c>
      <c r="Z540" s="128">
        <v>0</v>
      </c>
      <c r="AA540" s="126">
        <f>IFERROR(VLOOKUP(D540,'Monthly Deduction'!A:B,2,0),0)</f>
        <v>0</v>
      </c>
      <c r="AB540" s="129">
        <f t="shared" si="148"/>
        <v>628</v>
      </c>
      <c r="AC540" s="130">
        <v>0</v>
      </c>
      <c r="AD540" s="35">
        <f t="shared" si="159"/>
        <v>628</v>
      </c>
      <c r="AE540" s="166" t="str">
        <f t="shared" si="160"/>
        <v>Release</v>
      </c>
      <c r="AF540" s="127"/>
      <c r="AG540" s="18">
        <v>0</v>
      </c>
      <c r="AH540" s="120"/>
      <c r="AI540" s="238">
        <v>0</v>
      </c>
      <c r="AJ540" s="132"/>
      <c r="AK540" s="151">
        <v>168.3</v>
      </c>
      <c r="AL540" s="154">
        <f t="shared" si="149"/>
        <v>0</v>
      </c>
      <c r="AM540" s="155"/>
      <c r="AN540" s="19">
        <f t="shared" si="150"/>
        <v>0</v>
      </c>
      <c r="AO540" s="118">
        <f>SUMIF('MPG Payment '!E:E,'Shayak Income '!D540,'MPG Payment '!AJ:AJ)</f>
        <v>0</v>
      </c>
      <c r="AP540" s="19">
        <f t="shared" si="151"/>
        <v>0</v>
      </c>
      <c r="AQ540" s="119">
        <f t="shared" si="161"/>
        <v>0</v>
      </c>
      <c r="AR540" s="91" t="s">
        <v>1144</v>
      </c>
      <c r="AS540" s="91">
        <f t="shared" si="152"/>
        <v>0</v>
      </c>
      <c r="AT540" s="118"/>
      <c r="AU540" s="118"/>
      <c r="AV540" s="118"/>
    </row>
    <row r="541" spans="1:48" s="20" customFormat="1" x14ac:dyDescent="0.25">
      <c r="A541" s="17">
        <f>IFERROR(VLOOKUP(D541,'Monthly Deduction'!$I$3:$J$957,2,0),0)</f>
        <v>44858.472523842996</v>
      </c>
      <c r="B541" s="17">
        <f>IFERROR(VLOOKUP(D541,'Monthly Deduction'!$E$3:$F$957,2,0),0)</f>
        <v>22400</v>
      </c>
      <c r="C541" s="17">
        <f t="shared" si="153"/>
        <v>67258.472523842996</v>
      </c>
      <c r="D541" s="41">
        <v>10530064</v>
      </c>
      <c r="E541" s="122" t="str">
        <f>VLOOKUP(D541,'MPG Payment '!$E$3:$G$497305,2,0)</f>
        <v>GOMUKH MANIYARPUR</v>
      </c>
      <c r="F541" s="146">
        <f>IFERROR(_xlfn.XLOOKUP(D541,'Monthly Deduction'!$I$3:$I$957,'Monthly Deduction'!$H$3:$H$957),0)</f>
        <v>0</v>
      </c>
      <c r="G541" s="123" t="str">
        <f>VLOOKUP(D541,'MPG Payment '!$E$3:$G$333666,3,0)</f>
        <v>MPG</v>
      </c>
      <c r="H541" s="124" t="str">
        <f>VLOOKUP(D541,'MPG Payment '!$E$3:$H$333666,4,0)</f>
        <v>Direct</v>
      </c>
      <c r="I541" s="88">
        <f>INDEX('MPG Payment '!$C:$C,MATCH('Shayak Income '!D541,'MPG Payment '!E:E,0))</f>
        <v>1053</v>
      </c>
      <c r="J541" s="88" t="str">
        <f>INDEX('MPG Payment '!$D:$D,MATCH('Shayak Income '!D541,'MPG Payment '!E:E,0))</f>
        <v>Kalyanpur</v>
      </c>
      <c r="K541" s="125" t="s">
        <v>1594</v>
      </c>
      <c r="L541" s="125">
        <v>45809</v>
      </c>
      <c r="M541" s="126">
        <f>SUMIF('MPG Payment '!$E$3:$E$344841,'Shayak Income '!D541,'MPG Payment '!$I$3:$I$344841)</f>
        <v>4651.05</v>
      </c>
      <c r="N541" s="126">
        <f>SUMIF('MPG Payment '!$E$3:$E$344841,'Shayak Income '!D541,'MPG Payment '!$J$3:$J$344841)</f>
        <v>205386.78999999998</v>
      </c>
      <c r="O541" s="126">
        <f t="shared" si="154"/>
        <v>3488.2875000000004</v>
      </c>
      <c r="P541" s="126">
        <f t="shared" si="155"/>
        <v>4418.4975000000004</v>
      </c>
      <c r="Q541" s="126">
        <f>SUMIF('MPG Payment '!$E$3:$E$344841,'Shayak Income '!D541,'MPG Payment '!$S$3:$S$344841)</f>
        <v>5466.0999999999995</v>
      </c>
      <c r="R541" s="126">
        <f t="shared" si="145"/>
        <v>6161.6036999999988</v>
      </c>
      <c r="S541" s="126">
        <f t="shared" si="146"/>
        <v>1743.1061999999984</v>
      </c>
      <c r="T541" s="126">
        <f t="shared" si="156"/>
        <v>465.10500000000002</v>
      </c>
      <c r="U541" s="127">
        <f>((((((IF(K541="New",0,SUMIF('MPG Payment '!$E$3:$E$344841,'Shayak Income '!D541,'MPG Payment '!$AC$3:$AC$344841))))+0)+0)+0)+0)+0</f>
        <v>0</v>
      </c>
      <c r="V541" s="127">
        <f t="shared" si="157"/>
        <v>12908</v>
      </c>
      <c r="W541" s="19">
        <f t="shared" si="158"/>
        <v>4107.7357999999995</v>
      </c>
      <c r="X541" s="19">
        <v>0</v>
      </c>
      <c r="Y541" s="128">
        <f>IFERROR(VLOOKUP(D541,'Monthly Deduction'!$M$2:$N$640,2,0),0)</f>
        <v>0</v>
      </c>
      <c r="Z541" s="128">
        <v>0</v>
      </c>
      <c r="AA541" s="126">
        <f>IFERROR(VLOOKUP(D541,'Monthly Deduction'!A:B,2,0),0)</f>
        <v>75.215430801561084</v>
      </c>
      <c r="AB541" s="129">
        <f t="shared" si="148"/>
        <v>8725</v>
      </c>
      <c r="AC541" s="130">
        <v>0</v>
      </c>
      <c r="AD541" s="35">
        <f t="shared" si="159"/>
        <v>8725</v>
      </c>
      <c r="AE541" s="166" t="str">
        <f t="shared" si="160"/>
        <v>Release</v>
      </c>
      <c r="AF541" s="127"/>
      <c r="AG541" s="18">
        <v>0</v>
      </c>
      <c r="AH541" s="120"/>
      <c r="AI541" s="238">
        <v>0</v>
      </c>
      <c r="AJ541" s="132"/>
      <c r="AK541" s="151">
        <v>1015.1499999999997</v>
      </c>
      <c r="AL541" s="154">
        <f t="shared" si="149"/>
        <v>0</v>
      </c>
      <c r="AM541" s="155"/>
      <c r="AN541" s="19">
        <f t="shared" si="150"/>
        <v>4107.7357999999995</v>
      </c>
      <c r="AO541" s="118">
        <f>SUMIF('MPG Payment '!E:E,'Shayak Income '!D541,'MPG Payment '!AJ:AJ)</f>
        <v>0</v>
      </c>
      <c r="AP541" s="19">
        <f t="shared" si="151"/>
        <v>4107.7357999999995</v>
      </c>
      <c r="AQ541" s="119">
        <f t="shared" si="161"/>
        <v>4107.7357999999995</v>
      </c>
      <c r="AR541" s="91" t="s">
        <v>1144</v>
      </c>
      <c r="AS541" s="91">
        <f t="shared" si="152"/>
        <v>22400</v>
      </c>
      <c r="AT541" s="118"/>
      <c r="AU541" s="118"/>
      <c r="AV541" s="118"/>
    </row>
    <row r="542" spans="1:48" s="20" customFormat="1" x14ac:dyDescent="0.25">
      <c r="A542" s="17">
        <f>IFERROR(VLOOKUP(D542,'Monthly Deduction'!$I$3:$J$957,2,0),0)</f>
        <v>44442.582103368622</v>
      </c>
      <c r="B542" s="17">
        <f>IFERROR(VLOOKUP(D542,'Monthly Deduction'!$E$3:$F$957,2,0),0)</f>
        <v>25600</v>
      </c>
      <c r="C542" s="17">
        <f t="shared" si="153"/>
        <v>70042.582103368622</v>
      </c>
      <c r="D542" s="41">
        <v>10530065</v>
      </c>
      <c r="E542" s="122" t="str">
        <f>VLOOKUP(D542,'MPG Payment '!$E$3:$G$497305,2,0)</f>
        <v>GOMUKH DIGHRA W-6</v>
      </c>
      <c r="F542" s="146">
        <f>IFERROR(_xlfn.XLOOKUP(D542,'Monthly Deduction'!$I$3:$I$957,'Monthly Deduction'!$H$3:$H$957),0)</f>
        <v>0</v>
      </c>
      <c r="G542" s="123" t="str">
        <f>VLOOKUP(D542,'MPG Payment '!$E$3:$G$333666,3,0)</f>
        <v>MPG</v>
      </c>
      <c r="H542" s="124" t="str">
        <f>VLOOKUP(D542,'MPG Payment '!$E$3:$H$333666,4,0)</f>
        <v>Direct</v>
      </c>
      <c r="I542" s="88">
        <f>INDEX('MPG Payment '!$C:$C,MATCH('Shayak Income '!D542,'MPG Payment '!E:E,0))</f>
        <v>1053</v>
      </c>
      <c r="J542" s="88" t="str">
        <f>INDEX('MPG Payment '!$D:$D,MATCH('Shayak Income '!D542,'MPG Payment '!E:E,0))</f>
        <v>Kalyanpur</v>
      </c>
      <c r="K542" s="125" t="s">
        <v>1594</v>
      </c>
      <c r="L542" s="125">
        <v>45816</v>
      </c>
      <c r="M542" s="126">
        <f>SUMIF('MPG Payment '!$E$3:$E$344841,'Shayak Income '!D542,'MPG Payment '!$I$3:$I$344841)</f>
        <v>4147.2</v>
      </c>
      <c r="N542" s="126">
        <f>SUMIF('MPG Payment '!$E$3:$E$344841,'Shayak Income '!D542,'MPG Payment '!$J$3:$J$344841)</f>
        <v>164578.22000000003</v>
      </c>
      <c r="O542" s="126">
        <f t="shared" si="154"/>
        <v>3110.3999999999996</v>
      </c>
      <c r="P542" s="126">
        <f t="shared" si="155"/>
        <v>3939.8399999999997</v>
      </c>
      <c r="Q542" s="126">
        <f>SUMIF('MPG Payment '!$E$3:$E$344841,'Shayak Income '!D542,'MPG Payment '!$S$3:$S$344841)</f>
        <v>1847.26</v>
      </c>
      <c r="R542" s="126">
        <f t="shared" si="145"/>
        <v>4937.3466000000008</v>
      </c>
      <c r="S542" s="126">
        <f t="shared" si="146"/>
        <v>997.50660000000107</v>
      </c>
      <c r="T542" s="126">
        <f t="shared" si="156"/>
        <v>414.72</v>
      </c>
      <c r="U542" s="127">
        <f>((((((IF(K542="New",0,SUMIF('MPG Payment '!$E$3:$E$344841,'Shayak Income '!D542,'MPG Payment '!$AC$3:$AC$344841))))+0)+0)+0)+0)+0</f>
        <v>0</v>
      </c>
      <c r="V542" s="127">
        <f t="shared" si="157"/>
        <v>8483</v>
      </c>
      <c r="W542" s="19">
        <f t="shared" si="158"/>
        <v>3291.5644000000007</v>
      </c>
      <c r="X542" s="19">
        <v>0</v>
      </c>
      <c r="Y542" s="128">
        <f>IFERROR(VLOOKUP(D542,'Monthly Deduction'!$M$2:$N$640,2,0),0)</f>
        <v>0</v>
      </c>
      <c r="Z542" s="128">
        <v>0</v>
      </c>
      <c r="AA542" s="126">
        <f>IFERROR(VLOOKUP(D542,'Monthly Deduction'!A:B,2,0),0)</f>
        <v>349.71543080156107</v>
      </c>
      <c r="AB542" s="129">
        <f t="shared" si="148"/>
        <v>4842</v>
      </c>
      <c r="AC542" s="130">
        <v>0</v>
      </c>
      <c r="AD542" s="35">
        <f t="shared" si="159"/>
        <v>4842</v>
      </c>
      <c r="AE542" s="166" t="str">
        <f t="shared" si="160"/>
        <v>Release</v>
      </c>
      <c r="AF542" s="127"/>
      <c r="AG542" s="18">
        <v>0</v>
      </c>
      <c r="AH542" s="120"/>
      <c r="AI542" s="238">
        <v>0</v>
      </c>
      <c r="AJ542" s="132"/>
      <c r="AK542" s="151">
        <v>773</v>
      </c>
      <c r="AL542" s="154">
        <f t="shared" si="149"/>
        <v>0</v>
      </c>
      <c r="AM542" s="155"/>
      <c r="AN542" s="19">
        <f t="shared" si="150"/>
        <v>3291.5644000000007</v>
      </c>
      <c r="AO542" s="118">
        <f>SUMIF('MPG Payment '!E:E,'Shayak Income '!D542,'MPG Payment '!AJ:AJ)</f>
        <v>0</v>
      </c>
      <c r="AP542" s="19">
        <f t="shared" si="151"/>
        <v>3291.5644000000007</v>
      </c>
      <c r="AQ542" s="119">
        <f t="shared" si="161"/>
        <v>3291.5644000000007</v>
      </c>
      <c r="AR542" s="91"/>
      <c r="AS542" s="91">
        <f t="shared" si="152"/>
        <v>25600</v>
      </c>
      <c r="AT542" s="118"/>
      <c r="AU542" s="118"/>
      <c r="AV542" s="118"/>
    </row>
    <row r="543" spans="1:48" s="20" customFormat="1" x14ac:dyDescent="0.25">
      <c r="A543" s="17">
        <f>IFERROR(VLOOKUP(D543,'Monthly Deduction'!$I$3:$J$957,2,0),0)</f>
        <v>67694.080110153562</v>
      </c>
      <c r="B543" s="17">
        <f>IFERROR(VLOOKUP(D543,'Monthly Deduction'!$E$3:$F$957,2,0),0)</f>
        <v>12800</v>
      </c>
      <c r="C543" s="17">
        <f t="shared" si="153"/>
        <v>80494.080110153562</v>
      </c>
      <c r="D543" s="41">
        <v>10530067</v>
      </c>
      <c r="E543" s="122" t="str">
        <f>VLOOKUP(D543,'MPG Payment '!$E$3:$G$497305,2,0)</f>
        <v>GOMUKH BANDRA W-6</v>
      </c>
      <c r="F543" s="146">
        <f>IFERROR(_xlfn.XLOOKUP(D543,'Monthly Deduction'!$I$3:$I$957,'Monthly Deduction'!$H$3:$H$957),0)</f>
        <v>0</v>
      </c>
      <c r="G543" s="123" t="str">
        <f>VLOOKUP(D543,'MPG Payment '!$E$3:$G$333666,3,0)</f>
        <v>MPG</v>
      </c>
      <c r="H543" s="124" t="str">
        <f>VLOOKUP(D543,'MPG Payment '!$E$3:$H$333666,4,0)</f>
        <v>Direct</v>
      </c>
      <c r="I543" s="88">
        <f>INDEX('MPG Payment '!$C:$C,MATCH('Shayak Income '!D543,'MPG Payment '!E:E,0))</f>
        <v>1053</v>
      </c>
      <c r="J543" s="88" t="str">
        <f>INDEX('MPG Payment '!$D:$D,MATCH('Shayak Income '!D543,'MPG Payment '!E:E,0))</f>
        <v>Kalyanpur</v>
      </c>
      <c r="K543" s="125" t="s">
        <v>1594</v>
      </c>
      <c r="L543" s="125">
        <v>45828</v>
      </c>
      <c r="M543" s="126">
        <f>SUMIF('MPG Payment '!$E$3:$E$344841,'Shayak Income '!D543,'MPG Payment '!$I$3:$I$344841)</f>
        <v>1924.3999999999999</v>
      </c>
      <c r="N543" s="126">
        <f>SUMIF('MPG Payment '!$E$3:$E$344841,'Shayak Income '!D543,'MPG Payment '!$J$3:$J$344841)</f>
        <v>87222.59</v>
      </c>
      <c r="O543" s="126">
        <f t="shared" si="154"/>
        <v>1443.3</v>
      </c>
      <c r="P543" s="126">
        <f t="shared" si="155"/>
        <v>1828.1799999999998</v>
      </c>
      <c r="Q543" s="126">
        <f>SUMIF('MPG Payment '!$E$3:$E$344841,'Shayak Income '!D543,'MPG Payment '!$S$3:$S$344841)</f>
        <v>1742.3899999999999</v>
      </c>
      <c r="R543" s="126">
        <f t="shared" si="145"/>
        <v>2616.6776999999997</v>
      </c>
      <c r="S543" s="126">
        <f t="shared" si="146"/>
        <v>788.4976999999999</v>
      </c>
      <c r="T543" s="126">
        <f t="shared" si="156"/>
        <v>192.44</v>
      </c>
      <c r="U543" s="127">
        <f>((((((IF(K543="New",0,SUMIF('MPG Payment '!$E$3:$E$344841,'Shayak Income '!D543,'MPG Payment '!$AC$3:$AC$344841))))+0)+0)+0)+0)+0</f>
        <v>795.70513280873593</v>
      </c>
      <c r="V543" s="127">
        <f t="shared" si="157"/>
        <v>4026</v>
      </c>
      <c r="W543" s="19">
        <f t="shared" si="158"/>
        <v>1861</v>
      </c>
      <c r="X543" s="19">
        <v>0</v>
      </c>
      <c r="Y543" s="128">
        <f>IFERROR(VLOOKUP(D543,'Monthly Deduction'!$M$2:$N$640,2,0),0)</f>
        <v>0</v>
      </c>
      <c r="Z543" s="128">
        <v>0</v>
      </c>
      <c r="AA543" s="126">
        <f>IFERROR(VLOOKUP(D543,'Monthly Deduction'!A:B,2,0),0)</f>
        <v>294.81543080156109</v>
      </c>
      <c r="AB543" s="129">
        <f t="shared" si="148"/>
        <v>1870</v>
      </c>
      <c r="AC543" s="130">
        <v>0</v>
      </c>
      <c r="AD543" s="35">
        <f t="shared" si="159"/>
        <v>1870</v>
      </c>
      <c r="AE543" s="166" t="str">
        <f t="shared" si="160"/>
        <v>Release</v>
      </c>
      <c r="AF543" s="127"/>
      <c r="AG543" s="18">
        <v>0</v>
      </c>
      <c r="AH543" s="120"/>
      <c r="AI543" s="238">
        <v>0</v>
      </c>
      <c r="AJ543" s="132"/>
      <c r="AK543" s="151">
        <v>413.0499999999999</v>
      </c>
      <c r="AL543" s="154">
        <f t="shared" si="149"/>
        <v>0</v>
      </c>
      <c r="AM543" s="155"/>
      <c r="AN543" s="19">
        <f t="shared" si="150"/>
        <v>1861</v>
      </c>
      <c r="AO543" s="118">
        <f>SUMIF('MPG Payment '!E:E,'Shayak Income '!D543,'MPG Payment '!AJ:AJ)</f>
        <v>0</v>
      </c>
      <c r="AP543" s="19">
        <f t="shared" si="151"/>
        <v>1861</v>
      </c>
      <c r="AQ543" s="119">
        <f t="shared" si="161"/>
        <v>1861</v>
      </c>
      <c r="AR543" s="91" t="s">
        <v>1144</v>
      </c>
      <c r="AS543" s="91">
        <f t="shared" si="152"/>
        <v>12800</v>
      </c>
      <c r="AT543" s="118"/>
      <c r="AU543" s="118"/>
      <c r="AV543" s="118"/>
    </row>
    <row r="544" spans="1:48" s="20" customFormat="1" x14ac:dyDescent="0.25">
      <c r="A544" s="17">
        <f>IFERROR(VLOOKUP(D544,'Monthly Deduction'!$I$3:$J$957,2,0),0)</f>
        <v>69719.429799999998</v>
      </c>
      <c r="B544" s="17">
        <f>IFERROR(VLOOKUP(D544,'Monthly Deduction'!$E$3:$F$957,2,0),0)</f>
        <v>19200</v>
      </c>
      <c r="C544" s="17">
        <f t="shared" si="153"/>
        <v>88919.429799999998</v>
      </c>
      <c r="D544" s="41">
        <v>10530070</v>
      </c>
      <c r="E544" s="122" t="str">
        <f>VLOOKUP(D544,'MPG Payment '!$E$3:$G$497305,2,0)</f>
        <v>GOMUKH PARAN 2</v>
      </c>
      <c r="F544" s="146">
        <f>IFERROR(_xlfn.XLOOKUP(D544,'Monthly Deduction'!$I$3:$I$957,'Monthly Deduction'!$H$3:$H$957),0)</f>
        <v>0</v>
      </c>
      <c r="G544" s="123" t="str">
        <f>VLOOKUP(D544,'MPG Payment '!$E$3:$G$333666,3,0)</f>
        <v>MPG</v>
      </c>
      <c r="H544" s="124" t="str">
        <f>VLOOKUP(D544,'MPG Payment '!$E$3:$H$333666,4,0)</f>
        <v>Direct</v>
      </c>
      <c r="I544" s="88">
        <f>INDEX('MPG Payment '!$C:$C,MATCH('Shayak Income '!D544,'MPG Payment '!E:E,0))</f>
        <v>1053</v>
      </c>
      <c r="J544" s="88" t="str">
        <f>INDEX('MPG Payment '!$D:$D,MATCH('Shayak Income '!D544,'MPG Payment '!E:E,0))</f>
        <v>Kalyanpur</v>
      </c>
      <c r="K544" s="125" t="s">
        <v>1594</v>
      </c>
      <c r="L544" s="125">
        <v>45838</v>
      </c>
      <c r="M544" s="126">
        <f>SUMIF('MPG Payment '!$E$3:$E$344841,'Shayak Income '!D544,'MPG Payment '!$I$3:$I$344841)</f>
        <v>1159.0500000000002</v>
      </c>
      <c r="N544" s="126">
        <f>SUMIF('MPG Payment '!$E$3:$E$344841,'Shayak Income '!D544,'MPG Payment '!$J$3:$J$344841)</f>
        <v>58562.77</v>
      </c>
      <c r="O544" s="126">
        <f t="shared" si="154"/>
        <v>869.28750000000014</v>
      </c>
      <c r="P544" s="126">
        <f t="shared" si="155"/>
        <v>1101.0975000000001</v>
      </c>
      <c r="Q544" s="126">
        <f>SUMIF('MPG Payment '!$E$3:$E$344841,'Shayak Income '!D544,'MPG Payment '!$S$3:$S$344841)</f>
        <v>1315.5600000000002</v>
      </c>
      <c r="R544" s="126">
        <f t="shared" si="145"/>
        <v>1756.8830999999998</v>
      </c>
      <c r="S544" s="126">
        <f t="shared" si="146"/>
        <v>655.7855999999997</v>
      </c>
      <c r="T544" s="126">
        <f t="shared" si="156"/>
        <v>115.90500000000003</v>
      </c>
      <c r="U544" s="127">
        <f>((((((IF(K544="New",0,SUMIF('MPG Payment '!$E$3:$E$344841,'Shayak Income '!D544,'MPG Payment '!$AC$3:$AC$344841))))+0)+0)+0)+0)+0</f>
        <v>1662.225723832338</v>
      </c>
      <c r="V544" s="127">
        <f t="shared" si="157"/>
        <v>1508</v>
      </c>
      <c r="W544" s="19">
        <v>0</v>
      </c>
      <c r="X544" s="19">
        <f t="shared" si="147"/>
        <v>1171.2554</v>
      </c>
      <c r="Y544" s="128">
        <f>IFERROR(VLOOKUP(D544,'Monthly Deduction'!$M$2:$N$640,2,0),0)</f>
        <v>0</v>
      </c>
      <c r="Z544" s="128">
        <v>0</v>
      </c>
      <c r="AA544" s="126">
        <f>IFERROR(VLOOKUP(D544,'Monthly Deduction'!A:B,2,0),0)</f>
        <v>75.21543080156107</v>
      </c>
      <c r="AB544" s="129">
        <f t="shared" si="148"/>
        <v>262</v>
      </c>
      <c r="AC544" s="130">
        <v>0</v>
      </c>
      <c r="AD544" s="35">
        <f t="shared" si="159"/>
        <v>262</v>
      </c>
      <c r="AE544" s="166" t="str">
        <f t="shared" si="160"/>
        <v>Release</v>
      </c>
      <c r="AF544" s="127"/>
      <c r="AG544" s="18">
        <v>0</v>
      </c>
      <c r="AH544" s="120"/>
      <c r="AI544" s="238">
        <v>0</v>
      </c>
      <c r="AJ544" s="132"/>
      <c r="AK544" s="151">
        <v>343.85</v>
      </c>
      <c r="AL544" s="154">
        <f t="shared" si="149"/>
        <v>0</v>
      </c>
      <c r="AM544" s="155"/>
      <c r="AN544" s="19">
        <f t="shared" si="150"/>
        <v>1861</v>
      </c>
      <c r="AO544" s="118">
        <f>SUMIF('MPG Payment '!E:E,'Shayak Income '!D544,'MPG Payment '!AJ:AJ)</f>
        <v>2000</v>
      </c>
      <c r="AP544" s="19">
        <f t="shared" si="151"/>
        <v>0</v>
      </c>
      <c r="AQ544" s="119">
        <f t="shared" si="161"/>
        <v>2000</v>
      </c>
      <c r="AR544" s="91" t="s">
        <v>1144</v>
      </c>
      <c r="AS544" s="91">
        <f t="shared" si="152"/>
        <v>18028.744599999998</v>
      </c>
      <c r="AT544" s="118"/>
      <c r="AU544" s="118"/>
      <c r="AV544" s="118"/>
    </row>
    <row r="545" spans="1:48" s="20" customFormat="1" x14ac:dyDescent="0.25">
      <c r="A545" s="17">
        <f>IFERROR(VLOOKUP(D545,'Monthly Deduction'!$I$3:$J$957,2,0),0)</f>
        <v>72307.15570672162</v>
      </c>
      <c r="B545" s="17">
        <f>IFERROR(VLOOKUP(D545,'Monthly Deduction'!$E$3:$F$957,2,0),0)</f>
        <v>16000</v>
      </c>
      <c r="C545" s="17">
        <f t="shared" si="153"/>
        <v>88307.15570672162</v>
      </c>
      <c r="D545" s="41">
        <v>10530071</v>
      </c>
      <c r="E545" s="122" t="str">
        <f>VLOOKUP(D545,'MPG Payment '!$E$3:$G$497305,2,0)</f>
        <v>GOMUKH KHARAGPUR</v>
      </c>
      <c r="F545" s="146">
        <f>IFERROR(_xlfn.XLOOKUP(D545,'Monthly Deduction'!$I$3:$I$957,'Monthly Deduction'!$H$3:$H$957),0)</f>
        <v>0</v>
      </c>
      <c r="G545" s="123" t="str">
        <f>VLOOKUP(D545,'MPG Payment '!$E$3:$G$333666,3,0)</f>
        <v>MPG</v>
      </c>
      <c r="H545" s="124" t="str">
        <f>VLOOKUP(D545,'MPG Payment '!$E$3:$H$333666,4,0)</f>
        <v>Direct</v>
      </c>
      <c r="I545" s="88">
        <f>INDEX('MPG Payment '!$C:$C,MATCH('Shayak Income '!D545,'MPG Payment '!E:E,0))</f>
        <v>1053</v>
      </c>
      <c r="J545" s="88" t="str">
        <f>INDEX('MPG Payment '!$D:$D,MATCH('Shayak Income '!D545,'MPG Payment '!E:E,0))</f>
        <v>Kalyanpur</v>
      </c>
      <c r="K545" s="125" t="s">
        <v>1594</v>
      </c>
      <c r="L545" s="125">
        <v>45836</v>
      </c>
      <c r="M545" s="126">
        <f>SUMIF('MPG Payment '!$E$3:$E$344841,'Shayak Income '!D545,'MPG Payment '!$I$3:$I$344841)</f>
        <v>1760.35</v>
      </c>
      <c r="N545" s="126">
        <f>SUMIF('MPG Payment '!$E$3:$E$344841,'Shayak Income '!D545,'MPG Payment '!$J$3:$J$344841)</f>
        <v>83987.489999999991</v>
      </c>
      <c r="O545" s="126">
        <f t="shared" si="154"/>
        <v>1320.2624999999998</v>
      </c>
      <c r="P545" s="126">
        <f t="shared" si="155"/>
        <v>1672.3324999999998</v>
      </c>
      <c r="Q545" s="126">
        <f>SUMIF('MPG Payment '!$E$3:$E$344841,'Shayak Income '!D545,'MPG Payment '!$S$3:$S$344841)</f>
        <v>0</v>
      </c>
      <c r="R545" s="126">
        <f t="shared" si="145"/>
        <v>2519.6246999999998</v>
      </c>
      <c r="S545" s="126">
        <f t="shared" si="146"/>
        <v>847.29220000000009</v>
      </c>
      <c r="T545" s="126">
        <f t="shared" si="156"/>
        <v>176.035</v>
      </c>
      <c r="U545" s="127">
        <f>((((((IF(K545="New",0,SUMIF('MPG Payment '!$E$3:$E$344841,'Shayak Income '!D545,'MPG Payment '!$AC$3:$AC$344841))))+0)+0)+0)+0)+0</f>
        <v>990.66871166860346</v>
      </c>
      <c r="V545" s="127">
        <f t="shared" si="157"/>
        <v>1826</v>
      </c>
      <c r="W545" s="19">
        <v>1826</v>
      </c>
      <c r="X545" s="19">
        <v>0</v>
      </c>
      <c r="Y545" s="128">
        <f>IFERROR(VLOOKUP(D545,'Monthly Deduction'!$M$2:$N$640,2,0),0)</f>
        <v>0</v>
      </c>
      <c r="Z545" s="128">
        <v>0</v>
      </c>
      <c r="AA545" s="126">
        <v>0</v>
      </c>
      <c r="AB545" s="129">
        <f t="shared" si="148"/>
        <v>0</v>
      </c>
      <c r="AC545" s="130">
        <v>0</v>
      </c>
      <c r="AD545" s="35">
        <f t="shared" si="159"/>
        <v>0</v>
      </c>
      <c r="AE545" s="166" t="str">
        <f t="shared" si="160"/>
        <v>Release</v>
      </c>
      <c r="AF545" s="127"/>
      <c r="AG545" s="18">
        <v>0</v>
      </c>
      <c r="AH545" s="120"/>
      <c r="AI545" s="238">
        <v>0</v>
      </c>
      <c r="AJ545" s="132"/>
      <c r="AK545" s="151">
        <v>471.7999999999999</v>
      </c>
      <c r="AL545" s="154">
        <f t="shared" si="149"/>
        <v>0</v>
      </c>
      <c r="AM545" s="155"/>
      <c r="AN545" s="19">
        <f t="shared" si="150"/>
        <v>1861</v>
      </c>
      <c r="AO545" s="118">
        <f>SUMIF('MPG Payment '!E:E,'Shayak Income '!D545,'MPG Payment '!AJ:AJ)</f>
        <v>0</v>
      </c>
      <c r="AP545" s="19">
        <f t="shared" si="151"/>
        <v>1826</v>
      </c>
      <c r="AQ545" s="119">
        <f t="shared" si="161"/>
        <v>1826</v>
      </c>
      <c r="AR545" s="91" t="s">
        <v>1144</v>
      </c>
      <c r="AS545" s="91">
        <f t="shared" si="152"/>
        <v>16000</v>
      </c>
      <c r="AT545" s="118"/>
      <c r="AU545" s="118"/>
      <c r="AV545" s="118"/>
    </row>
    <row r="546" spans="1:48" s="20" customFormat="1" x14ac:dyDescent="0.25">
      <c r="A546" s="17">
        <f>IFERROR(VLOOKUP(D546,'Monthly Deduction'!$I$3:$J$957,2,0),0)</f>
        <v>0</v>
      </c>
      <c r="B546" s="17">
        <f>IFERROR(VLOOKUP(D546,'Monthly Deduction'!$E$3:$F$957,2,0),0)</f>
        <v>0</v>
      </c>
      <c r="C546" s="17">
        <f t="shared" si="153"/>
        <v>0</v>
      </c>
      <c r="D546" s="41">
        <v>10530072</v>
      </c>
      <c r="E546" s="122" t="str">
        <f>VLOOKUP(D546,'MPG Payment '!$E$3:$G$497305,2,0)</f>
        <v>KAMARGAMA</v>
      </c>
      <c r="F546" s="146">
        <f>IFERROR(_xlfn.XLOOKUP(D546,'Monthly Deduction'!$I$3:$I$957,'Monthly Deduction'!$H$3:$H$957),0)</f>
        <v>0</v>
      </c>
      <c r="G546" s="123" t="str">
        <f>VLOOKUP(D546,'MPG Payment '!$E$3:$G$333666,3,0)</f>
        <v>vlc</v>
      </c>
      <c r="H546" s="124" t="str">
        <f>VLOOKUP(D546,'MPG Payment '!$E$3:$H$333666,4,0)</f>
        <v>Indirect</v>
      </c>
      <c r="I546" s="88">
        <f>INDEX('MPG Payment '!$C:$C,MATCH('Shayak Income '!D546,'MPG Payment '!E:E,0))</f>
        <v>1053</v>
      </c>
      <c r="J546" s="88" t="str">
        <f>INDEX('MPG Payment '!$D:$D,MATCH('Shayak Income '!D546,'MPG Payment '!E:E,0))</f>
        <v>Kalyanpur</v>
      </c>
      <c r="K546" s="125" t="s">
        <v>1594</v>
      </c>
      <c r="L546" s="125">
        <v>45830</v>
      </c>
      <c r="M546" s="126">
        <f>SUMIF('MPG Payment '!$E$3:$E$344841,'Shayak Income '!D546,'MPG Payment '!$I$3:$I$344841)</f>
        <v>2515.1999999999998</v>
      </c>
      <c r="N546" s="126">
        <f>SUMIF('MPG Payment '!$E$3:$E$344841,'Shayak Income '!D546,'MPG Payment '!$J$3:$J$344841)</f>
        <v>152592.87</v>
      </c>
      <c r="O546" s="126">
        <f t="shared" si="154"/>
        <v>1886.3999999999999</v>
      </c>
      <c r="P546" s="126">
        <f t="shared" si="155"/>
        <v>2389.4399999999996</v>
      </c>
      <c r="Q546" s="126">
        <f>SUMIF('MPG Payment '!$E$3:$E$344841,'Shayak Income '!D546,'MPG Payment '!$S$3:$S$344841)</f>
        <v>0</v>
      </c>
      <c r="R546" s="126">
        <f t="shared" si="145"/>
        <v>4577.7860999999994</v>
      </c>
      <c r="S546" s="126">
        <f t="shared" si="146"/>
        <v>2188.3460999999998</v>
      </c>
      <c r="T546" s="126">
        <f t="shared" si="156"/>
        <v>251.51999999999998</v>
      </c>
      <c r="U546" s="127">
        <f>((((((IF(K546="New",0,SUMIF('MPG Payment '!$E$3:$E$344841,'Shayak Income '!D546,'MPG Payment '!$AC$3:$AC$344841))))+0)+0)+0)+0)+0</f>
        <v>457.85448937992192</v>
      </c>
      <c r="V546" s="127">
        <f t="shared" si="157"/>
        <v>3566</v>
      </c>
      <c r="W546" s="19">
        <f t="shared" si="158"/>
        <v>0</v>
      </c>
      <c r="X546" s="19">
        <f t="shared" si="147"/>
        <v>0</v>
      </c>
      <c r="Y546" s="128">
        <f>IFERROR(VLOOKUP(D546,'Monthly Deduction'!$M$2:$N$640,2,0),0)</f>
        <v>0</v>
      </c>
      <c r="Z546" s="128">
        <v>0</v>
      </c>
      <c r="AA546" s="126">
        <f>IFERROR(VLOOKUP(D546,'Monthly Deduction'!A:B,2,0),0)</f>
        <v>0</v>
      </c>
      <c r="AB546" s="129">
        <f t="shared" si="148"/>
        <v>3566</v>
      </c>
      <c r="AC546" s="130">
        <v>0</v>
      </c>
      <c r="AD546" s="35">
        <f t="shared" si="159"/>
        <v>3566</v>
      </c>
      <c r="AE546" s="166" t="str">
        <f t="shared" si="160"/>
        <v>Release</v>
      </c>
      <c r="AF546" s="127"/>
      <c r="AG546" s="18">
        <v>0</v>
      </c>
      <c r="AH546" s="132"/>
      <c r="AI546" s="238">
        <v>0</v>
      </c>
      <c r="AJ546" s="132"/>
      <c r="AK546" s="151">
        <v>547.85</v>
      </c>
      <c r="AL546" s="154">
        <f t="shared" si="149"/>
        <v>0</v>
      </c>
      <c r="AM546" s="155"/>
      <c r="AN546" s="19">
        <f t="shared" si="150"/>
        <v>0</v>
      </c>
      <c r="AO546" s="118">
        <f>SUMIF('MPG Payment '!E:E,'Shayak Income '!D546,'MPG Payment '!AJ:AJ)</f>
        <v>0</v>
      </c>
      <c r="AP546" s="19">
        <f t="shared" si="151"/>
        <v>0</v>
      </c>
      <c r="AQ546" s="119">
        <f t="shared" si="161"/>
        <v>0</v>
      </c>
      <c r="AR546" s="91" t="s">
        <v>1144</v>
      </c>
      <c r="AS546" s="91">
        <f t="shared" si="152"/>
        <v>0</v>
      </c>
      <c r="AT546" s="118"/>
      <c r="AU546" s="118"/>
      <c r="AV546" s="118"/>
    </row>
    <row r="547" spans="1:48" s="20" customFormat="1" x14ac:dyDescent="0.25">
      <c r="A547" s="17">
        <f>IFERROR(VLOOKUP(D547,'Monthly Deduction'!$I$3:$J$957,2,0),0)</f>
        <v>57228.041691573679</v>
      </c>
      <c r="B547" s="17">
        <f>IFERROR(VLOOKUP(D547,'Monthly Deduction'!$E$3:$F$957,2,0),0)</f>
        <v>19200</v>
      </c>
      <c r="C547" s="17">
        <f t="shared" si="153"/>
        <v>76428.041691573686</v>
      </c>
      <c r="D547" s="41">
        <v>10530074</v>
      </c>
      <c r="E547" s="122" t="str">
        <f>VLOOKUP(D547,'MPG Payment '!$E$3:$G$497305,2,0)</f>
        <v>GOMUKH BALAHA W-9</v>
      </c>
      <c r="F547" s="146">
        <f>IFERROR(_xlfn.XLOOKUP(D547,'Monthly Deduction'!$I$3:$I$957,'Monthly Deduction'!$H$3:$H$957),0)</f>
        <v>0</v>
      </c>
      <c r="G547" s="123" t="str">
        <f>VLOOKUP(D547,'MPG Payment '!$E$3:$G$333666,3,0)</f>
        <v>MPG</v>
      </c>
      <c r="H547" s="124" t="str">
        <f>VLOOKUP(D547,'MPG Payment '!$E$3:$H$333666,4,0)</f>
        <v>Direct</v>
      </c>
      <c r="I547" s="88">
        <f>INDEX('MPG Payment '!$C:$C,MATCH('Shayak Income '!D547,'MPG Payment '!E:E,0))</f>
        <v>1053</v>
      </c>
      <c r="J547" s="88" t="str">
        <f>INDEX('MPG Payment '!$D:$D,MATCH('Shayak Income '!D547,'MPG Payment '!E:E,0))</f>
        <v>Kalyanpur</v>
      </c>
      <c r="K547" s="125" t="s">
        <v>1594</v>
      </c>
      <c r="L547" s="125">
        <v>45849</v>
      </c>
      <c r="M547" s="126">
        <f>SUMIF('MPG Payment '!$E$3:$E$344841,'Shayak Income '!D547,'MPG Payment '!$I$3:$I$344841)</f>
        <v>3119.8000000000006</v>
      </c>
      <c r="N547" s="126">
        <f>SUMIF('MPG Payment '!$E$3:$E$344841,'Shayak Income '!D547,'MPG Payment '!$J$3:$J$344841)</f>
        <v>133323.06</v>
      </c>
      <c r="O547" s="126">
        <f t="shared" si="154"/>
        <v>2339.8500000000004</v>
      </c>
      <c r="P547" s="126">
        <f t="shared" si="155"/>
        <v>2963.8100000000004</v>
      </c>
      <c r="Q547" s="126">
        <f>SUMIF('MPG Payment '!$E$3:$E$344841,'Shayak Income '!D547,'MPG Payment '!$S$3:$S$344841)</f>
        <v>2397.3200000000002</v>
      </c>
      <c r="R547" s="126">
        <f t="shared" si="145"/>
        <v>3999.6917999999996</v>
      </c>
      <c r="S547" s="126">
        <f t="shared" si="146"/>
        <v>1035.8817999999992</v>
      </c>
      <c r="T547" s="126">
        <f t="shared" si="156"/>
        <v>311.98000000000008</v>
      </c>
      <c r="U547" s="127">
        <f>((((((IF(K547="New",0,SUMIF('MPG Payment '!$E$3:$E$344841,'Shayak Income '!D547,'MPG Payment '!$AC$3:$AC$344841))))+0)+0)+0)+0)+0</f>
        <v>0</v>
      </c>
      <c r="V547" s="127">
        <f t="shared" si="157"/>
        <v>7389</v>
      </c>
      <c r="W547" s="19">
        <f t="shared" si="158"/>
        <v>2666.4612000000002</v>
      </c>
      <c r="X547" s="19">
        <v>0</v>
      </c>
      <c r="Y547" s="128">
        <f>IFERROR(VLOOKUP(D547,'Monthly Deduction'!$M$2:$N$640,2,0),0)</f>
        <v>0</v>
      </c>
      <c r="Z547" s="128">
        <v>0</v>
      </c>
      <c r="AA547" s="126">
        <f>IFERROR(VLOOKUP(D547,'Monthly Deduction'!A:B,2,0),0)</f>
        <v>349.71543080156107</v>
      </c>
      <c r="AB547" s="129">
        <f t="shared" si="148"/>
        <v>4373</v>
      </c>
      <c r="AC547" s="130">
        <v>0</v>
      </c>
      <c r="AD547" s="35">
        <f t="shared" si="159"/>
        <v>4373</v>
      </c>
      <c r="AE547" s="166" t="str">
        <f t="shared" si="160"/>
        <v>Release</v>
      </c>
      <c r="AF547" s="127"/>
      <c r="AG547" s="127">
        <v>0</v>
      </c>
      <c r="AH547" s="120"/>
      <c r="AI547" s="238">
        <v>0</v>
      </c>
      <c r="AJ547" s="132"/>
      <c r="AK547" s="151">
        <v>900.7</v>
      </c>
      <c r="AL547" s="154">
        <f t="shared" si="149"/>
        <v>0</v>
      </c>
      <c r="AM547" s="155"/>
      <c r="AN547" s="19">
        <f t="shared" si="150"/>
        <v>2666.4612000000002</v>
      </c>
      <c r="AO547" s="118">
        <f>SUMIF('MPG Payment '!E:E,'Shayak Income '!D547,'MPG Payment '!AJ:AJ)</f>
        <v>0</v>
      </c>
      <c r="AP547" s="19">
        <f t="shared" si="151"/>
        <v>2666.4612000000002</v>
      </c>
      <c r="AQ547" s="119">
        <f t="shared" si="161"/>
        <v>2666.4612000000002</v>
      </c>
      <c r="AR547" s="91" t="s">
        <v>1144</v>
      </c>
      <c r="AS547" s="91">
        <f t="shared" si="152"/>
        <v>19200</v>
      </c>
      <c r="AT547" s="118"/>
      <c r="AU547" s="118"/>
      <c r="AV547" s="118"/>
    </row>
    <row r="548" spans="1:48" s="20" customFormat="1" x14ac:dyDescent="0.25">
      <c r="A548" s="17">
        <f>IFERROR(VLOOKUP(D548,'Monthly Deduction'!$I$3:$J$957,2,0),0)</f>
        <v>0</v>
      </c>
      <c r="B548" s="17">
        <f>IFERROR(VLOOKUP(D548,'Monthly Deduction'!$E$3:$F$957,2,0),0)</f>
        <v>0</v>
      </c>
      <c r="C548" s="17">
        <f t="shared" si="153"/>
        <v>0</v>
      </c>
      <c r="D548" s="41">
        <v>10530075</v>
      </c>
      <c r="E548" s="122" t="str">
        <f>VLOOKUP(D548,'MPG Payment '!$E$3:$G$497305,2,0)</f>
        <v>Gomukh NAMAPUR East</v>
      </c>
      <c r="F548" s="146">
        <f>IFERROR(_xlfn.XLOOKUP(D548,'Monthly Deduction'!$I$3:$I$957,'Monthly Deduction'!$H$3:$H$957),0)</f>
        <v>0</v>
      </c>
      <c r="G548" s="123" t="str">
        <f>VLOOKUP(D548,'MPG Payment '!$E$3:$G$333666,3,0)</f>
        <v>vlc</v>
      </c>
      <c r="H548" s="124" t="str">
        <f>VLOOKUP(D548,'MPG Payment '!$E$3:$H$333666,4,0)</f>
        <v>Indirect</v>
      </c>
      <c r="I548" s="88">
        <f>INDEX('MPG Payment '!$C:$C,MATCH('Shayak Income '!D548,'MPG Payment '!E:E,0))</f>
        <v>1053</v>
      </c>
      <c r="J548" s="88" t="str">
        <f>INDEX('MPG Payment '!$D:$D,MATCH('Shayak Income '!D548,'MPG Payment '!E:E,0))</f>
        <v>Kalyanpur</v>
      </c>
      <c r="K548" s="125" t="s">
        <v>1594</v>
      </c>
      <c r="L548" s="125">
        <v>45830</v>
      </c>
      <c r="M548" s="126">
        <f>SUMIF('MPG Payment '!$E$3:$E$344841,'Shayak Income '!D548,'MPG Payment '!$I$3:$I$344841)</f>
        <v>36.1</v>
      </c>
      <c r="N548" s="126">
        <f>SUMIF('MPG Payment '!$E$3:$E$344841,'Shayak Income '!D548,'MPG Payment '!$J$3:$J$344841)</f>
        <v>1605.73</v>
      </c>
      <c r="O548" s="126">
        <f t="shared" si="154"/>
        <v>27.075000000000003</v>
      </c>
      <c r="P548" s="126">
        <f t="shared" si="155"/>
        <v>34.295000000000002</v>
      </c>
      <c r="Q548" s="126">
        <f>SUMIF('MPG Payment '!$E$3:$E$344841,'Shayak Income '!D548,'MPG Payment '!$S$3:$S$344841)</f>
        <v>0</v>
      </c>
      <c r="R548" s="126">
        <f t="shared" si="145"/>
        <v>48.171900000000001</v>
      </c>
      <c r="S548" s="126">
        <f t="shared" si="146"/>
        <v>13.876899999999999</v>
      </c>
      <c r="T548" s="126">
        <f t="shared" si="156"/>
        <v>3.6100000000000003</v>
      </c>
      <c r="U548" s="127">
        <f>((((((IF(K548="New",0,SUMIF('MPG Payment '!$E$3:$E$344841,'Shayak Income '!D548,'MPG Payment '!$AC$3:$AC$344841))))+0)+0)+0)+0)+-533</f>
        <v>57.606175623268655</v>
      </c>
      <c r="V548" s="127">
        <f t="shared" si="157"/>
        <v>0</v>
      </c>
      <c r="W548" s="19">
        <v>0</v>
      </c>
      <c r="X548" s="19">
        <v>0</v>
      </c>
      <c r="Y548" s="128">
        <v>0</v>
      </c>
      <c r="Z548" s="128">
        <v>0</v>
      </c>
      <c r="AA548" s="126">
        <v>0</v>
      </c>
      <c r="AB548" s="129">
        <f t="shared" si="148"/>
        <v>0</v>
      </c>
      <c r="AC548" s="130">
        <f>AB548</f>
        <v>0</v>
      </c>
      <c r="AD548" s="35">
        <f t="shared" si="159"/>
        <v>0</v>
      </c>
      <c r="AE548" s="166" t="str">
        <f t="shared" si="160"/>
        <v>Release</v>
      </c>
      <c r="AF548" s="127"/>
      <c r="AG548" s="18">
        <v>0</v>
      </c>
      <c r="AH548" s="132" t="s">
        <v>1597</v>
      </c>
      <c r="AI548" s="238">
        <v>0</v>
      </c>
      <c r="AJ548" s="132"/>
      <c r="AK548" s="151">
        <v>0</v>
      </c>
      <c r="AL548" s="154">
        <f t="shared" si="149"/>
        <v>0</v>
      </c>
      <c r="AM548" s="155"/>
      <c r="AN548" s="19">
        <f t="shared" si="150"/>
        <v>0</v>
      </c>
      <c r="AO548" s="118">
        <f>SUMIF('MPG Payment '!E:E,'Shayak Income '!D548,'MPG Payment '!AJ:AJ)</f>
        <v>0</v>
      </c>
      <c r="AP548" s="19">
        <f t="shared" si="151"/>
        <v>0</v>
      </c>
      <c r="AQ548" s="119">
        <f t="shared" si="161"/>
        <v>0</v>
      </c>
      <c r="AR548" s="91" t="s">
        <v>1144</v>
      </c>
      <c r="AS548" s="91">
        <f t="shared" si="152"/>
        <v>0</v>
      </c>
      <c r="AT548" s="118"/>
      <c r="AU548" s="118"/>
      <c r="AV548" s="118"/>
    </row>
    <row r="549" spans="1:48" s="20" customFormat="1" x14ac:dyDescent="0.25">
      <c r="A549" s="17">
        <f>IFERROR(VLOOKUP(D549,'Monthly Deduction'!$I$3:$J$957,2,0),0)</f>
        <v>16298.744521996239</v>
      </c>
      <c r="B549" s="17">
        <f>IFERROR(VLOOKUP(D549,'Monthly Deduction'!$E$3:$F$957,2,0),0)</f>
        <v>9600</v>
      </c>
      <c r="C549" s="17">
        <f t="shared" si="153"/>
        <v>25898.744521996239</v>
      </c>
      <c r="D549" s="41">
        <v>10530076</v>
      </c>
      <c r="E549" s="122" t="str">
        <f>VLOOKUP(D549,'MPG Payment '!$E$3:$G$497305,2,0)</f>
        <v>GOMUKH Madanpur W-3</v>
      </c>
      <c r="F549" s="146">
        <f>IFERROR(_xlfn.XLOOKUP(D549,'Monthly Deduction'!$I$3:$I$957,'Monthly Deduction'!$H$3:$H$957),0)</f>
        <v>0</v>
      </c>
      <c r="G549" s="123" t="str">
        <f>VLOOKUP(D549,'MPG Payment '!$E$3:$G$333666,3,0)</f>
        <v>MPG</v>
      </c>
      <c r="H549" s="124" t="str">
        <f>VLOOKUP(D549,'MPG Payment '!$E$3:$H$333666,4,0)</f>
        <v>Direct</v>
      </c>
      <c r="I549" s="88">
        <f>INDEX('MPG Payment '!$C:$C,MATCH('Shayak Income '!D549,'MPG Payment '!E:E,0))</f>
        <v>1053</v>
      </c>
      <c r="J549" s="88" t="str">
        <f>INDEX('MPG Payment '!$D:$D,MATCH('Shayak Income '!D549,'MPG Payment '!E:E,0))</f>
        <v>Kalyanpur</v>
      </c>
      <c r="K549" s="125" t="s">
        <v>1594</v>
      </c>
      <c r="L549" s="125">
        <v>45863</v>
      </c>
      <c r="M549" s="126">
        <f>SUMIF('MPG Payment '!$E$3:$E$344841,'Shayak Income '!D549,'MPG Payment '!$I$3:$I$344841)</f>
        <v>9240.9000000000015</v>
      </c>
      <c r="N549" s="126">
        <f>SUMIF('MPG Payment '!$E$3:$E$344841,'Shayak Income '!D549,'MPG Payment '!$J$3:$J$344841)</f>
        <v>444805.52</v>
      </c>
      <c r="O549" s="126">
        <f t="shared" si="154"/>
        <v>6930.6750000000011</v>
      </c>
      <c r="P549" s="126">
        <f t="shared" si="155"/>
        <v>8778.8550000000014</v>
      </c>
      <c r="Q549" s="126">
        <f>SUMIF('MPG Payment '!$E$3:$E$344841,'Shayak Income '!D549,'MPG Payment '!$S$3:$S$344841)</f>
        <v>5355.4500000000007</v>
      </c>
      <c r="R549" s="126">
        <f t="shared" si="145"/>
        <v>13344.1656</v>
      </c>
      <c r="S549" s="126">
        <f t="shared" si="146"/>
        <v>4565.3105999999989</v>
      </c>
      <c r="T549" s="126">
        <f t="shared" si="156"/>
        <v>924.09000000000015</v>
      </c>
      <c r="U549" s="127">
        <f>((((((IF(K549="New",0,SUMIF('MPG Payment '!$E$3:$E$344841,'Shayak Income '!D549,'MPG Payment '!$AC$3:$AC$344841))))+0)+0)+0)+0)+0</f>
        <v>0</v>
      </c>
      <c r="V549" s="127">
        <f t="shared" si="157"/>
        <v>20141</v>
      </c>
      <c r="W549" s="19">
        <f t="shared" si="158"/>
        <v>8896.1104000000014</v>
      </c>
      <c r="X549" s="19">
        <v>0</v>
      </c>
      <c r="Y549" s="128">
        <f>IFERROR(VLOOKUP(D549,'Monthly Deduction'!$M$2:$N$640,2,0),0)</f>
        <v>0</v>
      </c>
      <c r="Z549" s="128">
        <v>0</v>
      </c>
      <c r="AA549" s="126">
        <f>IFERROR(VLOOKUP(D549,'Monthly Deduction'!A:B,2,0),0)</f>
        <v>349.71543080156107</v>
      </c>
      <c r="AB549" s="129">
        <f t="shared" si="148"/>
        <v>10895</v>
      </c>
      <c r="AC549" s="130">
        <v>0</v>
      </c>
      <c r="AD549" s="35">
        <f t="shared" si="159"/>
        <v>10895</v>
      </c>
      <c r="AE549" s="166" t="str">
        <f t="shared" si="160"/>
        <v>Release</v>
      </c>
      <c r="AF549" s="127"/>
      <c r="AG549" s="127">
        <v>0</v>
      </c>
      <c r="AH549" s="120"/>
      <c r="AI549" s="238">
        <v>0</v>
      </c>
      <c r="AJ549" s="132"/>
      <c r="AK549" s="151">
        <v>2469.1500000000005</v>
      </c>
      <c r="AL549" s="154">
        <f t="shared" si="149"/>
        <v>0</v>
      </c>
      <c r="AM549" s="155"/>
      <c r="AN549" s="19">
        <f t="shared" si="150"/>
        <v>8896.1104000000014</v>
      </c>
      <c r="AO549" s="118">
        <f>SUMIF('MPG Payment '!E:E,'Shayak Income '!D549,'MPG Payment '!AJ:AJ)</f>
        <v>0</v>
      </c>
      <c r="AP549" s="19">
        <f t="shared" si="151"/>
        <v>8896.1104000000014</v>
      </c>
      <c r="AQ549" s="119">
        <f t="shared" si="161"/>
        <v>8896.1104000000014</v>
      </c>
      <c r="AR549" s="91" t="s">
        <v>1144</v>
      </c>
      <c r="AS549" s="91">
        <f t="shared" si="152"/>
        <v>9600</v>
      </c>
      <c r="AT549" s="118"/>
      <c r="AU549" s="118"/>
      <c r="AV549" s="118"/>
    </row>
    <row r="550" spans="1:48" s="20" customFormat="1" x14ac:dyDescent="0.25">
      <c r="A550" s="17">
        <f>IFERROR(VLOOKUP(D550,'Monthly Deduction'!$I$3:$J$957,2,0),0)</f>
        <v>0</v>
      </c>
      <c r="B550" s="17">
        <f>IFERROR(VLOOKUP(D550,'Monthly Deduction'!$E$3:$F$957,2,0),0)</f>
        <v>0</v>
      </c>
      <c r="C550" s="17">
        <f t="shared" si="153"/>
        <v>0</v>
      </c>
      <c r="D550" s="41">
        <v>10530079</v>
      </c>
      <c r="E550" s="122" t="str">
        <f>VLOOKUP(D550,'MPG Payment '!$E$3:$G$497305,2,0)</f>
        <v>Jitwariya W-11</v>
      </c>
      <c r="F550" s="146">
        <f>IFERROR(_xlfn.XLOOKUP(D550,'Monthly Deduction'!$I$3:$I$957,'Monthly Deduction'!$H$3:$H$957),0)</f>
        <v>0</v>
      </c>
      <c r="G550" s="123" t="str">
        <f>VLOOKUP(D550,'MPG Payment '!$E$3:$G$333666,3,0)</f>
        <v>vlc</v>
      </c>
      <c r="H550" s="124" t="str">
        <f>VLOOKUP(D550,'MPG Payment '!$E$3:$H$333666,4,0)</f>
        <v>Indirect</v>
      </c>
      <c r="I550" s="88">
        <f>INDEX('MPG Payment '!$C:$C,MATCH('Shayak Income '!D550,'MPG Payment '!E:E,0))</f>
        <v>1053</v>
      </c>
      <c r="J550" s="88" t="str">
        <f>INDEX('MPG Payment '!$D:$D,MATCH('Shayak Income '!D550,'MPG Payment '!E:E,0))</f>
        <v>Kalyanpur</v>
      </c>
      <c r="K550" s="125" t="s">
        <v>1594</v>
      </c>
      <c r="L550" s="125">
        <v>45892</v>
      </c>
      <c r="M550" s="126">
        <f>SUMIF('MPG Payment '!$E$3:$E$344841,'Shayak Income '!D550,'MPG Payment '!$I$3:$I$344841)</f>
        <v>476.44999999999993</v>
      </c>
      <c r="N550" s="126">
        <f>SUMIF('MPG Payment '!$E$3:$E$344841,'Shayak Income '!D550,'MPG Payment '!$J$3:$J$344841)</f>
        <v>23458.03</v>
      </c>
      <c r="O550" s="126">
        <f t="shared" si="154"/>
        <v>357.33749999999998</v>
      </c>
      <c r="P550" s="126">
        <f t="shared" si="155"/>
        <v>452.62749999999994</v>
      </c>
      <c r="Q550" s="126">
        <f>SUMIF('MPG Payment '!$E$3:$E$344841,'Shayak Income '!D550,'MPG Payment '!$S$3:$S$344841)</f>
        <v>0</v>
      </c>
      <c r="R550" s="126">
        <f t="shared" si="145"/>
        <v>703.7408999999999</v>
      </c>
      <c r="S550" s="126">
        <f t="shared" si="146"/>
        <v>251.11339999999996</v>
      </c>
      <c r="T550" s="126">
        <f t="shared" si="156"/>
        <v>47.644999999999996</v>
      </c>
      <c r="U550" s="127">
        <f>((((((IF(K550="New",0,SUMIF('MPG Payment '!$E$3:$E$344841,'Shayak Income '!D550,'MPG Payment '!$AC$3:$AC$344841))))+0)+0)+0)+0)+-1506</f>
        <v>761.94699452736268</v>
      </c>
      <c r="V550" s="127">
        <f t="shared" si="157"/>
        <v>0</v>
      </c>
      <c r="W550" s="19">
        <v>0</v>
      </c>
      <c r="X550" s="19">
        <v>0</v>
      </c>
      <c r="Y550" s="128">
        <v>0</v>
      </c>
      <c r="Z550" s="128">
        <v>0</v>
      </c>
      <c r="AA550" s="126">
        <v>0</v>
      </c>
      <c r="AB550" s="129">
        <f t="shared" si="148"/>
        <v>0</v>
      </c>
      <c r="AC550" s="130">
        <v>0</v>
      </c>
      <c r="AD550" s="35">
        <f t="shared" si="159"/>
        <v>0</v>
      </c>
      <c r="AE550" s="166" t="str">
        <f t="shared" si="160"/>
        <v>Release</v>
      </c>
      <c r="AF550" s="127"/>
      <c r="AG550" s="18">
        <v>0</v>
      </c>
      <c r="AH550" s="120"/>
      <c r="AI550" s="238">
        <v>0</v>
      </c>
      <c r="AJ550" s="132"/>
      <c r="AK550" s="151">
        <v>78.5</v>
      </c>
      <c r="AL550" s="154">
        <f t="shared" si="149"/>
        <v>0</v>
      </c>
      <c r="AM550" s="155"/>
      <c r="AN550" s="19">
        <f t="shared" si="150"/>
        <v>0</v>
      </c>
      <c r="AO550" s="118">
        <f>SUMIF('MPG Payment '!E:E,'Shayak Income '!D550,'MPG Payment '!AJ:AJ)</f>
        <v>0</v>
      </c>
      <c r="AP550" s="19">
        <f t="shared" si="151"/>
        <v>0</v>
      </c>
      <c r="AQ550" s="119">
        <f t="shared" si="161"/>
        <v>0</v>
      </c>
      <c r="AR550" s="91" t="s">
        <v>1144</v>
      </c>
      <c r="AS550" s="91">
        <f t="shared" si="152"/>
        <v>0</v>
      </c>
      <c r="AT550" s="118"/>
      <c r="AU550" s="118"/>
      <c r="AV550" s="118"/>
    </row>
    <row r="551" spans="1:48" s="20" customFormat="1" x14ac:dyDescent="0.25">
      <c r="A551" s="17">
        <f>IFERROR(VLOOKUP(D551,'Monthly Deduction'!$I$3:$J$957,2,0),0)</f>
        <v>36517.327799839695</v>
      </c>
      <c r="B551" s="17">
        <f>IFERROR(VLOOKUP(D551,'Monthly Deduction'!$E$3:$F$957,2,0),0)</f>
        <v>25600</v>
      </c>
      <c r="C551" s="17">
        <f t="shared" si="153"/>
        <v>62117.327799839695</v>
      </c>
      <c r="D551" s="41">
        <v>10530081</v>
      </c>
      <c r="E551" s="122" t="str">
        <f>VLOOKUP(D551,'MPG Payment '!$E$3:$G$497305,2,0)</f>
        <v>GOMUKH DADHIYA-2</v>
      </c>
      <c r="F551" s="146">
        <f>IFERROR(_xlfn.XLOOKUP(D551,'Monthly Deduction'!$I$3:$I$957,'Monthly Deduction'!$H$3:$H$957),0)</f>
        <v>0</v>
      </c>
      <c r="G551" s="123" t="str">
        <f>VLOOKUP(D551,'MPG Payment '!$E$3:$G$333666,3,0)</f>
        <v>MPG</v>
      </c>
      <c r="H551" s="124" t="str">
        <f>VLOOKUP(D551,'MPG Payment '!$E$3:$H$333666,4,0)</f>
        <v>Direct</v>
      </c>
      <c r="I551" s="88">
        <f>INDEX('MPG Payment '!$C:$C,MATCH('Shayak Income '!D551,'MPG Payment '!E:E,0))</f>
        <v>1053</v>
      </c>
      <c r="J551" s="88" t="str">
        <f>INDEX('MPG Payment '!$D:$D,MATCH('Shayak Income '!D551,'MPG Payment '!E:E,0))</f>
        <v>Kalyanpur</v>
      </c>
      <c r="K551" s="125" t="s">
        <v>1594</v>
      </c>
      <c r="L551" s="125">
        <v>45894</v>
      </c>
      <c r="M551" s="126">
        <f>SUMIF('MPG Payment '!$E$3:$E$344841,'Shayak Income '!D551,'MPG Payment '!$I$3:$I$344841)</f>
        <v>6128.0499999999993</v>
      </c>
      <c r="N551" s="126">
        <f>SUMIF('MPG Payment '!$E$3:$E$344841,'Shayak Income '!D551,'MPG Payment '!$J$3:$J$344841)</f>
        <v>272379.81999999995</v>
      </c>
      <c r="O551" s="126">
        <f t="shared" si="154"/>
        <v>4596.0374999999995</v>
      </c>
      <c r="P551" s="126">
        <f t="shared" si="155"/>
        <v>5821.6474999999991</v>
      </c>
      <c r="Q551" s="126">
        <f>SUMIF('MPG Payment '!$E$3:$E$344841,'Shayak Income '!D551,'MPG Payment '!$S$3:$S$344841)</f>
        <v>4606.0300000000007</v>
      </c>
      <c r="R551" s="126">
        <f t="shared" si="145"/>
        <v>8171.3945999999978</v>
      </c>
      <c r="S551" s="126">
        <f t="shared" si="146"/>
        <v>2349.7470999999987</v>
      </c>
      <c r="T551" s="126">
        <f t="shared" si="156"/>
        <v>612.80499999999995</v>
      </c>
      <c r="U551" s="127">
        <f>((((((IF(K551="New",0,SUMIF('MPG Payment '!$E$3:$E$344841,'Shayak Income '!D551,'MPG Payment '!$AC$3:$AC$344841))))+0)+0)+0)+0)+0</f>
        <v>0</v>
      </c>
      <c r="V551" s="127">
        <f t="shared" si="157"/>
        <v>14411</v>
      </c>
      <c r="W551" s="19">
        <f t="shared" si="158"/>
        <v>5447.5963999999994</v>
      </c>
      <c r="X551" s="19">
        <v>0</v>
      </c>
      <c r="Y551" s="128">
        <f>IFERROR(VLOOKUP(D551,'Monthly Deduction'!$M$2:$N$640,2,0),0)</f>
        <v>0</v>
      </c>
      <c r="Z551" s="128">
        <v>0</v>
      </c>
      <c r="AA551" s="126">
        <f>IFERROR(VLOOKUP(D551,'Monthly Deduction'!A:B,2,0),0)</f>
        <v>349.71543080156107</v>
      </c>
      <c r="AB551" s="129">
        <f t="shared" si="148"/>
        <v>8614</v>
      </c>
      <c r="AC551" s="130">
        <v>0</v>
      </c>
      <c r="AD551" s="35">
        <f t="shared" si="159"/>
        <v>8614</v>
      </c>
      <c r="AE551" s="166" t="str">
        <f t="shared" si="160"/>
        <v>Release</v>
      </c>
      <c r="AF551" s="127"/>
      <c r="AG551" s="127">
        <v>0</v>
      </c>
      <c r="AH551" s="120"/>
      <c r="AI551" s="238">
        <v>0</v>
      </c>
      <c r="AJ551" s="132"/>
      <c r="AK551" s="151">
        <v>1491.9</v>
      </c>
      <c r="AL551" s="154">
        <f t="shared" si="149"/>
        <v>0</v>
      </c>
      <c r="AM551" s="155"/>
      <c r="AN551" s="19">
        <f t="shared" si="150"/>
        <v>5447.5963999999994</v>
      </c>
      <c r="AO551" s="118">
        <f>SUMIF('MPG Payment '!E:E,'Shayak Income '!D551,'MPG Payment '!AJ:AJ)</f>
        <v>0</v>
      </c>
      <c r="AP551" s="19">
        <f t="shared" si="151"/>
        <v>5447.5963999999994</v>
      </c>
      <c r="AQ551" s="119">
        <f t="shared" si="161"/>
        <v>5447.5963999999994</v>
      </c>
      <c r="AR551" s="91" t="s">
        <v>1144</v>
      </c>
      <c r="AS551" s="91">
        <f t="shared" si="152"/>
        <v>25600</v>
      </c>
      <c r="AT551" s="118"/>
      <c r="AU551" s="118"/>
      <c r="AV551" s="118"/>
    </row>
    <row r="552" spans="1:48" s="20" customFormat="1" x14ac:dyDescent="0.25">
      <c r="A552" s="17">
        <f>IFERROR(VLOOKUP(D552,'Monthly Deduction'!$I$3:$J$957,2,0),0)</f>
        <v>52835.7460084552</v>
      </c>
      <c r="B552" s="17">
        <f>IFERROR(VLOOKUP(D552,'Monthly Deduction'!$E$3:$F$957,2,0),0)</f>
        <v>28800</v>
      </c>
      <c r="C552" s="17">
        <f t="shared" si="153"/>
        <v>81635.7460084552</v>
      </c>
      <c r="D552" s="41">
        <v>10530082</v>
      </c>
      <c r="E552" s="122" t="str">
        <f>VLOOKUP(D552,'MPG Payment '!$E$3:$G$497305,2,0)</f>
        <v>GOMUKH PREMNAGAR</v>
      </c>
      <c r="F552" s="146">
        <f>IFERROR(_xlfn.XLOOKUP(D552,'Monthly Deduction'!$I$3:$I$957,'Monthly Deduction'!$H$3:$H$957),0)</f>
        <v>0</v>
      </c>
      <c r="G552" s="123" t="str">
        <f>VLOOKUP(D552,'MPG Payment '!$E$3:$G$333666,3,0)</f>
        <v>MPG</v>
      </c>
      <c r="H552" s="124" t="str">
        <f>VLOOKUP(D552,'MPG Payment '!$E$3:$H$333666,4,0)</f>
        <v>Direct</v>
      </c>
      <c r="I552" s="88">
        <f>INDEX('MPG Payment '!$C:$C,MATCH('Shayak Income '!D552,'MPG Payment '!E:E,0))</f>
        <v>1053</v>
      </c>
      <c r="J552" s="88" t="str">
        <f>INDEX('MPG Payment '!$D:$D,MATCH('Shayak Income '!D552,'MPG Payment '!E:E,0))</f>
        <v>Kalyanpur</v>
      </c>
      <c r="K552" s="125" t="s">
        <v>1594</v>
      </c>
      <c r="L552" s="125">
        <v>45894</v>
      </c>
      <c r="M552" s="126">
        <f>SUMIF('MPG Payment '!$E$3:$E$344841,'Shayak Income '!D552,'MPG Payment '!$I$3:$I$344841)</f>
        <v>4824.5</v>
      </c>
      <c r="N552" s="126">
        <f>SUMIF('MPG Payment '!$E$3:$E$344841,'Shayak Income '!D552,'MPG Payment '!$J$3:$J$344841)</f>
        <v>202438.90000000002</v>
      </c>
      <c r="O552" s="126">
        <f t="shared" si="154"/>
        <v>3618.375</v>
      </c>
      <c r="P552" s="126">
        <f t="shared" si="155"/>
        <v>4583.2749999999996</v>
      </c>
      <c r="Q552" s="126">
        <f>SUMIF('MPG Payment '!$E$3:$E$344841,'Shayak Income '!D552,'MPG Payment '!$S$3:$S$344841)</f>
        <v>854.46</v>
      </c>
      <c r="R552" s="126">
        <f t="shared" si="145"/>
        <v>6073.1670000000004</v>
      </c>
      <c r="S552" s="126">
        <f t="shared" si="146"/>
        <v>1489.8920000000007</v>
      </c>
      <c r="T552" s="126">
        <f t="shared" si="156"/>
        <v>482.45000000000005</v>
      </c>
      <c r="U552" s="127">
        <f>((((((IF(K552="New",0,SUMIF('MPG Payment '!$E$3:$E$344841,'Shayak Income '!D552,'MPG Payment '!$AC$3:$AC$344841))))+0)+0)+0)+0)+0</f>
        <v>0</v>
      </c>
      <c r="V552" s="127">
        <f t="shared" si="157"/>
        <v>8574</v>
      </c>
      <c r="W552" s="19">
        <f t="shared" si="158"/>
        <v>4048.7780000000007</v>
      </c>
      <c r="X552" s="19">
        <v>0</v>
      </c>
      <c r="Y552" s="128">
        <f>IFERROR(VLOOKUP(D552,'Monthly Deduction'!$M$2:$N$640,2,0),0)</f>
        <v>0</v>
      </c>
      <c r="Z552" s="128">
        <v>0</v>
      </c>
      <c r="AA552" s="126">
        <f>IFERROR(VLOOKUP(D552,'Monthly Deduction'!A:B,2,0),0)</f>
        <v>404.6154308015611</v>
      </c>
      <c r="AB552" s="129">
        <f t="shared" si="148"/>
        <v>4121</v>
      </c>
      <c r="AC552" s="130">
        <v>0</v>
      </c>
      <c r="AD552" s="35">
        <f t="shared" si="159"/>
        <v>4121</v>
      </c>
      <c r="AE552" s="166" t="str">
        <f t="shared" si="160"/>
        <v>Release</v>
      </c>
      <c r="AF552" s="127"/>
      <c r="AG552" s="18">
        <v>0</v>
      </c>
      <c r="AH552" s="120"/>
      <c r="AI552" s="238">
        <v>0</v>
      </c>
      <c r="AJ552" s="132"/>
      <c r="AK552" s="151">
        <v>1081.1499999999999</v>
      </c>
      <c r="AL552" s="154">
        <f t="shared" si="149"/>
        <v>0</v>
      </c>
      <c r="AM552" s="155"/>
      <c r="AN552" s="19">
        <f t="shared" si="150"/>
        <v>4048.7780000000007</v>
      </c>
      <c r="AO552" s="118">
        <f>SUMIF('MPG Payment '!E:E,'Shayak Income '!D552,'MPG Payment '!AJ:AJ)</f>
        <v>0</v>
      </c>
      <c r="AP552" s="19">
        <f t="shared" si="151"/>
        <v>4048.7780000000007</v>
      </c>
      <c r="AQ552" s="119">
        <f t="shared" si="161"/>
        <v>4048.7780000000007</v>
      </c>
      <c r="AR552" s="91" t="s">
        <v>1144</v>
      </c>
      <c r="AS552" s="91">
        <f t="shared" si="152"/>
        <v>28800</v>
      </c>
      <c r="AT552" s="118"/>
      <c r="AU552" s="118"/>
      <c r="AV552" s="118"/>
    </row>
    <row r="553" spans="1:48" s="20" customFormat="1" x14ac:dyDescent="0.25">
      <c r="A553" s="17">
        <f>IFERROR(VLOOKUP(D553,'Monthly Deduction'!$I$3:$J$957,2,0),0)</f>
        <v>0</v>
      </c>
      <c r="B553" s="17">
        <f>IFERROR(VLOOKUP(D553,'Monthly Deduction'!$E$3:$F$957,2,0),0)</f>
        <v>3588.7964541938563</v>
      </c>
      <c r="C553" s="17">
        <f t="shared" si="153"/>
        <v>3588.7964541938563</v>
      </c>
      <c r="D553" s="41">
        <v>10540003</v>
      </c>
      <c r="E553" s="122" t="str">
        <f>VLOOKUP(D553,'MPG Payment '!$E$3:$G$497305,2,0)</f>
        <v>GOMUKH ANANDPUR PARAS 2</v>
      </c>
      <c r="F553" s="146">
        <f>IFERROR(_xlfn.XLOOKUP(D553,'Monthly Deduction'!$I$3:$I$957,'Monthly Deduction'!$H$3:$H$957),0)</f>
        <v>0</v>
      </c>
      <c r="G553" s="123" t="str">
        <f>VLOOKUP(D553,'MPG Payment '!$E$3:$G$333666,3,0)</f>
        <v>MPG</v>
      </c>
      <c r="H553" s="124" t="str">
        <f>VLOOKUP(D553,'MPG Payment '!$E$3:$H$333666,4,0)</f>
        <v>Direct</v>
      </c>
      <c r="I553" s="88">
        <f>INDEX('MPG Payment '!$C:$C,MATCH('Shayak Income '!D553,'MPG Payment '!E:E,0))</f>
        <v>1054</v>
      </c>
      <c r="J553" s="88" t="str">
        <f>INDEX('MPG Payment '!$D:$D,MATCH('Shayak Income '!D553,'MPG Payment '!E:E,0))</f>
        <v xml:space="preserve">Alauli </v>
      </c>
      <c r="K553" s="125" t="s">
        <v>1594</v>
      </c>
      <c r="L553" s="125">
        <v>45793</v>
      </c>
      <c r="M553" s="126">
        <f>SUMIF('MPG Payment '!$E$3:$E$344841,'Shayak Income '!D553,'MPG Payment '!$I$3:$I$344841)</f>
        <v>12511.800000000001</v>
      </c>
      <c r="N553" s="126">
        <f>SUMIF('MPG Payment '!$E$3:$E$344841,'Shayak Income '!D553,'MPG Payment '!$J$3:$J$344841)</f>
        <v>516586.80999999994</v>
      </c>
      <c r="O553" s="126">
        <f t="shared" si="154"/>
        <v>9383.85</v>
      </c>
      <c r="P553" s="126">
        <f t="shared" si="155"/>
        <v>11886.210000000001</v>
      </c>
      <c r="Q553" s="126">
        <f>SUMIF('MPG Payment '!$E$3:$E$344841,'Shayak Income '!D553,'MPG Payment '!$S$3:$S$344841)</f>
        <v>0</v>
      </c>
      <c r="R553" s="126">
        <f t="shared" si="145"/>
        <v>15497.604299999997</v>
      </c>
      <c r="S553" s="126">
        <f t="shared" si="146"/>
        <v>3611.3942999999963</v>
      </c>
      <c r="T553" s="126">
        <f t="shared" si="156"/>
        <v>1251.1800000000003</v>
      </c>
      <c r="U553" s="127">
        <f>((((((IF(K553="New",0,SUMIF('MPG Payment '!$E$3:$E$344841,'Shayak Income '!D553,'MPG Payment '!$AC$3:$AC$344841))))+0)+0)+0)+0)+0</f>
        <v>0</v>
      </c>
      <c r="V553" s="127">
        <f t="shared" si="157"/>
        <v>20019</v>
      </c>
      <c r="W553" s="19">
        <f t="shared" si="158"/>
        <v>0</v>
      </c>
      <c r="X553" s="19">
        <f t="shared" si="147"/>
        <v>3588.7964541938563</v>
      </c>
      <c r="Y553" s="128">
        <f>IFERROR(VLOOKUP(D553,'Monthly Deduction'!$M$2:$N$640,2,0),0)</f>
        <v>0</v>
      </c>
      <c r="Z553" s="128">
        <v>0</v>
      </c>
      <c r="AA553" s="126">
        <f>IFERROR(VLOOKUP(D553,'Monthly Deduction'!A:B,2,0),0)</f>
        <v>0</v>
      </c>
      <c r="AB553" s="129">
        <f t="shared" si="148"/>
        <v>16430</v>
      </c>
      <c r="AC553" s="130">
        <v>0</v>
      </c>
      <c r="AD553" s="35">
        <f t="shared" si="159"/>
        <v>16430</v>
      </c>
      <c r="AE553" s="166" t="str">
        <f t="shared" si="160"/>
        <v>Release</v>
      </c>
      <c r="AF553" s="127"/>
      <c r="AG553" s="18">
        <v>0</v>
      </c>
      <c r="AH553" s="120"/>
      <c r="AI553" s="238">
        <v>0</v>
      </c>
      <c r="AJ553" s="132"/>
      <c r="AK553" s="151">
        <v>3057.8</v>
      </c>
      <c r="AL553" s="154">
        <f t="shared" si="149"/>
        <v>0</v>
      </c>
      <c r="AM553" s="155"/>
      <c r="AN553" s="19">
        <f t="shared" si="150"/>
        <v>0</v>
      </c>
      <c r="AO553" s="118">
        <f>SUMIF('MPG Payment '!E:E,'Shayak Income '!D553,'MPG Payment '!AJ:AJ)</f>
        <v>0</v>
      </c>
      <c r="AP553" s="19">
        <f t="shared" si="151"/>
        <v>0</v>
      </c>
      <c r="AQ553" s="119">
        <f t="shared" si="161"/>
        <v>0</v>
      </c>
      <c r="AR553" s="91" t="s">
        <v>1144</v>
      </c>
      <c r="AS553" s="91">
        <f t="shared" si="152"/>
        <v>0</v>
      </c>
      <c r="AT553" s="118"/>
      <c r="AU553" s="118"/>
      <c r="AV553" s="118"/>
    </row>
    <row r="554" spans="1:48" s="20" customFormat="1" x14ac:dyDescent="0.25">
      <c r="A554" s="17">
        <f>IFERROR(VLOOKUP(D554,'Monthly Deduction'!$I$3:$J$957,2,0),0)</f>
        <v>60883.713802710394</v>
      </c>
      <c r="B554" s="17">
        <f>IFERROR(VLOOKUP(D554,'Monthly Deduction'!$E$3:$F$957,2,0),0)</f>
        <v>12132</v>
      </c>
      <c r="C554" s="17">
        <f t="shared" si="153"/>
        <v>73015.713802710394</v>
      </c>
      <c r="D554" s="41">
        <v>10540005</v>
      </c>
      <c r="E554" s="122" t="str">
        <f>VLOOKUP(D554,'MPG Payment '!$E$3:$G$497305,2,0)</f>
        <v>GOMUKH GADBANNI</v>
      </c>
      <c r="F554" s="146">
        <f>IFERROR(_xlfn.XLOOKUP(D554,'Monthly Deduction'!$I$3:$I$957,'Monthly Deduction'!$H$3:$H$957),0)</f>
        <v>0</v>
      </c>
      <c r="G554" s="123" t="str">
        <f>VLOOKUP(D554,'MPG Payment '!$E$3:$G$333666,3,0)</f>
        <v>MPG</v>
      </c>
      <c r="H554" s="124" t="str">
        <f>VLOOKUP(D554,'MPG Payment '!$E$3:$H$333666,4,0)</f>
        <v>Direct</v>
      </c>
      <c r="I554" s="88">
        <f>INDEX('MPG Payment '!$C:$C,MATCH('Shayak Income '!D554,'MPG Payment '!E:E,0))</f>
        <v>1054</v>
      </c>
      <c r="J554" s="88" t="str">
        <f>INDEX('MPG Payment '!$D:$D,MATCH('Shayak Income '!D554,'MPG Payment '!E:E,0))</f>
        <v xml:space="preserve">Alauli </v>
      </c>
      <c r="K554" s="125" t="s">
        <v>1594</v>
      </c>
      <c r="L554" s="125">
        <v>45803</v>
      </c>
      <c r="M554" s="126">
        <f>SUMIF('MPG Payment '!$E$3:$E$344841,'Shayak Income '!D554,'MPG Payment '!$I$3:$I$344841)</f>
        <v>1394.1999999999998</v>
      </c>
      <c r="N554" s="126">
        <f>SUMIF('MPG Payment '!$E$3:$E$344841,'Shayak Income '!D554,'MPG Payment '!$J$3:$J$344841)</f>
        <v>60824.880000000005</v>
      </c>
      <c r="O554" s="126">
        <f t="shared" si="154"/>
        <v>1045.6499999999999</v>
      </c>
      <c r="P554" s="126">
        <f t="shared" si="155"/>
        <v>1324.4899999999998</v>
      </c>
      <c r="Q554" s="126">
        <f>SUMIF('MPG Payment '!$E$3:$E$344841,'Shayak Income '!D554,'MPG Payment '!$S$3:$S$344841)</f>
        <v>0</v>
      </c>
      <c r="R554" s="126">
        <f t="shared" si="145"/>
        <v>1824.7464</v>
      </c>
      <c r="S554" s="126">
        <f t="shared" si="146"/>
        <v>500.25640000000021</v>
      </c>
      <c r="T554" s="126">
        <f t="shared" si="156"/>
        <v>139.41999999999999</v>
      </c>
      <c r="U554" s="127">
        <f>((((((IF(K554="New",0,SUMIF('MPG Payment '!$E$3:$E$344841,'Shayak Income '!D554,'MPG Payment '!$AC$3:$AC$344841))))+0)+0)+0)+0)+0</f>
        <v>1228.3955242407351</v>
      </c>
      <c r="V554" s="127">
        <f t="shared" si="157"/>
        <v>1002</v>
      </c>
      <c r="W554" s="19">
        <v>1002</v>
      </c>
      <c r="X554" s="19">
        <v>0</v>
      </c>
      <c r="Y554" s="128">
        <f>IFERROR(VLOOKUP(D554,'Monthly Deduction'!$M$2:$N$640,2,0),0)</f>
        <v>0</v>
      </c>
      <c r="Z554" s="128">
        <v>0</v>
      </c>
      <c r="AA554" s="126">
        <v>0</v>
      </c>
      <c r="AB554" s="129">
        <f t="shared" si="148"/>
        <v>0</v>
      </c>
      <c r="AC554" s="130">
        <v>0</v>
      </c>
      <c r="AD554" s="35">
        <f t="shared" si="159"/>
        <v>0</v>
      </c>
      <c r="AE554" s="166" t="str">
        <f t="shared" si="160"/>
        <v>Release</v>
      </c>
      <c r="AF554" s="127"/>
      <c r="AG554" s="127">
        <v>0</v>
      </c>
      <c r="AH554" s="120"/>
      <c r="AI554" s="238">
        <v>0</v>
      </c>
      <c r="AJ554" s="132"/>
      <c r="AK554" s="151">
        <v>406.00000000000006</v>
      </c>
      <c r="AL554" s="154">
        <f t="shared" si="149"/>
        <v>0</v>
      </c>
      <c r="AM554" s="155"/>
      <c r="AN554" s="19">
        <f t="shared" si="150"/>
        <v>1861</v>
      </c>
      <c r="AO554" s="118">
        <f>SUMIF('MPG Payment '!E:E,'Shayak Income '!D554,'MPG Payment '!AJ:AJ)</f>
        <v>0</v>
      </c>
      <c r="AP554" s="19">
        <f t="shared" si="151"/>
        <v>1002</v>
      </c>
      <c r="AQ554" s="119">
        <f t="shared" si="161"/>
        <v>1002</v>
      </c>
      <c r="AR554" s="91" t="s">
        <v>1144</v>
      </c>
      <c r="AS554" s="91">
        <f t="shared" si="152"/>
        <v>12132</v>
      </c>
      <c r="AT554" s="118"/>
      <c r="AU554" s="118"/>
      <c r="AV554" s="118"/>
    </row>
    <row r="555" spans="1:48" s="20" customFormat="1" x14ac:dyDescent="0.25">
      <c r="A555" s="17">
        <f>IFERROR(VLOOKUP(D555,'Monthly Deduction'!$I$3:$J$957,2,0),0)</f>
        <v>78640</v>
      </c>
      <c r="B555" s="17">
        <f>IFERROR(VLOOKUP(D555,'Monthly Deduction'!$E$3:$F$957,2,0),0)</f>
        <v>6051</v>
      </c>
      <c r="C555" s="17">
        <f t="shared" si="153"/>
        <v>84691</v>
      </c>
      <c r="D555" s="41">
        <v>10540008</v>
      </c>
      <c r="E555" s="122" t="str">
        <f>VLOOKUP(D555,'MPG Payment '!$E$3:$G$497305,2,0)</f>
        <v>GOMUKH PARRI</v>
      </c>
      <c r="F555" s="146">
        <f>IFERROR(_xlfn.XLOOKUP(D555,'Monthly Deduction'!$I$3:$I$957,'Monthly Deduction'!$H$3:$H$957),0)</f>
        <v>0</v>
      </c>
      <c r="G555" s="123" t="str">
        <f>VLOOKUP(D555,'MPG Payment '!$E$3:$G$333666,3,0)</f>
        <v>MPG</v>
      </c>
      <c r="H555" s="124" t="str">
        <f>VLOOKUP(D555,'MPG Payment '!$E$3:$H$333666,4,0)</f>
        <v>Direct</v>
      </c>
      <c r="I555" s="88">
        <f>INDEX('MPG Payment '!$C:$C,MATCH('Shayak Income '!D555,'MPG Payment '!E:E,0))</f>
        <v>1054</v>
      </c>
      <c r="J555" s="88" t="str">
        <f>INDEX('MPG Payment '!$D:$D,MATCH('Shayak Income '!D555,'MPG Payment '!E:E,0))</f>
        <v xml:space="preserve">Alauli </v>
      </c>
      <c r="K555" s="125" t="s">
        <v>1594</v>
      </c>
      <c r="L555" s="125">
        <v>45849</v>
      </c>
      <c r="M555" s="126">
        <f>SUMIF('MPG Payment '!$E$3:$E$344841,'Shayak Income '!D555,'MPG Payment '!$I$3:$I$344841)</f>
        <v>343.5</v>
      </c>
      <c r="N555" s="126">
        <f>SUMIF('MPG Payment '!$E$3:$E$344841,'Shayak Income '!D555,'MPG Payment '!$J$3:$J$344841)</f>
        <v>15803.35</v>
      </c>
      <c r="O555" s="126">
        <f t="shared" si="154"/>
        <v>257.625</v>
      </c>
      <c r="P555" s="126">
        <f t="shared" si="155"/>
        <v>326.32499999999999</v>
      </c>
      <c r="Q555" s="126">
        <f>SUMIF('MPG Payment '!$E$3:$E$344841,'Shayak Income '!D555,'MPG Payment '!$S$3:$S$344841)</f>
        <v>0</v>
      </c>
      <c r="R555" s="126">
        <f t="shared" si="145"/>
        <v>474.10050000000001</v>
      </c>
      <c r="S555" s="126">
        <f t="shared" si="146"/>
        <v>147.77550000000002</v>
      </c>
      <c r="T555" s="126">
        <f t="shared" si="156"/>
        <v>34.35</v>
      </c>
      <c r="U555" s="127">
        <f>((((((IF(K555="New",0,SUMIF('MPG Payment '!$E$3:$E$344841,'Shayak Income '!D555,'MPG Payment '!$AC$3:$AC$344841))))+0)+0)+0)+0)+-1713</f>
        <v>549.54625731968872</v>
      </c>
      <c r="V555" s="127">
        <f t="shared" si="157"/>
        <v>0</v>
      </c>
      <c r="W555" s="19">
        <v>0</v>
      </c>
      <c r="X555" s="19">
        <v>0</v>
      </c>
      <c r="Y555" s="128">
        <v>0</v>
      </c>
      <c r="Z555" s="128">
        <v>0</v>
      </c>
      <c r="AA555" s="126">
        <v>0</v>
      </c>
      <c r="AB555" s="129">
        <f t="shared" si="148"/>
        <v>0</v>
      </c>
      <c r="AC555" s="130">
        <v>0</v>
      </c>
      <c r="AD555" s="35">
        <f t="shared" si="159"/>
        <v>0</v>
      </c>
      <c r="AE555" s="166" t="str">
        <f t="shared" si="160"/>
        <v>Release</v>
      </c>
      <c r="AF555" s="127"/>
      <c r="AG555" s="18">
        <v>0</v>
      </c>
      <c r="AH555" s="120"/>
      <c r="AI555" s="238">
        <v>0</v>
      </c>
      <c r="AJ555" s="132"/>
      <c r="AK555" s="151">
        <v>124.50000000000001</v>
      </c>
      <c r="AL555" s="154">
        <f t="shared" si="149"/>
        <v>0</v>
      </c>
      <c r="AM555" s="155"/>
      <c r="AN555" s="19">
        <f t="shared" si="150"/>
        <v>1861</v>
      </c>
      <c r="AO555" s="118">
        <f>SUMIF('MPG Payment '!E:E,'Shayak Income '!D555,'MPG Payment '!AJ:AJ)</f>
        <v>1500</v>
      </c>
      <c r="AP555" s="19">
        <f t="shared" si="151"/>
        <v>0</v>
      </c>
      <c r="AQ555" s="119">
        <f t="shared" si="161"/>
        <v>1500</v>
      </c>
      <c r="AR555" s="91"/>
      <c r="AS555" s="91">
        <f t="shared" si="152"/>
        <v>6051</v>
      </c>
      <c r="AT555" s="118"/>
      <c r="AU555" s="118"/>
      <c r="AV555" s="118"/>
    </row>
    <row r="556" spans="1:48" s="20" customFormat="1" x14ac:dyDescent="0.25">
      <c r="A556" s="17">
        <f>IFERROR(VLOOKUP(D556,'Monthly Deduction'!$I$3:$J$957,2,0),0)</f>
        <v>5767.9547057109885</v>
      </c>
      <c r="B556" s="17">
        <f>IFERROR(VLOOKUP(D556,'Monthly Deduction'!$E$3:$F$957,2,0),0)</f>
        <v>36584</v>
      </c>
      <c r="C556" s="17">
        <f t="shared" si="153"/>
        <v>42351.954705710988</v>
      </c>
      <c r="D556" s="41">
        <v>10540009</v>
      </c>
      <c r="E556" s="122" t="str">
        <f>VLOOKUP(D556,'MPG Payment '!$E$3:$G$497305,2,0)</f>
        <v>GOMUKH BHIKHARI GHAT</v>
      </c>
      <c r="F556" s="146">
        <f>IFERROR(_xlfn.XLOOKUP(D556,'Monthly Deduction'!$I$3:$I$957,'Monthly Deduction'!$H$3:$H$957),0)</f>
        <v>0</v>
      </c>
      <c r="G556" s="123" t="str">
        <f>VLOOKUP(D556,'MPG Payment '!$E$3:$G$333666,3,0)</f>
        <v>MPG</v>
      </c>
      <c r="H556" s="124" t="str">
        <f>VLOOKUP(D556,'MPG Payment '!$E$3:$H$333666,4,0)</f>
        <v>Direct</v>
      </c>
      <c r="I556" s="88">
        <f>INDEX('MPG Payment '!$C:$C,MATCH('Shayak Income '!D556,'MPG Payment '!E:E,0))</f>
        <v>1054</v>
      </c>
      <c r="J556" s="88" t="str">
        <f>INDEX('MPG Payment '!$D:$D,MATCH('Shayak Income '!D556,'MPG Payment '!E:E,0))</f>
        <v xml:space="preserve">Alauli </v>
      </c>
      <c r="K556" s="125" t="s">
        <v>1594</v>
      </c>
      <c r="L556" s="125">
        <v>45836</v>
      </c>
      <c r="M556" s="126">
        <f>SUMIF('MPG Payment '!$E$3:$E$344841,'Shayak Income '!D556,'MPG Payment '!$I$3:$I$344841)</f>
        <v>4694.3</v>
      </c>
      <c r="N556" s="126">
        <f>SUMIF('MPG Payment '!$E$3:$E$344841,'Shayak Income '!D556,'MPG Payment '!$J$3:$J$344841)</f>
        <v>205894.7</v>
      </c>
      <c r="O556" s="126">
        <f t="shared" si="154"/>
        <v>3520.7250000000004</v>
      </c>
      <c r="P556" s="126">
        <f t="shared" si="155"/>
        <v>4459.585</v>
      </c>
      <c r="Q556" s="126">
        <f>SUMIF('MPG Payment '!$E$3:$E$344841,'Shayak Income '!D556,'MPG Payment '!$S$3:$S$344841)</f>
        <v>0</v>
      </c>
      <c r="R556" s="126">
        <f t="shared" si="145"/>
        <v>6176.8410000000003</v>
      </c>
      <c r="S556" s="126">
        <f t="shared" si="146"/>
        <v>1717.2560000000003</v>
      </c>
      <c r="T556" s="126">
        <f t="shared" si="156"/>
        <v>469.43000000000006</v>
      </c>
      <c r="U556" s="127">
        <f>((((((IF(K556="New",0,SUMIF('MPG Payment '!$E$3:$E$344841,'Shayak Income '!D556,'MPG Payment '!$AC$3:$AC$344841))))+0)+0)+0)+0)+0</f>
        <v>0</v>
      </c>
      <c r="V556" s="127">
        <f t="shared" si="157"/>
        <v>7511</v>
      </c>
      <c r="W556" s="19">
        <f t="shared" si="158"/>
        <v>4117.8940000000002</v>
      </c>
      <c r="X556" s="19">
        <v>0</v>
      </c>
      <c r="Y556" s="128">
        <f>IFERROR(VLOOKUP(D556,'Monthly Deduction'!$M$2:$N$640,2,0),0)</f>
        <v>0</v>
      </c>
      <c r="Z556" s="128">
        <v>0</v>
      </c>
      <c r="AA556" s="126">
        <f>IFERROR(VLOOKUP(D556,'Monthly Deduction'!A:B,2,0),0)</f>
        <v>828.27543080156101</v>
      </c>
      <c r="AB556" s="129">
        <f t="shared" si="148"/>
        <v>2565</v>
      </c>
      <c r="AC556" s="130">
        <v>0</v>
      </c>
      <c r="AD556" s="35">
        <f t="shared" si="159"/>
        <v>2565</v>
      </c>
      <c r="AE556" s="166" t="str">
        <f t="shared" si="160"/>
        <v>Release</v>
      </c>
      <c r="AF556" s="127"/>
      <c r="AG556" s="127">
        <v>0</v>
      </c>
      <c r="AH556" s="120"/>
      <c r="AI556" s="238">
        <v>0</v>
      </c>
      <c r="AJ556" s="132"/>
      <c r="AK556" s="151">
        <v>1106.8</v>
      </c>
      <c r="AL556" s="154">
        <f t="shared" si="149"/>
        <v>0</v>
      </c>
      <c r="AM556" s="155"/>
      <c r="AN556" s="19">
        <f t="shared" si="150"/>
        <v>4117.8940000000002</v>
      </c>
      <c r="AO556" s="118">
        <f>SUMIF('MPG Payment '!E:E,'Shayak Income '!D556,'MPG Payment '!AJ:AJ)</f>
        <v>0</v>
      </c>
      <c r="AP556" s="19">
        <f t="shared" si="151"/>
        <v>4117.8940000000002</v>
      </c>
      <c r="AQ556" s="119">
        <f t="shared" si="161"/>
        <v>4117.8940000000002</v>
      </c>
      <c r="AR556" s="91"/>
      <c r="AS556" s="91">
        <f t="shared" si="152"/>
        <v>36584</v>
      </c>
      <c r="AT556" s="118"/>
      <c r="AU556" s="118"/>
      <c r="AV556" s="118"/>
    </row>
    <row r="557" spans="1:48" s="20" customFormat="1" x14ac:dyDescent="0.25">
      <c r="A557" s="17">
        <f>IFERROR(VLOOKUP(D557,'Monthly Deduction'!$I$3:$J$957,2,0),0)</f>
        <v>0</v>
      </c>
      <c r="B557" s="17">
        <f>IFERROR(VLOOKUP(D557,'Monthly Deduction'!$E$3:$F$957,2,0),0)</f>
        <v>0</v>
      </c>
      <c r="C557" s="17">
        <f t="shared" si="153"/>
        <v>0</v>
      </c>
      <c r="D557" s="41">
        <v>10540010</v>
      </c>
      <c r="E557" s="122" t="str">
        <f>VLOOKUP(D557,'MPG Payment '!$E$3:$G$497305,2,0)</f>
        <v>Vikash Kumar</v>
      </c>
      <c r="F557" s="146">
        <f>IFERROR(_xlfn.XLOOKUP(D557,'Monthly Deduction'!$I$3:$I$957,'Monthly Deduction'!$H$3:$H$957),0)</f>
        <v>0</v>
      </c>
      <c r="G557" s="123" t="str">
        <f>VLOOKUP(D557,'MPG Payment '!$E$3:$G$333666,3,0)</f>
        <v>vlc</v>
      </c>
      <c r="H557" s="124" t="str">
        <f>VLOOKUP(D557,'MPG Payment '!$E$3:$H$333666,4,0)</f>
        <v>Indirect</v>
      </c>
      <c r="I557" s="88">
        <f>INDEX('MPG Payment '!$C:$C,MATCH('Shayak Income '!D557,'MPG Payment '!E:E,0))</f>
        <v>1054</v>
      </c>
      <c r="J557" s="88" t="str">
        <f>INDEX('MPG Payment '!$D:$D,MATCH('Shayak Income '!D557,'MPG Payment '!E:E,0))</f>
        <v xml:space="preserve">Alauli </v>
      </c>
      <c r="K557" s="125" t="s">
        <v>1594</v>
      </c>
      <c r="L557" s="125">
        <v>45832</v>
      </c>
      <c r="M557" s="126">
        <f>SUMIF('MPG Payment '!$E$3:$E$344841,'Shayak Income '!D557,'MPG Payment '!$I$3:$I$344841)</f>
        <v>8189.4000000000005</v>
      </c>
      <c r="N557" s="126">
        <f>SUMIF('MPG Payment '!$E$3:$E$344841,'Shayak Income '!D557,'MPG Payment '!$J$3:$J$344841)</f>
        <v>345090.41000000003</v>
      </c>
      <c r="O557" s="126">
        <f t="shared" si="154"/>
        <v>6142.05</v>
      </c>
      <c r="P557" s="126">
        <f t="shared" si="155"/>
        <v>7779.93</v>
      </c>
      <c r="Q557" s="126">
        <f>SUMIF('MPG Payment '!$E$3:$E$344841,'Shayak Income '!D557,'MPG Payment '!$S$3:$S$344841)</f>
        <v>0</v>
      </c>
      <c r="R557" s="126">
        <f t="shared" si="145"/>
        <v>10352.712300000001</v>
      </c>
      <c r="S557" s="126">
        <f t="shared" si="146"/>
        <v>2572.7823000000008</v>
      </c>
      <c r="T557" s="126">
        <f t="shared" si="156"/>
        <v>818.94</v>
      </c>
      <c r="U557" s="127">
        <f>((((((IF(K557="New",0,SUMIF('MPG Payment '!$E$3:$E$344841,'Shayak Income '!D557,'MPG Payment '!$AC$3:$AC$344841))))+0)+0)+0)+0)+0</f>
        <v>0</v>
      </c>
      <c r="V557" s="127">
        <f t="shared" si="157"/>
        <v>13103</v>
      </c>
      <c r="W557" s="19">
        <f t="shared" si="158"/>
        <v>0</v>
      </c>
      <c r="X557" s="19">
        <f t="shared" si="147"/>
        <v>0</v>
      </c>
      <c r="Y557" s="128">
        <f>IFERROR(VLOOKUP(D557,'Monthly Deduction'!$M$2:$N$640,2,0),0)</f>
        <v>0</v>
      </c>
      <c r="Z557" s="128">
        <v>0</v>
      </c>
      <c r="AA557" s="126">
        <f>IFERROR(VLOOKUP(D557,'Monthly Deduction'!A:B,2,0),0)</f>
        <v>0</v>
      </c>
      <c r="AB557" s="129">
        <f t="shared" si="148"/>
        <v>13103</v>
      </c>
      <c r="AC557" s="130">
        <v>0</v>
      </c>
      <c r="AD557" s="35">
        <f t="shared" si="159"/>
        <v>13103</v>
      </c>
      <c r="AE557" s="166" t="str">
        <f t="shared" si="160"/>
        <v>Release</v>
      </c>
      <c r="AF557" s="127"/>
      <c r="AG557" s="18">
        <v>0</v>
      </c>
      <c r="AH557" s="120"/>
      <c r="AI557" s="238">
        <v>0</v>
      </c>
      <c r="AJ557" s="132"/>
      <c r="AK557" s="151">
        <v>1593.5</v>
      </c>
      <c r="AL557" s="154">
        <f t="shared" si="149"/>
        <v>0</v>
      </c>
      <c r="AM557" s="155"/>
      <c r="AN557" s="19">
        <f t="shared" si="150"/>
        <v>0</v>
      </c>
      <c r="AO557" s="118">
        <f>SUMIF('MPG Payment '!E:E,'Shayak Income '!D557,'MPG Payment '!AJ:AJ)</f>
        <v>0</v>
      </c>
      <c r="AP557" s="19">
        <f t="shared" si="151"/>
        <v>0</v>
      </c>
      <c r="AQ557" s="119">
        <f t="shared" si="161"/>
        <v>0</v>
      </c>
      <c r="AR557" s="91" t="s">
        <v>1144</v>
      </c>
      <c r="AS557" s="91">
        <f t="shared" si="152"/>
        <v>0</v>
      </c>
      <c r="AT557" s="118"/>
      <c r="AU557" s="118"/>
      <c r="AV557" s="118"/>
    </row>
    <row r="558" spans="1:48" s="20" customFormat="1" x14ac:dyDescent="0.25">
      <c r="A558" s="17">
        <f>IFERROR(VLOOKUP(D558,'Monthly Deduction'!$I$3:$J$957,2,0),0)</f>
        <v>0</v>
      </c>
      <c r="B558" s="17">
        <f>IFERROR(VLOOKUP(D558,'Monthly Deduction'!$E$3:$F$957,2,0),0)</f>
        <v>0</v>
      </c>
      <c r="C558" s="17">
        <f t="shared" si="153"/>
        <v>0</v>
      </c>
      <c r="D558" s="41">
        <v>10540012</v>
      </c>
      <c r="E558" s="122" t="str">
        <f>VLOOKUP(D558,'MPG Payment '!$E$3:$G$497305,2,0)</f>
        <v>Rajkishore Yadav</v>
      </c>
      <c r="F558" s="146">
        <f>IFERROR(_xlfn.XLOOKUP(D558,'Monthly Deduction'!$I$3:$I$957,'Monthly Deduction'!$H$3:$H$957),0)</f>
        <v>0</v>
      </c>
      <c r="G558" s="123" t="str">
        <f>VLOOKUP(D558,'MPG Payment '!$E$3:$G$333666,3,0)</f>
        <v>vlc</v>
      </c>
      <c r="H558" s="124" t="str">
        <f>VLOOKUP(D558,'MPG Payment '!$E$3:$H$333666,4,0)</f>
        <v>Indirect</v>
      </c>
      <c r="I558" s="88">
        <f>INDEX('MPG Payment '!$C:$C,MATCH('Shayak Income '!D558,'MPG Payment '!E:E,0))</f>
        <v>1054</v>
      </c>
      <c r="J558" s="88" t="str">
        <f>INDEX('MPG Payment '!$D:$D,MATCH('Shayak Income '!D558,'MPG Payment '!E:E,0))</f>
        <v xml:space="preserve">Alauli </v>
      </c>
      <c r="K558" s="125" t="s">
        <v>1594</v>
      </c>
      <c r="L558" s="125">
        <v>45829</v>
      </c>
      <c r="M558" s="126">
        <f>SUMIF('MPG Payment '!$E$3:$E$344841,'Shayak Income '!D558,'MPG Payment '!$I$3:$I$344841)</f>
        <v>1149.9000000000001</v>
      </c>
      <c r="N558" s="126">
        <f>SUMIF('MPG Payment '!$E$3:$E$344841,'Shayak Income '!D558,'MPG Payment '!$J$3:$J$344841)</f>
        <v>41105.120000000003</v>
      </c>
      <c r="O558" s="126">
        <f t="shared" si="154"/>
        <v>862.42500000000007</v>
      </c>
      <c r="P558" s="126">
        <f t="shared" si="155"/>
        <v>1092.405</v>
      </c>
      <c r="Q558" s="126">
        <f>SUMIF('MPG Payment '!$E$3:$E$344841,'Shayak Income '!D558,'MPG Payment '!$S$3:$S$344841)</f>
        <v>0</v>
      </c>
      <c r="R558" s="126">
        <f t="shared" si="145"/>
        <v>1233.1536000000001</v>
      </c>
      <c r="S558" s="126">
        <f t="shared" si="146"/>
        <v>140.74860000000012</v>
      </c>
      <c r="T558" s="126">
        <f t="shared" si="156"/>
        <v>114.99000000000001</v>
      </c>
      <c r="U558" s="127">
        <f>((((((IF(K558="New",0,SUMIF('MPG Payment '!$E$3:$E$344841,'Shayak Income '!D558,'MPG Payment '!$AC$3:$AC$344841))))+0)+0)+0)+0)+0</f>
        <v>1189.5412040102638</v>
      </c>
      <c r="V558" s="127">
        <f t="shared" si="157"/>
        <v>650</v>
      </c>
      <c r="W558" s="19">
        <f t="shared" si="158"/>
        <v>0</v>
      </c>
      <c r="X558" s="19">
        <f t="shared" si="147"/>
        <v>0</v>
      </c>
      <c r="Y558" s="128">
        <f>IFERROR(VLOOKUP(D558,'Monthly Deduction'!$M$2:$N$640,2,0),0)</f>
        <v>0</v>
      </c>
      <c r="Z558" s="128">
        <v>0</v>
      </c>
      <c r="AA558" s="126">
        <f>IFERROR(VLOOKUP(D558,'Monthly Deduction'!A:B,2,0),0)</f>
        <v>0</v>
      </c>
      <c r="AB558" s="129">
        <f t="shared" si="148"/>
        <v>650</v>
      </c>
      <c r="AC558" s="130">
        <v>0</v>
      </c>
      <c r="AD558" s="35">
        <f t="shared" si="159"/>
        <v>650</v>
      </c>
      <c r="AE558" s="166" t="str">
        <f t="shared" si="160"/>
        <v>Release</v>
      </c>
      <c r="AF558" s="127"/>
      <c r="AG558" s="18">
        <v>0</v>
      </c>
      <c r="AH558" s="120"/>
      <c r="AI558" s="238">
        <v>0</v>
      </c>
      <c r="AJ558" s="132"/>
      <c r="AK558" s="151">
        <v>310.80000000000007</v>
      </c>
      <c r="AL558" s="154">
        <f t="shared" si="149"/>
        <v>0</v>
      </c>
      <c r="AM558" s="155"/>
      <c r="AN558" s="19">
        <f t="shared" si="150"/>
        <v>0</v>
      </c>
      <c r="AO558" s="118">
        <f>SUMIF('MPG Payment '!E:E,'Shayak Income '!D558,'MPG Payment '!AJ:AJ)</f>
        <v>0</v>
      </c>
      <c r="AP558" s="19">
        <f t="shared" si="151"/>
        <v>0</v>
      </c>
      <c r="AQ558" s="119">
        <f t="shared" si="161"/>
        <v>0</v>
      </c>
      <c r="AR558" s="91" t="s">
        <v>1144</v>
      </c>
      <c r="AS558" s="91">
        <f t="shared" si="152"/>
        <v>0</v>
      </c>
      <c r="AT558" s="118"/>
      <c r="AU558" s="118"/>
      <c r="AV558" s="118"/>
    </row>
    <row r="559" spans="1:48" s="20" customFormat="1" x14ac:dyDescent="0.25">
      <c r="A559" s="17">
        <f>IFERROR(VLOOKUP(D559,'Monthly Deduction'!$I$3:$J$957,2,0),0)</f>
        <v>0</v>
      </c>
      <c r="B559" s="17">
        <f>IFERROR(VLOOKUP(D559,'Monthly Deduction'!$E$3:$F$957,2,0),0)</f>
        <v>0</v>
      </c>
      <c r="C559" s="17">
        <f t="shared" si="153"/>
        <v>0</v>
      </c>
      <c r="D559" s="41">
        <v>10540014</v>
      </c>
      <c r="E559" s="122" t="str">
        <f>VLOOKUP(D559,'MPG Payment '!$E$3:$G$497305,2,0)</f>
        <v>BHADAS VLC</v>
      </c>
      <c r="F559" s="146">
        <f>IFERROR(_xlfn.XLOOKUP(D559,'Monthly Deduction'!$I$3:$I$957,'Monthly Deduction'!$H$3:$H$957),0)</f>
        <v>0</v>
      </c>
      <c r="G559" s="123" t="str">
        <f>VLOOKUP(D559,'MPG Payment '!$E$3:$G$333666,3,0)</f>
        <v>vlc</v>
      </c>
      <c r="H559" s="124" t="str">
        <f>VLOOKUP(D559,'MPG Payment '!$E$3:$H$333666,4,0)</f>
        <v>Indirect</v>
      </c>
      <c r="I559" s="88">
        <f>INDEX('MPG Payment '!$C:$C,MATCH('Shayak Income '!D559,'MPG Payment '!E:E,0))</f>
        <v>1054</v>
      </c>
      <c r="J559" s="88" t="str">
        <f>INDEX('MPG Payment '!$D:$D,MATCH('Shayak Income '!D559,'MPG Payment '!E:E,0))</f>
        <v xml:space="preserve">Alauli </v>
      </c>
      <c r="K559" s="125" t="s">
        <v>1594</v>
      </c>
      <c r="L559" s="125">
        <v>45849</v>
      </c>
      <c r="M559" s="126">
        <f>SUMIF('MPG Payment '!$E$3:$E$344841,'Shayak Income '!D559,'MPG Payment '!$I$3:$I$344841)</f>
        <v>230.1</v>
      </c>
      <c r="N559" s="126">
        <f>SUMIF('MPG Payment '!$E$3:$E$344841,'Shayak Income '!D559,'MPG Payment '!$J$3:$J$344841)</f>
        <v>12016.809999999998</v>
      </c>
      <c r="O559" s="126">
        <f t="shared" si="154"/>
        <v>172.57499999999999</v>
      </c>
      <c r="P559" s="126">
        <f t="shared" si="155"/>
        <v>218.59499999999997</v>
      </c>
      <c r="Q559" s="126">
        <f>SUMIF('MPG Payment '!$E$3:$E$344841,'Shayak Income '!D559,'MPG Payment '!$S$3:$S$344841)</f>
        <v>0</v>
      </c>
      <c r="R559" s="126">
        <f t="shared" si="145"/>
        <v>360.50429999999994</v>
      </c>
      <c r="S559" s="126">
        <f t="shared" si="146"/>
        <v>141.90929999999997</v>
      </c>
      <c r="T559" s="126">
        <f t="shared" si="156"/>
        <v>23.01</v>
      </c>
      <c r="U559" s="127">
        <f>((((((IF(K559="New",0,SUMIF('MPG Payment '!$E$3:$E$344841,'Shayak Income '!D559,'MPG Payment '!$AC$3:$AC$344841))))+0)+0)+0)+0)+-2326</f>
        <v>367.74384037029813</v>
      </c>
      <c r="V559" s="127">
        <f t="shared" si="157"/>
        <v>0</v>
      </c>
      <c r="W559" s="19">
        <v>0</v>
      </c>
      <c r="X559" s="19">
        <v>0</v>
      </c>
      <c r="Y559" s="128">
        <v>0</v>
      </c>
      <c r="Z559" s="128">
        <v>0</v>
      </c>
      <c r="AA559" s="126">
        <v>0</v>
      </c>
      <c r="AB559" s="129">
        <f t="shared" si="148"/>
        <v>0</v>
      </c>
      <c r="AC559" s="130">
        <v>0</v>
      </c>
      <c r="AD559" s="35">
        <f t="shared" si="159"/>
        <v>0</v>
      </c>
      <c r="AE559" s="166" t="str">
        <f t="shared" si="160"/>
        <v>Release</v>
      </c>
      <c r="AF559" s="127"/>
      <c r="AG559" s="127">
        <v>0</v>
      </c>
      <c r="AH559" s="120"/>
      <c r="AI559" s="238">
        <v>0</v>
      </c>
      <c r="AJ559" s="132"/>
      <c r="AK559" s="151">
        <v>13.100000000000001</v>
      </c>
      <c r="AL559" s="154">
        <f t="shared" si="149"/>
        <v>0</v>
      </c>
      <c r="AM559" s="155"/>
      <c r="AN559" s="19">
        <f t="shared" si="150"/>
        <v>0</v>
      </c>
      <c r="AO559" s="118">
        <f>SUMIF('MPG Payment '!E:E,'Shayak Income '!D559,'MPG Payment '!AJ:AJ)</f>
        <v>0</v>
      </c>
      <c r="AP559" s="19">
        <f t="shared" si="151"/>
        <v>0</v>
      </c>
      <c r="AQ559" s="119">
        <f t="shared" si="161"/>
        <v>0</v>
      </c>
      <c r="AR559" s="91" t="s">
        <v>1144</v>
      </c>
      <c r="AS559" s="91">
        <f t="shared" si="152"/>
        <v>0</v>
      </c>
      <c r="AT559" s="118"/>
      <c r="AU559" s="118"/>
      <c r="AV559" s="118"/>
    </row>
    <row r="560" spans="1:48" s="20" customFormat="1" x14ac:dyDescent="0.25">
      <c r="A560" s="17">
        <f>IFERROR(VLOOKUP(D560,'Monthly Deduction'!$I$3:$J$957,2,0),0)</f>
        <v>71787.193244226044</v>
      </c>
      <c r="B560" s="17">
        <f>IFERROR(VLOOKUP(D560,'Monthly Deduction'!$E$3:$F$957,2,0),0)</f>
        <v>12075</v>
      </c>
      <c r="C560" s="17">
        <f t="shared" si="153"/>
        <v>83862.193244226044</v>
      </c>
      <c r="D560" s="41">
        <v>10540016</v>
      </c>
      <c r="E560" s="122" t="str">
        <f>VLOOKUP(D560,'MPG Payment '!$E$3:$G$497305,2,0)</f>
        <v>GOMUKH BENHER</v>
      </c>
      <c r="F560" s="146">
        <f>IFERROR(_xlfn.XLOOKUP(D560,'Monthly Deduction'!$I$3:$I$957,'Monthly Deduction'!$H$3:$H$957),0)</f>
        <v>0</v>
      </c>
      <c r="G560" s="123" t="str">
        <f>VLOOKUP(D560,'MPG Payment '!$E$3:$G$333666,3,0)</f>
        <v>MPG</v>
      </c>
      <c r="H560" s="124" t="str">
        <f>VLOOKUP(D560,'MPG Payment '!$E$3:$H$333666,4,0)</f>
        <v>Direct</v>
      </c>
      <c r="I560" s="88">
        <f>INDEX('MPG Payment '!$C:$C,MATCH('Shayak Income '!D560,'MPG Payment '!E:E,0))</f>
        <v>1054</v>
      </c>
      <c r="J560" s="88" t="str">
        <f>INDEX('MPG Payment '!$D:$D,MATCH('Shayak Income '!D560,'MPG Payment '!E:E,0))</f>
        <v xml:space="preserve">Alauli </v>
      </c>
      <c r="K560" s="125" t="s">
        <v>1594</v>
      </c>
      <c r="L560" s="125">
        <v>45869</v>
      </c>
      <c r="M560" s="126">
        <f>SUMIF('MPG Payment '!$E$3:$E$344841,'Shayak Income '!D560,'MPG Payment '!$I$3:$I$344841)</f>
        <v>1798</v>
      </c>
      <c r="N560" s="126">
        <f>SUMIF('MPG Payment '!$E$3:$E$344841,'Shayak Income '!D560,'MPG Payment '!$J$3:$J$344841)</f>
        <v>98022.920000000013</v>
      </c>
      <c r="O560" s="126">
        <f t="shared" si="154"/>
        <v>1348.5</v>
      </c>
      <c r="P560" s="126">
        <f t="shared" si="155"/>
        <v>1708.1</v>
      </c>
      <c r="Q560" s="126">
        <f>SUMIF('MPG Payment '!$E$3:$E$344841,'Shayak Income '!D560,'MPG Payment '!$S$3:$S$344841)</f>
        <v>335.28</v>
      </c>
      <c r="R560" s="126">
        <f t="shared" si="145"/>
        <v>2940.6876000000002</v>
      </c>
      <c r="S560" s="126">
        <f t="shared" si="146"/>
        <v>1232.5876000000003</v>
      </c>
      <c r="T560" s="126">
        <f t="shared" si="156"/>
        <v>179.8</v>
      </c>
      <c r="U560" s="127">
        <f>((((((IF(K560="New",0,SUMIF('MPG Payment '!$E$3:$E$344841,'Shayak Income '!D560,'MPG Payment '!$AC$3:$AC$344841))))+0)+0)+0)+0)+0</f>
        <v>1094.458860227822</v>
      </c>
      <c r="V560" s="127">
        <f t="shared" si="157"/>
        <v>2118</v>
      </c>
      <c r="W560" s="19">
        <f t="shared" si="158"/>
        <v>1960.4584000000002</v>
      </c>
      <c r="X560" s="19">
        <v>0</v>
      </c>
      <c r="Y560" s="128">
        <f>IFERROR(VLOOKUP(D560,'Monthly Deduction'!$M$2:$N$640,2,0),0)</f>
        <v>0</v>
      </c>
      <c r="Z560" s="128">
        <v>0</v>
      </c>
      <c r="AA560" s="126">
        <v>158</v>
      </c>
      <c r="AB560" s="129">
        <f t="shared" si="148"/>
        <v>0</v>
      </c>
      <c r="AC560" s="130">
        <v>0</v>
      </c>
      <c r="AD560" s="35">
        <f t="shared" si="159"/>
        <v>0</v>
      </c>
      <c r="AE560" s="166" t="str">
        <f t="shared" si="160"/>
        <v>Release</v>
      </c>
      <c r="AF560" s="127"/>
      <c r="AG560" s="18">
        <v>0</v>
      </c>
      <c r="AH560" s="120"/>
      <c r="AI560" s="238">
        <v>0</v>
      </c>
      <c r="AJ560" s="132"/>
      <c r="AK560" s="151">
        <v>533.20000000000005</v>
      </c>
      <c r="AL560" s="154">
        <f t="shared" si="149"/>
        <v>0</v>
      </c>
      <c r="AM560" s="155"/>
      <c r="AN560" s="19">
        <f t="shared" si="150"/>
        <v>1960.4584000000002</v>
      </c>
      <c r="AO560" s="118">
        <f>SUMIF('MPG Payment '!E:E,'Shayak Income '!D560,'MPG Payment '!AJ:AJ)</f>
        <v>0</v>
      </c>
      <c r="AP560" s="19">
        <f t="shared" si="151"/>
        <v>1960.4584000000002</v>
      </c>
      <c r="AQ560" s="119">
        <f t="shared" si="161"/>
        <v>1960.4584000000002</v>
      </c>
      <c r="AR560" s="91"/>
      <c r="AS560" s="91">
        <f t="shared" si="152"/>
        <v>12075</v>
      </c>
      <c r="AT560" s="118"/>
      <c r="AU560" s="118"/>
      <c r="AV560" s="118"/>
    </row>
    <row r="561" spans="1:48" s="20" customFormat="1" x14ac:dyDescent="0.25">
      <c r="A561" s="17">
        <f>IFERROR(VLOOKUP(D561,'Monthly Deduction'!$I$3:$J$957,2,0),0)</f>
        <v>69902.134408168262</v>
      </c>
      <c r="B561" s="17">
        <f>IFERROR(VLOOKUP(D561,'Monthly Deduction'!$E$3:$F$957,2,0),0)</f>
        <v>10691</v>
      </c>
      <c r="C561" s="17">
        <f t="shared" si="153"/>
        <v>80593.134408168262</v>
      </c>
      <c r="D561" s="41">
        <v>10540017</v>
      </c>
      <c r="E561" s="122" t="str">
        <f>VLOOKUP(D561,'MPG Payment '!$E$3:$G$497305,2,0)</f>
        <v>GOMUKH LADORA</v>
      </c>
      <c r="F561" s="146">
        <f>IFERROR(_xlfn.XLOOKUP(D561,'Monthly Deduction'!$I$3:$I$957,'Monthly Deduction'!$H$3:$H$957),0)</f>
        <v>0</v>
      </c>
      <c r="G561" s="123" t="str">
        <f>VLOOKUP(D561,'MPG Payment '!$E$3:$G$333666,3,0)</f>
        <v>MPG</v>
      </c>
      <c r="H561" s="124" t="str">
        <f>VLOOKUP(D561,'MPG Payment '!$E$3:$H$333666,4,0)</f>
        <v>Direct</v>
      </c>
      <c r="I561" s="88">
        <f>INDEX('MPG Payment '!$C:$C,MATCH('Shayak Income '!D561,'MPG Payment '!E:E,0))</f>
        <v>1054</v>
      </c>
      <c r="J561" s="88" t="str">
        <f>INDEX('MPG Payment '!$D:$D,MATCH('Shayak Income '!D561,'MPG Payment '!E:E,0))</f>
        <v xml:space="preserve">Alauli </v>
      </c>
      <c r="K561" s="125" t="s">
        <v>1594</v>
      </c>
      <c r="L561" s="125">
        <v>45869</v>
      </c>
      <c r="M561" s="126">
        <f>SUMIF('MPG Payment '!$E$3:$E$344841,'Shayak Income '!D561,'MPG Payment '!$I$3:$I$344841)</f>
        <v>2978.7000000000003</v>
      </c>
      <c r="N561" s="126">
        <f>SUMIF('MPG Payment '!$E$3:$E$344841,'Shayak Income '!D561,'MPG Payment '!$J$3:$J$344841)</f>
        <v>116031.23</v>
      </c>
      <c r="O561" s="126">
        <f t="shared" si="154"/>
        <v>2234.0250000000001</v>
      </c>
      <c r="P561" s="126">
        <f t="shared" si="155"/>
        <v>2829.7650000000003</v>
      </c>
      <c r="Q561" s="126">
        <f>SUMIF('MPG Payment '!$E$3:$E$344841,'Shayak Income '!D561,'MPG Payment '!$S$3:$S$344841)</f>
        <v>0</v>
      </c>
      <c r="R561" s="126">
        <f t="shared" si="145"/>
        <v>3480.9368999999997</v>
      </c>
      <c r="S561" s="126">
        <f t="shared" si="146"/>
        <v>651.17189999999937</v>
      </c>
      <c r="T561" s="126">
        <f t="shared" si="156"/>
        <v>297.87000000000006</v>
      </c>
      <c r="U561" s="127">
        <f>((((((IF(K561="New",0,SUMIF('MPG Payment '!$E$3:$E$344841,'Shayak Income '!D561,'MPG Payment '!$AC$3:$AC$344841))))+0)+0)+0)+0)+0</f>
        <v>0</v>
      </c>
      <c r="V561" s="127">
        <f t="shared" si="157"/>
        <v>4766</v>
      </c>
      <c r="W561" s="19">
        <f t="shared" si="158"/>
        <v>2320.6246000000001</v>
      </c>
      <c r="X561" s="19">
        <v>0</v>
      </c>
      <c r="Y561" s="128">
        <f>IFERROR(VLOOKUP(D561,'Monthly Deduction'!$M$2:$N$640,2,0),0)</f>
        <v>0</v>
      </c>
      <c r="Z561" s="128">
        <v>0</v>
      </c>
      <c r="AA561" s="126">
        <f>IFERROR(VLOOKUP(D561,'Monthly Deduction'!A:B,2,0),0)</f>
        <v>498.95086160312212</v>
      </c>
      <c r="AB561" s="129">
        <f t="shared" si="148"/>
        <v>1946</v>
      </c>
      <c r="AC561" s="130">
        <v>0</v>
      </c>
      <c r="AD561" s="35">
        <f t="shared" si="159"/>
        <v>1946</v>
      </c>
      <c r="AE561" s="166" t="str">
        <f t="shared" si="160"/>
        <v>Release</v>
      </c>
      <c r="AF561" s="127"/>
      <c r="AG561" s="18">
        <v>0</v>
      </c>
      <c r="AH561" s="120"/>
      <c r="AI561" s="238">
        <v>0</v>
      </c>
      <c r="AJ561" s="132"/>
      <c r="AK561" s="151">
        <v>881.09999999999991</v>
      </c>
      <c r="AL561" s="154">
        <f t="shared" si="149"/>
        <v>0</v>
      </c>
      <c r="AM561" s="155"/>
      <c r="AN561" s="19">
        <f t="shared" si="150"/>
        <v>2320.6246000000001</v>
      </c>
      <c r="AO561" s="118">
        <f>SUMIF('MPG Payment '!E:E,'Shayak Income '!D561,'MPG Payment '!AJ:AJ)</f>
        <v>0</v>
      </c>
      <c r="AP561" s="19">
        <f t="shared" si="151"/>
        <v>2320.6246000000001</v>
      </c>
      <c r="AQ561" s="119">
        <f t="shared" si="161"/>
        <v>2320.6246000000001</v>
      </c>
      <c r="AR561" s="91" t="s">
        <v>1144</v>
      </c>
      <c r="AS561" s="91">
        <f t="shared" si="152"/>
        <v>10691</v>
      </c>
      <c r="AT561" s="118"/>
      <c r="AU561" s="118"/>
      <c r="AV561" s="118"/>
    </row>
    <row r="562" spans="1:48" s="20" customFormat="1" x14ac:dyDescent="0.25">
      <c r="A562" s="17">
        <f>IFERROR(VLOOKUP(D562,'Monthly Deduction'!$I$3:$J$957,2,0),0)</f>
        <v>76500</v>
      </c>
      <c r="B562" s="17">
        <f>IFERROR(VLOOKUP(D562,'Monthly Deduction'!$E$3:$F$957,2,0),0)</f>
        <v>6400</v>
      </c>
      <c r="C562" s="17">
        <f t="shared" si="153"/>
        <v>82900</v>
      </c>
      <c r="D562" s="41">
        <v>10540018</v>
      </c>
      <c r="E562" s="122" t="str">
        <f>VLOOKUP(D562,'MPG Payment '!$E$3:$G$497305,2,0)</f>
        <v>GOMUKH SAHSI</v>
      </c>
      <c r="F562" s="146">
        <f>IFERROR(_xlfn.XLOOKUP(D562,'Monthly Deduction'!$I$3:$I$957,'Monthly Deduction'!$H$3:$H$957),0)</f>
        <v>0</v>
      </c>
      <c r="G562" s="123" t="str">
        <f>VLOOKUP(D562,'MPG Payment '!$E$3:$G$333666,3,0)</f>
        <v>MPG</v>
      </c>
      <c r="H562" s="124" t="str">
        <f>VLOOKUP(D562,'MPG Payment '!$E$3:$H$333666,4,0)</f>
        <v>Direct</v>
      </c>
      <c r="I562" s="88">
        <f>INDEX('MPG Payment '!$C:$C,MATCH('Shayak Income '!D562,'MPG Payment '!E:E,0))</f>
        <v>1054</v>
      </c>
      <c r="J562" s="88" t="str">
        <f>INDEX('MPG Payment '!$D:$D,MATCH('Shayak Income '!D562,'MPG Payment '!E:E,0))</f>
        <v xml:space="preserve">Alauli </v>
      </c>
      <c r="K562" s="125" t="s">
        <v>1594</v>
      </c>
      <c r="L562" s="125">
        <v>45869</v>
      </c>
      <c r="M562" s="126">
        <f>SUMIF('MPG Payment '!$E$3:$E$344841,'Shayak Income '!D562,'MPG Payment '!$I$3:$I$344841)</f>
        <v>1441.6000000000001</v>
      </c>
      <c r="N562" s="126">
        <f>SUMIF('MPG Payment '!$E$3:$E$344841,'Shayak Income '!D562,'MPG Payment '!$J$3:$J$344841)</f>
        <v>65627.06</v>
      </c>
      <c r="O562" s="126">
        <f t="shared" si="154"/>
        <v>1081.2</v>
      </c>
      <c r="P562" s="126">
        <f t="shared" si="155"/>
        <v>1369.52</v>
      </c>
      <c r="Q562" s="126">
        <f>SUMIF('MPG Payment '!$E$3:$E$344841,'Shayak Income '!D562,'MPG Payment '!$S$3:$S$344841)</f>
        <v>0</v>
      </c>
      <c r="R562" s="126">
        <f t="shared" si="145"/>
        <v>1968.8117999999999</v>
      </c>
      <c r="S562" s="126">
        <v>0</v>
      </c>
      <c r="T562" s="126">
        <f t="shared" si="156"/>
        <v>144.16000000000003</v>
      </c>
      <c r="U562" s="127">
        <f>((((((IF(K562="New",0,SUMIF('MPG Payment '!$E$3:$E$344841,'Shayak Income '!D562,'MPG Payment '!$AC$3:$AC$344841))))+0)+0)+0)+0)+0</f>
        <v>1234.8631740665003</v>
      </c>
      <c r="V562" s="127">
        <f t="shared" si="157"/>
        <v>1072</v>
      </c>
      <c r="W562" s="19">
        <v>0</v>
      </c>
      <c r="X562" s="19">
        <v>1072</v>
      </c>
      <c r="Y562" s="128">
        <f>IFERROR(VLOOKUP(D562,'Monthly Deduction'!$M$2:$N$640,2,0),0)</f>
        <v>0</v>
      </c>
      <c r="Z562" s="128">
        <v>0</v>
      </c>
      <c r="AA562" s="126">
        <v>0</v>
      </c>
      <c r="AB562" s="129">
        <f t="shared" si="148"/>
        <v>0</v>
      </c>
      <c r="AC562" s="130">
        <v>0</v>
      </c>
      <c r="AD562" s="35">
        <f t="shared" si="159"/>
        <v>0</v>
      </c>
      <c r="AE562" s="166" t="str">
        <f t="shared" si="160"/>
        <v>Release</v>
      </c>
      <c r="AF562" s="127"/>
      <c r="AG562" s="18">
        <v>0</v>
      </c>
      <c r="AH562" s="132"/>
      <c r="AI562" s="238">
        <v>0</v>
      </c>
      <c r="AJ562" s="132"/>
      <c r="AK562" s="151">
        <v>303.60000000000008</v>
      </c>
      <c r="AL562" s="154">
        <f t="shared" si="149"/>
        <v>0</v>
      </c>
      <c r="AM562" s="155"/>
      <c r="AN562" s="19">
        <f t="shared" si="150"/>
        <v>1861</v>
      </c>
      <c r="AO562" s="118">
        <f>SUMIF('MPG Payment '!E:E,'Shayak Income '!D562,'MPG Payment '!AJ:AJ)</f>
        <v>2000</v>
      </c>
      <c r="AP562" s="19">
        <f t="shared" si="151"/>
        <v>0</v>
      </c>
      <c r="AQ562" s="119">
        <f t="shared" si="161"/>
        <v>2000</v>
      </c>
      <c r="AR562" s="91"/>
      <c r="AS562" s="91">
        <f t="shared" si="152"/>
        <v>5328</v>
      </c>
      <c r="AT562" s="118"/>
      <c r="AU562" s="118"/>
      <c r="AV562" s="118"/>
    </row>
    <row r="563" spans="1:48" s="20" customFormat="1" x14ac:dyDescent="0.25">
      <c r="A563" s="17">
        <f>IFERROR(VLOOKUP(D563,'Monthly Deduction'!$I$3:$J$957,2,0),0)</f>
        <v>79310</v>
      </c>
      <c r="B563" s="17">
        <f>IFERROR(VLOOKUP(D563,'Monthly Deduction'!$E$3:$F$957,2,0),0)</f>
        <v>9600</v>
      </c>
      <c r="C563" s="17">
        <f t="shared" si="153"/>
        <v>88910</v>
      </c>
      <c r="D563" s="41">
        <v>10540020</v>
      </c>
      <c r="E563" s="122" t="str">
        <f>VLOOKUP(D563,'MPG Payment '!$E$3:$G$497305,2,0)</f>
        <v>GOMUKH BUDWA</v>
      </c>
      <c r="F563" s="146">
        <f>IFERROR(_xlfn.XLOOKUP(D563,'Monthly Deduction'!$I$3:$I$957,'Monthly Deduction'!$H$3:$H$957),0)</f>
        <v>0</v>
      </c>
      <c r="G563" s="123" t="str">
        <f>VLOOKUP(D563,'MPG Payment '!$E$3:$G$333666,3,0)</f>
        <v>MPG</v>
      </c>
      <c r="H563" s="124" t="str">
        <f>VLOOKUP(D563,'MPG Payment '!$E$3:$H$333666,4,0)</f>
        <v>Direct</v>
      </c>
      <c r="I563" s="88">
        <f>INDEX('MPG Payment '!$C:$C,MATCH('Shayak Income '!D563,'MPG Payment '!E:E,0))</f>
        <v>1054</v>
      </c>
      <c r="J563" s="88" t="str">
        <f>INDEX('MPG Payment '!$D:$D,MATCH('Shayak Income '!D563,'MPG Payment '!E:E,0))</f>
        <v xml:space="preserve">Alauli </v>
      </c>
      <c r="K563" s="125" t="s">
        <v>1594</v>
      </c>
      <c r="L563" s="125">
        <v>45869</v>
      </c>
      <c r="M563" s="126">
        <f>SUMIF('MPG Payment '!$E$3:$E$344841,'Shayak Income '!D563,'MPG Payment '!$I$3:$I$344841)</f>
        <v>367.8</v>
      </c>
      <c r="N563" s="126">
        <f>SUMIF('MPG Payment '!$E$3:$E$344841,'Shayak Income '!D563,'MPG Payment '!$J$3:$J$344841)</f>
        <v>14577.79</v>
      </c>
      <c r="O563" s="126">
        <f t="shared" si="154"/>
        <v>275.85000000000002</v>
      </c>
      <c r="P563" s="126">
        <f t="shared" si="155"/>
        <v>349.40999999999997</v>
      </c>
      <c r="Q563" s="126">
        <f>SUMIF('MPG Payment '!$E$3:$E$344841,'Shayak Income '!D563,'MPG Payment '!$S$3:$S$344841)</f>
        <v>0</v>
      </c>
      <c r="R563" s="126">
        <f t="shared" si="145"/>
        <v>437.33370000000002</v>
      </c>
      <c r="S563" s="126">
        <f t="shared" si="146"/>
        <v>87.923700000000053</v>
      </c>
      <c r="T563" s="126">
        <f t="shared" si="156"/>
        <v>36.78</v>
      </c>
      <c r="U563" s="127">
        <f>((((((IF(K563="New",0,SUMIF('MPG Payment '!$E$3:$E$344841,'Shayak Income '!D563,'MPG Payment '!$AC$3:$AC$344841))))+0)+0)+0)+0)+-1343</f>
        <v>588.59380035235881</v>
      </c>
      <c r="V563" s="127">
        <f t="shared" si="157"/>
        <v>0</v>
      </c>
      <c r="W563" s="19">
        <v>0</v>
      </c>
      <c r="X563" s="19">
        <v>0</v>
      </c>
      <c r="Y563" s="128">
        <v>0</v>
      </c>
      <c r="Z563" s="128">
        <v>0</v>
      </c>
      <c r="AA563" s="126">
        <v>0</v>
      </c>
      <c r="AB563" s="129">
        <f t="shared" si="148"/>
        <v>0</v>
      </c>
      <c r="AC563" s="130">
        <v>0</v>
      </c>
      <c r="AD563" s="35">
        <f t="shared" si="159"/>
        <v>0</v>
      </c>
      <c r="AE563" s="166" t="str">
        <f t="shared" si="160"/>
        <v>Release</v>
      </c>
      <c r="AF563" s="127"/>
      <c r="AG563" s="18">
        <v>0</v>
      </c>
      <c r="AH563" s="132"/>
      <c r="AI563" s="238">
        <v>0</v>
      </c>
      <c r="AJ563" s="132"/>
      <c r="AK563" s="151">
        <v>154.30000000000001</v>
      </c>
      <c r="AL563" s="154">
        <f t="shared" si="149"/>
        <v>0</v>
      </c>
      <c r="AM563" s="155"/>
      <c r="AN563" s="19">
        <f t="shared" si="150"/>
        <v>1861</v>
      </c>
      <c r="AO563" s="118">
        <f>SUMIF('MPG Payment '!E:E,'Shayak Income '!D563,'MPG Payment '!AJ:AJ)</f>
        <v>1150</v>
      </c>
      <c r="AP563" s="19">
        <f t="shared" si="151"/>
        <v>0</v>
      </c>
      <c r="AQ563" s="119">
        <f t="shared" si="161"/>
        <v>1150</v>
      </c>
      <c r="AR563" s="91" t="s">
        <v>1144</v>
      </c>
      <c r="AS563" s="91">
        <f t="shared" si="152"/>
        <v>9600</v>
      </c>
      <c r="AT563" s="118"/>
      <c r="AU563" s="118"/>
      <c r="AV563" s="118"/>
    </row>
    <row r="564" spans="1:48" s="20" customFormat="1" x14ac:dyDescent="0.25">
      <c r="A564" s="17">
        <f>IFERROR(VLOOKUP(D564,'Monthly Deduction'!$I$3:$J$957,2,0),0)</f>
        <v>0</v>
      </c>
      <c r="B564" s="17">
        <f>IFERROR(VLOOKUP(D564,'Monthly Deduction'!$E$3:$F$957,2,0),0)</f>
        <v>0</v>
      </c>
      <c r="C564" s="17">
        <f t="shared" si="153"/>
        <v>0</v>
      </c>
      <c r="D564" s="41">
        <v>10540021</v>
      </c>
      <c r="E564" s="122" t="str">
        <f>VLOOKUP(D564,'MPG Payment '!$E$3:$G$497305,2,0)</f>
        <v>GOMUKH GANGIYA</v>
      </c>
      <c r="F564" s="146">
        <f>IFERROR(_xlfn.XLOOKUP(D564,'Monthly Deduction'!$I$3:$I$957,'Monthly Deduction'!$H$3:$H$957),0)</f>
        <v>0</v>
      </c>
      <c r="G564" s="123" t="str">
        <f>VLOOKUP(D564,'MPG Payment '!$E$3:$G$333666,3,0)</f>
        <v>MPG</v>
      </c>
      <c r="H564" s="124" t="str">
        <f>VLOOKUP(D564,'MPG Payment '!$E$3:$H$333666,4,0)</f>
        <v>Indirect</v>
      </c>
      <c r="I564" s="88">
        <f>INDEX('MPG Payment '!$C:$C,MATCH('Shayak Income '!D564,'MPG Payment '!E:E,0))</f>
        <v>1054</v>
      </c>
      <c r="J564" s="88" t="str">
        <f>INDEX('MPG Payment '!$D:$D,MATCH('Shayak Income '!D564,'MPG Payment '!E:E,0))</f>
        <v xml:space="preserve">Alauli </v>
      </c>
      <c r="K564" s="125" t="s">
        <v>1594</v>
      </c>
      <c r="L564" s="125">
        <v>45869</v>
      </c>
      <c r="M564" s="126">
        <f>SUMIF('MPG Payment '!$E$3:$E$344841,'Shayak Income '!D564,'MPG Payment '!$I$3:$I$344841)</f>
        <v>2912.8999999999996</v>
      </c>
      <c r="N564" s="126">
        <f>SUMIF('MPG Payment '!$E$3:$E$344841,'Shayak Income '!D564,'MPG Payment '!$J$3:$J$344841)</f>
        <v>99659.32</v>
      </c>
      <c r="O564" s="126">
        <f t="shared" si="154"/>
        <v>2184.6749999999997</v>
      </c>
      <c r="P564" s="126">
        <f t="shared" si="155"/>
        <v>2767.2549999999997</v>
      </c>
      <c r="Q564" s="126">
        <f>SUMIF('MPG Payment '!$E$3:$E$344841,'Shayak Income '!D564,'MPG Payment '!$S$3:$S$344841)</f>
        <v>0</v>
      </c>
      <c r="R564" s="126">
        <f t="shared" si="145"/>
        <v>2989.7796000000003</v>
      </c>
      <c r="S564" s="126">
        <f t="shared" si="146"/>
        <v>222.52460000000065</v>
      </c>
      <c r="T564" s="126">
        <f t="shared" si="156"/>
        <v>291.28999999999996</v>
      </c>
      <c r="U564" s="127">
        <f>((((((IF(K564="New",0,SUMIF('MPG Payment '!$E$3:$E$344841,'Shayak Income '!D564,'MPG Payment '!$AC$3:$AC$344841))))+0)+0)+0)+0)+0</f>
        <v>7.5121333720254757</v>
      </c>
      <c r="V564" s="127">
        <f t="shared" si="157"/>
        <v>4653</v>
      </c>
      <c r="W564" s="19">
        <f t="shared" si="158"/>
        <v>0</v>
      </c>
      <c r="X564" s="19">
        <f t="shared" si="147"/>
        <v>0</v>
      </c>
      <c r="Y564" s="128">
        <f>IFERROR(VLOOKUP(D564,'Monthly Deduction'!$M$2:$N$640,2,0),0)</f>
        <v>0</v>
      </c>
      <c r="Z564" s="128">
        <v>0</v>
      </c>
      <c r="AA564" s="126">
        <f>IFERROR(VLOOKUP(D564,'Monthly Deduction'!A:B,2,0),0)</f>
        <v>0</v>
      </c>
      <c r="AB564" s="129">
        <f t="shared" si="148"/>
        <v>4653</v>
      </c>
      <c r="AC564" s="130">
        <v>0</v>
      </c>
      <c r="AD564" s="35">
        <f t="shared" si="159"/>
        <v>4653</v>
      </c>
      <c r="AE564" s="166" t="str">
        <f t="shared" si="160"/>
        <v>Release</v>
      </c>
      <c r="AF564" s="127"/>
      <c r="AG564" s="18">
        <v>0</v>
      </c>
      <c r="AH564" s="185"/>
      <c r="AI564" s="238">
        <v>0</v>
      </c>
      <c r="AJ564" s="132"/>
      <c r="AK564" s="151">
        <v>398.3</v>
      </c>
      <c r="AL564" s="154">
        <f t="shared" si="149"/>
        <v>0</v>
      </c>
      <c r="AM564" s="155"/>
      <c r="AN564" s="19">
        <f t="shared" si="150"/>
        <v>0</v>
      </c>
      <c r="AO564" s="118">
        <f>SUMIF('MPG Payment '!E:E,'Shayak Income '!D564,'MPG Payment '!AJ:AJ)</f>
        <v>0</v>
      </c>
      <c r="AP564" s="19">
        <f t="shared" si="151"/>
        <v>0</v>
      </c>
      <c r="AQ564" s="119">
        <f t="shared" si="161"/>
        <v>0</v>
      </c>
      <c r="AR564" s="91" t="s">
        <v>1144</v>
      </c>
      <c r="AS564" s="91">
        <f t="shared" si="152"/>
        <v>0</v>
      </c>
      <c r="AT564" s="118"/>
      <c r="AU564" s="118"/>
      <c r="AV564" s="118"/>
    </row>
    <row r="565" spans="1:48" s="20" customFormat="1" x14ac:dyDescent="0.25">
      <c r="A565" s="17">
        <f>IFERROR(VLOOKUP(D565,'Monthly Deduction'!$I$3:$J$957,2,0),0)</f>
        <v>0</v>
      </c>
      <c r="B565" s="17">
        <f>IFERROR(VLOOKUP(D565,'Monthly Deduction'!$E$3:$F$957,2,0),0)</f>
        <v>0</v>
      </c>
      <c r="C565" s="17">
        <f t="shared" si="153"/>
        <v>0</v>
      </c>
      <c r="D565" s="41">
        <v>10560001</v>
      </c>
      <c r="E565" s="122" t="str">
        <f>VLOOKUP(D565,'MPG Payment '!$E$3:$G$497305,2,0)</f>
        <v>Gomukh Chautham(Mithun Kumar VLC)</v>
      </c>
      <c r="F565" s="146">
        <f>IFERROR(_xlfn.XLOOKUP(D565,'Monthly Deduction'!$I$3:$I$957,'Monthly Deduction'!$H$3:$H$957),0)</f>
        <v>0</v>
      </c>
      <c r="G565" s="123" t="str">
        <f>VLOOKUP(D565,'MPG Payment '!$E$3:$G$333666,3,0)</f>
        <v>vlc</v>
      </c>
      <c r="H565" s="124" t="str">
        <f>VLOOKUP(D565,'MPG Payment '!$E$3:$H$333666,4,0)</f>
        <v>Indirect</v>
      </c>
      <c r="I565" s="88">
        <f>INDEX('MPG Payment '!$C:$C,MATCH('Shayak Income '!D565,'MPG Payment '!E:E,0))</f>
        <v>1056</v>
      </c>
      <c r="J565" s="88" t="str">
        <f>INDEX('MPG Payment '!$D:$D,MATCH('Shayak Income '!D565,'MPG Payment '!E:E,0))</f>
        <v>Chautham</v>
      </c>
      <c r="K565" s="125" t="s">
        <v>1594</v>
      </c>
      <c r="L565" s="125">
        <v>45828</v>
      </c>
      <c r="M565" s="126">
        <f>SUMIF('MPG Payment '!$E$3:$E$344841,'Shayak Income '!D565,'MPG Payment '!$I$3:$I$344841)</f>
        <v>5949.26</v>
      </c>
      <c r="N565" s="126">
        <f>SUMIF('MPG Payment '!$E$3:$E$344841,'Shayak Income '!D565,'MPG Payment '!$J$3:$J$344841)</f>
        <v>235083.58</v>
      </c>
      <c r="O565" s="126">
        <f t="shared" si="154"/>
        <v>4461.9449999999997</v>
      </c>
      <c r="P565" s="126">
        <f t="shared" si="155"/>
        <v>5651.7969999999996</v>
      </c>
      <c r="Q565" s="126">
        <f>SUMIF('MPG Payment '!$E$3:$E$344841,'Shayak Income '!D565,'MPG Payment '!$S$3:$S$344841)</f>
        <v>0</v>
      </c>
      <c r="R565" s="126">
        <f t="shared" si="145"/>
        <v>7052.5073999999995</v>
      </c>
      <c r="S565" s="126">
        <f t="shared" si="146"/>
        <v>1400.7103999999999</v>
      </c>
      <c r="T565" s="126">
        <f t="shared" si="156"/>
        <v>594.92600000000004</v>
      </c>
      <c r="U565" s="127">
        <f>((((((IF(K565="New",0,SUMIF('MPG Payment '!$E$3:$E$344841,'Shayak Income '!D565,'MPG Payment '!$AC$3:$AC$344841))))+0)+0)+0)+0)+0</f>
        <v>97.325471472921734</v>
      </c>
      <c r="V565" s="127">
        <f t="shared" si="157"/>
        <v>9421</v>
      </c>
      <c r="W565" s="19">
        <f t="shared" si="158"/>
        <v>0</v>
      </c>
      <c r="X565" s="19">
        <f t="shared" si="147"/>
        <v>0</v>
      </c>
      <c r="Y565" s="128">
        <f>IFERROR(VLOOKUP(D565,'Monthly Deduction'!$M$2:$N$640,2,0),0)</f>
        <v>0</v>
      </c>
      <c r="Z565" s="128">
        <v>0</v>
      </c>
      <c r="AA565" s="126">
        <f>IFERROR(VLOOKUP(D565,'Monthly Deduction'!A:B,2,0),0)</f>
        <v>5180.9389331355478</v>
      </c>
      <c r="AB565" s="129">
        <f t="shared" si="148"/>
        <v>4240</v>
      </c>
      <c r="AC565" s="130">
        <v>0</v>
      </c>
      <c r="AD565" s="35">
        <f t="shared" si="159"/>
        <v>4240</v>
      </c>
      <c r="AE565" s="166" t="str">
        <f t="shared" si="160"/>
        <v>Release</v>
      </c>
      <c r="AF565" s="127"/>
      <c r="AG565" s="18">
        <v>0</v>
      </c>
      <c r="AH565" s="120"/>
      <c r="AI565" s="238">
        <v>0</v>
      </c>
      <c r="AJ565" s="132"/>
      <c r="AK565" s="151">
        <v>1117.7</v>
      </c>
      <c r="AL565" s="154">
        <f t="shared" si="149"/>
        <v>0</v>
      </c>
      <c r="AM565" s="155"/>
      <c r="AN565" s="19">
        <f t="shared" si="150"/>
        <v>0</v>
      </c>
      <c r="AO565" s="118">
        <f>SUMIF('MPG Payment '!E:E,'Shayak Income '!D565,'MPG Payment '!AJ:AJ)</f>
        <v>0</v>
      </c>
      <c r="AP565" s="19">
        <f t="shared" si="151"/>
        <v>0</v>
      </c>
      <c r="AQ565" s="119">
        <f t="shared" si="161"/>
        <v>0</v>
      </c>
      <c r="AR565" s="91" t="s">
        <v>1144</v>
      </c>
      <c r="AS565" s="91">
        <f t="shared" si="152"/>
        <v>0</v>
      </c>
      <c r="AT565" s="118"/>
      <c r="AU565" s="118"/>
      <c r="AV565" s="118"/>
    </row>
    <row r="566" spans="1:48" s="20" customFormat="1" x14ac:dyDescent="0.25">
      <c r="A566" s="17">
        <f>IFERROR(VLOOKUP(D566,'Monthly Deduction'!$I$3:$J$957,2,0),0)</f>
        <v>75763.269182993259</v>
      </c>
      <c r="B566" s="17">
        <f>IFERROR(VLOOKUP(D566,'Monthly Deduction'!$E$3:$F$957,2,0),0)</f>
        <v>0</v>
      </c>
      <c r="C566" s="17">
        <f t="shared" si="153"/>
        <v>75763.269182993259</v>
      </c>
      <c r="D566" s="41">
        <v>10560002</v>
      </c>
      <c r="E566" s="122" t="str">
        <f>VLOOKUP(D566,'MPG Payment '!$E$3:$G$497305,2,0)</f>
        <v>Gomukh Pansalwa</v>
      </c>
      <c r="F566" s="146">
        <f>IFERROR(_xlfn.XLOOKUP(D566,'Monthly Deduction'!$I$3:$I$957,'Monthly Deduction'!$H$3:$H$957),0)</f>
        <v>0</v>
      </c>
      <c r="G566" s="123" t="str">
        <f>VLOOKUP(D566,'MPG Payment '!$E$3:$G$333666,3,0)</f>
        <v>vlc</v>
      </c>
      <c r="H566" s="124" t="str">
        <f>VLOOKUP(D566,'MPG Payment '!$E$3:$H$333666,4,0)</f>
        <v>Indirect</v>
      </c>
      <c r="I566" s="88">
        <f>INDEX('MPG Payment '!$C:$C,MATCH('Shayak Income '!D566,'MPG Payment '!E:E,0))</f>
        <v>1056</v>
      </c>
      <c r="J566" s="88" t="str">
        <f>INDEX('MPG Payment '!$D:$D,MATCH('Shayak Income '!D566,'MPG Payment '!E:E,0))</f>
        <v>Chautham</v>
      </c>
      <c r="K566" s="125" t="s">
        <v>1594</v>
      </c>
      <c r="L566" s="125">
        <v>45869</v>
      </c>
      <c r="M566" s="126">
        <f>SUMIF('MPG Payment '!$E$3:$E$344841,'Shayak Income '!D566,'MPG Payment '!$I$3:$I$344841)</f>
        <v>1660.98</v>
      </c>
      <c r="N566" s="126">
        <f>SUMIF('MPG Payment '!$E$3:$E$344841,'Shayak Income '!D566,'MPG Payment '!$J$3:$J$344841)</f>
        <v>61071.250000000007</v>
      </c>
      <c r="O566" s="126">
        <f t="shared" si="154"/>
        <v>1245.7350000000001</v>
      </c>
      <c r="P566" s="126">
        <f t="shared" si="155"/>
        <v>1577.931</v>
      </c>
      <c r="Q566" s="126">
        <f>SUMIF('MPG Payment '!$E$3:$E$344841,'Shayak Income '!D566,'MPG Payment '!$S$3:$S$344841)</f>
        <v>0</v>
      </c>
      <c r="R566" s="126">
        <f t="shared" si="145"/>
        <v>1832.1375</v>
      </c>
      <c r="S566" s="126">
        <f t="shared" si="146"/>
        <v>254.20650000000001</v>
      </c>
      <c r="T566" s="126">
        <f t="shared" si="156"/>
        <v>166.09800000000001</v>
      </c>
      <c r="U566" s="127">
        <f>((((((IF(K566="New",0,SUMIF('MPG Payment '!$E$3:$E$344841,'Shayak Income '!D566,'MPG Payment '!$AC$3:$AC$344841))))+0)+0)+0)+0)+0</f>
        <v>829.57463632138479</v>
      </c>
      <c r="V566" s="127">
        <f t="shared" si="157"/>
        <v>1828</v>
      </c>
      <c r="W566" s="19">
        <v>1828</v>
      </c>
      <c r="X566" s="19">
        <v>0</v>
      </c>
      <c r="Y566" s="128">
        <f>IFERROR(VLOOKUP(D566,'Monthly Deduction'!$M$2:$N$640,2,0),0)</f>
        <v>0</v>
      </c>
      <c r="Z566" s="128">
        <v>0</v>
      </c>
      <c r="AA566" s="126">
        <v>0</v>
      </c>
      <c r="AB566" s="129">
        <f t="shared" si="148"/>
        <v>0</v>
      </c>
      <c r="AC566" s="130">
        <v>0</v>
      </c>
      <c r="AD566" s="35">
        <f t="shared" si="159"/>
        <v>0</v>
      </c>
      <c r="AE566" s="166" t="str">
        <f t="shared" si="160"/>
        <v>Release</v>
      </c>
      <c r="AF566" s="127"/>
      <c r="AG566" s="18">
        <v>0</v>
      </c>
      <c r="AH566" s="120"/>
      <c r="AI566" s="238">
        <v>0</v>
      </c>
      <c r="AJ566" s="132"/>
      <c r="AK566" s="151">
        <v>137.86000000000001</v>
      </c>
      <c r="AL566" s="154">
        <f t="shared" si="149"/>
        <v>0</v>
      </c>
      <c r="AM566" s="155"/>
      <c r="AN566" s="19">
        <f t="shared" si="150"/>
        <v>1861</v>
      </c>
      <c r="AO566" s="118">
        <f>SUMIF('MPG Payment '!E:E,'Shayak Income '!D566,'MPG Payment '!AJ:AJ)</f>
        <v>0</v>
      </c>
      <c r="AP566" s="19">
        <f t="shared" si="151"/>
        <v>1828</v>
      </c>
      <c r="AQ566" s="119">
        <f t="shared" si="161"/>
        <v>1828</v>
      </c>
      <c r="AR566" s="91"/>
      <c r="AS566" s="91">
        <f t="shared" si="152"/>
        <v>0</v>
      </c>
      <c r="AT566" s="118"/>
      <c r="AU566" s="118"/>
      <c r="AV566" s="118"/>
    </row>
    <row r="567" spans="1:48" s="20" customFormat="1" x14ac:dyDescent="0.25">
      <c r="A567" s="17">
        <f>IFERROR(VLOOKUP(D567,'Monthly Deduction'!$I$3:$J$957,2,0),0)</f>
        <v>76067.741924374277</v>
      </c>
      <c r="B567" s="17">
        <f>IFERROR(VLOOKUP(D567,'Monthly Deduction'!$E$3:$F$957,2,0),0)</f>
        <v>6400</v>
      </c>
      <c r="C567" s="17">
        <f t="shared" si="153"/>
        <v>82467.741924374277</v>
      </c>
      <c r="D567" s="41">
        <v>10560004</v>
      </c>
      <c r="E567" s="122" t="str">
        <f>VLOOKUP(D567,'MPG Payment '!$E$3:$G$497305,2,0)</f>
        <v>Gomukh Nawada</v>
      </c>
      <c r="F567" s="146">
        <f>IFERROR(_xlfn.XLOOKUP(D567,'Monthly Deduction'!$I$3:$I$957,'Monthly Deduction'!$H$3:$H$957),0)</f>
        <v>0</v>
      </c>
      <c r="G567" s="123" t="str">
        <f>VLOOKUP(D567,'MPG Payment '!$E$3:$G$333666,3,0)</f>
        <v>MPG</v>
      </c>
      <c r="H567" s="124" t="str">
        <f>VLOOKUP(D567,'MPG Payment '!$E$3:$H$333666,4,0)</f>
        <v>Direct</v>
      </c>
      <c r="I567" s="88">
        <f>INDEX('MPG Payment '!$C:$C,MATCH('Shayak Income '!D567,'MPG Payment '!E:E,0))</f>
        <v>1056</v>
      </c>
      <c r="J567" s="88" t="str">
        <f>INDEX('MPG Payment '!$D:$D,MATCH('Shayak Income '!D567,'MPG Payment '!E:E,0))</f>
        <v>Chautham</v>
      </c>
      <c r="K567" s="125" t="s">
        <v>1594</v>
      </c>
      <c r="L567" s="125">
        <v>45894</v>
      </c>
      <c r="M567" s="126">
        <f>SUMIF('MPG Payment '!$E$3:$E$344841,'Shayak Income '!D567,'MPG Payment '!$I$3:$I$344841)</f>
        <v>3764.8</v>
      </c>
      <c r="N567" s="126">
        <f>SUMIF('MPG Payment '!$E$3:$E$344841,'Shayak Income '!D567,'MPG Payment '!$J$3:$J$344841)</f>
        <v>137233.31</v>
      </c>
      <c r="O567" s="126">
        <f t="shared" si="154"/>
        <v>2823.6000000000004</v>
      </c>
      <c r="P567" s="126">
        <f t="shared" si="155"/>
        <v>3576.56</v>
      </c>
      <c r="Q567" s="126">
        <f>SUMIF('MPG Payment '!$E$3:$E$344841,'Shayak Income '!D567,'MPG Payment '!$S$3:$S$344841)</f>
        <v>0</v>
      </c>
      <c r="R567" s="126">
        <f t="shared" si="145"/>
        <v>4116.9992999999995</v>
      </c>
      <c r="S567" s="126">
        <f t="shared" si="146"/>
        <v>540.43929999999955</v>
      </c>
      <c r="T567" s="126">
        <f t="shared" si="156"/>
        <v>376.48</v>
      </c>
      <c r="U567" s="127">
        <f>((((((IF(K567="New",0,SUMIF('MPG Payment '!$E$3:$E$344841,'Shayak Income '!D567,'MPG Payment '!$AC$3:$AC$344841))))+0)+0)+0)+0)+0</f>
        <v>0</v>
      </c>
      <c r="V567" s="127">
        <f t="shared" si="157"/>
        <v>6024</v>
      </c>
      <c r="W567" s="19">
        <f t="shared" si="158"/>
        <v>2744.6662000000001</v>
      </c>
      <c r="X567" s="19">
        <v>0</v>
      </c>
      <c r="Y567" s="128">
        <f>IFERROR(VLOOKUP(D567,'Monthly Deduction'!$M$2:$N$640,2,0),0)</f>
        <v>0</v>
      </c>
      <c r="Z567" s="128">
        <v>0</v>
      </c>
      <c r="AA567" s="126">
        <f>IFERROR(VLOOKUP(D567,'Monthly Deduction'!A:B,2,0),0)</f>
        <v>679.32854097868517</v>
      </c>
      <c r="AB567" s="129">
        <f t="shared" si="148"/>
        <v>2600</v>
      </c>
      <c r="AC567" s="130">
        <v>0</v>
      </c>
      <c r="AD567" s="35">
        <f t="shared" si="159"/>
        <v>2600</v>
      </c>
      <c r="AE567" s="166" t="str">
        <f t="shared" si="160"/>
        <v>Release</v>
      </c>
      <c r="AF567" s="127"/>
      <c r="AG567" s="127">
        <v>0</v>
      </c>
      <c r="AH567" s="132"/>
      <c r="AI567" s="238">
        <v>0</v>
      </c>
      <c r="AJ567" s="132"/>
      <c r="AK567" s="151">
        <v>962.87999999999988</v>
      </c>
      <c r="AL567" s="154">
        <f t="shared" si="149"/>
        <v>0</v>
      </c>
      <c r="AM567" s="155"/>
      <c r="AN567" s="19">
        <f t="shared" si="150"/>
        <v>2744.6662000000001</v>
      </c>
      <c r="AO567" s="118">
        <f>SUMIF('MPG Payment '!E:E,'Shayak Income '!D567,'MPG Payment '!AJ:AJ)</f>
        <v>0</v>
      </c>
      <c r="AP567" s="19">
        <f t="shared" si="151"/>
        <v>2744.6662000000001</v>
      </c>
      <c r="AQ567" s="119">
        <f t="shared" si="161"/>
        <v>2744.6662000000001</v>
      </c>
      <c r="AR567" s="91"/>
      <c r="AS567" s="91">
        <f t="shared" si="152"/>
        <v>6400</v>
      </c>
      <c r="AT567" s="118"/>
      <c r="AU567" s="118"/>
      <c r="AV567" s="118"/>
    </row>
    <row r="568" spans="1:48" s="20" customFormat="1" x14ac:dyDescent="0.25">
      <c r="A568" s="17">
        <f>IFERROR(VLOOKUP(D568,'Monthly Deduction'!$I$3:$J$957,2,0),0)</f>
        <v>39385.961612333747</v>
      </c>
      <c r="B568" s="17">
        <f>IFERROR(VLOOKUP(D568,'Monthly Deduction'!$E$3:$F$957,2,0),0)</f>
        <v>6400</v>
      </c>
      <c r="C568" s="17">
        <f t="shared" si="153"/>
        <v>45785.961612333747</v>
      </c>
      <c r="D568" s="41">
        <v>10560005</v>
      </c>
      <c r="E568" s="122" t="str">
        <f>VLOOKUP(D568,'MPG Payment '!$E$3:$G$497305,2,0)</f>
        <v>Gomukh Yadav Tol Kanauli</v>
      </c>
      <c r="F568" s="146">
        <f>IFERROR(_xlfn.XLOOKUP(D568,'Monthly Deduction'!$I$3:$I$957,'Monthly Deduction'!$H$3:$H$957),0)</f>
        <v>0</v>
      </c>
      <c r="G568" s="123" t="str">
        <f>VLOOKUP(D568,'MPG Payment '!$E$3:$G$333666,3,0)</f>
        <v>MPG</v>
      </c>
      <c r="H568" s="124" t="str">
        <f>VLOOKUP(D568,'MPG Payment '!$E$3:$H$333666,4,0)</f>
        <v>Direct</v>
      </c>
      <c r="I568" s="88">
        <f>INDEX('MPG Payment '!$C:$C,MATCH('Shayak Income '!D568,'MPG Payment '!E:E,0))</f>
        <v>1056</v>
      </c>
      <c r="J568" s="88" t="str">
        <f>INDEX('MPG Payment '!$D:$D,MATCH('Shayak Income '!D568,'MPG Payment '!E:E,0))</f>
        <v>Chautham</v>
      </c>
      <c r="K568" s="125" t="s">
        <v>1594</v>
      </c>
      <c r="L568" s="125">
        <v>45893</v>
      </c>
      <c r="M568" s="126">
        <f>SUMIF('MPG Payment '!$E$3:$E$344841,'Shayak Income '!D568,'MPG Payment '!$I$3:$I$344841)</f>
        <v>6760.6800000000012</v>
      </c>
      <c r="N568" s="126">
        <f>SUMIF('MPG Payment '!$E$3:$E$344841,'Shayak Income '!D568,'MPG Payment '!$J$3:$J$344841)</f>
        <v>285308.40999999997</v>
      </c>
      <c r="O568" s="126">
        <f t="shared" si="154"/>
        <v>5070.5100000000011</v>
      </c>
      <c r="P568" s="126">
        <f t="shared" si="155"/>
        <v>6422.6460000000006</v>
      </c>
      <c r="Q568" s="126">
        <f>SUMIF('MPG Payment '!$E$3:$E$344841,'Shayak Income '!D568,'MPG Payment '!$S$3:$S$344841)</f>
        <v>0</v>
      </c>
      <c r="R568" s="126">
        <f t="shared" si="145"/>
        <v>8559.2522999999983</v>
      </c>
      <c r="S568" s="126">
        <f t="shared" si="146"/>
        <v>2136.6062999999976</v>
      </c>
      <c r="T568" s="126">
        <f t="shared" si="156"/>
        <v>676.06800000000021</v>
      </c>
      <c r="U568" s="127">
        <f>((((((IF(K568="New",0,SUMIF('MPG Payment '!$E$3:$E$344841,'Shayak Income '!D568,'MPG Payment '!$AC$3:$AC$344841))))+0)+0)+0)+0)+0</f>
        <v>0</v>
      </c>
      <c r="V568" s="127">
        <f t="shared" si="157"/>
        <v>10817</v>
      </c>
      <c r="W568" s="19">
        <f t="shared" si="158"/>
        <v>5706.1681999999992</v>
      </c>
      <c r="X568" s="19">
        <v>0</v>
      </c>
      <c r="Y568" s="128">
        <f>IFERROR(VLOOKUP(D568,'Monthly Deduction'!$M$2:$N$640,2,0),0)</f>
        <v>0</v>
      </c>
      <c r="Z568" s="128">
        <v>0</v>
      </c>
      <c r="AA568" s="126">
        <f>IFERROR(VLOOKUP(D568,'Monthly Deduction'!A:B,2,0),0)</f>
        <v>679.32854097868517</v>
      </c>
      <c r="AB568" s="129">
        <f t="shared" si="148"/>
        <v>4432</v>
      </c>
      <c r="AC568" s="130">
        <v>0</v>
      </c>
      <c r="AD568" s="35">
        <f t="shared" si="159"/>
        <v>4432</v>
      </c>
      <c r="AE568" s="166" t="str">
        <f t="shared" si="160"/>
        <v>Release</v>
      </c>
      <c r="AF568" s="127"/>
      <c r="AG568" s="18">
        <v>0</v>
      </c>
      <c r="AH568" s="120"/>
      <c r="AI568" s="238">
        <v>0</v>
      </c>
      <c r="AJ568" s="132"/>
      <c r="AK568" s="151">
        <v>1343</v>
      </c>
      <c r="AL568" s="154">
        <f t="shared" si="149"/>
        <v>0</v>
      </c>
      <c r="AM568" s="155"/>
      <c r="AN568" s="19">
        <f t="shared" si="150"/>
        <v>5706.1681999999992</v>
      </c>
      <c r="AO568" s="118">
        <f>SUMIF('MPG Payment '!E:E,'Shayak Income '!D568,'MPG Payment '!AJ:AJ)</f>
        <v>0</v>
      </c>
      <c r="AP568" s="19">
        <f t="shared" si="151"/>
        <v>5706.1681999999992</v>
      </c>
      <c r="AQ568" s="119">
        <f t="shared" si="161"/>
        <v>5706.1681999999992</v>
      </c>
      <c r="AR568" s="91" t="s">
        <v>1144</v>
      </c>
      <c r="AS568" s="91">
        <f t="shared" si="152"/>
        <v>6400</v>
      </c>
      <c r="AT568" s="118"/>
      <c r="AU568" s="118"/>
      <c r="AV568" s="118"/>
    </row>
    <row r="569" spans="1:48" s="20" customFormat="1" x14ac:dyDescent="0.25">
      <c r="A569" s="17">
        <f>IFERROR(VLOOKUP(D569,'Monthly Deduction'!$I$3:$J$957,2,0),0)</f>
        <v>76500</v>
      </c>
      <c r="B569" s="17">
        <f>IFERROR(VLOOKUP(D569,'Monthly Deduction'!$E$3:$F$957,2,0),0)</f>
        <v>6400</v>
      </c>
      <c r="C569" s="17">
        <f t="shared" si="153"/>
        <v>82900</v>
      </c>
      <c r="D569" s="41">
        <v>10560007</v>
      </c>
      <c r="E569" s="122" t="str">
        <f>VLOOKUP(D569,'MPG Payment '!$E$3:$G$497305,2,0)</f>
        <v>Gomukh Hardia</v>
      </c>
      <c r="F569" s="146">
        <f>IFERROR(_xlfn.XLOOKUP(D569,'Monthly Deduction'!$I$3:$I$957,'Monthly Deduction'!$H$3:$H$957),0)</f>
        <v>0</v>
      </c>
      <c r="G569" s="123" t="str">
        <f>VLOOKUP(D569,'MPG Payment '!$E$3:$G$333666,3,0)</f>
        <v>MPG</v>
      </c>
      <c r="H569" s="124" t="str">
        <f>VLOOKUP(D569,'MPG Payment '!$E$3:$H$333666,4,0)</f>
        <v>Direct</v>
      </c>
      <c r="I569" s="88">
        <f>INDEX('MPG Payment '!$C:$C,MATCH('Shayak Income '!D569,'MPG Payment '!E:E,0))</f>
        <v>1056</v>
      </c>
      <c r="J569" s="88" t="str">
        <f>INDEX('MPG Payment '!$D:$D,MATCH('Shayak Income '!D569,'MPG Payment '!E:E,0))</f>
        <v>Chautham</v>
      </c>
      <c r="K569" s="125" t="s">
        <v>1594</v>
      </c>
      <c r="L569" s="125">
        <v>45894</v>
      </c>
      <c r="M569" s="126">
        <f>SUMIF('MPG Payment '!$E$3:$E$344841,'Shayak Income '!D569,'MPG Payment '!$I$3:$I$344841)</f>
        <v>891.76000000000022</v>
      </c>
      <c r="N569" s="126">
        <f>SUMIF('MPG Payment '!$E$3:$E$344841,'Shayak Income '!D569,'MPG Payment '!$J$3:$J$344841)</f>
        <v>36249.85</v>
      </c>
      <c r="O569" s="126">
        <f t="shared" si="154"/>
        <v>668.82000000000016</v>
      </c>
      <c r="P569" s="126">
        <f t="shared" si="155"/>
        <v>847.17200000000014</v>
      </c>
      <c r="Q569" s="126">
        <f>SUMIF('MPG Payment '!$E$3:$E$344841,'Shayak Income '!D569,'MPG Payment '!$S$3:$S$344841)</f>
        <v>0</v>
      </c>
      <c r="R569" s="126">
        <f t="shared" si="145"/>
        <v>1087.4955</v>
      </c>
      <c r="S569" s="126">
        <f t="shared" si="146"/>
        <v>240.32349999999985</v>
      </c>
      <c r="T569" s="126">
        <f t="shared" si="156"/>
        <v>89.17600000000003</v>
      </c>
      <c r="U569" s="127">
        <f>((((((IF(K569="New",0,SUMIF('MPG Payment '!$E$3:$E$344841,'Shayak Income '!D569,'MPG Payment '!$AC$3:$AC$344841))))+0)+0)+0)+0)+-138</f>
        <v>1427.095801852771</v>
      </c>
      <c r="V569" s="127">
        <f t="shared" si="157"/>
        <v>0</v>
      </c>
      <c r="W569" s="19">
        <v>0</v>
      </c>
      <c r="X569" s="19">
        <v>0</v>
      </c>
      <c r="Y569" s="128">
        <v>0</v>
      </c>
      <c r="Z569" s="128">
        <v>0</v>
      </c>
      <c r="AA569" s="126">
        <v>0</v>
      </c>
      <c r="AB569" s="129">
        <f t="shared" si="148"/>
        <v>0</v>
      </c>
      <c r="AC569" s="130">
        <v>0</v>
      </c>
      <c r="AD569" s="35">
        <f t="shared" si="159"/>
        <v>0</v>
      </c>
      <c r="AE569" s="166" t="str">
        <f t="shared" si="160"/>
        <v>Release</v>
      </c>
      <c r="AF569" s="127"/>
      <c r="AG569" s="127">
        <v>0</v>
      </c>
      <c r="AH569" s="120"/>
      <c r="AI569" s="238">
        <v>0</v>
      </c>
      <c r="AJ569" s="132"/>
      <c r="AK569" s="151">
        <v>216.38</v>
      </c>
      <c r="AL569" s="154">
        <f t="shared" si="149"/>
        <v>0</v>
      </c>
      <c r="AM569" s="155"/>
      <c r="AN569" s="19">
        <f t="shared" si="150"/>
        <v>1861</v>
      </c>
      <c r="AO569" s="118">
        <f>SUMIF('MPG Payment '!E:E,'Shayak Income '!D569,'MPG Payment '!AJ:AJ)</f>
        <v>2000</v>
      </c>
      <c r="AP569" s="19">
        <f t="shared" si="151"/>
        <v>0</v>
      </c>
      <c r="AQ569" s="119">
        <f t="shared" si="161"/>
        <v>2000</v>
      </c>
      <c r="AR569" s="91"/>
      <c r="AS569" s="91">
        <f t="shared" si="152"/>
        <v>6400</v>
      </c>
      <c r="AT569" s="118"/>
      <c r="AU569" s="118"/>
      <c r="AV569" s="118"/>
    </row>
    <row r="570" spans="1:48" s="20" customFormat="1" x14ac:dyDescent="0.25">
      <c r="A570" s="17">
        <f>IFERROR(VLOOKUP(D570,'Monthly Deduction'!$I$3:$J$957,2,0),0)</f>
        <v>63341.3836270334</v>
      </c>
      <c r="B570" s="17">
        <f>IFERROR(VLOOKUP(D570,'Monthly Deduction'!$E$3:$F$957,2,0),0)</f>
        <v>6400</v>
      </c>
      <c r="C570" s="17">
        <f t="shared" si="153"/>
        <v>69741.3836270334</v>
      </c>
      <c r="D570" s="41">
        <v>10030074</v>
      </c>
      <c r="E570" s="122" t="str">
        <f>VLOOKUP(D570,'MPG Payment '!$E$3:$G$497305,2,0)</f>
        <v>Jangle Jhakra</v>
      </c>
      <c r="F570" s="146">
        <f>IFERROR(_xlfn.XLOOKUP(D570,'Monthly Deduction'!$I$3:$I$957,'Monthly Deduction'!$H$3:$H$957),0)</f>
        <v>0</v>
      </c>
      <c r="G570" s="123" t="str">
        <f>VLOOKUP(D570,'MPG Payment '!$E$3:$G$333666,3,0)</f>
        <v>MPG</v>
      </c>
      <c r="H570" s="124" t="str">
        <f>VLOOKUP(D570,'MPG Payment '!$E$3:$H$333666,4,0)</f>
        <v>Direct</v>
      </c>
      <c r="I570" s="88">
        <f>INDEX('MPG Payment '!$C:$C,MATCH('Shayak Income '!D570,'MPG Payment '!E:E,0))</f>
        <v>1003</v>
      </c>
      <c r="J570" s="88" t="str">
        <f>INDEX('MPG Payment '!$D:$D,MATCH('Shayak Income '!D570,'MPG Payment '!E:E,0))</f>
        <v>Asarganj</v>
      </c>
      <c r="K570" s="125" t="s">
        <v>1594</v>
      </c>
      <c r="L570" s="125">
        <v>45869</v>
      </c>
      <c r="M570" s="126">
        <f>SUMIF('MPG Payment '!$E$3:$E$344841,'Shayak Income '!D570,'MPG Payment '!$I$3:$I$344841)</f>
        <v>7129.05</v>
      </c>
      <c r="N570" s="126">
        <f>SUMIF('MPG Payment '!$E$3:$E$344841,'Shayak Income '!D570,'MPG Payment '!$J$3:$J$344841)</f>
        <v>302084.11</v>
      </c>
      <c r="O570" s="126">
        <f t="shared" si="154"/>
        <v>5346.7875000000004</v>
      </c>
      <c r="P570" s="126">
        <f t="shared" si="155"/>
        <v>6772.5974999999999</v>
      </c>
      <c r="Q570" s="126">
        <f>SUMIF('MPG Payment '!$E$3:$E$344841,'Shayak Income '!D570,'MPG Payment '!$S$3:$S$344841)</f>
        <v>748.76999999999987</v>
      </c>
      <c r="R570" s="126">
        <f t="shared" si="145"/>
        <v>9062.5232999999989</v>
      </c>
      <c r="S570" s="126">
        <f t="shared" si="146"/>
        <v>2289.9257999999991</v>
      </c>
      <c r="T570" s="126">
        <f t="shared" si="156"/>
        <v>712.90500000000009</v>
      </c>
      <c r="U570" s="127">
        <f>((((((IF(K570="New",0,SUMIF('MPG Payment '!$E$3:$E$344841,'Shayak Income '!D570,'MPG Payment '!$AC$3:$AC$344841))))+0)+0)+0)+0)+0</f>
        <v>0</v>
      </c>
      <c r="V570" s="127">
        <f t="shared" si="157"/>
        <v>12155</v>
      </c>
      <c r="W570" s="19">
        <f t="shared" si="158"/>
        <v>6041.6822000000002</v>
      </c>
      <c r="X570" s="19">
        <v>0</v>
      </c>
      <c r="Y570" s="128">
        <f>IFERROR(VLOOKUP(D570,'Monthly Deduction'!$M$2:$N$640,2,0),0)</f>
        <v>0</v>
      </c>
      <c r="Z570" s="128">
        <v>0</v>
      </c>
      <c r="AA570" s="126">
        <f>IFERROR(VLOOKUP(D570,'Monthly Deduction'!A:B,2,0),0)</f>
        <v>0</v>
      </c>
      <c r="AB570" s="129">
        <f t="shared" si="148"/>
        <v>6113</v>
      </c>
      <c r="AC570" s="130">
        <f>AB570</f>
        <v>6113</v>
      </c>
      <c r="AD570" s="35">
        <f t="shared" si="159"/>
        <v>0</v>
      </c>
      <c r="AE570" s="166" t="str">
        <f t="shared" si="160"/>
        <v>Yes</v>
      </c>
      <c r="AF570" s="127"/>
      <c r="AG570" s="127">
        <v>0</v>
      </c>
      <c r="AH570" s="120" t="s">
        <v>1683</v>
      </c>
      <c r="AI570" s="238">
        <v>0</v>
      </c>
      <c r="AJ570" s="132"/>
      <c r="AK570" s="151">
        <v>1293.8499999999997</v>
      </c>
      <c r="AL570" s="154">
        <f t="shared" si="149"/>
        <v>0</v>
      </c>
      <c r="AM570" s="155"/>
      <c r="AN570" s="19">
        <f t="shared" si="150"/>
        <v>6041.6822000000002</v>
      </c>
      <c r="AO570" s="118">
        <f>SUMIF('MPG Payment '!E:E,'Shayak Income '!D570,'MPG Payment '!AJ:AJ)</f>
        <v>0</v>
      </c>
      <c r="AP570" s="19">
        <f t="shared" si="151"/>
        <v>6041.6822000000002</v>
      </c>
      <c r="AQ570" s="119">
        <f t="shared" si="161"/>
        <v>6041.6822000000002</v>
      </c>
      <c r="AR570" s="91"/>
      <c r="AS570" s="91">
        <f t="shared" si="152"/>
        <v>6400</v>
      </c>
      <c r="AT570" s="118"/>
      <c r="AU570" s="118"/>
      <c r="AV570" s="118"/>
    </row>
    <row r="571" spans="1:48" s="20" customFormat="1" x14ac:dyDescent="0.25">
      <c r="A571" s="17">
        <f>IFERROR(VLOOKUP(D571,'Monthly Deduction'!$I$3:$J$957,2,0),0)</f>
        <v>80809</v>
      </c>
      <c r="B571" s="17">
        <f>IFERROR(VLOOKUP(D571,'Monthly Deduction'!$E$3:$F$957,2,0),0)</f>
        <v>6400</v>
      </c>
      <c r="C571" s="17">
        <f t="shared" si="153"/>
        <v>87209</v>
      </c>
      <c r="D571" s="41">
        <v>10060116</v>
      </c>
      <c r="E571" s="122" t="str">
        <f>VLOOKUP(D571,'MPG Payment '!$E$3:$G$497305,2,0)</f>
        <v>LOSDHANI</v>
      </c>
      <c r="F571" s="146">
        <f>IFERROR(_xlfn.XLOOKUP(D571,'Monthly Deduction'!$I$3:$I$957,'Monthly Deduction'!$H$3:$H$957),0)</f>
        <v>0</v>
      </c>
      <c r="G571" s="123" t="str">
        <f>VLOOKUP(D571,'MPG Payment '!$E$3:$G$333666,3,0)</f>
        <v>MPG</v>
      </c>
      <c r="H571" s="124" t="str">
        <f>VLOOKUP(D571,'MPG Payment '!$E$3:$H$333666,4,0)</f>
        <v>Direct</v>
      </c>
      <c r="I571" s="88">
        <f>INDEX('MPG Payment '!$C:$C,MATCH('Shayak Income '!D571,'MPG Payment '!E:E,0))</f>
        <v>1006</v>
      </c>
      <c r="J571" s="88" t="str">
        <f>INDEX('MPG Payment '!$D:$D,MATCH('Shayak Income '!D571,'MPG Payment '!E:E,0))</f>
        <v>Sonvarsha</v>
      </c>
      <c r="K571" s="125" t="s">
        <v>1594</v>
      </c>
      <c r="L571" s="125">
        <v>45899</v>
      </c>
      <c r="M571" s="126">
        <f>SUMIF('MPG Payment '!$E$3:$E$344841,'Shayak Income '!D571,'MPG Payment '!$I$3:$I$344841)</f>
        <v>479.29999999999995</v>
      </c>
      <c r="N571" s="126">
        <f>SUMIF('MPG Payment '!$E$3:$E$344841,'Shayak Income '!D571,'MPG Payment '!$J$3:$J$344841)</f>
        <v>17648.11</v>
      </c>
      <c r="O571" s="126">
        <f t="shared" si="154"/>
        <v>359.47499999999997</v>
      </c>
      <c r="P571" s="126">
        <f t="shared" si="155"/>
        <v>455.33499999999992</v>
      </c>
      <c r="Q571" s="126">
        <f>SUMIF('MPG Payment '!$E$3:$E$344841,'Shayak Income '!D571,'MPG Payment '!$S$3:$S$344841)</f>
        <v>93.26</v>
      </c>
      <c r="R571" s="126">
        <f t="shared" si="145"/>
        <v>529.44330000000002</v>
      </c>
      <c r="S571" s="126">
        <f t="shared" si="146"/>
        <v>74.108300000000099</v>
      </c>
      <c r="T571" s="126">
        <f t="shared" si="156"/>
        <v>47.93</v>
      </c>
      <c r="U571" s="127">
        <f>((((((IF(K571="New",0,SUMIF('MPG Payment '!$E$3:$E$344841,'Shayak Income '!D571,'MPG Payment '!$AC$3:$AC$344841))))+0)+0)+0)+0)+-848</f>
        <v>859.93159838526299</v>
      </c>
      <c r="V571" s="127">
        <f t="shared" si="157"/>
        <v>0</v>
      </c>
      <c r="W571" s="19">
        <v>0</v>
      </c>
      <c r="X571" s="19">
        <v>0</v>
      </c>
      <c r="Y571" s="128">
        <v>0</v>
      </c>
      <c r="Z571" s="128">
        <v>0</v>
      </c>
      <c r="AA571" s="126">
        <v>0</v>
      </c>
      <c r="AB571" s="129">
        <f t="shared" si="148"/>
        <v>0</v>
      </c>
      <c r="AC571" s="130">
        <v>0</v>
      </c>
      <c r="AD571" s="35">
        <f t="shared" si="159"/>
        <v>0</v>
      </c>
      <c r="AE571" s="166" t="str">
        <f t="shared" si="160"/>
        <v>Release</v>
      </c>
      <c r="AF571" s="127"/>
      <c r="AG571" s="18">
        <v>0</v>
      </c>
      <c r="AH571" s="132"/>
      <c r="AI571" s="238">
        <v>0</v>
      </c>
      <c r="AJ571" s="132"/>
      <c r="AK571" s="151">
        <v>114.49999999999999</v>
      </c>
      <c r="AL571" s="154">
        <f t="shared" si="149"/>
        <v>0</v>
      </c>
      <c r="AM571" s="155"/>
      <c r="AN571" s="19">
        <f t="shared" si="150"/>
        <v>1861</v>
      </c>
      <c r="AO571" s="118">
        <f>SUMIF('MPG Payment '!E:E,'Shayak Income '!D571,'MPG Payment '!AJ:AJ)</f>
        <v>0</v>
      </c>
      <c r="AP571" s="19">
        <f t="shared" si="151"/>
        <v>0</v>
      </c>
      <c r="AQ571" s="119">
        <f t="shared" si="161"/>
        <v>0</v>
      </c>
      <c r="AR571" s="91" t="s">
        <v>1144</v>
      </c>
      <c r="AS571" s="91">
        <f t="shared" si="152"/>
        <v>6400</v>
      </c>
      <c r="AT571" s="118"/>
      <c r="AU571" s="118"/>
      <c r="AV571" s="118"/>
    </row>
    <row r="572" spans="1:48" s="20" customFormat="1" x14ac:dyDescent="0.25">
      <c r="A572" s="17">
        <f>IFERROR(VLOOKUP(D572,'Monthly Deduction'!$I$3:$J$957,2,0),0)</f>
        <v>67670.253154245613</v>
      </c>
      <c r="B572" s="17">
        <f>IFERROR(VLOOKUP(D572,'Monthly Deduction'!$E$3:$F$957,2,0),0)</f>
        <v>19200</v>
      </c>
      <c r="C572" s="17">
        <f t="shared" si="153"/>
        <v>86870.253154245613</v>
      </c>
      <c r="D572" s="41">
        <v>10530078</v>
      </c>
      <c r="E572" s="122" t="str">
        <f>VLOOKUP(D572,'MPG Payment '!$E$3:$G$497305,2,0)</f>
        <v>GOMUKH Kalaunjar</v>
      </c>
      <c r="F572" s="146">
        <f>IFERROR(_xlfn.XLOOKUP(D572,'Monthly Deduction'!$I$3:$I$957,'Monthly Deduction'!$H$3:$H$957),0)</f>
        <v>0</v>
      </c>
      <c r="G572" s="123" t="str">
        <f>VLOOKUP(D572,'MPG Payment '!$E$3:$G$333666,3,0)</f>
        <v>MPG</v>
      </c>
      <c r="H572" s="124" t="str">
        <f>VLOOKUP(D572,'MPG Payment '!$E$3:$H$333666,4,0)</f>
        <v>Direct</v>
      </c>
      <c r="I572" s="88">
        <f>INDEX('MPG Payment '!$C:$C,MATCH('Shayak Income '!D572,'MPG Payment '!E:E,0))</f>
        <v>1053</v>
      </c>
      <c r="J572" s="88" t="str">
        <f>INDEX('MPG Payment '!$D:$D,MATCH('Shayak Income '!D572,'MPG Payment '!E:E,0))</f>
        <v>Kalyanpur</v>
      </c>
      <c r="K572" s="125" t="s">
        <v>1594</v>
      </c>
      <c r="L572" s="125">
        <v>45898</v>
      </c>
      <c r="M572" s="126">
        <f>SUMIF('MPG Payment '!$E$3:$E$344841,'Shayak Income '!D572,'MPG Payment '!$I$3:$I$344841)</f>
        <v>3140.3999999999996</v>
      </c>
      <c r="N572" s="126">
        <f>SUMIF('MPG Payment '!$E$3:$E$344841,'Shayak Income '!D572,'MPG Payment '!$J$3:$J$344841)</f>
        <v>135704.47</v>
      </c>
      <c r="O572" s="126">
        <f t="shared" si="154"/>
        <v>2355.2999999999997</v>
      </c>
      <c r="P572" s="126">
        <f t="shared" si="155"/>
        <v>2983.3799999999997</v>
      </c>
      <c r="Q572" s="126">
        <f>SUMIF('MPG Payment '!$E$3:$E$344841,'Shayak Income '!D572,'MPG Payment '!$S$3:$S$344841)</f>
        <v>5159.53</v>
      </c>
      <c r="R572" s="126">
        <f t="shared" si="145"/>
        <v>4071.1340999999998</v>
      </c>
      <c r="S572" s="126">
        <f t="shared" si="146"/>
        <v>1087.7541000000001</v>
      </c>
      <c r="T572" s="126">
        <f t="shared" si="156"/>
        <v>314.03999999999996</v>
      </c>
      <c r="U572" s="127">
        <f>((((((IF(K572="New",0,SUMIF('MPG Payment '!$E$3:$E$344841,'Shayak Income '!D572,'MPG Payment '!$AC$3:$AC$344841))))+0)+0)+0)+0)+0</f>
        <v>20.797541778895983</v>
      </c>
      <c r="V572" s="127">
        <f t="shared" si="157"/>
        <v>10163</v>
      </c>
      <c r="W572" s="19">
        <f t="shared" si="158"/>
        <v>2714.0894000000003</v>
      </c>
      <c r="X572" s="19">
        <v>0</v>
      </c>
      <c r="Y572" s="128">
        <f>IFERROR(VLOOKUP(D572,'Monthly Deduction'!$M$2:$N$640,2,0),0)</f>
        <v>0</v>
      </c>
      <c r="Z572" s="128">
        <v>0</v>
      </c>
      <c r="AA572" s="126">
        <f>IFERROR(VLOOKUP(D572,'Monthly Deduction'!A:B,2,0),0)</f>
        <v>294.81543080156109</v>
      </c>
      <c r="AB572" s="129">
        <f t="shared" si="148"/>
        <v>7154</v>
      </c>
      <c r="AC572" s="130">
        <v>0</v>
      </c>
      <c r="AD572" s="35">
        <f t="shared" si="159"/>
        <v>7154</v>
      </c>
      <c r="AE572" s="166" t="str">
        <f t="shared" si="160"/>
        <v>Release</v>
      </c>
      <c r="AF572" s="127"/>
      <c r="AG572" s="18">
        <v>0</v>
      </c>
      <c r="AH572" s="132"/>
      <c r="AI572" s="238">
        <v>0</v>
      </c>
      <c r="AJ572" s="132"/>
      <c r="AK572" s="151">
        <v>1018.5500000000001</v>
      </c>
      <c r="AL572" s="154">
        <f t="shared" si="149"/>
        <v>0</v>
      </c>
      <c r="AM572" s="155"/>
      <c r="AN572" s="19">
        <f t="shared" si="150"/>
        <v>2714.0894000000003</v>
      </c>
      <c r="AO572" s="118">
        <f>SUMIF('MPG Payment '!E:E,'Shayak Income '!D572,'MPG Payment '!AJ:AJ)</f>
        <v>0</v>
      </c>
      <c r="AP572" s="19">
        <f t="shared" si="151"/>
        <v>2714.0894000000003</v>
      </c>
      <c r="AQ572" s="119">
        <f t="shared" si="161"/>
        <v>2714.0894000000003</v>
      </c>
      <c r="AR572" s="91"/>
      <c r="AS572" s="91">
        <f t="shared" si="152"/>
        <v>19200</v>
      </c>
      <c r="AT572" s="118"/>
      <c r="AU572" s="118"/>
      <c r="AV572" s="118"/>
    </row>
    <row r="573" spans="1:48" s="20" customFormat="1" x14ac:dyDescent="0.25">
      <c r="A573" s="17">
        <f>IFERROR(VLOOKUP(D573,'Monthly Deduction'!$I$3:$J$957,2,0),0)</f>
        <v>0</v>
      </c>
      <c r="B573" s="17">
        <f>IFERROR(VLOOKUP(D573,'Monthly Deduction'!$E$3:$F$957,2,0),0)</f>
        <v>0</v>
      </c>
      <c r="C573" s="17">
        <f t="shared" si="153"/>
        <v>0</v>
      </c>
      <c r="D573" s="41">
        <v>10530080</v>
      </c>
      <c r="E573" s="122" t="str">
        <f>VLOOKUP(D573,'MPG Payment '!$E$3:$G$497305,2,0)</f>
        <v>Pastara Lakshman</v>
      </c>
      <c r="F573" s="146">
        <f>IFERROR(_xlfn.XLOOKUP(D573,'Monthly Deduction'!$I$3:$I$957,'Monthly Deduction'!$H$3:$H$957),0)</f>
        <v>0</v>
      </c>
      <c r="G573" s="123" t="str">
        <f>VLOOKUP(D573,'MPG Payment '!$E$3:$G$333666,3,0)</f>
        <v>vlc</v>
      </c>
      <c r="H573" s="124" t="str">
        <f>VLOOKUP(D573,'MPG Payment '!$E$3:$H$333666,4,0)</f>
        <v>Indirect</v>
      </c>
      <c r="I573" s="88">
        <f>INDEX('MPG Payment '!$C:$C,MATCH('Shayak Income '!D573,'MPG Payment '!E:E,0))</f>
        <v>1053</v>
      </c>
      <c r="J573" s="88" t="str">
        <f>INDEX('MPG Payment '!$D:$D,MATCH('Shayak Income '!D573,'MPG Payment '!E:E,0))</f>
        <v>Kalyanpur</v>
      </c>
      <c r="K573" s="125" t="s">
        <v>1594</v>
      </c>
      <c r="L573" s="125">
        <v>45899</v>
      </c>
      <c r="M573" s="126">
        <f>SUMIF('MPG Payment '!$E$3:$E$344841,'Shayak Income '!D573,'MPG Payment '!$I$3:$I$344841)</f>
        <v>513.9</v>
      </c>
      <c r="N573" s="126">
        <f>SUMIF('MPG Payment '!$E$3:$E$344841,'Shayak Income '!D573,'MPG Payment '!$J$3:$J$344841)</f>
        <v>17122.120000000003</v>
      </c>
      <c r="O573" s="126">
        <f t="shared" si="154"/>
        <v>385.42499999999995</v>
      </c>
      <c r="P573" s="126">
        <f t="shared" si="155"/>
        <v>488.20499999999993</v>
      </c>
      <c r="Q573" s="126">
        <f>SUMIF('MPG Payment '!$E$3:$E$344841,'Shayak Income '!D573,'MPG Payment '!$S$3:$S$344841)</f>
        <v>0</v>
      </c>
      <c r="R573" s="126">
        <f t="shared" si="145"/>
        <v>513.66360000000009</v>
      </c>
      <c r="S573" s="126">
        <f t="shared" si="146"/>
        <v>25.45860000000016</v>
      </c>
      <c r="T573" s="126">
        <f t="shared" si="156"/>
        <v>51.39</v>
      </c>
      <c r="U573" s="127">
        <f>((((((IF(K573="New",0,SUMIF('MPG Payment '!$E$3:$E$344841,'Shayak Income '!D573,'MPG Payment '!$AC$3:$AC$344841))))+0)+0)+0)+0)+-700</f>
        <v>822.42177958284697</v>
      </c>
      <c r="V573" s="127">
        <f t="shared" si="157"/>
        <v>0</v>
      </c>
      <c r="W573" s="19">
        <v>0</v>
      </c>
      <c r="X573" s="19">
        <v>0</v>
      </c>
      <c r="Y573" s="128">
        <v>0</v>
      </c>
      <c r="Z573" s="128">
        <v>0</v>
      </c>
      <c r="AA573" s="126">
        <v>0</v>
      </c>
      <c r="AB573" s="129">
        <f t="shared" si="148"/>
        <v>0</v>
      </c>
      <c r="AC573" s="130">
        <v>0</v>
      </c>
      <c r="AD573" s="35">
        <f t="shared" si="159"/>
        <v>0</v>
      </c>
      <c r="AE573" s="166" t="str">
        <f t="shared" si="160"/>
        <v>Release</v>
      </c>
      <c r="AF573" s="127"/>
      <c r="AG573" s="18">
        <v>0</v>
      </c>
      <c r="AH573" s="132"/>
      <c r="AI573" s="238">
        <v>0</v>
      </c>
      <c r="AJ573" s="132"/>
      <c r="AK573" s="151">
        <v>34.299999999999997</v>
      </c>
      <c r="AL573" s="154">
        <f t="shared" si="149"/>
        <v>0</v>
      </c>
      <c r="AM573" s="155"/>
      <c r="AN573" s="19">
        <f t="shared" si="150"/>
        <v>0</v>
      </c>
      <c r="AO573" s="118">
        <f>SUMIF('MPG Payment '!E:E,'Shayak Income '!D573,'MPG Payment '!AJ:AJ)</f>
        <v>0</v>
      </c>
      <c r="AP573" s="19">
        <f t="shared" si="151"/>
        <v>0</v>
      </c>
      <c r="AQ573" s="119">
        <f t="shared" si="161"/>
        <v>0</v>
      </c>
      <c r="AR573" s="91" t="s">
        <v>1144</v>
      </c>
      <c r="AS573" s="91">
        <f t="shared" si="152"/>
        <v>0</v>
      </c>
      <c r="AT573" s="118"/>
      <c r="AU573" s="118"/>
      <c r="AV573" s="118"/>
    </row>
    <row r="574" spans="1:48" s="20" customFormat="1" x14ac:dyDescent="0.25">
      <c r="A574" s="17">
        <f>IFERROR(VLOOKUP(D574,'Monthly Deduction'!$I$3:$J$957,2,0),0)</f>
        <v>76257</v>
      </c>
      <c r="B574" s="17">
        <f>IFERROR(VLOOKUP(D574,'Monthly Deduction'!$E$3:$F$957,2,0),0)</f>
        <v>6400</v>
      </c>
      <c r="C574" s="17">
        <f t="shared" si="153"/>
        <v>82657</v>
      </c>
      <c r="D574" s="41">
        <v>10540019</v>
      </c>
      <c r="E574" s="122" t="str">
        <f>VLOOKUP(D574,'MPG Payment '!$E$3:$G$497305,2,0)</f>
        <v>Gomukh Chikni</v>
      </c>
      <c r="F574" s="146">
        <f>IFERROR(_xlfn.XLOOKUP(D574,'Monthly Deduction'!$I$3:$I$957,'Monthly Deduction'!$H$3:$H$957),0)</f>
        <v>0</v>
      </c>
      <c r="G574" s="123" t="str">
        <f>VLOOKUP(D574,'MPG Payment '!$E$3:$G$333666,3,0)</f>
        <v>MPG</v>
      </c>
      <c r="H574" s="124" t="str">
        <f>VLOOKUP(D574,'MPG Payment '!$E$3:$H$333666,4,0)</f>
        <v>Direct</v>
      </c>
      <c r="I574" s="88">
        <f>INDEX('MPG Payment '!$C:$C,MATCH('Shayak Income '!D574,'MPG Payment '!E:E,0))</f>
        <v>1054</v>
      </c>
      <c r="J574" s="88" t="str">
        <f>INDEX('MPG Payment '!$D:$D,MATCH('Shayak Income '!D574,'MPG Payment '!E:E,0))</f>
        <v xml:space="preserve">Alauli </v>
      </c>
      <c r="K574" s="125" t="s">
        <v>1594</v>
      </c>
      <c r="L574" s="125">
        <v>45869</v>
      </c>
      <c r="M574" s="126">
        <f>SUMIF('MPG Payment '!$E$3:$E$344841,'Shayak Income '!D574,'MPG Payment '!$I$3:$I$344841)</f>
        <v>555.20000000000005</v>
      </c>
      <c r="N574" s="126">
        <f>SUMIF('MPG Payment '!$E$3:$E$344841,'Shayak Income '!D574,'MPG Payment '!$J$3:$J$344841)</f>
        <v>18618.829999999998</v>
      </c>
      <c r="O574" s="126">
        <f t="shared" si="154"/>
        <v>416.40000000000003</v>
      </c>
      <c r="P574" s="126">
        <f t="shared" si="155"/>
        <v>527.44000000000005</v>
      </c>
      <c r="Q574" s="126">
        <f>SUMIF('MPG Payment '!$E$3:$E$344841,'Shayak Income '!D574,'MPG Payment '!$S$3:$S$344841)</f>
        <v>0</v>
      </c>
      <c r="R574" s="126">
        <f t="shared" si="145"/>
        <v>558.56489999999997</v>
      </c>
      <c r="S574" s="126">
        <f t="shared" si="146"/>
        <v>31.124899999999911</v>
      </c>
      <c r="T574" s="126">
        <f t="shared" si="156"/>
        <v>55.52000000000001</v>
      </c>
      <c r="U574" s="127">
        <f>((((((IF(K574="New",0,SUMIF('MPG Payment '!$E$3:$E$344841,'Shayak Income '!D574,'MPG Payment '!$AC$3:$AC$344841))))+0)+0)+0)+0)+-610</f>
        <v>888.07091001238609</v>
      </c>
      <c r="V574" s="127">
        <f t="shared" si="157"/>
        <v>0</v>
      </c>
      <c r="W574" s="19">
        <v>0</v>
      </c>
      <c r="X574" s="19">
        <v>0</v>
      </c>
      <c r="Y574" s="128">
        <v>0</v>
      </c>
      <c r="Z574" s="128">
        <v>0</v>
      </c>
      <c r="AA574" s="126">
        <v>0</v>
      </c>
      <c r="AB574" s="129">
        <f t="shared" si="148"/>
        <v>0</v>
      </c>
      <c r="AC574" s="130">
        <v>0</v>
      </c>
      <c r="AD574" s="35">
        <f t="shared" si="159"/>
        <v>0</v>
      </c>
      <c r="AE574" s="166" t="str">
        <f t="shared" si="160"/>
        <v>Release</v>
      </c>
      <c r="AF574" s="127"/>
      <c r="AG574" s="18">
        <v>0</v>
      </c>
      <c r="AH574" s="120"/>
      <c r="AI574" s="238">
        <v>0</v>
      </c>
      <c r="AJ574" s="132"/>
      <c r="AK574" s="151">
        <v>144.1</v>
      </c>
      <c r="AL574" s="154">
        <f t="shared" si="149"/>
        <v>0</v>
      </c>
      <c r="AM574" s="155"/>
      <c r="AN574" s="19">
        <f t="shared" si="150"/>
        <v>1861</v>
      </c>
      <c r="AO574" s="118">
        <f>SUMIF('MPG Payment '!E:E,'Shayak Income '!D574,'MPG Payment '!AJ:AJ)</f>
        <v>2000</v>
      </c>
      <c r="AP574" s="19">
        <f t="shared" si="151"/>
        <v>0</v>
      </c>
      <c r="AQ574" s="119">
        <f t="shared" si="161"/>
        <v>2000</v>
      </c>
      <c r="AR574" s="91" t="s">
        <v>1144</v>
      </c>
      <c r="AS574" s="91">
        <f t="shared" si="152"/>
        <v>6400</v>
      </c>
      <c r="AT574" s="118"/>
      <c r="AU574" s="118"/>
      <c r="AV574" s="118"/>
    </row>
    <row r="575" spans="1:48" s="20" customFormat="1" x14ac:dyDescent="0.25">
      <c r="A575" s="17">
        <f>IFERROR(VLOOKUP(D575,'Monthly Deduction'!$I$3:$J$957,2,0),0)</f>
        <v>0</v>
      </c>
      <c r="B575" s="17">
        <f>IFERROR(VLOOKUP(D575,'Monthly Deduction'!$E$3:$F$957,2,0),0)</f>
        <v>0</v>
      </c>
      <c r="C575" s="17">
        <f t="shared" si="153"/>
        <v>0</v>
      </c>
      <c r="D575" s="41">
        <v>10060118</v>
      </c>
      <c r="E575" s="122" t="str">
        <f>VLOOKUP(D575,'MPG Payment '!$E$3:$G$497305,2,0)</f>
        <v>GOMUKH BAGALWA</v>
      </c>
      <c r="F575" s="146">
        <f>IFERROR(_xlfn.XLOOKUP(D575,'Monthly Deduction'!$I$3:$I$957,'Monthly Deduction'!$H$3:$H$957),0)</f>
        <v>0</v>
      </c>
      <c r="G575" s="123" t="str">
        <f>VLOOKUP(D575,'MPG Payment '!$E$3:$G$333666,3,0)</f>
        <v>MPG</v>
      </c>
      <c r="H575" s="124" t="str">
        <f>VLOOKUP(D575,'MPG Payment '!$E$3:$H$333666,4,0)</f>
        <v>Direct</v>
      </c>
      <c r="I575" s="88">
        <f>INDEX('MPG Payment '!$C:$C,MATCH('Shayak Income '!D575,'MPG Payment '!E:E,0))</f>
        <v>1006</v>
      </c>
      <c r="J575" s="88" t="str">
        <f>INDEX('MPG Payment '!$D:$D,MATCH('Shayak Income '!D575,'MPG Payment '!E:E,0))</f>
        <v>Sonvarsha</v>
      </c>
      <c r="K575" s="125" t="s">
        <v>1594</v>
      </c>
      <c r="L575" s="125">
        <v>45906</v>
      </c>
      <c r="M575" s="126">
        <f>SUMIF('MPG Payment '!$E$3:$E$344841,'Shayak Income '!D575,'MPG Payment '!$I$3:$I$344841)</f>
        <v>1325.1</v>
      </c>
      <c r="N575" s="126">
        <f>SUMIF('MPG Payment '!$E$3:$E$344841,'Shayak Income '!D575,'MPG Payment '!$J$3:$J$344841)</f>
        <v>73034.66</v>
      </c>
      <c r="O575" s="126">
        <f t="shared" si="154"/>
        <v>993.82499999999993</v>
      </c>
      <c r="P575" s="126">
        <f t="shared" si="155"/>
        <v>1258.8449999999998</v>
      </c>
      <c r="Q575" s="126">
        <f>SUMIF('MPG Payment '!$E$3:$E$344841,'Shayak Income '!D575,'MPG Payment '!$S$3:$S$344841)</f>
        <v>0</v>
      </c>
      <c r="R575" s="126">
        <f t="shared" si="145"/>
        <v>2191.0398</v>
      </c>
      <c r="S575" s="126">
        <f t="shared" si="146"/>
        <v>932.19480000000021</v>
      </c>
      <c r="T575" s="126">
        <f t="shared" si="156"/>
        <v>132.51</v>
      </c>
      <c r="U575" s="127">
        <f>((((((IF(K575="New",0,SUMIF('MPG Payment '!$E$3:$E$344841,'Shayak Income '!D575,'MPG Payment '!$AC$3:$AC$344841))))+0)+0)+0)+0)+0</f>
        <v>1725.6112505480107</v>
      </c>
      <c r="V575" s="127">
        <f t="shared" si="157"/>
        <v>395</v>
      </c>
      <c r="W575" s="19">
        <f t="shared" si="158"/>
        <v>0</v>
      </c>
      <c r="X575" s="19">
        <f t="shared" si="147"/>
        <v>0</v>
      </c>
      <c r="Y575" s="128">
        <f>IFERROR(VLOOKUP(D575,'Monthly Deduction'!$M$2:$N$640,2,0),0)</f>
        <v>0</v>
      </c>
      <c r="Z575" s="128">
        <v>0</v>
      </c>
      <c r="AA575" s="126">
        <f>IFERROR(VLOOKUP(D575,'Monthly Deduction'!A:B,2,0),0)</f>
        <v>0</v>
      </c>
      <c r="AB575" s="129">
        <f t="shared" si="148"/>
        <v>395</v>
      </c>
      <c r="AC575" s="130">
        <v>0</v>
      </c>
      <c r="AD575" s="35">
        <f t="shared" si="159"/>
        <v>395</v>
      </c>
      <c r="AE575" s="166" t="str">
        <f t="shared" si="160"/>
        <v>Release</v>
      </c>
      <c r="AF575" s="127"/>
      <c r="AG575" s="18">
        <v>0</v>
      </c>
      <c r="AH575" s="120"/>
      <c r="AI575" s="238">
        <v>0</v>
      </c>
      <c r="AJ575" s="132"/>
      <c r="AK575" s="151">
        <v>345</v>
      </c>
      <c r="AL575" s="154">
        <f t="shared" si="149"/>
        <v>0</v>
      </c>
      <c r="AM575" s="155"/>
      <c r="AN575" s="19">
        <f t="shared" si="150"/>
        <v>0</v>
      </c>
      <c r="AO575" s="118">
        <f>SUMIF('MPG Payment '!E:E,'Shayak Income '!D575,'MPG Payment '!AJ:AJ)</f>
        <v>0</v>
      </c>
      <c r="AP575" s="19">
        <f t="shared" si="151"/>
        <v>0</v>
      </c>
      <c r="AQ575" s="119">
        <f t="shared" si="161"/>
        <v>0</v>
      </c>
      <c r="AR575" s="91" t="s">
        <v>65</v>
      </c>
      <c r="AS575" s="91">
        <f t="shared" si="152"/>
        <v>0</v>
      </c>
      <c r="AT575" s="118"/>
      <c r="AU575" s="118"/>
      <c r="AV575" s="118"/>
    </row>
    <row r="576" spans="1:48" s="20" customFormat="1" x14ac:dyDescent="0.25">
      <c r="A576" s="17">
        <f>IFERROR(VLOOKUP(D576,'Monthly Deduction'!$I$3:$J$957,2,0),0)</f>
        <v>0</v>
      </c>
      <c r="B576" s="17">
        <f>IFERROR(VLOOKUP(D576,'Monthly Deduction'!$E$3:$F$957,2,0),0)</f>
        <v>0</v>
      </c>
      <c r="C576" s="17">
        <f t="shared" si="153"/>
        <v>0</v>
      </c>
      <c r="D576" s="41">
        <v>10550001</v>
      </c>
      <c r="E576" s="122" t="str">
        <f>VLOOKUP(D576,'MPG Payment '!$E$3:$G$497305,2,0)</f>
        <v>Balahpur-Anil Yadav</v>
      </c>
      <c r="F576" s="146">
        <f>IFERROR(_xlfn.XLOOKUP(D576,'Monthly Deduction'!$I$3:$I$957,'Monthly Deduction'!$H$3:$H$957),0)</f>
        <v>0</v>
      </c>
      <c r="G576" s="123" t="str">
        <f>VLOOKUP(D576,'MPG Payment '!$E$3:$G$333666,3,0)</f>
        <v>vlc</v>
      </c>
      <c r="H576" s="124" t="str">
        <f>VLOOKUP(D576,'MPG Payment '!$E$3:$H$333666,4,0)</f>
        <v>Indirect</v>
      </c>
      <c r="I576" s="88">
        <f>INDEX('MPG Payment '!$C:$C,MATCH('Shayak Income '!D576,'MPG Payment '!E:E,0))</f>
        <v>1055</v>
      </c>
      <c r="J576" s="88" t="str">
        <f>INDEX('MPG Payment '!$D:$D,MATCH('Shayak Income '!D576,'MPG Payment '!E:E,0))</f>
        <v>Matihani</v>
      </c>
      <c r="K576" s="125" t="s">
        <v>1594</v>
      </c>
      <c r="L576" s="125">
        <v>45863</v>
      </c>
      <c r="M576" s="126">
        <f>SUMIF('MPG Payment '!$E$3:$E$344841,'Shayak Income '!D576,'MPG Payment '!$I$3:$I$344841)</f>
        <v>100478.9</v>
      </c>
      <c r="N576" s="126">
        <f>SUMIF('MPG Payment '!$E$3:$E$344841,'Shayak Income '!D576,'MPG Payment '!$J$3:$J$344841)</f>
        <v>3829048.2199999997</v>
      </c>
      <c r="O576" s="126">
        <f t="shared" si="154"/>
        <v>75359.174999999988</v>
      </c>
      <c r="P576" s="126">
        <f t="shared" si="155"/>
        <v>95454.954999999987</v>
      </c>
      <c r="Q576" s="126">
        <f>SUMIF('MPG Payment '!$E$3:$E$344841,'Shayak Income '!D576,'MPG Payment '!$S$3:$S$344841)</f>
        <v>0</v>
      </c>
      <c r="R576" s="126">
        <f t="shared" si="145"/>
        <v>114871.44659999998</v>
      </c>
      <c r="S576" s="126">
        <f t="shared" si="146"/>
        <v>19416.491599999994</v>
      </c>
      <c r="T576" s="126">
        <f t="shared" si="156"/>
        <v>10047.89</v>
      </c>
      <c r="U576" s="127">
        <f>((((((IF(K576="New",0,SUMIF('MPG Payment '!$E$3:$E$344841,'Shayak Income '!D576,'MPG Payment '!$AC$3:$AC$344841))))+0)+0)+0)+0)+0</f>
        <v>0</v>
      </c>
      <c r="V576" s="127">
        <f t="shared" si="157"/>
        <v>160766</v>
      </c>
      <c r="W576" s="19">
        <f t="shared" si="158"/>
        <v>0</v>
      </c>
      <c r="X576" s="19">
        <f t="shared" si="147"/>
        <v>0</v>
      </c>
      <c r="Y576" s="128">
        <f>IFERROR(VLOOKUP(D576,'Monthly Deduction'!$M$2:$N$640,2,0),0)</f>
        <v>0</v>
      </c>
      <c r="Z576" s="128">
        <v>0</v>
      </c>
      <c r="AA576" s="126">
        <f>IFERROR(VLOOKUP(D576,'Monthly Deduction'!A:B,2,0),0)</f>
        <v>0</v>
      </c>
      <c r="AB576" s="129">
        <f t="shared" si="148"/>
        <v>160766</v>
      </c>
      <c r="AC576" s="130">
        <v>0</v>
      </c>
      <c r="AD576" s="35">
        <f t="shared" si="159"/>
        <v>160766</v>
      </c>
      <c r="AE576" s="166" t="str">
        <f t="shared" si="160"/>
        <v>Release</v>
      </c>
      <c r="AF576" s="127"/>
      <c r="AG576" s="127">
        <v>0</v>
      </c>
      <c r="AH576" s="132"/>
      <c r="AI576" s="238">
        <v>0</v>
      </c>
      <c r="AJ576" s="132"/>
      <c r="AK576" s="151">
        <v>18617.599999999999</v>
      </c>
      <c r="AL576" s="154">
        <f t="shared" si="149"/>
        <v>0</v>
      </c>
      <c r="AM576" s="155"/>
      <c r="AN576" s="19">
        <f t="shared" si="150"/>
        <v>0</v>
      </c>
      <c r="AO576" s="118">
        <f>SUMIF('MPG Payment '!E:E,'Shayak Income '!D576,'MPG Payment '!AJ:AJ)</f>
        <v>0</v>
      </c>
      <c r="AP576" s="19">
        <f t="shared" si="151"/>
        <v>0</v>
      </c>
      <c r="AQ576" s="119">
        <f t="shared" si="161"/>
        <v>0</v>
      </c>
      <c r="AR576" s="91"/>
      <c r="AS576" s="91">
        <f t="shared" si="152"/>
        <v>0</v>
      </c>
      <c r="AT576" s="118"/>
      <c r="AU576" s="118"/>
      <c r="AV576" s="118"/>
    </row>
    <row r="577" spans="1:48" s="20" customFormat="1" x14ac:dyDescent="0.25">
      <c r="A577" s="17">
        <f>IFERROR(VLOOKUP(D577,'Monthly Deduction'!$I$3:$J$957,2,0),0)</f>
        <v>0</v>
      </c>
      <c r="B577" s="17">
        <f>IFERROR(VLOOKUP(D577,'Monthly Deduction'!$E$3:$F$957,2,0),0)</f>
        <v>6793.8868241147011</v>
      </c>
      <c r="C577" s="17">
        <f t="shared" si="153"/>
        <v>6793.8868241147011</v>
      </c>
      <c r="D577" s="41">
        <v>10020081</v>
      </c>
      <c r="E577" s="122" t="str">
        <f>VLOOKUP(D577,'MPG Payment '!$E$3:$G$497305,2,0)</f>
        <v>G WOLIPUR</v>
      </c>
      <c r="F577" s="146">
        <f>IFERROR(_xlfn.XLOOKUP(D577,'Monthly Deduction'!$I$3:$I$957,'Monthly Deduction'!$H$3:$H$957),0)</f>
        <v>0</v>
      </c>
      <c r="G577" s="123" t="str">
        <f>VLOOKUP(D577,'MPG Payment '!$E$3:$G$333666,3,0)</f>
        <v>vlc</v>
      </c>
      <c r="H577" s="124" t="str">
        <f>VLOOKUP(D577,'MPG Payment '!$E$3:$H$333666,4,0)</f>
        <v>Indirect</v>
      </c>
      <c r="I577" s="88">
        <f>INDEX('MPG Payment '!$C:$C,MATCH('Shayak Income '!D577,'MPG Payment '!E:E,0))</f>
        <v>1002</v>
      </c>
      <c r="J577" s="88" t="str">
        <f>INDEX('MPG Payment '!$D:$D,MATCH('Shayak Income '!D577,'MPG Payment '!E:E,0))</f>
        <v>Laldiyara</v>
      </c>
      <c r="K577" s="125" t="s">
        <v>1594</v>
      </c>
      <c r="L577" s="125">
        <v>45915</v>
      </c>
      <c r="M577" s="126">
        <f>SUMIF('MPG Payment '!$E$3:$E$344841,'Shayak Income '!D577,'MPG Payment '!$I$3:$I$344841)</f>
        <v>8275.2999999999993</v>
      </c>
      <c r="N577" s="126">
        <f>SUMIF('MPG Payment '!$E$3:$E$344841,'Shayak Income '!D577,'MPG Payment '!$J$3:$J$344841)</f>
        <v>351248.03</v>
      </c>
      <c r="O577" s="126">
        <f t="shared" si="154"/>
        <v>6206.4749999999995</v>
      </c>
      <c r="P577" s="126">
        <f t="shared" si="155"/>
        <v>7861.5349999999989</v>
      </c>
      <c r="Q577" s="126">
        <f>SUMIF('MPG Payment '!$E$3:$E$344841,'Shayak Income '!D577,'MPG Payment '!$S$3:$S$344841)</f>
        <v>0</v>
      </c>
      <c r="R577" s="126">
        <f t="shared" si="145"/>
        <v>10537.4409</v>
      </c>
      <c r="S577" s="126">
        <f t="shared" si="146"/>
        <v>2675.9059000000007</v>
      </c>
      <c r="T577" s="126">
        <f t="shared" si="156"/>
        <v>827.53</v>
      </c>
      <c r="U577" s="127">
        <f>((((((IF(K577="New",0,SUMIF('MPG Payment '!$E$3:$E$344841,'Shayak Income '!D577,'MPG Payment '!$AC$3:$AC$344841))))+0)+0)+0)+0)+0</f>
        <v>0</v>
      </c>
      <c r="V577" s="127">
        <f t="shared" si="157"/>
        <v>13240</v>
      </c>
      <c r="W577" s="19">
        <f t="shared" si="158"/>
        <v>0</v>
      </c>
      <c r="X577" s="19">
        <f t="shared" si="147"/>
        <v>6793.8868241147011</v>
      </c>
      <c r="Y577" s="128">
        <f>IFERROR(VLOOKUP(D577,'Monthly Deduction'!$M$2:$N$640,2,0),0)</f>
        <v>0</v>
      </c>
      <c r="Z577" s="128">
        <v>0</v>
      </c>
      <c r="AA577" s="126">
        <f>IFERROR(VLOOKUP(D577,'Monthly Deduction'!A:B,2,0),0)</f>
        <v>0</v>
      </c>
      <c r="AB577" s="129">
        <f t="shared" si="148"/>
        <v>6446</v>
      </c>
      <c r="AC577" s="130">
        <v>0</v>
      </c>
      <c r="AD577" s="35">
        <f t="shared" si="159"/>
        <v>6446</v>
      </c>
      <c r="AE577" s="166" t="str">
        <f t="shared" si="160"/>
        <v>Release</v>
      </c>
      <c r="AF577" s="127"/>
      <c r="AG577" s="18">
        <v>0</v>
      </c>
      <c r="AH577" s="215"/>
      <c r="AI577" s="238">
        <v>0</v>
      </c>
      <c r="AJ577" s="132"/>
      <c r="AK577" s="151">
        <v>1713.6000000000006</v>
      </c>
      <c r="AL577" s="154">
        <f t="shared" si="149"/>
        <v>0</v>
      </c>
      <c r="AM577" s="155"/>
      <c r="AN577" s="19">
        <f t="shared" si="150"/>
        <v>0</v>
      </c>
      <c r="AO577" s="118">
        <f>SUMIF('MPG Payment '!E:E,'Shayak Income '!D577,'MPG Payment '!AJ:AJ)</f>
        <v>0</v>
      </c>
      <c r="AP577" s="19">
        <f t="shared" si="151"/>
        <v>0</v>
      </c>
      <c r="AQ577" s="119">
        <f t="shared" si="161"/>
        <v>0</v>
      </c>
      <c r="AR577" s="91" t="s">
        <v>1144</v>
      </c>
      <c r="AS577" s="91">
        <f t="shared" si="152"/>
        <v>0</v>
      </c>
      <c r="AT577" s="118"/>
      <c r="AU577" s="118"/>
      <c r="AV577" s="118"/>
    </row>
    <row r="578" spans="1:48" s="20" customFormat="1" x14ac:dyDescent="0.25">
      <c r="A578" s="17">
        <f>IFERROR(VLOOKUP(D578,'Monthly Deduction'!$I$3:$J$957,2,0),0)</f>
        <v>0</v>
      </c>
      <c r="B578" s="17">
        <f>IFERROR(VLOOKUP(D578,'Monthly Deduction'!$E$3:$F$957,2,0),0)</f>
        <v>10443.450194369041</v>
      </c>
      <c r="C578" s="17">
        <f t="shared" si="153"/>
        <v>10443.450194369041</v>
      </c>
      <c r="D578" s="41">
        <v>10020082</v>
      </c>
      <c r="E578" s="122" t="str">
        <f>VLOOKUP(D578,'MPG Payment '!$E$3:$G$497305,2,0)</f>
        <v>REHUA 3</v>
      </c>
      <c r="F578" s="146">
        <f>IFERROR(_xlfn.XLOOKUP(D578,'Monthly Deduction'!$I$3:$I$957,'Monthly Deduction'!$H$3:$H$957),0)</f>
        <v>0</v>
      </c>
      <c r="G578" s="123" t="str">
        <f>VLOOKUP(D578,'MPG Payment '!$E$3:$G$333666,3,0)</f>
        <v>vlc</v>
      </c>
      <c r="H578" s="124" t="str">
        <f>VLOOKUP(D578,'MPG Payment '!$E$3:$H$333666,4,0)</f>
        <v>Indirect</v>
      </c>
      <c r="I578" s="88">
        <f>INDEX('MPG Payment '!$C:$C,MATCH('Shayak Income '!D578,'MPG Payment '!E:E,0))</f>
        <v>1002</v>
      </c>
      <c r="J578" s="88" t="str">
        <f>INDEX('MPG Payment '!$D:$D,MATCH('Shayak Income '!D578,'MPG Payment '!E:E,0))</f>
        <v>Laldiyara</v>
      </c>
      <c r="K578" s="125" t="s">
        <v>1594</v>
      </c>
      <c r="L578" s="125">
        <v>45915</v>
      </c>
      <c r="M578" s="126">
        <f>SUMIF('MPG Payment '!$E$3:$E$344841,'Shayak Income '!D578,'MPG Payment '!$I$3:$I$344841)</f>
        <v>6678.6999999999989</v>
      </c>
      <c r="N578" s="126">
        <f>SUMIF('MPG Payment '!$E$3:$E$344841,'Shayak Income '!D578,'MPG Payment '!$J$3:$J$344841)</f>
        <v>290824.15999999997</v>
      </c>
      <c r="O578" s="126">
        <f t="shared" si="154"/>
        <v>5009.0249999999996</v>
      </c>
      <c r="P578" s="126">
        <f t="shared" si="155"/>
        <v>6344.7649999999985</v>
      </c>
      <c r="Q578" s="126">
        <f>SUMIF('MPG Payment '!$E$3:$E$344841,'Shayak Income '!D578,'MPG Payment '!$S$3:$S$344841)</f>
        <v>0</v>
      </c>
      <c r="R578" s="126">
        <f t="shared" si="145"/>
        <v>8724.7247999999981</v>
      </c>
      <c r="S578" s="126">
        <f t="shared" si="146"/>
        <v>2379.9597999999996</v>
      </c>
      <c r="T578" s="126">
        <f t="shared" si="156"/>
        <v>667.86999999999989</v>
      </c>
      <c r="U578" s="127">
        <f>((((((IF(K578="New",0,SUMIF('MPG Payment '!$E$3:$E$344841,'Shayak Income '!D578,'MPG Payment '!$AC$3:$AC$344841))))+0)+0)+0)+0)+0</f>
        <v>0</v>
      </c>
      <c r="V578" s="127">
        <f t="shared" si="157"/>
        <v>10686</v>
      </c>
      <c r="W578" s="19">
        <f t="shared" si="158"/>
        <v>0</v>
      </c>
      <c r="X578" s="19">
        <f t="shared" si="147"/>
        <v>5816.4831999999997</v>
      </c>
      <c r="Y578" s="128">
        <f>IFERROR(VLOOKUP(D578,'Monthly Deduction'!$M$2:$N$640,2,0),0)</f>
        <v>0</v>
      </c>
      <c r="Z578" s="128">
        <v>0</v>
      </c>
      <c r="AA578" s="126">
        <f>IFERROR(VLOOKUP(D578,'Monthly Deduction'!A:B,2,0),0)</f>
        <v>0</v>
      </c>
      <c r="AB578" s="129">
        <f t="shared" si="148"/>
        <v>4870</v>
      </c>
      <c r="AC578" s="130">
        <v>0</v>
      </c>
      <c r="AD578" s="35">
        <f t="shared" si="159"/>
        <v>4870</v>
      </c>
      <c r="AE578" s="166" t="str">
        <f t="shared" si="160"/>
        <v>Release</v>
      </c>
      <c r="AF578" s="127"/>
      <c r="AG578" s="18">
        <v>0</v>
      </c>
      <c r="AH578" s="132"/>
      <c r="AI578" s="238">
        <v>0</v>
      </c>
      <c r="AJ578" s="132"/>
      <c r="AK578" s="151">
        <v>1592.1</v>
      </c>
      <c r="AL578" s="154">
        <f t="shared" si="149"/>
        <v>0</v>
      </c>
      <c r="AM578" s="155"/>
      <c r="AN578" s="19">
        <f t="shared" si="150"/>
        <v>0</v>
      </c>
      <c r="AO578" s="118">
        <f>SUMIF('MPG Payment '!E:E,'Shayak Income '!D578,'MPG Payment '!AJ:AJ)</f>
        <v>0</v>
      </c>
      <c r="AP578" s="19">
        <f t="shared" si="151"/>
        <v>0</v>
      </c>
      <c r="AQ578" s="119">
        <f t="shared" si="161"/>
        <v>0</v>
      </c>
      <c r="AR578" s="91"/>
      <c r="AS578" s="91">
        <f t="shared" si="152"/>
        <v>4626.9669943690415</v>
      </c>
      <c r="AT578" s="118"/>
      <c r="AU578" s="118"/>
      <c r="AV578" s="118"/>
    </row>
    <row r="579" spans="1:48" s="20" customFormat="1" x14ac:dyDescent="0.25">
      <c r="A579" s="17">
        <f>IFERROR(VLOOKUP(D579,'Monthly Deduction'!$I$3:$J$957,2,0),0)</f>
        <v>0</v>
      </c>
      <c r="B579" s="17">
        <f>IFERROR(VLOOKUP(D579,'Monthly Deduction'!$E$3:$F$957,2,0),0)</f>
        <v>0</v>
      </c>
      <c r="C579" s="17">
        <f t="shared" si="153"/>
        <v>0</v>
      </c>
      <c r="D579" s="41">
        <v>10030077</v>
      </c>
      <c r="E579" s="122" t="str">
        <f>VLOOKUP(D579,'MPG Payment '!$E$3:$G$497305,2,0)</f>
        <v>KARHARIA V</v>
      </c>
      <c r="F579" s="146">
        <f>IFERROR(_xlfn.XLOOKUP(D579,'Monthly Deduction'!$I$3:$I$957,'Monthly Deduction'!$H$3:$H$957),0)</f>
        <v>0</v>
      </c>
      <c r="G579" s="123" t="str">
        <f>VLOOKUP(D579,'MPG Payment '!$E$3:$G$333666,3,0)</f>
        <v>vlc</v>
      </c>
      <c r="H579" s="124" t="str">
        <f>VLOOKUP(D579,'MPG Payment '!$E$3:$H$333666,4,0)</f>
        <v>Indirect</v>
      </c>
      <c r="I579" s="88">
        <f>INDEX('MPG Payment '!$C:$C,MATCH('Shayak Income '!D579,'MPG Payment '!E:E,0))</f>
        <v>1003</v>
      </c>
      <c r="J579" s="88" t="str">
        <f>INDEX('MPG Payment '!$D:$D,MATCH('Shayak Income '!D579,'MPG Payment '!E:E,0))</f>
        <v>Asarganj</v>
      </c>
      <c r="K579" s="125" t="s">
        <v>1594</v>
      </c>
      <c r="L579" s="125">
        <v>45916</v>
      </c>
      <c r="M579" s="126">
        <f>SUMIF('MPG Payment '!$E$3:$E$344841,'Shayak Income '!D579,'MPG Payment '!$I$3:$I$344841)</f>
        <v>640.5</v>
      </c>
      <c r="N579" s="126">
        <f>SUMIF('MPG Payment '!$E$3:$E$344841,'Shayak Income '!D579,'MPG Payment '!$J$3:$J$344841)</f>
        <v>23746.62</v>
      </c>
      <c r="O579" s="126">
        <f t="shared" si="154"/>
        <v>480.375</v>
      </c>
      <c r="P579" s="126">
        <f t="shared" si="155"/>
        <v>608.47500000000002</v>
      </c>
      <c r="Q579" s="126">
        <f>SUMIF('MPG Payment '!$E$3:$E$344841,'Shayak Income '!D579,'MPG Payment '!$S$3:$S$344841)</f>
        <v>0</v>
      </c>
      <c r="R579" s="126">
        <f t="shared" si="145"/>
        <v>712.39859999999999</v>
      </c>
      <c r="S579" s="126">
        <f t="shared" si="146"/>
        <v>103.92359999999996</v>
      </c>
      <c r="T579" s="126">
        <f t="shared" si="156"/>
        <v>64.05</v>
      </c>
      <c r="U579" s="127">
        <f>((((((IF(K579="New",0,SUMIF('MPG Payment '!$E$3:$E$344841,'Shayak Income '!D579,'MPG Payment '!$AC$3:$AC$344841))))+0)+0)+0)+0)+-576</f>
        <v>1024.7665571007865</v>
      </c>
      <c r="V579" s="127">
        <f t="shared" si="157"/>
        <v>0</v>
      </c>
      <c r="W579" s="19">
        <v>0</v>
      </c>
      <c r="X579" s="19">
        <v>0</v>
      </c>
      <c r="Y579" s="128">
        <v>0</v>
      </c>
      <c r="Z579" s="128">
        <v>0</v>
      </c>
      <c r="AA579" s="126">
        <v>0</v>
      </c>
      <c r="AB579" s="129">
        <f t="shared" si="148"/>
        <v>0</v>
      </c>
      <c r="AC579" s="130">
        <v>0</v>
      </c>
      <c r="AD579" s="35">
        <f t="shared" si="159"/>
        <v>0</v>
      </c>
      <c r="AE579" s="166" t="str">
        <f t="shared" si="160"/>
        <v>Release</v>
      </c>
      <c r="AF579" s="127"/>
      <c r="AG579" s="18">
        <v>0</v>
      </c>
      <c r="AH579" s="132"/>
      <c r="AI579" s="238">
        <v>0</v>
      </c>
      <c r="AJ579" s="132"/>
      <c r="AK579" s="151">
        <v>184.55</v>
      </c>
      <c r="AL579" s="154">
        <f t="shared" si="149"/>
        <v>0</v>
      </c>
      <c r="AM579" s="155"/>
      <c r="AN579" s="19">
        <f t="shared" si="150"/>
        <v>0</v>
      </c>
      <c r="AO579" s="118">
        <f>SUMIF('MPG Payment '!E:E,'Shayak Income '!D579,'MPG Payment '!AJ:AJ)</f>
        <v>0</v>
      </c>
      <c r="AP579" s="19">
        <f t="shared" si="151"/>
        <v>0</v>
      </c>
      <c r="AQ579" s="119">
        <f t="shared" si="161"/>
        <v>0</v>
      </c>
      <c r="AR579" s="91"/>
      <c r="AS579" s="91">
        <f t="shared" si="152"/>
        <v>0</v>
      </c>
      <c r="AT579" s="118"/>
      <c r="AU579" s="118"/>
      <c r="AV579" s="118"/>
    </row>
    <row r="580" spans="1:48" s="20" customFormat="1" x14ac:dyDescent="0.25">
      <c r="A580" s="17">
        <f>IFERROR(VLOOKUP(D580,'Monthly Deduction'!$I$3:$J$957,2,0),0)</f>
        <v>0</v>
      </c>
      <c r="B580" s="17">
        <f>IFERROR(VLOOKUP(D580,'Monthly Deduction'!$E$3:$F$957,2,0),0)</f>
        <v>0</v>
      </c>
      <c r="C580" s="17">
        <f t="shared" si="153"/>
        <v>0</v>
      </c>
      <c r="D580" s="41">
        <v>10090018</v>
      </c>
      <c r="E580" s="122" t="str">
        <f>VLOOKUP(D580,'MPG Payment '!$E$3:$G$497305,2,0)</f>
        <v>Gomukh ID Lalpur</v>
      </c>
      <c r="F580" s="146">
        <f>IFERROR(_xlfn.XLOOKUP(D580,'Monthly Deduction'!$I$3:$I$957,'Monthly Deduction'!$H$3:$H$957),0)</f>
        <v>0</v>
      </c>
      <c r="G580" s="123" t="str">
        <f>VLOOKUP(D580,'MPG Payment '!$E$3:$G$333666,3,0)</f>
        <v>vlc</v>
      </c>
      <c r="H580" s="124" t="str">
        <f>VLOOKUP(D580,'MPG Payment '!$E$3:$H$333666,4,0)</f>
        <v>Indirect</v>
      </c>
      <c r="I580" s="88">
        <f>INDEX('MPG Payment '!$C:$C,MATCH('Shayak Income '!D580,'MPG Payment '!E:E,0))</f>
        <v>1009</v>
      </c>
      <c r="J580" s="88" t="str">
        <f>INDEX('MPG Payment '!$D:$D,MATCH('Shayak Income '!D580,'MPG Payment '!E:E,0))</f>
        <v>Halsi</v>
      </c>
      <c r="K580" s="125" t="s">
        <v>1594</v>
      </c>
      <c r="L580" s="125">
        <v>44361</v>
      </c>
      <c r="M580" s="126">
        <f>SUMIF('MPG Payment '!$E$3:$E$344841,'Shayak Income '!D580,'MPG Payment '!$I$3:$I$344841)</f>
        <v>2549.8999999999996</v>
      </c>
      <c r="N580" s="126">
        <f>SUMIF('MPG Payment '!$E$3:$E$344841,'Shayak Income '!D580,'MPG Payment '!$J$3:$J$344841)</f>
        <v>102430.90999999999</v>
      </c>
      <c r="O580" s="126">
        <f t="shared" si="154"/>
        <v>1912.4249999999997</v>
      </c>
      <c r="P580" s="126">
        <f t="shared" si="155"/>
        <v>2422.4049999999997</v>
      </c>
      <c r="Q580" s="126">
        <f>SUMIF('MPG Payment '!$E$3:$E$344841,'Shayak Income '!D580,'MPG Payment '!$S$3:$S$344841)</f>
        <v>0</v>
      </c>
      <c r="R580" s="126">
        <f t="shared" ref="R580:R643" si="162">+N580*3%</f>
        <v>3072.9272999999994</v>
      </c>
      <c r="S580" s="126">
        <f t="shared" ref="S580:S643" si="163">R580-P580</f>
        <v>650.52229999999963</v>
      </c>
      <c r="T580" s="126">
        <f t="shared" si="156"/>
        <v>254.98999999999998</v>
      </c>
      <c r="U580" s="127">
        <f>((((((IF(K580="New",0,SUMIF('MPG Payment '!$E$3:$E$344841,'Shayak Income '!D580,'MPG Payment '!$AC$3:$AC$344841))))+0)+0)+0)+0)+0</f>
        <v>208.20645696706276</v>
      </c>
      <c r="V580" s="127">
        <f t="shared" si="157"/>
        <v>3872</v>
      </c>
      <c r="W580" s="19">
        <f t="shared" si="158"/>
        <v>0</v>
      </c>
      <c r="X580" s="19">
        <f t="shared" ref="X580:X639" si="164">((MIN(IF(B580&gt;0,MAX(N580*2%),0),B580)))+0</f>
        <v>0</v>
      </c>
      <c r="Y580" s="128">
        <f>IFERROR(VLOOKUP(D580,'Monthly Deduction'!$M$2:$N$640,2,0),0)</f>
        <v>0</v>
      </c>
      <c r="Z580" s="128">
        <v>0</v>
      </c>
      <c r="AA580" s="126">
        <f>IFERROR(VLOOKUP(D580,'Monthly Deduction'!A:B,2,0),0)</f>
        <v>0</v>
      </c>
      <c r="AB580" s="129">
        <f t="shared" ref="AB580:AB643" si="165">ROUND(IFERROR(V580-SUM(W580:AA580),0),0)</f>
        <v>3872</v>
      </c>
      <c r="AC580" s="130">
        <v>0</v>
      </c>
      <c r="AD580" s="35">
        <f t="shared" si="159"/>
        <v>3872</v>
      </c>
      <c r="AE580" s="166" t="str">
        <f t="shared" si="160"/>
        <v>Release</v>
      </c>
      <c r="AF580" s="127"/>
      <c r="AG580" s="18">
        <v>0</v>
      </c>
      <c r="AH580" s="120"/>
      <c r="AI580" s="238">
        <v>0</v>
      </c>
      <c r="AJ580" s="132"/>
      <c r="AK580" s="151">
        <v>436.4</v>
      </c>
      <c r="AL580" s="154">
        <f t="shared" ref="AL580:AL643" si="166">COUNTIF(AK580:AK580,"=NA")</f>
        <v>0</v>
      </c>
      <c r="AM580" s="155"/>
      <c r="AN580" s="19">
        <f t="shared" ref="AN580:AN643" si="167">((MIN(IF(A580&gt;0,MAX(N580*2%,1861),0),A580)))+0</f>
        <v>0</v>
      </c>
      <c r="AO580" s="118">
        <f>SUMIF('MPG Payment '!E:E,'Shayak Income '!D580,'MPG Payment '!AJ:AJ)</f>
        <v>0</v>
      </c>
      <c r="AP580" s="19">
        <f t="shared" ref="AP580:AP643" si="168">W580</f>
        <v>0</v>
      </c>
      <c r="AQ580" s="119">
        <f t="shared" si="161"/>
        <v>0</v>
      </c>
      <c r="AR580" s="91" t="s">
        <v>1144</v>
      </c>
      <c r="AS580" s="91">
        <f t="shared" ref="AS580:AS643" si="169">B580-X580</f>
        <v>0</v>
      </c>
      <c r="AT580" s="118"/>
      <c r="AU580" s="118"/>
      <c r="AV580" s="118"/>
    </row>
    <row r="581" spans="1:48" s="20" customFormat="1" x14ac:dyDescent="0.25">
      <c r="A581" s="17">
        <f>IFERROR(VLOOKUP(D581,'Monthly Deduction'!$I$3:$J$957,2,0),0)</f>
        <v>0</v>
      </c>
      <c r="B581" s="17">
        <f>IFERROR(VLOOKUP(D581,'Monthly Deduction'!$E$3:$F$957,2,0),0)</f>
        <v>0</v>
      </c>
      <c r="C581" s="17">
        <f t="shared" ref="C581:C644" si="170">A581+B581</f>
        <v>0</v>
      </c>
      <c r="D581" s="41">
        <v>10530090</v>
      </c>
      <c r="E581" s="122" t="str">
        <f>VLOOKUP(D581,'MPG Payment '!$E$3:$G$497305,2,0)</f>
        <v>BHATGAMA W-5</v>
      </c>
      <c r="F581" s="146">
        <f>IFERROR(_xlfn.XLOOKUP(D581,'Monthly Deduction'!$I$3:$I$957,'Monthly Deduction'!$H$3:$H$957),0)</f>
        <v>0</v>
      </c>
      <c r="G581" s="123" t="str">
        <f>VLOOKUP(D581,'MPG Payment '!$E$3:$G$333666,3,0)</f>
        <v>vlc</v>
      </c>
      <c r="H581" s="124" t="str">
        <f>VLOOKUP(D581,'MPG Payment '!$E$3:$H$333666,4,0)</f>
        <v>Indirect</v>
      </c>
      <c r="I581" s="88">
        <f>INDEX('MPG Payment '!$C:$C,MATCH('Shayak Income '!D581,'MPG Payment '!E:E,0))</f>
        <v>1012</v>
      </c>
      <c r="J581" s="88" t="str">
        <f>INDEX('MPG Payment '!$D:$D,MATCH('Shayak Income '!D581,'MPG Payment '!E:E,0))</f>
        <v>DalsinghSarai</v>
      </c>
      <c r="K581" s="125" t="s">
        <v>1594</v>
      </c>
      <c r="L581" s="125">
        <v>45912</v>
      </c>
      <c r="M581" s="126">
        <f>SUMIF('MPG Payment '!$E$3:$E$344841,'Shayak Income '!D581,'MPG Payment '!$I$3:$I$344841)</f>
        <v>1339.53</v>
      </c>
      <c r="N581" s="126">
        <f>SUMIF('MPG Payment '!$E$3:$E$344841,'Shayak Income '!D581,'MPG Payment '!$J$3:$J$344841)</f>
        <v>46018.62</v>
      </c>
      <c r="O581" s="126">
        <f t="shared" ref="O581:O644" si="171">+M581*0.75</f>
        <v>1004.6475</v>
      </c>
      <c r="P581" s="126">
        <f t="shared" ref="P581:P644" si="172">+M581*0.95</f>
        <v>1272.5535</v>
      </c>
      <c r="Q581" s="126">
        <f>SUMIF('MPG Payment '!$E$3:$E$344841,'Shayak Income '!D581,'MPG Payment '!$S$3:$S$344841)</f>
        <v>0</v>
      </c>
      <c r="R581" s="126">
        <f t="shared" si="162"/>
        <v>1380.5586000000001</v>
      </c>
      <c r="S581" s="126">
        <f t="shared" si="163"/>
        <v>108.00510000000008</v>
      </c>
      <c r="T581" s="126">
        <f t="shared" ref="T581:T644" si="173">M581*0.1</f>
        <v>133.953</v>
      </c>
      <c r="U581" s="127">
        <f>((((((IF(K581="New",0,SUMIF('MPG Payment '!$E$3:$E$344841,'Shayak Income '!D581,'MPG Payment '!$AC$3:$AC$344841))))+0)+0)+0)+0)+0</f>
        <v>1030.2305758563168</v>
      </c>
      <c r="V581" s="127">
        <f t="shared" ref="V581:V644" si="174">ROUND((SUM(O581:Q581)-SUM(T581:U581)),0)</f>
        <v>1113</v>
      </c>
      <c r="W581" s="19">
        <f t="shared" ref="W581:W644" si="175">(((AN581-AO581)))+0</f>
        <v>0</v>
      </c>
      <c r="X581" s="19">
        <f t="shared" si="164"/>
        <v>0</v>
      </c>
      <c r="Y581" s="128">
        <f>IFERROR(VLOOKUP(D581,'Monthly Deduction'!$M$2:$N$640,2,0),0)</f>
        <v>0</v>
      </c>
      <c r="Z581" s="128">
        <v>0</v>
      </c>
      <c r="AA581" s="126">
        <f>IFERROR(VLOOKUP(D581,'Monthly Deduction'!A:B,2,0),0)</f>
        <v>0</v>
      </c>
      <c r="AB581" s="129">
        <f t="shared" si="165"/>
        <v>1113</v>
      </c>
      <c r="AC581" s="130">
        <v>0</v>
      </c>
      <c r="AD581" s="35">
        <f t="shared" ref="AD581:AD644" si="176">ROUND(AB581-AC581,0)</f>
        <v>1113</v>
      </c>
      <c r="AE581" s="166" t="str">
        <f t="shared" ref="AE581:AE644" si="177">IF(AC581&lt;&gt;0,"Yes","Release")</f>
        <v>Release</v>
      </c>
      <c r="AF581" s="127"/>
      <c r="AG581" s="127">
        <v>0</v>
      </c>
      <c r="AH581" s="120"/>
      <c r="AI581" s="238">
        <v>0</v>
      </c>
      <c r="AJ581" s="132"/>
      <c r="AK581" s="151">
        <v>261.2</v>
      </c>
      <c r="AL581" s="154">
        <f t="shared" si="166"/>
        <v>0</v>
      </c>
      <c r="AM581" s="155"/>
      <c r="AN581" s="19">
        <f t="shared" si="167"/>
        <v>0</v>
      </c>
      <c r="AO581" s="118">
        <f>SUMIF('MPG Payment '!E:E,'Shayak Income '!D581,'MPG Payment '!AJ:AJ)</f>
        <v>0</v>
      </c>
      <c r="AP581" s="19">
        <f t="shared" si="168"/>
        <v>0</v>
      </c>
      <c r="AQ581" s="119">
        <f t="shared" ref="AQ581:AQ644" si="178">AO581+AP581</f>
        <v>0</v>
      </c>
      <c r="AR581" s="91" t="s">
        <v>1144</v>
      </c>
      <c r="AS581" s="91">
        <f t="shared" si="169"/>
        <v>0</v>
      </c>
      <c r="AT581" s="118"/>
      <c r="AU581" s="118"/>
      <c r="AV581" s="118"/>
    </row>
    <row r="582" spans="1:48" s="20" customFormat="1" x14ac:dyDescent="0.25">
      <c r="A582" s="17">
        <f>IFERROR(VLOOKUP(D582,'Monthly Deduction'!$I$3:$J$957,2,0),0)</f>
        <v>103239</v>
      </c>
      <c r="B582" s="17">
        <f>IFERROR(VLOOKUP(D582,'Monthly Deduction'!$E$3:$F$957,2,0),0)</f>
        <v>6400</v>
      </c>
      <c r="C582" s="17">
        <f t="shared" si="170"/>
        <v>109639</v>
      </c>
      <c r="D582" s="41">
        <v>10570001</v>
      </c>
      <c r="E582" s="122" t="str">
        <f>VLOOKUP(D582,'MPG Payment '!$E$3:$G$497305,2,0)</f>
        <v>Karian</v>
      </c>
      <c r="F582" s="146">
        <f>IFERROR(_xlfn.XLOOKUP(D582,'Monthly Deduction'!$I$3:$I$957,'Monthly Deduction'!$H$3:$H$957),0)</f>
        <v>0</v>
      </c>
      <c r="G582" s="123" t="str">
        <f>VLOOKUP(D582,'MPG Payment '!$E$3:$G$333666,3,0)</f>
        <v>MPG</v>
      </c>
      <c r="H582" s="124" t="str">
        <f>VLOOKUP(D582,'MPG Payment '!$E$3:$H$333666,4,0)</f>
        <v>Direct</v>
      </c>
      <c r="I582" s="88">
        <f>INDEX('MPG Payment '!$C:$C,MATCH('Shayak Income '!D582,'MPG Payment '!E:E,0))</f>
        <v>1063</v>
      </c>
      <c r="J582" s="88" t="str">
        <f>INDEX('MPG Payment '!$D:$D,MATCH('Shayak Income '!D582,'MPG Payment '!E:E,0))</f>
        <v>Rosera</v>
      </c>
      <c r="K582" s="125" t="s">
        <v>1594</v>
      </c>
      <c r="L582" s="125">
        <v>45915</v>
      </c>
      <c r="M582" s="126">
        <f>SUMIF('MPG Payment '!$E$3:$E$344841,'Shayak Income '!D582,'MPG Payment '!$I$3:$I$344841)</f>
        <v>259.89999999999998</v>
      </c>
      <c r="N582" s="126">
        <f>SUMIF('MPG Payment '!$E$3:$E$344841,'Shayak Income '!D582,'MPG Payment '!$J$3:$J$344841)</f>
        <v>9845.6400000000012</v>
      </c>
      <c r="O582" s="126">
        <f t="shared" si="171"/>
        <v>194.92499999999998</v>
      </c>
      <c r="P582" s="126">
        <f t="shared" si="172"/>
        <v>246.90499999999997</v>
      </c>
      <c r="Q582" s="126">
        <f>SUMIF('MPG Payment '!$E$3:$E$344841,'Shayak Income '!D582,'MPG Payment '!$S$3:$S$344841)</f>
        <v>41.210000000000008</v>
      </c>
      <c r="R582" s="126">
        <f t="shared" si="162"/>
        <v>295.36920000000003</v>
      </c>
      <c r="S582" s="126">
        <f t="shared" si="163"/>
        <v>48.464200000000062</v>
      </c>
      <c r="T582" s="126">
        <f t="shared" si="173"/>
        <v>25.99</v>
      </c>
      <c r="U582" s="127">
        <f>((((((IF(K582="New",0,SUMIF('MPG Payment '!$E$3:$E$344841,'Shayak Income '!D582,'MPG Payment '!$AC$3:$AC$344841))))+0)+0)+0)+0)+-1467</f>
        <v>457.054507366292</v>
      </c>
      <c r="V582" s="127">
        <f t="shared" si="174"/>
        <v>0</v>
      </c>
      <c r="W582" s="19">
        <v>0</v>
      </c>
      <c r="X582" s="19">
        <v>0</v>
      </c>
      <c r="Y582" s="128">
        <v>0</v>
      </c>
      <c r="Z582" s="128">
        <v>0</v>
      </c>
      <c r="AA582" s="126">
        <v>0</v>
      </c>
      <c r="AB582" s="129">
        <f t="shared" si="165"/>
        <v>0</v>
      </c>
      <c r="AC582" s="130">
        <f t="shared" ref="AC582:AC583" si="179">AB582</f>
        <v>0</v>
      </c>
      <c r="AD582" s="35">
        <f t="shared" si="176"/>
        <v>0</v>
      </c>
      <c r="AE582" s="166" t="str">
        <f t="shared" si="177"/>
        <v>Release</v>
      </c>
      <c r="AF582" s="127"/>
      <c r="AG582" s="18">
        <v>0</v>
      </c>
      <c r="AH582" s="120" t="s">
        <v>1686</v>
      </c>
      <c r="AI582" s="238">
        <v>18741</v>
      </c>
      <c r="AJ582" s="132"/>
      <c r="AK582" s="151">
        <v>47.499999999999993</v>
      </c>
      <c r="AL582" s="154">
        <f t="shared" si="166"/>
        <v>0</v>
      </c>
      <c r="AM582" s="155"/>
      <c r="AN582" s="19">
        <f t="shared" si="167"/>
        <v>1861</v>
      </c>
      <c r="AO582" s="118">
        <f>SUMIF('MPG Payment '!E:E,'Shayak Income '!D582,'MPG Payment '!AJ:AJ)</f>
        <v>2000</v>
      </c>
      <c r="AP582" s="19">
        <f t="shared" si="168"/>
        <v>0</v>
      </c>
      <c r="AQ582" s="119">
        <f t="shared" si="178"/>
        <v>2000</v>
      </c>
      <c r="AR582" s="91" t="s">
        <v>1144</v>
      </c>
      <c r="AS582" s="91">
        <f t="shared" si="169"/>
        <v>6400</v>
      </c>
      <c r="AT582" s="118"/>
      <c r="AU582" s="118"/>
      <c r="AV582" s="118"/>
    </row>
    <row r="583" spans="1:48" s="20" customFormat="1" x14ac:dyDescent="0.25">
      <c r="A583" s="17">
        <f>IFERROR(VLOOKUP(D583,'Monthly Deduction'!$I$3:$J$957,2,0),0)</f>
        <v>102854</v>
      </c>
      <c r="B583" s="17">
        <f>IFERROR(VLOOKUP(D583,'Monthly Deduction'!$E$3:$F$957,2,0),0)</f>
        <v>6400</v>
      </c>
      <c r="C583" s="17">
        <f t="shared" si="170"/>
        <v>109254</v>
      </c>
      <c r="D583" s="41">
        <v>10570003</v>
      </c>
      <c r="E583" s="122" t="str">
        <f>VLOOKUP(D583,'MPG Payment '!$E$3:$G$497305,2,0)</f>
        <v>Teghara</v>
      </c>
      <c r="F583" s="146">
        <f>IFERROR(_xlfn.XLOOKUP(D583,'Monthly Deduction'!$I$3:$I$957,'Monthly Deduction'!$H$3:$H$957),0)</f>
        <v>0</v>
      </c>
      <c r="G583" s="123" t="str">
        <f>VLOOKUP(D583,'MPG Payment '!$E$3:$G$333666,3,0)</f>
        <v>MPG</v>
      </c>
      <c r="H583" s="124" t="str">
        <f>VLOOKUP(D583,'MPG Payment '!$E$3:$H$333666,4,0)</f>
        <v>Direct</v>
      </c>
      <c r="I583" s="88">
        <f>INDEX('MPG Payment '!$C:$C,MATCH('Shayak Income '!D583,'MPG Payment '!E:E,0))</f>
        <v>1057</v>
      </c>
      <c r="J583" s="88" t="str">
        <f>INDEX('MPG Payment '!$D:$D,MATCH('Shayak Income '!D583,'MPG Payment '!E:E,0))</f>
        <v>Warisnagar</v>
      </c>
      <c r="K583" s="125" t="s">
        <v>1594</v>
      </c>
      <c r="L583" s="125">
        <v>45915</v>
      </c>
      <c r="M583" s="126">
        <f>SUMIF('MPG Payment '!$E$3:$E$344841,'Shayak Income '!D583,'MPG Payment '!$I$3:$I$344841)</f>
        <v>1225.5</v>
      </c>
      <c r="N583" s="126">
        <f>SUMIF('MPG Payment '!$E$3:$E$344841,'Shayak Income '!D583,'MPG Payment '!$J$3:$J$344841)</f>
        <v>48641.759999999995</v>
      </c>
      <c r="O583" s="126">
        <f t="shared" si="171"/>
        <v>919.125</v>
      </c>
      <c r="P583" s="126">
        <f t="shared" si="172"/>
        <v>1164.2249999999999</v>
      </c>
      <c r="Q583" s="126">
        <f>SUMIF('MPG Payment '!$E$3:$E$344841,'Shayak Income '!D583,'MPG Payment '!$S$3:$S$344841)</f>
        <v>258.39</v>
      </c>
      <c r="R583" s="126">
        <f t="shared" si="162"/>
        <v>1459.2527999999998</v>
      </c>
      <c r="S583" s="126">
        <f t="shared" si="163"/>
        <v>295.02779999999984</v>
      </c>
      <c r="T583" s="126">
        <f t="shared" si="173"/>
        <v>122.55000000000001</v>
      </c>
      <c r="U583" s="127">
        <f>((((((IF(K583="New",0,SUMIF('MPG Payment '!$E$3:$E$344841,'Shayak Income '!D583,'MPG Payment '!$AC$3:$AC$344841))))+0)+0)+0)+0)+0</f>
        <v>1249.6717143297963</v>
      </c>
      <c r="V583" s="127">
        <f t="shared" si="174"/>
        <v>970</v>
      </c>
      <c r="W583" s="19">
        <v>0</v>
      </c>
      <c r="X583" s="19">
        <v>970</v>
      </c>
      <c r="Y583" s="128">
        <f>IFERROR(VLOOKUP(D583,'Monthly Deduction'!$M$2:$N$640,2,0),0)</f>
        <v>0</v>
      </c>
      <c r="Z583" s="128">
        <v>0</v>
      </c>
      <c r="AA583" s="126">
        <v>0</v>
      </c>
      <c r="AB583" s="129">
        <f t="shared" si="165"/>
        <v>0</v>
      </c>
      <c r="AC583" s="130">
        <f t="shared" si="179"/>
        <v>0</v>
      </c>
      <c r="AD583" s="35">
        <f t="shared" si="176"/>
        <v>0</v>
      </c>
      <c r="AE583" s="166" t="str">
        <f t="shared" si="177"/>
        <v>Release</v>
      </c>
      <c r="AF583" s="127"/>
      <c r="AG583" s="18">
        <v>0</v>
      </c>
      <c r="AH583" s="120" t="s">
        <v>1685</v>
      </c>
      <c r="AI583" s="238">
        <v>18165</v>
      </c>
      <c r="AJ583" s="132"/>
      <c r="AK583" s="151">
        <v>272.00000000000006</v>
      </c>
      <c r="AL583" s="154">
        <f t="shared" si="166"/>
        <v>0</v>
      </c>
      <c r="AM583" s="155"/>
      <c r="AN583" s="19">
        <f t="shared" si="167"/>
        <v>1861</v>
      </c>
      <c r="AO583" s="118">
        <f>SUMIF('MPG Payment '!E:E,'Shayak Income '!D583,'MPG Payment '!AJ:AJ)</f>
        <v>2000</v>
      </c>
      <c r="AP583" s="19">
        <f t="shared" si="168"/>
        <v>0</v>
      </c>
      <c r="AQ583" s="119">
        <f t="shared" si="178"/>
        <v>2000</v>
      </c>
      <c r="AR583" s="91" t="s">
        <v>1144</v>
      </c>
      <c r="AS583" s="91">
        <f t="shared" si="169"/>
        <v>5430</v>
      </c>
      <c r="AT583" s="118"/>
      <c r="AU583" s="118"/>
      <c r="AV583" s="118"/>
    </row>
    <row r="584" spans="1:48" s="20" customFormat="1" x14ac:dyDescent="0.25">
      <c r="A584" s="17">
        <f>IFERROR(VLOOKUP(D584,'Monthly Deduction'!$I$3:$J$957,2,0),0)</f>
        <v>55106.434685538996</v>
      </c>
      <c r="B584" s="17">
        <f>IFERROR(VLOOKUP(D584,'Monthly Deduction'!$E$3:$F$957,2,0),0)</f>
        <v>6400</v>
      </c>
      <c r="C584" s="17">
        <f t="shared" si="170"/>
        <v>61506.434685538996</v>
      </c>
      <c r="D584" s="41">
        <v>10570008</v>
      </c>
      <c r="E584" s="122" t="str">
        <f>VLOOKUP(D584,'MPG Payment '!$E$3:$G$497305,2,0)</f>
        <v>Chakoti</v>
      </c>
      <c r="F584" s="146">
        <f>IFERROR(_xlfn.XLOOKUP(D584,'Monthly Deduction'!$I$3:$I$957,'Monthly Deduction'!$H$3:$H$957),0)</f>
        <v>0</v>
      </c>
      <c r="G584" s="123" t="str">
        <f>VLOOKUP(D584,'MPG Payment '!$E$3:$G$333666,3,0)</f>
        <v>MPG</v>
      </c>
      <c r="H584" s="124" t="str">
        <f>VLOOKUP(D584,'MPG Payment '!$E$3:$H$333666,4,0)</f>
        <v>Direct</v>
      </c>
      <c r="I584" s="88">
        <f>INDEX('MPG Payment '!$C:$C,MATCH('Shayak Income '!D584,'MPG Payment '!E:E,0))</f>
        <v>1057</v>
      </c>
      <c r="J584" s="88" t="str">
        <f>INDEX('MPG Payment '!$D:$D,MATCH('Shayak Income '!D584,'MPG Payment '!E:E,0))</f>
        <v>Warisnagar</v>
      </c>
      <c r="K584" s="125" t="s">
        <v>1594</v>
      </c>
      <c r="L584" s="125">
        <v>45915</v>
      </c>
      <c r="M584" s="126">
        <f>SUMIF('MPG Payment '!$E$3:$E$344841,'Shayak Income '!D584,'MPG Payment '!$I$3:$I$344841)</f>
        <v>4014.2</v>
      </c>
      <c r="N584" s="126">
        <f>SUMIF('MPG Payment '!$E$3:$E$344841,'Shayak Income '!D584,'MPG Payment '!$J$3:$J$344841)</f>
        <v>160828.52999999997</v>
      </c>
      <c r="O584" s="126">
        <f t="shared" si="171"/>
        <v>3010.6499999999996</v>
      </c>
      <c r="P584" s="126">
        <f t="shared" si="172"/>
        <v>3813.49</v>
      </c>
      <c r="Q584" s="126">
        <f>SUMIF('MPG Payment '!$E$3:$E$344841,'Shayak Income '!D584,'MPG Payment '!$S$3:$S$344841)</f>
        <v>2717.29</v>
      </c>
      <c r="R584" s="126">
        <f t="shared" si="162"/>
        <v>4824.8558999999987</v>
      </c>
      <c r="S584" s="126">
        <f t="shared" si="163"/>
        <v>1011.3658999999989</v>
      </c>
      <c r="T584" s="126">
        <f t="shared" si="173"/>
        <v>401.42</v>
      </c>
      <c r="U584" s="127">
        <f>((((((IF(K584="New",0,SUMIF('MPG Payment '!$E$3:$E$344841,'Shayak Income '!D584,'MPG Payment '!$AC$3:$AC$344841))))+0)+0)+0)+0)+0</f>
        <v>0</v>
      </c>
      <c r="V584" s="127">
        <f t="shared" si="174"/>
        <v>9140</v>
      </c>
      <c r="W584" s="19">
        <f t="shared" si="175"/>
        <v>3216.5705999999996</v>
      </c>
      <c r="X584" s="19">
        <v>0</v>
      </c>
      <c r="Y584" s="128">
        <f>IFERROR(VLOOKUP(D584,'Monthly Deduction'!$M$2:$N$640,2,0),0)</f>
        <v>0</v>
      </c>
      <c r="Z584" s="128">
        <v>0</v>
      </c>
      <c r="AA584" s="126">
        <f>IFERROR(VLOOKUP(D584,'Monthly Deduction'!A:B,2,0),0)</f>
        <v>274.5</v>
      </c>
      <c r="AB584" s="129">
        <f t="shared" si="165"/>
        <v>5649</v>
      </c>
      <c r="AC584" s="130">
        <v>0</v>
      </c>
      <c r="AD584" s="35">
        <f t="shared" si="176"/>
        <v>5649</v>
      </c>
      <c r="AE584" s="166" t="str">
        <f t="shared" si="177"/>
        <v>Release</v>
      </c>
      <c r="AF584" s="127"/>
      <c r="AG584" s="18">
        <v>0</v>
      </c>
      <c r="AH584" s="120"/>
      <c r="AI584" s="238">
        <v>0</v>
      </c>
      <c r="AJ584" s="132"/>
      <c r="AK584" s="151">
        <v>951</v>
      </c>
      <c r="AL584" s="154">
        <f t="shared" si="166"/>
        <v>0</v>
      </c>
      <c r="AM584" s="155"/>
      <c r="AN584" s="19">
        <f t="shared" si="167"/>
        <v>3216.5705999999996</v>
      </c>
      <c r="AO584" s="118">
        <f>SUMIF('MPG Payment '!E:E,'Shayak Income '!D584,'MPG Payment '!AJ:AJ)</f>
        <v>0</v>
      </c>
      <c r="AP584" s="19">
        <f t="shared" si="168"/>
        <v>3216.5705999999996</v>
      </c>
      <c r="AQ584" s="119">
        <f t="shared" si="178"/>
        <v>3216.5705999999996</v>
      </c>
      <c r="AR584" s="91" t="s">
        <v>1144</v>
      </c>
      <c r="AS584" s="91">
        <f t="shared" si="169"/>
        <v>6400</v>
      </c>
      <c r="AT584" s="118"/>
      <c r="AU584" s="118"/>
      <c r="AV584" s="118"/>
    </row>
    <row r="585" spans="1:48" s="20" customFormat="1" x14ac:dyDescent="0.25">
      <c r="A585" s="17">
        <f>IFERROR(VLOOKUP(D585,'Monthly Deduction'!$I$3:$J$957,2,0),0)</f>
        <v>69199.513059969206</v>
      </c>
      <c r="B585" s="17">
        <f>IFERROR(VLOOKUP(D585,'Monthly Deduction'!$E$3:$F$957,2,0),0)</f>
        <v>6400</v>
      </c>
      <c r="C585" s="17">
        <f t="shared" si="170"/>
        <v>75599.513059969206</v>
      </c>
      <c r="D585" s="41">
        <v>10570009</v>
      </c>
      <c r="E585" s="122" t="str">
        <f>VLOOKUP(D585,'MPG Payment '!$E$3:$G$497305,2,0)</f>
        <v>Nathudawar</v>
      </c>
      <c r="F585" s="146">
        <f>IFERROR(_xlfn.XLOOKUP(D585,'Monthly Deduction'!$I$3:$I$957,'Monthly Deduction'!$H$3:$H$957),0)</f>
        <v>0</v>
      </c>
      <c r="G585" s="123" t="str">
        <f>VLOOKUP(D585,'MPG Payment '!$E$3:$G$333666,3,0)</f>
        <v>MPG</v>
      </c>
      <c r="H585" s="124" t="str">
        <f>VLOOKUP(D585,'MPG Payment '!$E$3:$H$333666,4,0)</f>
        <v>Direct</v>
      </c>
      <c r="I585" s="88">
        <f>INDEX('MPG Payment '!$C:$C,MATCH('Shayak Income '!D585,'MPG Payment '!E:E,0))</f>
        <v>1057</v>
      </c>
      <c r="J585" s="88" t="str">
        <f>INDEX('MPG Payment '!$D:$D,MATCH('Shayak Income '!D585,'MPG Payment '!E:E,0))</f>
        <v>Warisnagar</v>
      </c>
      <c r="K585" s="125" t="s">
        <v>1594</v>
      </c>
      <c r="L585" s="125">
        <v>45915</v>
      </c>
      <c r="M585" s="126">
        <f>SUMIF('MPG Payment '!$E$3:$E$344841,'Shayak Income '!D585,'MPG Payment '!$I$3:$I$344841)</f>
        <v>4425.3</v>
      </c>
      <c r="N585" s="126">
        <f>SUMIF('MPG Payment '!$E$3:$E$344841,'Shayak Income '!D585,'MPG Payment '!$J$3:$J$344841)</f>
        <v>174468.08000000002</v>
      </c>
      <c r="O585" s="126">
        <f t="shared" si="171"/>
        <v>3318.9750000000004</v>
      </c>
      <c r="P585" s="126">
        <f t="shared" si="172"/>
        <v>4204.0349999999999</v>
      </c>
      <c r="Q585" s="126">
        <f>SUMIF('MPG Payment '!$E$3:$E$344841,'Shayak Income '!D585,'MPG Payment '!$S$3:$S$344841)</f>
        <v>632.29</v>
      </c>
      <c r="R585" s="126">
        <f t="shared" si="162"/>
        <v>5234.0424000000003</v>
      </c>
      <c r="S585" s="126">
        <f t="shared" si="163"/>
        <v>1030.0074000000004</v>
      </c>
      <c r="T585" s="126">
        <f t="shared" si="173"/>
        <v>442.53000000000003</v>
      </c>
      <c r="U585" s="127">
        <f>((((((IF(K585="New",0,SUMIF('MPG Payment '!$E$3:$E$344841,'Shayak Income '!D585,'MPG Payment '!$AC$3:$AC$344841))))+0)+0)+0)+0)+0</f>
        <v>0</v>
      </c>
      <c r="V585" s="127">
        <f t="shared" si="174"/>
        <v>7713</v>
      </c>
      <c r="W585" s="19">
        <f t="shared" si="175"/>
        <v>3489.3616000000002</v>
      </c>
      <c r="X585" s="19">
        <v>0</v>
      </c>
      <c r="Y585" s="128">
        <f>IFERROR(VLOOKUP(D585,'Monthly Deduction'!$M$2:$N$640,2,0),0)</f>
        <v>0</v>
      </c>
      <c r="Z585" s="128">
        <v>0</v>
      </c>
      <c r="AA585" s="126">
        <f>IFERROR(VLOOKUP(D585,'Monthly Deduction'!A:B,2,0),0)</f>
        <v>0</v>
      </c>
      <c r="AB585" s="129">
        <f t="shared" si="165"/>
        <v>4224</v>
      </c>
      <c r="AC585" s="130">
        <v>0</v>
      </c>
      <c r="AD585" s="35">
        <f t="shared" si="176"/>
        <v>4224</v>
      </c>
      <c r="AE585" s="166" t="str">
        <f t="shared" si="177"/>
        <v>Release</v>
      </c>
      <c r="AF585" s="127"/>
      <c r="AG585" s="127">
        <v>0</v>
      </c>
      <c r="AH585" s="120"/>
      <c r="AI585" s="238">
        <v>0</v>
      </c>
      <c r="AJ585" s="132"/>
      <c r="AK585" s="151">
        <v>1291.8999999999999</v>
      </c>
      <c r="AL585" s="154">
        <f t="shared" si="166"/>
        <v>0</v>
      </c>
      <c r="AM585" s="155"/>
      <c r="AN585" s="19">
        <f t="shared" si="167"/>
        <v>3489.3616000000002</v>
      </c>
      <c r="AO585" s="118">
        <f>SUMIF('MPG Payment '!E:E,'Shayak Income '!D585,'MPG Payment '!AJ:AJ)</f>
        <v>0</v>
      </c>
      <c r="AP585" s="19">
        <f t="shared" si="168"/>
        <v>3489.3616000000002</v>
      </c>
      <c r="AQ585" s="119">
        <f t="shared" si="178"/>
        <v>3489.3616000000002</v>
      </c>
      <c r="AR585" s="91" t="s">
        <v>1144</v>
      </c>
      <c r="AS585" s="91">
        <f t="shared" si="169"/>
        <v>6400</v>
      </c>
      <c r="AT585" s="118"/>
      <c r="AU585" s="118"/>
      <c r="AV585" s="118"/>
    </row>
    <row r="586" spans="1:48" s="20" customFormat="1" x14ac:dyDescent="0.25">
      <c r="A586" s="17">
        <f>IFERROR(VLOOKUP(D586,'Monthly Deduction'!$I$3:$J$957,2,0),0)</f>
        <v>0</v>
      </c>
      <c r="B586" s="17">
        <f>IFERROR(VLOOKUP(D586,'Monthly Deduction'!$E$3:$F$957,2,0),0)</f>
        <v>0</v>
      </c>
      <c r="C586" s="17">
        <f t="shared" si="170"/>
        <v>0</v>
      </c>
      <c r="D586" s="41">
        <v>10570010</v>
      </c>
      <c r="E586" s="122" t="str">
        <f>VLOOKUP(D586,'MPG Payment '!$E$3:$G$497305,2,0)</f>
        <v>Purnahi</v>
      </c>
      <c r="F586" s="146">
        <f>IFERROR(_xlfn.XLOOKUP(D586,'Monthly Deduction'!$I$3:$I$957,'Monthly Deduction'!$H$3:$H$957),0)</f>
        <v>0</v>
      </c>
      <c r="G586" s="123" t="str">
        <f>VLOOKUP(D586,'MPG Payment '!$E$3:$G$333666,3,0)</f>
        <v>vlc</v>
      </c>
      <c r="H586" s="124" t="str">
        <f>VLOOKUP(D586,'MPG Payment '!$E$3:$H$333666,4,0)</f>
        <v>Indirect</v>
      </c>
      <c r="I586" s="88">
        <f>INDEX('MPG Payment '!$C:$C,MATCH('Shayak Income '!D586,'MPG Payment '!E:E,0))</f>
        <v>1057</v>
      </c>
      <c r="J586" s="88" t="str">
        <f>INDEX('MPG Payment '!$D:$D,MATCH('Shayak Income '!D586,'MPG Payment '!E:E,0))</f>
        <v>Warisnagar</v>
      </c>
      <c r="K586" s="125" t="s">
        <v>1594</v>
      </c>
      <c r="L586" s="125">
        <v>45915</v>
      </c>
      <c r="M586" s="126">
        <f>SUMIF('MPG Payment '!$E$3:$E$344841,'Shayak Income '!D586,'MPG Payment '!$I$3:$I$344841)</f>
        <v>1213.0999999999999</v>
      </c>
      <c r="N586" s="126">
        <f>SUMIF('MPG Payment '!$E$3:$E$344841,'Shayak Income '!D586,'MPG Payment '!$J$3:$J$344841)</f>
        <v>42555.88</v>
      </c>
      <c r="O586" s="126">
        <f t="shared" si="171"/>
        <v>909.82499999999993</v>
      </c>
      <c r="P586" s="126">
        <f t="shared" si="172"/>
        <v>1152.4449999999999</v>
      </c>
      <c r="Q586" s="126">
        <f>SUMIF('MPG Payment '!$E$3:$E$344841,'Shayak Income '!D586,'MPG Payment '!$S$3:$S$344841)</f>
        <v>0</v>
      </c>
      <c r="R586" s="126">
        <f t="shared" si="162"/>
        <v>1276.6763999999998</v>
      </c>
      <c r="S586" s="126">
        <f t="shared" si="163"/>
        <v>124.23139999999989</v>
      </c>
      <c r="T586" s="126">
        <f t="shared" si="173"/>
        <v>121.31</v>
      </c>
      <c r="U586" s="127">
        <f>((((((IF(K586="New",0,SUMIF('MPG Payment '!$E$3:$E$344841,'Shayak Income '!D586,'MPG Payment '!$AC$3:$AC$344841))))+0)+0)+0)+0)+0</f>
        <v>1139.8324740327466</v>
      </c>
      <c r="V586" s="127">
        <f t="shared" si="174"/>
        <v>801</v>
      </c>
      <c r="W586" s="19">
        <f t="shared" si="175"/>
        <v>0</v>
      </c>
      <c r="X586" s="19">
        <f t="shared" si="164"/>
        <v>0</v>
      </c>
      <c r="Y586" s="128">
        <f>IFERROR(VLOOKUP(D586,'Monthly Deduction'!$M$2:$N$640,2,0),0)</f>
        <v>0</v>
      </c>
      <c r="Z586" s="128">
        <v>0</v>
      </c>
      <c r="AA586" s="126">
        <f>IFERROR(VLOOKUP(D586,'Monthly Deduction'!A:B,2,0),0)</f>
        <v>0</v>
      </c>
      <c r="AB586" s="129">
        <f t="shared" si="165"/>
        <v>801</v>
      </c>
      <c r="AC586" s="130">
        <v>0</v>
      </c>
      <c r="AD586" s="35">
        <f t="shared" si="176"/>
        <v>801</v>
      </c>
      <c r="AE586" s="166" t="str">
        <f t="shared" si="177"/>
        <v>Release</v>
      </c>
      <c r="AF586" s="127"/>
      <c r="AG586" s="18">
        <v>0</v>
      </c>
      <c r="AH586" s="120"/>
      <c r="AI586" s="238">
        <v>0</v>
      </c>
      <c r="AJ586" s="132"/>
      <c r="AK586" s="151">
        <v>61.5</v>
      </c>
      <c r="AL586" s="154">
        <f t="shared" si="166"/>
        <v>0</v>
      </c>
      <c r="AM586" s="155"/>
      <c r="AN586" s="19">
        <f t="shared" si="167"/>
        <v>0</v>
      </c>
      <c r="AO586" s="118">
        <f>SUMIF('MPG Payment '!E:E,'Shayak Income '!D586,'MPG Payment '!AJ:AJ)</f>
        <v>0</v>
      </c>
      <c r="AP586" s="19">
        <f t="shared" si="168"/>
        <v>0</v>
      </c>
      <c r="AQ586" s="119">
        <f t="shared" si="178"/>
        <v>0</v>
      </c>
      <c r="AR586" s="91" t="s">
        <v>1144</v>
      </c>
      <c r="AS586" s="91">
        <f t="shared" si="169"/>
        <v>0</v>
      </c>
      <c r="AT586" s="118"/>
      <c r="AU586" s="118"/>
      <c r="AV586" s="118"/>
    </row>
    <row r="587" spans="1:48" s="20" customFormat="1" x14ac:dyDescent="0.25">
      <c r="A587" s="17">
        <f>IFERROR(VLOOKUP(D587,'Monthly Deduction'!$I$3:$J$957,2,0),0)</f>
        <v>0</v>
      </c>
      <c r="B587" s="17">
        <f>IFERROR(VLOOKUP(D587,'Monthly Deduction'!$E$3:$F$957,2,0),0)</f>
        <v>0</v>
      </c>
      <c r="C587" s="17">
        <f t="shared" si="170"/>
        <v>0</v>
      </c>
      <c r="D587" s="41">
        <v>10330001</v>
      </c>
      <c r="E587" s="122" t="str">
        <f>VLOOKUP(D587,'MPG Payment '!$E$3:$G$497305,2,0)</f>
        <v>KISHANPUR</v>
      </c>
      <c r="F587" s="146">
        <f>IFERROR(_xlfn.XLOOKUP(D587,'Monthly Deduction'!$I$3:$I$957,'Monthly Deduction'!$H$3:$H$957),0)</f>
        <v>0</v>
      </c>
      <c r="G587" s="123" t="str">
        <f>VLOOKUP(D587,'MPG Payment '!$E$3:$G$333666,3,0)</f>
        <v>vlc</v>
      </c>
      <c r="H587" s="124" t="str">
        <f>VLOOKUP(D587,'MPG Payment '!$E$3:$H$333666,4,0)</f>
        <v>Indirect</v>
      </c>
      <c r="I587" s="88">
        <f>INDEX('MPG Payment '!$C:$C,MATCH('Shayak Income '!D587,'MPG Payment '!E:E,0))</f>
        <v>1006</v>
      </c>
      <c r="J587" s="88" t="str">
        <f>INDEX('MPG Payment '!$D:$D,MATCH('Shayak Income '!D587,'MPG Payment '!E:E,0))</f>
        <v>Sonvarsha</v>
      </c>
      <c r="K587" s="125" t="s">
        <v>1594</v>
      </c>
      <c r="L587" s="125">
        <v>42979</v>
      </c>
      <c r="M587" s="126">
        <f>SUMIF('MPG Payment '!$E$3:$E$344841,'Shayak Income '!D587,'MPG Payment '!$I$3:$I$344841)</f>
        <v>11433.2</v>
      </c>
      <c r="N587" s="126">
        <f>SUMIF('MPG Payment '!$E$3:$E$344841,'Shayak Income '!D587,'MPG Payment '!$J$3:$J$344841)</f>
        <v>451289.1</v>
      </c>
      <c r="O587" s="126">
        <f t="shared" si="171"/>
        <v>8574.9000000000015</v>
      </c>
      <c r="P587" s="126">
        <f t="shared" si="172"/>
        <v>10861.54</v>
      </c>
      <c r="Q587" s="126">
        <f>SUMIF('MPG Payment '!$E$3:$E$344841,'Shayak Income '!D587,'MPG Payment '!$S$3:$S$344841)</f>
        <v>0</v>
      </c>
      <c r="R587" s="126">
        <f t="shared" si="162"/>
        <v>13538.672999999999</v>
      </c>
      <c r="S587" s="126">
        <f t="shared" si="163"/>
        <v>2677.132999999998</v>
      </c>
      <c r="T587" s="126">
        <f t="shared" si="173"/>
        <v>1143.3200000000002</v>
      </c>
      <c r="U587" s="127">
        <f>((((((IF(K587="New",0,SUMIF('MPG Payment '!$E$3:$E$344841,'Shayak Income '!D587,'MPG Payment '!$AC$3:$AC$344841))))+0)+0)+0)+0)+0</f>
        <v>0</v>
      </c>
      <c r="V587" s="127">
        <f t="shared" si="174"/>
        <v>18293</v>
      </c>
      <c r="W587" s="19">
        <f t="shared" si="175"/>
        <v>0</v>
      </c>
      <c r="X587" s="19">
        <f t="shared" si="164"/>
        <v>0</v>
      </c>
      <c r="Y587" s="128">
        <f>IFERROR(VLOOKUP(D587,'Monthly Deduction'!$M$2:$N$640,2,0),0)</f>
        <v>0</v>
      </c>
      <c r="Z587" s="128">
        <v>0</v>
      </c>
      <c r="AA587" s="126">
        <f>IFERROR(VLOOKUP(D587,'Monthly Deduction'!A:B,2,0),0)</f>
        <v>0</v>
      </c>
      <c r="AB587" s="129">
        <f t="shared" si="165"/>
        <v>18293</v>
      </c>
      <c r="AC587" s="130">
        <v>0</v>
      </c>
      <c r="AD587" s="35">
        <f t="shared" si="176"/>
        <v>18293</v>
      </c>
      <c r="AE587" s="166" t="str">
        <f t="shared" si="177"/>
        <v>Release</v>
      </c>
      <c r="AF587" s="127"/>
      <c r="AG587" s="18">
        <v>0</v>
      </c>
      <c r="AH587" s="120"/>
      <c r="AI587" s="238">
        <v>0</v>
      </c>
      <c r="AJ587" s="132"/>
      <c r="AK587" s="151">
        <v>2529.8999999999996</v>
      </c>
      <c r="AL587" s="154">
        <f t="shared" si="166"/>
        <v>0</v>
      </c>
      <c r="AM587" s="155"/>
      <c r="AN587" s="19">
        <f t="shared" si="167"/>
        <v>0</v>
      </c>
      <c r="AO587" s="118">
        <f>SUMIF('MPG Payment '!E:E,'Shayak Income '!D587,'MPG Payment '!AJ:AJ)</f>
        <v>0</v>
      </c>
      <c r="AP587" s="19">
        <f t="shared" si="168"/>
        <v>0</v>
      </c>
      <c r="AQ587" s="119">
        <f t="shared" si="178"/>
        <v>0</v>
      </c>
      <c r="AR587" s="91" t="s">
        <v>1144</v>
      </c>
      <c r="AS587" s="91">
        <f t="shared" si="169"/>
        <v>0</v>
      </c>
      <c r="AT587" s="118"/>
      <c r="AU587" s="118"/>
      <c r="AV587" s="118"/>
    </row>
    <row r="588" spans="1:48" s="20" customFormat="1" x14ac:dyDescent="0.25">
      <c r="A588" s="17">
        <f>IFERROR(VLOOKUP(D588,'Monthly Deduction'!$I$3:$J$957,2,0),0)</f>
        <v>66999.422726643359</v>
      </c>
      <c r="B588" s="17">
        <f>IFERROR(VLOOKUP(D588,'Monthly Deduction'!$E$3:$F$957,2,0),0)</f>
        <v>19200</v>
      </c>
      <c r="C588" s="17">
        <f t="shared" si="170"/>
        <v>86199.422726643359</v>
      </c>
      <c r="D588" s="41">
        <v>10530085</v>
      </c>
      <c r="E588" s="122" t="str">
        <f>VLOOKUP(D588,'MPG Payment '!$E$3:$G$497305,2,0)</f>
        <v>GOMUKH SUSTA</v>
      </c>
      <c r="F588" s="146">
        <f>IFERROR(_xlfn.XLOOKUP(D588,'Monthly Deduction'!$I$3:$I$957,'Monthly Deduction'!$H$3:$H$957),0)</f>
        <v>0</v>
      </c>
      <c r="G588" s="123" t="str">
        <f>VLOOKUP(D588,'MPG Payment '!$E$3:$G$333666,3,0)</f>
        <v>MPG</v>
      </c>
      <c r="H588" s="124" t="str">
        <f>VLOOKUP(D588,'MPG Payment '!$E$3:$H$333666,4,0)</f>
        <v>Direct</v>
      </c>
      <c r="I588" s="88">
        <f>INDEX('MPG Payment '!$C:$C,MATCH('Shayak Income '!D588,'MPG Payment '!E:E,0))</f>
        <v>1053</v>
      </c>
      <c r="J588" s="88" t="str">
        <f>INDEX('MPG Payment '!$D:$D,MATCH('Shayak Income '!D588,'MPG Payment '!E:E,0))</f>
        <v>Kalyanpur</v>
      </c>
      <c r="K588" s="125" t="s">
        <v>1594</v>
      </c>
      <c r="L588" s="125">
        <v>45924</v>
      </c>
      <c r="M588" s="126">
        <f>SUMIF('MPG Payment '!$E$3:$E$344841,'Shayak Income '!D588,'MPG Payment '!$I$3:$I$344841)</f>
        <v>2752.8</v>
      </c>
      <c r="N588" s="126">
        <f>SUMIF('MPG Payment '!$E$3:$E$344841,'Shayak Income '!D588,'MPG Payment '!$J$3:$J$344841)</f>
        <v>122953.31</v>
      </c>
      <c r="O588" s="126">
        <f t="shared" si="171"/>
        <v>2064.6000000000004</v>
      </c>
      <c r="P588" s="126">
        <f t="shared" si="172"/>
        <v>2615.16</v>
      </c>
      <c r="Q588" s="126">
        <f>SUMIF('MPG Payment '!$E$3:$E$344841,'Shayak Income '!D588,'MPG Payment '!$S$3:$S$344841)</f>
        <v>1788.12</v>
      </c>
      <c r="R588" s="126">
        <f t="shared" si="162"/>
        <v>3688.5992999999999</v>
      </c>
      <c r="S588" s="126">
        <f t="shared" si="163"/>
        <v>1073.4393</v>
      </c>
      <c r="T588" s="126">
        <f t="shared" si="173"/>
        <v>275.28000000000003</v>
      </c>
      <c r="U588" s="127">
        <f>((((((IF(K588="New",0,SUMIF('MPG Payment '!$E$3:$E$344841,'Shayak Income '!D588,'MPG Payment '!$AC$3:$AC$344841))))+0)+0)+0)+0)+0</f>
        <v>178.3869176301917</v>
      </c>
      <c r="V588" s="127">
        <f t="shared" si="174"/>
        <v>6014</v>
      </c>
      <c r="W588" s="19">
        <f t="shared" si="175"/>
        <v>2459.0662000000002</v>
      </c>
      <c r="X588" s="19">
        <v>0</v>
      </c>
      <c r="Y588" s="128">
        <f>IFERROR(VLOOKUP(D588,'Monthly Deduction'!$M$2:$N$640,2,0),0)</f>
        <v>0</v>
      </c>
      <c r="Z588" s="128">
        <v>0</v>
      </c>
      <c r="AA588" s="126">
        <f>IFERROR(VLOOKUP(D588,'Monthly Deduction'!A:B,2,0),0)</f>
        <v>294.81543080156109</v>
      </c>
      <c r="AB588" s="129">
        <f t="shared" si="165"/>
        <v>3260</v>
      </c>
      <c r="AC588" s="130">
        <v>0</v>
      </c>
      <c r="AD588" s="35">
        <f t="shared" si="176"/>
        <v>3260</v>
      </c>
      <c r="AE588" s="166" t="str">
        <f t="shared" si="177"/>
        <v>Release</v>
      </c>
      <c r="AF588" s="127"/>
      <c r="AG588" s="18">
        <v>0</v>
      </c>
      <c r="AH588" s="120"/>
      <c r="AI588" s="238">
        <v>0</v>
      </c>
      <c r="AJ588" s="132"/>
      <c r="AK588" s="151">
        <v>492.70000000000005</v>
      </c>
      <c r="AL588" s="154">
        <f t="shared" si="166"/>
        <v>0</v>
      </c>
      <c r="AM588" s="155"/>
      <c r="AN588" s="19">
        <f t="shared" si="167"/>
        <v>2459.0662000000002</v>
      </c>
      <c r="AO588" s="118">
        <f>SUMIF('MPG Payment '!E:E,'Shayak Income '!D588,'MPG Payment '!AJ:AJ)</f>
        <v>0</v>
      </c>
      <c r="AP588" s="19">
        <f t="shared" si="168"/>
        <v>2459.0662000000002</v>
      </c>
      <c r="AQ588" s="119">
        <f t="shared" si="178"/>
        <v>2459.0662000000002</v>
      </c>
      <c r="AR588" s="91" t="s">
        <v>1144</v>
      </c>
      <c r="AS588" s="91">
        <f t="shared" si="169"/>
        <v>19200</v>
      </c>
      <c r="AT588" s="118"/>
      <c r="AU588" s="118"/>
      <c r="AV588" s="118"/>
    </row>
    <row r="589" spans="1:48" s="20" customFormat="1" x14ac:dyDescent="0.25">
      <c r="A589" s="17">
        <f>IFERROR(VLOOKUP(D589,'Monthly Deduction'!$I$3:$J$957,2,0),0)</f>
        <v>0</v>
      </c>
      <c r="B589" s="17">
        <f>IFERROR(VLOOKUP(D589,'Monthly Deduction'!$E$3:$F$957,2,0),0)</f>
        <v>413</v>
      </c>
      <c r="C589" s="17">
        <f t="shared" si="170"/>
        <v>413</v>
      </c>
      <c r="D589" s="41">
        <v>10570007</v>
      </c>
      <c r="E589" s="122" t="str">
        <f>VLOOKUP(D589,'MPG Payment '!$E$3:$G$497305,2,0)</f>
        <v>Basantpur</v>
      </c>
      <c r="F589" s="146">
        <f>IFERROR(_xlfn.XLOOKUP(D589,'Monthly Deduction'!$I$3:$I$957,'Monthly Deduction'!$H$3:$H$957),0)</f>
        <v>0</v>
      </c>
      <c r="G589" s="123" t="str">
        <f>VLOOKUP(D589,'MPG Payment '!$E$3:$G$333666,3,0)</f>
        <v>MPG</v>
      </c>
      <c r="H589" s="124" t="str">
        <f>VLOOKUP(D589,'MPG Payment '!$E$3:$H$333666,4,0)</f>
        <v>Direct</v>
      </c>
      <c r="I589" s="88">
        <f>INDEX('MPG Payment '!$C:$C,MATCH('Shayak Income '!D589,'MPG Payment '!E:E,0))</f>
        <v>1057</v>
      </c>
      <c r="J589" s="88" t="str">
        <f>INDEX('MPG Payment '!$D:$D,MATCH('Shayak Income '!D589,'MPG Payment '!E:E,0))</f>
        <v>Warisnagar</v>
      </c>
      <c r="K589" s="125" t="s">
        <v>1594</v>
      </c>
      <c r="L589" s="125">
        <v>45926</v>
      </c>
      <c r="M589" s="126">
        <f>SUMIF('MPG Payment '!$E$3:$E$344841,'Shayak Income '!D589,'MPG Payment '!$I$3:$I$344841)</f>
        <v>2993.1</v>
      </c>
      <c r="N589" s="126">
        <f>SUMIF('MPG Payment '!$E$3:$E$344841,'Shayak Income '!D589,'MPG Payment '!$J$3:$J$344841)</f>
        <v>130752.25</v>
      </c>
      <c r="O589" s="126">
        <f t="shared" si="171"/>
        <v>2244.8249999999998</v>
      </c>
      <c r="P589" s="126">
        <f t="shared" si="172"/>
        <v>2843.4449999999997</v>
      </c>
      <c r="Q589" s="126">
        <f>SUMIF('MPG Payment '!$E$3:$E$344841,'Shayak Income '!D589,'MPG Payment '!$S$3:$S$344841)</f>
        <v>0</v>
      </c>
      <c r="R589" s="126">
        <f t="shared" si="162"/>
        <v>3922.5674999999997</v>
      </c>
      <c r="S589" s="126">
        <f t="shared" si="163"/>
        <v>1079.1224999999999</v>
      </c>
      <c r="T589" s="126">
        <f t="shared" si="173"/>
        <v>299.31</v>
      </c>
      <c r="U589" s="127">
        <f>((((((IF(K589="New",0,SUMIF('MPG Payment '!$E$3:$E$344841,'Shayak Income '!D589,'MPG Payment '!$AC$3:$AC$344841))))+0)+0)+0)+0)+0</f>
        <v>145.51139472309436</v>
      </c>
      <c r="V589" s="127">
        <f t="shared" si="174"/>
        <v>4643</v>
      </c>
      <c r="W589" s="19">
        <f t="shared" si="175"/>
        <v>0</v>
      </c>
      <c r="X589" s="19">
        <f t="shared" si="164"/>
        <v>413</v>
      </c>
      <c r="Y589" s="128">
        <f>IFERROR(VLOOKUP(D589,'Monthly Deduction'!$M$2:$N$640,2,0),0)</f>
        <v>0</v>
      </c>
      <c r="Z589" s="128">
        <v>0</v>
      </c>
      <c r="AA589" s="126">
        <f>IFERROR(VLOOKUP(D589,'Monthly Deduction'!A:B,2,0),0)</f>
        <v>0</v>
      </c>
      <c r="AB589" s="129">
        <f t="shared" si="165"/>
        <v>4230</v>
      </c>
      <c r="AC589" s="130">
        <v>0</v>
      </c>
      <c r="AD589" s="35">
        <f t="shared" si="176"/>
        <v>4230</v>
      </c>
      <c r="AE589" s="166" t="str">
        <f t="shared" si="177"/>
        <v>Release</v>
      </c>
      <c r="AF589" s="127"/>
      <c r="AG589" s="18">
        <v>0</v>
      </c>
      <c r="AH589" s="120"/>
      <c r="AI589" s="238">
        <v>0</v>
      </c>
      <c r="AJ589" s="132"/>
      <c r="AK589" s="151">
        <v>1222.3</v>
      </c>
      <c r="AL589" s="154">
        <f t="shared" si="166"/>
        <v>0</v>
      </c>
      <c r="AM589" s="155"/>
      <c r="AN589" s="19">
        <f t="shared" si="167"/>
        <v>0</v>
      </c>
      <c r="AO589" s="118">
        <f>SUMIF('MPG Payment '!E:E,'Shayak Income '!D589,'MPG Payment '!AJ:AJ)</f>
        <v>0</v>
      </c>
      <c r="AP589" s="19">
        <f t="shared" si="168"/>
        <v>0</v>
      </c>
      <c r="AQ589" s="119">
        <f t="shared" si="178"/>
        <v>0</v>
      </c>
      <c r="AR589" s="91" t="s">
        <v>1144</v>
      </c>
      <c r="AS589" s="91">
        <f t="shared" si="169"/>
        <v>0</v>
      </c>
      <c r="AT589" s="118"/>
      <c r="AU589" s="118"/>
      <c r="AV589" s="118"/>
    </row>
    <row r="590" spans="1:48" s="20" customFormat="1" x14ac:dyDescent="0.25">
      <c r="A590" s="17">
        <f>IFERROR(VLOOKUP(D590,'Monthly Deduction'!$I$3:$J$957,2,0),0)</f>
        <v>0</v>
      </c>
      <c r="B590" s="17">
        <f>IFERROR(VLOOKUP(D590,'Monthly Deduction'!$E$3:$F$957,2,0),0)</f>
        <v>0</v>
      </c>
      <c r="C590" s="17">
        <f t="shared" si="170"/>
        <v>0</v>
      </c>
      <c r="D590" s="41">
        <v>10010049</v>
      </c>
      <c r="E590" s="122" t="str">
        <f>VLOOKUP(D590,'MPG Payment '!$E$3:$G$497305,2,0)</f>
        <v>Birpur-2 - Pankaj</v>
      </c>
      <c r="F590" s="146">
        <f>IFERROR(_xlfn.XLOOKUP(D590,'Monthly Deduction'!$I$3:$I$957,'Monthly Deduction'!$H$3:$H$957),0)</f>
        <v>0</v>
      </c>
      <c r="G590" s="123" t="str">
        <f>VLOOKUP(D590,'MPG Payment '!$E$3:$G$333666,3,0)</f>
        <v>VLC</v>
      </c>
      <c r="H590" s="124" t="str">
        <f>VLOOKUP(D590,'MPG Payment '!$E$3:$H$333666,4,0)</f>
        <v>Indirect</v>
      </c>
      <c r="I590" s="88">
        <f>INDEX('MPG Payment '!$C:$C,MATCH('Shayak Income '!D590,'MPG Payment '!E:E,0))</f>
        <v>1001</v>
      </c>
      <c r="J590" s="88" t="str">
        <f>INDEX('MPG Payment '!$D:$D,MATCH('Shayak Income '!D590,'MPG Payment '!E:E,0))</f>
        <v>Majhaul</v>
      </c>
      <c r="K590" s="125" t="s">
        <v>1594</v>
      </c>
      <c r="L590" s="125">
        <v>45098</v>
      </c>
      <c r="M590" s="126">
        <f>SUMIF('MPG Payment '!$E$3:$E$344841,'Shayak Income '!D590,'MPG Payment '!$I$3:$I$344841)</f>
        <v>993.8</v>
      </c>
      <c r="N590" s="126">
        <f>SUMIF('MPG Payment '!$E$3:$E$344841,'Shayak Income '!D590,'MPG Payment '!$J$3:$J$344841)</f>
        <v>39527.730000000003</v>
      </c>
      <c r="O590" s="126">
        <f t="shared" si="171"/>
        <v>745.34999999999991</v>
      </c>
      <c r="P590" s="126">
        <f t="shared" si="172"/>
        <v>944.1099999999999</v>
      </c>
      <c r="Q590" s="126">
        <f>SUMIF('MPG Payment '!$E$3:$E$344841,'Shayak Income '!D590,'MPG Payment '!$S$3:$S$344841)</f>
        <v>0</v>
      </c>
      <c r="R590" s="126">
        <f t="shared" si="162"/>
        <v>1185.8319000000001</v>
      </c>
      <c r="S590" s="126">
        <f t="shared" si="163"/>
        <v>241.72190000000023</v>
      </c>
      <c r="T590" s="126">
        <f t="shared" si="173"/>
        <v>99.38</v>
      </c>
      <c r="U590" s="127">
        <f>((((((IF(K590="New",0,SUMIF('MPG Payment '!$E$3:$E$344841,'Shayak Income '!D590,'MPG Payment '!$AC$3:$AC$344841))))+0)+0)+0)+0)+0</f>
        <v>319.18630080004584</v>
      </c>
      <c r="V590" s="127">
        <f t="shared" si="174"/>
        <v>1271</v>
      </c>
      <c r="W590" s="19">
        <f t="shared" si="175"/>
        <v>0</v>
      </c>
      <c r="X590" s="19">
        <f t="shared" si="164"/>
        <v>0</v>
      </c>
      <c r="Y590" s="128">
        <f>IFERROR(VLOOKUP(D590,'Monthly Deduction'!$M$2:$N$640,2,0),0)</f>
        <v>0</v>
      </c>
      <c r="Z590" s="128">
        <v>0</v>
      </c>
      <c r="AA590" s="126">
        <f>IFERROR(VLOOKUP(D590,'Monthly Deduction'!A:B,2,0),0)</f>
        <v>0</v>
      </c>
      <c r="AB590" s="129">
        <f t="shared" si="165"/>
        <v>1271</v>
      </c>
      <c r="AC590" s="130">
        <f>AB590</f>
        <v>1271</v>
      </c>
      <c r="AD590" s="35">
        <f t="shared" si="176"/>
        <v>0</v>
      </c>
      <c r="AE590" s="166" t="str">
        <f t="shared" si="177"/>
        <v>Yes</v>
      </c>
      <c r="AF590" s="127"/>
      <c r="AG590" s="18">
        <v>0</v>
      </c>
      <c r="AH590" s="132" t="s">
        <v>1597</v>
      </c>
      <c r="AI590" s="238">
        <v>0</v>
      </c>
      <c r="AJ590" s="132"/>
      <c r="AK590" s="151">
        <v>0</v>
      </c>
      <c r="AL590" s="154">
        <f t="shared" si="166"/>
        <v>0</v>
      </c>
      <c r="AM590" s="155"/>
      <c r="AN590" s="19">
        <f t="shared" si="167"/>
        <v>0</v>
      </c>
      <c r="AO590" s="118">
        <f>SUMIF('MPG Payment '!E:E,'Shayak Income '!D590,'MPG Payment '!AJ:AJ)</f>
        <v>0</v>
      </c>
      <c r="AP590" s="19">
        <f t="shared" si="168"/>
        <v>0</v>
      </c>
      <c r="AQ590" s="119">
        <f t="shared" si="178"/>
        <v>0</v>
      </c>
      <c r="AR590" s="91" t="s">
        <v>1144</v>
      </c>
      <c r="AS590" s="91">
        <f t="shared" si="169"/>
        <v>0</v>
      </c>
      <c r="AT590" s="118"/>
      <c r="AU590" s="118"/>
      <c r="AV590" s="118"/>
    </row>
    <row r="591" spans="1:48" s="20" customFormat="1" x14ac:dyDescent="0.25">
      <c r="A591" s="17">
        <f>IFERROR(VLOOKUP(D591,'Monthly Deduction'!$I$3:$J$957,2,0),0)</f>
        <v>0</v>
      </c>
      <c r="B591" s="17">
        <f>IFERROR(VLOOKUP(D591,'Monthly Deduction'!$E$3:$F$957,2,0),0)</f>
        <v>0</v>
      </c>
      <c r="C591" s="17">
        <f t="shared" si="170"/>
        <v>0</v>
      </c>
      <c r="D591" s="41">
        <v>10060122</v>
      </c>
      <c r="E591" s="122" t="str">
        <f>VLOOKUP(D591,'MPG Payment '!$E$3:$G$497305,2,0)</f>
        <v>GOMUKH BHITAKITA</v>
      </c>
      <c r="F591" s="146">
        <f>IFERROR(_xlfn.XLOOKUP(D591,'Monthly Deduction'!$I$3:$I$957,'Monthly Deduction'!$H$3:$H$957),0)</f>
        <v>0</v>
      </c>
      <c r="G591" s="123" t="str">
        <f>VLOOKUP(D591,'MPG Payment '!$E$3:$G$333666,3,0)</f>
        <v>vlc</v>
      </c>
      <c r="H591" s="124" t="str">
        <f>VLOOKUP(D591,'MPG Payment '!$E$3:$H$333666,4,0)</f>
        <v>Indirect</v>
      </c>
      <c r="I591" s="88">
        <f>INDEX('MPG Payment '!$C:$C,MATCH('Shayak Income '!D591,'MPG Payment '!E:E,0))</f>
        <v>1006</v>
      </c>
      <c r="J591" s="88" t="str">
        <f>INDEX('MPG Payment '!$D:$D,MATCH('Shayak Income '!D591,'MPG Payment '!E:E,0))</f>
        <v>Sonvarsha</v>
      </c>
      <c r="K591" s="125" t="s">
        <v>1594</v>
      </c>
      <c r="L591" s="125">
        <v>45933</v>
      </c>
      <c r="M591" s="126">
        <f>SUMIF('MPG Payment '!$E$3:$E$344841,'Shayak Income '!D591,'MPG Payment '!$I$3:$I$344841)</f>
        <v>270.60000000000002</v>
      </c>
      <c r="N591" s="126">
        <f>SUMIF('MPG Payment '!$E$3:$E$344841,'Shayak Income '!D591,'MPG Payment '!$J$3:$J$344841)</f>
        <v>9910.11</v>
      </c>
      <c r="O591" s="126">
        <f t="shared" si="171"/>
        <v>202.95000000000002</v>
      </c>
      <c r="P591" s="126">
        <f t="shared" si="172"/>
        <v>257.07</v>
      </c>
      <c r="Q591" s="126">
        <f>SUMIF('MPG Payment '!$E$3:$E$344841,'Shayak Income '!D591,'MPG Payment '!$S$3:$S$344841)</f>
        <v>0</v>
      </c>
      <c r="R591" s="126">
        <f t="shared" si="162"/>
        <v>297.30329999999998</v>
      </c>
      <c r="S591" s="126">
        <f t="shared" si="163"/>
        <v>40.233299999999986</v>
      </c>
      <c r="T591" s="126">
        <f t="shared" si="173"/>
        <v>27.060000000000002</v>
      </c>
      <c r="U591" s="127">
        <f>((((((IF(K591="New",0,SUMIF('MPG Payment '!$E$3:$E$344841,'Shayak Income '!D591,'MPG Payment '!$AC$3:$AC$344841))))+0)+0)+0)+0)+-1434</f>
        <v>433.28348427645324</v>
      </c>
      <c r="V591" s="127">
        <f t="shared" si="174"/>
        <v>0</v>
      </c>
      <c r="W591" s="19">
        <v>0</v>
      </c>
      <c r="X591" s="19">
        <v>0</v>
      </c>
      <c r="Y591" s="128">
        <v>0</v>
      </c>
      <c r="Z591" s="128">
        <v>0</v>
      </c>
      <c r="AA591" s="126">
        <v>0</v>
      </c>
      <c r="AB591" s="129">
        <f t="shared" si="165"/>
        <v>0</v>
      </c>
      <c r="AC591" s="130">
        <v>0</v>
      </c>
      <c r="AD591" s="35">
        <f t="shared" si="176"/>
        <v>0</v>
      </c>
      <c r="AE591" s="166" t="str">
        <f t="shared" si="177"/>
        <v>Release</v>
      </c>
      <c r="AF591" s="127"/>
      <c r="AG591" s="127">
        <v>0</v>
      </c>
      <c r="AH591" s="120"/>
      <c r="AI591" s="238">
        <v>0</v>
      </c>
      <c r="AJ591" s="132"/>
      <c r="AK591" s="151">
        <v>19.600000000000001</v>
      </c>
      <c r="AL591" s="154">
        <f t="shared" si="166"/>
        <v>0</v>
      </c>
      <c r="AM591" s="155"/>
      <c r="AN591" s="19">
        <f t="shared" si="167"/>
        <v>0</v>
      </c>
      <c r="AO591" s="118">
        <f>SUMIF('MPG Payment '!E:E,'Shayak Income '!D591,'MPG Payment '!AJ:AJ)</f>
        <v>0</v>
      </c>
      <c r="AP591" s="19">
        <f t="shared" si="168"/>
        <v>0</v>
      </c>
      <c r="AQ591" s="119">
        <f t="shared" si="178"/>
        <v>0</v>
      </c>
      <c r="AR591" s="91" t="s">
        <v>1144</v>
      </c>
      <c r="AS591" s="91">
        <f t="shared" si="169"/>
        <v>0</v>
      </c>
      <c r="AT591" s="118"/>
      <c r="AU591" s="118"/>
      <c r="AV591" s="118"/>
    </row>
    <row r="592" spans="1:48" s="20" customFormat="1" x14ac:dyDescent="0.25">
      <c r="A592" s="17">
        <f>IFERROR(VLOOKUP(D592,'Monthly Deduction'!$I$3:$J$957,2,0),0)</f>
        <v>92474</v>
      </c>
      <c r="B592" s="17">
        <f>IFERROR(VLOOKUP(D592,'Monthly Deduction'!$E$3:$F$957,2,0),0)</f>
        <v>6400</v>
      </c>
      <c r="C592" s="17">
        <f t="shared" si="170"/>
        <v>98874</v>
      </c>
      <c r="D592" s="41">
        <v>10120114</v>
      </c>
      <c r="E592" s="122" t="str">
        <f>VLOOKUP(D592,'MPG Payment '!$E$3:$G$497305,2,0)</f>
        <v>GOMUKH PATHAKTOL</v>
      </c>
      <c r="F592" s="146">
        <f>IFERROR(_xlfn.XLOOKUP(D592,'Monthly Deduction'!$I$3:$I$957,'Monthly Deduction'!$H$3:$H$957),0)</f>
        <v>0</v>
      </c>
      <c r="G592" s="123" t="str">
        <f>VLOOKUP(D592,'MPG Payment '!$E$3:$G$333666,3,0)</f>
        <v>MPG</v>
      </c>
      <c r="H592" s="124" t="str">
        <f>VLOOKUP(D592,'MPG Payment '!$E$3:$H$333666,4,0)</f>
        <v>Direct</v>
      </c>
      <c r="I592" s="88">
        <f>INDEX('MPG Payment '!$C:$C,MATCH('Shayak Income '!D592,'MPG Payment '!E:E,0))</f>
        <v>1012</v>
      </c>
      <c r="J592" s="88" t="str">
        <f>INDEX('MPG Payment '!$D:$D,MATCH('Shayak Income '!D592,'MPG Payment '!E:E,0))</f>
        <v>DalsinghSarai</v>
      </c>
      <c r="K592" s="125" t="s">
        <v>1594</v>
      </c>
      <c r="L592" s="125">
        <v>45939</v>
      </c>
      <c r="M592" s="126">
        <f>SUMIF('MPG Payment '!$E$3:$E$344841,'Shayak Income '!D592,'MPG Payment '!$I$3:$I$344841)</f>
        <v>770.69</v>
      </c>
      <c r="N592" s="126">
        <f>SUMIF('MPG Payment '!$E$3:$E$344841,'Shayak Income '!D592,'MPG Payment '!$J$3:$J$344841)</f>
        <v>32317.65</v>
      </c>
      <c r="O592" s="126">
        <f t="shared" si="171"/>
        <v>578.01750000000004</v>
      </c>
      <c r="P592" s="126">
        <f t="shared" si="172"/>
        <v>732.15549999999996</v>
      </c>
      <c r="Q592" s="126">
        <f>SUMIF('MPG Payment '!$E$3:$E$344841,'Shayak Income '!D592,'MPG Payment '!$S$3:$S$344841)</f>
        <v>0</v>
      </c>
      <c r="R592" s="126">
        <f t="shared" si="162"/>
        <v>969.52949999999998</v>
      </c>
      <c r="S592" s="126">
        <f t="shared" si="163"/>
        <v>237.37400000000002</v>
      </c>
      <c r="T592" s="126">
        <f t="shared" si="173"/>
        <v>77.069000000000017</v>
      </c>
      <c r="U592" s="127">
        <f>((((((IF(K592="New",0,SUMIF('MPG Payment '!$E$3:$E$344841,'Shayak Income '!D592,'MPG Payment '!$AC$3:$AC$344841))))+0)+0)+0)+0)+-471</f>
        <v>1232.9013198887967</v>
      </c>
      <c r="V592" s="127">
        <f t="shared" si="174"/>
        <v>0</v>
      </c>
      <c r="W592" s="19">
        <v>0</v>
      </c>
      <c r="X592" s="19">
        <v>0</v>
      </c>
      <c r="Y592" s="128">
        <v>0</v>
      </c>
      <c r="Z592" s="128">
        <v>0</v>
      </c>
      <c r="AA592" s="126">
        <v>0</v>
      </c>
      <c r="AB592" s="129">
        <f t="shared" si="165"/>
        <v>0</v>
      </c>
      <c r="AC592" s="130">
        <f>AB592</f>
        <v>0</v>
      </c>
      <c r="AD592" s="35">
        <f t="shared" si="176"/>
        <v>0</v>
      </c>
      <c r="AE592" s="166" t="str">
        <f t="shared" si="177"/>
        <v>Release</v>
      </c>
      <c r="AF592" s="127"/>
      <c r="AG592" s="127">
        <v>0</v>
      </c>
      <c r="AH592" s="120" t="s">
        <v>1685</v>
      </c>
      <c r="AI592" s="238">
        <v>7474</v>
      </c>
      <c r="AJ592" s="132"/>
      <c r="AK592" s="151">
        <v>149.54</v>
      </c>
      <c r="AL592" s="154">
        <f t="shared" si="166"/>
        <v>0</v>
      </c>
      <c r="AM592" s="155"/>
      <c r="AN592" s="19">
        <f t="shared" si="167"/>
        <v>1861</v>
      </c>
      <c r="AO592" s="118">
        <f>SUMIF('MPG Payment '!E:E,'Shayak Income '!D592,'MPG Payment '!AJ:AJ)</f>
        <v>2000</v>
      </c>
      <c r="AP592" s="19">
        <f t="shared" si="168"/>
        <v>0</v>
      </c>
      <c r="AQ592" s="119">
        <f t="shared" si="178"/>
        <v>2000</v>
      </c>
      <c r="AR592" s="91" t="s">
        <v>1144</v>
      </c>
      <c r="AS592" s="91">
        <f t="shared" si="169"/>
        <v>6400</v>
      </c>
      <c r="AT592" s="118"/>
      <c r="AU592" s="118"/>
      <c r="AV592" s="118"/>
    </row>
    <row r="593" spans="1:48" s="20" customFormat="1" x14ac:dyDescent="0.25">
      <c r="A593" s="17">
        <f>IFERROR(VLOOKUP(D593,'Monthly Deduction'!$I$3:$J$957,2,0),0)</f>
        <v>0</v>
      </c>
      <c r="B593" s="17">
        <f>IFERROR(VLOOKUP(D593,'Monthly Deduction'!$E$3:$F$957,2,0),0)</f>
        <v>0</v>
      </c>
      <c r="C593" s="17">
        <f t="shared" si="170"/>
        <v>0</v>
      </c>
      <c r="D593" s="41">
        <v>10550002</v>
      </c>
      <c r="E593" s="122" t="str">
        <f>VLOOKUP(D593,'MPG Payment '!$E$3:$G$497305,2,0)</f>
        <v>Bagdobh</v>
      </c>
      <c r="F593" s="146">
        <f>IFERROR(_xlfn.XLOOKUP(D593,'Monthly Deduction'!$I$3:$I$957,'Monthly Deduction'!$H$3:$H$957),0)</f>
        <v>0</v>
      </c>
      <c r="G593" s="123" t="str">
        <f>VLOOKUP(D593,'MPG Payment '!$E$3:$G$333666,3,0)</f>
        <v>vlc</v>
      </c>
      <c r="H593" s="124" t="str">
        <f>VLOOKUP(D593,'MPG Payment '!$E$3:$H$333666,4,0)</f>
        <v>Indirect</v>
      </c>
      <c r="I593" s="88">
        <f>INDEX('MPG Payment '!$C:$C,MATCH('Shayak Income '!D593,'MPG Payment '!E:E,0))</f>
        <v>1055</v>
      </c>
      <c r="J593" s="88" t="str">
        <f>INDEX('MPG Payment '!$D:$D,MATCH('Shayak Income '!D593,'MPG Payment '!E:E,0))</f>
        <v>Matihani</v>
      </c>
      <c r="K593" s="125" t="s">
        <v>1594</v>
      </c>
      <c r="L593" s="125">
        <v>45937</v>
      </c>
      <c r="M593" s="126">
        <f>SUMIF('MPG Payment '!$E$3:$E$344841,'Shayak Income '!D593,'MPG Payment '!$I$3:$I$344841)</f>
        <v>618.29999999999995</v>
      </c>
      <c r="N593" s="126">
        <f>SUMIF('MPG Payment '!$E$3:$E$344841,'Shayak Income '!D593,'MPG Payment '!$J$3:$J$344841)</f>
        <v>23652.240000000002</v>
      </c>
      <c r="O593" s="126">
        <f t="shared" si="171"/>
        <v>463.72499999999997</v>
      </c>
      <c r="P593" s="126">
        <f t="shared" si="172"/>
        <v>587.38499999999988</v>
      </c>
      <c r="Q593" s="126">
        <f>SUMIF('MPG Payment '!$E$3:$E$344841,'Shayak Income '!D593,'MPG Payment '!$S$3:$S$344841)</f>
        <v>0</v>
      </c>
      <c r="R593" s="126">
        <f t="shared" si="162"/>
        <v>709.56720000000007</v>
      </c>
      <c r="S593" s="126">
        <f t="shared" si="163"/>
        <v>122.18220000000019</v>
      </c>
      <c r="T593" s="126">
        <f t="shared" si="173"/>
        <v>61.83</v>
      </c>
      <c r="U593" s="127">
        <f>((((((IF(K593="New",0,SUMIF('MPG Payment '!$E$3:$E$344841,'Shayak Income '!D593,'MPG Payment '!$AC$3:$AC$344841))))+0)+0)+0)+0)+-680</f>
        <v>989.42367720638617</v>
      </c>
      <c r="V593" s="127">
        <f t="shared" si="174"/>
        <v>0</v>
      </c>
      <c r="W593" s="19">
        <v>0</v>
      </c>
      <c r="X593" s="19">
        <v>0</v>
      </c>
      <c r="Y593" s="128">
        <v>0</v>
      </c>
      <c r="Z593" s="128">
        <v>0</v>
      </c>
      <c r="AA593" s="126">
        <v>0</v>
      </c>
      <c r="AB593" s="129">
        <f t="shared" si="165"/>
        <v>0</v>
      </c>
      <c r="AC593" s="130">
        <v>0</v>
      </c>
      <c r="AD593" s="35">
        <f t="shared" si="176"/>
        <v>0</v>
      </c>
      <c r="AE593" s="166" t="str">
        <f t="shared" si="177"/>
        <v>Release</v>
      </c>
      <c r="AF593" s="127"/>
      <c r="AG593" s="18">
        <v>0</v>
      </c>
      <c r="AH593" s="120"/>
      <c r="AI593" s="238">
        <v>0</v>
      </c>
      <c r="AJ593" s="132"/>
      <c r="AK593" s="151">
        <v>103.4</v>
      </c>
      <c r="AL593" s="154">
        <f t="shared" si="166"/>
        <v>0</v>
      </c>
      <c r="AM593" s="155"/>
      <c r="AN593" s="19">
        <f t="shared" si="167"/>
        <v>0</v>
      </c>
      <c r="AO593" s="118">
        <f>SUMIF('MPG Payment '!E:E,'Shayak Income '!D593,'MPG Payment '!AJ:AJ)</f>
        <v>0</v>
      </c>
      <c r="AP593" s="19">
        <f t="shared" si="168"/>
        <v>0</v>
      </c>
      <c r="AQ593" s="119">
        <f t="shared" si="178"/>
        <v>0</v>
      </c>
      <c r="AR593" s="91" t="s">
        <v>1144</v>
      </c>
      <c r="AS593" s="91">
        <f t="shared" si="169"/>
        <v>0</v>
      </c>
      <c r="AT593" s="118"/>
      <c r="AU593" s="118"/>
      <c r="AV593" s="118"/>
    </row>
    <row r="594" spans="1:48" s="20" customFormat="1" x14ac:dyDescent="0.25">
      <c r="A594" s="17">
        <f>IFERROR(VLOOKUP(D594,'Monthly Deduction'!$I$3:$J$957,2,0),0)</f>
        <v>0</v>
      </c>
      <c r="B594" s="17">
        <f>IFERROR(VLOOKUP(D594,'Monthly Deduction'!$E$3:$F$957,2,0),0)</f>
        <v>0</v>
      </c>
      <c r="C594" s="17">
        <f t="shared" si="170"/>
        <v>0</v>
      </c>
      <c r="D594" s="41">
        <v>10570013</v>
      </c>
      <c r="E594" s="122" t="str">
        <f>VLOOKUP(D594,'MPG Payment '!$E$3:$G$497305,2,0)</f>
        <v xml:space="preserve">Baghopur </v>
      </c>
      <c r="F594" s="146">
        <f>IFERROR(_xlfn.XLOOKUP(D594,'Monthly Deduction'!$I$3:$I$957,'Monthly Deduction'!$H$3:$H$957),0)</f>
        <v>0</v>
      </c>
      <c r="G594" s="123" t="str">
        <f>VLOOKUP(D594,'MPG Payment '!$E$3:$G$333666,3,0)</f>
        <v>vlc</v>
      </c>
      <c r="H594" s="124" t="str">
        <f>VLOOKUP(D594,'MPG Payment '!$E$3:$H$333666,4,0)</f>
        <v>Indirect</v>
      </c>
      <c r="I594" s="88">
        <f>INDEX('MPG Payment '!$C:$C,MATCH('Shayak Income '!D594,'MPG Payment '!E:E,0))</f>
        <v>1057</v>
      </c>
      <c r="J594" s="88" t="str">
        <f>INDEX('MPG Payment '!$D:$D,MATCH('Shayak Income '!D594,'MPG Payment '!E:E,0))</f>
        <v>Warisnagar</v>
      </c>
      <c r="K594" s="125" t="s">
        <v>1594</v>
      </c>
      <c r="L594" s="125">
        <v>45934</v>
      </c>
      <c r="M594" s="126">
        <f>SUMIF('MPG Payment '!$E$3:$E$344841,'Shayak Income '!D594,'MPG Payment '!$I$3:$I$344841)</f>
        <v>4944.8</v>
      </c>
      <c r="N594" s="126">
        <f>SUMIF('MPG Payment '!$E$3:$E$344841,'Shayak Income '!D594,'MPG Payment '!$J$3:$J$344841)</f>
        <v>189942.13</v>
      </c>
      <c r="O594" s="126">
        <f t="shared" si="171"/>
        <v>3708.6000000000004</v>
      </c>
      <c r="P594" s="126">
        <f t="shared" si="172"/>
        <v>4697.5600000000004</v>
      </c>
      <c r="Q594" s="126">
        <f>SUMIF('MPG Payment '!$E$3:$E$344841,'Shayak Income '!D594,'MPG Payment '!$S$3:$S$344841)</f>
        <v>0</v>
      </c>
      <c r="R594" s="126">
        <f t="shared" si="162"/>
        <v>5698.2638999999999</v>
      </c>
      <c r="S594" s="126">
        <f t="shared" si="163"/>
        <v>1000.7038999999995</v>
      </c>
      <c r="T594" s="126">
        <f t="shared" si="173"/>
        <v>494.48</v>
      </c>
      <c r="U594" s="127">
        <f>((((((IF(K594="New",0,SUMIF('MPG Payment '!$E$3:$E$344841,'Shayak Income '!D594,'MPG Payment '!$AC$3:$AC$344841))))+0)+0)+0)+0)+0</f>
        <v>0</v>
      </c>
      <c r="V594" s="127">
        <f t="shared" si="174"/>
        <v>7912</v>
      </c>
      <c r="W594" s="19">
        <f t="shared" si="175"/>
        <v>0</v>
      </c>
      <c r="X594" s="19">
        <f t="shared" si="164"/>
        <v>0</v>
      </c>
      <c r="Y594" s="128">
        <f>IFERROR(VLOOKUP(D594,'Monthly Deduction'!$M$2:$N$640,2,0),0)</f>
        <v>0</v>
      </c>
      <c r="Z594" s="128">
        <v>0</v>
      </c>
      <c r="AA594" s="126">
        <f>IFERROR(VLOOKUP(D594,'Monthly Deduction'!A:B,2,0),0)</f>
        <v>0</v>
      </c>
      <c r="AB594" s="129">
        <f t="shared" si="165"/>
        <v>7912</v>
      </c>
      <c r="AC594" s="130">
        <v>0</v>
      </c>
      <c r="AD594" s="35">
        <f t="shared" si="176"/>
        <v>7912</v>
      </c>
      <c r="AE594" s="166" t="str">
        <f t="shared" si="177"/>
        <v>Release</v>
      </c>
      <c r="AF594" s="127"/>
      <c r="AG594" s="18">
        <v>0</v>
      </c>
      <c r="AH594" s="120"/>
      <c r="AI594" s="238">
        <v>0</v>
      </c>
      <c r="AJ594" s="132"/>
      <c r="AK594" s="151">
        <v>1264.8999999999999</v>
      </c>
      <c r="AL594" s="154">
        <f t="shared" si="166"/>
        <v>0</v>
      </c>
      <c r="AM594" s="155"/>
      <c r="AN594" s="19">
        <f t="shared" si="167"/>
        <v>0</v>
      </c>
      <c r="AO594" s="118">
        <f>SUMIF('MPG Payment '!E:E,'Shayak Income '!D594,'MPG Payment '!AJ:AJ)</f>
        <v>0</v>
      </c>
      <c r="AP594" s="19">
        <f t="shared" si="168"/>
        <v>0</v>
      </c>
      <c r="AQ594" s="119">
        <f t="shared" si="178"/>
        <v>0</v>
      </c>
      <c r="AR594" s="91" t="s">
        <v>1144</v>
      </c>
      <c r="AS594" s="91">
        <f t="shared" si="169"/>
        <v>0</v>
      </c>
      <c r="AT594" s="118"/>
      <c r="AU594" s="118"/>
      <c r="AV594" s="118"/>
    </row>
    <row r="595" spans="1:48" s="20" customFormat="1" x14ac:dyDescent="0.25">
      <c r="A595" s="17">
        <f>IFERROR(VLOOKUP(D595,'Monthly Deduction'!$I$3:$J$957,2,0),0)</f>
        <v>0</v>
      </c>
      <c r="B595" s="17">
        <f>IFERROR(VLOOKUP(D595,'Monthly Deduction'!$E$3:$F$957,2,0),0)</f>
        <v>0</v>
      </c>
      <c r="C595" s="17">
        <f t="shared" si="170"/>
        <v>0</v>
      </c>
      <c r="D595" s="41">
        <v>10080112</v>
      </c>
      <c r="E595" s="122" t="str">
        <f>VLOOKUP(D595,'MPG Payment '!$E$3:$G$497305,2,0)</f>
        <v>Samsa</v>
      </c>
      <c r="F595" s="146">
        <f>IFERROR(_xlfn.XLOOKUP(D595,'Monthly Deduction'!$I$3:$I$957,'Monthly Deduction'!$H$3:$H$957),0)</f>
        <v>0</v>
      </c>
      <c r="G595" s="123" t="str">
        <f>VLOOKUP(D595,'MPG Payment '!$E$3:$G$333666,3,0)</f>
        <v>vlc</v>
      </c>
      <c r="H595" s="124" t="str">
        <f>VLOOKUP(D595,'MPG Payment '!$E$3:$H$333666,4,0)</f>
        <v>Indirect</v>
      </c>
      <c r="I595" s="88">
        <f>INDEX('MPG Payment '!$C:$C,MATCH('Shayak Income '!D595,'MPG Payment '!E:E,0))</f>
        <v>1065</v>
      </c>
      <c r="J595" s="88" t="str">
        <f>INDEX('MPG Payment '!$D:$D,MATCH('Shayak Income '!D595,'MPG Payment '!E:E,0))</f>
        <v>Bachhwara BMC</v>
      </c>
      <c r="K595" s="125" t="s">
        <v>1594</v>
      </c>
      <c r="L595" s="125">
        <v>45940</v>
      </c>
      <c r="M595" s="126">
        <f>SUMIF('MPG Payment '!$E$3:$E$344841,'Shayak Income '!D595,'MPG Payment '!$I$3:$I$344841)</f>
        <v>4897</v>
      </c>
      <c r="N595" s="126">
        <f>SUMIF('MPG Payment '!$E$3:$E$344841,'Shayak Income '!D595,'MPG Payment '!$J$3:$J$344841)</f>
        <v>202161.88</v>
      </c>
      <c r="O595" s="126">
        <f t="shared" si="171"/>
        <v>3672.75</v>
      </c>
      <c r="P595" s="126">
        <f t="shared" si="172"/>
        <v>4652.1499999999996</v>
      </c>
      <c r="Q595" s="126">
        <f>SUMIF('MPG Payment '!$E$3:$E$344841,'Shayak Income '!D595,'MPG Payment '!$S$3:$S$344841)</f>
        <v>0</v>
      </c>
      <c r="R595" s="126">
        <f t="shared" si="162"/>
        <v>6064.8563999999997</v>
      </c>
      <c r="S595" s="126">
        <f t="shared" si="163"/>
        <v>1412.7064</v>
      </c>
      <c r="T595" s="126">
        <f t="shared" si="173"/>
        <v>489.70000000000005</v>
      </c>
      <c r="U595" s="127">
        <f>((((((IF(K595="New",0,SUMIF('MPG Payment '!$E$3:$E$344841,'Shayak Income '!D595,'MPG Payment '!$AC$3:$AC$344841))))+0)+0)+0)+0)+0</f>
        <v>0</v>
      </c>
      <c r="V595" s="127">
        <f t="shared" si="174"/>
        <v>7835</v>
      </c>
      <c r="W595" s="19">
        <f t="shared" si="175"/>
        <v>0</v>
      </c>
      <c r="X595" s="19">
        <f t="shared" si="164"/>
        <v>0</v>
      </c>
      <c r="Y595" s="128">
        <f>IFERROR(VLOOKUP(D595,'Monthly Deduction'!$M$2:$N$640,2,0),0)</f>
        <v>0</v>
      </c>
      <c r="Z595" s="128">
        <v>0</v>
      </c>
      <c r="AA595" s="126">
        <f>IFERROR(VLOOKUP(D595,'Monthly Deduction'!A:B,2,0),0)</f>
        <v>0</v>
      </c>
      <c r="AB595" s="129">
        <f t="shared" si="165"/>
        <v>7835</v>
      </c>
      <c r="AC595" s="130">
        <v>0</v>
      </c>
      <c r="AD595" s="35">
        <f t="shared" si="176"/>
        <v>7835</v>
      </c>
      <c r="AE595" s="166" t="str">
        <f t="shared" si="177"/>
        <v>Release</v>
      </c>
      <c r="AF595" s="127"/>
      <c r="AG595" s="18">
        <v>0</v>
      </c>
      <c r="AH595" s="120"/>
      <c r="AI595" s="238">
        <v>0</v>
      </c>
      <c r="AJ595" s="132"/>
      <c r="AK595" s="151">
        <v>1129.05</v>
      </c>
      <c r="AL595" s="154">
        <f t="shared" si="166"/>
        <v>0</v>
      </c>
      <c r="AM595" s="155"/>
      <c r="AN595" s="19">
        <f t="shared" si="167"/>
        <v>0</v>
      </c>
      <c r="AO595" s="118">
        <f>SUMIF('MPG Payment '!E:E,'Shayak Income '!D595,'MPG Payment '!AJ:AJ)</f>
        <v>0</v>
      </c>
      <c r="AP595" s="19">
        <f t="shared" si="168"/>
        <v>0</v>
      </c>
      <c r="AQ595" s="119">
        <f t="shared" si="178"/>
        <v>0</v>
      </c>
      <c r="AR595" s="91" t="s">
        <v>1144</v>
      </c>
      <c r="AS595" s="91">
        <f t="shared" si="169"/>
        <v>0</v>
      </c>
      <c r="AT595" s="118"/>
      <c r="AU595" s="118"/>
      <c r="AV595" s="118"/>
    </row>
    <row r="596" spans="1:48" s="20" customFormat="1" x14ac:dyDescent="0.25">
      <c r="A596" s="17">
        <f>IFERROR(VLOOKUP(D596,'Monthly Deduction'!$I$3:$J$957,2,0),0)</f>
        <v>0</v>
      </c>
      <c r="B596" s="17">
        <f>IFERROR(VLOOKUP(D596,'Monthly Deduction'!$E$3:$F$957,2,0),0)</f>
        <v>0</v>
      </c>
      <c r="C596" s="17">
        <f t="shared" si="170"/>
        <v>0</v>
      </c>
      <c r="D596" s="41">
        <v>10080113</v>
      </c>
      <c r="E596" s="122" t="str">
        <f>VLOOKUP(D596,'MPG Payment '!$E$3:$G$497305,2,0)</f>
        <v>Dahiya</v>
      </c>
      <c r="F596" s="146">
        <f>IFERROR(_xlfn.XLOOKUP(D596,'Monthly Deduction'!$I$3:$I$957,'Monthly Deduction'!$H$3:$H$957),0)</f>
        <v>0</v>
      </c>
      <c r="G596" s="123" t="str">
        <f>VLOOKUP(D596,'MPG Payment '!$E$3:$G$333666,3,0)</f>
        <v>vlc</v>
      </c>
      <c r="H596" s="124" t="str">
        <f>VLOOKUP(D596,'MPG Payment '!$E$3:$H$333666,4,0)</f>
        <v>Indirect</v>
      </c>
      <c r="I596" s="88">
        <f>INDEX('MPG Payment '!$C:$C,MATCH('Shayak Income '!D596,'MPG Payment '!E:E,0))</f>
        <v>1008</v>
      </c>
      <c r="J596" s="88" t="str">
        <f>INDEX('MPG Payment '!$D:$D,MATCH('Shayak Income '!D596,'MPG Payment '!E:E,0))</f>
        <v>Teghra</v>
      </c>
      <c r="K596" s="125" t="s">
        <v>1594</v>
      </c>
      <c r="L596" s="125">
        <v>45940</v>
      </c>
      <c r="M596" s="126">
        <f>SUMIF('MPG Payment '!$E$3:$E$344841,'Shayak Income '!D596,'MPG Payment '!$I$3:$I$344841)</f>
        <v>1530.85</v>
      </c>
      <c r="N596" s="126">
        <f>SUMIF('MPG Payment '!$E$3:$E$344841,'Shayak Income '!D596,'MPG Payment '!$J$3:$J$344841)</f>
        <v>56772.2</v>
      </c>
      <c r="O596" s="126">
        <f t="shared" si="171"/>
        <v>1148.1374999999998</v>
      </c>
      <c r="P596" s="126">
        <f t="shared" si="172"/>
        <v>1454.3074999999999</v>
      </c>
      <c r="Q596" s="126">
        <f>SUMIF('MPG Payment '!$E$3:$E$344841,'Shayak Income '!D596,'MPG Payment '!$S$3:$S$344841)</f>
        <v>0</v>
      </c>
      <c r="R596" s="126">
        <f t="shared" si="162"/>
        <v>1703.1659999999999</v>
      </c>
      <c r="S596" s="126">
        <f t="shared" si="163"/>
        <v>248.85850000000005</v>
      </c>
      <c r="T596" s="126">
        <f t="shared" si="173"/>
        <v>153.08500000000001</v>
      </c>
      <c r="U596" s="127">
        <f>((((((IF(K596="New",0,SUMIF('MPG Payment '!$E$3:$E$344841,'Shayak Income '!D596,'MPG Payment '!$AC$3:$AC$344841))))+0)+0)+0)+0)+0</f>
        <v>939.38837957154715</v>
      </c>
      <c r="V596" s="127">
        <f t="shared" si="174"/>
        <v>1510</v>
      </c>
      <c r="W596" s="19">
        <f t="shared" si="175"/>
        <v>0</v>
      </c>
      <c r="X596" s="19">
        <f t="shared" si="164"/>
        <v>0</v>
      </c>
      <c r="Y596" s="128">
        <f>IFERROR(VLOOKUP(D596,'Monthly Deduction'!$M$2:$N$640,2,0),0)</f>
        <v>0</v>
      </c>
      <c r="Z596" s="128">
        <v>0</v>
      </c>
      <c r="AA596" s="126">
        <f>IFERROR(VLOOKUP(D596,'Monthly Deduction'!A:B,2,0),0)</f>
        <v>0</v>
      </c>
      <c r="AB596" s="129">
        <f t="shared" si="165"/>
        <v>1510</v>
      </c>
      <c r="AC596" s="130">
        <v>0</v>
      </c>
      <c r="AD596" s="35">
        <f t="shared" si="176"/>
        <v>1510</v>
      </c>
      <c r="AE596" s="166" t="str">
        <f t="shared" si="177"/>
        <v>Release</v>
      </c>
      <c r="AF596" s="127"/>
      <c r="AG596" s="18">
        <v>0</v>
      </c>
      <c r="AH596" s="120"/>
      <c r="AI596" s="238">
        <v>0</v>
      </c>
      <c r="AJ596" s="132"/>
      <c r="AK596" s="151">
        <v>306.54999999999995</v>
      </c>
      <c r="AL596" s="154">
        <f t="shared" si="166"/>
        <v>0</v>
      </c>
      <c r="AM596" s="155"/>
      <c r="AN596" s="19">
        <f t="shared" si="167"/>
        <v>0</v>
      </c>
      <c r="AO596" s="118">
        <f>SUMIF('MPG Payment '!E:E,'Shayak Income '!D596,'MPG Payment '!AJ:AJ)</f>
        <v>0</v>
      </c>
      <c r="AP596" s="19">
        <f t="shared" si="168"/>
        <v>0</v>
      </c>
      <c r="AQ596" s="119">
        <f t="shared" si="178"/>
        <v>0</v>
      </c>
      <c r="AR596" s="91" t="s">
        <v>1144</v>
      </c>
      <c r="AS596" s="91">
        <f t="shared" si="169"/>
        <v>0</v>
      </c>
      <c r="AT596" s="118"/>
      <c r="AU596" s="118"/>
      <c r="AV596" s="118"/>
    </row>
    <row r="597" spans="1:48" s="20" customFormat="1" x14ac:dyDescent="0.25">
      <c r="A597" s="17">
        <f>IFERROR(VLOOKUP(D597,'Monthly Deduction'!$I$3:$J$957,2,0),0)</f>
        <v>0</v>
      </c>
      <c r="B597" s="17">
        <f>IFERROR(VLOOKUP(D597,'Monthly Deduction'!$E$3:$F$957,2,0),0)</f>
        <v>0</v>
      </c>
      <c r="C597" s="17">
        <f t="shared" si="170"/>
        <v>0</v>
      </c>
      <c r="D597" s="41">
        <v>10120115</v>
      </c>
      <c r="E597" s="122" t="str">
        <f>VLOOKUP(D597,'MPG Payment '!$E$3:$G$497305,2,0)</f>
        <v>Gomukh Musapur West</v>
      </c>
      <c r="F597" s="146">
        <f>IFERROR(_xlfn.XLOOKUP(D597,'Monthly Deduction'!$I$3:$I$957,'Monthly Deduction'!$H$3:$H$957),0)</f>
        <v>0</v>
      </c>
      <c r="G597" s="123" t="str">
        <f>VLOOKUP(D597,'MPG Payment '!$E$3:$G$333666,3,0)</f>
        <v>vlc</v>
      </c>
      <c r="H597" s="124" t="str">
        <f>VLOOKUP(D597,'MPG Payment '!$E$3:$H$333666,4,0)</f>
        <v>Indirect</v>
      </c>
      <c r="I597" s="88">
        <f>INDEX('MPG Payment '!$C:$C,MATCH('Shayak Income '!D597,'MPG Payment '!E:E,0))</f>
        <v>1012</v>
      </c>
      <c r="J597" s="88" t="str">
        <f>INDEX('MPG Payment '!$D:$D,MATCH('Shayak Income '!D597,'MPG Payment '!E:E,0))</f>
        <v>DalsinghSarai</v>
      </c>
      <c r="K597" s="125" t="s">
        <v>1594</v>
      </c>
      <c r="L597" s="125">
        <v>45943</v>
      </c>
      <c r="M597" s="126">
        <f>SUMIF('MPG Payment '!$E$3:$E$344841,'Shayak Income '!D597,'MPG Payment '!$I$3:$I$344841)</f>
        <v>7733.9900000000007</v>
      </c>
      <c r="N597" s="126">
        <f>SUMIF('MPG Payment '!$E$3:$E$344841,'Shayak Income '!D597,'MPG Payment '!$J$3:$J$344841)</f>
        <v>304884.45</v>
      </c>
      <c r="O597" s="126">
        <f t="shared" si="171"/>
        <v>5800.4925000000003</v>
      </c>
      <c r="P597" s="126">
        <f t="shared" si="172"/>
        <v>7347.2905000000001</v>
      </c>
      <c r="Q597" s="126">
        <f>SUMIF('MPG Payment '!$E$3:$E$344841,'Shayak Income '!D597,'MPG Payment '!$S$3:$S$344841)</f>
        <v>0</v>
      </c>
      <c r="R597" s="126">
        <f t="shared" si="162"/>
        <v>9146.5334999999995</v>
      </c>
      <c r="S597" s="126">
        <f t="shared" si="163"/>
        <v>1799.2429999999995</v>
      </c>
      <c r="T597" s="126">
        <f t="shared" si="173"/>
        <v>773.39900000000011</v>
      </c>
      <c r="U597" s="127">
        <f>((((((IF(K597="New",0,SUMIF('MPG Payment '!$E$3:$E$344841,'Shayak Income '!D597,'MPG Payment '!$AC$3:$AC$344841))))+0)+0)+0)+0)+0</f>
        <v>0</v>
      </c>
      <c r="V597" s="127">
        <f t="shared" si="174"/>
        <v>12374</v>
      </c>
      <c r="W597" s="19">
        <f t="shared" si="175"/>
        <v>0</v>
      </c>
      <c r="X597" s="19">
        <f t="shared" si="164"/>
        <v>0</v>
      </c>
      <c r="Y597" s="128">
        <f>IFERROR(VLOOKUP(D597,'Monthly Deduction'!$M$2:$N$640,2,0),0)</f>
        <v>0</v>
      </c>
      <c r="Z597" s="128">
        <v>0</v>
      </c>
      <c r="AA597" s="126">
        <f>IFERROR(VLOOKUP(D597,'Monthly Deduction'!A:B,2,0),0)</f>
        <v>0</v>
      </c>
      <c r="AB597" s="129">
        <f t="shared" si="165"/>
        <v>12374</v>
      </c>
      <c r="AC597" s="130">
        <v>0</v>
      </c>
      <c r="AD597" s="35">
        <f t="shared" si="176"/>
        <v>12374</v>
      </c>
      <c r="AE597" s="166" t="str">
        <f t="shared" si="177"/>
        <v>Release</v>
      </c>
      <c r="AF597" s="127"/>
      <c r="AG597" s="18">
        <v>0</v>
      </c>
      <c r="AH597" s="132"/>
      <c r="AI597" s="238">
        <v>0</v>
      </c>
      <c r="AJ597" s="132"/>
      <c r="AK597" s="151">
        <v>1601.8700000000001</v>
      </c>
      <c r="AL597" s="154">
        <f t="shared" si="166"/>
        <v>0</v>
      </c>
      <c r="AM597" s="155"/>
      <c r="AN597" s="19">
        <f t="shared" si="167"/>
        <v>0</v>
      </c>
      <c r="AO597" s="118">
        <f>SUMIF('MPG Payment '!E:E,'Shayak Income '!D597,'MPG Payment '!AJ:AJ)</f>
        <v>0</v>
      </c>
      <c r="AP597" s="19">
        <f t="shared" si="168"/>
        <v>0</v>
      </c>
      <c r="AQ597" s="119">
        <f t="shared" si="178"/>
        <v>0</v>
      </c>
      <c r="AR597" s="91" t="s">
        <v>1144</v>
      </c>
      <c r="AS597" s="91">
        <f t="shared" si="169"/>
        <v>0</v>
      </c>
      <c r="AT597" s="118"/>
      <c r="AU597" s="118"/>
      <c r="AV597" s="118"/>
    </row>
    <row r="598" spans="1:48" s="20" customFormat="1" x14ac:dyDescent="0.25">
      <c r="A598" s="17">
        <f>IFERROR(VLOOKUP(D598,'Monthly Deduction'!$I$3:$J$957,2,0),0)</f>
        <v>70189.583321807571</v>
      </c>
      <c r="B598" s="17">
        <f>IFERROR(VLOOKUP(D598,'Monthly Deduction'!$E$3:$F$957,2,0),0)</f>
        <v>19200</v>
      </c>
      <c r="C598" s="17">
        <f t="shared" si="170"/>
        <v>89389.583321807571</v>
      </c>
      <c r="D598" s="41">
        <v>10530092</v>
      </c>
      <c r="E598" s="122" t="str">
        <f>VLOOKUP(D598,'MPG Payment '!$E$3:$G$497305,2,0)</f>
        <v>GOMUKH SHIVNAGAR</v>
      </c>
      <c r="F598" s="146">
        <f>IFERROR(_xlfn.XLOOKUP(D598,'Monthly Deduction'!$I$3:$I$957,'Monthly Deduction'!$H$3:$H$957),0)</f>
        <v>0</v>
      </c>
      <c r="G598" s="123" t="str">
        <f>VLOOKUP(D598,'MPG Payment '!$E$3:$G$333666,3,0)</f>
        <v>MPG</v>
      </c>
      <c r="H598" s="124" t="str">
        <f>VLOOKUP(D598,'MPG Payment '!$E$3:$H$333666,4,0)</f>
        <v>Direct</v>
      </c>
      <c r="I598" s="88">
        <f>INDEX('MPG Payment '!$C:$C,MATCH('Shayak Income '!D598,'MPG Payment '!E:E,0))</f>
        <v>1053</v>
      </c>
      <c r="J598" s="88" t="str">
        <f>INDEX('MPG Payment '!$D:$D,MATCH('Shayak Income '!D598,'MPG Payment '!E:E,0))</f>
        <v>Kalyanpur</v>
      </c>
      <c r="K598" s="125" t="s">
        <v>1594</v>
      </c>
      <c r="L598" s="125">
        <v>45944</v>
      </c>
      <c r="M598" s="126">
        <f>SUMIF('MPG Payment '!$E$3:$E$344841,'Shayak Income '!D598,'MPG Payment '!$I$3:$I$344841)</f>
        <v>4196.8000000000011</v>
      </c>
      <c r="N598" s="126">
        <f>SUMIF('MPG Payment '!$E$3:$E$344841,'Shayak Income '!D598,'MPG Payment '!$J$3:$J$344841)</f>
        <v>175412.22999999998</v>
      </c>
      <c r="O598" s="126">
        <f t="shared" si="171"/>
        <v>3147.6000000000008</v>
      </c>
      <c r="P598" s="126">
        <f t="shared" si="172"/>
        <v>3986.9600000000009</v>
      </c>
      <c r="Q598" s="126">
        <f>SUMIF('MPG Payment '!$E$3:$E$344841,'Shayak Income '!D598,'MPG Payment '!$S$3:$S$344841)</f>
        <v>0</v>
      </c>
      <c r="R598" s="126">
        <f t="shared" si="162"/>
        <v>5262.3668999999991</v>
      </c>
      <c r="S598" s="126">
        <f t="shared" si="163"/>
        <v>1275.4068999999981</v>
      </c>
      <c r="T598" s="126">
        <f t="shared" si="173"/>
        <v>419.68000000000012</v>
      </c>
      <c r="U598" s="127">
        <f>((((((IF(K598="New",0,SUMIF('MPG Payment '!$E$3:$E$344841,'Shayak Income '!D598,'MPG Payment '!$AC$3:$AC$344841))))+0)+0)+0)+0)+0</f>
        <v>0</v>
      </c>
      <c r="V598" s="127">
        <f t="shared" si="174"/>
        <v>6715</v>
      </c>
      <c r="W598" s="19">
        <f t="shared" si="175"/>
        <v>3508.2445999999995</v>
      </c>
      <c r="X598" s="19">
        <v>0</v>
      </c>
      <c r="Y598" s="128">
        <f>IFERROR(VLOOKUP(D598,'Monthly Deduction'!$M$2:$N$640,2,0),0)</f>
        <v>0</v>
      </c>
      <c r="Z598" s="128">
        <v>0</v>
      </c>
      <c r="AA598" s="126">
        <f>IFERROR(VLOOKUP(D598,'Monthly Deduction'!A:B,2,0),0)</f>
        <v>294.81543080156109</v>
      </c>
      <c r="AB598" s="129">
        <f t="shared" si="165"/>
        <v>2912</v>
      </c>
      <c r="AC598" s="130">
        <v>0</v>
      </c>
      <c r="AD598" s="35">
        <f t="shared" si="176"/>
        <v>2912</v>
      </c>
      <c r="AE598" s="166" t="str">
        <f t="shared" si="177"/>
        <v>Release</v>
      </c>
      <c r="AF598" s="127"/>
      <c r="AG598" s="18">
        <v>0</v>
      </c>
      <c r="AH598" s="120"/>
      <c r="AI598" s="238">
        <v>0</v>
      </c>
      <c r="AJ598" s="132"/>
      <c r="AK598" s="151">
        <v>1031.6500000000001</v>
      </c>
      <c r="AL598" s="154">
        <f t="shared" si="166"/>
        <v>0</v>
      </c>
      <c r="AM598" s="155"/>
      <c r="AN598" s="19">
        <f t="shared" si="167"/>
        <v>3508.2445999999995</v>
      </c>
      <c r="AO598" s="118">
        <f>SUMIF('MPG Payment '!E:E,'Shayak Income '!D598,'MPG Payment '!AJ:AJ)</f>
        <v>0</v>
      </c>
      <c r="AP598" s="19">
        <f t="shared" si="168"/>
        <v>3508.2445999999995</v>
      </c>
      <c r="AQ598" s="119">
        <f t="shared" si="178"/>
        <v>3508.2445999999995</v>
      </c>
      <c r="AR598" s="91" t="s">
        <v>1144</v>
      </c>
      <c r="AS598" s="91">
        <f t="shared" si="169"/>
        <v>19200</v>
      </c>
      <c r="AT598" s="118"/>
      <c r="AU598" s="118"/>
      <c r="AV598" s="118"/>
    </row>
    <row r="599" spans="1:48" s="20" customFormat="1" x14ac:dyDescent="0.25">
      <c r="A599" s="17">
        <f>IFERROR(VLOOKUP(D599,'Monthly Deduction'!$I$3:$J$957,2,0),0)</f>
        <v>60069.17919831325</v>
      </c>
      <c r="B599" s="17">
        <f>IFERROR(VLOOKUP(D599,'Monthly Deduction'!$E$3:$F$957,2,0),0)</f>
        <v>28800</v>
      </c>
      <c r="C599" s="17">
        <f t="shared" si="170"/>
        <v>88869.179198313243</v>
      </c>
      <c r="D599" s="41">
        <v>10530093</v>
      </c>
      <c r="E599" s="122" t="str">
        <f>VLOOKUP(D599,'MPG Payment '!$E$3:$G$497305,2,0)</f>
        <v>GOMUKH BAKHITIYARPUR</v>
      </c>
      <c r="F599" s="146">
        <f>IFERROR(_xlfn.XLOOKUP(D599,'Monthly Deduction'!$I$3:$I$957,'Monthly Deduction'!$H$3:$H$957),0)</f>
        <v>0</v>
      </c>
      <c r="G599" s="123" t="str">
        <f>VLOOKUP(D599,'MPG Payment '!$E$3:$G$333666,3,0)</f>
        <v>MPG</v>
      </c>
      <c r="H599" s="124" t="str">
        <f>VLOOKUP(D599,'MPG Payment '!$E$3:$H$333666,4,0)</f>
        <v>Direct</v>
      </c>
      <c r="I599" s="88">
        <f>INDEX('MPG Payment '!$C:$C,MATCH('Shayak Income '!D599,'MPG Payment '!E:E,0))</f>
        <v>1053</v>
      </c>
      <c r="J599" s="88" t="str">
        <f>INDEX('MPG Payment '!$D:$D,MATCH('Shayak Income '!D599,'MPG Payment '!E:E,0))</f>
        <v>Kalyanpur</v>
      </c>
      <c r="K599" s="125" t="s">
        <v>1594</v>
      </c>
      <c r="L599" s="125">
        <v>45941</v>
      </c>
      <c r="M599" s="126">
        <f>SUMIF('MPG Payment '!$E$3:$E$344841,'Shayak Income '!D599,'MPG Payment '!$I$3:$I$344841)</f>
        <v>4990.0999999999995</v>
      </c>
      <c r="N599" s="126">
        <f>SUMIF('MPG Payment '!$E$3:$E$344841,'Shayak Income '!D599,'MPG Payment '!$J$3:$J$344841)</f>
        <v>228138.52999999997</v>
      </c>
      <c r="O599" s="126">
        <f t="shared" si="171"/>
        <v>3742.5749999999998</v>
      </c>
      <c r="P599" s="126">
        <f t="shared" si="172"/>
        <v>4740.5949999999993</v>
      </c>
      <c r="Q599" s="126">
        <f>SUMIF('MPG Payment '!$E$3:$E$344841,'Shayak Income '!D599,'MPG Payment '!$S$3:$S$344841)</f>
        <v>4974.7300000000005</v>
      </c>
      <c r="R599" s="126">
        <f t="shared" si="162"/>
        <v>6844.1558999999988</v>
      </c>
      <c r="S599" s="126">
        <f t="shared" si="163"/>
        <v>2103.5608999999995</v>
      </c>
      <c r="T599" s="126">
        <f t="shared" si="173"/>
        <v>499.01</v>
      </c>
      <c r="U599" s="127">
        <f>((((((IF(K599="New",0,SUMIF('MPG Payment '!$E$3:$E$344841,'Shayak Income '!D599,'MPG Payment '!$AC$3:$AC$344841))))+0)+0)+0)+0)+0</f>
        <v>0</v>
      </c>
      <c r="V599" s="127">
        <f t="shared" si="174"/>
        <v>12959</v>
      </c>
      <c r="W599" s="19">
        <f t="shared" si="175"/>
        <v>4562.7705999999998</v>
      </c>
      <c r="X599" s="19">
        <v>0</v>
      </c>
      <c r="Y599" s="128">
        <f>IFERROR(VLOOKUP(D599,'Monthly Deduction'!$M$2:$N$640,2,0),0)</f>
        <v>0</v>
      </c>
      <c r="Z599" s="128">
        <v>0</v>
      </c>
      <c r="AA599" s="126">
        <f>IFERROR(VLOOKUP(D599,'Monthly Deduction'!A:B,2,0),0)</f>
        <v>404.6154308015611</v>
      </c>
      <c r="AB599" s="129">
        <f t="shared" si="165"/>
        <v>7992</v>
      </c>
      <c r="AC599" s="130">
        <v>0</v>
      </c>
      <c r="AD599" s="35">
        <f t="shared" si="176"/>
        <v>7992</v>
      </c>
      <c r="AE599" s="166" t="str">
        <f t="shared" si="177"/>
        <v>Release</v>
      </c>
      <c r="AF599" s="127"/>
      <c r="AG599" s="127">
        <v>0</v>
      </c>
      <c r="AH599" s="132"/>
      <c r="AI599" s="238">
        <v>0</v>
      </c>
      <c r="AJ599" s="132"/>
      <c r="AK599" s="151">
        <v>1189</v>
      </c>
      <c r="AL599" s="154">
        <f t="shared" si="166"/>
        <v>0</v>
      </c>
      <c r="AM599" s="155"/>
      <c r="AN599" s="19">
        <f t="shared" si="167"/>
        <v>4562.7705999999998</v>
      </c>
      <c r="AO599" s="118">
        <f>SUMIF('MPG Payment '!E:E,'Shayak Income '!D599,'MPG Payment '!AJ:AJ)</f>
        <v>0</v>
      </c>
      <c r="AP599" s="19">
        <f t="shared" si="168"/>
        <v>4562.7705999999998</v>
      </c>
      <c r="AQ599" s="119">
        <f t="shared" si="178"/>
        <v>4562.7705999999998</v>
      </c>
      <c r="AR599" s="91" t="s">
        <v>1144</v>
      </c>
      <c r="AS599" s="91">
        <f t="shared" si="169"/>
        <v>28800</v>
      </c>
      <c r="AT599" s="118"/>
      <c r="AU599" s="118"/>
      <c r="AV599" s="118"/>
    </row>
    <row r="600" spans="1:48" s="20" customFormat="1" x14ac:dyDescent="0.25">
      <c r="A600" s="17">
        <f>IFERROR(VLOOKUP(D600,'Monthly Deduction'!$I$3:$J$957,2,0),0)</f>
        <v>81883</v>
      </c>
      <c r="B600" s="17">
        <f>IFERROR(VLOOKUP(D600,'Monthly Deduction'!$E$3:$F$957,2,0),0)</f>
        <v>6400</v>
      </c>
      <c r="C600" s="17">
        <f t="shared" si="170"/>
        <v>88283</v>
      </c>
      <c r="D600" s="41">
        <v>10540032</v>
      </c>
      <c r="E600" s="122" t="str">
        <f>VLOOKUP(D600,'MPG Payment '!$E$3:$G$497305,2,0)</f>
        <v>GOMUKH JWALAPUR</v>
      </c>
      <c r="F600" s="146">
        <f>IFERROR(_xlfn.XLOOKUP(D600,'Monthly Deduction'!$I$3:$I$957,'Monthly Deduction'!$H$3:$H$957),0)</f>
        <v>0</v>
      </c>
      <c r="G600" s="123" t="str">
        <f>VLOOKUP(D600,'MPG Payment '!$E$3:$G$333666,3,0)</f>
        <v>MPG</v>
      </c>
      <c r="H600" s="124" t="str">
        <f>VLOOKUP(D600,'MPG Payment '!$E$3:$H$333666,4,0)</f>
        <v>Direct</v>
      </c>
      <c r="I600" s="88">
        <f>INDEX('MPG Payment '!$C:$C,MATCH('Shayak Income '!D600,'MPG Payment '!E:E,0))</f>
        <v>1054</v>
      </c>
      <c r="J600" s="88" t="str">
        <f>INDEX('MPG Payment '!$D:$D,MATCH('Shayak Income '!D600,'MPG Payment '!E:E,0))</f>
        <v xml:space="preserve">Alauli </v>
      </c>
      <c r="K600" s="125" t="s">
        <v>1594</v>
      </c>
      <c r="L600" s="125">
        <v>45945</v>
      </c>
      <c r="M600" s="126">
        <f>SUMIF('MPG Payment '!$E$3:$E$344841,'Shayak Income '!D600,'MPG Payment '!$I$3:$I$344841)</f>
        <v>754.5</v>
      </c>
      <c r="N600" s="126">
        <f>SUMIF('MPG Payment '!$E$3:$E$344841,'Shayak Income '!D600,'MPG Payment '!$J$3:$J$344841)</f>
        <v>28138.6</v>
      </c>
      <c r="O600" s="126">
        <f t="shared" si="171"/>
        <v>565.875</v>
      </c>
      <c r="P600" s="126">
        <f t="shared" si="172"/>
        <v>716.77499999999998</v>
      </c>
      <c r="Q600" s="126">
        <f>SUMIF('MPG Payment '!$E$3:$E$344841,'Shayak Income '!D600,'MPG Payment '!$S$3:$S$344841)</f>
        <v>0</v>
      </c>
      <c r="R600" s="126">
        <f t="shared" si="162"/>
        <v>844.1579999999999</v>
      </c>
      <c r="S600" s="126">
        <f t="shared" si="163"/>
        <v>127.38299999999992</v>
      </c>
      <c r="T600" s="126">
        <f t="shared" si="173"/>
        <v>75.45</v>
      </c>
      <c r="U600" s="127">
        <f>((((((IF(K600="New",0,SUMIF('MPG Payment '!$E$3:$E$344841,'Shayak Income '!D600,'MPG Payment '!$AC$3:$AC$344841))))+0)+0)+0)+0)+-318</f>
        <v>1207.6355868254875</v>
      </c>
      <c r="V600" s="127">
        <f t="shared" si="174"/>
        <v>0</v>
      </c>
      <c r="W600" s="19">
        <v>0</v>
      </c>
      <c r="X600" s="19">
        <v>0</v>
      </c>
      <c r="Y600" s="128">
        <v>0</v>
      </c>
      <c r="Z600" s="128">
        <v>0</v>
      </c>
      <c r="AA600" s="126">
        <v>0</v>
      </c>
      <c r="AB600" s="129">
        <f t="shared" si="165"/>
        <v>0</v>
      </c>
      <c r="AC600" s="130">
        <v>0</v>
      </c>
      <c r="AD600" s="35">
        <f t="shared" si="176"/>
        <v>0</v>
      </c>
      <c r="AE600" s="166" t="str">
        <f t="shared" si="177"/>
        <v>Release</v>
      </c>
      <c r="AF600" s="127"/>
      <c r="AG600" s="18">
        <v>0</v>
      </c>
      <c r="AH600" s="120"/>
      <c r="AI600" s="238">
        <v>0</v>
      </c>
      <c r="AJ600" s="132"/>
      <c r="AK600" s="151">
        <v>171.79999999999998</v>
      </c>
      <c r="AL600" s="154">
        <f t="shared" si="166"/>
        <v>0</v>
      </c>
      <c r="AM600" s="155"/>
      <c r="AN600" s="19">
        <f t="shared" si="167"/>
        <v>1861</v>
      </c>
      <c r="AO600" s="118">
        <f>SUMIF('MPG Payment '!E:E,'Shayak Income '!D600,'MPG Payment '!AJ:AJ)</f>
        <v>2000</v>
      </c>
      <c r="AP600" s="19">
        <f t="shared" si="168"/>
        <v>0</v>
      </c>
      <c r="AQ600" s="119">
        <f t="shared" si="178"/>
        <v>2000</v>
      </c>
      <c r="AR600" s="91" t="s">
        <v>1144</v>
      </c>
      <c r="AS600" s="91">
        <f t="shared" si="169"/>
        <v>6400</v>
      </c>
      <c r="AT600" s="118"/>
      <c r="AU600" s="118"/>
      <c r="AV600" s="118"/>
    </row>
    <row r="601" spans="1:48" s="20" customFormat="1" x14ac:dyDescent="0.25">
      <c r="A601" s="17">
        <f>IFERROR(VLOOKUP(D601,'Monthly Deduction'!$I$3:$J$957,2,0),0)</f>
        <v>78968</v>
      </c>
      <c r="B601" s="17">
        <f>IFERROR(VLOOKUP(D601,'Monthly Deduction'!$E$3:$F$957,2,0),0)</f>
        <v>9289</v>
      </c>
      <c r="C601" s="17">
        <f t="shared" si="170"/>
        <v>88257</v>
      </c>
      <c r="D601" s="41">
        <v>10580001</v>
      </c>
      <c r="E601" s="122" t="str">
        <f>VLOOKUP(D601,'MPG Payment '!$E$3:$G$497305,2,0)</f>
        <v>Mahuli</v>
      </c>
      <c r="F601" s="146">
        <f>IFERROR(_xlfn.XLOOKUP(D601,'Monthly Deduction'!$I$3:$I$957,'Monthly Deduction'!$H$3:$H$957),0)</f>
        <v>0</v>
      </c>
      <c r="G601" s="123" t="str">
        <f>VLOOKUP(D601,'MPG Payment '!$E$3:$G$333666,3,0)</f>
        <v>MPG</v>
      </c>
      <c r="H601" s="124" t="str">
        <f>VLOOKUP(D601,'MPG Payment '!$E$3:$H$333666,4,0)</f>
        <v>Direct</v>
      </c>
      <c r="I601" s="88">
        <f>INDEX('MPG Payment '!$C:$C,MATCH('Shayak Income '!D601,'MPG Payment '!E:E,0))</f>
        <v>1058</v>
      </c>
      <c r="J601" s="88" t="str">
        <f>INDEX('MPG Payment '!$D:$D,MATCH('Shayak Income '!D601,'MPG Payment '!E:E,0))</f>
        <v>Hasanpur</v>
      </c>
      <c r="K601" s="125" t="s">
        <v>1594</v>
      </c>
      <c r="L601" s="125">
        <v>45946</v>
      </c>
      <c r="M601" s="126">
        <f>SUMIF('MPG Payment '!$E$3:$E$344841,'Shayak Income '!D601,'MPG Payment '!$I$3:$I$344841)</f>
        <v>1915.0200000000002</v>
      </c>
      <c r="N601" s="126">
        <f>SUMIF('MPG Payment '!$E$3:$E$344841,'Shayak Income '!D601,'MPG Payment '!$J$3:$J$344841)</f>
        <v>83928.7</v>
      </c>
      <c r="O601" s="126">
        <f t="shared" si="171"/>
        <v>1436.2650000000001</v>
      </c>
      <c r="P601" s="126">
        <f t="shared" si="172"/>
        <v>1819.269</v>
      </c>
      <c r="Q601" s="126">
        <f>SUMIF('MPG Payment '!$E$3:$E$344841,'Shayak Income '!D601,'MPG Payment '!$S$3:$S$344841)</f>
        <v>1502.29</v>
      </c>
      <c r="R601" s="126">
        <f t="shared" si="162"/>
        <v>2517.8609999999999</v>
      </c>
      <c r="S601" s="126">
        <f t="shared" si="163"/>
        <v>698.59199999999987</v>
      </c>
      <c r="T601" s="126">
        <f t="shared" si="173"/>
        <v>191.50200000000004</v>
      </c>
      <c r="U601" s="127">
        <f>((((((IF(K601="New",0,SUMIF('MPG Payment '!$E$3:$E$344841,'Shayak Income '!D601,'MPG Payment '!$AC$3:$AC$344841))))+0)+0)+0)+0)+0</f>
        <v>775.95727320225012</v>
      </c>
      <c r="V601" s="127">
        <f t="shared" si="174"/>
        <v>3790</v>
      </c>
      <c r="W601" s="19">
        <f t="shared" si="175"/>
        <v>1861</v>
      </c>
      <c r="X601" s="19">
        <v>0</v>
      </c>
      <c r="Y601" s="128">
        <f>IFERROR(VLOOKUP(D601,'Monthly Deduction'!$M$2:$N$640,2,0),0)</f>
        <v>0</v>
      </c>
      <c r="Z601" s="128">
        <v>0</v>
      </c>
      <c r="AA601" s="126">
        <f>IFERROR(VLOOKUP(D601,'Monthly Deduction'!A:B,2,0),0)</f>
        <v>0</v>
      </c>
      <c r="AB601" s="129">
        <f t="shared" si="165"/>
        <v>1929</v>
      </c>
      <c r="AC601" s="130">
        <v>0</v>
      </c>
      <c r="AD601" s="35">
        <f t="shared" si="176"/>
        <v>1929</v>
      </c>
      <c r="AE601" s="166" t="str">
        <f t="shared" si="177"/>
        <v>Release</v>
      </c>
      <c r="AF601" s="127"/>
      <c r="AG601" s="18">
        <v>0</v>
      </c>
      <c r="AH601" s="120"/>
      <c r="AI601" s="238">
        <v>0</v>
      </c>
      <c r="AJ601" s="132"/>
      <c r="AK601" s="151">
        <v>495.45</v>
      </c>
      <c r="AL601" s="154">
        <f t="shared" si="166"/>
        <v>0</v>
      </c>
      <c r="AM601" s="155"/>
      <c r="AN601" s="19">
        <f t="shared" si="167"/>
        <v>1861</v>
      </c>
      <c r="AO601" s="118">
        <f>SUMIF('MPG Payment '!E:E,'Shayak Income '!D601,'MPG Payment '!AJ:AJ)</f>
        <v>0</v>
      </c>
      <c r="AP601" s="19">
        <f t="shared" si="168"/>
        <v>1861</v>
      </c>
      <c r="AQ601" s="119">
        <f t="shared" si="178"/>
        <v>1861</v>
      </c>
      <c r="AR601" s="91"/>
      <c r="AS601" s="91">
        <f t="shared" si="169"/>
        <v>9289</v>
      </c>
      <c r="AT601" s="118"/>
      <c r="AU601" s="118"/>
      <c r="AV601" s="118"/>
    </row>
    <row r="602" spans="1:48" s="20" customFormat="1" x14ac:dyDescent="0.25">
      <c r="A602" s="17">
        <f>IFERROR(VLOOKUP(D602,'Monthly Deduction'!$I$3:$J$957,2,0),0)</f>
        <v>65881.539878532785</v>
      </c>
      <c r="B602" s="17">
        <f>IFERROR(VLOOKUP(D602,'Monthly Deduction'!$E$3:$F$957,2,0),0)</f>
        <v>9600</v>
      </c>
      <c r="C602" s="17">
        <f t="shared" si="170"/>
        <v>75481.539878532785</v>
      </c>
      <c r="D602" s="41">
        <v>10090059</v>
      </c>
      <c r="E602" s="122" t="str">
        <f>VLOOKUP(D602,'MPG Payment '!$E$3:$G$497305,2,0)</f>
        <v>CHOTAHA</v>
      </c>
      <c r="F602" s="146">
        <f>IFERROR(_xlfn.XLOOKUP(D602,'Monthly Deduction'!$I$3:$I$957,'Monthly Deduction'!$H$3:$H$957),0)</f>
        <v>0</v>
      </c>
      <c r="G602" s="123" t="str">
        <f>VLOOKUP(D602,'MPG Payment '!$E$3:$G$333666,3,0)</f>
        <v>MPG</v>
      </c>
      <c r="H602" s="124" t="str">
        <f>VLOOKUP(D602,'MPG Payment '!$E$3:$H$333666,4,0)</f>
        <v>Direct</v>
      </c>
      <c r="I602" s="88">
        <f>INDEX('MPG Payment '!$C:$C,MATCH('Shayak Income '!D602,'MPG Payment '!E:E,0))</f>
        <v>1009</v>
      </c>
      <c r="J602" s="88" t="str">
        <f>INDEX('MPG Payment '!$D:$D,MATCH('Shayak Income '!D602,'MPG Payment '!E:E,0))</f>
        <v>Halsi</v>
      </c>
      <c r="K602" s="125" t="s">
        <v>1594</v>
      </c>
      <c r="L602" s="125">
        <v>45686</v>
      </c>
      <c r="M602" s="126">
        <f>SUMIF('MPG Payment '!$E$3:$E$344841,'Shayak Income '!D602,'MPG Payment '!$I$3:$I$344841)</f>
        <v>1071.2</v>
      </c>
      <c r="N602" s="126">
        <f>SUMIF('MPG Payment '!$E$3:$E$344841,'Shayak Income '!D602,'MPG Payment '!$J$3:$J$344841)</f>
        <v>49698.209999999992</v>
      </c>
      <c r="O602" s="126">
        <f t="shared" si="171"/>
        <v>803.40000000000009</v>
      </c>
      <c r="P602" s="126">
        <f t="shared" si="172"/>
        <v>1017.64</v>
      </c>
      <c r="Q602" s="126">
        <f>SUMIF('MPG Payment '!$E$3:$E$344841,'Shayak Income '!D602,'MPG Payment '!$S$3:$S$344841)</f>
        <v>0</v>
      </c>
      <c r="R602" s="126">
        <f t="shared" si="162"/>
        <v>1490.9462999999996</v>
      </c>
      <c r="S602" s="126">
        <v>0</v>
      </c>
      <c r="T602" s="126">
        <f t="shared" si="173"/>
        <v>107.12</v>
      </c>
      <c r="U602" s="127">
        <f>((((((IF(K602="New",0,SUMIF('MPG Payment '!$E$3:$E$344841,'Shayak Income '!D602,'MPG Payment '!$AC$3:$AC$344841))))+0)+0)+0)+0)+0</f>
        <v>1583.9769207491615</v>
      </c>
      <c r="V602" s="127">
        <f t="shared" si="174"/>
        <v>130</v>
      </c>
      <c r="W602" s="19">
        <v>130</v>
      </c>
      <c r="X602" s="19">
        <v>0</v>
      </c>
      <c r="Y602" s="128">
        <f>IFERROR(VLOOKUP(D602,'Monthly Deduction'!$M$2:$N$640,2,0),0)</f>
        <v>0</v>
      </c>
      <c r="Z602" s="128">
        <v>0</v>
      </c>
      <c r="AA602" s="126">
        <v>0</v>
      </c>
      <c r="AB602" s="129">
        <f t="shared" si="165"/>
        <v>0</v>
      </c>
      <c r="AC602" s="130">
        <v>0</v>
      </c>
      <c r="AD602" s="35">
        <f t="shared" si="176"/>
        <v>0</v>
      </c>
      <c r="AE602" s="166" t="str">
        <f t="shared" si="177"/>
        <v>Release</v>
      </c>
      <c r="AF602" s="127"/>
      <c r="AG602" s="18">
        <v>0</v>
      </c>
      <c r="AH602" s="132"/>
      <c r="AI602" s="238">
        <v>0</v>
      </c>
      <c r="AJ602" s="132"/>
      <c r="AK602" s="151">
        <v>149.80000000000001</v>
      </c>
      <c r="AL602" s="154">
        <f t="shared" si="166"/>
        <v>0</v>
      </c>
      <c r="AM602" s="155"/>
      <c r="AN602" s="19">
        <f t="shared" si="167"/>
        <v>1861</v>
      </c>
      <c r="AO602" s="118">
        <f>SUMIF('MPG Payment '!E:E,'Shayak Income '!D602,'MPG Payment '!AJ:AJ)</f>
        <v>0</v>
      </c>
      <c r="AP602" s="19">
        <f t="shared" si="168"/>
        <v>130</v>
      </c>
      <c r="AQ602" s="119">
        <f t="shared" si="178"/>
        <v>130</v>
      </c>
      <c r="AR602" s="91" t="s">
        <v>1144</v>
      </c>
      <c r="AS602" s="91">
        <f t="shared" si="169"/>
        <v>9600</v>
      </c>
      <c r="AT602" s="118"/>
      <c r="AU602" s="118"/>
      <c r="AV602" s="118"/>
    </row>
    <row r="603" spans="1:48" s="20" customFormat="1" x14ac:dyDescent="0.25">
      <c r="A603" s="17">
        <f>IFERROR(VLOOKUP(D603,'Monthly Deduction'!$I$3:$J$957,2,0),0)</f>
        <v>78646.792820073533</v>
      </c>
      <c r="B603" s="17">
        <f>IFERROR(VLOOKUP(D603,'Monthly Deduction'!$E$3:$F$957,2,0),0)</f>
        <v>12800</v>
      </c>
      <c r="C603" s="17">
        <f t="shared" si="170"/>
        <v>91446.792820073533</v>
      </c>
      <c r="D603" s="41">
        <v>10530091</v>
      </c>
      <c r="E603" s="122" t="str">
        <f>VLOOKUP(D603,'MPG Payment '!$E$3:$G$497305,2,0)</f>
        <v>GOMUKH TOKE</v>
      </c>
      <c r="F603" s="146">
        <f>IFERROR(_xlfn.XLOOKUP(D603,'Monthly Deduction'!$I$3:$I$957,'Monthly Deduction'!$H$3:$H$957),0)</f>
        <v>0</v>
      </c>
      <c r="G603" s="123" t="str">
        <f>VLOOKUP(D603,'MPG Payment '!$E$3:$G$333666,3,0)</f>
        <v>MPG</v>
      </c>
      <c r="H603" s="124" t="str">
        <f>VLOOKUP(D603,'MPG Payment '!$E$3:$H$333666,4,0)</f>
        <v>Direct</v>
      </c>
      <c r="I603" s="88">
        <f>INDEX('MPG Payment '!$C:$C,MATCH('Shayak Income '!D603,'MPG Payment '!E:E,0))</f>
        <v>1053</v>
      </c>
      <c r="J603" s="88" t="str">
        <f>INDEX('MPG Payment '!$D:$D,MATCH('Shayak Income '!D603,'MPG Payment '!E:E,0))</f>
        <v>Kalyanpur</v>
      </c>
      <c r="K603" s="125" t="s">
        <v>1594</v>
      </c>
      <c r="L603" s="125">
        <v>45948</v>
      </c>
      <c r="M603" s="126">
        <f>SUMIF('MPG Payment '!$E$3:$E$344841,'Shayak Income '!D603,'MPG Payment '!$I$3:$I$344841)</f>
        <v>589.44999999999993</v>
      </c>
      <c r="N603" s="126">
        <f>SUMIF('MPG Payment '!$E$3:$E$344841,'Shayak Income '!D603,'MPG Payment '!$J$3:$J$344841)</f>
        <v>23705.21</v>
      </c>
      <c r="O603" s="126">
        <f t="shared" si="171"/>
        <v>442.08749999999998</v>
      </c>
      <c r="P603" s="126">
        <f t="shared" si="172"/>
        <v>559.97749999999996</v>
      </c>
      <c r="Q603" s="126">
        <f>SUMIF('MPG Payment '!$E$3:$E$344841,'Shayak Income '!D603,'MPG Payment '!$S$3:$S$344841)</f>
        <v>0</v>
      </c>
      <c r="R603" s="126">
        <f t="shared" si="162"/>
        <v>711.15629999999999</v>
      </c>
      <c r="S603" s="126">
        <f t="shared" si="163"/>
        <v>151.17880000000002</v>
      </c>
      <c r="T603" s="126">
        <f t="shared" si="173"/>
        <v>58.944999999999993</v>
      </c>
      <c r="U603" s="127">
        <f>((((((IF(K603="New",0,SUMIF('MPG Payment '!$E$3:$E$344841,'Shayak Income '!D603,'MPG Payment '!$AC$3:$AC$344841))))+0)+0)+0)+0)+-891</f>
        <v>943.33679078359864</v>
      </c>
      <c r="V603" s="127">
        <f t="shared" si="174"/>
        <v>0</v>
      </c>
      <c r="W603" s="19">
        <v>0</v>
      </c>
      <c r="X603" s="19">
        <v>0</v>
      </c>
      <c r="Y603" s="128">
        <v>0</v>
      </c>
      <c r="Z603" s="128">
        <v>0</v>
      </c>
      <c r="AA603" s="126">
        <v>0</v>
      </c>
      <c r="AB603" s="129">
        <f t="shared" si="165"/>
        <v>0</v>
      </c>
      <c r="AC603" s="130">
        <v>0</v>
      </c>
      <c r="AD603" s="35">
        <f t="shared" si="176"/>
        <v>0</v>
      </c>
      <c r="AE603" s="166" t="str">
        <f t="shared" si="177"/>
        <v>Release</v>
      </c>
      <c r="AF603" s="127"/>
      <c r="AG603" s="18">
        <v>0</v>
      </c>
      <c r="AH603" s="132"/>
      <c r="AI603" s="238">
        <v>0</v>
      </c>
      <c r="AJ603" s="132"/>
      <c r="AK603" s="151">
        <v>58.250000000000007</v>
      </c>
      <c r="AL603" s="154">
        <f t="shared" si="166"/>
        <v>0</v>
      </c>
      <c r="AM603" s="155"/>
      <c r="AN603" s="19">
        <f t="shared" si="167"/>
        <v>1861</v>
      </c>
      <c r="AO603" s="118">
        <f>SUMIF('MPG Payment '!E:E,'Shayak Income '!D603,'MPG Payment '!AJ:AJ)</f>
        <v>0</v>
      </c>
      <c r="AP603" s="19">
        <f t="shared" si="168"/>
        <v>0</v>
      </c>
      <c r="AQ603" s="119">
        <f t="shared" si="178"/>
        <v>0</v>
      </c>
      <c r="AR603" s="91" t="s">
        <v>1144</v>
      </c>
      <c r="AS603" s="91">
        <f t="shared" si="169"/>
        <v>12800</v>
      </c>
      <c r="AT603" s="118"/>
      <c r="AU603" s="118"/>
      <c r="AV603" s="118"/>
    </row>
    <row r="604" spans="1:48" s="20" customFormat="1" x14ac:dyDescent="0.25">
      <c r="A604" s="17">
        <f>IFERROR(VLOOKUP(D604,'Monthly Deduction'!$I$3:$J$957,2,0),0)</f>
        <v>0</v>
      </c>
      <c r="B604" s="17">
        <f>IFERROR(VLOOKUP(D604,'Monthly Deduction'!$E$3:$F$957,2,0),0)</f>
        <v>0</v>
      </c>
      <c r="C604" s="17">
        <f t="shared" si="170"/>
        <v>0</v>
      </c>
      <c r="D604" s="41">
        <v>10080012</v>
      </c>
      <c r="E604" s="122" t="str">
        <f>VLOOKUP(D604,'MPG Payment '!$E$3:$G$497305,2,0)</f>
        <v>Gomukh ID Akashpur-2</v>
      </c>
      <c r="F604" s="146">
        <f>IFERROR(_xlfn.XLOOKUP(D604,'Monthly Deduction'!$I$3:$I$957,'Monthly Deduction'!$H$3:$H$957),0)</f>
        <v>0</v>
      </c>
      <c r="G604" s="123" t="str">
        <f>VLOOKUP(D604,'MPG Payment '!$E$3:$G$333666,3,0)</f>
        <v>vlc</v>
      </c>
      <c r="H604" s="124" t="str">
        <f>VLOOKUP(D604,'MPG Payment '!$E$3:$H$333666,4,0)</f>
        <v>Indirect</v>
      </c>
      <c r="I604" s="88">
        <f>INDEX('MPG Payment '!$C:$C,MATCH('Shayak Income '!D604,'MPG Payment '!E:E,0))</f>
        <v>1008</v>
      </c>
      <c r="J604" s="88" t="str">
        <f>INDEX('MPG Payment '!$D:$D,MATCH('Shayak Income '!D604,'MPG Payment '!E:E,0))</f>
        <v>Teghra</v>
      </c>
      <c r="K604" s="125" t="s">
        <v>1594</v>
      </c>
      <c r="L604" s="125">
        <v>44257</v>
      </c>
      <c r="M604" s="126">
        <f>SUMIF('MPG Payment '!$E$3:$E$344841,'Shayak Income '!D604,'MPG Payment '!$I$3:$I$344841)</f>
        <v>1358.1000000000001</v>
      </c>
      <c r="N604" s="126">
        <f>SUMIF('MPG Payment '!$E$3:$E$344841,'Shayak Income '!D604,'MPG Payment '!$J$3:$J$344841)</f>
        <v>51566.969999999994</v>
      </c>
      <c r="O604" s="126">
        <f t="shared" si="171"/>
        <v>1018.575</v>
      </c>
      <c r="P604" s="126">
        <f t="shared" si="172"/>
        <v>1290.1950000000002</v>
      </c>
      <c r="Q604" s="126">
        <f>SUMIF('MPG Payment '!$E$3:$E$344841,'Shayak Income '!D604,'MPG Payment '!$S$3:$S$344841)</f>
        <v>0</v>
      </c>
      <c r="R604" s="126">
        <f t="shared" si="162"/>
        <v>1547.0090999999998</v>
      </c>
      <c r="S604" s="126">
        <f t="shared" si="163"/>
        <v>256.8140999999996</v>
      </c>
      <c r="T604" s="126">
        <f t="shared" si="173"/>
        <v>135.81000000000003</v>
      </c>
      <c r="U604" s="127">
        <f>((((((IF(K604="New",0,SUMIF('MPG Payment '!$E$3:$E$344841,'Shayak Income '!D604,'MPG Payment '!$AC$3:$AC$344841))))+0)+0)+0)+0)+0</f>
        <v>1180.6597768997731</v>
      </c>
      <c r="V604" s="127">
        <f t="shared" si="174"/>
        <v>992</v>
      </c>
      <c r="W604" s="19">
        <f t="shared" si="175"/>
        <v>0</v>
      </c>
      <c r="X604" s="19">
        <f t="shared" si="164"/>
        <v>0</v>
      </c>
      <c r="Y604" s="128">
        <f>IFERROR(VLOOKUP(D604,'Monthly Deduction'!$M$2:$N$640,2,0),0)</f>
        <v>0</v>
      </c>
      <c r="Z604" s="128">
        <v>0</v>
      </c>
      <c r="AA604" s="126">
        <f>IFERROR(VLOOKUP(D604,'Monthly Deduction'!A:B,2,0),0)</f>
        <v>0</v>
      </c>
      <c r="AB604" s="129">
        <f t="shared" si="165"/>
        <v>992</v>
      </c>
      <c r="AC604" s="130">
        <f t="shared" ref="AC604:AC605" si="180">AB604</f>
        <v>992</v>
      </c>
      <c r="AD604" s="35">
        <f t="shared" si="176"/>
        <v>0</v>
      </c>
      <c r="AE604" s="166" t="str">
        <f t="shared" si="177"/>
        <v>Yes</v>
      </c>
      <c r="AF604" s="127"/>
      <c r="AG604" s="18">
        <v>0</v>
      </c>
      <c r="AH604" s="132" t="s">
        <v>1597</v>
      </c>
      <c r="AI604" s="238">
        <v>0</v>
      </c>
      <c r="AJ604" s="132"/>
      <c r="AK604" s="151">
        <v>0</v>
      </c>
      <c r="AL604" s="154">
        <f t="shared" si="166"/>
        <v>0</v>
      </c>
      <c r="AM604" s="155"/>
      <c r="AN604" s="19">
        <f t="shared" si="167"/>
        <v>0</v>
      </c>
      <c r="AO604" s="118">
        <f>SUMIF('MPG Payment '!E:E,'Shayak Income '!D604,'MPG Payment '!AJ:AJ)</f>
        <v>0</v>
      </c>
      <c r="AP604" s="19">
        <f t="shared" si="168"/>
        <v>0</v>
      </c>
      <c r="AQ604" s="119">
        <f t="shared" si="178"/>
        <v>0</v>
      </c>
      <c r="AR604" s="91" t="s">
        <v>1144</v>
      </c>
      <c r="AS604" s="91">
        <f t="shared" si="169"/>
        <v>0</v>
      </c>
      <c r="AT604" s="118"/>
      <c r="AU604" s="118"/>
      <c r="AV604" s="118"/>
    </row>
    <row r="605" spans="1:48" s="20" customFormat="1" x14ac:dyDescent="0.25">
      <c r="A605" s="17">
        <f>IFERROR(VLOOKUP(D605,'Monthly Deduction'!$I$3:$J$957,2,0),0)</f>
        <v>96450.348643408375</v>
      </c>
      <c r="B605" s="17">
        <f>IFERROR(VLOOKUP(D605,'Monthly Deduction'!$E$3:$F$957,2,0),0)</f>
        <v>0</v>
      </c>
      <c r="C605" s="17">
        <f t="shared" si="170"/>
        <v>96450.348643408375</v>
      </c>
      <c r="D605" s="41">
        <v>10560015</v>
      </c>
      <c r="E605" s="122" t="str">
        <f>VLOOKUP(D605,'MPG Payment '!$E$3:$G$497305,2,0)</f>
        <v>Gomukh Patel Nagar</v>
      </c>
      <c r="F605" s="146">
        <f>IFERROR(_xlfn.XLOOKUP(D605,'Monthly Deduction'!$I$3:$I$957,'Monthly Deduction'!$H$3:$H$957),0)</f>
        <v>0</v>
      </c>
      <c r="G605" s="123" t="str">
        <f>VLOOKUP(D605,'MPG Payment '!$E$3:$G$333666,3,0)</f>
        <v>vlc</v>
      </c>
      <c r="H605" s="124" t="str">
        <f>VLOOKUP(D605,'MPG Payment '!$E$3:$H$333666,4,0)</f>
        <v>Indirect</v>
      </c>
      <c r="I605" s="88">
        <f>INDEX('MPG Payment '!$C:$C,MATCH('Shayak Income '!D605,'MPG Payment '!E:E,0))</f>
        <v>1056</v>
      </c>
      <c r="J605" s="88" t="str">
        <f>INDEX('MPG Payment '!$D:$D,MATCH('Shayak Income '!D605,'MPG Payment '!E:E,0))</f>
        <v>Chautham</v>
      </c>
      <c r="K605" s="125" t="s">
        <v>1594</v>
      </c>
      <c r="L605" s="125">
        <v>45966</v>
      </c>
      <c r="M605" s="126">
        <f>SUMIF('MPG Payment '!$E$3:$E$344841,'Shayak Income '!D605,'MPG Payment '!$I$3:$I$344841)</f>
        <v>1588.38</v>
      </c>
      <c r="N605" s="126">
        <f>SUMIF('MPG Payment '!$E$3:$E$344841,'Shayak Income '!D605,'MPG Payment '!$J$3:$J$344841)</f>
        <v>61538.94</v>
      </c>
      <c r="O605" s="126">
        <f t="shared" si="171"/>
        <v>1191.2850000000001</v>
      </c>
      <c r="P605" s="126">
        <f t="shared" si="172"/>
        <v>1508.961</v>
      </c>
      <c r="Q605" s="126">
        <f>SUMIF('MPG Payment '!$E$3:$E$344841,'Shayak Income '!D605,'MPG Payment '!$S$3:$S$344841)</f>
        <v>0</v>
      </c>
      <c r="R605" s="126">
        <f t="shared" si="162"/>
        <v>1846.1682000000001</v>
      </c>
      <c r="S605" s="126">
        <f t="shared" si="163"/>
        <v>337.20720000000006</v>
      </c>
      <c r="T605" s="126">
        <f t="shared" si="173"/>
        <v>158.83800000000002</v>
      </c>
      <c r="U605" s="127">
        <f>((((((IF(K605="New",0,SUMIF('MPG Payment '!$E$3:$E$344841,'Shayak Income '!D605,'MPG Payment '!$AC$3:$AC$344841))))+0)+0)+0)+0)+0</f>
        <v>938.12576910061443</v>
      </c>
      <c r="V605" s="127">
        <f t="shared" si="174"/>
        <v>1603</v>
      </c>
      <c r="W605" s="19">
        <v>1603</v>
      </c>
      <c r="X605" s="19">
        <v>0</v>
      </c>
      <c r="Y605" s="128">
        <f>IFERROR(VLOOKUP(D605,'Monthly Deduction'!$M$2:$N$640,2,0),0)</f>
        <v>0</v>
      </c>
      <c r="Z605" s="128">
        <v>0</v>
      </c>
      <c r="AA605" s="126">
        <f>IFERROR(VLOOKUP(D605,'Monthly Deduction'!A:B,2,0),0)</f>
        <v>0</v>
      </c>
      <c r="AB605" s="129">
        <f t="shared" si="165"/>
        <v>0</v>
      </c>
      <c r="AC605" s="130">
        <f t="shared" si="180"/>
        <v>0</v>
      </c>
      <c r="AD605" s="35">
        <f t="shared" si="176"/>
        <v>0</v>
      </c>
      <c r="AE605" s="166" t="str">
        <f t="shared" si="177"/>
        <v>Release</v>
      </c>
      <c r="AF605" s="127"/>
      <c r="AG605" s="18">
        <v>0</v>
      </c>
      <c r="AH605" s="132" t="s">
        <v>1689</v>
      </c>
      <c r="AI605" s="238">
        <v>18486</v>
      </c>
      <c r="AJ605" s="132"/>
      <c r="AK605" s="151">
        <v>0</v>
      </c>
      <c r="AL605" s="154">
        <f t="shared" si="166"/>
        <v>0</v>
      </c>
      <c r="AM605" s="155"/>
      <c r="AN605" s="19">
        <f t="shared" si="167"/>
        <v>1861</v>
      </c>
      <c r="AO605" s="118">
        <f>SUMIF('MPG Payment '!E:E,'Shayak Income '!D605,'MPG Payment '!AJ:AJ)</f>
        <v>0</v>
      </c>
      <c r="AP605" s="19">
        <f t="shared" si="168"/>
        <v>1603</v>
      </c>
      <c r="AQ605" s="119">
        <f t="shared" si="178"/>
        <v>1603</v>
      </c>
      <c r="AR605" s="91"/>
      <c r="AS605" s="91">
        <f t="shared" si="169"/>
        <v>0</v>
      </c>
      <c r="AT605" s="118"/>
      <c r="AU605" s="118"/>
      <c r="AV605" s="118"/>
    </row>
    <row r="606" spans="1:48" s="20" customFormat="1" x14ac:dyDescent="0.25">
      <c r="A606" s="17">
        <f>IFERROR(VLOOKUP(D606,'Monthly Deduction'!$I$3:$J$957,2,0),0)</f>
        <v>85533</v>
      </c>
      <c r="B606" s="17">
        <f>IFERROR(VLOOKUP(D606,'Monthly Deduction'!$E$3:$F$957,2,0),0)</f>
        <v>9600</v>
      </c>
      <c r="C606" s="17">
        <f t="shared" si="170"/>
        <v>95133</v>
      </c>
      <c r="D606" s="41">
        <v>10580004</v>
      </c>
      <c r="E606" s="122" t="str">
        <f>VLOOKUP(D606,'MPG Payment '!$E$3:$G$497305,2,0)</f>
        <v>Patiya</v>
      </c>
      <c r="F606" s="146">
        <f>IFERROR(_xlfn.XLOOKUP(D606,'Monthly Deduction'!$I$3:$I$957,'Monthly Deduction'!$H$3:$H$957),0)</f>
        <v>0</v>
      </c>
      <c r="G606" s="123" t="str">
        <f>VLOOKUP(D606,'MPG Payment '!$E$3:$G$333666,3,0)</f>
        <v>MPG</v>
      </c>
      <c r="H606" s="124" t="str">
        <f>VLOOKUP(D606,'MPG Payment '!$E$3:$H$333666,4,0)</f>
        <v>Direct</v>
      </c>
      <c r="I606" s="88">
        <f>INDEX('MPG Payment '!$C:$C,MATCH('Shayak Income '!D606,'MPG Payment '!E:E,0))</f>
        <v>1058</v>
      </c>
      <c r="J606" s="88" t="str">
        <f>INDEX('MPG Payment '!$D:$D,MATCH('Shayak Income '!D606,'MPG Payment '!E:E,0))</f>
        <v>Hasanpur</v>
      </c>
      <c r="K606" s="125" t="s">
        <v>1594</v>
      </c>
      <c r="L606" s="125">
        <v>45962</v>
      </c>
      <c r="M606" s="126">
        <f>SUMIF('MPG Payment '!$E$3:$E$344841,'Shayak Income '!D606,'MPG Payment '!$I$3:$I$344841)</f>
        <v>1044.96</v>
      </c>
      <c r="N606" s="126">
        <f>SUMIF('MPG Payment '!$E$3:$E$344841,'Shayak Income '!D606,'MPG Payment '!$J$3:$J$344841)</f>
        <v>43455.22</v>
      </c>
      <c r="O606" s="126">
        <f t="shared" si="171"/>
        <v>783.72</v>
      </c>
      <c r="P606" s="126">
        <f t="shared" si="172"/>
        <v>992.71199999999999</v>
      </c>
      <c r="Q606" s="126">
        <f>SUMIF('MPG Payment '!$E$3:$E$344841,'Shayak Income '!D606,'MPG Payment '!$S$3:$S$344841)</f>
        <v>261.27</v>
      </c>
      <c r="R606" s="126">
        <f t="shared" si="162"/>
        <v>1303.6566</v>
      </c>
      <c r="S606" s="126">
        <f t="shared" si="163"/>
        <v>310.94460000000004</v>
      </c>
      <c r="T606" s="126">
        <f t="shared" si="173"/>
        <v>104.49600000000001</v>
      </c>
      <c r="U606" s="127">
        <f>((((((IF(K606="New",0,SUMIF('MPG Payment '!$E$3:$E$344841,'Shayak Income '!D606,'MPG Payment '!$AC$3:$AC$344841))))+0)+0)+0)+0)+0</f>
        <v>1460.270358629873</v>
      </c>
      <c r="V606" s="127">
        <f t="shared" si="174"/>
        <v>473</v>
      </c>
      <c r="W606" s="19">
        <v>473</v>
      </c>
      <c r="X606" s="19">
        <v>0</v>
      </c>
      <c r="Y606" s="128">
        <f>IFERROR(VLOOKUP(D606,'Monthly Deduction'!$M$2:$N$640,2,0),0)</f>
        <v>0</v>
      </c>
      <c r="Z606" s="128">
        <v>0</v>
      </c>
      <c r="AA606" s="126">
        <f>IFERROR(VLOOKUP(D606,'Monthly Deduction'!A:B,2,0),0)</f>
        <v>0</v>
      </c>
      <c r="AB606" s="129">
        <f t="shared" si="165"/>
        <v>0</v>
      </c>
      <c r="AC606" s="130">
        <v>0</v>
      </c>
      <c r="AD606" s="35">
        <f t="shared" si="176"/>
        <v>0</v>
      </c>
      <c r="AE606" s="166" t="str">
        <f t="shared" si="177"/>
        <v>Release</v>
      </c>
      <c r="AF606" s="127"/>
      <c r="AG606" s="18">
        <v>0</v>
      </c>
      <c r="AH606" s="132"/>
      <c r="AI606" s="238">
        <v>0</v>
      </c>
      <c r="AJ606" s="132"/>
      <c r="AK606" s="151">
        <v>290.2</v>
      </c>
      <c r="AL606" s="154">
        <f t="shared" si="166"/>
        <v>0</v>
      </c>
      <c r="AM606" s="155"/>
      <c r="AN606" s="19">
        <f t="shared" si="167"/>
        <v>1861</v>
      </c>
      <c r="AO606" s="118">
        <f>SUMIF('MPG Payment '!E:E,'Shayak Income '!D606,'MPG Payment '!AJ:AJ)</f>
        <v>0</v>
      </c>
      <c r="AP606" s="19">
        <f t="shared" si="168"/>
        <v>473</v>
      </c>
      <c r="AQ606" s="119">
        <f t="shared" si="178"/>
        <v>473</v>
      </c>
      <c r="AR606" s="91" t="s">
        <v>1144</v>
      </c>
      <c r="AS606" s="91">
        <f t="shared" si="169"/>
        <v>9600</v>
      </c>
      <c r="AT606" s="118"/>
      <c r="AU606" s="118"/>
      <c r="AV606" s="118"/>
    </row>
    <row r="607" spans="1:48" s="20" customFormat="1" x14ac:dyDescent="0.25">
      <c r="A607" s="17">
        <f>IFERROR(VLOOKUP(D607,'Monthly Deduction'!$I$3:$J$957,2,0),0)</f>
        <v>0</v>
      </c>
      <c r="B607" s="17">
        <f>IFERROR(VLOOKUP(D607,'Monthly Deduction'!$E$3:$F$957,2,0),0)</f>
        <v>0</v>
      </c>
      <c r="C607" s="17">
        <f t="shared" si="170"/>
        <v>0</v>
      </c>
      <c r="D607" s="41">
        <v>10020010</v>
      </c>
      <c r="E607" s="122" t="str">
        <f>VLOOKUP(D607,'MPG Payment '!$E$3:$G$497305,2,0)</f>
        <v>GOMUKH RAHATPUR</v>
      </c>
      <c r="F607" s="146">
        <f>IFERROR(_xlfn.XLOOKUP(D607,'Monthly Deduction'!$I$3:$I$957,'Monthly Deduction'!$H$3:$H$957),0)</f>
        <v>0</v>
      </c>
      <c r="G607" s="123" t="str">
        <f>VLOOKUP(D607,'MPG Payment '!$E$3:$G$333666,3,0)</f>
        <v>MPG</v>
      </c>
      <c r="H607" s="124" t="str">
        <f>VLOOKUP(D607,'MPG Payment '!$E$3:$H$333666,4,0)</f>
        <v>Direct</v>
      </c>
      <c r="I607" s="88">
        <f>INDEX('MPG Payment '!$C:$C,MATCH('Shayak Income '!D607,'MPG Payment '!E:E,0))</f>
        <v>1002</v>
      </c>
      <c r="J607" s="88" t="str">
        <f>INDEX('MPG Payment '!$D:$D,MATCH('Shayak Income '!D607,'MPG Payment '!E:E,0))</f>
        <v>Laldiyara</v>
      </c>
      <c r="K607" s="125" t="s">
        <v>1594</v>
      </c>
      <c r="L607" s="125">
        <v>44277</v>
      </c>
      <c r="M607" s="126">
        <f>SUMIF('MPG Payment '!$E$3:$E$344841,'Shayak Income '!D607,'MPG Payment '!$I$3:$I$344841)</f>
        <v>392.6</v>
      </c>
      <c r="N607" s="126">
        <f>SUMIF('MPG Payment '!$E$3:$E$344841,'Shayak Income '!D607,'MPG Payment '!$J$3:$J$344841)</f>
        <v>16170.83</v>
      </c>
      <c r="O607" s="126">
        <f t="shared" si="171"/>
        <v>294.45000000000005</v>
      </c>
      <c r="P607" s="126">
        <f t="shared" si="172"/>
        <v>372.97</v>
      </c>
      <c r="Q607" s="126">
        <f>SUMIF('MPG Payment '!$E$3:$E$344841,'Shayak Income '!D607,'MPG Payment '!$S$3:$S$344841)</f>
        <v>66.53</v>
      </c>
      <c r="R607" s="126">
        <f t="shared" si="162"/>
        <v>485.12489999999997</v>
      </c>
      <c r="S607" s="126">
        <f t="shared" si="163"/>
        <v>112.15489999999994</v>
      </c>
      <c r="T607" s="126">
        <f t="shared" si="173"/>
        <v>39.260000000000005</v>
      </c>
      <c r="U607" s="127">
        <f>((((((IF(K607="New",0,SUMIF('MPG Payment '!$E$3:$E$344841,'Shayak Income '!D607,'MPG Payment '!$AC$3:$AC$344841))))+0)+0)+0)+0)+-1276</f>
        <v>694.28417166645477</v>
      </c>
      <c r="V607" s="127">
        <f t="shared" si="174"/>
        <v>0</v>
      </c>
      <c r="W607" s="19">
        <v>0</v>
      </c>
      <c r="X607" s="19">
        <v>0</v>
      </c>
      <c r="Y607" s="128">
        <v>0</v>
      </c>
      <c r="Z607" s="128">
        <v>0</v>
      </c>
      <c r="AA607" s="126">
        <v>0</v>
      </c>
      <c r="AB607" s="129">
        <f t="shared" si="165"/>
        <v>0</v>
      </c>
      <c r="AC607" s="130">
        <v>0</v>
      </c>
      <c r="AD607" s="35">
        <f t="shared" si="176"/>
        <v>0</v>
      </c>
      <c r="AE607" s="166" t="str">
        <f t="shared" si="177"/>
        <v>Release</v>
      </c>
      <c r="AF607" s="127"/>
      <c r="AG607" s="18">
        <v>0</v>
      </c>
      <c r="AH607" s="120"/>
      <c r="AI607" s="238">
        <v>0</v>
      </c>
      <c r="AJ607" s="132"/>
      <c r="AK607" s="151">
        <v>122.4</v>
      </c>
      <c r="AL607" s="154">
        <f t="shared" si="166"/>
        <v>0</v>
      </c>
      <c r="AM607" s="155"/>
      <c r="AN607" s="19">
        <f t="shared" si="167"/>
        <v>0</v>
      </c>
      <c r="AO607" s="118">
        <f>SUMIF('MPG Payment '!E:E,'Shayak Income '!D607,'MPG Payment '!AJ:AJ)</f>
        <v>0</v>
      </c>
      <c r="AP607" s="19">
        <f t="shared" si="168"/>
        <v>0</v>
      </c>
      <c r="AQ607" s="119">
        <f t="shared" si="178"/>
        <v>0</v>
      </c>
      <c r="AR607" s="91" t="s">
        <v>1144</v>
      </c>
      <c r="AS607" s="91">
        <f t="shared" si="169"/>
        <v>0</v>
      </c>
      <c r="AT607" s="118"/>
      <c r="AU607" s="118"/>
      <c r="AV607" s="118"/>
    </row>
    <row r="608" spans="1:48" s="20" customFormat="1" x14ac:dyDescent="0.25">
      <c r="A608" s="17">
        <f>IFERROR(VLOOKUP(D608,'Monthly Deduction'!$I$3:$J$957,2,0),0)</f>
        <v>68772.562784334616</v>
      </c>
      <c r="B608" s="17">
        <f>IFERROR(VLOOKUP(D608,'Monthly Deduction'!$E$3:$F$957,2,0),0)</f>
        <v>16000</v>
      </c>
      <c r="C608" s="17">
        <f t="shared" si="170"/>
        <v>84772.562784334616</v>
      </c>
      <c r="D608" s="41">
        <v>10560017</v>
      </c>
      <c r="E608" s="122" t="str">
        <f>VLOOKUP(D608,'MPG Payment '!$E$3:$G$497305,2,0)</f>
        <v>Gomukh Telihar</v>
      </c>
      <c r="F608" s="146">
        <f>IFERROR(_xlfn.XLOOKUP(D608,'Monthly Deduction'!$I$3:$I$957,'Monthly Deduction'!$H$3:$H$957),0)</f>
        <v>0</v>
      </c>
      <c r="G608" s="123" t="str">
        <f>VLOOKUP(D608,'MPG Payment '!$E$3:$G$333666,3,0)</f>
        <v>MPG</v>
      </c>
      <c r="H608" s="124" t="str">
        <f>VLOOKUP(D608,'MPG Payment '!$E$3:$H$333666,4,0)</f>
        <v>Direct</v>
      </c>
      <c r="I608" s="88">
        <f>INDEX('MPG Payment '!$C:$C,MATCH('Shayak Income '!D608,'MPG Payment '!E:E,0))</f>
        <v>1056</v>
      </c>
      <c r="J608" s="88" t="str">
        <f>INDEX('MPG Payment '!$D:$D,MATCH('Shayak Income '!D608,'MPG Payment '!E:E,0))</f>
        <v>Chautham</v>
      </c>
      <c r="K608" s="125" t="s">
        <v>1594</v>
      </c>
      <c r="L608" s="125">
        <v>45974</v>
      </c>
      <c r="M608" s="126">
        <f>SUMIF('MPG Payment '!$E$3:$E$344841,'Shayak Income '!D608,'MPG Payment '!$I$3:$I$344841)</f>
        <v>3219.7000000000003</v>
      </c>
      <c r="N608" s="126">
        <f>SUMIF('MPG Payment '!$E$3:$E$344841,'Shayak Income '!D608,'MPG Payment '!$J$3:$J$344841)</f>
        <v>130088.43000000001</v>
      </c>
      <c r="O608" s="126">
        <f t="shared" si="171"/>
        <v>2414.7750000000001</v>
      </c>
      <c r="P608" s="126">
        <f t="shared" si="172"/>
        <v>3058.7150000000001</v>
      </c>
      <c r="Q608" s="126">
        <f>SUMIF('MPG Payment '!$E$3:$E$344841,'Shayak Income '!D608,'MPG Payment '!$S$3:$S$344841)</f>
        <v>0</v>
      </c>
      <c r="R608" s="126">
        <f t="shared" si="162"/>
        <v>3902.6529</v>
      </c>
      <c r="S608" s="126">
        <f t="shared" si="163"/>
        <v>843.9378999999999</v>
      </c>
      <c r="T608" s="126">
        <f t="shared" si="173"/>
        <v>321.97000000000003</v>
      </c>
      <c r="U608" s="127">
        <f>((((((IF(K608="New",0,SUMIF('MPG Payment '!$E$3:$E$344841,'Shayak Income '!D608,'MPG Payment '!$AC$3:$AC$344841))))+0)+0)+0)+0)+0</f>
        <v>0</v>
      </c>
      <c r="V608" s="127">
        <f t="shared" si="174"/>
        <v>5152</v>
      </c>
      <c r="W608" s="19">
        <f t="shared" si="175"/>
        <v>2601.7686000000003</v>
      </c>
      <c r="X608" s="19">
        <v>0</v>
      </c>
      <c r="Y608" s="128">
        <f>IFERROR(VLOOKUP(D608,'Monthly Deduction'!$M$2:$N$640,2,0),0)</f>
        <v>0</v>
      </c>
      <c r="Z608" s="128">
        <v>0</v>
      </c>
      <c r="AA608" s="126">
        <f>IFERROR(VLOOKUP(D608,'Monthly Deduction'!A:B,2,0),0)</f>
        <v>679.32854097868506</v>
      </c>
      <c r="AB608" s="129">
        <f t="shared" si="165"/>
        <v>1871</v>
      </c>
      <c r="AC608" s="130">
        <v>0</v>
      </c>
      <c r="AD608" s="35">
        <f t="shared" si="176"/>
        <v>1871</v>
      </c>
      <c r="AE608" s="166" t="str">
        <f t="shared" si="177"/>
        <v>Release</v>
      </c>
      <c r="AF608" s="127"/>
      <c r="AG608" s="127">
        <v>0</v>
      </c>
      <c r="AH608" s="132"/>
      <c r="AI608" s="238">
        <v>0</v>
      </c>
      <c r="AJ608" s="132"/>
      <c r="AK608" s="151">
        <v>625.95999999999981</v>
      </c>
      <c r="AL608" s="154">
        <f t="shared" si="166"/>
        <v>0</v>
      </c>
      <c r="AM608" s="155"/>
      <c r="AN608" s="19">
        <f t="shared" si="167"/>
        <v>2601.7686000000003</v>
      </c>
      <c r="AO608" s="118">
        <f>SUMIF('MPG Payment '!E:E,'Shayak Income '!D608,'MPG Payment '!AJ:AJ)</f>
        <v>0</v>
      </c>
      <c r="AP608" s="19">
        <f t="shared" si="168"/>
        <v>2601.7686000000003</v>
      </c>
      <c r="AQ608" s="119">
        <f t="shared" si="178"/>
        <v>2601.7686000000003</v>
      </c>
      <c r="AR608" s="91" t="s">
        <v>1144</v>
      </c>
      <c r="AS608" s="91">
        <f t="shared" si="169"/>
        <v>16000</v>
      </c>
      <c r="AT608" s="118"/>
      <c r="AU608" s="118"/>
      <c r="AV608" s="118"/>
    </row>
    <row r="609" spans="1:48" s="20" customFormat="1" x14ac:dyDescent="0.25">
      <c r="A609" s="17">
        <f>IFERROR(VLOOKUP(D609,'Monthly Deduction'!$I$3:$J$957,2,0),0)</f>
        <v>0</v>
      </c>
      <c r="B609" s="17">
        <f>IFERROR(VLOOKUP(D609,'Monthly Deduction'!$E$3:$F$957,2,0),0)</f>
        <v>0</v>
      </c>
      <c r="C609" s="17">
        <f t="shared" si="170"/>
        <v>0</v>
      </c>
      <c r="D609" s="41">
        <v>10560019</v>
      </c>
      <c r="E609" s="122" t="str">
        <f>VLOOKUP(D609,'MPG Payment '!$E$3:$G$497305,2,0)</f>
        <v>Gomukh Pansalba Ward No 05</v>
      </c>
      <c r="F609" s="146">
        <f>IFERROR(_xlfn.XLOOKUP(D609,'Monthly Deduction'!$I$3:$I$957,'Monthly Deduction'!$H$3:$H$957),0)</f>
        <v>0</v>
      </c>
      <c r="G609" s="123" t="str">
        <f>VLOOKUP(D609,'MPG Payment '!$E$3:$G$333666,3,0)</f>
        <v>MPG</v>
      </c>
      <c r="H609" s="124" t="str">
        <f>VLOOKUP(D609,'MPG Payment '!$E$3:$H$333666,4,0)</f>
        <v>Indirect</v>
      </c>
      <c r="I609" s="88">
        <f>INDEX('MPG Payment '!$C:$C,MATCH('Shayak Income '!D609,'MPG Payment '!E:E,0))</f>
        <v>1056</v>
      </c>
      <c r="J609" s="88" t="str">
        <f>INDEX('MPG Payment '!$D:$D,MATCH('Shayak Income '!D609,'MPG Payment '!E:E,0))</f>
        <v>Chautham</v>
      </c>
      <c r="K609" s="125" t="s">
        <v>1594</v>
      </c>
      <c r="L609" s="125">
        <v>45973</v>
      </c>
      <c r="M609" s="126">
        <f>SUMIF('MPG Payment '!$E$3:$E$344841,'Shayak Income '!D609,'MPG Payment '!$I$3:$I$344841)</f>
        <v>5677.9800000000005</v>
      </c>
      <c r="N609" s="126">
        <f>SUMIF('MPG Payment '!$E$3:$E$344841,'Shayak Income '!D609,'MPG Payment '!$J$3:$J$344841)</f>
        <v>212439.92</v>
      </c>
      <c r="O609" s="126">
        <f t="shared" si="171"/>
        <v>4258.4850000000006</v>
      </c>
      <c r="P609" s="126">
        <f t="shared" si="172"/>
        <v>5394.0810000000001</v>
      </c>
      <c r="Q609" s="126">
        <f>SUMIF('MPG Payment '!$E$3:$E$344841,'Shayak Income '!D609,'MPG Payment '!$S$3:$S$344841)</f>
        <v>0</v>
      </c>
      <c r="R609" s="126">
        <f t="shared" si="162"/>
        <v>6373.1976000000004</v>
      </c>
      <c r="S609" s="126">
        <f t="shared" si="163"/>
        <v>979.11660000000029</v>
      </c>
      <c r="T609" s="126">
        <f t="shared" si="173"/>
        <v>567.79800000000012</v>
      </c>
      <c r="U609" s="127">
        <f>((((((IF(K609="New",0,SUMIF('MPG Payment '!$E$3:$E$344841,'Shayak Income '!D609,'MPG Payment '!$AC$3:$AC$344841))))+0)+0)+0)+0)+0</f>
        <v>0</v>
      </c>
      <c r="V609" s="127">
        <f t="shared" si="174"/>
        <v>9085</v>
      </c>
      <c r="W609" s="19">
        <f t="shared" si="175"/>
        <v>0</v>
      </c>
      <c r="X609" s="19">
        <f t="shared" si="164"/>
        <v>0</v>
      </c>
      <c r="Y609" s="128">
        <f>IFERROR(VLOOKUP(D609,'Monthly Deduction'!$M$2:$N$640,2,0),0)</f>
        <v>0</v>
      </c>
      <c r="Z609" s="128">
        <v>0</v>
      </c>
      <c r="AA609" s="126">
        <f>IFERROR(VLOOKUP(D609,'Monthly Deduction'!A:B,2,0),0)</f>
        <v>0</v>
      </c>
      <c r="AB609" s="129">
        <f t="shared" si="165"/>
        <v>9085</v>
      </c>
      <c r="AC609" s="130">
        <v>0</v>
      </c>
      <c r="AD609" s="35">
        <f t="shared" si="176"/>
        <v>9085</v>
      </c>
      <c r="AE609" s="166" t="str">
        <f t="shared" si="177"/>
        <v>Release</v>
      </c>
      <c r="AF609" s="127"/>
      <c r="AG609" s="18">
        <v>0</v>
      </c>
      <c r="AH609" s="132"/>
      <c r="AI609" s="238">
        <v>0</v>
      </c>
      <c r="AJ609" s="132"/>
      <c r="AK609" s="151">
        <v>1283.68</v>
      </c>
      <c r="AL609" s="154">
        <f t="shared" si="166"/>
        <v>0</v>
      </c>
      <c r="AM609" s="155"/>
      <c r="AN609" s="19">
        <f t="shared" si="167"/>
        <v>0</v>
      </c>
      <c r="AO609" s="118">
        <f>SUMIF('MPG Payment '!E:E,'Shayak Income '!D609,'MPG Payment '!AJ:AJ)</f>
        <v>0</v>
      </c>
      <c r="AP609" s="19">
        <f t="shared" si="168"/>
        <v>0</v>
      </c>
      <c r="AQ609" s="119">
        <f t="shared" si="178"/>
        <v>0</v>
      </c>
      <c r="AR609" s="91" t="s">
        <v>1144</v>
      </c>
      <c r="AS609" s="91">
        <f t="shared" si="169"/>
        <v>0</v>
      </c>
      <c r="AT609" s="118"/>
      <c r="AU609" s="118"/>
      <c r="AV609" s="118"/>
    </row>
    <row r="610" spans="1:48" s="20" customFormat="1" x14ac:dyDescent="0.25">
      <c r="A610" s="17">
        <f>IFERROR(VLOOKUP(D610,'Monthly Deduction'!$I$3:$J$957,2,0),0)</f>
        <v>55339.962974483999</v>
      </c>
      <c r="B610" s="17">
        <f>IFERROR(VLOOKUP(D610,'Monthly Deduction'!$E$3:$F$957,2,0),0)</f>
        <v>12800</v>
      </c>
      <c r="C610" s="17">
        <f t="shared" si="170"/>
        <v>68139.962974483991</v>
      </c>
      <c r="D610" s="41">
        <v>10570018</v>
      </c>
      <c r="E610" s="122" t="str">
        <f>VLOOKUP(D610,'MPG Payment '!$E$3:$G$497305,2,0)</f>
        <v>Gohi</v>
      </c>
      <c r="F610" s="146">
        <f>IFERROR(_xlfn.XLOOKUP(D610,'Monthly Deduction'!$I$3:$I$957,'Monthly Deduction'!$H$3:$H$957),0)</f>
        <v>0</v>
      </c>
      <c r="G610" s="123" t="str">
        <f>VLOOKUP(D610,'MPG Payment '!$E$3:$G$333666,3,0)</f>
        <v>MPG</v>
      </c>
      <c r="H610" s="124" t="str">
        <f>VLOOKUP(D610,'MPG Payment '!$E$3:$H$333666,4,0)</f>
        <v>Direct</v>
      </c>
      <c r="I610" s="88">
        <f>INDEX('MPG Payment '!$C:$C,MATCH('Shayak Income '!D610,'MPG Payment '!E:E,0))</f>
        <v>1057</v>
      </c>
      <c r="J610" s="88" t="str">
        <f>INDEX('MPG Payment '!$D:$D,MATCH('Shayak Income '!D610,'MPG Payment '!E:E,0))</f>
        <v>Warisnagar</v>
      </c>
      <c r="K610" s="125" t="s">
        <v>1594</v>
      </c>
      <c r="L610" s="125">
        <v>45970</v>
      </c>
      <c r="M610" s="126">
        <f>SUMIF('MPG Payment '!$E$3:$E$344841,'Shayak Income '!D610,'MPG Payment '!$I$3:$I$344841)</f>
        <v>755.3</v>
      </c>
      <c r="N610" s="126">
        <f>SUMIF('MPG Payment '!$E$3:$E$344841,'Shayak Income '!D610,'MPG Payment '!$J$3:$J$344841)</f>
        <v>29792.57</v>
      </c>
      <c r="O610" s="126">
        <f t="shared" si="171"/>
        <v>566.47499999999991</v>
      </c>
      <c r="P610" s="126">
        <f t="shared" si="172"/>
        <v>717.53499999999997</v>
      </c>
      <c r="Q610" s="126">
        <f>SUMIF('MPG Payment '!$E$3:$E$344841,'Shayak Income '!D610,'MPG Payment '!$S$3:$S$344841)</f>
        <v>690.62000000000012</v>
      </c>
      <c r="R610" s="126">
        <f t="shared" si="162"/>
        <v>893.7770999999999</v>
      </c>
      <c r="S610" s="126">
        <f t="shared" si="163"/>
        <v>176.24209999999994</v>
      </c>
      <c r="T610" s="126">
        <f t="shared" si="173"/>
        <v>75.53</v>
      </c>
      <c r="U610" s="127">
        <f>((((((IF(K610="New",0,SUMIF('MPG Payment '!$E$3:$E$344841,'Shayak Income '!D610,'MPG Payment '!$AC$3:$AC$344841))))+0)+0)+0)+0)+0</f>
        <v>508.71404685615823</v>
      </c>
      <c r="V610" s="127">
        <f t="shared" si="174"/>
        <v>1390</v>
      </c>
      <c r="W610" s="19">
        <v>1390</v>
      </c>
      <c r="X610" s="19">
        <v>0</v>
      </c>
      <c r="Y610" s="128">
        <f>IFERROR(VLOOKUP(D610,'Monthly Deduction'!$M$2:$N$640,2,0),0)</f>
        <v>0</v>
      </c>
      <c r="Z610" s="128">
        <v>0</v>
      </c>
      <c r="AA610" s="126">
        <v>0</v>
      </c>
      <c r="AB610" s="129">
        <f t="shared" si="165"/>
        <v>0</v>
      </c>
      <c r="AC610" s="130">
        <f t="shared" ref="AC610:AC613" si="181">AB610</f>
        <v>0</v>
      </c>
      <c r="AD610" s="35">
        <f t="shared" si="176"/>
        <v>0</v>
      </c>
      <c r="AE610" s="166" t="str">
        <f t="shared" si="177"/>
        <v>Release</v>
      </c>
      <c r="AF610" s="127"/>
      <c r="AG610" s="18">
        <v>0</v>
      </c>
      <c r="AH610" s="132" t="s">
        <v>1597</v>
      </c>
      <c r="AI610" s="238">
        <v>0</v>
      </c>
      <c r="AJ610" s="132"/>
      <c r="AK610" s="151">
        <v>0</v>
      </c>
      <c r="AL610" s="154">
        <f t="shared" si="166"/>
        <v>0</v>
      </c>
      <c r="AM610" s="155"/>
      <c r="AN610" s="19">
        <f t="shared" si="167"/>
        <v>1861</v>
      </c>
      <c r="AO610" s="118">
        <f>SUMIF('MPG Payment '!E:E,'Shayak Income '!D610,'MPG Payment '!AJ:AJ)</f>
        <v>0</v>
      </c>
      <c r="AP610" s="19">
        <f t="shared" si="168"/>
        <v>1390</v>
      </c>
      <c r="AQ610" s="119">
        <f t="shared" si="178"/>
        <v>1390</v>
      </c>
      <c r="AR610" s="91" t="s">
        <v>1144</v>
      </c>
      <c r="AS610" s="91">
        <f t="shared" si="169"/>
        <v>12800</v>
      </c>
      <c r="AT610" s="118"/>
      <c r="AU610" s="118"/>
      <c r="AV610" s="118"/>
    </row>
    <row r="611" spans="1:48" s="20" customFormat="1" x14ac:dyDescent="0.25">
      <c r="A611" s="17">
        <f>IFERROR(VLOOKUP(D611,'Monthly Deduction'!$I$3:$J$957,2,0),0)</f>
        <v>70955.647714441016</v>
      </c>
      <c r="B611" s="17">
        <f>IFERROR(VLOOKUP(D611,'Monthly Deduction'!$E$3:$F$957,2,0),0)</f>
        <v>4683</v>
      </c>
      <c r="C611" s="17">
        <f t="shared" si="170"/>
        <v>75638.647714441016</v>
      </c>
      <c r="D611" s="41">
        <v>10570019</v>
      </c>
      <c r="E611" s="122" t="str">
        <f>VLOOKUP(D611,'MPG Payment '!$E$3:$G$497305,2,0)</f>
        <v>Matua</v>
      </c>
      <c r="F611" s="146">
        <f>IFERROR(_xlfn.XLOOKUP(D611,'Monthly Deduction'!$I$3:$I$957,'Monthly Deduction'!$H$3:$H$957),0)</f>
        <v>0</v>
      </c>
      <c r="G611" s="123" t="str">
        <f>VLOOKUP(D611,'MPG Payment '!$E$3:$G$333666,3,0)</f>
        <v>MPG</v>
      </c>
      <c r="H611" s="124" t="str">
        <f>VLOOKUP(D611,'MPG Payment '!$E$3:$H$333666,4,0)</f>
        <v>Direct</v>
      </c>
      <c r="I611" s="88">
        <f>INDEX('MPG Payment '!$C:$C,MATCH('Shayak Income '!D611,'MPG Payment '!E:E,0))</f>
        <v>1057</v>
      </c>
      <c r="J611" s="88" t="str">
        <f>INDEX('MPG Payment '!$D:$D,MATCH('Shayak Income '!D611,'MPG Payment '!E:E,0))</f>
        <v>Warisnagar</v>
      </c>
      <c r="K611" s="125" t="s">
        <v>1594</v>
      </c>
      <c r="L611" s="125">
        <v>45970</v>
      </c>
      <c r="M611" s="126">
        <f>SUMIF('MPG Payment '!$E$3:$E$344841,'Shayak Income '!D611,'MPG Payment '!$I$3:$I$344841)</f>
        <v>2315.9</v>
      </c>
      <c r="N611" s="126">
        <f>SUMIF('MPG Payment '!$E$3:$E$344841,'Shayak Income '!D611,'MPG Payment '!$J$3:$J$344841)</f>
        <v>105635.56</v>
      </c>
      <c r="O611" s="126">
        <f t="shared" si="171"/>
        <v>1736.9250000000002</v>
      </c>
      <c r="P611" s="126">
        <f>N611*3%</f>
        <v>3169.0667999999996</v>
      </c>
      <c r="Q611" s="126">
        <f>SUMIF('MPG Payment '!$E$3:$E$344841,'Shayak Income '!D611,'MPG Payment '!$S$3:$S$344841)</f>
        <v>606.97</v>
      </c>
      <c r="R611" s="126">
        <f t="shared" si="162"/>
        <v>3169.0667999999996</v>
      </c>
      <c r="S611" s="126">
        <f t="shared" si="163"/>
        <v>0</v>
      </c>
      <c r="T611" s="126">
        <f t="shared" si="173"/>
        <v>231.59000000000003</v>
      </c>
      <c r="U611" s="127">
        <f>((((((IF(K611="New",0,SUMIF('MPG Payment '!$E$3:$E$344841,'Shayak Income '!D611,'MPG Payment '!$AC$3:$AC$344841))))+0)+0)+0)+0)+0</f>
        <v>438.89308137303703</v>
      </c>
      <c r="V611" s="127">
        <f t="shared" si="174"/>
        <v>4842</v>
      </c>
      <c r="W611" s="19">
        <f t="shared" si="175"/>
        <v>2112.7112000000002</v>
      </c>
      <c r="X611" s="19">
        <v>0</v>
      </c>
      <c r="Y611" s="128">
        <f>IFERROR(VLOOKUP(D611,'Monthly Deduction'!$M$2:$N$640,2,0),0)</f>
        <v>0</v>
      </c>
      <c r="Z611" s="128">
        <v>0</v>
      </c>
      <c r="AA611" s="126">
        <f>IFERROR(VLOOKUP(D611,'Monthly Deduction'!A:B,2,0),0)</f>
        <v>54.900000000000006</v>
      </c>
      <c r="AB611" s="129">
        <f t="shared" si="165"/>
        <v>2674</v>
      </c>
      <c r="AC611" s="130">
        <f t="shared" si="181"/>
        <v>2674</v>
      </c>
      <c r="AD611" s="35">
        <f t="shared" si="176"/>
        <v>0</v>
      </c>
      <c r="AE611" s="166" t="str">
        <f t="shared" si="177"/>
        <v>Yes</v>
      </c>
      <c r="AF611" s="127"/>
      <c r="AG611" s="127">
        <v>0</v>
      </c>
      <c r="AH611" s="120" t="s">
        <v>1685</v>
      </c>
      <c r="AI611" s="238">
        <v>17905</v>
      </c>
      <c r="AJ611" s="132"/>
      <c r="AK611" s="151">
        <v>650.80000000000007</v>
      </c>
      <c r="AL611" s="154">
        <f t="shared" si="166"/>
        <v>0</v>
      </c>
      <c r="AM611" s="155"/>
      <c r="AN611" s="19">
        <f t="shared" si="167"/>
        <v>2112.7112000000002</v>
      </c>
      <c r="AO611" s="118">
        <f>SUMIF('MPG Payment '!E:E,'Shayak Income '!D611,'MPG Payment '!AJ:AJ)</f>
        <v>0</v>
      </c>
      <c r="AP611" s="19">
        <f t="shared" si="168"/>
        <v>2112.7112000000002</v>
      </c>
      <c r="AQ611" s="119">
        <f t="shared" si="178"/>
        <v>2112.7112000000002</v>
      </c>
      <c r="AR611" s="91" t="s">
        <v>1144</v>
      </c>
      <c r="AS611" s="91">
        <f t="shared" si="169"/>
        <v>4683</v>
      </c>
      <c r="AT611" s="118"/>
      <c r="AU611" s="118"/>
      <c r="AV611" s="118"/>
    </row>
    <row r="612" spans="1:48" s="20" customFormat="1" x14ac:dyDescent="0.25">
      <c r="A612" s="17">
        <f>IFERROR(VLOOKUP(D612,'Monthly Deduction'!$I$3:$J$957,2,0),0)</f>
        <v>71335.261549825751</v>
      </c>
      <c r="B612" s="17">
        <f>IFERROR(VLOOKUP(D612,'Monthly Deduction'!$E$3:$F$957,2,0),0)</f>
        <v>6400</v>
      </c>
      <c r="C612" s="17">
        <f t="shared" si="170"/>
        <v>77735.261549825751</v>
      </c>
      <c r="D612" s="41">
        <v>10570020</v>
      </c>
      <c r="E612" s="122" t="str">
        <f>VLOOKUP(D612,'MPG Payment '!$E$3:$G$497305,2,0)</f>
        <v>Ratni Chouk</v>
      </c>
      <c r="F612" s="146">
        <f>IFERROR(_xlfn.XLOOKUP(D612,'Monthly Deduction'!$I$3:$I$957,'Monthly Deduction'!$H$3:$H$957),0)</f>
        <v>0</v>
      </c>
      <c r="G612" s="123" t="str">
        <f>VLOOKUP(D612,'MPG Payment '!$E$3:$G$333666,3,0)</f>
        <v>MPG</v>
      </c>
      <c r="H612" s="124" t="str">
        <f>VLOOKUP(D612,'MPG Payment '!$E$3:$H$333666,4,0)</f>
        <v>Direct</v>
      </c>
      <c r="I612" s="88">
        <f>INDEX('MPG Payment '!$C:$C,MATCH('Shayak Income '!D612,'MPG Payment '!E:E,0))</f>
        <v>1057</v>
      </c>
      <c r="J612" s="88" t="str">
        <f>INDEX('MPG Payment '!$D:$D,MATCH('Shayak Income '!D612,'MPG Payment '!E:E,0))</f>
        <v>Warisnagar</v>
      </c>
      <c r="K612" s="125" t="s">
        <v>1594</v>
      </c>
      <c r="L612" s="125">
        <v>45970</v>
      </c>
      <c r="M612" s="126">
        <f>SUMIF('MPG Payment '!$E$3:$E$344841,'Shayak Income '!D612,'MPG Payment '!$I$3:$I$344841)</f>
        <v>2788.2</v>
      </c>
      <c r="N612" s="126">
        <f>SUMIF('MPG Payment '!$E$3:$E$344841,'Shayak Income '!D612,'MPG Payment '!$J$3:$J$344841)</f>
        <v>126486.24</v>
      </c>
      <c r="O612" s="126">
        <f t="shared" si="171"/>
        <v>2091.1499999999996</v>
      </c>
      <c r="P612" s="126">
        <f t="shared" si="172"/>
        <v>2648.7899999999995</v>
      </c>
      <c r="Q612" s="126">
        <f>SUMIF('MPG Payment '!$E$3:$E$344841,'Shayak Income '!D612,'MPG Payment '!$S$3:$S$344841)</f>
        <v>18.350000000000001</v>
      </c>
      <c r="R612" s="126">
        <f t="shared" si="162"/>
        <v>3794.5871999999999</v>
      </c>
      <c r="S612" s="126">
        <f t="shared" si="163"/>
        <v>1145.7972000000004</v>
      </c>
      <c r="T612" s="126">
        <f t="shared" si="173"/>
        <v>278.82</v>
      </c>
      <c r="U612" s="127">
        <f>((((((IF(K612="New",0,SUMIF('MPG Payment '!$E$3:$E$344841,'Shayak Income '!D612,'MPG Payment '!$AC$3:$AC$344841))))+0)+0)+0)+0)+0</f>
        <v>36.176006254600246</v>
      </c>
      <c r="V612" s="127">
        <f t="shared" si="174"/>
        <v>4443</v>
      </c>
      <c r="W612" s="19">
        <f t="shared" si="175"/>
        <v>2529.7248</v>
      </c>
      <c r="X612" s="19">
        <v>0</v>
      </c>
      <c r="Y612" s="128">
        <f>IFERROR(VLOOKUP(D612,'Monthly Deduction'!$M$2:$N$640,2,0),0)</f>
        <v>0</v>
      </c>
      <c r="Z612" s="128">
        <v>0</v>
      </c>
      <c r="AA612" s="126">
        <f>IFERROR(VLOOKUP(D612,'Monthly Deduction'!A:B,2,0),0)</f>
        <v>329.40000000000003</v>
      </c>
      <c r="AB612" s="129">
        <f t="shared" si="165"/>
        <v>1584</v>
      </c>
      <c r="AC612" s="130">
        <f t="shared" si="181"/>
        <v>1584</v>
      </c>
      <c r="AD612" s="35">
        <f t="shared" si="176"/>
        <v>0</v>
      </c>
      <c r="AE612" s="166" t="str">
        <f t="shared" si="177"/>
        <v>Yes</v>
      </c>
      <c r="AF612" s="127"/>
      <c r="AG612" s="18">
        <v>0</v>
      </c>
      <c r="AH612" s="120" t="s">
        <v>1685</v>
      </c>
      <c r="AI612" s="238">
        <v>17963</v>
      </c>
      <c r="AJ612" s="132"/>
      <c r="AK612" s="151">
        <v>796.9</v>
      </c>
      <c r="AL612" s="154">
        <f t="shared" si="166"/>
        <v>0</v>
      </c>
      <c r="AM612" s="155"/>
      <c r="AN612" s="19">
        <f t="shared" si="167"/>
        <v>2529.7248</v>
      </c>
      <c r="AO612" s="118">
        <f>SUMIF('MPG Payment '!E:E,'Shayak Income '!D612,'MPG Payment '!AJ:AJ)</f>
        <v>0</v>
      </c>
      <c r="AP612" s="19">
        <f t="shared" si="168"/>
        <v>2529.7248</v>
      </c>
      <c r="AQ612" s="119">
        <f t="shared" si="178"/>
        <v>2529.7248</v>
      </c>
      <c r="AR612" s="91" t="s">
        <v>1144</v>
      </c>
      <c r="AS612" s="91">
        <f t="shared" si="169"/>
        <v>6400</v>
      </c>
      <c r="AT612" s="118"/>
      <c r="AU612" s="118"/>
      <c r="AV612" s="118"/>
    </row>
    <row r="613" spans="1:48" s="20" customFormat="1" x14ac:dyDescent="0.25">
      <c r="A613" s="17">
        <f>IFERROR(VLOOKUP(D613,'Monthly Deduction'!$I$3:$J$957,2,0),0)</f>
        <v>72761.231175941604</v>
      </c>
      <c r="B613" s="17">
        <f>IFERROR(VLOOKUP(D613,'Monthly Deduction'!$E$3:$F$957,2,0),0)</f>
        <v>10705.6054</v>
      </c>
      <c r="C613" s="17">
        <f t="shared" si="170"/>
        <v>83466.836575941605</v>
      </c>
      <c r="D613" s="41">
        <v>10570021</v>
      </c>
      <c r="E613" s="122" t="str">
        <f>VLOOKUP(D613,'MPG Payment '!$E$3:$G$497305,2,0)</f>
        <v>Balahi 2</v>
      </c>
      <c r="F613" s="146">
        <f>IFERROR(_xlfn.XLOOKUP(D613,'Monthly Deduction'!$I$3:$I$957,'Monthly Deduction'!$H$3:$H$957),0)</f>
        <v>0</v>
      </c>
      <c r="G613" s="123" t="str">
        <f>VLOOKUP(D613,'MPG Payment '!$E$3:$G$333666,3,0)</f>
        <v>MPG</v>
      </c>
      <c r="H613" s="124" t="str">
        <f>VLOOKUP(D613,'MPG Payment '!$E$3:$H$333666,4,0)</f>
        <v>Direct</v>
      </c>
      <c r="I613" s="88">
        <f>INDEX('MPG Payment '!$C:$C,MATCH('Shayak Income '!D613,'MPG Payment '!E:E,0))</f>
        <v>1057</v>
      </c>
      <c r="J613" s="88" t="str">
        <f>INDEX('MPG Payment '!$D:$D,MATCH('Shayak Income '!D613,'MPG Payment '!E:E,0))</f>
        <v>Warisnagar</v>
      </c>
      <c r="K613" s="125" t="s">
        <v>1594</v>
      </c>
      <c r="L613" s="125">
        <v>45970</v>
      </c>
      <c r="M613" s="126">
        <f>SUMIF('MPG Payment '!$E$3:$E$344841,'Shayak Income '!D613,'MPG Payment '!$I$3:$I$344841)</f>
        <v>2204.1000000000004</v>
      </c>
      <c r="N613" s="126">
        <f>SUMIF('MPG Payment '!$E$3:$E$344841,'Shayak Income '!D613,'MPG Payment '!$J$3:$J$344841)</f>
        <v>84237.170000000013</v>
      </c>
      <c r="O613" s="126">
        <f t="shared" si="171"/>
        <v>1653.0750000000003</v>
      </c>
      <c r="P613" s="126">
        <f t="shared" si="172"/>
        <v>2093.8950000000004</v>
      </c>
      <c r="Q613" s="126">
        <f>SUMIF('MPG Payment '!$E$3:$E$344841,'Shayak Income '!D613,'MPG Payment '!$S$3:$S$344841)</f>
        <v>112.05</v>
      </c>
      <c r="R613" s="126">
        <f t="shared" si="162"/>
        <v>2527.1151000000004</v>
      </c>
      <c r="S613" s="126">
        <f t="shared" si="163"/>
        <v>433.2201</v>
      </c>
      <c r="T613" s="126">
        <f t="shared" si="173"/>
        <v>220.41000000000005</v>
      </c>
      <c r="U613" s="127">
        <f>((((((IF(K613="New",0,SUMIF('MPG Payment '!$E$3:$E$344841,'Shayak Income '!D613,'MPG Payment '!$AC$3:$AC$344841))))+0)+0)+0)+0)+0</f>
        <v>453.94833050237423</v>
      </c>
      <c r="V613" s="127">
        <f t="shared" si="174"/>
        <v>3185</v>
      </c>
      <c r="W613" s="19">
        <f t="shared" si="175"/>
        <v>1861</v>
      </c>
      <c r="X613" s="19">
        <v>0</v>
      </c>
      <c r="Y613" s="128">
        <f>IFERROR(VLOOKUP(D613,'Monthly Deduction'!$M$2:$N$640,2,0),0)</f>
        <v>0</v>
      </c>
      <c r="Z613" s="128">
        <v>0</v>
      </c>
      <c r="AA613" s="126">
        <f>IFERROR(VLOOKUP(D613,'Monthly Deduction'!A:B,2,0),0)</f>
        <v>54.900000000000006</v>
      </c>
      <c r="AB613" s="129">
        <f t="shared" si="165"/>
        <v>1269</v>
      </c>
      <c r="AC613" s="130">
        <f t="shared" si="181"/>
        <v>1269</v>
      </c>
      <c r="AD613" s="35">
        <f t="shared" si="176"/>
        <v>0</v>
      </c>
      <c r="AE613" s="166" t="str">
        <f t="shared" si="177"/>
        <v>Yes</v>
      </c>
      <c r="AF613" s="127"/>
      <c r="AG613" s="18">
        <v>0</v>
      </c>
      <c r="AH613" s="120" t="s">
        <v>1685</v>
      </c>
      <c r="AI613" s="238">
        <v>17944</v>
      </c>
      <c r="AJ613" s="132"/>
      <c r="AK613" s="151">
        <v>513.79999999999995</v>
      </c>
      <c r="AL613" s="154">
        <f t="shared" si="166"/>
        <v>0</v>
      </c>
      <c r="AM613" s="155"/>
      <c r="AN613" s="19">
        <f t="shared" si="167"/>
        <v>1861</v>
      </c>
      <c r="AO613" s="118">
        <f>SUMIF('MPG Payment '!E:E,'Shayak Income '!D613,'MPG Payment '!AJ:AJ)</f>
        <v>0</v>
      </c>
      <c r="AP613" s="19">
        <f t="shared" si="168"/>
        <v>1861</v>
      </c>
      <c r="AQ613" s="119">
        <f t="shared" si="178"/>
        <v>1861</v>
      </c>
      <c r="AR613" s="91" t="s">
        <v>1144</v>
      </c>
      <c r="AS613" s="91">
        <f t="shared" si="169"/>
        <v>10705.6054</v>
      </c>
      <c r="AT613" s="118"/>
      <c r="AU613" s="118"/>
      <c r="AV613" s="118"/>
    </row>
    <row r="614" spans="1:48" s="20" customFormat="1" x14ac:dyDescent="0.25">
      <c r="A614" s="17">
        <f>IFERROR(VLOOKUP(D614,'Monthly Deduction'!$I$3:$J$957,2,0),0)</f>
        <v>0</v>
      </c>
      <c r="B614" s="17">
        <f>IFERROR(VLOOKUP(D614,'Monthly Deduction'!$E$3:$F$957,2,0),0)</f>
        <v>0</v>
      </c>
      <c r="C614" s="17">
        <f t="shared" si="170"/>
        <v>0</v>
      </c>
      <c r="D614" s="41">
        <v>10570022</v>
      </c>
      <c r="E614" s="122" t="str">
        <f>VLOOKUP(D614,'MPG Payment '!$E$3:$G$497305,2,0)</f>
        <v>Chandauli</v>
      </c>
      <c r="F614" s="146">
        <f>IFERROR(_xlfn.XLOOKUP(D614,'Monthly Deduction'!$I$3:$I$957,'Monthly Deduction'!$H$3:$H$957),0)</f>
        <v>0</v>
      </c>
      <c r="G614" s="123" t="str">
        <f>VLOOKUP(D614,'MPG Payment '!$E$3:$G$333666,3,0)</f>
        <v>vlc</v>
      </c>
      <c r="H614" s="124" t="str">
        <f>VLOOKUP(D614,'MPG Payment '!$E$3:$H$333666,4,0)</f>
        <v>Indirect</v>
      </c>
      <c r="I614" s="88">
        <f>INDEX('MPG Payment '!$C:$C,MATCH('Shayak Income '!D614,'MPG Payment '!E:E,0))</f>
        <v>1057</v>
      </c>
      <c r="J614" s="88" t="str">
        <f>INDEX('MPG Payment '!$D:$D,MATCH('Shayak Income '!D614,'MPG Payment '!E:E,0))</f>
        <v>Warisnagar</v>
      </c>
      <c r="K614" s="125" t="s">
        <v>1594</v>
      </c>
      <c r="L614" s="125">
        <v>45970</v>
      </c>
      <c r="M614" s="126">
        <f>SUMIF('MPG Payment '!$E$3:$E$344841,'Shayak Income '!D614,'MPG Payment '!$I$3:$I$344841)</f>
        <v>824.9</v>
      </c>
      <c r="N614" s="126">
        <f>SUMIF('MPG Payment '!$E$3:$E$344841,'Shayak Income '!D614,'MPG Payment '!$J$3:$J$344841)</f>
        <v>38434.85</v>
      </c>
      <c r="O614" s="126">
        <f t="shared" si="171"/>
        <v>618.67499999999995</v>
      </c>
      <c r="P614" s="126">
        <f t="shared" si="172"/>
        <v>783.65499999999997</v>
      </c>
      <c r="Q614" s="126">
        <f>SUMIF('MPG Payment '!$E$3:$E$344841,'Shayak Income '!D614,'MPG Payment '!$S$3:$S$344841)</f>
        <v>0</v>
      </c>
      <c r="R614" s="126">
        <f t="shared" si="162"/>
        <v>1153.0454999999999</v>
      </c>
      <c r="S614" s="126">
        <f t="shared" si="163"/>
        <v>369.39049999999997</v>
      </c>
      <c r="T614" s="126">
        <f t="shared" si="173"/>
        <v>82.490000000000009</v>
      </c>
      <c r="U614" s="127">
        <f>((((((IF(K614="New",0,SUMIF('MPG Payment '!$E$3:$E$344841,'Shayak Income '!D614,'MPG Payment '!$AC$3:$AC$344841))))+0)+0)+0)+0)+-521</f>
        <v>1319.7090230713166</v>
      </c>
      <c r="V614" s="127">
        <f t="shared" si="174"/>
        <v>0</v>
      </c>
      <c r="W614" s="19">
        <v>0</v>
      </c>
      <c r="X614" s="19">
        <v>0</v>
      </c>
      <c r="Y614" s="128">
        <v>0</v>
      </c>
      <c r="Z614" s="128">
        <v>0</v>
      </c>
      <c r="AA614" s="126">
        <v>0</v>
      </c>
      <c r="AB614" s="129">
        <f t="shared" si="165"/>
        <v>0</v>
      </c>
      <c r="AC614" s="130">
        <v>0</v>
      </c>
      <c r="AD614" s="35">
        <f t="shared" si="176"/>
        <v>0</v>
      </c>
      <c r="AE614" s="166" t="str">
        <f t="shared" si="177"/>
        <v>Release</v>
      </c>
      <c r="AF614" s="127"/>
      <c r="AG614" s="127">
        <v>0</v>
      </c>
      <c r="AH614" s="132"/>
      <c r="AI614" s="238">
        <v>0</v>
      </c>
      <c r="AJ614" s="132"/>
      <c r="AK614" s="151">
        <v>51.6</v>
      </c>
      <c r="AL614" s="154">
        <f t="shared" si="166"/>
        <v>0</v>
      </c>
      <c r="AM614" s="155"/>
      <c r="AN614" s="19">
        <f t="shared" si="167"/>
        <v>0</v>
      </c>
      <c r="AO614" s="118">
        <f>SUMIF('MPG Payment '!E:E,'Shayak Income '!D614,'MPG Payment '!AJ:AJ)</f>
        <v>0</v>
      </c>
      <c r="AP614" s="19">
        <f t="shared" si="168"/>
        <v>0</v>
      </c>
      <c r="AQ614" s="119">
        <f t="shared" si="178"/>
        <v>0</v>
      </c>
      <c r="AR614" s="91" t="s">
        <v>1144</v>
      </c>
      <c r="AS614" s="91">
        <f t="shared" si="169"/>
        <v>0</v>
      </c>
      <c r="AT614" s="118"/>
      <c r="AU614" s="118"/>
      <c r="AV614" s="118"/>
    </row>
    <row r="615" spans="1:48" s="20" customFormat="1" x14ac:dyDescent="0.25">
      <c r="A615" s="17">
        <f>IFERROR(VLOOKUP(D615,'Monthly Deduction'!$I$3:$J$957,2,0),0)</f>
        <v>0</v>
      </c>
      <c r="B615" s="17">
        <f>IFERROR(VLOOKUP(D615,'Monthly Deduction'!$E$3:$F$957,2,0),0)</f>
        <v>0</v>
      </c>
      <c r="C615" s="17">
        <f t="shared" si="170"/>
        <v>0</v>
      </c>
      <c r="D615" s="41">
        <v>10570024</v>
      </c>
      <c r="E615" s="122" t="str">
        <f>VLOOKUP(D615,'MPG Payment '!$E$3:$G$497305,2,0)</f>
        <v>Gulabi Choak</v>
      </c>
      <c r="F615" s="146">
        <f>IFERROR(_xlfn.XLOOKUP(D615,'Monthly Deduction'!$I$3:$I$957,'Monthly Deduction'!$H$3:$H$957),0)</f>
        <v>0</v>
      </c>
      <c r="G615" s="123" t="str">
        <f>VLOOKUP(D615,'MPG Payment '!$E$3:$G$333666,3,0)</f>
        <v>vlc</v>
      </c>
      <c r="H615" s="124" t="str">
        <f>VLOOKUP(D615,'MPG Payment '!$E$3:$H$333666,4,0)</f>
        <v>Indirect</v>
      </c>
      <c r="I615" s="88">
        <f>INDEX('MPG Payment '!$C:$C,MATCH('Shayak Income '!D615,'MPG Payment '!E:E,0))</f>
        <v>1057</v>
      </c>
      <c r="J615" s="88" t="str">
        <f>INDEX('MPG Payment '!$D:$D,MATCH('Shayak Income '!D615,'MPG Payment '!E:E,0))</f>
        <v>Warisnagar</v>
      </c>
      <c r="K615" s="125" t="s">
        <v>1594</v>
      </c>
      <c r="L615" s="125">
        <v>45970</v>
      </c>
      <c r="M615" s="126">
        <f>SUMIF('MPG Payment '!$E$3:$E$344841,'Shayak Income '!D615,'MPG Payment '!$I$3:$I$344841)</f>
        <v>3779.0999999999995</v>
      </c>
      <c r="N615" s="126">
        <f>SUMIF('MPG Payment '!$E$3:$E$344841,'Shayak Income '!D615,'MPG Payment '!$J$3:$J$344841)</f>
        <v>146444.81</v>
      </c>
      <c r="O615" s="126">
        <f t="shared" si="171"/>
        <v>2834.3249999999998</v>
      </c>
      <c r="P615" s="126">
        <f t="shared" si="172"/>
        <v>3590.1449999999995</v>
      </c>
      <c r="Q615" s="126">
        <f>SUMIF('MPG Payment '!$E$3:$E$344841,'Shayak Income '!D615,'MPG Payment '!$S$3:$S$344841)</f>
        <v>0</v>
      </c>
      <c r="R615" s="126">
        <f t="shared" si="162"/>
        <v>4393.3442999999997</v>
      </c>
      <c r="S615" s="126">
        <f t="shared" si="163"/>
        <v>803.19930000000022</v>
      </c>
      <c r="T615" s="126">
        <f t="shared" si="173"/>
        <v>377.90999999999997</v>
      </c>
      <c r="U615" s="127">
        <f>((((((IF(K615="New",0,SUMIF('MPG Payment '!$E$3:$E$344841,'Shayak Income '!D615,'MPG Payment '!$AC$3:$AC$344841))))+0)+0)+0)+0)+0</f>
        <v>0</v>
      </c>
      <c r="V615" s="127">
        <f t="shared" si="174"/>
        <v>6047</v>
      </c>
      <c r="W615" s="19">
        <f t="shared" si="175"/>
        <v>0</v>
      </c>
      <c r="X615" s="19">
        <f t="shared" si="164"/>
        <v>0</v>
      </c>
      <c r="Y615" s="128">
        <f>IFERROR(VLOOKUP(D615,'Monthly Deduction'!$M$2:$N$640,2,0),0)</f>
        <v>0</v>
      </c>
      <c r="Z615" s="128">
        <v>0</v>
      </c>
      <c r="AA615" s="126">
        <f>IFERROR(VLOOKUP(D615,'Monthly Deduction'!A:B,2,0),0)</f>
        <v>0</v>
      </c>
      <c r="AB615" s="129">
        <f t="shared" si="165"/>
        <v>6047</v>
      </c>
      <c r="AC615" s="130">
        <v>0</v>
      </c>
      <c r="AD615" s="35">
        <f t="shared" si="176"/>
        <v>6047</v>
      </c>
      <c r="AE615" s="166" t="str">
        <f t="shared" si="177"/>
        <v>Release</v>
      </c>
      <c r="AF615" s="127"/>
      <c r="AG615" s="18">
        <v>0</v>
      </c>
      <c r="AH615" s="120"/>
      <c r="AI615" s="238">
        <v>0</v>
      </c>
      <c r="AJ615" s="132"/>
      <c r="AK615" s="151">
        <v>565.6</v>
      </c>
      <c r="AL615" s="154">
        <f t="shared" si="166"/>
        <v>0</v>
      </c>
      <c r="AM615" s="155"/>
      <c r="AN615" s="19">
        <f t="shared" si="167"/>
        <v>0</v>
      </c>
      <c r="AO615" s="118">
        <f>SUMIF('MPG Payment '!E:E,'Shayak Income '!D615,'MPG Payment '!AJ:AJ)</f>
        <v>0</v>
      </c>
      <c r="AP615" s="19">
        <f t="shared" si="168"/>
        <v>0</v>
      </c>
      <c r="AQ615" s="119">
        <f t="shared" si="178"/>
        <v>0</v>
      </c>
      <c r="AR615" s="91" t="s">
        <v>1144</v>
      </c>
      <c r="AS615" s="91">
        <f t="shared" si="169"/>
        <v>0</v>
      </c>
      <c r="AT615" s="118"/>
      <c r="AU615" s="118"/>
      <c r="AV615" s="118"/>
    </row>
    <row r="616" spans="1:48" s="20" customFormat="1" x14ac:dyDescent="0.25">
      <c r="A616" s="17">
        <f>IFERROR(VLOOKUP(D616,'Monthly Deduction'!$I$3:$J$957,2,0),0)</f>
        <v>81715</v>
      </c>
      <c r="B616" s="17">
        <f>IFERROR(VLOOKUP(D616,'Monthly Deduction'!$E$3:$F$957,2,0),0)</f>
        <v>6400</v>
      </c>
      <c r="C616" s="17">
        <f t="shared" si="170"/>
        <v>88115</v>
      </c>
      <c r="D616" s="41">
        <v>10580002</v>
      </c>
      <c r="E616" s="122" t="str">
        <f>VLOOKUP(D616,'MPG Payment '!$E$3:$G$497305,2,0)</f>
        <v>Sakhwa Ghat</v>
      </c>
      <c r="F616" s="146">
        <f>IFERROR(_xlfn.XLOOKUP(D616,'Monthly Deduction'!$I$3:$I$957,'Monthly Deduction'!$H$3:$H$957),0)</f>
        <v>0</v>
      </c>
      <c r="G616" s="123" t="str">
        <f>VLOOKUP(D616,'MPG Payment '!$E$3:$G$333666,3,0)</f>
        <v>MPG</v>
      </c>
      <c r="H616" s="124" t="str">
        <f>VLOOKUP(D616,'MPG Payment '!$E$3:$H$333666,4,0)</f>
        <v>Direct</v>
      </c>
      <c r="I616" s="88">
        <f>INDEX('MPG Payment '!$C:$C,MATCH('Shayak Income '!D616,'MPG Payment '!E:E,0))</f>
        <v>1058</v>
      </c>
      <c r="J616" s="88" t="str">
        <f>INDEX('MPG Payment '!$D:$D,MATCH('Shayak Income '!D616,'MPG Payment '!E:E,0))</f>
        <v>Hasanpur</v>
      </c>
      <c r="K616" s="125" t="s">
        <v>1594</v>
      </c>
      <c r="L616" s="125">
        <v>45968</v>
      </c>
      <c r="M616" s="126">
        <f>SUMIF('MPG Payment '!$E$3:$E$344841,'Shayak Income '!D616,'MPG Payment '!$I$3:$I$344841)</f>
        <v>1633.5099999999998</v>
      </c>
      <c r="N616" s="126">
        <f>SUMIF('MPG Payment '!$E$3:$E$344841,'Shayak Income '!D616,'MPG Payment '!$J$3:$J$344841)</f>
        <v>71863.59</v>
      </c>
      <c r="O616" s="126">
        <f t="shared" si="171"/>
        <v>1225.1324999999997</v>
      </c>
      <c r="P616" s="126">
        <f t="shared" si="172"/>
        <v>1551.8344999999997</v>
      </c>
      <c r="Q616" s="126">
        <f>SUMIF('MPG Payment '!$E$3:$E$344841,'Shayak Income '!D616,'MPG Payment '!$S$3:$S$344841)</f>
        <v>898.56</v>
      </c>
      <c r="R616" s="126">
        <f t="shared" si="162"/>
        <v>2155.9076999999997</v>
      </c>
      <c r="S616" s="126">
        <f t="shared" si="163"/>
        <v>604.07320000000004</v>
      </c>
      <c r="T616" s="126">
        <f t="shared" si="173"/>
        <v>163.351</v>
      </c>
      <c r="U616" s="127">
        <f>((((((IF(K616="New",0,SUMIF('MPG Payment '!$E$3:$E$344841,'Shayak Income '!D616,'MPG Payment '!$AC$3:$AC$344841))))+0)+0)+0)+0)+0</f>
        <v>1026.3968067482376</v>
      </c>
      <c r="V616" s="127">
        <f t="shared" si="174"/>
        <v>2486</v>
      </c>
      <c r="W616" s="19">
        <f t="shared" si="175"/>
        <v>1861</v>
      </c>
      <c r="X616" s="19">
        <v>0</v>
      </c>
      <c r="Y616" s="128">
        <f>IFERROR(VLOOKUP(D616,'Monthly Deduction'!$M$2:$N$640,2,0),0)</f>
        <v>0</v>
      </c>
      <c r="Z616" s="128">
        <v>0</v>
      </c>
      <c r="AA616" s="126">
        <f>IFERROR(VLOOKUP(D616,'Monthly Deduction'!A:B,2,0),0)</f>
        <v>0</v>
      </c>
      <c r="AB616" s="129">
        <f t="shared" si="165"/>
        <v>625</v>
      </c>
      <c r="AC616" s="130">
        <v>0</v>
      </c>
      <c r="AD616" s="35">
        <f t="shared" si="176"/>
        <v>625</v>
      </c>
      <c r="AE616" s="166" t="str">
        <f t="shared" si="177"/>
        <v>Release</v>
      </c>
      <c r="AF616" s="127"/>
      <c r="AG616" s="18">
        <v>0</v>
      </c>
      <c r="AH616" s="120"/>
      <c r="AI616" s="238">
        <v>0</v>
      </c>
      <c r="AJ616" s="132"/>
      <c r="AK616" s="151">
        <v>468.6</v>
      </c>
      <c r="AL616" s="154">
        <f t="shared" si="166"/>
        <v>0</v>
      </c>
      <c r="AM616" s="155"/>
      <c r="AN616" s="19">
        <f t="shared" si="167"/>
        <v>1861</v>
      </c>
      <c r="AO616" s="118">
        <f>SUMIF('MPG Payment '!E:E,'Shayak Income '!D616,'MPG Payment '!AJ:AJ)</f>
        <v>0</v>
      </c>
      <c r="AP616" s="19">
        <f t="shared" si="168"/>
        <v>1861</v>
      </c>
      <c r="AQ616" s="119">
        <f t="shared" si="178"/>
        <v>1861</v>
      </c>
      <c r="AR616" s="91" t="s">
        <v>1144</v>
      </c>
      <c r="AS616" s="91">
        <f t="shared" si="169"/>
        <v>6400</v>
      </c>
      <c r="AT616" s="118"/>
      <c r="AU616" s="118"/>
      <c r="AV616" s="118"/>
    </row>
    <row r="617" spans="1:48" s="20" customFormat="1" x14ac:dyDescent="0.25">
      <c r="A617" s="17">
        <f>IFERROR(VLOOKUP(D617,'Monthly Deduction'!$I$3:$J$957,2,0),0)</f>
        <v>0</v>
      </c>
      <c r="B617" s="17">
        <f>IFERROR(VLOOKUP(D617,'Monthly Deduction'!$E$3:$F$957,2,0),0)</f>
        <v>0</v>
      </c>
      <c r="C617" s="17">
        <f t="shared" si="170"/>
        <v>0</v>
      </c>
      <c r="D617" s="41">
        <v>10020013</v>
      </c>
      <c r="E617" s="122" t="str">
        <f>VLOOKUP(D617,'MPG Payment '!$E$3:$G$497305,2,0)</f>
        <v>Vikash Kumar</v>
      </c>
      <c r="F617" s="146">
        <f>IFERROR(_xlfn.XLOOKUP(D617,'Monthly Deduction'!$I$3:$I$957,'Monthly Deduction'!$H$3:$H$957),0)</f>
        <v>0</v>
      </c>
      <c r="G617" s="123" t="str">
        <f>VLOOKUP(D617,'MPG Payment '!$E$3:$G$333666,3,0)</f>
        <v>vlc</v>
      </c>
      <c r="H617" s="124" t="str">
        <f>VLOOKUP(D617,'MPG Payment '!$E$3:$H$333666,4,0)</f>
        <v>Indirect</v>
      </c>
      <c r="I617" s="88">
        <f>INDEX('MPG Payment '!$C:$C,MATCH('Shayak Income '!D617,'MPG Payment '!E:E,0))</f>
        <v>1002</v>
      </c>
      <c r="J617" s="88" t="str">
        <f>INDEX('MPG Payment '!$D:$D,MATCH('Shayak Income '!D617,'MPG Payment '!E:E,0))</f>
        <v>Laldiyara</v>
      </c>
      <c r="K617" s="125" t="s">
        <v>1594</v>
      </c>
      <c r="L617" s="125">
        <v>44457</v>
      </c>
      <c r="M617" s="126">
        <f>SUMIF('MPG Payment '!$E$3:$E$344841,'Shayak Income '!D617,'MPG Payment '!$I$3:$I$344841)</f>
        <v>6124.9000000000005</v>
      </c>
      <c r="N617" s="126">
        <f>SUMIF('MPG Payment '!$E$3:$E$344841,'Shayak Income '!D617,'MPG Payment '!$J$3:$J$344841)</f>
        <v>245341.61</v>
      </c>
      <c r="O617" s="126">
        <f t="shared" si="171"/>
        <v>4593.6750000000002</v>
      </c>
      <c r="P617" s="126">
        <f t="shared" si="172"/>
        <v>5818.6550000000007</v>
      </c>
      <c r="Q617" s="126">
        <f>SUMIF('MPG Payment '!$E$3:$E$344841,'Shayak Income '!D617,'MPG Payment '!$S$3:$S$344841)</f>
        <v>0</v>
      </c>
      <c r="R617" s="126">
        <f t="shared" si="162"/>
        <v>7360.2482999999993</v>
      </c>
      <c r="S617" s="126">
        <f t="shared" si="163"/>
        <v>1541.5932999999986</v>
      </c>
      <c r="T617" s="126">
        <f t="shared" si="173"/>
        <v>612.49000000000012</v>
      </c>
      <c r="U617" s="127">
        <f>((((((IF(K617="New",0,SUMIF('MPG Payment '!$E$3:$E$344841,'Shayak Income '!D617,'MPG Payment '!$AC$3:$AC$344841))))+0)+0)+0)+0)+0</f>
        <v>0</v>
      </c>
      <c r="V617" s="127">
        <f t="shared" si="174"/>
        <v>9800</v>
      </c>
      <c r="W617" s="19">
        <f t="shared" si="175"/>
        <v>0</v>
      </c>
      <c r="X617" s="19">
        <f t="shared" si="164"/>
        <v>0</v>
      </c>
      <c r="Y617" s="128">
        <f>IFERROR(VLOOKUP(D617,'Monthly Deduction'!$M$2:$N$640,2,0),0)</f>
        <v>0</v>
      </c>
      <c r="Z617" s="128">
        <v>0</v>
      </c>
      <c r="AA617" s="126">
        <f>IFERROR(VLOOKUP(D617,'Monthly Deduction'!A:B,2,0),0)</f>
        <v>0</v>
      </c>
      <c r="AB617" s="129">
        <f t="shared" si="165"/>
        <v>9800</v>
      </c>
      <c r="AC617" s="130">
        <v>0</v>
      </c>
      <c r="AD617" s="35">
        <f t="shared" si="176"/>
        <v>9800</v>
      </c>
      <c r="AE617" s="166" t="str">
        <f t="shared" si="177"/>
        <v>Release</v>
      </c>
      <c r="AF617" s="127"/>
      <c r="AG617" s="18">
        <v>0</v>
      </c>
      <c r="AH617" s="120"/>
      <c r="AI617" s="238">
        <v>0</v>
      </c>
      <c r="AJ617" s="132"/>
      <c r="AK617" s="151">
        <v>1336.8</v>
      </c>
      <c r="AL617" s="154">
        <f t="shared" si="166"/>
        <v>0</v>
      </c>
      <c r="AM617" s="155"/>
      <c r="AN617" s="19">
        <f t="shared" si="167"/>
        <v>0</v>
      </c>
      <c r="AO617" s="118">
        <f>SUMIF('MPG Payment '!E:E,'Shayak Income '!D617,'MPG Payment '!AJ:AJ)</f>
        <v>0</v>
      </c>
      <c r="AP617" s="19">
        <f t="shared" si="168"/>
        <v>0</v>
      </c>
      <c r="AQ617" s="119">
        <f t="shared" si="178"/>
        <v>0</v>
      </c>
      <c r="AR617" s="91" t="s">
        <v>1144</v>
      </c>
      <c r="AS617" s="91">
        <f t="shared" si="169"/>
        <v>0</v>
      </c>
      <c r="AT617" s="118"/>
      <c r="AU617" s="118"/>
      <c r="AV617" s="118"/>
    </row>
    <row r="618" spans="1:48" s="20" customFormat="1" x14ac:dyDescent="0.25">
      <c r="A618" s="17">
        <f>IFERROR(VLOOKUP(D618,'Monthly Deduction'!$I$3:$J$957,2,0),0)</f>
        <v>77198.280430327606</v>
      </c>
      <c r="B618" s="17">
        <f>IFERROR(VLOOKUP(D618,'Monthly Deduction'!$E$3:$F$957,2,0),0)</f>
        <v>6400</v>
      </c>
      <c r="C618" s="17">
        <f t="shared" si="170"/>
        <v>83598.280430327606</v>
      </c>
      <c r="D618" s="41">
        <v>10020084</v>
      </c>
      <c r="E618" s="122" t="str">
        <f>VLOOKUP(D618,'MPG Payment '!$E$3:$G$497305,2,0)</f>
        <v>MANOHARPUR</v>
      </c>
      <c r="F618" s="146">
        <f>IFERROR(_xlfn.XLOOKUP(D618,'Monthly Deduction'!$I$3:$I$957,'Monthly Deduction'!$H$3:$H$957),0)</f>
        <v>0</v>
      </c>
      <c r="G618" s="123" t="str">
        <f>VLOOKUP(D618,'MPG Payment '!$E$3:$G$333666,3,0)</f>
        <v>MPG</v>
      </c>
      <c r="H618" s="124" t="str">
        <f>VLOOKUP(D618,'MPG Payment '!$E$3:$H$333666,4,0)</f>
        <v>Direct</v>
      </c>
      <c r="I618" s="88">
        <f>INDEX('MPG Payment '!$C:$C,MATCH('Shayak Income '!D618,'MPG Payment '!E:E,0))</f>
        <v>1002</v>
      </c>
      <c r="J618" s="88" t="str">
        <f>INDEX('MPG Payment '!$D:$D,MATCH('Shayak Income '!D618,'MPG Payment '!E:E,0))</f>
        <v>Laldiyara</v>
      </c>
      <c r="K618" s="125" t="s">
        <v>1594</v>
      </c>
      <c r="L618" s="125">
        <v>45980</v>
      </c>
      <c r="M618" s="126">
        <f>SUMIF('MPG Payment '!$E$3:$E$344841,'Shayak Income '!D618,'MPG Payment '!$I$3:$I$344841)</f>
        <v>2404.5</v>
      </c>
      <c r="N618" s="126">
        <f>SUMIF('MPG Payment '!$E$3:$E$344841,'Shayak Income '!D618,'MPG Payment '!$J$3:$J$344841)</f>
        <v>100628.04999999999</v>
      </c>
      <c r="O618" s="126">
        <f t="shared" si="171"/>
        <v>1803.375</v>
      </c>
      <c r="P618" s="126">
        <f t="shared" si="172"/>
        <v>2284.2750000000001</v>
      </c>
      <c r="Q618" s="126">
        <f>SUMIF('MPG Payment '!$E$3:$E$344841,'Shayak Income '!D618,'MPG Payment '!$S$3:$S$344841)</f>
        <v>0</v>
      </c>
      <c r="R618" s="126">
        <f t="shared" si="162"/>
        <v>3018.8414999999995</v>
      </c>
      <c r="S618" s="126">
        <f t="shared" si="163"/>
        <v>734.56649999999945</v>
      </c>
      <c r="T618" s="126">
        <f t="shared" si="173"/>
        <v>240.45000000000002</v>
      </c>
      <c r="U618" s="127">
        <f>((((((IF(K618="New",0,SUMIF('MPG Payment '!$E$3:$E$344841,'Shayak Income '!D618,'MPG Payment '!$AC$3:$AC$344841))))+0)+0)+0)+0)+0</f>
        <v>330.49073668968856</v>
      </c>
      <c r="V618" s="127">
        <f t="shared" si="174"/>
        <v>3517</v>
      </c>
      <c r="W618" s="19">
        <f t="shared" si="175"/>
        <v>2012.5609999999999</v>
      </c>
      <c r="X618" s="19">
        <v>0</v>
      </c>
      <c r="Y618" s="128">
        <f>IFERROR(VLOOKUP(D618,'Monthly Deduction'!$M$2:$N$640,2,0),0)</f>
        <v>0</v>
      </c>
      <c r="Z618" s="128">
        <v>0</v>
      </c>
      <c r="AA618" s="126">
        <f>IFERROR(VLOOKUP(D618,'Monthly Deduction'!A:B,2,0),0)</f>
        <v>490.12</v>
      </c>
      <c r="AB618" s="129">
        <f t="shared" si="165"/>
        <v>1014</v>
      </c>
      <c r="AC618" s="130">
        <v>0</v>
      </c>
      <c r="AD618" s="35">
        <f t="shared" si="176"/>
        <v>1014</v>
      </c>
      <c r="AE618" s="166" t="str">
        <f t="shared" si="177"/>
        <v>Release</v>
      </c>
      <c r="AF618" s="127"/>
      <c r="AG618" s="18">
        <v>0</v>
      </c>
      <c r="AH618" s="120"/>
      <c r="AI618" s="238">
        <v>0</v>
      </c>
      <c r="AJ618" s="132"/>
      <c r="AK618" s="151">
        <v>545.90000000000009</v>
      </c>
      <c r="AL618" s="154">
        <f t="shared" si="166"/>
        <v>0</v>
      </c>
      <c r="AM618" s="155"/>
      <c r="AN618" s="19">
        <f t="shared" si="167"/>
        <v>2012.5609999999999</v>
      </c>
      <c r="AO618" s="118">
        <f>SUMIF('MPG Payment '!E:E,'Shayak Income '!D618,'MPG Payment '!AJ:AJ)</f>
        <v>0</v>
      </c>
      <c r="AP618" s="19">
        <f t="shared" si="168"/>
        <v>2012.5609999999999</v>
      </c>
      <c r="AQ618" s="119">
        <f t="shared" si="178"/>
        <v>2012.5609999999999</v>
      </c>
      <c r="AR618" s="91" t="s">
        <v>1144</v>
      </c>
      <c r="AS618" s="91">
        <f t="shared" si="169"/>
        <v>6400</v>
      </c>
      <c r="AT618" s="118"/>
      <c r="AU618" s="118"/>
      <c r="AV618" s="118"/>
    </row>
    <row r="619" spans="1:48" s="20" customFormat="1" x14ac:dyDescent="0.25">
      <c r="A619" s="17">
        <f>IFERROR(VLOOKUP(D619,'Monthly Deduction'!$I$3:$J$957,2,0),0)</f>
        <v>81343.525620316403</v>
      </c>
      <c r="B619" s="17">
        <f>IFERROR(VLOOKUP(D619,'Monthly Deduction'!$E$3:$F$957,2,0),0)</f>
        <v>3200</v>
      </c>
      <c r="C619" s="17">
        <f t="shared" si="170"/>
        <v>84543.525620316403</v>
      </c>
      <c r="D619" s="41">
        <v>10030078</v>
      </c>
      <c r="E619" s="122" t="str">
        <f>VLOOKUP(D619,'MPG Payment '!$E$3:$G$497305,2,0)</f>
        <v>BALADEV ITAHARI</v>
      </c>
      <c r="F619" s="146">
        <f>IFERROR(_xlfn.XLOOKUP(D619,'Monthly Deduction'!$I$3:$I$957,'Monthly Deduction'!$H$3:$H$957),0)</f>
        <v>0</v>
      </c>
      <c r="G619" s="123" t="str">
        <f>VLOOKUP(D619,'MPG Payment '!$E$3:$G$333666,3,0)</f>
        <v>MPG</v>
      </c>
      <c r="H619" s="124" t="str">
        <f>VLOOKUP(D619,'MPG Payment '!$E$3:$H$333666,4,0)</f>
        <v>Direct</v>
      </c>
      <c r="I619" s="88">
        <f>INDEX('MPG Payment '!$C:$C,MATCH('Shayak Income '!D619,'MPG Payment '!E:E,0))</f>
        <v>1003</v>
      </c>
      <c r="J619" s="88" t="str">
        <f>INDEX('MPG Payment '!$D:$D,MATCH('Shayak Income '!D619,'MPG Payment '!E:E,0))</f>
        <v>Asarganj</v>
      </c>
      <c r="K619" s="125" t="s">
        <v>1594</v>
      </c>
      <c r="L619" s="125">
        <v>45979</v>
      </c>
      <c r="M619" s="126">
        <f>SUMIF('MPG Payment '!$E$3:$E$344841,'Shayak Income '!D619,'MPG Payment '!$I$3:$I$344841)</f>
        <v>3274.65</v>
      </c>
      <c r="N619" s="126">
        <f>SUMIF('MPG Payment '!$E$3:$E$344841,'Shayak Income '!D619,'MPG Payment '!$J$3:$J$344841)</f>
        <v>150996.22000000003</v>
      </c>
      <c r="O619" s="126">
        <f t="shared" si="171"/>
        <v>2455.9875000000002</v>
      </c>
      <c r="P619" s="126">
        <f t="shared" si="172"/>
        <v>3110.9175</v>
      </c>
      <c r="Q619" s="126">
        <f>SUMIF('MPG Payment '!$E$3:$E$344841,'Shayak Income '!D619,'MPG Payment '!$S$3:$S$344841)</f>
        <v>0</v>
      </c>
      <c r="R619" s="126">
        <f t="shared" si="162"/>
        <v>4529.8866000000007</v>
      </c>
      <c r="S619" s="126">
        <f t="shared" si="163"/>
        <v>1418.9691000000007</v>
      </c>
      <c r="T619" s="126">
        <f t="shared" si="173"/>
        <v>327.46500000000003</v>
      </c>
      <c r="U619" s="127">
        <f>((((((IF(K619="New",0,SUMIF('MPG Payment '!$E$3:$E$344841,'Shayak Income '!D619,'MPG Payment '!$AC$3:$AC$344841))))+0)+0)+0)+0)+0</f>
        <v>2.3093753530717214</v>
      </c>
      <c r="V619" s="127">
        <f t="shared" si="174"/>
        <v>5237</v>
      </c>
      <c r="W619" s="19">
        <f t="shared" si="175"/>
        <v>3019.9244000000008</v>
      </c>
      <c r="X619" s="19">
        <v>0</v>
      </c>
      <c r="Y619" s="128">
        <f>IFERROR(VLOOKUP(D619,'Monthly Deduction'!$M$2:$N$640,2,0),0)</f>
        <v>0</v>
      </c>
      <c r="Z619" s="128">
        <v>0</v>
      </c>
      <c r="AA619" s="126">
        <f>IFERROR(VLOOKUP(D619,'Monthly Deduction'!A:B,2,0),0)</f>
        <v>0</v>
      </c>
      <c r="AB619" s="129">
        <f t="shared" si="165"/>
        <v>2217</v>
      </c>
      <c r="AC619" s="130">
        <f>AB619</f>
        <v>2217</v>
      </c>
      <c r="AD619" s="35">
        <f t="shared" si="176"/>
        <v>0</v>
      </c>
      <c r="AE619" s="166" t="str">
        <f t="shared" si="177"/>
        <v>Yes</v>
      </c>
      <c r="AF619" s="127"/>
      <c r="AG619" s="18">
        <v>0</v>
      </c>
      <c r="AH619" s="120" t="s">
        <v>1683</v>
      </c>
      <c r="AI619" s="238">
        <v>0</v>
      </c>
      <c r="AJ619" s="132"/>
      <c r="AK619" s="151">
        <v>982.15</v>
      </c>
      <c r="AL619" s="154">
        <f t="shared" si="166"/>
        <v>0</v>
      </c>
      <c r="AM619" s="155"/>
      <c r="AN619" s="19">
        <f t="shared" si="167"/>
        <v>3019.9244000000008</v>
      </c>
      <c r="AO619" s="118">
        <f>SUMIF('MPG Payment '!E:E,'Shayak Income '!D619,'MPG Payment '!AJ:AJ)</f>
        <v>0</v>
      </c>
      <c r="AP619" s="19">
        <f t="shared" si="168"/>
        <v>3019.9244000000008</v>
      </c>
      <c r="AQ619" s="119">
        <f t="shared" si="178"/>
        <v>3019.9244000000008</v>
      </c>
      <c r="AR619" s="91" t="s">
        <v>1144</v>
      </c>
      <c r="AS619" s="91">
        <f t="shared" si="169"/>
        <v>3200</v>
      </c>
      <c r="AT619" s="118"/>
      <c r="AU619" s="118"/>
      <c r="AV619" s="118"/>
    </row>
    <row r="620" spans="1:48" s="20" customFormat="1" x14ac:dyDescent="0.25">
      <c r="A620" s="17">
        <f>IFERROR(VLOOKUP(D620,'Monthly Deduction'!$I$3:$J$957,2,0),0)</f>
        <v>76484.74317544169</v>
      </c>
      <c r="B620" s="17">
        <f>IFERROR(VLOOKUP(D620,'Monthly Deduction'!$E$3:$F$957,2,0),0)</f>
        <v>12800</v>
      </c>
      <c r="C620" s="17">
        <f t="shared" si="170"/>
        <v>89284.74317544169</v>
      </c>
      <c r="D620" s="41">
        <v>10060106</v>
      </c>
      <c r="E620" s="122" t="str">
        <f>VLOOKUP(D620,'MPG Payment '!$E$3:$G$497305,2,0)</f>
        <v>PIPARPATI</v>
      </c>
      <c r="F620" s="146">
        <f>IFERROR(_xlfn.XLOOKUP(D620,'Monthly Deduction'!$I$3:$I$957,'Monthly Deduction'!$H$3:$H$957),0)</f>
        <v>0</v>
      </c>
      <c r="G620" s="123" t="str">
        <f>VLOOKUP(D620,'MPG Payment '!$E$3:$G$333666,3,0)</f>
        <v>MPG</v>
      </c>
      <c r="H620" s="124" t="str">
        <f>VLOOKUP(D620,'MPG Payment '!$E$3:$H$333666,4,0)</f>
        <v>Direct</v>
      </c>
      <c r="I620" s="88">
        <f>INDEX('MPG Payment '!$C:$C,MATCH('Shayak Income '!D620,'MPG Payment '!E:E,0))</f>
        <v>1006</v>
      </c>
      <c r="J620" s="88" t="str">
        <f>INDEX('MPG Payment '!$D:$D,MATCH('Shayak Income '!D620,'MPG Payment '!E:E,0))</f>
        <v>Sonvarsha</v>
      </c>
      <c r="K620" s="125" t="s">
        <v>1594</v>
      </c>
      <c r="L620" s="125">
        <v>45978</v>
      </c>
      <c r="M620" s="126">
        <f>SUMIF('MPG Payment '!$E$3:$E$344841,'Shayak Income '!D620,'MPG Payment '!$I$3:$I$344841)</f>
        <v>3080.3</v>
      </c>
      <c r="N620" s="126">
        <f>SUMIF('MPG Payment '!$E$3:$E$344841,'Shayak Income '!D620,'MPG Payment '!$J$3:$J$344841)</f>
        <v>154224.97</v>
      </c>
      <c r="O620" s="126">
        <f t="shared" si="171"/>
        <v>2310.2250000000004</v>
      </c>
      <c r="P620" s="126">
        <f t="shared" si="172"/>
        <v>2926.2849999999999</v>
      </c>
      <c r="Q620" s="126">
        <f>SUMIF('MPG Payment '!$E$3:$E$344841,'Shayak Income '!D620,'MPG Payment '!$S$3:$S$344841)</f>
        <v>2706.7699999999995</v>
      </c>
      <c r="R620" s="126">
        <f t="shared" si="162"/>
        <v>4626.7491</v>
      </c>
      <c r="S620" s="126">
        <f t="shared" si="163"/>
        <v>1700.4641000000001</v>
      </c>
      <c r="T620" s="126">
        <f t="shared" si="173"/>
        <v>308.03000000000003</v>
      </c>
      <c r="U620" s="127">
        <f>((((((IF(K620="New",0,SUMIF('MPG Payment '!$E$3:$E$344841,'Shayak Income '!D620,'MPG Payment '!$AC$3:$AC$344841))))+0)+0)+0)+0)+0</f>
        <v>43.579317073170778</v>
      </c>
      <c r="V620" s="127">
        <f t="shared" si="174"/>
        <v>7592</v>
      </c>
      <c r="W620" s="19">
        <f t="shared" si="175"/>
        <v>3084.4994000000002</v>
      </c>
      <c r="X620" s="19">
        <v>0</v>
      </c>
      <c r="Y620" s="128">
        <f>IFERROR(VLOOKUP(D620,'Monthly Deduction'!$M$2:$N$640,2,0),0)</f>
        <v>0</v>
      </c>
      <c r="Z620" s="128">
        <v>0</v>
      </c>
      <c r="AA620" s="126">
        <f>IFERROR(VLOOKUP(D620,'Monthly Deduction'!A:B,2,0),0)</f>
        <v>0</v>
      </c>
      <c r="AB620" s="129">
        <f t="shared" si="165"/>
        <v>4508</v>
      </c>
      <c r="AC620" s="130">
        <v>0</v>
      </c>
      <c r="AD620" s="35">
        <f t="shared" si="176"/>
        <v>4508</v>
      </c>
      <c r="AE620" s="166" t="str">
        <f t="shared" si="177"/>
        <v>Release</v>
      </c>
      <c r="AF620" s="127"/>
      <c r="AG620" s="18">
        <v>0</v>
      </c>
      <c r="AH620" s="120"/>
      <c r="AI620" s="238">
        <v>0</v>
      </c>
      <c r="AJ620" s="132"/>
      <c r="AK620" s="151">
        <v>822.4000000000002</v>
      </c>
      <c r="AL620" s="154">
        <f t="shared" si="166"/>
        <v>0</v>
      </c>
      <c r="AM620" s="155"/>
      <c r="AN620" s="19">
        <f t="shared" si="167"/>
        <v>3084.4994000000002</v>
      </c>
      <c r="AO620" s="118">
        <f>SUMIF('MPG Payment '!E:E,'Shayak Income '!D620,'MPG Payment '!AJ:AJ)</f>
        <v>0</v>
      </c>
      <c r="AP620" s="19">
        <f t="shared" si="168"/>
        <v>3084.4994000000002</v>
      </c>
      <c r="AQ620" s="119">
        <f t="shared" si="178"/>
        <v>3084.4994000000002</v>
      </c>
      <c r="AR620" s="91" t="s">
        <v>1144</v>
      </c>
      <c r="AS620" s="91">
        <f t="shared" si="169"/>
        <v>12800</v>
      </c>
      <c r="AT620" s="118"/>
      <c r="AU620" s="118"/>
      <c r="AV620" s="118"/>
    </row>
    <row r="621" spans="1:48" s="20" customFormat="1" x14ac:dyDescent="0.25">
      <c r="A621" s="17">
        <f>IFERROR(VLOOKUP(D621,'Monthly Deduction'!$I$3:$J$957,2,0),0)</f>
        <v>80508</v>
      </c>
      <c r="B621" s="17">
        <f>IFERROR(VLOOKUP(D621,'Monthly Deduction'!$E$3:$F$957,2,0),0)</f>
        <v>9600</v>
      </c>
      <c r="C621" s="17">
        <f t="shared" si="170"/>
        <v>90108</v>
      </c>
      <c r="D621" s="41">
        <v>10110164</v>
      </c>
      <c r="E621" s="122" t="str">
        <f>VLOOKUP(D621,'MPG Payment '!$E$3:$G$497305,2,0)</f>
        <v>GOMUKH JANGLITOL</v>
      </c>
      <c r="F621" s="146">
        <f>IFERROR(_xlfn.XLOOKUP(D621,'Monthly Deduction'!$I$3:$I$957,'Monthly Deduction'!$H$3:$H$957),0)</f>
        <v>0</v>
      </c>
      <c r="G621" s="123" t="str">
        <f>VLOOKUP(D621,'MPG Payment '!$E$3:$G$333666,3,0)</f>
        <v>MPG</v>
      </c>
      <c r="H621" s="124" t="str">
        <f>VLOOKUP(D621,'MPG Payment '!$E$3:$H$333666,4,0)</f>
        <v>Direct</v>
      </c>
      <c r="I621" s="88">
        <f>INDEX('MPG Payment '!$C:$C,MATCH('Shayak Income '!D621,'MPG Payment '!E:E,0))</f>
        <v>1011</v>
      </c>
      <c r="J621" s="88" t="str">
        <f>INDEX('MPG Payment '!$D:$D,MATCH('Shayak Income '!D621,'MPG Payment '!E:E,0))</f>
        <v>Sahibpur Kamal</v>
      </c>
      <c r="K621" s="125" t="s">
        <v>1594</v>
      </c>
      <c r="L621" s="125">
        <v>45869</v>
      </c>
      <c r="M621" s="126">
        <f>SUMIF('MPG Payment '!$E$3:$E$344841,'Shayak Income '!D621,'MPG Payment '!$I$3:$I$344841)</f>
        <v>994.6</v>
      </c>
      <c r="N621" s="126">
        <f>SUMIF('MPG Payment '!$E$3:$E$344841,'Shayak Income '!D621,'MPG Payment '!$J$3:$J$344841)</f>
        <v>40985.15</v>
      </c>
      <c r="O621" s="126">
        <f t="shared" si="171"/>
        <v>745.95</v>
      </c>
      <c r="P621" s="126">
        <f t="shared" si="172"/>
        <v>944.87</v>
      </c>
      <c r="Q621" s="126">
        <f>SUMIF('MPG Payment '!$E$3:$E$344841,'Shayak Income '!D621,'MPG Payment '!$S$3:$S$344841)</f>
        <v>0</v>
      </c>
      <c r="R621" s="126">
        <f t="shared" si="162"/>
        <v>1229.5545</v>
      </c>
      <c r="S621" s="126">
        <f t="shared" si="163"/>
        <v>284.68449999999996</v>
      </c>
      <c r="T621" s="126">
        <f t="shared" si="173"/>
        <v>99.460000000000008</v>
      </c>
      <c r="U621" s="127">
        <f>((((((IF(K621="New",0,SUMIF('MPG Payment '!$E$3:$E$344841,'Shayak Income '!D621,'MPG Payment '!$AC$3:$AC$344841))))+0)+0)+0)+0)+0</f>
        <v>1486.6648925053526</v>
      </c>
      <c r="V621" s="127">
        <f t="shared" si="174"/>
        <v>105</v>
      </c>
      <c r="W621" s="19">
        <v>105</v>
      </c>
      <c r="X621" s="19">
        <v>0</v>
      </c>
      <c r="Y621" s="128">
        <f>IFERROR(VLOOKUP(D621,'Monthly Deduction'!$M$2:$N$640,2,0),0)</f>
        <v>0</v>
      </c>
      <c r="Z621" s="128">
        <v>0</v>
      </c>
      <c r="AA621" s="126">
        <f>IFERROR(VLOOKUP(D621,'Monthly Deduction'!A:B,2,0),0)</f>
        <v>0</v>
      </c>
      <c r="AB621" s="129">
        <f t="shared" si="165"/>
        <v>0</v>
      </c>
      <c r="AC621" s="130">
        <v>0</v>
      </c>
      <c r="AD621" s="35">
        <f t="shared" si="176"/>
        <v>0</v>
      </c>
      <c r="AE621" s="166" t="str">
        <f t="shared" si="177"/>
        <v>Release</v>
      </c>
      <c r="AF621" s="127"/>
      <c r="AG621" s="18">
        <v>0</v>
      </c>
      <c r="AH621" s="132"/>
      <c r="AI621" s="238">
        <v>0</v>
      </c>
      <c r="AJ621" s="132"/>
      <c r="AK621" s="151">
        <v>219.7</v>
      </c>
      <c r="AL621" s="154">
        <f t="shared" si="166"/>
        <v>0</v>
      </c>
      <c r="AM621" s="155"/>
      <c r="AN621" s="19">
        <f t="shared" si="167"/>
        <v>1861</v>
      </c>
      <c r="AO621" s="118">
        <f>SUMIF('MPG Payment '!E:E,'Shayak Income '!D621,'MPG Payment '!AJ:AJ)</f>
        <v>0</v>
      </c>
      <c r="AP621" s="19">
        <f t="shared" si="168"/>
        <v>105</v>
      </c>
      <c r="AQ621" s="119">
        <f t="shared" si="178"/>
        <v>105</v>
      </c>
      <c r="AR621" s="91"/>
      <c r="AS621" s="91">
        <f t="shared" si="169"/>
        <v>9600</v>
      </c>
      <c r="AT621" s="118"/>
      <c r="AU621" s="118"/>
      <c r="AV621" s="118"/>
    </row>
    <row r="622" spans="1:48" s="20" customFormat="1" x14ac:dyDescent="0.25">
      <c r="A622" s="17">
        <f>IFERROR(VLOOKUP(D622,'Monthly Deduction'!$I$3:$J$957,2,0),0)</f>
        <v>61464.879783389435</v>
      </c>
      <c r="B622" s="17">
        <f>IFERROR(VLOOKUP(D622,'Monthly Deduction'!$E$3:$F$957,2,0),0)</f>
        <v>12800</v>
      </c>
      <c r="C622" s="17">
        <f t="shared" si="170"/>
        <v>74264.879783389435</v>
      </c>
      <c r="D622" s="41">
        <v>10110168</v>
      </c>
      <c r="E622" s="122" t="str">
        <f>VLOOKUP(D622,'MPG Payment '!$E$3:$G$497305,2,0)</f>
        <v>GOMUKH BARBIGHI</v>
      </c>
      <c r="F622" s="146">
        <f>IFERROR(_xlfn.XLOOKUP(D622,'Monthly Deduction'!$I$3:$I$957,'Monthly Deduction'!$H$3:$H$957),0)</f>
        <v>0</v>
      </c>
      <c r="G622" s="123" t="str">
        <f>VLOOKUP(D622,'MPG Payment '!$E$3:$G$333666,3,0)</f>
        <v>MPG</v>
      </c>
      <c r="H622" s="124" t="str">
        <f>VLOOKUP(D622,'MPG Payment '!$E$3:$H$333666,4,0)</f>
        <v>Direct</v>
      </c>
      <c r="I622" s="88">
        <f>INDEX('MPG Payment '!$C:$C,MATCH('Shayak Income '!D622,'MPG Payment '!E:E,0))</f>
        <v>1011</v>
      </c>
      <c r="J622" s="88" t="str">
        <f>INDEX('MPG Payment '!$D:$D,MATCH('Shayak Income '!D622,'MPG Payment '!E:E,0))</f>
        <v>Sahibpur Kamal</v>
      </c>
      <c r="K622" s="125" t="s">
        <v>1594</v>
      </c>
      <c r="L622" s="125">
        <v>45975</v>
      </c>
      <c r="M622" s="126">
        <f>SUMIF('MPG Payment '!$E$3:$E$344841,'Shayak Income '!D622,'MPG Payment '!$I$3:$I$344841)</f>
        <v>6332.4999999999991</v>
      </c>
      <c r="N622" s="126">
        <f>SUMIF('MPG Payment '!$E$3:$E$344841,'Shayak Income '!D622,'MPG Payment '!$J$3:$J$344841)</f>
        <v>241293.03</v>
      </c>
      <c r="O622" s="126">
        <f t="shared" si="171"/>
        <v>4749.3749999999991</v>
      </c>
      <c r="P622" s="126">
        <f t="shared" si="172"/>
        <v>6015.8749999999991</v>
      </c>
      <c r="Q622" s="126">
        <f>SUMIF('MPG Payment '!$E$3:$E$344841,'Shayak Income '!D622,'MPG Payment '!$S$3:$S$344841)</f>
        <v>734.74</v>
      </c>
      <c r="R622" s="126">
        <f t="shared" si="162"/>
        <v>7238.7909</v>
      </c>
      <c r="S622" s="126">
        <f t="shared" si="163"/>
        <v>1222.9159000000009</v>
      </c>
      <c r="T622" s="126">
        <f t="shared" si="173"/>
        <v>633.25</v>
      </c>
      <c r="U622" s="127">
        <f>((((((IF(K622="New",0,SUMIF('MPG Payment '!$E$3:$E$344841,'Shayak Income '!D622,'MPG Payment '!$AC$3:$AC$344841))))+0)+0)+0)+0)+0</f>
        <v>0</v>
      </c>
      <c r="V622" s="127">
        <f t="shared" si="174"/>
        <v>10867</v>
      </c>
      <c r="W622" s="19">
        <f t="shared" si="175"/>
        <v>4825.8606</v>
      </c>
      <c r="X622" s="19">
        <v>0</v>
      </c>
      <c r="Y622" s="128">
        <f>IFERROR(VLOOKUP(D622,'Monthly Deduction'!$M$2:$N$640,2,0),0)</f>
        <v>0</v>
      </c>
      <c r="Z622" s="128">
        <v>0</v>
      </c>
      <c r="AA622" s="126">
        <f>IFERROR(VLOOKUP(D622,'Monthly Deduction'!A:B,2,0),0)</f>
        <v>0</v>
      </c>
      <c r="AB622" s="129">
        <f t="shared" si="165"/>
        <v>6041</v>
      </c>
      <c r="AC622" s="130">
        <v>0</v>
      </c>
      <c r="AD622" s="35">
        <f t="shared" si="176"/>
        <v>6041</v>
      </c>
      <c r="AE622" s="166" t="str">
        <f t="shared" si="177"/>
        <v>Release</v>
      </c>
      <c r="AF622" s="127"/>
      <c r="AG622" s="127">
        <v>0</v>
      </c>
      <c r="AH622" s="120"/>
      <c r="AI622" s="238">
        <v>0</v>
      </c>
      <c r="AJ622" s="132"/>
      <c r="AK622" s="151">
        <v>1426.5</v>
      </c>
      <c r="AL622" s="154">
        <f t="shared" si="166"/>
        <v>0</v>
      </c>
      <c r="AM622" s="155"/>
      <c r="AN622" s="19">
        <f t="shared" si="167"/>
        <v>4825.8606</v>
      </c>
      <c r="AO622" s="118">
        <f>SUMIF('MPG Payment '!E:E,'Shayak Income '!D622,'MPG Payment '!AJ:AJ)</f>
        <v>0</v>
      </c>
      <c r="AP622" s="19">
        <f t="shared" si="168"/>
        <v>4825.8606</v>
      </c>
      <c r="AQ622" s="119">
        <f t="shared" si="178"/>
        <v>4825.8606</v>
      </c>
      <c r="AR622" s="91"/>
      <c r="AS622" s="91">
        <f t="shared" si="169"/>
        <v>12800</v>
      </c>
      <c r="AT622" s="118"/>
      <c r="AU622" s="118"/>
      <c r="AV622" s="118"/>
    </row>
    <row r="623" spans="1:48" s="20" customFormat="1" x14ac:dyDescent="0.25">
      <c r="A623" s="17">
        <f>IFERROR(VLOOKUP(D623,'Monthly Deduction'!$I$3:$J$957,2,0),0)</f>
        <v>0</v>
      </c>
      <c r="B623" s="17">
        <f>IFERROR(VLOOKUP(D623,'Monthly Deduction'!$E$3:$F$957,2,0),0)</f>
        <v>0</v>
      </c>
      <c r="C623" s="17">
        <f t="shared" si="170"/>
        <v>0</v>
      </c>
      <c r="D623" s="41">
        <v>10110173</v>
      </c>
      <c r="E623" s="122" t="str">
        <f>VLOOKUP(D623,'MPG Payment '!$E$3:$G$497305,2,0)</f>
        <v>Barkhanditol</v>
      </c>
      <c r="F623" s="146">
        <f>IFERROR(_xlfn.XLOOKUP(D623,'Monthly Deduction'!$I$3:$I$957,'Monthly Deduction'!$H$3:$H$957),0)</f>
        <v>0</v>
      </c>
      <c r="G623" s="123" t="str">
        <f>VLOOKUP(D623,'MPG Payment '!$E$3:$G$333666,3,0)</f>
        <v>vlc</v>
      </c>
      <c r="H623" s="124" t="str">
        <f>VLOOKUP(D623,'MPG Payment '!$E$3:$H$333666,4,0)</f>
        <v>Indirect</v>
      </c>
      <c r="I623" s="88">
        <f>INDEX('MPG Payment '!$C:$C,MATCH('Shayak Income '!D623,'MPG Payment '!E:E,0))</f>
        <v>1011</v>
      </c>
      <c r="J623" s="88" t="str">
        <f>INDEX('MPG Payment '!$D:$D,MATCH('Shayak Income '!D623,'MPG Payment '!E:E,0))</f>
        <v>Sahibpur Kamal</v>
      </c>
      <c r="K623" s="125" t="s">
        <v>1594</v>
      </c>
      <c r="L623" s="125">
        <v>45980</v>
      </c>
      <c r="M623" s="126">
        <f>SUMIF('MPG Payment '!$E$3:$E$344841,'Shayak Income '!D623,'MPG Payment '!$I$3:$I$344841)</f>
        <v>4795.5</v>
      </c>
      <c r="N623" s="126">
        <f>SUMIF('MPG Payment '!$E$3:$E$344841,'Shayak Income '!D623,'MPG Payment '!$J$3:$J$344841)</f>
        <v>208836.39</v>
      </c>
      <c r="O623" s="126">
        <f t="shared" si="171"/>
        <v>3596.625</v>
      </c>
      <c r="P623" s="126">
        <f t="shared" si="172"/>
        <v>4555.7249999999995</v>
      </c>
      <c r="Q623" s="126">
        <f>SUMIF('MPG Payment '!$E$3:$E$344841,'Shayak Income '!D623,'MPG Payment '!$S$3:$S$344841)</f>
        <v>0</v>
      </c>
      <c r="R623" s="126">
        <f t="shared" si="162"/>
        <v>6265.0916999999999</v>
      </c>
      <c r="S623" s="126">
        <f t="shared" si="163"/>
        <v>1709.3667000000005</v>
      </c>
      <c r="T623" s="126">
        <f t="shared" si="173"/>
        <v>479.55</v>
      </c>
      <c r="U623" s="127">
        <f>((((((IF(K623="New",0,SUMIF('MPG Payment '!$E$3:$E$344841,'Shayak Income '!D623,'MPG Payment '!$AC$3:$AC$344841))))+0)+0)+0)+0)+0</f>
        <v>0</v>
      </c>
      <c r="V623" s="127">
        <f t="shared" si="174"/>
        <v>7673</v>
      </c>
      <c r="W623" s="19">
        <f t="shared" si="175"/>
        <v>0</v>
      </c>
      <c r="X623" s="19">
        <f t="shared" si="164"/>
        <v>0</v>
      </c>
      <c r="Y623" s="128">
        <f>IFERROR(VLOOKUP(D623,'Monthly Deduction'!$M$2:$N$640,2,0),0)</f>
        <v>0</v>
      </c>
      <c r="Z623" s="128">
        <v>0</v>
      </c>
      <c r="AA623" s="126">
        <f>IFERROR(VLOOKUP(D623,'Monthly Deduction'!A:B,2,0),0)</f>
        <v>0</v>
      </c>
      <c r="AB623" s="129">
        <f t="shared" si="165"/>
        <v>7673</v>
      </c>
      <c r="AC623" s="130">
        <v>0</v>
      </c>
      <c r="AD623" s="35">
        <f t="shared" si="176"/>
        <v>7673</v>
      </c>
      <c r="AE623" s="166" t="str">
        <f t="shared" si="177"/>
        <v>Release</v>
      </c>
      <c r="AF623" s="127"/>
      <c r="AG623" s="18">
        <v>0</v>
      </c>
      <c r="AH623" s="132"/>
      <c r="AI623" s="238">
        <v>0</v>
      </c>
      <c r="AJ623" s="132"/>
      <c r="AK623" s="151">
        <v>602.29999999999995</v>
      </c>
      <c r="AL623" s="154">
        <f t="shared" si="166"/>
        <v>0</v>
      </c>
      <c r="AM623" s="155"/>
      <c r="AN623" s="19">
        <f t="shared" si="167"/>
        <v>0</v>
      </c>
      <c r="AO623" s="118">
        <f>SUMIF('MPG Payment '!E:E,'Shayak Income '!D623,'MPG Payment '!AJ:AJ)</f>
        <v>0</v>
      </c>
      <c r="AP623" s="19">
        <f t="shared" si="168"/>
        <v>0</v>
      </c>
      <c r="AQ623" s="119">
        <f t="shared" si="178"/>
        <v>0</v>
      </c>
      <c r="AR623" s="91" t="s">
        <v>1144</v>
      </c>
      <c r="AS623" s="91">
        <f t="shared" si="169"/>
        <v>0</v>
      </c>
      <c r="AT623" s="118"/>
      <c r="AU623" s="118"/>
      <c r="AV623" s="118"/>
    </row>
    <row r="624" spans="1:48" s="20" customFormat="1" x14ac:dyDescent="0.25">
      <c r="A624" s="17">
        <f>IFERROR(VLOOKUP(D624,'Monthly Deduction'!$I$3:$J$957,2,0),0)</f>
        <v>0</v>
      </c>
      <c r="B624" s="17">
        <f>IFERROR(VLOOKUP(D624,'Monthly Deduction'!$E$3:$F$957,2,0),0)</f>
        <v>0</v>
      </c>
      <c r="C624" s="17">
        <f t="shared" si="170"/>
        <v>0</v>
      </c>
      <c r="D624" s="41">
        <v>10480033</v>
      </c>
      <c r="E624" s="122" t="str">
        <f>VLOOKUP(D624,'MPG Payment '!$E$3:$G$497305,2,0)</f>
        <v>Gomukh Mohanpur  VLC</v>
      </c>
      <c r="F624" s="146">
        <f>IFERROR(_xlfn.XLOOKUP(D624,'Monthly Deduction'!$I$3:$I$957,'Monthly Deduction'!$H$3:$H$957),0)</f>
        <v>0</v>
      </c>
      <c r="G624" s="123" t="str">
        <f>VLOOKUP(D624,'MPG Payment '!$E$3:$G$333666,3,0)</f>
        <v>vlc</v>
      </c>
      <c r="H624" s="124" t="str">
        <f>VLOOKUP(D624,'MPG Payment '!$E$3:$H$333666,4,0)</f>
        <v>Indirect</v>
      </c>
      <c r="I624" s="88">
        <f>INDEX('MPG Payment '!$C:$C,MATCH('Shayak Income '!D624,'MPG Payment '!E:E,0))</f>
        <v>1036</v>
      </c>
      <c r="J624" s="88" t="str">
        <f>INDEX('MPG Payment '!$D:$D,MATCH('Shayak Income '!D624,'MPG Payment '!E:E,0))</f>
        <v>MAHADAT PUR 2</v>
      </c>
      <c r="K624" s="125" t="s">
        <v>1594</v>
      </c>
      <c r="L624" s="125">
        <v>45742</v>
      </c>
      <c r="M624" s="126">
        <f>SUMIF('MPG Payment '!$E$3:$E$344841,'Shayak Income '!D624,'MPG Payment '!$I$3:$I$344841)</f>
        <v>584.70000000000005</v>
      </c>
      <c r="N624" s="126">
        <f>SUMIF('MPG Payment '!$E$3:$E$344841,'Shayak Income '!D624,'MPG Payment '!$J$3:$J$344841)</f>
        <v>21021.39</v>
      </c>
      <c r="O624" s="126">
        <f t="shared" si="171"/>
        <v>438.52500000000003</v>
      </c>
      <c r="P624" s="126">
        <f t="shared" si="172"/>
        <v>555.46500000000003</v>
      </c>
      <c r="Q624" s="126">
        <f>SUMIF('MPG Payment '!$E$3:$E$344841,'Shayak Income '!D624,'MPG Payment '!$S$3:$S$344841)</f>
        <v>0</v>
      </c>
      <c r="R624" s="126">
        <f t="shared" si="162"/>
        <v>630.64170000000001</v>
      </c>
      <c r="S624" s="126">
        <f t="shared" si="163"/>
        <v>75.176699999999983</v>
      </c>
      <c r="T624" s="126">
        <f t="shared" si="173"/>
        <v>58.470000000000006</v>
      </c>
      <c r="U624" s="127">
        <f>((((((IF(K624="New",0,SUMIF('MPG Payment '!$E$3:$E$344841,'Shayak Income '!D624,'MPG Payment '!$AC$3:$AC$344841))))+0)+0)+0)+0)+-658</f>
        <v>935.68647988776183</v>
      </c>
      <c r="V624" s="127">
        <f t="shared" si="174"/>
        <v>0</v>
      </c>
      <c r="W624" s="19">
        <v>0</v>
      </c>
      <c r="X624" s="19">
        <v>0</v>
      </c>
      <c r="Y624" s="128">
        <v>0</v>
      </c>
      <c r="Z624" s="128">
        <v>0</v>
      </c>
      <c r="AA624" s="126">
        <v>0</v>
      </c>
      <c r="AB624" s="129">
        <f t="shared" si="165"/>
        <v>0</v>
      </c>
      <c r="AC624" s="130">
        <v>0</v>
      </c>
      <c r="AD624" s="35">
        <f t="shared" si="176"/>
        <v>0</v>
      </c>
      <c r="AE624" s="166" t="str">
        <f t="shared" si="177"/>
        <v>Release</v>
      </c>
      <c r="AF624" s="127"/>
      <c r="AG624" s="18">
        <v>0</v>
      </c>
      <c r="AH624" s="120"/>
      <c r="AI624" s="238">
        <v>0</v>
      </c>
      <c r="AJ624" s="132"/>
      <c r="AK624" s="151">
        <v>127.19999999999999</v>
      </c>
      <c r="AL624" s="154">
        <f t="shared" si="166"/>
        <v>0</v>
      </c>
      <c r="AM624" s="155"/>
      <c r="AN624" s="19">
        <f t="shared" si="167"/>
        <v>0</v>
      </c>
      <c r="AO624" s="118">
        <f>SUMIF('MPG Payment '!E:E,'Shayak Income '!D624,'MPG Payment '!AJ:AJ)</f>
        <v>0</v>
      </c>
      <c r="AP624" s="19">
        <f t="shared" si="168"/>
        <v>0</v>
      </c>
      <c r="AQ624" s="119">
        <f t="shared" si="178"/>
        <v>0</v>
      </c>
      <c r="AR624" s="91" t="s">
        <v>1144</v>
      </c>
      <c r="AS624" s="91">
        <f t="shared" si="169"/>
        <v>0</v>
      </c>
      <c r="AT624" s="118"/>
      <c r="AU624" s="118"/>
      <c r="AV624" s="118"/>
    </row>
    <row r="625" spans="1:48" s="20" customFormat="1" x14ac:dyDescent="0.25">
      <c r="A625" s="17">
        <f>IFERROR(VLOOKUP(D625,'Monthly Deduction'!$I$3:$J$957,2,0),0)</f>
        <v>0</v>
      </c>
      <c r="B625" s="17">
        <f>IFERROR(VLOOKUP(D625,'Monthly Deduction'!$E$3:$F$957,2,0),0)</f>
        <v>0</v>
      </c>
      <c r="C625" s="17">
        <f t="shared" si="170"/>
        <v>0</v>
      </c>
      <c r="D625" s="41">
        <v>10570025</v>
      </c>
      <c r="E625" s="122" t="str">
        <f>VLOOKUP(D625,'MPG Payment '!$E$3:$G$497305,2,0)</f>
        <v>Satmalpur</v>
      </c>
      <c r="F625" s="146">
        <f>IFERROR(_xlfn.XLOOKUP(D625,'Monthly Deduction'!$I$3:$I$957,'Monthly Deduction'!$H$3:$H$957),0)</f>
        <v>0</v>
      </c>
      <c r="G625" s="123" t="str">
        <f>VLOOKUP(D625,'MPG Payment '!$E$3:$G$333666,3,0)</f>
        <v>vlc</v>
      </c>
      <c r="H625" s="124" t="str">
        <f>VLOOKUP(D625,'MPG Payment '!$E$3:$H$333666,4,0)</f>
        <v>Indirect</v>
      </c>
      <c r="I625" s="88">
        <f>INDEX('MPG Payment '!$C:$C,MATCH('Shayak Income '!D625,'MPG Payment '!E:E,0))</f>
        <v>1057</v>
      </c>
      <c r="J625" s="88" t="str">
        <f>INDEX('MPG Payment '!$D:$D,MATCH('Shayak Income '!D625,'MPG Payment '!E:E,0))</f>
        <v>Warisnagar</v>
      </c>
      <c r="K625" s="125" t="s">
        <v>1594</v>
      </c>
      <c r="L625" s="125">
        <v>45981</v>
      </c>
      <c r="M625" s="126">
        <f>SUMIF('MPG Payment '!$E$3:$E$344841,'Shayak Income '!D625,'MPG Payment '!$I$3:$I$344841)</f>
        <v>4431.5</v>
      </c>
      <c r="N625" s="126">
        <f>SUMIF('MPG Payment '!$E$3:$E$344841,'Shayak Income '!D625,'MPG Payment '!$J$3:$J$344841)</f>
        <v>170628.02000000002</v>
      </c>
      <c r="O625" s="126">
        <f t="shared" si="171"/>
        <v>3323.625</v>
      </c>
      <c r="P625" s="126">
        <f t="shared" si="172"/>
        <v>4209.9250000000002</v>
      </c>
      <c r="Q625" s="126">
        <f>SUMIF('MPG Payment '!$E$3:$E$344841,'Shayak Income '!D625,'MPG Payment '!$S$3:$S$344841)</f>
        <v>0</v>
      </c>
      <c r="R625" s="126">
        <f t="shared" si="162"/>
        <v>5118.8406000000004</v>
      </c>
      <c r="S625" s="126">
        <f t="shared" si="163"/>
        <v>908.91560000000027</v>
      </c>
      <c r="T625" s="126">
        <f t="shared" si="173"/>
        <v>443.15000000000003</v>
      </c>
      <c r="U625" s="127">
        <f>((((((IF(K625="New",0,SUMIF('MPG Payment '!$E$3:$E$344841,'Shayak Income '!D625,'MPG Payment '!$AC$3:$AC$344841))))+0)+0)+0)+0)+0</f>
        <v>0</v>
      </c>
      <c r="V625" s="127">
        <f t="shared" si="174"/>
        <v>7090</v>
      </c>
      <c r="W625" s="19">
        <f t="shared" si="175"/>
        <v>0</v>
      </c>
      <c r="X625" s="19">
        <f t="shared" si="164"/>
        <v>0</v>
      </c>
      <c r="Y625" s="128">
        <f>IFERROR(VLOOKUP(D625,'Monthly Deduction'!$M$2:$N$640,2,0),0)</f>
        <v>0</v>
      </c>
      <c r="Z625" s="128">
        <v>0</v>
      </c>
      <c r="AA625" s="126">
        <f>IFERROR(VLOOKUP(D625,'Monthly Deduction'!A:B,2,0),0)</f>
        <v>0</v>
      </c>
      <c r="AB625" s="129">
        <f t="shared" si="165"/>
        <v>7090</v>
      </c>
      <c r="AC625" s="130">
        <v>0</v>
      </c>
      <c r="AD625" s="35">
        <f t="shared" si="176"/>
        <v>7090</v>
      </c>
      <c r="AE625" s="166" t="str">
        <f t="shared" si="177"/>
        <v>Release</v>
      </c>
      <c r="AF625" s="127"/>
      <c r="AG625" s="18">
        <v>0</v>
      </c>
      <c r="AH625" s="120"/>
      <c r="AI625" s="238">
        <v>0</v>
      </c>
      <c r="AJ625" s="132"/>
      <c r="AK625" s="151">
        <v>794.80000000000007</v>
      </c>
      <c r="AL625" s="154">
        <f t="shared" si="166"/>
        <v>0</v>
      </c>
      <c r="AM625" s="155"/>
      <c r="AN625" s="19">
        <f t="shared" si="167"/>
        <v>0</v>
      </c>
      <c r="AO625" s="118">
        <f>SUMIF('MPG Payment '!E:E,'Shayak Income '!D625,'MPG Payment '!AJ:AJ)</f>
        <v>0</v>
      </c>
      <c r="AP625" s="19">
        <f t="shared" si="168"/>
        <v>0</v>
      </c>
      <c r="AQ625" s="119">
        <f t="shared" si="178"/>
        <v>0</v>
      </c>
      <c r="AR625" s="91"/>
      <c r="AS625" s="91">
        <f t="shared" si="169"/>
        <v>0</v>
      </c>
      <c r="AT625" s="118"/>
      <c r="AU625" s="118"/>
      <c r="AV625" s="118"/>
    </row>
    <row r="626" spans="1:48" s="20" customFormat="1" x14ac:dyDescent="0.25">
      <c r="A626" s="17">
        <f>IFERROR(VLOOKUP(D626,'Monthly Deduction'!$I$3:$J$957,2,0),0)</f>
        <v>104473</v>
      </c>
      <c r="B626" s="17">
        <f>IFERROR(VLOOKUP(D626,'Monthly Deduction'!$E$3:$F$957,2,0),0)</f>
        <v>6400</v>
      </c>
      <c r="C626" s="17">
        <f t="shared" si="170"/>
        <v>110873</v>
      </c>
      <c r="D626" s="41">
        <v>10020083</v>
      </c>
      <c r="E626" s="122" t="str">
        <f>VLOOKUP(D626,'MPG Payment '!$E$3:$G$497305,2,0)</f>
        <v>BICHWAY</v>
      </c>
      <c r="F626" s="146">
        <f>IFERROR(_xlfn.XLOOKUP(D626,'Monthly Deduction'!$I$3:$I$957,'Monthly Deduction'!$H$3:$H$957),0)</f>
        <v>0</v>
      </c>
      <c r="G626" s="123" t="str">
        <f>VLOOKUP(D626,'MPG Payment '!$E$3:$G$333666,3,0)</f>
        <v>MPG</v>
      </c>
      <c r="H626" s="124" t="str">
        <f>VLOOKUP(D626,'MPG Payment '!$E$3:$H$333666,4,0)</f>
        <v>Direct</v>
      </c>
      <c r="I626" s="88">
        <f>INDEX('MPG Payment '!$C:$C,MATCH('Shayak Income '!D626,'MPG Payment '!E:E,0))</f>
        <v>1002</v>
      </c>
      <c r="J626" s="88" t="str">
        <f>INDEX('MPG Payment '!$D:$D,MATCH('Shayak Income '!D626,'MPG Payment '!E:E,0))</f>
        <v>Laldiyara</v>
      </c>
      <c r="K626" s="125" t="s">
        <v>1594</v>
      </c>
      <c r="L626" s="125">
        <v>45988</v>
      </c>
      <c r="M626" s="126">
        <f>SUMIF('MPG Payment '!$E$3:$E$344841,'Shayak Income '!D626,'MPG Payment '!$I$3:$I$344841)</f>
        <v>2248.5</v>
      </c>
      <c r="N626" s="126">
        <f>SUMIF('MPG Payment '!$E$3:$E$344841,'Shayak Income '!D626,'MPG Payment '!$J$3:$J$344841)</f>
        <v>88989.01999999999</v>
      </c>
      <c r="O626" s="126">
        <f t="shared" si="171"/>
        <v>1686.375</v>
      </c>
      <c r="P626" s="126">
        <f t="shared" si="172"/>
        <v>2136.0749999999998</v>
      </c>
      <c r="Q626" s="126">
        <f>SUMIF('MPG Payment '!$E$3:$E$344841,'Shayak Income '!D626,'MPG Payment '!$S$3:$S$344841)</f>
        <v>0</v>
      </c>
      <c r="R626" s="126">
        <f t="shared" si="162"/>
        <v>2669.6705999999995</v>
      </c>
      <c r="S626" s="126">
        <f t="shared" si="163"/>
        <v>533.59559999999965</v>
      </c>
      <c r="T626" s="126">
        <f t="shared" si="173"/>
        <v>224.85000000000002</v>
      </c>
      <c r="U626" s="127">
        <f>((((((IF(K626="New",0,SUMIF('MPG Payment '!$E$3:$E$344841,'Shayak Income '!D626,'MPG Payment '!$AC$3:$AC$344841))))+0)+0)+0)+0)+0</f>
        <v>438.85134681596026</v>
      </c>
      <c r="V626" s="127">
        <f t="shared" si="174"/>
        <v>3159</v>
      </c>
      <c r="W626" s="19">
        <f t="shared" si="175"/>
        <v>1861</v>
      </c>
      <c r="X626" s="19">
        <v>0</v>
      </c>
      <c r="Y626" s="128">
        <f>IFERROR(VLOOKUP(D626,'Monthly Deduction'!$M$2:$N$640,2,0),0)</f>
        <v>0</v>
      </c>
      <c r="Z626" s="128">
        <v>0</v>
      </c>
      <c r="AA626" s="126">
        <f>IFERROR(VLOOKUP(D626,'Monthly Deduction'!A:B,2,0),0)</f>
        <v>0</v>
      </c>
      <c r="AB626" s="129">
        <f t="shared" si="165"/>
        <v>1298</v>
      </c>
      <c r="AC626" s="130">
        <f t="shared" ref="AC626:AC628" si="182">AB626</f>
        <v>1298</v>
      </c>
      <c r="AD626" s="35">
        <f t="shared" si="176"/>
        <v>0</v>
      </c>
      <c r="AE626" s="166" t="str">
        <f t="shared" si="177"/>
        <v>Yes</v>
      </c>
      <c r="AF626" s="127"/>
      <c r="AG626" s="18">
        <v>0</v>
      </c>
      <c r="AH626" s="120" t="s">
        <v>1685</v>
      </c>
      <c r="AI626" s="238">
        <v>19205</v>
      </c>
      <c r="AJ626" s="132"/>
      <c r="AK626" s="151">
        <v>298.90000000000003</v>
      </c>
      <c r="AL626" s="154">
        <f t="shared" si="166"/>
        <v>0</v>
      </c>
      <c r="AM626" s="155"/>
      <c r="AN626" s="19">
        <f t="shared" si="167"/>
        <v>1861</v>
      </c>
      <c r="AO626" s="118">
        <f>SUMIF('MPG Payment '!E:E,'Shayak Income '!D626,'MPG Payment '!AJ:AJ)</f>
        <v>0</v>
      </c>
      <c r="AP626" s="19">
        <f t="shared" si="168"/>
        <v>1861</v>
      </c>
      <c r="AQ626" s="119">
        <f t="shared" si="178"/>
        <v>1861</v>
      </c>
      <c r="AR626" s="91" t="s">
        <v>1144</v>
      </c>
      <c r="AS626" s="91">
        <f t="shared" si="169"/>
        <v>6400</v>
      </c>
      <c r="AT626" s="118"/>
      <c r="AU626" s="118"/>
      <c r="AV626" s="118"/>
    </row>
    <row r="627" spans="1:48" s="20" customFormat="1" x14ac:dyDescent="0.25">
      <c r="A627" s="17">
        <f>IFERROR(VLOOKUP(D627,'Monthly Deduction'!$I$3:$J$957,2,0),0)</f>
        <v>50357.677162802698</v>
      </c>
      <c r="B627" s="17">
        <f>IFERROR(VLOOKUP(D627,'Monthly Deduction'!$E$3:$F$957,2,0),0)</f>
        <v>0</v>
      </c>
      <c r="C627" s="17">
        <f t="shared" si="170"/>
        <v>50357.677162802698</v>
      </c>
      <c r="D627" s="41">
        <v>10030080</v>
      </c>
      <c r="E627" s="122" t="str">
        <f>VLOOKUP(D627,'MPG Payment '!$E$3:$G$497305,2,0)</f>
        <v>PAHALANPUR</v>
      </c>
      <c r="F627" s="146">
        <f>IFERROR(_xlfn.XLOOKUP(D627,'Monthly Deduction'!$I$3:$I$957,'Monthly Deduction'!$H$3:$H$957),0)</f>
        <v>0</v>
      </c>
      <c r="G627" s="123" t="str">
        <f>VLOOKUP(D627,'MPG Payment '!$E$3:$G$333666,3,0)</f>
        <v>MPG</v>
      </c>
      <c r="H627" s="124" t="str">
        <f>VLOOKUP(D627,'MPG Payment '!$E$3:$H$333666,4,0)</f>
        <v>Direct</v>
      </c>
      <c r="I627" s="88">
        <f>INDEX('MPG Payment '!$C:$C,MATCH('Shayak Income '!D627,'MPG Payment '!E:E,0))</f>
        <v>1003</v>
      </c>
      <c r="J627" s="88" t="str">
        <f>INDEX('MPG Payment '!$D:$D,MATCH('Shayak Income '!D627,'MPG Payment '!E:E,0))</f>
        <v>Asarganj</v>
      </c>
      <c r="K627" s="125" t="s">
        <v>1594</v>
      </c>
      <c r="L627" s="125">
        <v>45987</v>
      </c>
      <c r="M627" s="126">
        <f>SUMIF('MPG Payment '!$E$3:$E$344841,'Shayak Income '!D627,'MPG Payment '!$I$3:$I$344841)</f>
        <v>3757.3999999999996</v>
      </c>
      <c r="N627" s="126">
        <f>SUMIF('MPG Payment '!$E$3:$E$344841,'Shayak Income '!D627,'MPG Payment '!$J$3:$J$344841)</f>
        <v>154352.18</v>
      </c>
      <c r="O627" s="126">
        <f t="shared" si="171"/>
        <v>2818.0499999999997</v>
      </c>
      <c r="P627" s="126">
        <f t="shared" si="172"/>
        <v>3569.5299999999993</v>
      </c>
      <c r="Q627" s="126">
        <f>SUMIF('MPG Payment '!$E$3:$E$344841,'Shayak Income '!D627,'MPG Payment '!$S$3:$S$344841)</f>
        <v>0</v>
      </c>
      <c r="R627" s="126">
        <f t="shared" si="162"/>
        <v>4630.5653999999995</v>
      </c>
      <c r="S627" s="126">
        <f t="shared" si="163"/>
        <v>1061.0354000000002</v>
      </c>
      <c r="T627" s="126">
        <f t="shared" si="173"/>
        <v>375.74</v>
      </c>
      <c r="U627" s="127">
        <f>((((((IF(K627="New",0,SUMIF('MPG Payment '!$E$3:$E$344841,'Shayak Income '!D627,'MPG Payment '!$AC$3:$AC$344841))))+0)+0)+0)+0)+0</f>
        <v>0</v>
      </c>
      <c r="V627" s="127">
        <f t="shared" si="174"/>
        <v>6012</v>
      </c>
      <c r="W627" s="19">
        <f t="shared" si="175"/>
        <v>3087.0436</v>
      </c>
      <c r="X627" s="19">
        <v>0</v>
      </c>
      <c r="Y627" s="128">
        <f>IFERROR(VLOOKUP(D627,'Monthly Deduction'!$M$2:$N$640,2,0),0)</f>
        <v>0</v>
      </c>
      <c r="Z627" s="128">
        <v>0</v>
      </c>
      <c r="AA627" s="126">
        <f>IFERROR(VLOOKUP(D627,'Monthly Deduction'!A:B,2,0),0)</f>
        <v>0</v>
      </c>
      <c r="AB627" s="129">
        <f t="shared" si="165"/>
        <v>2925</v>
      </c>
      <c r="AC627" s="130">
        <f t="shared" si="182"/>
        <v>2925</v>
      </c>
      <c r="AD627" s="35">
        <f t="shared" si="176"/>
        <v>0</v>
      </c>
      <c r="AE627" s="166" t="str">
        <f t="shared" si="177"/>
        <v>Yes</v>
      </c>
      <c r="AF627" s="127"/>
      <c r="AG627" s="18">
        <v>0</v>
      </c>
      <c r="AH627" s="120" t="s">
        <v>1683</v>
      </c>
      <c r="AI627" s="238">
        <v>0</v>
      </c>
      <c r="AJ627" s="132"/>
      <c r="AK627" s="151">
        <v>779.35000000000014</v>
      </c>
      <c r="AL627" s="154">
        <f t="shared" si="166"/>
        <v>0</v>
      </c>
      <c r="AM627" s="155"/>
      <c r="AN627" s="19">
        <f t="shared" si="167"/>
        <v>3087.0436</v>
      </c>
      <c r="AO627" s="118">
        <f>SUMIF('MPG Payment '!E:E,'Shayak Income '!D627,'MPG Payment '!AJ:AJ)</f>
        <v>0</v>
      </c>
      <c r="AP627" s="19">
        <f t="shared" si="168"/>
        <v>3087.0436</v>
      </c>
      <c r="AQ627" s="119">
        <f t="shared" si="178"/>
        <v>3087.0436</v>
      </c>
      <c r="AR627" s="91" t="s">
        <v>1144</v>
      </c>
      <c r="AS627" s="91">
        <f t="shared" si="169"/>
        <v>0</v>
      </c>
      <c r="AT627" s="118"/>
      <c r="AU627" s="118"/>
      <c r="AV627" s="118"/>
    </row>
    <row r="628" spans="1:48" s="20" customFormat="1" x14ac:dyDescent="0.25">
      <c r="A628" s="17">
        <f>IFERROR(VLOOKUP(D628,'Monthly Deduction'!$I$3:$J$957,2,0),0)</f>
        <v>93474</v>
      </c>
      <c r="B628" s="17">
        <f>IFERROR(VLOOKUP(D628,'Monthly Deduction'!$E$3:$F$957,2,0),0)</f>
        <v>6400</v>
      </c>
      <c r="C628" s="17">
        <f t="shared" si="170"/>
        <v>99874</v>
      </c>
      <c r="D628" s="41">
        <v>10120113</v>
      </c>
      <c r="E628" s="122" t="str">
        <f>VLOOKUP(D628,'MPG Payment '!$E$3:$G$497305,2,0)</f>
        <v>GOMUKH BIBHUTIPUR</v>
      </c>
      <c r="F628" s="146">
        <f>IFERROR(_xlfn.XLOOKUP(D628,'Monthly Deduction'!$I$3:$I$957,'Monthly Deduction'!$H$3:$H$957),0)</f>
        <v>0</v>
      </c>
      <c r="G628" s="123" t="str">
        <f>VLOOKUP(D628,'MPG Payment '!$E$3:$G$333666,3,0)</f>
        <v>MPG</v>
      </c>
      <c r="H628" s="124" t="str">
        <f>VLOOKUP(D628,'MPG Payment '!$E$3:$H$333666,4,0)</f>
        <v>Direct</v>
      </c>
      <c r="I628" s="88">
        <f>INDEX('MPG Payment '!$C:$C,MATCH('Shayak Income '!D628,'MPG Payment '!E:E,0))</f>
        <v>1012</v>
      </c>
      <c r="J628" s="88" t="str">
        <f>INDEX('MPG Payment '!$D:$D,MATCH('Shayak Income '!D628,'MPG Payment '!E:E,0))</f>
        <v>DalsinghSarai</v>
      </c>
      <c r="K628" s="125" t="s">
        <v>1594</v>
      </c>
      <c r="L628" s="125">
        <v>45986</v>
      </c>
      <c r="M628" s="126">
        <f>SUMIF('MPG Payment '!$E$3:$E$344841,'Shayak Income '!D628,'MPG Payment '!$I$3:$I$344841)</f>
        <v>361.63000000000005</v>
      </c>
      <c r="N628" s="126">
        <f>SUMIF('MPG Payment '!$E$3:$E$344841,'Shayak Income '!D628,'MPG Payment '!$J$3:$J$344841)</f>
        <v>14091.04</v>
      </c>
      <c r="O628" s="126">
        <f t="shared" si="171"/>
        <v>271.22250000000003</v>
      </c>
      <c r="P628" s="126">
        <f t="shared" si="172"/>
        <v>343.54850000000005</v>
      </c>
      <c r="Q628" s="126">
        <f>SUMIF('MPG Payment '!$E$3:$E$344841,'Shayak Income '!D628,'MPG Payment '!$S$3:$S$344841)</f>
        <v>0</v>
      </c>
      <c r="R628" s="126">
        <f t="shared" si="162"/>
        <v>422.7312</v>
      </c>
      <c r="S628" s="126">
        <f t="shared" si="163"/>
        <v>79.182699999999954</v>
      </c>
      <c r="T628" s="126">
        <f t="shared" si="173"/>
        <v>36.163000000000004</v>
      </c>
      <c r="U628" s="127">
        <f>((((((IF(K628="New",0,SUMIF('MPG Payment '!$E$3:$E$344841,'Shayak Income '!D628,'MPG Payment '!$AC$3:$AC$344841))))+0)+0)+0)+0)+-1322</f>
        <v>578.76382634942638</v>
      </c>
      <c r="V628" s="127">
        <f t="shared" si="174"/>
        <v>0</v>
      </c>
      <c r="W628" s="19">
        <v>0</v>
      </c>
      <c r="X628" s="19">
        <v>0</v>
      </c>
      <c r="Y628" s="128">
        <v>0</v>
      </c>
      <c r="Z628" s="128">
        <v>0</v>
      </c>
      <c r="AA628" s="126">
        <v>0</v>
      </c>
      <c r="AB628" s="129">
        <f t="shared" si="165"/>
        <v>0</v>
      </c>
      <c r="AC628" s="130">
        <f t="shared" si="182"/>
        <v>0</v>
      </c>
      <c r="AD628" s="35">
        <f t="shared" si="176"/>
        <v>0</v>
      </c>
      <c r="AE628" s="166" t="str">
        <f t="shared" si="177"/>
        <v>Release</v>
      </c>
      <c r="AF628" s="127"/>
      <c r="AG628" s="18">
        <v>0</v>
      </c>
      <c r="AH628" s="120" t="s">
        <v>1685</v>
      </c>
      <c r="AI628" s="238">
        <v>7922</v>
      </c>
      <c r="AJ628" s="132"/>
      <c r="AK628" s="151">
        <v>77.179999999999993</v>
      </c>
      <c r="AL628" s="154">
        <f t="shared" si="166"/>
        <v>0</v>
      </c>
      <c r="AM628" s="155"/>
      <c r="AN628" s="19">
        <f t="shared" si="167"/>
        <v>1861</v>
      </c>
      <c r="AO628" s="118">
        <f>SUMIF('MPG Payment '!E:E,'Shayak Income '!D628,'MPG Payment '!AJ:AJ)</f>
        <v>1948</v>
      </c>
      <c r="AP628" s="19">
        <f t="shared" si="168"/>
        <v>0</v>
      </c>
      <c r="AQ628" s="119">
        <f t="shared" si="178"/>
        <v>1948</v>
      </c>
      <c r="AR628" s="91"/>
      <c r="AS628" s="91">
        <f t="shared" si="169"/>
        <v>6400</v>
      </c>
      <c r="AT628" s="118"/>
      <c r="AU628" s="118"/>
      <c r="AV628" s="118"/>
    </row>
    <row r="629" spans="1:48" s="20" customFormat="1" x14ac:dyDescent="0.25">
      <c r="A629" s="17">
        <f>IFERROR(VLOOKUP(D629,'Monthly Deduction'!$I$3:$J$957,2,0),0)</f>
        <v>55354.480172400348</v>
      </c>
      <c r="B629" s="17">
        <f>IFERROR(VLOOKUP(D629,'Monthly Deduction'!$E$3:$F$957,2,0),0)</f>
        <v>19200</v>
      </c>
      <c r="C629" s="17">
        <f t="shared" si="170"/>
        <v>74554.480172400348</v>
      </c>
      <c r="D629" s="41">
        <v>10530084</v>
      </c>
      <c r="E629" s="122" t="str">
        <f>VLOOKUP(D629,'MPG Payment '!$E$3:$G$497305,2,0)</f>
        <v>GOMUKH JITWARIYA W-6</v>
      </c>
      <c r="F629" s="146">
        <f>IFERROR(_xlfn.XLOOKUP(D629,'Monthly Deduction'!$I$3:$I$957,'Monthly Deduction'!$H$3:$H$957),0)</f>
        <v>0</v>
      </c>
      <c r="G629" s="123" t="str">
        <f>VLOOKUP(D629,'MPG Payment '!$E$3:$G$333666,3,0)</f>
        <v>MPG</v>
      </c>
      <c r="H629" s="124" t="str">
        <f>VLOOKUP(D629,'MPG Payment '!$E$3:$H$333666,4,0)</f>
        <v>Direct</v>
      </c>
      <c r="I629" s="88">
        <f>INDEX('MPG Payment '!$C:$C,MATCH('Shayak Income '!D629,'MPG Payment '!E:E,0))</f>
        <v>1053</v>
      </c>
      <c r="J629" s="88" t="str">
        <f>INDEX('MPG Payment '!$D:$D,MATCH('Shayak Income '!D629,'MPG Payment '!E:E,0))</f>
        <v>Kalyanpur</v>
      </c>
      <c r="K629" s="125" t="s">
        <v>1594</v>
      </c>
      <c r="L629" s="125">
        <v>45982</v>
      </c>
      <c r="M629" s="126">
        <f>SUMIF('MPG Payment '!$E$3:$E$344841,'Shayak Income '!D629,'MPG Payment '!$I$3:$I$344841)</f>
        <v>9382.6999999999989</v>
      </c>
      <c r="N629" s="126">
        <f>SUMIF('MPG Payment '!$E$3:$E$344841,'Shayak Income '!D629,'MPG Payment '!$J$3:$J$344841)</f>
        <v>381074.42</v>
      </c>
      <c r="O629" s="126">
        <f t="shared" si="171"/>
        <v>7037.0249999999996</v>
      </c>
      <c r="P629" s="126">
        <f t="shared" si="172"/>
        <v>8913.5649999999987</v>
      </c>
      <c r="Q629" s="126">
        <f>SUMIF('MPG Payment '!$E$3:$E$344841,'Shayak Income '!D629,'MPG Payment '!$S$3:$S$344841)</f>
        <v>3970.86</v>
      </c>
      <c r="R629" s="126">
        <f t="shared" si="162"/>
        <v>11432.232599999999</v>
      </c>
      <c r="S629" s="126">
        <f t="shared" si="163"/>
        <v>2518.6676000000007</v>
      </c>
      <c r="T629" s="126">
        <f t="shared" si="173"/>
        <v>938.27</v>
      </c>
      <c r="U629" s="127">
        <f>((((((IF(K629="New",0,SUMIF('MPG Payment '!$E$3:$E$344841,'Shayak Income '!D629,'MPG Payment '!$AC$3:$AC$344841))))+0)+0)+0)+0)+0</f>
        <v>0</v>
      </c>
      <c r="V629" s="127">
        <f t="shared" si="174"/>
        <v>18983</v>
      </c>
      <c r="W629" s="19">
        <f t="shared" si="175"/>
        <v>7621.4884000000002</v>
      </c>
      <c r="X629" s="19">
        <v>0</v>
      </c>
      <c r="Y629" s="128">
        <f>IFERROR(VLOOKUP(D629,'Monthly Deduction'!$M$2:$N$640,2,0),0)</f>
        <v>0</v>
      </c>
      <c r="Z629" s="128">
        <v>0</v>
      </c>
      <c r="AA629" s="126">
        <f>IFERROR(VLOOKUP(D629,'Monthly Deduction'!A:B,2,0),0)</f>
        <v>404.6154308015611</v>
      </c>
      <c r="AB629" s="129">
        <f t="shared" si="165"/>
        <v>10957</v>
      </c>
      <c r="AC629" s="130">
        <v>0</v>
      </c>
      <c r="AD629" s="35">
        <f t="shared" si="176"/>
        <v>10957</v>
      </c>
      <c r="AE629" s="166" t="str">
        <f t="shared" si="177"/>
        <v>Release</v>
      </c>
      <c r="AF629" s="127"/>
      <c r="AG629" s="18">
        <v>0</v>
      </c>
      <c r="AH629" s="120"/>
      <c r="AI629" s="238">
        <v>0</v>
      </c>
      <c r="AJ629" s="132"/>
      <c r="AK629" s="151">
        <v>2330.15</v>
      </c>
      <c r="AL629" s="154">
        <f t="shared" si="166"/>
        <v>0</v>
      </c>
      <c r="AM629" s="155"/>
      <c r="AN629" s="19">
        <f t="shared" si="167"/>
        <v>7621.4884000000002</v>
      </c>
      <c r="AO629" s="118">
        <f>SUMIF('MPG Payment '!E:E,'Shayak Income '!D629,'MPG Payment '!AJ:AJ)</f>
        <v>0</v>
      </c>
      <c r="AP629" s="19">
        <f t="shared" si="168"/>
        <v>7621.4884000000002</v>
      </c>
      <c r="AQ629" s="119">
        <f t="shared" si="178"/>
        <v>7621.4884000000002</v>
      </c>
      <c r="AR629" s="91"/>
      <c r="AS629" s="91">
        <f t="shared" si="169"/>
        <v>19200</v>
      </c>
      <c r="AT629" s="118"/>
      <c r="AU629" s="118"/>
      <c r="AV629" s="118"/>
    </row>
    <row r="630" spans="1:48" s="20" customFormat="1" x14ac:dyDescent="0.25">
      <c r="A630" s="17">
        <f>IFERROR(VLOOKUP(D630,'Monthly Deduction'!$I$3:$J$957,2,0),0)</f>
        <v>57756.290361264648</v>
      </c>
      <c r="B630" s="17">
        <f>IFERROR(VLOOKUP(D630,'Monthly Deduction'!$E$3:$F$957,2,0),0)</f>
        <v>6400</v>
      </c>
      <c r="C630" s="17">
        <f t="shared" si="170"/>
        <v>64156.290361264648</v>
      </c>
      <c r="D630" s="41">
        <v>10030068</v>
      </c>
      <c r="E630" s="122" t="str">
        <f>VLOOKUP(D630,'MPG Payment '!$E$3:$G$497305,2,0)</f>
        <v>DORAI</v>
      </c>
      <c r="F630" s="146">
        <f>IFERROR(_xlfn.XLOOKUP(D630,'Monthly Deduction'!$I$3:$I$957,'Monthly Deduction'!$H$3:$H$957),0)</f>
        <v>0</v>
      </c>
      <c r="G630" s="123" t="str">
        <f>VLOOKUP(D630,'MPG Payment '!$E$3:$G$333666,3,0)</f>
        <v>MPG</v>
      </c>
      <c r="H630" s="124" t="str">
        <f>VLOOKUP(D630,'MPG Payment '!$E$3:$H$333666,4,0)</f>
        <v>Direct</v>
      </c>
      <c r="I630" s="88">
        <f>INDEX('MPG Payment '!$C:$C,MATCH('Shayak Income '!D630,'MPG Payment '!E:E,0))</f>
        <v>1003</v>
      </c>
      <c r="J630" s="88" t="str">
        <f>INDEX('MPG Payment '!$D:$D,MATCH('Shayak Income '!D630,'MPG Payment '!E:E,0))</f>
        <v>Asarganj</v>
      </c>
      <c r="K630" s="125" t="s">
        <v>1594</v>
      </c>
      <c r="L630" s="125">
        <v>45654</v>
      </c>
      <c r="M630" s="126">
        <f>SUMIF('MPG Payment '!$E$3:$E$344841,'Shayak Income '!D630,'MPG Payment '!$I$3:$I$344841)</f>
        <v>3766.65</v>
      </c>
      <c r="N630" s="126">
        <f>SUMIF('MPG Payment '!$E$3:$E$344841,'Shayak Income '!D630,'MPG Payment '!$J$3:$J$344841)</f>
        <v>136938.18</v>
      </c>
      <c r="O630" s="126">
        <f t="shared" si="171"/>
        <v>2824.9875000000002</v>
      </c>
      <c r="P630" s="126">
        <f t="shared" si="172"/>
        <v>3578.3175000000001</v>
      </c>
      <c r="Q630" s="126">
        <f>SUMIF('MPG Payment '!$E$3:$E$344841,'Shayak Income '!D630,'MPG Payment '!$S$3:$S$344841)</f>
        <v>7716.46</v>
      </c>
      <c r="R630" s="126">
        <f t="shared" si="162"/>
        <v>4108.1453999999994</v>
      </c>
      <c r="S630" s="126">
        <f t="shared" si="163"/>
        <v>529.82789999999932</v>
      </c>
      <c r="T630" s="126">
        <f t="shared" si="173"/>
        <v>376.66500000000002</v>
      </c>
      <c r="U630" s="127">
        <f>((((((IF(K630="New",0,SUMIF('MPG Payment '!$E$3:$E$344841,'Shayak Income '!D630,'MPG Payment '!$AC$3:$AC$344841))))+0)+0)+0)+0)+0</f>
        <v>32.404046808510643</v>
      </c>
      <c r="V630" s="127">
        <f t="shared" si="174"/>
        <v>13711</v>
      </c>
      <c r="W630" s="19">
        <f t="shared" si="175"/>
        <v>2738.7635999999998</v>
      </c>
      <c r="X630" s="19">
        <v>0</v>
      </c>
      <c r="Y630" s="128">
        <f>IFERROR(VLOOKUP(D630,'Monthly Deduction'!$M$2:$N$640,2,0),0)</f>
        <v>0</v>
      </c>
      <c r="Z630" s="128">
        <v>0</v>
      </c>
      <c r="AA630" s="126">
        <f>IFERROR(VLOOKUP(D630,'Monthly Deduction'!A:B,2,0),0)</f>
        <v>0</v>
      </c>
      <c r="AB630" s="129">
        <f t="shared" si="165"/>
        <v>10972</v>
      </c>
      <c r="AC630" s="130">
        <v>0</v>
      </c>
      <c r="AD630" s="35">
        <f t="shared" si="176"/>
        <v>10972</v>
      </c>
      <c r="AE630" s="166" t="str">
        <f t="shared" si="177"/>
        <v>Release</v>
      </c>
      <c r="AF630" s="127"/>
      <c r="AG630" s="127">
        <v>0</v>
      </c>
      <c r="AH630" s="120"/>
      <c r="AI630" s="238">
        <v>0</v>
      </c>
      <c r="AJ630" s="132"/>
      <c r="AK630" s="151">
        <v>600.6</v>
      </c>
      <c r="AL630" s="154">
        <f t="shared" si="166"/>
        <v>0</v>
      </c>
      <c r="AM630" s="155"/>
      <c r="AN630" s="19">
        <f t="shared" si="167"/>
        <v>2738.7635999999998</v>
      </c>
      <c r="AO630" s="118">
        <f>SUMIF('MPG Payment '!E:E,'Shayak Income '!D630,'MPG Payment '!AJ:AJ)</f>
        <v>0</v>
      </c>
      <c r="AP630" s="19">
        <f t="shared" si="168"/>
        <v>2738.7635999999998</v>
      </c>
      <c r="AQ630" s="119">
        <f t="shared" si="178"/>
        <v>2738.7635999999998</v>
      </c>
      <c r="AR630" s="91" t="s">
        <v>1144</v>
      </c>
      <c r="AS630" s="91">
        <f t="shared" si="169"/>
        <v>6400</v>
      </c>
      <c r="AT630" s="118"/>
      <c r="AU630" s="118"/>
      <c r="AV630" s="118"/>
    </row>
    <row r="631" spans="1:48" s="20" customFormat="1" x14ac:dyDescent="0.25">
      <c r="A631" s="17">
        <f>IFERROR(VLOOKUP(D631,'Monthly Deduction'!$I$3:$J$957,2,0),0)</f>
        <v>76123.215338036709</v>
      </c>
      <c r="B631" s="17">
        <f>IFERROR(VLOOKUP(D631,'Monthly Deduction'!$E$3:$F$957,2,0),0)</f>
        <v>9600</v>
      </c>
      <c r="C631" s="17">
        <f t="shared" si="170"/>
        <v>85723.215338036709</v>
      </c>
      <c r="D631" s="41">
        <v>10080115</v>
      </c>
      <c r="E631" s="122" t="str">
        <f>VLOOKUP(D631,'MPG Payment '!$E$3:$G$497305,2,0)</f>
        <v>Gaura</v>
      </c>
      <c r="F631" s="146">
        <f>IFERROR(_xlfn.XLOOKUP(D631,'Monthly Deduction'!$I$3:$I$957,'Monthly Deduction'!$H$3:$H$957),0)</f>
        <v>0</v>
      </c>
      <c r="G631" s="123" t="str">
        <f>VLOOKUP(D631,'MPG Payment '!$E$3:$G$333666,3,0)</f>
        <v>MPG</v>
      </c>
      <c r="H631" s="124" t="str">
        <f>VLOOKUP(D631,'MPG Payment '!$E$3:$H$333666,4,0)</f>
        <v>Direct</v>
      </c>
      <c r="I631" s="88">
        <f>INDEX('MPG Payment '!$C:$C,MATCH('Shayak Income '!D631,'MPG Payment '!E:E,0))</f>
        <v>1008</v>
      </c>
      <c r="J631" s="88" t="str">
        <f>INDEX('MPG Payment '!$D:$D,MATCH('Shayak Income '!D631,'MPG Payment '!E:E,0))</f>
        <v>Teghra</v>
      </c>
      <c r="K631" s="125" t="s">
        <v>1594</v>
      </c>
      <c r="L631" s="125">
        <v>45992</v>
      </c>
      <c r="M631" s="126">
        <f>SUMIF('MPG Payment '!$E$3:$E$344841,'Shayak Income '!D631,'MPG Payment '!$I$3:$I$344841)</f>
        <v>1128.3499999999999</v>
      </c>
      <c r="N631" s="126">
        <f>SUMIF('MPG Payment '!$E$3:$E$344841,'Shayak Income '!D631,'MPG Payment '!$J$3:$J$344841)</f>
        <v>42693.710000000006</v>
      </c>
      <c r="O631" s="126">
        <f t="shared" si="171"/>
        <v>846.26249999999993</v>
      </c>
      <c r="P631" s="126">
        <f t="shared" si="172"/>
        <v>1071.9324999999999</v>
      </c>
      <c r="Q631" s="126">
        <f>SUMIF('MPG Payment '!$E$3:$E$344841,'Shayak Income '!D631,'MPG Payment '!$S$3:$S$344841)</f>
        <v>0</v>
      </c>
      <c r="R631" s="126">
        <f t="shared" si="162"/>
        <v>1280.8113000000001</v>
      </c>
      <c r="S631" s="126">
        <f t="shared" si="163"/>
        <v>208.87880000000018</v>
      </c>
      <c r="T631" s="126">
        <f t="shared" si="173"/>
        <v>112.83499999999999</v>
      </c>
      <c r="U631" s="127">
        <f>((((((IF(K631="New",0,SUMIF('MPG Payment '!$E$3:$E$344841,'Shayak Income '!D631,'MPG Payment '!$AC$3:$AC$344841))))+0)+0)+0)+0)+0</f>
        <v>1269.4800448178867</v>
      </c>
      <c r="V631" s="127">
        <f t="shared" si="174"/>
        <v>536</v>
      </c>
      <c r="W631" s="19">
        <v>536</v>
      </c>
      <c r="X631" s="19">
        <v>0</v>
      </c>
      <c r="Y631" s="128">
        <f>IFERROR(VLOOKUP(D631,'Monthly Deduction'!$M$2:$N$640,2,0),0)</f>
        <v>0</v>
      </c>
      <c r="Z631" s="128">
        <v>0</v>
      </c>
      <c r="AA631" s="126">
        <f>IFERROR(VLOOKUP(D631,'Monthly Deduction'!A:B,2,0),0)</f>
        <v>0</v>
      </c>
      <c r="AB631" s="129">
        <f t="shared" si="165"/>
        <v>0</v>
      </c>
      <c r="AC631" s="130">
        <v>0</v>
      </c>
      <c r="AD631" s="35">
        <f t="shared" si="176"/>
        <v>0</v>
      </c>
      <c r="AE631" s="166" t="str">
        <f t="shared" si="177"/>
        <v>Release</v>
      </c>
      <c r="AF631" s="127"/>
      <c r="AG631" s="127">
        <v>0</v>
      </c>
      <c r="AH631" s="120"/>
      <c r="AI631" s="238">
        <v>0</v>
      </c>
      <c r="AJ631" s="132"/>
      <c r="AK631" s="151">
        <v>142.90000000000003</v>
      </c>
      <c r="AL631" s="154">
        <f t="shared" si="166"/>
        <v>0</v>
      </c>
      <c r="AM631" s="155"/>
      <c r="AN631" s="19">
        <f t="shared" si="167"/>
        <v>1861</v>
      </c>
      <c r="AO631" s="118">
        <f>SUMIF('MPG Payment '!E:E,'Shayak Income '!D631,'MPG Payment '!AJ:AJ)</f>
        <v>0</v>
      </c>
      <c r="AP631" s="19">
        <f t="shared" si="168"/>
        <v>536</v>
      </c>
      <c r="AQ631" s="119">
        <f t="shared" si="178"/>
        <v>536</v>
      </c>
      <c r="AR631" s="91"/>
      <c r="AS631" s="91">
        <f t="shared" si="169"/>
        <v>9600</v>
      </c>
      <c r="AT631" s="118"/>
      <c r="AU631" s="118"/>
      <c r="AV631" s="118"/>
    </row>
    <row r="632" spans="1:48" s="20" customFormat="1" x14ac:dyDescent="0.25">
      <c r="A632" s="17">
        <f>IFERROR(VLOOKUP(D632,'Monthly Deduction'!$I$3:$J$957,2,0),0)</f>
        <v>15365.754973523493</v>
      </c>
      <c r="B632" s="17">
        <f>IFERROR(VLOOKUP(D632,'Monthly Deduction'!$E$3:$F$957,2,0),0)</f>
        <v>6400</v>
      </c>
      <c r="C632" s="17">
        <f t="shared" si="170"/>
        <v>21765.754973523493</v>
      </c>
      <c r="D632" s="41">
        <v>10110032</v>
      </c>
      <c r="E632" s="122" t="str">
        <f>VLOOKUP(D632,'MPG Payment '!$E$3:$G$497305,2,0)</f>
        <v>Gomukh Kumar Chakki</v>
      </c>
      <c r="F632" s="146">
        <f>IFERROR(_xlfn.XLOOKUP(D632,'Monthly Deduction'!$I$3:$I$957,'Monthly Deduction'!$H$3:$H$957),0)</f>
        <v>0</v>
      </c>
      <c r="G632" s="123" t="str">
        <f>VLOOKUP(D632,'MPG Payment '!$E$3:$G$333666,3,0)</f>
        <v>MPG</v>
      </c>
      <c r="H632" s="124" t="str">
        <f>VLOOKUP(D632,'MPG Payment '!$E$3:$H$333666,4,0)</f>
        <v>Direct</v>
      </c>
      <c r="I632" s="88">
        <f>INDEX('MPG Payment '!$C:$C,MATCH('Shayak Income '!D632,'MPG Payment '!E:E,0))</f>
        <v>1011</v>
      </c>
      <c r="J632" s="88" t="str">
        <f>INDEX('MPG Payment '!$D:$D,MATCH('Shayak Income '!D632,'MPG Payment '!E:E,0))</f>
        <v>Sahibpur Kamal</v>
      </c>
      <c r="K632" s="125" t="s">
        <v>1594</v>
      </c>
      <c r="L632" s="125">
        <v>45012</v>
      </c>
      <c r="M632" s="126">
        <f>SUMIF('MPG Payment '!$E$3:$E$344841,'Shayak Income '!D632,'MPG Payment '!$I$3:$I$344841)</f>
        <v>345.2</v>
      </c>
      <c r="N632" s="126">
        <f>SUMIF('MPG Payment '!$E$3:$E$344841,'Shayak Income '!D632,'MPG Payment '!$J$3:$J$344841)</f>
        <v>13446.21</v>
      </c>
      <c r="O632" s="126">
        <f t="shared" si="171"/>
        <v>258.89999999999998</v>
      </c>
      <c r="P632" s="126">
        <f t="shared" si="172"/>
        <v>327.94</v>
      </c>
      <c r="Q632" s="126">
        <f>SUMIF('MPG Payment '!$E$3:$E$344841,'Shayak Income '!D632,'MPG Payment '!$S$3:$S$344841)</f>
        <v>82.340000000000018</v>
      </c>
      <c r="R632" s="126">
        <f t="shared" si="162"/>
        <v>403.38629999999995</v>
      </c>
      <c r="S632" s="126">
        <f t="shared" si="163"/>
        <v>75.446299999999951</v>
      </c>
      <c r="T632" s="126">
        <f t="shared" si="173"/>
        <v>34.520000000000003</v>
      </c>
      <c r="U632" s="127">
        <f>((((((IF(K632="New",0,SUMIF('MPG Payment '!$E$3:$E$344841,'Shayak Income '!D632,'MPG Payment '!$AC$3:$AC$344841))))+0)+0)+0)+0)+-1347</f>
        <v>634.71081145683547</v>
      </c>
      <c r="V632" s="127">
        <f t="shared" si="174"/>
        <v>0</v>
      </c>
      <c r="W632" s="19">
        <v>0</v>
      </c>
      <c r="X632" s="19">
        <v>0</v>
      </c>
      <c r="Y632" s="128">
        <v>0</v>
      </c>
      <c r="Z632" s="128">
        <v>0</v>
      </c>
      <c r="AA632" s="126">
        <v>0</v>
      </c>
      <c r="AB632" s="129">
        <f t="shared" si="165"/>
        <v>0</v>
      </c>
      <c r="AC632" s="130">
        <v>0</v>
      </c>
      <c r="AD632" s="35">
        <f t="shared" si="176"/>
        <v>0</v>
      </c>
      <c r="AE632" s="166" t="str">
        <f t="shared" si="177"/>
        <v>Release</v>
      </c>
      <c r="AF632" s="127"/>
      <c r="AG632" s="18">
        <v>0</v>
      </c>
      <c r="AH632" s="132"/>
      <c r="AI632" s="238">
        <v>0</v>
      </c>
      <c r="AJ632" s="132"/>
      <c r="AK632" s="151">
        <v>6.2</v>
      </c>
      <c r="AL632" s="154">
        <f t="shared" si="166"/>
        <v>0</v>
      </c>
      <c r="AM632" s="155"/>
      <c r="AN632" s="19">
        <f t="shared" si="167"/>
        <v>1861</v>
      </c>
      <c r="AO632" s="118">
        <f>SUMIF('MPG Payment '!E:E,'Shayak Income '!D632,'MPG Payment '!AJ:AJ)</f>
        <v>2000</v>
      </c>
      <c r="AP632" s="19">
        <f t="shared" si="168"/>
        <v>0</v>
      </c>
      <c r="AQ632" s="119">
        <f t="shared" si="178"/>
        <v>2000</v>
      </c>
      <c r="AR632" s="91" t="s">
        <v>1144</v>
      </c>
      <c r="AS632" s="91">
        <f t="shared" si="169"/>
        <v>6400</v>
      </c>
      <c r="AT632" s="118"/>
      <c r="AU632" s="118"/>
      <c r="AV632" s="118"/>
    </row>
    <row r="633" spans="1:48" s="20" customFormat="1" x14ac:dyDescent="0.25">
      <c r="A633" s="17">
        <f>IFERROR(VLOOKUP(D633,'Monthly Deduction'!$I$3:$J$957,2,0),0)</f>
        <v>15142.886751593658</v>
      </c>
      <c r="B633" s="17">
        <f>IFERROR(VLOOKUP(D633,'Monthly Deduction'!$E$3:$F$957,2,0),0)</f>
        <v>4822.3534</v>
      </c>
      <c r="C633" s="17">
        <f t="shared" si="170"/>
        <v>19965.240151593658</v>
      </c>
      <c r="D633" s="41">
        <v>10110049</v>
      </c>
      <c r="E633" s="122" t="str">
        <f>VLOOKUP(D633,'MPG Payment '!$E$3:$G$497305,2,0)</f>
        <v xml:space="preserve">Gomukh Kalyanpur                                                                                    </v>
      </c>
      <c r="F633" s="146">
        <f>IFERROR(_xlfn.XLOOKUP(D633,'Monthly Deduction'!$I$3:$I$957,'Monthly Deduction'!$H$3:$H$957),0)</f>
        <v>0</v>
      </c>
      <c r="G633" s="123" t="str">
        <f>VLOOKUP(D633,'MPG Payment '!$E$3:$G$333666,3,0)</f>
        <v>MPG</v>
      </c>
      <c r="H633" s="124" t="str">
        <f>VLOOKUP(D633,'MPG Payment '!$E$3:$H$333666,4,0)</f>
        <v>Direct</v>
      </c>
      <c r="I633" s="88">
        <f>INDEX('MPG Payment '!$C:$C,MATCH('Shayak Income '!D633,'MPG Payment '!E:E,0))</f>
        <v>1011</v>
      </c>
      <c r="J633" s="88" t="str">
        <f>INDEX('MPG Payment '!$D:$D,MATCH('Shayak Income '!D633,'MPG Payment '!E:E,0))</f>
        <v>Sahibpur Kamal</v>
      </c>
      <c r="K633" s="125" t="s">
        <v>1594</v>
      </c>
      <c r="L633" s="125">
        <v>45212</v>
      </c>
      <c r="M633" s="126">
        <f>SUMIF('MPG Payment '!$E$3:$E$344841,'Shayak Income '!D633,'MPG Payment '!$I$3:$I$344841)</f>
        <v>3050.1</v>
      </c>
      <c r="N633" s="126">
        <f>SUMIF('MPG Payment '!$E$3:$E$344841,'Shayak Income '!D633,'MPG Payment '!$J$3:$J$344841)</f>
        <v>118614.56</v>
      </c>
      <c r="O633" s="126">
        <f t="shared" si="171"/>
        <v>2287.5749999999998</v>
      </c>
      <c r="P633" s="126">
        <f t="shared" si="172"/>
        <v>2897.5949999999998</v>
      </c>
      <c r="Q633" s="126">
        <f>SUMIF('MPG Payment '!$E$3:$E$344841,'Shayak Income '!D633,'MPG Payment '!$S$3:$S$344841)</f>
        <v>539.96</v>
      </c>
      <c r="R633" s="126">
        <f t="shared" si="162"/>
        <v>3558.4367999999999</v>
      </c>
      <c r="S633" s="126">
        <f t="shared" si="163"/>
        <v>660.84180000000015</v>
      </c>
      <c r="T633" s="126">
        <f t="shared" si="173"/>
        <v>305.01</v>
      </c>
      <c r="U633" s="127">
        <f>((((((IF(K633="New",0,SUMIF('MPG Payment '!$E$3:$E$344841,'Shayak Income '!D633,'MPG Payment '!$AC$3:$AC$344841))))+0)+0)+0)+0)+0</f>
        <v>0</v>
      </c>
      <c r="V633" s="127">
        <f t="shared" si="174"/>
        <v>5420</v>
      </c>
      <c r="W633" s="19">
        <f t="shared" si="175"/>
        <v>2372.2912000000001</v>
      </c>
      <c r="X633" s="19">
        <v>0</v>
      </c>
      <c r="Y633" s="128">
        <f>IFERROR(VLOOKUP(D633,'Monthly Deduction'!$M$2:$N$640,2,0),0)</f>
        <v>0</v>
      </c>
      <c r="Z633" s="128">
        <v>0</v>
      </c>
      <c r="AA633" s="126">
        <f>IFERROR(VLOOKUP(D633,'Monthly Deduction'!A:B,2,0),0)</f>
        <v>0</v>
      </c>
      <c r="AB633" s="129">
        <f t="shared" si="165"/>
        <v>3048</v>
      </c>
      <c r="AC633" s="130">
        <v>0</v>
      </c>
      <c r="AD633" s="35">
        <f t="shared" si="176"/>
        <v>3048</v>
      </c>
      <c r="AE633" s="166" t="str">
        <f t="shared" si="177"/>
        <v>Release</v>
      </c>
      <c r="AF633" s="127"/>
      <c r="AG633" s="18">
        <v>0</v>
      </c>
      <c r="AH633" s="132"/>
      <c r="AI633" s="238">
        <v>0</v>
      </c>
      <c r="AJ633" s="132"/>
      <c r="AK633" s="151">
        <v>671.8</v>
      </c>
      <c r="AL633" s="154">
        <f t="shared" si="166"/>
        <v>0</v>
      </c>
      <c r="AM633" s="155"/>
      <c r="AN633" s="19">
        <f t="shared" si="167"/>
        <v>2372.2912000000001</v>
      </c>
      <c r="AO633" s="118">
        <f>SUMIF('MPG Payment '!E:E,'Shayak Income '!D633,'MPG Payment '!AJ:AJ)</f>
        <v>0</v>
      </c>
      <c r="AP633" s="19">
        <f t="shared" si="168"/>
        <v>2372.2912000000001</v>
      </c>
      <c r="AQ633" s="119">
        <f t="shared" si="178"/>
        <v>2372.2912000000001</v>
      </c>
      <c r="AR633" s="91" t="s">
        <v>1144</v>
      </c>
      <c r="AS633" s="91">
        <f t="shared" si="169"/>
        <v>4822.3534</v>
      </c>
      <c r="AT633" s="118"/>
      <c r="AU633" s="118"/>
      <c r="AV633" s="118"/>
    </row>
    <row r="634" spans="1:48" s="20" customFormat="1" x14ac:dyDescent="0.25">
      <c r="A634" s="17">
        <f>IFERROR(VLOOKUP(D634,'Monthly Deduction'!$I$3:$J$957,2,0),0)</f>
        <v>59081</v>
      </c>
      <c r="B634" s="17">
        <f>IFERROR(VLOOKUP(D634,'Monthly Deduction'!$E$3:$F$957,2,0),0)</f>
        <v>6400</v>
      </c>
      <c r="C634" s="17">
        <f t="shared" si="170"/>
        <v>65481</v>
      </c>
      <c r="D634" s="41">
        <v>10110172</v>
      </c>
      <c r="E634" s="122" t="str">
        <f>VLOOKUP(D634,'MPG Payment '!$E$3:$G$497305,2,0)</f>
        <v>Dandari-2</v>
      </c>
      <c r="F634" s="146">
        <f>IFERROR(_xlfn.XLOOKUP(D634,'Monthly Deduction'!$I$3:$I$957,'Monthly Deduction'!$H$3:$H$957),0)</f>
        <v>0</v>
      </c>
      <c r="G634" s="123" t="str">
        <f>VLOOKUP(D634,'MPG Payment '!$E$3:$G$333666,3,0)</f>
        <v>MPG</v>
      </c>
      <c r="H634" s="124" t="str">
        <f>VLOOKUP(D634,'MPG Payment '!$E$3:$H$333666,4,0)</f>
        <v>Direct</v>
      </c>
      <c r="I634" s="88">
        <f>INDEX('MPG Payment '!$C:$C,MATCH('Shayak Income '!D634,'MPG Payment '!E:E,0))</f>
        <v>1011</v>
      </c>
      <c r="J634" s="88" t="str">
        <f>INDEX('MPG Payment '!$D:$D,MATCH('Shayak Income '!D634,'MPG Payment '!E:E,0))</f>
        <v>Sahibpur Kamal</v>
      </c>
      <c r="K634" s="125" t="s">
        <v>1594</v>
      </c>
      <c r="L634" s="125">
        <v>45991</v>
      </c>
      <c r="M634" s="126">
        <f>SUMIF('MPG Payment '!$E$3:$E$344841,'Shayak Income '!D634,'MPG Payment '!$I$3:$I$344841)</f>
        <v>970.90000000000009</v>
      </c>
      <c r="N634" s="126">
        <f>SUMIF('MPG Payment '!$E$3:$E$344841,'Shayak Income '!D634,'MPG Payment '!$J$3:$J$344841)</f>
        <v>37233.839999999997</v>
      </c>
      <c r="O634" s="126">
        <f t="shared" si="171"/>
        <v>728.17500000000007</v>
      </c>
      <c r="P634" s="126">
        <f t="shared" si="172"/>
        <v>922.35500000000002</v>
      </c>
      <c r="Q634" s="126">
        <f>SUMIF('MPG Payment '!$E$3:$E$344841,'Shayak Income '!D634,'MPG Payment '!$S$3:$S$344841)</f>
        <v>0</v>
      </c>
      <c r="R634" s="126">
        <f t="shared" si="162"/>
        <v>1117.0151999999998</v>
      </c>
      <c r="S634" s="126">
        <f t="shared" si="163"/>
        <v>194.6601999999998</v>
      </c>
      <c r="T634" s="126">
        <f t="shared" si="173"/>
        <v>97.090000000000018</v>
      </c>
      <c r="U634" s="127">
        <f>((((((IF(K634="New",0,SUMIF('MPG Payment '!$E$3:$E$344841,'Shayak Income '!D634,'MPG Payment '!$AC$3:$AC$344841))))+0)+0)+0)+0)+0</f>
        <v>1402.5687973323288</v>
      </c>
      <c r="V634" s="127">
        <f t="shared" si="174"/>
        <v>151</v>
      </c>
      <c r="W634" s="19">
        <v>151</v>
      </c>
      <c r="X634" s="19">
        <v>0</v>
      </c>
      <c r="Y634" s="128">
        <f>IFERROR(VLOOKUP(D634,'Monthly Deduction'!$M$2:$N$640,2,0),0)</f>
        <v>0</v>
      </c>
      <c r="Z634" s="128">
        <v>0</v>
      </c>
      <c r="AA634" s="126">
        <f>IFERROR(VLOOKUP(D634,'Monthly Deduction'!A:B,2,0),0)</f>
        <v>0</v>
      </c>
      <c r="AB634" s="129">
        <f t="shared" si="165"/>
        <v>0</v>
      </c>
      <c r="AC634" s="130">
        <v>0</v>
      </c>
      <c r="AD634" s="35">
        <f t="shared" si="176"/>
        <v>0</v>
      </c>
      <c r="AE634" s="166" t="str">
        <f t="shared" si="177"/>
        <v>Release</v>
      </c>
      <c r="AF634" s="127"/>
      <c r="AG634" s="127">
        <v>0</v>
      </c>
      <c r="AH634" s="132"/>
      <c r="AI634" s="238">
        <v>0</v>
      </c>
      <c r="AJ634" s="132"/>
      <c r="AK634" s="151">
        <v>309.20000000000005</v>
      </c>
      <c r="AL634" s="154">
        <f t="shared" si="166"/>
        <v>0</v>
      </c>
      <c r="AM634" s="155"/>
      <c r="AN634" s="19">
        <f t="shared" si="167"/>
        <v>1861</v>
      </c>
      <c r="AO634" s="118">
        <f>SUMIF('MPG Payment '!E:E,'Shayak Income '!D634,'MPG Payment '!AJ:AJ)</f>
        <v>0</v>
      </c>
      <c r="AP634" s="19">
        <f t="shared" si="168"/>
        <v>151</v>
      </c>
      <c r="AQ634" s="119">
        <f t="shared" si="178"/>
        <v>151</v>
      </c>
      <c r="AR634" s="91"/>
      <c r="AS634" s="91">
        <f t="shared" si="169"/>
        <v>6400</v>
      </c>
      <c r="AT634" s="118"/>
      <c r="AU634" s="118"/>
      <c r="AV634" s="118"/>
    </row>
    <row r="635" spans="1:48" s="20" customFormat="1" x14ac:dyDescent="0.25">
      <c r="A635" s="17">
        <f>IFERROR(VLOOKUP(D635,'Monthly Deduction'!$I$3:$J$957,2,0),0)</f>
        <v>39320.72342178633</v>
      </c>
      <c r="B635" s="17">
        <f>IFERROR(VLOOKUP(D635,'Monthly Deduction'!$E$3:$F$957,2,0),0)</f>
        <v>35200</v>
      </c>
      <c r="C635" s="17">
        <f t="shared" si="170"/>
        <v>74520.72342178633</v>
      </c>
      <c r="D635" s="41">
        <v>10120116</v>
      </c>
      <c r="E635" s="122" t="str">
        <f>VLOOKUP(D635,'MPG Payment '!$E$3:$G$497305,2,0)</f>
        <v>GOMUKH DADHIYA RAMKRISHANPUR</v>
      </c>
      <c r="F635" s="146">
        <f>IFERROR(_xlfn.XLOOKUP(D635,'Monthly Deduction'!$I$3:$I$957,'Monthly Deduction'!$H$3:$H$957),0)</f>
        <v>0</v>
      </c>
      <c r="G635" s="123" t="str">
        <f>VLOOKUP(D635,'MPG Payment '!$E$3:$G$333666,3,0)</f>
        <v>MPG</v>
      </c>
      <c r="H635" s="124" t="str">
        <f>VLOOKUP(D635,'MPG Payment '!$E$3:$H$333666,4,0)</f>
        <v>Direct</v>
      </c>
      <c r="I635" s="88">
        <f>INDEX('MPG Payment '!$C:$C,MATCH('Shayak Income '!D635,'MPG Payment '!E:E,0))</f>
        <v>1012</v>
      </c>
      <c r="J635" s="88" t="str">
        <f>INDEX('MPG Payment '!$D:$D,MATCH('Shayak Income '!D635,'MPG Payment '!E:E,0))</f>
        <v>DalsinghSarai</v>
      </c>
      <c r="K635" s="125" t="s">
        <v>1594</v>
      </c>
      <c r="L635" s="125">
        <v>45992</v>
      </c>
      <c r="M635" s="126">
        <f>SUMIF('MPG Payment '!$E$3:$E$344841,'Shayak Income '!D635,'MPG Payment '!$I$3:$I$344841)</f>
        <v>5555.97</v>
      </c>
      <c r="N635" s="126">
        <f>SUMIF('MPG Payment '!$E$3:$E$344841,'Shayak Income '!D635,'MPG Payment '!$J$3:$J$344841)</f>
        <v>241541.90999999997</v>
      </c>
      <c r="O635" s="126">
        <f t="shared" si="171"/>
        <v>4166.9775</v>
      </c>
      <c r="P635" s="126">
        <f t="shared" si="172"/>
        <v>5278.1715000000004</v>
      </c>
      <c r="Q635" s="126">
        <f>SUMIF('MPG Payment '!$E$3:$E$344841,'Shayak Income '!D635,'MPG Payment '!$S$3:$S$344841)</f>
        <v>7799.5300000000007</v>
      </c>
      <c r="R635" s="126">
        <f t="shared" si="162"/>
        <v>7246.2572999999993</v>
      </c>
      <c r="S635" s="126">
        <f t="shared" si="163"/>
        <v>1968.0857999999989</v>
      </c>
      <c r="T635" s="126">
        <f t="shared" si="173"/>
        <v>555.59700000000009</v>
      </c>
      <c r="U635" s="127">
        <f>((((((IF(K635="New",0,SUMIF('MPG Payment '!$E$3:$E$344841,'Shayak Income '!D635,'MPG Payment '!$AC$3:$AC$344841))))+0)+0)+0)+0)+0</f>
        <v>0</v>
      </c>
      <c r="V635" s="127">
        <f t="shared" si="174"/>
        <v>16689</v>
      </c>
      <c r="W635" s="19">
        <f t="shared" si="175"/>
        <v>4830.8381999999992</v>
      </c>
      <c r="X635" s="19">
        <v>0</v>
      </c>
      <c r="Y635" s="128">
        <f>IFERROR(VLOOKUP(D635,'Monthly Deduction'!$M$2:$N$640,2,0),0)</f>
        <v>0</v>
      </c>
      <c r="Z635" s="128">
        <v>0</v>
      </c>
      <c r="AA635" s="126">
        <f>IFERROR(VLOOKUP(D635,'Monthly Deduction'!A:B,2,0),0)</f>
        <v>549</v>
      </c>
      <c r="AB635" s="129">
        <f t="shared" si="165"/>
        <v>11309</v>
      </c>
      <c r="AC635" s="130">
        <v>0</v>
      </c>
      <c r="AD635" s="35">
        <f t="shared" si="176"/>
        <v>11309</v>
      </c>
      <c r="AE635" s="166" t="str">
        <f t="shared" si="177"/>
        <v>Release</v>
      </c>
      <c r="AF635" s="127"/>
      <c r="AG635" s="18">
        <v>0</v>
      </c>
      <c r="AH635" s="132"/>
      <c r="AI635" s="238">
        <v>0</v>
      </c>
      <c r="AJ635" s="132"/>
      <c r="AK635" s="151">
        <v>1319.1400000000003</v>
      </c>
      <c r="AL635" s="154">
        <f t="shared" si="166"/>
        <v>0</v>
      </c>
      <c r="AM635" s="155"/>
      <c r="AN635" s="19">
        <f t="shared" si="167"/>
        <v>4830.8381999999992</v>
      </c>
      <c r="AO635" s="118">
        <f>SUMIF('MPG Payment '!E:E,'Shayak Income '!D635,'MPG Payment '!AJ:AJ)</f>
        <v>0</v>
      </c>
      <c r="AP635" s="19">
        <f t="shared" si="168"/>
        <v>4830.8381999999992</v>
      </c>
      <c r="AQ635" s="119">
        <f t="shared" si="178"/>
        <v>4830.8381999999992</v>
      </c>
      <c r="AR635" s="91"/>
      <c r="AS635" s="91">
        <f t="shared" si="169"/>
        <v>35200</v>
      </c>
      <c r="AT635" s="118"/>
      <c r="AU635" s="118"/>
      <c r="AV635" s="118"/>
    </row>
    <row r="636" spans="1:48" s="20" customFormat="1" x14ac:dyDescent="0.25">
      <c r="A636" s="17">
        <f>IFERROR(VLOOKUP(D636,'Monthly Deduction'!$I$3:$J$957,2,0),0)</f>
        <v>0</v>
      </c>
      <c r="B636" s="17">
        <f>IFERROR(VLOOKUP(D636,'Monthly Deduction'!$E$3:$F$957,2,0),0)</f>
        <v>0</v>
      </c>
      <c r="C636" s="17">
        <f t="shared" si="170"/>
        <v>0</v>
      </c>
      <c r="D636" s="41">
        <v>10130081</v>
      </c>
      <c r="E636" s="122" t="str">
        <f>VLOOKUP(D636,'MPG Payment '!$E$3:$G$497305,2,0)</f>
        <v>Jitwarpur-Manisha</v>
      </c>
      <c r="F636" s="146">
        <f>IFERROR(_xlfn.XLOOKUP(D636,'Monthly Deduction'!$I$3:$I$957,'Monthly Deduction'!$H$3:$H$957),0)</f>
        <v>0</v>
      </c>
      <c r="G636" s="123" t="str">
        <f>VLOOKUP(D636,'MPG Payment '!$E$3:$G$333666,3,0)</f>
        <v>vlc</v>
      </c>
      <c r="H636" s="124" t="str">
        <f>VLOOKUP(D636,'MPG Payment '!$E$3:$H$333666,4,0)</f>
        <v>Indirect</v>
      </c>
      <c r="I636" s="88">
        <f>INDEX('MPG Payment '!$C:$C,MATCH('Shayak Income '!D636,'MPG Payment '!E:E,0))</f>
        <v>1013</v>
      </c>
      <c r="J636" s="88" t="str">
        <f>INDEX('MPG Payment '!$D:$D,MATCH('Shayak Income '!D636,'MPG Payment '!E:E,0))</f>
        <v>Musrigharari</v>
      </c>
      <c r="K636" s="125" t="s">
        <v>1594</v>
      </c>
      <c r="L636" s="125">
        <v>45630</v>
      </c>
      <c r="M636" s="126">
        <f>SUMIF('MPG Payment '!$E$3:$E$344841,'Shayak Income '!D636,'MPG Payment '!$I$3:$I$344841)</f>
        <v>380.90000000000003</v>
      </c>
      <c r="N636" s="126">
        <f>SUMIF('MPG Payment '!$E$3:$E$344841,'Shayak Income '!D636,'MPG Payment '!$J$3:$J$344841)</f>
        <v>13168.44</v>
      </c>
      <c r="O636" s="126">
        <f t="shared" si="171"/>
        <v>285.67500000000001</v>
      </c>
      <c r="P636" s="126">
        <f t="shared" si="172"/>
        <v>361.85500000000002</v>
      </c>
      <c r="Q636" s="126">
        <f>SUMIF('MPG Payment '!$E$3:$E$344841,'Shayak Income '!D636,'MPG Payment '!$S$3:$S$344841)</f>
        <v>0</v>
      </c>
      <c r="R636" s="126">
        <f t="shared" si="162"/>
        <v>395.0532</v>
      </c>
      <c r="S636" s="126">
        <f t="shared" si="163"/>
        <v>33.198199999999986</v>
      </c>
      <c r="T636" s="126">
        <f t="shared" si="173"/>
        <v>38.090000000000003</v>
      </c>
      <c r="U636" s="127">
        <f>((((((IF(K636="New",0,SUMIF('MPG Payment '!$E$3:$E$344841,'Shayak Income '!D636,'MPG Payment '!$AC$3:$AC$344841))))+0)+0)+0)+0)+-1115</f>
        <v>609.03088222740871</v>
      </c>
      <c r="V636" s="127">
        <f t="shared" si="174"/>
        <v>0</v>
      </c>
      <c r="W636" s="19">
        <v>0</v>
      </c>
      <c r="X636" s="19">
        <v>0</v>
      </c>
      <c r="Y636" s="128">
        <v>0</v>
      </c>
      <c r="Z636" s="128">
        <v>0</v>
      </c>
      <c r="AA636" s="126">
        <v>0</v>
      </c>
      <c r="AB636" s="129">
        <f t="shared" si="165"/>
        <v>0</v>
      </c>
      <c r="AC636" s="130">
        <v>0</v>
      </c>
      <c r="AD636" s="35">
        <f t="shared" si="176"/>
        <v>0</v>
      </c>
      <c r="AE636" s="166" t="str">
        <f t="shared" si="177"/>
        <v>Release</v>
      </c>
      <c r="AF636" s="127"/>
      <c r="AG636" s="18">
        <v>0</v>
      </c>
      <c r="AH636" s="120"/>
      <c r="AI636" s="238">
        <v>0</v>
      </c>
      <c r="AJ636" s="132"/>
      <c r="AK636" s="151">
        <v>59.900000000000006</v>
      </c>
      <c r="AL636" s="154">
        <f t="shared" si="166"/>
        <v>0</v>
      </c>
      <c r="AM636" s="155"/>
      <c r="AN636" s="19">
        <f t="shared" si="167"/>
        <v>0</v>
      </c>
      <c r="AO636" s="118">
        <f>SUMIF('MPG Payment '!E:E,'Shayak Income '!D636,'MPG Payment '!AJ:AJ)</f>
        <v>0</v>
      </c>
      <c r="AP636" s="19">
        <f t="shared" si="168"/>
        <v>0</v>
      </c>
      <c r="AQ636" s="119">
        <f t="shared" si="178"/>
        <v>0</v>
      </c>
      <c r="AR636" s="91" t="s">
        <v>1144</v>
      </c>
      <c r="AS636" s="91">
        <f t="shared" si="169"/>
        <v>0</v>
      </c>
      <c r="AT636" s="118"/>
      <c r="AU636" s="118"/>
      <c r="AV636" s="118"/>
    </row>
    <row r="637" spans="1:48" s="20" customFormat="1" x14ac:dyDescent="0.25">
      <c r="A637" s="17">
        <f>IFERROR(VLOOKUP(D637,'Monthly Deduction'!$I$3:$J$957,2,0),0)</f>
        <v>0</v>
      </c>
      <c r="B637" s="17">
        <f>IFERROR(VLOOKUP(D637,'Monthly Deduction'!$E$3:$F$957,2,0),0)</f>
        <v>0</v>
      </c>
      <c r="C637" s="17">
        <f t="shared" si="170"/>
        <v>0</v>
      </c>
      <c r="D637" s="41">
        <v>10130111</v>
      </c>
      <c r="E637" s="122" t="str">
        <f>VLOOKUP(D637,'MPG Payment '!$E$3:$G$497305,2,0)</f>
        <v>Gomukh Gangapur East</v>
      </c>
      <c r="F637" s="146">
        <f>IFERROR(_xlfn.XLOOKUP(D637,'Monthly Deduction'!$I$3:$I$957,'Monthly Deduction'!$H$3:$H$957),0)</f>
        <v>0</v>
      </c>
      <c r="G637" s="123" t="str">
        <f>VLOOKUP(D637,'MPG Payment '!$E$3:$G$333666,3,0)</f>
        <v>VLC</v>
      </c>
      <c r="H637" s="124" t="str">
        <f>VLOOKUP(D637,'MPG Payment '!$E$3:$H$333666,4,0)</f>
        <v>Indirect</v>
      </c>
      <c r="I637" s="88">
        <f>INDEX('MPG Payment '!$C:$C,MATCH('Shayak Income '!D637,'MPG Payment '!E:E,0))</f>
        <v>1013</v>
      </c>
      <c r="J637" s="88" t="str">
        <f>INDEX('MPG Payment '!$D:$D,MATCH('Shayak Income '!D637,'MPG Payment '!E:E,0))</f>
        <v>Musrigharari</v>
      </c>
      <c r="K637" s="125" t="s">
        <v>1594</v>
      </c>
      <c r="L637" s="125">
        <v>45942</v>
      </c>
      <c r="M637" s="126">
        <f>SUMIF('MPG Payment '!$E$3:$E$344841,'Shayak Income '!D637,'MPG Payment '!$I$3:$I$344841)</f>
        <v>1620.4</v>
      </c>
      <c r="N637" s="126">
        <f>SUMIF('MPG Payment '!$E$3:$E$344841,'Shayak Income '!D637,'MPG Payment '!$J$3:$J$344841)</f>
        <v>53497.65</v>
      </c>
      <c r="O637" s="126">
        <f t="shared" si="171"/>
        <v>1215.3000000000002</v>
      </c>
      <c r="P637" s="126">
        <f t="shared" si="172"/>
        <v>1539.38</v>
      </c>
      <c r="Q637" s="126">
        <f>SUMIF('MPG Payment '!$E$3:$E$344841,'Shayak Income '!D637,'MPG Payment '!$S$3:$S$344841)</f>
        <v>0</v>
      </c>
      <c r="R637" s="126">
        <f t="shared" si="162"/>
        <v>1604.9295</v>
      </c>
      <c r="S637" s="126">
        <f t="shared" si="163"/>
        <v>65.549499999999853</v>
      </c>
      <c r="T637" s="126">
        <f t="shared" si="173"/>
        <v>162.04000000000002</v>
      </c>
      <c r="U637" s="127">
        <f>((((((IF(K637="New",0,SUMIF('MPG Payment '!$E$3:$E$344841,'Shayak Income '!D637,'MPG Payment '!$AC$3:$AC$344841))))+0)+0)+0)+0)+0</f>
        <v>123.04</v>
      </c>
      <c r="V637" s="127">
        <f t="shared" si="174"/>
        <v>2470</v>
      </c>
      <c r="W637" s="19">
        <f t="shared" si="175"/>
        <v>0</v>
      </c>
      <c r="X637" s="19">
        <f t="shared" si="164"/>
        <v>0</v>
      </c>
      <c r="Y637" s="128">
        <f>IFERROR(VLOOKUP(D637,'Monthly Deduction'!$M$2:$N$640,2,0),0)</f>
        <v>0</v>
      </c>
      <c r="Z637" s="128">
        <v>0</v>
      </c>
      <c r="AA637" s="126">
        <f>IFERROR(VLOOKUP(D637,'Monthly Deduction'!A:B,2,0),0)</f>
        <v>0</v>
      </c>
      <c r="AB637" s="129">
        <f t="shared" si="165"/>
        <v>2470</v>
      </c>
      <c r="AC637" s="130">
        <f t="shared" ref="AC637:AC638" si="183">AB637</f>
        <v>2470</v>
      </c>
      <c r="AD637" s="35">
        <f t="shared" si="176"/>
        <v>0</v>
      </c>
      <c r="AE637" s="166" t="str">
        <f t="shared" si="177"/>
        <v>Yes</v>
      </c>
      <c r="AF637" s="127"/>
      <c r="AG637" s="127">
        <v>0</v>
      </c>
      <c r="AH637" s="132" t="s">
        <v>1597</v>
      </c>
      <c r="AI637" s="238">
        <v>0</v>
      </c>
      <c r="AJ637" s="132"/>
      <c r="AK637" s="151">
        <v>0</v>
      </c>
      <c r="AL637" s="154">
        <f t="shared" si="166"/>
        <v>0</v>
      </c>
      <c r="AM637" s="155"/>
      <c r="AN637" s="19">
        <f t="shared" si="167"/>
        <v>0</v>
      </c>
      <c r="AO637" s="118">
        <f>SUMIF('MPG Payment '!E:E,'Shayak Income '!D637,'MPG Payment '!AJ:AJ)</f>
        <v>0</v>
      </c>
      <c r="AP637" s="19">
        <f t="shared" si="168"/>
        <v>0</v>
      </c>
      <c r="AQ637" s="119">
        <f t="shared" si="178"/>
        <v>0</v>
      </c>
      <c r="AR637" s="91"/>
      <c r="AS637" s="91">
        <f t="shared" si="169"/>
        <v>0</v>
      </c>
      <c r="AT637" s="118"/>
      <c r="AU637" s="118"/>
      <c r="AV637" s="118"/>
    </row>
    <row r="638" spans="1:48" s="20" customFormat="1" x14ac:dyDescent="0.25">
      <c r="A638" s="17">
        <f>IFERROR(VLOOKUP(D638,'Monthly Deduction'!$I$3:$J$957,2,0),0)</f>
        <v>23139.532800000001</v>
      </c>
      <c r="B638" s="17">
        <f>IFERROR(VLOOKUP(D638,'Monthly Deduction'!$E$3:$F$957,2,0),0)</f>
        <v>9600</v>
      </c>
      <c r="C638" s="17">
        <f t="shared" si="170"/>
        <v>32739.532800000001</v>
      </c>
      <c r="D638" s="41">
        <v>10140020</v>
      </c>
      <c r="E638" s="122" t="str">
        <f>VLOOKUP(D638,'MPG Payment '!$E$3:$G$497305,2,0)</f>
        <v>RAJAPUR</v>
      </c>
      <c r="F638" s="146">
        <f>IFERROR(_xlfn.XLOOKUP(D638,'Monthly Deduction'!$I$3:$I$957,'Monthly Deduction'!$H$3:$H$957),0)</f>
        <v>0</v>
      </c>
      <c r="G638" s="123" t="str">
        <f>VLOOKUP(D638,'MPG Payment '!$E$3:$G$333666,3,0)</f>
        <v>MPG</v>
      </c>
      <c r="H638" s="124" t="str">
        <f>VLOOKUP(D638,'MPG Payment '!$E$3:$H$333666,4,0)</f>
        <v>Direct</v>
      </c>
      <c r="I638" s="88">
        <f>INDEX('MPG Payment '!$C:$C,MATCH('Shayak Income '!D638,'MPG Payment '!E:E,0))</f>
        <v>1014</v>
      </c>
      <c r="J638" s="88" t="str">
        <f>INDEX('MPG Payment '!$D:$D,MATCH('Shayak Income '!D638,'MPG Payment '!E:E,0))</f>
        <v>Dumraon</v>
      </c>
      <c r="K638" s="125" t="s">
        <v>1594</v>
      </c>
      <c r="L638" s="125">
        <v>44766</v>
      </c>
      <c r="M638" s="126">
        <f>SUMIF('MPG Payment '!$E$3:$E$344841,'Shayak Income '!D638,'MPG Payment '!$I$3:$I$344841)</f>
        <v>145.9</v>
      </c>
      <c r="N638" s="126">
        <f>SUMIF('MPG Payment '!$E$3:$E$344841,'Shayak Income '!D638,'MPG Payment '!$J$3:$J$344841)</f>
        <v>5334.0700000000006</v>
      </c>
      <c r="O638" s="126">
        <f t="shared" si="171"/>
        <v>109.42500000000001</v>
      </c>
      <c r="P638" s="126">
        <f t="shared" si="172"/>
        <v>138.60499999999999</v>
      </c>
      <c r="Q638" s="126">
        <f>SUMIF('MPG Payment '!$E$3:$E$344841,'Shayak Income '!D638,'MPG Payment '!$S$3:$S$344841)</f>
        <v>0</v>
      </c>
      <c r="R638" s="126">
        <f t="shared" si="162"/>
        <v>160.02210000000002</v>
      </c>
      <c r="S638" s="126">
        <f t="shared" si="163"/>
        <v>21.417100000000033</v>
      </c>
      <c r="T638" s="126">
        <f t="shared" si="173"/>
        <v>14.590000000000002</v>
      </c>
      <c r="U638" s="127">
        <f>((((((IF(K638="New",0,SUMIF('MPG Payment '!$E$3:$E$344841,'Shayak Income '!D638,'MPG Payment '!$AC$3:$AC$344841))))+0)+0)+0)+0)+-1188</f>
        <v>233.43368355641223</v>
      </c>
      <c r="V638" s="127">
        <f t="shared" si="174"/>
        <v>0</v>
      </c>
      <c r="W638" s="19">
        <v>0</v>
      </c>
      <c r="X638" s="19">
        <v>0</v>
      </c>
      <c r="Y638" s="128">
        <v>0</v>
      </c>
      <c r="Z638" s="128">
        <v>0</v>
      </c>
      <c r="AA638" s="126">
        <v>0</v>
      </c>
      <c r="AB638" s="129">
        <f t="shared" si="165"/>
        <v>0</v>
      </c>
      <c r="AC638" s="130">
        <f t="shared" si="183"/>
        <v>0</v>
      </c>
      <c r="AD638" s="35">
        <f t="shared" si="176"/>
        <v>0</v>
      </c>
      <c r="AE638" s="166" t="str">
        <f t="shared" si="177"/>
        <v>Release</v>
      </c>
      <c r="AF638" s="127"/>
      <c r="AG638" s="18">
        <v>0</v>
      </c>
      <c r="AH638" s="132" t="s">
        <v>1597</v>
      </c>
      <c r="AI638" s="238">
        <v>0</v>
      </c>
      <c r="AJ638" s="132"/>
      <c r="AK638" s="151">
        <v>0</v>
      </c>
      <c r="AL638" s="154">
        <f t="shared" si="166"/>
        <v>0</v>
      </c>
      <c r="AM638" s="155"/>
      <c r="AN638" s="19">
        <f t="shared" si="167"/>
        <v>1861</v>
      </c>
      <c r="AO638" s="118">
        <f>SUMIF('MPG Payment '!E:E,'Shayak Income '!D638,'MPG Payment '!AJ:AJ)</f>
        <v>1500</v>
      </c>
      <c r="AP638" s="19">
        <f t="shared" si="168"/>
        <v>0</v>
      </c>
      <c r="AQ638" s="119">
        <f t="shared" si="178"/>
        <v>1500</v>
      </c>
      <c r="AR638" s="91" t="s">
        <v>1144</v>
      </c>
      <c r="AS638" s="91">
        <f t="shared" si="169"/>
        <v>9600</v>
      </c>
      <c r="AT638" s="118"/>
      <c r="AU638" s="118"/>
      <c r="AV638" s="118"/>
    </row>
    <row r="639" spans="1:48" s="20" customFormat="1" x14ac:dyDescent="0.25">
      <c r="A639" s="17">
        <f>IFERROR(VLOOKUP(D639,'Monthly Deduction'!$I$3:$J$957,2,0),0)</f>
        <v>0</v>
      </c>
      <c r="B639" s="17">
        <f>IFERROR(VLOOKUP(D639,'Monthly Deduction'!$E$3:$F$957,2,0),0)</f>
        <v>0</v>
      </c>
      <c r="C639" s="17">
        <f t="shared" si="170"/>
        <v>0</v>
      </c>
      <c r="D639" s="41">
        <v>10430001</v>
      </c>
      <c r="E639" s="122" t="str">
        <f>VLOOKUP(D639,'MPG Payment '!$E$3:$G$497305,2,0)</f>
        <v>Gomukh Bariyarpur</v>
      </c>
      <c r="F639" s="146">
        <f>IFERROR(_xlfn.XLOOKUP(D639,'Monthly Deduction'!$I$3:$I$957,'Monthly Deduction'!$H$3:$H$957),0)</f>
        <v>0</v>
      </c>
      <c r="G639" s="123" t="str">
        <f>VLOOKUP(D639,'MPG Payment '!$E$3:$G$333666,3,0)</f>
        <v>MPG</v>
      </c>
      <c r="H639" s="124" t="str">
        <f>VLOOKUP(D639,'MPG Payment '!$E$3:$H$333666,4,0)</f>
        <v>Direct</v>
      </c>
      <c r="I639" s="88">
        <f>INDEX('MPG Payment '!$C:$C,MATCH('Shayak Income '!D639,'MPG Payment '!E:E,0))</f>
        <v>1011</v>
      </c>
      <c r="J639" s="88" t="str">
        <f>INDEX('MPG Payment '!$D:$D,MATCH('Shayak Income '!D639,'MPG Payment '!E:E,0))</f>
        <v>Sahibpur Kamal</v>
      </c>
      <c r="K639" s="125" t="s">
        <v>1594</v>
      </c>
      <c r="L639" s="125">
        <v>42979</v>
      </c>
      <c r="M639" s="126">
        <f>SUMIF('MPG Payment '!$E$3:$E$344841,'Shayak Income '!D639,'MPG Payment '!$I$3:$I$344841)</f>
        <v>2140.4</v>
      </c>
      <c r="N639" s="126">
        <f>SUMIF('MPG Payment '!$E$3:$E$344841,'Shayak Income '!D639,'MPG Payment '!$J$3:$J$344841)</f>
        <v>81461.639999999985</v>
      </c>
      <c r="O639" s="126">
        <f t="shared" si="171"/>
        <v>1605.3000000000002</v>
      </c>
      <c r="P639" s="126">
        <f t="shared" si="172"/>
        <v>2033.3799999999999</v>
      </c>
      <c r="Q639" s="126">
        <f>SUMIF('MPG Payment '!$E$3:$E$344841,'Shayak Income '!D639,'MPG Payment '!$S$3:$S$344841)</f>
        <v>0</v>
      </c>
      <c r="R639" s="126">
        <f t="shared" si="162"/>
        <v>2443.8491999999997</v>
      </c>
      <c r="S639" s="126">
        <f t="shared" si="163"/>
        <v>410.46919999999977</v>
      </c>
      <c r="T639" s="126">
        <f t="shared" si="173"/>
        <v>214.04000000000002</v>
      </c>
      <c r="U639" s="127">
        <f>((((((IF(K639="New",0,SUMIF('MPG Payment '!$E$3:$E$344841,'Shayak Income '!D639,'MPG Payment '!$AC$3:$AC$344841))))+0)+0)+0)+0)+0</f>
        <v>579.25858130187908</v>
      </c>
      <c r="V639" s="127">
        <f t="shared" si="174"/>
        <v>2845</v>
      </c>
      <c r="W639" s="19">
        <f t="shared" si="175"/>
        <v>0</v>
      </c>
      <c r="X639" s="19">
        <f t="shared" si="164"/>
        <v>0</v>
      </c>
      <c r="Y639" s="128">
        <f>IFERROR(VLOOKUP(D639,'Monthly Deduction'!$M$2:$N$640,2,0),0)</f>
        <v>0</v>
      </c>
      <c r="Z639" s="128">
        <v>0</v>
      </c>
      <c r="AA639" s="126">
        <f>IFERROR(VLOOKUP(D639,'Monthly Deduction'!A:B,2,0),0)</f>
        <v>0</v>
      </c>
      <c r="AB639" s="129">
        <f t="shared" si="165"/>
        <v>2845</v>
      </c>
      <c r="AC639" s="130">
        <v>0</v>
      </c>
      <c r="AD639" s="35">
        <f t="shared" si="176"/>
        <v>2845</v>
      </c>
      <c r="AE639" s="166" t="str">
        <f t="shared" si="177"/>
        <v>Release</v>
      </c>
      <c r="AF639" s="127"/>
      <c r="AG639" s="18">
        <v>0</v>
      </c>
      <c r="AH639" s="120"/>
      <c r="AI639" s="238">
        <v>0</v>
      </c>
      <c r="AJ639" s="132"/>
      <c r="AK639" s="151">
        <v>82.5</v>
      </c>
      <c r="AL639" s="154">
        <f t="shared" si="166"/>
        <v>0</v>
      </c>
      <c r="AM639" s="155"/>
      <c r="AN639" s="19">
        <f t="shared" si="167"/>
        <v>0</v>
      </c>
      <c r="AO639" s="118">
        <f>SUMIF('MPG Payment '!E:E,'Shayak Income '!D639,'MPG Payment '!AJ:AJ)</f>
        <v>0</v>
      </c>
      <c r="AP639" s="19">
        <f t="shared" si="168"/>
        <v>0</v>
      </c>
      <c r="AQ639" s="119">
        <f t="shared" si="178"/>
        <v>0</v>
      </c>
      <c r="AR639" s="91" t="s">
        <v>1144</v>
      </c>
      <c r="AS639" s="91">
        <f t="shared" si="169"/>
        <v>0</v>
      </c>
      <c r="AT639" s="118"/>
      <c r="AU639" s="118"/>
      <c r="AV639" s="118"/>
    </row>
    <row r="640" spans="1:48" s="20" customFormat="1" x14ac:dyDescent="0.25">
      <c r="A640" s="17">
        <f>IFERROR(VLOOKUP(D640,'Monthly Deduction'!$I$3:$J$957,2,0),0)</f>
        <v>44196.786454049434</v>
      </c>
      <c r="B640" s="17">
        <f>IFERROR(VLOOKUP(D640,'Monthly Deduction'!$E$3:$F$957,2,0),0)</f>
        <v>28800</v>
      </c>
      <c r="C640" s="17">
        <f t="shared" si="170"/>
        <v>72996.786454049434</v>
      </c>
      <c r="D640" s="41">
        <v>10530096</v>
      </c>
      <c r="E640" s="122" t="str">
        <f>VLOOKUP(D640,'MPG Payment '!$E$3:$G$497305,2,0)</f>
        <v>GOMUKH BHARJA</v>
      </c>
      <c r="F640" s="146">
        <f>IFERROR(_xlfn.XLOOKUP(D640,'Monthly Deduction'!$I$3:$I$957,'Monthly Deduction'!$H$3:$H$957),0)</f>
        <v>0</v>
      </c>
      <c r="G640" s="123" t="str">
        <f>VLOOKUP(D640,'MPG Payment '!$E$3:$G$333666,3,0)</f>
        <v>MPG</v>
      </c>
      <c r="H640" s="124" t="str">
        <f>VLOOKUP(D640,'MPG Payment '!$E$3:$H$333666,4,0)</f>
        <v>Direct</v>
      </c>
      <c r="I640" s="88">
        <f>INDEX('MPG Payment '!$C:$C,MATCH('Shayak Income '!D640,'MPG Payment '!E:E,0))</f>
        <v>1053</v>
      </c>
      <c r="J640" s="88" t="str">
        <f>INDEX('MPG Payment '!$D:$D,MATCH('Shayak Income '!D640,'MPG Payment '!E:E,0))</f>
        <v>Kalyanpur</v>
      </c>
      <c r="K640" s="125" t="s">
        <v>1594</v>
      </c>
      <c r="L640" s="125">
        <v>45991</v>
      </c>
      <c r="M640" s="126">
        <f>SUMIF('MPG Payment '!$E$3:$E$344841,'Shayak Income '!D640,'MPG Payment '!$I$3:$I$344841)</f>
        <v>8106.6500000000005</v>
      </c>
      <c r="N640" s="126">
        <f>SUMIF('MPG Payment '!$E$3:$E$344841,'Shayak Income '!D640,'MPG Payment '!$J$3:$J$344841)</f>
        <v>409885.81000000006</v>
      </c>
      <c r="O640" s="126">
        <f t="shared" si="171"/>
        <v>6079.9875000000002</v>
      </c>
      <c r="P640" s="126">
        <f t="shared" si="172"/>
        <v>7701.3175000000001</v>
      </c>
      <c r="Q640" s="126">
        <f>SUMIF('MPG Payment '!$E$3:$E$344841,'Shayak Income '!D640,'MPG Payment '!$S$3:$S$344841)</f>
        <v>1561.8400000000001</v>
      </c>
      <c r="R640" s="126">
        <f t="shared" si="162"/>
        <v>12296.574300000002</v>
      </c>
      <c r="S640" s="126">
        <f t="shared" si="163"/>
        <v>4595.2568000000019</v>
      </c>
      <c r="T640" s="126">
        <f t="shared" si="173"/>
        <v>810.66500000000008</v>
      </c>
      <c r="U640" s="127">
        <f>((((((IF(K640="New",0,SUMIF('MPG Payment '!$E$3:$E$344841,'Shayak Income '!D640,'MPG Payment '!$AC$3:$AC$344841))))+0)+0)+0)+0)+0</f>
        <v>0</v>
      </c>
      <c r="V640" s="127">
        <f t="shared" si="174"/>
        <v>14532</v>
      </c>
      <c r="W640" s="19">
        <f t="shared" si="175"/>
        <v>8197.7162000000008</v>
      </c>
      <c r="X640" s="19">
        <v>0</v>
      </c>
      <c r="Y640" s="128">
        <f>IFERROR(VLOOKUP(D640,'Monthly Deduction'!$M$2:$N$640,2,0),0)</f>
        <v>0</v>
      </c>
      <c r="Z640" s="128">
        <v>0</v>
      </c>
      <c r="AA640" s="126">
        <f>IFERROR(VLOOKUP(D640,'Monthly Deduction'!A:B,2,0),0)</f>
        <v>294.81543080156109</v>
      </c>
      <c r="AB640" s="129">
        <f t="shared" si="165"/>
        <v>6039</v>
      </c>
      <c r="AC640" s="130">
        <v>0</v>
      </c>
      <c r="AD640" s="35">
        <f t="shared" si="176"/>
        <v>6039</v>
      </c>
      <c r="AE640" s="166" t="str">
        <f t="shared" si="177"/>
        <v>Release</v>
      </c>
      <c r="AF640" s="127"/>
      <c r="AG640" s="18">
        <v>0</v>
      </c>
      <c r="AH640" s="120"/>
      <c r="AI640" s="238">
        <v>0</v>
      </c>
      <c r="AJ640" s="132"/>
      <c r="AK640" s="151">
        <v>2464.8000000000006</v>
      </c>
      <c r="AL640" s="154">
        <f t="shared" si="166"/>
        <v>0</v>
      </c>
      <c r="AM640" s="155"/>
      <c r="AN640" s="19">
        <f t="shared" si="167"/>
        <v>8197.7162000000008</v>
      </c>
      <c r="AO640" s="118">
        <f>SUMIF('MPG Payment '!E:E,'Shayak Income '!D640,'MPG Payment '!AJ:AJ)</f>
        <v>0</v>
      </c>
      <c r="AP640" s="19">
        <f t="shared" si="168"/>
        <v>8197.7162000000008</v>
      </c>
      <c r="AQ640" s="119">
        <f t="shared" si="178"/>
        <v>8197.7162000000008</v>
      </c>
      <c r="AR640" s="91" t="s">
        <v>1144</v>
      </c>
      <c r="AS640" s="91">
        <f t="shared" si="169"/>
        <v>28800</v>
      </c>
      <c r="AT640" s="118"/>
      <c r="AU640" s="118"/>
      <c r="AV640" s="118"/>
    </row>
    <row r="641" spans="1:48" s="20" customFormat="1" x14ac:dyDescent="0.25">
      <c r="A641" s="17">
        <f>IFERROR(VLOOKUP(D641,'Monthly Deduction'!$I$3:$J$957,2,0),0)</f>
        <v>52072.141129069161</v>
      </c>
      <c r="B641" s="17">
        <f>IFERROR(VLOOKUP(D641,'Monthly Deduction'!$E$3:$F$957,2,0),0)</f>
        <v>16000</v>
      </c>
      <c r="C641" s="17">
        <f t="shared" si="170"/>
        <v>68072.141129069161</v>
      </c>
      <c r="D641" s="41">
        <v>10530097</v>
      </c>
      <c r="E641" s="122" t="str">
        <f>VLOOKUP(D641,'MPG Payment '!$E$3:$G$497305,2,0)</f>
        <v>GOMUKH NAWABGANJ</v>
      </c>
      <c r="F641" s="146">
        <f>IFERROR(_xlfn.XLOOKUP(D641,'Monthly Deduction'!$I$3:$I$957,'Monthly Deduction'!$H$3:$H$957),0)</f>
        <v>0</v>
      </c>
      <c r="G641" s="123" t="str">
        <f>VLOOKUP(D641,'MPG Payment '!$E$3:$G$333666,3,0)</f>
        <v>MPG</v>
      </c>
      <c r="H641" s="124" t="str">
        <f>VLOOKUP(D641,'MPG Payment '!$E$3:$H$333666,4,0)</f>
        <v>Direct</v>
      </c>
      <c r="I641" s="88">
        <f>INDEX('MPG Payment '!$C:$C,MATCH('Shayak Income '!D641,'MPG Payment '!E:E,0))</f>
        <v>1053</v>
      </c>
      <c r="J641" s="88" t="str">
        <f>INDEX('MPG Payment '!$D:$D,MATCH('Shayak Income '!D641,'MPG Payment '!E:E,0))</f>
        <v>Kalyanpur</v>
      </c>
      <c r="K641" s="125" t="s">
        <v>1594</v>
      </c>
      <c r="L641" s="125">
        <v>45991</v>
      </c>
      <c r="M641" s="126">
        <f>SUMIF('MPG Payment '!$E$3:$E$344841,'Shayak Income '!D641,'MPG Payment '!$I$3:$I$344841)</f>
        <v>3047.6</v>
      </c>
      <c r="N641" s="126">
        <f>SUMIF('MPG Payment '!$E$3:$E$344841,'Shayak Income '!D641,'MPG Payment '!$J$3:$J$344841)</f>
        <v>125827.12</v>
      </c>
      <c r="O641" s="126">
        <f t="shared" si="171"/>
        <v>2285.6999999999998</v>
      </c>
      <c r="P641" s="126">
        <f t="shared" si="172"/>
        <v>2895.22</v>
      </c>
      <c r="Q641" s="126">
        <f>SUMIF('MPG Payment '!$E$3:$E$344841,'Shayak Income '!D641,'MPG Payment '!$S$3:$S$344841)</f>
        <v>1271.0300000000002</v>
      </c>
      <c r="R641" s="126">
        <f t="shared" si="162"/>
        <v>3774.8135999999995</v>
      </c>
      <c r="S641" s="126">
        <f t="shared" si="163"/>
        <v>879.5935999999997</v>
      </c>
      <c r="T641" s="126">
        <f t="shared" si="173"/>
        <v>304.76</v>
      </c>
      <c r="U641" s="127">
        <f>((((((IF(K641="New",0,SUMIF('MPG Payment '!$E$3:$E$344841,'Shayak Income '!D641,'MPG Payment '!$AC$3:$AC$344841))))+0)+0)+0)+0)+0</f>
        <v>0</v>
      </c>
      <c r="V641" s="127">
        <f t="shared" si="174"/>
        <v>6147</v>
      </c>
      <c r="W641" s="19">
        <f t="shared" si="175"/>
        <v>2516.5423999999998</v>
      </c>
      <c r="X641" s="19">
        <v>0</v>
      </c>
      <c r="Y641" s="128">
        <f>IFERROR(VLOOKUP(D641,'Monthly Deduction'!$M$2:$N$640,2,0),0)</f>
        <v>0</v>
      </c>
      <c r="Z641" s="128">
        <v>0</v>
      </c>
      <c r="AA641" s="126">
        <f>IFERROR(VLOOKUP(D641,'Monthly Deduction'!A:B,2,0),0)</f>
        <v>294.81543080156109</v>
      </c>
      <c r="AB641" s="129">
        <f t="shared" si="165"/>
        <v>3336</v>
      </c>
      <c r="AC641" s="130">
        <v>0</v>
      </c>
      <c r="AD641" s="35">
        <f t="shared" si="176"/>
        <v>3336</v>
      </c>
      <c r="AE641" s="166" t="str">
        <f t="shared" si="177"/>
        <v>Release</v>
      </c>
      <c r="AF641" s="127"/>
      <c r="AG641" s="18">
        <v>0</v>
      </c>
      <c r="AH641" s="120"/>
      <c r="AI641" s="238">
        <v>0</v>
      </c>
      <c r="AJ641" s="132"/>
      <c r="AK641" s="151">
        <v>825.2</v>
      </c>
      <c r="AL641" s="154">
        <f t="shared" si="166"/>
        <v>0</v>
      </c>
      <c r="AM641" s="155"/>
      <c r="AN641" s="19">
        <f t="shared" si="167"/>
        <v>2516.5423999999998</v>
      </c>
      <c r="AO641" s="118">
        <f>SUMIF('MPG Payment '!E:E,'Shayak Income '!D641,'MPG Payment '!AJ:AJ)</f>
        <v>0</v>
      </c>
      <c r="AP641" s="19">
        <f t="shared" si="168"/>
        <v>2516.5423999999998</v>
      </c>
      <c r="AQ641" s="119">
        <f t="shared" si="178"/>
        <v>2516.5423999999998</v>
      </c>
      <c r="AR641" s="91" t="s">
        <v>1144</v>
      </c>
      <c r="AS641" s="91">
        <f t="shared" si="169"/>
        <v>16000</v>
      </c>
      <c r="AT641" s="118"/>
      <c r="AU641" s="118"/>
      <c r="AV641" s="118"/>
    </row>
    <row r="642" spans="1:48" s="20" customFormat="1" x14ac:dyDescent="0.25">
      <c r="A642" s="17">
        <f>IFERROR(VLOOKUP(D642,'Monthly Deduction'!$I$3:$J$957,2,0),0)</f>
        <v>56329.091821476628</v>
      </c>
      <c r="B642" s="17">
        <f>IFERROR(VLOOKUP(D642,'Monthly Deduction'!$E$3:$F$957,2,0),0)</f>
        <v>9600</v>
      </c>
      <c r="C642" s="17">
        <f t="shared" si="170"/>
        <v>65929.091821476628</v>
      </c>
      <c r="D642" s="41">
        <v>10540026</v>
      </c>
      <c r="E642" s="122" t="str">
        <f>VLOOKUP(D642,'MPG Payment '!$E$3:$G$497305,2,0)</f>
        <v>GOMUKH AMBA ICHARUA</v>
      </c>
      <c r="F642" s="146">
        <f>IFERROR(_xlfn.XLOOKUP(D642,'Monthly Deduction'!$I$3:$I$957,'Monthly Deduction'!$H$3:$H$957),0)</f>
        <v>0</v>
      </c>
      <c r="G642" s="123" t="str">
        <f>VLOOKUP(D642,'MPG Payment '!$E$3:$G$333666,3,0)</f>
        <v>MPG</v>
      </c>
      <c r="H642" s="124" t="str">
        <f>VLOOKUP(D642,'MPG Payment '!$E$3:$H$333666,4,0)</f>
        <v>Direct</v>
      </c>
      <c r="I642" s="88">
        <f>INDEX('MPG Payment '!$C:$C,MATCH('Shayak Income '!D642,'MPG Payment '!E:E,0))</f>
        <v>1054</v>
      </c>
      <c r="J642" s="88" t="str">
        <f>INDEX('MPG Payment '!$D:$D,MATCH('Shayak Income '!D642,'MPG Payment '!E:E,0))</f>
        <v xml:space="preserve">Alauli </v>
      </c>
      <c r="K642" s="125" t="s">
        <v>1594</v>
      </c>
      <c r="L642" s="125">
        <v>45994</v>
      </c>
      <c r="M642" s="126">
        <f>SUMIF('MPG Payment '!$E$3:$E$344841,'Shayak Income '!D642,'MPG Payment '!$I$3:$I$344841)</f>
        <v>2037.5</v>
      </c>
      <c r="N642" s="126">
        <f>SUMIF('MPG Payment '!$E$3:$E$344841,'Shayak Income '!D642,'MPG Payment '!$J$3:$J$344841)</f>
        <v>80056.69</v>
      </c>
      <c r="O642" s="126">
        <f t="shared" si="171"/>
        <v>1528.125</v>
      </c>
      <c r="P642" s="126">
        <f t="shared" si="172"/>
        <v>1935.625</v>
      </c>
      <c r="Q642" s="126">
        <f>SUMIF('MPG Payment '!$E$3:$E$344841,'Shayak Income '!D642,'MPG Payment '!$S$3:$S$344841)</f>
        <v>531.97</v>
      </c>
      <c r="R642" s="126">
        <f t="shared" si="162"/>
        <v>2401.7006999999999</v>
      </c>
      <c r="S642" s="126">
        <f t="shared" si="163"/>
        <v>466.07569999999987</v>
      </c>
      <c r="T642" s="126">
        <f t="shared" si="173"/>
        <v>203.75</v>
      </c>
      <c r="U642" s="127">
        <f>((((((IF(K642="New",0,SUMIF('MPG Payment '!$E$3:$E$344841,'Shayak Income '!D642,'MPG Payment '!$AC$3:$AC$344841))))+0)+0)+0)+0)+0</f>
        <v>598.66617567281935</v>
      </c>
      <c r="V642" s="127">
        <f t="shared" si="174"/>
        <v>3193</v>
      </c>
      <c r="W642" s="19">
        <f t="shared" si="175"/>
        <v>1861</v>
      </c>
      <c r="X642" s="19">
        <v>0</v>
      </c>
      <c r="Y642" s="128">
        <f>IFERROR(VLOOKUP(D642,'Monthly Deduction'!$M$2:$N$640,2,0),0)</f>
        <v>0</v>
      </c>
      <c r="Z642" s="128">
        <v>0</v>
      </c>
      <c r="AA642" s="126">
        <f>IFERROR(VLOOKUP(D642,'Monthly Deduction'!A:B,2,0),0)</f>
        <v>423.73543080156105</v>
      </c>
      <c r="AB642" s="129">
        <f t="shared" si="165"/>
        <v>908</v>
      </c>
      <c r="AC642" s="130">
        <v>0</v>
      </c>
      <c r="AD642" s="35">
        <f t="shared" si="176"/>
        <v>908</v>
      </c>
      <c r="AE642" s="166" t="str">
        <f t="shared" si="177"/>
        <v>Release</v>
      </c>
      <c r="AF642" s="127"/>
      <c r="AG642" s="18">
        <v>0</v>
      </c>
      <c r="AH642" s="120"/>
      <c r="AI642" s="238">
        <v>0</v>
      </c>
      <c r="AJ642" s="132"/>
      <c r="AK642" s="151">
        <v>394.7</v>
      </c>
      <c r="AL642" s="154">
        <f t="shared" si="166"/>
        <v>0</v>
      </c>
      <c r="AM642" s="155"/>
      <c r="AN642" s="19">
        <f t="shared" si="167"/>
        <v>1861</v>
      </c>
      <c r="AO642" s="118">
        <f>SUMIF('MPG Payment '!E:E,'Shayak Income '!D642,'MPG Payment '!AJ:AJ)</f>
        <v>0</v>
      </c>
      <c r="AP642" s="19">
        <f t="shared" si="168"/>
        <v>1861</v>
      </c>
      <c r="AQ642" s="119">
        <f t="shared" si="178"/>
        <v>1861</v>
      </c>
      <c r="AR642" s="91" t="s">
        <v>1144</v>
      </c>
      <c r="AS642" s="91">
        <f t="shared" si="169"/>
        <v>9600</v>
      </c>
      <c r="AT642" s="118"/>
      <c r="AU642" s="118"/>
      <c r="AV642" s="118"/>
    </row>
    <row r="643" spans="1:48" s="20" customFormat="1" x14ac:dyDescent="0.25">
      <c r="A643" s="17">
        <f>IFERROR(VLOOKUP(D643,'Monthly Deduction'!$I$3:$J$957,2,0),0)</f>
        <v>62894.911905043002</v>
      </c>
      <c r="B643" s="17">
        <f>IFERROR(VLOOKUP(D643,'Monthly Deduction'!$E$3:$F$957,2,0),0)</f>
        <v>9600</v>
      </c>
      <c r="C643" s="17">
        <f t="shared" si="170"/>
        <v>72494.911905043002</v>
      </c>
      <c r="D643" s="41">
        <v>10560011</v>
      </c>
      <c r="E643" s="122" t="str">
        <f>VLOOKUP(D643,'MPG Payment '!$E$3:$G$497305,2,0)</f>
        <v>Gomukh Ashatol Paharpur</v>
      </c>
      <c r="F643" s="146">
        <f>IFERROR(_xlfn.XLOOKUP(D643,'Monthly Deduction'!$I$3:$I$957,'Monthly Deduction'!$H$3:$H$957),0)</f>
        <v>0</v>
      </c>
      <c r="G643" s="123" t="str">
        <f>VLOOKUP(D643,'MPG Payment '!$E$3:$G$333666,3,0)</f>
        <v>MPG</v>
      </c>
      <c r="H643" s="124" t="str">
        <f>VLOOKUP(D643,'MPG Payment '!$E$3:$H$333666,4,0)</f>
        <v>Direct</v>
      </c>
      <c r="I643" s="88">
        <f>INDEX('MPG Payment '!$C:$C,MATCH('Shayak Income '!D643,'MPG Payment '!E:E,0))</f>
        <v>1056</v>
      </c>
      <c r="J643" s="88" t="str">
        <f>INDEX('MPG Payment '!$D:$D,MATCH('Shayak Income '!D643,'MPG Payment '!E:E,0))</f>
        <v>Chautham</v>
      </c>
      <c r="K643" s="125" t="s">
        <v>1594</v>
      </c>
      <c r="L643" s="125">
        <v>45989</v>
      </c>
      <c r="M643" s="126">
        <f>SUMIF('MPG Payment '!$E$3:$E$344841,'Shayak Income '!D643,'MPG Payment '!$I$3:$I$344841)</f>
        <v>7930.08</v>
      </c>
      <c r="N643" s="126">
        <f>SUMIF('MPG Payment '!$E$3:$E$344841,'Shayak Income '!D643,'MPG Payment '!$J$3:$J$344841)</f>
        <v>322568.27</v>
      </c>
      <c r="O643" s="126">
        <f t="shared" si="171"/>
        <v>5947.5599999999995</v>
      </c>
      <c r="P643" s="126">
        <f t="shared" si="172"/>
        <v>7533.576</v>
      </c>
      <c r="Q643" s="126">
        <f>SUMIF('MPG Payment '!$E$3:$E$344841,'Shayak Income '!D643,'MPG Payment '!$S$3:$S$344841)</f>
        <v>0</v>
      </c>
      <c r="R643" s="126">
        <f t="shared" si="162"/>
        <v>9677.0481</v>
      </c>
      <c r="S643" s="126">
        <f t="shared" si="163"/>
        <v>2143.4721</v>
      </c>
      <c r="T643" s="126">
        <f t="shared" si="173"/>
        <v>793.00800000000004</v>
      </c>
      <c r="U643" s="127">
        <f>((((((IF(K643="New",0,SUMIF('MPG Payment '!$E$3:$E$344841,'Shayak Income '!D643,'MPG Payment '!$AC$3:$AC$344841))))+0)+0)+0)+0)+0</f>
        <v>0</v>
      </c>
      <c r="V643" s="127">
        <f t="shared" si="174"/>
        <v>12688</v>
      </c>
      <c r="W643" s="19">
        <f t="shared" si="175"/>
        <v>6451.3654000000006</v>
      </c>
      <c r="X643" s="19">
        <v>0</v>
      </c>
      <c r="Y643" s="128">
        <f>IFERROR(VLOOKUP(D643,'Monthly Deduction'!$M$2:$N$640,2,0),0)</f>
        <v>0</v>
      </c>
      <c r="Z643" s="128">
        <v>0</v>
      </c>
      <c r="AA643" s="126">
        <f>IFERROR(VLOOKUP(D643,'Monthly Deduction'!A:B,2,0),0)</f>
        <v>679.32854097868517</v>
      </c>
      <c r="AB643" s="129">
        <f t="shared" si="165"/>
        <v>5557</v>
      </c>
      <c r="AC643" s="130">
        <v>0</v>
      </c>
      <c r="AD643" s="35">
        <f t="shared" si="176"/>
        <v>5557</v>
      </c>
      <c r="AE643" s="166" t="str">
        <f t="shared" si="177"/>
        <v>Release</v>
      </c>
      <c r="AF643" s="127"/>
      <c r="AG643" s="127">
        <v>0</v>
      </c>
      <c r="AH643" s="120"/>
      <c r="AI643" s="238">
        <v>0</v>
      </c>
      <c r="AJ643" s="132"/>
      <c r="AK643" s="151">
        <v>2037.86</v>
      </c>
      <c r="AL643" s="154">
        <f t="shared" si="166"/>
        <v>0</v>
      </c>
      <c r="AM643" s="155"/>
      <c r="AN643" s="19">
        <f t="shared" si="167"/>
        <v>6451.3654000000006</v>
      </c>
      <c r="AO643" s="118">
        <f>SUMIF('MPG Payment '!E:E,'Shayak Income '!D643,'MPG Payment '!AJ:AJ)</f>
        <v>0</v>
      </c>
      <c r="AP643" s="19">
        <f t="shared" si="168"/>
        <v>6451.3654000000006</v>
      </c>
      <c r="AQ643" s="119">
        <f t="shared" si="178"/>
        <v>6451.3654000000006</v>
      </c>
      <c r="AR643" s="91" t="s">
        <v>1144</v>
      </c>
      <c r="AS643" s="91">
        <f t="shared" si="169"/>
        <v>9600</v>
      </c>
      <c r="AT643" s="118"/>
      <c r="AU643" s="118"/>
      <c r="AV643" s="118"/>
    </row>
    <row r="644" spans="1:48" s="20" customFormat="1" x14ac:dyDescent="0.25">
      <c r="A644" s="17">
        <f>IFERROR(VLOOKUP(D644,'Monthly Deduction'!$I$3:$J$957,2,0),0)</f>
        <v>75104.514237183437</v>
      </c>
      <c r="B644" s="17">
        <f>IFERROR(VLOOKUP(D644,'Monthly Deduction'!$E$3:$F$957,2,0),0)</f>
        <v>6400</v>
      </c>
      <c r="C644" s="17">
        <f t="shared" si="170"/>
        <v>81504.514237183437</v>
      </c>
      <c r="D644" s="41">
        <v>10560012</v>
      </c>
      <c r="E644" s="122" t="str">
        <f>VLOOKUP(D644,'MPG Payment '!$E$3:$G$497305,2,0)</f>
        <v>Gomukh Kharawa</v>
      </c>
      <c r="F644" s="146">
        <f>IFERROR(_xlfn.XLOOKUP(D644,'Monthly Deduction'!$I$3:$I$957,'Monthly Deduction'!$H$3:$H$957),0)</f>
        <v>0</v>
      </c>
      <c r="G644" s="123" t="str">
        <f>VLOOKUP(D644,'MPG Payment '!$E$3:$G$333666,3,0)</f>
        <v>MPG</v>
      </c>
      <c r="H644" s="124" t="str">
        <f>VLOOKUP(D644,'MPG Payment '!$E$3:$H$333666,4,0)</f>
        <v>Direct</v>
      </c>
      <c r="I644" s="88">
        <f>INDEX('MPG Payment '!$C:$C,MATCH('Shayak Income '!D644,'MPG Payment '!E:E,0))</f>
        <v>1056</v>
      </c>
      <c r="J644" s="88" t="str">
        <f>INDEX('MPG Payment '!$D:$D,MATCH('Shayak Income '!D644,'MPG Payment '!E:E,0))</f>
        <v>Chautham</v>
      </c>
      <c r="K644" s="125" t="s">
        <v>1594</v>
      </c>
      <c r="L644" s="125">
        <v>45989</v>
      </c>
      <c r="M644" s="126">
        <f>SUMIF('MPG Payment '!$E$3:$E$344841,'Shayak Income '!D644,'MPG Payment '!$I$3:$I$344841)</f>
        <v>5461.42</v>
      </c>
      <c r="N644" s="126">
        <f>SUMIF('MPG Payment '!$E$3:$E$344841,'Shayak Income '!D644,'MPG Payment '!$J$3:$J$344841)</f>
        <v>226006</v>
      </c>
      <c r="O644" s="126">
        <f t="shared" si="171"/>
        <v>4096.0650000000005</v>
      </c>
      <c r="P644" s="126">
        <f t="shared" si="172"/>
        <v>5188.3490000000002</v>
      </c>
      <c r="Q644" s="126">
        <f>SUMIF('MPG Payment '!$E$3:$E$344841,'Shayak Income '!D644,'MPG Payment '!$S$3:$S$344841)</f>
        <v>0</v>
      </c>
      <c r="R644" s="126">
        <f t="shared" ref="R644:R707" si="184">+N644*3%</f>
        <v>6780.1799999999994</v>
      </c>
      <c r="S644" s="126">
        <f t="shared" ref="S644:S707" si="185">R644-P644</f>
        <v>1591.8309999999992</v>
      </c>
      <c r="T644" s="126">
        <f t="shared" si="173"/>
        <v>546.14200000000005</v>
      </c>
      <c r="U644" s="127">
        <f>((((((IF(K644="New",0,SUMIF('MPG Payment '!$E$3:$E$344841,'Shayak Income '!D644,'MPG Payment '!$AC$3:$AC$344841))))+0)+0)+0)+0)+0</f>
        <v>0</v>
      </c>
      <c r="V644" s="127">
        <f t="shared" si="174"/>
        <v>8738</v>
      </c>
      <c r="W644" s="19">
        <f t="shared" si="175"/>
        <v>4520.12</v>
      </c>
      <c r="X644" s="19">
        <v>0</v>
      </c>
      <c r="Y644" s="128">
        <f>IFERROR(VLOOKUP(D644,'Monthly Deduction'!$M$2:$N$640,2,0),0)</f>
        <v>0</v>
      </c>
      <c r="Z644" s="128">
        <v>0</v>
      </c>
      <c r="AA644" s="126">
        <f>IFERROR(VLOOKUP(D644,'Monthly Deduction'!A:B,2,0),0)</f>
        <v>679.32854097868517</v>
      </c>
      <c r="AB644" s="129">
        <f t="shared" ref="AB644:AB707" si="186">ROUND(IFERROR(V644-SUM(W644:AA644),0),0)</f>
        <v>3539</v>
      </c>
      <c r="AC644" s="130">
        <v>0</v>
      </c>
      <c r="AD644" s="35">
        <f t="shared" si="176"/>
        <v>3539</v>
      </c>
      <c r="AE644" s="166" t="str">
        <f t="shared" si="177"/>
        <v>Release</v>
      </c>
      <c r="AF644" s="127"/>
      <c r="AG644" s="18">
        <v>0</v>
      </c>
      <c r="AH644" s="120"/>
      <c r="AI644" s="238">
        <v>0</v>
      </c>
      <c r="AJ644" s="132"/>
      <c r="AK644" s="151">
        <v>1092.94</v>
      </c>
      <c r="AL644" s="154">
        <f t="shared" ref="AL644:AL707" si="187">COUNTIF(AK644:AK644,"=NA")</f>
        <v>0</v>
      </c>
      <c r="AM644" s="155"/>
      <c r="AN644" s="19">
        <f t="shared" ref="AN644:AN707" si="188">((MIN(IF(A644&gt;0,MAX(N644*2%,1861),0),A644)))+0</f>
        <v>4520.12</v>
      </c>
      <c r="AO644" s="118">
        <f>SUMIF('MPG Payment '!E:E,'Shayak Income '!D644,'MPG Payment '!AJ:AJ)</f>
        <v>0</v>
      </c>
      <c r="AP644" s="19">
        <f t="shared" ref="AP644:AP707" si="189">W644</f>
        <v>4520.12</v>
      </c>
      <c r="AQ644" s="119">
        <f t="shared" si="178"/>
        <v>4520.12</v>
      </c>
      <c r="AR644" s="91" t="s">
        <v>1144</v>
      </c>
      <c r="AS644" s="91">
        <f t="shared" ref="AS644:AS707" si="190">B644-X644</f>
        <v>6400</v>
      </c>
      <c r="AT644" s="118"/>
      <c r="AU644" s="118"/>
      <c r="AV644" s="118"/>
    </row>
    <row r="645" spans="1:48" s="20" customFormat="1" x14ac:dyDescent="0.25">
      <c r="A645" s="17">
        <f>IFERROR(VLOOKUP(D645,'Monthly Deduction'!$I$3:$J$957,2,0),0)</f>
        <v>82642</v>
      </c>
      <c r="B645" s="17">
        <f>IFERROR(VLOOKUP(D645,'Monthly Deduction'!$E$3:$F$957,2,0),0)</f>
        <v>6400</v>
      </c>
      <c r="C645" s="17">
        <f t="shared" ref="C645:C708" si="191">A645+B645</f>
        <v>89042</v>
      </c>
      <c r="D645" s="41">
        <v>10570017</v>
      </c>
      <c r="E645" s="122" t="str">
        <f>VLOOKUP(D645,'MPG Payment '!$E$3:$G$497305,2,0)</f>
        <v>Dewanpur</v>
      </c>
      <c r="F645" s="146">
        <f>IFERROR(_xlfn.XLOOKUP(D645,'Monthly Deduction'!$I$3:$I$957,'Monthly Deduction'!$H$3:$H$957),0)</f>
        <v>0</v>
      </c>
      <c r="G645" s="123" t="str">
        <f>VLOOKUP(D645,'MPG Payment '!$E$3:$G$333666,3,0)</f>
        <v>MPG</v>
      </c>
      <c r="H645" s="124" t="str">
        <f>VLOOKUP(D645,'MPG Payment '!$E$3:$H$333666,4,0)</f>
        <v>Direct</v>
      </c>
      <c r="I645" s="88">
        <f>INDEX('MPG Payment '!$C:$C,MATCH('Shayak Income '!D645,'MPG Payment '!E:E,0))</f>
        <v>1063</v>
      </c>
      <c r="J645" s="88" t="str">
        <f>INDEX('MPG Payment '!$D:$D,MATCH('Shayak Income '!D645,'MPG Payment '!E:E,0))</f>
        <v>Rosera</v>
      </c>
      <c r="K645" s="125" t="s">
        <v>1594</v>
      </c>
      <c r="L645" s="125">
        <v>45989</v>
      </c>
      <c r="M645" s="126">
        <f>SUMIF('MPG Payment '!$E$3:$E$344841,'Shayak Income '!D645,'MPG Payment '!$I$3:$I$344841)</f>
        <v>794.90000000000009</v>
      </c>
      <c r="N645" s="126">
        <f>SUMIF('MPG Payment '!$E$3:$E$344841,'Shayak Income '!D645,'MPG Payment '!$J$3:$J$344841)</f>
        <v>37886.949999999997</v>
      </c>
      <c r="O645" s="126">
        <f t="shared" ref="O645:O708" si="192">+M645*0.75</f>
        <v>596.17500000000007</v>
      </c>
      <c r="P645" s="126">
        <f t="shared" ref="P645:P708" si="193">+M645*0.95</f>
        <v>755.15500000000009</v>
      </c>
      <c r="Q645" s="126">
        <f>SUMIF('MPG Payment '!$E$3:$E$344841,'Shayak Income '!D645,'MPG Payment '!$S$3:$S$344841)</f>
        <v>240.78</v>
      </c>
      <c r="R645" s="126">
        <f t="shared" si="184"/>
        <v>1136.6084999999998</v>
      </c>
      <c r="S645" s="126">
        <f t="shared" si="185"/>
        <v>381.45349999999974</v>
      </c>
      <c r="T645" s="126">
        <f t="shared" ref="T645:T708" si="194">M645*0.1</f>
        <v>79.490000000000009</v>
      </c>
      <c r="U645" s="127">
        <f>((((((IF(K645="New",0,SUMIF('MPG Payment '!$E$3:$E$344841,'Shayak Income '!D645,'MPG Payment '!$AC$3:$AC$344841))))+0)+0)+0)+0)+-405</f>
        <v>1512.4703282208002</v>
      </c>
      <c r="V645" s="127">
        <f t="shared" ref="V645:V708" si="195">ROUND((SUM(O645:Q645)-SUM(T645:U645)),0)</f>
        <v>0</v>
      </c>
      <c r="W645" s="19">
        <v>0</v>
      </c>
      <c r="X645" s="19">
        <v>0</v>
      </c>
      <c r="Y645" s="128">
        <v>0</v>
      </c>
      <c r="Z645" s="128">
        <v>0</v>
      </c>
      <c r="AA645" s="126">
        <v>0</v>
      </c>
      <c r="AB645" s="129">
        <f t="shared" si="186"/>
        <v>0</v>
      </c>
      <c r="AC645" s="130">
        <v>0</v>
      </c>
      <c r="AD645" s="35">
        <f t="shared" ref="AD645:AD708" si="196">ROUND(AB645-AC645,0)</f>
        <v>0</v>
      </c>
      <c r="AE645" s="166" t="str">
        <f t="shared" ref="AE645:AE708" si="197">IF(AC645&lt;&gt;0,"Yes","Release")</f>
        <v>Release</v>
      </c>
      <c r="AF645" s="127"/>
      <c r="AG645" s="18">
        <v>0</v>
      </c>
      <c r="AH645" s="132"/>
      <c r="AI645" s="238">
        <v>0</v>
      </c>
      <c r="AJ645" s="132"/>
      <c r="AK645" s="151">
        <v>250.50000000000003</v>
      </c>
      <c r="AL645" s="154">
        <f t="shared" si="187"/>
        <v>0</v>
      </c>
      <c r="AM645" s="155"/>
      <c r="AN645" s="19">
        <f t="shared" si="188"/>
        <v>1861</v>
      </c>
      <c r="AO645" s="118">
        <f>SUMIF('MPG Payment '!E:E,'Shayak Income '!D645,'MPG Payment '!AJ:AJ)</f>
        <v>2000</v>
      </c>
      <c r="AP645" s="19">
        <f t="shared" si="189"/>
        <v>0</v>
      </c>
      <c r="AQ645" s="119">
        <f t="shared" ref="AQ645:AQ708" si="198">AO645+AP645</f>
        <v>2000</v>
      </c>
      <c r="AR645" s="91" t="s">
        <v>1144</v>
      </c>
      <c r="AS645" s="91">
        <f t="shared" si="190"/>
        <v>6400</v>
      </c>
      <c r="AT645" s="118"/>
      <c r="AU645" s="118"/>
      <c r="AV645" s="118"/>
    </row>
    <row r="646" spans="1:48" s="20" customFormat="1" x14ac:dyDescent="0.25">
      <c r="A646" s="17">
        <f>IFERROR(VLOOKUP(D646,'Monthly Deduction'!$I$3:$J$957,2,0),0)</f>
        <v>55524.832824940022</v>
      </c>
      <c r="B646" s="17">
        <f>IFERROR(VLOOKUP(D646,'Monthly Deduction'!$E$3:$F$957,2,0),0)</f>
        <v>7848</v>
      </c>
      <c r="C646" s="17">
        <f t="shared" si="191"/>
        <v>63372.832824940022</v>
      </c>
      <c r="D646" s="41">
        <v>10580005</v>
      </c>
      <c r="E646" s="122" t="str">
        <f>VLOOKUP(D646,'MPG Payment '!$E$3:$G$497305,2,0)</f>
        <v>Kasiya</v>
      </c>
      <c r="F646" s="146">
        <f>IFERROR(_xlfn.XLOOKUP(D646,'Monthly Deduction'!$I$3:$I$957,'Monthly Deduction'!$H$3:$H$957),0)</f>
        <v>0</v>
      </c>
      <c r="G646" s="123" t="str">
        <f>VLOOKUP(D646,'MPG Payment '!$E$3:$G$333666,3,0)</f>
        <v>MPG</v>
      </c>
      <c r="H646" s="124" t="str">
        <f>VLOOKUP(D646,'MPG Payment '!$E$3:$H$333666,4,0)</f>
        <v>Direct</v>
      </c>
      <c r="I646" s="88">
        <f>INDEX('MPG Payment '!$C:$C,MATCH('Shayak Income '!D646,'MPG Payment '!E:E,0))</f>
        <v>1058</v>
      </c>
      <c r="J646" s="88" t="str">
        <f>INDEX('MPG Payment '!$D:$D,MATCH('Shayak Income '!D646,'MPG Payment '!E:E,0))</f>
        <v>Hasanpur</v>
      </c>
      <c r="K646" s="125" t="s">
        <v>1594</v>
      </c>
      <c r="L646" s="125">
        <v>45990</v>
      </c>
      <c r="M646" s="126">
        <f>SUMIF('MPG Payment '!$E$3:$E$344841,'Shayak Income '!D646,'MPG Payment '!$I$3:$I$344841)</f>
        <v>2419.3599999999997</v>
      </c>
      <c r="N646" s="126">
        <f>SUMIF('MPG Payment '!$E$3:$E$344841,'Shayak Income '!D646,'MPG Payment '!$J$3:$J$344841)</f>
        <v>100946.47000000002</v>
      </c>
      <c r="O646" s="126">
        <f t="shared" si="192"/>
        <v>1814.5199999999998</v>
      </c>
      <c r="P646" s="126">
        <f t="shared" si="193"/>
        <v>2298.3919999999994</v>
      </c>
      <c r="Q646" s="126">
        <f>SUMIF('MPG Payment '!$E$3:$E$344841,'Shayak Income '!D646,'MPG Payment '!$S$3:$S$344841)</f>
        <v>1397.1399999999999</v>
      </c>
      <c r="R646" s="126">
        <f t="shared" si="184"/>
        <v>3028.3941000000004</v>
      </c>
      <c r="S646" s="126">
        <f t="shared" si="185"/>
        <v>730.00210000000106</v>
      </c>
      <c r="T646" s="126">
        <f t="shared" si="194"/>
        <v>241.93599999999998</v>
      </c>
      <c r="U646" s="127">
        <f>((((((IF(K646="New",0,SUMIF('MPG Payment '!$E$3:$E$344841,'Shayak Income '!D646,'MPG Payment '!$AC$3:$AC$344841))))+0)+0)+0)+0)+0</f>
        <v>319.25540584211552</v>
      </c>
      <c r="V646" s="127">
        <f t="shared" si="195"/>
        <v>4949</v>
      </c>
      <c r="W646" s="19">
        <f t="shared" ref="W646:W707" si="199">(((AN646-AO646)))+0</f>
        <v>2018.9294000000004</v>
      </c>
      <c r="X646" s="19">
        <v>0</v>
      </c>
      <c r="Y646" s="128">
        <f>IFERROR(VLOOKUP(D646,'Monthly Deduction'!$M$2:$N$640,2,0),0)</f>
        <v>0</v>
      </c>
      <c r="Z646" s="128">
        <v>0</v>
      </c>
      <c r="AA646" s="126">
        <f>IFERROR(VLOOKUP(D646,'Monthly Deduction'!A:B,2,0),0)</f>
        <v>0</v>
      </c>
      <c r="AB646" s="129">
        <f t="shared" si="186"/>
        <v>2930</v>
      </c>
      <c r="AC646" s="130">
        <v>0</v>
      </c>
      <c r="AD646" s="35">
        <f t="shared" si="196"/>
        <v>2930</v>
      </c>
      <c r="AE646" s="166" t="str">
        <f t="shared" si="197"/>
        <v>Release</v>
      </c>
      <c r="AF646" s="127"/>
      <c r="AG646" s="18">
        <v>0</v>
      </c>
      <c r="AH646" s="120"/>
      <c r="AI646" s="238">
        <v>0</v>
      </c>
      <c r="AJ646" s="132"/>
      <c r="AK646" s="151">
        <v>491.52000000000004</v>
      </c>
      <c r="AL646" s="154">
        <f t="shared" si="187"/>
        <v>0</v>
      </c>
      <c r="AM646" s="155"/>
      <c r="AN646" s="19">
        <f t="shared" si="188"/>
        <v>2018.9294000000004</v>
      </c>
      <c r="AO646" s="118">
        <f>SUMIF('MPG Payment '!E:E,'Shayak Income '!D646,'MPG Payment '!AJ:AJ)</f>
        <v>0</v>
      </c>
      <c r="AP646" s="19">
        <f t="shared" si="189"/>
        <v>2018.9294000000004</v>
      </c>
      <c r="AQ646" s="119">
        <f t="shared" si="198"/>
        <v>2018.9294000000004</v>
      </c>
      <c r="AR646" s="91" t="s">
        <v>1144</v>
      </c>
      <c r="AS646" s="91">
        <f t="shared" si="190"/>
        <v>7848</v>
      </c>
      <c r="AT646" s="118"/>
      <c r="AU646" s="118"/>
      <c r="AV646" s="118"/>
    </row>
    <row r="647" spans="1:48" s="20" customFormat="1" x14ac:dyDescent="0.25">
      <c r="A647" s="17">
        <f>IFERROR(VLOOKUP(D647,'Monthly Deduction'!$I$3:$J$957,2,0),0)</f>
        <v>61242</v>
      </c>
      <c r="B647" s="17">
        <f>IFERROR(VLOOKUP(D647,'Monthly Deduction'!$E$3:$F$957,2,0),0)</f>
        <v>9600</v>
      </c>
      <c r="C647" s="17">
        <f t="shared" si="191"/>
        <v>70842</v>
      </c>
      <c r="D647" s="41">
        <v>10010140</v>
      </c>
      <c r="E647" s="122" t="str">
        <f>VLOOKUP(D647,'MPG Payment '!$E$3:$G$497305,2,0)</f>
        <v>Shri Bhairav Laxmipur</v>
      </c>
      <c r="F647" s="146">
        <f>IFERROR(_xlfn.XLOOKUP(D647,'Monthly Deduction'!$I$3:$I$957,'Monthly Deduction'!$H$3:$H$957),0)</f>
        <v>0</v>
      </c>
      <c r="G647" s="123" t="str">
        <f>VLOOKUP(D647,'MPG Payment '!$E$3:$G$333666,3,0)</f>
        <v>MPG</v>
      </c>
      <c r="H647" s="124" t="str">
        <f>VLOOKUP(D647,'MPG Payment '!$E$3:$H$333666,4,0)</f>
        <v>Direct</v>
      </c>
      <c r="I647" s="88">
        <f>INDEX('MPG Payment '!$C:$C,MATCH('Shayak Income '!D647,'MPG Payment '!E:E,0))</f>
        <v>1001</v>
      </c>
      <c r="J647" s="88" t="str">
        <f>INDEX('MPG Payment '!$D:$D,MATCH('Shayak Income '!D647,'MPG Payment '!E:E,0))</f>
        <v>Majhaul</v>
      </c>
      <c r="K647" s="125" t="s">
        <v>1594</v>
      </c>
      <c r="L647" s="125">
        <v>45996</v>
      </c>
      <c r="M647" s="126">
        <f>SUMIF('MPG Payment '!$E$3:$E$344841,'Shayak Income '!D647,'MPG Payment '!$I$3:$I$344841)</f>
        <v>915.4</v>
      </c>
      <c r="N647" s="126">
        <f>SUMIF('MPG Payment '!$E$3:$E$344841,'Shayak Income '!D647,'MPG Payment '!$J$3:$J$344841)</f>
        <v>40222.53</v>
      </c>
      <c r="O647" s="126">
        <f t="shared" si="192"/>
        <v>686.55</v>
      </c>
      <c r="P647" s="126">
        <f t="shared" si="193"/>
        <v>869.62999999999988</v>
      </c>
      <c r="Q647" s="126">
        <f>SUMIF('MPG Payment '!$E$3:$E$344841,'Shayak Income '!D647,'MPG Payment '!$S$3:$S$344841)</f>
        <v>0</v>
      </c>
      <c r="R647" s="126">
        <f t="shared" si="184"/>
        <v>1206.6759</v>
      </c>
      <c r="S647" s="126">
        <f t="shared" si="185"/>
        <v>337.04590000000007</v>
      </c>
      <c r="T647" s="126">
        <f t="shared" si="194"/>
        <v>91.54</v>
      </c>
      <c r="U647" s="127">
        <f>((((((IF(K647="New",0,SUMIF('MPG Payment '!$E$3:$E$344841,'Shayak Income '!D647,'MPG Payment '!$AC$3:$AC$344841))))+0)+0)+0)+0)+-195</f>
        <v>1464.8096079280738</v>
      </c>
      <c r="V647" s="127">
        <f t="shared" si="195"/>
        <v>0</v>
      </c>
      <c r="W647" s="19">
        <v>0</v>
      </c>
      <c r="X647" s="19">
        <v>0</v>
      </c>
      <c r="Y647" s="128">
        <v>0</v>
      </c>
      <c r="Z647" s="128">
        <v>0</v>
      </c>
      <c r="AA647" s="126">
        <v>0</v>
      </c>
      <c r="AB647" s="129">
        <f t="shared" si="186"/>
        <v>0</v>
      </c>
      <c r="AC647" s="130">
        <v>0</v>
      </c>
      <c r="AD647" s="35">
        <f t="shared" si="196"/>
        <v>0</v>
      </c>
      <c r="AE647" s="166" t="str">
        <f t="shared" si="197"/>
        <v>Release</v>
      </c>
      <c r="AF647" s="127"/>
      <c r="AG647" s="18">
        <v>0</v>
      </c>
      <c r="AH647" s="132"/>
      <c r="AI647" s="238">
        <v>0</v>
      </c>
      <c r="AJ647" s="132"/>
      <c r="AK647" s="151">
        <v>197.7</v>
      </c>
      <c r="AL647" s="154">
        <f t="shared" si="187"/>
        <v>0</v>
      </c>
      <c r="AM647" s="155"/>
      <c r="AN647" s="19">
        <f t="shared" si="188"/>
        <v>1861</v>
      </c>
      <c r="AO647" s="118">
        <f>SUMIF('MPG Payment '!E:E,'Shayak Income '!D647,'MPG Payment '!AJ:AJ)</f>
        <v>0</v>
      </c>
      <c r="AP647" s="19">
        <f t="shared" si="189"/>
        <v>0</v>
      </c>
      <c r="AQ647" s="119">
        <f t="shared" si="198"/>
        <v>0</v>
      </c>
      <c r="AR647" s="91" t="s">
        <v>1144</v>
      </c>
      <c r="AS647" s="91">
        <f t="shared" si="190"/>
        <v>9600</v>
      </c>
      <c r="AT647" s="118"/>
      <c r="AU647" s="118"/>
      <c r="AV647" s="118"/>
    </row>
    <row r="648" spans="1:48" s="20" customFormat="1" x14ac:dyDescent="0.25">
      <c r="A648" s="17">
        <f>IFERROR(VLOOKUP(D648,'Monthly Deduction'!$I$3:$J$957,2,0),0)</f>
        <v>0</v>
      </c>
      <c r="B648" s="17">
        <f>IFERROR(VLOOKUP(D648,'Monthly Deduction'!$E$3:$F$957,2,0),0)</f>
        <v>0</v>
      </c>
      <c r="C648" s="17">
        <f t="shared" si="191"/>
        <v>0</v>
      </c>
      <c r="D648" s="41">
        <v>10080089</v>
      </c>
      <c r="E648" s="122" t="str">
        <f>VLOOKUP(D648,'MPG Payment '!$E$3:$G$497305,2,0)</f>
        <v>Bihat - Sonu Kumar</v>
      </c>
      <c r="F648" s="146">
        <f>IFERROR(_xlfn.XLOOKUP(D648,'Monthly Deduction'!$I$3:$I$957,'Monthly Deduction'!$H$3:$H$957),0)</f>
        <v>0</v>
      </c>
      <c r="G648" s="123" t="str">
        <f>VLOOKUP(D648,'MPG Payment '!$E$3:$G$333666,3,0)</f>
        <v>VLC</v>
      </c>
      <c r="H648" s="124" t="str">
        <f>VLOOKUP(D648,'MPG Payment '!$E$3:$H$333666,4,0)</f>
        <v>Indirect</v>
      </c>
      <c r="I648" s="88">
        <f>INDEX('MPG Payment '!$C:$C,MATCH('Shayak Income '!D648,'MPG Payment '!E:E,0))</f>
        <v>1008</v>
      </c>
      <c r="J648" s="88" t="str">
        <f>INDEX('MPG Payment '!$D:$D,MATCH('Shayak Income '!D648,'MPG Payment '!E:E,0))</f>
        <v>Teghra</v>
      </c>
      <c r="K648" s="125" t="s">
        <v>1594</v>
      </c>
      <c r="L648" s="125">
        <v>45802</v>
      </c>
      <c r="M648" s="126">
        <f>SUMIF('MPG Payment '!$E$3:$E$344841,'Shayak Income '!D648,'MPG Payment '!$I$3:$I$344841)</f>
        <v>250.5</v>
      </c>
      <c r="N648" s="126">
        <f>SUMIF('MPG Payment '!$E$3:$E$344841,'Shayak Income '!D648,'MPG Payment '!$J$3:$J$344841)</f>
        <v>9184.92</v>
      </c>
      <c r="O648" s="126">
        <f t="shared" si="192"/>
        <v>187.875</v>
      </c>
      <c r="P648" s="126">
        <f t="shared" si="193"/>
        <v>237.97499999999999</v>
      </c>
      <c r="Q648" s="126">
        <f>SUMIF('MPG Payment '!$E$3:$E$344841,'Shayak Income '!D648,'MPG Payment '!$S$3:$S$344841)</f>
        <v>0</v>
      </c>
      <c r="R648" s="126">
        <f t="shared" si="184"/>
        <v>275.54759999999999</v>
      </c>
      <c r="S648" s="126">
        <f t="shared" si="185"/>
        <v>37.572599999999994</v>
      </c>
      <c r="T648" s="126">
        <f t="shared" si="194"/>
        <v>25.05</v>
      </c>
      <c r="U648" s="127">
        <f>((((((IF(K648="New",0,SUMIF('MPG Payment '!$E$3:$E$344841,'Shayak Income '!D648,'MPG Payment '!$AC$3:$AC$344841))))+0)+0)+0)+0)+0</f>
        <v>329.63046227544919</v>
      </c>
      <c r="V648" s="127">
        <f t="shared" si="195"/>
        <v>71</v>
      </c>
      <c r="W648" s="19">
        <f t="shared" si="199"/>
        <v>0</v>
      </c>
      <c r="X648" s="19">
        <f t="shared" ref="X648:X704" si="200">((MIN(IF(B648&gt;0,MAX(N648*2%),0),B648)))+0</f>
        <v>0</v>
      </c>
      <c r="Y648" s="128">
        <f>IFERROR(VLOOKUP(D648,'Monthly Deduction'!$M$2:$N$640,2,0),0)</f>
        <v>0</v>
      </c>
      <c r="Z648" s="128">
        <v>0</v>
      </c>
      <c r="AA648" s="126">
        <f>IFERROR(VLOOKUP(D648,'Monthly Deduction'!A:B,2,0),0)</f>
        <v>0</v>
      </c>
      <c r="AB648" s="129">
        <f t="shared" si="186"/>
        <v>71</v>
      </c>
      <c r="AC648" s="130">
        <f>AB648</f>
        <v>71</v>
      </c>
      <c r="AD648" s="35">
        <f t="shared" si="196"/>
        <v>0</v>
      </c>
      <c r="AE648" s="166" t="str">
        <f t="shared" si="197"/>
        <v>Yes</v>
      </c>
      <c r="AF648" s="127"/>
      <c r="AG648" s="18">
        <v>0</v>
      </c>
      <c r="AH648" s="132" t="s">
        <v>1597</v>
      </c>
      <c r="AI648" s="238">
        <v>0</v>
      </c>
      <c r="AJ648" s="132"/>
      <c r="AK648" s="151">
        <v>0</v>
      </c>
      <c r="AL648" s="154">
        <f t="shared" si="187"/>
        <v>0</v>
      </c>
      <c r="AM648" s="155"/>
      <c r="AN648" s="19">
        <f t="shared" si="188"/>
        <v>0</v>
      </c>
      <c r="AO648" s="118">
        <f>SUMIF('MPG Payment '!E:E,'Shayak Income '!D648,'MPG Payment '!AJ:AJ)</f>
        <v>0</v>
      </c>
      <c r="AP648" s="19">
        <f t="shared" si="189"/>
        <v>0</v>
      </c>
      <c r="AQ648" s="119">
        <f t="shared" si="198"/>
        <v>0</v>
      </c>
      <c r="AR648" s="91" t="s">
        <v>1144</v>
      </c>
      <c r="AS648" s="91">
        <f t="shared" si="190"/>
        <v>0</v>
      </c>
      <c r="AT648" s="118"/>
      <c r="AU648" s="118"/>
      <c r="AV648" s="118"/>
    </row>
    <row r="649" spans="1:48" s="20" customFormat="1" x14ac:dyDescent="0.25">
      <c r="A649" s="17">
        <f>IFERROR(VLOOKUP(D649,'Monthly Deduction'!$I$3:$J$957,2,0),0)</f>
        <v>56120.318094951719</v>
      </c>
      <c r="B649" s="17">
        <f>IFERROR(VLOOKUP(D649,'Monthly Deduction'!$E$3:$F$957,2,0),0)</f>
        <v>12800</v>
      </c>
      <c r="C649" s="17">
        <f t="shared" si="191"/>
        <v>68920.318094951712</v>
      </c>
      <c r="D649" s="41">
        <v>10100016</v>
      </c>
      <c r="E649" s="122" t="str">
        <f>VLOOKUP(D649,'MPG Payment '!$E$3:$G$497305,2,0)</f>
        <v>Gomukh Dumariya Bujurg Madhay</v>
      </c>
      <c r="F649" s="146">
        <f>IFERROR(_xlfn.XLOOKUP(D649,'Monthly Deduction'!$I$3:$I$957,'Monthly Deduction'!$H$3:$H$957),0)</f>
        <v>0</v>
      </c>
      <c r="G649" s="123" t="str">
        <f>VLOOKUP(D649,'MPG Payment '!$E$3:$G$333666,3,0)</f>
        <v>MPG</v>
      </c>
      <c r="H649" s="124" t="str">
        <f>VLOOKUP(D649,'MPG Payment '!$E$3:$H$333666,4,0)</f>
        <v>Direct</v>
      </c>
      <c r="I649" s="88">
        <f>INDEX('MPG Payment '!$C:$C,MATCH('Shayak Income '!D649,'MPG Payment '!E:E,0))</f>
        <v>1010</v>
      </c>
      <c r="J649" s="88" t="str">
        <f>INDEX('MPG Payment '!$D:$D,MATCH('Shayak Income '!D649,'MPG Payment '!E:E,0))</f>
        <v>Parbatta</v>
      </c>
      <c r="K649" s="125" t="s">
        <v>1594</v>
      </c>
      <c r="L649" s="125">
        <v>45016</v>
      </c>
      <c r="M649" s="126">
        <f>SUMIF('MPG Payment '!$E$3:$E$344841,'Shayak Income '!D649,'MPG Payment '!$I$3:$I$344841)</f>
        <v>1083.4000000000001</v>
      </c>
      <c r="N649" s="126">
        <f>SUMIF('MPG Payment '!$E$3:$E$344841,'Shayak Income '!D649,'MPG Payment '!$J$3:$J$344841)</f>
        <v>45888.729999999996</v>
      </c>
      <c r="O649" s="126">
        <f t="shared" si="192"/>
        <v>812.55000000000007</v>
      </c>
      <c r="P649" s="126">
        <f t="shared" si="193"/>
        <v>1029.23</v>
      </c>
      <c r="Q649" s="126">
        <f>SUMIF('MPG Payment '!$E$3:$E$344841,'Shayak Income '!D649,'MPG Payment '!$S$3:$S$344841)</f>
        <v>9078.2999999999993</v>
      </c>
      <c r="R649" s="126">
        <f t="shared" si="184"/>
        <v>1376.6618999999998</v>
      </c>
      <c r="S649" s="126">
        <f t="shared" si="185"/>
        <v>347.43189999999981</v>
      </c>
      <c r="T649" s="126">
        <f t="shared" si="194"/>
        <v>108.34000000000002</v>
      </c>
      <c r="U649" s="127">
        <f>((((((IF(K649="New",0,SUMIF('MPG Payment '!$E$3:$E$344841,'Shayak Income '!D649,'MPG Payment '!$AC$3:$AC$344841))))+0)+0)+0)+0)+0</f>
        <v>1452.5941754825317</v>
      </c>
      <c r="V649" s="127">
        <f t="shared" si="195"/>
        <v>9359</v>
      </c>
      <c r="W649" s="19">
        <f t="shared" si="199"/>
        <v>1861</v>
      </c>
      <c r="X649" s="19">
        <v>0</v>
      </c>
      <c r="Y649" s="128">
        <f>IFERROR(VLOOKUP(D649,'Monthly Deduction'!$M$2:$N$640,2,0),0)</f>
        <v>0</v>
      </c>
      <c r="Z649" s="128">
        <v>5758.4</v>
      </c>
      <c r="AA649" s="126">
        <f>IFERROR(VLOOKUP(D649,'Monthly Deduction'!A:B,2,0),0)</f>
        <v>5.660000000000025</v>
      </c>
      <c r="AB649" s="129">
        <f t="shared" si="186"/>
        <v>1734</v>
      </c>
      <c r="AC649" s="130">
        <v>0</v>
      </c>
      <c r="AD649" s="35">
        <f t="shared" si="196"/>
        <v>1734</v>
      </c>
      <c r="AE649" s="166" t="str">
        <f t="shared" si="197"/>
        <v>Release</v>
      </c>
      <c r="AF649" s="127"/>
      <c r="AG649" s="18">
        <v>0</v>
      </c>
      <c r="AH649" s="132" t="s">
        <v>1680</v>
      </c>
      <c r="AI649" s="238">
        <v>0</v>
      </c>
      <c r="AJ649" s="132"/>
      <c r="AK649" s="151">
        <v>182.00000000000003</v>
      </c>
      <c r="AL649" s="154">
        <f t="shared" si="187"/>
        <v>0</v>
      </c>
      <c r="AM649" s="155"/>
      <c r="AN649" s="19">
        <f t="shared" si="188"/>
        <v>1861</v>
      </c>
      <c r="AO649" s="118">
        <f>SUMIF('MPG Payment '!E:E,'Shayak Income '!D649,'MPG Payment '!AJ:AJ)</f>
        <v>0</v>
      </c>
      <c r="AP649" s="19">
        <f t="shared" si="189"/>
        <v>1861</v>
      </c>
      <c r="AQ649" s="119">
        <f t="shared" si="198"/>
        <v>1861</v>
      </c>
      <c r="AR649" s="91" t="s">
        <v>1144</v>
      </c>
      <c r="AS649" s="91">
        <f t="shared" si="190"/>
        <v>12800</v>
      </c>
      <c r="AT649" s="118"/>
      <c r="AU649" s="118"/>
      <c r="AV649" s="118"/>
    </row>
    <row r="650" spans="1:48" s="20" customFormat="1" x14ac:dyDescent="0.25">
      <c r="A650" s="17">
        <f>IFERROR(VLOOKUP(D650,'Monthly Deduction'!$I$3:$J$957,2,0),0)</f>
        <v>0</v>
      </c>
      <c r="B650" s="17">
        <f>IFERROR(VLOOKUP(D650,'Monthly Deduction'!$E$3:$F$957,2,0),0)</f>
        <v>0</v>
      </c>
      <c r="C650" s="17">
        <f t="shared" si="191"/>
        <v>0</v>
      </c>
      <c r="D650" s="41">
        <v>10100044</v>
      </c>
      <c r="E650" s="122" t="str">
        <f>VLOOKUP(D650,'MPG Payment '!$E$3:$G$497305,2,0)</f>
        <v>Gomukh Buddhnagar</v>
      </c>
      <c r="F650" s="146">
        <f>IFERROR(_xlfn.XLOOKUP(D650,'Monthly Deduction'!$I$3:$I$957,'Monthly Deduction'!$H$3:$H$957),0)</f>
        <v>0</v>
      </c>
      <c r="G650" s="123" t="str">
        <f>VLOOKUP(D650,'MPG Payment '!$E$3:$G$333666,3,0)</f>
        <v>vlc</v>
      </c>
      <c r="H650" s="124" t="str">
        <f>VLOOKUP(D650,'MPG Payment '!$E$3:$H$333666,4,0)</f>
        <v>Indirect</v>
      </c>
      <c r="I650" s="88">
        <f>INDEX('MPG Payment '!$C:$C,MATCH('Shayak Income '!D650,'MPG Payment '!E:E,0))</f>
        <v>1007</v>
      </c>
      <c r="J650" s="88" t="str">
        <f>INDEX('MPG Payment '!$D:$D,MATCH('Shayak Income '!D650,'MPG Payment '!E:E,0))</f>
        <v>Araria</v>
      </c>
      <c r="K650" s="125" t="s">
        <v>1594</v>
      </c>
      <c r="L650" s="125">
        <v>45471</v>
      </c>
      <c r="M650" s="126">
        <f>SUMIF('MPG Payment '!$E$3:$E$344841,'Shayak Income '!D650,'MPG Payment '!$I$3:$I$344841)</f>
        <v>4330.0999999999995</v>
      </c>
      <c r="N650" s="126">
        <f>SUMIF('MPG Payment '!$E$3:$E$344841,'Shayak Income '!D650,'MPG Payment '!$J$3:$J$344841)</f>
        <v>168952.52000000002</v>
      </c>
      <c r="O650" s="126">
        <f t="shared" si="192"/>
        <v>3247.5749999999998</v>
      </c>
      <c r="P650" s="126">
        <f t="shared" si="193"/>
        <v>4113.5949999999993</v>
      </c>
      <c r="Q650" s="126">
        <f>SUMIF('MPG Payment '!$E$3:$E$344841,'Shayak Income '!D650,'MPG Payment '!$S$3:$S$344841)</f>
        <v>0</v>
      </c>
      <c r="R650" s="126">
        <f t="shared" si="184"/>
        <v>5068.5756000000001</v>
      </c>
      <c r="S650" s="126">
        <f t="shared" si="185"/>
        <v>954.98060000000078</v>
      </c>
      <c r="T650" s="126">
        <f t="shared" si="194"/>
        <v>433.01</v>
      </c>
      <c r="U650" s="127">
        <f>((((((IF(K650="New",0,SUMIF('MPG Payment '!$E$3:$E$344841,'Shayak Income '!D650,'MPG Payment '!$AC$3:$AC$344841))))+0)+0)+0)+0)+0</f>
        <v>0</v>
      </c>
      <c r="V650" s="127">
        <f t="shared" si="195"/>
        <v>6928</v>
      </c>
      <c r="W650" s="19">
        <f t="shared" si="199"/>
        <v>0</v>
      </c>
      <c r="X650" s="19">
        <f t="shared" si="200"/>
        <v>0</v>
      </c>
      <c r="Y650" s="128">
        <f>IFERROR(VLOOKUP(D650,'Monthly Deduction'!$M$2:$N$640,2,0),0)</f>
        <v>0</v>
      </c>
      <c r="Z650" s="128">
        <v>6928</v>
      </c>
      <c r="AA650" s="126">
        <f>IFERROR(VLOOKUP(D650,'Monthly Deduction'!A:B,2,0),0)</f>
        <v>0</v>
      </c>
      <c r="AB650" s="129">
        <f t="shared" si="186"/>
        <v>0</v>
      </c>
      <c r="AC650" s="130">
        <f>AB650</f>
        <v>0</v>
      </c>
      <c r="AD650" s="35">
        <f t="shared" si="196"/>
        <v>0</v>
      </c>
      <c r="AE650" s="166" t="str">
        <f t="shared" si="197"/>
        <v>Release</v>
      </c>
      <c r="AF650" s="127"/>
      <c r="AG650" s="127">
        <v>0</v>
      </c>
      <c r="AH650" s="120" t="s">
        <v>1690</v>
      </c>
      <c r="AI650" s="238">
        <v>0</v>
      </c>
      <c r="AJ650" s="132"/>
      <c r="AK650" s="151">
        <v>833.49999999999989</v>
      </c>
      <c r="AL650" s="154">
        <f t="shared" si="187"/>
        <v>0</v>
      </c>
      <c r="AM650" s="155"/>
      <c r="AN650" s="19">
        <f t="shared" si="188"/>
        <v>0</v>
      </c>
      <c r="AO650" s="118">
        <f>SUMIF('MPG Payment '!E:E,'Shayak Income '!D650,'MPG Payment '!AJ:AJ)</f>
        <v>0</v>
      </c>
      <c r="AP650" s="19">
        <f t="shared" si="189"/>
        <v>0</v>
      </c>
      <c r="AQ650" s="119">
        <f t="shared" si="198"/>
        <v>0</v>
      </c>
      <c r="AR650" s="91" t="s">
        <v>1144</v>
      </c>
      <c r="AS650" s="91">
        <f t="shared" si="190"/>
        <v>0</v>
      </c>
      <c r="AT650" s="118"/>
      <c r="AU650" s="118"/>
      <c r="AV650" s="118"/>
    </row>
    <row r="651" spans="1:48" s="20" customFormat="1" x14ac:dyDescent="0.25">
      <c r="A651" s="17">
        <f>IFERROR(VLOOKUP(D651,'Monthly Deduction'!$I$3:$J$957,2,0),0)</f>
        <v>0</v>
      </c>
      <c r="B651" s="17">
        <f>IFERROR(VLOOKUP(D651,'Monthly Deduction'!$E$3:$F$957,2,0),0)</f>
        <v>0</v>
      </c>
      <c r="C651" s="17">
        <f t="shared" si="191"/>
        <v>0</v>
      </c>
      <c r="D651" s="41">
        <v>10110176</v>
      </c>
      <c r="E651" s="122" t="str">
        <f>VLOOKUP(D651,'MPG Payment '!$E$3:$G$497305,2,0)</f>
        <v>Chauki-VLC</v>
      </c>
      <c r="F651" s="146">
        <f>IFERROR(_xlfn.XLOOKUP(D651,'Monthly Deduction'!$I$3:$I$957,'Monthly Deduction'!$H$3:$H$957),0)</f>
        <v>0</v>
      </c>
      <c r="G651" s="123" t="str">
        <f>VLOOKUP(D651,'MPG Payment '!$E$3:$G$333666,3,0)</f>
        <v>vlc</v>
      </c>
      <c r="H651" s="124" t="str">
        <f>VLOOKUP(D651,'MPG Payment '!$E$3:$H$333666,4,0)</f>
        <v>Indirect</v>
      </c>
      <c r="I651" s="88">
        <f>INDEX('MPG Payment '!$C:$C,MATCH('Shayak Income '!D651,'MPG Payment '!E:E,0))</f>
        <v>1011</v>
      </c>
      <c r="J651" s="88" t="str">
        <f>INDEX('MPG Payment '!$D:$D,MATCH('Shayak Income '!D651,'MPG Payment '!E:E,0))</f>
        <v>Sahibpur Kamal</v>
      </c>
      <c r="K651" s="125" t="s">
        <v>1594</v>
      </c>
      <c r="L651" s="125">
        <v>45996</v>
      </c>
      <c r="M651" s="126">
        <f>SUMIF('MPG Payment '!$E$3:$E$344841,'Shayak Income '!D651,'MPG Payment '!$I$3:$I$344841)</f>
        <v>2213.8000000000002</v>
      </c>
      <c r="N651" s="126">
        <f>SUMIF('MPG Payment '!$E$3:$E$344841,'Shayak Income '!D651,'MPG Payment '!$J$3:$J$344841)</f>
        <v>89707.62</v>
      </c>
      <c r="O651" s="126">
        <f t="shared" si="192"/>
        <v>1660.3500000000001</v>
      </c>
      <c r="P651" s="126">
        <f t="shared" si="193"/>
        <v>2103.11</v>
      </c>
      <c r="Q651" s="126">
        <f>SUMIF('MPG Payment '!$E$3:$E$344841,'Shayak Income '!D651,'MPG Payment '!$S$3:$S$344841)</f>
        <v>0</v>
      </c>
      <c r="R651" s="126">
        <f t="shared" si="184"/>
        <v>2691.2285999999999</v>
      </c>
      <c r="S651" s="126">
        <f t="shared" si="185"/>
        <v>588.11859999999979</v>
      </c>
      <c r="T651" s="126">
        <f t="shared" si="194"/>
        <v>221.38000000000002</v>
      </c>
      <c r="U651" s="127">
        <f>((((((IF(K651="New",0,SUMIF('MPG Payment '!$E$3:$E$344841,'Shayak Income '!D651,'MPG Payment '!$AC$3:$AC$344841))))+0)+0)+0)+0)+0</f>
        <v>476.75141425598525</v>
      </c>
      <c r="V651" s="127">
        <f t="shared" si="195"/>
        <v>3065</v>
      </c>
      <c r="W651" s="19">
        <f t="shared" si="199"/>
        <v>0</v>
      </c>
      <c r="X651" s="19">
        <f t="shared" si="200"/>
        <v>0</v>
      </c>
      <c r="Y651" s="128">
        <f>IFERROR(VLOOKUP(D651,'Monthly Deduction'!$M$2:$N$640,2,0),0)</f>
        <v>0</v>
      </c>
      <c r="Z651" s="128">
        <v>0</v>
      </c>
      <c r="AA651" s="126">
        <f>IFERROR(VLOOKUP(D651,'Monthly Deduction'!A:B,2,0),0)</f>
        <v>0</v>
      </c>
      <c r="AB651" s="129">
        <f t="shared" si="186"/>
        <v>3065</v>
      </c>
      <c r="AC651" s="130">
        <v>0</v>
      </c>
      <c r="AD651" s="35">
        <f t="shared" si="196"/>
        <v>3065</v>
      </c>
      <c r="AE651" s="166" t="str">
        <f t="shared" si="197"/>
        <v>Release</v>
      </c>
      <c r="AF651" s="127"/>
      <c r="AG651" s="127">
        <v>0</v>
      </c>
      <c r="AH651" s="132"/>
      <c r="AI651" s="238">
        <v>0</v>
      </c>
      <c r="AJ651" s="132"/>
      <c r="AK651" s="151">
        <v>354.99999999999994</v>
      </c>
      <c r="AL651" s="154">
        <f t="shared" si="187"/>
        <v>0</v>
      </c>
      <c r="AM651" s="155"/>
      <c r="AN651" s="19">
        <f t="shared" si="188"/>
        <v>0</v>
      </c>
      <c r="AO651" s="118">
        <f>SUMIF('MPG Payment '!E:E,'Shayak Income '!D651,'MPG Payment '!AJ:AJ)</f>
        <v>0</v>
      </c>
      <c r="AP651" s="19">
        <f t="shared" si="189"/>
        <v>0</v>
      </c>
      <c r="AQ651" s="119">
        <f t="shared" si="198"/>
        <v>0</v>
      </c>
      <c r="AR651" s="91" t="s">
        <v>1144</v>
      </c>
      <c r="AS651" s="91">
        <f t="shared" si="190"/>
        <v>0</v>
      </c>
      <c r="AT651" s="118"/>
      <c r="AU651" s="118"/>
      <c r="AV651" s="118"/>
    </row>
    <row r="652" spans="1:48" s="20" customFormat="1" x14ac:dyDescent="0.25">
      <c r="A652" s="17">
        <f>IFERROR(VLOOKUP(D652,'Monthly Deduction'!$I$3:$J$957,2,0),0)</f>
        <v>0</v>
      </c>
      <c r="B652" s="17">
        <f>IFERROR(VLOOKUP(D652,'Monthly Deduction'!$E$3:$F$957,2,0),0)</f>
        <v>0</v>
      </c>
      <c r="C652" s="17">
        <f t="shared" si="191"/>
        <v>0</v>
      </c>
      <c r="D652" s="41">
        <v>10130088</v>
      </c>
      <c r="E652" s="122" t="str">
        <f>VLOOKUP(D652,'MPG Payment '!$E$3:$G$497305,2,0)</f>
        <v>Gomukh Patepur</v>
      </c>
      <c r="F652" s="146">
        <f>IFERROR(_xlfn.XLOOKUP(D652,'Monthly Deduction'!$I$3:$I$957,'Monthly Deduction'!$H$3:$H$957),0)</f>
        <v>0</v>
      </c>
      <c r="G652" s="123" t="str">
        <f>VLOOKUP(D652,'MPG Payment '!$E$3:$G$333666,3,0)</f>
        <v>vlc</v>
      </c>
      <c r="H652" s="124" t="str">
        <f>VLOOKUP(D652,'MPG Payment '!$E$3:$H$333666,4,0)</f>
        <v>Indirect</v>
      </c>
      <c r="I652" s="88">
        <f>INDEX('MPG Payment '!$C:$C,MATCH('Shayak Income '!D652,'MPG Payment '!E:E,0))</f>
        <v>1013</v>
      </c>
      <c r="J652" s="88" t="str">
        <f>INDEX('MPG Payment '!$D:$D,MATCH('Shayak Income '!D652,'MPG Payment '!E:E,0))</f>
        <v>Musrigharari</v>
      </c>
      <c r="K652" s="125" t="s">
        <v>1594</v>
      </c>
      <c r="L652" s="125">
        <v>45690</v>
      </c>
      <c r="M652" s="126">
        <f>SUMIF('MPG Payment '!$E$3:$E$344841,'Shayak Income '!D652,'MPG Payment '!$I$3:$I$344841)</f>
        <v>1190.5999999999999</v>
      </c>
      <c r="N652" s="126">
        <f>SUMIF('MPG Payment '!$E$3:$E$344841,'Shayak Income '!D652,'MPG Payment '!$J$3:$J$344841)</f>
        <v>42329.07</v>
      </c>
      <c r="O652" s="126">
        <f t="shared" si="192"/>
        <v>892.94999999999993</v>
      </c>
      <c r="P652" s="126">
        <f t="shared" si="193"/>
        <v>1131.07</v>
      </c>
      <c r="Q652" s="126">
        <f>SUMIF('MPG Payment '!$E$3:$E$344841,'Shayak Income '!D652,'MPG Payment '!$S$3:$S$344841)</f>
        <v>0</v>
      </c>
      <c r="R652" s="126">
        <f t="shared" si="184"/>
        <v>1269.8721</v>
      </c>
      <c r="S652" s="126">
        <f t="shared" si="185"/>
        <v>138.80210000000011</v>
      </c>
      <c r="T652" s="126">
        <f t="shared" si="194"/>
        <v>119.06</v>
      </c>
      <c r="U652" s="127">
        <f>((((((IF(K652="New",0,SUMIF('MPG Payment '!$E$3:$E$344841,'Shayak Income '!D652,'MPG Payment '!$AC$3:$AC$344841))))+0)+0)+0)+0)+0</f>
        <v>1149.6247129579363</v>
      </c>
      <c r="V652" s="127">
        <f t="shared" si="195"/>
        <v>755</v>
      </c>
      <c r="W652" s="19">
        <f t="shared" si="199"/>
        <v>0</v>
      </c>
      <c r="X652" s="19">
        <f t="shared" si="200"/>
        <v>0</v>
      </c>
      <c r="Y652" s="128">
        <f>IFERROR(VLOOKUP(D652,'Monthly Deduction'!$M$2:$N$640,2,0),0)</f>
        <v>0</v>
      </c>
      <c r="Z652" s="128">
        <v>0</v>
      </c>
      <c r="AA652" s="126">
        <f>IFERROR(VLOOKUP(D652,'Monthly Deduction'!A:B,2,0),0)</f>
        <v>0</v>
      </c>
      <c r="AB652" s="129">
        <f t="shared" si="186"/>
        <v>755</v>
      </c>
      <c r="AC652" s="130">
        <v>0</v>
      </c>
      <c r="AD652" s="35">
        <f t="shared" si="196"/>
        <v>755</v>
      </c>
      <c r="AE652" s="166" t="str">
        <f t="shared" si="197"/>
        <v>Release</v>
      </c>
      <c r="AF652" s="127"/>
      <c r="AG652" s="18">
        <v>0</v>
      </c>
      <c r="AH652" s="132"/>
      <c r="AI652" s="238">
        <v>0</v>
      </c>
      <c r="AJ652" s="132"/>
      <c r="AK652" s="151">
        <v>276.10000000000002</v>
      </c>
      <c r="AL652" s="154">
        <f t="shared" si="187"/>
        <v>0</v>
      </c>
      <c r="AM652" s="155"/>
      <c r="AN652" s="19">
        <f t="shared" si="188"/>
        <v>0</v>
      </c>
      <c r="AO652" s="118">
        <f>SUMIF('MPG Payment '!E:E,'Shayak Income '!D652,'MPG Payment '!AJ:AJ)</f>
        <v>0</v>
      </c>
      <c r="AP652" s="19">
        <f t="shared" si="189"/>
        <v>0</v>
      </c>
      <c r="AQ652" s="119">
        <f t="shared" si="198"/>
        <v>0</v>
      </c>
      <c r="AR652" s="91"/>
      <c r="AS652" s="91">
        <f t="shared" si="190"/>
        <v>0</v>
      </c>
      <c r="AT652" s="118"/>
      <c r="AU652" s="118"/>
      <c r="AV652" s="118"/>
    </row>
    <row r="653" spans="1:48" s="20" customFormat="1" x14ac:dyDescent="0.25">
      <c r="A653" s="17">
        <f>IFERROR(VLOOKUP(D653,'Monthly Deduction'!$I$3:$J$957,2,0),0)</f>
        <v>0</v>
      </c>
      <c r="B653" s="17">
        <f>IFERROR(VLOOKUP(D653,'Monthly Deduction'!$E$3:$F$957,2,0),0)</f>
        <v>0</v>
      </c>
      <c r="C653" s="17">
        <f t="shared" si="191"/>
        <v>0</v>
      </c>
      <c r="D653" s="41">
        <v>10140157</v>
      </c>
      <c r="E653" s="122" t="str">
        <f>VLOOKUP(D653,'MPG Payment '!$E$3:$G$497305,2,0)</f>
        <v>Gomukh Basawkala Sudhir Kumar</v>
      </c>
      <c r="F653" s="146">
        <f>IFERROR(_xlfn.XLOOKUP(D653,'Monthly Deduction'!$I$3:$I$957,'Monthly Deduction'!$H$3:$H$957),0)</f>
        <v>0</v>
      </c>
      <c r="G653" s="123" t="str">
        <f>VLOOKUP(D653,'MPG Payment '!$E$3:$G$333666,3,0)</f>
        <v>vlc</v>
      </c>
      <c r="H653" s="124" t="str">
        <f>VLOOKUP(D653,'MPG Payment '!$E$3:$H$333666,4,0)</f>
        <v>Indirect</v>
      </c>
      <c r="I653" s="88">
        <f>INDEX('MPG Payment '!$C:$C,MATCH('Shayak Income '!D653,'MPG Payment '!E:E,0))</f>
        <v>1014</v>
      </c>
      <c r="J653" s="88" t="str">
        <f>INDEX('MPG Payment '!$D:$D,MATCH('Shayak Income '!D653,'MPG Payment '!E:E,0))</f>
        <v>Dumraon</v>
      </c>
      <c r="K653" s="125" t="s">
        <v>1594</v>
      </c>
      <c r="L653" s="125">
        <v>45687</v>
      </c>
      <c r="M653" s="126">
        <f>SUMIF('MPG Payment '!$E$3:$E$344841,'Shayak Income '!D653,'MPG Payment '!$I$3:$I$344841)</f>
        <v>680.69999999999993</v>
      </c>
      <c r="N653" s="126">
        <f>SUMIF('MPG Payment '!$E$3:$E$344841,'Shayak Income '!D653,'MPG Payment '!$J$3:$J$344841)</f>
        <v>27551.5</v>
      </c>
      <c r="O653" s="126">
        <f t="shared" si="192"/>
        <v>510.52499999999998</v>
      </c>
      <c r="P653" s="126">
        <f t="shared" si="193"/>
        <v>646.66499999999985</v>
      </c>
      <c r="Q653" s="126">
        <f>SUMIF('MPG Payment '!$E$3:$E$344841,'Shayak Income '!D653,'MPG Payment '!$S$3:$S$344841)</f>
        <v>0</v>
      </c>
      <c r="R653" s="126">
        <f t="shared" si="184"/>
        <v>826.54499999999996</v>
      </c>
      <c r="S653" s="126">
        <f t="shared" si="185"/>
        <v>179.88000000000011</v>
      </c>
      <c r="T653" s="126">
        <f t="shared" si="194"/>
        <v>68.069999999999993</v>
      </c>
      <c r="U653" s="127">
        <f>((((((IF(K653="New",0,SUMIF('MPG Payment '!$E$3:$E$344841,'Shayak Income '!D653,'MPG Payment '!$AC$3:$AC$344841))))+0)+0)+0)+0)+-404</f>
        <v>1088.6207503293751</v>
      </c>
      <c r="V653" s="127">
        <f t="shared" si="195"/>
        <v>0</v>
      </c>
      <c r="W653" s="19">
        <v>0</v>
      </c>
      <c r="X653" s="19">
        <v>0</v>
      </c>
      <c r="Y653" s="128">
        <v>0</v>
      </c>
      <c r="Z653" s="128">
        <v>0</v>
      </c>
      <c r="AA653" s="126">
        <v>0</v>
      </c>
      <c r="AB653" s="129">
        <f t="shared" si="186"/>
        <v>0</v>
      </c>
      <c r="AC653" s="130">
        <v>0</v>
      </c>
      <c r="AD653" s="35">
        <f t="shared" si="196"/>
        <v>0</v>
      </c>
      <c r="AE653" s="166" t="str">
        <f t="shared" si="197"/>
        <v>Release</v>
      </c>
      <c r="AF653" s="127"/>
      <c r="AG653" s="18">
        <v>0</v>
      </c>
      <c r="AH653" s="120"/>
      <c r="AI653" s="238">
        <v>0</v>
      </c>
      <c r="AJ653" s="132"/>
      <c r="AK653" s="151">
        <v>17.3</v>
      </c>
      <c r="AL653" s="154">
        <f t="shared" si="187"/>
        <v>0</v>
      </c>
      <c r="AM653" s="155"/>
      <c r="AN653" s="19">
        <f t="shared" si="188"/>
        <v>0</v>
      </c>
      <c r="AO653" s="118">
        <f>SUMIF('MPG Payment '!E:E,'Shayak Income '!D653,'MPG Payment '!AJ:AJ)</f>
        <v>0</v>
      </c>
      <c r="AP653" s="19">
        <f t="shared" si="189"/>
        <v>0</v>
      </c>
      <c r="AQ653" s="119">
        <f t="shared" si="198"/>
        <v>0</v>
      </c>
      <c r="AR653" s="91" t="s">
        <v>1144</v>
      </c>
      <c r="AS653" s="91">
        <f t="shared" si="190"/>
        <v>0</v>
      </c>
      <c r="AT653" s="118"/>
      <c r="AU653" s="118"/>
      <c r="AV653" s="118"/>
    </row>
    <row r="654" spans="1:48" s="20" customFormat="1" x14ac:dyDescent="0.25">
      <c r="A654" s="17">
        <f>IFERROR(VLOOKUP(D654,'Monthly Deduction'!$I$3:$J$957,2,0),0)</f>
        <v>0</v>
      </c>
      <c r="B654" s="17">
        <f>IFERROR(VLOOKUP(D654,'Monthly Deduction'!$E$3:$F$957,2,0),0)</f>
        <v>0</v>
      </c>
      <c r="C654" s="17">
        <f t="shared" si="191"/>
        <v>0</v>
      </c>
      <c r="D654" s="41">
        <v>10540027</v>
      </c>
      <c r="E654" s="122" t="str">
        <f>VLOOKUP(D654,'MPG Payment '!$E$3:$G$497305,2,0)</f>
        <v>RAJAURA VLC</v>
      </c>
      <c r="F654" s="146">
        <f>IFERROR(_xlfn.XLOOKUP(D654,'Monthly Deduction'!$I$3:$I$957,'Monthly Deduction'!$H$3:$H$957),0)</f>
        <v>0</v>
      </c>
      <c r="G654" s="123" t="str">
        <f>VLOOKUP(D654,'MPG Payment '!$E$3:$G$333666,3,0)</f>
        <v>vlc</v>
      </c>
      <c r="H654" s="124" t="str">
        <f>VLOOKUP(D654,'MPG Payment '!$E$3:$H$333666,4,0)</f>
        <v>Indirect</v>
      </c>
      <c r="I654" s="88">
        <f>INDEX('MPG Payment '!$C:$C,MATCH('Shayak Income '!D654,'MPG Payment '!E:E,0))</f>
        <v>1054</v>
      </c>
      <c r="J654" s="88" t="str">
        <f>INDEX('MPG Payment '!$D:$D,MATCH('Shayak Income '!D654,'MPG Payment '!E:E,0))</f>
        <v xml:space="preserve">Alauli </v>
      </c>
      <c r="K654" s="125" t="s">
        <v>1594</v>
      </c>
      <c r="L654" s="125">
        <v>46000</v>
      </c>
      <c r="M654" s="126">
        <f>SUMIF('MPG Payment '!$E$3:$E$344841,'Shayak Income '!D654,'MPG Payment '!$I$3:$I$344841)</f>
        <v>3645.9</v>
      </c>
      <c r="N654" s="126">
        <f>SUMIF('MPG Payment '!$E$3:$E$344841,'Shayak Income '!D654,'MPG Payment '!$J$3:$J$344841)</f>
        <v>139428.49</v>
      </c>
      <c r="O654" s="126">
        <f t="shared" si="192"/>
        <v>2734.4250000000002</v>
      </c>
      <c r="P654" s="126">
        <f t="shared" si="193"/>
        <v>3463.605</v>
      </c>
      <c r="Q654" s="126">
        <f>SUMIF('MPG Payment '!$E$3:$E$344841,'Shayak Income '!D654,'MPG Payment '!$S$3:$S$344841)</f>
        <v>0</v>
      </c>
      <c r="R654" s="126">
        <f t="shared" si="184"/>
        <v>4182.8546999999999</v>
      </c>
      <c r="S654" s="126">
        <f t="shared" si="185"/>
        <v>719.24969999999985</v>
      </c>
      <c r="T654" s="126">
        <f t="shared" si="194"/>
        <v>364.59000000000003</v>
      </c>
      <c r="U654" s="127">
        <f>((((((IF(K654="New",0,SUMIF('MPG Payment '!$E$3:$E$344841,'Shayak Income '!D654,'MPG Payment '!$AC$3:$AC$344841))))+0)+0)+0)+0)+0</f>
        <v>0</v>
      </c>
      <c r="V654" s="127">
        <f t="shared" si="195"/>
        <v>5833</v>
      </c>
      <c r="W654" s="19">
        <f t="shared" si="199"/>
        <v>0</v>
      </c>
      <c r="X654" s="19">
        <f t="shared" si="200"/>
        <v>0</v>
      </c>
      <c r="Y654" s="128">
        <f>IFERROR(VLOOKUP(D654,'Monthly Deduction'!$M$2:$N$640,2,0),0)</f>
        <v>0</v>
      </c>
      <c r="Z654" s="128">
        <v>0</v>
      </c>
      <c r="AA654" s="126">
        <f>IFERROR(VLOOKUP(D654,'Monthly Deduction'!A:B,2,0),0)</f>
        <v>0</v>
      </c>
      <c r="AB654" s="129">
        <f t="shared" si="186"/>
        <v>5833</v>
      </c>
      <c r="AC654" s="130">
        <v>0</v>
      </c>
      <c r="AD654" s="35">
        <f t="shared" si="196"/>
        <v>5833</v>
      </c>
      <c r="AE654" s="166" t="str">
        <f t="shared" si="197"/>
        <v>Release</v>
      </c>
      <c r="AF654" s="127"/>
      <c r="AG654" s="127">
        <v>0</v>
      </c>
      <c r="AH654" s="120"/>
      <c r="AI654" s="238">
        <v>0</v>
      </c>
      <c r="AJ654" s="132"/>
      <c r="AK654" s="151">
        <v>374.2</v>
      </c>
      <c r="AL654" s="154">
        <f t="shared" si="187"/>
        <v>0</v>
      </c>
      <c r="AM654" s="155"/>
      <c r="AN654" s="19">
        <f t="shared" si="188"/>
        <v>0</v>
      </c>
      <c r="AO654" s="118">
        <f>SUMIF('MPG Payment '!E:E,'Shayak Income '!D654,'MPG Payment '!AJ:AJ)</f>
        <v>0</v>
      </c>
      <c r="AP654" s="19">
        <f t="shared" si="189"/>
        <v>0</v>
      </c>
      <c r="AQ654" s="119">
        <f t="shared" si="198"/>
        <v>0</v>
      </c>
      <c r="AR654" s="91" t="s">
        <v>1144</v>
      </c>
      <c r="AS654" s="91">
        <f t="shared" si="190"/>
        <v>0</v>
      </c>
      <c r="AT654" s="118"/>
      <c r="AU654" s="118"/>
      <c r="AV654" s="118"/>
    </row>
    <row r="655" spans="1:48" s="20" customFormat="1" x14ac:dyDescent="0.25">
      <c r="A655" s="17">
        <f>IFERROR(VLOOKUP(D655,'Monthly Deduction'!$I$3:$J$957,2,0),0)</f>
        <v>0</v>
      </c>
      <c r="B655" s="17">
        <f>IFERROR(VLOOKUP(D655,'Monthly Deduction'!$E$3:$F$957,2,0),0)</f>
        <v>0</v>
      </c>
      <c r="C655" s="17">
        <f t="shared" si="191"/>
        <v>0</v>
      </c>
      <c r="D655" s="41">
        <v>10070058</v>
      </c>
      <c r="E655" s="122" t="str">
        <f>VLOOKUP(D655,'MPG Payment '!$E$3:$G$497305,2,0)</f>
        <v>Gomukh Malpa Dhutauli VLC</v>
      </c>
      <c r="F655" s="146">
        <f>IFERROR(_xlfn.XLOOKUP(D655,'Monthly Deduction'!$I$3:$I$957,'Monthly Deduction'!$H$3:$H$957),0)</f>
        <v>0</v>
      </c>
      <c r="G655" s="123" t="str">
        <f>VLOOKUP(D655,'MPG Payment '!$E$3:$G$333666,3,0)</f>
        <v>vlc</v>
      </c>
      <c r="H655" s="124" t="str">
        <f>VLOOKUP(D655,'MPG Payment '!$E$3:$H$333666,4,0)</f>
        <v>Indirect</v>
      </c>
      <c r="I655" s="88">
        <f>INDEX('MPG Payment '!$C:$C,MATCH('Shayak Income '!D655,'MPG Payment '!E:E,0))</f>
        <v>1056</v>
      </c>
      <c r="J655" s="88" t="str">
        <f>INDEX('MPG Payment '!$D:$D,MATCH('Shayak Income '!D655,'MPG Payment '!E:E,0))</f>
        <v>Chautham</v>
      </c>
      <c r="K655" s="125" t="s">
        <v>1594</v>
      </c>
      <c r="L655" s="125">
        <v>45709</v>
      </c>
      <c r="M655" s="126">
        <f>SUMIF('MPG Payment '!$E$3:$E$344841,'Shayak Income '!D655,'MPG Payment '!$I$3:$I$344841)</f>
        <v>400.91999999999996</v>
      </c>
      <c r="N655" s="126">
        <f>SUMIF('MPG Payment '!$E$3:$E$344841,'Shayak Income '!D655,'MPG Payment '!$J$3:$J$344841)</f>
        <v>13818.580000000002</v>
      </c>
      <c r="O655" s="126">
        <f t="shared" si="192"/>
        <v>300.68999999999994</v>
      </c>
      <c r="P655" s="126">
        <f t="shared" si="193"/>
        <v>380.87399999999997</v>
      </c>
      <c r="Q655" s="126">
        <f>SUMIF('MPG Payment '!$E$3:$E$344841,'Shayak Income '!D655,'MPG Payment '!$S$3:$S$344841)</f>
        <v>0</v>
      </c>
      <c r="R655" s="126">
        <f t="shared" si="184"/>
        <v>414.55740000000003</v>
      </c>
      <c r="S655" s="126">
        <f t="shared" si="185"/>
        <v>33.683400000000063</v>
      </c>
      <c r="T655" s="126">
        <f t="shared" si="194"/>
        <v>40.091999999999999</v>
      </c>
      <c r="U655" s="127">
        <f>((((((IF(K655="New",0,SUMIF('MPG Payment '!$E$3:$E$344841,'Shayak Income '!D655,'MPG Payment '!$AC$3:$AC$344841))))+0)+0)+0)+0)+-1029</f>
        <v>641.58886255310063</v>
      </c>
      <c r="V655" s="127">
        <f t="shared" si="195"/>
        <v>0</v>
      </c>
      <c r="W655" s="19">
        <v>0</v>
      </c>
      <c r="X655" s="19">
        <v>0</v>
      </c>
      <c r="Y655" s="128">
        <v>0</v>
      </c>
      <c r="Z655" s="128">
        <v>0</v>
      </c>
      <c r="AA655" s="126">
        <v>0</v>
      </c>
      <c r="AB655" s="129">
        <f t="shared" si="186"/>
        <v>0</v>
      </c>
      <c r="AC655" s="130">
        <v>0</v>
      </c>
      <c r="AD655" s="35">
        <f t="shared" si="196"/>
        <v>0</v>
      </c>
      <c r="AE655" s="166" t="str">
        <f t="shared" si="197"/>
        <v>Release</v>
      </c>
      <c r="AF655" s="127"/>
      <c r="AG655" s="18">
        <v>0</v>
      </c>
      <c r="AH655" s="132"/>
      <c r="AI655" s="238">
        <v>0</v>
      </c>
      <c r="AJ655" s="132"/>
      <c r="AK655" s="151">
        <v>18.759999999999998</v>
      </c>
      <c r="AL655" s="154">
        <f t="shared" si="187"/>
        <v>0</v>
      </c>
      <c r="AM655" s="155"/>
      <c r="AN655" s="19">
        <f t="shared" si="188"/>
        <v>0</v>
      </c>
      <c r="AO655" s="118">
        <f>SUMIF('MPG Payment '!E:E,'Shayak Income '!D655,'MPG Payment '!AJ:AJ)</f>
        <v>0</v>
      </c>
      <c r="AP655" s="19">
        <f t="shared" si="189"/>
        <v>0</v>
      </c>
      <c r="AQ655" s="119">
        <f t="shared" si="198"/>
        <v>0</v>
      </c>
      <c r="AR655" s="91" t="s">
        <v>1144</v>
      </c>
      <c r="AS655" s="91">
        <f t="shared" si="190"/>
        <v>0</v>
      </c>
      <c r="AT655" s="118"/>
      <c r="AU655" s="118"/>
      <c r="AV655" s="118"/>
    </row>
    <row r="656" spans="1:48" s="20" customFormat="1" x14ac:dyDescent="0.25">
      <c r="A656" s="17">
        <f>IFERROR(VLOOKUP(D656,'Monthly Deduction'!$I$3:$J$957,2,0),0)</f>
        <v>83760.108197161899</v>
      </c>
      <c r="B656" s="17">
        <f>IFERROR(VLOOKUP(D656,'Monthly Deduction'!$E$3:$F$957,2,0),0)</f>
        <v>6400</v>
      </c>
      <c r="C656" s="17">
        <f t="shared" si="191"/>
        <v>90160.108197161899</v>
      </c>
      <c r="D656" s="41">
        <v>10090072</v>
      </c>
      <c r="E656" s="122" t="str">
        <f>VLOOKUP(D656,'MPG Payment '!$E$3:$G$497305,2,0)</f>
        <v>BOUDHNAGAR</v>
      </c>
      <c r="F656" s="146">
        <f>IFERROR(_xlfn.XLOOKUP(D656,'Monthly Deduction'!$I$3:$I$957,'Monthly Deduction'!$H$3:$H$957),0)</f>
        <v>0</v>
      </c>
      <c r="G656" s="123" t="str">
        <f>VLOOKUP(D656,'MPG Payment '!$E$3:$G$333666,3,0)</f>
        <v>MPG</v>
      </c>
      <c r="H656" s="124" t="str">
        <f>VLOOKUP(D656,'MPG Payment '!$E$3:$H$333666,4,0)</f>
        <v>Direct</v>
      </c>
      <c r="I656" s="88">
        <f>INDEX('MPG Payment '!$C:$C,MATCH('Shayak Income '!D656,'MPG Payment '!E:E,0))</f>
        <v>1009</v>
      </c>
      <c r="J656" s="88" t="str">
        <f>INDEX('MPG Payment '!$D:$D,MATCH('Shayak Income '!D656,'MPG Payment '!E:E,0))</f>
        <v>Halsi</v>
      </c>
      <c r="K656" s="125" t="s">
        <v>1594</v>
      </c>
      <c r="L656" s="125">
        <v>46005</v>
      </c>
      <c r="M656" s="126">
        <f>SUMIF('MPG Payment '!$E$3:$E$344841,'Shayak Income '!D656,'MPG Payment '!$I$3:$I$344841)</f>
        <v>1481.1</v>
      </c>
      <c r="N656" s="126">
        <f>SUMIF('MPG Payment '!$E$3:$E$344841,'Shayak Income '!D656,'MPG Payment '!$J$3:$J$344841)</f>
        <v>58995</v>
      </c>
      <c r="O656" s="126">
        <f t="shared" si="192"/>
        <v>1110.8249999999998</v>
      </c>
      <c r="P656" s="126">
        <f t="shared" si="193"/>
        <v>1407.0449999999998</v>
      </c>
      <c r="Q656" s="126">
        <f>SUMIF('MPG Payment '!$E$3:$E$344841,'Shayak Income '!D656,'MPG Payment '!$S$3:$S$344841)</f>
        <v>0</v>
      </c>
      <c r="R656" s="126">
        <f t="shared" si="184"/>
        <v>1769.85</v>
      </c>
      <c r="S656" s="126">
        <f t="shared" si="185"/>
        <v>362.80500000000006</v>
      </c>
      <c r="T656" s="126">
        <f t="shared" si="194"/>
        <v>148.10999999999999</v>
      </c>
      <c r="U656" s="127">
        <f>((((((IF(K656="New",0,SUMIF('MPG Payment '!$E$3:$E$344841,'Shayak Income '!D656,'MPG Payment '!$AC$3:$AC$344841))))+0)+0)+0)+0)+0</f>
        <v>1048.3467513324067</v>
      </c>
      <c r="V656" s="127">
        <f t="shared" si="195"/>
        <v>1321</v>
      </c>
      <c r="W656" s="19">
        <v>1321</v>
      </c>
      <c r="X656" s="19">
        <v>0</v>
      </c>
      <c r="Y656" s="128">
        <f>IFERROR(VLOOKUP(D656,'Monthly Deduction'!$M$2:$N$640,2,0),0)</f>
        <v>0</v>
      </c>
      <c r="Z656" s="128">
        <v>0</v>
      </c>
      <c r="AA656" s="126">
        <v>0</v>
      </c>
      <c r="AB656" s="129">
        <f t="shared" si="186"/>
        <v>0</v>
      </c>
      <c r="AC656" s="130">
        <v>0</v>
      </c>
      <c r="AD656" s="35">
        <f t="shared" si="196"/>
        <v>0</v>
      </c>
      <c r="AE656" s="166" t="str">
        <f t="shared" si="197"/>
        <v>Release</v>
      </c>
      <c r="AF656" s="127"/>
      <c r="AG656" s="18">
        <v>0</v>
      </c>
      <c r="AH656" s="120"/>
      <c r="AI656" s="238">
        <v>0</v>
      </c>
      <c r="AJ656" s="132"/>
      <c r="AK656" s="151">
        <v>239.7</v>
      </c>
      <c r="AL656" s="154">
        <f t="shared" si="187"/>
        <v>0</v>
      </c>
      <c r="AM656" s="155"/>
      <c r="AN656" s="19">
        <f t="shared" si="188"/>
        <v>1861</v>
      </c>
      <c r="AO656" s="118">
        <f>SUMIF('MPG Payment '!E:E,'Shayak Income '!D656,'MPG Payment '!AJ:AJ)</f>
        <v>0</v>
      </c>
      <c r="AP656" s="19">
        <f t="shared" si="189"/>
        <v>1321</v>
      </c>
      <c r="AQ656" s="119">
        <f t="shared" si="198"/>
        <v>1321</v>
      </c>
      <c r="AR656" s="91" t="s">
        <v>1144</v>
      </c>
      <c r="AS656" s="91">
        <f t="shared" si="190"/>
        <v>6400</v>
      </c>
      <c r="AT656" s="118"/>
      <c r="AU656" s="118"/>
      <c r="AV656" s="118"/>
    </row>
    <row r="657" spans="1:48" s="20" customFormat="1" x14ac:dyDescent="0.25">
      <c r="A657" s="17">
        <f>IFERROR(VLOOKUP(D657,'Monthly Deduction'!$I$3:$J$957,2,0),0)</f>
        <v>0</v>
      </c>
      <c r="B657" s="17">
        <f>IFERROR(VLOOKUP(D657,'Monthly Deduction'!$E$3:$F$957,2,0),0)</f>
        <v>0</v>
      </c>
      <c r="C657" s="17">
        <f t="shared" si="191"/>
        <v>0</v>
      </c>
      <c r="D657" s="41">
        <v>10540039</v>
      </c>
      <c r="E657" s="122" t="str">
        <f>VLOOKUP(D657,'MPG Payment '!$E$3:$G$497305,2,0)</f>
        <v>VLC Dhushmuri Bishanpur</v>
      </c>
      <c r="F657" s="146">
        <f>IFERROR(_xlfn.XLOOKUP(D657,'Monthly Deduction'!$I$3:$I$957,'Monthly Deduction'!$H$3:$H$957),0)</f>
        <v>0</v>
      </c>
      <c r="G657" s="123" t="str">
        <f>VLOOKUP(D657,'MPG Payment '!$E$3:$G$333666,3,0)</f>
        <v>vlc</v>
      </c>
      <c r="H657" s="124" t="str">
        <f>VLOOKUP(D657,'MPG Payment '!$E$3:$H$333666,4,0)</f>
        <v>Indirect</v>
      </c>
      <c r="I657" s="88">
        <f>INDEX('MPG Payment '!$C:$C,MATCH('Shayak Income '!D657,'MPG Payment '!E:E,0))</f>
        <v>1054</v>
      </c>
      <c r="J657" s="88" t="str">
        <f>INDEX('MPG Payment '!$D:$D,MATCH('Shayak Income '!D657,'MPG Payment '!E:E,0))</f>
        <v xml:space="preserve">Alauli </v>
      </c>
      <c r="K657" s="125" t="s">
        <v>1594</v>
      </c>
      <c r="L657" s="125">
        <v>46007</v>
      </c>
      <c r="M657" s="126">
        <f>SUMIF('MPG Payment '!$E$3:$E$344841,'Shayak Income '!D657,'MPG Payment '!$I$3:$I$344841)</f>
        <v>1789.3</v>
      </c>
      <c r="N657" s="126">
        <f>SUMIF('MPG Payment '!$E$3:$E$344841,'Shayak Income '!D657,'MPG Payment '!$J$3:$J$344841)</f>
        <v>60248.420000000006</v>
      </c>
      <c r="O657" s="126">
        <f t="shared" si="192"/>
        <v>1341.9749999999999</v>
      </c>
      <c r="P657" s="126">
        <f t="shared" si="193"/>
        <v>1699.8349999999998</v>
      </c>
      <c r="Q657" s="126">
        <f>SUMIF('MPG Payment '!$E$3:$E$344841,'Shayak Income '!D657,'MPG Payment '!$S$3:$S$344841)</f>
        <v>0</v>
      </c>
      <c r="R657" s="126">
        <f t="shared" si="184"/>
        <v>1807.4526000000001</v>
      </c>
      <c r="S657" s="126">
        <f t="shared" si="185"/>
        <v>107.61760000000027</v>
      </c>
      <c r="T657" s="126">
        <f t="shared" si="194"/>
        <v>178.93</v>
      </c>
      <c r="U657" s="127">
        <f>((((((IF(K657="New",0,SUMIF('MPG Payment '!$E$3:$E$344841,'Shayak Income '!D657,'MPG Payment '!$AC$3:$AC$344841))))+0)+0)+0)+0)+0</f>
        <v>678.70116939292518</v>
      </c>
      <c r="V657" s="127">
        <f t="shared" si="195"/>
        <v>2184</v>
      </c>
      <c r="W657" s="19">
        <f t="shared" si="199"/>
        <v>0</v>
      </c>
      <c r="X657" s="19">
        <f t="shared" si="200"/>
        <v>0</v>
      </c>
      <c r="Y657" s="128">
        <f>IFERROR(VLOOKUP(D657,'Monthly Deduction'!$M$2:$N$640,2,0),0)</f>
        <v>0</v>
      </c>
      <c r="Z657" s="128">
        <v>0</v>
      </c>
      <c r="AA657" s="126">
        <f>IFERROR(VLOOKUP(D657,'Monthly Deduction'!A:B,2,0),0)</f>
        <v>0</v>
      </c>
      <c r="AB657" s="129">
        <f t="shared" si="186"/>
        <v>2184</v>
      </c>
      <c r="AC657" s="130">
        <v>0</v>
      </c>
      <c r="AD657" s="35">
        <f t="shared" si="196"/>
        <v>2184</v>
      </c>
      <c r="AE657" s="166" t="str">
        <f t="shared" si="197"/>
        <v>Release</v>
      </c>
      <c r="AF657" s="127"/>
      <c r="AG657" s="18">
        <v>0</v>
      </c>
      <c r="AH657" s="120"/>
      <c r="AI657" s="238">
        <v>0</v>
      </c>
      <c r="AJ657" s="132"/>
      <c r="AK657" s="151">
        <v>519.59999999999991</v>
      </c>
      <c r="AL657" s="154">
        <f t="shared" si="187"/>
        <v>0</v>
      </c>
      <c r="AM657" s="155"/>
      <c r="AN657" s="19">
        <f t="shared" si="188"/>
        <v>0</v>
      </c>
      <c r="AO657" s="118">
        <f>SUMIF('MPG Payment '!E:E,'Shayak Income '!D657,'MPG Payment '!AJ:AJ)</f>
        <v>0</v>
      </c>
      <c r="AP657" s="19">
        <f t="shared" si="189"/>
        <v>0</v>
      </c>
      <c r="AQ657" s="119">
        <f t="shared" si="198"/>
        <v>0</v>
      </c>
      <c r="AR657" s="91" t="s">
        <v>1144</v>
      </c>
      <c r="AS657" s="91">
        <f t="shared" si="190"/>
        <v>0</v>
      </c>
      <c r="AT657" s="118"/>
      <c r="AU657" s="118"/>
      <c r="AV657" s="118"/>
    </row>
    <row r="658" spans="1:48" s="20" customFormat="1" x14ac:dyDescent="0.25">
      <c r="A658" s="17">
        <f>IFERROR(VLOOKUP(D658,'Monthly Deduction'!$I$3:$J$957,2,0),0)</f>
        <v>0</v>
      </c>
      <c r="B658" s="17">
        <f>IFERROR(VLOOKUP(D658,'Monthly Deduction'!$E$3:$F$957,2,0),0)</f>
        <v>0</v>
      </c>
      <c r="C658" s="17">
        <f t="shared" si="191"/>
        <v>0</v>
      </c>
      <c r="D658" s="41">
        <v>10540040</v>
      </c>
      <c r="E658" s="122" t="str">
        <f>VLOOKUP(D658,'MPG Payment '!$E$3:$G$497305,2,0)</f>
        <v>VLC Govindpur</v>
      </c>
      <c r="F658" s="146">
        <f>IFERROR(_xlfn.XLOOKUP(D658,'Monthly Deduction'!$I$3:$I$957,'Monthly Deduction'!$H$3:$H$957),0)</f>
        <v>0</v>
      </c>
      <c r="G658" s="123" t="str">
        <f>VLOOKUP(D658,'MPG Payment '!$E$3:$G$333666,3,0)</f>
        <v>vlc</v>
      </c>
      <c r="H658" s="124" t="str">
        <f>VLOOKUP(D658,'MPG Payment '!$E$3:$H$333666,4,0)</f>
        <v>Indirect</v>
      </c>
      <c r="I658" s="88">
        <f>INDEX('MPG Payment '!$C:$C,MATCH('Shayak Income '!D658,'MPG Payment '!E:E,0))</f>
        <v>1054</v>
      </c>
      <c r="J658" s="88" t="str">
        <f>INDEX('MPG Payment '!$D:$D,MATCH('Shayak Income '!D658,'MPG Payment '!E:E,0))</f>
        <v xml:space="preserve">Alauli </v>
      </c>
      <c r="K658" s="125" t="s">
        <v>1594</v>
      </c>
      <c r="L658" s="125">
        <v>46007</v>
      </c>
      <c r="M658" s="126">
        <f>SUMIF('MPG Payment '!$E$3:$E$344841,'Shayak Income '!D658,'MPG Payment '!$I$3:$I$344841)</f>
        <v>1912.2999999999997</v>
      </c>
      <c r="N658" s="126">
        <f>SUMIF('MPG Payment '!$E$3:$E$344841,'Shayak Income '!D658,'MPG Payment '!$J$3:$J$344841)</f>
        <v>71577.94</v>
      </c>
      <c r="O658" s="126">
        <f t="shared" si="192"/>
        <v>1434.2249999999999</v>
      </c>
      <c r="P658" s="126">
        <f t="shared" si="193"/>
        <v>1816.6849999999997</v>
      </c>
      <c r="Q658" s="126">
        <f>SUMIF('MPG Payment '!$E$3:$E$344841,'Shayak Income '!D658,'MPG Payment '!$S$3:$S$344841)</f>
        <v>0</v>
      </c>
      <c r="R658" s="126">
        <f t="shared" si="184"/>
        <v>2147.3382000000001</v>
      </c>
      <c r="S658" s="126">
        <f t="shared" si="185"/>
        <v>330.65320000000042</v>
      </c>
      <c r="T658" s="126">
        <f t="shared" si="194"/>
        <v>191.23</v>
      </c>
      <c r="U658" s="127">
        <f>((((((IF(K658="New",0,SUMIF('MPG Payment '!$E$3:$E$344841,'Shayak Income '!D658,'MPG Payment '!$AC$3:$AC$344841))))+0)+0)+0)+0)+0</f>
        <v>311.83012081100179</v>
      </c>
      <c r="V658" s="127">
        <f t="shared" si="195"/>
        <v>2748</v>
      </c>
      <c r="W658" s="19">
        <f t="shared" si="199"/>
        <v>0</v>
      </c>
      <c r="X658" s="19">
        <f t="shared" si="200"/>
        <v>0</v>
      </c>
      <c r="Y658" s="128">
        <f>IFERROR(VLOOKUP(D658,'Monthly Deduction'!$M$2:$N$640,2,0),0)</f>
        <v>0</v>
      </c>
      <c r="Z658" s="128">
        <v>0</v>
      </c>
      <c r="AA658" s="126">
        <f>IFERROR(VLOOKUP(D658,'Monthly Deduction'!A:B,2,0),0)</f>
        <v>0</v>
      </c>
      <c r="AB658" s="129">
        <f t="shared" si="186"/>
        <v>2748</v>
      </c>
      <c r="AC658" s="130">
        <f t="shared" ref="AC658:AC663" si="201">AB658</f>
        <v>2748</v>
      </c>
      <c r="AD658" s="35">
        <f t="shared" si="196"/>
        <v>0</v>
      </c>
      <c r="AE658" s="166" t="str">
        <f t="shared" si="197"/>
        <v>Yes</v>
      </c>
      <c r="AF658" s="127"/>
      <c r="AG658" s="18">
        <v>0</v>
      </c>
      <c r="AH658" s="132" t="s">
        <v>1597</v>
      </c>
      <c r="AI658" s="238">
        <v>0</v>
      </c>
      <c r="AJ658" s="132"/>
      <c r="AK658" s="151">
        <v>0</v>
      </c>
      <c r="AL658" s="154">
        <f t="shared" si="187"/>
        <v>0</v>
      </c>
      <c r="AM658" s="155"/>
      <c r="AN658" s="19">
        <f t="shared" si="188"/>
        <v>0</v>
      </c>
      <c r="AO658" s="118">
        <f>SUMIF('MPG Payment '!E:E,'Shayak Income '!D658,'MPG Payment '!AJ:AJ)</f>
        <v>0</v>
      </c>
      <c r="AP658" s="19">
        <f t="shared" si="189"/>
        <v>0</v>
      </c>
      <c r="AQ658" s="119">
        <f t="shared" si="198"/>
        <v>0</v>
      </c>
      <c r="AR658" s="91" t="s">
        <v>1144</v>
      </c>
      <c r="AS658" s="91">
        <f t="shared" si="190"/>
        <v>0</v>
      </c>
      <c r="AT658" s="118"/>
      <c r="AU658" s="118"/>
      <c r="AV658" s="118"/>
    </row>
    <row r="659" spans="1:48" s="20" customFormat="1" x14ac:dyDescent="0.25">
      <c r="A659" s="17">
        <f>IFERROR(VLOOKUP(D659,'Monthly Deduction'!$I$3:$J$957,2,0),0)</f>
        <v>80339</v>
      </c>
      <c r="B659" s="17">
        <f>IFERROR(VLOOKUP(D659,'Monthly Deduction'!$E$3:$F$957,2,0),0)</f>
        <v>6400</v>
      </c>
      <c r="C659" s="17">
        <f t="shared" si="191"/>
        <v>86739</v>
      </c>
      <c r="D659" s="41">
        <v>10570028</v>
      </c>
      <c r="E659" s="122" t="str">
        <f>VLOOKUP(D659,'MPG Payment '!$E$3:$G$497305,2,0)</f>
        <v>Chhatnesar 2</v>
      </c>
      <c r="F659" s="146">
        <f>IFERROR(_xlfn.XLOOKUP(D659,'Monthly Deduction'!$I$3:$I$957,'Monthly Deduction'!$H$3:$H$957),0)</f>
        <v>0</v>
      </c>
      <c r="G659" s="123" t="str">
        <f>VLOOKUP(D659,'MPG Payment '!$E$3:$G$333666,3,0)</f>
        <v>MPG</v>
      </c>
      <c r="H659" s="124" t="str">
        <f>VLOOKUP(D659,'MPG Payment '!$E$3:$H$333666,4,0)</f>
        <v>Direct</v>
      </c>
      <c r="I659" s="88">
        <f>INDEX('MPG Payment '!$C:$C,MATCH('Shayak Income '!D659,'MPG Payment '!E:E,0))</f>
        <v>1057</v>
      </c>
      <c r="J659" s="88" t="str">
        <f>INDEX('MPG Payment '!$D:$D,MATCH('Shayak Income '!D659,'MPG Payment '!E:E,0))</f>
        <v>Warisnagar</v>
      </c>
      <c r="K659" s="125" t="s">
        <v>1594</v>
      </c>
      <c r="L659" s="125">
        <v>46005</v>
      </c>
      <c r="M659" s="126">
        <f>SUMIF('MPG Payment '!$E$3:$E$344841,'Shayak Income '!D659,'MPG Payment '!$I$3:$I$344841)</f>
        <v>1460.1</v>
      </c>
      <c r="N659" s="126">
        <f>SUMIF('MPG Payment '!$E$3:$E$344841,'Shayak Income '!D659,'MPG Payment '!$J$3:$J$344841)</f>
        <v>55577.8</v>
      </c>
      <c r="O659" s="126">
        <f t="shared" si="192"/>
        <v>1095.0749999999998</v>
      </c>
      <c r="P659" s="126">
        <f t="shared" si="193"/>
        <v>1387.0949999999998</v>
      </c>
      <c r="Q659" s="126">
        <f>SUMIF('MPG Payment '!$E$3:$E$344841,'Shayak Income '!D659,'MPG Payment '!$S$3:$S$344841)</f>
        <v>187.36</v>
      </c>
      <c r="R659" s="126">
        <f t="shared" si="184"/>
        <v>1667.3340000000001</v>
      </c>
      <c r="S659" s="126">
        <f t="shared" si="185"/>
        <v>280.23900000000026</v>
      </c>
      <c r="T659" s="126">
        <f t="shared" si="194"/>
        <v>146.01</v>
      </c>
      <c r="U659" s="127">
        <f>((((((IF(K659="New",0,SUMIF('MPG Payment '!$E$3:$E$344841,'Shayak Income '!D659,'MPG Payment '!$AC$3:$AC$344841))))+0)+0)+0)+0)+0</f>
        <v>1017.6059281165974</v>
      </c>
      <c r="V659" s="127">
        <f t="shared" si="195"/>
        <v>1506</v>
      </c>
      <c r="W659" s="19">
        <v>1506</v>
      </c>
      <c r="X659" s="19">
        <v>0</v>
      </c>
      <c r="Y659" s="128">
        <f>IFERROR(VLOOKUP(D659,'Monthly Deduction'!$M$2:$N$640,2,0),0)</f>
        <v>0</v>
      </c>
      <c r="Z659" s="128">
        <v>0</v>
      </c>
      <c r="AA659" s="126">
        <v>0</v>
      </c>
      <c r="AB659" s="129">
        <f t="shared" si="186"/>
        <v>0</v>
      </c>
      <c r="AC659" s="130">
        <f t="shared" si="201"/>
        <v>0</v>
      </c>
      <c r="AD659" s="35">
        <f t="shared" si="196"/>
        <v>0</v>
      </c>
      <c r="AE659" s="166" t="str">
        <f t="shared" si="197"/>
        <v>Release</v>
      </c>
      <c r="AF659" s="127"/>
      <c r="AG659" s="18">
        <v>0</v>
      </c>
      <c r="AH659" s="120" t="s">
        <v>1685</v>
      </c>
      <c r="AI659" s="238">
        <v>19423</v>
      </c>
      <c r="AJ659" s="132"/>
      <c r="AK659" s="151">
        <v>312.79999999999995</v>
      </c>
      <c r="AL659" s="154">
        <f t="shared" si="187"/>
        <v>0</v>
      </c>
      <c r="AM659" s="155"/>
      <c r="AN659" s="19">
        <f t="shared" si="188"/>
        <v>1861</v>
      </c>
      <c r="AO659" s="118">
        <f>SUMIF('MPG Payment '!E:E,'Shayak Income '!D659,'MPG Payment '!AJ:AJ)</f>
        <v>0</v>
      </c>
      <c r="AP659" s="19">
        <f t="shared" si="189"/>
        <v>1506</v>
      </c>
      <c r="AQ659" s="119">
        <f t="shared" si="198"/>
        <v>1506</v>
      </c>
      <c r="AR659" s="91" t="s">
        <v>1144</v>
      </c>
      <c r="AS659" s="91">
        <f t="shared" si="190"/>
        <v>6400</v>
      </c>
      <c r="AT659" s="118"/>
      <c r="AU659" s="118"/>
      <c r="AV659" s="118"/>
    </row>
    <row r="660" spans="1:48" s="20" customFormat="1" x14ac:dyDescent="0.25">
      <c r="A660" s="17">
        <f>IFERROR(VLOOKUP(D660,'Monthly Deduction'!$I$3:$J$957,2,0),0)</f>
        <v>82571</v>
      </c>
      <c r="B660" s="17">
        <f>IFERROR(VLOOKUP(D660,'Monthly Deduction'!$E$3:$F$957,2,0),0)</f>
        <v>6400</v>
      </c>
      <c r="C660" s="17">
        <f t="shared" si="191"/>
        <v>88971</v>
      </c>
      <c r="D660" s="41">
        <v>10570029</v>
      </c>
      <c r="E660" s="122" t="str">
        <f>VLOOKUP(D660,'MPG Payment '!$E$3:$G$497305,2,0)</f>
        <v>Hajpurwa</v>
      </c>
      <c r="F660" s="146">
        <f>IFERROR(_xlfn.XLOOKUP(D660,'Monthly Deduction'!$I$3:$I$957,'Monthly Deduction'!$H$3:$H$957),0)</f>
        <v>0</v>
      </c>
      <c r="G660" s="123" t="str">
        <f>VLOOKUP(D660,'MPG Payment '!$E$3:$G$333666,3,0)</f>
        <v>MPG</v>
      </c>
      <c r="H660" s="124" t="str">
        <f>VLOOKUP(D660,'MPG Payment '!$E$3:$H$333666,4,0)</f>
        <v>Direct</v>
      </c>
      <c r="I660" s="88">
        <f>INDEX('MPG Payment '!$C:$C,MATCH('Shayak Income '!D660,'MPG Payment '!E:E,0))</f>
        <v>1057</v>
      </c>
      <c r="J660" s="88" t="str">
        <f>INDEX('MPG Payment '!$D:$D,MATCH('Shayak Income '!D660,'MPG Payment '!E:E,0))</f>
        <v>Warisnagar</v>
      </c>
      <c r="K660" s="125" t="s">
        <v>1594</v>
      </c>
      <c r="L660" s="125">
        <v>46005</v>
      </c>
      <c r="M660" s="126">
        <f>SUMIF('MPG Payment '!$E$3:$E$344841,'Shayak Income '!D660,'MPG Payment '!$I$3:$I$344841)</f>
        <v>620.80000000000007</v>
      </c>
      <c r="N660" s="126">
        <f>SUMIF('MPG Payment '!$E$3:$E$344841,'Shayak Income '!D660,'MPG Payment '!$J$3:$J$344841)</f>
        <v>26624.03</v>
      </c>
      <c r="O660" s="126">
        <f t="shared" si="192"/>
        <v>465.6</v>
      </c>
      <c r="P660" s="126">
        <f t="shared" si="193"/>
        <v>589.76</v>
      </c>
      <c r="Q660" s="126">
        <f>SUMIF('MPG Payment '!$E$3:$E$344841,'Shayak Income '!D660,'MPG Payment '!$S$3:$S$344841)</f>
        <v>136.82999999999998</v>
      </c>
      <c r="R660" s="126">
        <f t="shared" si="184"/>
        <v>798.72089999999992</v>
      </c>
      <c r="S660" s="126">
        <f t="shared" si="185"/>
        <v>208.96089999999992</v>
      </c>
      <c r="T660" s="126">
        <f t="shared" si="194"/>
        <v>62.080000000000013</v>
      </c>
      <c r="U660" s="127">
        <f>((((((IF(K660="New",0,SUMIF('MPG Payment '!$E$3:$E$344841,'Shayak Income '!D660,'MPG Payment '!$AC$3:$AC$344841))))+0)+0)+0)+0)+-731</f>
        <v>1129.7224586773705</v>
      </c>
      <c r="V660" s="127">
        <f t="shared" si="195"/>
        <v>0</v>
      </c>
      <c r="W660" s="19">
        <v>0</v>
      </c>
      <c r="X660" s="19">
        <v>0</v>
      </c>
      <c r="Y660" s="128">
        <v>0</v>
      </c>
      <c r="Z660" s="128">
        <v>0</v>
      </c>
      <c r="AA660" s="126">
        <v>0</v>
      </c>
      <c r="AB660" s="129">
        <f t="shared" si="186"/>
        <v>0</v>
      </c>
      <c r="AC660" s="130">
        <f t="shared" si="201"/>
        <v>0</v>
      </c>
      <c r="AD660" s="35">
        <f t="shared" si="196"/>
        <v>0</v>
      </c>
      <c r="AE660" s="166" t="str">
        <f t="shared" si="197"/>
        <v>Release</v>
      </c>
      <c r="AF660" s="127"/>
      <c r="AG660" s="18">
        <v>0</v>
      </c>
      <c r="AH660" s="120" t="s">
        <v>1686</v>
      </c>
      <c r="AI660" s="238">
        <v>19055</v>
      </c>
      <c r="AJ660" s="132"/>
      <c r="AK660" s="151">
        <v>111.3</v>
      </c>
      <c r="AL660" s="154">
        <f t="shared" si="187"/>
        <v>0</v>
      </c>
      <c r="AM660" s="155"/>
      <c r="AN660" s="19">
        <f t="shared" si="188"/>
        <v>1861</v>
      </c>
      <c r="AO660" s="118">
        <f>SUMIF('MPG Payment '!E:E,'Shayak Income '!D660,'MPG Payment '!AJ:AJ)</f>
        <v>0</v>
      </c>
      <c r="AP660" s="19">
        <f t="shared" si="189"/>
        <v>0</v>
      </c>
      <c r="AQ660" s="119">
        <f t="shared" si="198"/>
        <v>0</v>
      </c>
      <c r="AR660" s="91" t="s">
        <v>1144</v>
      </c>
      <c r="AS660" s="91">
        <f t="shared" si="190"/>
        <v>6400</v>
      </c>
      <c r="AT660" s="118"/>
      <c r="AU660" s="118"/>
      <c r="AV660" s="118"/>
    </row>
    <row r="661" spans="1:48" s="20" customFormat="1" x14ac:dyDescent="0.25">
      <c r="A661" s="17">
        <f>IFERROR(VLOOKUP(D661,'Monthly Deduction'!$I$3:$J$957,2,0),0)</f>
        <v>60421.873599999999</v>
      </c>
      <c r="B661" s="17">
        <f>IFERROR(VLOOKUP(D661,'Monthly Deduction'!$E$3:$F$957,2,0),0)</f>
        <v>9600</v>
      </c>
      <c r="C661" s="17">
        <f t="shared" si="191"/>
        <v>70021.873599999992</v>
      </c>
      <c r="D661" s="41">
        <v>10570030</v>
      </c>
      <c r="E661" s="122" t="str">
        <f>VLOOKUP(D661,'MPG Payment '!$E$3:$G$497305,2,0)</f>
        <v>Shekhopur</v>
      </c>
      <c r="F661" s="146">
        <f>IFERROR(_xlfn.XLOOKUP(D661,'Monthly Deduction'!$I$3:$I$957,'Monthly Deduction'!$H$3:$H$957),0)</f>
        <v>0</v>
      </c>
      <c r="G661" s="123" t="str">
        <f>VLOOKUP(D661,'MPG Payment '!$E$3:$G$333666,3,0)</f>
        <v>MPG</v>
      </c>
      <c r="H661" s="124" t="str">
        <f>VLOOKUP(D661,'MPG Payment '!$E$3:$H$333666,4,0)</f>
        <v>Direct</v>
      </c>
      <c r="I661" s="88">
        <f>INDEX('MPG Payment '!$C:$C,MATCH('Shayak Income '!D661,'MPG Payment '!E:E,0))</f>
        <v>1057</v>
      </c>
      <c r="J661" s="88" t="str">
        <f>INDEX('MPG Payment '!$D:$D,MATCH('Shayak Income '!D661,'MPG Payment '!E:E,0))</f>
        <v>Warisnagar</v>
      </c>
      <c r="K661" s="125" t="s">
        <v>1594</v>
      </c>
      <c r="L661" s="125">
        <v>46006</v>
      </c>
      <c r="M661" s="126">
        <f>SUMIF('MPG Payment '!$E$3:$E$344841,'Shayak Income '!D661,'MPG Payment '!$I$3:$I$344841)</f>
        <v>1517.3</v>
      </c>
      <c r="N661" s="126">
        <f>SUMIF('MPG Payment '!$E$3:$E$344841,'Shayak Income '!D661,'MPG Payment '!$J$3:$J$344841)</f>
        <v>57374.11</v>
      </c>
      <c r="O661" s="126">
        <f t="shared" si="192"/>
        <v>1137.9749999999999</v>
      </c>
      <c r="P661" s="126">
        <f t="shared" si="193"/>
        <v>1441.4349999999999</v>
      </c>
      <c r="Q661" s="126">
        <f>SUMIF('MPG Payment '!$E$3:$E$344841,'Shayak Income '!D661,'MPG Payment '!$S$3:$S$344841)</f>
        <v>460.01</v>
      </c>
      <c r="R661" s="126">
        <f t="shared" si="184"/>
        <v>1721.2232999999999</v>
      </c>
      <c r="S661" s="126">
        <f t="shared" si="185"/>
        <v>279.78829999999994</v>
      </c>
      <c r="T661" s="126">
        <f t="shared" si="194"/>
        <v>151.72999999999999</v>
      </c>
      <c r="U661" s="127">
        <f>((((((IF(K661="New",0,SUMIF('MPG Payment '!$E$3:$E$344841,'Shayak Income '!D661,'MPG Payment '!$AC$3:$AC$344841))))+0)+0)+0)+0)+0</f>
        <v>964.89812491980888</v>
      </c>
      <c r="V661" s="127">
        <f t="shared" si="195"/>
        <v>1923</v>
      </c>
      <c r="W661" s="19">
        <f t="shared" si="199"/>
        <v>1861</v>
      </c>
      <c r="X661" s="19">
        <v>0</v>
      </c>
      <c r="Y661" s="128">
        <f>IFERROR(VLOOKUP(D661,'Monthly Deduction'!$M$2:$N$640,2,0),0)</f>
        <v>0</v>
      </c>
      <c r="Z661" s="128">
        <v>0</v>
      </c>
      <c r="AA661" s="126">
        <v>62</v>
      </c>
      <c r="AB661" s="129">
        <f t="shared" si="186"/>
        <v>0</v>
      </c>
      <c r="AC661" s="130">
        <f t="shared" si="201"/>
        <v>0</v>
      </c>
      <c r="AD661" s="35">
        <f t="shared" si="196"/>
        <v>0</v>
      </c>
      <c r="AE661" s="166" t="str">
        <f t="shared" si="197"/>
        <v>Release</v>
      </c>
      <c r="AF661" s="127"/>
      <c r="AG661" s="18">
        <v>0</v>
      </c>
      <c r="AH661" s="120" t="s">
        <v>1683</v>
      </c>
      <c r="AI661" s="238">
        <v>0</v>
      </c>
      <c r="AJ661" s="132"/>
      <c r="AK661" s="151">
        <v>443.00000000000006</v>
      </c>
      <c r="AL661" s="154">
        <f t="shared" si="187"/>
        <v>0</v>
      </c>
      <c r="AM661" s="155"/>
      <c r="AN661" s="19">
        <f t="shared" si="188"/>
        <v>1861</v>
      </c>
      <c r="AO661" s="118">
        <f>SUMIF('MPG Payment '!E:E,'Shayak Income '!D661,'MPG Payment '!AJ:AJ)</f>
        <v>0</v>
      </c>
      <c r="AP661" s="19">
        <f t="shared" si="189"/>
        <v>1861</v>
      </c>
      <c r="AQ661" s="119">
        <f t="shared" si="198"/>
        <v>1861</v>
      </c>
      <c r="AR661" s="91"/>
      <c r="AS661" s="91">
        <f t="shared" si="190"/>
        <v>9600</v>
      </c>
      <c r="AT661" s="118"/>
      <c r="AU661" s="118"/>
      <c r="AV661" s="118"/>
    </row>
    <row r="662" spans="1:48" s="20" customFormat="1" x14ac:dyDescent="0.25">
      <c r="A662" s="17">
        <f>IFERROR(VLOOKUP(D662,'Monthly Deduction'!$I$3:$J$957,2,0),0)</f>
        <v>67599</v>
      </c>
      <c r="B662" s="17">
        <f>IFERROR(VLOOKUP(D662,'Monthly Deduction'!$E$3:$F$957,2,0),0)</f>
        <v>6400</v>
      </c>
      <c r="C662" s="17">
        <f t="shared" si="191"/>
        <v>73999</v>
      </c>
      <c r="D662" s="41">
        <v>10570031</v>
      </c>
      <c r="E662" s="122" t="str">
        <f>VLOOKUP(D662,'MPG Payment '!$E$3:$G$497305,2,0)</f>
        <v>Dharampur</v>
      </c>
      <c r="F662" s="146">
        <f>IFERROR(_xlfn.XLOOKUP(D662,'Monthly Deduction'!$I$3:$I$957,'Monthly Deduction'!$H$3:$H$957),0)</f>
        <v>0</v>
      </c>
      <c r="G662" s="123" t="str">
        <f>VLOOKUP(D662,'MPG Payment '!$E$3:$G$333666,3,0)</f>
        <v>MPG</v>
      </c>
      <c r="H662" s="124" t="str">
        <f>VLOOKUP(D662,'MPG Payment '!$E$3:$H$333666,4,0)</f>
        <v>Direct</v>
      </c>
      <c r="I662" s="88">
        <f>INDEX('MPG Payment '!$C:$C,MATCH('Shayak Income '!D662,'MPG Payment '!E:E,0))</f>
        <v>1057</v>
      </c>
      <c r="J662" s="88" t="str">
        <f>INDEX('MPG Payment '!$D:$D,MATCH('Shayak Income '!D662,'MPG Payment '!E:E,0))</f>
        <v>Warisnagar</v>
      </c>
      <c r="K662" s="125" t="s">
        <v>1594</v>
      </c>
      <c r="L662" s="125">
        <v>46005</v>
      </c>
      <c r="M662" s="126">
        <f>SUMIF('MPG Payment '!$E$3:$E$344841,'Shayak Income '!D662,'MPG Payment '!$I$3:$I$344841)</f>
        <v>379.1</v>
      </c>
      <c r="N662" s="126">
        <f>SUMIF('MPG Payment '!$E$3:$E$344841,'Shayak Income '!D662,'MPG Payment '!$J$3:$J$344841)</f>
        <v>15759.219999999998</v>
      </c>
      <c r="O662" s="126">
        <f t="shared" si="192"/>
        <v>284.32500000000005</v>
      </c>
      <c r="P662" s="126">
        <f t="shared" si="193"/>
        <v>360.14499999999998</v>
      </c>
      <c r="Q662" s="126">
        <f>SUMIF('MPG Payment '!$E$3:$E$344841,'Shayak Income '!D662,'MPG Payment '!$S$3:$S$344841)</f>
        <v>52.59</v>
      </c>
      <c r="R662" s="126">
        <f t="shared" si="184"/>
        <v>472.77659999999992</v>
      </c>
      <c r="S662" s="126">
        <f t="shared" si="185"/>
        <v>112.63159999999993</v>
      </c>
      <c r="T662" s="126">
        <f t="shared" si="194"/>
        <v>37.910000000000004</v>
      </c>
      <c r="U662" s="127">
        <f>((((((IF(K662="New",0,SUMIF('MPG Payment '!$E$3:$E$344841,'Shayak Income '!D662,'MPG Payment '!$AC$3:$AC$344841))))+0)+0)+0)+0)+-771</f>
        <v>659.33076247363965</v>
      </c>
      <c r="V662" s="127">
        <f t="shared" si="195"/>
        <v>0</v>
      </c>
      <c r="W662" s="19">
        <v>0</v>
      </c>
      <c r="X662" s="19">
        <v>0</v>
      </c>
      <c r="Y662" s="128">
        <v>0</v>
      </c>
      <c r="Z662" s="128">
        <v>0</v>
      </c>
      <c r="AA662" s="126">
        <v>0</v>
      </c>
      <c r="AB662" s="129">
        <f t="shared" si="186"/>
        <v>0</v>
      </c>
      <c r="AC662" s="130">
        <f t="shared" si="201"/>
        <v>0</v>
      </c>
      <c r="AD662" s="35">
        <f t="shared" si="196"/>
        <v>0</v>
      </c>
      <c r="AE662" s="166" t="str">
        <f t="shared" si="197"/>
        <v>Release</v>
      </c>
      <c r="AF662" s="127"/>
      <c r="AG662" s="127">
        <v>0</v>
      </c>
      <c r="AH662" s="132" t="s">
        <v>1688</v>
      </c>
      <c r="AI662" s="238">
        <v>7099</v>
      </c>
      <c r="AJ662" s="132"/>
      <c r="AK662" s="151">
        <v>0</v>
      </c>
      <c r="AL662" s="154">
        <f t="shared" si="187"/>
        <v>0</v>
      </c>
      <c r="AM662" s="155"/>
      <c r="AN662" s="19">
        <f t="shared" si="188"/>
        <v>1861</v>
      </c>
      <c r="AO662" s="118">
        <f>SUMIF('MPG Payment '!E:E,'Shayak Income '!D662,'MPG Payment '!AJ:AJ)</f>
        <v>1500</v>
      </c>
      <c r="AP662" s="19">
        <f t="shared" si="189"/>
        <v>0</v>
      </c>
      <c r="AQ662" s="119">
        <f t="shared" si="198"/>
        <v>1500</v>
      </c>
      <c r="AR662" s="91"/>
      <c r="AS662" s="91">
        <f t="shared" si="190"/>
        <v>6400</v>
      </c>
      <c r="AT662" s="118"/>
      <c r="AU662" s="118"/>
      <c r="AV662" s="118"/>
    </row>
    <row r="663" spans="1:48" s="20" customFormat="1" x14ac:dyDescent="0.25">
      <c r="A663" s="17">
        <f>IFERROR(VLOOKUP(D663,'Monthly Deduction'!$I$3:$J$957,2,0),0)</f>
        <v>71709</v>
      </c>
      <c r="B663" s="17">
        <f>IFERROR(VLOOKUP(D663,'Monthly Deduction'!$E$3:$F$957,2,0),0)</f>
        <v>6400</v>
      </c>
      <c r="C663" s="17">
        <f t="shared" si="191"/>
        <v>78109</v>
      </c>
      <c r="D663" s="41">
        <v>10070053</v>
      </c>
      <c r="E663" s="122" t="str">
        <f>VLOOKUP(D663,'MPG Payment '!$E$3:$G$497305,2,0)</f>
        <v>Gomukh Saraiya</v>
      </c>
      <c r="F663" s="146">
        <f>IFERROR(_xlfn.XLOOKUP(D663,'Monthly Deduction'!$I$3:$I$957,'Monthly Deduction'!$H$3:$H$957),0)</f>
        <v>0</v>
      </c>
      <c r="G663" s="123" t="str">
        <f>VLOOKUP(D663,'MPG Payment '!$E$3:$G$333666,3,0)</f>
        <v>vlc</v>
      </c>
      <c r="H663" s="124" t="str">
        <f>VLOOKUP(D663,'MPG Payment '!$E$3:$H$333666,4,0)</f>
        <v>Direct</v>
      </c>
      <c r="I663" s="88">
        <f>INDEX('MPG Payment '!$C:$C,MATCH('Shayak Income '!D663,'MPG Payment '!E:E,0))</f>
        <v>1056</v>
      </c>
      <c r="J663" s="88" t="str">
        <f>INDEX('MPG Payment '!$D:$D,MATCH('Shayak Income '!D663,'MPG Payment '!E:E,0))</f>
        <v>Chautham</v>
      </c>
      <c r="K663" s="125" t="s">
        <v>1594</v>
      </c>
      <c r="L663" s="125">
        <v>45706</v>
      </c>
      <c r="M663" s="126">
        <f>SUMIF('MPG Payment '!$E$3:$E$344841,'Shayak Income '!D663,'MPG Payment '!$I$3:$I$344841)</f>
        <v>1143.3799999999999</v>
      </c>
      <c r="N663" s="126">
        <f>SUMIF('MPG Payment '!$E$3:$E$344841,'Shayak Income '!D663,'MPG Payment '!$J$3:$J$344841)</f>
        <v>41411.1</v>
      </c>
      <c r="O663" s="126">
        <f t="shared" si="192"/>
        <v>857.53499999999985</v>
      </c>
      <c r="P663" s="126">
        <f t="shared" si="193"/>
        <v>1086.2109999999998</v>
      </c>
      <c r="Q663" s="126">
        <f>SUMIF('MPG Payment '!$E$3:$E$344841,'Shayak Income '!D663,'MPG Payment '!$S$3:$S$344841)</f>
        <v>0</v>
      </c>
      <c r="R663" s="126">
        <f t="shared" si="184"/>
        <v>1242.3329999999999</v>
      </c>
      <c r="S663" s="126">
        <f t="shared" si="185"/>
        <v>156.12200000000007</v>
      </c>
      <c r="T663" s="126">
        <f t="shared" si="194"/>
        <v>114.33799999999999</v>
      </c>
      <c r="U663" s="127">
        <f>((((((IF(K663="New",0,SUMIF('MPG Payment '!$E$3:$E$344841,'Shayak Income '!D663,'MPG Payment '!$AC$3:$AC$344841))))+0)+0)+0)+0)+0</f>
        <v>1200.5567766132251</v>
      </c>
      <c r="V663" s="127">
        <f t="shared" si="195"/>
        <v>629</v>
      </c>
      <c r="W663" s="19">
        <v>629</v>
      </c>
      <c r="X663" s="19">
        <v>0</v>
      </c>
      <c r="Y663" s="128">
        <f>IFERROR(VLOOKUP(D663,'Monthly Deduction'!$M$2:$N$640,2,0),0)</f>
        <v>0</v>
      </c>
      <c r="Z663" s="128">
        <v>0</v>
      </c>
      <c r="AA663" s="126">
        <v>0</v>
      </c>
      <c r="AB663" s="129">
        <f t="shared" si="186"/>
        <v>0</v>
      </c>
      <c r="AC663" s="130">
        <f t="shared" si="201"/>
        <v>0</v>
      </c>
      <c r="AD663" s="35">
        <f t="shared" si="196"/>
        <v>0</v>
      </c>
      <c r="AE663" s="166" t="str">
        <f t="shared" si="197"/>
        <v>Release</v>
      </c>
      <c r="AF663" s="127"/>
      <c r="AG663" s="18">
        <v>0</v>
      </c>
      <c r="AH663" s="120" t="s">
        <v>1685</v>
      </c>
      <c r="AI663" s="238">
        <v>10000</v>
      </c>
      <c r="AJ663" s="132"/>
      <c r="AK663" s="151">
        <v>291.52000000000004</v>
      </c>
      <c r="AL663" s="154">
        <f t="shared" si="187"/>
        <v>0</v>
      </c>
      <c r="AM663" s="155"/>
      <c r="AN663" s="19">
        <f t="shared" si="188"/>
        <v>1861</v>
      </c>
      <c r="AO663" s="118">
        <f>SUMIF('MPG Payment '!E:E,'Shayak Income '!D663,'MPG Payment '!AJ:AJ)</f>
        <v>0</v>
      </c>
      <c r="AP663" s="19">
        <f t="shared" si="189"/>
        <v>629</v>
      </c>
      <c r="AQ663" s="119">
        <f t="shared" si="198"/>
        <v>629</v>
      </c>
      <c r="AR663" s="91"/>
      <c r="AS663" s="91">
        <f t="shared" si="190"/>
        <v>6400</v>
      </c>
      <c r="AT663" s="118"/>
      <c r="AU663" s="118"/>
      <c r="AV663" s="118"/>
    </row>
    <row r="664" spans="1:48" s="20" customFormat="1" x14ac:dyDescent="0.25">
      <c r="A664" s="17">
        <f>IFERROR(VLOOKUP(D664,'Monthly Deduction'!$I$3:$J$957,2,0),0)</f>
        <v>0</v>
      </c>
      <c r="B664" s="17">
        <f>IFERROR(VLOOKUP(D664,'Monthly Deduction'!$E$3:$F$957,2,0),0)</f>
        <v>0</v>
      </c>
      <c r="C664" s="17">
        <f t="shared" si="191"/>
        <v>0</v>
      </c>
      <c r="D664" s="41">
        <v>10110178</v>
      </c>
      <c r="E664" s="122" t="str">
        <f>VLOOKUP(D664,'MPG Payment '!$E$3:$G$497305,2,0)</f>
        <v>Pachveer</v>
      </c>
      <c r="F664" s="146">
        <f>IFERROR(_xlfn.XLOOKUP(D664,'Monthly Deduction'!$I$3:$I$957,'Monthly Deduction'!$H$3:$H$957),0)</f>
        <v>0</v>
      </c>
      <c r="G664" s="123" t="str">
        <f>VLOOKUP(D664,'MPG Payment '!$E$3:$G$333666,3,0)</f>
        <v>vlc</v>
      </c>
      <c r="H664" s="124" t="str">
        <f>VLOOKUP(D664,'MPG Payment '!$E$3:$H$333666,4,0)</f>
        <v>Indirect</v>
      </c>
      <c r="I664" s="88">
        <f>INDEX('MPG Payment '!$C:$C,MATCH('Shayak Income '!D664,'MPG Payment '!E:E,0))</f>
        <v>1011</v>
      </c>
      <c r="J664" s="88" t="str">
        <f>INDEX('MPG Payment '!$D:$D,MATCH('Shayak Income '!D664,'MPG Payment '!E:E,0))</f>
        <v>Sahibpur Kamal</v>
      </c>
      <c r="K664" s="125" t="s">
        <v>1594</v>
      </c>
      <c r="L664" s="125">
        <v>46015</v>
      </c>
      <c r="M664" s="126">
        <f>SUMIF('MPG Payment '!$E$3:$E$344841,'Shayak Income '!D664,'MPG Payment '!$I$3:$I$344841)</f>
        <v>56261.9</v>
      </c>
      <c r="N664" s="126">
        <f>SUMIF('MPG Payment '!$E$3:$E$344841,'Shayak Income '!D664,'MPG Payment '!$J$3:$J$344841)</f>
        <v>2216498.31</v>
      </c>
      <c r="O664" s="126">
        <f t="shared" si="192"/>
        <v>42196.425000000003</v>
      </c>
      <c r="P664" s="126">
        <f t="shared" si="193"/>
        <v>53448.805</v>
      </c>
      <c r="Q664" s="126">
        <f>SUMIF('MPG Payment '!$E$3:$E$344841,'Shayak Income '!D664,'MPG Payment '!$S$3:$S$344841)</f>
        <v>0</v>
      </c>
      <c r="R664" s="126">
        <f t="shared" si="184"/>
        <v>66494.949299999993</v>
      </c>
      <c r="S664" s="126">
        <f t="shared" si="185"/>
        <v>13046.144299999993</v>
      </c>
      <c r="T664" s="126">
        <f t="shared" si="194"/>
        <v>5626.1900000000005</v>
      </c>
      <c r="U664" s="127">
        <f>((((((IF(K664="New",0,SUMIF('MPG Payment '!$E$3:$E$344841,'Shayak Income '!D664,'MPG Payment '!$AC$3:$AC$344841))))+0)+0)+0)+0)+0</f>
        <v>0</v>
      </c>
      <c r="V664" s="127">
        <f t="shared" si="195"/>
        <v>90019</v>
      </c>
      <c r="W664" s="19">
        <f t="shared" si="199"/>
        <v>0</v>
      </c>
      <c r="X664" s="19">
        <f t="shared" si="200"/>
        <v>0</v>
      </c>
      <c r="Y664" s="128">
        <f>IFERROR(VLOOKUP(D664,'Monthly Deduction'!$M$2:$N$640,2,0),0)</f>
        <v>0</v>
      </c>
      <c r="Z664" s="128">
        <v>0</v>
      </c>
      <c r="AA664" s="126">
        <f>IFERROR(VLOOKUP(D664,'Monthly Deduction'!A:B,2,0),0)</f>
        <v>0</v>
      </c>
      <c r="AB664" s="129">
        <f t="shared" si="186"/>
        <v>90019</v>
      </c>
      <c r="AC664" s="130">
        <v>0</v>
      </c>
      <c r="AD664" s="35">
        <f t="shared" si="196"/>
        <v>90019</v>
      </c>
      <c r="AE664" s="166" t="str">
        <f t="shared" si="197"/>
        <v>Release</v>
      </c>
      <c r="AF664" s="127"/>
      <c r="AG664" s="18">
        <v>0</v>
      </c>
      <c r="AH664" s="132"/>
      <c r="AI664" s="238">
        <v>0</v>
      </c>
      <c r="AJ664" s="132"/>
      <c r="AK664" s="151">
        <v>10274.999999999998</v>
      </c>
      <c r="AL664" s="154">
        <f t="shared" si="187"/>
        <v>0</v>
      </c>
      <c r="AM664" s="155"/>
      <c r="AN664" s="19">
        <f t="shared" si="188"/>
        <v>0</v>
      </c>
      <c r="AO664" s="118">
        <f>SUMIF('MPG Payment '!E:E,'Shayak Income '!D664,'MPG Payment '!AJ:AJ)</f>
        <v>0</v>
      </c>
      <c r="AP664" s="19">
        <f t="shared" si="189"/>
        <v>0</v>
      </c>
      <c r="AQ664" s="119">
        <f t="shared" si="198"/>
        <v>0</v>
      </c>
      <c r="AR664" s="91" t="s">
        <v>1144</v>
      </c>
      <c r="AS664" s="91">
        <f t="shared" si="190"/>
        <v>0</v>
      </c>
      <c r="AT664" s="118"/>
      <c r="AU664" s="118"/>
      <c r="AV664" s="118"/>
    </row>
    <row r="665" spans="1:48" s="20" customFormat="1" x14ac:dyDescent="0.25">
      <c r="A665" s="17">
        <f>IFERROR(VLOOKUP(D665,'Monthly Deduction'!$I$3:$J$957,2,0),0)</f>
        <v>0</v>
      </c>
      <c r="B665" s="17">
        <f>IFERROR(VLOOKUP(D665,'Monthly Deduction'!$E$3:$F$957,2,0),0)</f>
        <v>0</v>
      </c>
      <c r="C665" s="17">
        <f t="shared" si="191"/>
        <v>0</v>
      </c>
      <c r="D665" s="41">
        <v>10130113</v>
      </c>
      <c r="E665" s="122" t="str">
        <f>VLOOKUP(D665,'MPG Payment '!$E$3:$G$497305,2,0)</f>
        <v>GOMUKH Laguniya</v>
      </c>
      <c r="F665" s="146">
        <f>IFERROR(_xlfn.XLOOKUP(D665,'Monthly Deduction'!$I$3:$I$957,'Monthly Deduction'!$H$3:$H$957),0)</f>
        <v>0</v>
      </c>
      <c r="G665" s="123" t="str">
        <f>VLOOKUP(D665,'MPG Payment '!$E$3:$G$333666,3,0)</f>
        <v>vlc</v>
      </c>
      <c r="H665" s="124" t="str">
        <f>VLOOKUP(D665,'MPG Payment '!$E$3:$H$333666,4,0)</f>
        <v>Indirect</v>
      </c>
      <c r="I665" s="88">
        <f>INDEX('MPG Payment '!$C:$C,MATCH('Shayak Income '!D665,'MPG Payment '!E:E,0))</f>
        <v>1013</v>
      </c>
      <c r="J665" s="88" t="str">
        <f>INDEX('MPG Payment '!$D:$D,MATCH('Shayak Income '!D665,'MPG Payment '!E:E,0))</f>
        <v>Musrigharari</v>
      </c>
      <c r="K665" s="125" t="s">
        <v>1594</v>
      </c>
      <c r="L665" s="125">
        <v>46011</v>
      </c>
      <c r="M665" s="126">
        <f>SUMIF('MPG Payment '!$E$3:$E$344841,'Shayak Income '!D665,'MPG Payment '!$I$3:$I$344841)</f>
        <v>1660.2</v>
      </c>
      <c r="N665" s="126">
        <f>SUMIF('MPG Payment '!$E$3:$E$344841,'Shayak Income '!D665,'MPG Payment '!$J$3:$J$344841)</f>
        <v>67070.7</v>
      </c>
      <c r="O665" s="126">
        <f t="shared" si="192"/>
        <v>1245.1500000000001</v>
      </c>
      <c r="P665" s="126">
        <f t="shared" si="193"/>
        <v>1577.19</v>
      </c>
      <c r="Q665" s="126">
        <f>SUMIF('MPG Payment '!$E$3:$E$344841,'Shayak Income '!D665,'MPG Payment '!$S$3:$S$344841)</f>
        <v>0</v>
      </c>
      <c r="R665" s="126">
        <f t="shared" si="184"/>
        <v>2012.1209999999999</v>
      </c>
      <c r="S665" s="126">
        <f t="shared" si="185"/>
        <v>434.93099999999981</v>
      </c>
      <c r="T665" s="126">
        <f t="shared" si="194"/>
        <v>166.02</v>
      </c>
      <c r="U665" s="127">
        <f>((((((IF(K665="New",0,SUMIF('MPG Payment '!$E$3:$E$344841,'Shayak Income '!D665,'MPG Payment '!$AC$3:$AC$344841))))+0)+0)+0)+0)+0</f>
        <v>1271.800792488978</v>
      </c>
      <c r="V665" s="127">
        <f t="shared" si="195"/>
        <v>1385</v>
      </c>
      <c r="W665" s="19">
        <f t="shared" si="199"/>
        <v>0</v>
      </c>
      <c r="X665" s="19">
        <f t="shared" si="200"/>
        <v>0</v>
      </c>
      <c r="Y665" s="128">
        <f>IFERROR(VLOOKUP(D665,'Monthly Deduction'!$M$2:$N$640,2,0),0)</f>
        <v>0</v>
      </c>
      <c r="Z665" s="128">
        <v>0</v>
      </c>
      <c r="AA665" s="126">
        <f>IFERROR(VLOOKUP(D665,'Monthly Deduction'!A:B,2,0),0)</f>
        <v>0</v>
      </c>
      <c r="AB665" s="129">
        <f t="shared" si="186"/>
        <v>1385</v>
      </c>
      <c r="AC665" s="130">
        <v>0</v>
      </c>
      <c r="AD665" s="35">
        <f t="shared" si="196"/>
        <v>1385</v>
      </c>
      <c r="AE665" s="166" t="str">
        <f t="shared" si="197"/>
        <v>Release</v>
      </c>
      <c r="AF665" s="127"/>
      <c r="AG665" s="18">
        <v>0</v>
      </c>
      <c r="AH665" s="132"/>
      <c r="AI665" s="238">
        <v>0</v>
      </c>
      <c r="AJ665" s="132"/>
      <c r="AK665" s="151">
        <v>1031.7</v>
      </c>
      <c r="AL665" s="154">
        <f t="shared" si="187"/>
        <v>0</v>
      </c>
      <c r="AM665" s="155"/>
      <c r="AN665" s="19">
        <f t="shared" si="188"/>
        <v>0</v>
      </c>
      <c r="AO665" s="118">
        <f>SUMIF('MPG Payment '!E:E,'Shayak Income '!D665,'MPG Payment '!AJ:AJ)</f>
        <v>0</v>
      </c>
      <c r="AP665" s="19">
        <f t="shared" si="189"/>
        <v>0</v>
      </c>
      <c r="AQ665" s="119">
        <f t="shared" si="198"/>
        <v>0</v>
      </c>
      <c r="AR665" s="91"/>
      <c r="AS665" s="91">
        <f t="shared" si="190"/>
        <v>0</v>
      </c>
      <c r="AT665" s="118"/>
      <c r="AU665" s="118"/>
      <c r="AV665" s="118"/>
    </row>
    <row r="666" spans="1:48" s="20" customFormat="1" x14ac:dyDescent="0.25">
      <c r="A666" s="17">
        <f>IFERROR(VLOOKUP(D666,'Monthly Deduction'!$I$3:$J$957,2,0),0)</f>
        <v>0</v>
      </c>
      <c r="B666" s="17">
        <f>IFERROR(VLOOKUP(D666,'Monthly Deduction'!$E$3:$F$957,2,0),0)</f>
        <v>0</v>
      </c>
      <c r="C666" s="17">
        <f t="shared" si="191"/>
        <v>0</v>
      </c>
      <c r="D666" s="41">
        <v>10140196</v>
      </c>
      <c r="E666" s="122" t="str">
        <f>VLOOKUP(D666,'MPG Payment '!$E$3:$G$497305,2,0)</f>
        <v>Gomukh Daunpura Manendra</v>
      </c>
      <c r="F666" s="146">
        <f>IFERROR(_xlfn.XLOOKUP(D666,'Monthly Deduction'!$I$3:$I$957,'Monthly Deduction'!$H$3:$H$957),0)</f>
        <v>0</v>
      </c>
      <c r="G666" s="123" t="str">
        <f>VLOOKUP(D666,'MPG Payment '!$E$3:$G$333666,3,0)</f>
        <v>vlc</v>
      </c>
      <c r="H666" s="124" t="str">
        <f>VLOOKUP(D666,'MPG Payment '!$E$3:$H$333666,4,0)</f>
        <v>Indirect</v>
      </c>
      <c r="I666" s="88">
        <f>INDEX('MPG Payment '!$C:$C,MATCH('Shayak Income '!D666,'MPG Payment '!E:E,0))</f>
        <v>1014</v>
      </c>
      <c r="J666" s="88" t="str">
        <f>INDEX('MPG Payment '!$D:$D,MATCH('Shayak Income '!D666,'MPG Payment '!E:E,0))</f>
        <v>Dumraon</v>
      </c>
      <c r="K666" s="125" t="s">
        <v>1594</v>
      </c>
      <c r="L666" s="125">
        <v>46010</v>
      </c>
      <c r="M666" s="126">
        <f>SUMIF('MPG Payment '!$E$3:$E$344841,'Shayak Income '!D666,'MPG Payment '!$I$3:$I$344841)</f>
        <v>1651.1000000000001</v>
      </c>
      <c r="N666" s="126">
        <f>SUMIF('MPG Payment '!$E$3:$E$344841,'Shayak Income '!D666,'MPG Payment '!$J$3:$J$344841)</f>
        <v>65137.989999999991</v>
      </c>
      <c r="O666" s="126">
        <f t="shared" si="192"/>
        <v>1238.325</v>
      </c>
      <c r="P666" s="126">
        <f t="shared" si="193"/>
        <v>1568.5450000000001</v>
      </c>
      <c r="Q666" s="126">
        <f>SUMIF('MPG Payment '!$E$3:$E$344841,'Shayak Income '!D666,'MPG Payment '!$S$3:$S$344841)</f>
        <v>0</v>
      </c>
      <c r="R666" s="126">
        <f t="shared" si="184"/>
        <v>1954.1396999999997</v>
      </c>
      <c r="S666" s="126">
        <f t="shared" si="185"/>
        <v>385.59469999999965</v>
      </c>
      <c r="T666" s="126">
        <f t="shared" si="194"/>
        <v>165.11</v>
      </c>
      <c r="U666" s="127">
        <f>((((((IF(K666="New",0,SUMIF('MPG Payment '!$E$3:$E$344841,'Shayak Income '!D666,'MPG Payment '!$AC$3:$AC$344841))))+0)+0)+0)+0)+0</f>
        <v>906.61661437243777</v>
      </c>
      <c r="V666" s="127">
        <f t="shared" si="195"/>
        <v>1735</v>
      </c>
      <c r="W666" s="19">
        <f t="shared" si="199"/>
        <v>0</v>
      </c>
      <c r="X666" s="19">
        <f t="shared" si="200"/>
        <v>0</v>
      </c>
      <c r="Y666" s="128">
        <f>IFERROR(VLOOKUP(D666,'Monthly Deduction'!$M$2:$N$640,2,0),0)</f>
        <v>0</v>
      </c>
      <c r="Z666" s="128">
        <v>0</v>
      </c>
      <c r="AA666" s="126">
        <f>IFERROR(VLOOKUP(D666,'Monthly Deduction'!A:B,2,0),0)</f>
        <v>0</v>
      </c>
      <c r="AB666" s="129">
        <f t="shared" si="186"/>
        <v>1735</v>
      </c>
      <c r="AC666" s="130">
        <v>0</v>
      </c>
      <c r="AD666" s="35">
        <f t="shared" si="196"/>
        <v>1735</v>
      </c>
      <c r="AE666" s="166" t="str">
        <f t="shared" si="197"/>
        <v>Release</v>
      </c>
      <c r="AF666" s="127"/>
      <c r="AG666" s="18">
        <v>0</v>
      </c>
      <c r="AH666" s="120"/>
      <c r="AI666" s="238">
        <v>0</v>
      </c>
      <c r="AJ666" s="132"/>
      <c r="AK666" s="151">
        <v>371.4</v>
      </c>
      <c r="AL666" s="154">
        <f t="shared" si="187"/>
        <v>0</v>
      </c>
      <c r="AM666" s="155"/>
      <c r="AN666" s="19">
        <f t="shared" si="188"/>
        <v>0</v>
      </c>
      <c r="AO666" s="118">
        <f>SUMIF('MPG Payment '!E:E,'Shayak Income '!D666,'MPG Payment '!AJ:AJ)</f>
        <v>0</v>
      </c>
      <c r="AP666" s="19">
        <f t="shared" si="189"/>
        <v>0</v>
      </c>
      <c r="AQ666" s="119">
        <f t="shared" si="198"/>
        <v>0</v>
      </c>
      <c r="AR666" s="91" t="s">
        <v>1144</v>
      </c>
      <c r="AS666" s="91">
        <f t="shared" si="190"/>
        <v>0</v>
      </c>
      <c r="AT666" s="118"/>
      <c r="AU666" s="118"/>
      <c r="AV666" s="118"/>
    </row>
    <row r="667" spans="1:48" s="20" customFormat="1" x14ac:dyDescent="0.25">
      <c r="A667" s="17">
        <f>IFERROR(VLOOKUP(D667,'Monthly Deduction'!$I$3:$J$957,2,0),0)</f>
        <v>0</v>
      </c>
      <c r="B667" s="17">
        <f>IFERROR(VLOOKUP(D667,'Monthly Deduction'!$E$3:$F$957,2,0),0)</f>
        <v>0</v>
      </c>
      <c r="C667" s="17">
        <f t="shared" si="191"/>
        <v>0</v>
      </c>
      <c r="D667" s="41">
        <v>10530077</v>
      </c>
      <c r="E667" s="122" t="str">
        <f>VLOOKUP(D667,'MPG Payment '!$E$3:$G$497305,2,0)</f>
        <v>Gomukh Namapur East (08)</v>
      </c>
      <c r="F667" s="146">
        <f>IFERROR(_xlfn.XLOOKUP(D667,'Monthly Deduction'!$I$3:$I$957,'Monthly Deduction'!$H$3:$H$957),0)</f>
        <v>0</v>
      </c>
      <c r="G667" s="123" t="str">
        <f>VLOOKUP(D667,'MPG Payment '!$E$3:$G$333666,3,0)</f>
        <v>vlc</v>
      </c>
      <c r="H667" s="124" t="str">
        <f>VLOOKUP(D667,'MPG Payment '!$E$3:$H$333666,4,0)</f>
        <v>Indirect</v>
      </c>
      <c r="I667" s="88">
        <f>INDEX('MPG Payment '!$C:$C,MATCH('Shayak Income '!D667,'MPG Payment '!E:E,0))</f>
        <v>1053</v>
      </c>
      <c r="J667" s="88" t="str">
        <f>INDEX('MPG Payment '!$D:$D,MATCH('Shayak Income '!D667,'MPG Payment '!E:E,0))</f>
        <v>Kalyanpur</v>
      </c>
      <c r="K667" s="125" t="s">
        <v>1594</v>
      </c>
      <c r="L667" s="125">
        <v>46012</v>
      </c>
      <c r="M667" s="126">
        <f>SUMIF('MPG Payment '!$E$3:$E$344841,'Shayak Income '!D667,'MPG Payment '!$I$3:$I$344841)</f>
        <v>2978.7000000000003</v>
      </c>
      <c r="N667" s="126">
        <f>SUMIF('MPG Payment '!$E$3:$E$344841,'Shayak Income '!D667,'MPG Payment '!$J$3:$J$344841)</f>
        <v>121213.98999999999</v>
      </c>
      <c r="O667" s="126">
        <f t="shared" si="192"/>
        <v>2234.0250000000001</v>
      </c>
      <c r="P667" s="126">
        <f t="shared" si="193"/>
        <v>2829.7650000000003</v>
      </c>
      <c r="Q667" s="126">
        <f>SUMIF('MPG Payment '!$E$3:$E$344841,'Shayak Income '!D667,'MPG Payment '!$S$3:$S$344841)</f>
        <v>0</v>
      </c>
      <c r="R667" s="126">
        <f t="shared" si="184"/>
        <v>3636.4196999999995</v>
      </c>
      <c r="S667" s="126">
        <f t="shared" si="185"/>
        <v>806.65469999999914</v>
      </c>
      <c r="T667" s="126">
        <f t="shared" si="194"/>
        <v>297.87000000000006</v>
      </c>
      <c r="U667" s="127">
        <f>((((((IF(K667="New",0,SUMIF('MPG Payment '!$E$3:$E$344841,'Shayak Income '!D667,'MPG Payment '!$AC$3:$AC$344841))))+0)+0)+0)+0)+0</f>
        <v>103.91049771258947</v>
      </c>
      <c r="V667" s="127">
        <f t="shared" si="195"/>
        <v>4662</v>
      </c>
      <c r="W667" s="19">
        <f t="shared" si="199"/>
        <v>0</v>
      </c>
      <c r="X667" s="19">
        <f t="shared" si="200"/>
        <v>0</v>
      </c>
      <c r="Y667" s="128">
        <f>IFERROR(VLOOKUP(D667,'Monthly Deduction'!$M$2:$N$640,2,0),0)</f>
        <v>0</v>
      </c>
      <c r="Z667" s="128">
        <v>0</v>
      </c>
      <c r="AA667" s="126">
        <f>IFERROR(VLOOKUP(D667,'Monthly Deduction'!A:B,2,0),0)</f>
        <v>0</v>
      </c>
      <c r="AB667" s="129">
        <f t="shared" si="186"/>
        <v>4662</v>
      </c>
      <c r="AC667" s="130">
        <v>0</v>
      </c>
      <c r="AD667" s="35">
        <f t="shared" si="196"/>
        <v>4662</v>
      </c>
      <c r="AE667" s="166" t="str">
        <f t="shared" si="197"/>
        <v>Release</v>
      </c>
      <c r="AF667" s="127"/>
      <c r="AG667" s="18">
        <v>0</v>
      </c>
      <c r="AH667" s="120"/>
      <c r="AI667" s="238">
        <v>0</v>
      </c>
      <c r="AJ667" s="132"/>
      <c r="AK667" s="151">
        <v>815.34999999999991</v>
      </c>
      <c r="AL667" s="154">
        <f t="shared" si="187"/>
        <v>0</v>
      </c>
      <c r="AM667" s="155"/>
      <c r="AN667" s="19">
        <f t="shared" si="188"/>
        <v>0</v>
      </c>
      <c r="AO667" s="118">
        <f>SUMIF('MPG Payment '!E:E,'Shayak Income '!D667,'MPG Payment '!AJ:AJ)</f>
        <v>0</v>
      </c>
      <c r="AP667" s="19">
        <f t="shared" si="189"/>
        <v>0</v>
      </c>
      <c r="AQ667" s="119">
        <f t="shared" si="198"/>
        <v>0</v>
      </c>
      <c r="AR667" s="91" t="s">
        <v>1144</v>
      </c>
      <c r="AS667" s="91">
        <f t="shared" si="190"/>
        <v>0</v>
      </c>
      <c r="AT667" s="118"/>
      <c r="AU667" s="118"/>
      <c r="AV667" s="118"/>
    </row>
    <row r="668" spans="1:48" s="20" customFormat="1" x14ac:dyDescent="0.25">
      <c r="A668" s="17">
        <f>IFERROR(VLOOKUP(D668,'Monthly Deduction'!$I$3:$J$957,2,0),0)</f>
        <v>0</v>
      </c>
      <c r="B668" s="17">
        <f>IFERROR(VLOOKUP(D668,'Monthly Deduction'!$E$3:$F$957,2,0),0)</f>
        <v>0</v>
      </c>
      <c r="C668" s="17">
        <f t="shared" si="191"/>
        <v>0</v>
      </c>
      <c r="D668" s="41">
        <v>10060125</v>
      </c>
      <c r="E668" s="122" t="str">
        <f>VLOOKUP(D668,'MPG Payment '!$E$3:$G$497305,2,0)</f>
        <v>GOMUKH OJONTOLA</v>
      </c>
      <c r="F668" s="146">
        <f>IFERROR(_xlfn.XLOOKUP(D668,'Monthly Deduction'!$I$3:$I$957,'Monthly Deduction'!$H$3:$H$957),0)</f>
        <v>0</v>
      </c>
      <c r="G668" s="123" t="str">
        <f>VLOOKUP(D668,'MPG Payment '!$E$3:$G$333666,3,0)</f>
        <v>vlc</v>
      </c>
      <c r="H668" s="124" t="str">
        <f>VLOOKUP(D668,'MPG Payment '!$E$3:$H$333666,4,0)</f>
        <v>Indirect</v>
      </c>
      <c r="I668" s="88">
        <f>INDEX('MPG Payment '!$C:$C,MATCH('Shayak Income '!D668,'MPG Payment '!E:E,0))</f>
        <v>1006</v>
      </c>
      <c r="J668" s="88" t="str">
        <f>INDEX('MPG Payment '!$D:$D,MATCH('Shayak Income '!D668,'MPG Payment '!E:E,0))</f>
        <v>Sonvarsha</v>
      </c>
      <c r="K668" s="125" t="s">
        <v>1594</v>
      </c>
      <c r="L668" s="125">
        <v>46021</v>
      </c>
      <c r="M668" s="126">
        <f>SUMIF('MPG Payment '!$E$3:$E$344841,'Shayak Income '!D668,'MPG Payment '!$I$3:$I$344841)</f>
        <v>516.6</v>
      </c>
      <c r="N668" s="126">
        <f>SUMIF('MPG Payment '!$E$3:$E$344841,'Shayak Income '!D668,'MPG Payment '!$J$3:$J$344841)</f>
        <v>21013.98</v>
      </c>
      <c r="O668" s="126">
        <f t="shared" si="192"/>
        <v>387.45000000000005</v>
      </c>
      <c r="P668" s="126">
        <f t="shared" si="193"/>
        <v>490.77</v>
      </c>
      <c r="Q668" s="126">
        <f>SUMIF('MPG Payment '!$E$3:$E$344841,'Shayak Income '!D668,'MPG Payment '!$S$3:$S$344841)</f>
        <v>0</v>
      </c>
      <c r="R668" s="126">
        <f t="shared" si="184"/>
        <v>630.4194</v>
      </c>
      <c r="S668" s="126">
        <f t="shared" si="185"/>
        <v>139.64940000000001</v>
      </c>
      <c r="T668" s="126">
        <f t="shared" si="194"/>
        <v>51.660000000000004</v>
      </c>
      <c r="U668" s="127">
        <f>((((((IF(K668="New",0,SUMIF('MPG Payment '!$E$3:$E$344841,'Shayak Income '!D668,'MPG Payment '!$AC$3:$AC$344841))))+0)+0)+0)+0)+-1030</f>
        <v>827.02692568914472</v>
      </c>
      <c r="V668" s="127">
        <f t="shared" si="195"/>
        <v>0</v>
      </c>
      <c r="W668" s="19">
        <v>0</v>
      </c>
      <c r="X668" s="19">
        <v>0</v>
      </c>
      <c r="Y668" s="128">
        <v>0</v>
      </c>
      <c r="Z668" s="128">
        <v>0</v>
      </c>
      <c r="AA668" s="126">
        <v>0</v>
      </c>
      <c r="AB668" s="129">
        <f t="shared" si="186"/>
        <v>0</v>
      </c>
      <c r="AC668" s="130">
        <v>0</v>
      </c>
      <c r="AD668" s="35">
        <f t="shared" si="196"/>
        <v>0</v>
      </c>
      <c r="AE668" s="166" t="str">
        <f t="shared" si="197"/>
        <v>Release</v>
      </c>
      <c r="AF668" s="127"/>
      <c r="AG668" s="127">
        <v>0</v>
      </c>
      <c r="AH668" s="120"/>
      <c r="AI668" s="238">
        <v>0</v>
      </c>
      <c r="AJ668" s="132"/>
      <c r="AK668" s="151">
        <v>99.8</v>
      </c>
      <c r="AL668" s="154">
        <f t="shared" si="187"/>
        <v>0</v>
      </c>
      <c r="AM668" s="155"/>
      <c r="AN668" s="19">
        <f t="shared" si="188"/>
        <v>0</v>
      </c>
      <c r="AO668" s="118">
        <f>SUMIF('MPG Payment '!E:E,'Shayak Income '!D668,'MPG Payment '!AJ:AJ)</f>
        <v>0</v>
      </c>
      <c r="AP668" s="19">
        <f t="shared" si="189"/>
        <v>0</v>
      </c>
      <c r="AQ668" s="119">
        <f t="shared" si="198"/>
        <v>0</v>
      </c>
      <c r="AR668" s="91" t="s">
        <v>1144</v>
      </c>
      <c r="AS668" s="91">
        <f t="shared" si="190"/>
        <v>0</v>
      </c>
      <c r="AT668" s="118"/>
      <c r="AU668" s="118"/>
      <c r="AV668" s="118"/>
    </row>
    <row r="669" spans="1:48" s="20" customFormat="1" x14ac:dyDescent="0.25">
      <c r="A669" s="17">
        <f>IFERROR(VLOOKUP(D669,'Monthly Deduction'!$I$3:$J$957,2,0),0)</f>
        <v>62673</v>
      </c>
      <c r="B669" s="17">
        <f>IFERROR(VLOOKUP(D669,'Monthly Deduction'!$E$3:$F$957,2,0),0)</f>
        <v>6400</v>
      </c>
      <c r="C669" s="17">
        <f t="shared" si="191"/>
        <v>69073</v>
      </c>
      <c r="D669" s="41">
        <v>10060126</v>
      </c>
      <c r="E669" s="122" t="str">
        <f>VLOOKUP(D669,'MPG Payment '!$E$3:$G$497305,2,0)</f>
        <v>KHUDDIBAN SHIVNAGAR</v>
      </c>
      <c r="F669" s="146">
        <f>IFERROR(_xlfn.XLOOKUP(D669,'Monthly Deduction'!$I$3:$I$957,'Monthly Deduction'!$H$3:$H$957),0)</f>
        <v>0</v>
      </c>
      <c r="G669" s="123" t="str">
        <f>VLOOKUP(D669,'MPG Payment '!$E$3:$G$333666,3,0)</f>
        <v>MPG</v>
      </c>
      <c r="H669" s="124" t="str">
        <f>VLOOKUP(D669,'MPG Payment '!$E$3:$H$333666,4,0)</f>
        <v>Direct</v>
      </c>
      <c r="I669" s="88">
        <f>INDEX('MPG Payment '!$C:$C,MATCH('Shayak Income '!D669,'MPG Payment '!E:E,0))</f>
        <v>1006</v>
      </c>
      <c r="J669" s="88" t="str">
        <f>INDEX('MPG Payment '!$D:$D,MATCH('Shayak Income '!D669,'MPG Payment '!E:E,0))</f>
        <v>Sonvarsha</v>
      </c>
      <c r="K669" s="125" t="s">
        <v>1594</v>
      </c>
      <c r="L669" s="125">
        <v>46021</v>
      </c>
      <c r="M669" s="126">
        <f>SUMIF('MPG Payment '!$E$3:$E$344841,'Shayak Income '!D669,'MPG Payment '!$I$3:$I$344841)</f>
        <v>3979.7</v>
      </c>
      <c r="N669" s="126">
        <f>SUMIF('MPG Payment '!$E$3:$E$344841,'Shayak Income '!D669,'MPG Payment '!$J$3:$J$344841)</f>
        <v>141554.39000000001</v>
      </c>
      <c r="O669" s="126">
        <f t="shared" si="192"/>
        <v>2984.7749999999996</v>
      </c>
      <c r="P669" s="126">
        <f t="shared" si="193"/>
        <v>3780.7149999999997</v>
      </c>
      <c r="Q669" s="126">
        <f>SUMIF('MPG Payment '!$E$3:$E$344841,'Shayak Income '!D669,'MPG Payment '!$S$3:$S$344841)</f>
        <v>0</v>
      </c>
      <c r="R669" s="126">
        <f t="shared" si="184"/>
        <v>4246.6316999999999</v>
      </c>
      <c r="S669" s="126">
        <f t="shared" si="185"/>
        <v>465.91670000000022</v>
      </c>
      <c r="T669" s="126">
        <f t="shared" si="194"/>
        <v>397.97</v>
      </c>
      <c r="U669" s="127">
        <f>((((((IF(K669="New",0,SUMIF('MPG Payment '!$E$3:$E$344841,'Shayak Income '!D669,'MPG Payment '!$AC$3:$AC$344841))))+0)+0)+0)+0)+0</f>
        <v>0</v>
      </c>
      <c r="V669" s="127">
        <f t="shared" si="195"/>
        <v>6368</v>
      </c>
      <c r="W669" s="19">
        <f t="shared" si="199"/>
        <v>2831.0878000000002</v>
      </c>
      <c r="X669" s="19">
        <v>0</v>
      </c>
      <c r="Y669" s="128">
        <f>IFERROR(VLOOKUP(D669,'Monthly Deduction'!$M$2:$N$640,2,0),0)</f>
        <v>0</v>
      </c>
      <c r="Z669" s="128">
        <v>0</v>
      </c>
      <c r="AA669" s="126">
        <f>IFERROR(VLOOKUP(D669,'Monthly Deduction'!A:B,2,0),0)</f>
        <v>0</v>
      </c>
      <c r="AB669" s="129">
        <f t="shared" si="186"/>
        <v>3537</v>
      </c>
      <c r="AC669" s="130">
        <f t="shared" ref="AC669:AC673" si="202">AB669</f>
        <v>3537</v>
      </c>
      <c r="AD669" s="35">
        <f t="shared" si="196"/>
        <v>0</v>
      </c>
      <c r="AE669" s="166" t="str">
        <f t="shared" si="197"/>
        <v>Yes</v>
      </c>
      <c r="AF669" s="127"/>
      <c r="AG669" s="18">
        <v>0</v>
      </c>
      <c r="AH669" s="120" t="s">
        <v>1685</v>
      </c>
      <c r="AI669" s="238">
        <v>4845</v>
      </c>
      <c r="AJ669" s="132"/>
      <c r="AK669" s="151">
        <v>512.4</v>
      </c>
      <c r="AL669" s="154">
        <f t="shared" si="187"/>
        <v>0</v>
      </c>
      <c r="AM669" s="155"/>
      <c r="AN669" s="19">
        <f t="shared" si="188"/>
        <v>2831.0878000000002</v>
      </c>
      <c r="AO669" s="118">
        <f>SUMIF('MPG Payment '!E:E,'Shayak Income '!D669,'MPG Payment '!AJ:AJ)</f>
        <v>0</v>
      </c>
      <c r="AP669" s="19">
        <f t="shared" si="189"/>
        <v>2831.0878000000002</v>
      </c>
      <c r="AQ669" s="119">
        <f t="shared" si="198"/>
        <v>2831.0878000000002</v>
      </c>
      <c r="AR669" s="91"/>
      <c r="AS669" s="91">
        <f t="shared" si="190"/>
        <v>6400</v>
      </c>
      <c r="AT669" s="118"/>
      <c r="AU669" s="118"/>
      <c r="AV669" s="118"/>
    </row>
    <row r="670" spans="1:48" s="20" customFormat="1" x14ac:dyDescent="0.25">
      <c r="A670" s="17">
        <f>IFERROR(VLOOKUP(D670,'Monthly Deduction'!$I$3:$J$957,2,0),0)</f>
        <v>77009.724000000002</v>
      </c>
      <c r="B670" s="17">
        <f>IFERROR(VLOOKUP(D670,'Monthly Deduction'!$E$3:$F$957,2,0),0)</f>
        <v>9600</v>
      </c>
      <c r="C670" s="17">
        <f t="shared" si="191"/>
        <v>86609.724000000002</v>
      </c>
      <c r="D670" s="41">
        <v>10090074</v>
      </c>
      <c r="E670" s="122" t="str">
        <f>VLOOKUP(D670,'MPG Payment '!$E$3:$G$497305,2,0)</f>
        <v>MOHADDINGAR</v>
      </c>
      <c r="F670" s="146">
        <f>IFERROR(_xlfn.XLOOKUP(D670,'Monthly Deduction'!$I$3:$I$957,'Monthly Deduction'!$H$3:$H$957),0)</f>
        <v>0</v>
      </c>
      <c r="G670" s="123" t="str">
        <f>VLOOKUP(D670,'MPG Payment '!$E$3:$G$333666,3,0)</f>
        <v>MPG</v>
      </c>
      <c r="H670" s="124" t="str">
        <f>VLOOKUP(D670,'MPG Payment '!$E$3:$H$333666,4,0)</f>
        <v>Direct</v>
      </c>
      <c r="I670" s="88">
        <f>INDEX('MPG Payment '!$C:$C,MATCH('Shayak Income '!D670,'MPG Payment '!E:E,0))</f>
        <v>1009</v>
      </c>
      <c r="J670" s="88" t="str">
        <f>INDEX('MPG Payment '!$D:$D,MATCH('Shayak Income '!D670,'MPG Payment '!E:E,0))</f>
        <v>Halsi</v>
      </c>
      <c r="K670" s="125" t="s">
        <v>1594</v>
      </c>
      <c r="L670" s="125">
        <v>46017</v>
      </c>
      <c r="M670" s="126">
        <f>SUMIF('MPG Payment '!$E$3:$E$344841,'Shayak Income '!D670,'MPG Payment '!$I$3:$I$344841)</f>
        <v>1514.4</v>
      </c>
      <c r="N670" s="126">
        <f>SUMIF('MPG Payment '!$E$3:$E$344841,'Shayak Income '!D670,'MPG Payment '!$J$3:$J$344841)</f>
        <v>65055.94</v>
      </c>
      <c r="O670" s="126">
        <f t="shared" si="192"/>
        <v>1135.8000000000002</v>
      </c>
      <c r="P670" s="126">
        <f t="shared" si="193"/>
        <v>1438.68</v>
      </c>
      <c r="Q670" s="126">
        <f>SUMIF('MPG Payment '!$E$3:$E$344841,'Shayak Income '!D670,'MPG Payment '!$S$3:$S$344841)</f>
        <v>0</v>
      </c>
      <c r="R670" s="126">
        <f t="shared" si="184"/>
        <v>1951.6782000000001</v>
      </c>
      <c r="S670" s="126">
        <f t="shared" si="185"/>
        <v>512.9982</v>
      </c>
      <c r="T670" s="126">
        <f t="shared" si="194"/>
        <v>151.44000000000003</v>
      </c>
      <c r="U670" s="127">
        <f>((((((IF(K670="New",0,SUMIF('MPG Payment '!$E$3:$E$344841,'Shayak Income '!D670,'MPG Payment '!$AC$3:$AC$344841))))+0)+0)+0)+0)+0</f>
        <v>1105.7227119976556</v>
      </c>
      <c r="V670" s="127">
        <f t="shared" si="195"/>
        <v>1317</v>
      </c>
      <c r="W670" s="19">
        <v>1317</v>
      </c>
      <c r="X670" s="19">
        <v>0</v>
      </c>
      <c r="Y670" s="128">
        <f>IFERROR(VLOOKUP(D670,'Monthly Deduction'!$M$2:$N$640,2,0),0)</f>
        <v>0</v>
      </c>
      <c r="Z670" s="128">
        <v>0</v>
      </c>
      <c r="AA670" s="126">
        <f>IFERROR(VLOOKUP(D670,'Monthly Deduction'!A:B,2,0),0)</f>
        <v>0</v>
      </c>
      <c r="AB670" s="129">
        <f t="shared" si="186"/>
        <v>0</v>
      </c>
      <c r="AC670" s="130">
        <f t="shared" si="202"/>
        <v>0</v>
      </c>
      <c r="AD670" s="35">
        <f t="shared" si="196"/>
        <v>0</v>
      </c>
      <c r="AE670" s="166" t="str">
        <f t="shared" si="197"/>
        <v>Release</v>
      </c>
      <c r="AF670" s="127"/>
      <c r="AG670" s="18">
        <v>0</v>
      </c>
      <c r="AH670" s="120" t="s">
        <v>1685</v>
      </c>
      <c r="AI670" s="238">
        <v>19621</v>
      </c>
      <c r="AJ670" s="132"/>
      <c r="AK670" s="151">
        <v>307.8</v>
      </c>
      <c r="AL670" s="154">
        <f t="shared" si="187"/>
        <v>0</v>
      </c>
      <c r="AM670" s="155"/>
      <c r="AN670" s="19">
        <f t="shared" si="188"/>
        <v>1861</v>
      </c>
      <c r="AO670" s="118">
        <f>SUMIF('MPG Payment '!E:E,'Shayak Income '!D670,'MPG Payment '!AJ:AJ)</f>
        <v>0</v>
      </c>
      <c r="AP670" s="19">
        <f t="shared" si="189"/>
        <v>1317</v>
      </c>
      <c r="AQ670" s="119">
        <f t="shared" si="198"/>
        <v>1317</v>
      </c>
      <c r="AR670" s="91" t="s">
        <v>1144</v>
      </c>
      <c r="AS670" s="91">
        <f t="shared" si="190"/>
        <v>9600</v>
      </c>
      <c r="AT670" s="118"/>
      <c r="AU670" s="118"/>
      <c r="AV670" s="118"/>
    </row>
    <row r="671" spans="1:48" s="20" customFormat="1" x14ac:dyDescent="0.25">
      <c r="A671" s="17">
        <f>IFERROR(VLOOKUP(D671,'Monthly Deduction'!$I$3:$J$957,2,0),0)</f>
        <v>0</v>
      </c>
      <c r="B671" s="17">
        <f>IFERROR(VLOOKUP(D671,'Monthly Deduction'!$E$3:$F$957,2,0),0)</f>
        <v>0</v>
      </c>
      <c r="C671" s="17">
        <f t="shared" si="191"/>
        <v>0</v>
      </c>
      <c r="D671" s="41">
        <v>10120119</v>
      </c>
      <c r="E671" s="122" t="str">
        <f>VLOOKUP(D671,'MPG Payment '!$E$3:$G$497305,2,0)</f>
        <v>Gomukh Simri Ward 4</v>
      </c>
      <c r="F671" s="146">
        <f>IFERROR(_xlfn.XLOOKUP(D671,'Monthly Deduction'!$I$3:$I$957,'Monthly Deduction'!$H$3:$H$957),0)</f>
        <v>0</v>
      </c>
      <c r="G671" s="123" t="str">
        <f>VLOOKUP(D671,'MPG Payment '!$E$3:$G$333666,3,0)</f>
        <v>vlc</v>
      </c>
      <c r="H671" s="124" t="str">
        <f>VLOOKUP(D671,'MPG Payment '!$E$3:$H$333666,4,0)</f>
        <v>Indirect</v>
      </c>
      <c r="I671" s="88">
        <f>INDEX('MPG Payment '!$C:$C,MATCH('Shayak Income '!D671,'MPG Payment '!E:E,0))</f>
        <v>1012</v>
      </c>
      <c r="J671" s="88" t="str">
        <f>INDEX('MPG Payment '!$D:$D,MATCH('Shayak Income '!D671,'MPG Payment '!E:E,0))</f>
        <v>DalsinghSarai</v>
      </c>
      <c r="K671" s="125" t="s">
        <v>1594</v>
      </c>
      <c r="L671" s="125">
        <v>46021</v>
      </c>
      <c r="M671" s="126">
        <f>SUMIF('MPG Payment '!$E$3:$E$344841,'Shayak Income '!D671,'MPG Payment '!$I$3:$I$344841)</f>
        <v>2200</v>
      </c>
      <c r="N671" s="126">
        <f>SUMIF('MPG Payment '!$E$3:$E$344841,'Shayak Income '!D671,'MPG Payment '!$J$3:$J$344841)</f>
        <v>86648</v>
      </c>
      <c r="O671" s="126">
        <f t="shared" si="192"/>
        <v>1650</v>
      </c>
      <c r="P671" s="126">
        <f t="shared" si="193"/>
        <v>2090</v>
      </c>
      <c r="Q671" s="126">
        <f>SUMIF('MPG Payment '!$E$3:$E$344841,'Shayak Income '!D671,'MPG Payment '!$S$3:$S$344841)</f>
        <v>0</v>
      </c>
      <c r="R671" s="126">
        <f t="shared" si="184"/>
        <v>2599.44</v>
      </c>
      <c r="S671" s="126">
        <f t="shared" si="185"/>
        <v>509.44000000000005</v>
      </c>
      <c r="T671" s="126">
        <f t="shared" si="194"/>
        <v>220</v>
      </c>
      <c r="U671" s="127">
        <f>((((((IF(K671="New",0,SUMIF('MPG Payment '!$E$3:$E$344841,'Shayak Income '!D671,'MPG Payment '!$AC$3:$AC$344841))))+0)+0)+0)+0)+0</f>
        <v>310.24</v>
      </c>
      <c r="V671" s="127">
        <f t="shared" si="195"/>
        <v>3210</v>
      </c>
      <c r="W671" s="19">
        <f t="shared" si="199"/>
        <v>0</v>
      </c>
      <c r="X671" s="19">
        <f t="shared" si="200"/>
        <v>0</v>
      </c>
      <c r="Y671" s="128">
        <f>IFERROR(VLOOKUP(D671,'Monthly Deduction'!$M$2:$N$640,2,0),0)</f>
        <v>0</v>
      </c>
      <c r="Z671" s="128">
        <v>0</v>
      </c>
      <c r="AA671" s="126">
        <f>IFERROR(VLOOKUP(D671,'Monthly Deduction'!A:B,2,0),0)</f>
        <v>0</v>
      </c>
      <c r="AB671" s="129">
        <f t="shared" si="186"/>
        <v>3210</v>
      </c>
      <c r="AC671" s="130">
        <f t="shared" si="202"/>
        <v>3210</v>
      </c>
      <c r="AD671" s="35">
        <f t="shared" si="196"/>
        <v>0</v>
      </c>
      <c r="AE671" s="166" t="str">
        <f t="shared" si="197"/>
        <v>Yes</v>
      </c>
      <c r="AF671" s="127"/>
      <c r="AG671" s="127">
        <v>0</v>
      </c>
      <c r="AH671" s="132" t="s">
        <v>1597</v>
      </c>
      <c r="AI671" s="238">
        <v>0</v>
      </c>
      <c r="AJ671" s="132"/>
      <c r="AK671" s="151">
        <v>0</v>
      </c>
      <c r="AL671" s="154">
        <f t="shared" si="187"/>
        <v>0</v>
      </c>
      <c r="AM671" s="155"/>
      <c r="AN671" s="19">
        <f t="shared" si="188"/>
        <v>0</v>
      </c>
      <c r="AO671" s="118">
        <f>SUMIF('MPG Payment '!E:E,'Shayak Income '!D671,'MPG Payment '!AJ:AJ)</f>
        <v>0</v>
      </c>
      <c r="AP671" s="19">
        <f t="shared" si="189"/>
        <v>0</v>
      </c>
      <c r="AQ671" s="119">
        <f t="shared" si="198"/>
        <v>0</v>
      </c>
      <c r="AR671" s="91"/>
      <c r="AS671" s="91">
        <f t="shared" si="190"/>
        <v>0</v>
      </c>
      <c r="AT671" s="118"/>
      <c r="AU671" s="118"/>
      <c r="AV671" s="118"/>
    </row>
    <row r="672" spans="1:48" s="20" customFormat="1" x14ac:dyDescent="0.25">
      <c r="A672" s="17">
        <f>IFERROR(VLOOKUP(D672,'Monthly Deduction'!$I$3:$J$957,2,0),0)</f>
        <v>66365.361129868601</v>
      </c>
      <c r="B672" s="17">
        <f>IFERROR(VLOOKUP(D672,'Monthly Deduction'!$E$3:$F$957,2,0),0)</f>
        <v>8711</v>
      </c>
      <c r="C672" s="17">
        <f t="shared" si="191"/>
        <v>75076.361129868601</v>
      </c>
      <c r="D672" s="41">
        <v>10140194</v>
      </c>
      <c r="E672" s="122" t="str">
        <f>VLOOKUP(D672,'MPG Payment '!$E$3:$G$497305,2,0)</f>
        <v>Gumukh Orap Khurd</v>
      </c>
      <c r="F672" s="146">
        <f>IFERROR(_xlfn.XLOOKUP(D672,'Monthly Deduction'!$I$3:$I$957,'Monthly Deduction'!$H$3:$H$957),0)</f>
        <v>0</v>
      </c>
      <c r="G672" s="123" t="str">
        <f>VLOOKUP(D672,'MPG Payment '!$E$3:$G$333666,3,0)</f>
        <v>MPG</v>
      </c>
      <c r="H672" s="124" t="str">
        <f>VLOOKUP(D672,'MPG Payment '!$E$3:$H$333666,4,0)</f>
        <v>Direct</v>
      </c>
      <c r="I672" s="88">
        <f>INDEX('MPG Payment '!$C:$C,MATCH('Shayak Income '!D672,'MPG Payment '!E:E,0))</f>
        <v>1014</v>
      </c>
      <c r="J672" s="88" t="str">
        <f>INDEX('MPG Payment '!$D:$D,MATCH('Shayak Income '!D672,'MPG Payment '!E:E,0))</f>
        <v>Dumraon</v>
      </c>
      <c r="K672" s="125" t="s">
        <v>1594</v>
      </c>
      <c r="L672" s="125">
        <v>46020</v>
      </c>
      <c r="M672" s="126">
        <f>SUMIF('MPG Payment '!$E$3:$E$344841,'Shayak Income '!D672,'MPG Payment '!$I$3:$I$344841)</f>
        <v>1619.5</v>
      </c>
      <c r="N672" s="126">
        <f>SUMIF('MPG Payment '!$E$3:$E$344841,'Shayak Income '!D672,'MPG Payment '!$J$3:$J$344841)</f>
        <v>65002.369999999995</v>
      </c>
      <c r="O672" s="126">
        <f t="shared" si="192"/>
        <v>1214.625</v>
      </c>
      <c r="P672" s="126">
        <f t="shared" si="193"/>
        <v>1538.5249999999999</v>
      </c>
      <c r="Q672" s="126">
        <f>SUMIF('MPG Payment '!$E$3:$E$344841,'Shayak Income '!D672,'MPG Payment '!$S$3:$S$344841)</f>
        <v>0</v>
      </c>
      <c r="R672" s="126">
        <f t="shared" si="184"/>
        <v>1950.0710999999999</v>
      </c>
      <c r="S672" s="126">
        <f t="shared" si="185"/>
        <v>411.54610000000002</v>
      </c>
      <c r="T672" s="126">
        <f t="shared" si="194"/>
        <v>161.95000000000002</v>
      </c>
      <c r="U672" s="127">
        <f>((((((IF(K672="New",0,SUMIF('MPG Payment '!$E$3:$E$344841,'Shayak Income '!D672,'MPG Payment '!$AC$3:$AC$344841))))+0)+0)+0)+0)+0</f>
        <v>946.37287314981575</v>
      </c>
      <c r="V672" s="127">
        <f t="shared" si="195"/>
        <v>1645</v>
      </c>
      <c r="W672" s="19">
        <v>1645</v>
      </c>
      <c r="X672" s="19">
        <v>0</v>
      </c>
      <c r="Y672" s="128">
        <f>IFERROR(VLOOKUP(D672,'Monthly Deduction'!$M$2:$N$640,2,0),0)</f>
        <v>0</v>
      </c>
      <c r="Z672" s="128">
        <v>0</v>
      </c>
      <c r="AA672" s="126">
        <f>IFERROR(VLOOKUP(D672,'Monthly Deduction'!A:B,2,0),0)</f>
        <v>0</v>
      </c>
      <c r="AB672" s="129">
        <f t="shared" si="186"/>
        <v>0</v>
      </c>
      <c r="AC672" s="130">
        <f t="shared" si="202"/>
        <v>0</v>
      </c>
      <c r="AD672" s="35">
        <f t="shared" si="196"/>
        <v>0</v>
      </c>
      <c r="AE672" s="166" t="str">
        <f t="shared" si="197"/>
        <v>Release</v>
      </c>
      <c r="AF672" s="127"/>
      <c r="AG672" s="18">
        <v>0</v>
      </c>
      <c r="AH672" s="120" t="s">
        <v>1685</v>
      </c>
      <c r="AI672" s="238">
        <v>7849</v>
      </c>
      <c r="AJ672" s="132"/>
      <c r="AK672" s="151">
        <v>355.1</v>
      </c>
      <c r="AL672" s="154">
        <f t="shared" si="187"/>
        <v>0</v>
      </c>
      <c r="AM672" s="155"/>
      <c r="AN672" s="19">
        <f t="shared" si="188"/>
        <v>1861</v>
      </c>
      <c r="AO672" s="118">
        <f>SUMIF('MPG Payment '!E:E,'Shayak Income '!D672,'MPG Payment '!AJ:AJ)</f>
        <v>0</v>
      </c>
      <c r="AP672" s="19">
        <f t="shared" si="189"/>
        <v>1645</v>
      </c>
      <c r="AQ672" s="119">
        <f t="shared" si="198"/>
        <v>1645</v>
      </c>
      <c r="AR672" s="91"/>
      <c r="AS672" s="91">
        <f t="shared" si="190"/>
        <v>8711</v>
      </c>
      <c r="AT672" s="118"/>
      <c r="AU672" s="118"/>
      <c r="AV672" s="118"/>
    </row>
    <row r="673" spans="1:48" s="20" customFormat="1" x14ac:dyDescent="0.25">
      <c r="A673" s="17">
        <f>IFERROR(VLOOKUP(D673,'Monthly Deduction'!$I$3:$J$957,2,0),0)</f>
        <v>83488</v>
      </c>
      <c r="B673" s="17">
        <f>IFERROR(VLOOKUP(D673,'Monthly Deduction'!$E$3:$F$957,2,0),0)</f>
        <v>6400</v>
      </c>
      <c r="C673" s="17">
        <f t="shared" si="191"/>
        <v>89888</v>
      </c>
      <c r="D673" s="41">
        <v>10140197</v>
      </c>
      <c r="E673" s="122" t="str">
        <f>VLOOKUP(D673,'MPG Payment '!$E$3:$G$497305,2,0)</f>
        <v>Gumukh Mathiyapur</v>
      </c>
      <c r="F673" s="146">
        <f>IFERROR(_xlfn.XLOOKUP(D673,'Monthly Deduction'!$I$3:$I$957,'Monthly Deduction'!$H$3:$H$957),0)</f>
        <v>0</v>
      </c>
      <c r="G673" s="123" t="str">
        <f>VLOOKUP(D673,'MPG Payment '!$E$3:$G$333666,3,0)</f>
        <v>MPG</v>
      </c>
      <c r="H673" s="124" t="str">
        <f>VLOOKUP(D673,'MPG Payment '!$E$3:$H$333666,4,0)</f>
        <v>Direct</v>
      </c>
      <c r="I673" s="88">
        <f>INDEX('MPG Payment '!$C:$C,MATCH('Shayak Income '!D673,'MPG Payment '!E:E,0))</f>
        <v>1014</v>
      </c>
      <c r="J673" s="88" t="str">
        <f>INDEX('MPG Payment '!$D:$D,MATCH('Shayak Income '!D673,'MPG Payment '!E:E,0))</f>
        <v>Dumraon</v>
      </c>
      <c r="K673" s="125" t="s">
        <v>1594</v>
      </c>
      <c r="L673" s="125">
        <v>46018</v>
      </c>
      <c r="M673" s="126">
        <f>SUMIF('MPG Payment '!$E$3:$E$344841,'Shayak Income '!D673,'MPG Payment '!$I$3:$I$344841)</f>
        <v>726.1</v>
      </c>
      <c r="N673" s="126">
        <f>SUMIF('MPG Payment '!$E$3:$E$344841,'Shayak Income '!D673,'MPG Payment '!$J$3:$J$344841)</f>
        <v>30396.349999999995</v>
      </c>
      <c r="O673" s="126">
        <f t="shared" si="192"/>
        <v>544.57500000000005</v>
      </c>
      <c r="P673" s="126">
        <f t="shared" si="193"/>
        <v>689.79499999999996</v>
      </c>
      <c r="Q673" s="126">
        <f>SUMIF('MPG Payment '!$E$3:$E$344841,'Shayak Income '!D673,'MPG Payment '!$S$3:$S$344841)</f>
        <v>0</v>
      </c>
      <c r="R673" s="126">
        <f t="shared" si="184"/>
        <v>911.89049999999986</v>
      </c>
      <c r="S673" s="126">
        <f t="shared" si="185"/>
        <v>222.0954999999999</v>
      </c>
      <c r="T673" s="126">
        <f t="shared" si="194"/>
        <v>72.61</v>
      </c>
      <c r="U673" s="127">
        <f>((((((IF(K673="New",0,SUMIF('MPG Payment '!$E$3:$E$344841,'Shayak Income '!D673,'MPG Payment '!$AC$3:$AC$344841))))+0)+0)+0)+0)+-589</f>
        <v>1162.0844698685983</v>
      </c>
      <c r="V673" s="127">
        <f t="shared" si="195"/>
        <v>0</v>
      </c>
      <c r="W673" s="19">
        <v>0</v>
      </c>
      <c r="X673" s="19">
        <v>0</v>
      </c>
      <c r="Y673" s="128">
        <v>0</v>
      </c>
      <c r="Z673" s="128">
        <v>0</v>
      </c>
      <c r="AA673" s="126">
        <v>0</v>
      </c>
      <c r="AB673" s="129">
        <f t="shared" si="186"/>
        <v>0</v>
      </c>
      <c r="AC673" s="130">
        <f t="shared" si="202"/>
        <v>0</v>
      </c>
      <c r="AD673" s="35">
        <f t="shared" si="196"/>
        <v>0</v>
      </c>
      <c r="AE673" s="166" t="str">
        <f t="shared" si="197"/>
        <v>Release</v>
      </c>
      <c r="AF673" s="127"/>
      <c r="AG673" s="18">
        <v>0</v>
      </c>
      <c r="AH673" s="120" t="s">
        <v>1685</v>
      </c>
      <c r="AI673" s="238">
        <v>19743</v>
      </c>
      <c r="AJ673" s="132"/>
      <c r="AK673" s="151">
        <v>140</v>
      </c>
      <c r="AL673" s="154">
        <f t="shared" si="187"/>
        <v>0</v>
      </c>
      <c r="AM673" s="155"/>
      <c r="AN673" s="19">
        <f t="shared" si="188"/>
        <v>1861</v>
      </c>
      <c r="AO673" s="118">
        <f>SUMIF('MPG Payment '!E:E,'Shayak Income '!D673,'MPG Payment '!AJ:AJ)</f>
        <v>0</v>
      </c>
      <c r="AP673" s="19">
        <f t="shared" si="189"/>
        <v>0</v>
      </c>
      <c r="AQ673" s="119">
        <f t="shared" si="198"/>
        <v>0</v>
      </c>
      <c r="AR673" s="91"/>
      <c r="AS673" s="91">
        <f t="shared" si="190"/>
        <v>6400</v>
      </c>
      <c r="AT673" s="118"/>
      <c r="AU673" s="118"/>
      <c r="AV673" s="118"/>
    </row>
    <row r="674" spans="1:48" s="20" customFormat="1" x14ac:dyDescent="0.25">
      <c r="A674" s="17">
        <f>IFERROR(VLOOKUP(D674,'Monthly Deduction'!$I$3:$J$957,2,0),0)</f>
        <v>0</v>
      </c>
      <c r="B674" s="17">
        <f>IFERROR(VLOOKUP(D674,'Monthly Deduction'!$E$3:$F$957,2,0),0)</f>
        <v>0</v>
      </c>
      <c r="C674" s="17">
        <f t="shared" si="191"/>
        <v>0</v>
      </c>
      <c r="D674" s="41">
        <v>10140198</v>
      </c>
      <c r="E674" s="122" t="str">
        <f>VLOOKUP(D674,'MPG Payment '!$E$3:$G$497305,2,0)</f>
        <v>Gomukh Raghunathpur Dasrath</v>
      </c>
      <c r="F674" s="146">
        <f>IFERROR(_xlfn.XLOOKUP(D674,'Monthly Deduction'!$I$3:$I$957,'Monthly Deduction'!$H$3:$H$957),0)</f>
        <v>0</v>
      </c>
      <c r="G674" s="123" t="str">
        <f>VLOOKUP(D674,'MPG Payment '!$E$3:$G$333666,3,0)</f>
        <v>vlc</v>
      </c>
      <c r="H674" s="124" t="str">
        <f>VLOOKUP(D674,'MPG Payment '!$E$3:$H$333666,4,0)</f>
        <v>Indirect</v>
      </c>
      <c r="I674" s="88">
        <f>INDEX('MPG Payment '!$C:$C,MATCH('Shayak Income '!D674,'MPG Payment '!E:E,0))</f>
        <v>1014</v>
      </c>
      <c r="J674" s="88" t="str">
        <f>INDEX('MPG Payment '!$D:$D,MATCH('Shayak Income '!D674,'MPG Payment '!E:E,0))</f>
        <v>Dumraon</v>
      </c>
      <c r="K674" s="125" t="s">
        <v>1594</v>
      </c>
      <c r="L674" s="125">
        <v>46017</v>
      </c>
      <c r="M674" s="126">
        <f>SUMIF('MPG Payment '!$E$3:$E$344841,'Shayak Income '!D674,'MPG Payment '!$I$3:$I$344841)</f>
        <v>3081.2999999999997</v>
      </c>
      <c r="N674" s="126">
        <f>SUMIF('MPG Payment '!$E$3:$E$344841,'Shayak Income '!D674,'MPG Payment '!$J$3:$J$344841)</f>
        <v>130275.27</v>
      </c>
      <c r="O674" s="126">
        <f t="shared" si="192"/>
        <v>2310.9749999999999</v>
      </c>
      <c r="P674" s="126">
        <f t="shared" si="193"/>
        <v>2927.2349999999997</v>
      </c>
      <c r="Q674" s="126">
        <f>SUMIF('MPG Payment '!$E$3:$E$344841,'Shayak Income '!D674,'MPG Payment '!$S$3:$S$344841)</f>
        <v>0</v>
      </c>
      <c r="R674" s="126">
        <f t="shared" si="184"/>
        <v>3908.2581</v>
      </c>
      <c r="S674" s="126">
        <f t="shared" si="185"/>
        <v>981.02310000000034</v>
      </c>
      <c r="T674" s="126">
        <f t="shared" si="194"/>
        <v>308.13</v>
      </c>
      <c r="U674" s="127">
        <f>((((((IF(K674="New",0,SUMIF('MPG Payment '!$E$3:$E$344841,'Shayak Income '!D674,'MPG Payment '!$AC$3:$AC$344841))))+0)+0)+0)+0)+0</f>
        <v>110.32305010496849</v>
      </c>
      <c r="V674" s="127">
        <f t="shared" si="195"/>
        <v>4820</v>
      </c>
      <c r="W674" s="19">
        <f t="shared" si="199"/>
        <v>0</v>
      </c>
      <c r="X674" s="19">
        <f t="shared" si="200"/>
        <v>0</v>
      </c>
      <c r="Y674" s="128">
        <f>IFERROR(VLOOKUP(D674,'Monthly Deduction'!$M$2:$N$640,2,0),0)</f>
        <v>0</v>
      </c>
      <c r="Z674" s="128">
        <v>0</v>
      </c>
      <c r="AA674" s="126">
        <f>IFERROR(VLOOKUP(D674,'Monthly Deduction'!A:B,2,0),0)</f>
        <v>0</v>
      </c>
      <c r="AB674" s="129">
        <f t="shared" si="186"/>
        <v>4820</v>
      </c>
      <c r="AC674" s="130">
        <v>0</v>
      </c>
      <c r="AD674" s="35">
        <f t="shared" si="196"/>
        <v>4820</v>
      </c>
      <c r="AE674" s="166" t="str">
        <f t="shared" si="197"/>
        <v>Release</v>
      </c>
      <c r="AF674" s="127"/>
      <c r="AG674" s="18">
        <v>0</v>
      </c>
      <c r="AH674" s="132"/>
      <c r="AI674" s="238">
        <v>0</v>
      </c>
      <c r="AJ674" s="132"/>
      <c r="AK674" s="151">
        <v>412.8</v>
      </c>
      <c r="AL674" s="154">
        <f t="shared" si="187"/>
        <v>0</v>
      </c>
      <c r="AM674" s="155"/>
      <c r="AN674" s="19">
        <f t="shared" si="188"/>
        <v>0</v>
      </c>
      <c r="AO674" s="118">
        <f>SUMIF('MPG Payment '!E:E,'Shayak Income '!D674,'MPG Payment '!AJ:AJ)</f>
        <v>0</v>
      </c>
      <c r="AP674" s="19">
        <f t="shared" si="189"/>
        <v>0</v>
      </c>
      <c r="AQ674" s="119">
        <f t="shared" si="198"/>
        <v>0</v>
      </c>
      <c r="AR674" s="91" t="s">
        <v>1144</v>
      </c>
      <c r="AS674" s="91">
        <f t="shared" si="190"/>
        <v>0</v>
      </c>
      <c r="AT674" s="118"/>
      <c r="AU674" s="118"/>
      <c r="AV674" s="118"/>
    </row>
    <row r="675" spans="1:48" s="20" customFormat="1" x14ac:dyDescent="0.25">
      <c r="A675" s="17">
        <f>IFERROR(VLOOKUP(D675,'Monthly Deduction'!$I$3:$J$957,2,0),0)</f>
        <v>0</v>
      </c>
      <c r="B675" s="17">
        <f>IFERROR(VLOOKUP(D675,'Monthly Deduction'!$E$3:$F$957,2,0),0)</f>
        <v>0</v>
      </c>
      <c r="C675" s="17">
        <f t="shared" si="191"/>
        <v>0</v>
      </c>
      <c r="D675" s="41">
        <v>10560025</v>
      </c>
      <c r="E675" s="122" t="str">
        <f>VLOOKUP(D675,'MPG Payment '!$E$3:$G$497305,2,0)</f>
        <v>Gomukh Debka Vlc</v>
      </c>
      <c r="F675" s="146">
        <f>IFERROR(_xlfn.XLOOKUP(D675,'Monthly Deduction'!$I$3:$I$957,'Monthly Deduction'!$H$3:$H$957),0)</f>
        <v>0</v>
      </c>
      <c r="G675" s="123" t="str">
        <f>VLOOKUP(D675,'MPG Payment '!$E$3:$G$333666,3,0)</f>
        <v>vlc</v>
      </c>
      <c r="H675" s="124" t="str">
        <f>VLOOKUP(D675,'MPG Payment '!$E$3:$H$333666,4,0)</f>
        <v>Indirect</v>
      </c>
      <c r="I675" s="88">
        <f>INDEX('MPG Payment '!$C:$C,MATCH('Shayak Income '!D675,'MPG Payment '!E:E,0))</f>
        <v>1056</v>
      </c>
      <c r="J675" s="88" t="str">
        <f>INDEX('MPG Payment '!$D:$D,MATCH('Shayak Income '!D675,'MPG Payment '!E:E,0))</f>
        <v>Chautham</v>
      </c>
      <c r="K675" s="125" t="s">
        <v>1594</v>
      </c>
      <c r="L675" s="125">
        <v>46020</v>
      </c>
      <c r="M675" s="126">
        <f>SUMIF('MPG Payment '!$E$3:$E$344841,'Shayak Income '!D675,'MPG Payment '!$I$3:$I$344841)</f>
        <v>313.56000000000006</v>
      </c>
      <c r="N675" s="126">
        <f>SUMIF('MPG Payment '!$E$3:$E$344841,'Shayak Income '!D675,'MPG Payment '!$J$3:$J$344841)</f>
        <v>13449.859999999997</v>
      </c>
      <c r="O675" s="126">
        <f t="shared" si="192"/>
        <v>235.17000000000004</v>
      </c>
      <c r="P675" s="126">
        <f t="shared" si="193"/>
        <v>297.88200000000006</v>
      </c>
      <c r="Q675" s="126">
        <f>SUMIF('MPG Payment '!$E$3:$E$344841,'Shayak Income '!D675,'MPG Payment '!$S$3:$S$344841)</f>
        <v>0</v>
      </c>
      <c r="R675" s="126">
        <f t="shared" si="184"/>
        <v>403.49579999999992</v>
      </c>
      <c r="S675" s="126">
        <f t="shared" si="185"/>
        <v>105.61379999999986</v>
      </c>
      <c r="T675" s="126">
        <f t="shared" si="194"/>
        <v>31.356000000000009</v>
      </c>
      <c r="U675" s="127">
        <f>((((((IF(K675="New",0,SUMIF('MPG Payment '!$E$3:$E$344841,'Shayak Income '!D675,'MPG Payment '!$AC$3:$AC$344841))))+0)+0)+0)+0)+-1630</f>
        <v>501.96483302300066</v>
      </c>
      <c r="V675" s="127">
        <f t="shared" si="195"/>
        <v>0</v>
      </c>
      <c r="W675" s="19">
        <v>0</v>
      </c>
      <c r="X675" s="19">
        <v>0</v>
      </c>
      <c r="Y675" s="128">
        <v>0</v>
      </c>
      <c r="Z675" s="128">
        <v>0</v>
      </c>
      <c r="AA675" s="126">
        <v>0</v>
      </c>
      <c r="AB675" s="129">
        <f t="shared" si="186"/>
        <v>0</v>
      </c>
      <c r="AC675" s="130">
        <v>0</v>
      </c>
      <c r="AD675" s="35">
        <f t="shared" si="196"/>
        <v>0</v>
      </c>
      <c r="AE675" s="166" t="str">
        <f t="shared" si="197"/>
        <v>Release</v>
      </c>
      <c r="AF675" s="127"/>
      <c r="AG675" s="18">
        <v>0</v>
      </c>
      <c r="AH675" s="120"/>
      <c r="AI675" s="238">
        <v>0</v>
      </c>
      <c r="AJ675" s="132"/>
      <c r="AK675" s="151">
        <v>78.28</v>
      </c>
      <c r="AL675" s="154">
        <f t="shared" si="187"/>
        <v>0</v>
      </c>
      <c r="AM675" s="155"/>
      <c r="AN675" s="19">
        <f t="shared" si="188"/>
        <v>0</v>
      </c>
      <c r="AO675" s="118">
        <f>SUMIF('MPG Payment '!E:E,'Shayak Income '!D675,'MPG Payment '!AJ:AJ)</f>
        <v>0</v>
      </c>
      <c r="AP675" s="19">
        <f t="shared" si="189"/>
        <v>0</v>
      </c>
      <c r="AQ675" s="119">
        <f t="shared" si="198"/>
        <v>0</v>
      </c>
      <c r="AR675" s="91" t="s">
        <v>1144</v>
      </c>
      <c r="AS675" s="91">
        <f t="shared" si="190"/>
        <v>0</v>
      </c>
      <c r="AT675" s="118"/>
      <c r="AU675" s="118"/>
      <c r="AV675" s="118"/>
    </row>
    <row r="676" spans="1:48" s="20" customFormat="1" x14ac:dyDescent="0.25">
      <c r="A676" s="17">
        <f>IFERROR(VLOOKUP(D676,'Monthly Deduction'!$I$3:$J$957,2,0),0)</f>
        <v>0</v>
      </c>
      <c r="B676" s="17">
        <f>IFERROR(VLOOKUP(D676,'Monthly Deduction'!$E$3:$F$957,2,0),0)</f>
        <v>0</v>
      </c>
      <c r="C676" s="17">
        <f t="shared" si="191"/>
        <v>0</v>
      </c>
      <c r="D676" s="41">
        <v>10570037</v>
      </c>
      <c r="E676" s="122" t="str">
        <f>VLOOKUP(D676,'MPG Payment '!$E$3:$G$497305,2,0)</f>
        <v>Almasnagar</v>
      </c>
      <c r="F676" s="146">
        <f>IFERROR(_xlfn.XLOOKUP(D676,'Monthly Deduction'!$I$3:$I$957,'Monthly Deduction'!$H$3:$H$957),0)</f>
        <v>0</v>
      </c>
      <c r="G676" s="123" t="str">
        <f>VLOOKUP(D676,'MPG Payment '!$E$3:$G$333666,3,0)</f>
        <v>vlc</v>
      </c>
      <c r="H676" s="124" t="str">
        <f>VLOOKUP(D676,'MPG Payment '!$E$3:$H$333666,4,0)</f>
        <v>Indirect</v>
      </c>
      <c r="I676" s="88">
        <f>INDEX('MPG Payment '!$C:$C,MATCH('Shayak Income '!D676,'MPG Payment '!E:E,0))</f>
        <v>1057</v>
      </c>
      <c r="J676" s="88" t="str">
        <f>INDEX('MPG Payment '!$D:$D,MATCH('Shayak Income '!D676,'MPG Payment '!E:E,0))</f>
        <v>Warisnagar</v>
      </c>
      <c r="K676" s="125" t="s">
        <v>1594</v>
      </c>
      <c r="L676" s="125">
        <v>46018</v>
      </c>
      <c r="M676" s="126">
        <f>SUMIF('MPG Payment '!$E$3:$E$344841,'Shayak Income '!D676,'MPG Payment '!$I$3:$I$344841)</f>
        <v>810.2</v>
      </c>
      <c r="N676" s="126">
        <f>SUMIF('MPG Payment '!$E$3:$E$344841,'Shayak Income '!D676,'MPG Payment '!$J$3:$J$344841)</f>
        <v>30993.930000000004</v>
      </c>
      <c r="O676" s="126">
        <f t="shared" si="192"/>
        <v>607.65000000000009</v>
      </c>
      <c r="P676" s="126">
        <f t="shared" si="193"/>
        <v>769.69</v>
      </c>
      <c r="Q676" s="126">
        <f>SUMIF('MPG Payment '!$E$3:$E$344841,'Shayak Income '!D676,'MPG Payment '!$S$3:$S$344841)</f>
        <v>0</v>
      </c>
      <c r="R676" s="126">
        <f t="shared" si="184"/>
        <v>929.81790000000012</v>
      </c>
      <c r="S676" s="126">
        <f t="shared" si="185"/>
        <v>160.12790000000007</v>
      </c>
      <c r="T676" s="126">
        <f t="shared" si="194"/>
        <v>81.02000000000001</v>
      </c>
      <c r="U676" s="127">
        <f>((((((IF(K676="New",0,SUMIF('MPG Payment '!$E$3:$E$344841,'Shayak Income '!D676,'MPG Payment '!$AC$3:$AC$344841))))+0)+0)+0)+0)+-230</f>
        <v>1296.525983402614</v>
      </c>
      <c r="V676" s="127">
        <f t="shared" si="195"/>
        <v>0</v>
      </c>
      <c r="W676" s="19">
        <v>0</v>
      </c>
      <c r="X676" s="19">
        <v>0</v>
      </c>
      <c r="Y676" s="128">
        <v>0</v>
      </c>
      <c r="Z676" s="128">
        <v>0</v>
      </c>
      <c r="AA676" s="126">
        <v>0</v>
      </c>
      <c r="AB676" s="129">
        <f t="shared" si="186"/>
        <v>0</v>
      </c>
      <c r="AC676" s="130">
        <v>0</v>
      </c>
      <c r="AD676" s="35">
        <f t="shared" si="196"/>
        <v>0</v>
      </c>
      <c r="AE676" s="166" t="str">
        <f t="shared" si="197"/>
        <v>Release</v>
      </c>
      <c r="AF676" s="127"/>
      <c r="AG676" s="127">
        <v>0</v>
      </c>
      <c r="AH676" s="120"/>
      <c r="AI676" s="238">
        <v>0</v>
      </c>
      <c r="AJ676" s="132"/>
      <c r="AK676" s="151">
        <v>131.10000000000002</v>
      </c>
      <c r="AL676" s="154">
        <f t="shared" si="187"/>
        <v>0</v>
      </c>
      <c r="AM676" s="155"/>
      <c r="AN676" s="19">
        <f t="shared" si="188"/>
        <v>0</v>
      </c>
      <c r="AO676" s="118">
        <f>SUMIF('MPG Payment '!E:E,'Shayak Income '!D676,'MPG Payment '!AJ:AJ)</f>
        <v>0</v>
      </c>
      <c r="AP676" s="19">
        <f t="shared" si="189"/>
        <v>0</v>
      </c>
      <c r="AQ676" s="119">
        <f t="shared" si="198"/>
        <v>0</v>
      </c>
      <c r="AR676" s="91" t="s">
        <v>1144</v>
      </c>
      <c r="AS676" s="91">
        <f t="shared" si="190"/>
        <v>0</v>
      </c>
      <c r="AT676" s="118"/>
      <c r="AU676" s="118"/>
      <c r="AV676" s="118"/>
    </row>
    <row r="677" spans="1:48" s="20" customFormat="1" x14ac:dyDescent="0.25">
      <c r="A677" s="17">
        <f>IFERROR(VLOOKUP(D677,'Monthly Deduction'!$I$3:$J$957,2,0),0)</f>
        <v>0</v>
      </c>
      <c r="B677" s="17">
        <f>IFERROR(VLOOKUP(D677,'Monthly Deduction'!$E$3:$F$957,2,0),0)</f>
        <v>0</v>
      </c>
      <c r="C677" s="17">
        <f t="shared" si="191"/>
        <v>0</v>
      </c>
      <c r="D677" s="41">
        <v>10570038</v>
      </c>
      <c r="E677" s="122" t="str">
        <f>VLOOKUP(D677,'MPG Payment '!$E$3:$G$497305,2,0)</f>
        <v>Kadarchak</v>
      </c>
      <c r="F677" s="146">
        <f>IFERROR(_xlfn.XLOOKUP(D677,'Monthly Deduction'!$I$3:$I$957,'Monthly Deduction'!$H$3:$H$957),0)</f>
        <v>0</v>
      </c>
      <c r="G677" s="123" t="str">
        <f>VLOOKUP(D677,'MPG Payment '!$E$3:$G$333666,3,0)</f>
        <v>vlc</v>
      </c>
      <c r="H677" s="124" t="str">
        <f>VLOOKUP(D677,'MPG Payment '!$E$3:$H$333666,4,0)</f>
        <v>Indirect</v>
      </c>
      <c r="I677" s="88">
        <f>INDEX('MPG Payment '!$C:$C,MATCH('Shayak Income '!D677,'MPG Payment '!E:E,0))</f>
        <v>1057</v>
      </c>
      <c r="J677" s="88" t="str">
        <f>INDEX('MPG Payment '!$D:$D,MATCH('Shayak Income '!D677,'MPG Payment '!E:E,0))</f>
        <v>Warisnagar</v>
      </c>
      <c r="K677" s="125" t="s">
        <v>1594</v>
      </c>
      <c r="L677" s="125">
        <v>46018</v>
      </c>
      <c r="M677" s="126">
        <f>SUMIF('MPG Payment '!$E$3:$E$344841,'Shayak Income '!D677,'MPG Payment '!$I$3:$I$344841)</f>
        <v>243.70000000000002</v>
      </c>
      <c r="N677" s="126">
        <f>SUMIF('MPG Payment '!$E$3:$E$344841,'Shayak Income '!D677,'MPG Payment '!$J$3:$J$344841)</f>
        <v>9560.0299999999988</v>
      </c>
      <c r="O677" s="126">
        <f t="shared" si="192"/>
        <v>182.77500000000001</v>
      </c>
      <c r="P677" s="126">
        <f t="shared" si="193"/>
        <v>231.51500000000001</v>
      </c>
      <c r="Q677" s="126">
        <f>SUMIF('MPG Payment '!$E$3:$E$344841,'Shayak Income '!D677,'MPG Payment '!$S$3:$S$344841)</f>
        <v>0</v>
      </c>
      <c r="R677" s="126">
        <f t="shared" si="184"/>
        <v>286.80089999999996</v>
      </c>
      <c r="S677" s="126">
        <f t="shared" si="185"/>
        <v>55.285899999999941</v>
      </c>
      <c r="T677" s="126">
        <f t="shared" si="194"/>
        <v>24.370000000000005</v>
      </c>
      <c r="U677" s="127">
        <f>((((((IF(K677="New",0,SUMIF('MPG Payment '!$E$3:$E$344841,'Shayak Income '!D677,'MPG Payment '!$AC$3:$AC$344841))))+0)+0)+0)+0)+-1642</f>
        <v>389.47697676456028</v>
      </c>
      <c r="V677" s="127">
        <f t="shared" si="195"/>
        <v>0</v>
      </c>
      <c r="W677" s="19">
        <v>0</v>
      </c>
      <c r="X677" s="19">
        <v>0</v>
      </c>
      <c r="Y677" s="128">
        <v>0</v>
      </c>
      <c r="Z677" s="128">
        <v>0</v>
      </c>
      <c r="AA677" s="126">
        <v>0</v>
      </c>
      <c r="AB677" s="129">
        <f t="shared" si="186"/>
        <v>0</v>
      </c>
      <c r="AC677" s="130">
        <v>0</v>
      </c>
      <c r="AD677" s="35">
        <f t="shared" si="196"/>
        <v>0</v>
      </c>
      <c r="AE677" s="166" t="str">
        <f t="shared" si="197"/>
        <v>Release</v>
      </c>
      <c r="AF677" s="127"/>
      <c r="AG677" s="18">
        <v>0</v>
      </c>
      <c r="AH677" s="120"/>
      <c r="AI677" s="238">
        <v>0</v>
      </c>
      <c r="AJ677" s="132"/>
      <c r="AK677" s="151">
        <v>49.1</v>
      </c>
      <c r="AL677" s="154">
        <f t="shared" si="187"/>
        <v>0</v>
      </c>
      <c r="AM677" s="155"/>
      <c r="AN677" s="19">
        <f t="shared" si="188"/>
        <v>0</v>
      </c>
      <c r="AO677" s="118">
        <f>SUMIF('MPG Payment '!E:E,'Shayak Income '!D677,'MPG Payment '!AJ:AJ)</f>
        <v>0</v>
      </c>
      <c r="AP677" s="19">
        <f t="shared" si="189"/>
        <v>0</v>
      </c>
      <c r="AQ677" s="119">
        <f t="shared" si="198"/>
        <v>0</v>
      </c>
      <c r="AR677" s="91" t="s">
        <v>1144</v>
      </c>
      <c r="AS677" s="91">
        <f t="shared" si="190"/>
        <v>0</v>
      </c>
      <c r="AT677" s="118"/>
      <c r="AU677" s="118"/>
      <c r="AV677" s="118"/>
    </row>
    <row r="678" spans="1:48" s="20" customFormat="1" x14ac:dyDescent="0.25">
      <c r="A678" s="17">
        <f>IFERROR(VLOOKUP(D678,'Monthly Deduction'!$I$3:$J$957,2,0),0)</f>
        <v>62147.7592149095</v>
      </c>
      <c r="B678" s="17">
        <f>IFERROR(VLOOKUP(D678,'Monthly Deduction'!$E$3:$F$957,2,0),0)</f>
        <v>6400</v>
      </c>
      <c r="C678" s="17">
        <f t="shared" si="191"/>
        <v>68547.7592149095</v>
      </c>
      <c r="D678" s="41">
        <v>10030082</v>
      </c>
      <c r="E678" s="122" t="str">
        <f>VLOOKUP(D678,'MPG Payment '!$E$3:$G$497305,2,0)</f>
        <v>RAMBRAN YADAV</v>
      </c>
      <c r="F678" s="146">
        <f>IFERROR(_xlfn.XLOOKUP(D678,'Monthly Deduction'!$I$3:$I$957,'Monthly Deduction'!$H$3:$H$957),0)</f>
        <v>0</v>
      </c>
      <c r="G678" s="123" t="str">
        <f>VLOOKUP(D678,'MPG Payment '!$E$3:$G$333666,3,0)</f>
        <v>MPG</v>
      </c>
      <c r="H678" s="124" t="str">
        <f>VLOOKUP(D678,'MPG Payment '!$E$3:$H$333666,4,0)</f>
        <v>Direct</v>
      </c>
      <c r="I678" s="88">
        <f>INDEX('MPG Payment '!$C:$C,MATCH('Shayak Income '!D678,'MPG Payment '!E:E,0))</f>
        <v>1003</v>
      </c>
      <c r="J678" s="88" t="str">
        <f>INDEX('MPG Payment '!$D:$D,MATCH('Shayak Income '!D678,'MPG Payment '!E:E,0))</f>
        <v>Asarganj</v>
      </c>
      <c r="K678" s="125" t="s">
        <v>1594</v>
      </c>
      <c r="L678" s="125">
        <v>46024</v>
      </c>
      <c r="M678" s="126">
        <f>SUMIF('MPG Payment '!$E$3:$E$344841,'Shayak Income '!D678,'MPG Payment '!$I$3:$I$344841)</f>
        <v>2789.05</v>
      </c>
      <c r="N678" s="126">
        <f>SUMIF('MPG Payment '!$E$3:$E$344841,'Shayak Income '!D678,'MPG Payment '!$J$3:$J$344841)</f>
        <v>114596.97</v>
      </c>
      <c r="O678" s="126">
        <f t="shared" si="192"/>
        <v>2091.7875000000004</v>
      </c>
      <c r="P678" s="126">
        <f t="shared" si="193"/>
        <v>2649.5974999999999</v>
      </c>
      <c r="Q678" s="126">
        <f>SUMIF('MPG Payment '!$E$3:$E$344841,'Shayak Income '!D678,'MPG Payment '!$S$3:$S$344841)</f>
        <v>0</v>
      </c>
      <c r="R678" s="126">
        <f t="shared" si="184"/>
        <v>3437.9090999999999</v>
      </c>
      <c r="S678" s="126">
        <f t="shared" si="185"/>
        <v>788.3116</v>
      </c>
      <c r="T678" s="126">
        <f t="shared" si="194"/>
        <v>278.90500000000003</v>
      </c>
      <c r="U678" s="127">
        <f>((((((IF(K678="New",0,SUMIF('MPG Payment '!$E$3:$E$344841,'Shayak Income '!D678,'MPG Payment '!$AC$3:$AC$344841))))+0)+0)+0)+0)+0</f>
        <v>106.58282223792507</v>
      </c>
      <c r="V678" s="127">
        <f t="shared" si="195"/>
        <v>4356</v>
      </c>
      <c r="W678" s="19">
        <f t="shared" si="199"/>
        <v>2291.9394000000002</v>
      </c>
      <c r="X678" s="19">
        <v>0</v>
      </c>
      <c r="Y678" s="128">
        <f>IFERROR(VLOOKUP(D678,'Monthly Deduction'!$M$2:$N$640,2,0),0)</f>
        <v>0</v>
      </c>
      <c r="Z678" s="128">
        <v>0</v>
      </c>
      <c r="AA678" s="126">
        <f>IFERROR(VLOOKUP(D678,'Monthly Deduction'!A:B,2,0),0)</f>
        <v>0</v>
      </c>
      <c r="AB678" s="129">
        <f t="shared" si="186"/>
        <v>2064</v>
      </c>
      <c r="AC678" s="130">
        <f>AB678</f>
        <v>2064</v>
      </c>
      <c r="AD678" s="35">
        <f t="shared" si="196"/>
        <v>0</v>
      </c>
      <c r="AE678" s="166" t="str">
        <f t="shared" si="197"/>
        <v>Yes</v>
      </c>
      <c r="AF678" s="127"/>
      <c r="AG678" s="18">
        <v>0</v>
      </c>
      <c r="AH678" s="120" t="s">
        <v>1683</v>
      </c>
      <c r="AI678" s="238">
        <v>0</v>
      </c>
      <c r="AJ678" s="132"/>
      <c r="AK678" s="151">
        <v>473.54999999999995</v>
      </c>
      <c r="AL678" s="154">
        <f t="shared" si="187"/>
        <v>0</v>
      </c>
      <c r="AM678" s="155"/>
      <c r="AN678" s="19">
        <f t="shared" si="188"/>
        <v>2291.9394000000002</v>
      </c>
      <c r="AO678" s="118">
        <f>SUMIF('MPG Payment '!E:E,'Shayak Income '!D678,'MPG Payment '!AJ:AJ)</f>
        <v>0</v>
      </c>
      <c r="AP678" s="19">
        <f t="shared" si="189"/>
        <v>2291.9394000000002</v>
      </c>
      <c r="AQ678" s="119">
        <f t="shared" si="198"/>
        <v>2291.9394000000002</v>
      </c>
      <c r="AR678" s="91" t="s">
        <v>1144</v>
      </c>
      <c r="AS678" s="91">
        <f t="shared" si="190"/>
        <v>6400</v>
      </c>
      <c r="AT678" s="118"/>
      <c r="AU678" s="118"/>
      <c r="AV678" s="118"/>
    </row>
    <row r="679" spans="1:48" s="20" customFormat="1" x14ac:dyDescent="0.25">
      <c r="A679" s="17">
        <f>IFERROR(VLOOKUP(D679,'Monthly Deduction'!$I$3:$J$957,2,0),0)</f>
        <v>61027.422399999996</v>
      </c>
      <c r="B679" s="17">
        <f>IFERROR(VLOOKUP(D679,'Monthly Deduction'!$E$3:$F$957,2,0),0)</f>
        <v>12800</v>
      </c>
      <c r="C679" s="17">
        <f t="shared" si="191"/>
        <v>73827.422399999996</v>
      </c>
      <c r="D679" s="41">
        <v>10080119</v>
      </c>
      <c r="E679" s="122" t="str">
        <f>VLOOKUP(D679,'MPG Payment '!$E$3:$G$497305,2,0)</f>
        <v>Mukhtiyarpur</v>
      </c>
      <c r="F679" s="146">
        <f>IFERROR(_xlfn.XLOOKUP(D679,'Monthly Deduction'!$I$3:$I$957,'Monthly Deduction'!$H$3:$H$957),0)</f>
        <v>0</v>
      </c>
      <c r="G679" s="123" t="str">
        <f>VLOOKUP(D679,'MPG Payment '!$E$3:$G$333666,3,0)</f>
        <v>MPG</v>
      </c>
      <c r="H679" s="124" t="str">
        <f>VLOOKUP(D679,'MPG Payment '!$E$3:$H$333666,4,0)</f>
        <v>Direct</v>
      </c>
      <c r="I679" s="88">
        <f>INDEX('MPG Payment '!$C:$C,MATCH('Shayak Income '!D679,'MPG Payment '!E:E,0))</f>
        <v>1008</v>
      </c>
      <c r="J679" s="88" t="str">
        <f>INDEX('MPG Payment '!$D:$D,MATCH('Shayak Income '!D679,'MPG Payment '!E:E,0))</f>
        <v>Teghra</v>
      </c>
      <c r="K679" s="125" t="s">
        <v>1594</v>
      </c>
      <c r="L679" s="125">
        <v>46027</v>
      </c>
      <c r="M679" s="126">
        <f>SUMIF('MPG Payment '!$E$3:$E$344841,'Shayak Income '!D679,'MPG Payment '!$I$3:$I$344841)</f>
        <v>532</v>
      </c>
      <c r="N679" s="126">
        <f>SUMIF('MPG Payment '!$E$3:$E$344841,'Shayak Income '!D679,'MPG Payment '!$J$3:$J$344841)</f>
        <v>19972.78</v>
      </c>
      <c r="O679" s="126">
        <f t="shared" si="192"/>
        <v>399</v>
      </c>
      <c r="P679" s="126">
        <f t="shared" si="193"/>
        <v>505.4</v>
      </c>
      <c r="Q679" s="126">
        <f>SUMIF('MPG Payment '!$E$3:$E$344841,'Shayak Income '!D679,'MPG Payment '!$S$3:$S$344841)</f>
        <v>0</v>
      </c>
      <c r="R679" s="126">
        <f t="shared" si="184"/>
        <v>599.18339999999989</v>
      </c>
      <c r="S679" s="126">
        <f t="shared" si="185"/>
        <v>93.783399999999915</v>
      </c>
      <c r="T679" s="126">
        <f t="shared" si="194"/>
        <v>53.2</v>
      </c>
      <c r="U679" s="127">
        <f>((((((IF(K679="New",0,SUMIF('MPG Payment '!$E$3:$E$344841,'Shayak Income '!D679,'MPG Payment '!$AC$3:$AC$344841))))+0)+0)+0)+0)+-830</f>
        <v>850.86743633302785</v>
      </c>
      <c r="V679" s="127">
        <f t="shared" si="195"/>
        <v>0</v>
      </c>
      <c r="W679" s="19">
        <v>0</v>
      </c>
      <c r="X679" s="19">
        <v>0</v>
      </c>
      <c r="Y679" s="128">
        <v>0</v>
      </c>
      <c r="Z679" s="128">
        <v>0</v>
      </c>
      <c r="AA679" s="126">
        <v>0</v>
      </c>
      <c r="AB679" s="129">
        <f t="shared" si="186"/>
        <v>0</v>
      </c>
      <c r="AC679" s="130">
        <v>0</v>
      </c>
      <c r="AD679" s="35">
        <f t="shared" si="196"/>
        <v>0</v>
      </c>
      <c r="AE679" s="166" t="str">
        <f t="shared" si="197"/>
        <v>Release</v>
      </c>
      <c r="AF679" s="127"/>
      <c r="AG679" s="18">
        <v>0</v>
      </c>
      <c r="AH679" s="120"/>
      <c r="AI679" s="238">
        <v>0</v>
      </c>
      <c r="AJ679" s="132"/>
      <c r="AK679" s="151">
        <v>193.4</v>
      </c>
      <c r="AL679" s="154">
        <f t="shared" si="187"/>
        <v>0</v>
      </c>
      <c r="AM679" s="155"/>
      <c r="AN679" s="19">
        <f t="shared" si="188"/>
        <v>1861</v>
      </c>
      <c r="AO679" s="118">
        <f>SUMIF('MPG Payment '!E:E,'Shayak Income '!D679,'MPG Payment '!AJ:AJ)</f>
        <v>0</v>
      </c>
      <c r="AP679" s="19">
        <f t="shared" si="189"/>
        <v>0</v>
      </c>
      <c r="AQ679" s="119">
        <f t="shared" si="198"/>
        <v>0</v>
      </c>
      <c r="AR679" s="91" t="s">
        <v>1144</v>
      </c>
      <c r="AS679" s="91">
        <f t="shared" si="190"/>
        <v>12800</v>
      </c>
      <c r="AT679" s="118"/>
      <c r="AU679" s="118"/>
      <c r="AV679" s="118"/>
    </row>
    <row r="680" spans="1:48" s="20" customFormat="1" x14ac:dyDescent="0.25">
      <c r="A680" s="17">
        <f>IFERROR(VLOOKUP(D680,'Monthly Deduction'!$I$3:$J$957,2,0),0)</f>
        <v>58407.746946631371</v>
      </c>
      <c r="B680" s="17">
        <f>IFERROR(VLOOKUP(D680,'Monthly Deduction'!$E$3:$F$957,2,0),0)</f>
        <v>6400</v>
      </c>
      <c r="C680" s="17">
        <f t="shared" si="191"/>
        <v>64807.746946631371</v>
      </c>
      <c r="D680" s="41">
        <v>10090075</v>
      </c>
      <c r="E680" s="122" t="str">
        <f>VLOOKUP(D680,'MPG Payment '!$E$3:$G$497305,2,0)</f>
        <v>PACHAUTA</v>
      </c>
      <c r="F680" s="146">
        <f>IFERROR(_xlfn.XLOOKUP(D680,'Monthly Deduction'!$I$3:$I$957,'Monthly Deduction'!$H$3:$H$957),0)</f>
        <v>0</v>
      </c>
      <c r="G680" s="123" t="str">
        <f>VLOOKUP(D680,'MPG Payment '!$E$3:$G$333666,3,0)</f>
        <v>MPG</v>
      </c>
      <c r="H680" s="124" t="str">
        <f>VLOOKUP(D680,'MPG Payment '!$E$3:$H$333666,4,0)</f>
        <v>Direct</v>
      </c>
      <c r="I680" s="88">
        <f>INDEX('MPG Payment '!$C:$C,MATCH('Shayak Income '!D680,'MPG Payment '!E:E,0))</f>
        <v>1009</v>
      </c>
      <c r="J680" s="88" t="str">
        <f>INDEX('MPG Payment '!$D:$D,MATCH('Shayak Income '!D680,'MPG Payment '!E:E,0))</f>
        <v>Halsi</v>
      </c>
      <c r="K680" s="125" t="s">
        <v>1594</v>
      </c>
      <c r="L680" s="125">
        <v>46026</v>
      </c>
      <c r="M680" s="126">
        <f>SUMIF('MPG Payment '!$E$3:$E$344841,'Shayak Income '!D680,'MPG Payment '!$I$3:$I$344841)</f>
        <v>1645.5000000000002</v>
      </c>
      <c r="N680" s="126">
        <f>SUMIF('MPG Payment '!$E$3:$E$344841,'Shayak Income '!D680,'MPG Payment '!$J$3:$J$344841)</f>
        <v>65607.34</v>
      </c>
      <c r="O680" s="126">
        <f t="shared" si="192"/>
        <v>1234.1250000000002</v>
      </c>
      <c r="P680" s="126">
        <f t="shared" si="193"/>
        <v>1563.2250000000001</v>
      </c>
      <c r="Q680" s="126">
        <f>SUMIF('MPG Payment '!$E$3:$E$344841,'Shayak Income '!D680,'MPG Payment '!$S$3:$S$344841)</f>
        <v>0</v>
      </c>
      <c r="R680" s="126">
        <f t="shared" si="184"/>
        <v>1968.2201999999997</v>
      </c>
      <c r="S680" s="126">
        <f t="shared" si="185"/>
        <v>404.99519999999961</v>
      </c>
      <c r="T680" s="126">
        <f t="shared" si="194"/>
        <v>164.55000000000004</v>
      </c>
      <c r="U680" s="127">
        <f>((((((IF(K680="New",0,SUMIF('MPG Payment '!$E$3:$E$344841,'Shayak Income '!D680,'MPG Payment '!$AC$3:$AC$344841))))+0)+0)+0)+0)+0</f>
        <v>897.99797215279523</v>
      </c>
      <c r="V680" s="127">
        <f t="shared" si="195"/>
        <v>1735</v>
      </c>
      <c r="W680" s="19">
        <v>1735</v>
      </c>
      <c r="X680" s="19">
        <v>0</v>
      </c>
      <c r="Y680" s="128">
        <f>IFERROR(VLOOKUP(D680,'Monthly Deduction'!$M$2:$N$640,2,0),0)</f>
        <v>0</v>
      </c>
      <c r="Z680" s="128">
        <v>0</v>
      </c>
      <c r="AA680" s="126">
        <v>0</v>
      </c>
      <c r="AB680" s="129">
        <f t="shared" si="186"/>
        <v>0</v>
      </c>
      <c r="AC680" s="130">
        <f>AB680</f>
        <v>0</v>
      </c>
      <c r="AD680" s="35">
        <f t="shared" si="196"/>
        <v>0</v>
      </c>
      <c r="AE680" s="166" t="str">
        <f t="shared" si="197"/>
        <v>Release</v>
      </c>
      <c r="AF680" s="127"/>
      <c r="AG680" s="127">
        <v>0</v>
      </c>
      <c r="AH680" s="132" t="s">
        <v>1597</v>
      </c>
      <c r="AI680" s="238">
        <v>0</v>
      </c>
      <c r="AJ680" s="132"/>
      <c r="AK680" s="151">
        <v>0</v>
      </c>
      <c r="AL680" s="154">
        <f t="shared" si="187"/>
        <v>0</v>
      </c>
      <c r="AM680" s="155"/>
      <c r="AN680" s="19">
        <f t="shared" si="188"/>
        <v>1861</v>
      </c>
      <c r="AO680" s="118">
        <f>SUMIF('MPG Payment '!E:E,'Shayak Income '!D680,'MPG Payment '!AJ:AJ)</f>
        <v>0</v>
      </c>
      <c r="AP680" s="19">
        <f t="shared" si="189"/>
        <v>1735</v>
      </c>
      <c r="AQ680" s="119">
        <f t="shared" si="198"/>
        <v>1735</v>
      </c>
      <c r="AR680" s="91"/>
      <c r="AS680" s="91">
        <f t="shared" si="190"/>
        <v>6400</v>
      </c>
      <c r="AT680" s="118"/>
      <c r="AU680" s="118"/>
      <c r="AV680" s="118"/>
    </row>
    <row r="681" spans="1:48" s="20" customFormat="1" x14ac:dyDescent="0.25">
      <c r="A681" s="17">
        <f>IFERROR(VLOOKUP(D681,'Monthly Deduction'!$I$3:$J$957,2,0),0)</f>
        <v>0</v>
      </c>
      <c r="B681" s="17">
        <f>IFERROR(VLOOKUP(D681,'Monthly Deduction'!$E$3:$F$957,2,0),0)</f>
        <v>0</v>
      </c>
      <c r="C681" s="17">
        <f t="shared" si="191"/>
        <v>0</v>
      </c>
      <c r="D681" s="41">
        <v>10130114</v>
      </c>
      <c r="E681" s="122" t="str">
        <f>VLOOKUP(D681,'MPG Payment '!$E$3:$G$497305,2,0)</f>
        <v>GOMUKH MAHINDWARA</v>
      </c>
      <c r="F681" s="146">
        <f>IFERROR(_xlfn.XLOOKUP(D681,'Monthly Deduction'!$I$3:$I$957,'Monthly Deduction'!$H$3:$H$957),0)</f>
        <v>0</v>
      </c>
      <c r="G681" s="123" t="str">
        <f>VLOOKUP(D681,'MPG Payment '!$E$3:$G$333666,3,0)</f>
        <v>vlc</v>
      </c>
      <c r="H681" s="124" t="str">
        <f>VLOOKUP(D681,'MPG Payment '!$E$3:$H$333666,4,0)</f>
        <v>Indirect</v>
      </c>
      <c r="I681" s="88">
        <f>INDEX('MPG Payment '!$C:$C,MATCH('Shayak Income '!D681,'MPG Payment '!E:E,0))</f>
        <v>1013</v>
      </c>
      <c r="J681" s="88" t="str">
        <f>INDEX('MPG Payment '!$D:$D,MATCH('Shayak Income '!D681,'MPG Payment '!E:E,0))</f>
        <v>Musrigharari</v>
      </c>
      <c r="K681" s="125" t="s">
        <v>1594</v>
      </c>
      <c r="L681" s="125">
        <v>46027</v>
      </c>
      <c r="M681" s="126">
        <f>SUMIF('MPG Payment '!$E$3:$E$344841,'Shayak Income '!D681,'MPG Payment '!$I$3:$I$344841)</f>
        <v>1306.9000000000001</v>
      </c>
      <c r="N681" s="126">
        <f>SUMIF('MPG Payment '!$E$3:$E$344841,'Shayak Income '!D681,'MPG Payment '!$J$3:$J$344841)</f>
        <v>51762.92</v>
      </c>
      <c r="O681" s="126">
        <f t="shared" si="192"/>
        <v>980.17500000000007</v>
      </c>
      <c r="P681" s="126">
        <f t="shared" si="193"/>
        <v>1241.5550000000001</v>
      </c>
      <c r="Q681" s="126">
        <f>SUMIF('MPG Payment '!$E$3:$E$344841,'Shayak Income '!D681,'MPG Payment '!$S$3:$S$344841)</f>
        <v>0</v>
      </c>
      <c r="R681" s="126">
        <f t="shared" si="184"/>
        <v>1552.8875999999998</v>
      </c>
      <c r="S681" s="126">
        <f t="shared" si="185"/>
        <v>311.33259999999973</v>
      </c>
      <c r="T681" s="126">
        <f t="shared" si="194"/>
        <v>130.69000000000003</v>
      </c>
      <c r="U681" s="127">
        <f>((((((IF(K681="New",0,SUMIF('MPG Payment '!$E$3:$E$344841,'Shayak Income '!D681,'MPG Payment '!$AC$3:$AC$344841))))+0)+0)+0)+0)+0</f>
        <v>1180.7715615370798</v>
      </c>
      <c r="V681" s="127">
        <f t="shared" si="195"/>
        <v>910</v>
      </c>
      <c r="W681" s="19">
        <f t="shared" si="199"/>
        <v>0</v>
      </c>
      <c r="X681" s="19">
        <f t="shared" si="200"/>
        <v>0</v>
      </c>
      <c r="Y681" s="128">
        <f>IFERROR(VLOOKUP(D681,'Monthly Deduction'!$M$2:$N$640,2,0),0)</f>
        <v>0</v>
      </c>
      <c r="Z681" s="128">
        <v>0</v>
      </c>
      <c r="AA681" s="126">
        <f>IFERROR(VLOOKUP(D681,'Monthly Deduction'!A:B,2,0),0)</f>
        <v>0</v>
      </c>
      <c r="AB681" s="129">
        <f t="shared" si="186"/>
        <v>910</v>
      </c>
      <c r="AC681" s="130">
        <v>0</v>
      </c>
      <c r="AD681" s="35">
        <f t="shared" si="196"/>
        <v>910</v>
      </c>
      <c r="AE681" s="166" t="str">
        <f t="shared" si="197"/>
        <v>Release</v>
      </c>
      <c r="AF681" s="127"/>
      <c r="AG681" s="18">
        <v>0</v>
      </c>
      <c r="AH681" s="120"/>
      <c r="AI681" s="238">
        <v>0</v>
      </c>
      <c r="AJ681" s="132"/>
      <c r="AK681" s="151">
        <v>139.80000000000001</v>
      </c>
      <c r="AL681" s="154">
        <f t="shared" si="187"/>
        <v>0</v>
      </c>
      <c r="AM681" s="155"/>
      <c r="AN681" s="19">
        <f t="shared" si="188"/>
        <v>0</v>
      </c>
      <c r="AO681" s="118">
        <f>SUMIF('MPG Payment '!E:E,'Shayak Income '!D681,'MPG Payment '!AJ:AJ)</f>
        <v>0</v>
      </c>
      <c r="AP681" s="19">
        <f t="shared" si="189"/>
        <v>0</v>
      </c>
      <c r="AQ681" s="119">
        <f t="shared" si="198"/>
        <v>0</v>
      </c>
      <c r="AR681" s="91" t="s">
        <v>1144</v>
      </c>
      <c r="AS681" s="91">
        <f t="shared" si="190"/>
        <v>0</v>
      </c>
      <c r="AT681" s="118"/>
      <c r="AU681" s="118"/>
      <c r="AV681" s="118"/>
    </row>
    <row r="682" spans="1:48" s="20" customFormat="1" x14ac:dyDescent="0.25">
      <c r="A682" s="17">
        <f>IFERROR(VLOOKUP(D682,'Monthly Deduction'!$I$3:$J$957,2,0),0)</f>
        <v>0</v>
      </c>
      <c r="B682" s="17">
        <f>IFERROR(VLOOKUP(D682,'Monthly Deduction'!$E$3:$F$957,2,0),0)</f>
        <v>0</v>
      </c>
      <c r="C682" s="17">
        <f t="shared" si="191"/>
        <v>0</v>
      </c>
      <c r="D682" s="41">
        <v>10140147</v>
      </c>
      <c r="E682" s="122" t="str">
        <f>VLOOKUP(D682,'MPG Payment '!$E$3:$G$497305,2,0)</f>
        <v xml:space="preserve">Gomukh Mathuradera Upendra </v>
      </c>
      <c r="F682" s="146">
        <f>IFERROR(_xlfn.XLOOKUP(D682,'Monthly Deduction'!$I$3:$I$957,'Monthly Deduction'!$H$3:$H$957),0)</f>
        <v>0</v>
      </c>
      <c r="G682" s="123" t="str">
        <f>VLOOKUP(D682,'MPG Payment '!$E$3:$G$333666,3,0)</f>
        <v>vlc</v>
      </c>
      <c r="H682" s="124" t="str">
        <f>VLOOKUP(D682,'MPG Payment '!$E$3:$H$333666,4,0)</f>
        <v>Indirect</v>
      </c>
      <c r="I682" s="88">
        <f>INDEX('MPG Payment '!$C:$C,MATCH('Shayak Income '!D682,'MPG Payment '!E:E,0))</f>
        <v>1014</v>
      </c>
      <c r="J682" s="88" t="str">
        <f>INDEX('MPG Payment '!$D:$D,MATCH('Shayak Income '!D682,'MPG Payment '!E:E,0))</f>
        <v>Dumraon</v>
      </c>
      <c r="K682" s="125" t="s">
        <v>1594</v>
      </c>
      <c r="L682" s="125">
        <v>46025</v>
      </c>
      <c r="M682" s="126">
        <f>SUMIF('MPG Payment '!$E$3:$E$344841,'Shayak Income '!D682,'MPG Payment '!$I$3:$I$344841)</f>
        <v>1836</v>
      </c>
      <c r="N682" s="126">
        <f>SUMIF('MPG Payment '!$E$3:$E$344841,'Shayak Income '!D682,'MPG Payment '!$J$3:$J$344841)</f>
        <v>77669.5</v>
      </c>
      <c r="O682" s="126">
        <f t="shared" si="192"/>
        <v>1377</v>
      </c>
      <c r="P682" s="126">
        <f t="shared" si="193"/>
        <v>1744.1999999999998</v>
      </c>
      <c r="Q682" s="126">
        <f>SUMIF('MPG Payment '!$E$3:$E$344841,'Shayak Income '!D682,'MPG Payment '!$S$3:$S$344841)</f>
        <v>0</v>
      </c>
      <c r="R682" s="126">
        <f t="shared" si="184"/>
        <v>2330.085</v>
      </c>
      <c r="S682" s="126">
        <f t="shared" si="185"/>
        <v>585.88500000000022</v>
      </c>
      <c r="T682" s="126">
        <f t="shared" si="194"/>
        <v>183.60000000000002</v>
      </c>
      <c r="U682" s="127">
        <f>((((((IF(K682="New",0,SUMIF('MPG Payment '!$E$3:$E$344841,'Shayak Income '!D682,'MPG Payment '!$AC$3:$AC$344841))))+0)+0)+0)+0)+0</f>
        <v>835.94441561061706</v>
      </c>
      <c r="V682" s="127">
        <f t="shared" si="195"/>
        <v>2102</v>
      </c>
      <c r="W682" s="19">
        <f t="shared" si="199"/>
        <v>0</v>
      </c>
      <c r="X682" s="19">
        <f t="shared" si="200"/>
        <v>0</v>
      </c>
      <c r="Y682" s="128">
        <f>IFERROR(VLOOKUP(D682,'Monthly Deduction'!$M$2:$N$640,2,0),0)</f>
        <v>0</v>
      </c>
      <c r="Z682" s="128">
        <v>0</v>
      </c>
      <c r="AA682" s="126">
        <f>IFERROR(VLOOKUP(D682,'Monthly Deduction'!A:B,2,0),0)</f>
        <v>0</v>
      </c>
      <c r="AB682" s="129">
        <f t="shared" si="186"/>
        <v>2102</v>
      </c>
      <c r="AC682" s="130">
        <v>0</v>
      </c>
      <c r="AD682" s="35">
        <f t="shared" si="196"/>
        <v>2102</v>
      </c>
      <c r="AE682" s="166" t="str">
        <f t="shared" si="197"/>
        <v>Release</v>
      </c>
      <c r="AF682" s="127"/>
      <c r="AG682" s="18">
        <v>0</v>
      </c>
      <c r="AH682" s="120"/>
      <c r="AI682" s="238">
        <v>0</v>
      </c>
      <c r="AJ682" s="132"/>
      <c r="AK682" s="151">
        <v>253.79999999999998</v>
      </c>
      <c r="AL682" s="154">
        <f t="shared" si="187"/>
        <v>0</v>
      </c>
      <c r="AM682" s="155"/>
      <c r="AN682" s="19">
        <f t="shared" si="188"/>
        <v>0</v>
      </c>
      <c r="AO682" s="118">
        <f>SUMIF('MPG Payment '!E:E,'Shayak Income '!D682,'MPG Payment '!AJ:AJ)</f>
        <v>0</v>
      </c>
      <c r="AP682" s="19">
        <f t="shared" si="189"/>
        <v>0</v>
      </c>
      <c r="AQ682" s="119">
        <f t="shared" si="198"/>
        <v>0</v>
      </c>
      <c r="AR682" s="91"/>
      <c r="AS682" s="91">
        <f t="shared" si="190"/>
        <v>0</v>
      </c>
      <c r="AT682" s="118"/>
      <c r="AU682" s="118"/>
      <c r="AV682" s="118"/>
    </row>
    <row r="683" spans="1:48" s="20" customFormat="1" x14ac:dyDescent="0.25">
      <c r="A683" s="17">
        <f>IFERROR(VLOOKUP(D683,'Monthly Deduction'!$I$3:$J$957,2,0),0)</f>
        <v>0</v>
      </c>
      <c r="B683" s="17">
        <f>IFERROR(VLOOKUP(D683,'Monthly Deduction'!$E$3:$F$957,2,0),0)</f>
        <v>0</v>
      </c>
      <c r="C683" s="17">
        <f t="shared" si="191"/>
        <v>0</v>
      </c>
      <c r="D683" s="41">
        <v>10520010</v>
      </c>
      <c r="E683" s="122" t="str">
        <f>VLOOKUP(D683,'MPG Payment '!$E$3:$G$497305,2,0)</f>
        <v>Anik Kumar</v>
      </c>
      <c r="F683" s="146">
        <f>IFERROR(_xlfn.XLOOKUP(D683,'Monthly Deduction'!$I$3:$I$957,'Monthly Deduction'!$H$3:$H$957),0)</f>
        <v>0</v>
      </c>
      <c r="G683" s="123" t="str">
        <f>VLOOKUP(D683,'MPG Payment '!$E$3:$G$333666,3,0)</f>
        <v>vlc</v>
      </c>
      <c r="H683" s="124" t="str">
        <f>VLOOKUP(D683,'MPG Payment '!$E$3:$H$333666,4,0)</f>
        <v>Indirect</v>
      </c>
      <c r="I683" s="88">
        <f>INDEX('MPG Payment '!$C:$C,MATCH('Shayak Income '!D683,'MPG Payment '!E:E,0))</f>
        <v>1053</v>
      </c>
      <c r="J683" s="88" t="str">
        <f>INDEX('MPG Payment '!$D:$D,MATCH('Shayak Income '!D683,'MPG Payment '!E:E,0))</f>
        <v>Kalyanpur</v>
      </c>
      <c r="K683" s="125" t="s">
        <v>1594</v>
      </c>
      <c r="L683" s="125">
        <v>46029</v>
      </c>
      <c r="M683" s="126">
        <f>SUMIF('MPG Payment '!$E$3:$E$344841,'Shayak Income '!D683,'MPG Payment '!$I$3:$I$344841)</f>
        <v>20866</v>
      </c>
      <c r="N683" s="126">
        <f>SUMIF('MPG Payment '!$E$3:$E$344841,'Shayak Income '!D683,'MPG Payment '!$J$3:$J$344841)</f>
        <v>854265.4800000001</v>
      </c>
      <c r="O683" s="126">
        <f t="shared" si="192"/>
        <v>15649.5</v>
      </c>
      <c r="P683" s="126">
        <f t="shared" si="193"/>
        <v>19822.7</v>
      </c>
      <c r="Q683" s="126">
        <f>SUMIF('MPG Payment '!$E$3:$E$344841,'Shayak Income '!D683,'MPG Payment '!$S$3:$S$344841)</f>
        <v>0</v>
      </c>
      <c r="R683" s="126">
        <f t="shared" si="184"/>
        <v>25627.964400000001</v>
      </c>
      <c r="S683" s="126">
        <f t="shared" si="185"/>
        <v>5805.2644</v>
      </c>
      <c r="T683" s="126">
        <v>0</v>
      </c>
      <c r="U683" s="127">
        <f>((((((IF(K683="New",0,SUMIF('MPG Payment '!$E$3:$E$344841,'Shayak Income '!D683,'MPG Payment '!$AC$3:$AC$344841))))+0)+0)+0)+0)+0</f>
        <v>0</v>
      </c>
      <c r="V683" s="127">
        <f t="shared" si="195"/>
        <v>35472</v>
      </c>
      <c r="W683" s="19">
        <f t="shared" si="199"/>
        <v>0</v>
      </c>
      <c r="X683" s="19">
        <f t="shared" si="200"/>
        <v>0</v>
      </c>
      <c r="Y683" s="128">
        <f>IFERROR(VLOOKUP(D683,'Monthly Deduction'!$M$2:$N$640,2,0),0)</f>
        <v>0</v>
      </c>
      <c r="Z683" s="128">
        <v>0</v>
      </c>
      <c r="AA683" s="126">
        <f>IFERROR(VLOOKUP(D683,'Monthly Deduction'!A:B,2,0),0)</f>
        <v>0</v>
      </c>
      <c r="AB683" s="129">
        <f t="shared" si="186"/>
        <v>35472</v>
      </c>
      <c r="AC683" s="130">
        <v>0</v>
      </c>
      <c r="AD683" s="35">
        <f t="shared" si="196"/>
        <v>35472</v>
      </c>
      <c r="AE683" s="166" t="str">
        <f t="shared" si="197"/>
        <v>Release</v>
      </c>
      <c r="AF683" s="127"/>
      <c r="AG683" s="18">
        <v>0</v>
      </c>
      <c r="AH683" s="132"/>
      <c r="AI683" s="238">
        <v>0</v>
      </c>
      <c r="AJ683" s="132"/>
      <c r="AK683" s="151">
        <v>4805</v>
      </c>
      <c r="AL683" s="154">
        <f t="shared" si="187"/>
        <v>0</v>
      </c>
      <c r="AM683" s="155"/>
      <c r="AN683" s="19">
        <f t="shared" si="188"/>
        <v>0</v>
      </c>
      <c r="AO683" s="118">
        <f>SUMIF('MPG Payment '!E:E,'Shayak Income '!D683,'MPG Payment '!AJ:AJ)</f>
        <v>0</v>
      </c>
      <c r="AP683" s="19">
        <f t="shared" si="189"/>
        <v>0</v>
      </c>
      <c r="AQ683" s="119">
        <f t="shared" si="198"/>
        <v>0</v>
      </c>
      <c r="AR683" s="91" t="s">
        <v>1144</v>
      </c>
      <c r="AS683" s="91">
        <f t="shared" si="190"/>
        <v>0</v>
      </c>
      <c r="AT683" s="118"/>
      <c r="AU683" s="118"/>
      <c r="AV683" s="118"/>
    </row>
    <row r="684" spans="1:48" s="20" customFormat="1" x14ac:dyDescent="0.25">
      <c r="A684" s="17">
        <f>IFERROR(VLOOKUP(D684,'Monthly Deduction'!$I$3:$J$957,2,0),0)</f>
        <v>0</v>
      </c>
      <c r="B684" s="17">
        <f>IFERROR(VLOOKUP(D684,'Monthly Deduction'!$E$3:$F$957,2,0),0)</f>
        <v>0</v>
      </c>
      <c r="C684" s="17">
        <f t="shared" si="191"/>
        <v>0</v>
      </c>
      <c r="D684" s="41">
        <v>10540041</v>
      </c>
      <c r="E684" s="122" t="str">
        <f>VLOOKUP(D684,'MPG Payment '!$E$3:$G$497305,2,0)</f>
        <v>Gomukh Darhi Mor</v>
      </c>
      <c r="F684" s="146">
        <f>IFERROR(_xlfn.XLOOKUP(D684,'Monthly Deduction'!$I$3:$I$957,'Monthly Deduction'!$H$3:$H$957),0)</f>
        <v>0</v>
      </c>
      <c r="G684" s="123" t="str">
        <f>VLOOKUP(D684,'MPG Payment '!$E$3:$G$333666,3,0)</f>
        <v>MPG</v>
      </c>
      <c r="H684" s="124" t="str">
        <f>VLOOKUP(D684,'MPG Payment '!$E$3:$H$333666,4,0)</f>
        <v>Indirect</v>
      </c>
      <c r="I684" s="88">
        <f>INDEX('MPG Payment '!$C:$C,MATCH('Shayak Income '!D684,'MPG Payment '!E:E,0))</f>
        <v>1054</v>
      </c>
      <c r="J684" s="88" t="str">
        <f>INDEX('MPG Payment '!$D:$D,MATCH('Shayak Income '!D684,'MPG Payment '!E:E,0))</f>
        <v xml:space="preserve">Alauli </v>
      </c>
      <c r="K684" s="125" t="s">
        <v>1594</v>
      </c>
      <c r="L684" s="125">
        <v>46027</v>
      </c>
      <c r="M684" s="126">
        <f>SUMIF('MPG Payment '!$E$3:$E$344841,'Shayak Income '!D684,'MPG Payment '!$I$3:$I$344841)</f>
        <v>377.2</v>
      </c>
      <c r="N684" s="126">
        <f>SUMIF('MPG Payment '!$E$3:$E$344841,'Shayak Income '!D684,'MPG Payment '!$J$3:$J$344841)</f>
        <v>14608.53</v>
      </c>
      <c r="O684" s="126">
        <f t="shared" si="192"/>
        <v>282.89999999999998</v>
      </c>
      <c r="P684" s="126">
        <f t="shared" si="193"/>
        <v>358.34</v>
      </c>
      <c r="Q684" s="126">
        <f>SUMIF('MPG Payment '!$E$3:$E$344841,'Shayak Income '!D684,'MPG Payment '!$S$3:$S$344841)</f>
        <v>0</v>
      </c>
      <c r="R684" s="126">
        <f t="shared" si="184"/>
        <v>438.2559</v>
      </c>
      <c r="S684" s="126">
        <f t="shared" si="185"/>
        <v>79.915900000000022</v>
      </c>
      <c r="T684" s="126">
        <f t="shared" si="194"/>
        <v>37.72</v>
      </c>
      <c r="U684" s="127">
        <f>((((((IF(K684="New",0,SUMIF('MPG Payment '!$E$3:$E$344841,'Shayak Income '!D684,'MPG Payment '!$AC$3:$AC$344841))))+0)+0)+0)+0)+-1272</f>
        <v>604.00952146252257</v>
      </c>
      <c r="V684" s="127">
        <f t="shared" si="195"/>
        <v>0</v>
      </c>
      <c r="W684" s="19">
        <v>0</v>
      </c>
      <c r="X684" s="19">
        <v>0</v>
      </c>
      <c r="Y684" s="128">
        <v>0</v>
      </c>
      <c r="Z684" s="128">
        <v>0</v>
      </c>
      <c r="AA684" s="126">
        <v>0</v>
      </c>
      <c r="AB684" s="129">
        <f t="shared" si="186"/>
        <v>0</v>
      </c>
      <c r="AC684" s="130">
        <v>0</v>
      </c>
      <c r="AD684" s="35">
        <f t="shared" si="196"/>
        <v>0</v>
      </c>
      <c r="AE684" s="166" t="str">
        <f t="shared" si="197"/>
        <v>Release</v>
      </c>
      <c r="AF684" s="127"/>
      <c r="AG684" s="127">
        <v>0</v>
      </c>
      <c r="AH684" s="120"/>
      <c r="AI684" s="238">
        <v>0</v>
      </c>
      <c r="AJ684" s="132"/>
      <c r="AK684" s="151">
        <v>98.5</v>
      </c>
      <c r="AL684" s="154">
        <f t="shared" si="187"/>
        <v>0</v>
      </c>
      <c r="AM684" s="155"/>
      <c r="AN684" s="19">
        <f t="shared" si="188"/>
        <v>0</v>
      </c>
      <c r="AO684" s="118">
        <f>SUMIF('MPG Payment '!E:E,'Shayak Income '!D684,'MPG Payment '!AJ:AJ)</f>
        <v>0</v>
      </c>
      <c r="AP684" s="19">
        <f t="shared" si="189"/>
        <v>0</v>
      </c>
      <c r="AQ684" s="119">
        <f t="shared" si="198"/>
        <v>0</v>
      </c>
      <c r="AR684" s="91" t="s">
        <v>1144</v>
      </c>
      <c r="AS684" s="91">
        <f t="shared" si="190"/>
        <v>0</v>
      </c>
      <c r="AT684" s="118"/>
      <c r="AU684" s="118"/>
      <c r="AV684" s="118"/>
    </row>
    <row r="685" spans="1:48" s="20" customFormat="1" x14ac:dyDescent="0.25">
      <c r="A685" s="17">
        <f>IFERROR(VLOOKUP(D685,'Monthly Deduction'!$I$3:$J$957,2,0),0)</f>
        <v>0</v>
      </c>
      <c r="B685" s="17">
        <f>IFERROR(VLOOKUP(D685,'Monthly Deduction'!$E$3:$F$957,2,0),0)</f>
        <v>0</v>
      </c>
      <c r="C685" s="17">
        <f t="shared" si="191"/>
        <v>0</v>
      </c>
      <c r="D685" s="41">
        <v>10030084</v>
      </c>
      <c r="E685" s="122" t="str">
        <f>VLOOKUP(D685,'MPG Payment '!$E$3:$G$497305,2,0)</f>
        <v>Gomukh Beldra</v>
      </c>
      <c r="F685" s="146">
        <f>IFERROR(_xlfn.XLOOKUP(D685,'Monthly Deduction'!$I$3:$I$957,'Monthly Deduction'!$H$3:$H$957),0)</f>
        <v>0</v>
      </c>
      <c r="G685" s="123" t="str">
        <f>VLOOKUP(D685,'MPG Payment '!$E$3:$G$333666,3,0)</f>
        <v>MPG</v>
      </c>
      <c r="H685" s="124" t="str">
        <f>VLOOKUP(D685,'MPG Payment '!$E$3:$H$333666,4,0)</f>
        <v>Direct</v>
      </c>
      <c r="I685" s="88">
        <f>INDEX('MPG Payment '!$C:$C,MATCH('Shayak Income '!D685,'MPG Payment '!E:E,0))</f>
        <v>1003</v>
      </c>
      <c r="J685" s="88" t="str">
        <f>INDEX('MPG Payment '!$D:$D,MATCH('Shayak Income '!D685,'MPG Payment '!E:E,0))</f>
        <v>Asarganj</v>
      </c>
      <c r="K685" s="125" t="s">
        <v>1594</v>
      </c>
      <c r="L685" s="125">
        <v>46032</v>
      </c>
      <c r="M685" s="126">
        <f>SUMIF('MPG Payment '!$E$3:$E$344841,'Shayak Income '!D685,'MPG Payment '!$I$3:$I$344841)</f>
        <v>1306.25</v>
      </c>
      <c r="N685" s="126">
        <f>SUMIF('MPG Payment '!$E$3:$E$344841,'Shayak Income '!D685,'MPG Payment '!$J$3:$J$344841)</f>
        <v>58759.499999999993</v>
      </c>
      <c r="O685" s="126">
        <f t="shared" si="192"/>
        <v>979.6875</v>
      </c>
      <c r="P685" s="126">
        <f t="shared" si="193"/>
        <v>1240.9375</v>
      </c>
      <c r="Q685" s="126">
        <f>SUMIF('MPG Payment '!$E$3:$E$344841,'Shayak Income '!D685,'MPG Payment '!$S$3:$S$344841)</f>
        <v>0</v>
      </c>
      <c r="R685" s="126">
        <f t="shared" si="184"/>
        <v>1762.7849999999996</v>
      </c>
      <c r="S685" s="126">
        <f t="shared" si="185"/>
        <v>521.84749999999963</v>
      </c>
      <c r="T685" s="126">
        <f t="shared" si="194"/>
        <v>130.625</v>
      </c>
      <c r="U685" s="127">
        <f>((((((IF(K685="New",0,SUMIF('MPG Payment '!$E$3:$E$344841,'Shayak Income '!D685,'MPG Payment '!$AC$3:$AC$344841))))+0)+0)+0)+0)+0</f>
        <v>1335.3896189740021</v>
      </c>
      <c r="V685" s="127">
        <f t="shared" si="195"/>
        <v>755</v>
      </c>
      <c r="W685" s="19">
        <f t="shared" si="199"/>
        <v>0</v>
      </c>
      <c r="X685" s="19">
        <f t="shared" si="200"/>
        <v>0</v>
      </c>
      <c r="Y685" s="128">
        <f>IFERROR(VLOOKUP(D685,'Monthly Deduction'!$M$2:$N$640,2,0),0)</f>
        <v>0</v>
      </c>
      <c r="Z685" s="128">
        <v>0</v>
      </c>
      <c r="AA685" s="126">
        <f>IFERROR(VLOOKUP(D685,'Monthly Deduction'!A:B,2,0),0)</f>
        <v>0</v>
      </c>
      <c r="AB685" s="129">
        <f t="shared" si="186"/>
        <v>755</v>
      </c>
      <c r="AC685" s="130">
        <f t="shared" ref="AC685:AC686" si="203">AB685</f>
        <v>755</v>
      </c>
      <c r="AD685" s="35">
        <f t="shared" si="196"/>
        <v>0</v>
      </c>
      <c r="AE685" s="166" t="str">
        <f t="shared" si="197"/>
        <v>Yes</v>
      </c>
      <c r="AF685" s="127"/>
      <c r="AG685" s="127">
        <v>0</v>
      </c>
      <c r="AH685" s="120" t="s">
        <v>1683</v>
      </c>
      <c r="AI685" s="238">
        <v>0</v>
      </c>
      <c r="AJ685" s="132"/>
      <c r="AK685" s="151">
        <v>298.8</v>
      </c>
      <c r="AL685" s="154">
        <f t="shared" si="187"/>
        <v>0</v>
      </c>
      <c r="AM685" s="155"/>
      <c r="AN685" s="19">
        <f t="shared" si="188"/>
        <v>0</v>
      </c>
      <c r="AO685" s="118">
        <f>SUMIF('MPG Payment '!E:E,'Shayak Income '!D685,'MPG Payment '!AJ:AJ)</f>
        <v>0</v>
      </c>
      <c r="AP685" s="19">
        <f t="shared" si="189"/>
        <v>0</v>
      </c>
      <c r="AQ685" s="119">
        <f t="shared" si="198"/>
        <v>0</v>
      </c>
      <c r="AR685" s="91"/>
      <c r="AS685" s="91">
        <f t="shared" si="190"/>
        <v>0</v>
      </c>
      <c r="AT685" s="118"/>
      <c r="AU685" s="118"/>
      <c r="AV685" s="118"/>
    </row>
    <row r="686" spans="1:48" s="20" customFormat="1" x14ac:dyDescent="0.25">
      <c r="A686" s="17">
        <f>IFERROR(VLOOKUP(D686,'Monthly Deduction'!$I$3:$J$957,2,0),0)</f>
        <v>0</v>
      </c>
      <c r="B686" s="17">
        <f>IFERROR(VLOOKUP(D686,'Monthly Deduction'!$E$3:$F$957,2,0),0)</f>
        <v>0</v>
      </c>
      <c r="C686" s="17">
        <f t="shared" si="191"/>
        <v>0</v>
      </c>
      <c r="D686" s="41">
        <v>10030085</v>
      </c>
      <c r="E686" s="122" t="str">
        <f>VLOOKUP(D686,'MPG Payment '!$E$3:$G$497305,2,0)</f>
        <v>Gomukh Chandanpura</v>
      </c>
      <c r="F686" s="146">
        <f>IFERROR(_xlfn.XLOOKUP(D686,'Monthly Deduction'!$I$3:$I$957,'Monthly Deduction'!$H$3:$H$957),0)</f>
        <v>0</v>
      </c>
      <c r="G686" s="123" t="str">
        <f>VLOOKUP(D686,'MPG Payment '!$E$3:$G$333666,3,0)</f>
        <v>MPG</v>
      </c>
      <c r="H686" s="124" t="str">
        <f>VLOOKUP(D686,'MPG Payment '!$E$3:$H$333666,4,0)</f>
        <v>Direct</v>
      </c>
      <c r="I686" s="88">
        <f>INDEX('MPG Payment '!$C:$C,MATCH('Shayak Income '!D686,'MPG Payment '!E:E,0))</f>
        <v>1003</v>
      </c>
      <c r="J686" s="88" t="str">
        <f>INDEX('MPG Payment '!$D:$D,MATCH('Shayak Income '!D686,'MPG Payment '!E:E,0))</f>
        <v>Asarganj</v>
      </c>
      <c r="K686" s="125" t="s">
        <v>1594</v>
      </c>
      <c r="L686" s="125">
        <v>46032</v>
      </c>
      <c r="M686" s="126">
        <f>SUMIF('MPG Payment '!$E$3:$E$344841,'Shayak Income '!D686,'MPG Payment '!$I$3:$I$344841)</f>
        <v>4123.5000000000009</v>
      </c>
      <c r="N686" s="126">
        <f>SUMIF('MPG Payment '!$E$3:$E$344841,'Shayak Income '!D686,'MPG Payment '!$J$3:$J$344841)</f>
        <v>197396.13999999998</v>
      </c>
      <c r="O686" s="126">
        <f t="shared" si="192"/>
        <v>3092.6250000000009</v>
      </c>
      <c r="P686" s="126">
        <f t="shared" si="193"/>
        <v>3917.3250000000007</v>
      </c>
      <c r="Q686" s="126">
        <f>SUMIF('MPG Payment '!$E$3:$E$344841,'Shayak Income '!D686,'MPG Payment '!$S$3:$S$344841)</f>
        <v>0</v>
      </c>
      <c r="R686" s="126">
        <f t="shared" si="184"/>
        <v>5921.8841999999995</v>
      </c>
      <c r="S686" s="126">
        <f t="shared" si="185"/>
        <v>2004.5591999999988</v>
      </c>
      <c r="T686" s="126">
        <f t="shared" si="194"/>
        <v>412.35000000000014</v>
      </c>
      <c r="U686" s="127">
        <f>((((((IF(K686="New",0,SUMIF('MPG Payment '!$E$3:$E$344841,'Shayak Income '!D686,'MPG Payment '!$AC$3:$AC$344841))))+0)+0)+0)+0)+0</f>
        <v>0</v>
      </c>
      <c r="V686" s="127">
        <f t="shared" si="195"/>
        <v>6598</v>
      </c>
      <c r="W686" s="19">
        <f t="shared" si="199"/>
        <v>0</v>
      </c>
      <c r="X686" s="19">
        <f t="shared" si="200"/>
        <v>0</v>
      </c>
      <c r="Y686" s="128">
        <f>IFERROR(VLOOKUP(D686,'Monthly Deduction'!$M$2:$N$640,2,0),0)</f>
        <v>0</v>
      </c>
      <c r="Z686" s="128">
        <v>0</v>
      </c>
      <c r="AA686" s="126">
        <f>IFERROR(VLOOKUP(D686,'Monthly Deduction'!A:B,2,0),0)</f>
        <v>0</v>
      </c>
      <c r="AB686" s="129">
        <f t="shared" si="186"/>
        <v>6598</v>
      </c>
      <c r="AC686" s="130">
        <f t="shared" si="203"/>
        <v>6598</v>
      </c>
      <c r="AD686" s="35">
        <f t="shared" si="196"/>
        <v>0</v>
      </c>
      <c r="AE686" s="166" t="str">
        <f t="shared" si="197"/>
        <v>Yes</v>
      </c>
      <c r="AF686" s="127"/>
      <c r="AG686" s="18">
        <v>0</v>
      </c>
      <c r="AH686" s="120" t="s">
        <v>1683</v>
      </c>
      <c r="AI686" s="238">
        <v>0</v>
      </c>
      <c r="AJ686" s="132"/>
      <c r="AK686" s="151">
        <v>872.59999999999991</v>
      </c>
      <c r="AL686" s="154">
        <f t="shared" si="187"/>
        <v>0</v>
      </c>
      <c r="AM686" s="155"/>
      <c r="AN686" s="19">
        <f t="shared" si="188"/>
        <v>0</v>
      </c>
      <c r="AO686" s="118">
        <f>SUMIF('MPG Payment '!E:E,'Shayak Income '!D686,'MPG Payment '!AJ:AJ)</f>
        <v>0</v>
      </c>
      <c r="AP686" s="19">
        <f t="shared" si="189"/>
        <v>0</v>
      </c>
      <c r="AQ686" s="119">
        <f t="shared" si="198"/>
        <v>0</v>
      </c>
      <c r="AR686" s="91"/>
      <c r="AS686" s="91">
        <f t="shared" si="190"/>
        <v>0</v>
      </c>
      <c r="AT686" s="118"/>
      <c r="AU686" s="118"/>
      <c r="AV686" s="118"/>
    </row>
    <row r="687" spans="1:48" s="20" customFormat="1" x14ac:dyDescent="0.25">
      <c r="A687" s="17">
        <f>IFERROR(VLOOKUP(D687,'Monthly Deduction'!$I$3:$J$957,2,0),0)</f>
        <v>0</v>
      </c>
      <c r="B687" s="17">
        <f>IFERROR(VLOOKUP(D687,'Monthly Deduction'!$E$3:$F$957,2,0),0)</f>
        <v>0</v>
      </c>
      <c r="C687" s="17">
        <f t="shared" si="191"/>
        <v>0</v>
      </c>
      <c r="D687" s="41">
        <v>10090076</v>
      </c>
      <c r="E687" s="122" t="str">
        <f>VLOOKUP(D687,'MPG Payment '!$E$3:$G$497305,2,0)</f>
        <v>Gomukh Champa</v>
      </c>
      <c r="F687" s="146">
        <f>IFERROR(_xlfn.XLOOKUP(D687,'Monthly Deduction'!$I$3:$I$957,'Monthly Deduction'!$H$3:$H$957),0)</f>
        <v>0</v>
      </c>
      <c r="G687" s="123" t="str">
        <f>VLOOKUP(D687,'MPG Payment '!$E$3:$G$333666,3,0)</f>
        <v>vlc</v>
      </c>
      <c r="H687" s="124" t="str">
        <f>VLOOKUP(D687,'MPG Payment '!$E$3:$H$333666,4,0)</f>
        <v>Indirect</v>
      </c>
      <c r="I687" s="88">
        <f>INDEX('MPG Payment '!$C:$C,MATCH('Shayak Income '!D687,'MPG Payment '!E:E,0))</f>
        <v>1009</v>
      </c>
      <c r="J687" s="88" t="str">
        <f>INDEX('MPG Payment '!$D:$D,MATCH('Shayak Income '!D687,'MPG Payment '!E:E,0))</f>
        <v>Halsi</v>
      </c>
      <c r="K687" s="125" t="s">
        <v>1594</v>
      </c>
      <c r="L687" s="125">
        <v>46036</v>
      </c>
      <c r="M687" s="126">
        <f>SUMIF('MPG Payment '!$E$3:$E$344841,'Shayak Income '!D687,'MPG Payment '!$I$3:$I$344841)</f>
        <v>42800</v>
      </c>
      <c r="N687" s="126">
        <f>SUMIF('MPG Payment '!$E$3:$E$344841,'Shayak Income '!D687,'MPG Payment '!$J$3:$J$344841)</f>
        <v>1752006</v>
      </c>
      <c r="O687" s="126">
        <f t="shared" si="192"/>
        <v>32100</v>
      </c>
      <c r="P687" s="126">
        <f t="shared" si="193"/>
        <v>40660</v>
      </c>
      <c r="Q687" s="126">
        <f>SUMIF('MPG Payment '!$E$3:$E$344841,'Shayak Income '!D687,'MPG Payment '!$S$3:$S$344841)</f>
        <v>0</v>
      </c>
      <c r="R687" s="126">
        <f t="shared" si="184"/>
        <v>52560.18</v>
      </c>
      <c r="S687" s="126">
        <f t="shared" si="185"/>
        <v>11900.18</v>
      </c>
      <c r="T687" s="126">
        <f t="shared" si="194"/>
        <v>4280</v>
      </c>
      <c r="U687" s="127">
        <f>((((((IF(K687="New",0,SUMIF('MPG Payment '!$E$3:$E$344841,'Shayak Income '!D687,'MPG Payment '!$AC$3:$AC$344841))))+0)+0)+0)+0)+0</f>
        <v>0</v>
      </c>
      <c r="V687" s="127">
        <f t="shared" si="195"/>
        <v>68480</v>
      </c>
      <c r="W687" s="19">
        <f t="shared" si="199"/>
        <v>0</v>
      </c>
      <c r="X687" s="19">
        <f t="shared" si="200"/>
        <v>0</v>
      </c>
      <c r="Y687" s="128">
        <f>IFERROR(VLOOKUP(D687,'Monthly Deduction'!$M$2:$N$640,2,0),0)</f>
        <v>0</v>
      </c>
      <c r="Z687" s="128">
        <v>0</v>
      </c>
      <c r="AA687" s="126">
        <f>IFERROR(VLOOKUP(D687,'Monthly Deduction'!A:B,2,0),0)</f>
        <v>0</v>
      </c>
      <c r="AB687" s="129">
        <f t="shared" si="186"/>
        <v>68480</v>
      </c>
      <c r="AC687" s="130">
        <v>0</v>
      </c>
      <c r="AD687" s="35">
        <f t="shared" si="196"/>
        <v>68480</v>
      </c>
      <c r="AE687" s="166" t="str">
        <f t="shared" si="197"/>
        <v>Release</v>
      </c>
      <c r="AF687" s="127"/>
      <c r="AG687" s="18">
        <v>0</v>
      </c>
      <c r="AH687" s="132"/>
      <c r="AI687" s="238">
        <v>0</v>
      </c>
      <c r="AJ687" s="132"/>
      <c r="AK687" s="151">
        <v>15500</v>
      </c>
      <c r="AL687" s="154">
        <f t="shared" si="187"/>
        <v>0</v>
      </c>
      <c r="AM687" s="155"/>
      <c r="AN687" s="19">
        <f t="shared" si="188"/>
        <v>0</v>
      </c>
      <c r="AO687" s="118">
        <f>SUMIF('MPG Payment '!E:E,'Shayak Income '!D687,'MPG Payment '!AJ:AJ)</f>
        <v>0</v>
      </c>
      <c r="AP687" s="19">
        <f t="shared" si="189"/>
        <v>0</v>
      </c>
      <c r="AQ687" s="119">
        <f t="shared" si="198"/>
        <v>0</v>
      </c>
      <c r="AR687" s="91" t="s">
        <v>1144</v>
      </c>
      <c r="AS687" s="91">
        <f t="shared" si="190"/>
        <v>0</v>
      </c>
      <c r="AT687" s="118"/>
      <c r="AU687" s="118"/>
      <c r="AV687" s="118"/>
    </row>
    <row r="688" spans="1:48" s="20" customFormat="1" x14ac:dyDescent="0.25">
      <c r="A688" s="17">
        <f>IFERROR(VLOOKUP(D688,'Monthly Deduction'!$I$3:$J$957,2,0),0)</f>
        <v>0</v>
      </c>
      <c r="B688" s="17">
        <f>IFERROR(VLOOKUP(D688,'Monthly Deduction'!$E$3:$F$957,2,0),0)</f>
        <v>0</v>
      </c>
      <c r="C688" s="17">
        <f t="shared" si="191"/>
        <v>0</v>
      </c>
      <c r="D688" s="41">
        <v>10090077</v>
      </c>
      <c r="E688" s="122" t="str">
        <f>VLOOKUP(D688,'MPG Payment '!$E$3:$G$497305,2,0)</f>
        <v>GOMUKH DAKRA</v>
      </c>
      <c r="F688" s="146">
        <f>IFERROR(_xlfn.XLOOKUP(D688,'Monthly Deduction'!$I$3:$I$957,'Monthly Deduction'!$H$3:$H$957),0)</f>
        <v>0</v>
      </c>
      <c r="G688" s="123" t="str">
        <f>VLOOKUP(D688,'MPG Payment '!$E$3:$G$333666,3,0)</f>
        <v>vlc</v>
      </c>
      <c r="H688" s="124" t="str">
        <f>VLOOKUP(D688,'MPG Payment '!$E$3:$H$333666,4,0)</f>
        <v>Indirect</v>
      </c>
      <c r="I688" s="88">
        <f>INDEX('MPG Payment '!$C:$C,MATCH('Shayak Income '!D688,'MPG Payment '!E:E,0))</f>
        <v>1009</v>
      </c>
      <c r="J688" s="88" t="str">
        <f>INDEX('MPG Payment '!$D:$D,MATCH('Shayak Income '!D688,'MPG Payment '!E:E,0))</f>
        <v>Halsi</v>
      </c>
      <c r="K688" s="125" t="s">
        <v>1594</v>
      </c>
      <c r="L688" s="125">
        <v>46036</v>
      </c>
      <c r="M688" s="126">
        <f>SUMIF('MPG Payment '!$E$3:$E$344841,'Shayak Income '!D688,'MPG Payment '!$I$3:$I$344841)</f>
        <v>45200</v>
      </c>
      <c r="N688" s="126">
        <f>SUMIF('MPG Payment '!$E$3:$E$344841,'Shayak Income '!D688,'MPG Payment '!$J$3:$J$344841)</f>
        <v>1861357</v>
      </c>
      <c r="O688" s="126">
        <f t="shared" si="192"/>
        <v>33900</v>
      </c>
      <c r="P688" s="126">
        <f t="shared" si="193"/>
        <v>42940</v>
      </c>
      <c r="Q688" s="126">
        <f>SUMIF('MPG Payment '!$E$3:$E$344841,'Shayak Income '!D688,'MPG Payment '!$S$3:$S$344841)</f>
        <v>0</v>
      </c>
      <c r="R688" s="126">
        <f t="shared" si="184"/>
        <v>55840.71</v>
      </c>
      <c r="S688" s="126">
        <f t="shared" si="185"/>
        <v>12900.71</v>
      </c>
      <c r="T688" s="126">
        <f t="shared" si="194"/>
        <v>4520</v>
      </c>
      <c r="U688" s="127">
        <f>((((((IF(K688="New",0,SUMIF('MPG Payment '!$E$3:$E$344841,'Shayak Income '!D688,'MPG Payment '!$AC$3:$AC$344841))))+0)+0)+0)+0)+0</f>
        <v>0</v>
      </c>
      <c r="V688" s="127">
        <f t="shared" si="195"/>
        <v>72320</v>
      </c>
      <c r="W688" s="19">
        <f t="shared" si="199"/>
        <v>0</v>
      </c>
      <c r="X688" s="19">
        <f t="shared" si="200"/>
        <v>0</v>
      </c>
      <c r="Y688" s="128">
        <f>IFERROR(VLOOKUP(D688,'Monthly Deduction'!$M$2:$N$640,2,0),0)</f>
        <v>0</v>
      </c>
      <c r="Z688" s="128">
        <v>0</v>
      </c>
      <c r="AA688" s="126">
        <f>IFERROR(VLOOKUP(D688,'Monthly Deduction'!A:B,2,0),0)</f>
        <v>0</v>
      </c>
      <c r="AB688" s="129">
        <f t="shared" si="186"/>
        <v>72320</v>
      </c>
      <c r="AC688" s="130">
        <v>0</v>
      </c>
      <c r="AD688" s="35">
        <f t="shared" si="196"/>
        <v>72320</v>
      </c>
      <c r="AE688" s="166" t="str">
        <f t="shared" si="197"/>
        <v>Release</v>
      </c>
      <c r="AF688" s="127"/>
      <c r="AG688" s="18">
        <v>0</v>
      </c>
      <c r="AH688" s="132"/>
      <c r="AI688" s="238">
        <v>0</v>
      </c>
      <c r="AJ688" s="132"/>
      <c r="AK688" s="151">
        <v>17000</v>
      </c>
      <c r="AL688" s="154">
        <f t="shared" si="187"/>
        <v>0</v>
      </c>
      <c r="AM688" s="155"/>
      <c r="AN688" s="19">
        <f t="shared" si="188"/>
        <v>0</v>
      </c>
      <c r="AO688" s="118">
        <f>SUMIF('MPG Payment '!E:E,'Shayak Income '!D688,'MPG Payment '!AJ:AJ)</f>
        <v>0</v>
      </c>
      <c r="AP688" s="19">
        <f t="shared" si="189"/>
        <v>0</v>
      </c>
      <c r="AQ688" s="119">
        <f t="shared" si="198"/>
        <v>0</v>
      </c>
      <c r="AR688" s="91" t="s">
        <v>1144</v>
      </c>
      <c r="AS688" s="91">
        <f t="shared" si="190"/>
        <v>0</v>
      </c>
      <c r="AT688" s="118"/>
      <c r="AU688" s="118"/>
      <c r="AV688" s="118"/>
    </row>
    <row r="689" spans="1:48" s="20" customFormat="1" x14ac:dyDescent="0.25">
      <c r="A689" s="17">
        <f>IFERROR(VLOOKUP(D689,'Monthly Deduction'!$I$3:$J$957,2,0),0)</f>
        <v>59673.941573638207</v>
      </c>
      <c r="B689" s="17">
        <f>IFERROR(VLOOKUP(D689,'Monthly Deduction'!$E$3:$F$957,2,0),0)</f>
        <v>12800</v>
      </c>
      <c r="C689" s="17">
        <f t="shared" si="191"/>
        <v>72473.941573638207</v>
      </c>
      <c r="D689" s="41">
        <v>10530101</v>
      </c>
      <c r="E689" s="122" t="str">
        <f>VLOOKUP(D689,'MPG Payment '!$E$3:$G$497305,2,0)</f>
        <v>GOMUKH LAKSHMAN NAGAR</v>
      </c>
      <c r="F689" s="146">
        <f>IFERROR(_xlfn.XLOOKUP(D689,'Monthly Deduction'!$I$3:$I$957,'Monthly Deduction'!$H$3:$H$957),0)</f>
        <v>0</v>
      </c>
      <c r="G689" s="123" t="str">
        <f>VLOOKUP(D689,'MPG Payment '!$E$3:$G$333666,3,0)</f>
        <v>MPG</v>
      </c>
      <c r="H689" s="124" t="str">
        <f>VLOOKUP(D689,'MPG Payment '!$E$3:$H$333666,4,0)</f>
        <v>Direct</v>
      </c>
      <c r="I689" s="88">
        <f>INDEX('MPG Payment '!$C:$C,MATCH('Shayak Income '!D689,'MPG Payment '!E:E,0))</f>
        <v>1053</v>
      </c>
      <c r="J689" s="88" t="str">
        <f>INDEX('MPG Payment '!$D:$D,MATCH('Shayak Income '!D689,'MPG Payment '!E:E,0))</f>
        <v>Kalyanpur</v>
      </c>
      <c r="K689" s="125" t="s">
        <v>1594</v>
      </c>
      <c r="L689" s="125">
        <v>46036</v>
      </c>
      <c r="M689" s="126">
        <f>SUMIF('MPG Payment '!$E$3:$E$344841,'Shayak Income '!D689,'MPG Payment '!$I$3:$I$344841)</f>
        <v>1956.5500000000002</v>
      </c>
      <c r="N689" s="126">
        <f>SUMIF('MPG Payment '!$E$3:$E$344841,'Shayak Income '!D689,'MPG Payment '!$J$3:$J$344841)</f>
        <v>85224.229999999981</v>
      </c>
      <c r="O689" s="126">
        <f t="shared" si="192"/>
        <v>1467.4125000000001</v>
      </c>
      <c r="P689" s="126">
        <f t="shared" si="193"/>
        <v>1858.7225000000001</v>
      </c>
      <c r="Q689" s="126">
        <f>SUMIF('MPG Payment '!$E$3:$E$344841,'Shayak Income '!D689,'MPG Payment '!$S$3:$S$344841)</f>
        <v>159.51</v>
      </c>
      <c r="R689" s="126">
        <f t="shared" si="184"/>
        <v>2556.7268999999992</v>
      </c>
      <c r="S689" s="126">
        <f t="shared" si="185"/>
        <v>698.00439999999912</v>
      </c>
      <c r="T689" s="126">
        <f t="shared" si="194"/>
        <v>195.65500000000003</v>
      </c>
      <c r="U689" s="127">
        <f>((((((IF(K689="New",0,SUMIF('MPG Payment '!$E$3:$E$344841,'Shayak Income '!D689,'MPG Payment '!$AC$3:$AC$344841))))+0)+0)+0)+0)+0</f>
        <v>737.39702445983846</v>
      </c>
      <c r="V689" s="127">
        <f t="shared" si="195"/>
        <v>2553</v>
      </c>
      <c r="W689" s="19">
        <f t="shared" si="199"/>
        <v>1861</v>
      </c>
      <c r="X689" s="19">
        <v>0</v>
      </c>
      <c r="Y689" s="128">
        <f>IFERROR(VLOOKUP(D689,'Monthly Deduction'!$M$2:$N$640,2,0),0)</f>
        <v>0</v>
      </c>
      <c r="Z689" s="128">
        <v>0</v>
      </c>
      <c r="AA689" s="126">
        <f>IFERROR(VLOOKUP(D689,'Monthly Deduction'!A:B,2,0),0)</f>
        <v>294.81543080156109</v>
      </c>
      <c r="AB689" s="129">
        <f t="shared" si="186"/>
        <v>397</v>
      </c>
      <c r="AC689" s="130">
        <v>0</v>
      </c>
      <c r="AD689" s="35">
        <f t="shared" si="196"/>
        <v>397</v>
      </c>
      <c r="AE689" s="166" t="str">
        <f t="shared" si="197"/>
        <v>Release</v>
      </c>
      <c r="AF689" s="127"/>
      <c r="AG689" s="18">
        <v>0</v>
      </c>
      <c r="AH689" s="120"/>
      <c r="AI689" s="238">
        <v>0</v>
      </c>
      <c r="AJ689" s="132"/>
      <c r="AK689" s="151">
        <v>404.75</v>
      </c>
      <c r="AL689" s="154">
        <f t="shared" si="187"/>
        <v>0</v>
      </c>
      <c r="AM689" s="155"/>
      <c r="AN689" s="19">
        <f t="shared" si="188"/>
        <v>1861</v>
      </c>
      <c r="AO689" s="118">
        <f>SUMIF('MPG Payment '!E:E,'Shayak Income '!D689,'MPG Payment '!AJ:AJ)</f>
        <v>0</v>
      </c>
      <c r="AP689" s="19">
        <f t="shared" si="189"/>
        <v>1861</v>
      </c>
      <c r="AQ689" s="119">
        <f t="shared" si="198"/>
        <v>1861</v>
      </c>
      <c r="AR689" s="91"/>
      <c r="AS689" s="91">
        <f t="shared" si="190"/>
        <v>12800</v>
      </c>
      <c r="AT689" s="118"/>
      <c r="AU689" s="118"/>
      <c r="AV689" s="118"/>
    </row>
    <row r="690" spans="1:48" s="20" customFormat="1" x14ac:dyDescent="0.25">
      <c r="A690" s="17">
        <f>IFERROR(VLOOKUP(D690,'Monthly Deduction'!$I$3:$J$957,2,0),0)</f>
        <v>38999.792834078697</v>
      </c>
      <c r="B690" s="17">
        <f>IFERROR(VLOOKUP(D690,'Monthly Deduction'!$E$3:$F$957,2,0),0)</f>
        <v>35200</v>
      </c>
      <c r="C690" s="17">
        <f t="shared" si="191"/>
        <v>74199.792834078689</v>
      </c>
      <c r="D690" s="41">
        <v>10530103</v>
      </c>
      <c r="E690" s="122" t="str">
        <f>VLOOKUP(D690,'MPG Payment '!$E$3:$G$497305,2,0)</f>
        <v>GOMUKH JHAHURI</v>
      </c>
      <c r="F690" s="146">
        <f>IFERROR(_xlfn.XLOOKUP(D690,'Monthly Deduction'!$I$3:$I$957,'Monthly Deduction'!$H$3:$H$957),0)</f>
        <v>0</v>
      </c>
      <c r="G690" s="123" t="str">
        <f>VLOOKUP(D690,'MPG Payment '!$E$3:$G$333666,3,0)</f>
        <v>MPG</v>
      </c>
      <c r="H690" s="124" t="str">
        <f>VLOOKUP(D690,'MPG Payment '!$E$3:$H$333666,4,0)</f>
        <v>Direct</v>
      </c>
      <c r="I690" s="88">
        <f>INDEX('MPG Payment '!$C:$C,MATCH('Shayak Income '!D690,'MPG Payment '!E:E,0))</f>
        <v>1053</v>
      </c>
      <c r="J690" s="88" t="str">
        <f>INDEX('MPG Payment '!$D:$D,MATCH('Shayak Income '!D690,'MPG Payment '!E:E,0))</f>
        <v>Kalyanpur</v>
      </c>
      <c r="K690" s="125" t="s">
        <v>1594</v>
      </c>
      <c r="L690" s="125">
        <v>46037</v>
      </c>
      <c r="M690" s="126">
        <f>SUMIF('MPG Payment '!$E$3:$E$344841,'Shayak Income '!D690,'MPG Payment '!$I$3:$I$344841)</f>
        <v>11023.349999999999</v>
      </c>
      <c r="N690" s="126">
        <f>SUMIF('MPG Payment '!$E$3:$E$344841,'Shayak Income '!D690,'MPG Payment '!$J$3:$J$344841)</f>
        <v>476831.04999999993</v>
      </c>
      <c r="O690" s="126">
        <f t="shared" si="192"/>
        <v>8267.5124999999989</v>
      </c>
      <c r="P690" s="126">
        <f t="shared" si="193"/>
        <v>10472.182499999999</v>
      </c>
      <c r="Q690" s="126">
        <f>SUMIF('MPG Payment '!$E$3:$E$344841,'Shayak Income '!D690,'MPG Payment '!$S$3:$S$344841)</f>
        <v>8855</v>
      </c>
      <c r="R690" s="126">
        <f t="shared" si="184"/>
        <v>14304.931499999997</v>
      </c>
      <c r="S690" s="126">
        <f t="shared" si="185"/>
        <v>3832.748999999998</v>
      </c>
      <c r="T690" s="126">
        <f t="shared" si="194"/>
        <v>1102.3349999999998</v>
      </c>
      <c r="U690" s="127">
        <f>((((((IF(K690="New",0,SUMIF('MPG Payment '!$E$3:$E$344841,'Shayak Income '!D690,'MPG Payment '!$AC$3:$AC$344841))))+0)+0)+0)+0)+0</f>
        <v>0</v>
      </c>
      <c r="V690" s="127">
        <f t="shared" si="195"/>
        <v>26492</v>
      </c>
      <c r="W690" s="19">
        <f t="shared" si="199"/>
        <v>9536.6209999999992</v>
      </c>
      <c r="X690" s="19">
        <v>0</v>
      </c>
      <c r="Y690" s="128">
        <f>IFERROR(VLOOKUP(D690,'Monthly Deduction'!$M$2:$N$640,2,0),0)</f>
        <v>0</v>
      </c>
      <c r="Z690" s="128">
        <v>0</v>
      </c>
      <c r="AA690" s="126">
        <f>IFERROR(VLOOKUP(D690,'Monthly Deduction'!A:B,2,0),0)</f>
        <v>349.71543080156107</v>
      </c>
      <c r="AB690" s="129">
        <f t="shared" si="186"/>
        <v>16606</v>
      </c>
      <c r="AC690" s="130">
        <v>0</v>
      </c>
      <c r="AD690" s="35">
        <f t="shared" si="196"/>
        <v>16606</v>
      </c>
      <c r="AE690" s="166" t="str">
        <f t="shared" si="197"/>
        <v>Release</v>
      </c>
      <c r="AF690" s="127"/>
      <c r="AG690" s="18">
        <v>0</v>
      </c>
      <c r="AH690" s="132"/>
      <c r="AI690" s="238">
        <v>0</v>
      </c>
      <c r="AJ690" s="132"/>
      <c r="AK690" s="151">
        <v>2597.0000000000005</v>
      </c>
      <c r="AL690" s="154">
        <f t="shared" si="187"/>
        <v>0</v>
      </c>
      <c r="AM690" s="155"/>
      <c r="AN690" s="19">
        <f t="shared" si="188"/>
        <v>9536.6209999999992</v>
      </c>
      <c r="AO690" s="118">
        <f>SUMIF('MPG Payment '!E:E,'Shayak Income '!D690,'MPG Payment '!AJ:AJ)</f>
        <v>0</v>
      </c>
      <c r="AP690" s="19">
        <f t="shared" si="189"/>
        <v>9536.6209999999992</v>
      </c>
      <c r="AQ690" s="119">
        <f t="shared" si="198"/>
        <v>9536.6209999999992</v>
      </c>
      <c r="AR690" s="91"/>
      <c r="AS690" s="91">
        <f t="shared" si="190"/>
        <v>35200</v>
      </c>
      <c r="AT690" s="118"/>
      <c r="AU690" s="118"/>
      <c r="AV690" s="118"/>
    </row>
    <row r="691" spans="1:48" s="20" customFormat="1" x14ac:dyDescent="0.25">
      <c r="A691" s="17">
        <f>IFERROR(VLOOKUP(D691,'Monthly Deduction'!$I$3:$J$957,2,0),0)</f>
        <v>47608.67042078232</v>
      </c>
      <c r="B691" s="17">
        <f>IFERROR(VLOOKUP(D691,'Monthly Deduction'!$E$3:$F$957,2,0),0)</f>
        <v>12800</v>
      </c>
      <c r="C691" s="17">
        <f t="shared" si="191"/>
        <v>60408.67042078232</v>
      </c>
      <c r="D691" s="41">
        <v>10560022</v>
      </c>
      <c r="E691" s="122" t="str">
        <f>VLOOKUP(D691,'MPG Payment '!$E$3:$G$497305,2,0)</f>
        <v xml:space="preserve">Gomukh Paharpur Jilebya </v>
      </c>
      <c r="F691" s="146">
        <f>IFERROR(_xlfn.XLOOKUP(D691,'Monthly Deduction'!$I$3:$I$957,'Monthly Deduction'!$H$3:$H$957),0)</f>
        <v>0</v>
      </c>
      <c r="G691" s="123" t="str">
        <f>VLOOKUP(D691,'MPG Payment '!$E$3:$G$333666,3,0)</f>
        <v>MPG</v>
      </c>
      <c r="H691" s="124" t="str">
        <f>VLOOKUP(D691,'MPG Payment '!$E$3:$H$333666,4,0)</f>
        <v>Direct</v>
      </c>
      <c r="I691" s="88">
        <f>INDEX('MPG Payment '!$C:$C,MATCH('Shayak Income '!D691,'MPG Payment '!E:E,0))</f>
        <v>1056</v>
      </c>
      <c r="J691" s="88" t="str">
        <f>INDEX('MPG Payment '!$D:$D,MATCH('Shayak Income '!D691,'MPG Payment '!E:E,0))</f>
        <v>Chautham</v>
      </c>
      <c r="K691" s="125" t="s">
        <v>1594</v>
      </c>
      <c r="L691" s="125">
        <v>46037</v>
      </c>
      <c r="M691" s="126">
        <f>SUMIF('MPG Payment '!$E$3:$E$344841,'Shayak Income '!D691,'MPG Payment '!$I$3:$I$344841)</f>
        <v>9214.7199999999993</v>
      </c>
      <c r="N691" s="126">
        <f>SUMIF('MPG Payment '!$E$3:$E$344841,'Shayak Income '!D691,'MPG Payment '!$J$3:$J$344841)</f>
        <v>393859.41</v>
      </c>
      <c r="O691" s="126">
        <f t="shared" si="192"/>
        <v>6911.0399999999991</v>
      </c>
      <c r="P691" s="126">
        <f t="shared" si="193"/>
        <v>8753.9839999999986</v>
      </c>
      <c r="Q691" s="126">
        <f>SUMIF('MPG Payment '!$E$3:$E$344841,'Shayak Income '!D691,'MPG Payment '!$S$3:$S$344841)</f>
        <v>0</v>
      </c>
      <c r="R691" s="126">
        <f t="shared" si="184"/>
        <v>11815.782299999999</v>
      </c>
      <c r="S691" s="126">
        <f t="shared" si="185"/>
        <v>3061.7983000000004</v>
      </c>
      <c r="T691" s="126">
        <f t="shared" si="194"/>
        <v>921.47199999999998</v>
      </c>
      <c r="U691" s="127">
        <f>((((((IF(K691="New",0,SUMIF('MPG Payment '!$E$3:$E$344841,'Shayak Income '!D691,'MPG Payment '!$AC$3:$AC$344841))))+0)+0)+0)+0)+0</f>
        <v>0</v>
      </c>
      <c r="V691" s="127">
        <f t="shared" si="195"/>
        <v>14744</v>
      </c>
      <c r="W691" s="19">
        <f t="shared" si="199"/>
        <v>7877.1881999999996</v>
      </c>
      <c r="X691" s="19">
        <v>0</v>
      </c>
      <c r="Y691" s="128">
        <f>IFERROR(VLOOKUP(D691,'Monthly Deduction'!$M$2:$N$640,2,0),0)</f>
        <v>0</v>
      </c>
      <c r="Z691" s="128">
        <v>0</v>
      </c>
      <c r="AA691" s="126">
        <f>IFERROR(VLOOKUP(D691,'Monthly Deduction'!A:B,2,0),0)</f>
        <v>679.32854097868517</v>
      </c>
      <c r="AB691" s="129">
        <f t="shared" si="186"/>
        <v>6187</v>
      </c>
      <c r="AC691" s="130">
        <v>0</v>
      </c>
      <c r="AD691" s="35">
        <f t="shared" si="196"/>
        <v>6187</v>
      </c>
      <c r="AE691" s="166" t="str">
        <f t="shared" si="197"/>
        <v>Release</v>
      </c>
      <c r="AF691" s="127"/>
      <c r="AG691" s="127">
        <v>0</v>
      </c>
      <c r="AH691" s="120" t="s">
        <v>1685</v>
      </c>
      <c r="AI691" s="238">
        <v>7545</v>
      </c>
      <c r="AJ691" s="132" t="s">
        <v>1691</v>
      </c>
      <c r="AK691" s="151">
        <v>2159.8799999999997</v>
      </c>
      <c r="AL691" s="154">
        <f t="shared" si="187"/>
        <v>0</v>
      </c>
      <c r="AM691" s="155"/>
      <c r="AN691" s="19">
        <f t="shared" si="188"/>
        <v>7877.1881999999996</v>
      </c>
      <c r="AO691" s="118">
        <f>SUMIF('MPG Payment '!E:E,'Shayak Income '!D691,'MPG Payment '!AJ:AJ)</f>
        <v>0</v>
      </c>
      <c r="AP691" s="19">
        <f t="shared" si="189"/>
        <v>7877.1881999999996</v>
      </c>
      <c r="AQ691" s="119">
        <f t="shared" si="198"/>
        <v>7877.1881999999996</v>
      </c>
      <c r="AR691" s="91" t="s">
        <v>1144</v>
      </c>
      <c r="AS691" s="91">
        <f t="shared" si="190"/>
        <v>12800</v>
      </c>
      <c r="AT691" s="118"/>
      <c r="AU691" s="118"/>
      <c r="AV691" s="118"/>
    </row>
    <row r="692" spans="1:48" s="20" customFormat="1" x14ac:dyDescent="0.25">
      <c r="A692" s="17">
        <f>IFERROR(VLOOKUP(D692,'Monthly Deduction'!$I$3:$J$957,2,0),0)</f>
        <v>61804.757439609879</v>
      </c>
      <c r="B692" s="17">
        <f>IFERROR(VLOOKUP(D692,'Monthly Deduction'!$E$3:$F$957,2,0),0)</f>
        <v>6400</v>
      </c>
      <c r="C692" s="17">
        <f t="shared" si="191"/>
        <v>68204.757439609879</v>
      </c>
      <c r="D692" s="41">
        <v>10560026</v>
      </c>
      <c r="E692" s="122" t="str">
        <f>VLOOKUP(D692,'MPG Payment '!$E$3:$G$497305,2,0)</f>
        <v>Gomukh Azad Nagar</v>
      </c>
      <c r="F692" s="146">
        <f>IFERROR(_xlfn.XLOOKUP(D692,'Monthly Deduction'!$I$3:$I$957,'Monthly Deduction'!$H$3:$H$957),0)</f>
        <v>0</v>
      </c>
      <c r="G692" s="123" t="str">
        <f>VLOOKUP(D692,'MPG Payment '!$E$3:$G$333666,3,0)</f>
        <v>MPG</v>
      </c>
      <c r="H692" s="124" t="str">
        <f>VLOOKUP(D692,'MPG Payment '!$E$3:$H$333666,4,0)</f>
        <v>Direct</v>
      </c>
      <c r="I692" s="88">
        <f>INDEX('MPG Payment '!$C:$C,MATCH('Shayak Income '!D692,'MPG Payment '!E:E,0))</f>
        <v>1056</v>
      </c>
      <c r="J692" s="88" t="str">
        <f>INDEX('MPG Payment '!$D:$D,MATCH('Shayak Income '!D692,'MPG Payment '!E:E,0))</f>
        <v>Chautham</v>
      </c>
      <c r="K692" s="125" t="s">
        <v>1594</v>
      </c>
      <c r="L692" s="125">
        <v>46037</v>
      </c>
      <c r="M692" s="126">
        <f>SUMIF('MPG Payment '!$E$3:$E$344841,'Shayak Income '!D692,'MPG Payment '!$I$3:$I$344841)</f>
        <v>4067.8199999999997</v>
      </c>
      <c r="N692" s="126">
        <f>SUMIF('MPG Payment '!$E$3:$E$344841,'Shayak Income '!D692,'MPG Payment '!$J$3:$J$344841)</f>
        <v>161701.83000000002</v>
      </c>
      <c r="O692" s="126">
        <f t="shared" si="192"/>
        <v>3050.8649999999998</v>
      </c>
      <c r="P692" s="126">
        <f t="shared" si="193"/>
        <v>3864.4289999999996</v>
      </c>
      <c r="Q692" s="126">
        <f>SUMIF('MPG Payment '!$E$3:$E$344841,'Shayak Income '!D692,'MPG Payment '!$S$3:$S$344841)</f>
        <v>0</v>
      </c>
      <c r="R692" s="126">
        <f t="shared" si="184"/>
        <v>4851.0549000000001</v>
      </c>
      <c r="S692" s="126">
        <f t="shared" si="185"/>
        <v>986.62590000000046</v>
      </c>
      <c r="T692" s="126">
        <f t="shared" si="194"/>
        <v>406.78199999999998</v>
      </c>
      <c r="U692" s="127">
        <f>((((((IF(K692="New",0,SUMIF('MPG Payment '!$E$3:$E$344841,'Shayak Income '!D692,'MPG Payment '!$AC$3:$AC$344841))))+0)+0)+0)+0)+0</f>
        <v>0</v>
      </c>
      <c r="V692" s="127">
        <f t="shared" si="195"/>
        <v>6509</v>
      </c>
      <c r="W692" s="19">
        <f t="shared" si="199"/>
        <v>3234.0366000000004</v>
      </c>
      <c r="X692" s="19">
        <v>0</v>
      </c>
      <c r="Y692" s="128">
        <f>IFERROR(VLOOKUP(D692,'Monthly Deduction'!$M$2:$N$640,2,0),0)</f>
        <v>0</v>
      </c>
      <c r="Z692" s="128">
        <v>0</v>
      </c>
      <c r="AA692" s="126">
        <f>IFERROR(VLOOKUP(D692,'Monthly Deduction'!A:B,2,0),0)</f>
        <v>679.32854097868517</v>
      </c>
      <c r="AB692" s="129">
        <f t="shared" si="186"/>
        <v>2596</v>
      </c>
      <c r="AC692" s="130">
        <v>0</v>
      </c>
      <c r="AD692" s="35">
        <f t="shared" si="196"/>
        <v>2596</v>
      </c>
      <c r="AE692" s="166" t="str">
        <f t="shared" si="197"/>
        <v>Release</v>
      </c>
      <c r="AF692" s="127"/>
      <c r="AG692" s="127">
        <v>0</v>
      </c>
      <c r="AH692" s="120" t="s">
        <v>1685</v>
      </c>
      <c r="AI692" s="238">
        <v>8667</v>
      </c>
      <c r="AJ692" s="132" t="s">
        <v>1691</v>
      </c>
      <c r="AK692" s="151">
        <v>1121.26</v>
      </c>
      <c r="AL692" s="154">
        <f t="shared" si="187"/>
        <v>0</v>
      </c>
      <c r="AM692" s="155"/>
      <c r="AN692" s="19">
        <f t="shared" si="188"/>
        <v>3234.0366000000004</v>
      </c>
      <c r="AO692" s="118">
        <f>SUMIF('MPG Payment '!E:E,'Shayak Income '!D692,'MPG Payment '!AJ:AJ)</f>
        <v>0</v>
      </c>
      <c r="AP692" s="19">
        <f t="shared" si="189"/>
        <v>3234.0366000000004</v>
      </c>
      <c r="AQ692" s="119">
        <f t="shared" si="198"/>
        <v>3234.0366000000004</v>
      </c>
      <c r="AR692" s="91" t="s">
        <v>1144</v>
      </c>
      <c r="AS692" s="91">
        <f t="shared" si="190"/>
        <v>6400</v>
      </c>
      <c r="AT692" s="118"/>
      <c r="AU692" s="118"/>
      <c r="AV692" s="118"/>
    </row>
    <row r="693" spans="1:48" s="20" customFormat="1" x14ac:dyDescent="0.25">
      <c r="A693" s="17">
        <f>IFERROR(VLOOKUP(D693,'Monthly Deduction'!$I$3:$J$957,2,0),0)</f>
        <v>54686.603026859499</v>
      </c>
      <c r="B693" s="17">
        <f>IFERROR(VLOOKUP(D693,'Monthly Deduction'!$E$3:$F$957,2,0),0)</f>
        <v>12800</v>
      </c>
      <c r="C693" s="17">
        <f t="shared" si="191"/>
        <v>67486.603026859491</v>
      </c>
      <c r="D693" s="41">
        <v>10590001</v>
      </c>
      <c r="E693" s="122" t="str">
        <f>VLOOKUP(D693,'MPG Payment '!$E$3:$G$497305,2,0)</f>
        <v>MISHRBIGHA</v>
      </c>
      <c r="F693" s="146">
        <f>IFERROR(_xlfn.XLOOKUP(D693,'Monthly Deduction'!$I$3:$I$957,'Monthly Deduction'!$H$3:$H$957),0)</f>
        <v>0</v>
      </c>
      <c r="G693" s="123" t="str">
        <f>VLOOKUP(D693,'MPG Payment '!$E$3:$G$333666,3,0)</f>
        <v>MPG</v>
      </c>
      <c r="H693" s="124" t="str">
        <f>VLOOKUP(D693,'MPG Payment '!$E$3:$H$333666,4,0)</f>
        <v>Direct</v>
      </c>
      <c r="I693" s="88">
        <f>INDEX('MPG Payment '!$C:$C,MATCH('Shayak Income '!D693,'MPG Payment '!E:E,0))</f>
        <v>1059</v>
      </c>
      <c r="J693" s="88" t="str">
        <f>INDEX('MPG Payment '!$D:$D,MATCH('Shayak Income '!D693,'MPG Payment '!E:E,0))</f>
        <v>Gopalpur Bmc</v>
      </c>
      <c r="K693" s="125" t="s">
        <v>1594</v>
      </c>
      <c r="L693" s="125">
        <v>46032</v>
      </c>
      <c r="M693" s="126">
        <f>SUMIF('MPG Payment '!$E$3:$E$344841,'Shayak Income '!D693,'MPG Payment '!$I$3:$I$344841)</f>
        <v>3259.3000000000006</v>
      </c>
      <c r="N693" s="126">
        <f>SUMIF('MPG Payment '!$E$3:$E$344841,'Shayak Income '!D693,'MPG Payment '!$J$3:$J$344841)</f>
        <v>159002.84999999998</v>
      </c>
      <c r="O693" s="126">
        <f t="shared" si="192"/>
        <v>2444.4750000000004</v>
      </c>
      <c r="P693" s="126">
        <f t="shared" si="193"/>
        <v>3096.3350000000005</v>
      </c>
      <c r="Q693" s="126">
        <f>SUMIF('MPG Payment '!$E$3:$E$344841,'Shayak Income '!D693,'MPG Payment '!$S$3:$S$344841)</f>
        <v>90.02</v>
      </c>
      <c r="R693" s="126">
        <f t="shared" si="184"/>
        <v>4770.0854999999992</v>
      </c>
      <c r="S693" s="126">
        <f t="shared" si="185"/>
        <v>1673.7504999999987</v>
      </c>
      <c r="T693" s="126">
        <f t="shared" si="194"/>
        <v>325.93000000000006</v>
      </c>
      <c r="U693" s="127">
        <f>((((((IF(K693="New",0,SUMIF('MPG Payment '!$E$3:$E$344841,'Shayak Income '!D693,'MPG Payment '!$AC$3:$AC$344841))))+0)+0)+0)+0)+0</f>
        <v>0</v>
      </c>
      <c r="V693" s="127">
        <f t="shared" si="195"/>
        <v>5305</v>
      </c>
      <c r="W693" s="19">
        <f t="shared" si="199"/>
        <v>3180.0569999999998</v>
      </c>
      <c r="X693" s="19">
        <v>0</v>
      </c>
      <c r="Y693" s="128">
        <f>IFERROR(VLOOKUP(D693,'Monthly Deduction'!$M$2:$N$640,2,0),0)</f>
        <v>0</v>
      </c>
      <c r="Z693" s="128">
        <v>0</v>
      </c>
      <c r="AA693" s="126">
        <f>IFERROR(VLOOKUP(D693,'Monthly Deduction'!A:B,2,0),0)</f>
        <v>0</v>
      </c>
      <c r="AB693" s="129">
        <f t="shared" si="186"/>
        <v>2125</v>
      </c>
      <c r="AC693" s="130">
        <v>0</v>
      </c>
      <c r="AD693" s="35">
        <f t="shared" si="196"/>
        <v>2125</v>
      </c>
      <c r="AE693" s="166" t="str">
        <f t="shared" si="197"/>
        <v>Release</v>
      </c>
      <c r="AF693" s="127"/>
      <c r="AG693" s="127">
        <v>0</v>
      </c>
      <c r="AH693" s="120"/>
      <c r="AI693" s="238">
        <v>0</v>
      </c>
      <c r="AJ693" s="132"/>
      <c r="AK693" s="151">
        <v>577.09999999999991</v>
      </c>
      <c r="AL693" s="154">
        <f t="shared" si="187"/>
        <v>0</v>
      </c>
      <c r="AM693" s="155"/>
      <c r="AN693" s="19">
        <f t="shared" si="188"/>
        <v>3180.0569999999998</v>
      </c>
      <c r="AO693" s="118">
        <f>SUMIF('MPG Payment '!E:E,'Shayak Income '!D693,'MPG Payment '!AJ:AJ)</f>
        <v>0</v>
      </c>
      <c r="AP693" s="19">
        <f t="shared" si="189"/>
        <v>3180.0569999999998</v>
      </c>
      <c r="AQ693" s="119">
        <f t="shared" si="198"/>
        <v>3180.0569999999998</v>
      </c>
      <c r="AR693" s="91"/>
      <c r="AS693" s="91">
        <f t="shared" si="190"/>
        <v>12800</v>
      </c>
      <c r="AT693" s="118"/>
      <c r="AU693" s="118"/>
      <c r="AV693" s="118"/>
    </row>
    <row r="694" spans="1:48" s="20" customFormat="1" x14ac:dyDescent="0.25">
      <c r="A694" s="17">
        <f>IFERROR(VLOOKUP(D694,'Monthly Deduction'!$I$3:$J$957,2,0),0)</f>
        <v>78467</v>
      </c>
      <c r="B694" s="17">
        <f>IFERROR(VLOOKUP(D694,'Monthly Deduction'!$E$3:$F$957,2,0),0)</f>
        <v>12800</v>
      </c>
      <c r="C694" s="17">
        <f t="shared" si="191"/>
        <v>91267</v>
      </c>
      <c r="D694" s="41">
        <v>10590002</v>
      </c>
      <c r="E694" s="122" t="str">
        <f>VLOOKUP(D694,'MPG Payment '!$E$3:$G$497305,2,0)</f>
        <v>DIGHOI</v>
      </c>
      <c r="F694" s="146">
        <f>IFERROR(_xlfn.XLOOKUP(D694,'Monthly Deduction'!$I$3:$I$957,'Monthly Deduction'!$H$3:$H$957),0)</f>
        <v>0</v>
      </c>
      <c r="G694" s="123" t="str">
        <f>VLOOKUP(D694,'MPG Payment '!$E$3:$G$333666,3,0)</f>
        <v>MPG</v>
      </c>
      <c r="H694" s="124" t="str">
        <f>VLOOKUP(D694,'MPG Payment '!$E$3:$H$333666,4,0)</f>
        <v>Direct</v>
      </c>
      <c r="I694" s="88">
        <f>INDEX('MPG Payment '!$C:$C,MATCH('Shayak Income '!D694,'MPG Payment '!E:E,0))</f>
        <v>1059</v>
      </c>
      <c r="J694" s="88" t="str">
        <f>INDEX('MPG Payment '!$D:$D,MATCH('Shayak Income '!D694,'MPG Payment '!E:E,0))</f>
        <v>Gopalpur Bmc</v>
      </c>
      <c r="K694" s="125" t="s">
        <v>1594</v>
      </c>
      <c r="L694" s="125">
        <v>46032</v>
      </c>
      <c r="M694" s="126">
        <f>SUMIF('MPG Payment '!$E$3:$E$344841,'Shayak Income '!D694,'MPG Payment '!$I$3:$I$344841)</f>
        <v>327</v>
      </c>
      <c r="N694" s="126">
        <f>SUMIF('MPG Payment '!$E$3:$E$344841,'Shayak Income '!D694,'MPG Payment '!$J$3:$J$344841)</f>
        <v>21020.57</v>
      </c>
      <c r="O694" s="126">
        <f t="shared" si="192"/>
        <v>245.25</v>
      </c>
      <c r="P694" s="126">
        <f t="shared" si="193"/>
        <v>310.64999999999998</v>
      </c>
      <c r="Q694" s="126">
        <f>SUMIF('MPG Payment '!$E$3:$E$344841,'Shayak Income '!D694,'MPG Payment '!$S$3:$S$344841)</f>
        <v>0</v>
      </c>
      <c r="R694" s="126">
        <f t="shared" si="184"/>
        <v>630.61709999999994</v>
      </c>
      <c r="S694" s="126">
        <f t="shared" si="185"/>
        <v>319.96709999999996</v>
      </c>
      <c r="T694" s="126">
        <f t="shared" si="194"/>
        <v>32.700000000000003</v>
      </c>
      <c r="U694" s="127">
        <f>((((((IF(K694="New",0,SUMIF('MPG Payment '!$E$3:$E$344841,'Shayak Income '!D694,'MPG Payment '!$AC$3:$AC$344841))))+0)+0)+0)+0)+-2694</f>
        <v>522.99599170731381</v>
      </c>
      <c r="V694" s="127">
        <f t="shared" si="195"/>
        <v>0</v>
      </c>
      <c r="W694" s="19">
        <v>0</v>
      </c>
      <c r="X694" s="19">
        <v>0</v>
      </c>
      <c r="Y694" s="128">
        <v>0</v>
      </c>
      <c r="Z694" s="128">
        <v>0</v>
      </c>
      <c r="AA694" s="126">
        <v>0</v>
      </c>
      <c r="AB694" s="129">
        <f t="shared" si="186"/>
        <v>0</v>
      </c>
      <c r="AC694" s="130">
        <f>AB694</f>
        <v>0</v>
      </c>
      <c r="AD694" s="35">
        <f t="shared" si="196"/>
        <v>0</v>
      </c>
      <c r="AE694" s="166" t="str">
        <f t="shared" si="197"/>
        <v>Release</v>
      </c>
      <c r="AF694" s="127"/>
      <c r="AG694" s="18">
        <v>0</v>
      </c>
      <c r="AH694" s="120" t="s">
        <v>1685</v>
      </c>
      <c r="AI694" s="238">
        <v>18467</v>
      </c>
      <c r="AJ694" s="132"/>
      <c r="AK694" s="151">
        <v>54.9</v>
      </c>
      <c r="AL694" s="154">
        <f t="shared" si="187"/>
        <v>0</v>
      </c>
      <c r="AM694" s="155"/>
      <c r="AN694" s="19">
        <f t="shared" si="188"/>
        <v>1861</v>
      </c>
      <c r="AO694" s="118">
        <f>SUMIF('MPG Payment '!E:E,'Shayak Income '!D694,'MPG Payment '!AJ:AJ)</f>
        <v>2000</v>
      </c>
      <c r="AP694" s="19">
        <f t="shared" si="189"/>
        <v>0</v>
      </c>
      <c r="AQ694" s="119">
        <f t="shared" si="198"/>
        <v>2000</v>
      </c>
      <c r="AR694" s="91" t="s">
        <v>1144</v>
      </c>
      <c r="AS694" s="91">
        <f t="shared" si="190"/>
        <v>12800</v>
      </c>
      <c r="AT694" s="118"/>
      <c r="AU694" s="118"/>
      <c r="AV694" s="118"/>
    </row>
    <row r="695" spans="1:48" s="20" customFormat="1" x14ac:dyDescent="0.25">
      <c r="A695" s="17">
        <f>IFERROR(VLOOKUP(D695,'Monthly Deduction'!$I$3:$J$957,2,0),0)</f>
        <v>54049.153322679806</v>
      </c>
      <c r="B695" s="17">
        <f>IFERROR(VLOOKUP(D695,'Monthly Deduction'!$E$3:$F$957,2,0),0)</f>
        <v>12800</v>
      </c>
      <c r="C695" s="17">
        <f t="shared" si="191"/>
        <v>66849.153322679806</v>
      </c>
      <c r="D695" s="41">
        <v>10590004</v>
      </c>
      <c r="E695" s="122" t="str">
        <f>VLOOKUP(D695,'MPG Payment '!$E$3:$G$497305,2,0)</f>
        <v>PRATAPUR</v>
      </c>
      <c r="F695" s="146">
        <f>IFERROR(_xlfn.XLOOKUP(D695,'Monthly Deduction'!$I$3:$I$957,'Monthly Deduction'!$H$3:$H$957),0)</f>
        <v>0</v>
      </c>
      <c r="G695" s="123" t="str">
        <f>VLOOKUP(D695,'MPG Payment '!$E$3:$G$333666,3,0)</f>
        <v>MPG</v>
      </c>
      <c r="H695" s="124" t="str">
        <f>VLOOKUP(D695,'MPG Payment '!$E$3:$H$333666,4,0)</f>
        <v>Direct</v>
      </c>
      <c r="I695" s="88">
        <f>INDEX('MPG Payment '!$C:$C,MATCH('Shayak Income '!D695,'MPG Payment '!E:E,0))</f>
        <v>1059</v>
      </c>
      <c r="J695" s="88" t="str">
        <f>INDEX('MPG Payment '!$D:$D,MATCH('Shayak Income '!D695,'MPG Payment '!E:E,0))</f>
        <v>Gopalpur Bmc</v>
      </c>
      <c r="K695" s="125" t="s">
        <v>1594</v>
      </c>
      <c r="L695" s="125">
        <v>46032</v>
      </c>
      <c r="M695" s="126">
        <f>SUMIF('MPG Payment '!$E$3:$E$344841,'Shayak Income '!D695,'MPG Payment '!$I$3:$I$344841)</f>
        <v>3716.4000000000005</v>
      </c>
      <c r="N695" s="126">
        <f>SUMIF('MPG Payment '!$E$3:$E$344841,'Shayak Income '!D695,'MPG Payment '!$J$3:$J$344841)</f>
        <v>145032.54999999999</v>
      </c>
      <c r="O695" s="126">
        <f t="shared" si="192"/>
        <v>2787.3</v>
      </c>
      <c r="P695" s="126">
        <f t="shared" si="193"/>
        <v>3530.5800000000004</v>
      </c>
      <c r="Q695" s="126">
        <f>SUMIF('MPG Payment '!$E$3:$E$344841,'Shayak Income '!D695,'MPG Payment '!$S$3:$S$344841)</f>
        <v>0</v>
      </c>
      <c r="R695" s="126">
        <f t="shared" si="184"/>
        <v>4350.9764999999998</v>
      </c>
      <c r="S695" s="126">
        <f t="shared" si="185"/>
        <v>820.39649999999938</v>
      </c>
      <c r="T695" s="126">
        <f t="shared" si="194"/>
        <v>371.6400000000001</v>
      </c>
      <c r="U695" s="127">
        <f>((((((IF(K695="New",0,SUMIF('MPG Payment '!$E$3:$E$344841,'Shayak Income '!D695,'MPG Payment '!$AC$3:$AC$344841))))+0)+0)+0)+0)+0</f>
        <v>0</v>
      </c>
      <c r="V695" s="127">
        <f t="shared" si="195"/>
        <v>5946</v>
      </c>
      <c r="W695" s="19">
        <f t="shared" si="199"/>
        <v>2900.6509999999998</v>
      </c>
      <c r="X695" s="19">
        <v>0</v>
      </c>
      <c r="Y695" s="128">
        <f>IFERROR(VLOOKUP(D695,'Monthly Deduction'!$M$2:$N$640,2,0),0)</f>
        <v>0</v>
      </c>
      <c r="Z695" s="128">
        <v>0</v>
      </c>
      <c r="AA695" s="126">
        <f>IFERROR(VLOOKUP(D695,'Monthly Deduction'!A:B,2,0),0)</f>
        <v>0</v>
      </c>
      <c r="AB695" s="129">
        <f t="shared" si="186"/>
        <v>3045</v>
      </c>
      <c r="AC695" s="130">
        <v>0</v>
      </c>
      <c r="AD695" s="35">
        <f t="shared" si="196"/>
        <v>3045</v>
      </c>
      <c r="AE695" s="166" t="str">
        <f t="shared" si="197"/>
        <v>Release</v>
      </c>
      <c r="AF695" s="127"/>
      <c r="AG695" s="18">
        <v>0</v>
      </c>
      <c r="AH695" s="120"/>
      <c r="AI695" s="238">
        <v>0</v>
      </c>
      <c r="AJ695" s="132"/>
      <c r="AK695" s="151">
        <v>950.59999999999991</v>
      </c>
      <c r="AL695" s="154">
        <f t="shared" si="187"/>
        <v>0</v>
      </c>
      <c r="AM695" s="155"/>
      <c r="AN695" s="19">
        <f t="shared" si="188"/>
        <v>2900.6509999999998</v>
      </c>
      <c r="AO695" s="118">
        <f>SUMIF('MPG Payment '!E:E,'Shayak Income '!D695,'MPG Payment '!AJ:AJ)</f>
        <v>0</v>
      </c>
      <c r="AP695" s="19">
        <f t="shared" si="189"/>
        <v>2900.6509999999998</v>
      </c>
      <c r="AQ695" s="119">
        <f t="shared" si="198"/>
        <v>2900.6509999999998</v>
      </c>
      <c r="AR695" s="91" t="s">
        <v>1144</v>
      </c>
      <c r="AS695" s="91">
        <f t="shared" si="190"/>
        <v>12800</v>
      </c>
      <c r="AT695" s="118"/>
      <c r="AU695" s="118"/>
      <c r="AV695" s="118"/>
    </row>
    <row r="696" spans="1:48" s="20" customFormat="1" x14ac:dyDescent="0.25">
      <c r="A696" s="17">
        <f>IFERROR(VLOOKUP(D696,'Monthly Deduction'!$I$3:$J$957,2,0),0)</f>
        <v>61000</v>
      </c>
      <c r="B696" s="17">
        <f>IFERROR(VLOOKUP(D696,'Monthly Deduction'!$E$3:$F$957,2,0),0)</f>
        <v>6400</v>
      </c>
      <c r="C696" s="17">
        <f t="shared" si="191"/>
        <v>67400</v>
      </c>
      <c r="D696" s="41">
        <v>10010141</v>
      </c>
      <c r="E696" s="122" t="str">
        <f>VLOOKUP(D696,'MPG Payment '!$E$3:$G$497305,2,0)</f>
        <v>Goapalpur</v>
      </c>
      <c r="F696" s="146">
        <f>IFERROR(_xlfn.XLOOKUP(D696,'Monthly Deduction'!$I$3:$I$957,'Monthly Deduction'!$H$3:$H$957),0)</f>
        <v>0</v>
      </c>
      <c r="G696" s="123" t="str">
        <f>VLOOKUP(D696,'MPG Payment '!$E$3:$G$333666,3,0)</f>
        <v>MPG</v>
      </c>
      <c r="H696" s="124" t="str">
        <f>VLOOKUP(D696,'MPG Payment '!$E$3:$H$333666,4,0)</f>
        <v>Direct</v>
      </c>
      <c r="I696" s="88">
        <f>INDEX('MPG Payment '!$C:$C,MATCH('Shayak Income '!D696,'MPG Payment '!E:E,0))</f>
        <v>1001</v>
      </c>
      <c r="J696" s="88" t="str">
        <f>INDEX('MPG Payment '!$D:$D,MATCH('Shayak Income '!D696,'MPG Payment '!E:E,0))</f>
        <v>Majhaul</v>
      </c>
      <c r="K696" s="125" t="s">
        <v>1594</v>
      </c>
      <c r="L696" s="125">
        <v>46042</v>
      </c>
      <c r="M696" s="126">
        <f>SUMIF('MPG Payment '!$E$3:$E$344841,'Shayak Income '!D696,'MPG Payment '!$I$3:$I$344841)</f>
        <v>212.2</v>
      </c>
      <c r="N696" s="126">
        <f>SUMIF('MPG Payment '!$E$3:$E$344841,'Shayak Income '!D696,'MPG Payment '!$J$3:$J$344841)</f>
        <v>8384.15</v>
      </c>
      <c r="O696" s="126">
        <f t="shared" si="192"/>
        <v>159.14999999999998</v>
      </c>
      <c r="P696" s="126">
        <f t="shared" si="193"/>
        <v>201.58999999999997</v>
      </c>
      <c r="Q696" s="126">
        <f>SUMIF('MPG Payment '!$E$3:$E$344841,'Shayak Income '!D696,'MPG Payment '!$S$3:$S$344841)</f>
        <v>0</v>
      </c>
      <c r="R696" s="126">
        <f t="shared" si="184"/>
        <v>251.52449999999999</v>
      </c>
      <c r="S696" s="126">
        <f t="shared" si="185"/>
        <v>49.934500000000014</v>
      </c>
      <c r="T696" s="126">
        <f t="shared" si="194"/>
        <v>21.22</v>
      </c>
      <c r="U696" s="127">
        <f>((((((IF(K696="New",0,SUMIF('MPG Payment '!$E$3:$E$344841,'Shayak Income '!D696,'MPG Payment '!$AC$3:$AC$344841))))+0)+0)+0)+0)+-584</f>
        <v>339.3273687045039</v>
      </c>
      <c r="V696" s="127">
        <f t="shared" si="195"/>
        <v>0</v>
      </c>
      <c r="W696" s="19">
        <v>0</v>
      </c>
      <c r="X696" s="19">
        <v>0</v>
      </c>
      <c r="Y696" s="128">
        <v>0</v>
      </c>
      <c r="Z696" s="128">
        <v>0</v>
      </c>
      <c r="AA696" s="126">
        <v>0</v>
      </c>
      <c r="AB696" s="129">
        <f t="shared" si="186"/>
        <v>0</v>
      </c>
      <c r="AC696" s="130">
        <f t="shared" ref="AC696:AC699" si="204">AB696</f>
        <v>0</v>
      </c>
      <c r="AD696" s="35">
        <f t="shared" si="196"/>
        <v>0</v>
      </c>
      <c r="AE696" s="166" t="str">
        <f t="shared" si="197"/>
        <v>Release</v>
      </c>
      <c r="AF696" s="127"/>
      <c r="AG696" s="18">
        <v>0</v>
      </c>
      <c r="AH696" s="132" t="s">
        <v>1597</v>
      </c>
      <c r="AI696" s="238">
        <v>0</v>
      </c>
      <c r="AJ696" s="132"/>
      <c r="AK696" s="151">
        <v>0</v>
      </c>
      <c r="AL696" s="154">
        <f t="shared" si="187"/>
        <v>0</v>
      </c>
      <c r="AM696" s="155"/>
      <c r="AN696" s="19">
        <f t="shared" si="188"/>
        <v>1861</v>
      </c>
      <c r="AO696" s="118">
        <f>SUMIF('MPG Payment '!E:E,'Shayak Income '!D696,'MPG Payment '!AJ:AJ)</f>
        <v>1000</v>
      </c>
      <c r="AP696" s="19">
        <f t="shared" si="189"/>
        <v>0</v>
      </c>
      <c r="AQ696" s="119">
        <f t="shared" si="198"/>
        <v>1000</v>
      </c>
      <c r="AR696" s="91" t="s">
        <v>1144</v>
      </c>
      <c r="AS696" s="91">
        <f t="shared" si="190"/>
        <v>6400</v>
      </c>
      <c r="AT696" s="118"/>
      <c r="AU696" s="118"/>
      <c r="AV696" s="118"/>
    </row>
    <row r="697" spans="1:48" s="20" customFormat="1" x14ac:dyDescent="0.25">
      <c r="A697" s="17">
        <f>IFERROR(VLOOKUP(D697,'Monthly Deduction'!$I$3:$J$957,2,0),0)</f>
        <v>0</v>
      </c>
      <c r="B697" s="17">
        <f>IFERROR(VLOOKUP(D697,'Monthly Deduction'!$E$3:$F$957,2,0),0)</f>
        <v>0</v>
      </c>
      <c r="C697" s="17">
        <f t="shared" si="191"/>
        <v>0</v>
      </c>
      <c r="D697" s="41">
        <v>10070060</v>
      </c>
      <c r="E697" s="122" t="str">
        <f>VLOOKUP(D697,'MPG Payment '!$E$3:$G$497305,2,0)</f>
        <v>Gomukh Pakrail Shirnia VLC</v>
      </c>
      <c r="F697" s="146">
        <f>IFERROR(_xlfn.XLOOKUP(D697,'Monthly Deduction'!$I$3:$I$957,'Monthly Deduction'!$H$3:$H$957),0)</f>
        <v>0</v>
      </c>
      <c r="G697" s="123" t="str">
        <f>VLOOKUP(D697,'MPG Payment '!$E$3:$G$333666,3,0)</f>
        <v>vlc</v>
      </c>
      <c r="H697" s="124" t="str">
        <f>VLOOKUP(D697,'MPG Payment '!$E$3:$H$333666,4,0)</f>
        <v>Indirect</v>
      </c>
      <c r="I697" s="88">
        <f>INDEX('MPG Payment '!$C:$C,MATCH('Shayak Income '!D697,'MPG Payment '!E:E,0))</f>
        <v>1056</v>
      </c>
      <c r="J697" s="88" t="str">
        <f>INDEX('MPG Payment '!$D:$D,MATCH('Shayak Income '!D697,'MPG Payment '!E:E,0))</f>
        <v>Chautham</v>
      </c>
      <c r="K697" s="125" t="s">
        <v>1594</v>
      </c>
      <c r="L697" s="125">
        <v>45735</v>
      </c>
      <c r="M697" s="126">
        <f>SUMIF('MPG Payment '!$E$3:$E$344841,'Shayak Income '!D697,'MPG Payment '!$I$3:$I$344841)</f>
        <v>472</v>
      </c>
      <c r="N697" s="126">
        <f>SUMIF('MPG Payment '!$E$3:$E$344841,'Shayak Income '!D697,'MPG Payment '!$J$3:$J$344841)</f>
        <v>18110.71</v>
      </c>
      <c r="O697" s="126">
        <f t="shared" si="192"/>
        <v>354</v>
      </c>
      <c r="P697" s="126">
        <f t="shared" si="193"/>
        <v>448.4</v>
      </c>
      <c r="Q697" s="126">
        <f>SUMIF('MPG Payment '!$E$3:$E$344841,'Shayak Income '!D697,'MPG Payment '!$S$3:$S$344841)</f>
        <v>0</v>
      </c>
      <c r="R697" s="126">
        <f t="shared" si="184"/>
        <v>543.32129999999995</v>
      </c>
      <c r="S697" s="126">
        <f t="shared" si="185"/>
        <v>94.921299999999974</v>
      </c>
      <c r="T697" s="126">
        <f t="shared" si="194"/>
        <v>47.2</v>
      </c>
      <c r="U697" s="127">
        <f>((((((IF(K697="New",0,SUMIF('MPG Payment '!$E$3:$E$344841,'Shayak Income '!D697,'MPG Payment '!$AC$3:$AC$344841))))+0)+0)+0)+0)+-1150</f>
        <v>754.91261419279135</v>
      </c>
      <c r="V697" s="127">
        <f t="shared" si="195"/>
        <v>0</v>
      </c>
      <c r="W697" s="19">
        <v>0</v>
      </c>
      <c r="X697" s="19">
        <v>0</v>
      </c>
      <c r="Y697" s="128">
        <v>0</v>
      </c>
      <c r="Z697" s="128">
        <v>0</v>
      </c>
      <c r="AA697" s="126">
        <v>0</v>
      </c>
      <c r="AB697" s="129">
        <f t="shared" si="186"/>
        <v>0</v>
      </c>
      <c r="AC697" s="130">
        <f t="shared" si="204"/>
        <v>0</v>
      </c>
      <c r="AD697" s="35">
        <f t="shared" si="196"/>
        <v>0</v>
      </c>
      <c r="AE697" s="166" t="str">
        <f t="shared" si="197"/>
        <v>Release</v>
      </c>
      <c r="AF697" s="127"/>
      <c r="AG697" s="18">
        <v>0</v>
      </c>
      <c r="AH697" s="132" t="s">
        <v>1597</v>
      </c>
      <c r="AI697" s="238">
        <v>0</v>
      </c>
      <c r="AJ697" s="132"/>
      <c r="AK697" s="151">
        <v>0</v>
      </c>
      <c r="AL697" s="154">
        <f t="shared" si="187"/>
        <v>0</v>
      </c>
      <c r="AM697" s="155"/>
      <c r="AN697" s="19">
        <f t="shared" si="188"/>
        <v>0</v>
      </c>
      <c r="AO697" s="118">
        <f>SUMIF('MPG Payment '!E:E,'Shayak Income '!D697,'MPG Payment '!AJ:AJ)</f>
        <v>0</v>
      </c>
      <c r="AP697" s="19">
        <f t="shared" si="189"/>
        <v>0</v>
      </c>
      <c r="AQ697" s="119">
        <f t="shared" si="198"/>
        <v>0</v>
      </c>
      <c r="AR697" s="91" t="s">
        <v>65</v>
      </c>
      <c r="AS697" s="91">
        <f t="shared" si="190"/>
        <v>0</v>
      </c>
      <c r="AT697" s="118"/>
      <c r="AU697" s="118"/>
      <c r="AV697" s="118"/>
    </row>
    <row r="698" spans="1:48" s="20" customFormat="1" x14ac:dyDescent="0.25">
      <c r="A698" s="17">
        <f>IFERROR(VLOOKUP(D698,'Monthly Deduction'!$I$3:$J$957,2,0),0)</f>
        <v>74569</v>
      </c>
      <c r="B698" s="17">
        <f>IFERROR(VLOOKUP(D698,'Monthly Deduction'!$E$3:$F$957,2,0),0)</f>
        <v>6400</v>
      </c>
      <c r="C698" s="17">
        <f t="shared" si="191"/>
        <v>80969</v>
      </c>
      <c r="D698" s="41">
        <v>10070077</v>
      </c>
      <c r="E698" s="122" t="str">
        <f>VLOOKUP(D698,'MPG Payment '!$E$3:$G$497305,2,0)</f>
        <v>Gomukh Bari Chak Gogri</v>
      </c>
      <c r="F698" s="146">
        <f>IFERROR(_xlfn.XLOOKUP(D698,'Monthly Deduction'!$I$3:$I$957,'Monthly Deduction'!$H$3:$H$957),0)</f>
        <v>0</v>
      </c>
      <c r="G698" s="123" t="str">
        <f>VLOOKUP(D698,'MPG Payment '!$E$3:$G$333666,3,0)</f>
        <v>MPG</v>
      </c>
      <c r="H698" s="124" t="str">
        <f>VLOOKUP(D698,'MPG Payment '!$E$3:$H$333666,4,0)</f>
        <v>Direct</v>
      </c>
      <c r="I698" s="88">
        <f>INDEX('MPG Payment '!$C:$C,MATCH('Shayak Income '!D698,'MPG Payment '!E:E,0))</f>
        <v>1007</v>
      </c>
      <c r="J698" s="88" t="str">
        <f>INDEX('MPG Payment '!$D:$D,MATCH('Shayak Income '!D698,'MPG Payment '!E:E,0))</f>
        <v>Araria</v>
      </c>
      <c r="K698" s="125" t="s">
        <v>1594</v>
      </c>
      <c r="L698" s="125">
        <v>46040</v>
      </c>
      <c r="M698" s="126">
        <f>SUMIF('MPG Payment '!$E$3:$E$344841,'Shayak Income '!D698,'MPG Payment '!$I$3:$I$344841)</f>
        <v>1553.8999999999999</v>
      </c>
      <c r="N698" s="126">
        <f>SUMIF('MPG Payment '!$E$3:$E$344841,'Shayak Income '!D698,'MPG Payment '!$J$3:$J$344841)</f>
        <v>55224.27</v>
      </c>
      <c r="O698" s="126">
        <f t="shared" si="192"/>
        <v>1165.425</v>
      </c>
      <c r="P698" s="126">
        <f t="shared" si="193"/>
        <v>1476.2049999999997</v>
      </c>
      <c r="Q698" s="126">
        <f>SUMIF('MPG Payment '!$E$3:$E$344841,'Shayak Income '!D698,'MPG Payment '!$S$3:$S$344841)</f>
        <v>0</v>
      </c>
      <c r="R698" s="126">
        <f t="shared" si="184"/>
        <v>1656.7280999999998</v>
      </c>
      <c r="S698" s="126">
        <f t="shared" si="185"/>
        <v>180.52310000000011</v>
      </c>
      <c r="T698" s="126">
        <f t="shared" si="194"/>
        <v>155.38999999999999</v>
      </c>
      <c r="U698" s="127">
        <f>((((((IF(K698="New",0,SUMIF('MPG Payment '!$E$3:$E$344841,'Shayak Income '!D698,'MPG Payment '!$AC$3:$AC$344841))))+0)+0)+0)+0)+0</f>
        <v>865.81675843986943</v>
      </c>
      <c r="V698" s="127">
        <f t="shared" si="195"/>
        <v>1620</v>
      </c>
      <c r="W698" s="19">
        <v>0</v>
      </c>
      <c r="X698" s="19">
        <f t="shared" si="200"/>
        <v>1104.4854</v>
      </c>
      <c r="Y698" s="128">
        <f>IFERROR(VLOOKUP(D698,'Monthly Deduction'!$M$2:$N$640,2,0),0)</f>
        <v>0</v>
      </c>
      <c r="Z698" s="128">
        <v>0</v>
      </c>
      <c r="AA698" s="126">
        <f>IFERROR(VLOOKUP(D698,'Monthly Deduction'!A:B,2,0),0)</f>
        <v>0</v>
      </c>
      <c r="AB698" s="129">
        <f t="shared" si="186"/>
        <v>516</v>
      </c>
      <c r="AC698" s="130">
        <f t="shared" si="204"/>
        <v>516</v>
      </c>
      <c r="AD698" s="35">
        <f t="shared" si="196"/>
        <v>0</v>
      </c>
      <c r="AE698" s="166" t="str">
        <f t="shared" si="197"/>
        <v>Yes</v>
      </c>
      <c r="AF698" s="127"/>
      <c r="AG698" s="18">
        <v>0</v>
      </c>
      <c r="AH698" s="120" t="s">
        <v>1686</v>
      </c>
      <c r="AI698" s="238">
        <v>14569</v>
      </c>
      <c r="AJ698" s="132"/>
      <c r="AK698" s="151">
        <v>563</v>
      </c>
      <c r="AL698" s="154">
        <f t="shared" si="187"/>
        <v>0</v>
      </c>
      <c r="AM698" s="155"/>
      <c r="AN698" s="19">
        <f t="shared" si="188"/>
        <v>1861</v>
      </c>
      <c r="AO698" s="118">
        <f>SUMIF('MPG Payment '!E:E,'Shayak Income '!D698,'MPG Payment '!AJ:AJ)</f>
        <v>2000</v>
      </c>
      <c r="AP698" s="19">
        <f t="shared" si="189"/>
        <v>0</v>
      </c>
      <c r="AQ698" s="119">
        <f t="shared" si="198"/>
        <v>2000</v>
      </c>
      <c r="AR698" s="91" t="s">
        <v>1144</v>
      </c>
      <c r="AS698" s="91">
        <f t="shared" si="190"/>
        <v>5295.5146000000004</v>
      </c>
      <c r="AT698" s="118"/>
      <c r="AU698" s="118"/>
      <c r="AV698" s="118"/>
    </row>
    <row r="699" spans="1:48" s="20" customFormat="1" x14ac:dyDescent="0.25">
      <c r="A699" s="17">
        <f>IFERROR(VLOOKUP(D699,'Monthly Deduction'!$I$3:$J$957,2,0),0)</f>
        <v>69280.066186967641</v>
      </c>
      <c r="B699" s="17">
        <f>IFERROR(VLOOKUP(D699,'Monthly Deduction'!$E$3:$F$957,2,0),0)</f>
        <v>12800</v>
      </c>
      <c r="C699" s="17">
        <f t="shared" si="191"/>
        <v>82080.066186967641</v>
      </c>
      <c r="D699" s="41">
        <v>10070078</v>
      </c>
      <c r="E699" s="122" t="str">
        <f>VLOOKUP(D699,'MPG Payment '!$E$3:$G$497305,2,0)</f>
        <v>Gomukh Khatha</v>
      </c>
      <c r="F699" s="146">
        <f>IFERROR(_xlfn.XLOOKUP(D699,'Monthly Deduction'!$I$3:$I$957,'Monthly Deduction'!$H$3:$H$957),0)</f>
        <v>0</v>
      </c>
      <c r="G699" s="123" t="str">
        <f>VLOOKUP(D699,'MPG Payment '!$E$3:$G$333666,3,0)</f>
        <v>MPG</v>
      </c>
      <c r="H699" s="124" t="str">
        <f>VLOOKUP(D699,'MPG Payment '!$E$3:$H$333666,4,0)</f>
        <v>Direct</v>
      </c>
      <c r="I699" s="88">
        <f>INDEX('MPG Payment '!$C:$C,MATCH('Shayak Income '!D699,'MPG Payment '!E:E,0))</f>
        <v>1007</v>
      </c>
      <c r="J699" s="88" t="str">
        <f>INDEX('MPG Payment '!$D:$D,MATCH('Shayak Income '!D699,'MPG Payment '!E:E,0))</f>
        <v>Araria</v>
      </c>
      <c r="K699" s="125" t="s">
        <v>1594</v>
      </c>
      <c r="L699" s="125">
        <v>46038</v>
      </c>
      <c r="M699" s="126">
        <f>SUMIF('MPG Payment '!$E$3:$E$344841,'Shayak Income '!D699,'MPG Payment '!$I$3:$I$344841)</f>
        <v>3423.6000000000004</v>
      </c>
      <c r="N699" s="126">
        <f>SUMIF('MPG Payment '!$E$3:$E$344841,'Shayak Income '!D699,'MPG Payment '!$J$3:$J$344841)</f>
        <v>127667.95000000001</v>
      </c>
      <c r="O699" s="126">
        <f t="shared" si="192"/>
        <v>2567.7000000000003</v>
      </c>
      <c r="P699" s="126">
        <f t="shared" si="193"/>
        <v>3252.42</v>
      </c>
      <c r="Q699" s="126">
        <f>SUMIF('MPG Payment '!$E$3:$E$344841,'Shayak Income '!D699,'MPG Payment '!$S$3:$S$344841)</f>
        <v>0</v>
      </c>
      <c r="R699" s="126">
        <f t="shared" si="184"/>
        <v>3830.0385000000001</v>
      </c>
      <c r="S699" s="126">
        <f t="shared" si="185"/>
        <v>577.61850000000004</v>
      </c>
      <c r="T699" s="126">
        <f t="shared" si="194"/>
        <v>342.36000000000007</v>
      </c>
      <c r="U699" s="127">
        <f>((((((IF(K699="New",0,SUMIF('MPG Payment '!$E$3:$E$344841,'Shayak Income '!D699,'MPG Payment '!$AC$3:$AC$344841))))+0)+0)+0)+0)+0</f>
        <v>0</v>
      </c>
      <c r="V699" s="127">
        <f t="shared" si="195"/>
        <v>5478</v>
      </c>
      <c r="W699" s="19">
        <f t="shared" si="199"/>
        <v>2553.3590000000004</v>
      </c>
      <c r="X699" s="19">
        <v>0</v>
      </c>
      <c r="Y699" s="128">
        <f>IFERROR(VLOOKUP(D699,'Monthly Deduction'!$M$2:$N$640,2,0),0)</f>
        <v>0</v>
      </c>
      <c r="Z699" s="128">
        <v>0</v>
      </c>
      <c r="AA699" s="126">
        <f>IFERROR(VLOOKUP(D699,'Monthly Deduction'!A:B,2,0),0)</f>
        <v>0</v>
      </c>
      <c r="AB699" s="129">
        <f t="shared" si="186"/>
        <v>2925</v>
      </c>
      <c r="AC699" s="130">
        <f t="shared" si="204"/>
        <v>2925</v>
      </c>
      <c r="AD699" s="35">
        <f t="shared" si="196"/>
        <v>0</v>
      </c>
      <c r="AE699" s="166" t="str">
        <f t="shared" si="197"/>
        <v>Yes</v>
      </c>
      <c r="AF699" s="127"/>
      <c r="AG699" s="18">
        <v>0</v>
      </c>
      <c r="AH699" s="120" t="s">
        <v>1685</v>
      </c>
      <c r="AI699" s="238">
        <v>13770</v>
      </c>
      <c r="AJ699" s="132"/>
      <c r="AK699" s="151">
        <v>684.3</v>
      </c>
      <c r="AL699" s="154">
        <f t="shared" si="187"/>
        <v>0</v>
      </c>
      <c r="AM699" s="155"/>
      <c r="AN699" s="19">
        <f t="shared" si="188"/>
        <v>2553.3590000000004</v>
      </c>
      <c r="AO699" s="118">
        <f>SUMIF('MPG Payment '!E:E,'Shayak Income '!D699,'MPG Payment '!AJ:AJ)</f>
        <v>0</v>
      </c>
      <c r="AP699" s="19">
        <f t="shared" si="189"/>
        <v>2553.3590000000004</v>
      </c>
      <c r="AQ699" s="119">
        <f t="shared" si="198"/>
        <v>2553.3590000000004</v>
      </c>
      <c r="AR699" s="91" t="s">
        <v>1144</v>
      </c>
      <c r="AS699" s="91">
        <f t="shared" si="190"/>
        <v>12800</v>
      </c>
      <c r="AT699" s="118"/>
      <c r="AU699" s="118"/>
      <c r="AV699" s="118"/>
    </row>
    <row r="700" spans="1:48" s="20" customFormat="1" x14ac:dyDescent="0.25">
      <c r="A700" s="17">
        <f>IFERROR(VLOOKUP(D700,'Monthly Deduction'!$I$3:$J$957,2,0),0)</f>
        <v>0</v>
      </c>
      <c r="B700" s="17">
        <f>IFERROR(VLOOKUP(D700,'Monthly Deduction'!$E$3:$F$957,2,0),0)</f>
        <v>0</v>
      </c>
      <c r="C700" s="17">
        <f t="shared" si="191"/>
        <v>0</v>
      </c>
      <c r="D700" s="41">
        <v>10140201</v>
      </c>
      <c r="E700" s="122" t="str">
        <f>VLOOKUP(D700,'MPG Payment '!$E$3:$G$497305,2,0)</f>
        <v>Gomukh Lakshman Dera Raja</v>
      </c>
      <c r="F700" s="146">
        <f>IFERROR(_xlfn.XLOOKUP(D700,'Monthly Deduction'!$I$3:$I$957,'Monthly Deduction'!$H$3:$H$957),0)</f>
        <v>0</v>
      </c>
      <c r="G700" s="123" t="str">
        <f>VLOOKUP(D700,'MPG Payment '!$E$3:$G$333666,3,0)</f>
        <v>vlc</v>
      </c>
      <c r="H700" s="124" t="str">
        <f>VLOOKUP(D700,'MPG Payment '!$E$3:$H$333666,4,0)</f>
        <v>Indirect</v>
      </c>
      <c r="I700" s="88">
        <f>INDEX('MPG Payment '!$C:$C,MATCH('Shayak Income '!D700,'MPG Payment '!E:E,0))</f>
        <v>1014</v>
      </c>
      <c r="J700" s="88" t="str">
        <f>INDEX('MPG Payment '!$D:$D,MATCH('Shayak Income '!D700,'MPG Payment '!E:E,0))</f>
        <v>Dumraon</v>
      </c>
      <c r="K700" s="125" t="s">
        <v>1594</v>
      </c>
      <c r="L700" s="125">
        <v>46042</v>
      </c>
      <c r="M700" s="126">
        <f>SUMIF('MPG Payment '!$E$3:$E$344841,'Shayak Income '!D700,'MPG Payment '!$I$3:$I$344841)</f>
        <v>530.9</v>
      </c>
      <c r="N700" s="126">
        <f>SUMIF('MPG Payment '!$E$3:$E$344841,'Shayak Income '!D700,'MPG Payment '!$J$3:$J$344841)</f>
        <v>19800.539999999997</v>
      </c>
      <c r="O700" s="126">
        <f t="shared" si="192"/>
        <v>398.17499999999995</v>
      </c>
      <c r="P700" s="126">
        <f t="shared" si="193"/>
        <v>504.35499999999996</v>
      </c>
      <c r="Q700" s="126">
        <f>SUMIF('MPG Payment '!$E$3:$E$344841,'Shayak Income '!D700,'MPG Payment '!$S$3:$S$344841)</f>
        <v>0</v>
      </c>
      <c r="R700" s="126">
        <f t="shared" si="184"/>
        <v>594.01619999999991</v>
      </c>
      <c r="S700" s="126">
        <f t="shared" si="185"/>
        <v>89.661199999999951</v>
      </c>
      <c r="T700" s="126">
        <f t="shared" si="194"/>
        <v>53.09</v>
      </c>
      <c r="U700" s="127">
        <f>((((((IF(K700="New",0,SUMIF('MPG Payment '!$E$3:$E$344841,'Shayak Income '!D700,'MPG Payment '!$AC$3:$AC$344841))))+0)+0)+0)+0)+-847</f>
        <v>849.76140612331301</v>
      </c>
      <c r="V700" s="127">
        <f t="shared" si="195"/>
        <v>0</v>
      </c>
      <c r="W700" s="19">
        <v>0</v>
      </c>
      <c r="X700" s="19">
        <v>0</v>
      </c>
      <c r="Y700" s="128">
        <v>0</v>
      </c>
      <c r="Z700" s="128">
        <v>0</v>
      </c>
      <c r="AA700" s="126">
        <v>0</v>
      </c>
      <c r="AB700" s="129">
        <f t="shared" si="186"/>
        <v>0</v>
      </c>
      <c r="AC700" s="130">
        <v>0</v>
      </c>
      <c r="AD700" s="35">
        <f t="shared" si="196"/>
        <v>0</v>
      </c>
      <c r="AE700" s="166" t="str">
        <f t="shared" si="197"/>
        <v>Release</v>
      </c>
      <c r="AF700" s="127"/>
      <c r="AG700" s="18">
        <v>0</v>
      </c>
      <c r="AH700" s="120"/>
      <c r="AI700" s="238">
        <v>0</v>
      </c>
      <c r="AJ700" s="132"/>
      <c r="AK700" s="151">
        <v>117.69999999999999</v>
      </c>
      <c r="AL700" s="154">
        <f t="shared" si="187"/>
        <v>0</v>
      </c>
      <c r="AM700" s="155"/>
      <c r="AN700" s="19">
        <f t="shared" si="188"/>
        <v>0</v>
      </c>
      <c r="AO700" s="118">
        <f>SUMIF('MPG Payment '!E:E,'Shayak Income '!D700,'MPG Payment '!AJ:AJ)</f>
        <v>0</v>
      </c>
      <c r="AP700" s="19">
        <f t="shared" si="189"/>
        <v>0</v>
      </c>
      <c r="AQ700" s="119">
        <f t="shared" si="198"/>
        <v>0</v>
      </c>
      <c r="AR700" s="91" t="s">
        <v>65</v>
      </c>
      <c r="AS700" s="91">
        <f t="shared" si="190"/>
        <v>0</v>
      </c>
      <c r="AT700" s="118"/>
      <c r="AU700" s="118"/>
      <c r="AV700" s="118"/>
    </row>
    <row r="701" spans="1:48" s="20" customFormat="1" x14ac:dyDescent="0.25">
      <c r="A701" s="17">
        <f>IFERROR(VLOOKUP(D701,'Monthly Deduction'!$I$3:$J$957,2,0),0)</f>
        <v>61838</v>
      </c>
      <c r="B701" s="17">
        <f>IFERROR(VLOOKUP(D701,'Monthly Deduction'!$E$3:$F$957,2,0),0)</f>
        <v>12800</v>
      </c>
      <c r="C701" s="17">
        <f t="shared" si="191"/>
        <v>74638</v>
      </c>
      <c r="D701" s="41">
        <v>10530100</v>
      </c>
      <c r="E701" s="122" t="str">
        <f>VLOOKUP(D701,'MPG Payment '!$E$3:$G$497305,2,0)</f>
        <v>GOMUKH CHAKKI</v>
      </c>
      <c r="F701" s="146">
        <f>IFERROR(_xlfn.XLOOKUP(D701,'Monthly Deduction'!$I$3:$I$957,'Monthly Deduction'!$H$3:$H$957),0)</f>
        <v>0</v>
      </c>
      <c r="G701" s="123" t="str">
        <f>VLOOKUP(D701,'MPG Payment '!$E$3:$G$333666,3,0)</f>
        <v>MPG</v>
      </c>
      <c r="H701" s="124" t="str">
        <f>VLOOKUP(D701,'MPG Payment '!$E$3:$H$333666,4,0)</f>
        <v>Direct</v>
      </c>
      <c r="I701" s="88">
        <f>INDEX('MPG Payment '!$C:$C,MATCH('Shayak Income '!D701,'MPG Payment '!E:E,0))</f>
        <v>1053</v>
      </c>
      <c r="J701" s="88" t="str">
        <f>INDEX('MPG Payment '!$D:$D,MATCH('Shayak Income '!D701,'MPG Payment '!E:E,0))</f>
        <v>Kalyanpur</v>
      </c>
      <c r="K701" s="125" t="s">
        <v>1594</v>
      </c>
      <c r="L701" s="125">
        <v>46038</v>
      </c>
      <c r="M701" s="126">
        <f>SUMIF('MPG Payment '!$E$3:$E$344841,'Shayak Income '!D701,'MPG Payment '!$I$3:$I$344841)</f>
        <v>691.39999999999986</v>
      </c>
      <c r="N701" s="126">
        <f>SUMIF('MPG Payment '!$E$3:$E$344841,'Shayak Income '!D701,'MPG Payment '!$J$3:$J$344841)</f>
        <v>30268.829999999998</v>
      </c>
      <c r="O701" s="126">
        <f t="shared" si="192"/>
        <v>518.54999999999995</v>
      </c>
      <c r="P701" s="126">
        <f t="shared" si="193"/>
        <v>656.82999999999981</v>
      </c>
      <c r="Q701" s="126">
        <f>SUMIF('MPG Payment '!$E$3:$E$344841,'Shayak Income '!D701,'MPG Payment '!$S$3:$S$344841)</f>
        <v>201.22999999999996</v>
      </c>
      <c r="R701" s="126">
        <f t="shared" si="184"/>
        <v>908.06489999999997</v>
      </c>
      <c r="S701" s="126">
        <f t="shared" si="185"/>
        <v>251.23490000000015</v>
      </c>
      <c r="T701" s="126">
        <f t="shared" si="194"/>
        <v>69.139999999999986</v>
      </c>
      <c r="U701" s="127">
        <f>((((((IF(K701="New",0,SUMIF('MPG Payment '!$E$3:$E$344841,'Shayak Income '!D701,'MPG Payment '!$AC$3:$AC$344841))))+0)+0)+0)+0)+-542</f>
        <v>1307.8191300829642</v>
      </c>
      <c r="V701" s="127">
        <f t="shared" si="195"/>
        <v>0</v>
      </c>
      <c r="W701" s="19">
        <v>0</v>
      </c>
      <c r="X701" s="19">
        <v>0</v>
      </c>
      <c r="Y701" s="128">
        <v>0</v>
      </c>
      <c r="Z701" s="128">
        <v>0</v>
      </c>
      <c r="AA701" s="126">
        <v>0</v>
      </c>
      <c r="AB701" s="129">
        <f t="shared" si="186"/>
        <v>0</v>
      </c>
      <c r="AC701" s="130">
        <v>0</v>
      </c>
      <c r="AD701" s="35">
        <f t="shared" si="196"/>
        <v>0</v>
      </c>
      <c r="AE701" s="166" t="str">
        <f t="shared" si="197"/>
        <v>Release</v>
      </c>
      <c r="AF701" s="127"/>
      <c r="AG701" s="18">
        <v>0</v>
      </c>
      <c r="AH701" s="132"/>
      <c r="AI701" s="238">
        <v>0</v>
      </c>
      <c r="AJ701" s="132"/>
      <c r="AK701" s="151">
        <v>130.70000000000002</v>
      </c>
      <c r="AL701" s="154">
        <f t="shared" si="187"/>
        <v>0</v>
      </c>
      <c r="AM701" s="155"/>
      <c r="AN701" s="19">
        <f t="shared" si="188"/>
        <v>1861</v>
      </c>
      <c r="AO701" s="118">
        <f>SUMIF('MPG Payment '!E:E,'Shayak Income '!D701,'MPG Payment '!AJ:AJ)</f>
        <v>0</v>
      </c>
      <c r="AP701" s="19">
        <f t="shared" si="189"/>
        <v>0</v>
      </c>
      <c r="AQ701" s="119">
        <f t="shared" si="198"/>
        <v>0</v>
      </c>
      <c r="AR701" s="91" t="s">
        <v>1144</v>
      </c>
      <c r="AS701" s="91">
        <f t="shared" si="190"/>
        <v>12800</v>
      </c>
      <c r="AT701" s="118"/>
      <c r="AU701" s="118"/>
      <c r="AV701" s="118"/>
    </row>
    <row r="702" spans="1:48" s="20" customFormat="1" x14ac:dyDescent="0.25">
      <c r="A702" s="17">
        <f>IFERROR(VLOOKUP(D702,'Monthly Deduction'!$I$3:$J$957,2,0),0)</f>
        <v>67966</v>
      </c>
      <c r="B702" s="17">
        <f>IFERROR(VLOOKUP(D702,'Monthly Deduction'!$E$3:$F$957,2,0),0)</f>
        <v>6400</v>
      </c>
      <c r="C702" s="17">
        <f t="shared" si="191"/>
        <v>74366</v>
      </c>
      <c r="D702" s="41">
        <v>10530102</v>
      </c>
      <c r="E702" s="122" t="str">
        <f>VLOOKUP(D702,'MPG Payment '!$E$3:$G$497305,2,0)</f>
        <v>GOMUKH KOTHIYA</v>
      </c>
      <c r="F702" s="146">
        <f>IFERROR(_xlfn.XLOOKUP(D702,'Monthly Deduction'!$I$3:$I$957,'Monthly Deduction'!$H$3:$H$957),0)</f>
        <v>0</v>
      </c>
      <c r="G702" s="123" t="str">
        <f>VLOOKUP(D702,'MPG Payment '!$E$3:$G$333666,3,0)</f>
        <v>MPG</v>
      </c>
      <c r="H702" s="124" t="str">
        <f>VLOOKUP(D702,'MPG Payment '!$E$3:$H$333666,4,0)</f>
        <v>Direct</v>
      </c>
      <c r="I702" s="88">
        <f>INDEX('MPG Payment '!$C:$C,MATCH('Shayak Income '!D702,'MPG Payment '!E:E,0))</f>
        <v>1053</v>
      </c>
      <c r="J702" s="88" t="str">
        <f>INDEX('MPG Payment '!$D:$D,MATCH('Shayak Income '!D702,'MPG Payment '!E:E,0))</f>
        <v>Kalyanpur</v>
      </c>
      <c r="K702" s="125" t="s">
        <v>1594</v>
      </c>
      <c r="L702" s="125">
        <v>46043</v>
      </c>
      <c r="M702" s="126">
        <f>SUMIF('MPG Payment '!$E$3:$E$344841,'Shayak Income '!D702,'MPG Payment '!$I$3:$I$344841)</f>
        <v>422.45000000000005</v>
      </c>
      <c r="N702" s="126">
        <f>SUMIF('MPG Payment '!$E$3:$E$344841,'Shayak Income '!D702,'MPG Payment '!$J$3:$J$344841)</f>
        <v>19080.82</v>
      </c>
      <c r="O702" s="126">
        <f t="shared" si="192"/>
        <v>316.83750000000003</v>
      </c>
      <c r="P702" s="126">
        <f t="shared" si="193"/>
        <v>401.32750000000004</v>
      </c>
      <c r="Q702" s="126">
        <f>SUMIF('MPG Payment '!$E$3:$E$344841,'Shayak Income '!D702,'MPG Payment '!$S$3:$S$344841)</f>
        <v>372.33</v>
      </c>
      <c r="R702" s="126">
        <f t="shared" si="184"/>
        <v>572.42459999999994</v>
      </c>
      <c r="S702" s="126">
        <f t="shared" si="185"/>
        <v>171.0970999999999</v>
      </c>
      <c r="T702" s="126">
        <f t="shared" si="194"/>
        <v>42.245000000000005</v>
      </c>
      <c r="U702" s="127">
        <f>((((((IF(K702="New",0,SUMIF('MPG Payment '!$E$3:$E$344841,'Shayak Income '!D702,'MPG Payment '!$AC$3:$AC$344841))))+0)+0)+0)+0)+-1099</f>
        <v>1048.4027492390119</v>
      </c>
      <c r="V702" s="127">
        <f t="shared" si="195"/>
        <v>0</v>
      </c>
      <c r="W702" s="19">
        <v>0</v>
      </c>
      <c r="X702" s="19">
        <v>0</v>
      </c>
      <c r="Y702" s="128">
        <v>0</v>
      </c>
      <c r="Z702" s="128">
        <v>0</v>
      </c>
      <c r="AA702" s="126">
        <v>0</v>
      </c>
      <c r="AB702" s="129">
        <f t="shared" si="186"/>
        <v>0</v>
      </c>
      <c r="AC702" s="130">
        <f>AB702</f>
        <v>0</v>
      </c>
      <c r="AD702" s="35">
        <f t="shared" si="196"/>
        <v>0</v>
      </c>
      <c r="AE702" s="166" t="str">
        <f t="shared" si="197"/>
        <v>Release</v>
      </c>
      <c r="AF702" s="127"/>
      <c r="AG702" s="18">
        <v>0</v>
      </c>
      <c r="AH702" s="120" t="s">
        <v>1685</v>
      </c>
      <c r="AI702" s="238">
        <v>7966</v>
      </c>
      <c r="AJ702" s="132"/>
      <c r="AK702" s="151">
        <v>78.399999999999991</v>
      </c>
      <c r="AL702" s="154">
        <f t="shared" si="187"/>
        <v>0</v>
      </c>
      <c r="AM702" s="155"/>
      <c r="AN702" s="19">
        <f t="shared" si="188"/>
        <v>1861</v>
      </c>
      <c r="AO702" s="118">
        <f>SUMIF('MPG Payment '!E:E,'Shayak Income '!D702,'MPG Payment '!AJ:AJ)</f>
        <v>2000</v>
      </c>
      <c r="AP702" s="19">
        <f t="shared" si="189"/>
        <v>0</v>
      </c>
      <c r="AQ702" s="119">
        <f t="shared" si="198"/>
        <v>2000</v>
      </c>
      <c r="AR702" s="91" t="s">
        <v>1144</v>
      </c>
      <c r="AS702" s="91">
        <f t="shared" si="190"/>
        <v>6400</v>
      </c>
      <c r="AT702" s="118"/>
      <c r="AU702" s="118"/>
      <c r="AV702" s="118"/>
    </row>
    <row r="703" spans="1:48" s="20" customFormat="1" x14ac:dyDescent="0.25">
      <c r="A703" s="17">
        <f>IFERROR(VLOOKUP(D703,'Monthly Deduction'!$I$3:$J$957,2,0),0)</f>
        <v>63454</v>
      </c>
      <c r="B703" s="17">
        <f>IFERROR(VLOOKUP(D703,'Monthly Deduction'!$E$3:$F$957,2,0),0)</f>
        <v>6400</v>
      </c>
      <c r="C703" s="17">
        <f t="shared" si="191"/>
        <v>69854</v>
      </c>
      <c r="D703" s="41">
        <v>10580010</v>
      </c>
      <c r="E703" s="122" t="str">
        <f>VLOOKUP(D703,'MPG Payment '!$E$3:$G$497305,2,0)</f>
        <v>Godah</v>
      </c>
      <c r="F703" s="146">
        <f>IFERROR(_xlfn.XLOOKUP(D703,'Monthly Deduction'!$I$3:$I$957,'Monthly Deduction'!$H$3:$H$957),0)</f>
        <v>0</v>
      </c>
      <c r="G703" s="123" t="str">
        <f>VLOOKUP(D703,'MPG Payment '!$E$3:$G$333666,3,0)</f>
        <v>MPG</v>
      </c>
      <c r="H703" s="124" t="str">
        <f>VLOOKUP(D703,'MPG Payment '!$E$3:$H$333666,4,0)</f>
        <v>Direct</v>
      </c>
      <c r="I703" s="88">
        <f>INDEX('MPG Payment '!$C:$C,MATCH('Shayak Income '!D703,'MPG Payment '!E:E,0))</f>
        <v>1058</v>
      </c>
      <c r="J703" s="88" t="str">
        <f>INDEX('MPG Payment '!$D:$D,MATCH('Shayak Income '!D703,'MPG Payment '!E:E,0))</f>
        <v>Hasanpur</v>
      </c>
      <c r="K703" s="125" t="s">
        <v>1594</v>
      </c>
      <c r="L703" s="125">
        <v>46039</v>
      </c>
      <c r="M703" s="126">
        <f>SUMIF('MPG Payment '!$E$3:$E$344841,'Shayak Income '!D703,'MPG Payment '!$I$3:$I$344841)</f>
        <v>1965.4699999999998</v>
      </c>
      <c r="N703" s="126">
        <f>SUMIF('MPG Payment '!$E$3:$E$344841,'Shayak Income '!D703,'MPG Payment '!$J$3:$J$344841)</f>
        <v>89179.24</v>
      </c>
      <c r="O703" s="126">
        <f t="shared" si="192"/>
        <v>1474.1025</v>
      </c>
      <c r="P703" s="126">
        <f t="shared" si="193"/>
        <v>1867.1964999999998</v>
      </c>
      <c r="Q703" s="126">
        <f>SUMIF('MPG Payment '!$E$3:$E$344841,'Shayak Income '!D703,'MPG Payment '!$S$3:$S$344841)</f>
        <v>0</v>
      </c>
      <c r="R703" s="126">
        <f t="shared" si="184"/>
        <v>2675.3771999999999</v>
      </c>
      <c r="S703" s="126">
        <f t="shared" si="185"/>
        <v>808.18070000000012</v>
      </c>
      <c r="T703" s="126">
        <f t="shared" si="194"/>
        <v>196.547</v>
      </c>
      <c r="U703" s="127">
        <f>((((((IF(K703="New",0,SUMIF('MPG Payment '!$E$3:$E$344841,'Shayak Income '!D703,'MPG Payment '!$AC$3:$AC$344841))))+0)+0)+0)+0)+0</f>
        <v>757.05969174621214</v>
      </c>
      <c r="V703" s="127">
        <f t="shared" si="195"/>
        <v>2388</v>
      </c>
      <c r="W703" s="19">
        <f t="shared" si="199"/>
        <v>1861</v>
      </c>
      <c r="X703" s="19">
        <v>0</v>
      </c>
      <c r="Y703" s="128">
        <f>IFERROR(VLOOKUP(D703,'Monthly Deduction'!$M$2:$N$640,2,0),0)</f>
        <v>0</v>
      </c>
      <c r="Z703" s="128">
        <v>0</v>
      </c>
      <c r="AA703" s="126">
        <f>IFERROR(VLOOKUP(D703,'Monthly Deduction'!A:B,2,0),0)</f>
        <v>0</v>
      </c>
      <c r="AB703" s="129">
        <f t="shared" si="186"/>
        <v>527</v>
      </c>
      <c r="AC703" s="130">
        <v>0</v>
      </c>
      <c r="AD703" s="35">
        <f t="shared" si="196"/>
        <v>527</v>
      </c>
      <c r="AE703" s="166" t="str">
        <f t="shared" si="197"/>
        <v>Release</v>
      </c>
      <c r="AF703" s="127"/>
      <c r="AG703" s="18">
        <v>0</v>
      </c>
      <c r="AH703" s="120"/>
      <c r="AI703" s="238">
        <v>0</v>
      </c>
      <c r="AJ703" s="132"/>
      <c r="AK703" s="151">
        <v>527.14999999999986</v>
      </c>
      <c r="AL703" s="154">
        <f t="shared" si="187"/>
        <v>0</v>
      </c>
      <c r="AM703" s="155"/>
      <c r="AN703" s="19">
        <f t="shared" si="188"/>
        <v>1861</v>
      </c>
      <c r="AO703" s="118">
        <f>SUMIF('MPG Payment '!E:E,'Shayak Income '!D703,'MPG Payment '!AJ:AJ)</f>
        <v>0</v>
      </c>
      <c r="AP703" s="19">
        <f t="shared" si="189"/>
        <v>1861</v>
      </c>
      <c r="AQ703" s="119">
        <f t="shared" si="198"/>
        <v>1861</v>
      </c>
      <c r="AR703" s="91"/>
      <c r="AS703" s="91">
        <f t="shared" si="190"/>
        <v>6400</v>
      </c>
      <c r="AT703" s="118"/>
      <c r="AU703" s="118"/>
      <c r="AV703" s="118"/>
    </row>
    <row r="704" spans="1:48" s="20" customFormat="1" x14ac:dyDescent="0.25">
      <c r="A704" s="17">
        <f>IFERROR(VLOOKUP(D704,'Monthly Deduction'!$I$3:$J$957,2,0),0)</f>
        <v>60000</v>
      </c>
      <c r="B704" s="17">
        <f>IFERROR(VLOOKUP(D704,'Monthly Deduction'!$E$3:$F$957,2,0),0)</f>
        <v>6400</v>
      </c>
      <c r="C704" s="17">
        <f t="shared" si="191"/>
        <v>66400</v>
      </c>
      <c r="D704" s="41">
        <v>10580012</v>
      </c>
      <c r="E704" s="122" t="str">
        <f>VLOOKUP(D704,'MPG Payment '!$E$3:$G$497305,2,0)</f>
        <v>Ballahpur</v>
      </c>
      <c r="F704" s="146">
        <f>IFERROR(_xlfn.XLOOKUP(D704,'Monthly Deduction'!$I$3:$I$957,'Monthly Deduction'!$H$3:$H$957),0)</f>
        <v>0</v>
      </c>
      <c r="G704" s="123" t="str">
        <f>VLOOKUP(D704,'MPG Payment '!$E$3:$G$333666,3,0)</f>
        <v>MPG</v>
      </c>
      <c r="H704" s="124" t="str">
        <f>VLOOKUP(D704,'MPG Payment '!$E$3:$H$333666,4,0)</f>
        <v>Direct</v>
      </c>
      <c r="I704" s="88">
        <f>INDEX('MPG Payment '!$C:$C,MATCH('Shayak Income '!D704,'MPG Payment '!E:E,0))</f>
        <v>1058</v>
      </c>
      <c r="J704" s="88" t="str">
        <f>INDEX('MPG Payment '!$D:$D,MATCH('Shayak Income '!D704,'MPG Payment '!E:E,0))</f>
        <v>Hasanpur</v>
      </c>
      <c r="K704" s="125" t="s">
        <v>1594</v>
      </c>
      <c r="L704" s="125">
        <v>46038</v>
      </c>
      <c r="M704" s="126">
        <f>SUMIF('MPG Payment '!$E$3:$E$344841,'Shayak Income '!D704,'MPG Payment '!$I$3:$I$344841)</f>
        <v>1956.12</v>
      </c>
      <c r="N704" s="126">
        <f>SUMIF('MPG Payment '!$E$3:$E$344841,'Shayak Income '!D704,'MPG Payment '!$J$3:$J$344841)</f>
        <v>74683.549999999988</v>
      </c>
      <c r="O704" s="126">
        <f t="shared" si="192"/>
        <v>1467.09</v>
      </c>
      <c r="P704" s="126">
        <f t="shared" si="193"/>
        <v>1858.3139999999999</v>
      </c>
      <c r="Q704" s="126">
        <f>SUMIF('MPG Payment '!$E$3:$E$344841,'Shayak Income '!D704,'MPG Payment '!$S$3:$S$344841)</f>
        <v>0</v>
      </c>
      <c r="R704" s="126">
        <f t="shared" si="184"/>
        <v>2240.5064999999995</v>
      </c>
      <c r="S704" s="126">
        <f t="shared" si="185"/>
        <v>382.19249999999965</v>
      </c>
      <c r="T704" s="126">
        <f t="shared" si="194"/>
        <v>195.61199999999999</v>
      </c>
      <c r="U704" s="127">
        <f>((((((IF(K704="New",0,SUMIF('MPG Payment '!$E$3:$E$344841,'Shayak Income '!D704,'MPG Payment '!$AC$3:$AC$344841))))+0)+0)+0)+0)+0</f>
        <v>640.38584931391756</v>
      </c>
      <c r="V704" s="127">
        <f t="shared" si="195"/>
        <v>2489</v>
      </c>
      <c r="W704" s="19">
        <v>0</v>
      </c>
      <c r="X704" s="19">
        <f t="shared" si="200"/>
        <v>1493.6709999999998</v>
      </c>
      <c r="Y704" s="128">
        <f>IFERROR(VLOOKUP(D704,'Monthly Deduction'!$M$2:$N$640,2,0),0)</f>
        <v>0</v>
      </c>
      <c r="Z704" s="128">
        <v>0</v>
      </c>
      <c r="AA704" s="126">
        <f>IFERROR(VLOOKUP(D704,'Monthly Deduction'!A:B,2,0),0)</f>
        <v>0</v>
      </c>
      <c r="AB704" s="129">
        <f t="shared" si="186"/>
        <v>995</v>
      </c>
      <c r="AC704" s="130">
        <f t="shared" ref="AC704:AC705" si="205">AB704</f>
        <v>995</v>
      </c>
      <c r="AD704" s="35">
        <f t="shared" si="196"/>
        <v>0</v>
      </c>
      <c r="AE704" s="166" t="str">
        <f t="shared" si="197"/>
        <v>Yes</v>
      </c>
      <c r="AF704" s="127"/>
      <c r="AG704" s="18">
        <v>0</v>
      </c>
      <c r="AH704" s="120" t="s">
        <v>1683</v>
      </c>
      <c r="AI704" s="238">
        <v>0</v>
      </c>
      <c r="AJ704" s="132"/>
      <c r="AK704" s="151">
        <v>524.48</v>
      </c>
      <c r="AL704" s="154">
        <f t="shared" si="187"/>
        <v>0</v>
      </c>
      <c r="AM704" s="155"/>
      <c r="AN704" s="19">
        <f t="shared" si="188"/>
        <v>1861</v>
      </c>
      <c r="AO704" s="118">
        <f>SUMIF('MPG Payment '!E:E,'Shayak Income '!D704,'MPG Payment '!AJ:AJ)</f>
        <v>2000</v>
      </c>
      <c r="AP704" s="19">
        <f t="shared" si="189"/>
        <v>0</v>
      </c>
      <c r="AQ704" s="119">
        <f t="shared" si="198"/>
        <v>2000</v>
      </c>
      <c r="AR704" s="91"/>
      <c r="AS704" s="91">
        <f t="shared" si="190"/>
        <v>4906.3289999999997</v>
      </c>
      <c r="AT704" s="118"/>
      <c r="AU704" s="118"/>
      <c r="AV704" s="118"/>
    </row>
    <row r="705" spans="1:48" s="20" customFormat="1" x14ac:dyDescent="0.25">
      <c r="A705" s="17">
        <f>IFERROR(VLOOKUP(D705,'Monthly Deduction'!$I$3:$J$957,2,0),0)</f>
        <v>59188.563628903459</v>
      </c>
      <c r="B705" s="17">
        <f>IFERROR(VLOOKUP(D705,'Monthly Deduction'!$E$3:$F$957,2,0),0)</f>
        <v>6400</v>
      </c>
      <c r="C705" s="17">
        <f t="shared" si="191"/>
        <v>65588.563628903459</v>
      </c>
      <c r="D705" s="41">
        <v>10580015</v>
      </c>
      <c r="E705" s="122" t="str">
        <f>VLOOKUP(D705,'MPG Payment '!$E$3:$G$497305,2,0)</f>
        <v>Birpur</v>
      </c>
      <c r="F705" s="146">
        <f>IFERROR(_xlfn.XLOOKUP(D705,'Monthly Deduction'!$I$3:$I$957,'Monthly Deduction'!$H$3:$H$957),0)</f>
        <v>0</v>
      </c>
      <c r="G705" s="123" t="str">
        <f>VLOOKUP(D705,'MPG Payment '!$E$3:$G$333666,3,0)</f>
        <v>MPG</v>
      </c>
      <c r="H705" s="124" t="str">
        <f>VLOOKUP(D705,'MPG Payment '!$E$3:$H$333666,4,0)</f>
        <v>Direct</v>
      </c>
      <c r="I705" s="88">
        <f>INDEX('MPG Payment '!$C:$C,MATCH('Shayak Income '!D705,'MPG Payment '!E:E,0))</f>
        <v>1058</v>
      </c>
      <c r="J705" s="88" t="str">
        <f>INDEX('MPG Payment '!$D:$D,MATCH('Shayak Income '!D705,'MPG Payment '!E:E,0))</f>
        <v>Hasanpur</v>
      </c>
      <c r="K705" s="125" t="s">
        <v>1594</v>
      </c>
      <c r="L705" s="125">
        <v>46038</v>
      </c>
      <c r="M705" s="126">
        <f>SUMIF('MPG Payment '!$E$3:$E$344841,'Shayak Income '!D705,'MPG Payment '!$I$3:$I$344841)</f>
        <v>1988.5700000000002</v>
      </c>
      <c r="N705" s="126">
        <f>SUMIF('MPG Payment '!$E$3:$E$344841,'Shayak Income '!D705,'MPG Payment '!$J$3:$J$344841)</f>
        <v>75050.28</v>
      </c>
      <c r="O705" s="126">
        <f t="shared" si="192"/>
        <v>1491.4275000000002</v>
      </c>
      <c r="P705" s="126">
        <f t="shared" si="193"/>
        <v>1889.1415000000002</v>
      </c>
      <c r="Q705" s="126">
        <f>SUMIF('MPG Payment '!$E$3:$E$344841,'Shayak Income '!D705,'MPG Payment '!$S$3:$S$344841)</f>
        <v>0</v>
      </c>
      <c r="R705" s="126">
        <f t="shared" si="184"/>
        <v>2251.5083999999997</v>
      </c>
      <c r="S705" s="126">
        <f t="shared" si="185"/>
        <v>362.36689999999953</v>
      </c>
      <c r="T705" s="126">
        <f t="shared" si="194"/>
        <v>198.85700000000003</v>
      </c>
      <c r="U705" s="127">
        <f>((((((IF(K705="New",0,SUMIF('MPG Payment '!$E$3:$E$344841,'Shayak Income '!D705,'MPG Payment '!$AC$3:$AC$344841))))+0)+0)+0)+0)+0</f>
        <v>618.13967002165691</v>
      </c>
      <c r="V705" s="127">
        <f t="shared" si="195"/>
        <v>2564</v>
      </c>
      <c r="W705" s="19">
        <f t="shared" si="199"/>
        <v>1861</v>
      </c>
      <c r="X705" s="19">
        <v>0</v>
      </c>
      <c r="Y705" s="128">
        <f>IFERROR(VLOOKUP(D705,'Monthly Deduction'!$M$2:$N$640,2,0),0)</f>
        <v>0</v>
      </c>
      <c r="Z705" s="128">
        <v>0</v>
      </c>
      <c r="AA705" s="126">
        <f>IFERROR(VLOOKUP(D705,'Monthly Deduction'!A:B,2,0),0)</f>
        <v>0</v>
      </c>
      <c r="AB705" s="129">
        <f t="shared" si="186"/>
        <v>703</v>
      </c>
      <c r="AC705" s="130">
        <f t="shared" si="205"/>
        <v>703</v>
      </c>
      <c r="AD705" s="35">
        <f t="shared" si="196"/>
        <v>0</v>
      </c>
      <c r="AE705" s="166" t="str">
        <f t="shared" si="197"/>
        <v>Yes</v>
      </c>
      <c r="AF705" s="127"/>
      <c r="AG705" s="18">
        <v>0</v>
      </c>
      <c r="AH705" s="120" t="s">
        <v>1683</v>
      </c>
      <c r="AI705" s="238">
        <v>0</v>
      </c>
      <c r="AJ705" s="132"/>
      <c r="AK705" s="151">
        <v>357.5</v>
      </c>
      <c r="AL705" s="154">
        <f t="shared" si="187"/>
        <v>0</v>
      </c>
      <c r="AM705" s="155"/>
      <c r="AN705" s="19">
        <f t="shared" si="188"/>
        <v>1861</v>
      </c>
      <c r="AO705" s="118">
        <f>SUMIF('MPG Payment '!E:E,'Shayak Income '!D705,'MPG Payment '!AJ:AJ)</f>
        <v>0</v>
      </c>
      <c r="AP705" s="19">
        <f t="shared" si="189"/>
        <v>1861</v>
      </c>
      <c r="AQ705" s="119">
        <f t="shared" si="198"/>
        <v>1861</v>
      </c>
      <c r="AR705" s="91"/>
      <c r="AS705" s="91">
        <f t="shared" si="190"/>
        <v>6400</v>
      </c>
      <c r="AT705" s="118"/>
      <c r="AU705" s="118"/>
      <c r="AV705" s="118"/>
    </row>
    <row r="706" spans="1:48" s="20" customFormat="1" x14ac:dyDescent="0.25">
      <c r="A706" s="17">
        <f>IFERROR(VLOOKUP(D706,'Monthly Deduction'!$I$3:$J$957,2,0),0)</f>
        <v>53209.205469273802</v>
      </c>
      <c r="B706" s="17">
        <f>IFERROR(VLOOKUP(D706,'Monthly Deduction'!$E$3:$F$957,2,0),0)</f>
        <v>6400</v>
      </c>
      <c r="C706" s="17">
        <f t="shared" si="191"/>
        <v>59609.205469273802</v>
      </c>
      <c r="D706" s="41">
        <v>10580017</v>
      </c>
      <c r="E706" s="122" t="str">
        <f>VLOOKUP(D706,'MPG Payment '!$E$3:$G$497305,2,0)</f>
        <v>Ahilwar</v>
      </c>
      <c r="F706" s="146">
        <f>IFERROR(_xlfn.XLOOKUP(D706,'Monthly Deduction'!$I$3:$I$957,'Monthly Deduction'!$H$3:$H$957),0)</f>
        <v>0</v>
      </c>
      <c r="G706" s="123" t="str">
        <f>VLOOKUP(D706,'MPG Payment '!$E$3:$G$333666,3,0)</f>
        <v>MPG</v>
      </c>
      <c r="H706" s="124" t="str">
        <f>VLOOKUP(D706,'MPG Payment '!$E$3:$H$333666,4,0)</f>
        <v>Direct</v>
      </c>
      <c r="I706" s="88">
        <f>INDEX('MPG Payment '!$C:$C,MATCH('Shayak Income '!D706,'MPG Payment '!E:E,0))</f>
        <v>1058</v>
      </c>
      <c r="J706" s="88" t="str">
        <f>INDEX('MPG Payment '!$D:$D,MATCH('Shayak Income '!D706,'MPG Payment '!E:E,0))</f>
        <v>Hasanpur</v>
      </c>
      <c r="K706" s="125" t="s">
        <v>1594</v>
      </c>
      <c r="L706" s="125">
        <v>46039</v>
      </c>
      <c r="M706" s="126">
        <f>SUMIF('MPG Payment '!$E$3:$E$344841,'Shayak Income '!D706,'MPG Payment '!$I$3:$I$344841)</f>
        <v>3711.5699999999997</v>
      </c>
      <c r="N706" s="126">
        <f>SUMIF('MPG Payment '!$E$3:$E$344841,'Shayak Income '!D706,'MPG Payment '!$J$3:$J$344841)</f>
        <v>154516.34999999998</v>
      </c>
      <c r="O706" s="126">
        <f t="shared" si="192"/>
        <v>2783.6774999999998</v>
      </c>
      <c r="P706" s="126">
        <f t="shared" si="193"/>
        <v>3525.9914999999996</v>
      </c>
      <c r="Q706" s="126">
        <f>SUMIF('MPG Payment '!$E$3:$E$344841,'Shayak Income '!D706,'MPG Payment '!$S$3:$S$344841)</f>
        <v>848.31000000000006</v>
      </c>
      <c r="R706" s="126">
        <f t="shared" si="184"/>
        <v>4635.490499999999</v>
      </c>
      <c r="S706" s="126">
        <f t="shared" si="185"/>
        <v>1109.4989999999993</v>
      </c>
      <c r="T706" s="126">
        <f t="shared" si="194"/>
        <v>371.15699999999998</v>
      </c>
      <c r="U706" s="127">
        <f>((((((IF(K706="New",0,SUMIF('MPG Payment '!$E$3:$E$344841,'Shayak Income '!D706,'MPG Payment '!$AC$3:$AC$344841))))+0)+0)+0)+0)+0</f>
        <v>0</v>
      </c>
      <c r="V706" s="127">
        <f t="shared" si="195"/>
        <v>6787</v>
      </c>
      <c r="W706" s="19">
        <f t="shared" si="199"/>
        <v>3090.3269999999998</v>
      </c>
      <c r="X706" s="19">
        <v>0</v>
      </c>
      <c r="Y706" s="128">
        <f>IFERROR(VLOOKUP(D706,'Monthly Deduction'!$M$2:$N$640,2,0),0)</f>
        <v>0</v>
      </c>
      <c r="Z706" s="128">
        <v>0</v>
      </c>
      <c r="AA706" s="126">
        <f>IFERROR(VLOOKUP(D706,'Monthly Deduction'!A:B,2,0),0)</f>
        <v>0</v>
      </c>
      <c r="AB706" s="129">
        <f t="shared" si="186"/>
        <v>3697</v>
      </c>
      <c r="AC706" s="130">
        <v>0</v>
      </c>
      <c r="AD706" s="35">
        <f t="shared" si="196"/>
        <v>3697</v>
      </c>
      <c r="AE706" s="166" t="str">
        <f t="shared" si="197"/>
        <v>Release</v>
      </c>
      <c r="AF706" s="127"/>
      <c r="AG706" s="18">
        <v>0</v>
      </c>
      <c r="AH706" s="120"/>
      <c r="AI706" s="238">
        <v>0</v>
      </c>
      <c r="AJ706" s="132"/>
      <c r="AK706" s="151">
        <v>975.77</v>
      </c>
      <c r="AL706" s="154">
        <f t="shared" si="187"/>
        <v>0</v>
      </c>
      <c r="AM706" s="155"/>
      <c r="AN706" s="19">
        <f t="shared" si="188"/>
        <v>3090.3269999999998</v>
      </c>
      <c r="AO706" s="118">
        <f>SUMIF('MPG Payment '!E:E,'Shayak Income '!D706,'MPG Payment '!AJ:AJ)</f>
        <v>0</v>
      </c>
      <c r="AP706" s="19">
        <f t="shared" si="189"/>
        <v>3090.3269999999998</v>
      </c>
      <c r="AQ706" s="119">
        <f t="shared" si="198"/>
        <v>3090.3269999999998</v>
      </c>
      <c r="AR706" s="91" t="s">
        <v>1144</v>
      </c>
      <c r="AS706" s="91">
        <f t="shared" si="190"/>
        <v>6400</v>
      </c>
      <c r="AT706" s="118"/>
      <c r="AU706" s="118"/>
      <c r="AV706" s="118"/>
    </row>
    <row r="707" spans="1:48" s="20" customFormat="1" x14ac:dyDescent="0.25">
      <c r="A707" s="17">
        <f>IFERROR(VLOOKUP(D707,'Monthly Deduction'!$I$3:$J$957,2,0),0)</f>
        <v>56180.341671358598</v>
      </c>
      <c r="B707" s="17">
        <f>IFERROR(VLOOKUP(D707,'Monthly Deduction'!$E$3:$F$957,2,0),0)</f>
        <v>12800</v>
      </c>
      <c r="C707" s="17">
        <f t="shared" si="191"/>
        <v>68980.34167135859</v>
      </c>
      <c r="D707" s="41">
        <v>10590006</v>
      </c>
      <c r="E707" s="122" t="str">
        <f>VLOOKUP(D707,'MPG Payment '!$E$3:$G$497305,2,0)</f>
        <v>GOPALPUR</v>
      </c>
      <c r="F707" s="146">
        <f>IFERROR(_xlfn.XLOOKUP(D707,'Monthly Deduction'!$I$3:$I$957,'Monthly Deduction'!$H$3:$H$957),0)</f>
        <v>0</v>
      </c>
      <c r="G707" s="123" t="str">
        <f>VLOOKUP(D707,'MPG Payment '!$E$3:$G$333666,3,0)</f>
        <v>MPG</v>
      </c>
      <c r="H707" s="124" t="str">
        <f>VLOOKUP(D707,'MPG Payment '!$E$3:$H$333666,4,0)</f>
        <v>Direct</v>
      </c>
      <c r="I707" s="88">
        <f>INDEX('MPG Payment '!$C:$C,MATCH('Shayak Income '!D707,'MPG Payment '!E:E,0))</f>
        <v>1059</v>
      </c>
      <c r="J707" s="88" t="str">
        <f>INDEX('MPG Payment '!$D:$D,MATCH('Shayak Income '!D707,'MPG Payment '!E:E,0))</f>
        <v>Gopalpur Bmc</v>
      </c>
      <c r="K707" s="125" t="s">
        <v>1594</v>
      </c>
      <c r="L707" s="125">
        <v>46038</v>
      </c>
      <c r="M707" s="126">
        <f>SUMIF('MPG Payment '!$E$3:$E$344841,'Shayak Income '!D707,'MPG Payment '!$I$3:$I$344841)</f>
        <v>6101.5</v>
      </c>
      <c r="N707" s="126">
        <f>SUMIF('MPG Payment '!$E$3:$E$344841,'Shayak Income '!D707,'MPG Payment '!$J$3:$J$344841)</f>
        <v>280971.08</v>
      </c>
      <c r="O707" s="126">
        <f t="shared" si="192"/>
        <v>4576.125</v>
      </c>
      <c r="P707" s="126">
        <f t="shared" si="193"/>
        <v>5796.4250000000002</v>
      </c>
      <c r="Q707" s="126">
        <f>SUMIF('MPG Payment '!$E$3:$E$344841,'Shayak Income '!D707,'MPG Payment '!$S$3:$S$344841)</f>
        <v>0</v>
      </c>
      <c r="R707" s="126">
        <f t="shared" si="184"/>
        <v>8429.1324000000004</v>
      </c>
      <c r="S707" s="126">
        <f t="shared" si="185"/>
        <v>2632.7074000000002</v>
      </c>
      <c r="T707" s="126">
        <f t="shared" si="194"/>
        <v>610.15</v>
      </c>
      <c r="U707" s="127">
        <f>((((((IF(K707="New",0,SUMIF('MPG Payment '!$E$3:$E$344841,'Shayak Income '!D707,'MPG Payment '!$AC$3:$AC$344841))))+0)+0)+0)+0)+0</f>
        <v>0</v>
      </c>
      <c r="V707" s="127">
        <f t="shared" si="195"/>
        <v>9762</v>
      </c>
      <c r="W707" s="19">
        <f t="shared" si="199"/>
        <v>5619.4216000000006</v>
      </c>
      <c r="X707" s="19">
        <v>0</v>
      </c>
      <c r="Y707" s="128">
        <f>IFERROR(VLOOKUP(D707,'Monthly Deduction'!$M$2:$N$640,2,0),0)</f>
        <v>0</v>
      </c>
      <c r="Z707" s="128">
        <v>0</v>
      </c>
      <c r="AA707" s="126">
        <f>IFERROR(VLOOKUP(D707,'Monthly Deduction'!A:B,2,0),0)</f>
        <v>0</v>
      </c>
      <c r="AB707" s="129">
        <f t="shared" si="186"/>
        <v>4143</v>
      </c>
      <c r="AC707" s="130">
        <f>AB707</f>
        <v>4143</v>
      </c>
      <c r="AD707" s="35">
        <f t="shared" si="196"/>
        <v>0</v>
      </c>
      <c r="AE707" s="166" t="str">
        <f t="shared" si="197"/>
        <v>Yes</v>
      </c>
      <c r="AF707" s="127"/>
      <c r="AG707" s="18">
        <v>0</v>
      </c>
      <c r="AH707" s="120" t="s">
        <v>1683</v>
      </c>
      <c r="AI707" s="238">
        <v>0</v>
      </c>
      <c r="AJ707" s="132"/>
      <c r="AK707" s="151">
        <v>1108.6999999999998</v>
      </c>
      <c r="AL707" s="154">
        <f t="shared" si="187"/>
        <v>0</v>
      </c>
      <c r="AM707" s="155"/>
      <c r="AN707" s="19">
        <f t="shared" si="188"/>
        <v>5619.4216000000006</v>
      </c>
      <c r="AO707" s="118">
        <f>SUMIF('MPG Payment '!E:E,'Shayak Income '!D707,'MPG Payment '!AJ:AJ)</f>
        <v>0</v>
      </c>
      <c r="AP707" s="19">
        <f t="shared" si="189"/>
        <v>5619.4216000000006</v>
      </c>
      <c r="AQ707" s="119">
        <f t="shared" si="198"/>
        <v>5619.4216000000006</v>
      </c>
      <c r="AR707" s="91"/>
      <c r="AS707" s="91">
        <f t="shared" si="190"/>
        <v>12800</v>
      </c>
      <c r="AT707" s="118"/>
      <c r="AU707" s="118"/>
      <c r="AV707" s="118"/>
    </row>
    <row r="708" spans="1:48" s="20" customFormat="1" x14ac:dyDescent="0.25">
      <c r="A708" s="17">
        <f>IFERROR(VLOOKUP(D708,'Monthly Deduction'!$I$3:$J$957,2,0),0)</f>
        <v>0</v>
      </c>
      <c r="B708" s="17">
        <f>IFERROR(VLOOKUP(D708,'Monthly Deduction'!$E$3:$F$957,2,0),0)</f>
        <v>6400</v>
      </c>
      <c r="C708" s="17">
        <f t="shared" si="191"/>
        <v>6400</v>
      </c>
      <c r="D708" s="41">
        <v>10100004</v>
      </c>
      <c r="E708" s="122" t="str">
        <f>VLOOKUP(D708,'MPG Payment '!$E$3:$G$497305,2,0)</f>
        <v>Gomukh Muradpur</v>
      </c>
      <c r="F708" s="146">
        <f>IFERROR(_xlfn.XLOOKUP(D708,'Monthly Deduction'!$I$3:$I$957,'Monthly Deduction'!$H$3:$H$957),0)</f>
        <v>0</v>
      </c>
      <c r="G708" s="123" t="str">
        <f>VLOOKUP(D708,'MPG Payment '!$E$3:$G$333666,3,0)</f>
        <v>vlc</v>
      </c>
      <c r="H708" s="124" t="str">
        <f>VLOOKUP(D708,'MPG Payment '!$E$3:$H$333666,4,0)</f>
        <v>Indirect</v>
      </c>
      <c r="I708" s="88">
        <f>INDEX('MPG Payment '!$C:$C,MATCH('Shayak Income '!D708,'MPG Payment '!E:E,0))</f>
        <v>1010</v>
      </c>
      <c r="J708" s="88" t="str">
        <f>INDEX('MPG Payment '!$D:$D,MATCH('Shayak Income '!D708,'MPG Payment '!E:E,0))</f>
        <v>Parbatta</v>
      </c>
      <c r="K708" s="125" t="s">
        <v>1594</v>
      </c>
      <c r="L708" s="125">
        <v>44987</v>
      </c>
      <c r="M708" s="126">
        <f>SUMIF('MPG Payment '!$E$3:$E$344841,'Shayak Income '!D708,'MPG Payment '!$I$3:$I$344841)</f>
        <v>519.9</v>
      </c>
      <c r="N708" s="126">
        <f>SUMIF('MPG Payment '!$E$3:$E$344841,'Shayak Income '!D708,'MPG Payment '!$J$3:$J$344841)</f>
        <v>19741.169999999998</v>
      </c>
      <c r="O708" s="126">
        <f t="shared" si="192"/>
        <v>389.92499999999995</v>
      </c>
      <c r="P708" s="126">
        <f t="shared" si="193"/>
        <v>493.90499999999997</v>
      </c>
      <c r="Q708" s="126">
        <f>SUMIF('MPG Payment '!$E$3:$E$344841,'Shayak Income '!D708,'MPG Payment '!$S$3:$S$344841)</f>
        <v>0</v>
      </c>
      <c r="R708" s="126">
        <f t="shared" ref="R708:R771" si="206">+N708*3%</f>
        <v>592.23509999999987</v>
      </c>
      <c r="S708" s="126">
        <f t="shared" ref="S708:S771" si="207">R708-P708</f>
        <v>98.330099999999902</v>
      </c>
      <c r="T708" s="126">
        <f t="shared" si="194"/>
        <v>51.99</v>
      </c>
      <c r="U708" s="127">
        <f>((((((IF(K708="New",0,SUMIF('MPG Payment '!$E$3:$E$344841,'Shayak Income '!D708,'MPG Payment '!$AC$3:$AC$344841))))+0)+0)+0)+0)+-905</f>
        <v>832.23755589033226</v>
      </c>
      <c r="V708" s="127">
        <f t="shared" si="195"/>
        <v>0</v>
      </c>
      <c r="W708" s="19">
        <v>0</v>
      </c>
      <c r="X708" s="19">
        <v>0</v>
      </c>
      <c r="Y708" s="128">
        <v>0</v>
      </c>
      <c r="Z708" s="128">
        <v>0</v>
      </c>
      <c r="AA708" s="126">
        <v>0</v>
      </c>
      <c r="AB708" s="129">
        <f t="shared" ref="AB708:AB771" si="208">ROUND(IFERROR(V708-SUM(W708:AA708),0),0)</f>
        <v>0</v>
      </c>
      <c r="AC708" s="130">
        <v>0</v>
      </c>
      <c r="AD708" s="35">
        <f t="shared" si="196"/>
        <v>0</v>
      </c>
      <c r="AE708" s="166" t="str">
        <f t="shared" si="197"/>
        <v>Release</v>
      </c>
      <c r="AF708" s="127"/>
      <c r="AG708" s="18">
        <v>0</v>
      </c>
      <c r="AH708" s="120"/>
      <c r="AI708" s="238">
        <v>0</v>
      </c>
      <c r="AJ708" s="132"/>
      <c r="AK708" s="151">
        <v>187.29999999999998</v>
      </c>
      <c r="AL708" s="154">
        <f t="shared" ref="AL708:AL800" si="209">COUNTIF(AK708:AK708,"=NA")</f>
        <v>0</v>
      </c>
      <c r="AM708" s="155"/>
      <c r="AN708" s="19">
        <f t="shared" ref="AN708:AN771" si="210">((MIN(IF(A708&gt;0,MAX(N708*2%,1861),0),A708)))+0</f>
        <v>0</v>
      </c>
      <c r="AO708" s="118">
        <f>SUMIF('MPG Payment '!E:E,'Shayak Income '!D708,'MPG Payment '!AJ:AJ)</f>
        <v>0</v>
      </c>
      <c r="AP708" s="19">
        <f t="shared" ref="AP708:AP771" si="211">W708</f>
        <v>0</v>
      </c>
      <c r="AQ708" s="119">
        <f t="shared" si="198"/>
        <v>0</v>
      </c>
      <c r="AR708" s="91" t="s">
        <v>1144</v>
      </c>
      <c r="AS708" s="91">
        <f t="shared" ref="AS708:AS771" si="212">B708-X708</f>
        <v>6400</v>
      </c>
      <c r="AT708" s="118"/>
      <c r="AU708" s="118"/>
      <c r="AV708" s="118"/>
    </row>
    <row r="709" spans="1:48" s="20" customFormat="1" x14ac:dyDescent="0.25">
      <c r="A709" s="17">
        <f>IFERROR(VLOOKUP(D709,'Monthly Deduction'!$I$3:$J$957,2,0),0)</f>
        <v>0</v>
      </c>
      <c r="B709" s="17">
        <f>IFERROR(VLOOKUP(D709,'Monthly Deduction'!$E$3:$F$957,2,0),0)</f>
        <v>0</v>
      </c>
      <c r="C709" s="17">
        <f t="shared" ref="C709:C710" si="213">A709+B709</f>
        <v>0</v>
      </c>
      <c r="D709" s="41">
        <v>10100026</v>
      </c>
      <c r="E709" s="122" t="str">
        <f>VLOOKUP(D709,'MPG Payment '!$E$3:$G$497305,2,0)</f>
        <v>Gomukh Badi Lagar-1 Kiran</v>
      </c>
      <c r="F709" s="146">
        <f>IFERROR(_xlfn.XLOOKUP(D709,'Monthly Deduction'!$I$3:$I$957,'Monthly Deduction'!$H$3:$H$957),0)</f>
        <v>0</v>
      </c>
      <c r="G709" s="123" t="str">
        <f>VLOOKUP(D709,'MPG Payment '!$E$3:$G$333666,3,0)</f>
        <v>vlc</v>
      </c>
      <c r="H709" s="124" t="str">
        <f>VLOOKUP(D709,'MPG Payment '!$E$3:$H$333666,4,0)</f>
        <v>Indirect</v>
      </c>
      <c r="I709" s="88">
        <f>INDEX('MPG Payment '!$C:$C,MATCH('Shayak Income '!D709,'MPG Payment '!E:E,0))</f>
        <v>1010</v>
      </c>
      <c r="J709" s="88" t="str">
        <f>INDEX('MPG Payment '!$D:$D,MATCH('Shayak Income '!D709,'MPG Payment '!E:E,0))</f>
        <v>Parbatta</v>
      </c>
      <c r="K709" s="125" t="s">
        <v>1594</v>
      </c>
      <c r="L709" s="125">
        <v>45147</v>
      </c>
      <c r="M709" s="126">
        <f>SUMIF('MPG Payment '!$E$3:$E$344841,'Shayak Income '!D709,'MPG Payment '!$I$3:$I$344841)</f>
        <v>3636.1000000000004</v>
      </c>
      <c r="N709" s="126">
        <f>SUMIF('MPG Payment '!$E$3:$E$344841,'Shayak Income '!D709,'MPG Payment '!$J$3:$J$344841)</f>
        <v>162660.87</v>
      </c>
      <c r="O709" s="126">
        <f t="shared" ref="O709:O772" si="214">+M709*0.75</f>
        <v>2727.0750000000003</v>
      </c>
      <c r="P709" s="126">
        <f t="shared" ref="P709:P772" si="215">+M709*0.95</f>
        <v>3454.2950000000001</v>
      </c>
      <c r="Q709" s="126">
        <f>SUMIF('MPG Payment '!$E$3:$E$344841,'Shayak Income '!D709,'MPG Payment '!$S$3:$S$344841)</f>
        <v>0</v>
      </c>
      <c r="R709" s="126">
        <f t="shared" si="206"/>
        <v>4879.8260999999993</v>
      </c>
      <c r="S709" s="126">
        <f t="shared" si="207"/>
        <v>1425.5310999999992</v>
      </c>
      <c r="T709" s="126">
        <f t="shared" ref="T709:T772" si="216">M709*0.1</f>
        <v>363.61000000000007</v>
      </c>
      <c r="U709" s="127">
        <f>((((((IF(K709="New",0,SUMIF('MPG Payment '!$E$3:$E$344841,'Shayak Income '!D709,'MPG Payment '!$AC$3:$AC$344841))))+0)+0)+0)+0)+0</f>
        <v>0</v>
      </c>
      <c r="V709" s="127">
        <f t="shared" ref="V709:V772" si="217">ROUND((SUM(O709:Q709)-SUM(T709:U709)),0)</f>
        <v>5818</v>
      </c>
      <c r="W709" s="19">
        <f t="shared" ref="W709:W772" si="218">(((AN709-AO709)))+0</f>
        <v>0</v>
      </c>
      <c r="X709" s="19">
        <f t="shared" ref="X709:X763" si="219">((MIN(IF(B709&gt;0,MAX(N709*2%),0),B709)))+0</f>
        <v>0</v>
      </c>
      <c r="Y709" s="128">
        <f>IFERROR(VLOOKUP(D709,'Monthly Deduction'!$M$2:$N$640,2,0),0)</f>
        <v>0</v>
      </c>
      <c r="Z709" s="128">
        <v>0</v>
      </c>
      <c r="AA709" s="126">
        <f>IFERROR(VLOOKUP(D709,'Monthly Deduction'!A:B,2,0),0)</f>
        <v>0</v>
      </c>
      <c r="AB709" s="129">
        <f t="shared" si="208"/>
        <v>5818</v>
      </c>
      <c r="AC709" s="130">
        <v>0</v>
      </c>
      <c r="AD709" s="35">
        <f t="shared" ref="AD709:AD710" si="220">ROUND(AB709-AC709,0)</f>
        <v>5818</v>
      </c>
      <c r="AE709" s="166" t="str">
        <f t="shared" ref="AE709:AE772" si="221">IF(AC709&lt;&gt;0,"Yes","Release")</f>
        <v>Release</v>
      </c>
      <c r="AF709" s="127"/>
      <c r="AG709" s="18">
        <v>0</v>
      </c>
      <c r="AH709" s="120"/>
      <c r="AI709" s="238">
        <v>0</v>
      </c>
      <c r="AJ709" s="132"/>
      <c r="AK709" s="151">
        <v>1617.5</v>
      </c>
      <c r="AL709" s="154">
        <f t="shared" si="209"/>
        <v>0</v>
      </c>
      <c r="AM709" s="155"/>
      <c r="AN709" s="19">
        <f t="shared" si="210"/>
        <v>0</v>
      </c>
      <c r="AO709" s="118">
        <f>SUMIF('MPG Payment '!E:E,'Shayak Income '!D709,'MPG Payment '!AJ:AJ)</f>
        <v>0</v>
      </c>
      <c r="AP709" s="19">
        <f t="shared" si="211"/>
        <v>0</v>
      </c>
      <c r="AQ709" s="119">
        <f t="shared" ref="AQ709:AQ710" si="222">AO709+AP709</f>
        <v>0</v>
      </c>
      <c r="AR709" s="91" t="s">
        <v>1144</v>
      </c>
      <c r="AS709" s="91">
        <f t="shared" si="212"/>
        <v>0</v>
      </c>
      <c r="AT709" s="118"/>
      <c r="AU709" s="118"/>
      <c r="AV709" s="118"/>
    </row>
    <row r="710" spans="1:48" s="20" customFormat="1" x14ac:dyDescent="0.25">
      <c r="A710" s="17">
        <f>IFERROR(VLOOKUP(D710,'Monthly Deduction'!$I$3:$J$957,2,0),0)</f>
        <v>0</v>
      </c>
      <c r="B710" s="17">
        <f>IFERROR(VLOOKUP(D710,'Monthly Deduction'!$E$3:$F$957,2,0),0)</f>
        <v>0</v>
      </c>
      <c r="C710" s="17">
        <f t="shared" si="213"/>
        <v>0</v>
      </c>
      <c r="D710" s="41">
        <v>10100062</v>
      </c>
      <c r="E710" s="122" t="str">
        <f>VLOOKUP(D710,'MPG Payment '!$E$3:$G$497305,2,0)</f>
        <v>Gomukh Khutha VLC</v>
      </c>
      <c r="F710" s="146">
        <f>IFERROR(_xlfn.XLOOKUP(D710,'Monthly Deduction'!$I$3:$I$957,'Monthly Deduction'!$H$3:$H$957),0)</f>
        <v>0</v>
      </c>
      <c r="G710" s="123" t="str">
        <f>VLOOKUP(D710,'MPG Payment '!$E$3:$G$333666,3,0)</f>
        <v>vlc</v>
      </c>
      <c r="H710" s="124" t="str">
        <f>VLOOKUP(D710,'MPG Payment '!$E$3:$H$333666,4,0)</f>
        <v>Indirect</v>
      </c>
      <c r="I710" s="88">
        <f>INDEX('MPG Payment '!$C:$C,MATCH('Shayak Income '!D710,'MPG Payment '!E:E,0))</f>
        <v>1010</v>
      </c>
      <c r="J710" s="88" t="str">
        <f>INDEX('MPG Payment '!$D:$D,MATCH('Shayak Income '!D710,'MPG Payment '!E:E,0))</f>
        <v>Parbatta</v>
      </c>
      <c r="K710" s="125" t="s">
        <v>1594</v>
      </c>
      <c r="L710" s="125">
        <v>46050</v>
      </c>
      <c r="M710" s="126">
        <f>SUMIF('MPG Payment '!$E$3:$E$344841,'Shayak Income '!D710,'MPG Payment '!$I$3:$I$344841)</f>
        <v>32860.1</v>
      </c>
      <c r="N710" s="126">
        <f>SUMIF('MPG Payment '!$E$3:$E$344841,'Shayak Income '!D710,'MPG Payment '!$J$3:$J$344841)</f>
        <v>1357716</v>
      </c>
      <c r="O710" s="126">
        <f t="shared" si="214"/>
        <v>24645.074999999997</v>
      </c>
      <c r="P710" s="126">
        <f t="shared" si="215"/>
        <v>31217.094999999998</v>
      </c>
      <c r="Q710" s="126">
        <f>SUMIF('MPG Payment '!$E$3:$E$344841,'Shayak Income '!D710,'MPG Payment '!$S$3:$S$344841)</f>
        <v>0</v>
      </c>
      <c r="R710" s="126">
        <f t="shared" si="206"/>
        <v>40731.479999999996</v>
      </c>
      <c r="S710" s="126">
        <f t="shared" si="207"/>
        <v>9514.3849999999984</v>
      </c>
      <c r="T710" s="126">
        <f t="shared" si="216"/>
        <v>3286.01</v>
      </c>
      <c r="U710" s="127">
        <f>((((((IF(K710="New",0,SUMIF('MPG Payment '!$E$3:$E$344841,'Shayak Income '!D710,'MPG Payment '!$AC$3:$AC$344841))))+0)+0)+0)+0)+0</f>
        <v>0</v>
      </c>
      <c r="V710" s="127">
        <f t="shared" si="217"/>
        <v>52576</v>
      </c>
      <c r="W710" s="19">
        <f t="shared" si="218"/>
        <v>0</v>
      </c>
      <c r="X710" s="19">
        <f t="shared" si="219"/>
        <v>0</v>
      </c>
      <c r="Y710" s="128">
        <f>IFERROR(VLOOKUP(D710,'Monthly Deduction'!$M$2:$N$640,2,0),0)</f>
        <v>0</v>
      </c>
      <c r="Z710" s="128">
        <v>0</v>
      </c>
      <c r="AA710" s="126">
        <f>IFERROR(VLOOKUP(D710,'Monthly Deduction'!A:B,2,0),0)</f>
        <v>0</v>
      </c>
      <c r="AB710" s="129">
        <f t="shared" si="208"/>
        <v>52576</v>
      </c>
      <c r="AC710" s="130">
        <v>0</v>
      </c>
      <c r="AD710" s="35">
        <f t="shared" si="220"/>
        <v>52576</v>
      </c>
      <c r="AE710" s="166" t="str">
        <f t="shared" si="221"/>
        <v>Release</v>
      </c>
      <c r="AF710" s="127"/>
      <c r="AG710" s="18">
        <v>0</v>
      </c>
      <c r="AH710" s="120"/>
      <c r="AI710" s="238">
        <v>0</v>
      </c>
      <c r="AJ710" s="132"/>
      <c r="AK710" s="151">
        <v>7997.9999999999991</v>
      </c>
      <c r="AL710" s="154">
        <f t="shared" si="209"/>
        <v>0</v>
      </c>
      <c r="AM710" s="155"/>
      <c r="AN710" s="19">
        <f t="shared" si="210"/>
        <v>0</v>
      </c>
      <c r="AO710" s="118">
        <f>SUMIF('MPG Payment '!E:E,'Shayak Income '!D710,'MPG Payment '!AJ:AJ)</f>
        <v>0</v>
      </c>
      <c r="AP710" s="19">
        <f t="shared" si="211"/>
        <v>0</v>
      </c>
      <c r="AQ710" s="119">
        <f t="shared" si="222"/>
        <v>0</v>
      </c>
      <c r="AR710" s="91"/>
      <c r="AS710" s="91">
        <f t="shared" si="212"/>
        <v>0</v>
      </c>
      <c r="AT710" s="118"/>
      <c r="AU710" s="118"/>
      <c r="AV710" s="118"/>
    </row>
    <row r="711" spans="1:48" s="20" customFormat="1" x14ac:dyDescent="0.25">
      <c r="A711" s="17">
        <f>IFERROR(VLOOKUP(D711,'Monthly Deduction'!$I$3:$J$957,2,0),0)</f>
        <v>51963.529450447299</v>
      </c>
      <c r="B711" s="17">
        <f>IFERROR(VLOOKUP(D711,'Monthly Deduction'!$E$3:$F$957,2,0),0)</f>
        <v>32000</v>
      </c>
      <c r="C711" s="17">
        <f t="shared" ref="C711:C800" si="223">A711+B711</f>
        <v>83963.529450447299</v>
      </c>
      <c r="D711" s="41">
        <v>10120122</v>
      </c>
      <c r="E711" s="122" t="str">
        <f>VLOOKUP(D711,'MPG Payment '!$E$3:$G$497305,2,0)</f>
        <v>GOMUKH BHASINGPUR</v>
      </c>
      <c r="F711" s="146">
        <f>IFERROR(_xlfn.XLOOKUP(D711,'Monthly Deduction'!$I$3:$I$957,'Monthly Deduction'!$H$3:$H$957),0)</f>
        <v>0</v>
      </c>
      <c r="G711" s="123" t="str">
        <f>VLOOKUP(D711,'MPG Payment '!$E$3:$G$333666,3,0)</f>
        <v>MPG</v>
      </c>
      <c r="H711" s="124" t="str">
        <f>VLOOKUP(D711,'MPG Payment '!$E$3:$H$333666,4,0)</f>
        <v>Direct</v>
      </c>
      <c r="I711" s="88">
        <f>INDEX('MPG Payment '!$C:$C,MATCH('Shayak Income '!D711,'MPG Payment '!E:E,0))</f>
        <v>1012</v>
      </c>
      <c r="J711" s="88" t="str">
        <f>INDEX('MPG Payment '!$D:$D,MATCH('Shayak Income '!D711,'MPG Payment '!E:E,0))</f>
        <v>DalsinghSarai</v>
      </c>
      <c r="K711" s="125" t="s">
        <v>1594</v>
      </c>
      <c r="L711" s="125">
        <v>46045</v>
      </c>
      <c r="M711" s="126">
        <f>SUMIF('MPG Payment '!$E$3:$E$344841,'Shayak Income '!D711,'MPG Payment '!$I$3:$I$344841)</f>
        <v>4632.6099999999997</v>
      </c>
      <c r="N711" s="126">
        <f>SUMIF('MPG Payment '!$E$3:$E$344841,'Shayak Income '!D711,'MPG Payment '!$J$3:$J$344841)</f>
        <v>199338.55000000002</v>
      </c>
      <c r="O711" s="126">
        <f t="shared" si="214"/>
        <v>3474.4574999999995</v>
      </c>
      <c r="P711" s="126">
        <f t="shared" si="215"/>
        <v>4400.9794999999995</v>
      </c>
      <c r="Q711" s="126">
        <f>SUMIF('MPG Payment '!$E$3:$E$344841,'Shayak Income '!D711,'MPG Payment '!$S$3:$S$344841)</f>
        <v>0</v>
      </c>
      <c r="R711" s="126">
        <f t="shared" si="206"/>
        <v>5980.1565000000001</v>
      </c>
      <c r="S711" s="126">
        <f t="shared" si="207"/>
        <v>1579.1770000000006</v>
      </c>
      <c r="T711" s="126">
        <f t="shared" si="216"/>
        <v>463.26099999999997</v>
      </c>
      <c r="U711" s="127">
        <f>((((((IF(K711="New",0,SUMIF('MPG Payment '!$E$3:$E$344841,'Shayak Income '!D711,'MPG Payment '!$AC$3:$AC$344841))))+0)+0)+0)+0)+0</f>
        <v>0</v>
      </c>
      <c r="V711" s="127">
        <f t="shared" si="217"/>
        <v>7412</v>
      </c>
      <c r="W711" s="19">
        <f t="shared" si="218"/>
        <v>3986.7710000000006</v>
      </c>
      <c r="X711" s="19">
        <v>0</v>
      </c>
      <c r="Y711" s="128">
        <f>IFERROR(VLOOKUP(D711,'Monthly Deduction'!$M$2:$N$640,2,0),0)</f>
        <v>0</v>
      </c>
      <c r="Z711" s="128">
        <v>0</v>
      </c>
      <c r="AA711" s="126">
        <f>IFERROR(VLOOKUP(D711,'Monthly Deduction'!A:B,2,0),0)</f>
        <v>274.5</v>
      </c>
      <c r="AB711" s="129">
        <f t="shared" si="208"/>
        <v>3151</v>
      </c>
      <c r="AC711" s="130">
        <v>0</v>
      </c>
      <c r="AD711" s="35">
        <f t="shared" ref="AD711:AD800" si="224">ROUND(AB711-AC711,0)</f>
        <v>3151</v>
      </c>
      <c r="AE711" s="166" t="str">
        <f t="shared" si="221"/>
        <v>Release</v>
      </c>
      <c r="AF711" s="127"/>
      <c r="AG711" s="18">
        <v>0</v>
      </c>
      <c r="AH711" s="120"/>
      <c r="AI711" s="238">
        <v>0</v>
      </c>
      <c r="AJ711" s="132"/>
      <c r="AK711" s="151">
        <v>1025.7199999999998</v>
      </c>
      <c r="AL711" s="154">
        <f t="shared" si="209"/>
        <v>0</v>
      </c>
      <c r="AM711" s="155"/>
      <c r="AN711" s="19">
        <f t="shared" si="210"/>
        <v>3986.7710000000006</v>
      </c>
      <c r="AO711" s="118">
        <f>SUMIF('MPG Payment '!E:E,'Shayak Income '!D711,'MPG Payment '!AJ:AJ)</f>
        <v>0</v>
      </c>
      <c r="AP711" s="19">
        <f t="shared" si="211"/>
        <v>3986.7710000000006</v>
      </c>
      <c r="AQ711" s="119">
        <f t="shared" ref="AQ711:AQ800" si="225">AO711+AP711</f>
        <v>3986.7710000000006</v>
      </c>
      <c r="AR711" s="91"/>
      <c r="AS711" s="91">
        <f t="shared" si="212"/>
        <v>32000</v>
      </c>
      <c r="AT711" s="118"/>
      <c r="AU711" s="118"/>
      <c r="AV711" s="118"/>
    </row>
    <row r="712" spans="1:48" s="20" customFormat="1" x14ac:dyDescent="0.25">
      <c r="A712" s="17">
        <f>IFERROR(VLOOKUP(D712,'Monthly Deduction'!$I$3:$J$957,2,0),0)</f>
        <v>47540.820830891207</v>
      </c>
      <c r="B712" s="17">
        <f>IFERROR(VLOOKUP(D712,'Monthly Deduction'!$E$3:$F$957,2,0),0)</f>
        <v>16000</v>
      </c>
      <c r="C712" s="17">
        <f t="shared" si="223"/>
        <v>63540.820830891207</v>
      </c>
      <c r="D712" s="41">
        <v>10540042</v>
      </c>
      <c r="E712" s="122" t="str">
        <f>VLOOKUP(D712,'MPG Payment '!$E$3:$G$497305,2,0)</f>
        <v>Gomukh Balaur</v>
      </c>
      <c r="F712" s="146">
        <f>IFERROR(_xlfn.XLOOKUP(D712,'Monthly Deduction'!$I$3:$I$957,'Monthly Deduction'!$H$3:$H$957),0)</f>
        <v>0</v>
      </c>
      <c r="G712" s="123" t="str">
        <f>VLOOKUP(D712,'MPG Payment '!$E$3:$G$333666,3,0)</f>
        <v>MPG</v>
      </c>
      <c r="H712" s="124" t="str">
        <f>VLOOKUP(D712,'MPG Payment '!$E$3:$H$333666,4,0)</f>
        <v>Direct</v>
      </c>
      <c r="I712" s="88">
        <f>INDEX('MPG Payment '!$C:$C,MATCH('Shayak Income '!D712,'MPG Payment '!E:E,0))</f>
        <v>1054</v>
      </c>
      <c r="J712" s="88" t="str">
        <f>INDEX('MPG Payment '!$D:$D,MATCH('Shayak Income '!D712,'MPG Payment '!E:E,0))</f>
        <v xml:space="preserve">Alauli </v>
      </c>
      <c r="K712" s="125" t="s">
        <v>1594</v>
      </c>
      <c r="L712" s="125">
        <v>46046</v>
      </c>
      <c r="M712" s="126">
        <f>SUMIF('MPG Payment '!$E$3:$E$344841,'Shayak Income '!D712,'MPG Payment '!$I$3:$I$344841)</f>
        <v>6476.7000000000007</v>
      </c>
      <c r="N712" s="126">
        <f>SUMIF('MPG Payment '!$E$3:$E$344841,'Shayak Income '!D712,'MPG Payment '!$J$3:$J$344841)</f>
        <v>341935.38</v>
      </c>
      <c r="O712" s="126">
        <f t="shared" si="214"/>
        <v>4857.5250000000005</v>
      </c>
      <c r="P712" s="126">
        <f t="shared" si="215"/>
        <v>6152.8650000000007</v>
      </c>
      <c r="Q712" s="126">
        <f>SUMIF('MPG Payment '!$E$3:$E$344841,'Shayak Income '!D712,'MPG Payment '!$S$3:$S$344841)</f>
        <v>0</v>
      </c>
      <c r="R712" s="126">
        <f t="shared" si="206"/>
        <v>10258.061400000001</v>
      </c>
      <c r="S712" s="126">
        <f t="shared" si="207"/>
        <v>4105.1963999999998</v>
      </c>
      <c r="T712" s="126">
        <f t="shared" si="216"/>
        <v>647.67000000000007</v>
      </c>
      <c r="U712" s="127">
        <f>((((((IF(K712="New",0,SUMIF('MPG Payment '!$E$3:$E$344841,'Shayak Income '!D712,'MPG Payment '!$AC$3:$AC$344841))))+0)+0)+0)+0)+0</f>
        <v>0</v>
      </c>
      <c r="V712" s="127">
        <f t="shared" si="217"/>
        <v>10363</v>
      </c>
      <c r="W712" s="19">
        <f t="shared" si="218"/>
        <v>6838.7076000000006</v>
      </c>
      <c r="X712" s="19">
        <v>0</v>
      </c>
      <c r="Y712" s="128">
        <f>IFERROR(VLOOKUP(D712,'Monthly Deduction'!$M$2:$N$640,2,0),0)</f>
        <v>0</v>
      </c>
      <c r="Z712" s="128">
        <v>0</v>
      </c>
      <c r="AA712" s="126">
        <f>IFERROR(VLOOKUP(D712,'Monthly Deduction'!A:B,2,0),0)</f>
        <v>772.25543080156103</v>
      </c>
      <c r="AB712" s="129">
        <f t="shared" si="208"/>
        <v>2752</v>
      </c>
      <c r="AC712" s="130">
        <v>0</v>
      </c>
      <c r="AD712" s="35">
        <f t="shared" si="224"/>
        <v>2752</v>
      </c>
      <c r="AE712" s="166" t="str">
        <f t="shared" si="221"/>
        <v>Release</v>
      </c>
      <c r="AF712" s="127"/>
      <c r="AG712" s="18">
        <v>0</v>
      </c>
      <c r="AH712" s="132"/>
      <c r="AI712" s="238">
        <v>0</v>
      </c>
      <c r="AJ712" s="132"/>
      <c r="AK712" s="151">
        <v>2223.3000000000002</v>
      </c>
      <c r="AL712" s="154">
        <f t="shared" si="209"/>
        <v>0</v>
      </c>
      <c r="AM712" s="155"/>
      <c r="AN712" s="19">
        <f t="shared" si="210"/>
        <v>6838.7076000000006</v>
      </c>
      <c r="AO712" s="118">
        <f>SUMIF('MPG Payment '!E:E,'Shayak Income '!D712,'MPG Payment '!AJ:AJ)</f>
        <v>0</v>
      </c>
      <c r="AP712" s="19">
        <f t="shared" si="211"/>
        <v>6838.7076000000006</v>
      </c>
      <c r="AQ712" s="119">
        <f t="shared" si="225"/>
        <v>6838.7076000000006</v>
      </c>
      <c r="AR712" s="91"/>
      <c r="AS712" s="91">
        <f t="shared" si="212"/>
        <v>16000</v>
      </c>
      <c r="AT712" s="118"/>
      <c r="AU712" s="118"/>
      <c r="AV712" s="118"/>
    </row>
    <row r="713" spans="1:48" s="20" customFormat="1" x14ac:dyDescent="0.25">
      <c r="A713" s="17">
        <f>IFERROR(VLOOKUP(D713,'Monthly Deduction'!$I$3:$J$957,2,0),0)</f>
        <v>61000</v>
      </c>
      <c r="B713" s="17">
        <f>IFERROR(VLOOKUP(D713,'Monthly Deduction'!$E$3:$F$957,2,0),0)</f>
        <v>6400</v>
      </c>
      <c r="C713" s="17">
        <f t="shared" si="223"/>
        <v>67400</v>
      </c>
      <c r="D713" s="41">
        <v>10580018</v>
      </c>
      <c r="E713" s="122" t="str">
        <f>VLOOKUP(D713,'MPG Payment '!$E$3:$G$497305,2,0)</f>
        <v>Paridah</v>
      </c>
      <c r="F713" s="146">
        <f>IFERROR(_xlfn.XLOOKUP(D713,'Monthly Deduction'!$I$3:$I$957,'Monthly Deduction'!$H$3:$H$957),0)</f>
        <v>0</v>
      </c>
      <c r="G713" s="123" t="str">
        <f>VLOOKUP(D713,'MPG Payment '!$E$3:$G$333666,3,0)</f>
        <v>MPG</v>
      </c>
      <c r="H713" s="124" t="str">
        <f>VLOOKUP(D713,'MPG Payment '!$E$3:$H$333666,4,0)</f>
        <v>Direct</v>
      </c>
      <c r="I713" s="88">
        <f>INDEX('MPG Payment '!$C:$C,MATCH('Shayak Income '!D713,'MPG Payment '!E:E,0))</f>
        <v>1058</v>
      </c>
      <c r="J713" s="88" t="str">
        <f>INDEX('MPG Payment '!$D:$D,MATCH('Shayak Income '!D713,'MPG Payment '!E:E,0))</f>
        <v>Hasanpur</v>
      </c>
      <c r="K713" s="125" t="s">
        <v>1594</v>
      </c>
      <c r="L713" s="125">
        <v>46046</v>
      </c>
      <c r="M713" s="126">
        <f>SUMIF('MPG Payment '!$E$3:$E$344841,'Shayak Income '!D713,'MPG Payment '!$I$3:$I$344841)</f>
        <v>1486.3500000000001</v>
      </c>
      <c r="N713" s="126">
        <f>SUMIF('MPG Payment '!$E$3:$E$344841,'Shayak Income '!D713,'MPG Payment '!$J$3:$J$344841)</f>
        <v>58865.75</v>
      </c>
      <c r="O713" s="126">
        <f t="shared" si="214"/>
        <v>1114.7625</v>
      </c>
      <c r="P713" s="126">
        <f t="shared" si="215"/>
        <v>1412.0325</v>
      </c>
      <c r="Q713" s="126">
        <f>SUMIF('MPG Payment '!$E$3:$E$344841,'Shayak Income '!D713,'MPG Payment '!$S$3:$S$344841)</f>
        <v>484.08</v>
      </c>
      <c r="R713" s="126">
        <f t="shared" si="206"/>
        <v>1765.9724999999999</v>
      </c>
      <c r="S713" s="126">
        <f t="shared" si="207"/>
        <v>353.93999999999983</v>
      </c>
      <c r="T713" s="126">
        <f t="shared" si="216"/>
        <v>148.63500000000002</v>
      </c>
      <c r="U713" s="127">
        <f>((((((IF(K713="New",0,SUMIF('MPG Payment '!$E$3:$E$344841,'Shayak Income '!D713,'MPG Payment '!$AC$3:$AC$344841))))+0)+0)+0)+0)+0</f>
        <v>1039.9376138274276</v>
      </c>
      <c r="V713" s="127">
        <f t="shared" si="217"/>
        <v>1822</v>
      </c>
      <c r="W713" s="19">
        <f t="shared" si="218"/>
        <v>361</v>
      </c>
      <c r="X713" s="19">
        <v>0</v>
      </c>
      <c r="Y713" s="128">
        <f>IFERROR(VLOOKUP(D713,'Monthly Deduction'!$M$2:$N$640,2,0),0)</f>
        <v>0</v>
      </c>
      <c r="Z713" s="128">
        <v>0</v>
      </c>
      <c r="AA713" s="126">
        <f>IFERROR(VLOOKUP(D713,'Monthly Deduction'!A:B,2,0),0)</f>
        <v>0</v>
      </c>
      <c r="AB713" s="129">
        <f t="shared" si="208"/>
        <v>1461</v>
      </c>
      <c r="AC713" s="130">
        <f t="shared" ref="AC713:AC715" si="226">AB713</f>
        <v>1461</v>
      </c>
      <c r="AD713" s="35">
        <f t="shared" si="224"/>
        <v>0</v>
      </c>
      <c r="AE713" s="166" t="str">
        <f t="shared" si="221"/>
        <v>Yes</v>
      </c>
      <c r="AF713" s="127"/>
      <c r="AG713" s="18">
        <v>0</v>
      </c>
      <c r="AH713" s="120" t="s">
        <v>1683</v>
      </c>
      <c r="AI713" s="238">
        <v>0</v>
      </c>
      <c r="AJ713" s="132"/>
      <c r="AK713" s="151">
        <v>322.61999999999995</v>
      </c>
      <c r="AL713" s="154">
        <f t="shared" si="209"/>
        <v>0</v>
      </c>
      <c r="AM713" s="155"/>
      <c r="AN713" s="19">
        <f t="shared" si="210"/>
        <v>1861</v>
      </c>
      <c r="AO713" s="118">
        <f>SUMIF('MPG Payment '!E:E,'Shayak Income '!D713,'MPG Payment '!AJ:AJ)</f>
        <v>1500</v>
      </c>
      <c r="AP713" s="19">
        <f t="shared" si="211"/>
        <v>361</v>
      </c>
      <c r="AQ713" s="119">
        <f t="shared" si="225"/>
        <v>1861</v>
      </c>
      <c r="AR713" s="91" t="s">
        <v>1144</v>
      </c>
      <c r="AS713" s="91">
        <f t="shared" si="212"/>
        <v>6400</v>
      </c>
      <c r="AT713" s="118"/>
      <c r="AU713" s="118"/>
      <c r="AV713" s="118"/>
    </row>
    <row r="714" spans="1:48" s="20" customFormat="1" x14ac:dyDescent="0.25">
      <c r="A714" s="17">
        <f>IFERROR(VLOOKUP(D714,'Monthly Deduction'!$I$3:$J$957,2,0),0)</f>
        <v>63654</v>
      </c>
      <c r="B714" s="17">
        <f>IFERROR(VLOOKUP(D714,'Monthly Deduction'!$E$3:$F$957,2,0),0)</f>
        <v>9600</v>
      </c>
      <c r="C714" s="17">
        <f t="shared" si="223"/>
        <v>73254</v>
      </c>
      <c r="D714" s="41">
        <v>10090078</v>
      </c>
      <c r="E714" s="122" t="str">
        <f>VLOOKUP(D714,'MPG Payment '!$E$3:$G$497305,2,0)</f>
        <v>TIYAY</v>
      </c>
      <c r="F714" s="146">
        <f>IFERROR(_xlfn.XLOOKUP(D714,'Monthly Deduction'!$I$3:$I$957,'Monthly Deduction'!$H$3:$H$957),0)</f>
        <v>0</v>
      </c>
      <c r="G714" s="123" t="str">
        <f>VLOOKUP(D714,'MPG Payment '!$E$3:$G$333666,3,0)</f>
        <v>MPG</v>
      </c>
      <c r="H714" s="124" t="str">
        <f>VLOOKUP(D714,'MPG Payment '!$E$3:$H$333666,4,0)</f>
        <v>Direct</v>
      </c>
      <c r="I714" s="88">
        <f>INDEX('MPG Payment '!$C:$C,MATCH('Shayak Income '!D714,'MPG Payment '!E:E,0))</f>
        <v>1009</v>
      </c>
      <c r="J714" s="88" t="str">
        <f>INDEX('MPG Payment '!$D:$D,MATCH('Shayak Income '!D714,'MPG Payment '!E:E,0))</f>
        <v>Halsi</v>
      </c>
      <c r="K714" s="125" t="s">
        <v>1594</v>
      </c>
      <c r="L714" s="125">
        <v>46058</v>
      </c>
      <c r="M714" s="126">
        <f>SUMIF('MPG Payment '!$E$3:$E$344841,'Shayak Income '!D714,'MPG Payment '!$I$3:$I$344841)</f>
        <v>1192.8999999999999</v>
      </c>
      <c r="N714" s="126">
        <f>SUMIF('MPG Payment '!$E$3:$E$344841,'Shayak Income '!D714,'MPG Payment '!$J$3:$J$344841)</f>
        <v>42418.78</v>
      </c>
      <c r="O714" s="126">
        <f t="shared" si="214"/>
        <v>894.67499999999995</v>
      </c>
      <c r="P714" s="126">
        <f t="shared" si="215"/>
        <v>1133.2549999999999</v>
      </c>
      <c r="Q714" s="126">
        <f>SUMIF('MPG Payment '!$E$3:$E$344841,'Shayak Income '!D714,'MPG Payment '!$S$3:$S$344841)</f>
        <v>0</v>
      </c>
      <c r="R714" s="126">
        <f t="shared" si="206"/>
        <v>1272.5634</v>
      </c>
      <c r="S714" s="126">
        <f t="shared" si="207"/>
        <v>139.30840000000012</v>
      </c>
      <c r="T714" s="126">
        <f t="shared" si="216"/>
        <v>119.28999999999999</v>
      </c>
      <c r="U714" s="127">
        <f>((((((IF(K714="New",0,SUMIF('MPG Payment '!$E$3:$E$344841,'Shayak Income '!D714,'MPG Payment '!$AC$3:$AC$344841))))+0)+0)+0)+0)+0</f>
        <v>1142.8382015182599</v>
      </c>
      <c r="V714" s="127">
        <f t="shared" si="217"/>
        <v>766</v>
      </c>
      <c r="W714" s="19">
        <v>766</v>
      </c>
      <c r="X714" s="19">
        <v>0</v>
      </c>
      <c r="Y714" s="128">
        <f>IFERROR(VLOOKUP(D714,'Monthly Deduction'!$M$2:$N$640,2,0),0)</f>
        <v>0</v>
      </c>
      <c r="Z714" s="128">
        <v>0</v>
      </c>
      <c r="AA714" s="126">
        <f>IFERROR(VLOOKUP(D714,'Monthly Deduction'!A:B,2,0),0)</f>
        <v>0</v>
      </c>
      <c r="AB714" s="129">
        <f t="shared" si="208"/>
        <v>0</v>
      </c>
      <c r="AC714" s="130">
        <f t="shared" si="226"/>
        <v>0</v>
      </c>
      <c r="AD714" s="35">
        <f t="shared" si="224"/>
        <v>0</v>
      </c>
      <c r="AE714" s="166" t="str">
        <f t="shared" si="221"/>
        <v>Release</v>
      </c>
      <c r="AF714" s="127"/>
      <c r="AG714" s="18">
        <v>0</v>
      </c>
      <c r="AH714" s="120" t="s">
        <v>1683</v>
      </c>
      <c r="AI714" s="238">
        <v>0</v>
      </c>
      <c r="AJ714" s="132"/>
      <c r="AK714" s="151">
        <v>266.59999999999997</v>
      </c>
      <c r="AL714" s="154">
        <f t="shared" si="209"/>
        <v>0</v>
      </c>
      <c r="AM714" s="155"/>
      <c r="AN714" s="19">
        <f t="shared" si="210"/>
        <v>1861</v>
      </c>
      <c r="AO714" s="118">
        <f>SUMIF('MPG Payment '!E:E,'Shayak Income '!D714,'MPG Payment '!AJ:AJ)</f>
        <v>0</v>
      </c>
      <c r="AP714" s="19">
        <f t="shared" si="211"/>
        <v>766</v>
      </c>
      <c r="AQ714" s="119">
        <f t="shared" si="225"/>
        <v>766</v>
      </c>
      <c r="AR714" s="91"/>
      <c r="AS714" s="91">
        <f t="shared" si="212"/>
        <v>9600</v>
      </c>
      <c r="AT714" s="118"/>
      <c r="AU714" s="118"/>
      <c r="AV714" s="118"/>
    </row>
    <row r="715" spans="1:48" s="20" customFormat="1" x14ac:dyDescent="0.25">
      <c r="A715" s="17">
        <f>IFERROR(VLOOKUP(D715,'Monthly Deduction'!$I$3:$J$957,2,0),0)</f>
        <v>71278</v>
      </c>
      <c r="B715" s="17">
        <f>IFERROR(VLOOKUP(D715,'Monthly Deduction'!$E$3:$F$957,2,0),0)</f>
        <v>9600</v>
      </c>
      <c r="C715" s="17">
        <f t="shared" si="223"/>
        <v>80878</v>
      </c>
      <c r="D715" s="41">
        <v>10130115</v>
      </c>
      <c r="E715" s="122" t="str">
        <f>VLOOKUP(D715,'MPG Payment '!$E$3:$G$497305,2,0)</f>
        <v>GOMUKH MISHRAULIA</v>
      </c>
      <c r="F715" s="146">
        <f>IFERROR(_xlfn.XLOOKUP(D715,'Monthly Deduction'!$I$3:$I$957,'Monthly Deduction'!$H$3:$H$957),0)</f>
        <v>0</v>
      </c>
      <c r="G715" s="123" t="str">
        <f>VLOOKUP(D715,'MPG Payment '!$E$3:$G$333666,3,0)</f>
        <v>MPG</v>
      </c>
      <c r="H715" s="124" t="str">
        <f>VLOOKUP(D715,'MPG Payment '!$E$3:$H$333666,4,0)</f>
        <v>Direct</v>
      </c>
      <c r="I715" s="88">
        <f>INDEX('MPG Payment '!$C:$C,MATCH('Shayak Income '!D715,'MPG Payment '!E:E,0))</f>
        <v>1013</v>
      </c>
      <c r="J715" s="88" t="str">
        <f>INDEX('MPG Payment '!$D:$D,MATCH('Shayak Income '!D715,'MPG Payment '!E:E,0))</f>
        <v>Musrigharari</v>
      </c>
      <c r="K715" s="125" t="s">
        <v>1594</v>
      </c>
      <c r="L715" s="125">
        <v>46054</v>
      </c>
      <c r="M715" s="126">
        <f>SUMIF('MPG Payment '!$E$3:$E$344841,'Shayak Income '!D715,'MPG Payment '!$I$3:$I$344841)</f>
        <v>2003.6</v>
      </c>
      <c r="N715" s="126">
        <f>SUMIF('MPG Payment '!$E$3:$E$344841,'Shayak Income '!D715,'MPG Payment '!$J$3:$J$344841)</f>
        <v>92715.699999999983</v>
      </c>
      <c r="O715" s="126">
        <f t="shared" si="214"/>
        <v>1502.6999999999998</v>
      </c>
      <c r="P715" s="126">
        <f t="shared" si="215"/>
        <v>1903.4199999999998</v>
      </c>
      <c r="Q715" s="126">
        <f>SUMIF('MPG Payment '!$E$3:$E$344841,'Shayak Income '!D715,'MPG Payment '!$S$3:$S$344841)</f>
        <v>0</v>
      </c>
      <c r="R715" s="126">
        <f t="shared" si="206"/>
        <v>2781.4709999999995</v>
      </c>
      <c r="S715" s="126">
        <f t="shared" si="207"/>
        <v>878.0509999999997</v>
      </c>
      <c r="T715" s="126">
        <f t="shared" si="216"/>
        <v>200.36</v>
      </c>
      <c r="U715" s="127">
        <f>((((((IF(K715="New",0,SUMIF('MPG Payment '!$E$3:$E$344841,'Shayak Income '!D715,'MPG Payment '!$AC$3:$AC$344841))))+0)+0)+0)+0)+0</f>
        <v>736.44950385869311</v>
      </c>
      <c r="V715" s="127">
        <f t="shared" si="217"/>
        <v>2469</v>
      </c>
      <c r="W715" s="19">
        <f t="shared" si="218"/>
        <v>1861</v>
      </c>
      <c r="X715" s="19">
        <v>0</v>
      </c>
      <c r="Y715" s="128">
        <f>IFERROR(VLOOKUP(D715,'Monthly Deduction'!$M$2:$N$640,2,0),0)</f>
        <v>0</v>
      </c>
      <c r="Z715" s="128">
        <v>0</v>
      </c>
      <c r="AA715" s="126">
        <f>IFERROR(VLOOKUP(D715,'Monthly Deduction'!A:B,2,0),0)</f>
        <v>0</v>
      </c>
      <c r="AB715" s="129">
        <f t="shared" si="208"/>
        <v>608</v>
      </c>
      <c r="AC715" s="130">
        <f t="shared" si="226"/>
        <v>608</v>
      </c>
      <c r="AD715" s="35">
        <f t="shared" si="224"/>
        <v>0</v>
      </c>
      <c r="AE715" s="166" t="str">
        <f t="shared" si="221"/>
        <v>Yes</v>
      </c>
      <c r="AF715" s="127"/>
      <c r="AG715" s="18">
        <v>0</v>
      </c>
      <c r="AH715" s="120" t="s">
        <v>1686</v>
      </c>
      <c r="AI715" s="238">
        <v>10000</v>
      </c>
      <c r="AJ715" s="132"/>
      <c r="AK715" s="151">
        <v>425</v>
      </c>
      <c r="AL715" s="154">
        <f t="shared" si="209"/>
        <v>0</v>
      </c>
      <c r="AM715" s="155"/>
      <c r="AN715" s="19">
        <f t="shared" si="210"/>
        <v>1861</v>
      </c>
      <c r="AO715" s="118">
        <f>SUMIF('MPG Payment '!E:E,'Shayak Income '!D715,'MPG Payment '!AJ:AJ)</f>
        <v>0</v>
      </c>
      <c r="AP715" s="19">
        <f t="shared" si="211"/>
        <v>1861</v>
      </c>
      <c r="AQ715" s="119">
        <f t="shared" si="225"/>
        <v>1861</v>
      </c>
      <c r="AR715" s="91" t="s">
        <v>1144</v>
      </c>
      <c r="AS715" s="91">
        <f t="shared" si="212"/>
        <v>9600</v>
      </c>
      <c r="AT715" s="118"/>
      <c r="AU715" s="118"/>
      <c r="AV715" s="118"/>
    </row>
    <row r="716" spans="1:48" s="20" customFormat="1" x14ac:dyDescent="0.25">
      <c r="A716" s="17">
        <f>IFERROR(VLOOKUP(D716,'Monthly Deduction'!$I$3:$J$957,2,0),0)</f>
        <v>60844</v>
      </c>
      <c r="B716" s="17">
        <f>IFERROR(VLOOKUP(D716,'Monthly Deduction'!$E$3:$F$957,2,0),0)</f>
        <v>6400</v>
      </c>
      <c r="C716" s="17">
        <f t="shared" si="223"/>
        <v>67244</v>
      </c>
      <c r="D716" s="41">
        <v>10540044</v>
      </c>
      <c r="E716" s="122" t="str">
        <f>VLOOKUP(D716,'MPG Payment '!$E$3:$G$497305,2,0)</f>
        <v>Gomukh Hathwan - 2</v>
      </c>
      <c r="F716" s="146">
        <f>IFERROR(_xlfn.XLOOKUP(D716,'Monthly Deduction'!$I$3:$I$957,'Monthly Deduction'!$H$3:$H$957),0)</f>
        <v>0</v>
      </c>
      <c r="G716" s="123" t="str">
        <f>VLOOKUP(D716,'MPG Payment '!$E$3:$G$333666,3,0)</f>
        <v>MPG</v>
      </c>
      <c r="H716" s="124" t="str">
        <f>VLOOKUP(D716,'MPG Payment '!$E$3:$H$333666,4,0)</f>
        <v>Direct</v>
      </c>
      <c r="I716" s="88">
        <f>INDEX('MPG Payment '!$C:$C,MATCH('Shayak Income '!D716,'MPG Payment '!E:E,0))</f>
        <v>1054</v>
      </c>
      <c r="J716" s="88" t="str">
        <f>INDEX('MPG Payment '!$D:$D,MATCH('Shayak Income '!D716,'MPG Payment '!E:E,0))</f>
        <v xml:space="preserve">Alauli </v>
      </c>
      <c r="K716" s="125" t="s">
        <v>1594</v>
      </c>
      <c r="L716" s="125">
        <v>46053</v>
      </c>
      <c r="M716" s="126">
        <f>SUMIF('MPG Payment '!$E$3:$E$344841,'Shayak Income '!D716,'MPG Payment '!$I$3:$I$344841)</f>
        <v>811</v>
      </c>
      <c r="N716" s="126">
        <f>SUMIF('MPG Payment '!$E$3:$E$344841,'Shayak Income '!D716,'MPG Payment '!$J$3:$J$344841)</f>
        <v>33826.229999999996</v>
      </c>
      <c r="O716" s="126">
        <f t="shared" si="214"/>
        <v>608.25</v>
      </c>
      <c r="P716" s="126">
        <f t="shared" si="215"/>
        <v>770.44999999999993</v>
      </c>
      <c r="Q716" s="126">
        <f>SUMIF('MPG Payment '!$E$3:$E$344841,'Shayak Income '!D716,'MPG Payment '!$S$3:$S$344841)</f>
        <v>0</v>
      </c>
      <c r="R716" s="126">
        <f t="shared" si="206"/>
        <v>1014.7868999999998</v>
      </c>
      <c r="S716" s="126">
        <f t="shared" si="207"/>
        <v>244.3368999999999</v>
      </c>
      <c r="T716" s="126">
        <f t="shared" si="216"/>
        <v>81.100000000000009</v>
      </c>
      <c r="U716" s="127">
        <f>((((((IF(K716="New",0,SUMIF('MPG Payment '!$E$3:$E$344841,'Shayak Income '!D716,'MPG Payment '!$AC$3:$AC$344841))))+0)+0)+0)+0)+-360</f>
        <v>1297.1842203258807</v>
      </c>
      <c r="V716" s="127">
        <f t="shared" si="217"/>
        <v>0</v>
      </c>
      <c r="W716" s="19">
        <v>0</v>
      </c>
      <c r="X716" s="19">
        <v>0</v>
      </c>
      <c r="Y716" s="128">
        <v>0</v>
      </c>
      <c r="Z716" s="128">
        <v>0</v>
      </c>
      <c r="AA716" s="126">
        <v>0</v>
      </c>
      <c r="AB716" s="129">
        <f t="shared" si="208"/>
        <v>0</v>
      </c>
      <c r="AC716" s="130">
        <v>0</v>
      </c>
      <c r="AD716" s="35">
        <f t="shared" si="224"/>
        <v>0</v>
      </c>
      <c r="AE716" s="166" t="str">
        <f t="shared" si="221"/>
        <v>Release</v>
      </c>
      <c r="AF716" s="127"/>
      <c r="AG716" s="18">
        <v>0</v>
      </c>
      <c r="AH716" s="120"/>
      <c r="AI716" s="238">
        <v>0</v>
      </c>
      <c r="AJ716" s="132"/>
      <c r="AK716" s="151">
        <v>187.7</v>
      </c>
      <c r="AL716" s="154">
        <f t="shared" si="209"/>
        <v>0</v>
      </c>
      <c r="AM716" s="155"/>
      <c r="AN716" s="19">
        <f t="shared" si="210"/>
        <v>1861</v>
      </c>
      <c r="AO716" s="118">
        <f>SUMIF('MPG Payment '!E:E,'Shayak Income '!D716,'MPG Payment '!AJ:AJ)</f>
        <v>0</v>
      </c>
      <c r="AP716" s="19">
        <f t="shared" si="211"/>
        <v>0</v>
      </c>
      <c r="AQ716" s="119">
        <f t="shared" si="225"/>
        <v>0</v>
      </c>
      <c r="AR716" s="91" t="s">
        <v>1144</v>
      </c>
      <c r="AS716" s="91">
        <f t="shared" si="212"/>
        <v>6400</v>
      </c>
      <c r="AT716" s="118"/>
      <c r="AU716" s="118"/>
      <c r="AV716" s="118"/>
    </row>
    <row r="717" spans="1:48" s="20" customFormat="1" x14ac:dyDescent="0.25">
      <c r="A717" s="17">
        <f>IFERROR(VLOOKUP(D717,'Monthly Deduction'!$I$3:$J$957,2,0),0)</f>
        <v>74046</v>
      </c>
      <c r="B717" s="17">
        <f>IFERROR(VLOOKUP(D717,'Monthly Deduction'!$E$3:$F$957,2,0),0)</f>
        <v>6400</v>
      </c>
      <c r="C717" s="17">
        <f t="shared" si="223"/>
        <v>80446</v>
      </c>
      <c r="D717" s="41">
        <v>10570036</v>
      </c>
      <c r="E717" s="122" t="str">
        <f>VLOOKUP(D717,'MPG Payment '!$E$3:$G$497305,2,0)</f>
        <v>Hajpurwa Pachim</v>
      </c>
      <c r="F717" s="146">
        <f>IFERROR(_xlfn.XLOOKUP(D717,'Monthly Deduction'!$I$3:$I$957,'Monthly Deduction'!$H$3:$H$957),0)</f>
        <v>0</v>
      </c>
      <c r="G717" s="123" t="str">
        <f>VLOOKUP(D717,'MPG Payment '!$E$3:$G$333666,3,0)</f>
        <v>MPG</v>
      </c>
      <c r="H717" s="124" t="str">
        <f>VLOOKUP(D717,'MPG Payment '!$E$3:$H$333666,4,0)</f>
        <v>Direct</v>
      </c>
      <c r="I717" s="88">
        <f>INDEX('MPG Payment '!$C:$C,MATCH('Shayak Income '!D717,'MPG Payment '!E:E,0))</f>
        <v>1057</v>
      </c>
      <c r="J717" s="88" t="str">
        <f>INDEX('MPG Payment '!$D:$D,MATCH('Shayak Income '!D717,'MPG Payment '!E:E,0))</f>
        <v>Warisnagar</v>
      </c>
      <c r="K717" s="125" t="s">
        <v>1594</v>
      </c>
      <c r="L717" s="125">
        <v>46057</v>
      </c>
      <c r="M717" s="126">
        <f>SUMIF('MPG Payment '!$E$3:$E$344841,'Shayak Income '!D717,'MPG Payment '!$I$3:$I$344841)</f>
        <v>1191.0999999999999</v>
      </c>
      <c r="N717" s="126">
        <f>SUMIF('MPG Payment '!$E$3:$E$344841,'Shayak Income '!D717,'MPG Payment '!$J$3:$J$344841)</f>
        <v>54306.45</v>
      </c>
      <c r="O717" s="126">
        <f t="shared" si="214"/>
        <v>893.32499999999993</v>
      </c>
      <c r="P717" s="126">
        <f t="shared" si="215"/>
        <v>1131.5449999999998</v>
      </c>
      <c r="Q717" s="126">
        <f>SUMIF('MPG Payment '!$E$3:$E$344841,'Shayak Income '!D717,'MPG Payment '!$S$3:$S$344841)</f>
        <v>26.88</v>
      </c>
      <c r="R717" s="126">
        <f t="shared" si="206"/>
        <v>1629.1934999999999</v>
      </c>
      <c r="S717" s="126">
        <f t="shared" si="207"/>
        <v>497.64850000000001</v>
      </c>
      <c r="T717" s="126">
        <f t="shared" si="216"/>
        <v>119.11</v>
      </c>
      <c r="U717" s="127">
        <f>((((((IF(K717="New",0,SUMIF('MPG Payment '!$E$3:$E$344841,'Shayak Income '!D717,'MPG Payment '!$AC$3:$AC$344841))))+0)+0)+0)+0)+0</f>
        <v>1467.352229830602</v>
      </c>
      <c r="V717" s="127">
        <f t="shared" si="217"/>
        <v>465</v>
      </c>
      <c r="W717" s="19">
        <v>465</v>
      </c>
      <c r="X717" s="19">
        <v>0</v>
      </c>
      <c r="Y717" s="128">
        <f>IFERROR(VLOOKUP(D717,'Monthly Deduction'!$M$2:$N$640,2,0),0)</f>
        <v>0</v>
      </c>
      <c r="Z717" s="128">
        <v>0</v>
      </c>
      <c r="AA717" s="126">
        <v>0</v>
      </c>
      <c r="AB717" s="129">
        <f t="shared" si="208"/>
        <v>0</v>
      </c>
      <c r="AC717" s="130">
        <f>AB717</f>
        <v>0</v>
      </c>
      <c r="AD717" s="35">
        <f t="shared" si="224"/>
        <v>0</v>
      </c>
      <c r="AE717" s="166" t="str">
        <f t="shared" si="221"/>
        <v>Release</v>
      </c>
      <c r="AF717" s="127"/>
      <c r="AG717" s="18">
        <v>0</v>
      </c>
      <c r="AH717" s="120" t="s">
        <v>1685</v>
      </c>
      <c r="AI717" s="238">
        <v>10000</v>
      </c>
      <c r="AJ717" s="132"/>
      <c r="AK717" s="151">
        <v>303.59999999999997</v>
      </c>
      <c r="AL717" s="154">
        <f t="shared" si="209"/>
        <v>0</v>
      </c>
      <c r="AM717" s="155"/>
      <c r="AN717" s="19">
        <f t="shared" si="210"/>
        <v>1861</v>
      </c>
      <c r="AO717" s="118">
        <f>SUMIF('MPG Payment '!E:E,'Shayak Income '!D717,'MPG Payment '!AJ:AJ)</f>
        <v>0</v>
      </c>
      <c r="AP717" s="19">
        <f t="shared" si="211"/>
        <v>465</v>
      </c>
      <c r="AQ717" s="119">
        <f t="shared" si="225"/>
        <v>465</v>
      </c>
      <c r="AR717" s="91"/>
      <c r="AS717" s="91">
        <f t="shared" si="212"/>
        <v>6400</v>
      </c>
      <c r="AT717" s="118"/>
      <c r="AU717" s="118"/>
      <c r="AV717" s="118"/>
    </row>
    <row r="718" spans="1:48" s="20" customFormat="1" x14ac:dyDescent="0.25">
      <c r="A718" s="17">
        <f>IFERROR(VLOOKUP(D718,'Monthly Deduction'!$I$3:$J$957,2,0),0)</f>
        <v>62050.273000000001</v>
      </c>
      <c r="B718" s="17">
        <f>IFERROR(VLOOKUP(D718,'Monthly Deduction'!$E$3:$F$957,2,0),0)</f>
        <v>12800</v>
      </c>
      <c r="C718" s="17">
        <f t="shared" si="223"/>
        <v>74850.273000000001</v>
      </c>
      <c r="D718" s="41">
        <v>10600001</v>
      </c>
      <c r="E718" s="122" t="str">
        <f>VLOOKUP(D718,'MPG Payment '!$E$3:$G$497305,2,0)</f>
        <v>Gomukh Karisath</v>
      </c>
      <c r="F718" s="146">
        <f>IFERROR(_xlfn.XLOOKUP(D718,'Monthly Deduction'!$I$3:$I$957,'Monthly Deduction'!$H$3:$H$957),0)</f>
        <v>0</v>
      </c>
      <c r="G718" s="123" t="str">
        <f>VLOOKUP(D718,'MPG Payment '!$E$3:$G$333666,3,0)</f>
        <v>MPG</v>
      </c>
      <c r="H718" s="124" t="str">
        <f>VLOOKUP(D718,'MPG Payment '!$E$3:$H$333666,4,0)</f>
        <v>Direct</v>
      </c>
      <c r="I718" s="88">
        <f>INDEX('MPG Payment '!$C:$C,MATCH('Shayak Income '!D718,'MPG Payment '!E:E,0))</f>
        <v>1014</v>
      </c>
      <c r="J718" s="88" t="str">
        <f>INDEX('MPG Payment '!$D:$D,MATCH('Shayak Income '!D718,'MPG Payment '!E:E,0))</f>
        <v>Dumraon</v>
      </c>
      <c r="K718" s="125" t="s">
        <v>1594</v>
      </c>
      <c r="L718" s="125">
        <v>46052</v>
      </c>
      <c r="M718" s="126">
        <f>SUMIF('MPG Payment '!$E$3:$E$344841,'Shayak Income '!D718,'MPG Payment '!$I$3:$I$344841)</f>
        <v>129.69999999999999</v>
      </c>
      <c r="N718" s="126">
        <f>SUMIF('MPG Payment '!$E$3:$E$344841,'Shayak Income '!D718,'MPG Payment '!$J$3:$J$344841)</f>
        <v>5064.41</v>
      </c>
      <c r="O718" s="126">
        <f t="shared" si="214"/>
        <v>97.274999999999991</v>
      </c>
      <c r="P718" s="126">
        <f t="shared" si="215"/>
        <v>123.21499999999999</v>
      </c>
      <c r="Q718" s="126">
        <f>SUMIF('MPG Payment '!$E$3:$E$344841,'Shayak Income '!D718,'MPG Payment '!$S$3:$S$344841)</f>
        <v>0</v>
      </c>
      <c r="R718" s="126">
        <f t="shared" si="206"/>
        <v>151.9323</v>
      </c>
      <c r="S718" s="126">
        <f t="shared" si="207"/>
        <v>28.717300000000009</v>
      </c>
      <c r="T718" s="126">
        <f t="shared" si="216"/>
        <v>12.969999999999999</v>
      </c>
      <c r="U718" s="127">
        <f>((((((IF(K718="New",0,SUMIF('MPG Payment '!$E$3:$E$344841,'Shayak Income '!D718,'MPG Payment '!$AC$3:$AC$344841))))+0)+0)+0)+0)+-787</f>
        <v>207.3869114358788</v>
      </c>
      <c r="V718" s="127">
        <f t="shared" si="217"/>
        <v>0</v>
      </c>
      <c r="W718" s="19">
        <v>0</v>
      </c>
      <c r="X718" s="19">
        <v>0</v>
      </c>
      <c r="Y718" s="128">
        <v>0</v>
      </c>
      <c r="Z718" s="128">
        <v>0</v>
      </c>
      <c r="AA718" s="126">
        <v>0</v>
      </c>
      <c r="AB718" s="129">
        <f t="shared" si="208"/>
        <v>0</v>
      </c>
      <c r="AC718" s="130">
        <v>0</v>
      </c>
      <c r="AD718" s="35">
        <f t="shared" si="224"/>
        <v>0</v>
      </c>
      <c r="AE718" s="166" t="str">
        <f t="shared" si="221"/>
        <v>Release</v>
      </c>
      <c r="AF718" s="127"/>
      <c r="AG718" s="18">
        <v>0</v>
      </c>
      <c r="AH718" s="132"/>
      <c r="AI718" s="238">
        <v>0</v>
      </c>
      <c r="AJ718" s="132"/>
      <c r="AK718" s="151">
        <v>45.7</v>
      </c>
      <c r="AL718" s="154">
        <f t="shared" si="209"/>
        <v>0</v>
      </c>
      <c r="AM718" s="155"/>
      <c r="AN718" s="19">
        <f t="shared" si="210"/>
        <v>1861</v>
      </c>
      <c r="AO718" s="118">
        <f>SUMIF('MPG Payment '!E:E,'Shayak Income '!D718,'MPG Payment '!AJ:AJ)</f>
        <v>0</v>
      </c>
      <c r="AP718" s="19">
        <f t="shared" si="211"/>
        <v>0</v>
      </c>
      <c r="AQ718" s="119">
        <f t="shared" si="225"/>
        <v>0</v>
      </c>
      <c r="AR718" s="91" t="s">
        <v>1144</v>
      </c>
      <c r="AS718" s="91">
        <f t="shared" si="212"/>
        <v>12800</v>
      </c>
      <c r="AT718" s="118"/>
      <c r="AU718" s="118"/>
      <c r="AV718" s="118"/>
    </row>
    <row r="719" spans="1:48" s="20" customFormat="1" x14ac:dyDescent="0.25">
      <c r="A719" s="17">
        <f>IFERROR(VLOOKUP(D719,'Monthly Deduction'!$I$3:$J$957,2,0),0)</f>
        <v>57755.295702771</v>
      </c>
      <c r="B719" s="17">
        <f>IFERROR(VLOOKUP(D719,'Monthly Deduction'!$E$3:$F$957,2,0),0)</f>
        <v>12800</v>
      </c>
      <c r="C719" s="17">
        <f t="shared" si="223"/>
        <v>70555.295702770993</v>
      </c>
      <c r="D719" s="41">
        <v>10600002</v>
      </c>
      <c r="E719" s="122" t="str">
        <f>VLOOKUP(D719,'MPG Payment '!$E$3:$G$497305,2,0)</f>
        <v>Gomukh Ama</v>
      </c>
      <c r="F719" s="146">
        <f>IFERROR(_xlfn.XLOOKUP(D719,'Monthly Deduction'!$I$3:$I$957,'Monthly Deduction'!$H$3:$H$957),0)</f>
        <v>0</v>
      </c>
      <c r="G719" s="123" t="str">
        <f>VLOOKUP(D719,'MPG Payment '!$E$3:$G$333666,3,0)</f>
        <v>MPG</v>
      </c>
      <c r="H719" s="124" t="str">
        <f>VLOOKUP(D719,'MPG Payment '!$E$3:$H$333666,4,0)</f>
        <v>Direct</v>
      </c>
      <c r="I719" s="88">
        <f>INDEX('MPG Payment '!$C:$C,MATCH('Shayak Income '!D719,'MPG Payment '!E:E,0))</f>
        <v>1014</v>
      </c>
      <c r="J719" s="88" t="str">
        <f>INDEX('MPG Payment '!$D:$D,MATCH('Shayak Income '!D719,'MPG Payment '!E:E,0))</f>
        <v>Dumraon</v>
      </c>
      <c r="K719" s="125" t="s">
        <v>1594</v>
      </c>
      <c r="L719" s="125">
        <v>46052</v>
      </c>
      <c r="M719" s="126">
        <f>SUMIF('MPG Payment '!$E$3:$E$344841,'Shayak Income '!D719,'MPG Payment '!$I$3:$I$344841)</f>
        <v>2285.5300000000002</v>
      </c>
      <c r="N719" s="126">
        <f>SUMIF('MPG Payment '!$E$3:$E$344841,'Shayak Income '!D719,'MPG Payment '!$J$3:$J$344841)</f>
        <v>87849.64</v>
      </c>
      <c r="O719" s="126">
        <f t="shared" si="214"/>
        <v>1714.1475</v>
      </c>
      <c r="P719" s="126">
        <f t="shared" si="215"/>
        <v>2171.2535000000003</v>
      </c>
      <c r="Q719" s="126">
        <f>SUMIF('MPG Payment '!$E$3:$E$344841,'Shayak Income '!D719,'MPG Payment '!$S$3:$S$344841)</f>
        <v>0</v>
      </c>
      <c r="R719" s="126">
        <f t="shared" si="206"/>
        <v>2635.4892</v>
      </c>
      <c r="S719" s="126">
        <f t="shared" si="207"/>
        <v>464.23569999999972</v>
      </c>
      <c r="T719" s="126">
        <f t="shared" si="216"/>
        <v>228.55300000000003</v>
      </c>
      <c r="U719" s="127">
        <f>((((((IF(K719="New",0,SUMIF('MPG Payment '!$E$3:$E$344841,'Shayak Income '!D719,'MPG Payment '!$AC$3:$AC$344841))))+0)+0)+0)+0)+0</f>
        <v>396.74449625847126</v>
      </c>
      <c r="V719" s="127">
        <f t="shared" si="217"/>
        <v>3260</v>
      </c>
      <c r="W719" s="19">
        <f t="shared" si="218"/>
        <v>1861</v>
      </c>
      <c r="X719" s="19">
        <v>0</v>
      </c>
      <c r="Y719" s="128">
        <f>IFERROR(VLOOKUP(D719,'Monthly Deduction'!$M$2:$N$640,2,0),0)</f>
        <v>0</v>
      </c>
      <c r="Z719" s="128">
        <v>0</v>
      </c>
      <c r="AA719" s="126">
        <f>IFERROR(VLOOKUP(D719,'Monthly Deduction'!A:B,2,0),0)</f>
        <v>0</v>
      </c>
      <c r="AB719" s="129">
        <f t="shared" si="208"/>
        <v>1399</v>
      </c>
      <c r="AC719" s="130">
        <v>0</v>
      </c>
      <c r="AD719" s="35">
        <f t="shared" si="224"/>
        <v>1399</v>
      </c>
      <c r="AE719" s="166" t="str">
        <f t="shared" si="221"/>
        <v>Release</v>
      </c>
      <c r="AF719" s="127"/>
      <c r="AG719" s="18">
        <v>0</v>
      </c>
      <c r="AH719" s="120"/>
      <c r="AI719" s="238">
        <v>0</v>
      </c>
      <c r="AJ719" s="132"/>
      <c r="AK719" s="151">
        <v>425.20000000000005</v>
      </c>
      <c r="AL719" s="154">
        <f t="shared" si="209"/>
        <v>0</v>
      </c>
      <c r="AM719" s="155"/>
      <c r="AN719" s="19">
        <f t="shared" si="210"/>
        <v>1861</v>
      </c>
      <c r="AO719" s="118">
        <f>SUMIF('MPG Payment '!E:E,'Shayak Income '!D719,'MPG Payment '!AJ:AJ)</f>
        <v>0</v>
      </c>
      <c r="AP719" s="19">
        <f t="shared" si="211"/>
        <v>1861</v>
      </c>
      <c r="AQ719" s="119">
        <f t="shared" si="225"/>
        <v>1861</v>
      </c>
      <c r="AR719" s="91" t="s">
        <v>1144</v>
      </c>
      <c r="AS719" s="91">
        <f t="shared" si="212"/>
        <v>12800</v>
      </c>
      <c r="AT719" s="118"/>
      <c r="AU719" s="118"/>
      <c r="AV719" s="118"/>
    </row>
    <row r="720" spans="1:48" s="20" customFormat="1" x14ac:dyDescent="0.25">
      <c r="A720" s="17">
        <f>IFERROR(VLOOKUP(D720,'Monthly Deduction'!$I$3:$J$957,2,0),0)</f>
        <v>71278</v>
      </c>
      <c r="B720" s="17">
        <f>IFERROR(VLOOKUP(D720,'Monthly Deduction'!$E$3:$F$957,2,0),0)</f>
        <v>9600</v>
      </c>
      <c r="C720" s="17">
        <f t="shared" si="223"/>
        <v>80878</v>
      </c>
      <c r="D720" s="41">
        <v>10600004</v>
      </c>
      <c r="E720" s="122" t="str">
        <f>VLOOKUP(D720,'MPG Payment '!$E$3:$G$497305,2,0)</f>
        <v>Gomukh Pawat</v>
      </c>
      <c r="F720" s="146">
        <f>IFERROR(_xlfn.XLOOKUP(D720,'Monthly Deduction'!$I$3:$I$957,'Monthly Deduction'!$H$3:$H$957),0)</f>
        <v>0</v>
      </c>
      <c r="G720" s="123" t="str">
        <f>VLOOKUP(D720,'MPG Payment '!$E$3:$G$333666,3,0)</f>
        <v>MPG</v>
      </c>
      <c r="H720" s="124" t="str">
        <f>VLOOKUP(D720,'MPG Payment '!$E$3:$H$333666,4,0)</f>
        <v>Direct</v>
      </c>
      <c r="I720" s="88">
        <f>INDEX('MPG Payment '!$C:$C,MATCH('Shayak Income '!D720,'MPG Payment '!E:E,0))</f>
        <v>1014</v>
      </c>
      <c r="J720" s="88" t="str">
        <f>INDEX('MPG Payment '!$D:$D,MATCH('Shayak Income '!D720,'MPG Payment '!E:E,0))</f>
        <v>Dumraon</v>
      </c>
      <c r="K720" s="125" t="s">
        <v>1594</v>
      </c>
      <c r="L720" s="125">
        <v>46054</v>
      </c>
      <c r="M720" s="126">
        <f>SUMIF('MPG Payment '!$E$3:$E$344841,'Shayak Income '!D720,'MPG Payment '!$I$3:$I$344841)</f>
        <v>685.1</v>
      </c>
      <c r="N720" s="126">
        <f>SUMIF('MPG Payment '!$E$3:$E$344841,'Shayak Income '!D720,'MPG Payment '!$J$3:$J$344841)</f>
        <v>27832.719999999998</v>
      </c>
      <c r="O720" s="126">
        <f t="shared" si="214"/>
        <v>513.82500000000005</v>
      </c>
      <c r="P720" s="126">
        <f t="shared" si="215"/>
        <v>650.84500000000003</v>
      </c>
      <c r="Q720" s="126">
        <f>SUMIF('MPG Payment '!$E$3:$E$344841,'Shayak Income '!D720,'MPG Payment '!$S$3:$S$344841)</f>
        <v>0</v>
      </c>
      <c r="R720" s="126">
        <f t="shared" si="206"/>
        <v>834.98159999999984</v>
      </c>
      <c r="S720" s="126">
        <f t="shared" si="207"/>
        <v>184.13659999999982</v>
      </c>
      <c r="T720" s="126">
        <f t="shared" si="216"/>
        <v>68.510000000000005</v>
      </c>
      <c r="U720" s="127">
        <f>((((((IF(K720="New",0,SUMIF('MPG Payment '!$E$3:$E$344841,'Shayak Income '!D720,'MPG Payment '!$AC$3:$AC$344841))))+0)+0)+0)+0)+-618</f>
        <v>1096.5102705398506</v>
      </c>
      <c r="V720" s="127">
        <f t="shared" si="217"/>
        <v>0</v>
      </c>
      <c r="W720" s="19">
        <v>0</v>
      </c>
      <c r="X720" s="19">
        <v>0</v>
      </c>
      <c r="Y720" s="128">
        <v>0</v>
      </c>
      <c r="Z720" s="128">
        <v>0</v>
      </c>
      <c r="AA720" s="126">
        <v>0</v>
      </c>
      <c r="AB720" s="129">
        <f t="shared" si="208"/>
        <v>0</v>
      </c>
      <c r="AC720" s="130">
        <f t="shared" ref="AC720:AC723" si="227">AB720</f>
        <v>0</v>
      </c>
      <c r="AD720" s="35">
        <f t="shared" si="224"/>
        <v>0</v>
      </c>
      <c r="AE720" s="166" t="str">
        <f t="shared" si="221"/>
        <v>Release</v>
      </c>
      <c r="AF720" s="127"/>
      <c r="AG720" s="18">
        <v>0</v>
      </c>
      <c r="AH720" s="120" t="s">
        <v>1685</v>
      </c>
      <c r="AI720" s="238">
        <v>10000</v>
      </c>
      <c r="AJ720" s="132"/>
      <c r="AK720" s="151">
        <v>70.899999999999991</v>
      </c>
      <c r="AL720" s="154">
        <f t="shared" si="209"/>
        <v>0</v>
      </c>
      <c r="AM720" s="155"/>
      <c r="AN720" s="19">
        <f t="shared" si="210"/>
        <v>1861</v>
      </c>
      <c r="AO720" s="118">
        <f>SUMIF('MPG Payment '!E:E,'Shayak Income '!D720,'MPG Payment '!AJ:AJ)</f>
        <v>0</v>
      </c>
      <c r="AP720" s="19">
        <f t="shared" si="211"/>
        <v>0</v>
      </c>
      <c r="AQ720" s="119">
        <f t="shared" si="225"/>
        <v>0</v>
      </c>
      <c r="AR720" s="91"/>
      <c r="AS720" s="91">
        <f t="shared" si="212"/>
        <v>9600</v>
      </c>
      <c r="AT720" s="118"/>
      <c r="AU720" s="118"/>
      <c r="AV720" s="118"/>
    </row>
    <row r="721" spans="1:48" s="20" customFormat="1" x14ac:dyDescent="0.25">
      <c r="A721" s="17">
        <f>IFERROR(VLOOKUP(D721,'Monthly Deduction'!$I$3:$J$957,2,0),0)</f>
        <v>62438</v>
      </c>
      <c r="B721" s="17">
        <f>IFERROR(VLOOKUP(D721,'Monthly Deduction'!$E$3:$F$957,2,0),0)</f>
        <v>19200</v>
      </c>
      <c r="C721" s="17">
        <f t="shared" si="223"/>
        <v>81638</v>
      </c>
      <c r="D721" s="41">
        <v>10600006</v>
      </c>
      <c r="E721" s="122" t="str">
        <f>VLOOKUP(D721,'MPG Payment '!$E$3:$G$497305,2,0)</f>
        <v>Gomukh Charghat</v>
      </c>
      <c r="F721" s="146">
        <f>IFERROR(_xlfn.XLOOKUP(D721,'Monthly Deduction'!$I$3:$I$957,'Monthly Deduction'!$H$3:$H$957),0)</f>
        <v>0</v>
      </c>
      <c r="G721" s="123" t="str">
        <f>VLOOKUP(D721,'MPG Payment '!$E$3:$G$333666,3,0)</f>
        <v>MPG</v>
      </c>
      <c r="H721" s="124" t="str">
        <f>VLOOKUP(D721,'MPG Payment '!$E$3:$H$333666,4,0)</f>
        <v>Direct</v>
      </c>
      <c r="I721" s="88">
        <f>INDEX('MPG Payment '!$C:$C,MATCH('Shayak Income '!D721,'MPG Payment '!E:E,0))</f>
        <v>1014</v>
      </c>
      <c r="J721" s="88" t="str">
        <f>INDEX('MPG Payment '!$D:$D,MATCH('Shayak Income '!D721,'MPG Payment '!E:E,0))</f>
        <v>Dumraon</v>
      </c>
      <c r="K721" s="125" t="s">
        <v>1594</v>
      </c>
      <c r="L721" s="125">
        <v>46052</v>
      </c>
      <c r="M721" s="126">
        <f>SUMIF('MPG Payment '!$E$3:$E$344841,'Shayak Income '!D721,'MPG Payment '!$I$3:$I$344841)</f>
        <v>322.20000000000005</v>
      </c>
      <c r="N721" s="126">
        <f>SUMIF('MPG Payment '!$E$3:$E$344841,'Shayak Income '!D721,'MPG Payment '!$J$3:$J$344841)</f>
        <v>13670.989999999998</v>
      </c>
      <c r="O721" s="126">
        <f t="shared" si="214"/>
        <v>241.65000000000003</v>
      </c>
      <c r="P721" s="126">
        <f t="shared" si="215"/>
        <v>306.09000000000003</v>
      </c>
      <c r="Q721" s="126">
        <f>SUMIF('MPG Payment '!$E$3:$E$344841,'Shayak Income '!D721,'MPG Payment '!$S$3:$S$344841)</f>
        <v>0</v>
      </c>
      <c r="R721" s="126">
        <f t="shared" si="206"/>
        <v>410.1296999999999</v>
      </c>
      <c r="S721" s="126">
        <f t="shared" si="207"/>
        <v>104.03969999999987</v>
      </c>
      <c r="T721" s="126">
        <f t="shared" si="216"/>
        <v>32.220000000000006</v>
      </c>
      <c r="U721" s="127">
        <f>((((((IF(K721="New",0,SUMIF('MPG Payment '!$E$3:$E$344841,'Shayak Income '!D721,'MPG Payment '!$AC$3:$AC$344841))))+0)+0)+0)+0)+-1569</f>
        <v>515.58342290602423</v>
      </c>
      <c r="V721" s="127">
        <f t="shared" si="217"/>
        <v>0</v>
      </c>
      <c r="W721" s="19">
        <v>0</v>
      </c>
      <c r="X721" s="19">
        <v>0</v>
      </c>
      <c r="Y721" s="128">
        <v>0</v>
      </c>
      <c r="Z721" s="128">
        <v>0</v>
      </c>
      <c r="AA721" s="126">
        <v>0</v>
      </c>
      <c r="AB721" s="129">
        <f t="shared" si="208"/>
        <v>0</v>
      </c>
      <c r="AC721" s="130">
        <f t="shared" si="227"/>
        <v>0</v>
      </c>
      <c r="AD721" s="35">
        <f t="shared" si="224"/>
        <v>0</v>
      </c>
      <c r="AE721" s="166" t="str">
        <f t="shared" si="221"/>
        <v>Release</v>
      </c>
      <c r="AF721" s="127"/>
      <c r="AG721" s="18">
        <v>0</v>
      </c>
      <c r="AH721" s="132" t="s">
        <v>1597</v>
      </c>
      <c r="AI721" s="238">
        <v>0</v>
      </c>
      <c r="AJ721" s="132"/>
      <c r="AK721" s="151">
        <v>0</v>
      </c>
      <c r="AL721" s="154">
        <f t="shared" si="209"/>
        <v>0</v>
      </c>
      <c r="AM721" s="155"/>
      <c r="AN721" s="19">
        <f t="shared" si="210"/>
        <v>1861</v>
      </c>
      <c r="AO721" s="118">
        <f>SUMIF('MPG Payment '!E:E,'Shayak Income '!D721,'MPG Payment '!AJ:AJ)</f>
        <v>0</v>
      </c>
      <c r="AP721" s="19">
        <f t="shared" si="211"/>
        <v>0</v>
      </c>
      <c r="AQ721" s="119">
        <f t="shared" si="225"/>
        <v>0</v>
      </c>
      <c r="AR721" s="91"/>
      <c r="AS721" s="91">
        <f t="shared" si="212"/>
        <v>19200</v>
      </c>
      <c r="AT721" s="118"/>
      <c r="AU721" s="118"/>
      <c r="AV721" s="118"/>
    </row>
    <row r="722" spans="1:48" s="20" customFormat="1" x14ac:dyDescent="0.25">
      <c r="A722" s="17">
        <f>IFERROR(VLOOKUP(D722,'Monthly Deduction'!$I$3:$J$957,2,0),0)</f>
        <v>70000</v>
      </c>
      <c r="B722" s="17">
        <f>IFERROR(VLOOKUP(D722,'Monthly Deduction'!$E$3:$F$957,2,0),0)</f>
        <v>6400</v>
      </c>
      <c r="C722" s="17">
        <f t="shared" si="223"/>
        <v>76400</v>
      </c>
      <c r="D722" s="41">
        <v>10600008</v>
      </c>
      <c r="E722" s="122" t="str">
        <f>VLOOKUP(D722,'MPG Payment '!$E$3:$G$497305,2,0)</f>
        <v>Gomukh Ramdihra</v>
      </c>
      <c r="F722" s="146">
        <f>IFERROR(_xlfn.XLOOKUP(D722,'Monthly Deduction'!$I$3:$I$957,'Monthly Deduction'!$H$3:$H$957),0)</f>
        <v>0</v>
      </c>
      <c r="G722" s="123" t="str">
        <f>VLOOKUP(D722,'MPG Payment '!$E$3:$G$333666,3,0)</f>
        <v>MPG</v>
      </c>
      <c r="H722" s="124" t="str">
        <f>VLOOKUP(D722,'MPG Payment '!$E$3:$H$333666,4,0)</f>
        <v>Direct</v>
      </c>
      <c r="I722" s="88">
        <f>INDEX('MPG Payment '!$C:$C,MATCH('Shayak Income '!D722,'MPG Payment '!E:E,0))</f>
        <v>1014</v>
      </c>
      <c r="J722" s="88" t="str">
        <f>INDEX('MPG Payment '!$D:$D,MATCH('Shayak Income '!D722,'MPG Payment '!E:E,0))</f>
        <v>Dumraon</v>
      </c>
      <c r="K722" s="125" t="s">
        <v>1594</v>
      </c>
      <c r="L722" s="125">
        <v>46052</v>
      </c>
      <c r="M722" s="126">
        <f>SUMIF('MPG Payment '!$E$3:$E$344841,'Shayak Income '!D722,'MPG Payment '!$I$3:$I$344841)</f>
        <v>339.9</v>
      </c>
      <c r="N722" s="126">
        <f>SUMIF('MPG Payment '!$E$3:$E$344841,'Shayak Income '!D722,'MPG Payment '!$J$3:$J$344841)</f>
        <v>12172.53</v>
      </c>
      <c r="O722" s="126">
        <f t="shared" si="214"/>
        <v>254.92499999999998</v>
      </c>
      <c r="P722" s="126">
        <f t="shared" si="215"/>
        <v>322.90499999999997</v>
      </c>
      <c r="Q722" s="126">
        <f>SUMIF('MPG Payment '!$E$3:$E$344841,'Shayak Income '!D722,'MPG Payment '!$S$3:$S$344841)</f>
        <v>0</v>
      </c>
      <c r="R722" s="126">
        <f t="shared" si="206"/>
        <v>365.17590000000001</v>
      </c>
      <c r="S722" s="126">
        <f t="shared" si="207"/>
        <v>42.27090000000004</v>
      </c>
      <c r="T722" s="126">
        <f t="shared" si="216"/>
        <v>33.99</v>
      </c>
      <c r="U722" s="127">
        <f>((((((IF(K722="New",0,SUMIF('MPG Payment '!$E$3:$E$344841,'Shayak Income '!D722,'MPG Payment '!$AC$3:$AC$344841))))+0)+0)+0)+0)+-1217</f>
        <v>543.64751061017432</v>
      </c>
      <c r="V722" s="127">
        <f t="shared" si="217"/>
        <v>0</v>
      </c>
      <c r="W722" s="19">
        <v>0</v>
      </c>
      <c r="X722" s="19">
        <v>0</v>
      </c>
      <c r="Y722" s="128">
        <v>0</v>
      </c>
      <c r="Z722" s="128">
        <v>0</v>
      </c>
      <c r="AA722" s="126">
        <v>0</v>
      </c>
      <c r="AB722" s="129">
        <f t="shared" si="208"/>
        <v>0</v>
      </c>
      <c r="AC722" s="130">
        <f t="shared" si="227"/>
        <v>0</v>
      </c>
      <c r="AD722" s="35">
        <f t="shared" si="224"/>
        <v>0</v>
      </c>
      <c r="AE722" s="166" t="str">
        <f t="shared" si="221"/>
        <v>Release</v>
      </c>
      <c r="AF722" s="127"/>
      <c r="AG722" s="18">
        <v>0</v>
      </c>
      <c r="AH722" s="120" t="s">
        <v>1685</v>
      </c>
      <c r="AI722" s="238">
        <v>10000</v>
      </c>
      <c r="AJ722" s="132"/>
      <c r="AK722" s="151">
        <v>40.200000000000003</v>
      </c>
      <c r="AL722" s="154">
        <f t="shared" si="209"/>
        <v>0</v>
      </c>
      <c r="AM722" s="155"/>
      <c r="AN722" s="19">
        <f t="shared" si="210"/>
        <v>1861</v>
      </c>
      <c r="AO722" s="118">
        <f>SUMIF('MPG Payment '!E:E,'Shayak Income '!D722,'MPG Payment '!AJ:AJ)</f>
        <v>2000</v>
      </c>
      <c r="AP722" s="19">
        <f t="shared" si="211"/>
        <v>0</v>
      </c>
      <c r="AQ722" s="119">
        <f t="shared" si="225"/>
        <v>2000</v>
      </c>
      <c r="AR722" s="91"/>
      <c r="AS722" s="91">
        <f t="shared" si="212"/>
        <v>6400</v>
      </c>
      <c r="AT722" s="118"/>
      <c r="AU722" s="118"/>
      <c r="AV722" s="118"/>
    </row>
    <row r="723" spans="1:48" s="20" customFormat="1" x14ac:dyDescent="0.25">
      <c r="A723" s="17">
        <f>IFERROR(VLOOKUP(D723,'Monthly Deduction'!$I$3:$J$957,2,0),0)</f>
        <v>77532</v>
      </c>
      <c r="B723" s="17">
        <f>IFERROR(VLOOKUP(D723,'Monthly Deduction'!$E$3:$F$957,2,0),0)</f>
        <v>6400</v>
      </c>
      <c r="C723" s="17">
        <f t="shared" si="223"/>
        <v>83932</v>
      </c>
      <c r="D723" s="41">
        <v>10600009</v>
      </c>
      <c r="E723" s="122" t="str">
        <f>VLOOKUP(D723,'MPG Payment '!$E$3:$G$497305,2,0)</f>
        <v>Gomukh Bara</v>
      </c>
      <c r="F723" s="146">
        <f>IFERROR(_xlfn.XLOOKUP(D723,'Monthly Deduction'!$I$3:$I$957,'Monthly Deduction'!$H$3:$H$957),0)</f>
        <v>0</v>
      </c>
      <c r="G723" s="123" t="str">
        <f>VLOOKUP(D723,'MPG Payment '!$E$3:$G$333666,3,0)</f>
        <v>MPG</v>
      </c>
      <c r="H723" s="124" t="str">
        <f>VLOOKUP(D723,'MPG Payment '!$E$3:$H$333666,4,0)</f>
        <v>Direct</v>
      </c>
      <c r="I723" s="88">
        <f>INDEX('MPG Payment '!$C:$C,MATCH('Shayak Income '!D723,'MPG Payment '!E:E,0))</f>
        <v>1014</v>
      </c>
      <c r="J723" s="88" t="str">
        <f>INDEX('MPG Payment '!$D:$D,MATCH('Shayak Income '!D723,'MPG Payment '!E:E,0))</f>
        <v>Dumraon</v>
      </c>
      <c r="K723" s="125" t="s">
        <v>1594</v>
      </c>
      <c r="L723" s="125">
        <v>46057</v>
      </c>
      <c r="M723" s="126">
        <f>SUMIF('MPG Payment '!$E$3:$E$344841,'Shayak Income '!D723,'MPG Payment '!$I$3:$I$344841)</f>
        <v>201.73</v>
      </c>
      <c r="N723" s="126">
        <f>SUMIF('MPG Payment '!$E$3:$E$344841,'Shayak Income '!D723,'MPG Payment '!$J$3:$J$344841)</f>
        <v>7566.52</v>
      </c>
      <c r="O723" s="126">
        <f t="shared" si="214"/>
        <v>151.29749999999999</v>
      </c>
      <c r="P723" s="126">
        <f t="shared" si="215"/>
        <v>191.64349999999999</v>
      </c>
      <c r="Q723" s="126">
        <f>SUMIF('MPG Payment '!$E$3:$E$344841,'Shayak Income '!D723,'MPG Payment '!$S$3:$S$344841)</f>
        <v>0</v>
      </c>
      <c r="R723" s="126">
        <f t="shared" si="206"/>
        <v>226.9956</v>
      </c>
      <c r="S723" s="126">
        <f t="shared" si="207"/>
        <v>35.352100000000007</v>
      </c>
      <c r="T723" s="126">
        <f t="shared" si="216"/>
        <v>20.173000000000002</v>
      </c>
      <c r="U723" s="127">
        <f>((((((IF(K723="New",0,SUMIF('MPG Payment '!$E$3:$E$344841,'Shayak Income '!D723,'MPG Payment '!$AC$3:$AC$344841))))+0)+0)+0)+0)+-1630</f>
        <v>322.317751245316</v>
      </c>
      <c r="V723" s="127">
        <f t="shared" si="217"/>
        <v>0</v>
      </c>
      <c r="W723" s="19">
        <v>0</v>
      </c>
      <c r="X723" s="19">
        <v>0</v>
      </c>
      <c r="Y723" s="128">
        <v>0</v>
      </c>
      <c r="Z723" s="128">
        <v>0</v>
      </c>
      <c r="AA723" s="126">
        <v>0</v>
      </c>
      <c r="AB723" s="129">
        <f t="shared" si="208"/>
        <v>0</v>
      </c>
      <c r="AC723" s="130">
        <f t="shared" si="227"/>
        <v>0</v>
      </c>
      <c r="AD723" s="35">
        <f t="shared" si="224"/>
        <v>0</v>
      </c>
      <c r="AE723" s="166" t="str">
        <f t="shared" si="221"/>
        <v>Release</v>
      </c>
      <c r="AF723" s="127"/>
      <c r="AG723" s="18">
        <v>0</v>
      </c>
      <c r="AH723" s="120" t="s">
        <v>1685</v>
      </c>
      <c r="AI723" s="238">
        <v>14000</v>
      </c>
      <c r="AJ723" s="132"/>
      <c r="AK723" s="151">
        <v>24.599999999999998</v>
      </c>
      <c r="AL723" s="154">
        <f t="shared" si="209"/>
        <v>0</v>
      </c>
      <c r="AM723" s="155"/>
      <c r="AN723" s="19">
        <f t="shared" si="210"/>
        <v>1861</v>
      </c>
      <c r="AO723" s="118">
        <f>SUMIF('MPG Payment '!E:E,'Shayak Income '!D723,'MPG Payment '!AJ:AJ)</f>
        <v>0</v>
      </c>
      <c r="AP723" s="19">
        <f t="shared" si="211"/>
        <v>0</v>
      </c>
      <c r="AQ723" s="119">
        <f t="shared" si="225"/>
        <v>0</v>
      </c>
      <c r="AR723" s="91" t="s">
        <v>1144</v>
      </c>
      <c r="AS723" s="91">
        <f t="shared" si="212"/>
        <v>6400</v>
      </c>
      <c r="AT723" s="118"/>
      <c r="AU723" s="118"/>
      <c r="AV723" s="118"/>
    </row>
    <row r="724" spans="1:48" s="20" customFormat="1" x14ac:dyDescent="0.25">
      <c r="A724" s="17">
        <f>IFERROR(VLOOKUP(D724,'Monthly Deduction'!$I$3:$J$957,2,0),0)</f>
        <v>61878</v>
      </c>
      <c r="B724" s="17">
        <f>IFERROR(VLOOKUP(D724,'Monthly Deduction'!$E$3:$F$957,2,0),0)</f>
        <v>12800</v>
      </c>
      <c r="C724" s="17">
        <f t="shared" si="223"/>
        <v>74678</v>
      </c>
      <c r="D724" s="41">
        <v>10610002</v>
      </c>
      <c r="E724" s="122" t="str">
        <f>VLOOKUP(D724,'MPG Payment '!$E$3:$G$497305,2,0)</f>
        <v>GOMUKH CHEHRAKALA</v>
      </c>
      <c r="F724" s="146">
        <f>IFERROR(_xlfn.XLOOKUP(D724,'Monthly Deduction'!$I$3:$I$957,'Monthly Deduction'!$H$3:$H$957),0)</f>
        <v>0</v>
      </c>
      <c r="G724" s="123" t="str">
        <f>VLOOKUP(D724,'MPG Payment '!$E$3:$G$333666,3,0)</f>
        <v>MPG</v>
      </c>
      <c r="H724" s="124" t="str">
        <f>VLOOKUP(D724,'MPG Payment '!$E$3:$H$333666,4,0)</f>
        <v>Direct</v>
      </c>
      <c r="I724" s="88">
        <f>INDEX('MPG Payment '!$C:$C,MATCH('Shayak Income '!D724,'MPG Payment '!E:E,0))</f>
        <v>1061</v>
      </c>
      <c r="J724" s="88" t="str">
        <f>INDEX('MPG Payment '!$D:$D,MATCH('Shayak Income '!D724,'MPG Payment '!E:E,0))</f>
        <v>Mahua BMC</v>
      </c>
      <c r="K724" s="125" t="s">
        <v>1594</v>
      </c>
      <c r="L724" s="125">
        <v>46053</v>
      </c>
      <c r="M724" s="126">
        <f>SUMIF('MPG Payment '!$E$3:$E$344841,'Shayak Income '!D724,'MPG Payment '!$I$3:$I$344841)</f>
        <v>1507.2</v>
      </c>
      <c r="N724" s="126">
        <f>SUMIF('MPG Payment '!$E$3:$E$344841,'Shayak Income '!D724,'MPG Payment '!$J$3:$J$344841)</f>
        <v>70915.179999999993</v>
      </c>
      <c r="O724" s="126">
        <f t="shared" si="214"/>
        <v>1130.4000000000001</v>
      </c>
      <c r="P724" s="126">
        <f t="shared" si="215"/>
        <v>1431.84</v>
      </c>
      <c r="Q724" s="126">
        <f>SUMIF('MPG Payment '!$E$3:$E$344841,'Shayak Income '!D724,'MPG Payment '!$S$3:$S$344841)</f>
        <v>0</v>
      </c>
      <c r="R724" s="126">
        <f t="shared" si="206"/>
        <v>2127.4553999999998</v>
      </c>
      <c r="S724" s="126">
        <f t="shared" si="207"/>
        <v>695.61539999999991</v>
      </c>
      <c r="T724" s="126">
        <f t="shared" si="216"/>
        <v>150.72</v>
      </c>
      <c r="U724" s="127">
        <f>((((((IF(K724="New",0,SUMIF('MPG Payment '!$E$3:$E$344841,'Shayak Income '!D724,'MPG Payment '!$AC$3:$AC$344841))))+0)+0)+0)+0)+0</f>
        <v>1210.8983975449469</v>
      </c>
      <c r="V724" s="127">
        <f t="shared" si="217"/>
        <v>1201</v>
      </c>
      <c r="W724" s="19">
        <v>1201</v>
      </c>
      <c r="X724" s="19">
        <v>0</v>
      </c>
      <c r="Y724" s="128">
        <f>IFERROR(VLOOKUP(D724,'Monthly Deduction'!$M$2:$N$640,2,0),0)</f>
        <v>0</v>
      </c>
      <c r="Z724" s="128">
        <v>0</v>
      </c>
      <c r="AA724" s="126">
        <f>IFERROR(VLOOKUP(D724,'Monthly Deduction'!A:B,2,0),0)</f>
        <v>0</v>
      </c>
      <c r="AB724" s="129">
        <f t="shared" si="208"/>
        <v>0</v>
      </c>
      <c r="AC724" s="130">
        <v>0</v>
      </c>
      <c r="AD724" s="35">
        <f t="shared" si="224"/>
        <v>0</v>
      </c>
      <c r="AE724" s="166" t="str">
        <f t="shared" si="221"/>
        <v>Release</v>
      </c>
      <c r="AF724" s="127"/>
      <c r="AG724" s="18">
        <v>0</v>
      </c>
      <c r="AH724" s="132"/>
      <c r="AI724" s="238">
        <v>0</v>
      </c>
      <c r="AJ724" s="132"/>
      <c r="AK724" s="151">
        <v>475.8</v>
      </c>
      <c r="AL724" s="154">
        <f t="shared" si="209"/>
        <v>0</v>
      </c>
      <c r="AM724" s="155"/>
      <c r="AN724" s="19">
        <f t="shared" si="210"/>
        <v>1861</v>
      </c>
      <c r="AO724" s="118">
        <f>SUMIF('MPG Payment '!E:E,'Shayak Income '!D724,'MPG Payment '!AJ:AJ)</f>
        <v>0</v>
      </c>
      <c r="AP724" s="19">
        <f t="shared" si="211"/>
        <v>1201</v>
      </c>
      <c r="AQ724" s="119">
        <f t="shared" si="225"/>
        <v>1201</v>
      </c>
      <c r="AR724" s="91"/>
      <c r="AS724" s="91">
        <f t="shared" si="212"/>
        <v>12800</v>
      </c>
      <c r="AT724" s="118"/>
      <c r="AU724" s="118"/>
      <c r="AV724" s="118"/>
    </row>
    <row r="725" spans="1:48" s="20" customFormat="1" x14ac:dyDescent="0.25">
      <c r="A725" s="17">
        <f>IFERROR(VLOOKUP(D725,'Monthly Deduction'!$I$3:$J$957,2,0),0)</f>
        <v>70761</v>
      </c>
      <c r="B725" s="17">
        <f>IFERROR(VLOOKUP(D725,'Monthly Deduction'!$E$3:$F$957,2,0),0)</f>
        <v>12800</v>
      </c>
      <c r="C725" s="17">
        <f t="shared" si="223"/>
        <v>83561</v>
      </c>
      <c r="D725" s="41">
        <v>10610006</v>
      </c>
      <c r="E725" s="122" t="str">
        <f>VLOOKUP(D725,'MPG Payment '!$E$3:$G$497305,2,0)</f>
        <v>GOMUKH PREMRAJ</v>
      </c>
      <c r="F725" s="146">
        <f>IFERROR(_xlfn.XLOOKUP(D725,'Monthly Deduction'!$I$3:$I$957,'Monthly Deduction'!$H$3:$H$957),0)</f>
        <v>0</v>
      </c>
      <c r="G725" s="123" t="str">
        <f>VLOOKUP(D725,'MPG Payment '!$E$3:$G$333666,3,0)</f>
        <v>MPG</v>
      </c>
      <c r="H725" s="124" t="str">
        <f>VLOOKUP(D725,'MPG Payment '!$E$3:$H$333666,4,0)</f>
        <v>Direct</v>
      </c>
      <c r="I725" s="88">
        <f>INDEX('MPG Payment '!$C:$C,MATCH('Shayak Income '!D725,'MPG Payment '!E:E,0))</f>
        <v>1061</v>
      </c>
      <c r="J725" s="88" t="str">
        <f>INDEX('MPG Payment '!$D:$D,MATCH('Shayak Income '!D725,'MPG Payment '!E:E,0))</f>
        <v>Mahua BMC</v>
      </c>
      <c r="K725" s="125" t="s">
        <v>1594</v>
      </c>
      <c r="L725" s="125">
        <v>46053</v>
      </c>
      <c r="M725" s="126">
        <f>SUMIF('MPG Payment '!$E$3:$E$344841,'Shayak Income '!D725,'MPG Payment '!$I$3:$I$344841)</f>
        <v>1482.6000000000004</v>
      </c>
      <c r="N725" s="126">
        <f>SUMIF('MPG Payment '!$E$3:$E$344841,'Shayak Income '!D725,'MPG Payment '!$J$3:$J$344841)</f>
        <v>74487.56</v>
      </c>
      <c r="O725" s="126">
        <f t="shared" si="214"/>
        <v>1111.9500000000003</v>
      </c>
      <c r="P725" s="126">
        <f t="shared" si="215"/>
        <v>1408.4700000000003</v>
      </c>
      <c r="Q725" s="126">
        <f>SUMIF('MPG Payment '!$E$3:$E$344841,'Shayak Income '!D725,'MPG Payment '!$S$3:$S$344841)</f>
        <v>0</v>
      </c>
      <c r="R725" s="126">
        <f t="shared" si="206"/>
        <v>2234.6268</v>
      </c>
      <c r="S725" s="126">
        <f t="shared" si="207"/>
        <v>826.15679999999975</v>
      </c>
      <c r="T725" s="126">
        <f t="shared" si="216"/>
        <v>148.26000000000005</v>
      </c>
      <c r="U725" s="127">
        <f>((((((IF(K725="New",0,SUMIF('MPG Payment '!$E$3:$E$344841,'Shayak Income '!D725,'MPG Payment '!$AC$3:$AC$344841))))+0)+0)+0)+0)+0</f>
        <v>1324.7367192152365</v>
      </c>
      <c r="V725" s="127">
        <f t="shared" si="217"/>
        <v>1047</v>
      </c>
      <c r="W725" s="19">
        <v>1047</v>
      </c>
      <c r="X725" s="19">
        <v>0</v>
      </c>
      <c r="Y725" s="128">
        <f>IFERROR(VLOOKUP(D725,'Monthly Deduction'!$M$2:$N$640,2,0),0)</f>
        <v>0</v>
      </c>
      <c r="Z725" s="128">
        <v>0</v>
      </c>
      <c r="AA725" s="126">
        <f>IFERROR(VLOOKUP(D725,'Monthly Deduction'!A:B,2,0),0)</f>
        <v>0</v>
      </c>
      <c r="AB725" s="129">
        <f t="shared" si="208"/>
        <v>0</v>
      </c>
      <c r="AC725" s="130">
        <f>AB725</f>
        <v>0</v>
      </c>
      <c r="AD725" s="35">
        <f t="shared" si="224"/>
        <v>0</v>
      </c>
      <c r="AE725" s="166" t="str">
        <f t="shared" si="221"/>
        <v>Release</v>
      </c>
      <c r="AF725" s="127"/>
      <c r="AG725" s="18">
        <v>0</v>
      </c>
      <c r="AH725" s="120" t="s">
        <v>1685</v>
      </c>
      <c r="AI725" s="238">
        <v>10000</v>
      </c>
      <c r="AJ725" s="132"/>
      <c r="AK725" s="151">
        <v>315</v>
      </c>
      <c r="AL725" s="154">
        <f t="shared" si="209"/>
        <v>0</v>
      </c>
      <c r="AM725" s="155"/>
      <c r="AN725" s="19">
        <f t="shared" si="210"/>
        <v>1861</v>
      </c>
      <c r="AO725" s="118">
        <f>SUMIF('MPG Payment '!E:E,'Shayak Income '!D725,'MPG Payment '!AJ:AJ)</f>
        <v>0</v>
      </c>
      <c r="AP725" s="19">
        <f t="shared" si="211"/>
        <v>1047</v>
      </c>
      <c r="AQ725" s="119">
        <f t="shared" si="225"/>
        <v>1047</v>
      </c>
      <c r="AR725" s="91"/>
      <c r="AS725" s="91">
        <f t="shared" si="212"/>
        <v>12800</v>
      </c>
      <c r="AT725" s="118"/>
      <c r="AU725" s="118"/>
      <c r="AV725" s="118"/>
    </row>
    <row r="726" spans="1:48" s="20" customFormat="1" x14ac:dyDescent="0.25">
      <c r="A726" s="17">
        <f>IFERROR(VLOOKUP(D726,'Monthly Deduction'!$I$3:$J$957,2,0),0)</f>
        <v>59186.67415530303</v>
      </c>
      <c r="B726" s="17">
        <f>IFERROR(VLOOKUP(D726,'Monthly Deduction'!$E$3:$F$957,2,0),0)</f>
        <v>12800</v>
      </c>
      <c r="C726" s="17">
        <f t="shared" si="223"/>
        <v>71986.67415530303</v>
      </c>
      <c r="D726" s="41">
        <v>10610008</v>
      </c>
      <c r="E726" s="122" t="str">
        <f>VLOOKUP(D726,'MPG Payment '!$E$3:$G$497305,2,0)</f>
        <v>GOMUKH GANGATI</v>
      </c>
      <c r="F726" s="146">
        <f>IFERROR(_xlfn.XLOOKUP(D726,'Monthly Deduction'!$I$3:$I$957,'Monthly Deduction'!$H$3:$H$957),0)</f>
        <v>0</v>
      </c>
      <c r="G726" s="123" t="str">
        <f>VLOOKUP(D726,'MPG Payment '!$E$3:$G$333666,3,0)</f>
        <v>MPG</v>
      </c>
      <c r="H726" s="124" t="str">
        <f>VLOOKUP(D726,'MPG Payment '!$E$3:$H$333666,4,0)</f>
        <v>Direct</v>
      </c>
      <c r="I726" s="88">
        <f>INDEX('MPG Payment '!$C:$C,MATCH('Shayak Income '!D726,'MPG Payment '!E:E,0))</f>
        <v>1061</v>
      </c>
      <c r="J726" s="88" t="str">
        <f>INDEX('MPG Payment '!$D:$D,MATCH('Shayak Income '!D726,'MPG Payment '!E:E,0))</f>
        <v>Mahua BMC</v>
      </c>
      <c r="K726" s="125" t="s">
        <v>1594</v>
      </c>
      <c r="L726" s="125">
        <v>46053</v>
      </c>
      <c r="M726" s="126">
        <f>SUMIF('MPG Payment '!$E$3:$E$344841,'Shayak Income '!D726,'MPG Payment '!$I$3:$I$344841)</f>
        <v>1552.3</v>
      </c>
      <c r="N726" s="126">
        <f>SUMIF('MPG Payment '!$E$3:$E$344841,'Shayak Income '!D726,'MPG Payment '!$J$3:$J$344841)</f>
        <v>72314.709999999992</v>
      </c>
      <c r="O726" s="126">
        <f t="shared" si="214"/>
        <v>1164.2249999999999</v>
      </c>
      <c r="P726" s="126">
        <f t="shared" si="215"/>
        <v>1474.6849999999999</v>
      </c>
      <c r="Q726" s="126">
        <f>SUMIF('MPG Payment '!$E$3:$E$344841,'Shayak Income '!D726,'MPG Payment '!$S$3:$S$344841)</f>
        <v>0</v>
      </c>
      <c r="R726" s="126">
        <f t="shared" si="206"/>
        <v>2169.4412999999995</v>
      </c>
      <c r="S726" s="126">
        <f t="shared" si="207"/>
        <v>694.75629999999956</v>
      </c>
      <c r="T726" s="126">
        <f t="shared" si="216"/>
        <v>155.23000000000002</v>
      </c>
      <c r="U726" s="127">
        <f>((((((IF(K726="New",0,SUMIF('MPG Payment '!$E$3:$E$344841,'Shayak Income '!D726,'MPG Payment '!$AC$3:$AC$344841))))+0)+0)+0)+0)+0</f>
        <v>1159.1809262150432</v>
      </c>
      <c r="V726" s="127">
        <f t="shared" si="217"/>
        <v>1324</v>
      </c>
      <c r="W726" s="19">
        <v>1324</v>
      </c>
      <c r="X726" s="19">
        <v>0</v>
      </c>
      <c r="Y726" s="128">
        <f>IFERROR(VLOOKUP(D726,'Monthly Deduction'!$M$2:$N$640,2,0),0)</f>
        <v>0</v>
      </c>
      <c r="Z726" s="128">
        <v>0</v>
      </c>
      <c r="AA726" s="126">
        <f>IFERROR(VLOOKUP(D726,'Monthly Deduction'!A:B,2,0),0)</f>
        <v>0</v>
      </c>
      <c r="AB726" s="129">
        <f t="shared" si="208"/>
        <v>0</v>
      </c>
      <c r="AC726" s="130">
        <v>0</v>
      </c>
      <c r="AD726" s="35">
        <f t="shared" si="224"/>
        <v>0</v>
      </c>
      <c r="AE726" s="166" t="str">
        <f t="shared" si="221"/>
        <v>Release</v>
      </c>
      <c r="AF726" s="127"/>
      <c r="AG726" s="18">
        <v>0</v>
      </c>
      <c r="AH726" s="132"/>
      <c r="AI726" s="238">
        <v>0</v>
      </c>
      <c r="AJ726" s="132"/>
      <c r="AK726" s="151">
        <v>312.19999999999993</v>
      </c>
      <c r="AL726" s="154">
        <f t="shared" si="209"/>
        <v>0</v>
      </c>
      <c r="AM726" s="155"/>
      <c r="AN726" s="19">
        <f t="shared" si="210"/>
        <v>1861</v>
      </c>
      <c r="AO726" s="118">
        <f>SUMIF('MPG Payment '!E:E,'Shayak Income '!D726,'MPG Payment '!AJ:AJ)</f>
        <v>0</v>
      </c>
      <c r="AP726" s="19">
        <f t="shared" si="211"/>
        <v>1324</v>
      </c>
      <c r="AQ726" s="119">
        <f t="shared" si="225"/>
        <v>1324</v>
      </c>
      <c r="AR726" s="91" t="s">
        <v>1144</v>
      </c>
      <c r="AS726" s="91">
        <f t="shared" si="212"/>
        <v>12800</v>
      </c>
      <c r="AT726" s="118"/>
      <c r="AU726" s="118"/>
      <c r="AV726" s="118"/>
    </row>
    <row r="727" spans="1:48" s="20" customFormat="1" x14ac:dyDescent="0.25">
      <c r="A727" s="17">
        <f>IFERROR(VLOOKUP(D727,'Monthly Deduction'!$I$3:$J$957,2,0),0)</f>
        <v>69841.910505751308</v>
      </c>
      <c r="B727" s="17">
        <f>IFERROR(VLOOKUP(D727,'Monthly Deduction'!$E$3:$F$957,2,0),0)</f>
        <v>12800</v>
      </c>
      <c r="C727" s="17">
        <f t="shared" si="223"/>
        <v>82641.910505751308</v>
      </c>
      <c r="D727" s="41">
        <v>10610010</v>
      </c>
      <c r="E727" s="122" t="str">
        <f>VLOOKUP(D727,'MPG Payment '!$E$3:$G$497305,2,0)</f>
        <v>GOMUKH Bhagwatpur</v>
      </c>
      <c r="F727" s="146">
        <f>IFERROR(_xlfn.XLOOKUP(D727,'Monthly Deduction'!$I$3:$I$957,'Monthly Deduction'!$H$3:$H$957),0)</f>
        <v>0</v>
      </c>
      <c r="G727" s="123" t="str">
        <f>VLOOKUP(D727,'MPG Payment '!$E$3:$G$333666,3,0)</f>
        <v>MPG</v>
      </c>
      <c r="H727" s="124" t="str">
        <f>VLOOKUP(D727,'MPG Payment '!$E$3:$H$333666,4,0)</f>
        <v>Direct</v>
      </c>
      <c r="I727" s="88">
        <f>INDEX('MPG Payment '!$C:$C,MATCH('Shayak Income '!D727,'MPG Payment '!E:E,0))</f>
        <v>1061</v>
      </c>
      <c r="J727" s="88" t="str">
        <f>INDEX('MPG Payment '!$D:$D,MATCH('Shayak Income '!D727,'MPG Payment '!E:E,0))</f>
        <v>Mahua BMC</v>
      </c>
      <c r="K727" s="125" t="s">
        <v>1594</v>
      </c>
      <c r="L727" s="125">
        <v>46053</v>
      </c>
      <c r="M727" s="126">
        <f>SUMIF('MPG Payment '!$E$3:$E$344841,'Shayak Income '!D727,'MPG Payment '!$I$3:$I$344841)</f>
        <v>1837.7</v>
      </c>
      <c r="N727" s="126">
        <f>SUMIF('MPG Payment '!$E$3:$E$344841,'Shayak Income '!D727,'MPG Payment '!$J$3:$J$344841)</f>
        <v>90795.389999999985</v>
      </c>
      <c r="O727" s="126">
        <f t="shared" si="214"/>
        <v>1378.2750000000001</v>
      </c>
      <c r="P727" s="126">
        <f t="shared" si="215"/>
        <v>1745.8150000000001</v>
      </c>
      <c r="Q727" s="126">
        <f>SUMIF('MPG Payment '!$E$3:$E$344841,'Shayak Income '!D727,'MPG Payment '!$S$3:$S$344841)</f>
        <v>0</v>
      </c>
      <c r="R727" s="126">
        <f t="shared" si="206"/>
        <v>2723.8616999999995</v>
      </c>
      <c r="S727" s="126">
        <f t="shared" si="207"/>
        <v>978.04669999999942</v>
      </c>
      <c r="T727" s="126">
        <f t="shared" si="216"/>
        <v>183.77</v>
      </c>
      <c r="U727" s="127">
        <f>((((((IF(K727="New",0,SUMIF('MPG Payment '!$E$3:$E$344841,'Shayak Income '!D727,'MPG Payment '!$AC$3:$AC$344841))))+0)+0)+0)+0)+0</f>
        <v>949.53231676521727</v>
      </c>
      <c r="V727" s="127">
        <f t="shared" si="217"/>
        <v>1991</v>
      </c>
      <c r="W727" s="19">
        <f t="shared" si="218"/>
        <v>1861</v>
      </c>
      <c r="X727" s="19">
        <v>0</v>
      </c>
      <c r="Y727" s="128">
        <f>IFERROR(VLOOKUP(D727,'Monthly Deduction'!$M$2:$N$640,2,0),0)</f>
        <v>0</v>
      </c>
      <c r="Z727" s="128">
        <v>0</v>
      </c>
      <c r="AA727" s="126">
        <f>IFERROR(VLOOKUP(D727,'Monthly Deduction'!A:B,2,0),0)</f>
        <v>0</v>
      </c>
      <c r="AB727" s="129">
        <f t="shared" si="208"/>
        <v>130</v>
      </c>
      <c r="AC727" s="130">
        <f t="shared" ref="AC727:AC729" si="228">AB727</f>
        <v>130</v>
      </c>
      <c r="AD727" s="35">
        <f t="shared" si="224"/>
        <v>0</v>
      </c>
      <c r="AE727" s="166" t="str">
        <f t="shared" si="221"/>
        <v>Yes</v>
      </c>
      <c r="AF727" s="127"/>
      <c r="AG727" s="18">
        <v>0</v>
      </c>
      <c r="AH727" s="120" t="s">
        <v>1685</v>
      </c>
      <c r="AI727" s="238">
        <v>10000</v>
      </c>
      <c r="AJ727" s="132"/>
      <c r="AK727" s="151">
        <v>424.69999999999993</v>
      </c>
      <c r="AL727" s="154">
        <f t="shared" si="209"/>
        <v>0</v>
      </c>
      <c r="AM727" s="155"/>
      <c r="AN727" s="19">
        <f t="shared" si="210"/>
        <v>1861</v>
      </c>
      <c r="AO727" s="118">
        <f>SUMIF('MPG Payment '!E:E,'Shayak Income '!D727,'MPG Payment '!AJ:AJ)</f>
        <v>0</v>
      </c>
      <c r="AP727" s="19">
        <f t="shared" si="211"/>
        <v>1861</v>
      </c>
      <c r="AQ727" s="119">
        <f t="shared" si="225"/>
        <v>1861</v>
      </c>
      <c r="AR727" s="91" t="s">
        <v>1144</v>
      </c>
      <c r="AS727" s="91">
        <f t="shared" si="212"/>
        <v>12800</v>
      </c>
      <c r="AT727" s="118"/>
      <c r="AU727" s="118"/>
      <c r="AV727" s="118"/>
    </row>
    <row r="728" spans="1:48" s="20" customFormat="1" x14ac:dyDescent="0.25">
      <c r="A728" s="17">
        <f>IFERROR(VLOOKUP(D728,'Monthly Deduction'!$I$3:$J$957,2,0),0)</f>
        <v>67382.050638543398</v>
      </c>
      <c r="B728" s="17">
        <f>IFERROR(VLOOKUP(D728,'Monthly Deduction'!$E$3:$F$957,2,0),0)</f>
        <v>6400</v>
      </c>
      <c r="C728" s="17">
        <f t="shared" si="223"/>
        <v>73782.050638543398</v>
      </c>
      <c r="D728" s="41">
        <v>10060130</v>
      </c>
      <c r="E728" s="122" t="str">
        <f>VLOOKUP(D728,'MPG Payment '!$E$3:$G$497305,2,0)</f>
        <v>MASUDAN</v>
      </c>
      <c r="F728" s="146">
        <f>IFERROR(_xlfn.XLOOKUP(D728,'Monthly Deduction'!$I$3:$I$957,'Monthly Deduction'!$H$3:$H$957),0)</f>
        <v>0</v>
      </c>
      <c r="G728" s="123" t="str">
        <f>VLOOKUP(D728,'MPG Payment '!$E$3:$G$333666,3,0)</f>
        <v>MPG</v>
      </c>
      <c r="H728" s="124" t="str">
        <f>VLOOKUP(D728,'MPG Payment '!$E$3:$H$333666,4,0)</f>
        <v>Direct</v>
      </c>
      <c r="I728" s="88">
        <f>INDEX('MPG Payment '!$C:$C,MATCH('Shayak Income '!D728,'MPG Payment '!E:E,0))</f>
        <v>1006</v>
      </c>
      <c r="J728" s="88" t="str">
        <f>INDEX('MPG Payment '!$D:$D,MATCH('Shayak Income '!D728,'MPG Payment '!E:E,0))</f>
        <v>Sonvarsha</v>
      </c>
      <c r="K728" s="125" t="s">
        <v>1594</v>
      </c>
      <c r="L728" s="125">
        <v>46064</v>
      </c>
      <c r="M728" s="126">
        <f>SUMIF('MPG Payment '!$E$3:$E$344841,'Shayak Income '!D728,'MPG Payment '!$I$3:$I$344841)</f>
        <v>7881.4000000000015</v>
      </c>
      <c r="N728" s="126">
        <f>SUMIF('MPG Payment '!$E$3:$E$344841,'Shayak Income '!D728,'MPG Payment '!$J$3:$J$344841)</f>
        <v>352631.53</v>
      </c>
      <c r="O728" s="126">
        <f t="shared" si="214"/>
        <v>5911.0500000000011</v>
      </c>
      <c r="P728" s="126">
        <f t="shared" si="215"/>
        <v>7487.3300000000008</v>
      </c>
      <c r="Q728" s="126">
        <f>SUMIF('MPG Payment '!$E$3:$E$344841,'Shayak Income '!D728,'MPG Payment '!$S$3:$S$344841)</f>
        <v>1536.1999999999998</v>
      </c>
      <c r="R728" s="126">
        <f t="shared" si="206"/>
        <v>10578.945900000001</v>
      </c>
      <c r="S728" s="126">
        <f t="shared" si="207"/>
        <v>3091.6158999999998</v>
      </c>
      <c r="T728" s="126">
        <f t="shared" si="216"/>
        <v>788.14000000000021</v>
      </c>
      <c r="U728" s="127">
        <f>((((((IF(K728="New",0,SUMIF('MPG Payment '!$E$3:$E$344841,'Shayak Income '!D728,'MPG Payment '!$AC$3:$AC$344841))))+0)+0)+0)+0)+0</f>
        <v>0</v>
      </c>
      <c r="V728" s="127">
        <f t="shared" si="217"/>
        <v>14146</v>
      </c>
      <c r="W728" s="19">
        <f t="shared" si="218"/>
        <v>7052.6306000000004</v>
      </c>
      <c r="X728" s="19">
        <v>0</v>
      </c>
      <c r="Y728" s="128">
        <f>IFERROR(VLOOKUP(D728,'Monthly Deduction'!$M$2:$N$640,2,0),0)</f>
        <v>0</v>
      </c>
      <c r="Z728" s="128">
        <v>0</v>
      </c>
      <c r="AA728" s="126">
        <f>IFERROR(VLOOKUP(D728,'Monthly Deduction'!A:B,2,0),0)</f>
        <v>0</v>
      </c>
      <c r="AB728" s="129">
        <f t="shared" si="208"/>
        <v>7093</v>
      </c>
      <c r="AC728" s="130">
        <v>0</v>
      </c>
      <c r="AD728" s="35">
        <f t="shared" si="224"/>
        <v>7093</v>
      </c>
      <c r="AE728" s="166" t="str">
        <f t="shared" si="221"/>
        <v>Release</v>
      </c>
      <c r="AF728" s="127"/>
      <c r="AG728" s="18">
        <v>0</v>
      </c>
      <c r="AH728" s="120" t="s">
        <v>1685</v>
      </c>
      <c r="AI728" s="238">
        <v>10000</v>
      </c>
      <c r="AJ728" s="132" t="s">
        <v>68</v>
      </c>
      <c r="AK728" s="151">
        <v>2048.2999999999997</v>
      </c>
      <c r="AL728" s="154">
        <f t="shared" si="209"/>
        <v>0</v>
      </c>
      <c r="AM728" s="155"/>
      <c r="AN728" s="19">
        <f t="shared" si="210"/>
        <v>7052.6306000000004</v>
      </c>
      <c r="AO728" s="118">
        <f>SUMIF('MPG Payment '!E:E,'Shayak Income '!D728,'MPG Payment '!AJ:AJ)</f>
        <v>0</v>
      </c>
      <c r="AP728" s="19">
        <f t="shared" si="211"/>
        <v>7052.6306000000004</v>
      </c>
      <c r="AQ728" s="119">
        <f t="shared" si="225"/>
        <v>7052.6306000000004</v>
      </c>
      <c r="AR728" s="91" t="s">
        <v>1144</v>
      </c>
      <c r="AS728" s="91">
        <f t="shared" si="212"/>
        <v>6400</v>
      </c>
      <c r="AT728" s="118"/>
      <c r="AU728" s="118"/>
      <c r="AV728" s="118"/>
    </row>
    <row r="729" spans="1:48" s="20" customFormat="1" x14ac:dyDescent="0.25">
      <c r="A729" s="17">
        <f>IFERROR(VLOOKUP(D729,'Monthly Deduction'!$I$3:$J$957,2,0),0)</f>
        <v>0</v>
      </c>
      <c r="B729" s="17">
        <f>IFERROR(VLOOKUP(D729,'Monthly Deduction'!$E$3:$F$957,2,0),0)</f>
        <v>0</v>
      </c>
      <c r="C729" s="17">
        <f t="shared" si="223"/>
        <v>0</v>
      </c>
      <c r="D729" s="41">
        <v>10100065</v>
      </c>
      <c r="E729" s="122" t="str">
        <f>VLOOKUP(D729,'MPG Payment '!$E$3:$G$497305,2,0)</f>
        <v>Gomukh Kabela Vlc</v>
      </c>
      <c r="F729" s="146">
        <f>IFERROR(_xlfn.XLOOKUP(D729,'Monthly Deduction'!$I$3:$I$957,'Monthly Deduction'!$H$3:$H$957),0)</f>
        <v>0</v>
      </c>
      <c r="G729" s="123" t="str">
        <f>VLOOKUP(D729,'MPG Payment '!$E$3:$G$333666,3,0)</f>
        <v>vlc</v>
      </c>
      <c r="H729" s="124" t="str">
        <f>VLOOKUP(D729,'MPG Payment '!$E$3:$H$333666,4,0)</f>
        <v>Indirect</v>
      </c>
      <c r="I729" s="88">
        <f>INDEX('MPG Payment '!$C:$C,MATCH('Shayak Income '!D729,'MPG Payment '!E:E,0))</f>
        <v>1010</v>
      </c>
      <c r="J729" s="88" t="str">
        <f>INDEX('MPG Payment '!$D:$D,MATCH('Shayak Income '!D729,'MPG Payment '!E:E,0))</f>
        <v>Parbatta</v>
      </c>
      <c r="K729" s="125" t="s">
        <v>1594</v>
      </c>
      <c r="L729" s="125">
        <v>46063</v>
      </c>
      <c r="M729" s="126">
        <f>SUMIF('MPG Payment '!$E$3:$E$344841,'Shayak Income '!D729,'MPG Payment '!$I$3:$I$344841)</f>
        <v>3414.1</v>
      </c>
      <c r="N729" s="126">
        <f>SUMIF('MPG Payment '!$E$3:$E$344841,'Shayak Income '!D729,'MPG Payment '!$J$3:$J$344841)</f>
        <v>129099.63000000002</v>
      </c>
      <c r="O729" s="126">
        <f t="shared" si="214"/>
        <v>2560.5749999999998</v>
      </c>
      <c r="P729" s="126">
        <f t="shared" si="215"/>
        <v>3243.395</v>
      </c>
      <c r="Q729" s="126">
        <f>SUMIF('MPG Payment '!$E$3:$E$344841,'Shayak Income '!D729,'MPG Payment '!$S$3:$S$344841)</f>
        <v>0</v>
      </c>
      <c r="R729" s="126">
        <f t="shared" si="206"/>
        <v>3872.9889000000003</v>
      </c>
      <c r="S729" s="126">
        <f t="shared" si="207"/>
        <v>629.5939000000003</v>
      </c>
      <c r="T729" s="126">
        <f t="shared" si="216"/>
        <v>341.41</v>
      </c>
      <c r="U729" s="127">
        <f>((((((IF(K729="New",0,SUMIF('MPG Payment '!$E$3:$E$344841,'Shayak Income '!D729,'MPG Payment '!$AC$3:$AC$344841))))+0)+0)+0)+0)+0</f>
        <v>385.07368519637458</v>
      </c>
      <c r="V729" s="127">
        <f t="shared" si="217"/>
        <v>5077</v>
      </c>
      <c r="W729" s="19">
        <f t="shared" si="218"/>
        <v>0</v>
      </c>
      <c r="X729" s="19">
        <f t="shared" si="219"/>
        <v>0</v>
      </c>
      <c r="Y729" s="128">
        <f>IFERROR(VLOOKUP(D729,'Monthly Deduction'!$M$2:$N$640,2,0),0)</f>
        <v>0</v>
      </c>
      <c r="Z729" s="128">
        <v>0</v>
      </c>
      <c r="AA729" s="126">
        <f>IFERROR(VLOOKUP(D729,'Monthly Deduction'!A:B,2,0),0)</f>
        <v>0</v>
      </c>
      <c r="AB729" s="129">
        <f t="shared" si="208"/>
        <v>5077</v>
      </c>
      <c r="AC729" s="130">
        <f t="shared" si="228"/>
        <v>5077</v>
      </c>
      <c r="AD729" s="35">
        <f t="shared" si="224"/>
        <v>0</v>
      </c>
      <c r="AE729" s="166" t="str">
        <f t="shared" si="221"/>
        <v>Yes</v>
      </c>
      <c r="AF729" s="127"/>
      <c r="AG729" s="18">
        <v>0</v>
      </c>
      <c r="AH729" s="132" t="s">
        <v>1597</v>
      </c>
      <c r="AI729" s="238">
        <v>0</v>
      </c>
      <c r="AJ729" s="132"/>
      <c r="AK729" s="151">
        <v>0</v>
      </c>
      <c r="AL729" s="154">
        <f t="shared" si="209"/>
        <v>0</v>
      </c>
      <c r="AM729" s="155"/>
      <c r="AN729" s="19">
        <f t="shared" si="210"/>
        <v>0</v>
      </c>
      <c r="AO729" s="118">
        <f>SUMIF('MPG Payment '!E:E,'Shayak Income '!D729,'MPG Payment '!AJ:AJ)</f>
        <v>0</v>
      </c>
      <c r="AP729" s="19">
        <f t="shared" si="211"/>
        <v>0</v>
      </c>
      <c r="AQ729" s="119">
        <f t="shared" si="225"/>
        <v>0</v>
      </c>
      <c r="AR729" s="91" t="s">
        <v>1144</v>
      </c>
      <c r="AS729" s="91">
        <f t="shared" si="212"/>
        <v>0</v>
      </c>
      <c r="AT729" s="118"/>
      <c r="AU729" s="118"/>
      <c r="AV729" s="118"/>
    </row>
    <row r="730" spans="1:48" s="20" customFormat="1" x14ac:dyDescent="0.25">
      <c r="A730" s="17">
        <f>IFERROR(VLOOKUP(D730,'Monthly Deduction'!$I$3:$J$957,2,0),0)</f>
        <v>0</v>
      </c>
      <c r="B730" s="17">
        <f>IFERROR(VLOOKUP(D730,'Monthly Deduction'!$E$3:$F$957,2,0),0)</f>
        <v>0</v>
      </c>
      <c r="C730" s="17">
        <f t="shared" si="223"/>
        <v>0</v>
      </c>
      <c r="D730" s="41">
        <v>10140203</v>
      </c>
      <c r="E730" s="122" t="str">
        <f>VLOOKUP(D730,'MPG Payment '!$E$3:$G$497305,2,0)</f>
        <v>Sohan Narayan Farmer Dairy Producer Company Ltd</v>
      </c>
      <c r="F730" s="146">
        <f>IFERROR(_xlfn.XLOOKUP(D730,'Monthly Deduction'!$I$3:$I$957,'Monthly Deduction'!$H$3:$H$957),0)</f>
        <v>0</v>
      </c>
      <c r="G730" s="123" t="str">
        <f>VLOOKUP(D730,'MPG Payment '!$E$3:$G$333666,3,0)</f>
        <v>vlc</v>
      </c>
      <c r="H730" s="124" t="str">
        <f>VLOOKUP(D730,'MPG Payment '!$E$3:$H$333666,4,0)</f>
        <v>Indirect</v>
      </c>
      <c r="I730" s="88">
        <f>INDEX('MPG Payment '!$C:$C,MATCH('Shayak Income '!D730,'MPG Payment '!E:E,0))</f>
        <v>1014</v>
      </c>
      <c r="J730" s="88" t="str">
        <f>INDEX('MPG Payment '!$D:$D,MATCH('Shayak Income '!D730,'MPG Payment '!E:E,0))</f>
        <v>Dumraon</v>
      </c>
      <c r="K730" s="125" t="s">
        <v>1594</v>
      </c>
      <c r="L730" s="125">
        <v>46065</v>
      </c>
      <c r="M730" s="126">
        <f>SUMIF('MPG Payment '!$E$3:$E$344841,'Shayak Income '!D730,'MPG Payment '!$I$3:$I$344841)</f>
        <v>7141.5</v>
      </c>
      <c r="N730" s="126">
        <f>SUMIF('MPG Payment '!$E$3:$E$344841,'Shayak Income '!D730,'MPG Payment '!$J$3:$J$344841)</f>
        <v>265874.75</v>
      </c>
      <c r="O730" s="126">
        <f t="shared" si="214"/>
        <v>5356.125</v>
      </c>
      <c r="P730" s="126">
        <f t="shared" si="215"/>
        <v>6784.4249999999993</v>
      </c>
      <c r="Q730" s="126">
        <f>SUMIF('MPG Payment '!$E$3:$E$344841,'Shayak Income '!D730,'MPG Payment '!$S$3:$S$344841)</f>
        <v>0</v>
      </c>
      <c r="R730" s="126">
        <f t="shared" si="206"/>
        <v>7976.2424999999994</v>
      </c>
      <c r="S730" s="126">
        <f t="shared" si="207"/>
        <v>1191.8175000000001</v>
      </c>
      <c r="T730" s="126">
        <f t="shared" si="216"/>
        <v>714.15000000000009</v>
      </c>
      <c r="U730" s="127">
        <f>((((((IF(K730="New",0,SUMIF('MPG Payment '!$E$3:$E$344841,'Shayak Income '!D730,'MPG Payment '!$AC$3:$AC$344841))))+0)+0)+0)+0)+0</f>
        <v>21.073417564751473</v>
      </c>
      <c r="V730" s="127">
        <f t="shared" si="217"/>
        <v>11405</v>
      </c>
      <c r="W730" s="19">
        <f t="shared" si="218"/>
        <v>0</v>
      </c>
      <c r="X730" s="19">
        <f t="shared" si="219"/>
        <v>0</v>
      </c>
      <c r="Y730" s="128">
        <f>IFERROR(VLOOKUP(D730,'Monthly Deduction'!$M$2:$N$640,2,0),0)</f>
        <v>0</v>
      </c>
      <c r="Z730" s="128">
        <v>0</v>
      </c>
      <c r="AA730" s="126">
        <f>IFERROR(VLOOKUP(D730,'Monthly Deduction'!A:B,2,0),0)</f>
        <v>0</v>
      </c>
      <c r="AB730" s="129">
        <f t="shared" si="208"/>
        <v>11405</v>
      </c>
      <c r="AC730" s="130">
        <v>0</v>
      </c>
      <c r="AD730" s="35">
        <f t="shared" si="224"/>
        <v>11405</v>
      </c>
      <c r="AE730" s="166" t="str">
        <f t="shared" si="221"/>
        <v>Release</v>
      </c>
      <c r="AF730" s="127"/>
      <c r="AG730" s="18">
        <v>0</v>
      </c>
      <c r="AH730" s="132"/>
      <c r="AI730" s="238">
        <v>0</v>
      </c>
      <c r="AJ730" s="132"/>
      <c r="AK730" s="151">
        <v>480.5</v>
      </c>
      <c r="AL730" s="154">
        <f t="shared" si="209"/>
        <v>0</v>
      </c>
      <c r="AM730" s="155"/>
      <c r="AN730" s="19">
        <f t="shared" si="210"/>
        <v>0</v>
      </c>
      <c r="AO730" s="118">
        <f>SUMIF('MPG Payment '!E:E,'Shayak Income '!D730,'MPG Payment '!AJ:AJ)</f>
        <v>0</v>
      </c>
      <c r="AP730" s="19">
        <f t="shared" si="211"/>
        <v>0</v>
      </c>
      <c r="AQ730" s="119">
        <f t="shared" si="225"/>
        <v>0</v>
      </c>
      <c r="AR730" s="91" t="s">
        <v>1144</v>
      </c>
      <c r="AS730" s="91">
        <f t="shared" si="212"/>
        <v>0</v>
      </c>
      <c r="AT730" s="118"/>
      <c r="AU730" s="118"/>
      <c r="AV730" s="118"/>
    </row>
    <row r="731" spans="1:48" s="20" customFormat="1" x14ac:dyDescent="0.25">
      <c r="A731" s="17">
        <f>IFERROR(VLOOKUP(D731,'Monthly Deduction'!$I$3:$J$957,2,0),0)</f>
        <v>73803</v>
      </c>
      <c r="B731" s="17">
        <f>IFERROR(VLOOKUP(D731,'Monthly Deduction'!$E$3:$F$957,2,0),0)</f>
        <v>6400</v>
      </c>
      <c r="C731" s="17">
        <f t="shared" si="223"/>
        <v>80203</v>
      </c>
      <c r="D731" s="41">
        <v>10600005</v>
      </c>
      <c r="E731" s="122" t="str">
        <f>VLOOKUP(D731,'MPG Payment '!$E$3:$G$497305,2,0)</f>
        <v>Gomukh Barja</v>
      </c>
      <c r="F731" s="146">
        <f>IFERROR(_xlfn.XLOOKUP(D731,'Monthly Deduction'!$I$3:$I$957,'Monthly Deduction'!$H$3:$H$957),0)</f>
        <v>0</v>
      </c>
      <c r="G731" s="123" t="str">
        <f>VLOOKUP(D731,'MPG Payment '!$E$3:$G$333666,3,0)</f>
        <v>MPG</v>
      </c>
      <c r="H731" s="124" t="str">
        <f>VLOOKUP(D731,'MPG Payment '!$E$3:$H$333666,4,0)</f>
        <v>Direct</v>
      </c>
      <c r="I731" s="88">
        <f>INDEX('MPG Payment '!$C:$C,MATCH('Shayak Income '!D731,'MPG Payment '!E:E,0))</f>
        <v>1014</v>
      </c>
      <c r="J731" s="88" t="str">
        <f>INDEX('MPG Payment '!$D:$D,MATCH('Shayak Income '!D731,'MPG Payment '!E:E,0))</f>
        <v>Dumraon</v>
      </c>
      <c r="K731" s="125" t="s">
        <v>1593</v>
      </c>
      <c r="L731" s="125">
        <v>46185</v>
      </c>
      <c r="M731" s="126">
        <f>SUMIF('MPG Payment '!$E$3:$E$344841,'Shayak Income '!D731,'MPG Payment '!$I$3:$I$344841)</f>
        <v>510.2</v>
      </c>
      <c r="N731" s="126">
        <f>SUMIF('MPG Payment '!$E$3:$E$344841,'Shayak Income '!D731,'MPG Payment '!$J$3:$J$344841)</f>
        <v>19629.439999999999</v>
      </c>
      <c r="O731" s="126">
        <f t="shared" si="214"/>
        <v>382.65</v>
      </c>
      <c r="P731" s="126">
        <f t="shared" si="215"/>
        <v>484.68999999999994</v>
      </c>
      <c r="Q731" s="126">
        <f>SUMIF('MPG Payment '!$E$3:$E$344841,'Shayak Income '!D731,'MPG Payment '!$S$3:$S$344841)</f>
        <v>106.44999999999999</v>
      </c>
      <c r="R731" s="126">
        <f t="shared" si="206"/>
        <v>588.88319999999999</v>
      </c>
      <c r="S731" s="126">
        <f t="shared" si="207"/>
        <v>104.19320000000005</v>
      </c>
      <c r="T731" s="126">
        <f t="shared" si="216"/>
        <v>51.02</v>
      </c>
      <c r="U731" s="127">
        <f>((((((IF(K731="New",0,SUMIF('MPG Payment '!$E$3:$E$344841,'Shayak Income '!D731,'MPG Payment '!$AC$3:$AC$344841))))+0)+0)+0)+0)+0</f>
        <v>0</v>
      </c>
      <c r="V731" s="127">
        <f t="shared" si="217"/>
        <v>923</v>
      </c>
      <c r="W731" s="19">
        <v>0</v>
      </c>
      <c r="X731" s="19">
        <v>0</v>
      </c>
      <c r="Y731" s="128">
        <f>IFERROR(VLOOKUP(D731,'Monthly Deduction'!$M$2:$N$640,2,0),0)</f>
        <v>0</v>
      </c>
      <c r="Z731" s="128">
        <v>0</v>
      </c>
      <c r="AA731" s="126">
        <f>IFERROR(VLOOKUP(D731,'Monthly Deduction'!A:B,2,0),0)</f>
        <v>0</v>
      </c>
      <c r="AB731" s="129">
        <f t="shared" si="208"/>
        <v>923</v>
      </c>
      <c r="AC731" s="130">
        <f>AB731</f>
        <v>923</v>
      </c>
      <c r="AD731" s="35">
        <f t="shared" si="224"/>
        <v>0</v>
      </c>
      <c r="AE731" s="166" t="str">
        <f t="shared" si="221"/>
        <v>Yes</v>
      </c>
      <c r="AF731" s="127"/>
      <c r="AG731" s="18">
        <v>0</v>
      </c>
      <c r="AH731" s="120" t="s">
        <v>1685</v>
      </c>
      <c r="AI731" s="238">
        <v>10000</v>
      </c>
      <c r="AJ731" s="132"/>
      <c r="AK731" s="151">
        <v>32.900000000000006</v>
      </c>
      <c r="AL731" s="154">
        <f t="shared" si="209"/>
        <v>0</v>
      </c>
      <c r="AM731" s="155"/>
      <c r="AN731" s="19">
        <f t="shared" si="210"/>
        <v>1861</v>
      </c>
      <c r="AO731" s="118">
        <f>SUMIF('MPG Payment '!E:E,'Shayak Income '!D731,'MPG Payment '!AJ:AJ)</f>
        <v>0</v>
      </c>
      <c r="AP731" s="19">
        <f t="shared" si="211"/>
        <v>0</v>
      </c>
      <c r="AQ731" s="119">
        <f t="shared" si="225"/>
        <v>0</v>
      </c>
      <c r="AR731" s="91" t="s">
        <v>1144</v>
      </c>
      <c r="AS731" s="91">
        <f t="shared" si="212"/>
        <v>6400</v>
      </c>
      <c r="AT731" s="118"/>
      <c r="AU731" s="118"/>
      <c r="AV731" s="118"/>
    </row>
    <row r="732" spans="1:48" s="20" customFormat="1" x14ac:dyDescent="0.25">
      <c r="A732" s="17">
        <f>IFERROR(VLOOKUP(D732,'Monthly Deduction'!$I$3:$J$957,2,0),0)</f>
        <v>44815.111415384599</v>
      </c>
      <c r="B732" s="17">
        <f>IFERROR(VLOOKUP(D732,'Monthly Deduction'!$E$3:$F$957,2,0),0)</f>
        <v>6400</v>
      </c>
      <c r="C732" s="17">
        <f t="shared" si="223"/>
        <v>51215.111415384599</v>
      </c>
      <c r="D732" s="41">
        <v>10020027</v>
      </c>
      <c r="E732" s="122" t="str">
        <f>VLOOKUP(D732,'MPG Payment '!$E$3:$G$497305,2,0)</f>
        <v>Gomukh Repura</v>
      </c>
      <c r="F732" s="146">
        <f>IFERROR(_xlfn.XLOOKUP(D732,'Monthly Deduction'!$I$3:$I$957,'Monthly Deduction'!$H$3:$H$957),0)</f>
        <v>0</v>
      </c>
      <c r="G732" s="123" t="str">
        <f>VLOOKUP(D732,'MPG Payment '!$E$3:$G$333666,3,0)</f>
        <v>MPG</v>
      </c>
      <c r="H732" s="124" t="str">
        <f>VLOOKUP(D732,'MPG Payment '!$E$3:$H$333666,4,0)</f>
        <v>Direct</v>
      </c>
      <c r="I732" s="88">
        <f>INDEX('MPG Payment '!$C:$C,MATCH('Shayak Income '!D732,'MPG Payment '!E:E,0))</f>
        <v>1002</v>
      </c>
      <c r="J732" s="88" t="str">
        <f>INDEX('MPG Payment '!$D:$D,MATCH('Shayak Income '!D732,'MPG Payment '!E:E,0))</f>
        <v>Laldiyara</v>
      </c>
      <c r="K732" s="125" t="s">
        <v>1594</v>
      </c>
      <c r="L732" s="125">
        <v>44866</v>
      </c>
      <c r="M732" s="126">
        <f>SUMIF('MPG Payment '!$E$3:$E$344841,'Shayak Income '!D732,'MPG Payment '!$I$3:$I$344841)</f>
        <v>2707.1</v>
      </c>
      <c r="N732" s="126">
        <f>SUMIF('MPG Payment '!$E$3:$E$344841,'Shayak Income '!D732,'MPG Payment '!$J$3:$J$344841)</f>
        <v>115332.48</v>
      </c>
      <c r="O732" s="126">
        <f t="shared" si="214"/>
        <v>2030.3249999999998</v>
      </c>
      <c r="P732" s="126">
        <f t="shared" si="215"/>
        <v>2571.7449999999999</v>
      </c>
      <c r="Q732" s="126">
        <f>SUMIF('MPG Payment '!$E$3:$E$344841,'Shayak Income '!D732,'MPG Payment '!$S$3:$S$344841)</f>
        <v>0</v>
      </c>
      <c r="R732" s="126">
        <f t="shared" si="206"/>
        <v>3459.9743999999996</v>
      </c>
      <c r="S732" s="126">
        <f t="shared" si="207"/>
        <v>888.22939999999971</v>
      </c>
      <c r="T732" s="126">
        <f t="shared" si="216"/>
        <v>270.70999999999998</v>
      </c>
      <c r="U732" s="127">
        <f>((((((IF(K732="New",0,SUMIF('MPG Payment '!$E$3:$E$344841,'Shayak Income '!D732,'MPG Payment '!$AC$3:$AC$344841))))+0)+0)+0)+0)+0</f>
        <v>79.272249949568959</v>
      </c>
      <c r="V732" s="127">
        <f t="shared" si="217"/>
        <v>4252</v>
      </c>
      <c r="W732" s="19">
        <f t="shared" si="218"/>
        <v>2306.6496000000002</v>
      </c>
      <c r="X732" s="19">
        <v>0</v>
      </c>
      <c r="Y732" s="128">
        <f>IFERROR(VLOOKUP(D732,'Monthly Deduction'!$M$2:$N$640,2,0),0)</f>
        <v>0</v>
      </c>
      <c r="Z732" s="128">
        <v>0</v>
      </c>
      <c r="AA732" s="126">
        <f>IFERROR(VLOOKUP(D732,'Monthly Deduction'!A:B,2,0),0)</f>
        <v>348.52</v>
      </c>
      <c r="AB732" s="129">
        <f t="shared" si="208"/>
        <v>1597</v>
      </c>
      <c r="AC732" s="130">
        <v>0</v>
      </c>
      <c r="AD732" s="35">
        <f t="shared" si="224"/>
        <v>1597</v>
      </c>
      <c r="AE732" s="166" t="str">
        <f t="shared" si="221"/>
        <v>Release</v>
      </c>
      <c r="AF732" s="127"/>
      <c r="AG732" s="18">
        <v>0</v>
      </c>
      <c r="AH732" s="132"/>
      <c r="AI732" s="238">
        <v>0</v>
      </c>
      <c r="AJ732" s="132"/>
      <c r="AK732" s="151">
        <v>562.30000000000007</v>
      </c>
      <c r="AL732" s="154">
        <f t="shared" si="209"/>
        <v>0</v>
      </c>
      <c r="AM732" s="155"/>
      <c r="AN732" s="19">
        <f t="shared" si="210"/>
        <v>2306.6496000000002</v>
      </c>
      <c r="AO732" s="118">
        <f>SUMIF('MPG Payment '!E:E,'Shayak Income '!D732,'MPG Payment '!AJ:AJ)</f>
        <v>0</v>
      </c>
      <c r="AP732" s="19">
        <f t="shared" si="211"/>
        <v>2306.6496000000002</v>
      </c>
      <c r="AQ732" s="119">
        <f t="shared" si="225"/>
        <v>2306.6496000000002</v>
      </c>
      <c r="AR732" s="91" t="s">
        <v>1144</v>
      </c>
      <c r="AS732" s="91">
        <f t="shared" si="212"/>
        <v>6400</v>
      </c>
      <c r="AT732" s="118"/>
      <c r="AU732" s="118"/>
      <c r="AV732" s="118"/>
    </row>
    <row r="733" spans="1:48" s="20" customFormat="1" x14ac:dyDescent="0.25">
      <c r="A733" s="17">
        <f>IFERROR(VLOOKUP(D733,'Monthly Deduction'!$I$3:$J$957,2,0),0)</f>
        <v>61797</v>
      </c>
      <c r="B733" s="17">
        <f>IFERROR(VLOOKUP(D733,'Monthly Deduction'!$E$3:$F$957,2,0),0)</f>
        <v>6400</v>
      </c>
      <c r="C733" s="17">
        <f t="shared" si="223"/>
        <v>68197</v>
      </c>
      <c r="D733" s="41">
        <v>10080120</v>
      </c>
      <c r="E733" s="122" t="str">
        <f>VLOOKUP(D733,'MPG Payment '!$E$3:$G$497305,2,0)</f>
        <v>Gomukh Rudauli-02</v>
      </c>
      <c r="F733" s="146">
        <f>IFERROR(_xlfn.XLOOKUP(D733,'Monthly Deduction'!$I$3:$I$957,'Monthly Deduction'!$H$3:$H$957),0)</f>
        <v>0</v>
      </c>
      <c r="G733" s="123" t="str">
        <f>VLOOKUP(D733,'MPG Payment '!$E$3:$G$333666,3,0)</f>
        <v>MPG</v>
      </c>
      <c r="H733" s="124" t="str">
        <f>VLOOKUP(D733,'MPG Payment '!$E$3:$H$333666,4,0)</f>
        <v>Direct</v>
      </c>
      <c r="I733" s="88">
        <f>INDEX('MPG Payment '!$C:$C,MATCH('Shayak Income '!D733,'MPG Payment '!E:E,0))</f>
        <v>1008</v>
      </c>
      <c r="J733" s="88" t="str">
        <f>INDEX('MPG Payment '!$D:$D,MATCH('Shayak Income '!D733,'MPG Payment '!E:E,0))</f>
        <v>Teghra</v>
      </c>
      <c r="K733" s="125" t="s">
        <v>1594</v>
      </c>
      <c r="L733" s="125">
        <v>46066</v>
      </c>
      <c r="M733" s="126">
        <f>SUMIF('MPG Payment '!$E$3:$E$344841,'Shayak Income '!D733,'MPG Payment '!$I$3:$I$344841)</f>
        <v>2305.6999999999998</v>
      </c>
      <c r="N733" s="126">
        <f>SUMIF('MPG Payment '!$E$3:$E$344841,'Shayak Income '!D733,'MPG Payment '!$J$3:$J$344841)</f>
        <v>90282.81</v>
      </c>
      <c r="O733" s="126">
        <f t="shared" si="214"/>
        <v>1729.2749999999999</v>
      </c>
      <c r="P733" s="126">
        <f t="shared" si="215"/>
        <v>2190.4149999999995</v>
      </c>
      <c r="Q733" s="126">
        <f>SUMIF('MPG Payment '!$E$3:$E$344841,'Shayak Income '!D733,'MPG Payment '!$S$3:$S$344841)</f>
        <v>0</v>
      </c>
      <c r="R733" s="126">
        <f t="shared" si="206"/>
        <v>2708.4842999999996</v>
      </c>
      <c r="S733" s="126">
        <f t="shared" si="207"/>
        <v>518.06930000000011</v>
      </c>
      <c r="T733" s="126">
        <f t="shared" si="216"/>
        <v>230.57</v>
      </c>
      <c r="U733" s="127">
        <f>((((((IF(K733="New",0,SUMIF('MPG Payment '!$E$3:$E$344841,'Shayak Income '!D733,'MPG Payment '!$AC$3:$AC$344841))))+0)+0)+0)+0)+0</f>
        <v>386.08397074979723</v>
      </c>
      <c r="V733" s="127">
        <f t="shared" si="217"/>
        <v>3303</v>
      </c>
      <c r="W733" s="19">
        <f t="shared" si="218"/>
        <v>1861</v>
      </c>
      <c r="X733" s="19">
        <v>0</v>
      </c>
      <c r="Y733" s="128">
        <f>IFERROR(VLOOKUP(D733,'Monthly Deduction'!$M$2:$N$640,2,0),0)</f>
        <v>0</v>
      </c>
      <c r="Z733" s="128">
        <v>0</v>
      </c>
      <c r="AA733" s="126">
        <f>IFERROR(VLOOKUP(D733,'Monthly Deduction'!A:B,2,0),0)</f>
        <v>0</v>
      </c>
      <c r="AB733" s="129">
        <f t="shared" si="208"/>
        <v>1442</v>
      </c>
      <c r="AC733" s="130">
        <v>0</v>
      </c>
      <c r="AD733" s="35">
        <f t="shared" si="224"/>
        <v>1442</v>
      </c>
      <c r="AE733" s="166" t="str">
        <f t="shared" si="221"/>
        <v>Release</v>
      </c>
      <c r="AF733" s="127"/>
      <c r="AG733" s="18">
        <v>0</v>
      </c>
      <c r="AH733" s="132"/>
      <c r="AI733" s="238">
        <v>0</v>
      </c>
      <c r="AJ733" s="132"/>
      <c r="AK733" s="151">
        <v>519.59999999999991</v>
      </c>
      <c r="AL733" s="154">
        <f t="shared" si="209"/>
        <v>0</v>
      </c>
      <c r="AM733" s="155"/>
      <c r="AN733" s="19">
        <f t="shared" si="210"/>
        <v>1861</v>
      </c>
      <c r="AO733" s="118">
        <f>SUMIF('MPG Payment '!E:E,'Shayak Income '!D733,'MPG Payment '!AJ:AJ)</f>
        <v>0</v>
      </c>
      <c r="AP733" s="19">
        <f t="shared" si="211"/>
        <v>1861</v>
      </c>
      <c r="AQ733" s="119">
        <f t="shared" si="225"/>
        <v>1861</v>
      </c>
      <c r="AR733" s="91" t="s">
        <v>1144</v>
      </c>
      <c r="AS733" s="91">
        <f t="shared" si="212"/>
        <v>6400</v>
      </c>
      <c r="AT733" s="118"/>
      <c r="AU733" s="118"/>
      <c r="AV733" s="118"/>
    </row>
    <row r="734" spans="1:48" s="20" customFormat="1" x14ac:dyDescent="0.25">
      <c r="A734" s="17">
        <f>IFERROR(VLOOKUP(D734,'Monthly Deduction'!$I$3:$J$957,2,0),0)</f>
        <v>60396.019002686866</v>
      </c>
      <c r="B734" s="17">
        <f>IFERROR(VLOOKUP(D734,'Monthly Deduction'!$E$3:$F$957,2,0),0)</f>
        <v>6400</v>
      </c>
      <c r="C734" s="17">
        <f t="shared" si="223"/>
        <v>66796.019002686866</v>
      </c>
      <c r="D734" s="41">
        <v>10110177</v>
      </c>
      <c r="E734" s="122" t="str">
        <f>VLOOKUP(D734,'MPG Payment '!$E$3:$G$497305,2,0)</f>
        <v>Hardia</v>
      </c>
      <c r="F734" s="146">
        <f>IFERROR(_xlfn.XLOOKUP(D734,'Monthly Deduction'!$I$3:$I$957,'Monthly Deduction'!$H$3:$H$957),0)</f>
        <v>0</v>
      </c>
      <c r="G734" s="123" t="str">
        <f>VLOOKUP(D734,'MPG Payment '!$E$3:$G$333666,3,0)</f>
        <v>MPG</v>
      </c>
      <c r="H734" s="124" t="str">
        <f>VLOOKUP(D734,'MPG Payment '!$E$3:$H$333666,4,0)</f>
        <v>Direct</v>
      </c>
      <c r="I734" s="88">
        <f>INDEX('MPG Payment '!$C:$C,MATCH('Shayak Income '!D734,'MPG Payment '!E:E,0))</f>
        <v>1011</v>
      </c>
      <c r="J734" s="88" t="str">
        <f>INDEX('MPG Payment '!$D:$D,MATCH('Shayak Income '!D734,'MPG Payment '!E:E,0))</f>
        <v>Sahibpur Kamal</v>
      </c>
      <c r="K734" s="125" t="s">
        <v>1594</v>
      </c>
      <c r="L734" s="125">
        <v>46067</v>
      </c>
      <c r="M734" s="126">
        <f>SUMIF('MPG Payment '!$E$3:$E$344841,'Shayak Income '!D734,'MPG Payment '!$I$3:$I$344841)</f>
        <v>3069.5</v>
      </c>
      <c r="N734" s="126">
        <f>SUMIF('MPG Payment '!$E$3:$E$344841,'Shayak Income '!D734,'MPG Payment '!$J$3:$J$344841)</f>
        <v>133915.9</v>
      </c>
      <c r="O734" s="126">
        <f t="shared" si="214"/>
        <v>2302.125</v>
      </c>
      <c r="P734" s="126">
        <f t="shared" si="215"/>
        <v>2916.0249999999996</v>
      </c>
      <c r="Q734" s="126">
        <f>SUMIF('MPG Payment '!$E$3:$E$344841,'Shayak Income '!D734,'MPG Payment '!$S$3:$S$344841)</f>
        <v>582.45000000000005</v>
      </c>
      <c r="R734" s="126">
        <f t="shared" si="206"/>
        <v>4017.4769999999999</v>
      </c>
      <c r="S734" s="126">
        <f t="shared" si="207"/>
        <v>1101.4520000000002</v>
      </c>
      <c r="T734" s="126">
        <f t="shared" si="216"/>
        <v>306.95000000000005</v>
      </c>
      <c r="U734" s="127">
        <f>((((((IF(K734="New",0,SUMIF('MPG Payment '!$E$3:$E$344841,'Shayak Income '!D734,'MPG Payment '!$AC$3:$AC$344841))))+0)+0)+0)+0)+0</f>
        <v>62.014552818861823</v>
      </c>
      <c r="V734" s="127">
        <f t="shared" si="217"/>
        <v>5432</v>
      </c>
      <c r="W734" s="19">
        <f t="shared" si="218"/>
        <v>2678.3179999999998</v>
      </c>
      <c r="X734" s="19">
        <v>0</v>
      </c>
      <c r="Y734" s="128">
        <f>IFERROR(VLOOKUP(D734,'Monthly Deduction'!$M$2:$N$640,2,0),0)</f>
        <v>0</v>
      </c>
      <c r="Z734" s="128">
        <v>0</v>
      </c>
      <c r="AA734" s="126">
        <f>IFERROR(VLOOKUP(D734,'Monthly Deduction'!A:B,2,0),0)</f>
        <v>0</v>
      </c>
      <c r="AB734" s="129">
        <f t="shared" si="208"/>
        <v>2754</v>
      </c>
      <c r="AC734" s="130">
        <v>0</v>
      </c>
      <c r="AD734" s="35">
        <f t="shared" si="224"/>
        <v>2754</v>
      </c>
      <c r="AE734" s="166" t="str">
        <f t="shared" si="221"/>
        <v>Release</v>
      </c>
      <c r="AF734" s="127"/>
      <c r="AG734" s="18">
        <v>0</v>
      </c>
      <c r="AH734" s="132"/>
      <c r="AI734" s="238">
        <v>0</v>
      </c>
      <c r="AJ734" s="132"/>
      <c r="AK734" s="151">
        <v>857.9</v>
      </c>
      <c r="AL734" s="154">
        <f t="shared" si="209"/>
        <v>0</v>
      </c>
      <c r="AM734" s="155"/>
      <c r="AN734" s="19">
        <f t="shared" si="210"/>
        <v>2678.3179999999998</v>
      </c>
      <c r="AO734" s="118">
        <f>SUMIF('MPG Payment '!E:E,'Shayak Income '!D734,'MPG Payment '!AJ:AJ)</f>
        <v>0</v>
      </c>
      <c r="AP734" s="19">
        <f t="shared" si="211"/>
        <v>2678.3179999999998</v>
      </c>
      <c r="AQ734" s="119">
        <f t="shared" si="225"/>
        <v>2678.3179999999998</v>
      </c>
      <c r="AR734" s="91" t="s">
        <v>1144</v>
      </c>
      <c r="AS734" s="91">
        <f t="shared" si="212"/>
        <v>6400</v>
      </c>
      <c r="AT734" s="118"/>
      <c r="AU734" s="118"/>
      <c r="AV734" s="118"/>
    </row>
    <row r="735" spans="1:48" s="20" customFormat="1" x14ac:dyDescent="0.25">
      <c r="A735" s="17">
        <f>IFERROR(VLOOKUP(D735,'Monthly Deduction'!$I$3:$J$957,2,0),0)</f>
        <v>0</v>
      </c>
      <c r="B735" s="17">
        <f>IFERROR(VLOOKUP(D735,'Monthly Deduction'!$E$3:$F$957,2,0),0)</f>
        <v>0</v>
      </c>
      <c r="C735" s="17">
        <f t="shared" si="223"/>
        <v>0</v>
      </c>
      <c r="D735" s="41">
        <v>10120088</v>
      </c>
      <c r="E735" s="122" t="str">
        <f>VLOOKUP(D735,'MPG Payment '!$E$3:$G$497305,2,0)</f>
        <v>Mithilanchal Dairy Products</v>
      </c>
      <c r="F735" s="146">
        <f>IFERROR(_xlfn.XLOOKUP(D735,'Monthly Deduction'!$I$3:$I$957,'Monthly Deduction'!$H$3:$H$957),0)</f>
        <v>0</v>
      </c>
      <c r="G735" s="123" t="str">
        <f>VLOOKUP(D735,'MPG Payment '!$E$3:$G$333666,3,0)</f>
        <v>vlc</v>
      </c>
      <c r="H735" s="124" t="str">
        <f>VLOOKUP(D735,'MPG Payment '!$E$3:$H$333666,4,0)</f>
        <v>Indirect</v>
      </c>
      <c r="I735" s="88">
        <f>INDEX('MPG Payment '!$C:$C,MATCH('Shayak Income '!D735,'MPG Payment '!E:E,0))</f>
        <v>1062</v>
      </c>
      <c r="J735" s="88" t="str">
        <f>INDEX('MPG Payment '!$D:$D,MATCH('Shayak Income '!D735,'MPG Payment '!E:E,0))</f>
        <v>Singhia BMC</v>
      </c>
      <c r="K735" s="125" t="s">
        <v>1594</v>
      </c>
      <c r="L735" s="125">
        <v>45597</v>
      </c>
      <c r="M735" s="126">
        <f>SUMIF('MPG Payment '!$E$3:$E$344841,'Shayak Income '!D735,'MPG Payment '!$I$3:$I$344841)</f>
        <v>25538.760000000002</v>
      </c>
      <c r="N735" s="126">
        <f>SUMIF('MPG Payment '!$E$3:$E$344841,'Shayak Income '!D735,'MPG Payment '!$J$3:$J$344841)</f>
        <v>1091332.9899999998</v>
      </c>
      <c r="O735" s="126">
        <f t="shared" si="214"/>
        <v>19154.07</v>
      </c>
      <c r="P735" s="126">
        <f t="shared" si="215"/>
        <v>24261.822</v>
      </c>
      <c r="Q735" s="126">
        <f>SUMIF('MPG Payment '!$E$3:$E$344841,'Shayak Income '!D735,'MPG Payment '!$S$3:$S$344841)</f>
        <v>0</v>
      </c>
      <c r="R735" s="126">
        <f t="shared" si="206"/>
        <v>32739.989699999991</v>
      </c>
      <c r="S735" s="126">
        <f t="shared" si="207"/>
        <v>8478.1676999999909</v>
      </c>
      <c r="T735" s="126">
        <f t="shared" si="216"/>
        <v>2553.8760000000002</v>
      </c>
      <c r="U735" s="127">
        <f>((((((IF(K735="New",0,SUMIF('MPG Payment '!$E$3:$E$344841,'Shayak Income '!D735,'MPG Payment '!$AC$3:$AC$344841))))+0)+0)+0)+0)+0</f>
        <v>0</v>
      </c>
      <c r="V735" s="127">
        <f t="shared" si="217"/>
        <v>40862</v>
      </c>
      <c r="W735" s="19">
        <f t="shared" si="218"/>
        <v>0</v>
      </c>
      <c r="X735" s="19">
        <f t="shared" si="219"/>
        <v>0</v>
      </c>
      <c r="Y735" s="128">
        <f>IFERROR(VLOOKUP(D735,'Monthly Deduction'!$M$2:$N$640,2,0),0)</f>
        <v>0</v>
      </c>
      <c r="Z735" s="128">
        <v>0</v>
      </c>
      <c r="AA735" s="126">
        <f>IFERROR(VLOOKUP(D735,'Monthly Deduction'!A:B,2,0),0)</f>
        <v>0</v>
      </c>
      <c r="AB735" s="129">
        <f t="shared" si="208"/>
        <v>40862</v>
      </c>
      <c r="AC735" s="130">
        <v>0</v>
      </c>
      <c r="AD735" s="35">
        <f t="shared" si="224"/>
        <v>40862</v>
      </c>
      <c r="AE735" s="166" t="str">
        <f t="shared" si="221"/>
        <v>Release</v>
      </c>
      <c r="AF735" s="127"/>
      <c r="AG735" s="18">
        <v>0</v>
      </c>
      <c r="AH735" s="120"/>
      <c r="AI735" s="238">
        <v>0</v>
      </c>
      <c r="AJ735" s="132"/>
      <c r="AK735" s="151">
        <v>6907.2199999999993</v>
      </c>
      <c r="AL735" s="154">
        <f t="shared" si="209"/>
        <v>0</v>
      </c>
      <c r="AM735" s="155"/>
      <c r="AN735" s="19">
        <f t="shared" si="210"/>
        <v>0</v>
      </c>
      <c r="AO735" s="118">
        <f>SUMIF('MPG Payment '!E:E,'Shayak Income '!D735,'MPG Payment '!AJ:AJ)</f>
        <v>0</v>
      </c>
      <c r="AP735" s="19">
        <f t="shared" si="211"/>
        <v>0</v>
      </c>
      <c r="AQ735" s="119">
        <f t="shared" si="225"/>
        <v>0</v>
      </c>
      <c r="AR735" s="91" t="s">
        <v>1144</v>
      </c>
      <c r="AS735" s="91">
        <f t="shared" si="212"/>
        <v>0</v>
      </c>
      <c r="AT735" s="118"/>
      <c r="AU735" s="118"/>
      <c r="AV735" s="118"/>
    </row>
    <row r="736" spans="1:48" s="20" customFormat="1" x14ac:dyDescent="0.25">
      <c r="A736" s="17">
        <f>IFERROR(VLOOKUP(D736,'Monthly Deduction'!$I$3:$J$957,2,0),0)</f>
        <v>72800</v>
      </c>
      <c r="B736" s="17">
        <f>IFERROR(VLOOKUP(D736,'Monthly Deduction'!$E$3:$F$957,2,0),0)</f>
        <v>0</v>
      </c>
      <c r="C736" s="17">
        <f t="shared" si="223"/>
        <v>72800</v>
      </c>
      <c r="D736" s="41">
        <v>10130117</v>
      </c>
      <c r="E736" s="122" t="str">
        <f>VLOOKUP(D736,'MPG Payment '!$E$3:$G$497305,2,0)</f>
        <v>GOMUKH Bhagwatpur East</v>
      </c>
      <c r="F736" s="146">
        <f>IFERROR(_xlfn.XLOOKUP(D736,'Monthly Deduction'!$I$3:$I$957,'Monthly Deduction'!$H$3:$H$957),0)</f>
        <v>0</v>
      </c>
      <c r="G736" s="123" t="str">
        <f>VLOOKUP(D736,'MPG Payment '!$E$3:$G$333666,3,0)</f>
        <v>MPG</v>
      </c>
      <c r="H736" s="124" t="str">
        <f>VLOOKUP(D736,'MPG Payment '!$E$3:$H$333666,4,0)</f>
        <v>Direct</v>
      </c>
      <c r="I736" s="88">
        <f>INDEX('MPG Payment '!$C:$C,MATCH('Shayak Income '!D736,'MPG Payment '!E:E,0))</f>
        <v>1013</v>
      </c>
      <c r="J736" s="88" t="str">
        <f>INDEX('MPG Payment '!$D:$D,MATCH('Shayak Income '!D736,'MPG Payment '!E:E,0))</f>
        <v>Musrigharari</v>
      </c>
      <c r="K736" s="125" t="s">
        <v>1594</v>
      </c>
      <c r="L736" s="125">
        <v>46069</v>
      </c>
      <c r="M736" s="126">
        <f>SUMIF('MPG Payment '!$E$3:$E$344841,'Shayak Income '!D736,'MPG Payment '!$I$3:$I$344841)</f>
        <v>1125.2</v>
      </c>
      <c r="N736" s="126">
        <f>SUMIF('MPG Payment '!$E$3:$E$344841,'Shayak Income '!D736,'MPG Payment '!$J$3:$J$344841)</f>
        <v>35052.57</v>
      </c>
      <c r="O736" s="126">
        <f t="shared" si="214"/>
        <v>843.90000000000009</v>
      </c>
      <c r="P736" s="126">
        <f t="shared" si="215"/>
        <v>1068.94</v>
      </c>
      <c r="Q736" s="126">
        <f>SUMIF('MPG Payment '!$E$3:$E$344841,'Shayak Income '!D736,'MPG Payment '!$S$3:$S$344841)</f>
        <v>0</v>
      </c>
      <c r="R736" s="126">
        <f t="shared" si="206"/>
        <v>1051.5771</v>
      </c>
      <c r="S736" s="126">
        <f t="shared" si="207"/>
        <v>-17.362900000000081</v>
      </c>
      <c r="T736" s="126">
        <f t="shared" si="216"/>
        <v>112.52000000000001</v>
      </c>
      <c r="U736" s="127">
        <f>((((((IF(K736="New",0,SUMIF('MPG Payment '!$E$3:$E$344841,'Shayak Income '!D736,'MPG Payment '!$AC$3:$AC$344841))))+0)+0)+0)+0)+0</f>
        <v>1044.8208254662968</v>
      </c>
      <c r="V736" s="127">
        <f t="shared" si="217"/>
        <v>755</v>
      </c>
      <c r="W736" s="19">
        <v>755</v>
      </c>
      <c r="X736" s="19">
        <v>0</v>
      </c>
      <c r="Y736" s="128">
        <f>IFERROR(VLOOKUP(D736,'Monthly Deduction'!$M$2:$N$640,2,0),0)</f>
        <v>0</v>
      </c>
      <c r="Z736" s="128">
        <v>0</v>
      </c>
      <c r="AA736" s="126">
        <f>IFERROR(VLOOKUP(D736,'Monthly Deduction'!A:B,2,0),0)</f>
        <v>0</v>
      </c>
      <c r="AB736" s="129">
        <f t="shared" si="208"/>
        <v>0</v>
      </c>
      <c r="AC736" s="130">
        <f>AB736</f>
        <v>0</v>
      </c>
      <c r="AD736" s="35">
        <f t="shared" si="224"/>
        <v>0</v>
      </c>
      <c r="AE736" s="166" t="str">
        <f t="shared" si="221"/>
        <v>Release</v>
      </c>
      <c r="AF736" s="127"/>
      <c r="AG736" s="18">
        <v>0</v>
      </c>
      <c r="AH736" s="120" t="s">
        <v>1686</v>
      </c>
      <c r="AI736" s="238">
        <v>10000</v>
      </c>
      <c r="AJ736" s="132"/>
      <c r="AK736" s="151">
        <v>240.79999999999995</v>
      </c>
      <c r="AL736" s="154">
        <f t="shared" si="209"/>
        <v>0</v>
      </c>
      <c r="AM736" s="155"/>
      <c r="AN736" s="19">
        <f t="shared" si="210"/>
        <v>1861</v>
      </c>
      <c r="AO736" s="118">
        <f>SUMIF('MPG Payment '!E:E,'Shayak Income '!D736,'MPG Payment '!AJ:AJ)</f>
        <v>0</v>
      </c>
      <c r="AP736" s="19">
        <f t="shared" si="211"/>
        <v>755</v>
      </c>
      <c r="AQ736" s="119">
        <f t="shared" si="225"/>
        <v>755</v>
      </c>
      <c r="AR736" s="91" t="s">
        <v>1144</v>
      </c>
      <c r="AS736" s="91">
        <f t="shared" si="212"/>
        <v>0</v>
      </c>
      <c r="AT736" s="118"/>
      <c r="AU736" s="118"/>
      <c r="AV736" s="118"/>
    </row>
    <row r="737" spans="1:48" s="20" customFormat="1" x14ac:dyDescent="0.25">
      <c r="A737" s="17">
        <f>IFERROR(VLOOKUP(D737,'Monthly Deduction'!$I$3:$J$957,2,0),0)</f>
        <v>0</v>
      </c>
      <c r="B737" s="17">
        <f>IFERROR(VLOOKUP(D737,'Monthly Deduction'!$E$3:$F$957,2,0),0)</f>
        <v>0</v>
      </c>
      <c r="C737" s="17">
        <f t="shared" si="223"/>
        <v>0</v>
      </c>
      <c r="D737" s="41">
        <v>10530107</v>
      </c>
      <c r="E737" s="122" t="str">
        <f>VLOOKUP(D737,'MPG Payment '!$E$3:$G$497305,2,0)</f>
        <v>Gomukh NAMAPUR East</v>
      </c>
      <c r="F737" s="146">
        <f>IFERROR(_xlfn.XLOOKUP(D737,'Monthly Deduction'!$I$3:$I$957,'Monthly Deduction'!$H$3:$H$957),0)</f>
        <v>0</v>
      </c>
      <c r="G737" s="123" t="str">
        <f>VLOOKUP(D737,'MPG Payment '!$E$3:$G$333666,3,0)</f>
        <v>vlc</v>
      </c>
      <c r="H737" s="124" t="str">
        <f>VLOOKUP(D737,'MPG Payment '!$E$3:$H$333666,4,0)</f>
        <v>Indirect</v>
      </c>
      <c r="I737" s="88">
        <f>INDEX('MPG Payment '!$C:$C,MATCH('Shayak Income '!D737,'MPG Payment '!E:E,0))</f>
        <v>1053</v>
      </c>
      <c r="J737" s="88" t="str">
        <f>INDEX('MPG Payment '!$D:$D,MATCH('Shayak Income '!D737,'MPG Payment '!E:E,0))</f>
        <v>Kalyanpur</v>
      </c>
      <c r="K737" s="125" t="s">
        <v>1594</v>
      </c>
      <c r="L737" s="125">
        <v>46067</v>
      </c>
      <c r="M737" s="126">
        <f>SUMIF('MPG Payment '!$E$3:$E$344841,'Shayak Income '!D737,'MPG Payment '!$I$3:$I$344841)</f>
        <v>1836.75</v>
      </c>
      <c r="N737" s="126">
        <f>SUMIF('MPG Payment '!$E$3:$E$344841,'Shayak Income '!D737,'MPG Payment '!$J$3:$J$344841)</f>
        <v>104307.57</v>
      </c>
      <c r="O737" s="126">
        <f t="shared" si="214"/>
        <v>1377.5625</v>
      </c>
      <c r="P737" s="126">
        <f t="shared" si="215"/>
        <v>1744.9124999999999</v>
      </c>
      <c r="Q737" s="126">
        <f>SUMIF('MPG Payment '!$E$3:$E$344841,'Shayak Income '!D737,'MPG Payment '!$S$3:$S$344841)</f>
        <v>0</v>
      </c>
      <c r="R737" s="126">
        <f t="shared" si="206"/>
        <v>3129.2271000000001</v>
      </c>
      <c r="S737" s="126">
        <f t="shared" si="207"/>
        <v>1384.3146000000002</v>
      </c>
      <c r="T737" s="126">
        <f t="shared" si="216"/>
        <v>183.67500000000001</v>
      </c>
      <c r="U737" s="127">
        <f>((((((IF(K737="New",0,SUMIF('MPG Payment '!$E$3:$E$344841,'Shayak Income '!D737,'MPG Payment '!$AC$3:$AC$344841))))+0)+0)+0)+0)+0</f>
        <v>1156.2654135346695</v>
      </c>
      <c r="V737" s="127">
        <f t="shared" si="217"/>
        <v>1783</v>
      </c>
      <c r="W737" s="19">
        <f t="shared" si="218"/>
        <v>0</v>
      </c>
      <c r="X737" s="19">
        <f t="shared" si="219"/>
        <v>0</v>
      </c>
      <c r="Y737" s="128">
        <f>IFERROR(VLOOKUP(D737,'Monthly Deduction'!$M$2:$N$640,2,0),0)</f>
        <v>0</v>
      </c>
      <c r="Z737" s="128">
        <v>0</v>
      </c>
      <c r="AA737" s="126">
        <f>IFERROR(VLOOKUP(D737,'Monthly Deduction'!A:B,2,0),0)</f>
        <v>0</v>
      </c>
      <c r="AB737" s="129">
        <f t="shared" si="208"/>
        <v>1783</v>
      </c>
      <c r="AC737" s="130">
        <v>0</v>
      </c>
      <c r="AD737" s="35">
        <f t="shared" si="224"/>
        <v>1783</v>
      </c>
      <c r="AE737" s="166" t="str">
        <f t="shared" si="221"/>
        <v>Release</v>
      </c>
      <c r="AF737" s="127"/>
      <c r="AG737" s="18">
        <v>0</v>
      </c>
      <c r="AH737" s="132"/>
      <c r="AI737" s="238">
        <v>0</v>
      </c>
      <c r="AJ737" s="132"/>
      <c r="AK737" s="151">
        <v>482.79999999999995</v>
      </c>
      <c r="AL737" s="154">
        <f t="shared" si="209"/>
        <v>0</v>
      </c>
      <c r="AM737" s="155"/>
      <c r="AN737" s="19">
        <f t="shared" si="210"/>
        <v>0</v>
      </c>
      <c r="AO737" s="118">
        <f>SUMIF('MPG Payment '!E:E,'Shayak Income '!D737,'MPG Payment '!AJ:AJ)</f>
        <v>0</v>
      </c>
      <c r="AP737" s="19">
        <f t="shared" si="211"/>
        <v>0</v>
      </c>
      <c r="AQ737" s="119">
        <f t="shared" si="225"/>
        <v>0</v>
      </c>
      <c r="AR737" s="91" t="s">
        <v>1144</v>
      </c>
      <c r="AS737" s="91">
        <f t="shared" si="212"/>
        <v>0</v>
      </c>
      <c r="AT737" s="118"/>
      <c r="AU737" s="118"/>
      <c r="AV737" s="118"/>
    </row>
    <row r="738" spans="1:48" s="20" customFormat="1" x14ac:dyDescent="0.25">
      <c r="A738" s="17">
        <f>IFERROR(VLOOKUP(D738,'Monthly Deduction'!$I$3:$J$957,2,0),0)</f>
        <v>0</v>
      </c>
      <c r="B738" s="17">
        <f>IFERROR(VLOOKUP(D738,'Monthly Deduction'!$E$3:$F$957,2,0),0)</f>
        <v>0</v>
      </c>
      <c r="C738" s="17">
        <f t="shared" si="223"/>
        <v>0</v>
      </c>
      <c r="D738" s="41">
        <v>10540045</v>
      </c>
      <c r="E738" s="122" t="str">
        <f>VLOOKUP(D738,'MPG Payment '!$E$3:$G$497305,2,0)</f>
        <v>VLC Sunil Khas</v>
      </c>
      <c r="F738" s="146">
        <f>IFERROR(_xlfn.XLOOKUP(D738,'Monthly Deduction'!$I$3:$I$957,'Monthly Deduction'!$H$3:$H$957),0)</f>
        <v>0</v>
      </c>
      <c r="G738" s="123" t="str">
        <f>VLOOKUP(D738,'MPG Payment '!$E$3:$G$333666,3,0)</f>
        <v>vlc</v>
      </c>
      <c r="H738" s="124" t="str">
        <f>VLOOKUP(D738,'MPG Payment '!$E$3:$H$333666,4,0)</f>
        <v>Indirect</v>
      </c>
      <c r="I738" s="88">
        <f>INDEX('MPG Payment '!$C:$C,MATCH('Shayak Income '!D738,'MPG Payment '!E:E,0))</f>
        <v>1054</v>
      </c>
      <c r="J738" s="88" t="str">
        <f>INDEX('MPG Payment '!$D:$D,MATCH('Shayak Income '!D738,'MPG Payment '!E:E,0))</f>
        <v xml:space="preserve">Alauli </v>
      </c>
      <c r="K738" s="125" t="s">
        <v>1594</v>
      </c>
      <c r="L738" s="125">
        <v>46070</v>
      </c>
      <c r="M738" s="126">
        <f>SUMIF('MPG Payment '!$E$3:$E$344841,'Shayak Income '!D738,'MPG Payment '!$I$3:$I$344841)</f>
        <v>3021.3</v>
      </c>
      <c r="N738" s="126">
        <f>SUMIF('MPG Payment '!$E$3:$E$344841,'Shayak Income '!D738,'MPG Payment '!$J$3:$J$344841)</f>
        <v>130826.26999999999</v>
      </c>
      <c r="O738" s="126">
        <f t="shared" si="214"/>
        <v>2265.9750000000004</v>
      </c>
      <c r="P738" s="126">
        <f t="shared" si="215"/>
        <v>2870.2350000000001</v>
      </c>
      <c r="Q738" s="126">
        <f>SUMIF('MPG Payment '!$E$3:$E$344841,'Shayak Income '!D738,'MPG Payment '!$S$3:$S$344841)</f>
        <v>0</v>
      </c>
      <c r="R738" s="126">
        <f t="shared" si="206"/>
        <v>3924.7880999999998</v>
      </c>
      <c r="S738" s="126">
        <f t="shared" si="207"/>
        <v>1054.5530999999996</v>
      </c>
      <c r="T738" s="126">
        <f t="shared" si="216"/>
        <v>302.13000000000005</v>
      </c>
      <c r="U738" s="127">
        <f>((((((IF(K738="New",0,SUMIF('MPG Payment '!$E$3:$E$344841,'Shayak Income '!D738,'MPG Payment '!$AC$3:$AC$344841))))+0)+0)+0)+0)+0</f>
        <v>65.254128088447246</v>
      </c>
      <c r="V738" s="127">
        <f t="shared" si="217"/>
        <v>4769</v>
      </c>
      <c r="W738" s="19">
        <f t="shared" si="218"/>
        <v>0</v>
      </c>
      <c r="X738" s="19">
        <f t="shared" si="219"/>
        <v>0</v>
      </c>
      <c r="Y738" s="128">
        <f>IFERROR(VLOOKUP(D738,'Monthly Deduction'!$M$2:$N$640,2,0),0)</f>
        <v>0</v>
      </c>
      <c r="Z738" s="128">
        <v>0</v>
      </c>
      <c r="AA738" s="126">
        <f>IFERROR(VLOOKUP(D738,'Monthly Deduction'!A:B,2,0),0)</f>
        <v>0</v>
      </c>
      <c r="AB738" s="129">
        <f t="shared" si="208"/>
        <v>4769</v>
      </c>
      <c r="AC738" s="130">
        <v>0</v>
      </c>
      <c r="AD738" s="35">
        <f t="shared" si="224"/>
        <v>4769</v>
      </c>
      <c r="AE738" s="166" t="str">
        <f t="shared" si="221"/>
        <v>Release</v>
      </c>
      <c r="AF738" s="127"/>
      <c r="AG738" s="18">
        <v>0</v>
      </c>
      <c r="AH738" s="132"/>
      <c r="AI738" s="238">
        <v>0</v>
      </c>
      <c r="AJ738" s="132"/>
      <c r="AK738" s="151">
        <v>828.2</v>
      </c>
      <c r="AL738" s="154">
        <f t="shared" si="209"/>
        <v>0</v>
      </c>
      <c r="AM738" s="155"/>
      <c r="AN738" s="19">
        <f t="shared" si="210"/>
        <v>0</v>
      </c>
      <c r="AO738" s="118">
        <f>SUMIF('MPG Payment '!E:E,'Shayak Income '!D738,'MPG Payment '!AJ:AJ)</f>
        <v>0</v>
      </c>
      <c r="AP738" s="19">
        <f t="shared" si="211"/>
        <v>0</v>
      </c>
      <c r="AQ738" s="119">
        <f t="shared" si="225"/>
        <v>0</v>
      </c>
      <c r="AR738" s="91" t="s">
        <v>1144</v>
      </c>
      <c r="AS738" s="91">
        <f t="shared" si="212"/>
        <v>0</v>
      </c>
      <c r="AT738" s="118"/>
      <c r="AU738" s="118"/>
      <c r="AV738" s="118"/>
    </row>
    <row r="739" spans="1:48" s="20" customFormat="1" x14ac:dyDescent="0.25">
      <c r="A739" s="17">
        <f>IFERROR(VLOOKUP(D739,'Monthly Deduction'!$I$3:$J$957,2,0),0)</f>
        <v>0</v>
      </c>
      <c r="B739" s="17">
        <f>IFERROR(VLOOKUP(D739,'Monthly Deduction'!$E$3:$F$957,2,0),0)</f>
        <v>0</v>
      </c>
      <c r="C739" s="17">
        <f t="shared" si="223"/>
        <v>0</v>
      </c>
      <c r="D739" s="41">
        <v>10560034</v>
      </c>
      <c r="E739" s="122" t="str">
        <f>VLOOKUP(D739,'MPG Payment '!$E$3:$G$497305,2,0)</f>
        <v>Gomukh Nawadai Vlc</v>
      </c>
      <c r="F739" s="146">
        <f>IFERROR(_xlfn.XLOOKUP(D739,'Monthly Deduction'!$I$3:$I$957,'Monthly Deduction'!$H$3:$H$957),0)</f>
        <v>0</v>
      </c>
      <c r="G739" s="123" t="str">
        <f>VLOOKUP(D739,'MPG Payment '!$E$3:$G$333666,3,0)</f>
        <v>vlc</v>
      </c>
      <c r="H739" s="124" t="str">
        <f>VLOOKUP(D739,'MPG Payment '!$E$3:$H$333666,4,0)</f>
        <v>Indirect</v>
      </c>
      <c r="I739" s="88">
        <f>INDEX('MPG Payment '!$C:$C,MATCH('Shayak Income '!D739,'MPG Payment '!E:E,0))</f>
        <v>1056</v>
      </c>
      <c r="J739" s="88" t="str">
        <f>INDEX('MPG Payment '!$D:$D,MATCH('Shayak Income '!D739,'MPG Payment '!E:E,0))</f>
        <v>Chautham</v>
      </c>
      <c r="K739" s="125" t="s">
        <v>1594</v>
      </c>
      <c r="L739" s="125">
        <v>46066</v>
      </c>
      <c r="M739" s="126">
        <f>SUMIF('MPG Payment '!$E$3:$E$344841,'Shayak Income '!D739,'MPG Payment '!$I$3:$I$344841)</f>
        <v>448.86</v>
      </c>
      <c r="N739" s="126">
        <f>SUMIF('MPG Payment '!$E$3:$E$344841,'Shayak Income '!D739,'MPG Payment '!$J$3:$J$344841)</f>
        <v>15830.369999999999</v>
      </c>
      <c r="O739" s="126">
        <f t="shared" si="214"/>
        <v>336.64499999999998</v>
      </c>
      <c r="P739" s="126">
        <f t="shared" si="215"/>
        <v>426.41699999999997</v>
      </c>
      <c r="Q739" s="126">
        <f>SUMIF('MPG Payment '!$E$3:$E$344841,'Shayak Income '!D739,'MPG Payment '!$S$3:$S$344841)</f>
        <v>0</v>
      </c>
      <c r="R739" s="126">
        <f t="shared" si="206"/>
        <v>474.91109999999998</v>
      </c>
      <c r="S739" s="126">
        <f t="shared" si="207"/>
        <v>48.494100000000003</v>
      </c>
      <c r="T739" s="126">
        <f t="shared" si="216"/>
        <v>44.886000000000003</v>
      </c>
      <c r="U739" s="127">
        <f>((((((IF(K739="New",0,SUMIF('MPG Payment '!$E$3:$E$344841,'Shayak Income '!D739,'MPG Payment '!$AC$3:$AC$344841))))+0)+0)+0)+0)+-965</f>
        <v>718.21483597785846</v>
      </c>
      <c r="V739" s="127">
        <f t="shared" si="217"/>
        <v>0</v>
      </c>
      <c r="W739" s="19">
        <v>0</v>
      </c>
      <c r="X739" s="19">
        <v>0</v>
      </c>
      <c r="Y739" s="128">
        <v>0</v>
      </c>
      <c r="Z739" s="128">
        <v>0</v>
      </c>
      <c r="AA739" s="126">
        <v>0</v>
      </c>
      <c r="AB739" s="129">
        <f t="shared" si="208"/>
        <v>0</v>
      </c>
      <c r="AC739" s="130">
        <v>0</v>
      </c>
      <c r="AD739" s="35">
        <f t="shared" si="224"/>
        <v>0</v>
      </c>
      <c r="AE739" s="166" t="str">
        <f t="shared" si="221"/>
        <v>Release</v>
      </c>
      <c r="AF739" s="127"/>
      <c r="AG739" s="18">
        <v>0</v>
      </c>
      <c r="AH739" s="120"/>
      <c r="AI739" s="238">
        <v>0</v>
      </c>
      <c r="AJ739" s="132"/>
      <c r="AK739" s="151">
        <v>24.82</v>
      </c>
      <c r="AL739" s="154">
        <f t="shared" si="209"/>
        <v>0</v>
      </c>
      <c r="AM739" s="155"/>
      <c r="AN739" s="19">
        <f t="shared" si="210"/>
        <v>0</v>
      </c>
      <c r="AO739" s="118">
        <f>SUMIF('MPG Payment '!E:E,'Shayak Income '!D739,'MPG Payment '!AJ:AJ)</f>
        <v>0</v>
      </c>
      <c r="AP739" s="19">
        <f t="shared" si="211"/>
        <v>0</v>
      </c>
      <c r="AQ739" s="119">
        <f t="shared" si="225"/>
        <v>0</v>
      </c>
      <c r="AR739" s="91" t="s">
        <v>1144</v>
      </c>
      <c r="AS739" s="91">
        <f t="shared" si="212"/>
        <v>0</v>
      </c>
      <c r="AT739" s="118"/>
      <c r="AU739" s="118"/>
      <c r="AV739" s="118"/>
    </row>
    <row r="740" spans="1:48" s="20" customFormat="1" x14ac:dyDescent="0.25">
      <c r="A740" s="17">
        <f>IFERROR(VLOOKUP(D740,'Monthly Deduction'!$I$3:$J$957,2,0),0)</f>
        <v>67583.663797682995</v>
      </c>
      <c r="B740" s="17">
        <f>IFERROR(VLOOKUP(D740,'Monthly Deduction'!$E$3:$F$957,2,0),0)</f>
        <v>6400</v>
      </c>
      <c r="C740" s="17">
        <f t="shared" si="223"/>
        <v>73983.663797682995</v>
      </c>
      <c r="D740" s="41">
        <v>10570045</v>
      </c>
      <c r="E740" s="122" t="str">
        <f>VLOOKUP(D740,'MPG Payment '!$E$3:$G$497305,2,0)</f>
        <v>Buzurgdoar</v>
      </c>
      <c r="F740" s="146">
        <f>IFERROR(_xlfn.XLOOKUP(D740,'Monthly Deduction'!$I$3:$I$957,'Monthly Deduction'!$H$3:$H$957),0)</f>
        <v>0</v>
      </c>
      <c r="G740" s="123" t="str">
        <f>VLOOKUP(D740,'MPG Payment '!$E$3:$G$333666,3,0)</f>
        <v>MPG</v>
      </c>
      <c r="H740" s="124" t="str">
        <f>VLOOKUP(D740,'MPG Payment '!$E$3:$H$333666,4,0)</f>
        <v>Direct</v>
      </c>
      <c r="I740" s="88">
        <f>INDEX('MPG Payment '!$C:$C,MATCH('Shayak Income '!D740,'MPG Payment '!E:E,0))</f>
        <v>1057</v>
      </c>
      <c r="J740" s="88" t="str">
        <f>INDEX('MPG Payment '!$D:$D,MATCH('Shayak Income '!D740,'MPG Payment '!E:E,0))</f>
        <v>Warisnagar</v>
      </c>
      <c r="K740" s="125" t="s">
        <v>1594</v>
      </c>
      <c r="L740" s="125">
        <v>46066</v>
      </c>
      <c r="M740" s="126">
        <f>SUMIF('MPG Payment '!$E$3:$E$344841,'Shayak Income '!D740,'MPG Payment '!$I$3:$I$344841)</f>
        <v>4150.2</v>
      </c>
      <c r="N740" s="126">
        <f>SUMIF('MPG Payment '!$E$3:$E$344841,'Shayak Income '!D740,'MPG Payment '!$J$3:$J$344841)</f>
        <v>168211.93000000002</v>
      </c>
      <c r="O740" s="126">
        <f t="shared" si="214"/>
        <v>3112.6499999999996</v>
      </c>
      <c r="P740" s="126">
        <f t="shared" si="215"/>
        <v>3942.6899999999996</v>
      </c>
      <c r="Q740" s="126">
        <f>SUMIF('MPG Payment '!$E$3:$E$344841,'Shayak Income '!D740,'MPG Payment '!$S$3:$S$344841)</f>
        <v>97.45</v>
      </c>
      <c r="R740" s="126">
        <f t="shared" si="206"/>
        <v>5046.3579000000009</v>
      </c>
      <c r="S740" s="126">
        <f t="shared" si="207"/>
        <v>1103.6679000000013</v>
      </c>
      <c r="T740" s="126">
        <f t="shared" si="216"/>
        <v>415.02</v>
      </c>
      <c r="U740" s="127">
        <f>((((((IF(K740="New",0,SUMIF('MPG Payment '!$E$3:$E$344841,'Shayak Income '!D740,'MPG Payment '!$AC$3:$AC$344841))))+0)+0)+0)+0)+0</f>
        <v>0</v>
      </c>
      <c r="V740" s="127">
        <f t="shared" si="217"/>
        <v>6738</v>
      </c>
      <c r="W740" s="19">
        <f t="shared" si="218"/>
        <v>3364.2386000000006</v>
      </c>
      <c r="X740" s="19">
        <v>0</v>
      </c>
      <c r="Y740" s="128">
        <f>IFERROR(VLOOKUP(D740,'Monthly Deduction'!$M$2:$N$640,2,0),0)</f>
        <v>0</v>
      </c>
      <c r="Z740" s="128">
        <v>0</v>
      </c>
      <c r="AA740" s="126">
        <f>IFERROR(VLOOKUP(D740,'Monthly Deduction'!A:B,2,0),0)</f>
        <v>54.900000000000006</v>
      </c>
      <c r="AB740" s="129">
        <f t="shared" si="208"/>
        <v>3319</v>
      </c>
      <c r="AC740" s="130">
        <f>AB740</f>
        <v>3319</v>
      </c>
      <c r="AD740" s="35">
        <f t="shared" si="224"/>
        <v>0</v>
      </c>
      <c r="AE740" s="166" t="str">
        <f t="shared" si="221"/>
        <v>Yes</v>
      </c>
      <c r="AF740" s="127"/>
      <c r="AG740" s="18">
        <v>0</v>
      </c>
      <c r="AH740" s="120" t="s">
        <v>1685</v>
      </c>
      <c r="AI740" s="238">
        <v>10000</v>
      </c>
      <c r="AJ740" s="132"/>
      <c r="AK740" s="151">
        <v>1004.9</v>
      </c>
      <c r="AL740" s="154">
        <f t="shared" si="209"/>
        <v>0</v>
      </c>
      <c r="AM740" s="155"/>
      <c r="AN740" s="19">
        <f t="shared" si="210"/>
        <v>3364.2386000000006</v>
      </c>
      <c r="AO740" s="118">
        <f>SUMIF('MPG Payment '!E:E,'Shayak Income '!D740,'MPG Payment '!AJ:AJ)</f>
        <v>0</v>
      </c>
      <c r="AP740" s="19">
        <f t="shared" si="211"/>
        <v>3364.2386000000006</v>
      </c>
      <c r="AQ740" s="119">
        <f t="shared" si="225"/>
        <v>3364.2386000000006</v>
      </c>
      <c r="AR740" s="91" t="s">
        <v>1144</v>
      </c>
      <c r="AS740" s="91">
        <f t="shared" si="212"/>
        <v>6400</v>
      </c>
      <c r="AT740" s="118"/>
      <c r="AU740" s="118"/>
      <c r="AV740" s="118"/>
    </row>
    <row r="741" spans="1:48" s="20" customFormat="1" x14ac:dyDescent="0.25">
      <c r="A741" s="17">
        <f>IFERROR(VLOOKUP(D741,'Monthly Deduction'!$I$3:$J$957,2,0),0)</f>
        <v>0</v>
      </c>
      <c r="B741" s="17">
        <f>IFERROR(VLOOKUP(D741,'Monthly Deduction'!$E$3:$F$957,2,0),0)</f>
        <v>0</v>
      </c>
      <c r="C741" s="17">
        <f t="shared" si="223"/>
        <v>0</v>
      </c>
      <c r="D741" s="41">
        <v>10570046</v>
      </c>
      <c r="E741" s="122" t="str">
        <f>VLOOKUP(D741,'MPG Payment '!$E$3:$G$497305,2,0)</f>
        <v>Patpara</v>
      </c>
      <c r="F741" s="146">
        <f>IFERROR(_xlfn.XLOOKUP(D741,'Monthly Deduction'!$I$3:$I$957,'Monthly Deduction'!$H$3:$H$957),0)</f>
        <v>0</v>
      </c>
      <c r="G741" s="123" t="str">
        <f>VLOOKUP(D741,'MPG Payment '!$E$3:$G$333666,3,0)</f>
        <v>vlc</v>
      </c>
      <c r="H741" s="124" t="str">
        <f>VLOOKUP(D741,'MPG Payment '!$E$3:$H$333666,4,0)</f>
        <v>Indirect</v>
      </c>
      <c r="I741" s="88">
        <f>INDEX('MPG Payment '!$C:$C,MATCH('Shayak Income '!D741,'MPG Payment '!E:E,0))</f>
        <v>1057</v>
      </c>
      <c r="J741" s="88" t="str">
        <f>INDEX('MPG Payment '!$D:$D,MATCH('Shayak Income '!D741,'MPG Payment '!E:E,0))</f>
        <v>Warisnagar</v>
      </c>
      <c r="K741" s="125" t="s">
        <v>1594</v>
      </c>
      <c r="L741" s="125">
        <v>46066</v>
      </c>
      <c r="M741" s="126">
        <f>SUMIF('MPG Payment '!$E$3:$E$344841,'Shayak Income '!D741,'MPG Payment '!$I$3:$I$344841)</f>
        <v>1973.8</v>
      </c>
      <c r="N741" s="126">
        <f>SUMIF('MPG Payment '!$E$3:$E$344841,'Shayak Income '!D741,'MPG Payment '!$J$3:$J$344841)</f>
        <v>69923.290000000008</v>
      </c>
      <c r="O741" s="126">
        <f t="shared" si="214"/>
        <v>1480.35</v>
      </c>
      <c r="P741" s="126">
        <f t="shared" si="215"/>
        <v>1875.11</v>
      </c>
      <c r="Q741" s="126">
        <f>SUMIF('MPG Payment '!$E$3:$E$344841,'Shayak Income '!D741,'MPG Payment '!$S$3:$S$344841)</f>
        <v>0</v>
      </c>
      <c r="R741" s="126">
        <f t="shared" si="206"/>
        <v>2097.6987000000004</v>
      </c>
      <c r="S741" s="126">
        <f t="shared" si="207"/>
        <v>222.58870000000047</v>
      </c>
      <c r="T741" s="126">
        <f t="shared" si="216"/>
        <v>197.38</v>
      </c>
      <c r="U741" s="127">
        <f>((((((IF(K741="New",0,SUMIF('MPG Payment '!$E$3:$E$344841,'Shayak Income '!D741,'MPG Payment '!$AC$3:$AC$344841))))+0)+0)+0)+0)+0</f>
        <v>587.93189686767266</v>
      </c>
      <c r="V741" s="127">
        <f t="shared" si="217"/>
        <v>2570</v>
      </c>
      <c r="W741" s="19">
        <f t="shared" si="218"/>
        <v>0</v>
      </c>
      <c r="X741" s="19">
        <f t="shared" si="219"/>
        <v>0</v>
      </c>
      <c r="Y741" s="128">
        <f>IFERROR(VLOOKUP(D741,'Monthly Deduction'!$M$2:$N$640,2,0),0)</f>
        <v>0</v>
      </c>
      <c r="Z741" s="128">
        <v>0</v>
      </c>
      <c r="AA741" s="126">
        <f>IFERROR(VLOOKUP(D741,'Monthly Deduction'!A:B,2,0),0)</f>
        <v>0</v>
      </c>
      <c r="AB741" s="129">
        <f t="shared" si="208"/>
        <v>2570</v>
      </c>
      <c r="AC741" s="130">
        <v>0</v>
      </c>
      <c r="AD741" s="35">
        <f t="shared" si="224"/>
        <v>2570</v>
      </c>
      <c r="AE741" s="166" t="str">
        <f t="shared" si="221"/>
        <v>Release</v>
      </c>
      <c r="AF741" s="127"/>
      <c r="AG741" s="18">
        <v>0</v>
      </c>
      <c r="AH741" s="120"/>
      <c r="AI741" s="238">
        <v>0</v>
      </c>
      <c r="AJ741" s="132"/>
      <c r="AK741" s="151">
        <v>300.39999999999998</v>
      </c>
      <c r="AL741" s="154">
        <f t="shared" si="209"/>
        <v>0</v>
      </c>
      <c r="AM741" s="155"/>
      <c r="AN741" s="19">
        <f t="shared" si="210"/>
        <v>0</v>
      </c>
      <c r="AO741" s="118">
        <f>SUMIF('MPG Payment '!E:E,'Shayak Income '!D741,'MPG Payment '!AJ:AJ)</f>
        <v>0</v>
      </c>
      <c r="AP741" s="19">
        <f t="shared" si="211"/>
        <v>0</v>
      </c>
      <c r="AQ741" s="119">
        <f t="shared" si="225"/>
        <v>0</v>
      </c>
      <c r="AR741" s="91" t="s">
        <v>1144</v>
      </c>
      <c r="AS741" s="91">
        <f t="shared" si="212"/>
        <v>0</v>
      </c>
      <c r="AT741" s="118"/>
      <c r="AU741" s="118"/>
      <c r="AV741" s="118"/>
    </row>
    <row r="742" spans="1:48" s="20" customFormat="1" x14ac:dyDescent="0.25">
      <c r="A742" s="17">
        <f>IFERROR(VLOOKUP(D742,'Monthly Deduction'!$I$3:$J$957,2,0),0)</f>
        <v>83568</v>
      </c>
      <c r="B742" s="17">
        <f>IFERROR(VLOOKUP(D742,'Monthly Deduction'!$E$3:$F$957,2,0),0)</f>
        <v>6400</v>
      </c>
      <c r="C742" s="17">
        <f t="shared" si="223"/>
        <v>89968</v>
      </c>
      <c r="D742" s="41">
        <v>10580022</v>
      </c>
      <c r="E742" s="122" t="str">
        <f>VLOOKUP(D742,'MPG Payment '!$E$3:$G$497305,2,0)</f>
        <v>KOLAWARI</v>
      </c>
      <c r="F742" s="146">
        <f>IFERROR(_xlfn.XLOOKUP(D742,'Monthly Deduction'!$I$3:$I$957,'Monthly Deduction'!$H$3:$H$957),0)</f>
        <v>0</v>
      </c>
      <c r="G742" s="123" t="str">
        <f>VLOOKUP(D742,'MPG Payment '!$E$3:$G$333666,3,0)</f>
        <v>MPG</v>
      </c>
      <c r="H742" s="124" t="str">
        <f>VLOOKUP(D742,'MPG Payment '!$E$3:$H$333666,4,0)</f>
        <v>Direct</v>
      </c>
      <c r="I742" s="88">
        <f>INDEX('MPG Payment '!$C:$C,MATCH('Shayak Income '!D742,'MPG Payment '!E:E,0))</f>
        <v>1058</v>
      </c>
      <c r="J742" s="88" t="str">
        <f>INDEX('MPG Payment '!$D:$D,MATCH('Shayak Income '!D742,'MPG Payment '!E:E,0))</f>
        <v>Hasanpur</v>
      </c>
      <c r="K742" s="125" t="s">
        <v>1594</v>
      </c>
      <c r="L742" s="125">
        <v>46072</v>
      </c>
      <c r="M742" s="126">
        <f>SUMIF('MPG Payment '!$E$3:$E$344841,'Shayak Income '!D742,'MPG Payment '!$I$3:$I$344841)</f>
        <v>1862.67</v>
      </c>
      <c r="N742" s="126">
        <f>SUMIF('MPG Payment '!$E$3:$E$344841,'Shayak Income '!D742,'MPG Payment '!$J$3:$J$344841)</f>
        <v>76060.03</v>
      </c>
      <c r="O742" s="126">
        <f t="shared" si="214"/>
        <v>1397.0025000000001</v>
      </c>
      <c r="P742" s="126">
        <f t="shared" si="215"/>
        <v>1769.5364999999999</v>
      </c>
      <c r="Q742" s="126">
        <f>SUMIF('MPG Payment '!$E$3:$E$344841,'Shayak Income '!D742,'MPG Payment '!$S$3:$S$344841)</f>
        <v>270.24</v>
      </c>
      <c r="R742" s="126">
        <f t="shared" si="206"/>
        <v>2281.8008999999997</v>
      </c>
      <c r="S742" s="126">
        <f t="shared" si="207"/>
        <v>512.2643999999998</v>
      </c>
      <c r="T742" s="126">
        <f t="shared" si="216"/>
        <v>186.26700000000002</v>
      </c>
      <c r="U742" s="127">
        <f>((((((IF(K742="New",0,SUMIF('MPG Payment '!$E$3:$E$344841,'Shayak Income '!D742,'MPG Payment '!$AC$3:$AC$344841))))+0)+0)+0)+0)+0</f>
        <v>766.94852641397506</v>
      </c>
      <c r="V742" s="127">
        <f t="shared" si="217"/>
        <v>2484</v>
      </c>
      <c r="W742" s="19">
        <f t="shared" si="218"/>
        <v>1861</v>
      </c>
      <c r="X742" s="19">
        <v>0</v>
      </c>
      <c r="Y742" s="128">
        <f>IFERROR(VLOOKUP(D742,'Monthly Deduction'!$M$2:$N$640,2,0),0)</f>
        <v>0</v>
      </c>
      <c r="Z742" s="128">
        <v>0</v>
      </c>
      <c r="AA742" s="126">
        <f>IFERROR(VLOOKUP(D742,'Monthly Deduction'!A:B,2,0),0)</f>
        <v>0</v>
      </c>
      <c r="AB742" s="129">
        <f t="shared" si="208"/>
        <v>623</v>
      </c>
      <c r="AC742" s="130">
        <f>AB742</f>
        <v>623</v>
      </c>
      <c r="AD742" s="35">
        <f t="shared" si="224"/>
        <v>0</v>
      </c>
      <c r="AE742" s="166" t="str">
        <f t="shared" si="221"/>
        <v>Yes</v>
      </c>
      <c r="AF742" s="127"/>
      <c r="AG742" s="18">
        <v>0</v>
      </c>
      <c r="AH742" s="120" t="s">
        <v>1685</v>
      </c>
      <c r="AI742" s="238">
        <v>20000</v>
      </c>
      <c r="AJ742" s="132"/>
      <c r="AK742" s="151">
        <v>468.62000000000006</v>
      </c>
      <c r="AL742" s="154">
        <f t="shared" si="209"/>
        <v>0</v>
      </c>
      <c r="AM742" s="155"/>
      <c r="AN742" s="19">
        <f t="shared" si="210"/>
        <v>1861</v>
      </c>
      <c r="AO742" s="118">
        <f>SUMIF('MPG Payment '!E:E,'Shayak Income '!D742,'MPG Payment '!AJ:AJ)</f>
        <v>0</v>
      </c>
      <c r="AP742" s="19">
        <f t="shared" si="211"/>
        <v>1861</v>
      </c>
      <c r="AQ742" s="119">
        <f t="shared" si="225"/>
        <v>1861</v>
      </c>
      <c r="AR742" s="91" t="s">
        <v>1144</v>
      </c>
      <c r="AS742" s="91">
        <f t="shared" si="212"/>
        <v>6400</v>
      </c>
      <c r="AT742" s="118"/>
      <c r="AU742" s="118"/>
      <c r="AV742" s="118"/>
    </row>
    <row r="743" spans="1:48" s="20" customFormat="1" x14ac:dyDescent="0.25">
      <c r="A743" s="17">
        <f>IFERROR(VLOOKUP(D743,'Monthly Deduction'!$I$3:$J$957,2,0),0)</f>
        <v>0</v>
      </c>
      <c r="B743" s="17">
        <f>IFERROR(VLOOKUP(D743,'Monthly Deduction'!$E$3:$F$957,2,0),0)</f>
        <v>0</v>
      </c>
      <c r="C743" s="17">
        <f t="shared" si="223"/>
        <v>0</v>
      </c>
      <c r="D743" s="41">
        <v>10580023</v>
      </c>
      <c r="E743" s="122" t="str">
        <f>VLOOKUP(D743,'MPG Payment '!$E$3:$G$497305,2,0)</f>
        <v>MALDAH</v>
      </c>
      <c r="F743" s="146">
        <f>IFERROR(_xlfn.XLOOKUP(D743,'Monthly Deduction'!$I$3:$I$957,'Monthly Deduction'!$H$3:$H$957),0)</f>
        <v>0</v>
      </c>
      <c r="G743" s="123" t="str">
        <f>VLOOKUP(D743,'MPG Payment '!$E$3:$G$333666,3,0)</f>
        <v>vlc</v>
      </c>
      <c r="H743" s="124" t="str">
        <f>VLOOKUP(D743,'MPG Payment '!$E$3:$H$333666,4,0)</f>
        <v>Indirect</v>
      </c>
      <c r="I743" s="88">
        <f>INDEX('MPG Payment '!$C:$C,MATCH('Shayak Income '!D743,'MPG Payment '!E:E,0))</f>
        <v>1058</v>
      </c>
      <c r="J743" s="88" t="str">
        <f>INDEX('MPG Payment '!$D:$D,MATCH('Shayak Income '!D743,'MPG Payment '!E:E,0))</f>
        <v>Hasanpur</v>
      </c>
      <c r="K743" s="125" t="s">
        <v>1594</v>
      </c>
      <c r="L743" s="125">
        <v>46066</v>
      </c>
      <c r="M743" s="126">
        <f>SUMIF('MPG Payment '!$E$3:$E$344841,'Shayak Income '!D743,'MPG Payment '!$I$3:$I$344841)</f>
        <v>3180.08</v>
      </c>
      <c r="N743" s="126">
        <f>SUMIF('MPG Payment '!$E$3:$E$344841,'Shayak Income '!D743,'MPG Payment '!$J$3:$J$344841)</f>
        <v>126457.41</v>
      </c>
      <c r="O743" s="126">
        <f t="shared" si="214"/>
        <v>2385.06</v>
      </c>
      <c r="P743" s="126">
        <f t="shared" si="215"/>
        <v>3021.0759999999996</v>
      </c>
      <c r="Q743" s="126">
        <f>SUMIF('MPG Payment '!$E$3:$E$344841,'Shayak Income '!D743,'MPG Payment '!$S$3:$S$344841)</f>
        <v>0</v>
      </c>
      <c r="R743" s="126">
        <f t="shared" si="206"/>
        <v>3793.7222999999999</v>
      </c>
      <c r="S743" s="126">
        <f t="shared" si="207"/>
        <v>772.64630000000034</v>
      </c>
      <c r="T743" s="126">
        <f t="shared" si="216"/>
        <v>318.00800000000004</v>
      </c>
      <c r="U743" s="127">
        <f>((((((IF(K743="New",0,SUMIF('MPG Payment '!$E$3:$E$344841,'Shayak Income '!D743,'MPG Payment '!$AC$3:$AC$344841))))+0)+0)+0)+0)+0</f>
        <v>0</v>
      </c>
      <c r="V743" s="127">
        <f t="shared" si="217"/>
        <v>5088</v>
      </c>
      <c r="W743" s="19">
        <f t="shared" si="218"/>
        <v>0</v>
      </c>
      <c r="X743" s="19">
        <f t="shared" si="219"/>
        <v>0</v>
      </c>
      <c r="Y743" s="128">
        <f>IFERROR(VLOOKUP(D743,'Monthly Deduction'!$M$2:$N$640,2,0),0)</f>
        <v>0</v>
      </c>
      <c r="Z743" s="128">
        <v>0</v>
      </c>
      <c r="AA743" s="126">
        <f>IFERROR(VLOOKUP(D743,'Monthly Deduction'!A:B,2,0),0)</f>
        <v>0</v>
      </c>
      <c r="AB743" s="129">
        <f t="shared" si="208"/>
        <v>5088</v>
      </c>
      <c r="AC743" s="130">
        <v>0</v>
      </c>
      <c r="AD743" s="35">
        <f t="shared" si="224"/>
        <v>5088</v>
      </c>
      <c r="AE743" s="166" t="str">
        <f t="shared" si="221"/>
        <v>Release</v>
      </c>
      <c r="AF743" s="127"/>
      <c r="AG743" s="18">
        <v>0</v>
      </c>
      <c r="AH743" s="132"/>
      <c r="AI743" s="238">
        <v>0</v>
      </c>
      <c r="AJ743" s="132"/>
      <c r="AK743" s="151">
        <v>837.58</v>
      </c>
      <c r="AL743" s="154">
        <f t="shared" si="209"/>
        <v>0</v>
      </c>
      <c r="AM743" s="155"/>
      <c r="AN743" s="19">
        <f t="shared" si="210"/>
        <v>0</v>
      </c>
      <c r="AO743" s="118">
        <f>SUMIF('MPG Payment '!E:E,'Shayak Income '!D743,'MPG Payment '!AJ:AJ)</f>
        <v>0</v>
      </c>
      <c r="AP743" s="19">
        <f t="shared" si="211"/>
        <v>0</v>
      </c>
      <c r="AQ743" s="119">
        <f t="shared" si="225"/>
        <v>0</v>
      </c>
      <c r="AR743" s="91" t="s">
        <v>1144</v>
      </c>
      <c r="AS743" s="91">
        <f t="shared" si="212"/>
        <v>0</v>
      </c>
      <c r="AT743" s="118"/>
      <c r="AU743" s="118"/>
      <c r="AV743" s="118"/>
    </row>
    <row r="744" spans="1:48" s="20" customFormat="1" x14ac:dyDescent="0.25">
      <c r="A744" s="17">
        <f>IFERROR(VLOOKUP(D744,'Monthly Deduction'!$I$3:$J$957,2,0),0)</f>
        <v>66048.807110200636</v>
      </c>
      <c r="B744" s="17">
        <f>IFERROR(VLOOKUP(D744,'Monthly Deduction'!$E$3:$F$957,2,0),0)</f>
        <v>12800</v>
      </c>
      <c r="C744" s="17">
        <f t="shared" si="223"/>
        <v>78848.807110200636</v>
      </c>
      <c r="D744" s="41">
        <v>10610009</v>
      </c>
      <c r="E744" s="122" t="str">
        <f>VLOOKUP(D744,'MPG Payment '!$E$3:$G$497305,2,0)</f>
        <v>GOMUKH Khanpatti</v>
      </c>
      <c r="F744" s="146">
        <f>IFERROR(_xlfn.XLOOKUP(D744,'Monthly Deduction'!$I$3:$I$957,'Monthly Deduction'!$H$3:$H$957),0)</f>
        <v>0</v>
      </c>
      <c r="G744" s="123" t="str">
        <f>VLOOKUP(D744,'MPG Payment '!$E$3:$G$333666,3,0)</f>
        <v>MPG</v>
      </c>
      <c r="H744" s="124" t="str">
        <f>VLOOKUP(D744,'MPG Payment '!$E$3:$H$333666,4,0)</f>
        <v>Direct</v>
      </c>
      <c r="I744" s="88">
        <f>INDEX('MPG Payment '!$C:$C,MATCH('Shayak Income '!D744,'MPG Payment '!E:E,0))</f>
        <v>1061</v>
      </c>
      <c r="J744" s="88" t="str">
        <f>INDEX('MPG Payment '!$D:$D,MATCH('Shayak Income '!D744,'MPG Payment '!E:E,0))</f>
        <v>Mahua BMC</v>
      </c>
      <c r="K744" s="125" t="s">
        <v>1594</v>
      </c>
      <c r="L744" s="125">
        <v>46071</v>
      </c>
      <c r="M744" s="126">
        <f>SUMIF('MPG Payment '!$E$3:$E$344841,'Shayak Income '!D744,'MPG Payment '!$I$3:$I$344841)</f>
        <v>5090.2999999999993</v>
      </c>
      <c r="N744" s="126">
        <f>SUMIF('MPG Payment '!$E$3:$E$344841,'Shayak Income '!D744,'MPG Payment '!$J$3:$J$344841)</f>
        <v>240212.91000000003</v>
      </c>
      <c r="O744" s="126">
        <f t="shared" si="214"/>
        <v>3817.7249999999995</v>
      </c>
      <c r="P744" s="126">
        <f t="shared" si="215"/>
        <v>4835.7849999999989</v>
      </c>
      <c r="Q744" s="126">
        <f>SUMIF('MPG Payment '!$E$3:$E$344841,'Shayak Income '!D744,'MPG Payment '!$S$3:$S$344841)</f>
        <v>2566.56</v>
      </c>
      <c r="R744" s="126">
        <f t="shared" si="206"/>
        <v>7206.3873000000003</v>
      </c>
      <c r="S744" s="126">
        <f t="shared" si="207"/>
        <v>2370.6023000000014</v>
      </c>
      <c r="T744" s="126">
        <f t="shared" si="216"/>
        <v>509.03</v>
      </c>
      <c r="U744" s="127">
        <f>((((((IF(K744="New",0,SUMIF('MPG Payment '!$E$3:$E$344841,'Shayak Income '!D744,'MPG Payment '!$AC$3:$AC$344841))))+0)+0)+0)+0)+0</f>
        <v>0</v>
      </c>
      <c r="V744" s="127">
        <f t="shared" si="217"/>
        <v>10711</v>
      </c>
      <c r="W744" s="19">
        <f t="shared" si="218"/>
        <v>4804.2582000000011</v>
      </c>
      <c r="X744" s="19">
        <v>0</v>
      </c>
      <c r="Y744" s="128">
        <f>IFERROR(VLOOKUP(D744,'Monthly Deduction'!$M$2:$N$640,2,0),0)</f>
        <v>0</v>
      </c>
      <c r="Z744" s="128">
        <v>0</v>
      </c>
      <c r="AA744" s="126">
        <f>IFERROR(VLOOKUP(D744,'Monthly Deduction'!A:B,2,0),0)</f>
        <v>0</v>
      </c>
      <c r="AB744" s="129">
        <f t="shared" si="208"/>
        <v>5907</v>
      </c>
      <c r="AC744" s="130">
        <v>0</v>
      </c>
      <c r="AD744" s="35">
        <f t="shared" si="224"/>
        <v>5907</v>
      </c>
      <c r="AE744" s="166" t="str">
        <f t="shared" si="221"/>
        <v>Release</v>
      </c>
      <c r="AF744" s="127"/>
      <c r="AG744" s="18">
        <v>0</v>
      </c>
      <c r="AH744" s="120"/>
      <c r="AI744" s="238">
        <v>0</v>
      </c>
      <c r="AJ744" s="132"/>
      <c r="AK744" s="151">
        <v>1322.3000000000002</v>
      </c>
      <c r="AL744" s="154">
        <f t="shared" si="209"/>
        <v>0</v>
      </c>
      <c r="AM744" s="155"/>
      <c r="AN744" s="19">
        <f t="shared" si="210"/>
        <v>4804.2582000000011</v>
      </c>
      <c r="AO744" s="118">
        <f>SUMIF('MPG Payment '!E:E,'Shayak Income '!D744,'MPG Payment '!AJ:AJ)</f>
        <v>0</v>
      </c>
      <c r="AP744" s="19">
        <f t="shared" si="211"/>
        <v>4804.2582000000011</v>
      </c>
      <c r="AQ744" s="119">
        <f t="shared" si="225"/>
        <v>4804.2582000000011</v>
      </c>
      <c r="AR744" s="91" t="s">
        <v>1144</v>
      </c>
      <c r="AS744" s="91">
        <f t="shared" si="212"/>
        <v>12800</v>
      </c>
      <c r="AT744" s="118"/>
      <c r="AU744" s="118"/>
      <c r="AV744" s="118"/>
    </row>
    <row r="745" spans="1:48" s="20" customFormat="1" x14ac:dyDescent="0.25">
      <c r="A745" s="17">
        <f>IFERROR(VLOOKUP(D745,'Monthly Deduction'!$I$3:$J$957,2,0),0)</f>
        <v>62307.789161260604</v>
      </c>
      <c r="B745" s="17">
        <f>IFERROR(VLOOKUP(D745,'Monthly Deduction'!$E$3:$F$957,2,0),0)</f>
        <v>9600</v>
      </c>
      <c r="C745" s="17">
        <f t="shared" si="223"/>
        <v>71907.789161260604</v>
      </c>
      <c r="D745" s="41">
        <v>10060129</v>
      </c>
      <c r="E745" s="122" t="str">
        <f>VLOOKUP(D745,'MPG Payment '!$E$3:$G$497305,2,0)</f>
        <v>BARIYARPUR</v>
      </c>
      <c r="F745" s="146">
        <f>IFERROR(_xlfn.XLOOKUP(D745,'Monthly Deduction'!$I$3:$I$957,'Monthly Deduction'!$H$3:$H$957),0)</f>
        <v>0</v>
      </c>
      <c r="G745" s="123" t="str">
        <f>VLOOKUP(D745,'MPG Payment '!$E$3:$G$333666,3,0)</f>
        <v>MPG</v>
      </c>
      <c r="H745" s="124" t="str">
        <f>VLOOKUP(D745,'MPG Payment '!$E$3:$H$333666,4,0)</f>
        <v>Direct</v>
      </c>
      <c r="I745" s="88">
        <f>INDEX('MPG Payment '!$C:$C,MATCH('Shayak Income '!D745,'MPG Payment '!E:E,0))</f>
        <v>1006</v>
      </c>
      <c r="J745" s="88" t="str">
        <f>INDEX('MPG Payment '!$D:$D,MATCH('Shayak Income '!D745,'MPG Payment '!E:E,0))</f>
        <v>Sonvarsha</v>
      </c>
      <c r="K745" s="125" t="s">
        <v>1594</v>
      </c>
      <c r="L745" s="125">
        <v>46073</v>
      </c>
      <c r="M745" s="126">
        <f>SUMIF('MPG Payment '!$E$3:$E$344841,'Shayak Income '!D745,'MPG Payment '!$I$3:$I$344841)</f>
        <v>1966.6000000000001</v>
      </c>
      <c r="N745" s="126">
        <f>SUMIF('MPG Payment '!$E$3:$E$344841,'Shayak Income '!D745,'MPG Payment '!$J$3:$J$344841)</f>
        <v>84989.599999999991</v>
      </c>
      <c r="O745" s="126">
        <f t="shared" si="214"/>
        <v>1474.95</v>
      </c>
      <c r="P745" s="126">
        <f t="shared" si="215"/>
        <v>1868.27</v>
      </c>
      <c r="Q745" s="126">
        <f>SUMIF('MPG Payment '!$E$3:$E$344841,'Shayak Income '!D745,'MPG Payment '!$S$3:$S$344841)</f>
        <v>659.19</v>
      </c>
      <c r="R745" s="126">
        <f t="shared" si="206"/>
        <v>2549.6879999999996</v>
      </c>
      <c r="S745" s="126">
        <f t="shared" si="207"/>
        <v>681.41799999999967</v>
      </c>
      <c r="T745" s="126">
        <f t="shared" si="216"/>
        <v>196.66000000000003</v>
      </c>
      <c r="U745" s="127">
        <f>((((((IF(K745="New",0,SUMIF('MPG Payment '!$E$3:$E$344841,'Shayak Income '!D745,'MPG Payment '!$AC$3:$AC$344841))))+0)+0)+0)+0)+0</f>
        <v>721.57024121819518</v>
      </c>
      <c r="V745" s="127">
        <f t="shared" si="217"/>
        <v>3084</v>
      </c>
      <c r="W745" s="19">
        <f t="shared" si="218"/>
        <v>1861</v>
      </c>
      <c r="X745" s="19">
        <v>0</v>
      </c>
      <c r="Y745" s="128">
        <f>IFERROR(VLOOKUP(D745,'Monthly Deduction'!$M$2:$N$640,2,0),0)</f>
        <v>0</v>
      </c>
      <c r="Z745" s="128">
        <v>0</v>
      </c>
      <c r="AA745" s="126">
        <f>IFERROR(VLOOKUP(D745,'Monthly Deduction'!A:B,2,0),0)</f>
        <v>0</v>
      </c>
      <c r="AB745" s="129">
        <f t="shared" si="208"/>
        <v>1223</v>
      </c>
      <c r="AC745" s="130">
        <v>0</v>
      </c>
      <c r="AD745" s="35">
        <f t="shared" si="224"/>
        <v>1223</v>
      </c>
      <c r="AE745" s="166" t="str">
        <f t="shared" si="221"/>
        <v>Release</v>
      </c>
      <c r="AF745" s="127"/>
      <c r="AG745" s="18">
        <v>0</v>
      </c>
      <c r="AH745" s="120"/>
      <c r="AI745" s="238">
        <v>0</v>
      </c>
      <c r="AJ745" s="132"/>
      <c r="AK745" s="151">
        <v>303.7</v>
      </c>
      <c r="AL745" s="154">
        <f t="shared" si="209"/>
        <v>0</v>
      </c>
      <c r="AM745" s="155"/>
      <c r="AN745" s="19">
        <f t="shared" si="210"/>
        <v>1861</v>
      </c>
      <c r="AO745" s="118">
        <f>SUMIF('MPG Payment '!E:E,'Shayak Income '!D745,'MPG Payment '!AJ:AJ)</f>
        <v>0</v>
      </c>
      <c r="AP745" s="19">
        <f t="shared" si="211"/>
        <v>1861</v>
      </c>
      <c r="AQ745" s="119">
        <f t="shared" si="225"/>
        <v>1861</v>
      </c>
      <c r="AR745" s="91" t="s">
        <v>1144</v>
      </c>
      <c r="AS745" s="91">
        <f t="shared" si="212"/>
        <v>9600</v>
      </c>
      <c r="AT745" s="118"/>
      <c r="AU745" s="118"/>
      <c r="AV745" s="118"/>
    </row>
    <row r="746" spans="1:48" s="20" customFormat="1" x14ac:dyDescent="0.25">
      <c r="A746" s="17">
        <f>IFERROR(VLOOKUP(D746,'Monthly Deduction'!$I$3:$J$957,2,0),0)</f>
        <v>65640.867077813935</v>
      </c>
      <c r="B746" s="17">
        <f>IFERROR(VLOOKUP(D746,'Monthly Deduction'!$E$3:$F$957,2,0),0)</f>
        <v>6400</v>
      </c>
      <c r="C746" s="17">
        <f t="shared" si="223"/>
        <v>72040.867077813935</v>
      </c>
      <c r="D746" s="41">
        <v>10080122</v>
      </c>
      <c r="E746" s="122" t="str">
        <f>VLOOKUP(D746,'MPG Payment '!$E$3:$G$497305,2,0)</f>
        <v>Gomukh Puranatol Raichiahi</v>
      </c>
      <c r="F746" s="146">
        <f>IFERROR(_xlfn.XLOOKUP(D746,'Monthly Deduction'!$I$3:$I$957,'Monthly Deduction'!$H$3:$H$957),0)</f>
        <v>0</v>
      </c>
      <c r="G746" s="123" t="str">
        <f>VLOOKUP(D746,'MPG Payment '!$E$3:$G$333666,3,0)</f>
        <v>MPG</v>
      </c>
      <c r="H746" s="124" t="str">
        <f>VLOOKUP(D746,'MPG Payment '!$E$3:$H$333666,4,0)</f>
        <v>Direct</v>
      </c>
      <c r="I746" s="88">
        <f>INDEX('MPG Payment '!$C:$C,MATCH('Shayak Income '!D746,'MPG Payment '!E:E,0))</f>
        <v>1008</v>
      </c>
      <c r="J746" s="88" t="str">
        <f>INDEX('MPG Payment '!$D:$D,MATCH('Shayak Income '!D746,'MPG Payment '!E:E,0))</f>
        <v>Teghra</v>
      </c>
      <c r="K746" s="125" t="s">
        <v>1594</v>
      </c>
      <c r="L746" s="125">
        <v>46077</v>
      </c>
      <c r="M746" s="126">
        <f>SUMIF('MPG Payment '!$E$3:$E$344841,'Shayak Income '!D746,'MPG Payment '!$I$3:$I$344841)</f>
        <v>2467.35</v>
      </c>
      <c r="N746" s="126">
        <f>SUMIF('MPG Payment '!$E$3:$E$344841,'Shayak Income '!D746,'MPG Payment '!$J$3:$J$344841)</f>
        <v>96651.77</v>
      </c>
      <c r="O746" s="126">
        <f t="shared" si="214"/>
        <v>1850.5124999999998</v>
      </c>
      <c r="P746" s="126">
        <f t="shared" si="215"/>
        <v>2343.9824999999996</v>
      </c>
      <c r="Q746" s="126">
        <f>SUMIF('MPG Payment '!$E$3:$E$344841,'Shayak Income '!D746,'MPG Payment '!$S$3:$S$344841)</f>
        <v>0</v>
      </c>
      <c r="R746" s="126">
        <f t="shared" si="206"/>
        <v>2899.5531000000001</v>
      </c>
      <c r="S746" s="126">
        <f t="shared" si="207"/>
        <v>555.57060000000047</v>
      </c>
      <c r="T746" s="126">
        <f t="shared" si="216"/>
        <v>246.73500000000001</v>
      </c>
      <c r="U746" s="127">
        <f>((((((IF(K746="New",0,SUMIF('MPG Payment '!$E$3:$E$344841,'Shayak Income '!D746,'MPG Payment '!$AC$3:$AC$344841))))+0)+0)+0)+0)+0</f>
        <v>261.39251529499865</v>
      </c>
      <c r="V746" s="127">
        <f t="shared" si="217"/>
        <v>3686</v>
      </c>
      <c r="W746" s="19">
        <f t="shared" si="218"/>
        <v>1933.0354000000002</v>
      </c>
      <c r="X746" s="19">
        <v>0</v>
      </c>
      <c r="Y746" s="128">
        <f>IFERROR(VLOOKUP(D746,'Monthly Deduction'!$M$2:$N$640,2,0),0)</f>
        <v>0</v>
      </c>
      <c r="Z746" s="128">
        <v>0</v>
      </c>
      <c r="AA746" s="126">
        <f>IFERROR(VLOOKUP(D746,'Monthly Deduction'!A:B,2,0),0)</f>
        <v>0</v>
      </c>
      <c r="AB746" s="129">
        <f t="shared" si="208"/>
        <v>1753</v>
      </c>
      <c r="AC746" s="130">
        <f>AB746</f>
        <v>1753</v>
      </c>
      <c r="AD746" s="35">
        <f t="shared" si="224"/>
        <v>0</v>
      </c>
      <c r="AE746" s="166" t="str">
        <f t="shared" si="221"/>
        <v>Yes</v>
      </c>
      <c r="AF746" s="127"/>
      <c r="AG746" s="18">
        <v>0</v>
      </c>
      <c r="AH746" s="120" t="s">
        <v>1685</v>
      </c>
      <c r="AI746" s="238">
        <v>5000</v>
      </c>
      <c r="AJ746" s="132"/>
      <c r="AK746" s="151">
        <v>486.19999999999993</v>
      </c>
      <c r="AL746" s="154">
        <f t="shared" si="209"/>
        <v>0</v>
      </c>
      <c r="AM746" s="155"/>
      <c r="AN746" s="19">
        <f t="shared" si="210"/>
        <v>1933.0354000000002</v>
      </c>
      <c r="AO746" s="118">
        <f>SUMIF('MPG Payment '!E:E,'Shayak Income '!D746,'MPG Payment '!AJ:AJ)</f>
        <v>0</v>
      </c>
      <c r="AP746" s="19">
        <f t="shared" si="211"/>
        <v>1933.0354000000002</v>
      </c>
      <c r="AQ746" s="119">
        <f t="shared" si="225"/>
        <v>1933.0354000000002</v>
      </c>
      <c r="AR746" s="91" t="s">
        <v>1144</v>
      </c>
      <c r="AS746" s="91">
        <f t="shared" si="212"/>
        <v>6400</v>
      </c>
      <c r="AT746" s="118"/>
      <c r="AU746" s="118"/>
      <c r="AV746" s="118"/>
    </row>
    <row r="747" spans="1:48" s="20" customFormat="1" x14ac:dyDescent="0.25">
      <c r="A747" s="17">
        <f>IFERROR(VLOOKUP(D747,'Monthly Deduction'!$I$3:$J$957,2,0),0)</f>
        <v>0</v>
      </c>
      <c r="B747" s="17">
        <f>IFERROR(VLOOKUP(D747,'Monthly Deduction'!$E$3:$F$957,2,0),0)</f>
        <v>0</v>
      </c>
      <c r="C747" s="17">
        <f t="shared" si="223"/>
        <v>0</v>
      </c>
      <c r="D747" s="41">
        <v>10110183</v>
      </c>
      <c r="E747" s="122" t="str">
        <f>VLOOKUP(D747,'MPG Payment '!$E$3:$G$497305,2,0)</f>
        <v>Mathar-3</v>
      </c>
      <c r="F747" s="146">
        <f>IFERROR(_xlfn.XLOOKUP(D747,'Monthly Deduction'!$I$3:$I$957,'Monthly Deduction'!$H$3:$H$957),0)</f>
        <v>0</v>
      </c>
      <c r="G747" s="123" t="str">
        <f>VLOOKUP(D747,'MPG Payment '!$E$3:$G$333666,3,0)</f>
        <v>vlc</v>
      </c>
      <c r="H747" s="124" t="str">
        <f>VLOOKUP(D747,'MPG Payment '!$E$3:$H$333666,4,0)</f>
        <v>Indirect</v>
      </c>
      <c r="I747" s="88">
        <f>INDEX('MPG Payment '!$C:$C,MATCH('Shayak Income '!D747,'MPG Payment '!E:E,0))</f>
        <v>1011</v>
      </c>
      <c r="J747" s="88" t="str">
        <f>INDEX('MPG Payment '!$D:$D,MATCH('Shayak Income '!D747,'MPG Payment '!E:E,0))</f>
        <v>Sahibpur Kamal</v>
      </c>
      <c r="K747" s="125" t="s">
        <v>1594</v>
      </c>
      <c r="L747" s="125">
        <v>46073</v>
      </c>
      <c r="M747" s="126">
        <f>SUMIF('MPG Payment '!$E$3:$E$344841,'Shayak Income '!D747,'MPG Payment '!$I$3:$I$344841)</f>
        <v>12157.3</v>
      </c>
      <c r="N747" s="126">
        <f>SUMIF('MPG Payment '!$E$3:$E$344841,'Shayak Income '!D747,'MPG Payment '!$J$3:$J$344841)</f>
        <v>507960.94</v>
      </c>
      <c r="O747" s="126">
        <f t="shared" si="214"/>
        <v>9117.9749999999985</v>
      </c>
      <c r="P747" s="126">
        <f t="shared" si="215"/>
        <v>11549.434999999999</v>
      </c>
      <c r="Q747" s="126">
        <f>SUMIF('MPG Payment '!$E$3:$E$344841,'Shayak Income '!D747,'MPG Payment '!$S$3:$S$344841)</f>
        <v>0</v>
      </c>
      <c r="R747" s="126">
        <f t="shared" si="206"/>
        <v>15238.8282</v>
      </c>
      <c r="S747" s="126">
        <f t="shared" si="207"/>
        <v>3689.3932000000004</v>
      </c>
      <c r="T747" s="126">
        <f t="shared" si="216"/>
        <v>1215.73</v>
      </c>
      <c r="U747" s="127">
        <f>((((((IF(K747="New",0,SUMIF('MPG Payment '!$E$3:$E$344841,'Shayak Income '!D747,'MPG Payment '!$AC$3:$AC$344841))))+0)+0)+0)+0)+0</f>
        <v>0</v>
      </c>
      <c r="V747" s="127">
        <f t="shared" si="217"/>
        <v>19452</v>
      </c>
      <c r="W747" s="19">
        <f t="shared" si="218"/>
        <v>0</v>
      </c>
      <c r="X747" s="19">
        <f t="shared" si="219"/>
        <v>0</v>
      </c>
      <c r="Y747" s="128">
        <f>IFERROR(VLOOKUP(D747,'Monthly Deduction'!$M$2:$N$640,2,0),0)</f>
        <v>0</v>
      </c>
      <c r="Z747" s="128">
        <v>0</v>
      </c>
      <c r="AA747" s="126">
        <f>IFERROR(VLOOKUP(D747,'Monthly Deduction'!A:B,2,0),0)</f>
        <v>0</v>
      </c>
      <c r="AB747" s="129">
        <f t="shared" si="208"/>
        <v>19452</v>
      </c>
      <c r="AC747" s="130">
        <v>0</v>
      </c>
      <c r="AD747" s="35">
        <f t="shared" si="224"/>
        <v>19452</v>
      </c>
      <c r="AE747" s="166" t="str">
        <f t="shared" si="221"/>
        <v>Release</v>
      </c>
      <c r="AF747" s="127"/>
      <c r="AG747" s="18">
        <v>0</v>
      </c>
      <c r="AH747" s="132"/>
      <c r="AI747" s="238">
        <v>0</v>
      </c>
      <c r="AJ747" s="132"/>
      <c r="AK747" s="151">
        <v>2040.1999999999998</v>
      </c>
      <c r="AL747" s="154">
        <f t="shared" si="209"/>
        <v>0</v>
      </c>
      <c r="AM747" s="155"/>
      <c r="AN747" s="19">
        <f t="shared" si="210"/>
        <v>0</v>
      </c>
      <c r="AO747" s="118">
        <f>SUMIF('MPG Payment '!E:E,'Shayak Income '!D747,'MPG Payment '!AJ:AJ)</f>
        <v>0</v>
      </c>
      <c r="AP747" s="19">
        <f t="shared" si="211"/>
        <v>0</v>
      </c>
      <c r="AQ747" s="119">
        <f t="shared" si="225"/>
        <v>0</v>
      </c>
      <c r="AR747" s="91" t="s">
        <v>1144</v>
      </c>
      <c r="AS747" s="91">
        <f t="shared" si="212"/>
        <v>0</v>
      </c>
      <c r="AT747" s="118"/>
      <c r="AU747" s="118"/>
      <c r="AV747" s="118"/>
    </row>
    <row r="748" spans="1:48" s="20" customFormat="1" x14ac:dyDescent="0.25">
      <c r="A748" s="17">
        <f>IFERROR(VLOOKUP(D748,'Monthly Deduction'!$I$3:$J$957,2,0),0)</f>
        <v>0</v>
      </c>
      <c r="B748" s="17">
        <f>IFERROR(VLOOKUP(D748,'Monthly Deduction'!$E$3:$F$957,2,0),0)</f>
        <v>0</v>
      </c>
      <c r="C748" s="17">
        <f t="shared" si="223"/>
        <v>0</v>
      </c>
      <c r="D748" s="41">
        <v>10110184</v>
      </c>
      <c r="E748" s="122" t="str">
        <f>VLOOKUP(D748,'MPG Payment '!$E$3:$G$497305,2,0)</f>
        <v>Ahoghat</v>
      </c>
      <c r="F748" s="146">
        <f>IFERROR(_xlfn.XLOOKUP(D748,'Monthly Deduction'!$I$3:$I$957,'Monthly Deduction'!$H$3:$H$957),0)</f>
        <v>0</v>
      </c>
      <c r="G748" s="123" t="str">
        <f>VLOOKUP(D748,'MPG Payment '!$E$3:$G$333666,3,0)</f>
        <v>vlc</v>
      </c>
      <c r="H748" s="124" t="str">
        <f>VLOOKUP(D748,'MPG Payment '!$E$3:$H$333666,4,0)</f>
        <v>Indirect</v>
      </c>
      <c r="I748" s="88">
        <f>INDEX('MPG Payment '!$C:$C,MATCH('Shayak Income '!D748,'MPG Payment '!E:E,0))</f>
        <v>1011</v>
      </c>
      <c r="J748" s="88" t="str">
        <f>INDEX('MPG Payment '!$D:$D,MATCH('Shayak Income '!D748,'MPG Payment '!E:E,0))</f>
        <v>Sahibpur Kamal</v>
      </c>
      <c r="K748" s="125" t="s">
        <v>1594</v>
      </c>
      <c r="L748" s="125">
        <v>46073</v>
      </c>
      <c r="M748" s="126">
        <f>SUMIF('MPG Payment '!$E$3:$E$344841,'Shayak Income '!D748,'MPG Payment '!$I$3:$I$344841)</f>
        <v>2133.5</v>
      </c>
      <c r="N748" s="126">
        <f>SUMIF('MPG Payment '!$E$3:$E$344841,'Shayak Income '!D748,'MPG Payment '!$J$3:$J$344841)</f>
        <v>94585.95</v>
      </c>
      <c r="O748" s="126">
        <f t="shared" si="214"/>
        <v>1600.125</v>
      </c>
      <c r="P748" s="126">
        <f t="shared" si="215"/>
        <v>2026.8249999999998</v>
      </c>
      <c r="Q748" s="126">
        <f>SUMIF('MPG Payment '!$E$3:$E$344841,'Shayak Income '!D748,'MPG Payment '!$S$3:$S$344841)</f>
        <v>0</v>
      </c>
      <c r="R748" s="126">
        <f t="shared" si="206"/>
        <v>2837.5784999999996</v>
      </c>
      <c r="S748" s="126">
        <f t="shared" si="207"/>
        <v>810.7534999999998</v>
      </c>
      <c r="T748" s="126">
        <f t="shared" si="216"/>
        <v>213.35000000000002</v>
      </c>
      <c r="U748" s="127">
        <f>((((((IF(K748="New",0,SUMIF('MPG Payment '!$E$3:$E$344841,'Shayak Income '!D748,'MPG Payment '!$AC$3:$AC$344841))))+0)+0)+0)+0)+0</f>
        <v>584.5825148146115</v>
      </c>
      <c r="V748" s="127">
        <f t="shared" si="217"/>
        <v>2829</v>
      </c>
      <c r="W748" s="19">
        <f t="shared" si="218"/>
        <v>0</v>
      </c>
      <c r="X748" s="19">
        <f t="shared" si="219"/>
        <v>0</v>
      </c>
      <c r="Y748" s="128">
        <f>IFERROR(VLOOKUP(D748,'Monthly Deduction'!$M$2:$N$640,2,0),0)</f>
        <v>0</v>
      </c>
      <c r="Z748" s="128">
        <v>0</v>
      </c>
      <c r="AA748" s="126">
        <f>IFERROR(VLOOKUP(D748,'Monthly Deduction'!A:B,2,0),0)</f>
        <v>0</v>
      </c>
      <c r="AB748" s="129">
        <f t="shared" si="208"/>
        <v>2829</v>
      </c>
      <c r="AC748" s="130">
        <v>0</v>
      </c>
      <c r="AD748" s="35">
        <f t="shared" si="224"/>
        <v>2829</v>
      </c>
      <c r="AE748" s="166" t="str">
        <f t="shared" si="221"/>
        <v>Release</v>
      </c>
      <c r="AF748" s="127"/>
      <c r="AG748" s="18">
        <v>0</v>
      </c>
      <c r="AH748" s="132"/>
      <c r="AI748" s="238">
        <v>0</v>
      </c>
      <c r="AJ748" s="132"/>
      <c r="AK748" s="151">
        <v>397.4</v>
      </c>
      <c r="AL748" s="154">
        <f t="shared" si="209"/>
        <v>0</v>
      </c>
      <c r="AM748" s="155"/>
      <c r="AN748" s="19">
        <f t="shared" si="210"/>
        <v>0</v>
      </c>
      <c r="AO748" s="118">
        <f>SUMIF('MPG Payment '!E:E,'Shayak Income '!D748,'MPG Payment '!AJ:AJ)</f>
        <v>0</v>
      </c>
      <c r="AP748" s="19">
        <f t="shared" si="211"/>
        <v>0</v>
      </c>
      <c r="AQ748" s="119">
        <f t="shared" si="225"/>
        <v>0</v>
      </c>
      <c r="AR748" s="91" t="s">
        <v>1144</v>
      </c>
      <c r="AS748" s="91">
        <f t="shared" si="212"/>
        <v>0</v>
      </c>
      <c r="AT748" s="118"/>
      <c r="AU748" s="118"/>
      <c r="AV748" s="118"/>
    </row>
    <row r="749" spans="1:48" s="20" customFormat="1" x14ac:dyDescent="0.25">
      <c r="A749" s="17">
        <f>IFERROR(VLOOKUP(D749,'Monthly Deduction'!$I$3:$J$957,2,0),0)</f>
        <v>0</v>
      </c>
      <c r="B749" s="17">
        <f>IFERROR(VLOOKUP(D749,'Monthly Deduction'!$E$3:$F$957,2,0),0)</f>
        <v>0</v>
      </c>
      <c r="C749" s="17">
        <f t="shared" si="223"/>
        <v>0</v>
      </c>
      <c r="D749" s="41">
        <v>10130118</v>
      </c>
      <c r="E749" s="122" t="str">
        <f>VLOOKUP(D749,'MPG Payment '!$E$3:$G$497305,2,0)</f>
        <v>Gomukh Rupauli Buzurg</v>
      </c>
      <c r="F749" s="146">
        <f>IFERROR(_xlfn.XLOOKUP(D749,'Monthly Deduction'!$I$3:$I$957,'Monthly Deduction'!$H$3:$H$957),0)</f>
        <v>0</v>
      </c>
      <c r="G749" s="123" t="str">
        <f>VLOOKUP(D749,'MPG Payment '!$E$3:$G$333666,3,0)</f>
        <v>vlc</v>
      </c>
      <c r="H749" s="124" t="str">
        <f>VLOOKUP(D749,'MPG Payment '!$E$3:$H$333666,4,0)</f>
        <v>Indirect</v>
      </c>
      <c r="I749" s="88">
        <f>INDEX('MPG Payment '!$C:$C,MATCH('Shayak Income '!D749,'MPG Payment '!E:E,0))</f>
        <v>1013</v>
      </c>
      <c r="J749" s="88" t="str">
        <f>INDEX('MPG Payment '!$D:$D,MATCH('Shayak Income '!D749,'MPG Payment '!E:E,0))</f>
        <v>Musrigharari</v>
      </c>
      <c r="K749" s="125" t="s">
        <v>1594</v>
      </c>
      <c r="L749" s="125">
        <v>46076</v>
      </c>
      <c r="M749" s="126">
        <f>SUMIF('MPG Payment '!$E$3:$E$344841,'Shayak Income '!D749,'MPG Payment '!$I$3:$I$344841)</f>
        <v>33040.1</v>
      </c>
      <c r="N749" s="126">
        <f>SUMIF('MPG Payment '!$E$3:$E$344841,'Shayak Income '!D749,'MPG Payment '!$J$3:$J$344841)</f>
        <v>1220203.7800000003</v>
      </c>
      <c r="O749" s="126">
        <f t="shared" si="214"/>
        <v>24780.074999999997</v>
      </c>
      <c r="P749" s="126">
        <f t="shared" si="215"/>
        <v>31388.094999999998</v>
      </c>
      <c r="Q749" s="126">
        <f>SUMIF('MPG Payment '!$E$3:$E$344841,'Shayak Income '!D749,'MPG Payment '!$S$3:$S$344841)</f>
        <v>0</v>
      </c>
      <c r="R749" s="126">
        <f t="shared" si="206"/>
        <v>36606.113400000009</v>
      </c>
      <c r="S749" s="126">
        <f t="shared" si="207"/>
        <v>5218.0184000000118</v>
      </c>
      <c r="T749" s="126">
        <f t="shared" si="216"/>
        <v>3304.01</v>
      </c>
      <c r="U749" s="127">
        <f>((((((IF(K749="New",0,SUMIF('MPG Payment '!$E$3:$E$344841,'Shayak Income '!D749,'MPG Payment '!$AC$3:$AC$344841))))+0)+0)+0)+0)+0</f>
        <v>0</v>
      </c>
      <c r="V749" s="127">
        <f t="shared" si="217"/>
        <v>52864</v>
      </c>
      <c r="W749" s="19">
        <f t="shared" si="218"/>
        <v>0</v>
      </c>
      <c r="X749" s="19">
        <f t="shared" si="219"/>
        <v>0</v>
      </c>
      <c r="Y749" s="128">
        <f>IFERROR(VLOOKUP(D749,'Monthly Deduction'!$M$2:$N$640,2,0),0)</f>
        <v>0</v>
      </c>
      <c r="Z749" s="128">
        <v>0</v>
      </c>
      <c r="AA749" s="126">
        <f>IFERROR(VLOOKUP(D749,'Monthly Deduction'!A:B,2,0),0)</f>
        <v>0</v>
      </c>
      <c r="AB749" s="129">
        <f t="shared" si="208"/>
        <v>52864</v>
      </c>
      <c r="AC749" s="130">
        <f>AB749</f>
        <v>52864</v>
      </c>
      <c r="AD749" s="35">
        <f t="shared" si="224"/>
        <v>0</v>
      </c>
      <c r="AE749" s="166" t="str">
        <f t="shared" si="221"/>
        <v>Yes</v>
      </c>
      <c r="AF749" s="127"/>
      <c r="AG749" s="18">
        <v>0</v>
      </c>
      <c r="AH749" s="132" t="s">
        <v>1597</v>
      </c>
      <c r="AI749" s="238">
        <v>0</v>
      </c>
      <c r="AJ749" s="132"/>
      <c r="AK749" s="151">
        <v>0</v>
      </c>
      <c r="AL749" s="154">
        <f t="shared" si="209"/>
        <v>0</v>
      </c>
      <c r="AM749" s="155"/>
      <c r="AN749" s="19">
        <f t="shared" si="210"/>
        <v>0</v>
      </c>
      <c r="AO749" s="118">
        <f>SUMIF('MPG Payment '!E:E,'Shayak Income '!D749,'MPG Payment '!AJ:AJ)</f>
        <v>0</v>
      </c>
      <c r="AP749" s="19">
        <f t="shared" si="211"/>
        <v>0</v>
      </c>
      <c r="AQ749" s="119">
        <f t="shared" si="225"/>
        <v>0</v>
      </c>
      <c r="AR749" s="91" t="s">
        <v>1144</v>
      </c>
      <c r="AS749" s="91">
        <f t="shared" si="212"/>
        <v>0</v>
      </c>
      <c r="AT749" s="118"/>
      <c r="AU749" s="118"/>
      <c r="AV749" s="118"/>
    </row>
    <row r="750" spans="1:48" s="20" customFormat="1" x14ac:dyDescent="0.25">
      <c r="A750" s="17">
        <f>IFERROR(VLOOKUP(D750,'Monthly Deduction'!$I$3:$J$957,2,0),0)</f>
        <v>53194.15040829769</v>
      </c>
      <c r="B750" s="17">
        <f>IFERROR(VLOOKUP(D750,'Monthly Deduction'!$E$3:$F$957,2,0),0)</f>
        <v>19200</v>
      </c>
      <c r="C750" s="17">
        <f t="shared" si="223"/>
        <v>72394.15040829769</v>
      </c>
      <c r="D750" s="41">
        <v>10530109</v>
      </c>
      <c r="E750" s="122" t="str">
        <f>VLOOKUP(D750,'MPG Payment '!$E$3:$G$497305,2,0)</f>
        <v>GOMUKH SAKARI</v>
      </c>
      <c r="F750" s="146">
        <f>IFERROR(_xlfn.XLOOKUP(D750,'Monthly Deduction'!$I$3:$I$957,'Monthly Deduction'!$H$3:$H$957),0)</f>
        <v>0</v>
      </c>
      <c r="G750" s="123" t="str">
        <f>VLOOKUP(D750,'MPG Payment '!$E$3:$G$333666,3,0)</f>
        <v>MPG</v>
      </c>
      <c r="H750" s="124" t="str">
        <f>VLOOKUP(D750,'MPG Payment '!$E$3:$H$333666,4,0)</f>
        <v>Direct</v>
      </c>
      <c r="I750" s="88">
        <f>INDEX('MPG Payment '!$C:$C,MATCH('Shayak Income '!D750,'MPG Payment '!E:E,0))</f>
        <v>1053</v>
      </c>
      <c r="J750" s="88" t="str">
        <f>INDEX('MPG Payment '!$D:$D,MATCH('Shayak Income '!D750,'MPG Payment '!E:E,0))</f>
        <v>Kalyanpur</v>
      </c>
      <c r="K750" s="125" t="s">
        <v>1594</v>
      </c>
      <c r="L750" s="125">
        <v>46077</v>
      </c>
      <c r="M750" s="126">
        <f>SUMIF('MPG Payment '!$E$3:$E$344841,'Shayak Income '!D750,'MPG Payment '!$I$3:$I$344841)</f>
        <v>6857.8</v>
      </c>
      <c r="N750" s="126">
        <f>SUMIF('MPG Payment '!$E$3:$E$344841,'Shayak Income '!D750,'MPG Payment '!$J$3:$J$344841)</f>
        <v>304410.51</v>
      </c>
      <c r="O750" s="126">
        <f t="shared" si="214"/>
        <v>5143.3500000000004</v>
      </c>
      <c r="P750" s="126">
        <f t="shared" si="215"/>
        <v>6514.91</v>
      </c>
      <c r="Q750" s="126">
        <f>SUMIF('MPG Payment '!$E$3:$E$344841,'Shayak Income '!D750,'MPG Payment '!$S$3:$S$344841)</f>
        <v>3564.9300000000003</v>
      </c>
      <c r="R750" s="126">
        <f t="shared" si="206"/>
        <v>9132.3153000000002</v>
      </c>
      <c r="S750" s="126">
        <f t="shared" si="207"/>
        <v>2617.4053000000004</v>
      </c>
      <c r="T750" s="126">
        <f t="shared" si="216"/>
        <v>685.78000000000009</v>
      </c>
      <c r="U750" s="127">
        <f>((((((IF(K750="New",0,SUMIF('MPG Payment '!$E$3:$E$344841,'Shayak Income '!D750,'MPG Payment '!$AC$3:$AC$344841))))+0)+0)+0)+0)+0</f>
        <v>0</v>
      </c>
      <c r="V750" s="127">
        <f t="shared" si="217"/>
        <v>14537</v>
      </c>
      <c r="W750" s="19">
        <f t="shared" si="218"/>
        <v>6088.2102000000004</v>
      </c>
      <c r="X750" s="19">
        <v>0</v>
      </c>
      <c r="Y750" s="128">
        <f>IFERROR(VLOOKUP(D750,'Monthly Deduction'!$M$2:$N$640,2,0),0)</f>
        <v>0</v>
      </c>
      <c r="Z750" s="128">
        <v>0</v>
      </c>
      <c r="AA750" s="126">
        <f>IFERROR(VLOOKUP(D750,'Monthly Deduction'!A:B,2,0),0)</f>
        <v>404.6154308015611</v>
      </c>
      <c r="AB750" s="129">
        <f t="shared" si="208"/>
        <v>8044</v>
      </c>
      <c r="AC750" s="130">
        <v>0</v>
      </c>
      <c r="AD750" s="35">
        <f t="shared" si="224"/>
        <v>8044</v>
      </c>
      <c r="AE750" s="166" t="str">
        <f t="shared" si="221"/>
        <v>Release</v>
      </c>
      <c r="AF750" s="127"/>
      <c r="AG750" s="18">
        <v>0</v>
      </c>
      <c r="AH750" s="132"/>
      <c r="AI750" s="238">
        <v>0</v>
      </c>
      <c r="AJ750" s="132"/>
      <c r="AK750" s="151">
        <v>1761.35</v>
      </c>
      <c r="AL750" s="154">
        <f t="shared" si="209"/>
        <v>0</v>
      </c>
      <c r="AM750" s="155"/>
      <c r="AN750" s="19">
        <f t="shared" si="210"/>
        <v>6088.2102000000004</v>
      </c>
      <c r="AO750" s="118">
        <f>SUMIF('MPG Payment '!E:E,'Shayak Income '!D750,'MPG Payment '!AJ:AJ)</f>
        <v>0</v>
      </c>
      <c r="AP750" s="19">
        <f t="shared" si="211"/>
        <v>6088.2102000000004</v>
      </c>
      <c r="AQ750" s="119">
        <f t="shared" si="225"/>
        <v>6088.2102000000004</v>
      </c>
      <c r="AR750" s="91" t="s">
        <v>1144</v>
      </c>
      <c r="AS750" s="91">
        <f t="shared" si="212"/>
        <v>19200</v>
      </c>
      <c r="AT750" s="118"/>
      <c r="AU750" s="118"/>
      <c r="AV750" s="118"/>
    </row>
    <row r="751" spans="1:48" s="20" customFormat="1" x14ac:dyDescent="0.25">
      <c r="A751" s="17">
        <f>IFERROR(VLOOKUP(D751,'Monthly Deduction'!$I$3:$J$957,2,0),0)</f>
        <v>84000</v>
      </c>
      <c r="B751" s="17">
        <f>IFERROR(VLOOKUP(D751,'Monthly Deduction'!$E$3:$F$957,2,0),0)</f>
        <v>6400</v>
      </c>
      <c r="C751" s="17">
        <f t="shared" si="223"/>
        <v>90400</v>
      </c>
      <c r="D751" s="41">
        <v>10630003</v>
      </c>
      <c r="E751" s="122" t="str">
        <f>VLOOKUP(D751,'MPG Payment '!$E$3:$G$497305,2,0)</f>
        <v>Erout</v>
      </c>
      <c r="F751" s="146">
        <f>IFERROR(_xlfn.XLOOKUP(D751,'Monthly Deduction'!$I$3:$I$957,'Monthly Deduction'!$H$3:$H$957),0)</f>
        <v>0</v>
      </c>
      <c r="G751" s="123" t="str">
        <f>VLOOKUP(D751,'MPG Payment '!$E$3:$G$333666,3,0)</f>
        <v>MPG</v>
      </c>
      <c r="H751" s="124" t="str">
        <f>VLOOKUP(D751,'MPG Payment '!$E$3:$H$333666,4,0)</f>
        <v>Direct</v>
      </c>
      <c r="I751" s="88">
        <f>INDEX('MPG Payment '!$C:$C,MATCH('Shayak Income '!D751,'MPG Payment '!E:E,0))</f>
        <v>1063</v>
      </c>
      <c r="J751" s="88" t="str">
        <f>INDEX('MPG Payment '!$D:$D,MATCH('Shayak Income '!D751,'MPG Payment '!E:E,0))</f>
        <v>Rosera</v>
      </c>
      <c r="K751" s="125" t="s">
        <v>1594</v>
      </c>
      <c r="L751" s="125">
        <v>46073</v>
      </c>
      <c r="M751" s="126">
        <f>SUMIF('MPG Payment '!$E$3:$E$344841,'Shayak Income '!D751,'MPG Payment '!$I$3:$I$344841)</f>
        <v>110</v>
      </c>
      <c r="N751" s="126">
        <f>SUMIF('MPG Payment '!$E$3:$E$344841,'Shayak Income '!D751,'MPG Payment '!$J$3:$J$344841)</f>
        <v>6607.3000000000011</v>
      </c>
      <c r="O751" s="126">
        <f t="shared" si="214"/>
        <v>82.5</v>
      </c>
      <c r="P751" s="126">
        <f t="shared" si="215"/>
        <v>104.5</v>
      </c>
      <c r="Q751" s="126">
        <f>SUMIF('MPG Payment '!$E$3:$E$344841,'Shayak Income '!D751,'MPG Payment '!$S$3:$S$344841)</f>
        <v>8.06</v>
      </c>
      <c r="R751" s="126">
        <f t="shared" si="206"/>
        <v>198.21900000000002</v>
      </c>
      <c r="S751" s="126">
        <f t="shared" si="207"/>
        <v>93.719000000000023</v>
      </c>
      <c r="T751" s="126">
        <f t="shared" si="216"/>
        <v>11</v>
      </c>
      <c r="U751" s="127">
        <f>((((((IF(K751="New",0,SUMIF('MPG Payment '!$E$3:$E$344841,'Shayak Income '!D751,'MPG Payment '!$AC$3:$AC$344841))))+0)+0)+0)+0)+-1370</f>
        <v>184.55228993805031</v>
      </c>
      <c r="V751" s="127">
        <f t="shared" si="217"/>
        <v>0</v>
      </c>
      <c r="W751" s="19">
        <v>0</v>
      </c>
      <c r="X751" s="19">
        <v>0</v>
      </c>
      <c r="Y751" s="128">
        <v>0</v>
      </c>
      <c r="Z751" s="128">
        <v>0</v>
      </c>
      <c r="AA751" s="126">
        <v>0</v>
      </c>
      <c r="AB751" s="129">
        <f t="shared" si="208"/>
        <v>0</v>
      </c>
      <c r="AC751" s="130">
        <f t="shared" ref="AC751:AC753" si="229">AB751</f>
        <v>0</v>
      </c>
      <c r="AD751" s="35">
        <f t="shared" si="224"/>
        <v>0</v>
      </c>
      <c r="AE751" s="166" t="str">
        <f t="shared" si="221"/>
        <v>Release</v>
      </c>
      <c r="AF751" s="127"/>
      <c r="AG751" s="18">
        <v>0</v>
      </c>
      <c r="AH751" s="132" t="s">
        <v>1689</v>
      </c>
      <c r="AI751" s="238">
        <v>19000</v>
      </c>
      <c r="AJ751" s="132"/>
      <c r="AK751" s="151">
        <v>0</v>
      </c>
      <c r="AL751" s="154">
        <f t="shared" si="209"/>
        <v>0</v>
      </c>
      <c r="AM751" s="155"/>
      <c r="AN751" s="19">
        <f t="shared" si="210"/>
        <v>1861</v>
      </c>
      <c r="AO751" s="118">
        <f>SUMIF('MPG Payment '!E:E,'Shayak Income '!D751,'MPG Payment '!AJ:AJ)</f>
        <v>0</v>
      </c>
      <c r="AP751" s="19">
        <f t="shared" si="211"/>
        <v>0</v>
      </c>
      <c r="AQ751" s="119">
        <f t="shared" si="225"/>
        <v>0</v>
      </c>
      <c r="AR751" s="91" t="s">
        <v>1144</v>
      </c>
      <c r="AS751" s="91">
        <f t="shared" si="212"/>
        <v>6400</v>
      </c>
      <c r="AT751" s="118"/>
      <c r="AU751" s="118"/>
      <c r="AV751" s="118"/>
    </row>
    <row r="752" spans="1:48" s="20" customFormat="1" x14ac:dyDescent="0.25">
      <c r="A752" s="17">
        <f>IFERROR(VLOOKUP(D752,'Monthly Deduction'!$I$3:$J$957,2,0),0)</f>
        <v>0</v>
      </c>
      <c r="B752" s="17">
        <f>IFERROR(VLOOKUP(D752,'Monthly Deduction'!$E$3:$F$957,2,0),0)</f>
        <v>6400</v>
      </c>
      <c r="C752" s="17">
        <f t="shared" si="223"/>
        <v>6400</v>
      </c>
      <c r="D752" s="41">
        <v>10630008</v>
      </c>
      <c r="E752" s="122" t="str">
        <f>VLOOKUP(D752,'MPG Payment '!$E$3:$G$497305,2,0)</f>
        <v>Raj Nagar</v>
      </c>
      <c r="F752" s="146">
        <f>IFERROR(_xlfn.XLOOKUP(D752,'Monthly Deduction'!$I$3:$I$957,'Monthly Deduction'!$H$3:$H$957),0)</f>
        <v>0</v>
      </c>
      <c r="G752" s="123" t="str">
        <f>VLOOKUP(D752,'MPG Payment '!$E$3:$G$333666,3,0)</f>
        <v>MPG</v>
      </c>
      <c r="H752" s="124" t="str">
        <f>VLOOKUP(D752,'MPG Payment '!$E$3:$H$333666,4,0)</f>
        <v>Direct</v>
      </c>
      <c r="I752" s="88">
        <f>INDEX('MPG Payment '!$C:$C,MATCH('Shayak Income '!D752,'MPG Payment '!E:E,0))</f>
        <v>1063</v>
      </c>
      <c r="J752" s="88" t="str">
        <f>INDEX('MPG Payment '!$D:$D,MATCH('Shayak Income '!D752,'MPG Payment '!E:E,0))</f>
        <v>Rosera</v>
      </c>
      <c r="K752" s="125" t="s">
        <v>1594</v>
      </c>
      <c r="L752" s="125">
        <v>46073</v>
      </c>
      <c r="M752" s="126">
        <f>SUMIF('MPG Payment '!$E$3:$E$344841,'Shayak Income '!D752,'MPG Payment '!$I$3:$I$344841)</f>
        <v>42.7</v>
      </c>
      <c r="N752" s="126">
        <f>SUMIF('MPG Payment '!$E$3:$E$344841,'Shayak Income '!D752,'MPG Payment '!$J$3:$J$344841)</f>
        <v>1853.8400000000001</v>
      </c>
      <c r="O752" s="126">
        <f t="shared" si="214"/>
        <v>32.025000000000006</v>
      </c>
      <c r="P752" s="126">
        <f t="shared" si="215"/>
        <v>40.564999999999998</v>
      </c>
      <c r="Q752" s="126">
        <f>SUMIF('MPG Payment '!$E$3:$E$344841,'Shayak Income '!D752,'MPG Payment '!$S$3:$S$344841)</f>
        <v>0</v>
      </c>
      <c r="R752" s="126">
        <f t="shared" si="206"/>
        <v>55.615200000000002</v>
      </c>
      <c r="S752" s="126">
        <f t="shared" si="207"/>
        <v>15.050200000000004</v>
      </c>
      <c r="T752" s="126">
        <f t="shared" si="216"/>
        <v>4.2700000000000005</v>
      </c>
      <c r="U752" s="127">
        <f>((((((IF(K752="New",0,SUMIF('MPG Payment '!$E$3:$E$344841,'Shayak Income '!D752,'MPG Payment '!$AC$3:$AC$344841))))+0)+0)+0)+0)+-1193</f>
        <v>68.137462405221186</v>
      </c>
      <c r="V752" s="127">
        <f t="shared" si="217"/>
        <v>0</v>
      </c>
      <c r="W752" s="19">
        <v>0</v>
      </c>
      <c r="X752" s="19">
        <v>0</v>
      </c>
      <c r="Y752" s="128">
        <v>0</v>
      </c>
      <c r="Z752" s="128">
        <v>0</v>
      </c>
      <c r="AA752" s="126">
        <v>0</v>
      </c>
      <c r="AB752" s="129">
        <f t="shared" si="208"/>
        <v>0</v>
      </c>
      <c r="AC752" s="130">
        <f t="shared" si="229"/>
        <v>0</v>
      </c>
      <c r="AD752" s="35">
        <f t="shared" si="224"/>
        <v>0</v>
      </c>
      <c r="AE752" s="166" t="str">
        <f t="shared" si="221"/>
        <v>Release</v>
      </c>
      <c r="AF752" s="127"/>
      <c r="AG752" s="18">
        <v>0</v>
      </c>
      <c r="AH752" s="132" t="s">
        <v>1684</v>
      </c>
      <c r="AI752" s="238">
        <v>0</v>
      </c>
      <c r="AJ752" s="132"/>
      <c r="AK752" s="151">
        <v>0</v>
      </c>
      <c r="AL752" s="154">
        <f t="shared" si="209"/>
        <v>0</v>
      </c>
      <c r="AM752" s="155"/>
      <c r="AN752" s="19">
        <f t="shared" si="210"/>
        <v>0</v>
      </c>
      <c r="AO752" s="118">
        <f>SUMIF('MPG Payment '!E:E,'Shayak Income '!D752,'MPG Payment '!AJ:AJ)</f>
        <v>0</v>
      </c>
      <c r="AP752" s="19">
        <f t="shared" si="211"/>
        <v>0</v>
      </c>
      <c r="AQ752" s="119">
        <f t="shared" si="225"/>
        <v>0</v>
      </c>
      <c r="AR752" s="91" t="s">
        <v>1144</v>
      </c>
      <c r="AS752" s="91">
        <f t="shared" si="212"/>
        <v>6400</v>
      </c>
      <c r="AT752" s="118"/>
      <c r="AU752" s="118"/>
      <c r="AV752" s="118"/>
    </row>
    <row r="753" spans="1:48" s="20" customFormat="1" x14ac:dyDescent="0.25">
      <c r="A753" s="17">
        <f>IFERROR(VLOOKUP(D753,'Monthly Deduction'!$I$3:$J$957,2,0),0)</f>
        <v>80996.731241414513</v>
      </c>
      <c r="B753" s="17">
        <f>IFERROR(VLOOKUP(D753,'Monthly Deduction'!$E$3:$F$957,2,0),0)</f>
        <v>6400</v>
      </c>
      <c r="C753" s="17">
        <f t="shared" si="223"/>
        <v>87396.731241414513</v>
      </c>
      <c r="D753" s="41">
        <v>10630009</v>
      </c>
      <c r="E753" s="122" t="str">
        <f>VLOOKUP(D753,'MPG Payment '!$E$3:$G$497305,2,0)</f>
        <v>Nauapokhar</v>
      </c>
      <c r="F753" s="146">
        <f>IFERROR(_xlfn.XLOOKUP(D753,'Monthly Deduction'!$I$3:$I$957,'Monthly Deduction'!$H$3:$H$957),0)</f>
        <v>0</v>
      </c>
      <c r="G753" s="123" t="str">
        <f>VLOOKUP(D753,'MPG Payment '!$E$3:$G$333666,3,0)</f>
        <v>MPG</v>
      </c>
      <c r="H753" s="124" t="str">
        <f>VLOOKUP(D753,'MPG Payment '!$E$3:$H$333666,4,0)</f>
        <v>Direct</v>
      </c>
      <c r="I753" s="88">
        <f>INDEX('MPG Payment '!$C:$C,MATCH('Shayak Income '!D753,'MPG Payment '!E:E,0))</f>
        <v>1063</v>
      </c>
      <c r="J753" s="88" t="str">
        <f>INDEX('MPG Payment '!$D:$D,MATCH('Shayak Income '!D753,'MPG Payment '!E:E,0))</f>
        <v>Rosera</v>
      </c>
      <c r="K753" s="125" t="s">
        <v>1594</v>
      </c>
      <c r="L753" s="125">
        <v>46073</v>
      </c>
      <c r="M753" s="126">
        <f>SUMIF('MPG Payment '!$E$3:$E$344841,'Shayak Income '!D753,'MPG Payment '!$I$3:$I$344841)</f>
        <v>5982.9</v>
      </c>
      <c r="N753" s="126">
        <f>SUMIF('MPG Payment '!$E$3:$E$344841,'Shayak Income '!D753,'MPG Payment '!$J$3:$J$344841)</f>
        <v>238041.93999999994</v>
      </c>
      <c r="O753" s="126">
        <f t="shared" si="214"/>
        <v>4487.1749999999993</v>
      </c>
      <c r="P753" s="126">
        <f t="shared" si="215"/>
        <v>5683.7549999999992</v>
      </c>
      <c r="Q753" s="126">
        <f>SUMIF('MPG Payment '!$E$3:$E$344841,'Shayak Income '!D753,'MPG Payment '!$S$3:$S$344841)</f>
        <v>383.83000000000004</v>
      </c>
      <c r="R753" s="126">
        <f t="shared" si="206"/>
        <v>7141.2581999999984</v>
      </c>
      <c r="S753" s="126">
        <f t="shared" si="207"/>
        <v>1457.5031999999992</v>
      </c>
      <c r="T753" s="126">
        <f t="shared" si="216"/>
        <v>598.29</v>
      </c>
      <c r="U753" s="127">
        <f>((((((IF(K753="New",0,SUMIF('MPG Payment '!$E$3:$E$344841,'Shayak Income '!D753,'MPG Payment '!$AC$3:$AC$344841))))+0)+0)+0)+0)+0</f>
        <v>0</v>
      </c>
      <c r="V753" s="127">
        <f t="shared" si="217"/>
        <v>9956</v>
      </c>
      <c r="W753" s="19">
        <f t="shared" si="218"/>
        <v>4760.8387999999986</v>
      </c>
      <c r="X753" s="19">
        <v>0</v>
      </c>
      <c r="Y753" s="128">
        <f>IFERROR(VLOOKUP(D753,'Monthly Deduction'!$M$2:$N$640,2,0),0)</f>
        <v>0</v>
      </c>
      <c r="Z753" s="128">
        <v>0</v>
      </c>
      <c r="AA753" s="126">
        <f>IFERROR(VLOOKUP(D753,'Monthly Deduction'!A:B,2,0),0)</f>
        <v>0</v>
      </c>
      <c r="AB753" s="129">
        <f t="shared" si="208"/>
        <v>5195</v>
      </c>
      <c r="AC753" s="130">
        <f t="shared" si="229"/>
        <v>5195</v>
      </c>
      <c r="AD753" s="35">
        <f t="shared" si="224"/>
        <v>0</v>
      </c>
      <c r="AE753" s="166" t="str">
        <f t="shared" si="221"/>
        <v>Yes</v>
      </c>
      <c r="AF753" s="127"/>
      <c r="AG753" s="18">
        <v>0</v>
      </c>
      <c r="AH753" s="120" t="s">
        <v>1686</v>
      </c>
      <c r="AI753" s="238">
        <v>20000</v>
      </c>
      <c r="AJ753" s="132"/>
      <c r="AK753" s="151">
        <v>1683.2</v>
      </c>
      <c r="AL753" s="154">
        <f t="shared" si="209"/>
        <v>0</v>
      </c>
      <c r="AM753" s="155"/>
      <c r="AN753" s="19">
        <f t="shared" si="210"/>
        <v>4760.8387999999986</v>
      </c>
      <c r="AO753" s="118">
        <f>SUMIF('MPG Payment '!E:E,'Shayak Income '!D753,'MPG Payment '!AJ:AJ)</f>
        <v>0</v>
      </c>
      <c r="AP753" s="19">
        <f t="shared" si="211"/>
        <v>4760.8387999999986</v>
      </c>
      <c r="AQ753" s="119">
        <f t="shared" si="225"/>
        <v>4760.8387999999986</v>
      </c>
      <c r="AR753" s="91" t="s">
        <v>1144</v>
      </c>
      <c r="AS753" s="91">
        <f t="shared" si="212"/>
        <v>6400</v>
      </c>
      <c r="AT753" s="118"/>
      <c r="AU753" s="118"/>
      <c r="AV753" s="118"/>
    </row>
    <row r="754" spans="1:48" s="20" customFormat="1" x14ac:dyDescent="0.25">
      <c r="A754" s="17">
        <f>IFERROR(VLOOKUP(D754,'Monthly Deduction'!$I$3:$J$957,2,0),0)</f>
        <v>0</v>
      </c>
      <c r="B754" s="17">
        <f>IFERROR(VLOOKUP(D754,'Monthly Deduction'!$E$3:$F$957,2,0),0)</f>
        <v>0</v>
      </c>
      <c r="C754" s="17">
        <f t="shared" si="223"/>
        <v>0</v>
      </c>
      <c r="D754" s="41">
        <v>10630010</v>
      </c>
      <c r="E754" s="122" t="str">
        <f>VLOOKUP(D754,'MPG Payment '!$E$3:$G$497305,2,0)</f>
        <v>Erout 2</v>
      </c>
      <c r="F754" s="146">
        <f>IFERROR(_xlfn.XLOOKUP(D754,'Monthly Deduction'!$I$3:$I$957,'Monthly Deduction'!$H$3:$H$957),0)</f>
        <v>0</v>
      </c>
      <c r="G754" s="123" t="str">
        <f>VLOOKUP(D754,'MPG Payment '!$E$3:$G$333666,3,0)</f>
        <v>vlc</v>
      </c>
      <c r="H754" s="124" t="str">
        <f>VLOOKUP(D754,'MPG Payment '!$E$3:$H$333666,4,0)</f>
        <v>Indirect</v>
      </c>
      <c r="I754" s="88">
        <f>INDEX('MPG Payment '!$C:$C,MATCH('Shayak Income '!D754,'MPG Payment '!E:E,0))</f>
        <v>1063</v>
      </c>
      <c r="J754" s="88" t="str">
        <f>INDEX('MPG Payment '!$D:$D,MATCH('Shayak Income '!D754,'MPG Payment '!E:E,0))</f>
        <v>Rosera</v>
      </c>
      <c r="K754" s="125" t="s">
        <v>1594</v>
      </c>
      <c r="L754" s="125">
        <v>46073</v>
      </c>
      <c r="M754" s="126">
        <f>SUMIF('MPG Payment '!$E$3:$E$344841,'Shayak Income '!D754,'MPG Payment '!$I$3:$I$344841)</f>
        <v>2938.9000000000005</v>
      </c>
      <c r="N754" s="126">
        <f>SUMIF('MPG Payment '!$E$3:$E$344841,'Shayak Income '!D754,'MPG Payment '!$J$3:$J$344841)</f>
        <v>124069.54000000001</v>
      </c>
      <c r="O754" s="126">
        <f t="shared" si="214"/>
        <v>2204.1750000000002</v>
      </c>
      <c r="P754" s="126">
        <f t="shared" si="215"/>
        <v>2791.9550000000004</v>
      </c>
      <c r="Q754" s="126">
        <f>SUMIF('MPG Payment '!$E$3:$E$344841,'Shayak Income '!D754,'MPG Payment '!$S$3:$S$344841)</f>
        <v>0</v>
      </c>
      <c r="R754" s="126">
        <f t="shared" si="206"/>
        <v>3722.0862000000002</v>
      </c>
      <c r="S754" s="126">
        <f t="shared" si="207"/>
        <v>930.13119999999981</v>
      </c>
      <c r="T754" s="126">
        <f t="shared" si="216"/>
        <v>293.89000000000004</v>
      </c>
      <c r="U754" s="127">
        <f>((((((IF(K754="New",0,SUMIF('MPG Payment '!$E$3:$E$344841,'Shayak Income '!D754,'MPG Payment '!$AC$3:$AC$344841))))+0)+0)+0)+0)+0</f>
        <v>166.56139369627508</v>
      </c>
      <c r="V754" s="127">
        <f t="shared" si="217"/>
        <v>4536</v>
      </c>
      <c r="W754" s="19">
        <f t="shared" si="218"/>
        <v>0</v>
      </c>
      <c r="X754" s="19">
        <f t="shared" si="219"/>
        <v>0</v>
      </c>
      <c r="Y754" s="128">
        <f>IFERROR(VLOOKUP(D754,'Monthly Deduction'!$M$2:$N$640,2,0),0)</f>
        <v>0</v>
      </c>
      <c r="Z754" s="128">
        <v>0</v>
      </c>
      <c r="AA754" s="126">
        <f>IFERROR(VLOOKUP(D754,'Monthly Deduction'!A:B,2,0),0)</f>
        <v>0</v>
      </c>
      <c r="AB754" s="129">
        <f t="shared" si="208"/>
        <v>4536</v>
      </c>
      <c r="AC754" s="130">
        <v>0</v>
      </c>
      <c r="AD754" s="35">
        <f t="shared" si="224"/>
        <v>4536</v>
      </c>
      <c r="AE754" s="166" t="str">
        <f t="shared" si="221"/>
        <v>Release</v>
      </c>
      <c r="AF754" s="127"/>
      <c r="AG754" s="18">
        <v>0</v>
      </c>
      <c r="AH754" s="120"/>
      <c r="AI754" s="238">
        <v>0</v>
      </c>
      <c r="AJ754" s="132"/>
      <c r="AK754" s="151">
        <v>193.39999999999998</v>
      </c>
      <c r="AL754" s="154">
        <f t="shared" si="209"/>
        <v>0</v>
      </c>
      <c r="AM754" s="155"/>
      <c r="AN754" s="19">
        <f t="shared" si="210"/>
        <v>0</v>
      </c>
      <c r="AO754" s="118">
        <f>SUMIF('MPG Payment '!E:E,'Shayak Income '!D754,'MPG Payment '!AJ:AJ)</f>
        <v>0</v>
      </c>
      <c r="AP754" s="19">
        <f t="shared" si="211"/>
        <v>0</v>
      </c>
      <c r="AQ754" s="119">
        <f t="shared" si="225"/>
        <v>0</v>
      </c>
      <c r="AR754" s="91"/>
      <c r="AS754" s="91">
        <f t="shared" si="212"/>
        <v>0</v>
      </c>
      <c r="AT754" s="118"/>
      <c r="AU754" s="118"/>
      <c r="AV754" s="118"/>
    </row>
    <row r="755" spans="1:48" s="20" customFormat="1" x14ac:dyDescent="0.25">
      <c r="A755" s="17">
        <f>IFERROR(VLOOKUP(D755,'Monthly Deduction'!$I$3:$J$957,2,0),0)</f>
        <v>0</v>
      </c>
      <c r="B755" s="17">
        <f>IFERROR(VLOOKUP(D755,'Monthly Deduction'!$E$3:$F$957,2,0),0)</f>
        <v>0</v>
      </c>
      <c r="C755" s="17">
        <f t="shared" si="223"/>
        <v>0</v>
      </c>
      <c r="D755" s="41">
        <v>10630011</v>
      </c>
      <c r="E755" s="122" t="str">
        <f>VLOOKUP(D755,'MPG Payment '!$E$3:$G$497305,2,0)</f>
        <v>Parsuram</v>
      </c>
      <c r="F755" s="146">
        <f>IFERROR(_xlfn.XLOOKUP(D755,'Monthly Deduction'!$I$3:$I$957,'Monthly Deduction'!$H$3:$H$957),0)</f>
        <v>0</v>
      </c>
      <c r="G755" s="123" t="str">
        <f>VLOOKUP(D755,'MPG Payment '!$E$3:$G$333666,3,0)</f>
        <v>vlc</v>
      </c>
      <c r="H755" s="124" t="str">
        <f>VLOOKUP(D755,'MPG Payment '!$E$3:$H$333666,4,0)</f>
        <v>Indirect</v>
      </c>
      <c r="I755" s="88">
        <f>INDEX('MPG Payment '!$C:$C,MATCH('Shayak Income '!D755,'MPG Payment '!E:E,0))</f>
        <v>1063</v>
      </c>
      <c r="J755" s="88" t="str">
        <f>INDEX('MPG Payment '!$D:$D,MATCH('Shayak Income '!D755,'MPG Payment '!E:E,0))</f>
        <v>Rosera</v>
      </c>
      <c r="K755" s="125" t="s">
        <v>1594</v>
      </c>
      <c r="L755" s="125">
        <v>46073</v>
      </c>
      <c r="M755" s="126">
        <f>SUMIF('MPG Payment '!$E$3:$E$344841,'Shayak Income '!D755,'MPG Payment '!$I$3:$I$344841)</f>
        <v>527.20000000000005</v>
      </c>
      <c r="N755" s="126">
        <f>SUMIF('MPG Payment '!$E$3:$E$344841,'Shayak Income '!D755,'MPG Payment '!$J$3:$J$344841)</f>
        <v>16207.25</v>
      </c>
      <c r="O755" s="126">
        <f t="shared" si="214"/>
        <v>395.40000000000003</v>
      </c>
      <c r="P755" s="126">
        <f t="shared" si="215"/>
        <v>500.84000000000003</v>
      </c>
      <c r="Q755" s="126">
        <f>SUMIF('MPG Payment '!$E$3:$E$344841,'Shayak Income '!D755,'MPG Payment '!$S$3:$S$344841)</f>
        <v>0</v>
      </c>
      <c r="R755" s="126">
        <f t="shared" si="206"/>
        <v>486.21749999999997</v>
      </c>
      <c r="S755" s="126">
        <f t="shared" si="207"/>
        <v>-14.622500000000059</v>
      </c>
      <c r="T755" s="126">
        <f t="shared" si="216"/>
        <v>52.720000000000006</v>
      </c>
      <c r="U755" s="127">
        <f>((((((IF(K755="New",0,SUMIF('MPG Payment '!$E$3:$E$344841,'Shayak Income '!D755,'MPG Payment '!$AC$3:$AC$344841))))+0)+0)+0)+0)+-553</f>
        <v>843.94444545998431</v>
      </c>
      <c r="V755" s="127">
        <f t="shared" si="217"/>
        <v>0</v>
      </c>
      <c r="W755" s="19">
        <v>0</v>
      </c>
      <c r="X755" s="19">
        <v>0</v>
      </c>
      <c r="Y755" s="128">
        <v>0</v>
      </c>
      <c r="Z755" s="128">
        <v>0</v>
      </c>
      <c r="AA755" s="126">
        <v>0</v>
      </c>
      <c r="AB755" s="129">
        <f t="shared" si="208"/>
        <v>0</v>
      </c>
      <c r="AC755" s="130">
        <v>0</v>
      </c>
      <c r="AD755" s="35">
        <f t="shared" si="224"/>
        <v>0</v>
      </c>
      <c r="AE755" s="166" t="str">
        <f t="shared" si="221"/>
        <v>Release</v>
      </c>
      <c r="AF755" s="127"/>
      <c r="AG755" s="18">
        <v>0</v>
      </c>
      <c r="AH755" s="132"/>
      <c r="AI755" s="238">
        <v>0</v>
      </c>
      <c r="AJ755" s="132"/>
      <c r="AK755" s="151">
        <v>105.30000000000001</v>
      </c>
      <c r="AL755" s="154">
        <f t="shared" si="209"/>
        <v>0</v>
      </c>
      <c r="AM755" s="155"/>
      <c r="AN755" s="19">
        <f t="shared" si="210"/>
        <v>0</v>
      </c>
      <c r="AO755" s="118">
        <f>SUMIF('MPG Payment '!E:E,'Shayak Income '!D755,'MPG Payment '!AJ:AJ)</f>
        <v>0</v>
      </c>
      <c r="AP755" s="19">
        <f t="shared" si="211"/>
        <v>0</v>
      </c>
      <c r="AQ755" s="119">
        <f t="shared" si="225"/>
        <v>0</v>
      </c>
      <c r="AR755" s="91" t="s">
        <v>1144</v>
      </c>
      <c r="AS755" s="91">
        <f t="shared" si="212"/>
        <v>0</v>
      </c>
      <c r="AT755" s="118"/>
      <c r="AU755" s="118"/>
      <c r="AV755" s="118"/>
    </row>
    <row r="756" spans="1:48" s="20" customFormat="1" x14ac:dyDescent="0.25">
      <c r="A756" s="17">
        <f>IFERROR(VLOOKUP(D756,'Monthly Deduction'!$I$3:$J$957,2,0),0)</f>
        <v>0</v>
      </c>
      <c r="B756" s="17">
        <f>IFERROR(VLOOKUP(D756,'Monthly Deduction'!$E$3:$F$957,2,0),0)</f>
        <v>0</v>
      </c>
      <c r="C756" s="17">
        <f t="shared" si="223"/>
        <v>0</v>
      </c>
      <c r="D756" s="41">
        <v>10630012</v>
      </c>
      <c r="E756" s="122" t="str">
        <f>VLOOKUP(D756,'MPG Payment '!$E$3:$G$497305,2,0)</f>
        <v>Gudarghat</v>
      </c>
      <c r="F756" s="146">
        <f>IFERROR(_xlfn.XLOOKUP(D756,'Monthly Deduction'!$I$3:$I$957,'Monthly Deduction'!$H$3:$H$957),0)</f>
        <v>0</v>
      </c>
      <c r="G756" s="123" t="str">
        <f>VLOOKUP(D756,'MPG Payment '!$E$3:$G$333666,3,0)</f>
        <v>vlc</v>
      </c>
      <c r="H756" s="124" t="str">
        <f>VLOOKUP(D756,'MPG Payment '!$E$3:$H$333666,4,0)</f>
        <v>Indirect</v>
      </c>
      <c r="I756" s="88">
        <f>INDEX('MPG Payment '!$C:$C,MATCH('Shayak Income '!D756,'MPG Payment '!E:E,0))</f>
        <v>1063</v>
      </c>
      <c r="J756" s="88" t="str">
        <f>INDEX('MPG Payment '!$D:$D,MATCH('Shayak Income '!D756,'MPG Payment '!E:E,0))</f>
        <v>Rosera</v>
      </c>
      <c r="K756" s="125" t="s">
        <v>1594</v>
      </c>
      <c r="L756" s="125">
        <v>46073</v>
      </c>
      <c r="M756" s="126">
        <f>SUMIF('MPG Payment '!$E$3:$E$344841,'Shayak Income '!D756,'MPG Payment '!$I$3:$I$344841)</f>
        <v>244.10000000000002</v>
      </c>
      <c r="N756" s="126">
        <f>SUMIF('MPG Payment '!$E$3:$E$344841,'Shayak Income '!D756,'MPG Payment '!$J$3:$J$344841)</f>
        <v>9267.16</v>
      </c>
      <c r="O756" s="126">
        <f t="shared" si="214"/>
        <v>183.07500000000002</v>
      </c>
      <c r="P756" s="126">
        <f t="shared" si="215"/>
        <v>231.89500000000001</v>
      </c>
      <c r="Q756" s="126">
        <f>SUMIF('MPG Payment '!$E$3:$E$344841,'Shayak Income '!D756,'MPG Payment '!$S$3:$S$344841)</f>
        <v>0</v>
      </c>
      <c r="R756" s="126">
        <f t="shared" si="206"/>
        <v>278.01479999999998</v>
      </c>
      <c r="S756" s="126">
        <f t="shared" si="207"/>
        <v>46.119799999999969</v>
      </c>
      <c r="T756" s="126">
        <f t="shared" si="216"/>
        <v>24.410000000000004</v>
      </c>
      <c r="U756" s="127">
        <f>((((((IF(K756="New",0,SUMIF('MPG Payment '!$E$3:$E$344841,'Shayak Income '!D756,'MPG Payment '!$AC$3:$AC$344841))))+0)+0)+0)+0)+-488</f>
        <v>390.21632432199749</v>
      </c>
      <c r="V756" s="127">
        <f t="shared" si="217"/>
        <v>0</v>
      </c>
      <c r="W756" s="19">
        <v>0</v>
      </c>
      <c r="X756" s="19">
        <v>0</v>
      </c>
      <c r="Y756" s="128">
        <v>0</v>
      </c>
      <c r="Z756" s="128">
        <v>0</v>
      </c>
      <c r="AA756" s="126">
        <v>0</v>
      </c>
      <c r="AB756" s="129">
        <f t="shared" si="208"/>
        <v>0</v>
      </c>
      <c r="AC756" s="130">
        <f>AB756</f>
        <v>0</v>
      </c>
      <c r="AD756" s="35">
        <f t="shared" si="224"/>
        <v>0</v>
      </c>
      <c r="AE756" s="166" t="str">
        <f t="shared" si="221"/>
        <v>Release</v>
      </c>
      <c r="AF756" s="127"/>
      <c r="AG756" s="127">
        <v>0</v>
      </c>
      <c r="AH756" s="132" t="s">
        <v>1597</v>
      </c>
      <c r="AI756" s="238">
        <v>0</v>
      </c>
      <c r="AJ756" s="132"/>
      <c r="AK756" s="151">
        <v>0</v>
      </c>
      <c r="AL756" s="154">
        <f t="shared" si="209"/>
        <v>0</v>
      </c>
      <c r="AM756" s="155"/>
      <c r="AN756" s="19">
        <f t="shared" si="210"/>
        <v>0</v>
      </c>
      <c r="AO756" s="118">
        <f>SUMIF('MPG Payment '!E:E,'Shayak Income '!D756,'MPG Payment '!AJ:AJ)</f>
        <v>0</v>
      </c>
      <c r="AP756" s="19">
        <f t="shared" si="211"/>
        <v>0</v>
      </c>
      <c r="AQ756" s="119">
        <f t="shared" si="225"/>
        <v>0</v>
      </c>
      <c r="AR756" s="91" t="s">
        <v>1144</v>
      </c>
      <c r="AS756" s="91">
        <f t="shared" si="212"/>
        <v>0</v>
      </c>
      <c r="AT756" s="118"/>
      <c r="AU756" s="118"/>
      <c r="AV756" s="118"/>
    </row>
    <row r="757" spans="1:48" s="20" customFormat="1" x14ac:dyDescent="0.25">
      <c r="A757" s="17">
        <f>IFERROR(VLOOKUP(D757,'Monthly Deduction'!$I$3:$J$957,2,0),0)</f>
        <v>0</v>
      </c>
      <c r="B757" s="17">
        <f>IFERROR(VLOOKUP(D757,'Monthly Deduction'!$E$3:$F$957,2,0),0)</f>
        <v>0</v>
      </c>
      <c r="C757" s="17">
        <f t="shared" si="223"/>
        <v>0</v>
      </c>
      <c r="D757" s="41">
        <v>10060051</v>
      </c>
      <c r="E757" s="122" t="str">
        <f>VLOOKUP(D757,'MPG Payment '!$E$3:$G$497305,2,0)</f>
        <v>ABGIL RAMPUR</v>
      </c>
      <c r="F757" s="146">
        <f>IFERROR(_xlfn.XLOOKUP(D757,'Monthly Deduction'!$I$3:$I$957,'Monthly Deduction'!$H$3:$H$957),0)</f>
        <v>0</v>
      </c>
      <c r="G757" s="123" t="str">
        <f>VLOOKUP(D757,'MPG Payment '!$E$3:$G$333666,3,0)</f>
        <v>vlc</v>
      </c>
      <c r="H757" s="124" t="str">
        <f>VLOOKUP(D757,'MPG Payment '!$E$3:$H$333666,4,0)</f>
        <v>Indirect</v>
      </c>
      <c r="I757" s="88">
        <f>INDEX('MPG Payment '!$C:$C,MATCH('Shayak Income '!D757,'MPG Payment '!E:E,0))</f>
        <v>1006</v>
      </c>
      <c r="J757" s="88" t="str">
        <f>INDEX('MPG Payment '!$D:$D,MATCH('Shayak Income '!D757,'MPG Payment '!E:E,0))</f>
        <v>Sonvarsha</v>
      </c>
      <c r="K757" s="125" t="s">
        <v>1594</v>
      </c>
      <c r="L757" s="125">
        <v>45254</v>
      </c>
      <c r="M757" s="126">
        <f>SUMIF('MPG Payment '!$E$3:$E$344841,'Shayak Income '!D757,'MPG Payment '!$I$3:$I$344841)</f>
        <v>735.2</v>
      </c>
      <c r="N757" s="126">
        <f>SUMIF('MPG Payment '!$E$3:$E$344841,'Shayak Income '!D757,'MPG Payment '!$J$3:$J$344841)</f>
        <v>29611.89</v>
      </c>
      <c r="O757" s="126">
        <f t="shared" si="214"/>
        <v>551.40000000000009</v>
      </c>
      <c r="P757" s="126">
        <f t="shared" si="215"/>
        <v>698.44</v>
      </c>
      <c r="Q757" s="126">
        <f>SUMIF('MPG Payment '!$E$3:$E$344841,'Shayak Income '!D757,'MPG Payment '!$S$3:$S$344841)</f>
        <v>0</v>
      </c>
      <c r="R757" s="126">
        <f t="shared" si="206"/>
        <v>888.35669999999993</v>
      </c>
      <c r="S757" s="126">
        <f t="shared" si="207"/>
        <v>189.91669999999988</v>
      </c>
      <c r="T757" s="126">
        <f t="shared" si="216"/>
        <v>73.52000000000001</v>
      </c>
      <c r="U757" s="127">
        <f>((((((IF(K757="New",0,SUMIF('MPG Payment '!$E$3:$E$344841,'Shayak Income '!D757,'MPG Payment '!$AC$3:$AC$344841))))+0)+0)+0)+0)+-416</f>
        <v>1176.3981612424516</v>
      </c>
      <c r="V757" s="127">
        <f t="shared" si="217"/>
        <v>0</v>
      </c>
      <c r="W757" s="19">
        <v>0</v>
      </c>
      <c r="X757" s="19">
        <v>0</v>
      </c>
      <c r="Y757" s="128">
        <v>0</v>
      </c>
      <c r="Z757" s="128">
        <v>0</v>
      </c>
      <c r="AA757" s="126">
        <v>0</v>
      </c>
      <c r="AB757" s="129">
        <f t="shared" si="208"/>
        <v>0</v>
      </c>
      <c r="AC757" s="130">
        <v>0</v>
      </c>
      <c r="AD757" s="35">
        <f t="shared" si="224"/>
        <v>0</v>
      </c>
      <c r="AE757" s="166" t="str">
        <f t="shared" si="221"/>
        <v>Release</v>
      </c>
      <c r="AF757" s="127"/>
      <c r="AG757" s="18">
        <v>0</v>
      </c>
      <c r="AH757" s="120"/>
      <c r="AI757" s="238">
        <v>0</v>
      </c>
      <c r="AJ757" s="132"/>
      <c r="AK757" s="151">
        <v>335</v>
      </c>
      <c r="AL757" s="154">
        <f t="shared" si="209"/>
        <v>0</v>
      </c>
      <c r="AM757" s="155"/>
      <c r="AN757" s="19">
        <f t="shared" si="210"/>
        <v>0</v>
      </c>
      <c r="AO757" s="118">
        <f>SUMIF('MPG Payment '!E:E,'Shayak Income '!D757,'MPG Payment '!AJ:AJ)</f>
        <v>0</v>
      </c>
      <c r="AP757" s="19">
        <f t="shared" si="211"/>
        <v>0</v>
      </c>
      <c r="AQ757" s="119">
        <f t="shared" si="225"/>
        <v>0</v>
      </c>
      <c r="AR757" s="91" t="s">
        <v>1144</v>
      </c>
      <c r="AS757" s="91">
        <f t="shared" si="212"/>
        <v>0</v>
      </c>
      <c r="AT757" s="118"/>
      <c r="AU757" s="118"/>
      <c r="AV757" s="118"/>
    </row>
    <row r="758" spans="1:48" s="20" customFormat="1" x14ac:dyDescent="0.25">
      <c r="A758" s="17">
        <f>IFERROR(VLOOKUP(D758,'Monthly Deduction'!$I$3:$J$957,2,0),0)</f>
        <v>64871</v>
      </c>
      <c r="B758" s="17">
        <f>IFERROR(VLOOKUP(D758,'Monthly Deduction'!$E$3:$F$957,2,0),0)</f>
        <v>6400</v>
      </c>
      <c r="C758" s="17">
        <f t="shared" si="223"/>
        <v>71271</v>
      </c>
      <c r="D758" s="41">
        <v>10080124</v>
      </c>
      <c r="E758" s="122" t="str">
        <f>VLOOKUP(D758,'MPG Payment '!$E$3:$G$497305,2,0)</f>
        <v>Bihat-Gududaspur</v>
      </c>
      <c r="F758" s="146">
        <f>IFERROR(_xlfn.XLOOKUP(D758,'Monthly Deduction'!$I$3:$I$957,'Monthly Deduction'!$H$3:$H$957),0)</f>
        <v>0</v>
      </c>
      <c r="G758" s="123" t="str">
        <f>VLOOKUP(D758,'MPG Payment '!$E$3:$G$333666,3,0)</f>
        <v>MPG</v>
      </c>
      <c r="H758" s="124" t="str">
        <f>VLOOKUP(D758,'MPG Payment '!$E$3:$H$333666,4,0)</f>
        <v>Direct</v>
      </c>
      <c r="I758" s="88">
        <f>INDEX('MPG Payment '!$C:$C,MATCH('Shayak Income '!D758,'MPG Payment '!E:E,0))</f>
        <v>1008</v>
      </c>
      <c r="J758" s="88" t="str">
        <f>INDEX('MPG Payment '!$D:$D,MATCH('Shayak Income '!D758,'MPG Payment '!E:E,0))</f>
        <v>Teghra</v>
      </c>
      <c r="K758" s="125" t="s">
        <v>1594</v>
      </c>
      <c r="L758" s="125">
        <v>46081</v>
      </c>
      <c r="M758" s="126">
        <f>SUMIF('MPG Payment '!$E$3:$E$344841,'Shayak Income '!D758,'MPG Payment '!$I$3:$I$344841)</f>
        <v>1031.75</v>
      </c>
      <c r="N758" s="126">
        <f>SUMIF('MPG Payment '!$E$3:$E$344841,'Shayak Income '!D758,'MPG Payment '!$J$3:$J$344841)</f>
        <v>41688.799999999996</v>
      </c>
      <c r="O758" s="126">
        <f t="shared" si="214"/>
        <v>773.8125</v>
      </c>
      <c r="P758" s="126">
        <f t="shared" si="215"/>
        <v>980.16249999999991</v>
      </c>
      <c r="Q758" s="126">
        <f>SUMIF('MPG Payment '!$E$3:$E$344841,'Shayak Income '!D758,'MPG Payment '!$S$3:$S$344841)</f>
        <v>0</v>
      </c>
      <c r="R758" s="126">
        <f t="shared" si="206"/>
        <v>1250.6639999999998</v>
      </c>
      <c r="S758" s="126">
        <f t="shared" si="207"/>
        <v>270.50149999999985</v>
      </c>
      <c r="T758" s="126">
        <f t="shared" si="216"/>
        <v>103.17500000000001</v>
      </c>
      <c r="U758" s="127">
        <f>((((((IF(K758="New",0,SUMIF('MPG Payment '!$E$3:$E$344841,'Shayak Income '!D758,'MPG Payment '!$AC$3:$AC$344841))))+0)+0)+0)+0)+0</f>
        <v>1430.3380502880946</v>
      </c>
      <c r="V758" s="127">
        <f t="shared" si="217"/>
        <v>220</v>
      </c>
      <c r="W758" s="19">
        <v>220</v>
      </c>
      <c r="X758" s="19">
        <v>0</v>
      </c>
      <c r="Y758" s="128">
        <f>IFERROR(VLOOKUP(D758,'Monthly Deduction'!$M$2:$N$640,2,0),0)</f>
        <v>0</v>
      </c>
      <c r="Z758" s="128">
        <v>0</v>
      </c>
      <c r="AA758" s="126">
        <f>IFERROR(VLOOKUP(D758,'Monthly Deduction'!A:B,2,0),0)</f>
        <v>0</v>
      </c>
      <c r="AB758" s="129">
        <f t="shared" si="208"/>
        <v>0</v>
      </c>
      <c r="AC758" s="130">
        <f>AB758</f>
        <v>0</v>
      </c>
      <c r="AD758" s="35">
        <f t="shared" si="224"/>
        <v>0</v>
      </c>
      <c r="AE758" s="166" t="str">
        <f t="shared" si="221"/>
        <v>Release</v>
      </c>
      <c r="AF758" s="127"/>
      <c r="AG758" s="18">
        <v>0</v>
      </c>
      <c r="AH758" s="120" t="s">
        <v>1683</v>
      </c>
      <c r="AI758" s="238">
        <v>0</v>
      </c>
      <c r="AJ758" s="132"/>
      <c r="AK758" s="151">
        <v>174.95000000000002</v>
      </c>
      <c r="AL758" s="154">
        <f t="shared" si="209"/>
        <v>0</v>
      </c>
      <c r="AM758" s="155"/>
      <c r="AN758" s="19">
        <f t="shared" si="210"/>
        <v>1861</v>
      </c>
      <c r="AO758" s="118">
        <f>SUMIF('MPG Payment '!E:E,'Shayak Income '!D758,'MPG Payment '!AJ:AJ)</f>
        <v>0</v>
      </c>
      <c r="AP758" s="19">
        <f t="shared" si="211"/>
        <v>220</v>
      </c>
      <c r="AQ758" s="119">
        <f t="shared" si="225"/>
        <v>220</v>
      </c>
      <c r="AR758" s="91" t="s">
        <v>1144</v>
      </c>
      <c r="AS758" s="91">
        <f t="shared" si="212"/>
        <v>6400</v>
      </c>
      <c r="AT758" s="118"/>
      <c r="AU758" s="118"/>
      <c r="AV758" s="118"/>
    </row>
    <row r="759" spans="1:48" s="20" customFormat="1" x14ac:dyDescent="0.25">
      <c r="A759" s="17">
        <f>IFERROR(VLOOKUP(D759,'Monthly Deduction'!$I$3:$J$957,2,0),0)</f>
        <v>0</v>
      </c>
      <c r="B759" s="17">
        <f>IFERROR(VLOOKUP(D759,'Monthly Deduction'!$E$3:$F$957,2,0),0)</f>
        <v>0</v>
      </c>
      <c r="C759" s="17">
        <f t="shared" si="223"/>
        <v>0</v>
      </c>
      <c r="D759" s="41">
        <v>10110185</v>
      </c>
      <c r="E759" s="122" t="str">
        <f>VLOOKUP(D759,'MPG Payment '!$E$3:$G$497305,2,0)</f>
        <v>Mathar-4</v>
      </c>
      <c r="F759" s="146">
        <f>IFERROR(_xlfn.XLOOKUP(D759,'Monthly Deduction'!$I$3:$I$957,'Monthly Deduction'!$H$3:$H$957),0)</f>
        <v>0</v>
      </c>
      <c r="G759" s="123" t="str">
        <f>VLOOKUP(D759,'MPG Payment '!$E$3:$G$333666,3,0)</f>
        <v>vlc</v>
      </c>
      <c r="H759" s="124" t="str">
        <f>VLOOKUP(D759,'MPG Payment '!$E$3:$H$333666,4,0)</f>
        <v>Indirect</v>
      </c>
      <c r="I759" s="88">
        <f>INDEX('MPG Payment '!$C:$C,MATCH('Shayak Income '!D759,'MPG Payment '!E:E,0))</f>
        <v>1011</v>
      </c>
      <c r="J759" s="88" t="str">
        <f>INDEX('MPG Payment '!$D:$D,MATCH('Shayak Income '!D759,'MPG Payment '!E:E,0))</f>
        <v>Sahibpur Kamal</v>
      </c>
      <c r="K759" s="125" t="s">
        <v>1594</v>
      </c>
      <c r="L759" s="125">
        <v>46086</v>
      </c>
      <c r="M759" s="126">
        <f>SUMIF('MPG Payment '!$E$3:$E$344841,'Shayak Income '!D759,'MPG Payment '!$I$3:$I$344841)</f>
        <v>1358.5</v>
      </c>
      <c r="N759" s="126">
        <f>SUMIF('MPG Payment '!$E$3:$E$344841,'Shayak Income '!D759,'MPG Payment '!$J$3:$J$344841)</f>
        <v>55450.900000000009</v>
      </c>
      <c r="O759" s="126">
        <f t="shared" si="214"/>
        <v>1018.875</v>
      </c>
      <c r="P759" s="126">
        <f t="shared" si="215"/>
        <v>1290.575</v>
      </c>
      <c r="Q759" s="126">
        <f>SUMIF('MPG Payment '!$E$3:$E$344841,'Shayak Income '!D759,'MPG Payment '!$S$3:$S$344841)</f>
        <v>0</v>
      </c>
      <c r="R759" s="126">
        <f t="shared" si="206"/>
        <v>1663.5270000000003</v>
      </c>
      <c r="S759" s="126">
        <f t="shared" si="207"/>
        <v>372.95200000000023</v>
      </c>
      <c r="T759" s="126">
        <f t="shared" si="216"/>
        <v>135.85</v>
      </c>
      <c r="U759" s="127">
        <f>((((((IF(K759="New",0,SUMIF('MPG Payment '!$E$3:$E$344841,'Shayak Income '!D759,'MPG Payment '!$AC$3:$AC$344841))))+0)+0)+0)+0)+0</f>
        <v>1177.105019276383</v>
      </c>
      <c r="V759" s="127">
        <f t="shared" si="217"/>
        <v>996</v>
      </c>
      <c r="W759" s="19">
        <f t="shared" si="218"/>
        <v>0</v>
      </c>
      <c r="X759" s="19">
        <f t="shared" si="219"/>
        <v>0</v>
      </c>
      <c r="Y759" s="128">
        <f>IFERROR(VLOOKUP(D759,'Monthly Deduction'!$M$2:$N$640,2,0),0)</f>
        <v>0</v>
      </c>
      <c r="Z759" s="128">
        <v>0</v>
      </c>
      <c r="AA759" s="126">
        <f>IFERROR(VLOOKUP(D759,'Monthly Deduction'!A:B,2,0),0)</f>
        <v>0</v>
      </c>
      <c r="AB759" s="129">
        <f t="shared" si="208"/>
        <v>996</v>
      </c>
      <c r="AC759" s="130">
        <v>0</v>
      </c>
      <c r="AD759" s="35">
        <f t="shared" si="224"/>
        <v>996</v>
      </c>
      <c r="AE759" s="166" t="str">
        <f t="shared" si="221"/>
        <v>Release</v>
      </c>
      <c r="AF759" s="127"/>
      <c r="AG759" s="18">
        <v>0</v>
      </c>
      <c r="AH759" s="132"/>
      <c r="AI759" s="238">
        <v>0</v>
      </c>
      <c r="AJ759" s="132"/>
      <c r="AK759" s="151">
        <v>203.2</v>
      </c>
      <c r="AL759" s="154">
        <f t="shared" si="209"/>
        <v>0</v>
      </c>
      <c r="AM759" s="155"/>
      <c r="AN759" s="19">
        <f t="shared" si="210"/>
        <v>0</v>
      </c>
      <c r="AO759" s="118">
        <f>SUMIF('MPG Payment '!E:E,'Shayak Income '!D759,'MPG Payment '!AJ:AJ)</f>
        <v>0</v>
      </c>
      <c r="AP759" s="19">
        <f t="shared" si="211"/>
        <v>0</v>
      </c>
      <c r="AQ759" s="119">
        <f t="shared" si="225"/>
        <v>0</v>
      </c>
      <c r="AR759" s="91" t="s">
        <v>1144</v>
      </c>
      <c r="AS759" s="91">
        <f t="shared" si="212"/>
        <v>0</v>
      </c>
      <c r="AT759" s="118"/>
      <c r="AU759" s="118"/>
      <c r="AV759" s="118"/>
    </row>
    <row r="760" spans="1:48" s="20" customFormat="1" x14ac:dyDescent="0.25">
      <c r="A760" s="17">
        <f>IFERROR(VLOOKUP(D760,'Monthly Deduction'!$I$3:$J$957,2,0),0)</f>
        <v>73531</v>
      </c>
      <c r="B760" s="17">
        <f>IFERROR(VLOOKUP(D760,'Monthly Deduction'!$E$3:$F$957,2,0),0)</f>
        <v>6400</v>
      </c>
      <c r="C760" s="17">
        <f t="shared" si="223"/>
        <v>79931</v>
      </c>
      <c r="D760" s="41">
        <v>10120120</v>
      </c>
      <c r="E760" s="122" t="str">
        <f>VLOOKUP(D760,'MPG Payment '!$E$3:$G$497305,2,0)</f>
        <v>GOMUKH BALTHARA</v>
      </c>
      <c r="F760" s="146">
        <f>IFERROR(_xlfn.XLOOKUP(D760,'Monthly Deduction'!$I$3:$I$957,'Monthly Deduction'!$H$3:$H$957),0)</f>
        <v>0</v>
      </c>
      <c r="G760" s="123" t="str">
        <f>VLOOKUP(D760,'MPG Payment '!$E$3:$G$333666,3,0)</f>
        <v>MPG</v>
      </c>
      <c r="H760" s="124" t="str">
        <f>VLOOKUP(D760,'MPG Payment '!$E$3:$H$333666,4,0)</f>
        <v>Direct</v>
      </c>
      <c r="I760" s="88">
        <f>INDEX('MPG Payment '!$C:$C,MATCH('Shayak Income '!D760,'MPG Payment '!E:E,0))</f>
        <v>1012</v>
      </c>
      <c r="J760" s="88" t="str">
        <f>INDEX('MPG Payment '!$D:$D,MATCH('Shayak Income '!D760,'MPG Payment '!E:E,0))</f>
        <v>DalsinghSarai</v>
      </c>
      <c r="K760" s="125" t="s">
        <v>1594</v>
      </c>
      <c r="L760" s="125">
        <v>46082</v>
      </c>
      <c r="M760" s="126">
        <f>SUMIF('MPG Payment '!$E$3:$E$344841,'Shayak Income '!D760,'MPG Payment '!$I$3:$I$344841)</f>
        <v>1660.1299999999999</v>
      </c>
      <c r="N760" s="126">
        <f>SUMIF('MPG Payment '!$E$3:$E$344841,'Shayak Income '!D760,'MPG Payment '!$J$3:$J$344841)</f>
        <v>68657.350000000006</v>
      </c>
      <c r="O760" s="126">
        <f t="shared" si="214"/>
        <v>1245.0974999999999</v>
      </c>
      <c r="P760" s="126">
        <f t="shared" si="215"/>
        <v>1577.1234999999999</v>
      </c>
      <c r="Q760" s="126">
        <f>SUMIF('MPG Payment '!$E$3:$E$344841,'Shayak Income '!D760,'MPG Payment '!$S$3:$S$344841)</f>
        <v>0</v>
      </c>
      <c r="R760" s="126">
        <f t="shared" si="206"/>
        <v>2059.7204999999999</v>
      </c>
      <c r="S760" s="126">
        <f t="shared" si="207"/>
        <v>482.59699999999998</v>
      </c>
      <c r="T760" s="126">
        <f t="shared" si="216"/>
        <v>166.01300000000001</v>
      </c>
      <c r="U760" s="127">
        <f>((((((IF(K760="New",0,SUMIF('MPG Payment '!$E$3:$E$344841,'Shayak Income '!D760,'MPG Payment '!$AC$3:$AC$344841))))+0)+0)+0)+0)+0</f>
        <v>942.66348847670292</v>
      </c>
      <c r="V760" s="127">
        <f t="shared" si="217"/>
        <v>1714</v>
      </c>
      <c r="W760" s="19">
        <v>1714</v>
      </c>
      <c r="X760" s="19">
        <v>0</v>
      </c>
      <c r="Y760" s="128">
        <f>IFERROR(VLOOKUP(D760,'Monthly Deduction'!$M$2:$N$640,2,0),0)</f>
        <v>0</v>
      </c>
      <c r="Z760" s="128">
        <v>0</v>
      </c>
      <c r="AA760" s="126">
        <v>0</v>
      </c>
      <c r="AB760" s="129">
        <f t="shared" si="208"/>
        <v>0</v>
      </c>
      <c r="AC760" s="130">
        <f>AB760</f>
        <v>0</v>
      </c>
      <c r="AD760" s="35">
        <f t="shared" si="224"/>
        <v>0</v>
      </c>
      <c r="AE760" s="166" t="str">
        <f t="shared" si="221"/>
        <v>Release</v>
      </c>
      <c r="AF760" s="127"/>
      <c r="AG760" s="18">
        <v>0</v>
      </c>
      <c r="AH760" s="120" t="s">
        <v>1686</v>
      </c>
      <c r="AI760" s="238">
        <v>10000</v>
      </c>
      <c r="AJ760" s="132"/>
      <c r="AK760" s="151">
        <v>369.2</v>
      </c>
      <c r="AL760" s="154">
        <f t="shared" si="209"/>
        <v>0</v>
      </c>
      <c r="AM760" s="155"/>
      <c r="AN760" s="19">
        <f t="shared" si="210"/>
        <v>1861</v>
      </c>
      <c r="AO760" s="118">
        <f>SUMIF('MPG Payment '!E:E,'Shayak Income '!D760,'MPG Payment '!AJ:AJ)</f>
        <v>0</v>
      </c>
      <c r="AP760" s="19">
        <f t="shared" si="211"/>
        <v>1714</v>
      </c>
      <c r="AQ760" s="119">
        <f t="shared" si="225"/>
        <v>1714</v>
      </c>
      <c r="AR760" s="91" t="s">
        <v>1144</v>
      </c>
      <c r="AS760" s="91">
        <f t="shared" si="212"/>
        <v>6400</v>
      </c>
      <c r="AT760" s="118"/>
      <c r="AU760" s="118"/>
      <c r="AV760" s="118"/>
    </row>
    <row r="761" spans="1:48" s="20" customFormat="1" x14ac:dyDescent="0.25">
      <c r="A761" s="17">
        <f>IFERROR(VLOOKUP(D761,'Monthly Deduction'!$I$3:$J$957,2,0),0)</f>
        <v>61704.0088886745</v>
      </c>
      <c r="B761" s="17">
        <f>IFERROR(VLOOKUP(D761,'Monthly Deduction'!$E$3:$F$957,2,0),0)</f>
        <v>12800</v>
      </c>
      <c r="C761" s="17">
        <f t="shared" si="223"/>
        <v>74504.008888674492</v>
      </c>
      <c r="D761" s="41">
        <v>10120123</v>
      </c>
      <c r="E761" s="122" t="str">
        <f>VLOOKUP(D761,'MPG Payment '!$E$3:$G$497305,2,0)</f>
        <v>GOMUKH Chakhale Dad</v>
      </c>
      <c r="F761" s="146">
        <f>IFERROR(_xlfn.XLOOKUP(D761,'Monthly Deduction'!$I$3:$I$957,'Monthly Deduction'!$H$3:$H$957),0)</f>
        <v>0</v>
      </c>
      <c r="G761" s="123" t="str">
        <f>VLOOKUP(D761,'MPG Payment '!$E$3:$G$333666,3,0)</f>
        <v>MPG</v>
      </c>
      <c r="H761" s="124" t="str">
        <f>VLOOKUP(D761,'MPG Payment '!$E$3:$H$333666,4,0)</f>
        <v>Direct</v>
      </c>
      <c r="I761" s="88">
        <f>INDEX('MPG Payment '!$C:$C,MATCH('Shayak Income '!D761,'MPG Payment '!E:E,0))</f>
        <v>1012</v>
      </c>
      <c r="J761" s="88" t="str">
        <f>INDEX('MPG Payment '!$D:$D,MATCH('Shayak Income '!D761,'MPG Payment '!E:E,0))</f>
        <v>DalsinghSarai</v>
      </c>
      <c r="K761" s="125" t="s">
        <v>1594</v>
      </c>
      <c r="L761" s="125">
        <v>46083</v>
      </c>
      <c r="M761" s="126">
        <f>SUMIF('MPG Payment '!$E$3:$E$344841,'Shayak Income '!D761,'MPG Payment '!$I$3:$I$344841)</f>
        <v>3808.99</v>
      </c>
      <c r="N761" s="126">
        <f>SUMIF('MPG Payment '!$E$3:$E$344841,'Shayak Income '!D761,'MPG Payment '!$J$3:$J$344841)</f>
        <v>149410.41</v>
      </c>
      <c r="O761" s="126">
        <f t="shared" si="214"/>
        <v>2856.7424999999998</v>
      </c>
      <c r="P761" s="126">
        <f t="shared" si="215"/>
        <v>3618.5404999999996</v>
      </c>
      <c r="Q761" s="126">
        <f>SUMIF('MPG Payment '!$E$3:$E$344841,'Shayak Income '!D761,'MPG Payment '!$S$3:$S$344841)</f>
        <v>546.87</v>
      </c>
      <c r="R761" s="126">
        <f t="shared" si="206"/>
        <v>4482.3122999999996</v>
      </c>
      <c r="S761" s="126">
        <f t="shared" si="207"/>
        <v>863.77179999999998</v>
      </c>
      <c r="T761" s="126">
        <f t="shared" si="216"/>
        <v>380.899</v>
      </c>
      <c r="U761" s="127">
        <f>((((((IF(K761="New",0,SUMIF('MPG Payment '!$E$3:$E$344841,'Shayak Income '!D761,'MPG Payment '!$AC$3:$AC$344841))))+0)+0)+0)+0)+0</f>
        <v>0</v>
      </c>
      <c r="V761" s="127">
        <f t="shared" si="217"/>
        <v>6641</v>
      </c>
      <c r="W761" s="19">
        <f t="shared" si="218"/>
        <v>2988.2082</v>
      </c>
      <c r="X761" s="19">
        <v>0</v>
      </c>
      <c r="Y761" s="128">
        <f>IFERROR(VLOOKUP(D761,'Monthly Deduction'!$M$2:$N$640,2,0),0)</f>
        <v>0</v>
      </c>
      <c r="Z761" s="128">
        <v>0</v>
      </c>
      <c r="AA761" s="126">
        <f>IFERROR(VLOOKUP(D761,'Monthly Deduction'!A:B,2,0),0)</f>
        <v>274.5</v>
      </c>
      <c r="AB761" s="129">
        <f t="shared" si="208"/>
        <v>3378</v>
      </c>
      <c r="AC761" s="130">
        <v>0</v>
      </c>
      <c r="AD761" s="35">
        <f t="shared" si="224"/>
        <v>3378</v>
      </c>
      <c r="AE761" s="166" t="str">
        <f t="shared" si="221"/>
        <v>Release</v>
      </c>
      <c r="AF761" s="127"/>
      <c r="AG761" s="18">
        <v>0</v>
      </c>
      <c r="AH761" s="132"/>
      <c r="AI761" s="238">
        <v>0</v>
      </c>
      <c r="AJ761" s="132"/>
      <c r="AK761" s="151">
        <v>973.37</v>
      </c>
      <c r="AL761" s="154">
        <f t="shared" si="209"/>
        <v>0</v>
      </c>
      <c r="AM761" s="155"/>
      <c r="AN761" s="19">
        <f t="shared" si="210"/>
        <v>2988.2082</v>
      </c>
      <c r="AO761" s="118">
        <f>SUMIF('MPG Payment '!E:E,'Shayak Income '!D761,'MPG Payment '!AJ:AJ)</f>
        <v>0</v>
      </c>
      <c r="AP761" s="19">
        <f t="shared" si="211"/>
        <v>2988.2082</v>
      </c>
      <c r="AQ761" s="119">
        <f t="shared" si="225"/>
        <v>2988.2082</v>
      </c>
      <c r="AR761" s="91" t="s">
        <v>1144</v>
      </c>
      <c r="AS761" s="91">
        <f t="shared" si="212"/>
        <v>12800</v>
      </c>
      <c r="AT761" s="118"/>
      <c r="AU761" s="118"/>
      <c r="AV761" s="118"/>
    </row>
    <row r="762" spans="1:48" s="20" customFormat="1" x14ac:dyDescent="0.25">
      <c r="A762" s="17">
        <f>IFERROR(VLOOKUP(D762,'Monthly Deduction'!$I$3:$J$957,2,0),0)</f>
        <v>71278</v>
      </c>
      <c r="B762" s="17">
        <f>IFERROR(VLOOKUP(D762,'Monthly Deduction'!$E$3:$F$957,2,0),0)</f>
        <v>6400</v>
      </c>
      <c r="C762" s="17">
        <f t="shared" si="223"/>
        <v>77678</v>
      </c>
      <c r="D762" s="41">
        <v>10550005</v>
      </c>
      <c r="E762" s="122" t="str">
        <f>VLOOKUP(D762,'MPG Payment '!$E$3:$G$497305,2,0)</f>
        <v>Gomukh Matihani</v>
      </c>
      <c r="F762" s="146">
        <f>IFERROR(_xlfn.XLOOKUP(D762,'Monthly Deduction'!$I$3:$I$957,'Monthly Deduction'!$H$3:$H$957),0)</f>
        <v>0</v>
      </c>
      <c r="G762" s="123" t="str">
        <f>VLOOKUP(D762,'MPG Payment '!$E$3:$G$333666,3,0)</f>
        <v>MPG</v>
      </c>
      <c r="H762" s="124" t="str">
        <f>VLOOKUP(D762,'MPG Payment '!$E$3:$H$333666,4,0)</f>
        <v>Direct</v>
      </c>
      <c r="I762" s="88">
        <f>INDEX('MPG Payment '!$C:$C,MATCH('Shayak Income '!D762,'MPG Payment '!E:E,0))</f>
        <v>1055</v>
      </c>
      <c r="J762" s="88" t="str">
        <f>INDEX('MPG Payment '!$D:$D,MATCH('Shayak Income '!D762,'MPG Payment '!E:E,0))</f>
        <v>Matihani</v>
      </c>
      <c r="K762" s="125" t="s">
        <v>1594</v>
      </c>
      <c r="L762" s="125">
        <v>46080</v>
      </c>
      <c r="M762" s="126">
        <f>SUMIF('MPG Payment '!$E$3:$E$344841,'Shayak Income '!D762,'MPG Payment '!$I$3:$I$344841)</f>
        <v>833.60000000000014</v>
      </c>
      <c r="N762" s="126">
        <f>SUMIF('MPG Payment '!$E$3:$E$344841,'Shayak Income '!D762,'MPG Payment '!$J$3:$J$344841)</f>
        <v>34087.26</v>
      </c>
      <c r="O762" s="126">
        <f t="shared" si="214"/>
        <v>625.20000000000005</v>
      </c>
      <c r="P762" s="126">
        <f t="shared" si="215"/>
        <v>791.92000000000007</v>
      </c>
      <c r="Q762" s="126">
        <f>SUMIF('MPG Payment '!$E$3:$E$344841,'Shayak Income '!D762,'MPG Payment '!$S$3:$S$344841)</f>
        <v>3414.5600000000004</v>
      </c>
      <c r="R762" s="126">
        <f t="shared" si="206"/>
        <v>1022.6178</v>
      </c>
      <c r="S762" s="126">
        <f t="shared" si="207"/>
        <v>230.69779999999992</v>
      </c>
      <c r="T762" s="126">
        <f t="shared" si="216"/>
        <v>83.360000000000014</v>
      </c>
      <c r="U762" s="127">
        <f>((((((IF(K762="New",0,SUMIF('MPG Payment '!$E$3:$E$344841,'Shayak Income '!D762,'MPG Payment '!$AC$3:$AC$344841))))+0)+0)+0)+0)+0</f>
        <v>1608.0661233664669</v>
      </c>
      <c r="V762" s="127">
        <f t="shared" si="217"/>
        <v>3140</v>
      </c>
      <c r="W762" s="19">
        <f t="shared" si="218"/>
        <v>1861</v>
      </c>
      <c r="X762" s="19">
        <v>0</v>
      </c>
      <c r="Y762" s="128">
        <f>IFERROR(VLOOKUP(D762,'Monthly Deduction'!$M$2:$N$640,2,0),0)</f>
        <v>0</v>
      </c>
      <c r="Z762" s="128">
        <v>0</v>
      </c>
      <c r="AA762" s="126">
        <f>IFERROR(VLOOKUP(D762,'Monthly Deduction'!A:B,2,0),0)</f>
        <v>0</v>
      </c>
      <c r="AB762" s="129">
        <f t="shared" si="208"/>
        <v>1279</v>
      </c>
      <c r="AC762" s="130">
        <f>AB762</f>
        <v>1279</v>
      </c>
      <c r="AD762" s="35">
        <f t="shared" si="224"/>
        <v>0</v>
      </c>
      <c r="AE762" s="166" t="str">
        <f t="shared" si="221"/>
        <v>Yes</v>
      </c>
      <c r="AF762" s="127"/>
      <c r="AG762" s="18">
        <v>0</v>
      </c>
      <c r="AH762" s="120" t="s">
        <v>1685</v>
      </c>
      <c r="AI762" s="238">
        <v>10000</v>
      </c>
      <c r="AJ762" s="132"/>
      <c r="AK762" s="151">
        <v>111.09999999999998</v>
      </c>
      <c r="AL762" s="154">
        <f t="shared" si="209"/>
        <v>0</v>
      </c>
      <c r="AM762" s="155"/>
      <c r="AN762" s="19">
        <f t="shared" si="210"/>
        <v>1861</v>
      </c>
      <c r="AO762" s="118">
        <f>SUMIF('MPG Payment '!E:E,'Shayak Income '!D762,'MPG Payment '!AJ:AJ)</f>
        <v>0</v>
      </c>
      <c r="AP762" s="19">
        <f t="shared" si="211"/>
        <v>1861</v>
      </c>
      <c r="AQ762" s="119">
        <f t="shared" si="225"/>
        <v>1861</v>
      </c>
      <c r="AR762" s="91" t="s">
        <v>1144</v>
      </c>
      <c r="AS762" s="91">
        <f t="shared" si="212"/>
        <v>6400</v>
      </c>
      <c r="AT762" s="118"/>
      <c r="AU762" s="118"/>
      <c r="AV762" s="118"/>
    </row>
    <row r="763" spans="1:48" s="20" customFormat="1" x14ac:dyDescent="0.25">
      <c r="A763" s="17">
        <f>IFERROR(VLOOKUP(D763,'Monthly Deduction'!$I$3:$J$957,2,0),0)</f>
        <v>0</v>
      </c>
      <c r="B763" s="17">
        <f>IFERROR(VLOOKUP(D763,'Monthly Deduction'!$E$3:$F$957,2,0),0)</f>
        <v>0</v>
      </c>
      <c r="C763" s="17">
        <f t="shared" ref="C763" si="230">A763+B763</f>
        <v>0</v>
      </c>
      <c r="D763" s="41">
        <v>10550007</v>
      </c>
      <c r="E763" s="122" t="str">
        <f>VLOOKUP(D763,'MPG Payment '!$E$3:$G$497305,2,0)</f>
        <v>Jalalpur</v>
      </c>
      <c r="F763" s="146">
        <f>IFERROR(_xlfn.XLOOKUP(D763,'Monthly Deduction'!$I$3:$I$957,'Monthly Deduction'!$H$3:$H$957),0)</f>
        <v>0</v>
      </c>
      <c r="G763" s="123" t="str">
        <f>VLOOKUP(D763,'MPG Payment '!$E$3:$G$333666,3,0)</f>
        <v>vlc</v>
      </c>
      <c r="H763" s="124" t="str">
        <f>VLOOKUP(D763,'MPG Payment '!$E$3:$H$333666,4,0)</f>
        <v>Indirect</v>
      </c>
      <c r="I763" s="88">
        <f>INDEX('MPG Payment '!$C:$C,MATCH('Shayak Income '!D763,'MPG Payment '!E:E,0))</f>
        <v>1055</v>
      </c>
      <c r="J763" s="88" t="str">
        <f>INDEX('MPG Payment '!$D:$D,MATCH('Shayak Income '!D763,'MPG Payment '!E:E,0))</f>
        <v>Matihani</v>
      </c>
      <c r="K763" s="125" t="s">
        <v>1594</v>
      </c>
      <c r="L763" s="125">
        <v>46080</v>
      </c>
      <c r="M763" s="126">
        <f>SUMIF('MPG Payment '!$E$3:$E$344841,'Shayak Income '!D763,'MPG Payment '!$I$3:$I$344841)</f>
        <v>7782</v>
      </c>
      <c r="N763" s="126">
        <f>SUMIF('MPG Payment '!$E$3:$E$344841,'Shayak Income '!D763,'MPG Payment '!$J$3:$J$344841)</f>
        <v>277511.64999999997</v>
      </c>
      <c r="O763" s="126">
        <f t="shared" si="214"/>
        <v>5836.5</v>
      </c>
      <c r="P763" s="126">
        <f t="shared" si="215"/>
        <v>7392.9</v>
      </c>
      <c r="Q763" s="126">
        <f>SUMIF('MPG Payment '!$E$3:$E$344841,'Shayak Income '!D763,'MPG Payment '!$S$3:$S$344841)</f>
        <v>0</v>
      </c>
      <c r="R763" s="126">
        <f t="shared" si="206"/>
        <v>8325.3494999999984</v>
      </c>
      <c r="S763" s="126">
        <f t="shared" si="207"/>
        <v>932.44949999999881</v>
      </c>
      <c r="T763" s="126">
        <f t="shared" si="216"/>
        <v>778.2</v>
      </c>
      <c r="U763" s="127">
        <f>((((((IF(K763="New",0,SUMIF('MPG Payment '!$E$3:$E$344841,'Shayak Income '!D763,'MPG Payment '!$AC$3:$AC$344841))))+0)+0)+0)+0)+0</f>
        <v>0</v>
      </c>
      <c r="V763" s="127">
        <f t="shared" si="217"/>
        <v>12451</v>
      </c>
      <c r="W763" s="19">
        <f t="shared" si="218"/>
        <v>0</v>
      </c>
      <c r="X763" s="19">
        <f t="shared" si="219"/>
        <v>0</v>
      </c>
      <c r="Y763" s="128">
        <f>IFERROR(VLOOKUP(D763,'Monthly Deduction'!$M$2:$N$640,2,0),0)</f>
        <v>0</v>
      </c>
      <c r="Z763" s="128">
        <v>0</v>
      </c>
      <c r="AA763" s="126">
        <f>IFERROR(VLOOKUP(D763,'Monthly Deduction'!A:B,2,0),0)</f>
        <v>0</v>
      </c>
      <c r="AB763" s="129">
        <f t="shared" si="208"/>
        <v>12451</v>
      </c>
      <c r="AC763" s="130">
        <v>0</v>
      </c>
      <c r="AD763" s="35">
        <f t="shared" ref="AD763" si="231">ROUND(AB763-AC763,0)</f>
        <v>12451</v>
      </c>
      <c r="AE763" s="166" t="str">
        <f t="shared" si="221"/>
        <v>Release</v>
      </c>
      <c r="AF763" s="127"/>
      <c r="AG763" s="18">
        <v>0</v>
      </c>
      <c r="AH763" s="132"/>
      <c r="AI763" s="238">
        <v>0</v>
      </c>
      <c r="AJ763" s="132"/>
      <c r="AK763" s="151">
        <v>2150.7999999999997</v>
      </c>
      <c r="AL763" s="154">
        <f t="shared" ref="AL763" si="232">COUNTIF(AK763:AK763,"=NA")</f>
        <v>0</v>
      </c>
      <c r="AM763" s="155"/>
      <c r="AN763" s="19">
        <f t="shared" si="210"/>
        <v>0</v>
      </c>
      <c r="AO763" s="118">
        <f>SUMIF('MPG Payment '!E:E,'Shayak Income '!D763,'MPG Payment '!AJ:AJ)</f>
        <v>0</v>
      </c>
      <c r="AP763" s="19">
        <f t="shared" si="211"/>
        <v>0</v>
      </c>
      <c r="AQ763" s="119">
        <f t="shared" ref="AQ763" si="233">AO763+AP763</f>
        <v>0</v>
      </c>
      <c r="AR763" s="91" t="s">
        <v>1144</v>
      </c>
      <c r="AS763" s="91">
        <f t="shared" si="212"/>
        <v>0</v>
      </c>
      <c r="AT763" s="118"/>
      <c r="AU763" s="118"/>
      <c r="AV763" s="118"/>
    </row>
    <row r="764" spans="1:48" s="20" customFormat="1" x14ac:dyDescent="0.25">
      <c r="A764" s="17">
        <f>IFERROR(VLOOKUP(D764,'Monthly Deduction'!$I$3:$J$957,2,0),0)</f>
        <v>63614</v>
      </c>
      <c r="B764" s="17">
        <f>IFERROR(VLOOKUP(D764,'Monthly Deduction'!$E$3:$F$957,2,0),0)</f>
        <v>12800</v>
      </c>
      <c r="C764" s="17">
        <f t="shared" ref="C764:C798" si="234">A764+B764</f>
        <v>76414</v>
      </c>
      <c r="D764" s="41">
        <v>10590008</v>
      </c>
      <c r="E764" s="122" t="str">
        <f>VLOOKUP(D764,'MPG Payment '!$E$3:$G$497305,2,0)</f>
        <v>NARMDA</v>
      </c>
      <c r="F764" s="146">
        <f>IFERROR(_xlfn.XLOOKUP(D764,'Monthly Deduction'!$I$3:$I$957,'Monthly Deduction'!$H$3:$H$957),0)</f>
        <v>0</v>
      </c>
      <c r="G764" s="123" t="str">
        <f>VLOOKUP(D764,'MPG Payment '!$E$3:$G$333666,3,0)</f>
        <v>MPG</v>
      </c>
      <c r="H764" s="124" t="str">
        <f>VLOOKUP(D764,'MPG Payment '!$E$3:$H$333666,4,0)</f>
        <v>Direct</v>
      </c>
      <c r="I764" s="88">
        <f>INDEX('MPG Payment '!$C:$C,MATCH('Shayak Income '!D764,'MPG Payment '!E:E,0))</f>
        <v>1059</v>
      </c>
      <c r="J764" s="88" t="str">
        <f>INDEX('MPG Payment '!$D:$D,MATCH('Shayak Income '!D764,'MPG Payment '!E:E,0))</f>
        <v>Gopalpur Bmc</v>
      </c>
      <c r="K764" s="125" t="s">
        <v>1594</v>
      </c>
      <c r="L764" s="125">
        <v>46086</v>
      </c>
      <c r="M764" s="126">
        <f>SUMIF('MPG Payment '!$E$3:$E$344841,'Shayak Income '!D764,'MPG Payment '!$I$3:$I$344841)</f>
        <v>1241.9000000000001</v>
      </c>
      <c r="N764" s="126">
        <f>SUMIF('MPG Payment '!$E$3:$E$344841,'Shayak Income '!D764,'MPG Payment '!$J$3:$J$344841)</f>
        <v>61509.649999999994</v>
      </c>
      <c r="O764" s="126">
        <f t="shared" si="214"/>
        <v>931.42500000000007</v>
      </c>
      <c r="P764" s="126">
        <f t="shared" si="215"/>
        <v>1179.8050000000001</v>
      </c>
      <c r="Q764" s="126">
        <f>SUMIF('MPG Payment '!$E$3:$E$344841,'Shayak Income '!D764,'MPG Payment '!$S$3:$S$344841)</f>
        <v>0</v>
      </c>
      <c r="R764" s="126">
        <f t="shared" si="206"/>
        <v>1845.2894999999999</v>
      </c>
      <c r="S764" s="126">
        <f t="shared" si="207"/>
        <v>665.4844999999998</v>
      </c>
      <c r="T764" s="126">
        <f t="shared" si="216"/>
        <v>124.19000000000001</v>
      </c>
      <c r="U764" s="127">
        <f>((((((IF(K764="New",0,SUMIF('MPG Payment '!$E$3:$E$344841,'Shayak Income '!D764,'MPG Payment '!$AC$3:$AC$344841))))+0)+0)+0)+0)+0</f>
        <v>1545.5248970596697</v>
      </c>
      <c r="V764" s="127">
        <f t="shared" si="217"/>
        <v>442</v>
      </c>
      <c r="W764" s="19">
        <v>442</v>
      </c>
      <c r="X764" s="19">
        <v>0</v>
      </c>
      <c r="Y764" s="128">
        <f>IFERROR(VLOOKUP(D764,'Monthly Deduction'!$M$2:$N$640,2,0),0)</f>
        <v>0</v>
      </c>
      <c r="Z764" s="128">
        <v>0</v>
      </c>
      <c r="AA764" s="126">
        <f>IFERROR(VLOOKUP(D764,'Monthly Deduction'!A:B,2,0),0)</f>
        <v>0</v>
      </c>
      <c r="AB764" s="129">
        <f t="shared" si="208"/>
        <v>0</v>
      </c>
      <c r="AC764" s="130">
        <v>0</v>
      </c>
      <c r="AD764" s="35">
        <f t="shared" ref="AD764:AD798" si="235">ROUND(AB764-AC764,0)</f>
        <v>0</v>
      </c>
      <c r="AE764" s="166" t="str">
        <f t="shared" si="221"/>
        <v>Release</v>
      </c>
      <c r="AF764" s="127"/>
      <c r="AG764" s="18">
        <v>0</v>
      </c>
      <c r="AH764" s="120"/>
      <c r="AI764" s="238">
        <v>0</v>
      </c>
      <c r="AJ764" s="132"/>
      <c r="AK764" s="151">
        <v>334.79999999999995</v>
      </c>
      <c r="AL764" s="154">
        <f t="shared" ref="AL764:AL798" si="236">COUNTIF(AK764:AK764,"=NA")</f>
        <v>0</v>
      </c>
      <c r="AM764" s="155"/>
      <c r="AN764" s="19">
        <f t="shared" si="210"/>
        <v>1861</v>
      </c>
      <c r="AO764" s="118">
        <f>SUMIF('MPG Payment '!E:E,'Shayak Income '!D764,'MPG Payment '!AJ:AJ)</f>
        <v>0</v>
      </c>
      <c r="AP764" s="19">
        <f t="shared" si="211"/>
        <v>442</v>
      </c>
      <c r="AQ764" s="119">
        <f t="shared" ref="AQ764:AQ798" si="237">AO764+AP764</f>
        <v>442</v>
      </c>
      <c r="AR764" s="91" t="s">
        <v>1144</v>
      </c>
      <c r="AS764" s="91">
        <f t="shared" si="212"/>
        <v>12800</v>
      </c>
      <c r="AT764" s="118"/>
      <c r="AU764" s="118"/>
      <c r="AV764" s="118"/>
    </row>
    <row r="765" spans="1:48" s="20" customFormat="1" x14ac:dyDescent="0.25">
      <c r="A765" s="17">
        <f>IFERROR(VLOOKUP(D765,'Monthly Deduction'!$I$3:$J$957,2,0),0)</f>
        <v>56598.764987259143</v>
      </c>
      <c r="B765" s="17">
        <f>IFERROR(VLOOKUP(D765,'Monthly Deduction'!$E$3:$F$957,2,0),0)</f>
        <v>12800</v>
      </c>
      <c r="C765" s="17">
        <f t="shared" si="234"/>
        <v>69398.764987259143</v>
      </c>
      <c r="D765" s="41">
        <v>10590010</v>
      </c>
      <c r="E765" s="122" t="str">
        <f>VLOOKUP(D765,'MPG Payment '!$E$3:$G$497305,2,0)</f>
        <v>AMRATH</v>
      </c>
      <c r="F765" s="146">
        <f>IFERROR(_xlfn.XLOOKUP(D765,'Monthly Deduction'!$I$3:$I$957,'Monthly Deduction'!$H$3:$H$957),0)</f>
        <v>0</v>
      </c>
      <c r="G765" s="123" t="str">
        <f>VLOOKUP(D765,'MPG Payment '!$E$3:$G$333666,3,0)</f>
        <v>MPG</v>
      </c>
      <c r="H765" s="124" t="str">
        <f>VLOOKUP(D765,'MPG Payment '!$E$3:$H$333666,4,0)</f>
        <v>Direct</v>
      </c>
      <c r="I765" s="88">
        <f>INDEX('MPG Payment '!$C:$C,MATCH('Shayak Income '!D765,'MPG Payment '!E:E,0))</f>
        <v>1059</v>
      </c>
      <c r="J765" s="88" t="str">
        <f>INDEX('MPG Payment '!$D:$D,MATCH('Shayak Income '!D765,'MPG Payment '!E:E,0))</f>
        <v>Gopalpur Bmc</v>
      </c>
      <c r="K765" s="125" t="s">
        <v>1594</v>
      </c>
      <c r="L765" s="125">
        <v>46086</v>
      </c>
      <c r="M765" s="126">
        <f>SUMIF('MPG Payment '!$E$3:$E$344841,'Shayak Income '!D765,'MPG Payment '!$I$3:$I$344841)</f>
        <v>6161.2999999999993</v>
      </c>
      <c r="N765" s="126">
        <f>SUMIF('MPG Payment '!$E$3:$E$344841,'Shayak Income '!D765,'MPG Payment '!$J$3:$J$344841)</f>
        <v>316685.05</v>
      </c>
      <c r="O765" s="126">
        <f t="shared" si="214"/>
        <v>4620.9749999999995</v>
      </c>
      <c r="P765" s="126">
        <f t="shared" si="215"/>
        <v>5853.2349999999988</v>
      </c>
      <c r="Q765" s="126">
        <f>SUMIF('MPG Payment '!$E$3:$E$344841,'Shayak Income '!D765,'MPG Payment '!$S$3:$S$344841)</f>
        <v>0</v>
      </c>
      <c r="R765" s="126">
        <f t="shared" si="206"/>
        <v>9500.5514999999996</v>
      </c>
      <c r="S765" s="126">
        <f t="shared" si="207"/>
        <v>3647.3165000000008</v>
      </c>
      <c r="T765" s="126">
        <f t="shared" si="216"/>
        <v>616.13</v>
      </c>
      <c r="U765" s="127">
        <f>((((((IF(K765="New",0,SUMIF('MPG Payment '!$E$3:$E$344841,'Shayak Income '!D765,'MPG Payment '!$AC$3:$AC$344841))))+0)+0)+0)+0)+0</f>
        <v>0</v>
      </c>
      <c r="V765" s="127">
        <f t="shared" si="217"/>
        <v>9858</v>
      </c>
      <c r="W765" s="19">
        <f t="shared" si="218"/>
        <v>6333.701</v>
      </c>
      <c r="X765" s="19">
        <v>0</v>
      </c>
      <c r="Y765" s="128">
        <f>IFERROR(VLOOKUP(D765,'Monthly Deduction'!$M$2:$N$640,2,0),0)</f>
        <v>0</v>
      </c>
      <c r="Z765" s="128">
        <v>0</v>
      </c>
      <c r="AA765" s="126">
        <f>IFERROR(VLOOKUP(D765,'Monthly Deduction'!A:B,2,0),0)</f>
        <v>0</v>
      </c>
      <c r="AB765" s="129">
        <f t="shared" si="208"/>
        <v>3524</v>
      </c>
      <c r="AC765" s="130">
        <v>0</v>
      </c>
      <c r="AD765" s="35">
        <f t="shared" si="235"/>
        <v>3524</v>
      </c>
      <c r="AE765" s="166" t="str">
        <f t="shared" si="221"/>
        <v>Release</v>
      </c>
      <c r="AF765" s="127"/>
      <c r="AG765" s="18">
        <v>0</v>
      </c>
      <c r="AH765" s="132"/>
      <c r="AI765" s="238">
        <v>0</v>
      </c>
      <c r="AJ765" s="132"/>
      <c r="AK765" s="151">
        <v>1107</v>
      </c>
      <c r="AL765" s="154">
        <f t="shared" si="236"/>
        <v>0</v>
      </c>
      <c r="AM765" s="155"/>
      <c r="AN765" s="19">
        <f t="shared" si="210"/>
        <v>6333.701</v>
      </c>
      <c r="AO765" s="118">
        <f>SUMIF('MPG Payment '!E:E,'Shayak Income '!D765,'MPG Payment '!AJ:AJ)</f>
        <v>0</v>
      </c>
      <c r="AP765" s="19">
        <f t="shared" si="211"/>
        <v>6333.701</v>
      </c>
      <c r="AQ765" s="119">
        <f t="shared" si="237"/>
        <v>6333.701</v>
      </c>
      <c r="AR765" s="91" t="s">
        <v>1144</v>
      </c>
      <c r="AS765" s="91">
        <f t="shared" si="212"/>
        <v>12800</v>
      </c>
      <c r="AT765" s="118"/>
      <c r="AU765" s="118"/>
      <c r="AV765" s="118"/>
    </row>
    <row r="766" spans="1:48" s="20" customFormat="1" x14ac:dyDescent="0.25">
      <c r="A766" s="17">
        <f>IFERROR(VLOOKUP(D766,'Monthly Deduction'!$I$3:$J$957,2,0),0)</f>
        <v>62406.673399609062</v>
      </c>
      <c r="B766" s="17">
        <f>IFERROR(VLOOKUP(D766,'Monthly Deduction'!$E$3:$F$957,2,0),0)</f>
        <v>12800</v>
      </c>
      <c r="C766" s="17">
        <f t="shared" si="234"/>
        <v>75206.673399609062</v>
      </c>
      <c r="D766" s="41">
        <v>10590011</v>
      </c>
      <c r="E766" s="122" t="str">
        <f>VLOOKUP(D766,'MPG Payment '!$E$3:$G$497305,2,0)</f>
        <v>PUTERIA</v>
      </c>
      <c r="F766" s="146">
        <f>IFERROR(_xlfn.XLOOKUP(D766,'Monthly Deduction'!$I$3:$I$957,'Monthly Deduction'!$H$3:$H$957),0)</f>
        <v>0</v>
      </c>
      <c r="G766" s="123" t="str">
        <f>VLOOKUP(D766,'MPG Payment '!$E$3:$G$333666,3,0)</f>
        <v>MPG</v>
      </c>
      <c r="H766" s="124" t="str">
        <f>VLOOKUP(D766,'MPG Payment '!$E$3:$H$333666,4,0)</f>
        <v>Direct</v>
      </c>
      <c r="I766" s="88">
        <f>INDEX('MPG Payment '!$C:$C,MATCH('Shayak Income '!D766,'MPG Payment '!E:E,0))</f>
        <v>1059</v>
      </c>
      <c r="J766" s="88" t="str">
        <f>INDEX('MPG Payment '!$D:$D,MATCH('Shayak Income '!D766,'MPG Payment '!E:E,0))</f>
        <v>Gopalpur Bmc</v>
      </c>
      <c r="K766" s="125" t="s">
        <v>1594</v>
      </c>
      <c r="L766" s="125">
        <v>46085</v>
      </c>
      <c r="M766" s="126">
        <f>SUMIF('MPG Payment '!$E$3:$E$344841,'Shayak Income '!D766,'MPG Payment '!$I$3:$I$344841)</f>
        <v>2094.2000000000003</v>
      </c>
      <c r="N766" s="126">
        <f>SUMIF('MPG Payment '!$E$3:$E$344841,'Shayak Income '!D766,'MPG Payment '!$J$3:$J$344841)</f>
        <v>89024.010000000024</v>
      </c>
      <c r="O766" s="126">
        <f t="shared" si="214"/>
        <v>1570.65</v>
      </c>
      <c r="P766" s="126">
        <f t="shared" si="215"/>
        <v>1989.4900000000002</v>
      </c>
      <c r="Q766" s="126">
        <f>SUMIF('MPG Payment '!$E$3:$E$344841,'Shayak Income '!D766,'MPG Payment '!$S$3:$S$344841)</f>
        <v>0</v>
      </c>
      <c r="R766" s="126">
        <f t="shared" si="206"/>
        <v>2670.7203000000004</v>
      </c>
      <c r="S766" s="126">
        <f t="shared" si="207"/>
        <v>681.23030000000017</v>
      </c>
      <c r="T766" s="126">
        <f t="shared" si="216"/>
        <v>209.42000000000004</v>
      </c>
      <c r="U766" s="127">
        <f>((((((IF(K766="New",0,SUMIF('MPG Payment '!$E$3:$E$344841,'Shayak Income '!D766,'MPG Payment '!$AC$3:$AC$344841))))+0)+0)+0)+0)+0</f>
        <v>596.02113301191116</v>
      </c>
      <c r="V766" s="127">
        <f t="shared" si="217"/>
        <v>2755</v>
      </c>
      <c r="W766" s="19">
        <f t="shared" si="218"/>
        <v>1861</v>
      </c>
      <c r="X766" s="19">
        <v>0</v>
      </c>
      <c r="Y766" s="128">
        <f>IFERROR(VLOOKUP(D766,'Monthly Deduction'!$M$2:$N$640,2,0),0)</f>
        <v>0</v>
      </c>
      <c r="Z766" s="128">
        <v>0</v>
      </c>
      <c r="AA766" s="126">
        <f>IFERROR(VLOOKUP(D766,'Monthly Deduction'!A:B,2,0),0)</f>
        <v>0</v>
      </c>
      <c r="AB766" s="129">
        <f t="shared" si="208"/>
        <v>894</v>
      </c>
      <c r="AC766" s="130">
        <v>0</v>
      </c>
      <c r="AD766" s="35">
        <f t="shared" si="235"/>
        <v>894</v>
      </c>
      <c r="AE766" s="166" t="str">
        <f t="shared" si="221"/>
        <v>Release</v>
      </c>
      <c r="AF766" s="127"/>
      <c r="AG766" s="18">
        <v>0</v>
      </c>
      <c r="AH766" s="132"/>
      <c r="AI766" s="238">
        <v>0</v>
      </c>
      <c r="AJ766" s="132"/>
      <c r="AK766" s="151">
        <v>323.5</v>
      </c>
      <c r="AL766" s="154">
        <f t="shared" si="236"/>
        <v>0</v>
      </c>
      <c r="AM766" s="155"/>
      <c r="AN766" s="19">
        <f t="shared" si="210"/>
        <v>1861</v>
      </c>
      <c r="AO766" s="118">
        <f>SUMIF('MPG Payment '!E:E,'Shayak Income '!D766,'MPG Payment '!AJ:AJ)</f>
        <v>0</v>
      </c>
      <c r="AP766" s="19">
        <f t="shared" si="211"/>
        <v>1861</v>
      </c>
      <c r="AQ766" s="119">
        <f t="shared" si="237"/>
        <v>1861</v>
      </c>
      <c r="AR766" s="91" t="s">
        <v>1144</v>
      </c>
      <c r="AS766" s="91">
        <f t="shared" si="212"/>
        <v>12800</v>
      </c>
      <c r="AT766" s="118"/>
      <c r="AU766" s="118"/>
      <c r="AV766" s="118"/>
    </row>
    <row r="767" spans="1:48" s="20" customFormat="1" x14ac:dyDescent="0.25">
      <c r="A767" s="17">
        <f>IFERROR(VLOOKUP(D767,'Monthly Deduction'!$I$3:$J$957,2,0),0)</f>
        <v>61463.815748380744</v>
      </c>
      <c r="B767" s="17">
        <f>IFERROR(VLOOKUP(D767,'Monthly Deduction'!$E$3:$F$957,2,0),0)</f>
        <v>12800</v>
      </c>
      <c r="C767" s="17">
        <f t="shared" si="234"/>
        <v>74263.815748380744</v>
      </c>
      <c r="D767" s="41">
        <v>10590012</v>
      </c>
      <c r="E767" s="122" t="str">
        <f>VLOOKUP(D767,'MPG Payment '!$E$3:$G$497305,2,0)</f>
        <v>LAKHAPUR</v>
      </c>
      <c r="F767" s="146">
        <f>IFERROR(_xlfn.XLOOKUP(D767,'Monthly Deduction'!$I$3:$I$957,'Monthly Deduction'!$H$3:$H$957),0)</f>
        <v>0</v>
      </c>
      <c r="G767" s="123" t="str">
        <f>VLOOKUP(D767,'MPG Payment '!$E$3:$G$333666,3,0)</f>
        <v>MPG</v>
      </c>
      <c r="H767" s="124" t="str">
        <f>VLOOKUP(D767,'MPG Payment '!$E$3:$H$333666,4,0)</f>
        <v>Direct</v>
      </c>
      <c r="I767" s="88">
        <f>INDEX('MPG Payment '!$C:$C,MATCH('Shayak Income '!D767,'MPG Payment '!E:E,0))</f>
        <v>1059</v>
      </c>
      <c r="J767" s="88" t="str">
        <f>INDEX('MPG Payment '!$D:$D,MATCH('Shayak Income '!D767,'MPG Payment '!E:E,0))</f>
        <v>Gopalpur Bmc</v>
      </c>
      <c r="K767" s="125" t="s">
        <v>1594</v>
      </c>
      <c r="L767" s="125">
        <v>46086</v>
      </c>
      <c r="M767" s="126">
        <f>SUMIF('MPG Payment '!$E$3:$E$344841,'Shayak Income '!D767,'MPG Payment '!$I$3:$I$344841)</f>
        <v>4444</v>
      </c>
      <c r="N767" s="126">
        <f>SUMIF('MPG Payment '!$E$3:$E$344841,'Shayak Income '!D767,'MPG Payment '!$J$3:$J$344841)</f>
        <v>193301.94</v>
      </c>
      <c r="O767" s="126">
        <f t="shared" si="214"/>
        <v>3333</v>
      </c>
      <c r="P767" s="126">
        <f t="shared" si="215"/>
        <v>4221.8</v>
      </c>
      <c r="Q767" s="126">
        <f>SUMIF('MPG Payment '!$E$3:$E$344841,'Shayak Income '!D767,'MPG Payment '!$S$3:$S$344841)</f>
        <v>0</v>
      </c>
      <c r="R767" s="126">
        <f t="shared" si="206"/>
        <v>5799.0581999999995</v>
      </c>
      <c r="S767" s="126">
        <f t="shared" si="207"/>
        <v>1577.2581999999993</v>
      </c>
      <c r="T767" s="126">
        <f t="shared" si="216"/>
        <v>444.40000000000003</v>
      </c>
      <c r="U767" s="127">
        <f>((((((IF(K767="New",0,SUMIF('MPG Payment '!$E$3:$E$344841,'Shayak Income '!D767,'MPG Payment '!$AC$3:$AC$344841))))+0)+0)+0)+0)+0</f>
        <v>0</v>
      </c>
      <c r="V767" s="127">
        <f t="shared" si="217"/>
        <v>7110</v>
      </c>
      <c r="W767" s="19">
        <f t="shared" si="218"/>
        <v>3866.0388000000003</v>
      </c>
      <c r="X767" s="19">
        <v>0</v>
      </c>
      <c r="Y767" s="128">
        <f>IFERROR(VLOOKUP(D767,'Monthly Deduction'!$M$2:$N$640,2,0),0)</f>
        <v>0</v>
      </c>
      <c r="Z767" s="128">
        <v>0</v>
      </c>
      <c r="AA767" s="126">
        <f>IFERROR(VLOOKUP(D767,'Monthly Deduction'!A:B,2,0),0)</f>
        <v>0</v>
      </c>
      <c r="AB767" s="129">
        <f t="shared" si="208"/>
        <v>3244</v>
      </c>
      <c r="AC767" s="130">
        <v>0</v>
      </c>
      <c r="AD767" s="35">
        <f t="shared" si="235"/>
        <v>3244</v>
      </c>
      <c r="AE767" s="166" t="str">
        <f t="shared" si="221"/>
        <v>Release</v>
      </c>
      <c r="AF767" s="127"/>
      <c r="AG767" s="18">
        <v>0</v>
      </c>
      <c r="AH767" s="120"/>
      <c r="AI767" s="238">
        <v>0</v>
      </c>
      <c r="AJ767" s="132"/>
      <c r="AK767" s="151">
        <v>1222.5</v>
      </c>
      <c r="AL767" s="154">
        <f t="shared" si="236"/>
        <v>0</v>
      </c>
      <c r="AM767" s="155"/>
      <c r="AN767" s="19">
        <f t="shared" si="210"/>
        <v>3866.0388000000003</v>
      </c>
      <c r="AO767" s="118">
        <f>SUMIF('MPG Payment '!E:E,'Shayak Income '!D767,'MPG Payment '!AJ:AJ)</f>
        <v>0</v>
      </c>
      <c r="AP767" s="19">
        <f t="shared" si="211"/>
        <v>3866.0388000000003</v>
      </c>
      <c r="AQ767" s="119">
        <f t="shared" si="237"/>
        <v>3866.0388000000003</v>
      </c>
      <c r="AR767" s="91" t="s">
        <v>1144</v>
      </c>
      <c r="AS767" s="91">
        <f t="shared" si="212"/>
        <v>12800</v>
      </c>
      <c r="AT767" s="118"/>
      <c r="AU767" s="118"/>
      <c r="AV767" s="118"/>
    </row>
    <row r="768" spans="1:48" s="20" customFormat="1" x14ac:dyDescent="0.25">
      <c r="A768" s="17">
        <f>IFERROR(VLOOKUP(D768,'Monthly Deduction'!$I$3:$J$957,2,0),0)</f>
        <v>0</v>
      </c>
      <c r="B768" s="17">
        <f>IFERROR(VLOOKUP(D768,'Monthly Deduction'!$E$3:$F$957,2,0),0)</f>
        <v>0</v>
      </c>
      <c r="C768" s="17">
        <f t="shared" si="234"/>
        <v>0</v>
      </c>
      <c r="D768" s="41">
        <v>10060055</v>
      </c>
      <c r="E768" s="122" t="str">
        <f>VLOOKUP(D768,'MPG Payment '!$E$3:$G$497305,2,0)</f>
        <v>RUPESH KUMAR</v>
      </c>
      <c r="F768" s="146">
        <f>IFERROR(_xlfn.XLOOKUP(D768,'Monthly Deduction'!$I$3:$I$957,'Monthly Deduction'!$H$3:$H$957),0)</f>
        <v>0</v>
      </c>
      <c r="G768" s="123" t="str">
        <f>VLOOKUP(D768,'MPG Payment '!$E$3:$G$333666,3,0)</f>
        <v>vlc</v>
      </c>
      <c r="H768" s="124" t="str">
        <f>VLOOKUP(D768,'MPG Payment '!$E$3:$H$333666,4,0)</f>
        <v>Indirect</v>
      </c>
      <c r="I768" s="88">
        <f>INDEX('MPG Payment '!$C:$C,MATCH('Shayak Income '!D768,'MPG Payment '!E:E,0))</f>
        <v>1006</v>
      </c>
      <c r="J768" s="88" t="str">
        <f>INDEX('MPG Payment '!$D:$D,MATCH('Shayak Income '!D768,'MPG Payment '!E:E,0))</f>
        <v>Sonvarsha</v>
      </c>
      <c r="K768" s="125" t="s">
        <v>1594</v>
      </c>
      <c r="L768" s="125">
        <v>44361</v>
      </c>
      <c r="M768" s="126">
        <f>SUMIF('MPG Payment '!$E$3:$E$344841,'Shayak Income '!D768,'MPG Payment '!$I$3:$I$344841)</f>
        <v>514</v>
      </c>
      <c r="N768" s="126">
        <f>SUMIF('MPG Payment '!$E$3:$E$344841,'Shayak Income '!D768,'MPG Payment '!$J$3:$J$344841)</f>
        <v>19571.82</v>
      </c>
      <c r="O768" s="126">
        <f t="shared" si="214"/>
        <v>385.5</v>
      </c>
      <c r="P768" s="126">
        <f t="shared" si="215"/>
        <v>488.29999999999995</v>
      </c>
      <c r="Q768" s="126">
        <f>SUMIF('MPG Payment '!$E$3:$E$344841,'Shayak Income '!D768,'MPG Payment '!$S$3:$S$344841)</f>
        <v>0</v>
      </c>
      <c r="R768" s="126">
        <f t="shared" si="206"/>
        <v>587.15459999999996</v>
      </c>
      <c r="S768" s="126">
        <f t="shared" si="207"/>
        <v>98.854600000000005</v>
      </c>
      <c r="T768" s="126">
        <f t="shared" si="216"/>
        <v>51.400000000000006</v>
      </c>
      <c r="U768" s="127">
        <f>((((((IF(K768="New",0,SUMIF('MPG Payment '!$E$3:$E$344841,'Shayak Income '!D768,'MPG Payment '!$AC$3:$AC$344841))))+0)+0)+0)+0)+-915</f>
        <v>822.87915506500781</v>
      </c>
      <c r="V768" s="127">
        <f t="shared" si="217"/>
        <v>0</v>
      </c>
      <c r="W768" s="19">
        <v>0</v>
      </c>
      <c r="X768" s="19">
        <v>0</v>
      </c>
      <c r="Y768" s="128">
        <v>0</v>
      </c>
      <c r="Z768" s="128">
        <v>0</v>
      </c>
      <c r="AA768" s="126">
        <v>0</v>
      </c>
      <c r="AB768" s="129">
        <f t="shared" si="208"/>
        <v>0</v>
      </c>
      <c r="AC768" s="130">
        <f t="shared" ref="AC768:AC769" si="238">AB768</f>
        <v>0</v>
      </c>
      <c r="AD768" s="35">
        <f t="shared" si="235"/>
        <v>0</v>
      </c>
      <c r="AE768" s="166" t="str">
        <f t="shared" si="221"/>
        <v>Release</v>
      </c>
      <c r="AF768" s="127"/>
      <c r="AG768" s="18">
        <v>0</v>
      </c>
      <c r="AH768" s="132" t="s">
        <v>1597</v>
      </c>
      <c r="AI768" s="238">
        <v>0</v>
      </c>
      <c r="AJ768" s="132"/>
      <c r="AK768" s="151">
        <v>0</v>
      </c>
      <c r="AL768" s="154">
        <f t="shared" si="236"/>
        <v>0</v>
      </c>
      <c r="AM768" s="155"/>
      <c r="AN768" s="19">
        <f t="shared" si="210"/>
        <v>0</v>
      </c>
      <c r="AO768" s="118">
        <f>SUMIF('MPG Payment '!E:E,'Shayak Income '!D768,'MPG Payment '!AJ:AJ)</f>
        <v>0</v>
      </c>
      <c r="AP768" s="19">
        <f t="shared" si="211"/>
        <v>0</v>
      </c>
      <c r="AQ768" s="119">
        <f t="shared" si="237"/>
        <v>0</v>
      </c>
      <c r="AR768" s="91" t="s">
        <v>1144</v>
      </c>
      <c r="AS768" s="91">
        <f t="shared" si="212"/>
        <v>0</v>
      </c>
      <c r="AT768" s="118"/>
      <c r="AU768" s="118"/>
      <c r="AV768" s="118"/>
    </row>
    <row r="769" spans="1:48" s="20" customFormat="1" x14ac:dyDescent="0.25">
      <c r="A769" s="17">
        <f>IFERROR(VLOOKUP(D769,'Monthly Deduction'!$I$3:$J$957,2,0),0)</f>
        <v>62864.419273537816</v>
      </c>
      <c r="B769" s="17">
        <f>IFERROR(VLOOKUP(D769,'Monthly Deduction'!$E$3:$F$957,2,0),0)</f>
        <v>12800</v>
      </c>
      <c r="C769" s="17">
        <f t="shared" si="234"/>
        <v>75664.419273537816</v>
      </c>
      <c r="D769" s="41">
        <v>10140206</v>
      </c>
      <c r="E769" s="122" t="str">
        <f>VLOOKUP(D769,'MPG Payment '!$E$3:$G$497305,2,0)</f>
        <v>Gumukh Basawkala Dahpura Tola</v>
      </c>
      <c r="F769" s="146">
        <f>IFERROR(_xlfn.XLOOKUP(D769,'Monthly Deduction'!$I$3:$I$957,'Monthly Deduction'!$H$3:$H$957),0)</f>
        <v>0</v>
      </c>
      <c r="G769" s="123" t="str">
        <f>VLOOKUP(D769,'MPG Payment '!$E$3:$G$333666,3,0)</f>
        <v>MPG</v>
      </c>
      <c r="H769" s="124" t="str">
        <f>VLOOKUP(D769,'MPG Payment '!$E$3:$H$333666,4,0)</f>
        <v>Direct</v>
      </c>
      <c r="I769" s="88">
        <f>INDEX('MPG Payment '!$C:$C,MATCH('Shayak Income '!D769,'MPG Payment '!E:E,0))</f>
        <v>1014</v>
      </c>
      <c r="J769" s="88" t="str">
        <f>INDEX('MPG Payment '!$D:$D,MATCH('Shayak Income '!D769,'MPG Payment '!E:E,0))</f>
        <v>Dumraon</v>
      </c>
      <c r="K769" s="125" t="s">
        <v>1594</v>
      </c>
      <c r="L769" s="125">
        <v>46092</v>
      </c>
      <c r="M769" s="126">
        <f>SUMIF('MPG Payment '!$E$3:$E$344841,'Shayak Income '!D769,'MPG Payment '!$I$3:$I$344841)</f>
        <v>1760.6</v>
      </c>
      <c r="N769" s="126">
        <f>SUMIF('MPG Payment '!$E$3:$E$344841,'Shayak Income '!D769,'MPG Payment '!$J$3:$J$344841)</f>
        <v>73004.100000000006</v>
      </c>
      <c r="O769" s="126">
        <f t="shared" si="214"/>
        <v>1320.4499999999998</v>
      </c>
      <c r="P769" s="126">
        <f t="shared" si="215"/>
        <v>1672.57</v>
      </c>
      <c r="Q769" s="126">
        <f>SUMIF('MPG Payment '!$E$3:$E$344841,'Shayak Income '!D769,'MPG Payment '!$S$3:$S$344841)</f>
        <v>0</v>
      </c>
      <c r="R769" s="126">
        <f t="shared" si="206"/>
        <v>2190.123</v>
      </c>
      <c r="S769" s="126">
        <f t="shared" si="207"/>
        <v>517.55300000000011</v>
      </c>
      <c r="T769" s="126">
        <f t="shared" si="216"/>
        <v>176.06</v>
      </c>
      <c r="U769" s="127">
        <f>((((((IF(K769="New",0,SUMIF('MPG Payment '!$E$3:$E$344841,'Shayak Income '!D769,'MPG Payment '!$AC$3:$AC$344841))))+0)+0)+0)+0)+0</f>
        <v>365.78292817783085</v>
      </c>
      <c r="V769" s="127">
        <f t="shared" si="217"/>
        <v>2451</v>
      </c>
      <c r="W769" s="19">
        <f t="shared" si="218"/>
        <v>1861</v>
      </c>
      <c r="X769" s="19">
        <v>0</v>
      </c>
      <c r="Y769" s="128">
        <f>IFERROR(VLOOKUP(D769,'Monthly Deduction'!$M$2:$N$640,2,0),0)</f>
        <v>0</v>
      </c>
      <c r="Z769" s="128">
        <v>0</v>
      </c>
      <c r="AA769" s="126">
        <f>IFERROR(VLOOKUP(D769,'Monthly Deduction'!A:B,2,0),0)</f>
        <v>0</v>
      </c>
      <c r="AB769" s="129">
        <f t="shared" si="208"/>
        <v>590</v>
      </c>
      <c r="AC769" s="130">
        <f t="shared" si="238"/>
        <v>590</v>
      </c>
      <c r="AD769" s="35">
        <f t="shared" si="235"/>
        <v>0</v>
      </c>
      <c r="AE769" s="166" t="str">
        <f t="shared" si="221"/>
        <v>Yes</v>
      </c>
      <c r="AF769" s="127"/>
      <c r="AG769" s="18">
        <v>0</v>
      </c>
      <c r="AH769" s="132" t="s">
        <v>1684</v>
      </c>
      <c r="AI769" s="238">
        <v>0</v>
      </c>
      <c r="AJ769" s="132"/>
      <c r="AK769" s="151">
        <v>0</v>
      </c>
      <c r="AL769" s="154">
        <f t="shared" si="236"/>
        <v>0</v>
      </c>
      <c r="AM769" s="155"/>
      <c r="AN769" s="19">
        <f t="shared" si="210"/>
        <v>1861</v>
      </c>
      <c r="AO769" s="118">
        <f>SUMIF('MPG Payment '!E:E,'Shayak Income '!D769,'MPG Payment '!AJ:AJ)</f>
        <v>0</v>
      </c>
      <c r="AP769" s="19">
        <f t="shared" si="211"/>
        <v>1861</v>
      </c>
      <c r="AQ769" s="119">
        <f t="shared" si="237"/>
        <v>1861</v>
      </c>
      <c r="AR769" s="91" t="s">
        <v>1144</v>
      </c>
      <c r="AS769" s="91">
        <f t="shared" si="212"/>
        <v>12800</v>
      </c>
      <c r="AT769" s="118"/>
      <c r="AU769" s="118"/>
      <c r="AV769" s="118"/>
    </row>
    <row r="770" spans="1:48" s="20" customFormat="1" x14ac:dyDescent="0.25">
      <c r="A770" s="17">
        <f>IFERROR(VLOOKUP(D770,'Monthly Deduction'!$I$3:$J$957,2,0),0)</f>
        <v>62881.169596250649</v>
      </c>
      <c r="B770" s="17">
        <f>IFERROR(VLOOKUP(D770,'Monthly Deduction'!$E$3:$F$957,2,0),0)</f>
        <v>12800</v>
      </c>
      <c r="C770" s="17">
        <f t="shared" si="234"/>
        <v>75681.169596250649</v>
      </c>
      <c r="D770" s="41">
        <v>10530106</v>
      </c>
      <c r="E770" s="122" t="str">
        <f>VLOOKUP(D770,'MPG Payment '!$E$3:$G$497305,2,0)</f>
        <v>GOMUKH Keotsa</v>
      </c>
      <c r="F770" s="146">
        <f>IFERROR(_xlfn.XLOOKUP(D770,'Monthly Deduction'!$I$3:$I$957,'Monthly Deduction'!$H$3:$H$957),0)</f>
        <v>0</v>
      </c>
      <c r="G770" s="123" t="str">
        <f>VLOOKUP(D770,'MPG Payment '!$E$3:$G$333666,3,0)</f>
        <v>MPG</v>
      </c>
      <c r="H770" s="124" t="str">
        <f>VLOOKUP(D770,'MPG Payment '!$E$3:$H$333666,4,0)</f>
        <v>Direct</v>
      </c>
      <c r="I770" s="88">
        <f>INDEX('MPG Payment '!$C:$C,MATCH('Shayak Income '!D770,'MPG Payment '!E:E,0))</f>
        <v>1053</v>
      </c>
      <c r="J770" s="88" t="str">
        <f>INDEX('MPG Payment '!$D:$D,MATCH('Shayak Income '!D770,'MPG Payment '!E:E,0))</f>
        <v>Kalyanpur</v>
      </c>
      <c r="K770" s="125" t="s">
        <v>1594</v>
      </c>
      <c r="L770" s="125">
        <v>46091</v>
      </c>
      <c r="M770" s="126">
        <f>SUMIF('MPG Payment '!$E$3:$E$344841,'Shayak Income '!D770,'MPG Payment '!$I$3:$I$344841)</f>
        <v>2620.0499999999997</v>
      </c>
      <c r="N770" s="126">
        <f>SUMIF('MPG Payment '!$E$3:$E$344841,'Shayak Income '!D770,'MPG Payment '!$J$3:$J$344841)</f>
        <v>115034.98</v>
      </c>
      <c r="O770" s="126">
        <f t="shared" si="214"/>
        <v>1965.0374999999999</v>
      </c>
      <c r="P770" s="126">
        <f t="shared" si="215"/>
        <v>2489.0474999999997</v>
      </c>
      <c r="Q770" s="126">
        <f>SUMIF('MPG Payment '!$E$3:$E$344841,'Shayak Income '!D770,'MPG Payment '!$S$3:$S$344841)</f>
        <v>4860.74</v>
      </c>
      <c r="R770" s="126">
        <f t="shared" si="206"/>
        <v>3451.0493999999999</v>
      </c>
      <c r="S770" s="126">
        <f t="shared" si="207"/>
        <v>962.00190000000021</v>
      </c>
      <c r="T770" s="126">
        <f t="shared" si="216"/>
        <v>262.005</v>
      </c>
      <c r="U770" s="127">
        <f>((((((IF(K770="New",0,SUMIF('MPG Payment '!$E$3:$E$344841,'Shayak Income '!D770,'MPG Payment '!$AC$3:$AC$344841))))+0)+0)+0)+0)+0</f>
        <v>157.99873172723548</v>
      </c>
      <c r="V770" s="127">
        <f t="shared" si="217"/>
        <v>8895</v>
      </c>
      <c r="W770" s="19">
        <f t="shared" si="218"/>
        <v>2300.6995999999999</v>
      </c>
      <c r="X770" s="19">
        <v>0</v>
      </c>
      <c r="Y770" s="128">
        <f>IFERROR(VLOOKUP(D770,'Monthly Deduction'!$M$2:$N$640,2,0),0)</f>
        <v>0</v>
      </c>
      <c r="Z770" s="128">
        <v>0</v>
      </c>
      <c r="AA770" s="126">
        <f>IFERROR(VLOOKUP(D770,'Monthly Deduction'!A:B,2,0),0)</f>
        <v>294.81543080156109</v>
      </c>
      <c r="AB770" s="129">
        <f t="shared" si="208"/>
        <v>6299</v>
      </c>
      <c r="AC770" s="130">
        <v>0</v>
      </c>
      <c r="AD770" s="35">
        <f t="shared" si="235"/>
        <v>6299</v>
      </c>
      <c r="AE770" s="166" t="str">
        <f t="shared" si="221"/>
        <v>Release</v>
      </c>
      <c r="AF770" s="127"/>
      <c r="AG770" s="18">
        <v>0</v>
      </c>
      <c r="AH770" s="120"/>
      <c r="AI770" s="238">
        <v>0</v>
      </c>
      <c r="AJ770" s="132"/>
      <c r="AK770" s="151">
        <v>726.59999999999991</v>
      </c>
      <c r="AL770" s="154">
        <f t="shared" si="236"/>
        <v>0</v>
      </c>
      <c r="AM770" s="155"/>
      <c r="AN770" s="19">
        <f t="shared" si="210"/>
        <v>2300.6995999999999</v>
      </c>
      <c r="AO770" s="118">
        <f>SUMIF('MPG Payment '!E:E,'Shayak Income '!D770,'MPG Payment '!AJ:AJ)</f>
        <v>0</v>
      </c>
      <c r="AP770" s="19">
        <f t="shared" si="211"/>
        <v>2300.6995999999999</v>
      </c>
      <c r="AQ770" s="119">
        <f t="shared" si="237"/>
        <v>2300.6995999999999</v>
      </c>
      <c r="AR770" s="91" t="s">
        <v>1144</v>
      </c>
      <c r="AS770" s="91">
        <f t="shared" si="212"/>
        <v>12800</v>
      </c>
      <c r="AT770" s="118"/>
      <c r="AU770" s="118"/>
      <c r="AV770" s="118"/>
    </row>
    <row r="771" spans="1:48" s="20" customFormat="1" x14ac:dyDescent="0.25">
      <c r="A771" s="17">
        <f>IFERROR(VLOOKUP(D771,'Monthly Deduction'!$I$3:$J$957,2,0),0)</f>
        <v>63139</v>
      </c>
      <c r="B771" s="17">
        <f>IFERROR(VLOOKUP(D771,'Monthly Deduction'!$E$3:$F$957,2,0),0)</f>
        <v>12800</v>
      </c>
      <c r="C771" s="17">
        <f t="shared" si="234"/>
        <v>75939</v>
      </c>
      <c r="D771" s="41">
        <v>10530108</v>
      </c>
      <c r="E771" s="122" t="str">
        <f>VLOOKUP(D771,'MPG Payment '!$E$3:$G$497305,2,0)</f>
        <v>GOMUKH Waini</v>
      </c>
      <c r="F771" s="146">
        <f>IFERROR(_xlfn.XLOOKUP(D771,'Monthly Deduction'!$I$3:$I$957,'Monthly Deduction'!$H$3:$H$957),0)</f>
        <v>0</v>
      </c>
      <c r="G771" s="123" t="str">
        <f>VLOOKUP(D771,'MPG Payment '!$E$3:$G$333666,3,0)</f>
        <v>MPG</v>
      </c>
      <c r="H771" s="124" t="str">
        <f>VLOOKUP(D771,'MPG Payment '!$E$3:$H$333666,4,0)</f>
        <v>Direct</v>
      </c>
      <c r="I771" s="88">
        <f>INDEX('MPG Payment '!$C:$C,MATCH('Shayak Income '!D771,'MPG Payment '!E:E,0))</f>
        <v>1053</v>
      </c>
      <c r="J771" s="88" t="str">
        <f>INDEX('MPG Payment '!$D:$D,MATCH('Shayak Income '!D771,'MPG Payment '!E:E,0))</f>
        <v>Kalyanpur</v>
      </c>
      <c r="K771" s="125" t="s">
        <v>1594</v>
      </c>
      <c r="L771" s="125">
        <v>46090</v>
      </c>
      <c r="M771" s="126">
        <f>SUMIF('MPG Payment '!$E$3:$E$344841,'Shayak Income '!D771,'MPG Payment '!$I$3:$I$344841)</f>
        <v>1827.3000000000002</v>
      </c>
      <c r="N771" s="126">
        <f>SUMIF('MPG Payment '!$E$3:$E$344841,'Shayak Income '!D771,'MPG Payment '!$J$3:$J$344841)</f>
        <v>74762.44</v>
      </c>
      <c r="O771" s="126">
        <f t="shared" si="214"/>
        <v>1370.4750000000001</v>
      </c>
      <c r="P771" s="126">
        <f t="shared" si="215"/>
        <v>1735.9350000000002</v>
      </c>
      <c r="Q771" s="126">
        <f>SUMIF('MPG Payment '!$E$3:$E$344841,'Shayak Income '!D771,'MPG Payment '!$S$3:$S$344841)</f>
        <v>1379.4499999999998</v>
      </c>
      <c r="R771" s="126">
        <f t="shared" si="206"/>
        <v>2242.8732</v>
      </c>
      <c r="S771" s="126">
        <f t="shared" si="207"/>
        <v>506.93819999999982</v>
      </c>
      <c r="T771" s="126">
        <f t="shared" si="216"/>
        <v>182.73000000000002</v>
      </c>
      <c r="U771" s="127">
        <f>((((((IF(K771="New",0,SUMIF('MPG Payment '!$E$3:$E$344841,'Shayak Income '!D771,'MPG Payment '!$AC$3:$AC$344841))))+0)+0)+0)+0)+0</f>
        <v>797.78800671673844</v>
      </c>
      <c r="V771" s="127">
        <f t="shared" si="217"/>
        <v>3505</v>
      </c>
      <c r="W771" s="19">
        <f t="shared" si="218"/>
        <v>1861</v>
      </c>
      <c r="X771" s="19">
        <v>0</v>
      </c>
      <c r="Y771" s="128">
        <f>IFERROR(VLOOKUP(D771,'Monthly Deduction'!$M$2:$N$640,2,0),0)</f>
        <v>0</v>
      </c>
      <c r="Z771" s="128">
        <v>0</v>
      </c>
      <c r="AA771" s="126">
        <f>IFERROR(VLOOKUP(D771,'Monthly Deduction'!A:B,2,0),0)</f>
        <v>349.71543080156107</v>
      </c>
      <c r="AB771" s="129">
        <f t="shared" si="208"/>
        <v>1294</v>
      </c>
      <c r="AC771" s="130">
        <v>0</v>
      </c>
      <c r="AD771" s="35">
        <f t="shared" si="235"/>
        <v>1294</v>
      </c>
      <c r="AE771" s="166" t="str">
        <f t="shared" si="221"/>
        <v>Release</v>
      </c>
      <c r="AF771" s="127"/>
      <c r="AG771" s="18">
        <v>0</v>
      </c>
      <c r="AH771" s="132"/>
      <c r="AI771" s="238">
        <v>0</v>
      </c>
      <c r="AJ771" s="132"/>
      <c r="AK771" s="151">
        <v>555.04999999999995</v>
      </c>
      <c r="AL771" s="154">
        <f t="shared" si="236"/>
        <v>0</v>
      </c>
      <c r="AM771" s="155"/>
      <c r="AN771" s="19">
        <f t="shared" si="210"/>
        <v>1861</v>
      </c>
      <c r="AO771" s="118">
        <f>SUMIF('MPG Payment '!E:E,'Shayak Income '!D771,'MPG Payment '!AJ:AJ)</f>
        <v>0</v>
      </c>
      <c r="AP771" s="19">
        <f t="shared" si="211"/>
        <v>1861</v>
      </c>
      <c r="AQ771" s="119">
        <f t="shared" si="237"/>
        <v>1861</v>
      </c>
      <c r="AR771" s="91" t="s">
        <v>1144</v>
      </c>
      <c r="AS771" s="91">
        <f t="shared" si="212"/>
        <v>12800</v>
      </c>
      <c r="AT771" s="118"/>
      <c r="AU771" s="118"/>
      <c r="AV771" s="118"/>
    </row>
    <row r="772" spans="1:48" s="20" customFormat="1" x14ac:dyDescent="0.25">
      <c r="A772" s="17">
        <f>IFERROR(VLOOKUP(D772,'Monthly Deduction'!$I$3:$J$957,2,0),0)</f>
        <v>61848.103977706698</v>
      </c>
      <c r="B772" s="17">
        <f>IFERROR(VLOOKUP(D772,'Monthly Deduction'!$E$3:$F$957,2,0),0)</f>
        <v>16000</v>
      </c>
      <c r="C772" s="17">
        <f t="shared" ref="C772" si="239">A772+B772</f>
        <v>77848.103977706691</v>
      </c>
      <c r="D772" s="41">
        <v>10530110</v>
      </c>
      <c r="E772" s="122" t="str">
        <f>VLOOKUP(D772,'MPG Payment '!$E$3:$G$497305,2,0)</f>
        <v>GOMUKH DHOBGAMA</v>
      </c>
      <c r="F772" s="146">
        <f>IFERROR(_xlfn.XLOOKUP(D772,'Monthly Deduction'!$I$3:$I$957,'Monthly Deduction'!$H$3:$H$957),0)</f>
        <v>0</v>
      </c>
      <c r="G772" s="123" t="str">
        <f>VLOOKUP(D772,'MPG Payment '!$E$3:$G$333666,3,0)</f>
        <v>MPG</v>
      </c>
      <c r="H772" s="124" t="str">
        <f>VLOOKUP(D772,'MPG Payment '!$E$3:$H$333666,4,0)</f>
        <v>Direct</v>
      </c>
      <c r="I772" s="88">
        <f>INDEX('MPG Payment '!$C:$C,MATCH('Shayak Income '!D772,'MPG Payment '!E:E,0))</f>
        <v>1053</v>
      </c>
      <c r="J772" s="88" t="str">
        <f>INDEX('MPG Payment '!$D:$D,MATCH('Shayak Income '!D772,'MPG Payment '!E:E,0))</f>
        <v>Kalyanpur</v>
      </c>
      <c r="K772" s="125" t="s">
        <v>1594</v>
      </c>
      <c r="L772" s="125">
        <v>46092</v>
      </c>
      <c r="M772" s="126">
        <f>SUMIF('MPG Payment '!$E$3:$E$344841,'Shayak Income '!D772,'MPG Payment '!$I$3:$I$344841)</f>
        <v>2977.2</v>
      </c>
      <c r="N772" s="126">
        <f>SUMIF('MPG Payment '!$E$3:$E$344841,'Shayak Income '!D772,'MPG Payment '!$J$3:$J$344841)</f>
        <v>123646.06999999999</v>
      </c>
      <c r="O772" s="126">
        <f t="shared" si="214"/>
        <v>2232.8999999999996</v>
      </c>
      <c r="P772" s="126">
        <f t="shared" si="215"/>
        <v>2828.3399999999997</v>
      </c>
      <c r="Q772" s="126">
        <f>SUMIF('MPG Payment '!$E$3:$E$344841,'Shayak Income '!D772,'MPG Payment '!$S$3:$S$344841)</f>
        <v>2950.62</v>
      </c>
      <c r="R772" s="126">
        <f t="shared" ref="R772:R886" si="240">+N772*3%</f>
        <v>3709.3820999999998</v>
      </c>
      <c r="S772" s="126">
        <f t="shared" ref="S772:S886" si="241">R772-P772</f>
        <v>881.04210000000012</v>
      </c>
      <c r="T772" s="126">
        <f t="shared" si="216"/>
        <v>297.71999999999997</v>
      </c>
      <c r="U772" s="127">
        <f>((((((IF(K772="New",0,SUMIF('MPG Payment '!$E$3:$E$344841,'Shayak Income '!D772,'MPG Payment '!$AC$3:$AC$344841))))+0)+0)+0)+0)+0</f>
        <v>0</v>
      </c>
      <c r="V772" s="127">
        <f t="shared" si="217"/>
        <v>7714</v>
      </c>
      <c r="W772" s="19">
        <f t="shared" si="218"/>
        <v>2472.9213999999997</v>
      </c>
      <c r="X772" s="19">
        <v>0</v>
      </c>
      <c r="Y772" s="128">
        <f>IFERROR(VLOOKUP(D772,'Monthly Deduction'!$M$2:$N$640,2,0),0)</f>
        <v>0</v>
      </c>
      <c r="Z772" s="128">
        <v>0</v>
      </c>
      <c r="AA772" s="126">
        <f>IFERROR(VLOOKUP(D772,'Monthly Deduction'!A:B,2,0),0)</f>
        <v>349.71543080156107</v>
      </c>
      <c r="AB772" s="129">
        <f t="shared" ref="AB772:AB835" si="242">ROUND(IFERROR(V772-SUM(W772:AA772),0),0)</f>
        <v>4891</v>
      </c>
      <c r="AC772" s="130">
        <v>0</v>
      </c>
      <c r="AD772" s="35">
        <f t="shared" ref="AD772" si="243">ROUND(AB772-AC772,0)</f>
        <v>4891</v>
      </c>
      <c r="AE772" s="166" t="str">
        <f t="shared" si="221"/>
        <v>Release</v>
      </c>
      <c r="AF772" s="127"/>
      <c r="AG772" s="18">
        <v>0</v>
      </c>
      <c r="AH772" s="120"/>
      <c r="AI772" s="238">
        <v>0</v>
      </c>
      <c r="AJ772" s="132"/>
      <c r="AK772" s="151">
        <v>742.3</v>
      </c>
      <c r="AL772" s="154">
        <f t="shared" ref="AL772" si="244">COUNTIF(AK772:AK772,"=NA")</f>
        <v>0</v>
      </c>
      <c r="AM772" s="155"/>
      <c r="AN772" s="19">
        <f t="shared" ref="AN772:AN835" si="245">((MIN(IF(A772&gt;0,MAX(N772*2%,1861),0),A772)))+0</f>
        <v>2472.9213999999997</v>
      </c>
      <c r="AO772" s="118">
        <f>SUMIF('MPG Payment '!E:E,'Shayak Income '!D772,'MPG Payment '!AJ:AJ)</f>
        <v>0</v>
      </c>
      <c r="AP772" s="19">
        <f t="shared" ref="AP772:AP835" si="246">W772</f>
        <v>2472.9213999999997</v>
      </c>
      <c r="AQ772" s="119">
        <f t="shared" ref="AQ772" si="247">AO772+AP772</f>
        <v>2472.9213999999997</v>
      </c>
      <c r="AR772" s="91" t="s">
        <v>1144</v>
      </c>
      <c r="AS772" s="91">
        <f t="shared" ref="AS772:AS835" si="248">B772-X772</f>
        <v>16000</v>
      </c>
      <c r="AT772" s="118"/>
      <c r="AU772" s="118"/>
      <c r="AV772" s="118"/>
    </row>
    <row r="773" spans="1:48" s="20" customFormat="1" x14ac:dyDescent="0.25">
      <c r="A773" s="17">
        <f>IFERROR(VLOOKUP(D773,'Monthly Deduction'!$I$3:$J$957,2,0),0)</f>
        <v>81268.376872347857</v>
      </c>
      <c r="B773" s="17">
        <f>IFERROR(VLOOKUP(D773,'Monthly Deduction'!$E$3:$F$957,2,0),0)</f>
        <v>9600</v>
      </c>
      <c r="C773" s="17">
        <f t="shared" ref="C773:C790" si="249">A773+B773</f>
        <v>90868.376872347857</v>
      </c>
      <c r="D773" s="41">
        <v>10560016</v>
      </c>
      <c r="E773" s="122" t="str">
        <f>VLOOKUP(D773,'MPG Payment '!$E$3:$G$497305,2,0)</f>
        <v>Gomukh Pachout</v>
      </c>
      <c r="F773" s="146">
        <f>IFERROR(_xlfn.XLOOKUP(D773,'Monthly Deduction'!$I$3:$I$957,'Monthly Deduction'!$H$3:$H$957),0)</f>
        <v>0</v>
      </c>
      <c r="G773" s="123" t="str">
        <f>VLOOKUP(D773,'MPG Payment '!$E$3:$G$333666,3,0)</f>
        <v>MPG</v>
      </c>
      <c r="H773" s="124" t="str">
        <f>VLOOKUP(D773,'MPG Payment '!$E$3:$H$333666,4,0)</f>
        <v>Direct</v>
      </c>
      <c r="I773" s="88">
        <f>INDEX('MPG Payment '!$C:$C,MATCH('Shayak Income '!D773,'MPG Payment '!E:E,0))</f>
        <v>1056</v>
      </c>
      <c r="J773" s="88" t="str">
        <f>INDEX('MPG Payment '!$D:$D,MATCH('Shayak Income '!D773,'MPG Payment '!E:E,0))</f>
        <v>Chautham</v>
      </c>
      <c r="K773" s="125" t="s">
        <v>1594</v>
      </c>
      <c r="L773" s="125">
        <v>45999</v>
      </c>
      <c r="M773" s="126">
        <f>SUMIF('MPG Payment '!$E$3:$E$344841,'Shayak Income '!D773,'MPG Payment '!$I$3:$I$344841)</f>
        <v>3716.2799999999997</v>
      </c>
      <c r="N773" s="126">
        <f>SUMIF('MPG Payment '!$E$3:$E$344841,'Shayak Income '!D773,'MPG Payment '!$J$3:$J$344841)</f>
        <v>138283.07999999999</v>
      </c>
      <c r="O773" s="126">
        <f t="shared" ref="O773:O886" si="250">+M773*0.75</f>
        <v>2787.21</v>
      </c>
      <c r="P773" s="126">
        <f t="shared" ref="P773:P886" si="251">+M773*0.95</f>
        <v>3530.4659999999994</v>
      </c>
      <c r="Q773" s="126">
        <f>SUMIF('MPG Payment '!$E$3:$E$344841,'Shayak Income '!D773,'MPG Payment '!$S$3:$S$344841)</f>
        <v>0</v>
      </c>
      <c r="R773" s="126">
        <f t="shared" si="240"/>
        <v>4148.4923999999992</v>
      </c>
      <c r="S773" s="126">
        <f t="shared" si="241"/>
        <v>618.02639999999974</v>
      </c>
      <c r="T773" s="126">
        <f t="shared" ref="T773:T836" si="252">M773*0.1</f>
        <v>371.62799999999999</v>
      </c>
      <c r="U773" s="127">
        <f>((((((IF(K773="New",0,SUMIF('MPG Payment '!$E$3:$E$344841,'Shayak Income '!D773,'MPG Payment '!$AC$3:$AC$344841))))+0)+0)+0)+0)+0</f>
        <v>0</v>
      </c>
      <c r="V773" s="127">
        <f t="shared" ref="V773:V836" si="253">ROUND((SUM(O773:Q773)-SUM(T773:U773)),0)</f>
        <v>5946</v>
      </c>
      <c r="W773" s="19">
        <f t="shared" ref="W773:W834" si="254">(((AN773-AO773)))+0</f>
        <v>2765.6615999999999</v>
      </c>
      <c r="X773" s="19">
        <v>0</v>
      </c>
      <c r="Y773" s="128">
        <f>IFERROR(VLOOKUP(D773,'Monthly Deduction'!$M$2:$N$640,2,0),0)</f>
        <v>0</v>
      </c>
      <c r="Z773" s="128">
        <v>0</v>
      </c>
      <c r="AA773" s="126">
        <f>IFERROR(VLOOKUP(D773,'Monthly Deduction'!A:B,2,0),0)</f>
        <v>679.32854097868517</v>
      </c>
      <c r="AB773" s="129">
        <f t="shared" si="242"/>
        <v>2501</v>
      </c>
      <c r="AC773" s="130">
        <v>0</v>
      </c>
      <c r="AD773" s="35">
        <f t="shared" ref="AD773:AD790" si="255">ROUND(AB773-AC773,0)</f>
        <v>2501</v>
      </c>
      <c r="AE773" s="166" t="str">
        <f t="shared" ref="AE773:AE886" si="256">IF(AC773&lt;&gt;0,"Yes","Release")</f>
        <v>Release</v>
      </c>
      <c r="AF773" s="127"/>
      <c r="AG773" s="18">
        <v>0</v>
      </c>
      <c r="AH773" s="120"/>
      <c r="AI773" s="238">
        <v>0</v>
      </c>
      <c r="AJ773" s="132"/>
      <c r="AK773" s="151">
        <v>872.07999999999993</v>
      </c>
      <c r="AL773" s="154">
        <f t="shared" ref="AL773:AL790" si="257">COUNTIF(AK773:AK773,"=NA")</f>
        <v>0</v>
      </c>
      <c r="AM773" s="155"/>
      <c r="AN773" s="19">
        <f t="shared" si="245"/>
        <v>2765.6615999999999</v>
      </c>
      <c r="AO773" s="118">
        <f>SUMIF('MPG Payment '!E:E,'Shayak Income '!D773,'MPG Payment '!AJ:AJ)</f>
        <v>0</v>
      </c>
      <c r="AP773" s="19">
        <f t="shared" si="246"/>
        <v>2765.6615999999999</v>
      </c>
      <c r="AQ773" s="119">
        <f t="shared" ref="AQ773:AQ790" si="258">AO773+AP773</f>
        <v>2765.6615999999999</v>
      </c>
      <c r="AR773" s="91" t="s">
        <v>1144</v>
      </c>
      <c r="AS773" s="91">
        <f t="shared" si="248"/>
        <v>9600</v>
      </c>
      <c r="AT773" s="118"/>
      <c r="AU773" s="118"/>
      <c r="AV773" s="118"/>
    </row>
    <row r="774" spans="1:48" s="20" customFormat="1" x14ac:dyDescent="0.25">
      <c r="A774" s="17">
        <f>IFERROR(VLOOKUP(D774,'Monthly Deduction'!$I$3:$J$957,2,0),0)</f>
        <v>83642</v>
      </c>
      <c r="B774" s="17">
        <f>IFERROR(VLOOKUP(D774,'Monthly Deduction'!$E$3:$F$957,2,0),0)</f>
        <v>6400</v>
      </c>
      <c r="C774" s="17">
        <f t="shared" si="249"/>
        <v>90042</v>
      </c>
      <c r="D774" s="41">
        <v>10570047</v>
      </c>
      <c r="E774" s="122" t="str">
        <f>VLOOKUP(D774,'MPG Payment '!$E$3:$G$497305,2,0)</f>
        <v>Kamopur</v>
      </c>
      <c r="F774" s="146">
        <f>IFERROR(_xlfn.XLOOKUP(D774,'Monthly Deduction'!$I$3:$I$957,'Monthly Deduction'!$H$3:$H$957),0)</f>
        <v>0</v>
      </c>
      <c r="G774" s="123" t="str">
        <f>VLOOKUP(D774,'MPG Payment '!$E$3:$G$333666,3,0)</f>
        <v>MPG</v>
      </c>
      <c r="H774" s="124" t="str">
        <f>VLOOKUP(D774,'MPG Payment '!$E$3:$H$333666,4,0)</f>
        <v>Direct</v>
      </c>
      <c r="I774" s="88">
        <f>INDEX('MPG Payment '!$C:$C,MATCH('Shayak Income '!D774,'MPG Payment '!E:E,0))</f>
        <v>1057</v>
      </c>
      <c r="J774" s="88" t="str">
        <f>INDEX('MPG Payment '!$D:$D,MATCH('Shayak Income '!D774,'MPG Payment '!E:E,0))</f>
        <v>Warisnagar</v>
      </c>
      <c r="K774" s="125" t="s">
        <v>1594</v>
      </c>
      <c r="L774" s="125">
        <v>46092</v>
      </c>
      <c r="M774" s="126">
        <f>SUMIF('MPG Payment '!$E$3:$E$344841,'Shayak Income '!D774,'MPG Payment '!$I$3:$I$344841)</f>
        <v>1573.6</v>
      </c>
      <c r="N774" s="126">
        <f>SUMIF('MPG Payment '!$E$3:$E$344841,'Shayak Income '!D774,'MPG Payment '!$J$3:$J$344841)</f>
        <v>68144.399999999994</v>
      </c>
      <c r="O774" s="126">
        <f t="shared" si="250"/>
        <v>1180.1999999999998</v>
      </c>
      <c r="P774" s="126">
        <f t="shared" si="251"/>
        <v>1494.9199999999998</v>
      </c>
      <c r="Q774" s="126">
        <f>SUMIF('MPG Payment '!$E$3:$E$344841,'Shayak Income '!D774,'MPG Payment '!$S$3:$S$344841)</f>
        <v>277.53000000000003</v>
      </c>
      <c r="R774" s="126">
        <f t="shared" si="240"/>
        <v>2044.3319999999997</v>
      </c>
      <c r="S774" s="126">
        <f t="shared" si="241"/>
        <v>549.41199999999981</v>
      </c>
      <c r="T774" s="126">
        <f t="shared" si="252"/>
        <v>157.36000000000001</v>
      </c>
      <c r="U774" s="127">
        <f>((((((IF(K774="New",0,SUMIF('MPG Payment '!$E$3:$E$344841,'Shayak Income '!D774,'MPG Payment '!$AC$3:$AC$344841))))+0)+0)+0)+0)+0</f>
        <v>1062.5980578772794</v>
      </c>
      <c r="V774" s="127">
        <f t="shared" si="253"/>
        <v>1733</v>
      </c>
      <c r="W774" s="19">
        <v>1733</v>
      </c>
      <c r="X774" s="19">
        <v>0</v>
      </c>
      <c r="Y774" s="128">
        <f>IFERROR(VLOOKUP(D774,'Monthly Deduction'!$M$2:$N$640,2,0),0)</f>
        <v>0</v>
      </c>
      <c r="Z774" s="128">
        <v>0</v>
      </c>
      <c r="AA774" s="126">
        <v>0</v>
      </c>
      <c r="AB774" s="129">
        <f t="shared" si="242"/>
        <v>0</v>
      </c>
      <c r="AC774" s="130">
        <f t="shared" ref="AC774:AC775" si="259">AB774</f>
        <v>0</v>
      </c>
      <c r="AD774" s="35">
        <f t="shared" si="255"/>
        <v>0</v>
      </c>
      <c r="AE774" s="166" t="str">
        <f t="shared" si="256"/>
        <v>Release</v>
      </c>
      <c r="AF774" s="127"/>
      <c r="AG774" s="18">
        <v>0</v>
      </c>
      <c r="AH774" s="120" t="s">
        <v>1685</v>
      </c>
      <c r="AI774" s="238">
        <v>20000</v>
      </c>
      <c r="AJ774" s="132"/>
      <c r="AK774" s="151">
        <v>412.9</v>
      </c>
      <c r="AL774" s="154">
        <f t="shared" si="257"/>
        <v>0</v>
      </c>
      <c r="AM774" s="155"/>
      <c r="AN774" s="19">
        <f t="shared" si="245"/>
        <v>1861</v>
      </c>
      <c r="AO774" s="118">
        <f>SUMIF('MPG Payment '!E:E,'Shayak Income '!D774,'MPG Payment '!AJ:AJ)</f>
        <v>0</v>
      </c>
      <c r="AP774" s="19">
        <f t="shared" si="246"/>
        <v>1733</v>
      </c>
      <c r="AQ774" s="119">
        <f t="shared" si="258"/>
        <v>1733</v>
      </c>
      <c r="AR774" s="91" t="s">
        <v>1144</v>
      </c>
      <c r="AS774" s="91">
        <f t="shared" si="248"/>
        <v>6400</v>
      </c>
      <c r="AT774" s="118"/>
      <c r="AU774" s="118"/>
      <c r="AV774" s="118"/>
    </row>
    <row r="775" spans="1:48" s="20" customFormat="1" x14ac:dyDescent="0.25">
      <c r="A775" s="17">
        <f>IFERROR(VLOOKUP(D775,'Monthly Deduction'!$I$3:$J$957,2,0),0)</f>
        <v>85000</v>
      </c>
      <c r="B775" s="17">
        <f>IFERROR(VLOOKUP(D775,'Monthly Deduction'!$E$3:$F$957,2,0),0)</f>
        <v>6400</v>
      </c>
      <c r="C775" s="17">
        <f t="shared" si="249"/>
        <v>91400</v>
      </c>
      <c r="D775" s="41">
        <v>10630004</v>
      </c>
      <c r="E775" s="122" t="str">
        <f>VLOOKUP(D775,'MPG Payment '!$E$3:$G$497305,2,0)</f>
        <v>Murli</v>
      </c>
      <c r="F775" s="146">
        <f>IFERROR(_xlfn.XLOOKUP(D775,'Monthly Deduction'!$I$3:$I$957,'Monthly Deduction'!$H$3:$H$957),0)</f>
        <v>0</v>
      </c>
      <c r="G775" s="123" t="str">
        <f>VLOOKUP(D775,'MPG Payment '!$E$3:$G$333666,3,0)</f>
        <v>MPG</v>
      </c>
      <c r="H775" s="124" t="str">
        <f>VLOOKUP(D775,'MPG Payment '!$E$3:$H$333666,4,0)</f>
        <v>Direct</v>
      </c>
      <c r="I775" s="88">
        <f>INDEX('MPG Payment '!$C:$C,MATCH('Shayak Income '!D775,'MPG Payment '!E:E,0))</f>
        <v>1063</v>
      </c>
      <c r="J775" s="88" t="str">
        <f>INDEX('MPG Payment '!$D:$D,MATCH('Shayak Income '!D775,'MPG Payment '!E:E,0))</f>
        <v>Rosera</v>
      </c>
      <c r="K775" s="125" t="s">
        <v>1594</v>
      </c>
      <c r="L775" s="125">
        <v>46087</v>
      </c>
      <c r="M775" s="126">
        <f>SUMIF('MPG Payment '!$E$3:$E$344841,'Shayak Income '!D775,'MPG Payment '!$I$3:$I$344841)</f>
        <v>1152.2</v>
      </c>
      <c r="N775" s="126">
        <f>SUMIF('MPG Payment '!$E$3:$E$344841,'Shayak Income '!D775,'MPG Payment '!$J$3:$J$344841)</f>
        <v>47185.729999999996</v>
      </c>
      <c r="O775" s="126">
        <f t="shared" si="250"/>
        <v>864.15000000000009</v>
      </c>
      <c r="P775" s="126">
        <f t="shared" si="251"/>
        <v>1094.5899999999999</v>
      </c>
      <c r="Q775" s="126">
        <f>SUMIF('MPG Payment '!$E$3:$E$344841,'Shayak Income '!D775,'MPG Payment '!$S$3:$S$344841)</f>
        <v>45.1</v>
      </c>
      <c r="R775" s="126">
        <f t="shared" si="240"/>
        <v>1415.5718999999999</v>
      </c>
      <c r="S775" s="126">
        <f t="shared" si="241"/>
        <v>320.9819</v>
      </c>
      <c r="T775" s="126">
        <f t="shared" si="252"/>
        <v>115.22000000000001</v>
      </c>
      <c r="U775" s="127">
        <f>((((((IF(K775="New",0,SUMIF('MPG Payment '!$E$3:$E$344841,'Shayak Income '!D775,'MPG Payment '!$AC$3:$AC$344841))))+0)+0)+0)+0)+0</f>
        <v>1347.6268756928778</v>
      </c>
      <c r="V775" s="127">
        <f t="shared" si="253"/>
        <v>541</v>
      </c>
      <c r="W775" s="19">
        <v>541</v>
      </c>
      <c r="X775" s="19">
        <v>0</v>
      </c>
      <c r="Y775" s="128">
        <f>IFERROR(VLOOKUP(D775,'Monthly Deduction'!$M$2:$N$640,2,0),0)</f>
        <v>0</v>
      </c>
      <c r="Z775" s="128">
        <v>0</v>
      </c>
      <c r="AA775" s="126">
        <f>IFERROR(VLOOKUP(D775,'Monthly Deduction'!A:B,2,0),0)</f>
        <v>0</v>
      </c>
      <c r="AB775" s="129">
        <f t="shared" si="242"/>
        <v>0</v>
      </c>
      <c r="AC775" s="130">
        <f t="shared" si="259"/>
        <v>0</v>
      </c>
      <c r="AD775" s="35">
        <f t="shared" si="255"/>
        <v>0</v>
      </c>
      <c r="AE775" s="166" t="str">
        <f t="shared" si="256"/>
        <v>Release</v>
      </c>
      <c r="AF775" s="127"/>
      <c r="AG775" s="18">
        <v>0</v>
      </c>
      <c r="AH775" s="120" t="s">
        <v>1686</v>
      </c>
      <c r="AI775" s="238">
        <v>20000</v>
      </c>
      <c r="AJ775" s="132"/>
      <c r="AK775" s="151">
        <v>269.90000000000003</v>
      </c>
      <c r="AL775" s="154">
        <f t="shared" si="257"/>
        <v>0</v>
      </c>
      <c r="AM775" s="155"/>
      <c r="AN775" s="19">
        <f t="shared" si="245"/>
        <v>1861</v>
      </c>
      <c r="AO775" s="118">
        <f>SUMIF('MPG Payment '!E:E,'Shayak Income '!D775,'MPG Payment '!AJ:AJ)</f>
        <v>0</v>
      </c>
      <c r="AP775" s="19">
        <f t="shared" si="246"/>
        <v>541</v>
      </c>
      <c r="AQ775" s="119">
        <f t="shared" si="258"/>
        <v>541</v>
      </c>
      <c r="AR775" s="91" t="s">
        <v>1144</v>
      </c>
      <c r="AS775" s="91">
        <f t="shared" si="248"/>
        <v>6400</v>
      </c>
      <c r="AT775" s="118"/>
      <c r="AU775" s="118"/>
      <c r="AV775" s="118"/>
    </row>
    <row r="776" spans="1:48" s="20" customFormat="1" x14ac:dyDescent="0.25">
      <c r="A776" s="17">
        <f>IFERROR(VLOOKUP(D776,'Monthly Deduction'!$I$3:$J$957,2,0),0)</f>
        <v>61187.030706783116</v>
      </c>
      <c r="B776" s="17">
        <f>IFERROR(VLOOKUP(D776,'Monthly Deduction'!$E$3:$F$957,2,0),0)</f>
        <v>6400</v>
      </c>
      <c r="C776" s="17">
        <f t="shared" si="249"/>
        <v>67587.030706783116</v>
      </c>
      <c r="D776" s="41">
        <v>10640001</v>
      </c>
      <c r="E776" s="122" t="str">
        <f>VLOOKUP(D776,'MPG Payment '!$E$3:$G$497305,2,0)</f>
        <v xml:space="preserve">DUMRA </v>
      </c>
      <c r="F776" s="146">
        <f>IFERROR(_xlfn.XLOOKUP(D776,'Monthly Deduction'!$I$3:$I$957,'Monthly Deduction'!$H$3:$H$957),0)</f>
        <v>0</v>
      </c>
      <c r="G776" s="123" t="str">
        <f>VLOOKUP(D776,'MPG Payment '!$E$3:$G$333666,3,0)</f>
        <v>MPG</v>
      </c>
      <c r="H776" s="124" t="str">
        <f>VLOOKUP(D776,'MPG Payment '!$E$3:$H$333666,4,0)</f>
        <v>Direct</v>
      </c>
      <c r="I776" s="88">
        <f>INDEX('MPG Payment '!$C:$C,MATCH('Shayak Income '!D776,'MPG Payment '!E:E,0))</f>
        <v>1062</v>
      </c>
      <c r="J776" s="88" t="str">
        <f>INDEX('MPG Payment '!$D:$D,MATCH('Shayak Income '!D776,'MPG Payment '!E:E,0))</f>
        <v>Singhia BMC</v>
      </c>
      <c r="K776" s="125" t="s">
        <v>1594</v>
      </c>
      <c r="L776" s="125">
        <v>46090</v>
      </c>
      <c r="M776" s="126">
        <f>SUMIF('MPG Payment '!$E$3:$E$344841,'Shayak Income '!D776,'MPG Payment '!$I$3:$I$344841)</f>
        <v>4678.6899999999996</v>
      </c>
      <c r="N776" s="126">
        <f>SUMIF('MPG Payment '!$E$3:$E$344841,'Shayak Income '!D776,'MPG Payment '!$J$3:$J$344841)</f>
        <v>192434.57</v>
      </c>
      <c r="O776" s="126">
        <f t="shared" si="250"/>
        <v>3509.0174999999999</v>
      </c>
      <c r="P776" s="126">
        <f t="shared" si="251"/>
        <v>4444.7554999999993</v>
      </c>
      <c r="Q776" s="126">
        <f>SUMIF('MPG Payment '!$E$3:$E$344841,'Shayak Income '!D776,'MPG Payment '!$S$3:$S$344841)</f>
        <v>0</v>
      </c>
      <c r="R776" s="126">
        <f t="shared" si="240"/>
        <v>5773.0370999999996</v>
      </c>
      <c r="S776" s="126">
        <f t="shared" si="241"/>
        <v>1328.2816000000003</v>
      </c>
      <c r="T776" s="126">
        <f t="shared" si="252"/>
        <v>467.86899999999997</v>
      </c>
      <c r="U776" s="127">
        <f>((((((IF(K776="New",0,SUMIF('MPG Payment '!$E$3:$E$344841,'Shayak Income '!D776,'MPG Payment '!$AC$3:$AC$344841))))+0)+0)+0)+0)+0</f>
        <v>0</v>
      </c>
      <c r="V776" s="127">
        <f t="shared" si="253"/>
        <v>7486</v>
      </c>
      <c r="W776" s="19">
        <f t="shared" si="254"/>
        <v>3848.6914000000002</v>
      </c>
      <c r="X776" s="19">
        <v>0</v>
      </c>
      <c r="Y776" s="128">
        <f>IFERROR(VLOOKUP(D776,'Monthly Deduction'!$M$2:$N$640,2,0),0)</f>
        <v>0</v>
      </c>
      <c r="Z776" s="128">
        <v>0</v>
      </c>
      <c r="AA776" s="126">
        <f>IFERROR(VLOOKUP(D776,'Monthly Deduction'!A:B,2,0),0)</f>
        <v>0</v>
      </c>
      <c r="AB776" s="129">
        <f t="shared" si="242"/>
        <v>3637</v>
      </c>
      <c r="AC776" s="130">
        <v>0</v>
      </c>
      <c r="AD776" s="35">
        <f t="shared" si="255"/>
        <v>3637</v>
      </c>
      <c r="AE776" s="166" t="str">
        <f t="shared" si="256"/>
        <v>Release</v>
      </c>
      <c r="AF776" s="127"/>
      <c r="AG776" s="18">
        <v>0</v>
      </c>
      <c r="AH776" s="120"/>
      <c r="AI776" s="238">
        <v>0</v>
      </c>
      <c r="AJ776" s="132"/>
      <c r="AK776" s="151">
        <v>1187.4499999999998</v>
      </c>
      <c r="AL776" s="154">
        <f t="shared" si="257"/>
        <v>0</v>
      </c>
      <c r="AM776" s="155"/>
      <c r="AN776" s="19">
        <f t="shared" si="245"/>
        <v>3848.6914000000002</v>
      </c>
      <c r="AO776" s="118">
        <f>SUMIF('MPG Payment '!E:E,'Shayak Income '!D776,'MPG Payment '!AJ:AJ)</f>
        <v>0</v>
      </c>
      <c r="AP776" s="19">
        <f t="shared" si="246"/>
        <v>3848.6914000000002</v>
      </c>
      <c r="AQ776" s="119">
        <f t="shared" si="258"/>
        <v>3848.6914000000002</v>
      </c>
      <c r="AR776" s="91" t="s">
        <v>1144</v>
      </c>
      <c r="AS776" s="91">
        <f t="shared" si="248"/>
        <v>6400</v>
      </c>
      <c r="AT776" s="118"/>
      <c r="AU776" s="118"/>
      <c r="AV776" s="118"/>
    </row>
    <row r="777" spans="1:48" s="20" customFormat="1" x14ac:dyDescent="0.25">
      <c r="A777" s="17">
        <f>IFERROR(VLOOKUP(D777,'Monthly Deduction'!$I$3:$J$957,2,0),0)</f>
        <v>59994.321628631398</v>
      </c>
      <c r="B777" s="17">
        <f>IFERROR(VLOOKUP(D777,'Monthly Deduction'!$E$3:$F$957,2,0),0)</f>
        <v>6400</v>
      </c>
      <c r="C777" s="17">
        <f t="shared" si="249"/>
        <v>66394.321628631398</v>
      </c>
      <c r="D777" s="41">
        <v>10640003</v>
      </c>
      <c r="E777" s="122" t="str">
        <f>VLOOKUP(D777,'MPG Payment '!$E$3:$G$497305,2,0)</f>
        <v>BALHA</v>
      </c>
      <c r="F777" s="146">
        <f>IFERROR(_xlfn.XLOOKUP(D777,'Monthly Deduction'!$I$3:$I$957,'Monthly Deduction'!$H$3:$H$957),0)</f>
        <v>0</v>
      </c>
      <c r="G777" s="123" t="str">
        <f>VLOOKUP(D777,'MPG Payment '!$E$3:$G$333666,3,0)</f>
        <v>MPG</v>
      </c>
      <c r="H777" s="124" t="str">
        <f>VLOOKUP(D777,'MPG Payment '!$E$3:$H$333666,4,0)</f>
        <v>Direct</v>
      </c>
      <c r="I777" s="88">
        <f>INDEX('MPG Payment '!$C:$C,MATCH('Shayak Income '!D777,'MPG Payment '!E:E,0))</f>
        <v>1062</v>
      </c>
      <c r="J777" s="88" t="str">
        <f>INDEX('MPG Payment '!$D:$D,MATCH('Shayak Income '!D777,'MPG Payment '!E:E,0))</f>
        <v>Singhia BMC</v>
      </c>
      <c r="K777" s="125" t="s">
        <v>1594</v>
      </c>
      <c r="L777" s="125">
        <v>46090</v>
      </c>
      <c r="M777" s="126">
        <f>SUMIF('MPG Payment '!$E$3:$E$344841,'Shayak Income '!D777,'MPG Payment '!$I$3:$I$344841)</f>
        <v>7327.26</v>
      </c>
      <c r="N777" s="126">
        <f>SUMIF('MPG Payment '!$E$3:$E$344841,'Shayak Income '!D777,'MPG Payment '!$J$3:$J$344841)</f>
        <v>326384.87</v>
      </c>
      <c r="O777" s="126">
        <f t="shared" si="250"/>
        <v>5495.4449999999997</v>
      </c>
      <c r="P777" s="126">
        <f t="shared" si="251"/>
        <v>6960.8969999999999</v>
      </c>
      <c r="Q777" s="126">
        <f>SUMIF('MPG Payment '!$E$3:$E$344841,'Shayak Income '!D777,'MPG Payment '!$S$3:$S$344841)</f>
        <v>2926.41</v>
      </c>
      <c r="R777" s="126">
        <f t="shared" si="240"/>
        <v>9791.5460999999996</v>
      </c>
      <c r="S777" s="126">
        <f t="shared" si="241"/>
        <v>2830.6490999999996</v>
      </c>
      <c r="T777" s="126">
        <f t="shared" si="252"/>
        <v>732.72600000000011</v>
      </c>
      <c r="U777" s="127">
        <f>((((((IF(K777="New",0,SUMIF('MPG Payment '!$E$3:$E$344841,'Shayak Income '!D777,'MPG Payment '!$AC$3:$AC$344841))))+0)+0)+0)+0)+0</f>
        <v>0</v>
      </c>
      <c r="V777" s="127">
        <f t="shared" si="253"/>
        <v>14650</v>
      </c>
      <c r="W777" s="19">
        <f t="shared" si="254"/>
        <v>6527.6974</v>
      </c>
      <c r="X777" s="19">
        <v>0</v>
      </c>
      <c r="Y777" s="128">
        <f>IFERROR(VLOOKUP(D777,'Monthly Deduction'!$M$2:$N$640,2,0),0)</f>
        <v>0</v>
      </c>
      <c r="Z777" s="128">
        <v>0</v>
      </c>
      <c r="AA777" s="126">
        <f>IFERROR(VLOOKUP(D777,'Monthly Deduction'!A:B,2,0),0)</f>
        <v>0</v>
      </c>
      <c r="AB777" s="129">
        <f t="shared" si="242"/>
        <v>8122</v>
      </c>
      <c r="AC777" s="130">
        <v>0</v>
      </c>
      <c r="AD777" s="35">
        <f t="shared" si="255"/>
        <v>8122</v>
      </c>
      <c r="AE777" s="166" t="str">
        <f t="shared" si="256"/>
        <v>Release</v>
      </c>
      <c r="AF777" s="127"/>
      <c r="AG777" s="18">
        <v>0</v>
      </c>
      <c r="AH777" s="132"/>
      <c r="AI777" s="238">
        <v>0</v>
      </c>
      <c r="AJ777" s="132"/>
      <c r="AK777" s="151">
        <v>2331.19</v>
      </c>
      <c r="AL777" s="154">
        <f t="shared" si="257"/>
        <v>0</v>
      </c>
      <c r="AM777" s="155"/>
      <c r="AN777" s="19">
        <f t="shared" si="245"/>
        <v>6527.6974</v>
      </c>
      <c r="AO777" s="118">
        <f>SUMIF('MPG Payment '!E:E,'Shayak Income '!D777,'MPG Payment '!AJ:AJ)</f>
        <v>0</v>
      </c>
      <c r="AP777" s="19">
        <f t="shared" si="246"/>
        <v>6527.6974</v>
      </c>
      <c r="AQ777" s="119">
        <f t="shared" si="258"/>
        <v>6527.6974</v>
      </c>
      <c r="AR777" s="91" t="s">
        <v>1144</v>
      </c>
      <c r="AS777" s="91">
        <f t="shared" si="248"/>
        <v>6400</v>
      </c>
      <c r="AT777" s="118"/>
      <c r="AU777" s="118"/>
      <c r="AV777" s="118"/>
    </row>
    <row r="778" spans="1:48" s="20" customFormat="1" x14ac:dyDescent="0.25">
      <c r="A778" s="17">
        <f>IFERROR(VLOOKUP(D778,'Monthly Deduction'!$I$3:$J$957,2,0),0)</f>
        <v>80000</v>
      </c>
      <c r="B778" s="17">
        <f>IFERROR(VLOOKUP(D778,'Monthly Deduction'!$E$3:$F$957,2,0),0)</f>
        <v>6400</v>
      </c>
      <c r="C778" s="17">
        <f t="shared" si="249"/>
        <v>86400</v>
      </c>
      <c r="D778" s="41">
        <v>10640005</v>
      </c>
      <c r="E778" s="122" t="str">
        <f>VLOOKUP(D778,'MPG Payment '!$E$3:$G$497305,2,0)</f>
        <v>BARA</v>
      </c>
      <c r="F778" s="146">
        <f>IFERROR(_xlfn.XLOOKUP(D778,'Monthly Deduction'!$I$3:$I$957,'Monthly Deduction'!$H$3:$H$957),0)</f>
        <v>0</v>
      </c>
      <c r="G778" s="123" t="str">
        <f>VLOOKUP(D778,'MPG Payment '!$E$3:$G$333666,3,0)</f>
        <v>MPG</v>
      </c>
      <c r="H778" s="124" t="str">
        <f>VLOOKUP(D778,'MPG Payment '!$E$3:$H$333666,4,0)</f>
        <v>Direct</v>
      </c>
      <c r="I778" s="88">
        <f>INDEX('MPG Payment '!$C:$C,MATCH('Shayak Income '!D778,'MPG Payment '!E:E,0))</f>
        <v>1062</v>
      </c>
      <c r="J778" s="88" t="str">
        <f>INDEX('MPG Payment '!$D:$D,MATCH('Shayak Income '!D778,'MPG Payment '!E:E,0))</f>
        <v>Singhia BMC</v>
      </c>
      <c r="K778" s="125" t="s">
        <v>1594</v>
      </c>
      <c r="L778" s="125">
        <v>46090</v>
      </c>
      <c r="M778" s="126">
        <f>SUMIF('MPG Payment '!$E$3:$E$344841,'Shayak Income '!D778,'MPG Payment '!$I$3:$I$344841)</f>
        <v>673.71</v>
      </c>
      <c r="N778" s="126">
        <f>SUMIF('MPG Payment '!$E$3:$E$344841,'Shayak Income '!D778,'MPG Payment '!$J$3:$J$344841)</f>
        <v>27740.980000000003</v>
      </c>
      <c r="O778" s="126">
        <f t="shared" si="250"/>
        <v>505.28250000000003</v>
      </c>
      <c r="P778" s="126">
        <f t="shared" si="251"/>
        <v>640.02449999999999</v>
      </c>
      <c r="Q778" s="126">
        <f>SUMIF('MPG Payment '!$E$3:$E$344841,'Shayak Income '!D778,'MPG Payment '!$S$3:$S$344841)</f>
        <v>220.4</v>
      </c>
      <c r="R778" s="126">
        <f t="shared" si="240"/>
        <v>832.22940000000006</v>
      </c>
      <c r="S778" s="126">
        <f t="shared" si="241"/>
        <v>192.20490000000007</v>
      </c>
      <c r="T778" s="126">
        <f t="shared" si="252"/>
        <v>67.371000000000009</v>
      </c>
      <c r="U778" s="127">
        <f>((((((IF(K778="New",0,SUMIF('MPG Payment '!$E$3:$E$344841,'Shayak Income '!D778,'MPG Payment '!$AC$3:$AC$344841))))+0)+0)+0)+0)+-468</f>
        <v>1298.1868654257448</v>
      </c>
      <c r="V778" s="127">
        <f t="shared" si="253"/>
        <v>0</v>
      </c>
      <c r="W778" s="19">
        <v>0</v>
      </c>
      <c r="X778" s="19">
        <v>0</v>
      </c>
      <c r="Y778" s="128">
        <v>0</v>
      </c>
      <c r="Z778" s="128">
        <v>0</v>
      </c>
      <c r="AA778" s="126">
        <v>0</v>
      </c>
      <c r="AB778" s="129">
        <f t="shared" si="242"/>
        <v>0</v>
      </c>
      <c r="AC778" s="130">
        <f t="shared" ref="AC778:AC779" si="260">AB778</f>
        <v>0</v>
      </c>
      <c r="AD778" s="35">
        <f t="shared" si="255"/>
        <v>0</v>
      </c>
      <c r="AE778" s="166" t="str">
        <f t="shared" si="256"/>
        <v>Release</v>
      </c>
      <c r="AF778" s="127"/>
      <c r="AG778" s="18">
        <v>0</v>
      </c>
      <c r="AH778" s="120" t="s">
        <v>1686</v>
      </c>
      <c r="AI778" s="238">
        <v>15000</v>
      </c>
      <c r="AJ778" s="132"/>
      <c r="AK778" s="151">
        <v>254.65</v>
      </c>
      <c r="AL778" s="154">
        <f t="shared" si="257"/>
        <v>0</v>
      </c>
      <c r="AM778" s="155"/>
      <c r="AN778" s="19">
        <f t="shared" si="245"/>
        <v>1861</v>
      </c>
      <c r="AO778" s="118">
        <f>SUMIF('MPG Payment '!E:E,'Shayak Income '!D778,'MPG Payment '!AJ:AJ)</f>
        <v>0</v>
      </c>
      <c r="AP778" s="19">
        <f t="shared" si="246"/>
        <v>0</v>
      </c>
      <c r="AQ778" s="119">
        <f t="shared" si="258"/>
        <v>0</v>
      </c>
      <c r="AR778" s="91" t="s">
        <v>1144</v>
      </c>
      <c r="AS778" s="91">
        <f t="shared" si="248"/>
        <v>6400</v>
      </c>
      <c r="AT778" s="118"/>
      <c r="AU778" s="118"/>
      <c r="AV778" s="118"/>
    </row>
    <row r="779" spans="1:48" s="20" customFormat="1" x14ac:dyDescent="0.25">
      <c r="A779" s="17">
        <f>IFERROR(VLOOKUP(D779,'Monthly Deduction'!$I$3:$J$957,2,0),0)</f>
        <v>79362</v>
      </c>
      <c r="B779" s="17">
        <f>IFERROR(VLOOKUP(D779,'Monthly Deduction'!$E$3:$F$957,2,0),0)</f>
        <v>6400</v>
      </c>
      <c r="C779" s="17">
        <f t="shared" si="249"/>
        <v>85762</v>
      </c>
      <c r="D779" s="41">
        <v>10640006</v>
      </c>
      <c r="E779" s="122" t="str">
        <f>VLOOKUP(D779,'MPG Payment '!$E$3:$G$497305,2,0)</f>
        <v>KABILASHI</v>
      </c>
      <c r="F779" s="146">
        <f>IFERROR(_xlfn.XLOOKUP(D779,'Monthly Deduction'!$I$3:$I$957,'Monthly Deduction'!$H$3:$H$957),0)</f>
        <v>0</v>
      </c>
      <c r="G779" s="123" t="str">
        <f>VLOOKUP(D779,'MPG Payment '!$E$3:$G$333666,3,0)</f>
        <v>MPG</v>
      </c>
      <c r="H779" s="124" t="str">
        <f>VLOOKUP(D779,'MPG Payment '!$E$3:$H$333666,4,0)</f>
        <v>Direct</v>
      </c>
      <c r="I779" s="88">
        <f>INDEX('MPG Payment '!$C:$C,MATCH('Shayak Income '!D779,'MPG Payment '!E:E,0))</f>
        <v>1062</v>
      </c>
      <c r="J779" s="88" t="str">
        <f>INDEX('MPG Payment '!$D:$D,MATCH('Shayak Income '!D779,'MPG Payment '!E:E,0))</f>
        <v>Singhia BMC</v>
      </c>
      <c r="K779" s="125" t="s">
        <v>1594</v>
      </c>
      <c r="L779" s="125">
        <v>46090</v>
      </c>
      <c r="M779" s="126">
        <f>SUMIF('MPG Payment '!$E$3:$E$344841,'Shayak Income '!D779,'MPG Payment '!$I$3:$I$344841)</f>
        <v>1254.47</v>
      </c>
      <c r="N779" s="126">
        <f>SUMIF('MPG Payment '!$E$3:$E$344841,'Shayak Income '!D779,'MPG Payment '!$J$3:$J$344841)</f>
        <v>61950.67</v>
      </c>
      <c r="O779" s="126">
        <f t="shared" si="250"/>
        <v>940.85249999999996</v>
      </c>
      <c r="P779" s="126">
        <f t="shared" si="251"/>
        <v>1191.7465</v>
      </c>
      <c r="Q779" s="126">
        <f>SUMIF('MPG Payment '!$E$3:$E$344841,'Shayak Income '!D779,'MPG Payment '!$S$3:$S$344841)</f>
        <v>1482.33</v>
      </c>
      <c r="R779" s="126">
        <f t="shared" si="240"/>
        <v>1858.5201</v>
      </c>
      <c r="S779" s="126">
        <f t="shared" si="241"/>
        <v>666.77359999999999</v>
      </c>
      <c r="T779" s="126">
        <f t="shared" si="252"/>
        <v>125.447</v>
      </c>
      <c r="U779" s="127">
        <f>((((((IF(K779="New",0,SUMIF('MPG Payment '!$E$3:$E$344841,'Shayak Income '!D779,'MPG Payment '!$AC$3:$AC$344841))))+0)+0)+0)+0)+0</f>
        <v>1549.7197244120789</v>
      </c>
      <c r="V779" s="127">
        <f t="shared" si="253"/>
        <v>1940</v>
      </c>
      <c r="W779" s="19">
        <f t="shared" si="254"/>
        <v>1861</v>
      </c>
      <c r="X779" s="19">
        <v>0</v>
      </c>
      <c r="Y779" s="128">
        <f>IFERROR(VLOOKUP(D779,'Monthly Deduction'!$M$2:$N$640,2,0),0)</f>
        <v>0</v>
      </c>
      <c r="Z779" s="128">
        <v>0</v>
      </c>
      <c r="AA779" s="126">
        <f>IFERROR(VLOOKUP(D779,'Monthly Deduction'!A:B,2,0),0)</f>
        <v>0</v>
      </c>
      <c r="AB779" s="129">
        <f t="shared" si="242"/>
        <v>79</v>
      </c>
      <c r="AC779" s="130">
        <f t="shared" si="260"/>
        <v>79</v>
      </c>
      <c r="AD779" s="35">
        <f t="shared" si="255"/>
        <v>0</v>
      </c>
      <c r="AE779" s="166" t="str">
        <f t="shared" si="256"/>
        <v>Yes</v>
      </c>
      <c r="AF779" s="127"/>
      <c r="AG779" s="18">
        <v>0</v>
      </c>
      <c r="AH779" s="120" t="s">
        <v>1686</v>
      </c>
      <c r="AI779" s="238">
        <v>15000</v>
      </c>
      <c r="AJ779" s="132"/>
      <c r="AK779" s="151">
        <v>470.71999999999997</v>
      </c>
      <c r="AL779" s="154">
        <f t="shared" si="257"/>
        <v>0</v>
      </c>
      <c r="AM779" s="155"/>
      <c r="AN779" s="19">
        <f t="shared" si="245"/>
        <v>1861</v>
      </c>
      <c r="AO779" s="118">
        <f>SUMIF('MPG Payment '!E:E,'Shayak Income '!D779,'MPG Payment '!AJ:AJ)</f>
        <v>0</v>
      </c>
      <c r="AP779" s="19">
        <f t="shared" si="246"/>
        <v>1861</v>
      </c>
      <c r="AQ779" s="119">
        <f t="shared" si="258"/>
        <v>1861</v>
      </c>
      <c r="AR779" s="91" t="s">
        <v>1144</v>
      </c>
      <c r="AS779" s="91">
        <f t="shared" si="248"/>
        <v>6400</v>
      </c>
      <c r="AT779" s="118"/>
      <c r="AU779" s="118"/>
      <c r="AV779" s="118"/>
    </row>
    <row r="780" spans="1:48" s="20" customFormat="1" x14ac:dyDescent="0.25">
      <c r="A780" s="17">
        <f>IFERROR(VLOOKUP(D780,'Monthly Deduction'!$I$3:$J$957,2,0),0)</f>
        <v>0</v>
      </c>
      <c r="B780" s="17">
        <f>IFERROR(VLOOKUP(D780,'Monthly Deduction'!$E$3:$F$957,2,0),0)</f>
        <v>0</v>
      </c>
      <c r="C780" s="17">
        <f t="shared" si="249"/>
        <v>0</v>
      </c>
      <c r="D780" s="41">
        <v>10640007</v>
      </c>
      <c r="E780" s="122" t="str">
        <f>VLOOKUP(D780,'MPG Payment '!$E$3:$G$497305,2,0)</f>
        <v>SULTANPUR</v>
      </c>
      <c r="F780" s="146">
        <f>IFERROR(_xlfn.XLOOKUP(D780,'Monthly Deduction'!$I$3:$I$957,'Monthly Deduction'!$H$3:$H$957),0)</f>
        <v>0</v>
      </c>
      <c r="G780" s="123" t="str">
        <f>VLOOKUP(D780,'MPG Payment '!$E$3:$G$333666,3,0)</f>
        <v>vlc</v>
      </c>
      <c r="H780" s="124" t="str">
        <f>VLOOKUP(D780,'MPG Payment '!$E$3:$H$333666,4,0)</f>
        <v>Indirect</v>
      </c>
      <c r="I780" s="88">
        <f>INDEX('MPG Payment '!$C:$C,MATCH('Shayak Income '!D780,'MPG Payment '!E:E,0))</f>
        <v>1062</v>
      </c>
      <c r="J780" s="88" t="str">
        <f>INDEX('MPG Payment '!$D:$D,MATCH('Shayak Income '!D780,'MPG Payment '!E:E,0))</f>
        <v>Singhia BMC</v>
      </c>
      <c r="K780" s="125" t="s">
        <v>1594</v>
      </c>
      <c r="L780" s="125">
        <v>46092</v>
      </c>
      <c r="M780" s="126">
        <f>SUMIF('MPG Payment '!$E$3:$E$344841,'Shayak Income '!D780,'MPG Payment '!$I$3:$I$344841)</f>
        <v>531.27</v>
      </c>
      <c r="N780" s="126">
        <f>SUMIF('MPG Payment '!$E$3:$E$344841,'Shayak Income '!D780,'MPG Payment '!$J$3:$J$344841)</f>
        <v>24328.010000000002</v>
      </c>
      <c r="O780" s="126">
        <f t="shared" si="250"/>
        <v>398.45249999999999</v>
      </c>
      <c r="P780" s="126">
        <f t="shared" si="251"/>
        <v>504.70649999999995</v>
      </c>
      <c r="Q780" s="126">
        <f>SUMIF('MPG Payment '!$E$3:$E$344841,'Shayak Income '!D780,'MPG Payment '!$S$3:$S$344841)</f>
        <v>0</v>
      </c>
      <c r="R780" s="126">
        <f t="shared" si="240"/>
        <v>729.84030000000007</v>
      </c>
      <c r="S780" s="126">
        <f t="shared" si="241"/>
        <v>225.13380000000012</v>
      </c>
      <c r="T780" s="126">
        <f t="shared" si="252"/>
        <v>53.127000000000002</v>
      </c>
      <c r="U780" s="127">
        <f>((((((IF(K780="New",0,SUMIF('MPG Payment '!$E$3:$E$344841,'Shayak Income '!D780,'MPG Payment '!$AC$3:$AC$344841))))+0)+0)+0)+0)+-1214</f>
        <v>850.342628211793</v>
      </c>
      <c r="V780" s="127">
        <f t="shared" si="253"/>
        <v>0</v>
      </c>
      <c r="W780" s="19">
        <v>0</v>
      </c>
      <c r="X780" s="19">
        <v>0</v>
      </c>
      <c r="Y780" s="128">
        <v>0</v>
      </c>
      <c r="Z780" s="128">
        <v>0</v>
      </c>
      <c r="AA780" s="126">
        <v>0</v>
      </c>
      <c r="AB780" s="129">
        <f t="shared" si="242"/>
        <v>0</v>
      </c>
      <c r="AC780" s="130">
        <v>0</v>
      </c>
      <c r="AD780" s="35">
        <f t="shared" si="255"/>
        <v>0</v>
      </c>
      <c r="AE780" s="166" t="str">
        <f t="shared" si="256"/>
        <v>Release</v>
      </c>
      <c r="AF780" s="127"/>
      <c r="AG780" s="18">
        <v>0</v>
      </c>
      <c r="AH780" s="120"/>
      <c r="AI780" s="238">
        <v>0</v>
      </c>
      <c r="AJ780" s="132"/>
      <c r="AK780" s="151">
        <v>84.72</v>
      </c>
      <c r="AL780" s="154">
        <f t="shared" si="257"/>
        <v>0</v>
      </c>
      <c r="AM780" s="155"/>
      <c r="AN780" s="19">
        <f t="shared" si="245"/>
        <v>0</v>
      </c>
      <c r="AO780" s="118">
        <f>SUMIF('MPG Payment '!E:E,'Shayak Income '!D780,'MPG Payment '!AJ:AJ)</f>
        <v>0</v>
      </c>
      <c r="AP780" s="19">
        <f t="shared" si="246"/>
        <v>0</v>
      </c>
      <c r="AQ780" s="119">
        <f t="shared" si="258"/>
        <v>0</v>
      </c>
      <c r="AR780" s="91" t="s">
        <v>1144</v>
      </c>
      <c r="AS780" s="91">
        <f t="shared" si="248"/>
        <v>0</v>
      </c>
      <c r="AT780" s="118"/>
      <c r="AU780" s="118"/>
      <c r="AV780" s="118"/>
    </row>
    <row r="781" spans="1:48" s="20" customFormat="1" x14ac:dyDescent="0.25">
      <c r="A781" s="17">
        <f>IFERROR(VLOOKUP(D781,'Monthly Deduction'!$I$3:$J$957,2,0),0)</f>
        <v>0</v>
      </c>
      <c r="B781" s="17">
        <f>IFERROR(VLOOKUP(D781,'Monthly Deduction'!$E$3:$F$957,2,0),0)</f>
        <v>0</v>
      </c>
      <c r="C781" s="17">
        <f t="shared" si="249"/>
        <v>0</v>
      </c>
      <c r="D781" s="41">
        <v>10060061</v>
      </c>
      <c r="E781" s="122" t="str">
        <f>VLOOKUP(D781,'MPG Payment '!$E$3:$G$497305,2,0)</f>
        <v xml:space="preserve">Manish Kumar                                                                                        </v>
      </c>
      <c r="F781" s="146">
        <f>IFERROR(_xlfn.XLOOKUP(D781,'Monthly Deduction'!$I$3:$I$957,'Monthly Deduction'!$H$3:$H$957),0)</f>
        <v>0</v>
      </c>
      <c r="G781" s="123" t="str">
        <f>VLOOKUP(D781,'MPG Payment '!$E$3:$G$333666,3,0)</f>
        <v>vlc</v>
      </c>
      <c r="H781" s="124" t="str">
        <f>VLOOKUP(D781,'MPG Payment '!$E$3:$H$333666,4,0)</f>
        <v>Indirect</v>
      </c>
      <c r="I781" s="88">
        <f>INDEX('MPG Payment '!$C:$C,MATCH('Shayak Income '!D781,'MPG Payment '!E:E,0))</f>
        <v>1006</v>
      </c>
      <c r="J781" s="88" t="str">
        <f>INDEX('MPG Payment '!$D:$D,MATCH('Shayak Income '!D781,'MPG Payment '!E:E,0))</f>
        <v>Sonvarsha</v>
      </c>
      <c r="K781" s="125" t="s">
        <v>1594</v>
      </c>
      <c r="L781" s="125">
        <v>45205</v>
      </c>
      <c r="M781" s="126">
        <f>SUMIF('MPG Payment '!$E$3:$E$344841,'Shayak Income '!D781,'MPG Payment '!$I$3:$I$344841)</f>
        <v>565.5</v>
      </c>
      <c r="N781" s="126">
        <f>SUMIF('MPG Payment '!$E$3:$E$344841,'Shayak Income '!D781,'MPG Payment '!$J$3:$J$344841)</f>
        <v>21481.52</v>
      </c>
      <c r="O781" s="126">
        <f t="shared" si="250"/>
        <v>424.125</v>
      </c>
      <c r="P781" s="126">
        <f t="shared" si="251"/>
        <v>537.22500000000002</v>
      </c>
      <c r="Q781" s="126">
        <f>SUMIF('MPG Payment '!$E$3:$E$344841,'Shayak Income '!D781,'MPG Payment '!$S$3:$S$344841)</f>
        <v>0</v>
      </c>
      <c r="R781" s="126">
        <f t="shared" si="240"/>
        <v>644.44560000000001</v>
      </c>
      <c r="S781" s="126">
        <f t="shared" si="241"/>
        <v>107.22059999999999</v>
      </c>
      <c r="T781" s="126">
        <f t="shared" si="252"/>
        <v>56.550000000000004</v>
      </c>
      <c r="U781" s="127">
        <f>((((((IF(K781="New",0,SUMIF('MPG Payment '!$E$3:$E$344841,'Shayak Income '!D781,'MPG Payment '!$AC$3:$AC$344841))))+0)+0)+0)+0)+-793</f>
        <v>904.54875203653637</v>
      </c>
      <c r="V781" s="127">
        <f t="shared" si="253"/>
        <v>0</v>
      </c>
      <c r="W781" s="19">
        <v>0</v>
      </c>
      <c r="X781" s="19">
        <v>0</v>
      </c>
      <c r="Y781" s="128">
        <v>0</v>
      </c>
      <c r="Z781" s="128">
        <v>0</v>
      </c>
      <c r="AA781" s="126">
        <v>0</v>
      </c>
      <c r="AB781" s="129">
        <f t="shared" si="242"/>
        <v>0</v>
      </c>
      <c r="AC781" s="130">
        <v>0</v>
      </c>
      <c r="AD781" s="35">
        <f t="shared" si="255"/>
        <v>0</v>
      </c>
      <c r="AE781" s="166" t="str">
        <f t="shared" si="256"/>
        <v>Release</v>
      </c>
      <c r="AF781" s="127"/>
      <c r="AG781" s="18">
        <v>0</v>
      </c>
      <c r="AH781" s="132"/>
      <c r="AI781" s="238">
        <v>0</v>
      </c>
      <c r="AJ781" s="132"/>
      <c r="AK781" s="151">
        <v>55.2</v>
      </c>
      <c r="AL781" s="154">
        <f t="shared" si="257"/>
        <v>0</v>
      </c>
      <c r="AM781" s="155"/>
      <c r="AN781" s="19">
        <f t="shared" si="245"/>
        <v>0</v>
      </c>
      <c r="AO781" s="118">
        <f>SUMIF('MPG Payment '!E:E,'Shayak Income '!D781,'MPG Payment '!AJ:AJ)</f>
        <v>0</v>
      </c>
      <c r="AP781" s="19">
        <f t="shared" si="246"/>
        <v>0</v>
      </c>
      <c r="AQ781" s="119">
        <f t="shared" si="258"/>
        <v>0</v>
      </c>
      <c r="AR781" s="91" t="s">
        <v>1144</v>
      </c>
      <c r="AS781" s="91">
        <f t="shared" si="248"/>
        <v>0</v>
      </c>
      <c r="AT781" s="118"/>
      <c r="AU781" s="118"/>
      <c r="AV781" s="118"/>
    </row>
    <row r="782" spans="1:48" s="20" customFormat="1" x14ac:dyDescent="0.25">
      <c r="A782" s="17">
        <f>IFERROR(VLOOKUP(D782,'Monthly Deduction'!$I$3:$J$957,2,0),0)</f>
        <v>0</v>
      </c>
      <c r="B782" s="17">
        <f>IFERROR(VLOOKUP(D782,'Monthly Deduction'!$E$3:$F$957,2,0),0)</f>
        <v>0</v>
      </c>
      <c r="C782" s="17">
        <f t="shared" si="249"/>
        <v>0</v>
      </c>
      <c r="D782" s="41">
        <v>10130101</v>
      </c>
      <c r="E782" s="122" t="str">
        <f>VLOOKUP(D782,'MPG Payment '!$E$3:$G$497305,2,0)</f>
        <v>Gomukh Karhatiya Bujurg</v>
      </c>
      <c r="F782" s="146">
        <f>IFERROR(_xlfn.XLOOKUP(D782,'Monthly Deduction'!$I$3:$I$957,'Monthly Deduction'!$H$3:$H$957),0)</f>
        <v>0</v>
      </c>
      <c r="G782" s="123" t="str">
        <f>VLOOKUP(D782,'MPG Payment '!$E$3:$G$333666,3,0)</f>
        <v>vlc</v>
      </c>
      <c r="H782" s="124" t="str">
        <f>VLOOKUP(D782,'MPG Payment '!$E$3:$H$333666,4,0)</f>
        <v>Indirect</v>
      </c>
      <c r="I782" s="88">
        <f>INDEX('MPG Payment '!$C:$C,MATCH('Shayak Income '!D782,'MPG Payment '!E:E,0))</f>
        <v>1061</v>
      </c>
      <c r="J782" s="88" t="str">
        <f>INDEX('MPG Payment '!$D:$D,MATCH('Shayak Income '!D782,'MPG Payment '!E:E,0))</f>
        <v>Mahua BMC</v>
      </c>
      <c r="K782" s="125" t="s">
        <v>1594</v>
      </c>
      <c r="L782" s="125">
        <v>45788</v>
      </c>
      <c r="M782" s="126">
        <f>SUMIF('MPG Payment '!$E$3:$E$344841,'Shayak Income '!D782,'MPG Payment '!$I$3:$I$344841)</f>
        <v>1770.7000000000003</v>
      </c>
      <c r="N782" s="126">
        <f>SUMIF('MPG Payment '!$E$3:$E$344841,'Shayak Income '!D782,'MPG Payment '!$J$3:$J$344841)</f>
        <v>73524.949999999983</v>
      </c>
      <c r="O782" s="126">
        <f t="shared" si="250"/>
        <v>1328.0250000000001</v>
      </c>
      <c r="P782" s="126">
        <f t="shared" si="251"/>
        <v>1682.1650000000002</v>
      </c>
      <c r="Q782" s="126">
        <f>SUMIF('MPG Payment '!$E$3:$E$344841,'Shayak Income '!D782,'MPG Payment '!$S$3:$S$344841)</f>
        <v>0</v>
      </c>
      <c r="R782" s="126">
        <f t="shared" si="240"/>
        <v>2205.7484999999992</v>
      </c>
      <c r="S782" s="126">
        <f t="shared" si="241"/>
        <v>523.58349999999905</v>
      </c>
      <c r="T782" s="126">
        <f t="shared" si="252"/>
        <v>177.07000000000005</v>
      </c>
      <c r="U782" s="127">
        <f>((((((IF(K782="New",0,SUMIF('MPG Payment '!$E$3:$E$344841,'Shayak Income '!D782,'MPG Payment '!$AC$3:$AC$344841))))+0)+0)+0)+0)+0</f>
        <v>931.91806576055194</v>
      </c>
      <c r="V782" s="127">
        <f t="shared" si="253"/>
        <v>1901</v>
      </c>
      <c r="W782" s="19">
        <f t="shared" si="254"/>
        <v>0</v>
      </c>
      <c r="X782" s="19">
        <f t="shared" ref="X782:X829" si="261">((MIN(IF(B782&gt;0,MAX(N782*2%),0),B782)))+0</f>
        <v>0</v>
      </c>
      <c r="Y782" s="128">
        <f>IFERROR(VLOOKUP(D782,'Monthly Deduction'!$M$2:$N$640,2,0),0)</f>
        <v>0</v>
      </c>
      <c r="Z782" s="128">
        <v>0</v>
      </c>
      <c r="AA782" s="126">
        <f>IFERROR(VLOOKUP(D782,'Monthly Deduction'!A:B,2,0),0)</f>
        <v>0</v>
      </c>
      <c r="AB782" s="129">
        <f t="shared" si="242"/>
        <v>1901</v>
      </c>
      <c r="AC782" s="130">
        <v>0</v>
      </c>
      <c r="AD782" s="35">
        <f t="shared" si="255"/>
        <v>1901</v>
      </c>
      <c r="AE782" s="166" t="str">
        <f t="shared" si="256"/>
        <v>Release</v>
      </c>
      <c r="AF782" s="127"/>
      <c r="AG782" s="18">
        <v>0</v>
      </c>
      <c r="AH782" s="120"/>
      <c r="AI782" s="238">
        <v>0</v>
      </c>
      <c r="AJ782" s="132"/>
      <c r="AK782" s="151">
        <v>789.7</v>
      </c>
      <c r="AL782" s="154">
        <f t="shared" si="257"/>
        <v>0</v>
      </c>
      <c r="AM782" s="155"/>
      <c r="AN782" s="19">
        <f t="shared" si="245"/>
        <v>0</v>
      </c>
      <c r="AO782" s="118">
        <f>SUMIF('MPG Payment '!E:E,'Shayak Income '!D782,'MPG Payment '!AJ:AJ)</f>
        <v>0</v>
      </c>
      <c r="AP782" s="19">
        <f t="shared" si="246"/>
        <v>0</v>
      </c>
      <c r="AQ782" s="119">
        <f t="shared" si="258"/>
        <v>0</v>
      </c>
      <c r="AR782" s="91" t="s">
        <v>1144</v>
      </c>
      <c r="AS782" s="91">
        <f t="shared" si="248"/>
        <v>0</v>
      </c>
      <c r="AT782" s="118"/>
      <c r="AU782" s="118"/>
      <c r="AV782" s="118"/>
    </row>
    <row r="783" spans="1:48" s="20" customFormat="1" x14ac:dyDescent="0.25">
      <c r="A783" s="17">
        <f>IFERROR(VLOOKUP(D783,'Monthly Deduction'!$I$3:$J$957,2,0),0)</f>
        <v>72607.927550408844</v>
      </c>
      <c r="B783" s="17">
        <f>IFERROR(VLOOKUP(D783,'Monthly Deduction'!$E$3:$F$957,2,0),0)</f>
        <v>0</v>
      </c>
      <c r="C783" s="17">
        <f t="shared" si="249"/>
        <v>72607.927550408844</v>
      </c>
      <c r="D783" s="41">
        <v>10560028</v>
      </c>
      <c r="E783" s="122" t="str">
        <f>VLOOKUP(D783,'MPG Payment '!$E$3:$G$497305,2,0)</f>
        <v>Gomukh Uttari Hardia</v>
      </c>
      <c r="F783" s="146">
        <f>IFERROR(_xlfn.XLOOKUP(D783,'Monthly Deduction'!$I$3:$I$957,'Monthly Deduction'!$H$3:$H$957),0)</f>
        <v>0</v>
      </c>
      <c r="G783" s="123" t="str">
        <f>VLOOKUP(D783,'MPG Payment '!$E$3:$G$333666,3,0)</f>
        <v>MPG</v>
      </c>
      <c r="H783" s="124" t="str">
        <f>VLOOKUP(D783,'MPG Payment '!$E$3:$H$333666,4,0)</f>
        <v>Direct</v>
      </c>
      <c r="I783" s="88">
        <f>INDEX('MPG Payment '!$C:$C,MATCH('Shayak Income '!D783,'MPG Payment '!E:E,0))</f>
        <v>1056</v>
      </c>
      <c r="J783" s="88" t="str">
        <f>INDEX('MPG Payment '!$D:$D,MATCH('Shayak Income '!D783,'MPG Payment '!E:E,0))</f>
        <v>Chautham</v>
      </c>
      <c r="K783" s="125" t="s">
        <v>1594</v>
      </c>
      <c r="L783" s="125">
        <v>46095</v>
      </c>
      <c r="M783" s="126">
        <f>SUMIF('MPG Payment '!$E$3:$E$344841,'Shayak Income '!D783,'MPG Payment '!$I$3:$I$344841)</f>
        <v>1291.22</v>
      </c>
      <c r="N783" s="126">
        <f>SUMIF('MPG Payment '!$E$3:$E$344841,'Shayak Income '!D783,'MPG Payment '!$J$3:$J$344841)</f>
        <v>61959.38</v>
      </c>
      <c r="O783" s="126">
        <f t="shared" si="250"/>
        <v>968.41499999999996</v>
      </c>
      <c r="P783" s="126">
        <f t="shared" si="251"/>
        <v>1226.6589999999999</v>
      </c>
      <c r="Q783" s="126">
        <f>SUMIF('MPG Payment '!$E$3:$E$344841,'Shayak Income '!D783,'MPG Payment '!$S$3:$S$344841)</f>
        <v>0</v>
      </c>
      <c r="R783" s="126">
        <f t="shared" si="240"/>
        <v>1858.7813999999998</v>
      </c>
      <c r="S783" s="126">
        <v>0</v>
      </c>
      <c r="T783" s="126">
        <f t="shared" si="252"/>
        <v>129.12200000000001</v>
      </c>
      <c r="U783" s="127">
        <f>((((((IF(K783="New",0,SUMIF('MPG Payment '!$E$3:$E$344841,'Shayak Income '!D783,'MPG Payment '!$AC$3:$AC$344841))))+0)+0)+0)+0)+0</f>
        <v>1449.9686086418965</v>
      </c>
      <c r="V783" s="127">
        <f t="shared" si="253"/>
        <v>616</v>
      </c>
      <c r="W783" s="19">
        <v>616</v>
      </c>
      <c r="X783" s="19">
        <v>0</v>
      </c>
      <c r="Y783" s="128">
        <f>IFERROR(VLOOKUP(D783,'Monthly Deduction'!$M$2:$N$640,2,0),0)</f>
        <v>0</v>
      </c>
      <c r="Z783" s="128">
        <v>0</v>
      </c>
      <c r="AA783" s="126">
        <v>0</v>
      </c>
      <c r="AB783" s="129">
        <f t="shared" si="242"/>
        <v>0</v>
      </c>
      <c r="AC783" s="130">
        <f t="shared" ref="AC783:AC787" si="262">AB783</f>
        <v>0</v>
      </c>
      <c r="AD783" s="35">
        <f t="shared" si="255"/>
        <v>0</v>
      </c>
      <c r="AE783" s="166" t="str">
        <f t="shared" si="256"/>
        <v>Release</v>
      </c>
      <c r="AF783" s="127"/>
      <c r="AG783" s="18">
        <v>0</v>
      </c>
      <c r="AH783" s="120" t="s">
        <v>1686</v>
      </c>
      <c r="AI783" s="238">
        <v>10000</v>
      </c>
      <c r="AJ783" s="132"/>
      <c r="AK783" s="151">
        <v>206.16000000000003</v>
      </c>
      <c r="AL783" s="154">
        <f t="shared" si="257"/>
        <v>0</v>
      </c>
      <c r="AM783" s="155"/>
      <c r="AN783" s="19">
        <f t="shared" si="245"/>
        <v>1861</v>
      </c>
      <c r="AO783" s="118">
        <f>SUMIF('MPG Payment '!E:E,'Shayak Income '!D783,'MPG Payment '!AJ:AJ)</f>
        <v>0</v>
      </c>
      <c r="AP783" s="19">
        <f t="shared" si="246"/>
        <v>616</v>
      </c>
      <c r="AQ783" s="119">
        <f t="shared" si="258"/>
        <v>616</v>
      </c>
      <c r="AR783" s="91" t="s">
        <v>1144</v>
      </c>
      <c r="AS783" s="91">
        <f t="shared" si="248"/>
        <v>0</v>
      </c>
      <c r="AT783" s="118"/>
      <c r="AU783" s="118"/>
      <c r="AV783" s="118"/>
    </row>
    <row r="784" spans="1:48" s="20" customFormat="1" x14ac:dyDescent="0.25">
      <c r="A784" s="17">
        <f>IFERROR(VLOOKUP(D784,'Monthly Deduction'!$I$3:$J$957,2,0),0)</f>
        <v>72609.628519530044</v>
      </c>
      <c r="B784" s="17">
        <f>IFERROR(VLOOKUP(D784,'Monthly Deduction'!$E$3:$F$957,2,0),0)</f>
        <v>0</v>
      </c>
      <c r="C784" s="17">
        <f t="shared" si="249"/>
        <v>72609.628519530044</v>
      </c>
      <c r="D784" s="41">
        <v>10560031</v>
      </c>
      <c r="E784" s="122" t="str">
        <f>VLOOKUP(D784,'MPG Payment '!$E$3:$G$497305,2,0)</f>
        <v>Gomukh Nirpur Keshv Nagar</v>
      </c>
      <c r="F784" s="146">
        <f>IFERROR(_xlfn.XLOOKUP(D784,'Monthly Deduction'!$I$3:$I$957,'Monthly Deduction'!$H$3:$H$957),0)</f>
        <v>0</v>
      </c>
      <c r="G784" s="123" t="str">
        <f>VLOOKUP(D784,'MPG Payment '!$E$3:$G$333666,3,0)</f>
        <v>MPG</v>
      </c>
      <c r="H784" s="124" t="str">
        <f>VLOOKUP(D784,'MPG Payment '!$E$3:$H$333666,4,0)</f>
        <v>Direct</v>
      </c>
      <c r="I784" s="88">
        <f>INDEX('MPG Payment '!$C:$C,MATCH('Shayak Income '!D784,'MPG Payment '!E:E,0))</f>
        <v>1056</v>
      </c>
      <c r="J784" s="88" t="str">
        <f>INDEX('MPG Payment '!$D:$D,MATCH('Shayak Income '!D784,'MPG Payment '!E:E,0))</f>
        <v>Chautham</v>
      </c>
      <c r="K784" s="125" t="s">
        <v>1594</v>
      </c>
      <c r="L784" s="125">
        <v>46097</v>
      </c>
      <c r="M784" s="126">
        <f>SUMIF('MPG Payment '!$E$3:$E$344841,'Shayak Income '!D784,'MPG Payment '!$I$3:$I$344841)</f>
        <v>2243.98</v>
      </c>
      <c r="N784" s="126">
        <f>SUMIF('MPG Payment '!$E$3:$E$344841,'Shayak Income '!D784,'MPG Payment '!$J$3:$J$344841)</f>
        <v>89194.81</v>
      </c>
      <c r="O784" s="126">
        <f t="shared" si="250"/>
        <v>1682.9850000000001</v>
      </c>
      <c r="P784" s="126">
        <f t="shared" si="251"/>
        <v>2131.7809999999999</v>
      </c>
      <c r="Q784" s="126">
        <f>SUMIF('MPG Payment '!$E$3:$E$344841,'Shayak Income '!D784,'MPG Payment '!$S$3:$S$344841)</f>
        <v>0</v>
      </c>
      <c r="R784" s="126">
        <f t="shared" si="240"/>
        <v>2675.8442999999997</v>
      </c>
      <c r="S784" s="126">
        <f t="shared" si="241"/>
        <v>544.0632999999998</v>
      </c>
      <c r="T784" s="126">
        <f t="shared" si="252"/>
        <v>224.39800000000002</v>
      </c>
      <c r="U784" s="127">
        <f>((((((IF(K784="New",0,SUMIF('MPG Payment '!$E$3:$E$344841,'Shayak Income '!D784,'MPG Payment '!$AC$3:$AC$344841))))+0)+0)+0)+0)+0</f>
        <v>442.50831712251176</v>
      </c>
      <c r="V784" s="127">
        <f t="shared" si="253"/>
        <v>3148</v>
      </c>
      <c r="W784" s="19">
        <f t="shared" si="254"/>
        <v>1861</v>
      </c>
      <c r="X784" s="19">
        <v>0</v>
      </c>
      <c r="Y784" s="128">
        <f>IFERROR(VLOOKUP(D784,'Monthly Deduction'!$M$2:$N$640,2,0),0)</f>
        <v>0</v>
      </c>
      <c r="Z784" s="128">
        <v>0</v>
      </c>
      <c r="AA784" s="126">
        <f>IFERROR(VLOOKUP(D784,'Monthly Deduction'!A:B,2,0),0)</f>
        <v>679.32854097868517</v>
      </c>
      <c r="AB784" s="129">
        <f t="shared" si="242"/>
        <v>608</v>
      </c>
      <c r="AC784" s="130">
        <f t="shared" si="262"/>
        <v>608</v>
      </c>
      <c r="AD784" s="35">
        <f t="shared" si="255"/>
        <v>0</v>
      </c>
      <c r="AE784" s="166" t="str">
        <f t="shared" si="256"/>
        <v>Yes</v>
      </c>
      <c r="AF784" s="127"/>
      <c r="AG784" s="18">
        <v>0</v>
      </c>
      <c r="AH784" s="120" t="s">
        <v>1685</v>
      </c>
      <c r="AI784" s="238">
        <v>10000</v>
      </c>
      <c r="AJ784" s="132"/>
      <c r="AK784" s="151">
        <v>487.90000000000003</v>
      </c>
      <c r="AL784" s="154">
        <f t="shared" si="257"/>
        <v>0</v>
      </c>
      <c r="AM784" s="155"/>
      <c r="AN784" s="19">
        <f t="shared" si="245"/>
        <v>1861</v>
      </c>
      <c r="AO784" s="118">
        <f>SUMIF('MPG Payment '!E:E,'Shayak Income '!D784,'MPG Payment '!AJ:AJ)</f>
        <v>0</v>
      </c>
      <c r="AP784" s="19">
        <f t="shared" si="246"/>
        <v>1861</v>
      </c>
      <c r="AQ784" s="119">
        <f t="shared" si="258"/>
        <v>1861</v>
      </c>
      <c r="AR784" s="91" t="s">
        <v>1144</v>
      </c>
      <c r="AS784" s="91">
        <f t="shared" si="248"/>
        <v>0</v>
      </c>
      <c r="AT784" s="118"/>
      <c r="AU784" s="118"/>
      <c r="AV784" s="118"/>
    </row>
    <row r="785" spans="1:48" s="20" customFormat="1" x14ac:dyDescent="0.25">
      <c r="A785" s="17">
        <f>IFERROR(VLOOKUP(D785,'Monthly Deduction'!$I$3:$J$957,2,0),0)</f>
        <v>85000</v>
      </c>
      <c r="B785" s="17">
        <f>IFERROR(VLOOKUP(D785,'Monthly Deduction'!$E$3:$F$957,2,0),0)</f>
        <v>3200</v>
      </c>
      <c r="C785" s="17">
        <f t="shared" si="249"/>
        <v>88200</v>
      </c>
      <c r="D785" s="41">
        <v>10570044</v>
      </c>
      <c r="E785" s="122" t="str">
        <f>VLOOKUP(D785,'MPG Payment '!$E$3:$G$497305,2,0)</f>
        <v>Dagrua</v>
      </c>
      <c r="F785" s="146">
        <f>IFERROR(_xlfn.XLOOKUP(D785,'Monthly Deduction'!$I$3:$I$957,'Monthly Deduction'!$H$3:$H$957),0)</f>
        <v>0</v>
      </c>
      <c r="G785" s="123" t="str">
        <f>VLOOKUP(D785,'MPG Payment '!$E$3:$G$333666,3,0)</f>
        <v>MPG</v>
      </c>
      <c r="H785" s="124" t="str">
        <f>VLOOKUP(D785,'MPG Payment '!$E$3:$H$333666,4,0)</f>
        <v>Direct</v>
      </c>
      <c r="I785" s="88">
        <f>INDEX('MPG Payment '!$C:$C,MATCH('Shayak Income '!D785,'MPG Payment '!E:E,0))</f>
        <v>1057</v>
      </c>
      <c r="J785" s="88" t="str">
        <f>INDEX('MPG Payment '!$D:$D,MATCH('Shayak Income '!D785,'MPG Payment '!E:E,0))</f>
        <v>Warisnagar</v>
      </c>
      <c r="K785" s="125" t="s">
        <v>1594</v>
      </c>
      <c r="L785" s="125">
        <v>46097</v>
      </c>
      <c r="M785" s="126">
        <f>SUMIF('MPG Payment '!$E$3:$E$344841,'Shayak Income '!D785,'MPG Payment '!$I$3:$I$344841)</f>
        <v>543.6</v>
      </c>
      <c r="N785" s="126">
        <f>SUMIF('MPG Payment '!$E$3:$E$344841,'Shayak Income '!D785,'MPG Payment '!$J$3:$J$344841)</f>
        <v>26110.170000000002</v>
      </c>
      <c r="O785" s="126">
        <f t="shared" si="250"/>
        <v>407.70000000000005</v>
      </c>
      <c r="P785" s="126">
        <f t="shared" si="251"/>
        <v>516.41999999999996</v>
      </c>
      <c r="Q785" s="126">
        <f>SUMIF('MPG Payment '!$E$3:$E$344841,'Shayak Income '!D785,'MPG Payment '!$S$3:$S$344841)</f>
        <v>142.19999999999999</v>
      </c>
      <c r="R785" s="126">
        <f t="shared" si="240"/>
        <v>783.30510000000004</v>
      </c>
      <c r="S785" s="126">
        <f t="shared" si="241"/>
        <v>266.88510000000008</v>
      </c>
      <c r="T785" s="126">
        <f t="shared" si="252"/>
        <v>54.360000000000007</v>
      </c>
      <c r="U785" s="127">
        <f>((((((IF(K785="New",0,SUMIF('MPG Payment '!$E$3:$E$344841,'Shayak Income '!D785,'MPG Payment '!$AC$3:$AC$344841))))+0)+0)+0)+0)+-1160</f>
        <v>1011.7971973745607</v>
      </c>
      <c r="V785" s="127">
        <f t="shared" si="253"/>
        <v>0</v>
      </c>
      <c r="W785" s="19">
        <v>0</v>
      </c>
      <c r="X785" s="19">
        <v>0</v>
      </c>
      <c r="Y785" s="128">
        <v>0</v>
      </c>
      <c r="Z785" s="128">
        <v>0</v>
      </c>
      <c r="AA785" s="126">
        <v>0</v>
      </c>
      <c r="AB785" s="129">
        <f t="shared" si="242"/>
        <v>0</v>
      </c>
      <c r="AC785" s="130">
        <f t="shared" si="262"/>
        <v>0</v>
      </c>
      <c r="AD785" s="35">
        <f t="shared" si="255"/>
        <v>0</v>
      </c>
      <c r="AE785" s="166" t="str">
        <f t="shared" si="256"/>
        <v>Release</v>
      </c>
      <c r="AF785" s="127"/>
      <c r="AG785" s="18">
        <v>0</v>
      </c>
      <c r="AH785" s="120" t="s">
        <v>1686</v>
      </c>
      <c r="AI785" s="238">
        <v>20000</v>
      </c>
      <c r="AJ785" s="132"/>
      <c r="AK785" s="151">
        <v>125.90000000000002</v>
      </c>
      <c r="AL785" s="154">
        <f t="shared" si="257"/>
        <v>0</v>
      </c>
      <c r="AM785" s="155"/>
      <c r="AN785" s="19">
        <f t="shared" si="245"/>
        <v>1861</v>
      </c>
      <c r="AO785" s="118">
        <f>SUMIF('MPG Payment '!E:E,'Shayak Income '!D785,'MPG Payment '!AJ:AJ)</f>
        <v>0</v>
      </c>
      <c r="AP785" s="19">
        <f t="shared" si="246"/>
        <v>0</v>
      </c>
      <c r="AQ785" s="119">
        <f t="shared" si="258"/>
        <v>0</v>
      </c>
      <c r="AR785" s="91" t="s">
        <v>1144</v>
      </c>
      <c r="AS785" s="91">
        <f t="shared" si="248"/>
        <v>3200</v>
      </c>
      <c r="AT785" s="118"/>
      <c r="AU785" s="118"/>
      <c r="AV785" s="118"/>
    </row>
    <row r="786" spans="1:48" s="20" customFormat="1" x14ac:dyDescent="0.25">
      <c r="A786" s="17">
        <f>IFERROR(VLOOKUP(D786,'Monthly Deduction'!$I$3:$J$957,2,0),0)</f>
        <v>82874.036313076213</v>
      </c>
      <c r="B786" s="17">
        <f>IFERROR(VLOOKUP(D786,'Monthly Deduction'!$E$3:$F$957,2,0),0)</f>
        <v>0</v>
      </c>
      <c r="C786" s="17">
        <f t="shared" si="249"/>
        <v>82874.036313076213</v>
      </c>
      <c r="D786" s="41">
        <v>10570049</v>
      </c>
      <c r="E786" s="122" t="str">
        <f>VLOOKUP(D786,'MPG Payment '!$E$3:$G$497305,2,0)</f>
        <v>Kussaiya</v>
      </c>
      <c r="F786" s="146">
        <f>IFERROR(_xlfn.XLOOKUP(D786,'Monthly Deduction'!$I$3:$I$957,'Monthly Deduction'!$H$3:$H$957),0)</f>
        <v>0</v>
      </c>
      <c r="G786" s="123" t="str">
        <f>VLOOKUP(D786,'MPG Payment '!$E$3:$G$333666,3,0)</f>
        <v>MPG</v>
      </c>
      <c r="H786" s="124" t="str">
        <f>VLOOKUP(D786,'MPG Payment '!$E$3:$H$333666,4,0)</f>
        <v>Direct</v>
      </c>
      <c r="I786" s="88">
        <f>INDEX('MPG Payment '!$C:$C,MATCH('Shayak Income '!D786,'MPG Payment '!E:E,0))</f>
        <v>1057</v>
      </c>
      <c r="J786" s="88" t="str">
        <f>INDEX('MPG Payment '!$D:$D,MATCH('Shayak Income '!D786,'MPG Payment '!E:E,0))</f>
        <v>Warisnagar</v>
      </c>
      <c r="K786" s="125" t="s">
        <v>1594</v>
      </c>
      <c r="L786" s="125">
        <v>46098</v>
      </c>
      <c r="M786" s="126">
        <f>SUMIF('MPG Payment '!$E$3:$E$344841,'Shayak Income '!D786,'MPG Payment '!$I$3:$I$344841)</f>
        <v>1887.3000000000002</v>
      </c>
      <c r="N786" s="126">
        <f>SUMIF('MPG Payment '!$E$3:$E$344841,'Shayak Income '!D786,'MPG Payment '!$J$3:$J$344841)</f>
        <v>83371.159999999989</v>
      </c>
      <c r="O786" s="126">
        <f t="shared" si="250"/>
        <v>1415.4750000000001</v>
      </c>
      <c r="P786" s="126">
        <f t="shared" si="251"/>
        <v>1792.9350000000002</v>
      </c>
      <c r="Q786" s="126">
        <f>SUMIF('MPG Payment '!$E$3:$E$344841,'Shayak Income '!D786,'MPG Payment '!$S$3:$S$344841)</f>
        <v>67.55</v>
      </c>
      <c r="R786" s="126">
        <f t="shared" si="240"/>
        <v>2501.1347999999994</v>
      </c>
      <c r="S786" s="126">
        <f t="shared" si="241"/>
        <v>708.19979999999919</v>
      </c>
      <c r="T786" s="126">
        <f t="shared" si="252"/>
        <v>188.73000000000002</v>
      </c>
      <c r="U786" s="127">
        <f>((((((IF(K786="New",0,SUMIF('MPG Payment '!$E$3:$E$344841,'Shayak Income '!D786,'MPG Payment '!$AC$3:$AC$344841))))+0)+0)+0)+0)+0</f>
        <v>804.14336786602939</v>
      </c>
      <c r="V786" s="127">
        <f t="shared" si="253"/>
        <v>2283</v>
      </c>
      <c r="W786" s="19">
        <f t="shared" si="254"/>
        <v>1861</v>
      </c>
      <c r="X786" s="19">
        <v>0</v>
      </c>
      <c r="Y786" s="128">
        <f>IFERROR(VLOOKUP(D786,'Monthly Deduction'!$M$2:$N$640,2,0),0)</f>
        <v>0</v>
      </c>
      <c r="Z786" s="128">
        <v>0</v>
      </c>
      <c r="AA786" s="126">
        <f>IFERROR(VLOOKUP(D786,'Monthly Deduction'!A:B,2,0),0)</f>
        <v>0</v>
      </c>
      <c r="AB786" s="129">
        <f t="shared" si="242"/>
        <v>422</v>
      </c>
      <c r="AC786" s="130">
        <f t="shared" si="262"/>
        <v>422</v>
      </c>
      <c r="AD786" s="35">
        <f t="shared" si="255"/>
        <v>0</v>
      </c>
      <c r="AE786" s="166" t="str">
        <f t="shared" si="256"/>
        <v>Yes</v>
      </c>
      <c r="AF786" s="127"/>
      <c r="AG786" s="18">
        <v>0</v>
      </c>
      <c r="AH786" s="120" t="s">
        <v>1685</v>
      </c>
      <c r="AI786" s="238">
        <v>20000</v>
      </c>
      <c r="AJ786" s="132"/>
      <c r="AK786" s="151">
        <v>392.8</v>
      </c>
      <c r="AL786" s="154">
        <f t="shared" si="257"/>
        <v>0</v>
      </c>
      <c r="AM786" s="155"/>
      <c r="AN786" s="19">
        <f t="shared" si="245"/>
        <v>1861</v>
      </c>
      <c r="AO786" s="118">
        <f>SUMIF('MPG Payment '!E:E,'Shayak Income '!D786,'MPG Payment '!AJ:AJ)</f>
        <v>0</v>
      </c>
      <c r="AP786" s="19">
        <f t="shared" si="246"/>
        <v>1861</v>
      </c>
      <c r="AQ786" s="119">
        <f t="shared" si="258"/>
        <v>1861</v>
      </c>
      <c r="AR786" s="91" t="s">
        <v>1144</v>
      </c>
      <c r="AS786" s="91">
        <f t="shared" si="248"/>
        <v>0</v>
      </c>
      <c r="AT786" s="118"/>
      <c r="AU786" s="118"/>
      <c r="AV786" s="118"/>
    </row>
    <row r="787" spans="1:48" s="20" customFormat="1" x14ac:dyDescent="0.25">
      <c r="A787" s="17">
        <f>IFERROR(VLOOKUP(D787,'Monthly Deduction'!$I$3:$J$957,2,0),0)</f>
        <v>73005.898958950595</v>
      </c>
      <c r="B787" s="17">
        <f>IFERROR(VLOOKUP(D787,'Monthly Deduction'!$E$3:$F$957,2,0),0)</f>
        <v>6400</v>
      </c>
      <c r="C787" s="17">
        <f t="shared" si="249"/>
        <v>79405.898958950595</v>
      </c>
      <c r="D787" s="41">
        <v>10600012</v>
      </c>
      <c r="E787" s="122" t="str">
        <f>VLOOKUP(D787,'MPG Payment '!$E$3:$G$497305,2,0)</f>
        <v>Gumukh Khajuriya</v>
      </c>
      <c r="F787" s="146">
        <f>IFERROR(_xlfn.XLOOKUP(D787,'Monthly Deduction'!$I$3:$I$957,'Monthly Deduction'!$H$3:$H$957),0)</f>
        <v>0</v>
      </c>
      <c r="G787" s="123" t="str">
        <f>VLOOKUP(D787,'MPG Payment '!$E$3:$G$333666,3,0)</f>
        <v>MPG</v>
      </c>
      <c r="H787" s="124" t="str">
        <f>VLOOKUP(D787,'MPG Payment '!$E$3:$H$333666,4,0)</f>
        <v>Direct</v>
      </c>
      <c r="I787" s="88">
        <f>INDEX('MPG Payment '!$C:$C,MATCH('Shayak Income '!D787,'MPG Payment '!E:E,0))</f>
        <v>1014</v>
      </c>
      <c r="J787" s="88" t="str">
        <f>INDEX('MPG Payment '!$D:$D,MATCH('Shayak Income '!D787,'MPG Payment '!E:E,0))</f>
        <v>Dumraon</v>
      </c>
      <c r="K787" s="125" t="s">
        <v>1594</v>
      </c>
      <c r="L787" s="125">
        <v>46098</v>
      </c>
      <c r="M787" s="126">
        <f>SUMIF('MPG Payment '!$E$3:$E$344841,'Shayak Income '!D787,'MPG Payment '!$I$3:$I$344841)</f>
        <v>1046</v>
      </c>
      <c r="N787" s="126">
        <f>SUMIF('MPG Payment '!$E$3:$E$344841,'Shayak Income '!D787,'MPG Payment '!$J$3:$J$344841)</f>
        <v>41548.910000000003</v>
      </c>
      <c r="O787" s="126">
        <f t="shared" si="250"/>
        <v>784.5</v>
      </c>
      <c r="P787" s="126">
        <f t="shared" si="251"/>
        <v>993.69999999999993</v>
      </c>
      <c r="Q787" s="126">
        <f>SUMIF('MPG Payment '!$E$3:$E$344841,'Shayak Income '!D787,'MPG Payment '!$S$3:$S$344841)</f>
        <v>0</v>
      </c>
      <c r="R787" s="126">
        <f t="shared" si="240"/>
        <v>1246.4673</v>
      </c>
      <c r="S787" s="126">
        <f t="shared" si="241"/>
        <v>252.76730000000009</v>
      </c>
      <c r="T787" s="126">
        <f t="shared" si="252"/>
        <v>104.60000000000001</v>
      </c>
      <c r="U787" s="127">
        <f>((((((IF(K787="New",0,SUMIF('MPG Payment '!$E$3:$E$344841,'Shayak Income '!D787,'MPG Payment '!$AC$3:$AC$344841))))+0)+0)+0)+0)+0</f>
        <v>1402.621055700766</v>
      </c>
      <c r="V787" s="127">
        <f t="shared" si="253"/>
        <v>271</v>
      </c>
      <c r="W787" s="19">
        <v>271</v>
      </c>
      <c r="X787" s="19">
        <v>0</v>
      </c>
      <c r="Y787" s="128">
        <f>IFERROR(VLOOKUP(D787,'Monthly Deduction'!$M$2:$N$640,2,0),0)</f>
        <v>0</v>
      </c>
      <c r="Z787" s="128">
        <v>0</v>
      </c>
      <c r="AA787" s="126">
        <f>IFERROR(VLOOKUP(D787,'Monthly Deduction'!A:B,2,0),0)</f>
        <v>0</v>
      </c>
      <c r="AB787" s="129">
        <f t="shared" si="242"/>
        <v>0</v>
      </c>
      <c r="AC787" s="130">
        <f t="shared" si="262"/>
        <v>0</v>
      </c>
      <c r="AD787" s="35">
        <f t="shared" si="255"/>
        <v>0</v>
      </c>
      <c r="AE787" s="166" t="str">
        <f t="shared" si="256"/>
        <v>Release</v>
      </c>
      <c r="AF787" s="127"/>
      <c r="AG787" s="18">
        <v>0</v>
      </c>
      <c r="AH787" s="132" t="s">
        <v>1688</v>
      </c>
      <c r="AI787" s="238">
        <v>10000</v>
      </c>
      <c r="AJ787" s="132"/>
      <c r="AK787" s="151">
        <v>0</v>
      </c>
      <c r="AL787" s="154">
        <f t="shared" si="257"/>
        <v>0</v>
      </c>
      <c r="AM787" s="155"/>
      <c r="AN787" s="19">
        <f t="shared" si="245"/>
        <v>1861</v>
      </c>
      <c r="AO787" s="118">
        <f>SUMIF('MPG Payment '!E:E,'Shayak Income '!D787,'MPG Payment '!AJ:AJ)</f>
        <v>0</v>
      </c>
      <c r="AP787" s="19">
        <f t="shared" si="246"/>
        <v>271</v>
      </c>
      <c r="AQ787" s="119">
        <f t="shared" si="258"/>
        <v>271</v>
      </c>
      <c r="AR787" s="91" t="s">
        <v>1144</v>
      </c>
      <c r="AS787" s="91">
        <f t="shared" si="248"/>
        <v>6400</v>
      </c>
      <c r="AT787" s="118"/>
      <c r="AU787" s="118"/>
      <c r="AV787" s="118"/>
    </row>
    <row r="788" spans="1:48" s="20" customFormat="1" x14ac:dyDescent="0.25">
      <c r="A788" s="17">
        <f>IFERROR(VLOOKUP(D788,'Monthly Deduction'!$I$3:$J$957,2,0),0)</f>
        <v>61492.434184792692</v>
      </c>
      <c r="B788" s="17">
        <f>IFERROR(VLOOKUP(D788,'Monthly Deduction'!$E$3:$F$957,2,0),0)</f>
        <v>16000</v>
      </c>
      <c r="C788" s="17">
        <f t="shared" si="249"/>
        <v>77492.434184792684</v>
      </c>
      <c r="D788" s="41">
        <v>10610001</v>
      </c>
      <c r="E788" s="122" t="str">
        <f>VLOOKUP(D788,'MPG Payment '!$E$3:$G$497305,2,0)</f>
        <v>GOMUKH BHATOLIYA</v>
      </c>
      <c r="F788" s="146">
        <f>IFERROR(_xlfn.XLOOKUP(D788,'Monthly Deduction'!$I$3:$I$957,'Monthly Deduction'!$H$3:$H$957),0)</f>
        <v>0</v>
      </c>
      <c r="G788" s="123" t="str">
        <f>VLOOKUP(D788,'MPG Payment '!$E$3:$G$333666,3,0)</f>
        <v>MPG</v>
      </c>
      <c r="H788" s="124" t="str">
        <f>VLOOKUP(D788,'MPG Payment '!$E$3:$H$333666,4,0)</f>
        <v>Direct</v>
      </c>
      <c r="I788" s="88">
        <f>INDEX('MPG Payment '!$C:$C,MATCH('Shayak Income '!D788,'MPG Payment '!E:E,0))</f>
        <v>1061</v>
      </c>
      <c r="J788" s="88" t="str">
        <f>INDEX('MPG Payment '!$D:$D,MATCH('Shayak Income '!D788,'MPG Payment '!E:E,0))</f>
        <v>Mahua BMC</v>
      </c>
      <c r="K788" s="125" t="s">
        <v>1594</v>
      </c>
      <c r="L788" s="125">
        <v>46097</v>
      </c>
      <c r="M788" s="126">
        <f>SUMIF('MPG Payment '!$E$3:$E$344841,'Shayak Income '!D788,'MPG Payment '!$I$3:$I$344841)</f>
        <v>2646.7</v>
      </c>
      <c r="N788" s="126">
        <f>SUMIF('MPG Payment '!$E$3:$E$344841,'Shayak Income '!D788,'MPG Payment '!$J$3:$J$344841)</f>
        <v>123695.38</v>
      </c>
      <c r="O788" s="126">
        <f t="shared" si="250"/>
        <v>1985.0249999999999</v>
      </c>
      <c r="P788" s="126">
        <f t="shared" si="251"/>
        <v>2514.3649999999998</v>
      </c>
      <c r="Q788" s="126">
        <f>SUMIF('MPG Payment '!$E$3:$E$344841,'Shayak Income '!D788,'MPG Payment '!$S$3:$S$344841)</f>
        <v>260.45999999999998</v>
      </c>
      <c r="R788" s="126">
        <f t="shared" si="240"/>
        <v>3710.8613999999998</v>
      </c>
      <c r="S788" s="126">
        <f t="shared" si="241"/>
        <v>1196.4964</v>
      </c>
      <c r="T788" s="126">
        <f t="shared" si="252"/>
        <v>264.67</v>
      </c>
      <c r="U788" s="127">
        <f>((((((IF(K788="New",0,SUMIF('MPG Payment '!$E$3:$E$344841,'Shayak Income '!D788,'MPG Payment '!$AC$3:$AC$344841))))+0)+0)+0)+0)+0</f>
        <v>143.55827959854361</v>
      </c>
      <c r="V788" s="127">
        <f t="shared" si="253"/>
        <v>4352</v>
      </c>
      <c r="W788" s="19">
        <f t="shared" si="254"/>
        <v>2473.9076</v>
      </c>
      <c r="X788" s="19">
        <v>0</v>
      </c>
      <c r="Y788" s="128">
        <f>IFERROR(VLOOKUP(D788,'Monthly Deduction'!$M$2:$N$640,2,0),0)</f>
        <v>0</v>
      </c>
      <c r="Z788" s="128">
        <v>0</v>
      </c>
      <c r="AA788" s="126">
        <f>IFERROR(VLOOKUP(D788,'Monthly Deduction'!A:B,2,0),0)</f>
        <v>0</v>
      </c>
      <c r="AB788" s="129">
        <f t="shared" si="242"/>
        <v>1878</v>
      </c>
      <c r="AC788" s="130">
        <v>0</v>
      </c>
      <c r="AD788" s="35">
        <f t="shared" si="255"/>
        <v>1878</v>
      </c>
      <c r="AE788" s="166" t="str">
        <f t="shared" si="256"/>
        <v>Release</v>
      </c>
      <c r="AF788" s="127"/>
      <c r="AG788" s="18">
        <v>0</v>
      </c>
      <c r="AH788" s="132"/>
      <c r="AI788" s="238">
        <v>0</v>
      </c>
      <c r="AJ788" s="132"/>
      <c r="AK788" s="151">
        <v>661.59999999999991</v>
      </c>
      <c r="AL788" s="154">
        <f t="shared" si="257"/>
        <v>0</v>
      </c>
      <c r="AM788" s="155"/>
      <c r="AN788" s="19">
        <f t="shared" si="245"/>
        <v>2473.9076</v>
      </c>
      <c r="AO788" s="118">
        <f>SUMIF('MPG Payment '!E:E,'Shayak Income '!D788,'MPG Payment '!AJ:AJ)</f>
        <v>0</v>
      </c>
      <c r="AP788" s="19">
        <f t="shared" si="246"/>
        <v>2473.9076</v>
      </c>
      <c r="AQ788" s="119">
        <f t="shared" si="258"/>
        <v>2473.9076</v>
      </c>
      <c r="AR788" s="91" t="s">
        <v>1144</v>
      </c>
      <c r="AS788" s="91">
        <f t="shared" si="248"/>
        <v>16000</v>
      </c>
      <c r="AT788" s="118"/>
      <c r="AU788" s="118"/>
      <c r="AV788" s="118"/>
    </row>
    <row r="789" spans="1:48" s="20" customFormat="1" x14ac:dyDescent="0.25">
      <c r="A789" s="17">
        <f>IFERROR(VLOOKUP(D789,'Monthly Deduction'!$I$3:$J$957,2,0),0)</f>
        <v>63624</v>
      </c>
      <c r="B789" s="17">
        <f>IFERROR(VLOOKUP(D789,'Monthly Deduction'!$E$3:$F$957,2,0),0)</f>
        <v>12800</v>
      </c>
      <c r="C789" s="17">
        <f t="shared" si="249"/>
        <v>76424</v>
      </c>
      <c r="D789" s="41">
        <v>10610003</v>
      </c>
      <c r="E789" s="122" t="str">
        <f>VLOOKUP(D789,'MPG Payment '!$E$3:$G$497305,2,0)</f>
        <v>GOMUKH KHAJECHAND</v>
      </c>
      <c r="F789" s="146">
        <f>IFERROR(_xlfn.XLOOKUP(D789,'Monthly Deduction'!$I$3:$I$957,'Monthly Deduction'!$H$3:$H$957),0)</f>
        <v>0</v>
      </c>
      <c r="G789" s="123" t="str">
        <f>VLOOKUP(D789,'MPG Payment '!$E$3:$G$333666,3,0)</f>
        <v>MPG</v>
      </c>
      <c r="H789" s="124" t="str">
        <f>VLOOKUP(D789,'MPG Payment '!$E$3:$H$333666,4,0)</f>
        <v>Direct</v>
      </c>
      <c r="I789" s="88">
        <f>INDEX('MPG Payment '!$C:$C,MATCH('Shayak Income '!D789,'MPG Payment '!E:E,0))</f>
        <v>1061</v>
      </c>
      <c r="J789" s="88" t="str">
        <f>INDEX('MPG Payment '!$D:$D,MATCH('Shayak Income '!D789,'MPG Payment '!E:E,0))</f>
        <v>Mahua BMC</v>
      </c>
      <c r="K789" s="125" t="s">
        <v>1594</v>
      </c>
      <c r="L789" s="125">
        <v>46097</v>
      </c>
      <c r="M789" s="126">
        <f>SUMIF('MPG Payment '!$E$3:$E$344841,'Shayak Income '!D789,'MPG Payment '!$I$3:$I$344841)</f>
        <v>1006.7</v>
      </c>
      <c r="N789" s="126">
        <f>SUMIF('MPG Payment '!$E$3:$E$344841,'Shayak Income '!D789,'MPG Payment '!$J$3:$J$344841)</f>
        <v>39895.49</v>
      </c>
      <c r="O789" s="126">
        <f t="shared" si="250"/>
        <v>755.02500000000009</v>
      </c>
      <c r="P789" s="126">
        <f t="shared" si="251"/>
        <v>956.36500000000001</v>
      </c>
      <c r="Q789" s="126">
        <f>SUMIF('MPG Payment '!$E$3:$E$344841,'Shayak Income '!D789,'MPG Payment '!$S$3:$S$344841)</f>
        <v>0</v>
      </c>
      <c r="R789" s="126">
        <f t="shared" si="240"/>
        <v>1196.8646999999999</v>
      </c>
      <c r="S789" s="126">
        <f t="shared" si="241"/>
        <v>240.49969999999985</v>
      </c>
      <c r="T789" s="126">
        <f t="shared" si="252"/>
        <v>100.67000000000002</v>
      </c>
      <c r="U789" s="127">
        <f>((((((IF(K789="New",0,SUMIF('MPG Payment '!$E$3:$E$344841,'Shayak Income '!D789,'MPG Payment '!$AC$3:$AC$344841))))+0)+0)+0)+0)+0</f>
        <v>1421.2364173595115</v>
      </c>
      <c r="V789" s="127">
        <f t="shared" si="253"/>
        <v>189</v>
      </c>
      <c r="W789" s="19">
        <v>189</v>
      </c>
      <c r="X789" s="19">
        <v>0</v>
      </c>
      <c r="Y789" s="128">
        <f>IFERROR(VLOOKUP(D789,'Monthly Deduction'!$M$2:$N$640,2,0),0)</f>
        <v>0</v>
      </c>
      <c r="Z789" s="128">
        <v>0</v>
      </c>
      <c r="AA789" s="126">
        <f>IFERROR(VLOOKUP(D789,'Monthly Deduction'!A:B,2,0),0)</f>
        <v>0</v>
      </c>
      <c r="AB789" s="129">
        <f t="shared" si="242"/>
        <v>0</v>
      </c>
      <c r="AC789" s="130">
        <v>0</v>
      </c>
      <c r="AD789" s="35">
        <f t="shared" si="255"/>
        <v>0</v>
      </c>
      <c r="AE789" s="166" t="str">
        <f t="shared" si="256"/>
        <v>Release</v>
      </c>
      <c r="AF789" s="127"/>
      <c r="AG789" s="18">
        <v>0</v>
      </c>
      <c r="AH789" s="132"/>
      <c r="AI789" s="238">
        <v>0</v>
      </c>
      <c r="AJ789" s="132"/>
      <c r="AK789" s="151">
        <v>216.1</v>
      </c>
      <c r="AL789" s="154">
        <f t="shared" si="257"/>
        <v>0</v>
      </c>
      <c r="AM789" s="155"/>
      <c r="AN789" s="19">
        <f t="shared" si="245"/>
        <v>1861</v>
      </c>
      <c r="AO789" s="118">
        <f>SUMIF('MPG Payment '!E:E,'Shayak Income '!D789,'MPG Payment '!AJ:AJ)</f>
        <v>0</v>
      </c>
      <c r="AP789" s="19">
        <f t="shared" si="246"/>
        <v>189</v>
      </c>
      <c r="AQ789" s="119">
        <f t="shared" si="258"/>
        <v>189</v>
      </c>
      <c r="AR789" s="91" t="s">
        <v>1144</v>
      </c>
      <c r="AS789" s="91">
        <f t="shared" si="248"/>
        <v>12800</v>
      </c>
      <c r="AT789" s="118"/>
      <c r="AU789" s="118"/>
      <c r="AV789" s="118"/>
    </row>
    <row r="790" spans="1:48" s="20" customFormat="1" x14ac:dyDescent="0.25">
      <c r="A790" s="17">
        <f>IFERROR(VLOOKUP(D790,'Monthly Deduction'!$I$3:$J$957,2,0),0)</f>
        <v>63596</v>
      </c>
      <c r="B790" s="17">
        <f>IFERROR(VLOOKUP(D790,'Monthly Deduction'!$E$3:$F$957,2,0),0)</f>
        <v>12800</v>
      </c>
      <c r="C790" s="17">
        <f t="shared" si="249"/>
        <v>76396</v>
      </c>
      <c r="D790" s="41">
        <v>10610004</v>
      </c>
      <c r="E790" s="122" t="str">
        <f>VLOOKUP(D790,'MPG Payment '!$E$3:$G$497305,2,0)</f>
        <v>GOMUKH SALEMPUR</v>
      </c>
      <c r="F790" s="146">
        <f>IFERROR(_xlfn.XLOOKUP(D790,'Monthly Deduction'!$I$3:$I$957,'Monthly Deduction'!$H$3:$H$957),0)</f>
        <v>0</v>
      </c>
      <c r="G790" s="123" t="str">
        <f>VLOOKUP(D790,'MPG Payment '!$E$3:$G$333666,3,0)</f>
        <v>MPG</v>
      </c>
      <c r="H790" s="124" t="str">
        <f>VLOOKUP(D790,'MPG Payment '!$E$3:$H$333666,4,0)</f>
        <v>Direct</v>
      </c>
      <c r="I790" s="88">
        <f>INDEX('MPG Payment '!$C:$C,MATCH('Shayak Income '!D790,'MPG Payment '!E:E,0))</f>
        <v>1061</v>
      </c>
      <c r="J790" s="88" t="str">
        <f>INDEX('MPG Payment '!$D:$D,MATCH('Shayak Income '!D790,'MPG Payment '!E:E,0))</f>
        <v>Mahua BMC</v>
      </c>
      <c r="K790" s="125" t="s">
        <v>1594</v>
      </c>
      <c r="L790" s="125">
        <v>46097</v>
      </c>
      <c r="M790" s="126">
        <f>SUMIF('MPG Payment '!$E$3:$E$344841,'Shayak Income '!D790,'MPG Payment '!$I$3:$I$344841)</f>
        <v>1401.1999999999998</v>
      </c>
      <c r="N790" s="126">
        <f>SUMIF('MPG Payment '!$E$3:$E$344841,'Shayak Income '!D790,'MPG Payment '!$J$3:$J$344841)</f>
        <v>62603.670000000006</v>
      </c>
      <c r="O790" s="126">
        <f t="shared" si="250"/>
        <v>1050.8999999999999</v>
      </c>
      <c r="P790" s="126">
        <f t="shared" si="251"/>
        <v>1331.1399999999999</v>
      </c>
      <c r="Q790" s="126">
        <f>SUMIF('MPG Payment '!$E$3:$E$344841,'Shayak Income '!D790,'MPG Payment '!$S$3:$S$344841)</f>
        <v>1256.72</v>
      </c>
      <c r="R790" s="126">
        <f t="shared" si="240"/>
        <v>1878.1101000000001</v>
      </c>
      <c r="S790" s="126">
        <f t="shared" si="241"/>
        <v>546.97010000000023</v>
      </c>
      <c r="T790" s="126">
        <f t="shared" si="252"/>
        <v>140.11999999999998</v>
      </c>
      <c r="U790" s="127">
        <f>((((((IF(K790="New",0,SUMIF('MPG Payment '!$E$3:$E$344841,'Shayak Income '!D790,'MPG Payment '!$AC$3:$AC$344841))))+0)+0)+0)+0)+0</f>
        <v>1251.3656619628596</v>
      </c>
      <c r="V790" s="127">
        <f t="shared" si="253"/>
        <v>2247</v>
      </c>
      <c r="W790" s="19">
        <f t="shared" si="254"/>
        <v>1861</v>
      </c>
      <c r="X790" s="19">
        <v>0</v>
      </c>
      <c r="Y790" s="128">
        <f>IFERROR(VLOOKUP(D790,'Monthly Deduction'!$M$2:$N$640,2,0),0)</f>
        <v>0</v>
      </c>
      <c r="Z790" s="128">
        <v>0</v>
      </c>
      <c r="AA790" s="126">
        <f>IFERROR(VLOOKUP(D790,'Monthly Deduction'!A:B,2,0),0)</f>
        <v>0</v>
      </c>
      <c r="AB790" s="129">
        <f t="shared" si="242"/>
        <v>386</v>
      </c>
      <c r="AC790" s="130">
        <v>0</v>
      </c>
      <c r="AD790" s="35">
        <f t="shared" si="255"/>
        <v>386</v>
      </c>
      <c r="AE790" s="166" t="str">
        <f t="shared" si="256"/>
        <v>Release</v>
      </c>
      <c r="AF790" s="127"/>
      <c r="AG790" s="18">
        <v>0</v>
      </c>
      <c r="AH790" s="132"/>
      <c r="AI790" s="238">
        <v>0</v>
      </c>
      <c r="AJ790" s="132"/>
      <c r="AK790" s="151">
        <v>339.1</v>
      </c>
      <c r="AL790" s="154">
        <f t="shared" si="257"/>
        <v>0</v>
      </c>
      <c r="AM790" s="155"/>
      <c r="AN790" s="19">
        <f t="shared" si="245"/>
        <v>1861</v>
      </c>
      <c r="AO790" s="118">
        <f>SUMIF('MPG Payment '!E:E,'Shayak Income '!D790,'MPG Payment '!AJ:AJ)</f>
        <v>0</v>
      </c>
      <c r="AP790" s="19">
        <f t="shared" si="246"/>
        <v>1861</v>
      </c>
      <c r="AQ790" s="119">
        <f t="shared" si="258"/>
        <v>1861</v>
      </c>
      <c r="AR790" s="91" t="s">
        <v>1144</v>
      </c>
      <c r="AS790" s="91">
        <f t="shared" si="248"/>
        <v>12800</v>
      </c>
      <c r="AT790" s="118"/>
      <c r="AU790" s="118"/>
      <c r="AV790" s="118"/>
    </row>
    <row r="791" spans="1:48" s="20" customFormat="1" x14ac:dyDescent="0.25">
      <c r="A791" s="17">
        <f>IFERROR(VLOOKUP(D791,'Monthly Deduction'!$I$3:$J$957,2,0),0)</f>
        <v>62451.398009799064</v>
      </c>
      <c r="B791" s="17">
        <f>IFERROR(VLOOKUP(D791,'Monthly Deduction'!$E$3:$F$957,2,0),0)</f>
        <v>12800</v>
      </c>
      <c r="C791" s="17">
        <f t="shared" si="234"/>
        <v>75251.398009799072</v>
      </c>
      <c r="D791" s="41">
        <v>10610005</v>
      </c>
      <c r="E791" s="122" t="str">
        <f>VLOOKUP(D791,'MPG Payment '!$E$3:$G$497305,2,0)</f>
        <v>Gomukh Paharpur</v>
      </c>
      <c r="F791" s="146">
        <f>IFERROR(_xlfn.XLOOKUP(D791,'Monthly Deduction'!$I$3:$I$957,'Monthly Deduction'!$H$3:$H$957),0)</f>
        <v>0</v>
      </c>
      <c r="G791" s="123" t="str">
        <f>VLOOKUP(D791,'MPG Payment '!$E$3:$G$333666,3,0)</f>
        <v>MPG</v>
      </c>
      <c r="H791" s="124" t="str">
        <f>VLOOKUP(D791,'MPG Payment '!$E$3:$H$333666,4,0)</f>
        <v>Direct</v>
      </c>
      <c r="I791" s="88">
        <f>INDEX('MPG Payment '!$C:$C,MATCH('Shayak Income '!D791,'MPG Payment '!E:E,0))</f>
        <v>1061</v>
      </c>
      <c r="J791" s="88" t="str">
        <f>INDEX('MPG Payment '!$D:$D,MATCH('Shayak Income '!D791,'MPG Payment '!E:E,0))</f>
        <v>Mahua BMC</v>
      </c>
      <c r="K791" s="125" t="s">
        <v>1594</v>
      </c>
      <c r="L791" s="125">
        <v>46097</v>
      </c>
      <c r="M791" s="126">
        <f>SUMIF('MPG Payment '!$E$3:$E$344841,'Shayak Income '!D791,'MPG Payment '!$I$3:$I$344841)</f>
        <v>3777</v>
      </c>
      <c r="N791" s="126">
        <f>SUMIF('MPG Payment '!$E$3:$E$344841,'Shayak Income '!D791,'MPG Payment '!$J$3:$J$344841)</f>
        <v>171484.36</v>
      </c>
      <c r="O791" s="126">
        <f t="shared" si="250"/>
        <v>2832.75</v>
      </c>
      <c r="P791" s="126">
        <f t="shared" si="251"/>
        <v>3588.1499999999996</v>
      </c>
      <c r="Q791" s="126">
        <f>SUMIF('MPG Payment '!$E$3:$E$344841,'Shayak Income '!D791,'MPG Payment '!$S$3:$S$344841)</f>
        <v>0</v>
      </c>
      <c r="R791" s="126">
        <f t="shared" si="240"/>
        <v>5144.5307999999995</v>
      </c>
      <c r="S791" s="126">
        <f t="shared" si="241"/>
        <v>1556.3807999999999</v>
      </c>
      <c r="T791" s="126">
        <f t="shared" si="252"/>
        <v>377.70000000000005</v>
      </c>
      <c r="U791" s="127">
        <f>((((((IF(K791="New",0,SUMIF('MPG Payment '!$E$3:$E$344841,'Shayak Income '!D791,'MPG Payment '!$AC$3:$AC$344841))))+0)+0)+0)+0)+0</f>
        <v>0</v>
      </c>
      <c r="V791" s="127">
        <f t="shared" si="253"/>
        <v>6043</v>
      </c>
      <c r="W791" s="19">
        <f t="shared" si="254"/>
        <v>3429.6871999999998</v>
      </c>
      <c r="X791" s="19">
        <v>0</v>
      </c>
      <c r="Y791" s="128">
        <f>IFERROR(VLOOKUP(D791,'Monthly Deduction'!$M$2:$N$640,2,0),0)</f>
        <v>0</v>
      </c>
      <c r="Z791" s="128">
        <v>0</v>
      </c>
      <c r="AA791" s="126">
        <f>IFERROR(VLOOKUP(D791,'Monthly Deduction'!A:B,2,0),0)</f>
        <v>0</v>
      </c>
      <c r="AB791" s="129">
        <f t="shared" si="242"/>
        <v>2613</v>
      </c>
      <c r="AC791" s="130">
        <v>0</v>
      </c>
      <c r="AD791" s="35">
        <f t="shared" si="235"/>
        <v>2613</v>
      </c>
      <c r="AE791" s="166" t="str">
        <f t="shared" si="256"/>
        <v>Release</v>
      </c>
      <c r="AF791" s="127"/>
      <c r="AG791" s="18">
        <v>0</v>
      </c>
      <c r="AH791" s="120"/>
      <c r="AI791" s="238">
        <v>0</v>
      </c>
      <c r="AJ791" s="132"/>
      <c r="AK791" s="151">
        <v>1221.3000000000006</v>
      </c>
      <c r="AL791" s="154">
        <f t="shared" si="236"/>
        <v>0</v>
      </c>
      <c r="AM791" s="155"/>
      <c r="AN791" s="19">
        <f t="shared" si="245"/>
        <v>3429.6871999999998</v>
      </c>
      <c r="AO791" s="118">
        <f>SUMIF('MPG Payment '!E:E,'Shayak Income '!D791,'MPG Payment '!AJ:AJ)</f>
        <v>0</v>
      </c>
      <c r="AP791" s="19">
        <f t="shared" si="246"/>
        <v>3429.6871999999998</v>
      </c>
      <c r="AQ791" s="119">
        <f t="shared" si="237"/>
        <v>3429.6871999999998</v>
      </c>
      <c r="AR791" s="91" t="s">
        <v>1144</v>
      </c>
      <c r="AS791" s="91">
        <f t="shared" si="248"/>
        <v>12800</v>
      </c>
      <c r="AT791" s="118"/>
      <c r="AU791" s="118"/>
      <c r="AV791" s="118"/>
    </row>
    <row r="792" spans="1:48" s="20" customFormat="1" x14ac:dyDescent="0.25">
      <c r="A792" s="17">
        <f>IFERROR(VLOOKUP(D792,'Monthly Deduction'!$I$3:$J$957,2,0),0)</f>
        <v>0</v>
      </c>
      <c r="B792" s="17">
        <f>IFERROR(VLOOKUP(D792,'Monthly Deduction'!$E$3:$F$957,2,0),0)</f>
        <v>0</v>
      </c>
      <c r="C792" s="17">
        <f t="shared" si="234"/>
        <v>0</v>
      </c>
      <c r="D792" s="41">
        <v>10610011</v>
      </c>
      <c r="E792" s="122" t="str">
        <f>VLOOKUP(D792,'MPG Payment '!$E$3:$G$497305,2,0)</f>
        <v>GOMUKH JIRWARA</v>
      </c>
      <c r="F792" s="146">
        <f>IFERROR(_xlfn.XLOOKUP(D792,'Monthly Deduction'!$I$3:$I$957,'Monthly Deduction'!$H$3:$H$957),0)</f>
        <v>0</v>
      </c>
      <c r="G792" s="123" t="str">
        <f>VLOOKUP(D792,'MPG Payment '!$E$3:$G$333666,3,0)</f>
        <v>vlc</v>
      </c>
      <c r="H792" s="124" t="str">
        <f>VLOOKUP(D792,'MPG Payment '!$E$3:$H$333666,4,0)</f>
        <v>Indirect</v>
      </c>
      <c r="I792" s="88">
        <f>INDEX('MPG Payment '!$C:$C,MATCH('Shayak Income '!D792,'MPG Payment '!E:E,0))</f>
        <v>1061</v>
      </c>
      <c r="J792" s="88" t="str">
        <f>INDEX('MPG Payment '!$D:$D,MATCH('Shayak Income '!D792,'MPG Payment '!E:E,0))</f>
        <v>Mahua BMC</v>
      </c>
      <c r="K792" s="125" t="s">
        <v>1594</v>
      </c>
      <c r="L792" s="125">
        <v>46097</v>
      </c>
      <c r="M792" s="126">
        <f>SUMIF('MPG Payment '!$E$3:$E$344841,'Shayak Income '!D792,'MPG Payment '!$I$3:$I$344841)</f>
        <v>1346.8999999999999</v>
      </c>
      <c r="N792" s="126">
        <f>SUMIF('MPG Payment '!$E$3:$E$344841,'Shayak Income '!D792,'MPG Payment '!$J$3:$J$344841)</f>
        <v>53501.75</v>
      </c>
      <c r="O792" s="126">
        <f t="shared" si="250"/>
        <v>1010.175</v>
      </c>
      <c r="P792" s="126">
        <f t="shared" si="251"/>
        <v>1279.5549999999998</v>
      </c>
      <c r="Q792" s="126">
        <f>SUMIF('MPG Payment '!$E$3:$E$344841,'Shayak Income '!D792,'MPG Payment '!$S$3:$S$344841)</f>
        <v>0</v>
      </c>
      <c r="R792" s="126">
        <f t="shared" si="240"/>
        <v>1605.0525</v>
      </c>
      <c r="S792" s="126">
        <f t="shared" si="241"/>
        <v>325.49750000000017</v>
      </c>
      <c r="T792" s="126">
        <f t="shared" si="252"/>
        <v>134.69</v>
      </c>
      <c r="U792" s="127">
        <f>((((((IF(K792="New",0,SUMIF('MPG Payment '!$E$3:$E$344841,'Shayak Income '!D792,'MPG Payment '!$AC$3:$AC$344841))))+0)+0)+0)+0)+0</f>
        <v>1153.4169425851737</v>
      </c>
      <c r="V792" s="127">
        <f t="shared" si="253"/>
        <v>1002</v>
      </c>
      <c r="W792" s="19">
        <f t="shared" si="254"/>
        <v>0</v>
      </c>
      <c r="X792" s="19">
        <f t="shared" si="261"/>
        <v>0</v>
      </c>
      <c r="Y792" s="128">
        <f>IFERROR(VLOOKUP(D792,'Monthly Deduction'!$M$2:$N$640,2,0),0)</f>
        <v>0</v>
      </c>
      <c r="Z792" s="128">
        <v>0</v>
      </c>
      <c r="AA792" s="126">
        <f>IFERROR(VLOOKUP(D792,'Monthly Deduction'!A:B,2,0),0)</f>
        <v>0</v>
      </c>
      <c r="AB792" s="129">
        <f t="shared" si="242"/>
        <v>1002</v>
      </c>
      <c r="AC792" s="130">
        <v>0</v>
      </c>
      <c r="AD792" s="35">
        <f t="shared" si="235"/>
        <v>1002</v>
      </c>
      <c r="AE792" s="166" t="str">
        <f t="shared" si="256"/>
        <v>Release</v>
      </c>
      <c r="AF792" s="127"/>
      <c r="AG792" s="18">
        <v>0</v>
      </c>
      <c r="AH792" s="120"/>
      <c r="AI792" s="238">
        <v>0</v>
      </c>
      <c r="AJ792" s="132"/>
      <c r="AK792" s="151">
        <v>253.70000000000002</v>
      </c>
      <c r="AL792" s="154">
        <f t="shared" si="236"/>
        <v>0</v>
      </c>
      <c r="AM792" s="155"/>
      <c r="AN792" s="19">
        <f t="shared" si="245"/>
        <v>0</v>
      </c>
      <c r="AO792" s="118">
        <f>SUMIF('MPG Payment '!E:E,'Shayak Income '!D792,'MPG Payment '!AJ:AJ)</f>
        <v>0</v>
      </c>
      <c r="AP792" s="19">
        <f t="shared" si="246"/>
        <v>0</v>
      </c>
      <c r="AQ792" s="119">
        <f t="shared" si="237"/>
        <v>0</v>
      </c>
      <c r="AR792" s="91" t="s">
        <v>1144</v>
      </c>
      <c r="AS792" s="91">
        <f t="shared" si="248"/>
        <v>0</v>
      </c>
      <c r="AT792" s="118"/>
      <c r="AU792" s="118"/>
      <c r="AV792" s="118"/>
    </row>
    <row r="793" spans="1:48" s="20" customFormat="1" x14ac:dyDescent="0.25">
      <c r="A793" s="17">
        <f>IFERROR(VLOOKUP(D793,'Monthly Deduction'!$I$3:$J$957,2,0),0)</f>
        <v>0</v>
      </c>
      <c r="B793" s="17">
        <f>IFERROR(VLOOKUP(D793,'Monthly Deduction'!$E$3:$F$957,2,0),0)</f>
        <v>0</v>
      </c>
      <c r="C793" s="17">
        <f t="shared" si="234"/>
        <v>0</v>
      </c>
      <c r="D793" s="41">
        <v>10610013</v>
      </c>
      <c r="E793" s="122" t="str">
        <f>VLOOKUP(D793,'MPG Payment '!$E$3:$G$497305,2,0)</f>
        <v>GOMUKH Karhatiya</v>
      </c>
      <c r="F793" s="146">
        <f>IFERROR(_xlfn.XLOOKUP(D793,'Monthly Deduction'!$I$3:$I$957,'Monthly Deduction'!$H$3:$H$957),0)</f>
        <v>0</v>
      </c>
      <c r="G793" s="123" t="str">
        <f>VLOOKUP(D793,'MPG Payment '!$E$3:$G$333666,3,0)</f>
        <v>vlc</v>
      </c>
      <c r="H793" s="124" t="str">
        <f>VLOOKUP(D793,'MPG Payment '!$E$3:$H$333666,4,0)</f>
        <v>Indirect</v>
      </c>
      <c r="I793" s="88">
        <f>INDEX('MPG Payment '!$C:$C,MATCH('Shayak Income '!D793,'MPG Payment '!E:E,0))</f>
        <v>1061</v>
      </c>
      <c r="J793" s="88" t="str">
        <f>INDEX('MPG Payment '!$D:$D,MATCH('Shayak Income '!D793,'MPG Payment '!E:E,0))</f>
        <v>Mahua BMC</v>
      </c>
      <c r="K793" s="125" t="s">
        <v>1594</v>
      </c>
      <c r="L793" s="125">
        <v>46097</v>
      </c>
      <c r="M793" s="126">
        <f>SUMIF('MPG Payment '!$E$3:$E$344841,'Shayak Income '!D793,'MPG Payment '!$I$3:$I$344841)</f>
        <v>569</v>
      </c>
      <c r="N793" s="126">
        <f>SUMIF('MPG Payment '!$E$3:$E$344841,'Shayak Income '!D793,'MPG Payment '!$J$3:$J$344841)</f>
        <v>20356.599999999999</v>
      </c>
      <c r="O793" s="126">
        <f t="shared" si="250"/>
        <v>426.75</v>
      </c>
      <c r="P793" s="126">
        <f t="shared" si="251"/>
        <v>540.54999999999995</v>
      </c>
      <c r="Q793" s="126">
        <f>SUMIF('MPG Payment '!$E$3:$E$344841,'Shayak Income '!D793,'MPG Payment '!$S$3:$S$344841)</f>
        <v>0</v>
      </c>
      <c r="R793" s="126">
        <f t="shared" si="240"/>
        <v>610.69799999999998</v>
      </c>
      <c r="S793" s="126">
        <f t="shared" si="241"/>
        <v>70.148000000000025</v>
      </c>
      <c r="T793" s="126">
        <f t="shared" si="252"/>
        <v>56.900000000000006</v>
      </c>
      <c r="U793" s="127">
        <f>((((((IF(K793="New",0,SUMIF('MPG Payment '!$E$3:$E$344841,'Shayak Income '!D793,'MPG Payment '!$AC$3:$AC$344841))))+0)+0)+0)+0)+-690</f>
        <v>910.40725331356134</v>
      </c>
      <c r="V793" s="127">
        <f t="shared" si="253"/>
        <v>0</v>
      </c>
      <c r="W793" s="19">
        <v>0</v>
      </c>
      <c r="X793" s="19">
        <v>0</v>
      </c>
      <c r="Y793" s="128">
        <v>0</v>
      </c>
      <c r="Z793" s="128">
        <v>0</v>
      </c>
      <c r="AA793" s="126">
        <v>0</v>
      </c>
      <c r="AB793" s="129">
        <f t="shared" si="242"/>
        <v>0</v>
      </c>
      <c r="AC793" s="130">
        <v>0</v>
      </c>
      <c r="AD793" s="35">
        <f t="shared" si="235"/>
        <v>0</v>
      </c>
      <c r="AE793" s="166" t="str">
        <f t="shared" si="256"/>
        <v>Release</v>
      </c>
      <c r="AF793" s="127"/>
      <c r="AG793" s="18">
        <v>0</v>
      </c>
      <c r="AH793" s="120"/>
      <c r="AI793" s="238">
        <v>0</v>
      </c>
      <c r="AJ793" s="132"/>
      <c r="AK793" s="151">
        <v>22.2</v>
      </c>
      <c r="AL793" s="154">
        <f t="shared" si="236"/>
        <v>0</v>
      </c>
      <c r="AM793" s="155"/>
      <c r="AN793" s="19">
        <f t="shared" si="245"/>
        <v>0</v>
      </c>
      <c r="AO793" s="118">
        <f>SUMIF('MPG Payment '!E:E,'Shayak Income '!D793,'MPG Payment '!AJ:AJ)</f>
        <v>0</v>
      </c>
      <c r="AP793" s="19">
        <f t="shared" si="246"/>
        <v>0</v>
      </c>
      <c r="AQ793" s="119">
        <f t="shared" si="237"/>
        <v>0</v>
      </c>
      <c r="AR793" s="91" t="s">
        <v>1144</v>
      </c>
      <c r="AS793" s="91">
        <f t="shared" si="248"/>
        <v>0</v>
      </c>
      <c r="AT793" s="118"/>
      <c r="AU793" s="118"/>
      <c r="AV793" s="118"/>
    </row>
    <row r="794" spans="1:48" s="20" customFormat="1" x14ac:dyDescent="0.25">
      <c r="A794" s="17">
        <f>IFERROR(VLOOKUP(D794,'Monthly Deduction'!$I$3:$J$957,2,0),0)</f>
        <v>65000</v>
      </c>
      <c r="B794" s="17">
        <f>IFERROR(VLOOKUP(D794,'Monthly Deduction'!$E$3:$F$957,2,0),0)</f>
        <v>12800</v>
      </c>
      <c r="C794" s="17">
        <f t="shared" si="234"/>
        <v>77800</v>
      </c>
      <c r="D794" s="41">
        <v>10610017</v>
      </c>
      <c r="E794" s="122" t="str">
        <f>VLOOKUP(D794,'MPG Payment '!$E$3:$G$497305,2,0)</f>
        <v>GOMUKH Bheraukhara</v>
      </c>
      <c r="F794" s="146">
        <f>IFERROR(_xlfn.XLOOKUP(D794,'Monthly Deduction'!$I$3:$I$957,'Monthly Deduction'!$H$3:$H$957),0)</f>
        <v>0</v>
      </c>
      <c r="G794" s="123" t="str">
        <f>VLOOKUP(D794,'MPG Payment '!$E$3:$G$333666,3,0)</f>
        <v>MPG</v>
      </c>
      <c r="H794" s="124" t="str">
        <f>VLOOKUP(D794,'MPG Payment '!$E$3:$H$333666,4,0)</f>
        <v>Direct</v>
      </c>
      <c r="I794" s="88">
        <f>INDEX('MPG Payment '!$C:$C,MATCH('Shayak Income '!D794,'MPG Payment '!E:E,0))</f>
        <v>1061</v>
      </c>
      <c r="J794" s="88" t="str">
        <f>INDEX('MPG Payment '!$D:$D,MATCH('Shayak Income '!D794,'MPG Payment '!E:E,0))</f>
        <v>Mahua BMC</v>
      </c>
      <c r="K794" s="125" t="s">
        <v>1594</v>
      </c>
      <c r="L794" s="125">
        <v>46097</v>
      </c>
      <c r="M794" s="126">
        <f>SUMIF('MPG Payment '!$E$3:$E$344841,'Shayak Income '!D794,'MPG Payment '!$I$3:$I$344841)</f>
        <v>818.8</v>
      </c>
      <c r="N794" s="126">
        <f>SUMIF('MPG Payment '!$E$3:$E$344841,'Shayak Income '!D794,'MPG Payment '!$J$3:$J$344841)</f>
        <v>36017.949999999997</v>
      </c>
      <c r="O794" s="126">
        <f t="shared" si="250"/>
        <v>614.09999999999991</v>
      </c>
      <c r="P794" s="126">
        <f t="shared" si="251"/>
        <v>777.8599999999999</v>
      </c>
      <c r="Q794" s="126">
        <f>SUMIF('MPG Payment '!$E$3:$E$344841,'Shayak Income '!D794,'MPG Payment '!$S$3:$S$344841)</f>
        <v>0</v>
      </c>
      <c r="R794" s="126">
        <f t="shared" si="240"/>
        <v>1080.5384999999999</v>
      </c>
      <c r="S794" s="126">
        <f t="shared" si="241"/>
        <v>302.67849999999999</v>
      </c>
      <c r="T794" s="126">
        <f t="shared" si="252"/>
        <v>81.88</v>
      </c>
      <c r="U794" s="127">
        <f>((((((IF(K794="New",0,SUMIF('MPG Payment '!$E$3:$E$344841,'Shayak Income '!D794,'MPG Payment '!$AC$3:$AC$344841))))+0)+0)+0)+0)+-408</f>
        <v>1310.3063273095588</v>
      </c>
      <c r="V794" s="127">
        <f t="shared" si="253"/>
        <v>0</v>
      </c>
      <c r="W794" s="19">
        <v>0</v>
      </c>
      <c r="X794" s="19">
        <v>0</v>
      </c>
      <c r="Y794" s="128">
        <v>0</v>
      </c>
      <c r="Z794" s="128">
        <v>0</v>
      </c>
      <c r="AA794" s="126">
        <v>0</v>
      </c>
      <c r="AB794" s="129">
        <f t="shared" si="242"/>
        <v>0</v>
      </c>
      <c r="AC794" s="130">
        <v>0</v>
      </c>
      <c r="AD794" s="35">
        <f t="shared" si="235"/>
        <v>0</v>
      </c>
      <c r="AE794" s="166" t="str">
        <f t="shared" si="256"/>
        <v>Release</v>
      </c>
      <c r="AF794" s="127"/>
      <c r="AG794" s="18">
        <v>0</v>
      </c>
      <c r="AH794" s="120"/>
      <c r="AI794" s="238">
        <v>0</v>
      </c>
      <c r="AJ794" s="132"/>
      <c r="AK794" s="151">
        <v>251.10000000000002</v>
      </c>
      <c r="AL794" s="154">
        <f t="shared" si="236"/>
        <v>0</v>
      </c>
      <c r="AM794" s="155"/>
      <c r="AN794" s="19">
        <f t="shared" si="245"/>
        <v>1861</v>
      </c>
      <c r="AO794" s="118">
        <f>SUMIF('MPG Payment '!E:E,'Shayak Income '!D794,'MPG Payment '!AJ:AJ)</f>
        <v>0</v>
      </c>
      <c r="AP794" s="19">
        <f t="shared" si="246"/>
        <v>0</v>
      </c>
      <c r="AQ794" s="119">
        <f t="shared" si="237"/>
        <v>0</v>
      </c>
      <c r="AR794" s="91" t="s">
        <v>1144</v>
      </c>
      <c r="AS794" s="91">
        <f t="shared" si="248"/>
        <v>12800</v>
      </c>
      <c r="AT794" s="118"/>
      <c r="AU794" s="118"/>
      <c r="AV794" s="118"/>
    </row>
    <row r="795" spans="1:48" s="20" customFormat="1" x14ac:dyDescent="0.25">
      <c r="A795" s="17">
        <f>IFERROR(VLOOKUP(D795,'Monthly Deduction'!$I$3:$J$957,2,0),0)</f>
        <v>72767.01974897139</v>
      </c>
      <c r="B795" s="17">
        <f>IFERROR(VLOOKUP(D795,'Monthly Deduction'!$E$3:$F$957,2,0),0)</f>
        <v>12800</v>
      </c>
      <c r="C795" s="17">
        <f t="shared" si="234"/>
        <v>85567.01974897139</v>
      </c>
      <c r="D795" s="41">
        <v>10610018</v>
      </c>
      <c r="E795" s="122" t="str">
        <f>VLOOKUP(D795,'MPG Payment '!$E$3:$G$497305,2,0)</f>
        <v>GOMUKH SUPOLTARIYA</v>
      </c>
      <c r="F795" s="146">
        <f>IFERROR(_xlfn.XLOOKUP(D795,'Monthly Deduction'!$I$3:$I$957,'Monthly Deduction'!$H$3:$H$957),0)</f>
        <v>0</v>
      </c>
      <c r="G795" s="123" t="str">
        <f>VLOOKUP(D795,'MPG Payment '!$E$3:$G$333666,3,0)</f>
        <v>MPG</v>
      </c>
      <c r="H795" s="124" t="str">
        <f>VLOOKUP(D795,'MPG Payment '!$E$3:$H$333666,4,0)</f>
        <v>Direct</v>
      </c>
      <c r="I795" s="88">
        <f>INDEX('MPG Payment '!$C:$C,MATCH('Shayak Income '!D795,'MPG Payment '!E:E,0))</f>
        <v>1061</v>
      </c>
      <c r="J795" s="88" t="str">
        <f>INDEX('MPG Payment '!$D:$D,MATCH('Shayak Income '!D795,'MPG Payment '!E:E,0))</f>
        <v>Mahua BMC</v>
      </c>
      <c r="K795" s="125" t="s">
        <v>1594</v>
      </c>
      <c r="L795" s="125">
        <v>46097</v>
      </c>
      <c r="M795" s="126">
        <f>SUMIF('MPG Payment '!$E$3:$E$344841,'Shayak Income '!D795,'MPG Payment '!$I$3:$I$344841)</f>
        <v>1950.8</v>
      </c>
      <c r="N795" s="126">
        <f>SUMIF('MPG Payment '!$E$3:$E$344841,'Shayak Income '!D795,'MPG Payment '!$J$3:$J$344841)</f>
        <v>88585.88</v>
      </c>
      <c r="O795" s="126">
        <f t="shared" si="250"/>
        <v>1463.1</v>
      </c>
      <c r="P795" s="126">
        <f t="shared" si="251"/>
        <v>1853.2599999999998</v>
      </c>
      <c r="Q795" s="126">
        <f>SUMIF('MPG Payment '!$E$3:$E$344841,'Shayak Income '!D795,'MPG Payment '!$S$3:$S$344841)</f>
        <v>0</v>
      </c>
      <c r="R795" s="126">
        <f t="shared" si="240"/>
        <v>2657.5763999999999</v>
      </c>
      <c r="S795" s="126">
        <f t="shared" si="241"/>
        <v>804.31640000000016</v>
      </c>
      <c r="T795" s="126">
        <f t="shared" si="252"/>
        <v>195.08</v>
      </c>
      <c r="U795" s="127">
        <f>((((((IF(K795="New",0,SUMIF('MPG Payment '!$E$3:$E$344841,'Shayak Income '!D795,'MPG Payment '!$AC$3:$AC$344841))))+0)+0)+0)+0)+0</f>
        <v>771.21778125987703</v>
      </c>
      <c r="V795" s="127">
        <f t="shared" si="253"/>
        <v>2350</v>
      </c>
      <c r="W795" s="19">
        <f t="shared" si="254"/>
        <v>1861</v>
      </c>
      <c r="X795" s="19">
        <v>0</v>
      </c>
      <c r="Y795" s="128">
        <f>IFERROR(VLOOKUP(D795,'Monthly Deduction'!$M$2:$N$640,2,0),0)</f>
        <v>0</v>
      </c>
      <c r="Z795" s="128">
        <v>0</v>
      </c>
      <c r="AA795" s="126">
        <f>IFERROR(VLOOKUP(D795,'Monthly Deduction'!A:B,2,0),0)</f>
        <v>0</v>
      </c>
      <c r="AB795" s="129">
        <f t="shared" si="242"/>
        <v>489</v>
      </c>
      <c r="AC795" s="130">
        <f>AB795</f>
        <v>489</v>
      </c>
      <c r="AD795" s="35">
        <f t="shared" si="235"/>
        <v>0</v>
      </c>
      <c r="AE795" s="166" t="str">
        <f t="shared" si="256"/>
        <v>Yes</v>
      </c>
      <c r="AF795" s="127"/>
      <c r="AG795" s="18">
        <v>0</v>
      </c>
      <c r="AH795" s="120" t="s">
        <v>1685</v>
      </c>
      <c r="AI795" s="238">
        <v>10000</v>
      </c>
      <c r="AJ795" s="132"/>
      <c r="AK795" s="151">
        <v>608.5</v>
      </c>
      <c r="AL795" s="154">
        <f t="shared" si="236"/>
        <v>0</v>
      </c>
      <c r="AM795" s="155"/>
      <c r="AN795" s="19">
        <f t="shared" si="245"/>
        <v>1861</v>
      </c>
      <c r="AO795" s="118">
        <f>SUMIF('MPG Payment '!E:E,'Shayak Income '!D795,'MPG Payment '!AJ:AJ)</f>
        <v>0</v>
      </c>
      <c r="AP795" s="19">
        <f t="shared" si="246"/>
        <v>1861</v>
      </c>
      <c r="AQ795" s="119">
        <f t="shared" si="237"/>
        <v>1861</v>
      </c>
      <c r="AR795" s="91" t="s">
        <v>1144</v>
      </c>
      <c r="AS795" s="91">
        <f t="shared" si="248"/>
        <v>12800</v>
      </c>
      <c r="AT795" s="118"/>
      <c r="AU795" s="118"/>
      <c r="AV795" s="118"/>
    </row>
    <row r="796" spans="1:48" s="20" customFormat="1" x14ac:dyDescent="0.25">
      <c r="A796" s="17">
        <f>IFERROR(VLOOKUP(D796,'Monthly Deduction'!$I$3:$J$957,2,0),0)</f>
        <v>63631</v>
      </c>
      <c r="B796" s="17">
        <f>IFERROR(VLOOKUP(D796,'Monthly Deduction'!$E$3:$F$957,2,0),0)</f>
        <v>12800</v>
      </c>
      <c r="C796" s="17">
        <f t="shared" si="234"/>
        <v>76431</v>
      </c>
      <c r="D796" s="41">
        <v>10610020</v>
      </c>
      <c r="E796" s="122" t="str">
        <f>VLOOKUP(D796,'MPG Payment '!$E$3:$G$497305,2,0)</f>
        <v>GOMUKH Jilwara</v>
      </c>
      <c r="F796" s="146">
        <f>IFERROR(_xlfn.XLOOKUP(D796,'Monthly Deduction'!$I$3:$I$957,'Monthly Deduction'!$H$3:$H$957),0)</f>
        <v>0</v>
      </c>
      <c r="G796" s="123" t="str">
        <f>VLOOKUP(D796,'MPG Payment '!$E$3:$G$333666,3,0)</f>
        <v>MPG</v>
      </c>
      <c r="H796" s="124" t="str">
        <f>VLOOKUP(D796,'MPG Payment '!$E$3:$H$333666,4,0)</f>
        <v>Direct</v>
      </c>
      <c r="I796" s="88">
        <f>INDEX('MPG Payment '!$C:$C,MATCH('Shayak Income '!D796,'MPG Payment '!E:E,0))</f>
        <v>1061</v>
      </c>
      <c r="J796" s="88" t="str">
        <f>INDEX('MPG Payment '!$D:$D,MATCH('Shayak Income '!D796,'MPG Payment '!E:E,0))</f>
        <v>Mahua BMC</v>
      </c>
      <c r="K796" s="125" t="s">
        <v>1594</v>
      </c>
      <c r="L796" s="125">
        <v>46097</v>
      </c>
      <c r="M796" s="126">
        <f>SUMIF('MPG Payment '!$E$3:$E$344841,'Shayak Income '!D796,'MPG Payment '!$I$3:$I$344841)</f>
        <v>1362.4</v>
      </c>
      <c r="N796" s="126">
        <f>SUMIF('MPG Payment '!$E$3:$E$344841,'Shayak Income '!D796,'MPG Payment '!$J$3:$J$344841)</f>
        <v>59221.760000000002</v>
      </c>
      <c r="O796" s="126">
        <f t="shared" si="250"/>
        <v>1021.8000000000001</v>
      </c>
      <c r="P796" s="126">
        <f t="shared" si="251"/>
        <v>1294.28</v>
      </c>
      <c r="Q796" s="126">
        <f>SUMIF('MPG Payment '!$E$3:$E$344841,'Shayak Income '!D796,'MPG Payment '!$S$3:$S$344841)</f>
        <v>410.31</v>
      </c>
      <c r="R796" s="126">
        <f t="shared" si="240"/>
        <v>1776.6528000000001</v>
      </c>
      <c r="S796" s="126">
        <f t="shared" si="241"/>
        <v>482.3728000000001</v>
      </c>
      <c r="T796" s="126">
        <f t="shared" si="252"/>
        <v>136.24</v>
      </c>
      <c r="U796" s="127">
        <f>((((((IF(K796="New",0,SUMIF('MPG Payment '!$E$3:$E$344841,'Shayak Income '!D796,'MPG Payment '!$AC$3:$AC$344841))))+0)+0)+0)+0)+0</f>
        <v>1251.6750210516848</v>
      </c>
      <c r="V796" s="127">
        <f t="shared" si="253"/>
        <v>1338</v>
      </c>
      <c r="W796" s="19">
        <v>1338</v>
      </c>
      <c r="X796" s="19">
        <v>0</v>
      </c>
      <c r="Y796" s="128">
        <f>IFERROR(VLOOKUP(D796,'Monthly Deduction'!$M$2:$N$640,2,0),0)</f>
        <v>0</v>
      </c>
      <c r="Z796" s="128">
        <v>0</v>
      </c>
      <c r="AA796" s="126">
        <f>IFERROR(VLOOKUP(D796,'Monthly Deduction'!A:B,2,0),0)</f>
        <v>0</v>
      </c>
      <c r="AB796" s="129">
        <f t="shared" si="242"/>
        <v>0</v>
      </c>
      <c r="AC796" s="130">
        <v>0</v>
      </c>
      <c r="AD796" s="35">
        <f t="shared" si="235"/>
        <v>0</v>
      </c>
      <c r="AE796" s="166" t="str">
        <f t="shared" si="256"/>
        <v>Release</v>
      </c>
      <c r="AF796" s="127"/>
      <c r="AG796" s="18">
        <v>0</v>
      </c>
      <c r="AH796" s="132"/>
      <c r="AI796" s="238">
        <v>0</v>
      </c>
      <c r="AJ796" s="132"/>
      <c r="AK796" s="151">
        <v>291.8</v>
      </c>
      <c r="AL796" s="154">
        <f t="shared" si="236"/>
        <v>0</v>
      </c>
      <c r="AM796" s="155"/>
      <c r="AN796" s="19">
        <f t="shared" si="245"/>
        <v>1861</v>
      </c>
      <c r="AO796" s="118">
        <f>SUMIF('MPG Payment '!E:E,'Shayak Income '!D796,'MPG Payment '!AJ:AJ)</f>
        <v>0</v>
      </c>
      <c r="AP796" s="19">
        <f t="shared" si="246"/>
        <v>1338</v>
      </c>
      <c r="AQ796" s="119">
        <f t="shared" si="237"/>
        <v>1338</v>
      </c>
      <c r="AR796" s="91" t="s">
        <v>1144</v>
      </c>
      <c r="AS796" s="91">
        <f t="shared" si="248"/>
        <v>12800</v>
      </c>
      <c r="AT796" s="118"/>
      <c r="AU796" s="118"/>
      <c r="AV796" s="118"/>
    </row>
    <row r="797" spans="1:48" s="20" customFormat="1" x14ac:dyDescent="0.25">
      <c r="A797" s="17">
        <f>IFERROR(VLOOKUP(D797,'Monthly Deduction'!$I$3:$J$957,2,0),0)</f>
        <v>65000</v>
      </c>
      <c r="B797" s="17">
        <f>IFERROR(VLOOKUP(D797,'Monthly Deduction'!$E$3:$F$957,2,0),0)</f>
        <v>12800</v>
      </c>
      <c r="C797" s="17">
        <f t="shared" si="234"/>
        <v>77800</v>
      </c>
      <c r="D797" s="41">
        <v>10610022</v>
      </c>
      <c r="E797" s="122" t="str">
        <f>VLOOKUP(D797,'MPG Payment '!$E$3:$G$497305,2,0)</f>
        <v>GOMUKH ABBUCHAK</v>
      </c>
      <c r="F797" s="146">
        <f>IFERROR(_xlfn.XLOOKUP(D797,'Monthly Deduction'!$I$3:$I$957,'Monthly Deduction'!$H$3:$H$957),0)</f>
        <v>0</v>
      </c>
      <c r="G797" s="123" t="str">
        <f>VLOOKUP(D797,'MPG Payment '!$E$3:$G$333666,3,0)</f>
        <v>MPG</v>
      </c>
      <c r="H797" s="124" t="str">
        <f>VLOOKUP(D797,'MPG Payment '!$E$3:$H$333666,4,0)</f>
        <v>Direct</v>
      </c>
      <c r="I797" s="88">
        <f>INDEX('MPG Payment '!$C:$C,MATCH('Shayak Income '!D797,'MPG Payment '!E:E,0))</f>
        <v>1061</v>
      </c>
      <c r="J797" s="88" t="str">
        <f>INDEX('MPG Payment '!$D:$D,MATCH('Shayak Income '!D797,'MPG Payment '!E:E,0))</f>
        <v>Mahua BMC</v>
      </c>
      <c r="K797" s="125" t="s">
        <v>1594</v>
      </c>
      <c r="L797" s="125">
        <v>46097</v>
      </c>
      <c r="M797" s="126">
        <f>SUMIF('MPG Payment '!$E$3:$E$344841,'Shayak Income '!D797,'MPG Payment '!$I$3:$I$344841)</f>
        <v>765.6</v>
      </c>
      <c r="N797" s="126">
        <f>SUMIF('MPG Payment '!$E$3:$E$344841,'Shayak Income '!D797,'MPG Payment '!$J$3:$J$344841)</f>
        <v>40200.959999999999</v>
      </c>
      <c r="O797" s="126">
        <f t="shared" si="250"/>
        <v>574.20000000000005</v>
      </c>
      <c r="P797" s="126">
        <f t="shared" si="251"/>
        <v>727.31999999999994</v>
      </c>
      <c r="Q797" s="126">
        <f>SUMIF('MPG Payment '!$E$3:$E$344841,'Shayak Income '!D797,'MPG Payment '!$S$3:$S$344841)</f>
        <v>0</v>
      </c>
      <c r="R797" s="126">
        <f t="shared" si="240"/>
        <v>1206.0287999999998</v>
      </c>
      <c r="S797" s="126">
        <f t="shared" si="241"/>
        <v>478.70879999999988</v>
      </c>
      <c r="T797" s="126">
        <f t="shared" si="252"/>
        <v>76.56</v>
      </c>
      <c r="U797" s="127">
        <f>((((((IF(K797="New",0,SUMIF('MPG Payment '!$E$3:$E$344841,'Shayak Income '!D797,'MPG Payment '!$AC$3:$AC$344841))))+0)+0)+0)+0)+-917</f>
        <v>1224.4723431549419</v>
      </c>
      <c r="V797" s="127">
        <f t="shared" si="253"/>
        <v>0</v>
      </c>
      <c r="W797" s="19">
        <v>0</v>
      </c>
      <c r="X797" s="19">
        <v>0</v>
      </c>
      <c r="Y797" s="128">
        <v>0</v>
      </c>
      <c r="Z797" s="128">
        <v>0</v>
      </c>
      <c r="AA797" s="126">
        <v>0</v>
      </c>
      <c r="AB797" s="129">
        <f t="shared" si="242"/>
        <v>0</v>
      </c>
      <c r="AC797" s="130">
        <v>0</v>
      </c>
      <c r="AD797" s="35">
        <f t="shared" si="235"/>
        <v>0</v>
      </c>
      <c r="AE797" s="166" t="str">
        <f t="shared" si="256"/>
        <v>Release</v>
      </c>
      <c r="AF797" s="127"/>
      <c r="AG797" s="18">
        <v>0</v>
      </c>
      <c r="AH797" s="132"/>
      <c r="AI797" s="238">
        <v>0</v>
      </c>
      <c r="AJ797" s="132"/>
      <c r="AK797" s="151">
        <v>219.6</v>
      </c>
      <c r="AL797" s="154">
        <f t="shared" si="236"/>
        <v>0</v>
      </c>
      <c r="AM797" s="155"/>
      <c r="AN797" s="19">
        <f t="shared" si="245"/>
        <v>1861</v>
      </c>
      <c r="AO797" s="118">
        <f>SUMIF('MPG Payment '!E:E,'Shayak Income '!D797,'MPG Payment '!AJ:AJ)</f>
        <v>0</v>
      </c>
      <c r="AP797" s="19">
        <f t="shared" si="246"/>
        <v>0</v>
      </c>
      <c r="AQ797" s="119">
        <f t="shared" si="237"/>
        <v>0</v>
      </c>
      <c r="AR797" s="91" t="s">
        <v>1144</v>
      </c>
      <c r="AS797" s="91">
        <f t="shared" si="248"/>
        <v>12800</v>
      </c>
      <c r="AT797" s="118"/>
      <c r="AU797" s="118"/>
      <c r="AV797" s="118"/>
    </row>
    <row r="798" spans="1:48" s="20" customFormat="1" x14ac:dyDescent="0.25">
      <c r="A798" s="17">
        <f>IFERROR(VLOOKUP(D798,'Monthly Deduction'!$I$3:$J$957,2,0),0)</f>
        <v>0</v>
      </c>
      <c r="B798" s="17">
        <f>IFERROR(VLOOKUP(D798,'Monthly Deduction'!$E$3:$F$957,2,0),0)</f>
        <v>0</v>
      </c>
      <c r="C798" s="17">
        <f t="shared" si="234"/>
        <v>0</v>
      </c>
      <c r="D798" s="41">
        <v>10610025</v>
      </c>
      <c r="E798" s="122" t="str">
        <f>VLOOKUP(D798,'MPG Payment '!$E$3:$G$497305,2,0)</f>
        <v>Gomukh Dumari</v>
      </c>
      <c r="F798" s="146">
        <f>IFERROR(_xlfn.XLOOKUP(D798,'Monthly Deduction'!$I$3:$I$957,'Monthly Deduction'!$H$3:$H$957),0)</f>
        <v>0</v>
      </c>
      <c r="G798" s="123" t="str">
        <f>VLOOKUP(D798,'MPG Payment '!$E$3:$G$333666,3,0)</f>
        <v>vlc</v>
      </c>
      <c r="H798" s="124" t="str">
        <f>VLOOKUP(D798,'MPG Payment '!$E$3:$H$333666,4,0)</f>
        <v>Indirect</v>
      </c>
      <c r="I798" s="88">
        <f>INDEX('MPG Payment '!$C:$C,MATCH('Shayak Income '!D798,'MPG Payment '!E:E,0))</f>
        <v>1061</v>
      </c>
      <c r="J798" s="88" t="str">
        <f>INDEX('MPG Payment '!$D:$D,MATCH('Shayak Income '!D798,'MPG Payment '!E:E,0))</f>
        <v>Mahua BMC</v>
      </c>
      <c r="K798" s="125" t="s">
        <v>1594</v>
      </c>
      <c r="L798" s="125">
        <v>46097</v>
      </c>
      <c r="M798" s="126">
        <f>SUMIF('MPG Payment '!$E$3:$E$344841,'Shayak Income '!D798,'MPG Payment '!$I$3:$I$344841)</f>
        <v>14.6</v>
      </c>
      <c r="N798" s="126">
        <f>SUMIF('MPG Payment '!$E$3:$E$344841,'Shayak Income '!D798,'MPG Payment '!$J$3:$J$344841)</f>
        <v>580.95000000000005</v>
      </c>
      <c r="O798" s="126">
        <f t="shared" si="250"/>
        <v>10.95</v>
      </c>
      <c r="P798" s="126">
        <f t="shared" si="251"/>
        <v>13.87</v>
      </c>
      <c r="Q798" s="126">
        <f>SUMIF('MPG Payment '!$E$3:$E$344841,'Shayak Income '!D798,'MPG Payment '!$S$3:$S$344841)</f>
        <v>0</v>
      </c>
      <c r="R798" s="126">
        <f t="shared" si="240"/>
        <v>17.4285</v>
      </c>
      <c r="S798" s="126">
        <f t="shared" si="241"/>
        <v>3.5585000000000004</v>
      </c>
      <c r="T798" s="126">
        <f t="shared" si="252"/>
        <v>1.46</v>
      </c>
      <c r="U798" s="127">
        <f>((((((IF(K798="New",0,SUMIF('MPG Payment '!$E$3:$E$344841,'Shayak Income '!D798,'MPG Payment '!$AC$3:$AC$344841))))+0)+0)+0)+0)+-522</f>
        <v>23.456342465753437</v>
      </c>
      <c r="V798" s="127">
        <f t="shared" si="253"/>
        <v>0</v>
      </c>
      <c r="W798" s="19">
        <v>0</v>
      </c>
      <c r="X798" s="19">
        <v>0</v>
      </c>
      <c r="Y798" s="128">
        <v>0</v>
      </c>
      <c r="Z798" s="128">
        <v>0</v>
      </c>
      <c r="AA798" s="126">
        <v>0</v>
      </c>
      <c r="AB798" s="129">
        <f t="shared" si="242"/>
        <v>0</v>
      </c>
      <c r="AC798" s="130">
        <f>AB798</f>
        <v>0</v>
      </c>
      <c r="AD798" s="35">
        <f t="shared" si="235"/>
        <v>0</v>
      </c>
      <c r="AE798" s="166" t="str">
        <f t="shared" si="256"/>
        <v>Release</v>
      </c>
      <c r="AF798" s="127"/>
      <c r="AG798" s="18">
        <v>0</v>
      </c>
      <c r="AH798" s="132" t="s">
        <v>1597</v>
      </c>
      <c r="AI798" s="238">
        <v>0</v>
      </c>
      <c r="AJ798" s="132"/>
      <c r="AK798" s="151">
        <v>0</v>
      </c>
      <c r="AL798" s="154">
        <f t="shared" si="236"/>
        <v>0</v>
      </c>
      <c r="AM798" s="155"/>
      <c r="AN798" s="19">
        <f t="shared" si="245"/>
        <v>0</v>
      </c>
      <c r="AO798" s="118">
        <f>SUMIF('MPG Payment '!E:E,'Shayak Income '!D798,'MPG Payment '!AJ:AJ)</f>
        <v>0</v>
      </c>
      <c r="AP798" s="19">
        <f t="shared" si="246"/>
        <v>0</v>
      </c>
      <c r="AQ798" s="119">
        <f t="shared" si="237"/>
        <v>0</v>
      </c>
      <c r="AR798" s="91" t="s">
        <v>1144</v>
      </c>
      <c r="AS798" s="91">
        <f t="shared" si="248"/>
        <v>0</v>
      </c>
      <c r="AT798" s="118"/>
      <c r="AU798" s="118"/>
      <c r="AV798" s="118"/>
    </row>
    <row r="799" spans="1:48" s="20" customFormat="1" x14ac:dyDescent="0.25">
      <c r="A799" s="17">
        <f>IFERROR(VLOOKUP(D799,'Monthly Deduction'!$I$3:$J$957,2,0),0)</f>
        <v>0</v>
      </c>
      <c r="B799" s="17">
        <f>IFERROR(VLOOKUP(D799,'Monthly Deduction'!$E$3:$F$957,2,0),0)</f>
        <v>0</v>
      </c>
      <c r="C799" s="17">
        <f t="shared" si="223"/>
        <v>0</v>
      </c>
      <c r="D799" s="41">
        <v>10630016</v>
      </c>
      <c r="E799" s="122" t="str">
        <f>VLOOKUP(D799,'MPG Payment '!$E$3:$G$497305,2,0)</f>
        <v>Madhuban 2</v>
      </c>
      <c r="F799" s="146">
        <f>IFERROR(_xlfn.XLOOKUP(D799,'Monthly Deduction'!$I$3:$I$957,'Monthly Deduction'!$H$3:$H$957),0)</f>
        <v>0</v>
      </c>
      <c r="G799" s="123" t="str">
        <f>VLOOKUP(D799,'MPG Payment '!$E$3:$G$333666,3,0)</f>
        <v>vlc</v>
      </c>
      <c r="H799" s="124" t="str">
        <f>VLOOKUP(D799,'MPG Payment '!$E$3:$H$333666,4,0)</f>
        <v>Indirect</v>
      </c>
      <c r="I799" s="88">
        <f>INDEX('MPG Payment '!$C:$C,MATCH('Shayak Income '!D799,'MPG Payment '!E:E,0))</f>
        <v>1057</v>
      </c>
      <c r="J799" s="88" t="str">
        <f>INDEX('MPG Payment '!$D:$D,MATCH('Shayak Income '!D799,'MPG Payment '!E:E,0))</f>
        <v>Warisnagar</v>
      </c>
      <c r="K799" s="125" t="s">
        <v>1594</v>
      </c>
      <c r="L799" s="125">
        <v>46100</v>
      </c>
      <c r="M799" s="126">
        <f>SUMIF('MPG Payment '!$E$3:$E$344841,'Shayak Income '!D799,'MPG Payment '!$I$3:$I$344841)</f>
        <v>1759.9</v>
      </c>
      <c r="N799" s="126">
        <f>SUMIF('MPG Payment '!$E$3:$E$344841,'Shayak Income '!D799,'MPG Payment '!$J$3:$J$344841)</f>
        <v>67047.91</v>
      </c>
      <c r="O799" s="126">
        <f t="shared" si="250"/>
        <v>1319.9250000000002</v>
      </c>
      <c r="P799" s="126">
        <f t="shared" si="251"/>
        <v>1671.905</v>
      </c>
      <c r="Q799" s="126">
        <f>SUMIF('MPG Payment '!$E$3:$E$344841,'Shayak Income '!D799,'MPG Payment '!$S$3:$S$344841)</f>
        <v>0</v>
      </c>
      <c r="R799" s="126">
        <f t="shared" si="240"/>
        <v>2011.4373000000001</v>
      </c>
      <c r="S799" s="126">
        <f t="shared" si="241"/>
        <v>339.53230000000008</v>
      </c>
      <c r="T799" s="126">
        <f t="shared" si="252"/>
        <v>175.99</v>
      </c>
      <c r="U799" s="127">
        <f>((((((IF(K799="New",0,SUMIF('MPG Payment '!$E$3:$E$344841,'Shayak Income '!D799,'MPG Payment '!$AC$3:$AC$344841))))+0)+0)+0)+0)+0</f>
        <v>796.24342648516881</v>
      </c>
      <c r="V799" s="127">
        <f t="shared" si="253"/>
        <v>2020</v>
      </c>
      <c r="W799" s="19">
        <f t="shared" si="254"/>
        <v>0</v>
      </c>
      <c r="X799" s="19">
        <f t="shared" si="261"/>
        <v>0</v>
      </c>
      <c r="Y799" s="128">
        <f>IFERROR(VLOOKUP(D799,'Monthly Deduction'!$M$2:$N$640,2,0),0)</f>
        <v>0</v>
      </c>
      <c r="Z799" s="128">
        <v>0</v>
      </c>
      <c r="AA799" s="126">
        <f>IFERROR(VLOOKUP(D799,'Monthly Deduction'!A:B,2,0),0)</f>
        <v>0</v>
      </c>
      <c r="AB799" s="129">
        <f t="shared" si="242"/>
        <v>2020</v>
      </c>
      <c r="AC799" s="130">
        <v>0</v>
      </c>
      <c r="AD799" s="35">
        <f t="shared" si="224"/>
        <v>2020</v>
      </c>
      <c r="AE799" s="166" t="str">
        <f t="shared" si="256"/>
        <v>Release</v>
      </c>
      <c r="AF799" s="127"/>
      <c r="AG799" s="18">
        <v>0</v>
      </c>
      <c r="AH799" s="132"/>
      <c r="AI799" s="238">
        <v>0</v>
      </c>
      <c r="AJ799" s="132"/>
      <c r="AK799" s="151">
        <v>585.5</v>
      </c>
      <c r="AL799" s="154">
        <f t="shared" si="209"/>
        <v>0</v>
      </c>
      <c r="AM799" s="155"/>
      <c r="AN799" s="19">
        <f t="shared" si="245"/>
        <v>0</v>
      </c>
      <c r="AO799" s="118">
        <f>SUMIF('MPG Payment '!E:E,'Shayak Income '!D799,'MPG Payment '!AJ:AJ)</f>
        <v>0</v>
      </c>
      <c r="AP799" s="19">
        <f t="shared" si="246"/>
        <v>0</v>
      </c>
      <c r="AQ799" s="119">
        <f t="shared" si="225"/>
        <v>0</v>
      </c>
      <c r="AR799" s="91" t="s">
        <v>1144</v>
      </c>
      <c r="AS799" s="91">
        <f t="shared" si="248"/>
        <v>0</v>
      </c>
      <c r="AT799" s="118"/>
      <c r="AU799" s="118"/>
      <c r="AV799" s="118"/>
    </row>
    <row r="800" spans="1:48" s="20" customFormat="1" x14ac:dyDescent="0.25">
      <c r="A800" s="17">
        <f>IFERROR(VLOOKUP(D800,'Monthly Deduction'!$I$3:$J$957,2,0),0)</f>
        <v>0</v>
      </c>
      <c r="B800" s="17">
        <f>IFERROR(VLOOKUP(D800,'Monthly Deduction'!$E$3:$F$957,2,0),0)</f>
        <v>0</v>
      </c>
      <c r="C800" s="17">
        <f t="shared" si="223"/>
        <v>0</v>
      </c>
      <c r="D800" s="41">
        <v>10630017</v>
      </c>
      <c r="E800" s="122" t="str">
        <f>VLOOKUP(D800,'MPG Payment '!$E$3:$G$497305,2,0)</f>
        <v>Yadav Jee</v>
      </c>
      <c r="F800" s="146">
        <f>IFERROR(_xlfn.XLOOKUP(D800,'Monthly Deduction'!$I$3:$I$957,'Monthly Deduction'!$H$3:$H$957),0)</f>
        <v>0</v>
      </c>
      <c r="G800" s="123" t="str">
        <f>VLOOKUP(D800,'MPG Payment '!$E$3:$G$333666,3,0)</f>
        <v>vlc</v>
      </c>
      <c r="H800" s="124" t="str">
        <f>VLOOKUP(D800,'MPG Payment '!$E$3:$H$333666,4,0)</f>
        <v>Indirect</v>
      </c>
      <c r="I800" s="88">
        <f>INDEX('MPG Payment '!$C:$C,MATCH('Shayak Income '!D800,'MPG Payment '!E:E,0))</f>
        <v>1063</v>
      </c>
      <c r="J800" s="88" t="str">
        <f>INDEX('MPG Payment '!$D:$D,MATCH('Shayak Income '!D800,'MPG Payment '!E:E,0))</f>
        <v>Rosera</v>
      </c>
      <c r="K800" s="125" t="s">
        <v>1594</v>
      </c>
      <c r="L800" s="125">
        <v>46100</v>
      </c>
      <c r="M800" s="126">
        <f>SUMIF('MPG Payment '!$E$3:$E$344841,'Shayak Income '!D800,'MPG Payment '!$I$3:$I$344841)</f>
        <v>795.80000000000007</v>
      </c>
      <c r="N800" s="126">
        <f>SUMIF('MPG Payment '!$E$3:$E$344841,'Shayak Income '!D800,'MPG Payment '!$J$3:$J$344841)</f>
        <v>31303.710000000003</v>
      </c>
      <c r="O800" s="126">
        <f t="shared" si="250"/>
        <v>596.85</v>
      </c>
      <c r="P800" s="126">
        <f t="shared" si="251"/>
        <v>756.01</v>
      </c>
      <c r="Q800" s="126">
        <f>SUMIF('MPG Payment '!$E$3:$E$344841,'Shayak Income '!D800,'MPG Payment '!$S$3:$S$344841)</f>
        <v>0</v>
      </c>
      <c r="R800" s="126">
        <f t="shared" si="240"/>
        <v>939.11130000000003</v>
      </c>
      <c r="S800" s="126">
        <f t="shared" si="241"/>
        <v>183.10130000000004</v>
      </c>
      <c r="T800" s="126">
        <f t="shared" si="252"/>
        <v>79.580000000000013</v>
      </c>
      <c r="U800" s="127">
        <f>((((((IF(K800="New",0,SUMIF('MPG Payment '!$E$3:$E$344841,'Shayak Income '!D800,'MPG Payment '!$AC$3:$AC$344841))))+0)+0)+0)+0)+-288</f>
        <v>1273.1585061843828</v>
      </c>
      <c r="V800" s="127">
        <f t="shared" si="253"/>
        <v>0</v>
      </c>
      <c r="W800" s="19">
        <v>0</v>
      </c>
      <c r="X800" s="19">
        <v>0</v>
      </c>
      <c r="Y800" s="128">
        <v>0</v>
      </c>
      <c r="Z800" s="128">
        <v>0</v>
      </c>
      <c r="AA800" s="126">
        <v>0</v>
      </c>
      <c r="AB800" s="129">
        <f t="shared" si="242"/>
        <v>0</v>
      </c>
      <c r="AC800" s="130">
        <v>0</v>
      </c>
      <c r="AD800" s="35">
        <f t="shared" si="224"/>
        <v>0</v>
      </c>
      <c r="AE800" s="166" t="str">
        <f t="shared" si="256"/>
        <v>Release</v>
      </c>
      <c r="AF800" s="127"/>
      <c r="AG800" s="18">
        <v>0</v>
      </c>
      <c r="AH800" s="120"/>
      <c r="AI800" s="238">
        <v>0</v>
      </c>
      <c r="AJ800" s="132"/>
      <c r="AK800" s="151">
        <v>139.19999999999999</v>
      </c>
      <c r="AL800" s="154">
        <f t="shared" si="209"/>
        <v>0</v>
      </c>
      <c r="AM800" s="155"/>
      <c r="AN800" s="19">
        <f t="shared" si="245"/>
        <v>0</v>
      </c>
      <c r="AO800" s="118">
        <f>SUMIF('MPG Payment '!E:E,'Shayak Income '!D800,'MPG Payment '!AJ:AJ)</f>
        <v>0</v>
      </c>
      <c r="AP800" s="19">
        <f t="shared" si="246"/>
        <v>0</v>
      </c>
      <c r="AQ800" s="119">
        <f t="shared" si="225"/>
        <v>0</v>
      </c>
      <c r="AR800" s="91" t="s">
        <v>1144</v>
      </c>
      <c r="AS800" s="91">
        <f t="shared" si="248"/>
        <v>0</v>
      </c>
      <c r="AT800" s="118"/>
      <c r="AU800" s="118"/>
      <c r="AV800" s="118"/>
    </row>
    <row r="801" spans="1:48" s="20" customFormat="1" x14ac:dyDescent="0.25">
      <c r="A801" s="17">
        <f>IFERROR(VLOOKUP(D801,'Monthly Deduction'!$I$3:$J$957,2,0),0)</f>
        <v>0</v>
      </c>
      <c r="B801" s="17">
        <f>IFERROR(VLOOKUP(D801,'Monthly Deduction'!$E$3:$F$957,2,0),0)</f>
        <v>0</v>
      </c>
      <c r="C801" s="17">
        <f t="shared" ref="C801:C885" si="263">A801+B801</f>
        <v>0</v>
      </c>
      <c r="D801" s="41">
        <v>10630019</v>
      </c>
      <c r="E801" s="122" t="str">
        <f>VLOOKUP(D801,'MPG Payment '!$E$3:$G$497305,2,0)</f>
        <v xml:space="preserve">Durgaashtan </v>
      </c>
      <c r="F801" s="146">
        <f>IFERROR(_xlfn.XLOOKUP(D801,'Monthly Deduction'!$I$3:$I$957,'Monthly Deduction'!$H$3:$H$957),0)</f>
        <v>0</v>
      </c>
      <c r="G801" s="123" t="str">
        <f>VLOOKUP(D801,'MPG Payment '!$E$3:$G$333666,3,0)</f>
        <v>vlc</v>
      </c>
      <c r="H801" s="124" t="str">
        <f>VLOOKUP(D801,'MPG Payment '!$E$3:$H$333666,4,0)</f>
        <v>Indirect</v>
      </c>
      <c r="I801" s="88">
        <f>INDEX('MPG Payment '!$C:$C,MATCH('Shayak Income '!D801,'MPG Payment '!E:E,0))</f>
        <v>1063</v>
      </c>
      <c r="J801" s="88" t="str">
        <f>INDEX('MPG Payment '!$D:$D,MATCH('Shayak Income '!D801,'MPG Payment '!E:E,0))</f>
        <v>Rosera</v>
      </c>
      <c r="K801" s="125" t="s">
        <v>1594</v>
      </c>
      <c r="L801" s="125">
        <v>46099</v>
      </c>
      <c r="M801" s="126">
        <f>SUMIF('MPG Payment '!$E$3:$E$344841,'Shayak Income '!D801,'MPG Payment '!$I$3:$I$344841)</f>
        <v>4407.7</v>
      </c>
      <c r="N801" s="126">
        <f>SUMIF('MPG Payment '!$E$3:$E$344841,'Shayak Income '!D801,'MPG Payment '!$J$3:$J$344841)</f>
        <v>165438.07999999999</v>
      </c>
      <c r="O801" s="126">
        <f t="shared" si="250"/>
        <v>3305.7749999999996</v>
      </c>
      <c r="P801" s="126">
        <f t="shared" si="251"/>
        <v>4187.3149999999996</v>
      </c>
      <c r="Q801" s="126">
        <f>SUMIF('MPG Payment '!$E$3:$E$344841,'Shayak Income '!D801,'MPG Payment '!$S$3:$S$344841)</f>
        <v>0</v>
      </c>
      <c r="R801" s="126">
        <f t="shared" si="240"/>
        <v>4963.1423999999997</v>
      </c>
      <c r="S801" s="126">
        <f t="shared" si="241"/>
        <v>775.82740000000013</v>
      </c>
      <c r="T801" s="126">
        <f t="shared" si="252"/>
        <v>440.77</v>
      </c>
      <c r="U801" s="127">
        <f>((((((IF(K801="New",0,SUMIF('MPG Payment '!$E$3:$E$344841,'Shayak Income '!D801,'MPG Payment '!$AC$3:$AC$344841))))+0)+0)+0)+0)+0</f>
        <v>0</v>
      </c>
      <c r="V801" s="127">
        <f t="shared" si="253"/>
        <v>7052</v>
      </c>
      <c r="W801" s="19">
        <f t="shared" si="254"/>
        <v>0</v>
      </c>
      <c r="X801" s="19">
        <f t="shared" si="261"/>
        <v>0</v>
      </c>
      <c r="Y801" s="128">
        <f>IFERROR(VLOOKUP(D801,'Monthly Deduction'!$M$2:$N$640,2,0),0)</f>
        <v>0</v>
      </c>
      <c r="Z801" s="128">
        <v>0</v>
      </c>
      <c r="AA801" s="126">
        <f>IFERROR(VLOOKUP(D801,'Monthly Deduction'!A:B,2,0),0)</f>
        <v>0</v>
      </c>
      <c r="AB801" s="129">
        <f t="shared" si="242"/>
        <v>7052</v>
      </c>
      <c r="AC801" s="130">
        <v>0</v>
      </c>
      <c r="AD801" s="35">
        <f t="shared" ref="AD801:AD885" si="264">ROUND(AB801-AC801,0)</f>
        <v>7052</v>
      </c>
      <c r="AE801" s="166" t="str">
        <f t="shared" si="256"/>
        <v>Release</v>
      </c>
      <c r="AF801" s="127"/>
      <c r="AG801" s="18">
        <v>0</v>
      </c>
      <c r="AH801" s="132"/>
      <c r="AI801" s="238">
        <v>0</v>
      </c>
      <c r="AJ801" s="132"/>
      <c r="AK801" s="151">
        <v>1085.8</v>
      </c>
      <c r="AL801" s="154">
        <f t="shared" ref="AL801:AL885" si="265">COUNTIF(AK801:AK801,"=NA")</f>
        <v>0</v>
      </c>
      <c r="AM801" s="155"/>
      <c r="AN801" s="19">
        <f t="shared" si="245"/>
        <v>0</v>
      </c>
      <c r="AO801" s="118">
        <f>SUMIF('MPG Payment '!E:E,'Shayak Income '!D801,'MPG Payment '!AJ:AJ)</f>
        <v>0</v>
      </c>
      <c r="AP801" s="19">
        <f t="shared" si="246"/>
        <v>0</v>
      </c>
      <c r="AQ801" s="119">
        <f t="shared" ref="AQ801:AQ885" si="266">AO801+AP801</f>
        <v>0</v>
      </c>
      <c r="AR801" s="91" t="s">
        <v>1144</v>
      </c>
      <c r="AS801" s="91">
        <f t="shared" si="248"/>
        <v>0</v>
      </c>
      <c r="AT801" s="118"/>
      <c r="AU801" s="118"/>
      <c r="AV801" s="118"/>
    </row>
    <row r="802" spans="1:48" s="20" customFormat="1" x14ac:dyDescent="0.25">
      <c r="A802" s="17">
        <f>IFERROR(VLOOKUP(D802,'Monthly Deduction'!$I$3:$J$957,2,0),0)</f>
        <v>64095</v>
      </c>
      <c r="B802" s="17">
        <f>IFERROR(VLOOKUP(D802,'Monthly Deduction'!$E$3:$F$957,2,0),0)</f>
        <v>12800</v>
      </c>
      <c r="C802" s="17">
        <f t="shared" si="263"/>
        <v>76895</v>
      </c>
      <c r="D802" s="41">
        <v>10650001</v>
      </c>
      <c r="E802" s="122" t="str">
        <f>VLOOKUP(D802,'MPG Payment '!$E$3:$G$497305,2,0)</f>
        <v>Gomukh Vijaiya</v>
      </c>
      <c r="F802" s="146">
        <f>IFERROR(_xlfn.XLOOKUP(D802,'Monthly Deduction'!$I$3:$I$957,'Monthly Deduction'!$H$3:$H$957),0)</f>
        <v>0</v>
      </c>
      <c r="G802" s="123" t="str">
        <f>VLOOKUP(D802,'MPG Payment '!$E$3:$G$333666,3,0)</f>
        <v>MPG</v>
      </c>
      <c r="H802" s="124" t="str">
        <f>VLOOKUP(D802,'MPG Payment '!$E$3:$H$333666,4,0)</f>
        <v>Direct</v>
      </c>
      <c r="I802" s="88">
        <f>INDEX('MPG Payment '!$C:$C,MATCH('Shayak Income '!D802,'MPG Payment '!E:E,0))</f>
        <v>1065</v>
      </c>
      <c r="J802" s="88" t="str">
        <f>INDEX('MPG Payment '!$D:$D,MATCH('Shayak Income '!D802,'MPG Payment '!E:E,0))</f>
        <v>Bachhwara BMC</v>
      </c>
      <c r="K802" s="125" t="s">
        <v>1594</v>
      </c>
      <c r="L802" s="125">
        <v>46097</v>
      </c>
      <c r="M802" s="126">
        <f>SUMIF('MPG Payment '!$E$3:$E$344841,'Shayak Income '!D802,'MPG Payment '!$I$3:$I$344841)</f>
        <v>1309.4000000000001</v>
      </c>
      <c r="N802" s="126">
        <f>SUMIF('MPG Payment '!$E$3:$E$344841,'Shayak Income '!D802,'MPG Payment '!$J$3:$J$344841)</f>
        <v>52927.94</v>
      </c>
      <c r="O802" s="126">
        <f t="shared" si="250"/>
        <v>982.05000000000007</v>
      </c>
      <c r="P802" s="126">
        <f t="shared" si="251"/>
        <v>1243.93</v>
      </c>
      <c r="Q802" s="126">
        <f>SUMIF('MPG Payment '!$E$3:$E$344841,'Shayak Income '!D802,'MPG Payment '!$S$3:$S$344841)</f>
        <v>0</v>
      </c>
      <c r="R802" s="126">
        <f t="shared" si="240"/>
        <v>1587.8381999999999</v>
      </c>
      <c r="S802" s="126">
        <f t="shared" si="241"/>
        <v>343.90819999999985</v>
      </c>
      <c r="T802" s="126">
        <f t="shared" si="252"/>
        <v>130.94000000000003</v>
      </c>
      <c r="U802" s="127">
        <f>((((((IF(K802="New",0,SUMIF('MPG Payment '!$E$3:$E$344841,'Shayak Income '!D802,'MPG Payment '!$AC$3:$AC$344841))))+0)+0)+0)+0)+0</f>
        <v>1204.7597624967771</v>
      </c>
      <c r="V802" s="127">
        <f t="shared" si="253"/>
        <v>890</v>
      </c>
      <c r="W802" s="19">
        <v>890</v>
      </c>
      <c r="X802" s="19">
        <v>0</v>
      </c>
      <c r="Y802" s="128">
        <f>IFERROR(VLOOKUP(D802,'Monthly Deduction'!$M$2:$N$640,2,0),0)</f>
        <v>0</v>
      </c>
      <c r="Z802" s="128">
        <v>0</v>
      </c>
      <c r="AA802" s="126">
        <f>IFERROR(VLOOKUP(D802,'Monthly Deduction'!A:B,2,0),0)</f>
        <v>0</v>
      </c>
      <c r="AB802" s="129">
        <f t="shared" si="242"/>
        <v>0</v>
      </c>
      <c r="AC802" s="130">
        <v>0</v>
      </c>
      <c r="AD802" s="35">
        <f t="shared" si="264"/>
        <v>0</v>
      </c>
      <c r="AE802" s="166" t="str">
        <f t="shared" si="256"/>
        <v>Release</v>
      </c>
      <c r="AF802" s="127"/>
      <c r="AG802" s="18">
        <v>0</v>
      </c>
      <c r="AH802" s="120"/>
      <c r="AI802" s="238">
        <v>0</v>
      </c>
      <c r="AJ802" s="132"/>
      <c r="AK802" s="151">
        <v>339.15000000000003</v>
      </c>
      <c r="AL802" s="154">
        <f t="shared" si="265"/>
        <v>0</v>
      </c>
      <c r="AM802" s="155"/>
      <c r="AN802" s="19">
        <f t="shared" si="245"/>
        <v>1861</v>
      </c>
      <c r="AO802" s="118">
        <f>SUMIF('MPG Payment '!E:E,'Shayak Income '!D802,'MPG Payment '!AJ:AJ)</f>
        <v>0</v>
      </c>
      <c r="AP802" s="19">
        <f t="shared" si="246"/>
        <v>890</v>
      </c>
      <c r="AQ802" s="119">
        <f t="shared" si="266"/>
        <v>890</v>
      </c>
      <c r="AR802" s="91" t="s">
        <v>1144</v>
      </c>
      <c r="AS802" s="91">
        <f t="shared" si="248"/>
        <v>12800</v>
      </c>
      <c r="AT802" s="118"/>
      <c r="AU802" s="118"/>
      <c r="AV802" s="118"/>
    </row>
    <row r="803" spans="1:48" s="20" customFormat="1" x14ac:dyDescent="0.25">
      <c r="A803" s="17">
        <f>IFERROR(VLOOKUP(D803,'Monthly Deduction'!$I$3:$J$957,2,0),0)</f>
        <v>59893.270895980997</v>
      </c>
      <c r="B803" s="17">
        <f>IFERROR(VLOOKUP(D803,'Monthly Deduction'!$E$3:$F$957,2,0),0)</f>
        <v>12800</v>
      </c>
      <c r="C803" s="17">
        <f t="shared" ref="C803:C858" si="267">A803+B803</f>
        <v>72693.270895980997</v>
      </c>
      <c r="D803" s="41">
        <v>10650003</v>
      </c>
      <c r="E803" s="122" t="str">
        <f>VLOOKUP(D803,'MPG Payment '!$E$3:$G$497305,2,0)</f>
        <v>Gomukh Gangauli</v>
      </c>
      <c r="F803" s="146">
        <f>IFERROR(_xlfn.XLOOKUP(D803,'Monthly Deduction'!$I$3:$I$957,'Monthly Deduction'!$H$3:$H$957),0)</f>
        <v>0</v>
      </c>
      <c r="G803" s="123" t="str">
        <f>VLOOKUP(D803,'MPG Payment '!$E$3:$G$333666,3,0)</f>
        <v>MPG</v>
      </c>
      <c r="H803" s="124" t="str">
        <f>VLOOKUP(D803,'MPG Payment '!$E$3:$H$333666,4,0)</f>
        <v>Direct</v>
      </c>
      <c r="I803" s="88">
        <f>INDEX('MPG Payment '!$C:$C,MATCH('Shayak Income '!D803,'MPG Payment '!E:E,0))</f>
        <v>1065</v>
      </c>
      <c r="J803" s="88" t="str">
        <f>INDEX('MPG Payment '!$D:$D,MATCH('Shayak Income '!D803,'MPG Payment '!E:E,0))</f>
        <v>Bachhwara BMC</v>
      </c>
      <c r="K803" s="125" t="s">
        <v>1594</v>
      </c>
      <c r="L803" s="125">
        <v>46097</v>
      </c>
      <c r="M803" s="126">
        <f>SUMIF('MPG Payment '!$E$3:$E$344841,'Shayak Income '!D803,'MPG Payment '!$I$3:$I$344841)</f>
        <v>4673.3999999999996</v>
      </c>
      <c r="N803" s="126">
        <f>SUMIF('MPG Payment '!$E$3:$E$344841,'Shayak Income '!D803,'MPG Payment '!$J$3:$J$344841)</f>
        <v>196994.29</v>
      </c>
      <c r="O803" s="126">
        <f t="shared" ref="O803:O858" si="268">+M803*0.75</f>
        <v>3505.0499999999997</v>
      </c>
      <c r="P803" s="126">
        <f t="shared" ref="P803:P858" si="269">+M803*0.95</f>
        <v>4439.7299999999996</v>
      </c>
      <c r="Q803" s="126">
        <f>SUMIF('MPG Payment '!$E$3:$E$344841,'Shayak Income '!D803,'MPG Payment '!$S$3:$S$344841)</f>
        <v>0</v>
      </c>
      <c r="R803" s="126">
        <f t="shared" ref="R803:R858" si="270">+N803*3%</f>
        <v>5909.8287</v>
      </c>
      <c r="S803" s="126">
        <f t="shared" ref="S803:S858" si="271">R803-P803</f>
        <v>1470.0987000000005</v>
      </c>
      <c r="T803" s="126">
        <f t="shared" si="252"/>
        <v>467.34</v>
      </c>
      <c r="U803" s="127">
        <f>((((((IF(K803="New",0,SUMIF('MPG Payment '!$E$3:$E$344841,'Shayak Income '!D803,'MPG Payment '!$AC$3:$AC$344841))))+0)+0)+0)+0)+0</f>
        <v>0</v>
      </c>
      <c r="V803" s="127">
        <f t="shared" si="253"/>
        <v>7477</v>
      </c>
      <c r="W803" s="19">
        <f t="shared" si="254"/>
        <v>3939.8858000000005</v>
      </c>
      <c r="X803" s="19">
        <v>0</v>
      </c>
      <c r="Y803" s="128">
        <f>IFERROR(VLOOKUP(D803,'Monthly Deduction'!$M$2:$N$640,2,0),0)</f>
        <v>0</v>
      </c>
      <c r="Z803" s="128">
        <v>0</v>
      </c>
      <c r="AA803" s="126">
        <f>IFERROR(VLOOKUP(D803,'Monthly Deduction'!A:B,2,0),0)</f>
        <v>0</v>
      </c>
      <c r="AB803" s="129">
        <f t="shared" si="242"/>
        <v>3537</v>
      </c>
      <c r="AC803" s="130">
        <v>0</v>
      </c>
      <c r="AD803" s="35">
        <f t="shared" ref="AD803:AD858" si="272">ROUND(AB803-AC803,0)</f>
        <v>3537</v>
      </c>
      <c r="AE803" s="166" t="str">
        <f t="shared" si="256"/>
        <v>Release</v>
      </c>
      <c r="AF803" s="127"/>
      <c r="AG803" s="18">
        <v>0</v>
      </c>
      <c r="AH803" s="132"/>
      <c r="AI803" s="238">
        <v>0</v>
      </c>
      <c r="AJ803" s="132"/>
      <c r="AK803" s="151">
        <v>1187</v>
      </c>
      <c r="AL803" s="154">
        <f t="shared" ref="AL803:AL858" si="273">COUNTIF(AK803:AK803,"=NA")</f>
        <v>0</v>
      </c>
      <c r="AM803" s="155"/>
      <c r="AN803" s="19">
        <f t="shared" si="245"/>
        <v>3939.8858000000005</v>
      </c>
      <c r="AO803" s="118">
        <f>SUMIF('MPG Payment '!E:E,'Shayak Income '!D803,'MPG Payment '!AJ:AJ)</f>
        <v>0</v>
      </c>
      <c r="AP803" s="19">
        <f t="shared" si="246"/>
        <v>3939.8858000000005</v>
      </c>
      <c r="AQ803" s="119">
        <f t="shared" ref="AQ803:AQ858" si="274">AO803+AP803</f>
        <v>3939.8858000000005</v>
      </c>
      <c r="AR803" s="91" t="s">
        <v>1144</v>
      </c>
      <c r="AS803" s="91">
        <f t="shared" si="248"/>
        <v>12800</v>
      </c>
      <c r="AT803" s="118"/>
      <c r="AU803" s="118"/>
      <c r="AV803" s="118"/>
    </row>
    <row r="804" spans="1:48" s="20" customFormat="1" x14ac:dyDescent="0.25">
      <c r="A804" s="17">
        <f>IFERROR(VLOOKUP(D804,'Monthly Deduction'!$I$3:$J$957,2,0),0)</f>
        <v>0</v>
      </c>
      <c r="B804" s="17">
        <f>IFERROR(VLOOKUP(D804,'Monthly Deduction'!$E$3:$F$957,2,0),0)</f>
        <v>0</v>
      </c>
      <c r="C804" s="17">
        <f t="shared" si="267"/>
        <v>0</v>
      </c>
      <c r="D804" s="41">
        <v>10110188</v>
      </c>
      <c r="E804" s="122" t="str">
        <f>VLOOKUP(D804,'MPG Payment '!$E$3:$G$497305,2,0)</f>
        <v>Phulmalik</v>
      </c>
      <c r="F804" s="146">
        <f>IFERROR(_xlfn.XLOOKUP(D804,'Monthly Deduction'!$I$3:$I$957,'Monthly Deduction'!$H$3:$H$957),0)</f>
        <v>0</v>
      </c>
      <c r="G804" s="123" t="str">
        <f>VLOOKUP(D804,'MPG Payment '!$E$3:$G$333666,3,0)</f>
        <v>vlc</v>
      </c>
      <c r="H804" s="124" t="str">
        <f>VLOOKUP(D804,'MPG Payment '!$E$3:$H$333666,4,0)</f>
        <v>Indirect</v>
      </c>
      <c r="I804" s="88">
        <f>INDEX('MPG Payment '!$C:$C,MATCH('Shayak Income '!D804,'MPG Payment '!E:E,0))</f>
        <v>1011</v>
      </c>
      <c r="J804" s="88" t="str">
        <f>INDEX('MPG Payment '!$D:$D,MATCH('Shayak Income '!D804,'MPG Payment '!E:E,0))</f>
        <v>Sahibpur Kamal</v>
      </c>
      <c r="K804" s="125" t="s">
        <v>1594</v>
      </c>
      <c r="L804" s="125">
        <v>46102</v>
      </c>
      <c r="M804" s="126">
        <f>SUMIF('MPG Payment '!$E$3:$E$344841,'Shayak Income '!D804,'MPG Payment '!$I$3:$I$344841)</f>
        <v>380.09999999999997</v>
      </c>
      <c r="N804" s="126">
        <f>SUMIF('MPG Payment '!$E$3:$E$344841,'Shayak Income '!D804,'MPG Payment '!$J$3:$J$344841)</f>
        <v>14791.62</v>
      </c>
      <c r="O804" s="126">
        <f t="shared" si="268"/>
        <v>285.07499999999999</v>
      </c>
      <c r="P804" s="126">
        <f t="shared" si="269"/>
        <v>361.09499999999997</v>
      </c>
      <c r="Q804" s="126">
        <f>SUMIF('MPG Payment '!$E$3:$E$344841,'Shayak Income '!D804,'MPG Payment '!$S$3:$S$344841)</f>
        <v>0</v>
      </c>
      <c r="R804" s="126">
        <f t="shared" si="270"/>
        <v>443.74860000000001</v>
      </c>
      <c r="S804" s="126">
        <f t="shared" si="271"/>
        <v>82.65360000000004</v>
      </c>
      <c r="T804" s="126">
        <f t="shared" si="252"/>
        <v>38.01</v>
      </c>
      <c r="U804" s="127">
        <f>((((((IF(K804="New",0,SUMIF('MPG Payment '!$E$3:$E$344841,'Shayak Income '!D804,'MPG Payment '!$AC$3:$AC$344841))))+0)+0)+0)+0)+-717</f>
        <v>607.72612407738325</v>
      </c>
      <c r="V804" s="127">
        <f t="shared" si="253"/>
        <v>0</v>
      </c>
      <c r="W804" s="19">
        <v>0</v>
      </c>
      <c r="X804" s="19">
        <v>0</v>
      </c>
      <c r="Y804" s="128">
        <v>0</v>
      </c>
      <c r="Z804" s="128">
        <v>0</v>
      </c>
      <c r="AA804" s="126">
        <v>0</v>
      </c>
      <c r="AB804" s="129">
        <f t="shared" si="242"/>
        <v>0</v>
      </c>
      <c r="AC804" s="130">
        <f>AB804</f>
        <v>0</v>
      </c>
      <c r="AD804" s="35">
        <f t="shared" si="272"/>
        <v>0</v>
      </c>
      <c r="AE804" s="166" t="str">
        <f t="shared" si="256"/>
        <v>Release</v>
      </c>
      <c r="AF804" s="127"/>
      <c r="AG804" s="18">
        <v>0</v>
      </c>
      <c r="AH804" s="132" t="s">
        <v>1597</v>
      </c>
      <c r="AI804" s="238">
        <v>0</v>
      </c>
      <c r="AJ804" s="132"/>
      <c r="AK804" s="151">
        <v>0</v>
      </c>
      <c r="AL804" s="154">
        <f t="shared" si="273"/>
        <v>0</v>
      </c>
      <c r="AM804" s="155"/>
      <c r="AN804" s="19">
        <f t="shared" si="245"/>
        <v>0</v>
      </c>
      <c r="AO804" s="118">
        <f>SUMIF('MPG Payment '!E:E,'Shayak Income '!D804,'MPG Payment '!AJ:AJ)</f>
        <v>0</v>
      </c>
      <c r="AP804" s="19">
        <f t="shared" si="246"/>
        <v>0</v>
      </c>
      <c r="AQ804" s="119">
        <f t="shared" si="274"/>
        <v>0</v>
      </c>
      <c r="AR804" s="91" t="s">
        <v>1144</v>
      </c>
      <c r="AS804" s="91">
        <f t="shared" si="248"/>
        <v>0</v>
      </c>
      <c r="AT804" s="118"/>
      <c r="AU804" s="118"/>
      <c r="AV804" s="118"/>
    </row>
    <row r="805" spans="1:48" s="20" customFormat="1" x14ac:dyDescent="0.25">
      <c r="A805" s="17">
        <f>IFERROR(VLOOKUP(D805,'Monthly Deduction'!$I$3:$J$957,2,0),0)</f>
        <v>63139</v>
      </c>
      <c r="B805" s="17">
        <f>IFERROR(VLOOKUP(D805,'Monthly Deduction'!$E$3:$F$957,2,0),0)</f>
        <v>0</v>
      </c>
      <c r="C805" s="17">
        <f t="shared" si="267"/>
        <v>63139</v>
      </c>
      <c r="D805" s="41">
        <v>10540046</v>
      </c>
      <c r="E805" s="122" t="str">
        <f>VLOOKUP(D805,'MPG Payment '!$E$3:$G$497305,2,0)</f>
        <v xml:space="preserve">Gomukh Hathwan </v>
      </c>
      <c r="F805" s="146">
        <f>IFERROR(_xlfn.XLOOKUP(D805,'Monthly Deduction'!$I$3:$I$957,'Monthly Deduction'!$H$3:$H$957),0)</f>
        <v>0</v>
      </c>
      <c r="G805" s="123" t="str">
        <f>VLOOKUP(D805,'MPG Payment '!$E$3:$G$333666,3,0)</f>
        <v>MPG</v>
      </c>
      <c r="H805" s="124" t="str">
        <f>VLOOKUP(D805,'MPG Payment '!$E$3:$H$333666,4,0)</f>
        <v>Direct</v>
      </c>
      <c r="I805" s="88">
        <f>INDEX('MPG Payment '!$C:$C,MATCH('Shayak Income '!D805,'MPG Payment '!E:E,0))</f>
        <v>1054</v>
      </c>
      <c r="J805" s="88" t="str">
        <f>INDEX('MPG Payment '!$D:$D,MATCH('Shayak Income '!D805,'MPG Payment '!E:E,0))</f>
        <v xml:space="preserve">Alauli </v>
      </c>
      <c r="K805" s="125" t="s">
        <v>1594</v>
      </c>
      <c r="L805" s="125">
        <v>46101</v>
      </c>
      <c r="M805" s="126">
        <f>SUMIF('MPG Payment '!$E$3:$E$344841,'Shayak Income '!D805,'MPG Payment '!$I$3:$I$344841)</f>
        <v>1918.1</v>
      </c>
      <c r="N805" s="126">
        <f>SUMIF('MPG Payment '!$E$3:$E$344841,'Shayak Income '!D805,'MPG Payment '!$J$3:$J$344841)</f>
        <v>79562.94</v>
      </c>
      <c r="O805" s="126">
        <f t="shared" si="268"/>
        <v>1438.5749999999998</v>
      </c>
      <c r="P805" s="126">
        <f t="shared" si="269"/>
        <v>1822.1949999999999</v>
      </c>
      <c r="Q805" s="126">
        <f>SUMIF('MPG Payment '!$E$3:$E$344841,'Shayak Income '!D805,'MPG Payment '!$S$3:$S$344841)</f>
        <v>0</v>
      </c>
      <c r="R805" s="126">
        <f t="shared" si="270"/>
        <v>2386.8881999999999</v>
      </c>
      <c r="S805" s="126">
        <f t="shared" si="271"/>
        <v>564.69319999999993</v>
      </c>
      <c r="T805" s="126">
        <f t="shared" si="252"/>
        <v>191.81</v>
      </c>
      <c r="U805" s="127">
        <f>((((((IF(K805="New",0,SUMIF('MPG Payment '!$E$3:$E$344841,'Shayak Income '!D805,'MPG Payment '!$AC$3:$AC$344841))))+0)+0)+0)+0)+0</f>
        <v>731.14105513694494</v>
      </c>
      <c r="V805" s="127">
        <f t="shared" si="253"/>
        <v>2338</v>
      </c>
      <c r="W805" s="19">
        <f t="shared" si="254"/>
        <v>1861</v>
      </c>
      <c r="X805" s="19">
        <v>0</v>
      </c>
      <c r="Y805" s="128">
        <f>IFERROR(VLOOKUP(D805,'Monthly Deduction'!$M$2:$N$640,2,0),0)</f>
        <v>0</v>
      </c>
      <c r="Z805" s="128">
        <v>0</v>
      </c>
      <c r="AA805" s="126">
        <v>477</v>
      </c>
      <c r="AB805" s="129">
        <f t="shared" si="242"/>
        <v>0</v>
      </c>
      <c r="AC805" s="130">
        <v>0</v>
      </c>
      <c r="AD805" s="35">
        <f t="shared" si="272"/>
        <v>0</v>
      </c>
      <c r="AE805" s="166" t="str">
        <f t="shared" si="256"/>
        <v>Release</v>
      </c>
      <c r="AF805" s="127"/>
      <c r="AG805" s="18">
        <v>0</v>
      </c>
      <c r="AH805" s="132"/>
      <c r="AI805" s="238">
        <v>0</v>
      </c>
      <c r="AJ805" s="132"/>
      <c r="AK805" s="151">
        <v>646.5</v>
      </c>
      <c r="AL805" s="154">
        <f t="shared" si="273"/>
        <v>0</v>
      </c>
      <c r="AM805" s="155"/>
      <c r="AN805" s="19">
        <f t="shared" si="245"/>
        <v>1861</v>
      </c>
      <c r="AO805" s="118">
        <f>SUMIF('MPG Payment '!E:E,'Shayak Income '!D805,'MPG Payment '!AJ:AJ)</f>
        <v>0</v>
      </c>
      <c r="AP805" s="19">
        <f t="shared" si="246"/>
        <v>1861</v>
      </c>
      <c r="AQ805" s="119">
        <f t="shared" si="274"/>
        <v>1861</v>
      </c>
      <c r="AR805" s="91" t="s">
        <v>1144</v>
      </c>
      <c r="AS805" s="91">
        <f t="shared" si="248"/>
        <v>0</v>
      </c>
      <c r="AT805" s="118"/>
      <c r="AU805" s="118"/>
      <c r="AV805" s="118"/>
    </row>
    <row r="806" spans="1:48" s="20" customFormat="1" x14ac:dyDescent="0.25">
      <c r="A806" s="17">
        <f>IFERROR(VLOOKUP(D806,'Monthly Deduction'!$I$3:$J$957,2,0),0)</f>
        <v>0</v>
      </c>
      <c r="B806" s="17">
        <f>IFERROR(VLOOKUP(D806,'Monthly Deduction'!$E$3:$F$957,2,0),0)</f>
        <v>0</v>
      </c>
      <c r="C806" s="17">
        <f t="shared" si="267"/>
        <v>0</v>
      </c>
      <c r="D806" s="41">
        <v>10550008</v>
      </c>
      <c r="E806" s="122" t="str">
        <f>VLOOKUP(D806,'MPG Payment '!$E$3:$G$497305,2,0)</f>
        <v>Saidpur</v>
      </c>
      <c r="F806" s="146">
        <f>IFERROR(_xlfn.XLOOKUP(D806,'Monthly Deduction'!$I$3:$I$957,'Monthly Deduction'!$H$3:$H$957),0)</f>
        <v>0</v>
      </c>
      <c r="G806" s="123" t="str">
        <f>VLOOKUP(D806,'MPG Payment '!$E$3:$G$333666,3,0)</f>
        <v>vlc</v>
      </c>
      <c r="H806" s="124" t="str">
        <f>VLOOKUP(D806,'MPG Payment '!$E$3:$H$333666,4,0)</f>
        <v>Indirect</v>
      </c>
      <c r="I806" s="88">
        <f>INDEX('MPG Payment '!$C:$C,MATCH('Shayak Income '!D806,'MPG Payment '!E:E,0))</f>
        <v>1055</v>
      </c>
      <c r="J806" s="88" t="str">
        <f>INDEX('MPG Payment '!$D:$D,MATCH('Shayak Income '!D806,'MPG Payment '!E:E,0))</f>
        <v>Matihani</v>
      </c>
      <c r="K806" s="125" t="s">
        <v>1594</v>
      </c>
      <c r="L806" s="125">
        <v>46102</v>
      </c>
      <c r="M806" s="126">
        <f>SUMIF('MPG Payment '!$E$3:$E$344841,'Shayak Income '!D806,'MPG Payment '!$I$3:$I$344841)</f>
        <v>1245.6000000000001</v>
      </c>
      <c r="N806" s="126">
        <f>SUMIF('MPG Payment '!$E$3:$E$344841,'Shayak Income '!D806,'MPG Payment '!$J$3:$J$344841)</f>
        <v>44542</v>
      </c>
      <c r="O806" s="126">
        <f t="shared" si="268"/>
        <v>934.2</v>
      </c>
      <c r="P806" s="126">
        <f t="shared" si="269"/>
        <v>1183.3200000000002</v>
      </c>
      <c r="Q806" s="126">
        <f>SUMIF('MPG Payment '!$E$3:$E$344841,'Shayak Income '!D806,'MPG Payment '!$S$3:$S$344841)</f>
        <v>0</v>
      </c>
      <c r="R806" s="126">
        <f t="shared" si="270"/>
        <v>1336.26</v>
      </c>
      <c r="S806" s="126">
        <f t="shared" si="271"/>
        <v>152.93999999999983</v>
      </c>
      <c r="T806" s="126">
        <f t="shared" si="252"/>
        <v>124.56000000000002</v>
      </c>
      <c r="U806" s="127">
        <f>((((((IF(K806="New",0,SUMIF('MPG Payment '!$E$3:$E$344841,'Shayak Income '!D806,'MPG Payment '!$AC$3:$AC$344841))))+0)+0)+0)+0)+0</f>
        <v>1117.3791112300398</v>
      </c>
      <c r="V806" s="127">
        <f t="shared" si="253"/>
        <v>876</v>
      </c>
      <c r="W806" s="19">
        <f t="shared" si="254"/>
        <v>0</v>
      </c>
      <c r="X806" s="19">
        <f t="shared" si="261"/>
        <v>0</v>
      </c>
      <c r="Y806" s="128">
        <f>IFERROR(VLOOKUP(D806,'Monthly Deduction'!$M$2:$N$640,2,0),0)</f>
        <v>0</v>
      </c>
      <c r="Z806" s="128">
        <v>0</v>
      </c>
      <c r="AA806" s="126">
        <f>IFERROR(VLOOKUP(D806,'Monthly Deduction'!A:B,2,0),0)</f>
        <v>0</v>
      </c>
      <c r="AB806" s="129">
        <f t="shared" si="242"/>
        <v>876</v>
      </c>
      <c r="AC806" s="130">
        <v>0</v>
      </c>
      <c r="AD806" s="35">
        <f t="shared" si="272"/>
        <v>876</v>
      </c>
      <c r="AE806" s="166" t="str">
        <f t="shared" si="256"/>
        <v>Release</v>
      </c>
      <c r="AF806" s="127"/>
      <c r="AG806" s="18">
        <v>0</v>
      </c>
      <c r="AH806" s="120"/>
      <c r="AI806" s="238">
        <v>0</v>
      </c>
      <c r="AJ806" s="132"/>
      <c r="AK806" s="151">
        <v>255.79999999999998</v>
      </c>
      <c r="AL806" s="154">
        <f t="shared" si="273"/>
        <v>0</v>
      </c>
      <c r="AM806" s="155"/>
      <c r="AN806" s="19">
        <f t="shared" si="245"/>
        <v>0</v>
      </c>
      <c r="AO806" s="118">
        <f>SUMIF('MPG Payment '!E:E,'Shayak Income '!D806,'MPG Payment '!AJ:AJ)</f>
        <v>0</v>
      </c>
      <c r="AP806" s="19">
        <f t="shared" si="246"/>
        <v>0</v>
      </c>
      <c r="AQ806" s="119">
        <f t="shared" si="274"/>
        <v>0</v>
      </c>
      <c r="AR806" s="91" t="s">
        <v>1144</v>
      </c>
      <c r="AS806" s="91">
        <f t="shared" si="248"/>
        <v>0</v>
      </c>
      <c r="AT806" s="118"/>
      <c r="AU806" s="118"/>
      <c r="AV806" s="118"/>
    </row>
    <row r="807" spans="1:48" s="20" customFormat="1" x14ac:dyDescent="0.25">
      <c r="A807" s="17">
        <f>IFERROR(VLOOKUP(D807,'Monthly Deduction'!$I$3:$J$957,2,0),0)</f>
        <v>0</v>
      </c>
      <c r="B807" s="17">
        <f>IFERROR(VLOOKUP(D807,'Monthly Deduction'!$E$3:$F$957,2,0),0)</f>
        <v>0</v>
      </c>
      <c r="C807" s="17">
        <f t="shared" si="267"/>
        <v>0</v>
      </c>
      <c r="D807" s="41">
        <v>10570053</v>
      </c>
      <c r="E807" s="122" t="str">
        <f>VLOOKUP(D807,'MPG Payment '!$E$3:$G$497305,2,0)</f>
        <v>Kanu Bisanpur</v>
      </c>
      <c r="F807" s="146">
        <f>IFERROR(_xlfn.XLOOKUP(D807,'Monthly Deduction'!$I$3:$I$957,'Monthly Deduction'!$H$3:$H$957),0)</f>
        <v>0</v>
      </c>
      <c r="G807" s="123" t="str">
        <f>VLOOKUP(D807,'MPG Payment '!$E$3:$G$333666,3,0)</f>
        <v>vlc</v>
      </c>
      <c r="H807" s="124" t="str">
        <f>VLOOKUP(D807,'MPG Payment '!$E$3:$H$333666,4,0)</f>
        <v>Indirect</v>
      </c>
      <c r="I807" s="88">
        <f>INDEX('MPG Payment '!$C:$C,MATCH('Shayak Income '!D807,'MPG Payment '!E:E,0))</f>
        <v>1057</v>
      </c>
      <c r="J807" s="88" t="str">
        <f>INDEX('MPG Payment '!$D:$D,MATCH('Shayak Income '!D807,'MPG Payment '!E:E,0))</f>
        <v>Warisnagar</v>
      </c>
      <c r="K807" s="125" t="s">
        <v>1594</v>
      </c>
      <c r="L807" s="125">
        <v>46107</v>
      </c>
      <c r="M807" s="126">
        <f>SUMIF('MPG Payment '!$E$3:$E$344841,'Shayak Income '!D807,'MPG Payment '!$I$3:$I$344841)</f>
        <v>801</v>
      </c>
      <c r="N807" s="126">
        <f>SUMIF('MPG Payment '!$E$3:$E$344841,'Shayak Income '!D807,'MPG Payment '!$J$3:$J$344841)</f>
        <v>31468.440000000002</v>
      </c>
      <c r="O807" s="126">
        <f t="shared" si="268"/>
        <v>600.75</v>
      </c>
      <c r="P807" s="126">
        <f t="shared" si="269"/>
        <v>760.94999999999993</v>
      </c>
      <c r="Q807" s="126">
        <f>SUMIF('MPG Payment '!$E$3:$E$344841,'Shayak Income '!D807,'MPG Payment '!$S$3:$S$344841)</f>
        <v>0</v>
      </c>
      <c r="R807" s="126">
        <f t="shared" si="270"/>
        <v>944.05320000000006</v>
      </c>
      <c r="S807" s="126">
        <f t="shared" si="271"/>
        <v>183.10320000000013</v>
      </c>
      <c r="T807" s="126">
        <f t="shared" si="252"/>
        <v>80.100000000000009</v>
      </c>
      <c r="U807" s="127">
        <f>((((((IF(K807="New",0,SUMIF('MPG Payment '!$E$3:$E$344841,'Shayak Income '!D807,'MPG Payment '!$AC$3:$AC$344841))))+0)+0)+0)+0)+-291</f>
        <v>1281.4241456072052</v>
      </c>
      <c r="V807" s="127">
        <f t="shared" si="253"/>
        <v>0</v>
      </c>
      <c r="W807" s="19">
        <v>0</v>
      </c>
      <c r="X807" s="19">
        <v>0</v>
      </c>
      <c r="Y807" s="128">
        <v>0</v>
      </c>
      <c r="Z807" s="128">
        <v>0</v>
      </c>
      <c r="AA807" s="126">
        <v>0</v>
      </c>
      <c r="AB807" s="129">
        <f t="shared" si="242"/>
        <v>0</v>
      </c>
      <c r="AC807" s="130">
        <v>0</v>
      </c>
      <c r="AD807" s="35">
        <f t="shared" si="272"/>
        <v>0</v>
      </c>
      <c r="AE807" s="166" t="str">
        <f t="shared" si="256"/>
        <v>Release</v>
      </c>
      <c r="AF807" s="127"/>
      <c r="AG807" s="18">
        <v>0</v>
      </c>
      <c r="AH807" s="120"/>
      <c r="AI807" s="238">
        <v>0</v>
      </c>
      <c r="AJ807" s="132"/>
      <c r="AK807" s="151">
        <v>370.19999999999993</v>
      </c>
      <c r="AL807" s="154">
        <f t="shared" si="273"/>
        <v>0</v>
      </c>
      <c r="AM807" s="155"/>
      <c r="AN807" s="19">
        <f t="shared" si="245"/>
        <v>0</v>
      </c>
      <c r="AO807" s="118">
        <f>SUMIF('MPG Payment '!E:E,'Shayak Income '!D807,'MPG Payment '!AJ:AJ)</f>
        <v>0</v>
      </c>
      <c r="AP807" s="19">
        <f t="shared" si="246"/>
        <v>0</v>
      </c>
      <c r="AQ807" s="119">
        <f t="shared" si="274"/>
        <v>0</v>
      </c>
      <c r="AR807" s="91" t="s">
        <v>1144</v>
      </c>
      <c r="AS807" s="91">
        <f t="shared" si="248"/>
        <v>0</v>
      </c>
      <c r="AT807" s="118"/>
      <c r="AU807" s="118"/>
      <c r="AV807" s="118"/>
    </row>
    <row r="808" spans="1:48" s="20" customFormat="1" x14ac:dyDescent="0.25">
      <c r="A808" s="17">
        <f>IFERROR(VLOOKUP(D808,'Monthly Deduction'!$I$3:$J$957,2,0),0)</f>
        <v>75000</v>
      </c>
      <c r="B808" s="17">
        <f>IFERROR(VLOOKUP(D808,'Monthly Deduction'!$E$3:$F$957,2,0),0)</f>
        <v>12800</v>
      </c>
      <c r="C808" s="17">
        <f t="shared" si="267"/>
        <v>87800</v>
      </c>
      <c r="D808" s="41">
        <v>10610019</v>
      </c>
      <c r="E808" s="122" t="str">
        <f>VLOOKUP(D808,'MPG Payment '!$E$3:$G$497305,2,0)</f>
        <v>GOMUKH Shravanapatti</v>
      </c>
      <c r="F808" s="146">
        <f>IFERROR(_xlfn.XLOOKUP(D808,'Monthly Deduction'!$I$3:$I$957,'Monthly Deduction'!$H$3:$H$957),0)</f>
        <v>0</v>
      </c>
      <c r="G808" s="123" t="str">
        <f>VLOOKUP(D808,'MPG Payment '!$E$3:$G$333666,3,0)</f>
        <v>MPG</v>
      </c>
      <c r="H808" s="124" t="str">
        <f>VLOOKUP(D808,'MPG Payment '!$E$3:$H$333666,4,0)</f>
        <v>Direct</v>
      </c>
      <c r="I808" s="88">
        <f>INDEX('MPG Payment '!$C:$C,MATCH('Shayak Income '!D808,'MPG Payment '!E:E,0))</f>
        <v>1061</v>
      </c>
      <c r="J808" s="88" t="str">
        <f>INDEX('MPG Payment '!$D:$D,MATCH('Shayak Income '!D808,'MPG Payment '!E:E,0))</f>
        <v>Mahua BMC</v>
      </c>
      <c r="K808" s="125" t="s">
        <v>1594</v>
      </c>
      <c r="L808" s="125">
        <v>46103</v>
      </c>
      <c r="M808" s="126">
        <f>SUMIF('MPG Payment '!$E$3:$E$344841,'Shayak Income '!D808,'MPG Payment '!$I$3:$I$344841)</f>
        <v>247.8</v>
      </c>
      <c r="N808" s="126">
        <f>SUMIF('MPG Payment '!$E$3:$E$344841,'Shayak Income '!D808,'MPG Payment '!$J$3:$J$344841)</f>
        <v>12677.13</v>
      </c>
      <c r="O808" s="126">
        <f t="shared" si="268"/>
        <v>185.85000000000002</v>
      </c>
      <c r="P808" s="126">
        <f t="shared" si="269"/>
        <v>235.41</v>
      </c>
      <c r="Q808" s="126">
        <f>SUMIF('MPG Payment '!$E$3:$E$344841,'Shayak Income '!D808,'MPG Payment '!$S$3:$S$344841)</f>
        <v>0</v>
      </c>
      <c r="R808" s="126">
        <f t="shared" si="270"/>
        <v>380.31389999999999</v>
      </c>
      <c r="S808" s="126">
        <f t="shared" si="271"/>
        <v>144.90389999999999</v>
      </c>
      <c r="T808" s="126">
        <f t="shared" si="252"/>
        <v>24.78</v>
      </c>
      <c r="U808" s="127">
        <f>((((((IF(K808="New",0,SUMIF('MPG Payment '!$E$3:$E$344841,'Shayak Income '!D808,'MPG Payment '!$AC$3:$AC$344841))))+0)+0)+0)+0)+-2212</f>
        <v>396.61985982493979</v>
      </c>
      <c r="V808" s="127">
        <f t="shared" si="253"/>
        <v>0</v>
      </c>
      <c r="W808" s="19">
        <v>0</v>
      </c>
      <c r="X808" s="19">
        <v>0</v>
      </c>
      <c r="Y808" s="128">
        <v>0</v>
      </c>
      <c r="Z808" s="128">
        <v>0</v>
      </c>
      <c r="AA808" s="126">
        <v>0</v>
      </c>
      <c r="AB808" s="129">
        <f t="shared" si="242"/>
        <v>0</v>
      </c>
      <c r="AC808" s="130">
        <f>AB808</f>
        <v>0</v>
      </c>
      <c r="AD808" s="35">
        <f t="shared" si="272"/>
        <v>0</v>
      </c>
      <c r="AE808" s="166" t="str">
        <f t="shared" si="256"/>
        <v>Release</v>
      </c>
      <c r="AF808" s="127"/>
      <c r="AG808" s="18">
        <v>0</v>
      </c>
      <c r="AH808" s="120" t="s">
        <v>1685</v>
      </c>
      <c r="AI808" s="238">
        <v>10000</v>
      </c>
      <c r="AJ808" s="132"/>
      <c r="AK808" s="151">
        <v>88.09999999999998</v>
      </c>
      <c r="AL808" s="154">
        <f t="shared" si="273"/>
        <v>0</v>
      </c>
      <c r="AM808" s="155"/>
      <c r="AN808" s="19">
        <f t="shared" si="245"/>
        <v>1861</v>
      </c>
      <c r="AO808" s="118">
        <f>SUMIF('MPG Payment '!E:E,'Shayak Income '!D808,'MPG Payment '!AJ:AJ)</f>
        <v>0</v>
      </c>
      <c r="AP808" s="19">
        <f t="shared" si="246"/>
        <v>0</v>
      </c>
      <c r="AQ808" s="119">
        <f t="shared" si="274"/>
        <v>0</v>
      </c>
      <c r="AR808" s="91" t="s">
        <v>1144</v>
      </c>
      <c r="AS808" s="91">
        <f t="shared" si="248"/>
        <v>12800</v>
      </c>
      <c r="AT808" s="118"/>
      <c r="AU808" s="118"/>
      <c r="AV808" s="118"/>
    </row>
    <row r="809" spans="1:48" s="20" customFormat="1" x14ac:dyDescent="0.25">
      <c r="A809" s="17">
        <f>IFERROR(VLOOKUP(D809,'Monthly Deduction'!$I$3:$J$957,2,0),0)</f>
        <v>63485</v>
      </c>
      <c r="B809" s="17">
        <f>IFERROR(VLOOKUP(D809,'Monthly Deduction'!$E$3:$F$957,2,0),0)</f>
        <v>12800</v>
      </c>
      <c r="C809" s="17">
        <f t="shared" si="267"/>
        <v>76285</v>
      </c>
      <c r="D809" s="41">
        <v>10610024</v>
      </c>
      <c r="E809" s="122" t="str">
        <f>VLOOKUP(D809,'MPG Payment '!$E$3:$G$497305,2,0)</f>
        <v>GOMUKH KAILA JALALPUR</v>
      </c>
      <c r="F809" s="146">
        <f>IFERROR(_xlfn.XLOOKUP(D809,'Monthly Deduction'!$I$3:$I$957,'Monthly Deduction'!$H$3:$H$957),0)</f>
        <v>0</v>
      </c>
      <c r="G809" s="123" t="str">
        <f>VLOOKUP(D809,'MPG Payment '!$E$3:$G$333666,3,0)</f>
        <v>MPG</v>
      </c>
      <c r="H809" s="124" t="str">
        <f>VLOOKUP(D809,'MPG Payment '!$E$3:$H$333666,4,0)</f>
        <v>Direct</v>
      </c>
      <c r="I809" s="88">
        <f>INDEX('MPG Payment '!$C:$C,MATCH('Shayak Income '!D809,'MPG Payment '!E:E,0))</f>
        <v>1061</v>
      </c>
      <c r="J809" s="88" t="str">
        <f>INDEX('MPG Payment '!$D:$D,MATCH('Shayak Income '!D809,'MPG Payment '!E:E,0))</f>
        <v>Mahua BMC</v>
      </c>
      <c r="K809" s="125" t="s">
        <v>1594</v>
      </c>
      <c r="L809" s="125">
        <v>46107</v>
      </c>
      <c r="M809" s="126">
        <f>SUMIF('MPG Payment '!$E$3:$E$344841,'Shayak Income '!D809,'MPG Payment '!$I$3:$I$344841)</f>
        <v>1159.3</v>
      </c>
      <c r="N809" s="126">
        <f>SUMIF('MPG Payment '!$E$3:$E$344841,'Shayak Income '!D809,'MPG Payment '!$J$3:$J$344841)</f>
        <v>46373.09</v>
      </c>
      <c r="O809" s="126">
        <f t="shared" si="268"/>
        <v>869.47499999999991</v>
      </c>
      <c r="P809" s="126">
        <f t="shared" si="269"/>
        <v>1101.3349999999998</v>
      </c>
      <c r="Q809" s="126">
        <f>SUMIF('MPG Payment '!$E$3:$E$344841,'Shayak Income '!D809,'MPG Payment '!$S$3:$S$344841)</f>
        <v>775.74</v>
      </c>
      <c r="R809" s="126">
        <f t="shared" si="270"/>
        <v>1391.1926999999998</v>
      </c>
      <c r="S809" s="126">
        <f t="shared" si="271"/>
        <v>289.85770000000002</v>
      </c>
      <c r="T809" s="126">
        <f t="shared" si="252"/>
        <v>115.93</v>
      </c>
      <c r="U809" s="127">
        <f>((((((IF(K809="New",0,SUMIF('MPG Payment '!$E$3:$E$344841,'Shayak Income '!D809,'MPG Payment '!$AC$3:$AC$344841))))+0)+0)+0)+0)+0</f>
        <v>1318.1457509273278</v>
      </c>
      <c r="V809" s="127">
        <f t="shared" si="253"/>
        <v>1312</v>
      </c>
      <c r="W809" s="19">
        <v>1312</v>
      </c>
      <c r="X809" s="19">
        <v>0</v>
      </c>
      <c r="Y809" s="128">
        <f>IFERROR(VLOOKUP(D809,'Monthly Deduction'!$M$2:$N$640,2,0),0)</f>
        <v>0</v>
      </c>
      <c r="Z809" s="128">
        <v>0</v>
      </c>
      <c r="AA809" s="126">
        <f>IFERROR(VLOOKUP(D809,'Monthly Deduction'!A:B,2,0),0)</f>
        <v>0</v>
      </c>
      <c r="AB809" s="129">
        <f t="shared" si="242"/>
        <v>0</v>
      </c>
      <c r="AC809" s="130">
        <v>0</v>
      </c>
      <c r="AD809" s="35">
        <f t="shared" si="272"/>
        <v>0</v>
      </c>
      <c r="AE809" s="166" t="str">
        <f t="shared" si="256"/>
        <v>Release</v>
      </c>
      <c r="AF809" s="127"/>
      <c r="AG809" s="18">
        <v>0</v>
      </c>
      <c r="AH809" s="120"/>
      <c r="AI809" s="238">
        <v>0</v>
      </c>
      <c r="AJ809" s="132"/>
      <c r="AK809" s="151">
        <v>241.59999999999997</v>
      </c>
      <c r="AL809" s="154">
        <f t="shared" si="273"/>
        <v>0</v>
      </c>
      <c r="AM809" s="155"/>
      <c r="AN809" s="19">
        <f t="shared" si="245"/>
        <v>1861</v>
      </c>
      <c r="AO809" s="118">
        <f>SUMIF('MPG Payment '!E:E,'Shayak Income '!D809,'MPG Payment '!AJ:AJ)</f>
        <v>0</v>
      </c>
      <c r="AP809" s="19">
        <f t="shared" si="246"/>
        <v>1312</v>
      </c>
      <c r="AQ809" s="119">
        <f t="shared" si="274"/>
        <v>1312</v>
      </c>
      <c r="AR809" s="91" t="s">
        <v>1144</v>
      </c>
      <c r="AS809" s="91">
        <f t="shared" si="248"/>
        <v>12800</v>
      </c>
      <c r="AT809" s="118"/>
      <c r="AU809" s="118"/>
      <c r="AV809" s="118"/>
    </row>
    <row r="810" spans="1:48" s="20" customFormat="1" x14ac:dyDescent="0.25">
      <c r="A810" s="17">
        <f>IFERROR(VLOOKUP(D810,'Monthly Deduction'!$I$3:$J$957,2,0),0)</f>
        <v>0</v>
      </c>
      <c r="B810" s="17">
        <f>IFERROR(VLOOKUP(D810,'Monthly Deduction'!$E$3:$F$957,2,0),0)</f>
        <v>0</v>
      </c>
      <c r="C810" s="17">
        <f t="shared" si="267"/>
        <v>0</v>
      </c>
      <c r="D810" s="41">
        <v>10640010</v>
      </c>
      <c r="E810" s="122" t="str">
        <f>VLOOKUP(D810,'MPG Payment '!$E$3:$G$497305,2,0)</f>
        <v>SISAUNA VLC</v>
      </c>
      <c r="F810" s="146">
        <f>IFERROR(_xlfn.XLOOKUP(D810,'Monthly Deduction'!$I$3:$I$957,'Monthly Deduction'!$H$3:$H$957),0)</f>
        <v>0</v>
      </c>
      <c r="G810" s="123" t="str">
        <f>VLOOKUP(D810,'MPG Payment '!$E$3:$G$333666,3,0)</f>
        <v>vlc</v>
      </c>
      <c r="H810" s="124" t="str">
        <f>VLOOKUP(D810,'MPG Payment '!$E$3:$H$333666,4,0)</f>
        <v>Indirect</v>
      </c>
      <c r="I810" s="88">
        <f>INDEX('MPG Payment '!$C:$C,MATCH('Shayak Income '!D810,'MPG Payment '!E:E,0))</f>
        <v>1062</v>
      </c>
      <c r="J810" s="88" t="str">
        <f>INDEX('MPG Payment '!$D:$D,MATCH('Shayak Income '!D810,'MPG Payment '!E:E,0))</f>
        <v>Singhia BMC</v>
      </c>
      <c r="K810" s="125" t="s">
        <v>1594</v>
      </c>
      <c r="L810" s="125">
        <v>46104</v>
      </c>
      <c r="M810" s="126">
        <f>SUMIF('MPG Payment '!$E$3:$E$344841,'Shayak Income '!D810,'MPG Payment '!$I$3:$I$344841)</f>
        <v>913.76</v>
      </c>
      <c r="N810" s="126">
        <f>SUMIF('MPG Payment '!$E$3:$E$344841,'Shayak Income '!D810,'MPG Payment '!$J$3:$J$344841)</f>
        <v>34853.899999999994</v>
      </c>
      <c r="O810" s="126">
        <f t="shared" si="268"/>
        <v>685.31999999999994</v>
      </c>
      <c r="P810" s="126">
        <f t="shared" si="269"/>
        <v>868.072</v>
      </c>
      <c r="Q810" s="126">
        <f>SUMIF('MPG Payment '!$E$3:$E$344841,'Shayak Income '!D810,'MPG Payment '!$S$3:$S$344841)</f>
        <v>0</v>
      </c>
      <c r="R810" s="126">
        <f t="shared" si="270"/>
        <v>1045.6169999999997</v>
      </c>
      <c r="S810" s="126">
        <f t="shared" si="271"/>
        <v>177.54499999999973</v>
      </c>
      <c r="T810" s="126">
        <f t="shared" si="252"/>
        <v>91.376000000000005</v>
      </c>
      <c r="U810" s="127">
        <f>((((((IF(K810="New",0,SUMIF('MPG Payment '!$E$3:$E$344841,'Shayak Income '!D810,'MPG Payment '!$AC$3:$AC$344841))))+0)+0)+0)+0)+0</f>
        <v>1433.6795050903113</v>
      </c>
      <c r="V810" s="127">
        <f t="shared" si="253"/>
        <v>28</v>
      </c>
      <c r="W810" s="19">
        <f t="shared" si="254"/>
        <v>0</v>
      </c>
      <c r="X810" s="19">
        <f t="shared" si="261"/>
        <v>0</v>
      </c>
      <c r="Y810" s="128">
        <f>IFERROR(VLOOKUP(D810,'Monthly Deduction'!$M$2:$N$640,2,0),0)</f>
        <v>0</v>
      </c>
      <c r="Z810" s="128">
        <v>0</v>
      </c>
      <c r="AA810" s="126">
        <f>IFERROR(VLOOKUP(D810,'Monthly Deduction'!A:B,2,0),0)</f>
        <v>0</v>
      </c>
      <c r="AB810" s="129">
        <f t="shared" si="242"/>
        <v>28</v>
      </c>
      <c r="AC810" s="130">
        <v>0</v>
      </c>
      <c r="AD810" s="35">
        <f t="shared" si="272"/>
        <v>28</v>
      </c>
      <c r="AE810" s="166" t="str">
        <f t="shared" si="256"/>
        <v>Release</v>
      </c>
      <c r="AF810" s="127"/>
      <c r="AG810" s="18">
        <v>0</v>
      </c>
      <c r="AH810" s="120"/>
      <c r="AI810" s="238">
        <v>0</v>
      </c>
      <c r="AJ810" s="132"/>
      <c r="AK810" s="151">
        <v>158.42000000000002</v>
      </c>
      <c r="AL810" s="154">
        <f t="shared" si="273"/>
        <v>0</v>
      </c>
      <c r="AM810" s="155"/>
      <c r="AN810" s="19">
        <f t="shared" si="245"/>
        <v>0</v>
      </c>
      <c r="AO810" s="118">
        <f>SUMIF('MPG Payment '!E:E,'Shayak Income '!D810,'MPG Payment '!AJ:AJ)</f>
        <v>0</v>
      </c>
      <c r="AP810" s="19">
        <f t="shared" si="246"/>
        <v>0</v>
      </c>
      <c r="AQ810" s="119">
        <f t="shared" si="274"/>
        <v>0</v>
      </c>
      <c r="AR810" s="91" t="s">
        <v>1144</v>
      </c>
      <c r="AS810" s="91">
        <f t="shared" si="248"/>
        <v>0</v>
      </c>
      <c r="AT810" s="118"/>
      <c r="AU810" s="118"/>
      <c r="AV810" s="118"/>
    </row>
    <row r="811" spans="1:48" s="20" customFormat="1" x14ac:dyDescent="0.25">
      <c r="A811" s="17">
        <f>IFERROR(VLOOKUP(D811,'Monthly Deduction'!$I$3:$J$957,2,0),0)</f>
        <v>0</v>
      </c>
      <c r="B811" s="17">
        <f>IFERROR(VLOOKUP(D811,'Monthly Deduction'!$E$3:$F$957,2,0),0)</f>
        <v>0</v>
      </c>
      <c r="C811" s="17">
        <f t="shared" si="267"/>
        <v>0</v>
      </c>
      <c r="D811" s="41">
        <v>10640011</v>
      </c>
      <c r="E811" s="122" t="str">
        <f>VLOOKUP(D811,'MPG Payment '!$E$3:$G$497305,2,0)</f>
        <v xml:space="preserve">Aditya Bishwas </v>
      </c>
      <c r="F811" s="146">
        <f>IFERROR(_xlfn.XLOOKUP(D811,'Monthly Deduction'!$I$3:$I$957,'Monthly Deduction'!$H$3:$H$957),0)</f>
        <v>0</v>
      </c>
      <c r="G811" s="123" t="str">
        <f>VLOOKUP(D811,'MPG Payment '!$E$3:$G$333666,3,0)</f>
        <v>vlc</v>
      </c>
      <c r="H811" s="124" t="str">
        <f>VLOOKUP(D811,'MPG Payment '!$E$3:$H$333666,4,0)</f>
        <v>Indirect</v>
      </c>
      <c r="I811" s="88">
        <f>INDEX('MPG Payment '!$C:$C,MATCH('Shayak Income '!D811,'MPG Payment '!E:E,0))</f>
        <v>1062</v>
      </c>
      <c r="J811" s="88" t="str">
        <f>INDEX('MPG Payment '!$D:$D,MATCH('Shayak Income '!D811,'MPG Payment '!E:E,0))</f>
        <v>Singhia BMC</v>
      </c>
      <c r="K811" s="125" t="s">
        <v>1594</v>
      </c>
      <c r="L811" s="125">
        <v>46104</v>
      </c>
      <c r="M811" s="126">
        <f>SUMIF('MPG Payment '!$E$3:$E$344841,'Shayak Income '!D811,'MPG Payment '!$I$3:$I$344841)</f>
        <v>867.01</v>
      </c>
      <c r="N811" s="126">
        <f>SUMIF('MPG Payment '!$E$3:$E$344841,'Shayak Income '!D811,'MPG Payment '!$J$3:$J$344841)</f>
        <v>41660.579999999994</v>
      </c>
      <c r="O811" s="126">
        <f t="shared" si="268"/>
        <v>650.25749999999994</v>
      </c>
      <c r="P811" s="126">
        <f t="shared" si="269"/>
        <v>823.65949999999998</v>
      </c>
      <c r="Q811" s="126">
        <f>SUMIF('MPG Payment '!$E$3:$E$344841,'Shayak Income '!D811,'MPG Payment '!$S$3:$S$344841)</f>
        <v>0</v>
      </c>
      <c r="R811" s="126">
        <f t="shared" si="270"/>
        <v>1249.8173999999997</v>
      </c>
      <c r="S811" s="126">
        <f t="shared" si="271"/>
        <v>426.1578999999997</v>
      </c>
      <c r="T811" s="126">
        <f t="shared" si="252"/>
        <v>86.701000000000008</v>
      </c>
      <c r="U811" s="127">
        <f>((((((IF(K811="New",0,SUMIF('MPG Payment '!$E$3:$E$344841,'Shayak Income '!D811,'MPG Payment '!$AC$3:$AC$344841))))+0)+0)+0)+0)+-471</f>
        <v>1386.7948405956577</v>
      </c>
      <c r="V811" s="127">
        <f t="shared" si="253"/>
        <v>0</v>
      </c>
      <c r="W811" s="19">
        <v>0</v>
      </c>
      <c r="X811" s="19">
        <v>0</v>
      </c>
      <c r="Y811" s="128">
        <v>0</v>
      </c>
      <c r="Z811" s="128">
        <v>0</v>
      </c>
      <c r="AA811" s="126">
        <v>0</v>
      </c>
      <c r="AB811" s="129">
        <f t="shared" si="242"/>
        <v>0</v>
      </c>
      <c r="AC811" s="130">
        <v>0</v>
      </c>
      <c r="AD811" s="35">
        <f t="shared" si="272"/>
        <v>0</v>
      </c>
      <c r="AE811" s="166" t="str">
        <f t="shared" si="256"/>
        <v>Release</v>
      </c>
      <c r="AF811" s="127"/>
      <c r="AG811" s="18">
        <v>0</v>
      </c>
      <c r="AH811" s="132"/>
      <c r="AI811" s="238">
        <v>0</v>
      </c>
      <c r="AJ811" s="132"/>
      <c r="AK811" s="151">
        <v>179.95</v>
      </c>
      <c r="AL811" s="154">
        <f t="shared" si="273"/>
        <v>0</v>
      </c>
      <c r="AM811" s="155"/>
      <c r="AN811" s="19">
        <f t="shared" si="245"/>
        <v>0</v>
      </c>
      <c r="AO811" s="118">
        <f>SUMIF('MPG Payment '!E:E,'Shayak Income '!D811,'MPG Payment '!AJ:AJ)</f>
        <v>0</v>
      </c>
      <c r="AP811" s="19">
        <f t="shared" si="246"/>
        <v>0</v>
      </c>
      <c r="AQ811" s="119">
        <f t="shared" si="274"/>
        <v>0</v>
      </c>
      <c r="AR811" s="91" t="s">
        <v>1144</v>
      </c>
      <c r="AS811" s="91">
        <f t="shared" si="248"/>
        <v>0</v>
      </c>
      <c r="AT811" s="118"/>
      <c r="AU811" s="118"/>
      <c r="AV811" s="118"/>
    </row>
    <row r="812" spans="1:48" s="20" customFormat="1" x14ac:dyDescent="0.25">
      <c r="A812" s="17">
        <f>IFERROR(VLOOKUP(D812,'Monthly Deduction'!$I$3:$J$957,2,0),0)</f>
        <v>74734</v>
      </c>
      <c r="B812" s="17">
        <f>IFERROR(VLOOKUP(D812,'Monthly Deduction'!$E$3:$F$957,2,0),0)</f>
        <v>6400</v>
      </c>
      <c r="C812" s="17">
        <f t="shared" si="267"/>
        <v>81134</v>
      </c>
      <c r="D812" s="41">
        <v>10010143</v>
      </c>
      <c r="E812" s="122" t="str">
        <f>VLOOKUP(D812,'MPG Payment '!$E$3:$G$497305,2,0)</f>
        <v>Gomukh Akaha</v>
      </c>
      <c r="F812" s="146">
        <f>IFERROR(_xlfn.XLOOKUP(D812,'Monthly Deduction'!$I$3:$I$957,'Monthly Deduction'!$H$3:$H$957),0)</f>
        <v>0</v>
      </c>
      <c r="G812" s="123" t="str">
        <f>VLOOKUP(D812,'MPG Payment '!$E$3:$G$333666,3,0)</f>
        <v>MPG</v>
      </c>
      <c r="H812" s="124" t="str">
        <f>VLOOKUP(D812,'MPG Payment '!$E$3:$H$333666,4,0)</f>
        <v>Direct</v>
      </c>
      <c r="I812" s="88">
        <f>INDEX('MPG Payment '!$C:$C,MATCH('Shayak Income '!D812,'MPG Payment '!E:E,0))</f>
        <v>1001</v>
      </c>
      <c r="J812" s="88" t="str">
        <f>INDEX('MPG Payment '!$D:$D,MATCH('Shayak Income '!D812,'MPG Payment '!E:E,0))</f>
        <v>Majhaul</v>
      </c>
      <c r="K812" s="125" t="s">
        <v>1594</v>
      </c>
      <c r="L812" s="125">
        <v>46112</v>
      </c>
      <c r="M812" s="126">
        <f>SUMIF('MPG Payment '!$E$3:$E$344841,'Shayak Income '!D812,'MPG Payment '!$I$3:$I$344841)</f>
        <v>848.8</v>
      </c>
      <c r="N812" s="126">
        <f>SUMIF('MPG Payment '!$E$3:$E$344841,'Shayak Income '!D812,'MPG Payment '!$J$3:$J$344841)</f>
        <v>28337.81</v>
      </c>
      <c r="O812" s="126">
        <f t="shared" si="268"/>
        <v>636.59999999999991</v>
      </c>
      <c r="P812" s="126">
        <f t="shared" si="269"/>
        <v>806.3599999999999</v>
      </c>
      <c r="Q812" s="126">
        <f>SUMIF('MPG Payment '!$E$3:$E$344841,'Shayak Income '!D812,'MPG Payment '!$S$3:$S$344841)</f>
        <v>0</v>
      </c>
      <c r="R812" s="126">
        <f t="shared" si="270"/>
        <v>850.13430000000005</v>
      </c>
      <c r="S812" s="126">
        <f t="shared" si="271"/>
        <v>43.774300000000153</v>
      </c>
      <c r="T812" s="126">
        <f t="shared" si="252"/>
        <v>84.88</v>
      </c>
      <c r="U812" s="127">
        <f>((((((IF(K812="New",0,SUMIF('MPG Payment '!$E$3:$E$344841,'Shayak Income '!D812,'MPG Payment '!$AC$3:$AC$344841))))+0)+0)+0)+0)+0</f>
        <v>1305.5491642288189</v>
      </c>
      <c r="V812" s="127">
        <f t="shared" si="253"/>
        <v>53</v>
      </c>
      <c r="W812" s="19">
        <v>53</v>
      </c>
      <c r="X812" s="19">
        <v>0</v>
      </c>
      <c r="Y812" s="128">
        <f>IFERROR(VLOOKUP(D812,'Monthly Deduction'!$M$2:$N$640,2,0),0)</f>
        <v>0</v>
      </c>
      <c r="Z812" s="128">
        <v>0</v>
      </c>
      <c r="AA812" s="126">
        <f>IFERROR(VLOOKUP(D812,'Monthly Deduction'!A:B,2,0),0)</f>
        <v>0</v>
      </c>
      <c r="AB812" s="129">
        <f t="shared" si="242"/>
        <v>0</v>
      </c>
      <c r="AC812" s="130">
        <f t="shared" ref="AC812:AC816" si="275">AB812</f>
        <v>0</v>
      </c>
      <c r="AD812" s="35">
        <f t="shared" si="272"/>
        <v>0</v>
      </c>
      <c r="AE812" s="166" t="str">
        <f t="shared" si="256"/>
        <v>Release</v>
      </c>
      <c r="AF812" s="127"/>
      <c r="AG812" s="18">
        <v>0</v>
      </c>
      <c r="AH812" s="120" t="s">
        <v>1685</v>
      </c>
      <c r="AI812" s="238">
        <v>10000</v>
      </c>
      <c r="AJ812" s="132"/>
      <c r="AK812" s="151">
        <v>154.40999999999997</v>
      </c>
      <c r="AL812" s="154">
        <f t="shared" si="273"/>
        <v>0</v>
      </c>
      <c r="AM812" s="155"/>
      <c r="AN812" s="19">
        <f t="shared" si="245"/>
        <v>1861</v>
      </c>
      <c r="AO812" s="118">
        <f>SUMIF('MPG Payment '!E:E,'Shayak Income '!D812,'MPG Payment '!AJ:AJ)</f>
        <v>0</v>
      </c>
      <c r="AP812" s="19">
        <f t="shared" si="246"/>
        <v>53</v>
      </c>
      <c r="AQ812" s="119">
        <f t="shared" si="274"/>
        <v>53</v>
      </c>
      <c r="AR812" s="91" t="s">
        <v>1144</v>
      </c>
      <c r="AS812" s="91">
        <f t="shared" si="248"/>
        <v>6400</v>
      </c>
      <c r="AT812" s="118"/>
      <c r="AU812" s="118"/>
      <c r="AV812" s="118"/>
    </row>
    <row r="813" spans="1:48" s="20" customFormat="1" x14ac:dyDescent="0.25">
      <c r="A813" s="17">
        <f>IFERROR(VLOOKUP(D813,'Monthly Deduction'!$I$3:$J$957,2,0),0)</f>
        <v>75000</v>
      </c>
      <c r="B813" s="17">
        <f>IFERROR(VLOOKUP(D813,'Monthly Deduction'!$E$3:$F$957,2,0),0)</f>
        <v>6400</v>
      </c>
      <c r="C813" s="17">
        <f t="shared" si="267"/>
        <v>81400</v>
      </c>
      <c r="D813" s="41">
        <v>10010144</v>
      </c>
      <c r="E813" s="122" t="str">
        <f>VLOOKUP(D813,'MPG Payment '!$E$3:$G$497305,2,0)</f>
        <v>Gomukh Rajakpur</v>
      </c>
      <c r="F813" s="146">
        <f>IFERROR(_xlfn.XLOOKUP(D813,'Monthly Deduction'!$I$3:$I$957,'Monthly Deduction'!$H$3:$H$957),0)</f>
        <v>0</v>
      </c>
      <c r="G813" s="123" t="str">
        <f>VLOOKUP(D813,'MPG Payment '!$E$3:$G$333666,3,0)</f>
        <v>MPG</v>
      </c>
      <c r="H813" s="124" t="str">
        <f>VLOOKUP(D813,'MPG Payment '!$E$3:$H$333666,4,0)</f>
        <v>Direct</v>
      </c>
      <c r="I813" s="88">
        <f>INDEX('MPG Payment '!$C:$C,MATCH('Shayak Income '!D813,'MPG Payment '!E:E,0))</f>
        <v>1001</v>
      </c>
      <c r="J813" s="88" t="str">
        <f>INDEX('MPG Payment '!$D:$D,MATCH('Shayak Income '!D813,'MPG Payment '!E:E,0))</f>
        <v>Majhaul</v>
      </c>
      <c r="K813" s="125" t="s">
        <v>1594</v>
      </c>
      <c r="L813" s="125">
        <v>46112</v>
      </c>
      <c r="M813" s="126">
        <f>SUMIF('MPG Payment '!$E$3:$E$344841,'Shayak Income '!D813,'MPG Payment '!$I$3:$I$344841)</f>
        <v>440.09999999999991</v>
      </c>
      <c r="N813" s="126">
        <f>SUMIF('MPG Payment '!$E$3:$E$344841,'Shayak Income '!D813,'MPG Payment '!$J$3:$J$344841)</f>
        <v>15610.61</v>
      </c>
      <c r="O813" s="126">
        <f t="shared" si="268"/>
        <v>330.07499999999993</v>
      </c>
      <c r="P813" s="126">
        <f t="shared" si="269"/>
        <v>418.09499999999991</v>
      </c>
      <c r="Q813" s="126">
        <f>SUMIF('MPG Payment '!$E$3:$E$344841,'Shayak Income '!D813,'MPG Payment '!$S$3:$S$344841)</f>
        <v>0</v>
      </c>
      <c r="R813" s="126">
        <f t="shared" si="270"/>
        <v>468.31830000000002</v>
      </c>
      <c r="S813" s="126">
        <f t="shared" si="271"/>
        <v>50.223300000000108</v>
      </c>
      <c r="T813" s="126">
        <f t="shared" si="252"/>
        <v>44.009999999999991</v>
      </c>
      <c r="U813" s="127">
        <f>((((((IF(K813="New",0,SUMIF('MPG Payment '!$E$3:$E$344841,'Shayak Income '!D813,'MPG Payment '!$AC$3:$AC$344841))))+0)+0)+0)+0)+-970</f>
        <v>704.2201384999089</v>
      </c>
      <c r="V813" s="127">
        <f t="shared" si="253"/>
        <v>0</v>
      </c>
      <c r="W813" s="19">
        <v>0</v>
      </c>
      <c r="X813" s="19">
        <v>0</v>
      </c>
      <c r="Y813" s="128">
        <v>0</v>
      </c>
      <c r="Z813" s="128">
        <v>0</v>
      </c>
      <c r="AA813" s="126">
        <v>0</v>
      </c>
      <c r="AB813" s="129">
        <f t="shared" si="242"/>
        <v>0</v>
      </c>
      <c r="AC813" s="130">
        <f t="shared" si="275"/>
        <v>0</v>
      </c>
      <c r="AD813" s="35">
        <f t="shared" si="272"/>
        <v>0</v>
      </c>
      <c r="AE813" s="166" t="str">
        <f t="shared" si="256"/>
        <v>Release</v>
      </c>
      <c r="AF813" s="127"/>
      <c r="AG813" s="18">
        <v>0</v>
      </c>
      <c r="AH813" s="120" t="s">
        <v>1685</v>
      </c>
      <c r="AI813" s="238">
        <v>10000</v>
      </c>
      <c r="AJ813" s="132"/>
      <c r="AK813" s="151">
        <v>131.39999999999998</v>
      </c>
      <c r="AL813" s="154">
        <f t="shared" si="273"/>
        <v>0</v>
      </c>
      <c r="AM813" s="155"/>
      <c r="AN813" s="19">
        <f t="shared" si="245"/>
        <v>1861</v>
      </c>
      <c r="AO813" s="118">
        <f>SUMIF('MPG Payment '!E:E,'Shayak Income '!D813,'MPG Payment '!AJ:AJ)</f>
        <v>0</v>
      </c>
      <c r="AP813" s="19">
        <f t="shared" si="246"/>
        <v>0</v>
      </c>
      <c r="AQ813" s="119">
        <f t="shared" si="274"/>
        <v>0</v>
      </c>
      <c r="AR813" s="91" t="s">
        <v>1144</v>
      </c>
      <c r="AS813" s="91">
        <f t="shared" si="248"/>
        <v>6400</v>
      </c>
      <c r="AT813" s="118"/>
      <c r="AU813" s="118"/>
      <c r="AV813" s="118"/>
    </row>
    <row r="814" spans="1:48" s="20" customFormat="1" x14ac:dyDescent="0.25">
      <c r="A814" s="17">
        <f>IFERROR(VLOOKUP(D814,'Monthly Deduction'!$I$3:$J$957,2,0),0)</f>
        <v>74545</v>
      </c>
      <c r="B814" s="17">
        <f>IFERROR(VLOOKUP(D814,'Monthly Deduction'!$E$3:$F$957,2,0),0)</f>
        <v>6400</v>
      </c>
      <c r="C814" s="17">
        <f t="shared" si="267"/>
        <v>80945</v>
      </c>
      <c r="D814" s="41">
        <v>10010145</v>
      </c>
      <c r="E814" s="122" t="str">
        <f>VLOOKUP(D814,'MPG Payment '!$E$3:$G$497305,2,0)</f>
        <v>Gomukh Mohanpur</v>
      </c>
      <c r="F814" s="146">
        <f>IFERROR(_xlfn.XLOOKUP(D814,'Monthly Deduction'!$I$3:$I$957,'Monthly Deduction'!$H$3:$H$957),0)</f>
        <v>0</v>
      </c>
      <c r="G814" s="123" t="str">
        <f>VLOOKUP(D814,'MPG Payment '!$E$3:$G$333666,3,0)</f>
        <v>MPG</v>
      </c>
      <c r="H814" s="124" t="str">
        <f>VLOOKUP(D814,'MPG Payment '!$E$3:$H$333666,4,0)</f>
        <v>Direct</v>
      </c>
      <c r="I814" s="88">
        <f>INDEX('MPG Payment '!$C:$C,MATCH('Shayak Income '!D814,'MPG Payment '!E:E,0))</f>
        <v>1001</v>
      </c>
      <c r="J814" s="88" t="str">
        <f>INDEX('MPG Payment '!$D:$D,MATCH('Shayak Income '!D814,'MPG Payment '!E:E,0))</f>
        <v>Majhaul</v>
      </c>
      <c r="K814" s="125" t="s">
        <v>1594</v>
      </c>
      <c r="L814" s="125">
        <v>46112</v>
      </c>
      <c r="M814" s="126">
        <f>SUMIF('MPG Payment '!$E$3:$E$344841,'Shayak Income '!D814,'MPG Payment '!$I$3:$I$344841)</f>
        <v>738.59999999999991</v>
      </c>
      <c r="N814" s="126">
        <f>SUMIF('MPG Payment '!$E$3:$E$344841,'Shayak Income '!D814,'MPG Payment '!$J$3:$J$344841)</f>
        <v>29101.4</v>
      </c>
      <c r="O814" s="126">
        <f t="shared" si="268"/>
        <v>553.94999999999993</v>
      </c>
      <c r="P814" s="126">
        <f t="shared" si="269"/>
        <v>701.66999999999985</v>
      </c>
      <c r="Q814" s="126">
        <f>SUMIF('MPG Payment '!$E$3:$E$344841,'Shayak Income '!D814,'MPG Payment '!$S$3:$S$344841)</f>
        <v>352.86</v>
      </c>
      <c r="R814" s="126">
        <f t="shared" si="270"/>
        <v>873.04200000000003</v>
      </c>
      <c r="S814" s="126">
        <f t="shared" si="271"/>
        <v>171.37200000000018</v>
      </c>
      <c r="T814" s="126">
        <f t="shared" si="252"/>
        <v>73.86</v>
      </c>
      <c r="U814" s="127">
        <f>((((((IF(K814="New",0,SUMIF('MPG Payment '!$E$3:$E$344841,'Shayak Income '!D814,'MPG Payment '!$AC$3:$AC$344841))))+0)+0)+0)+0)+-88</f>
        <v>1534.6467427929613</v>
      </c>
      <c r="V814" s="127">
        <f t="shared" si="253"/>
        <v>0</v>
      </c>
      <c r="W814" s="19">
        <v>0</v>
      </c>
      <c r="X814" s="19">
        <v>0</v>
      </c>
      <c r="Y814" s="128">
        <v>0</v>
      </c>
      <c r="Z814" s="128">
        <v>0</v>
      </c>
      <c r="AA814" s="126">
        <v>0</v>
      </c>
      <c r="AB814" s="129">
        <f t="shared" si="242"/>
        <v>0</v>
      </c>
      <c r="AC814" s="130">
        <f t="shared" si="275"/>
        <v>0</v>
      </c>
      <c r="AD814" s="35">
        <f t="shared" si="272"/>
        <v>0</v>
      </c>
      <c r="AE814" s="166" t="str">
        <f t="shared" si="256"/>
        <v>Release</v>
      </c>
      <c r="AF814" s="127"/>
      <c r="AG814" s="18">
        <v>0</v>
      </c>
      <c r="AH814" s="120" t="s">
        <v>1685</v>
      </c>
      <c r="AI814" s="238">
        <v>10000</v>
      </c>
      <c r="AJ814" s="132"/>
      <c r="AK814" s="151">
        <v>248.64999999999998</v>
      </c>
      <c r="AL814" s="154">
        <f t="shared" si="273"/>
        <v>0</v>
      </c>
      <c r="AM814" s="155"/>
      <c r="AN814" s="19">
        <f t="shared" si="245"/>
        <v>1861</v>
      </c>
      <c r="AO814" s="118">
        <f>SUMIF('MPG Payment '!E:E,'Shayak Income '!D814,'MPG Payment '!AJ:AJ)</f>
        <v>0</v>
      </c>
      <c r="AP814" s="19">
        <f t="shared" si="246"/>
        <v>0</v>
      </c>
      <c r="AQ814" s="119">
        <f t="shared" si="274"/>
        <v>0</v>
      </c>
      <c r="AR814" s="91" t="s">
        <v>1144</v>
      </c>
      <c r="AS814" s="91">
        <f t="shared" si="248"/>
        <v>6400</v>
      </c>
      <c r="AT814" s="118"/>
      <c r="AU814" s="118"/>
      <c r="AV814" s="118"/>
    </row>
    <row r="815" spans="1:48" s="20" customFormat="1" x14ac:dyDescent="0.25">
      <c r="A815" s="17">
        <f>IFERROR(VLOOKUP(D815,'Monthly Deduction'!$I$3:$J$957,2,0),0)</f>
        <v>74727</v>
      </c>
      <c r="B815" s="17">
        <f>IFERROR(VLOOKUP(D815,'Monthly Deduction'!$E$3:$F$957,2,0),0)</f>
        <v>6400</v>
      </c>
      <c r="C815" s="17">
        <f t="shared" si="267"/>
        <v>81127</v>
      </c>
      <c r="D815" s="41">
        <v>10010146</v>
      </c>
      <c r="E815" s="122" t="str">
        <f>VLOOKUP(D815,'MPG Payment '!$E$3:$G$497305,2,0)</f>
        <v>Gomukh Chakka</v>
      </c>
      <c r="F815" s="146">
        <f>IFERROR(_xlfn.XLOOKUP(D815,'Monthly Deduction'!$I$3:$I$957,'Monthly Deduction'!$H$3:$H$957),0)</f>
        <v>0</v>
      </c>
      <c r="G815" s="123" t="str">
        <f>VLOOKUP(D815,'MPG Payment '!$E$3:$G$333666,3,0)</f>
        <v>MPG</v>
      </c>
      <c r="H815" s="124" t="str">
        <f>VLOOKUP(D815,'MPG Payment '!$E$3:$H$333666,4,0)</f>
        <v>Direct</v>
      </c>
      <c r="I815" s="88">
        <f>INDEX('MPG Payment '!$C:$C,MATCH('Shayak Income '!D815,'MPG Payment '!E:E,0))</f>
        <v>1001</v>
      </c>
      <c r="J815" s="88" t="str">
        <f>INDEX('MPG Payment '!$D:$D,MATCH('Shayak Income '!D815,'MPG Payment '!E:E,0))</f>
        <v>Majhaul</v>
      </c>
      <c r="K815" s="125" t="s">
        <v>1594</v>
      </c>
      <c r="L815" s="125">
        <v>46112</v>
      </c>
      <c r="M815" s="126">
        <f>SUMIF('MPG Payment '!$E$3:$E$344841,'Shayak Income '!D815,'MPG Payment '!$I$3:$I$344841)</f>
        <v>624.70000000000005</v>
      </c>
      <c r="N815" s="126">
        <f>SUMIF('MPG Payment '!$E$3:$E$344841,'Shayak Income '!D815,'MPG Payment '!$J$3:$J$344841)</f>
        <v>25441.26</v>
      </c>
      <c r="O815" s="126">
        <f t="shared" si="268"/>
        <v>468.52500000000003</v>
      </c>
      <c r="P815" s="126">
        <f t="shared" si="269"/>
        <v>593.46500000000003</v>
      </c>
      <c r="Q815" s="126">
        <f>SUMIF('MPG Payment '!$E$3:$E$344841,'Shayak Income '!D815,'MPG Payment '!$S$3:$S$344841)</f>
        <v>0</v>
      </c>
      <c r="R815" s="126">
        <f t="shared" si="270"/>
        <v>763.23779999999988</v>
      </c>
      <c r="S815" s="126">
        <f t="shared" si="271"/>
        <v>169.77279999999985</v>
      </c>
      <c r="T815" s="126">
        <f t="shared" si="252"/>
        <v>62.470000000000006</v>
      </c>
      <c r="U815" s="127">
        <f>((((((IF(K815="New",0,SUMIF('MPG Payment '!$E$3:$E$344841,'Shayak Income '!D815,'MPG Payment '!$AC$3:$AC$344841))))+0)+0)+0)+0)+-775</f>
        <v>999.29724379069148</v>
      </c>
      <c r="V815" s="127">
        <f t="shared" si="253"/>
        <v>0</v>
      </c>
      <c r="W815" s="19">
        <v>0</v>
      </c>
      <c r="X815" s="19">
        <v>0</v>
      </c>
      <c r="Y815" s="128">
        <v>0</v>
      </c>
      <c r="Z815" s="128">
        <v>0</v>
      </c>
      <c r="AA815" s="126">
        <v>0</v>
      </c>
      <c r="AB815" s="129">
        <f t="shared" si="242"/>
        <v>0</v>
      </c>
      <c r="AC815" s="130">
        <f t="shared" si="275"/>
        <v>0</v>
      </c>
      <c r="AD815" s="35">
        <f t="shared" si="272"/>
        <v>0</v>
      </c>
      <c r="AE815" s="166" t="str">
        <f t="shared" si="256"/>
        <v>Release</v>
      </c>
      <c r="AF815" s="127"/>
      <c r="AG815" s="18">
        <v>0</v>
      </c>
      <c r="AH815" s="120" t="s">
        <v>1685</v>
      </c>
      <c r="AI815" s="238">
        <v>10000</v>
      </c>
      <c r="AJ815" s="132"/>
      <c r="AK815" s="151">
        <v>166.65</v>
      </c>
      <c r="AL815" s="154">
        <f t="shared" si="273"/>
        <v>0</v>
      </c>
      <c r="AM815" s="155"/>
      <c r="AN815" s="19">
        <f t="shared" si="245"/>
        <v>1861</v>
      </c>
      <c r="AO815" s="118">
        <f>SUMIF('MPG Payment '!E:E,'Shayak Income '!D815,'MPG Payment '!AJ:AJ)</f>
        <v>0</v>
      </c>
      <c r="AP815" s="19">
        <f t="shared" si="246"/>
        <v>0</v>
      </c>
      <c r="AQ815" s="119">
        <f t="shared" si="274"/>
        <v>0</v>
      </c>
      <c r="AR815" s="91" t="s">
        <v>1144</v>
      </c>
      <c r="AS815" s="91">
        <f t="shared" si="248"/>
        <v>6400</v>
      </c>
      <c r="AT815" s="118"/>
      <c r="AU815" s="118"/>
      <c r="AV815" s="118"/>
    </row>
    <row r="816" spans="1:48" s="20" customFormat="1" x14ac:dyDescent="0.25">
      <c r="A816" s="17">
        <f>IFERROR(VLOOKUP(D816,'Monthly Deduction'!$I$3:$J$957,2,0),0)</f>
        <v>85000</v>
      </c>
      <c r="B816" s="17">
        <f>IFERROR(VLOOKUP(D816,'Monthly Deduction'!$E$3:$F$957,2,0),0)</f>
        <v>0</v>
      </c>
      <c r="C816" s="17">
        <f t="shared" si="267"/>
        <v>85000</v>
      </c>
      <c r="D816" s="41">
        <v>10010147</v>
      </c>
      <c r="E816" s="122" t="str">
        <f>VLOOKUP(D816,'MPG Payment '!$E$3:$G$497305,2,0)</f>
        <v>Gamharia</v>
      </c>
      <c r="F816" s="146">
        <f>IFERROR(_xlfn.XLOOKUP(D816,'Monthly Deduction'!$I$3:$I$957,'Monthly Deduction'!$H$3:$H$957),0)</f>
        <v>0</v>
      </c>
      <c r="G816" s="123" t="str">
        <f>VLOOKUP(D816,'MPG Payment '!$E$3:$G$333666,3,0)</f>
        <v>vlc</v>
      </c>
      <c r="H816" s="124" t="str">
        <f>VLOOKUP(D816,'MPG Payment '!$E$3:$H$333666,4,0)</f>
        <v>Indirect</v>
      </c>
      <c r="I816" s="88">
        <f>INDEX('MPG Payment '!$C:$C,MATCH('Shayak Income '!D816,'MPG Payment '!E:E,0))</f>
        <v>1001</v>
      </c>
      <c r="J816" s="88" t="str">
        <f>INDEX('MPG Payment '!$D:$D,MATCH('Shayak Income '!D816,'MPG Payment '!E:E,0))</f>
        <v>Majhaul</v>
      </c>
      <c r="K816" s="125" t="s">
        <v>1594</v>
      </c>
      <c r="L816" s="125">
        <v>46112</v>
      </c>
      <c r="M816" s="126">
        <f>SUMIF('MPG Payment '!$E$3:$E$344841,'Shayak Income '!D816,'MPG Payment '!$I$3:$I$344841)</f>
        <v>503.29999999999995</v>
      </c>
      <c r="N816" s="126">
        <f>SUMIF('MPG Payment '!$E$3:$E$344841,'Shayak Income '!D816,'MPG Payment '!$J$3:$J$344841)</f>
        <v>20444.41</v>
      </c>
      <c r="O816" s="126">
        <f t="shared" si="268"/>
        <v>377.47499999999997</v>
      </c>
      <c r="P816" s="126">
        <f t="shared" si="269"/>
        <v>478.13499999999993</v>
      </c>
      <c r="Q816" s="126">
        <f>SUMIF('MPG Payment '!$E$3:$E$344841,'Shayak Income '!D816,'MPG Payment '!$S$3:$S$344841)</f>
        <v>0</v>
      </c>
      <c r="R816" s="126">
        <f t="shared" si="270"/>
        <v>613.33229999999992</v>
      </c>
      <c r="S816" s="126">
        <f t="shared" si="271"/>
        <v>135.19729999999998</v>
      </c>
      <c r="T816" s="126">
        <f t="shared" si="252"/>
        <v>50.33</v>
      </c>
      <c r="U816" s="127">
        <f>((((((IF(K816="New",0,SUMIF('MPG Payment '!$E$3:$E$344841,'Shayak Income '!D816,'MPG Payment '!$AC$3:$AC$344841))))+0)+0)+0)+0)+-1082</f>
        <v>805.21795066303844</v>
      </c>
      <c r="V816" s="127">
        <f t="shared" si="253"/>
        <v>0</v>
      </c>
      <c r="W816" s="19">
        <v>0</v>
      </c>
      <c r="X816" s="19">
        <v>0</v>
      </c>
      <c r="Y816" s="128">
        <v>0</v>
      </c>
      <c r="Z816" s="128">
        <v>0</v>
      </c>
      <c r="AA816" s="126">
        <v>0</v>
      </c>
      <c r="AB816" s="129">
        <f t="shared" si="242"/>
        <v>0</v>
      </c>
      <c r="AC816" s="130">
        <f t="shared" si="275"/>
        <v>0</v>
      </c>
      <c r="AD816" s="35">
        <f t="shared" si="272"/>
        <v>0</v>
      </c>
      <c r="AE816" s="166" t="str">
        <f t="shared" si="256"/>
        <v>Release</v>
      </c>
      <c r="AF816" s="127"/>
      <c r="AG816" s="18">
        <v>0</v>
      </c>
      <c r="AH816" s="120" t="s">
        <v>1685</v>
      </c>
      <c r="AI816" s="238">
        <v>20000</v>
      </c>
      <c r="AJ816" s="132"/>
      <c r="AK816" s="151">
        <v>61.279999999999994</v>
      </c>
      <c r="AL816" s="154">
        <f t="shared" si="273"/>
        <v>0</v>
      </c>
      <c r="AM816" s="155"/>
      <c r="AN816" s="19">
        <f t="shared" si="245"/>
        <v>1861</v>
      </c>
      <c r="AO816" s="118">
        <f>SUMIF('MPG Payment '!E:E,'Shayak Income '!D816,'MPG Payment '!AJ:AJ)</f>
        <v>0</v>
      </c>
      <c r="AP816" s="19">
        <f t="shared" si="246"/>
        <v>0</v>
      </c>
      <c r="AQ816" s="119">
        <f t="shared" si="274"/>
        <v>0</v>
      </c>
      <c r="AR816" s="91" t="s">
        <v>1144</v>
      </c>
      <c r="AS816" s="91">
        <f t="shared" si="248"/>
        <v>0</v>
      </c>
      <c r="AT816" s="118"/>
      <c r="AU816" s="118"/>
      <c r="AV816" s="118"/>
    </row>
    <row r="817" spans="1:48" s="20" customFormat="1" x14ac:dyDescent="0.25">
      <c r="A817" s="17">
        <f>IFERROR(VLOOKUP(D817,'Monthly Deduction'!$I$3:$J$957,2,0),0)</f>
        <v>63139</v>
      </c>
      <c r="B817" s="17">
        <f>IFERROR(VLOOKUP(D817,'Monthly Deduction'!$E$3:$F$957,2,0),0)</f>
        <v>6400</v>
      </c>
      <c r="C817" s="17">
        <f t="shared" si="267"/>
        <v>69539</v>
      </c>
      <c r="D817" s="41">
        <v>10010148</v>
      </c>
      <c r="E817" s="122" t="str">
        <f>VLOOKUP(D817,'MPG Payment '!$E$3:$G$497305,2,0)</f>
        <v>Gomukh Meghaul-02</v>
      </c>
      <c r="F817" s="146">
        <f>IFERROR(_xlfn.XLOOKUP(D817,'Monthly Deduction'!$I$3:$I$957,'Monthly Deduction'!$H$3:$H$957),0)</f>
        <v>0</v>
      </c>
      <c r="G817" s="123" t="str">
        <f>VLOOKUP(D817,'MPG Payment '!$E$3:$G$333666,3,0)</f>
        <v>MPG</v>
      </c>
      <c r="H817" s="124" t="str">
        <f>VLOOKUP(D817,'MPG Payment '!$E$3:$H$333666,4,0)</f>
        <v>Direct</v>
      </c>
      <c r="I817" s="88">
        <f>INDEX('MPG Payment '!$C:$C,MATCH('Shayak Income '!D817,'MPG Payment '!E:E,0))</f>
        <v>1001</v>
      </c>
      <c r="J817" s="88" t="str">
        <f>INDEX('MPG Payment '!$D:$D,MATCH('Shayak Income '!D817,'MPG Payment '!E:E,0))</f>
        <v>Majhaul</v>
      </c>
      <c r="K817" s="125" t="s">
        <v>1594</v>
      </c>
      <c r="L817" s="125">
        <v>46112</v>
      </c>
      <c r="M817" s="126">
        <f>SUMIF('MPG Payment '!$E$3:$E$344841,'Shayak Income '!D817,'MPG Payment '!$I$3:$I$344841)</f>
        <v>1223.8</v>
      </c>
      <c r="N817" s="126">
        <f>SUMIF('MPG Payment '!$E$3:$E$344841,'Shayak Income '!D817,'MPG Payment '!$J$3:$J$344841)</f>
        <v>52059.64</v>
      </c>
      <c r="O817" s="126">
        <f t="shared" si="268"/>
        <v>917.84999999999991</v>
      </c>
      <c r="P817" s="126">
        <f t="shared" si="269"/>
        <v>1162.6099999999999</v>
      </c>
      <c r="Q817" s="126">
        <f>SUMIF('MPG Payment '!$E$3:$E$344841,'Shayak Income '!D817,'MPG Payment '!$S$3:$S$344841)</f>
        <v>1012.7</v>
      </c>
      <c r="R817" s="126">
        <f t="shared" si="270"/>
        <v>1561.7891999999999</v>
      </c>
      <c r="S817" s="126">
        <f t="shared" si="271"/>
        <v>399.17920000000004</v>
      </c>
      <c r="T817" s="126">
        <f t="shared" si="252"/>
        <v>122.38</v>
      </c>
      <c r="U817" s="127">
        <f>((((((IF(K817="New",0,SUMIF('MPG Payment '!$E$3:$E$344841,'Shayak Income '!D817,'MPG Payment '!$AC$3:$AC$344841))))+0)+0)+0)+0)+0</f>
        <v>1343.0861477107178</v>
      </c>
      <c r="V817" s="127">
        <f t="shared" si="253"/>
        <v>1628</v>
      </c>
      <c r="W817" s="19">
        <v>1628</v>
      </c>
      <c r="X817" s="19">
        <v>0</v>
      </c>
      <c r="Y817" s="128">
        <f>IFERROR(VLOOKUP(D817,'Monthly Deduction'!$M$2:$N$640,2,0),0)</f>
        <v>0</v>
      </c>
      <c r="Z817" s="128">
        <v>0</v>
      </c>
      <c r="AA817" s="126">
        <f>IFERROR(VLOOKUP(D817,'Monthly Deduction'!A:B,2,0),0)</f>
        <v>0</v>
      </c>
      <c r="AB817" s="129">
        <f t="shared" si="242"/>
        <v>0</v>
      </c>
      <c r="AC817" s="130">
        <v>0</v>
      </c>
      <c r="AD817" s="35">
        <f t="shared" si="272"/>
        <v>0</v>
      </c>
      <c r="AE817" s="166" t="str">
        <f t="shared" si="256"/>
        <v>Release</v>
      </c>
      <c r="AF817" s="127"/>
      <c r="AG817" s="18">
        <v>0</v>
      </c>
      <c r="AH817" s="132"/>
      <c r="AI817" s="238">
        <v>0</v>
      </c>
      <c r="AJ817" s="132"/>
      <c r="AK817" s="151">
        <v>225.69999999999996</v>
      </c>
      <c r="AL817" s="154">
        <f t="shared" si="273"/>
        <v>0</v>
      </c>
      <c r="AM817" s="155"/>
      <c r="AN817" s="19">
        <f t="shared" si="245"/>
        <v>1861</v>
      </c>
      <c r="AO817" s="118">
        <f>SUMIF('MPG Payment '!E:E,'Shayak Income '!D817,'MPG Payment '!AJ:AJ)</f>
        <v>0</v>
      </c>
      <c r="AP817" s="19">
        <f t="shared" si="246"/>
        <v>1628</v>
      </c>
      <c r="AQ817" s="119">
        <f t="shared" si="274"/>
        <v>1628</v>
      </c>
      <c r="AR817" s="91" t="s">
        <v>1144</v>
      </c>
      <c r="AS817" s="91">
        <f t="shared" si="248"/>
        <v>6400</v>
      </c>
      <c r="AT817" s="118"/>
      <c r="AU817" s="118"/>
      <c r="AV817" s="118"/>
    </row>
    <row r="818" spans="1:48" s="20" customFormat="1" x14ac:dyDescent="0.25">
      <c r="A818" s="17">
        <f>IFERROR(VLOOKUP(D818,'Monthly Deduction'!$I$3:$J$957,2,0),0)</f>
        <v>0</v>
      </c>
      <c r="B818" s="17">
        <f>IFERROR(VLOOKUP(D818,'Monthly Deduction'!$E$3:$F$957,2,0),0)</f>
        <v>3200</v>
      </c>
      <c r="C818" s="17">
        <f t="shared" ref="C818:C853" si="276">A818+B818</f>
        <v>3200</v>
      </c>
      <c r="D818" s="41">
        <v>10010149</v>
      </c>
      <c r="E818" s="122" t="str">
        <f>VLOOKUP(D818,'MPG Payment '!$E$3:$G$497305,2,0)</f>
        <v>Gomukh Meida</v>
      </c>
      <c r="F818" s="146">
        <f>IFERROR(_xlfn.XLOOKUP(D818,'Monthly Deduction'!$I$3:$I$957,'Monthly Deduction'!$H$3:$H$957),0)</f>
        <v>0</v>
      </c>
      <c r="G818" s="123" t="str">
        <f>VLOOKUP(D818,'MPG Payment '!$E$3:$G$333666,3,0)</f>
        <v>MPG</v>
      </c>
      <c r="H818" s="124" t="str">
        <f>VLOOKUP(D818,'MPG Payment '!$E$3:$H$333666,4,0)</f>
        <v>Direct</v>
      </c>
      <c r="I818" s="88">
        <f>INDEX('MPG Payment '!$C:$C,MATCH('Shayak Income '!D818,'MPG Payment '!E:E,0))</f>
        <v>1001</v>
      </c>
      <c r="J818" s="88" t="str">
        <f>INDEX('MPG Payment '!$D:$D,MATCH('Shayak Income '!D818,'MPG Payment '!E:E,0))</f>
        <v>Majhaul</v>
      </c>
      <c r="K818" s="125" t="s">
        <v>1594</v>
      </c>
      <c r="L818" s="125">
        <v>46112</v>
      </c>
      <c r="M818" s="126">
        <f>SUMIF('MPG Payment '!$E$3:$E$344841,'Shayak Income '!D818,'MPG Payment '!$I$3:$I$344841)</f>
        <v>916.80000000000007</v>
      </c>
      <c r="N818" s="126">
        <f>SUMIF('MPG Payment '!$E$3:$E$344841,'Shayak Income '!D818,'MPG Payment '!$J$3:$J$344841)</f>
        <v>35409.959999999992</v>
      </c>
      <c r="O818" s="126">
        <f t="shared" ref="O818:O853" si="277">+M818*0.75</f>
        <v>687.6</v>
      </c>
      <c r="P818" s="126">
        <f t="shared" ref="P818:P853" si="278">+M818*0.95</f>
        <v>870.96</v>
      </c>
      <c r="Q818" s="126">
        <f>SUMIF('MPG Payment '!$E$3:$E$344841,'Shayak Income '!D818,'MPG Payment '!$S$3:$S$344841)</f>
        <v>0</v>
      </c>
      <c r="R818" s="126">
        <f t="shared" ref="R818:R853" si="279">+N818*3%</f>
        <v>1062.2987999999998</v>
      </c>
      <c r="S818" s="126">
        <f t="shared" ref="S818:S853" si="280">R818-P818</f>
        <v>191.33879999999976</v>
      </c>
      <c r="T818" s="126">
        <f t="shared" si="252"/>
        <v>91.68</v>
      </c>
      <c r="U818" s="127">
        <f>((((((IF(K818="New",0,SUMIF('MPG Payment '!$E$3:$E$344841,'Shayak Income '!D818,'MPG Payment '!$AC$3:$AC$344841))))+0)+0)+0)+0)+0</f>
        <v>1460.0648805593887</v>
      </c>
      <c r="V818" s="127">
        <f t="shared" si="253"/>
        <v>7</v>
      </c>
      <c r="W818" s="19">
        <f t="shared" si="254"/>
        <v>0</v>
      </c>
      <c r="X818" s="19">
        <v>7</v>
      </c>
      <c r="Y818" s="128">
        <f>IFERROR(VLOOKUP(D818,'Monthly Deduction'!$M$2:$N$640,2,0),0)</f>
        <v>0</v>
      </c>
      <c r="Z818" s="128">
        <v>0</v>
      </c>
      <c r="AA818" s="126">
        <f>IFERROR(VLOOKUP(D818,'Monthly Deduction'!A:B,2,0),0)</f>
        <v>0</v>
      </c>
      <c r="AB818" s="129">
        <f t="shared" si="242"/>
        <v>0</v>
      </c>
      <c r="AC818" s="130">
        <v>0</v>
      </c>
      <c r="AD818" s="35">
        <f t="shared" ref="AD818:AD853" si="281">ROUND(AB818-AC818,0)</f>
        <v>0</v>
      </c>
      <c r="AE818" s="166" t="str">
        <f t="shared" ref="AE818:AE853" si="282">IF(AC818&lt;&gt;0,"Yes","Release")</f>
        <v>Release</v>
      </c>
      <c r="AF818" s="127"/>
      <c r="AG818" s="18">
        <v>0</v>
      </c>
      <c r="AH818" s="132"/>
      <c r="AI818" s="238">
        <v>0</v>
      </c>
      <c r="AJ818" s="132"/>
      <c r="AK818" s="151">
        <v>185.01</v>
      </c>
      <c r="AL818" s="154">
        <f t="shared" ref="AL818:AL853" si="283">COUNTIF(AK818:AK818,"=NA")</f>
        <v>0</v>
      </c>
      <c r="AM818" s="155"/>
      <c r="AN818" s="19">
        <f t="shared" si="245"/>
        <v>0</v>
      </c>
      <c r="AO818" s="118">
        <f>SUMIF('MPG Payment '!E:E,'Shayak Income '!D818,'MPG Payment '!AJ:AJ)</f>
        <v>0</v>
      </c>
      <c r="AP818" s="19">
        <f t="shared" si="246"/>
        <v>0</v>
      </c>
      <c r="AQ818" s="119">
        <f t="shared" ref="AQ818:AQ853" si="284">AO818+AP818</f>
        <v>0</v>
      </c>
      <c r="AR818" s="91" t="s">
        <v>1144</v>
      </c>
      <c r="AS818" s="91">
        <f t="shared" si="248"/>
        <v>3193</v>
      </c>
      <c r="AT818" s="118"/>
      <c r="AU818" s="118"/>
      <c r="AV818" s="118"/>
    </row>
    <row r="819" spans="1:48" s="20" customFormat="1" x14ac:dyDescent="0.25">
      <c r="A819" s="17">
        <f>IFERROR(VLOOKUP(D819,'Monthly Deduction'!$I$3:$J$957,2,0),0)</f>
        <v>65000</v>
      </c>
      <c r="B819" s="17">
        <f>IFERROR(VLOOKUP(D819,'Monthly Deduction'!$E$3:$F$957,2,0),0)</f>
        <v>0</v>
      </c>
      <c r="C819" s="17">
        <f t="shared" si="276"/>
        <v>65000</v>
      </c>
      <c r="D819" s="41">
        <v>10080126</v>
      </c>
      <c r="E819" s="122" t="str">
        <f>VLOOKUP(D819,'MPG Payment '!$E$3:$G$497305,2,0)</f>
        <v>Labharchak-2</v>
      </c>
      <c r="F819" s="146">
        <f>IFERROR(_xlfn.XLOOKUP(D819,'Monthly Deduction'!$I$3:$I$957,'Monthly Deduction'!$H$3:$H$957),0)</f>
        <v>0</v>
      </c>
      <c r="G819" s="123" t="str">
        <f>VLOOKUP(D819,'MPG Payment '!$E$3:$G$333666,3,0)</f>
        <v>MPG</v>
      </c>
      <c r="H819" s="124" t="str">
        <f>VLOOKUP(D819,'MPG Payment '!$E$3:$H$333666,4,0)</f>
        <v>Direct</v>
      </c>
      <c r="I819" s="88">
        <f>INDEX('MPG Payment '!$C:$C,MATCH('Shayak Income '!D819,'MPG Payment '!E:E,0))</f>
        <v>1008</v>
      </c>
      <c r="J819" s="88" t="str">
        <f>INDEX('MPG Payment '!$D:$D,MATCH('Shayak Income '!D819,'MPG Payment '!E:E,0))</f>
        <v>Teghra</v>
      </c>
      <c r="K819" s="125" t="s">
        <v>1594</v>
      </c>
      <c r="L819" s="125">
        <v>46109</v>
      </c>
      <c r="M819" s="126">
        <f>SUMIF('MPG Payment '!$E$3:$E$344841,'Shayak Income '!D819,'MPG Payment '!$I$3:$I$344841)</f>
        <v>863.15</v>
      </c>
      <c r="N819" s="126">
        <f>SUMIF('MPG Payment '!$E$3:$E$344841,'Shayak Income '!D819,'MPG Payment '!$J$3:$J$344841)</f>
        <v>31869.479999999996</v>
      </c>
      <c r="O819" s="126">
        <f t="shared" si="277"/>
        <v>647.36249999999995</v>
      </c>
      <c r="P819" s="126">
        <f t="shared" si="278"/>
        <v>819.99249999999995</v>
      </c>
      <c r="Q819" s="126">
        <f>SUMIF('MPG Payment '!$E$3:$E$344841,'Shayak Income '!D819,'MPG Payment '!$S$3:$S$344841)</f>
        <v>0</v>
      </c>
      <c r="R819" s="126">
        <f t="shared" si="279"/>
        <v>956.08439999999985</v>
      </c>
      <c r="S819" s="126">
        <f t="shared" si="280"/>
        <v>136.0918999999999</v>
      </c>
      <c r="T819" s="126">
        <f t="shared" si="252"/>
        <v>86.314999999999998</v>
      </c>
      <c r="U819" s="127">
        <f>((((((IF(K819="New",0,SUMIF('MPG Payment '!$E$3:$E$344841,'Shayak Income '!D819,'MPG Payment '!$AC$3:$AC$344841))))+0)+0)+0)+0)+-45</f>
        <v>1380.9207273142715</v>
      </c>
      <c r="V819" s="127">
        <f t="shared" si="253"/>
        <v>0</v>
      </c>
      <c r="W819" s="19">
        <v>0</v>
      </c>
      <c r="X819" s="19">
        <v>0</v>
      </c>
      <c r="Y819" s="128">
        <v>0</v>
      </c>
      <c r="Z819" s="128">
        <v>0</v>
      </c>
      <c r="AA819" s="126">
        <v>0</v>
      </c>
      <c r="AB819" s="129">
        <f t="shared" si="242"/>
        <v>0</v>
      </c>
      <c r="AC819" s="130">
        <f t="shared" ref="AC819:AC820" si="285">AB819</f>
        <v>0</v>
      </c>
      <c r="AD819" s="35">
        <f t="shared" si="281"/>
        <v>0</v>
      </c>
      <c r="AE819" s="166" t="str">
        <f t="shared" si="282"/>
        <v>Release</v>
      </c>
      <c r="AF819" s="127"/>
      <c r="AG819" s="18">
        <v>0</v>
      </c>
      <c r="AH819" s="120" t="s">
        <v>1683</v>
      </c>
      <c r="AI819" s="238">
        <v>0</v>
      </c>
      <c r="AJ819" s="132"/>
      <c r="AK819" s="151">
        <v>150.9</v>
      </c>
      <c r="AL819" s="154">
        <f t="shared" si="283"/>
        <v>0</v>
      </c>
      <c r="AM819" s="155"/>
      <c r="AN819" s="19">
        <f t="shared" si="245"/>
        <v>1861</v>
      </c>
      <c r="AO819" s="118">
        <f>SUMIF('MPG Payment '!E:E,'Shayak Income '!D819,'MPG Payment '!AJ:AJ)</f>
        <v>0</v>
      </c>
      <c r="AP819" s="19">
        <f t="shared" si="246"/>
        <v>0</v>
      </c>
      <c r="AQ819" s="119">
        <f t="shared" si="284"/>
        <v>0</v>
      </c>
      <c r="AR819" s="91" t="s">
        <v>1144</v>
      </c>
      <c r="AS819" s="91">
        <f t="shared" si="248"/>
        <v>0</v>
      </c>
      <c r="AT819" s="118"/>
      <c r="AU819" s="118"/>
      <c r="AV819" s="118"/>
    </row>
    <row r="820" spans="1:48" s="20" customFormat="1" x14ac:dyDescent="0.25">
      <c r="A820" s="17">
        <f>IFERROR(VLOOKUP(D820,'Monthly Deduction'!$I$3:$J$957,2,0),0)</f>
        <v>64466</v>
      </c>
      <c r="B820" s="17">
        <f>IFERROR(VLOOKUP(D820,'Monthly Deduction'!$E$3:$F$957,2,0),0)</f>
        <v>6400</v>
      </c>
      <c r="C820" s="17">
        <f t="shared" si="276"/>
        <v>70866</v>
      </c>
      <c r="D820" s="41">
        <v>10090079</v>
      </c>
      <c r="E820" s="122" t="str">
        <f>VLOOKUP(D820,'MPG Payment '!$E$3:$G$497305,2,0)</f>
        <v>BILLO 2</v>
      </c>
      <c r="F820" s="146">
        <f>IFERROR(_xlfn.XLOOKUP(D820,'Monthly Deduction'!$I$3:$I$957,'Monthly Deduction'!$H$3:$H$957),0)</f>
        <v>0</v>
      </c>
      <c r="G820" s="123" t="str">
        <f>VLOOKUP(D820,'MPG Payment '!$E$3:$G$333666,3,0)</f>
        <v>MPG</v>
      </c>
      <c r="H820" s="124" t="str">
        <f>VLOOKUP(D820,'MPG Payment '!$E$3:$H$333666,4,0)</f>
        <v>Direct</v>
      </c>
      <c r="I820" s="88">
        <f>INDEX('MPG Payment '!$C:$C,MATCH('Shayak Income '!D820,'MPG Payment '!E:E,0))</f>
        <v>1009</v>
      </c>
      <c r="J820" s="88" t="str">
        <f>INDEX('MPG Payment '!$D:$D,MATCH('Shayak Income '!D820,'MPG Payment '!E:E,0))</f>
        <v>Halsi</v>
      </c>
      <c r="K820" s="125" t="s">
        <v>1594</v>
      </c>
      <c r="L820" s="125">
        <v>46112</v>
      </c>
      <c r="M820" s="126">
        <f>SUMIF('MPG Payment '!$E$3:$E$344841,'Shayak Income '!D820,'MPG Payment '!$I$3:$I$344841)</f>
        <v>1072.8</v>
      </c>
      <c r="N820" s="126">
        <f>SUMIF('MPG Payment '!$E$3:$E$344841,'Shayak Income '!D820,'MPG Payment '!$J$3:$J$344841)</f>
        <v>42531.770000000004</v>
      </c>
      <c r="O820" s="126">
        <f t="shared" si="277"/>
        <v>804.59999999999991</v>
      </c>
      <c r="P820" s="126">
        <f t="shared" si="278"/>
        <v>1019.1599999999999</v>
      </c>
      <c r="Q820" s="126">
        <f>SUMIF('MPG Payment '!$E$3:$E$344841,'Shayak Income '!D820,'MPG Payment '!$S$3:$S$344841)</f>
        <v>0</v>
      </c>
      <c r="R820" s="126">
        <f t="shared" si="279"/>
        <v>1275.9531000000002</v>
      </c>
      <c r="S820" s="126">
        <f t="shared" si="280"/>
        <v>256.79310000000032</v>
      </c>
      <c r="T820" s="126">
        <f t="shared" si="252"/>
        <v>107.28</v>
      </c>
      <c r="U820" s="127">
        <f>((((((IF(K820="New",0,SUMIF('MPG Payment '!$E$3:$E$344841,'Shayak Income '!D820,'MPG Payment '!$AC$3:$AC$344841))))+0)+0)+0)+0)+0</f>
        <v>1366.7206217846956</v>
      </c>
      <c r="V820" s="127">
        <f t="shared" si="253"/>
        <v>350</v>
      </c>
      <c r="W820" s="19">
        <v>350</v>
      </c>
      <c r="X820" s="19">
        <v>0</v>
      </c>
      <c r="Y820" s="128">
        <f>IFERROR(VLOOKUP(D820,'Monthly Deduction'!$M$2:$N$640,2,0),0)</f>
        <v>0</v>
      </c>
      <c r="Z820" s="128">
        <v>0</v>
      </c>
      <c r="AA820" s="126">
        <f>IFERROR(VLOOKUP(D820,'Monthly Deduction'!A:B,2,0),0)</f>
        <v>0</v>
      </c>
      <c r="AB820" s="129">
        <f t="shared" si="242"/>
        <v>0</v>
      </c>
      <c r="AC820" s="130">
        <f t="shared" si="285"/>
        <v>0</v>
      </c>
      <c r="AD820" s="35">
        <f t="shared" si="281"/>
        <v>0</v>
      </c>
      <c r="AE820" s="166" t="str">
        <f t="shared" si="282"/>
        <v>Release</v>
      </c>
      <c r="AF820" s="127"/>
      <c r="AG820" s="18">
        <v>0</v>
      </c>
      <c r="AH820" s="120" t="s">
        <v>1683</v>
      </c>
      <c r="AI820" s="238">
        <v>0</v>
      </c>
      <c r="AJ820" s="132"/>
      <c r="AK820" s="151">
        <v>226.4</v>
      </c>
      <c r="AL820" s="154">
        <f t="shared" si="283"/>
        <v>0</v>
      </c>
      <c r="AM820" s="155"/>
      <c r="AN820" s="19">
        <f t="shared" si="245"/>
        <v>1861</v>
      </c>
      <c r="AO820" s="118">
        <f>SUMIF('MPG Payment '!E:E,'Shayak Income '!D820,'MPG Payment '!AJ:AJ)</f>
        <v>0</v>
      </c>
      <c r="AP820" s="19">
        <f t="shared" si="246"/>
        <v>350</v>
      </c>
      <c r="AQ820" s="119">
        <f t="shared" si="284"/>
        <v>350</v>
      </c>
      <c r="AR820" s="91" t="s">
        <v>1144</v>
      </c>
      <c r="AS820" s="91">
        <f t="shared" si="248"/>
        <v>6400</v>
      </c>
      <c r="AT820" s="118"/>
      <c r="AU820" s="118"/>
      <c r="AV820" s="118"/>
    </row>
    <row r="821" spans="1:48" s="20" customFormat="1" x14ac:dyDescent="0.25">
      <c r="A821" s="17">
        <f>IFERROR(VLOOKUP(D821,'Monthly Deduction'!$I$3:$J$957,2,0),0)</f>
        <v>0</v>
      </c>
      <c r="B821" s="17">
        <f>IFERROR(VLOOKUP(D821,'Monthly Deduction'!$E$3:$F$957,2,0),0)</f>
        <v>0</v>
      </c>
      <c r="C821" s="17">
        <f t="shared" si="276"/>
        <v>0</v>
      </c>
      <c r="D821" s="41">
        <v>10100069</v>
      </c>
      <c r="E821" s="122" t="str">
        <f>VLOOKUP(D821,'MPG Payment '!$E$3:$G$497305,2,0)</f>
        <v>Gomukh Lagar Wad-13 Vlc</v>
      </c>
      <c r="F821" s="146">
        <f>IFERROR(_xlfn.XLOOKUP(D821,'Monthly Deduction'!$I$3:$I$957,'Monthly Deduction'!$H$3:$H$957),0)</f>
        <v>0</v>
      </c>
      <c r="G821" s="123" t="str">
        <f>VLOOKUP(D821,'MPG Payment '!$E$3:$G$333666,3,0)</f>
        <v>vlc</v>
      </c>
      <c r="H821" s="124" t="str">
        <f>VLOOKUP(D821,'MPG Payment '!$E$3:$H$333666,4,0)</f>
        <v>Indirect</v>
      </c>
      <c r="I821" s="88">
        <f>INDEX('MPG Payment '!$C:$C,MATCH('Shayak Income '!D821,'MPG Payment '!E:E,0))</f>
        <v>1010</v>
      </c>
      <c r="J821" s="88" t="str">
        <f>INDEX('MPG Payment '!$D:$D,MATCH('Shayak Income '!D821,'MPG Payment '!E:E,0))</f>
        <v>Parbatta</v>
      </c>
      <c r="K821" s="125" t="s">
        <v>1594</v>
      </c>
      <c r="L821" s="125">
        <v>46108</v>
      </c>
      <c r="M821" s="126">
        <f>SUMIF('MPG Payment '!$E$3:$E$344841,'Shayak Income '!D821,'MPG Payment '!$I$3:$I$344841)</f>
        <v>1743.5</v>
      </c>
      <c r="N821" s="126">
        <f>SUMIF('MPG Payment '!$E$3:$E$344841,'Shayak Income '!D821,'MPG Payment '!$J$3:$J$344841)</f>
        <v>88419.1</v>
      </c>
      <c r="O821" s="126">
        <f t="shared" si="277"/>
        <v>1307.625</v>
      </c>
      <c r="P821" s="126">
        <f t="shared" si="278"/>
        <v>1656.3249999999998</v>
      </c>
      <c r="Q821" s="126">
        <f>SUMIF('MPG Payment '!$E$3:$E$344841,'Shayak Income '!D821,'MPG Payment '!$S$3:$S$344841)</f>
        <v>0</v>
      </c>
      <c r="R821" s="126">
        <f t="shared" si="279"/>
        <v>2652.5729999999999</v>
      </c>
      <c r="S821" s="126">
        <f t="shared" si="280"/>
        <v>996.24800000000005</v>
      </c>
      <c r="T821" s="126">
        <f t="shared" si="252"/>
        <v>174.35000000000002</v>
      </c>
      <c r="U821" s="127">
        <f>((((((IF(K821="New",0,SUMIF('MPG Payment '!$E$3:$E$344841,'Shayak Income '!D821,'MPG Payment '!$AC$3:$AC$344841))))+0)+0)+0)+0)+0</f>
        <v>1169.6854005543719</v>
      </c>
      <c r="V821" s="127">
        <f t="shared" si="253"/>
        <v>1620</v>
      </c>
      <c r="W821" s="19">
        <f t="shared" si="254"/>
        <v>0</v>
      </c>
      <c r="X821" s="19">
        <f t="shared" si="261"/>
        <v>0</v>
      </c>
      <c r="Y821" s="128">
        <f>IFERROR(VLOOKUP(D821,'Monthly Deduction'!$M$2:$N$640,2,0),0)</f>
        <v>0</v>
      </c>
      <c r="Z821" s="128">
        <v>0</v>
      </c>
      <c r="AA821" s="126">
        <f>IFERROR(VLOOKUP(D821,'Monthly Deduction'!A:B,2,0),0)</f>
        <v>0</v>
      </c>
      <c r="AB821" s="129">
        <f t="shared" si="242"/>
        <v>1620</v>
      </c>
      <c r="AC821" s="130">
        <v>0</v>
      </c>
      <c r="AD821" s="35">
        <f t="shared" si="281"/>
        <v>1620</v>
      </c>
      <c r="AE821" s="166" t="str">
        <f t="shared" si="282"/>
        <v>Release</v>
      </c>
      <c r="AF821" s="127"/>
      <c r="AG821" s="18">
        <v>0</v>
      </c>
      <c r="AH821" s="132"/>
      <c r="AI821" s="238">
        <v>0</v>
      </c>
      <c r="AJ821" s="132"/>
      <c r="AK821" s="151">
        <v>1228.4000000000001</v>
      </c>
      <c r="AL821" s="154">
        <f t="shared" si="283"/>
        <v>0</v>
      </c>
      <c r="AM821" s="155"/>
      <c r="AN821" s="19">
        <f t="shared" si="245"/>
        <v>0</v>
      </c>
      <c r="AO821" s="118">
        <f>SUMIF('MPG Payment '!E:E,'Shayak Income '!D821,'MPG Payment '!AJ:AJ)</f>
        <v>0</v>
      </c>
      <c r="AP821" s="19">
        <f t="shared" si="246"/>
        <v>0</v>
      </c>
      <c r="AQ821" s="119">
        <f t="shared" si="284"/>
        <v>0</v>
      </c>
      <c r="AR821" s="91" t="s">
        <v>1144</v>
      </c>
      <c r="AS821" s="91">
        <f t="shared" si="248"/>
        <v>0</v>
      </c>
      <c r="AT821" s="118"/>
      <c r="AU821" s="118"/>
      <c r="AV821" s="118"/>
    </row>
    <row r="822" spans="1:48" s="20" customFormat="1" x14ac:dyDescent="0.25">
      <c r="A822" s="17">
        <f>IFERROR(VLOOKUP(D822,'Monthly Deduction'!$I$3:$J$957,2,0),0)</f>
        <v>0</v>
      </c>
      <c r="B822" s="17">
        <f>IFERROR(VLOOKUP(D822,'Monthly Deduction'!$E$3:$F$957,2,0),0)</f>
        <v>0</v>
      </c>
      <c r="C822" s="17">
        <f t="shared" si="276"/>
        <v>0</v>
      </c>
      <c r="D822" s="41">
        <v>10100070</v>
      </c>
      <c r="E822" s="122" t="str">
        <f>VLOOKUP(D822,'MPG Payment '!$E$3:$G$497305,2,0)</f>
        <v>Gomukh Manish Vlc</v>
      </c>
      <c r="F822" s="146">
        <f>IFERROR(_xlfn.XLOOKUP(D822,'Monthly Deduction'!$I$3:$I$957,'Monthly Deduction'!$H$3:$H$957),0)</f>
        <v>0</v>
      </c>
      <c r="G822" s="123" t="str">
        <f>VLOOKUP(D822,'MPG Payment '!$E$3:$G$333666,3,0)</f>
        <v>vlc</v>
      </c>
      <c r="H822" s="124" t="str">
        <f>VLOOKUP(D822,'MPG Payment '!$E$3:$H$333666,4,0)</f>
        <v>Indirect</v>
      </c>
      <c r="I822" s="88">
        <f>INDEX('MPG Payment '!$C:$C,MATCH('Shayak Income '!D822,'MPG Payment '!E:E,0))</f>
        <v>1010</v>
      </c>
      <c r="J822" s="88" t="str">
        <f>INDEX('MPG Payment '!$D:$D,MATCH('Shayak Income '!D822,'MPG Payment '!E:E,0))</f>
        <v>Parbatta</v>
      </c>
      <c r="K822" s="125" t="s">
        <v>1594</v>
      </c>
      <c r="L822" s="125">
        <v>46108</v>
      </c>
      <c r="M822" s="126">
        <f>SUMIF('MPG Payment '!$E$3:$E$344841,'Shayak Income '!D822,'MPG Payment '!$I$3:$I$344841)</f>
        <v>9521</v>
      </c>
      <c r="N822" s="126">
        <f>SUMIF('MPG Payment '!$E$3:$E$344841,'Shayak Income '!D822,'MPG Payment '!$J$3:$J$344841)</f>
        <v>493026.38999999996</v>
      </c>
      <c r="O822" s="126">
        <f t="shared" si="277"/>
        <v>7140.75</v>
      </c>
      <c r="P822" s="126">
        <f t="shared" si="278"/>
        <v>9044.9499999999989</v>
      </c>
      <c r="Q822" s="126">
        <f>SUMIF('MPG Payment '!$E$3:$E$344841,'Shayak Income '!D822,'MPG Payment '!$S$3:$S$344841)</f>
        <v>0</v>
      </c>
      <c r="R822" s="126">
        <f t="shared" si="279"/>
        <v>14790.791699999998</v>
      </c>
      <c r="S822" s="126">
        <f t="shared" si="280"/>
        <v>5745.841699999999</v>
      </c>
      <c r="T822" s="126">
        <f t="shared" si="252"/>
        <v>952.1</v>
      </c>
      <c r="U822" s="127">
        <f>((((((IF(K822="New",0,SUMIF('MPG Payment '!$E$3:$E$344841,'Shayak Income '!D822,'MPG Payment '!$AC$3:$AC$344841))))+0)+0)+0)+0)+0</f>
        <v>0</v>
      </c>
      <c r="V822" s="127">
        <f t="shared" si="253"/>
        <v>15234</v>
      </c>
      <c r="W822" s="19">
        <f t="shared" si="254"/>
        <v>0</v>
      </c>
      <c r="X822" s="19">
        <f t="shared" si="261"/>
        <v>0</v>
      </c>
      <c r="Y822" s="128">
        <f>IFERROR(VLOOKUP(D822,'Monthly Deduction'!$M$2:$N$640,2,0),0)</f>
        <v>0</v>
      </c>
      <c r="Z822" s="128">
        <v>0</v>
      </c>
      <c r="AA822" s="126">
        <f>IFERROR(VLOOKUP(D822,'Monthly Deduction'!A:B,2,0),0)</f>
        <v>0</v>
      </c>
      <c r="AB822" s="129">
        <f t="shared" si="242"/>
        <v>15234</v>
      </c>
      <c r="AC822" s="130">
        <v>0</v>
      </c>
      <c r="AD822" s="35">
        <f t="shared" si="281"/>
        <v>15234</v>
      </c>
      <c r="AE822" s="166" t="str">
        <f t="shared" si="282"/>
        <v>Release</v>
      </c>
      <c r="AF822" s="127"/>
      <c r="AG822" s="18">
        <v>0</v>
      </c>
      <c r="AH822" s="120"/>
      <c r="AI822" s="238">
        <v>0</v>
      </c>
      <c r="AJ822" s="132"/>
      <c r="AK822" s="151">
        <v>148.60000000000002</v>
      </c>
      <c r="AL822" s="154">
        <f t="shared" si="283"/>
        <v>0</v>
      </c>
      <c r="AM822" s="155"/>
      <c r="AN822" s="19">
        <f t="shared" si="245"/>
        <v>0</v>
      </c>
      <c r="AO822" s="118">
        <f>SUMIF('MPG Payment '!E:E,'Shayak Income '!D822,'MPG Payment '!AJ:AJ)</f>
        <v>0</v>
      </c>
      <c r="AP822" s="19">
        <f t="shared" si="246"/>
        <v>0</v>
      </c>
      <c r="AQ822" s="119">
        <f t="shared" si="284"/>
        <v>0</v>
      </c>
      <c r="AR822" s="91" t="s">
        <v>1144</v>
      </c>
      <c r="AS822" s="91">
        <f t="shared" si="248"/>
        <v>0</v>
      </c>
      <c r="AT822" s="118"/>
      <c r="AU822" s="118"/>
      <c r="AV822" s="118"/>
    </row>
    <row r="823" spans="1:48" s="20" customFormat="1" x14ac:dyDescent="0.25">
      <c r="A823" s="17">
        <f>IFERROR(VLOOKUP(D823,'Monthly Deduction'!$I$3:$J$957,2,0),0)</f>
        <v>0</v>
      </c>
      <c r="B823" s="17">
        <f>IFERROR(VLOOKUP(D823,'Monthly Deduction'!$E$3:$F$957,2,0),0)</f>
        <v>0</v>
      </c>
      <c r="C823" s="17">
        <f t="shared" si="276"/>
        <v>0</v>
      </c>
      <c r="D823" s="41">
        <v>10110187</v>
      </c>
      <c r="E823" s="122" t="str">
        <f>VLOOKUP(D823,'MPG Payment '!$E$3:$G$497305,2,0)</f>
        <v>Sadpur-2</v>
      </c>
      <c r="F823" s="146">
        <f>IFERROR(_xlfn.XLOOKUP(D823,'Monthly Deduction'!$I$3:$I$957,'Monthly Deduction'!$H$3:$H$957),0)</f>
        <v>0</v>
      </c>
      <c r="G823" s="123" t="str">
        <f>VLOOKUP(D823,'MPG Payment '!$E$3:$G$333666,3,0)</f>
        <v>MPG</v>
      </c>
      <c r="H823" s="124" t="str">
        <f>VLOOKUP(D823,'MPG Payment '!$E$3:$H$333666,4,0)</f>
        <v>Direct</v>
      </c>
      <c r="I823" s="88">
        <f>INDEX('MPG Payment '!$C:$C,MATCH('Shayak Income '!D823,'MPG Payment '!E:E,0))</f>
        <v>1011</v>
      </c>
      <c r="J823" s="88" t="str">
        <f>INDEX('MPG Payment '!$D:$D,MATCH('Shayak Income '!D823,'MPG Payment '!E:E,0))</f>
        <v>Sahibpur Kamal</v>
      </c>
      <c r="K823" s="125" t="s">
        <v>1594</v>
      </c>
      <c r="L823" s="125">
        <v>46112</v>
      </c>
      <c r="M823" s="126">
        <f>SUMIF('MPG Payment '!$E$3:$E$344841,'Shayak Income '!D823,'MPG Payment '!$I$3:$I$344841)</f>
        <v>3240.4000000000005</v>
      </c>
      <c r="N823" s="126">
        <f>SUMIF('MPG Payment '!$E$3:$E$344841,'Shayak Income '!D823,'MPG Payment '!$J$3:$J$344841)</f>
        <v>121129.08</v>
      </c>
      <c r="O823" s="126">
        <f t="shared" si="277"/>
        <v>2430.3000000000002</v>
      </c>
      <c r="P823" s="126">
        <f t="shared" si="278"/>
        <v>3078.3800000000006</v>
      </c>
      <c r="Q823" s="126">
        <f>SUMIF('MPG Payment '!$E$3:$E$344841,'Shayak Income '!D823,'MPG Payment '!$S$3:$S$344841)</f>
        <v>0</v>
      </c>
      <c r="R823" s="126">
        <f t="shared" si="279"/>
        <v>3633.8723999999997</v>
      </c>
      <c r="S823" s="126">
        <f t="shared" si="280"/>
        <v>555.49239999999918</v>
      </c>
      <c r="T823" s="126">
        <f t="shared" si="252"/>
        <v>324.04000000000008</v>
      </c>
      <c r="U823" s="127">
        <f>((((((IF(K823="New",0,SUMIF('MPG Payment '!$E$3:$E$344841,'Shayak Income '!D823,'MPG Payment '!$AC$3:$AC$344841))))+0)+0)+0)+0)+0</f>
        <v>25.832826819001749</v>
      </c>
      <c r="V823" s="127">
        <f t="shared" si="253"/>
        <v>5159</v>
      </c>
      <c r="W823" s="19">
        <f t="shared" si="254"/>
        <v>0</v>
      </c>
      <c r="X823" s="19">
        <f t="shared" si="261"/>
        <v>0</v>
      </c>
      <c r="Y823" s="128">
        <f>IFERROR(VLOOKUP(D823,'Monthly Deduction'!$M$2:$N$640,2,0),0)</f>
        <v>0</v>
      </c>
      <c r="Z823" s="128">
        <v>0</v>
      </c>
      <c r="AA823" s="126">
        <f>IFERROR(VLOOKUP(D823,'Monthly Deduction'!A:B,2,0),0)</f>
        <v>0</v>
      </c>
      <c r="AB823" s="129">
        <f t="shared" si="242"/>
        <v>5159</v>
      </c>
      <c r="AC823" s="130">
        <v>0</v>
      </c>
      <c r="AD823" s="35">
        <f t="shared" si="281"/>
        <v>5159</v>
      </c>
      <c r="AE823" s="166" t="str">
        <f t="shared" si="282"/>
        <v>Release</v>
      </c>
      <c r="AF823" s="127"/>
      <c r="AG823" s="18">
        <v>0</v>
      </c>
      <c r="AH823" s="120"/>
      <c r="AI823" s="238">
        <v>0</v>
      </c>
      <c r="AJ823" s="132" t="s">
        <v>68</v>
      </c>
      <c r="AK823" s="151">
        <v>740.09999999999991</v>
      </c>
      <c r="AL823" s="154">
        <f t="shared" si="283"/>
        <v>0</v>
      </c>
      <c r="AM823" s="155"/>
      <c r="AN823" s="19">
        <f t="shared" si="245"/>
        <v>0</v>
      </c>
      <c r="AO823" s="118">
        <f>SUMIF('MPG Payment '!E:E,'Shayak Income '!D823,'MPG Payment '!AJ:AJ)</f>
        <v>0</v>
      </c>
      <c r="AP823" s="19">
        <f t="shared" si="246"/>
        <v>0</v>
      </c>
      <c r="AQ823" s="119">
        <f t="shared" si="284"/>
        <v>0</v>
      </c>
      <c r="AR823" s="91" t="s">
        <v>1144</v>
      </c>
      <c r="AS823" s="91">
        <f t="shared" si="248"/>
        <v>0</v>
      </c>
      <c r="AT823" s="118"/>
      <c r="AU823" s="118"/>
      <c r="AV823" s="118"/>
    </row>
    <row r="824" spans="1:48" s="20" customFormat="1" x14ac:dyDescent="0.25">
      <c r="A824" s="17">
        <f>IFERROR(VLOOKUP(D824,'Monthly Deduction'!$I$3:$J$957,2,0),0)</f>
        <v>0</v>
      </c>
      <c r="B824" s="17">
        <f>IFERROR(VLOOKUP(D824,'Monthly Deduction'!$E$3:$F$957,2,0),0)</f>
        <v>0</v>
      </c>
      <c r="C824" s="17">
        <f t="shared" si="276"/>
        <v>0</v>
      </c>
      <c r="D824" s="41">
        <v>10120109</v>
      </c>
      <c r="E824" s="122" t="str">
        <f>VLOOKUP(D824,'MPG Payment '!$E$3:$G$497305,2,0)</f>
        <v>IMADPUR</v>
      </c>
      <c r="F824" s="146">
        <f>IFERROR(_xlfn.XLOOKUP(D824,'Monthly Deduction'!$I$3:$I$957,'Monthly Deduction'!$H$3:$H$957),0)</f>
        <v>0</v>
      </c>
      <c r="G824" s="123" t="str">
        <f>VLOOKUP(D824,'MPG Payment '!$E$3:$G$333666,3,0)</f>
        <v>vlc</v>
      </c>
      <c r="H824" s="124" t="str">
        <f>VLOOKUP(D824,'MPG Payment '!$E$3:$H$333666,4,0)</f>
        <v>Indirect</v>
      </c>
      <c r="I824" s="88">
        <f>INDEX('MPG Payment '!$C:$C,MATCH('Shayak Income '!D824,'MPG Payment '!E:E,0))</f>
        <v>1012</v>
      </c>
      <c r="J824" s="88" t="str">
        <f>INDEX('MPG Payment '!$D:$D,MATCH('Shayak Income '!D824,'MPG Payment '!E:E,0))</f>
        <v>DalsinghSarai</v>
      </c>
      <c r="K824" s="125" t="s">
        <v>1594</v>
      </c>
      <c r="L824" s="125">
        <v>45829</v>
      </c>
      <c r="M824" s="126">
        <f>SUMIF('MPG Payment '!$E$3:$E$344841,'Shayak Income '!D824,'MPG Payment '!$I$3:$I$344841)</f>
        <v>5165.8100000000004</v>
      </c>
      <c r="N824" s="126">
        <f>SUMIF('MPG Payment '!$E$3:$E$344841,'Shayak Income '!D824,'MPG Payment '!$J$3:$J$344841)</f>
        <v>194692.78</v>
      </c>
      <c r="O824" s="126">
        <f t="shared" si="277"/>
        <v>3874.3575000000001</v>
      </c>
      <c r="P824" s="126">
        <f t="shared" si="278"/>
        <v>4907.5195000000003</v>
      </c>
      <c r="Q824" s="126">
        <f>SUMIF('MPG Payment '!$E$3:$E$344841,'Shayak Income '!D824,'MPG Payment '!$S$3:$S$344841)</f>
        <v>0</v>
      </c>
      <c r="R824" s="126">
        <f t="shared" si="279"/>
        <v>5840.7833999999993</v>
      </c>
      <c r="S824" s="126">
        <f t="shared" si="280"/>
        <v>933.26389999999901</v>
      </c>
      <c r="T824" s="126">
        <f t="shared" si="252"/>
        <v>516.58100000000002</v>
      </c>
      <c r="U824" s="127">
        <f>((((((IF(K824="New",0,SUMIF('MPG Payment '!$E$3:$E$344841,'Shayak Income '!D824,'MPG Payment '!$AC$3:$AC$344841))))+0)+0)+0)+0)+0</f>
        <v>91.430726987923009</v>
      </c>
      <c r="V824" s="127">
        <f t="shared" si="253"/>
        <v>8174</v>
      </c>
      <c r="W824" s="19">
        <f t="shared" si="254"/>
        <v>0</v>
      </c>
      <c r="X824" s="19">
        <f t="shared" si="261"/>
        <v>0</v>
      </c>
      <c r="Y824" s="128">
        <f>IFERROR(VLOOKUP(D824,'Monthly Deduction'!$M$2:$N$640,2,0),0)</f>
        <v>0</v>
      </c>
      <c r="Z824" s="128">
        <v>0</v>
      </c>
      <c r="AA824" s="126">
        <f>IFERROR(VLOOKUP(D824,'Monthly Deduction'!A:B,2,0),0)</f>
        <v>0</v>
      </c>
      <c r="AB824" s="129">
        <f t="shared" si="242"/>
        <v>8174</v>
      </c>
      <c r="AC824" s="130">
        <v>0</v>
      </c>
      <c r="AD824" s="35">
        <f t="shared" si="281"/>
        <v>8174</v>
      </c>
      <c r="AE824" s="166" t="str">
        <f t="shared" si="282"/>
        <v>Release</v>
      </c>
      <c r="AF824" s="127"/>
      <c r="AG824" s="18">
        <v>0</v>
      </c>
      <c r="AH824" s="132"/>
      <c r="AI824" s="238">
        <v>0</v>
      </c>
      <c r="AJ824" s="132"/>
      <c r="AK824" s="151">
        <v>1477.9199999999998</v>
      </c>
      <c r="AL824" s="154">
        <f t="shared" si="283"/>
        <v>0</v>
      </c>
      <c r="AM824" s="155"/>
      <c r="AN824" s="19">
        <f t="shared" si="245"/>
        <v>0</v>
      </c>
      <c r="AO824" s="118">
        <f>SUMIF('MPG Payment '!E:E,'Shayak Income '!D824,'MPG Payment '!AJ:AJ)</f>
        <v>0</v>
      </c>
      <c r="AP824" s="19">
        <f t="shared" si="246"/>
        <v>0</v>
      </c>
      <c r="AQ824" s="119">
        <f t="shared" si="284"/>
        <v>0</v>
      </c>
      <c r="AR824" s="91" t="s">
        <v>1144</v>
      </c>
      <c r="AS824" s="91">
        <f t="shared" si="248"/>
        <v>0</v>
      </c>
      <c r="AT824" s="118"/>
      <c r="AU824" s="118"/>
      <c r="AV824" s="118"/>
    </row>
    <row r="825" spans="1:48" s="20" customFormat="1" x14ac:dyDescent="0.25">
      <c r="A825" s="17">
        <f>IFERROR(VLOOKUP(D825,'Monthly Deduction'!$I$3:$J$957,2,0),0)</f>
        <v>62412.324484158802</v>
      </c>
      <c r="B825" s="17">
        <f>IFERROR(VLOOKUP(D825,'Monthly Deduction'!$E$3:$F$957,2,0),0)</f>
        <v>12800</v>
      </c>
      <c r="C825" s="17">
        <f t="shared" si="276"/>
        <v>75212.324484158802</v>
      </c>
      <c r="D825" s="41">
        <v>10530111</v>
      </c>
      <c r="E825" s="122" t="str">
        <f>VLOOKUP(D825,'MPG Payment '!$E$3:$G$497305,2,0)</f>
        <v>GOMUKH BHUSKOUL</v>
      </c>
      <c r="F825" s="146">
        <f>IFERROR(_xlfn.XLOOKUP(D825,'Monthly Deduction'!$I$3:$I$957,'Monthly Deduction'!$H$3:$H$957),0)</f>
        <v>0</v>
      </c>
      <c r="G825" s="123" t="str">
        <f>VLOOKUP(D825,'MPG Payment '!$E$3:$G$333666,3,0)</f>
        <v>MPG</v>
      </c>
      <c r="H825" s="124" t="str">
        <f>VLOOKUP(D825,'MPG Payment '!$E$3:$H$333666,4,0)</f>
        <v>Direct</v>
      </c>
      <c r="I825" s="88">
        <f>INDEX('MPG Payment '!$C:$C,MATCH('Shayak Income '!D825,'MPG Payment '!E:E,0))</f>
        <v>1053</v>
      </c>
      <c r="J825" s="88" t="str">
        <f>INDEX('MPG Payment '!$D:$D,MATCH('Shayak Income '!D825,'MPG Payment '!E:E,0))</f>
        <v>Kalyanpur</v>
      </c>
      <c r="K825" s="125" t="s">
        <v>1594</v>
      </c>
      <c r="L825" s="125">
        <v>46112</v>
      </c>
      <c r="M825" s="126">
        <f>SUMIF('MPG Payment '!$E$3:$E$344841,'Shayak Income '!D825,'MPG Payment '!$I$3:$I$344841)</f>
        <v>2084.5499999999997</v>
      </c>
      <c r="N825" s="126">
        <f>SUMIF('MPG Payment '!$E$3:$E$344841,'Shayak Income '!D825,'MPG Payment '!$J$3:$J$344841)</f>
        <v>84298.11</v>
      </c>
      <c r="O825" s="126">
        <f t="shared" si="277"/>
        <v>1563.4124999999999</v>
      </c>
      <c r="P825" s="126">
        <f t="shared" si="278"/>
        <v>1980.3224999999995</v>
      </c>
      <c r="Q825" s="126">
        <f>SUMIF('MPG Payment '!$E$3:$E$344841,'Shayak Income '!D825,'MPG Payment '!$S$3:$S$344841)</f>
        <v>1852.39</v>
      </c>
      <c r="R825" s="126">
        <f t="shared" si="279"/>
        <v>2528.9432999999999</v>
      </c>
      <c r="S825" s="126">
        <f t="shared" si="280"/>
        <v>548.62080000000037</v>
      </c>
      <c r="T825" s="126">
        <f t="shared" si="252"/>
        <v>208.45499999999998</v>
      </c>
      <c r="U825" s="127">
        <f>((((((IF(K825="New",0,SUMIF('MPG Payment '!$E$3:$E$344841,'Shayak Income '!D825,'MPG Payment '!$AC$3:$AC$344841))))+0)+0)+0)+0)+0</f>
        <v>579.61214301491452</v>
      </c>
      <c r="V825" s="127">
        <f t="shared" si="253"/>
        <v>4608</v>
      </c>
      <c r="W825" s="19">
        <f t="shared" si="254"/>
        <v>1861</v>
      </c>
      <c r="X825" s="19">
        <v>0</v>
      </c>
      <c r="Y825" s="128">
        <f>IFERROR(VLOOKUP(D825,'Monthly Deduction'!$M$2:$N$640,2,0),0)</f>
        <v>0</v>
      </c>
      <c r="Z825" s="128">
        <v>0</v>
      </c>
      <c r="AA825" s="126">
        <f>IFERROR(VLOOKUP(D825,'Monthly Deduction'!A:B,2,0),0)</f>
        <v>349.71543080156107</v>
      </c>
      <c r="AB825" s="129">
        <f t="shared" si="242"/>
        <v>2397</v>
      </c>
      <c r="AC825" s="130">
        <v>0</v>
      </c>
      <c r="AD825" s="35">
        <f t="shared" si="281"/>
        <v>2397</v>
      </c>
      <c r="AE825" s="166" t="str">
        <f t="shared" si="282"/>
        <v>Release</v>
      </c>
      <c r="AF825" s="127"/>
      <c r="AG825" s="18">
        <v>0</v>
      </c>
      <c r="AH825" s="132"/>
      <c r="AI825" s="238">
        <v>0</v>
      </c>
      <c r="AJ825" s="132"/>
      <c r="AK825" s="151">
        <v>450.75</v>
      </c>
      <c r="AL825" s="154">
        <f t="shared" si="283"/>
        <v>0</v>
      </c>
      <c r="AM825" s="155"/>
      <c r="AN825" s="19">
        <f t="shared" si="245"/>
        <v>1861</v>
      </c>
      <c r="AO825" s="118">
        <f>SUMIF('MPG Payment '!E:E,'Shayak Income '!D825,'MPG Payment '!AJ:AJ)</f>
        <v>0</v>
      </c>
      <c r="AP825" s="19">
        <f t="shared" si="246"/>
        <v>1861</v>
      </c>
      <c r="AQ825" s="119">
        <f t="shared" si="284"/>
        <v>1861</v>
      </c>
      <c r="AR825" s="91" t="s">
        <v>1144</v>
      </c>
      <c r="AS825" s="91">
        <f t="shared" si="248"/>
        <v>12800</v>
      </c>
      <c r="AT825" s="118"/>
      <c r="AU825" s="118"/>
      <c r="AV825" s="118"/>
    </row>
    <row r="826" spans="1:48" s="20" customFormat="1" x14ac:dyDescent="0.25">
      <c r="A826" s="17">
        <f>IFERROR(VLOOKUP(D826,'Monthly Deduction'!$I$3:$J$957,2,0),0)</f>
        <v>73139</v>
      </c>
      <c r="B826" s="17">
        <f>IFERROR(VLOOKUP(D826,'Monthly Deduction'!$E$3:$F$957,2,0),0)</f>
        <v>12800</v>
      </c>
      <c r="C826" s="17">
        <f t="shared" si="276"/>
        <v>85939</v>
      </c>
      <c r="D826" s="41">
        <v>10530112</v>
      </c>
      <c r="E826" s="122" t="str">
        <f>VLOOKUP(D826,'MPG Payment '!$E$3:$G$497305,2,0)</f>
        <v>GOMUKH BIRSINGHPUR</v>
      </c>
      <c r="F826" s="146">
        <f>IFERROR(_xlfn.XLOOKUP(D826,'Monthly Deduction'!$I$3:$I$957,'Monthly Deduction'!$H$3:$H$957),0)</f>
        <v>0</v>
      </c>
      <c r="G826" s="123" t="str">
        <f>VLOOKUP(D826,'MPG Payment '!$E$3:$G$333666,3,0)</f>
        <v>MPG</v>
      </c>
      <c r="H826" s="124" t="str">
        <f>VLOOKUP(D826,'MPG Payment '!$E$3:$H$333666,4,0)</f>
        <v>Direct</v>
      </c>
      <c r="I826" s="88">
        <f>INDEX('MPG Payment '!$C:$C,MATCH('Shayak Income '!D826,'MPG Payment '!E:E,0))</f>
        <v>1053</v>
      </c>
      <c r="J826" s="88" t="str">
        <f>INDEX('MPG Payment '!$D:$D,MATCH('Shayak Income '!D826,'MPG Payment '!E:E,0))</f>
        <v>Kalyanpur</v>
      </c>
      <c r="K826" s="125" t="s">
        <v>1594</v>
      </c>
      <c r="L826" s="125">
        <v>46112</v>
      </c>
      <c r="M826" s="126">
        <f>SUMIF('MPG Payment '!$E$3:$E$344841,'Shayak Income '!D826,'MPG Payment '!$I$3:$I$344841)</f>
        <v>2457.35</v>
      </c>
      <c r="N826" s="126">
        <f>SUMIF('MPG Payment '!$E$3:$E$344841,'Shayak Income '!D826,'MPG Payment '!$J$3:$J$344841)</f>
        <v>99307.27</v>
      </c>
      <c r="O826" s="126">
        <f t="shared" si="277"/>
        <v>1843.0124999999998</v>
      </c>
      <c r="P826" s="126">
        <f t="shared" si="278"/>
        <v>2334.4824999999996</v>
      </c>
      <c r="Q826" s="126">
        <f>SUMIF('MPG Payment '!$E$3:$E$344841,'Shayak Income '!D826,'MPG Payment '!$S$3:$S$344841)</f>
        <v>1250.76</v>
      </c>
      <c r="R826" s="126">
        <f t="shared" si="279"/>
        <v>2979.2181</v>
      </c>
      <c r="S826" s="126">
        <f t="shared" si="280"/>
        <v>644.73560000000043</v>
      </c>
      <c r="T826" s="126">
        <f t="shared" si="252"/>
        <v>245.73500000000001</v>
      </c>
      <c r="U826" s="127">
        <f>((((((IF(K826="New",0,SUMIF('MPG Payment '!$E$3:$E$344841,'Shayak Income '!D826,'MPG Payment '!$AC$3:$AC$344841))))+0)+0)+0)+0)+0</f>
        <v>278.02391722988705</v>
      </c>
      <c r="V826" s="127">
        <f t="shared" si="253"/>
        <v>4904</v>
      </c>
      <c r="W826" s="19">
        <f t="shared" si="254"/>
        <v>1986.1454000000001</v>
      </c>
      <c r="X826" s="19">
        <v>0</v>
      </c>
      <c r="Y826" s="128">
        <f>IFERROR(VLOOKUP(D826,'Monthly Deduction'!$M$2:$N$640,2,0),0)</f>
        <v>0</v>
      </c>
      <c r="Z826" s="128">
        <v>0</v>
      </c>
      <c r="AA826" s="126">
        <f>IFERROR(VLOOKUP(D826,'Monthly Deduction'!A:B,2,0),0)</f>
        <v>185.01543080156108</v>
      </c>
      <c r="AB826" s="129">
        <f t="shared" si="242"/>
        <v>2733</v>
      </c>
      <c r="AC826" s="130">
        <f>AB826</f>
        <v>2733</v>
      </c>
      <c r="AD826" s="35">
        <f t="shared" si="281"/>
        <v>0</v>
      </c>
      <c r="AE826" s="166" t="str">
        <f t="shared" si="282"/>
        <v>Yes</v>
      </c>
      <c r="AF826" s="127"/>
      <c r="AG826" s="18">
        <v>0</v>
      </c>
      <c r="AH826" s="120" t="s">
        <v>1685</v>
      </c>
      <c r="AI826" s="238">
        <v>10000</v>
      </c>
      <c r="AJ826" s="132"/>
      <c r="AK826" s="151">
        <v>682.94999999999993</v>
      </c>
      <c r="AL826" s="154">
        <f t="shared" si="283"/>
        <v>0</v>
      </c>
      <c r="AM826" s="155"/>
      <c r="AN826" s="19">
        <f t="shared" si="245"/>
        <v>1986.1454000000001</v>
      </c>
      <c r="AO826" s="118">
        <f>SUMIF('MPG Payment '!E:E,'Shayak Income '!D826,'MPG Payment '!AJ:AJ)</f>
        <v>0</v>
      </c>
      <c r="AP826" s="19">
        <f t="shared" si="246"/>
        <v>1986.1454000000001</v>
      </c>
      <c r="AQ826" s="119">
        <f t="shared" si="284"/>
        <v>1986.1454000000001</v>
      </c>
      <c r="AR826" s="91" t="s">
        <v>1144</v>
      </c>
      <c r="AS826" s="91">
        <f t="shared" si="248"/>
        <v>12800</v>
      </c>
      <c r="AT826" s="118"/>
      <c r="AU826" s="118"/>
      <c r="AV826" s="118"/>
    </row>
    <row r="827" spans="1:48" s="20" customFormat="1" x14ac:dyDescent="0.25">
      <c r="A827" s="17">
        <f>IFERROR(VLOOKUP(D827,'Monthly Deduction'!$I$3:$J$957,2,0),0)</f>
        <v>0</v>
      </c>
      <c r="B827" s="17">
        <f>IFERROR(VLOOKUP(D827,'Monthly Deduction'!$E$3:$F$957,2,0),0)</f>
        <v>0</v>
      </c>
      <c r="C827" s="17">
        <f t="shared" si="276"/>
        <v>0</v>
      </c>
      <c r="D827" s="41">
        <v>10540048</v>
      </c>
      <c r="E827" s="122" t="str">
        <f>VLOOKUP(D827,'MPG Payment '!$E$3:$G$497305,2,0)</f>
        <v>Gomukh Rahul VLC</v>
      </c>
      <c r="F827" s="146">
        <f>IFERROR(_xlfn.XLOOKUP(D827,'Monthly Deduction'!$I$3:$I$957,'Monthly Deduction'!$H$3:$H$957),0)</f>
        <v>0</v>
      </c>
      <c r="G827" s="123" t="str">
        <f>VLOOKUP(D827,'MPG Payment '!$E$3:$G$333666,3,0)</f>
        <v>vlc</v>
      </c>
      <c r="H827" s="124" t="str">
        <f>VLOOKUP(D827,'MPG Payment '!$E$3:$H$333666,4,0)</f>
        <v>Indirect</v>
      </c>
      <c r="I827" s="88">
        <f>INDEX('MPG Payment '!$C:$C,MATCH('Shayak Income '!D827,'MPG Payment '!E:E,0))</f>
        <v>1054</v>
      </c>
      <c r="J827" s="88" t="str">
        <f>INDEX('MPG Payment '!$D:$D,MATCH('Shayak Income '!D827,'MPG Payment '!E:E,0))</f>
        <v xml:space="preserve">Alauli </v>
      </c>
      <c r="K827" s="125" t="s">
        <v>1594</v>
      </c>
      <c r="L827" s="125">
        <v>46112</v>
      </c>
      <c r="M827" s="126">
        <f>SUMIF('MPG Payment '!$E$3:$E$344841,'Shayak Income '!D827,'MPG Payment '!$I$3:$I$344841)</f>
        <v>6977.7</v>
      </c>
      <c r="N827" s="126">
        <f>SUMIF('MPG Payment '!$E$3:$E$344841,'Shayak Income '!D827,'MPG Payment '!$J$3:$J$344841)</f>
        <v>306875.05</v>
      </c>
      <c r="O827" s="126">
        <f t="shared" si="277"/>
        <v>5233.2749999999996</v>
      </c>
      <c r="P827" s="126">
        <f t="shared" si="278"/>
        <v>6628.8149999999996</v>
      </c>
      <c r="Q827" s="126">
        <f>SUMIF('MPG Payment '!$E$3:$E$344841,'Shayak Income '!D827,'MPG Payment '!$S$3:$S$344841)</f>
        <v>0</v>
      </c>
      <c r="R827" s="126">
        <f t="shared" si="279"/>
        <v>9206.2514999999985</v>
      </c>
      <c r="S827" s="126">
        <f t="shared" si="280"/>
        <v>2577.4364999999989</v>
      </c>
      <c r="T827" s="126">
        <f t="shared" si="252"/>
        <v>697.77</v>
      </c>
      <c r="U827" s="127">
        <f>((((((IF(K827="New",0,SUMIF('MPG Payment '!$E$3:$E$344841,'Shayak Income '!D827,'MPG Payment '!$AC$3:$AC$344841))))+0)+0)+0)+0)+0</f>
        <v>0</v>
      </c>
      <c r="V827" s="127">
        <f t="shared" si="253"/>
        <v>11164</v>
      </c>
      <c r="W827" s="19">
        <f t="shared" si="254"/>
        <v>0</v>
      </c>
      <c r="X827" s="19">
        <f t="shared" si="261"/>
        <v>0</v>
      </c>
      <c r="Y827" s="128">
        <f>IFERROR(VLOOKUP(D827,'Monthly Deduction'!$M$2:$N$640,2,0),0)</f>
        <v>0</v>
      </c>
      <c r="Z827" s="128">
        <v>0</v>
      </c>
      <c r="AA827" s="126">
        <f>IFERROR(VLOOKUP(D827,'Monthly Deduction'!A:B,2,0),0)</f>
        <v>0</v>
      </c>
      <c r="AB827" s="129">
        <f t="shared" si="242"/>
        <v>11164</v>
      </c>
      <c r="AC827" s="130">
        <v>0</v>
      </c>
      <c r="AD827" s="35">
        <f t="shared" si="281"/>
        <v>11164</v>
      </c>
      <c r="AE827" s="166" t="str">
        <f t="shared" si="282"/>
        <v>Release</v>
      </c>
      <c r="AF827" s="127"/>
      <c r="AG827" s="18">
        <v>0</v>
      </c>
      <c r="AH827" s="132"/>
      <c r="AI827" s="238">
        <v>0</v>
      </c>
      <c r="AJ827" s="132"/>
      <c r="AK827" s="151">
        <v>1592.8999999999999</v>
      </c>
      <c r="AL827" s="154">
        <f t="shared" si="283"/>
        <v>0</v>
      </c>
      <c r="AM827" s="155"/>
      <c r="AN827" s="19">
        <f t="shared" si="245"/>
        <v>0</v>
      </c>
      <c r="AO827" s="118">
        <f>SUMIF('MPG Payment '!E:E,'Shayak Income '!D827,'MPG Payment '!AJ:AJ)</f>
        <v>0</v>
      </c>
      <c r="AP827" s="19">
        <f t="shared" si="246"/>
        <v>0</v>
      </c>
      <c r="AQ827" s="119">
        <f t="shared" si="284"/>
        <v>0</v>
      </c>
      <c r="AR827" s="91" t="s">
        <v>1144</v>
      </c>
      <c r="AS827" s="91">
        <f t="shared" si="248"/>
        <v>0</v>
      </c>
      <c r="AT827" s="118"/>
      <c r="AU827" s="118"/>
      <c r="AV827" s="118"/>
    </row>
    <row r="828" spans="1:48" s="20" customFormat="1" x14ac:dyDescent="0.25">
      <c r="A828" s="17">
        <f>IFERROR(VLOOKUP(D828,'Monthly Deduction'!$I$3:$J$957,2,0),0)</f>
        <v>0</v>
      </c>
      <c r="B828" s="17">
        <f>IFERROR(VLOOKUP(D828,'Monthly Deduction'!$E$3:$F$957,2,0),0)</f>
        <v>0</v>
      </c>
      <c r="C828" s="17">
        <f t="shared" si="276"/>
        <v>0</v>
      </c>
      <c r="D828" s="41">
        <v>10540049</v>
      </c>
      <c r="E828" s="122" t="str">
        <f>VLOOKUP(D828,'MPG Payment '!$E$3:$G$497305,2,0)</f>
        <v>Gomukh Sachin VLC</v>
      </c>
      <c r="F828" s="146">
        <f>IFERROR(_xlfn.XLOOKUP(D828,'Monthly Deduction'!$I$3:$I$957,'Monthly Deduction'!$H$3:$H$957),0)</f>
        <v>0</v>
      </c>
      <c r="G828" s="123" t="str">
        <f>VLOOKUP(D828,'MPG Payment '!$E$3:$G$333666,3,0)</f>
        <v>vlc</v>
      </c>
      <c r="H828" s="124" t="str">
        <f>VLOOKUP(D828,'MPG Payment '!$E$3:$H$333666,4,0)</f>
        <v>Indirect</v>
      </c>
      <c r="I828" s="88">
        <f>INDEX('MPG Payment '!$C:$C,MATCH('Shayak Income '!D828,'MPG Payment '!E:E,0))</f>
        <v>1054</v>
      </c>
      <c r="J828" s="88" t="str">
        <f>INDEX('MPG Payment '!$D:$D,MATCH('Shayak Income '!D828,'MPG Payment '!E:E,0))</f>
        <v xml:space="preserve">Alauli </v>
      </c>
      <c r="K828" s="125" t="s">
        <v>1594</v>
      </c>
      <c r="L828" s="125">
        <v>46112</v>
      </c>
      <c r="M828" s="126">
        <f>SUMIF('MPG Payment '!$E$3:$E$344841,'Shayak Income '!D828,'MPG Payment '!$I$3:$I$344841)</f>
        <v>2109</v>
      </c>
      <c r="N828" s="126">
        <f>SUMIF('MPG Payment '!$E$3:$E$344841,'Shayak Income '!D828,'MPG Payment '!$J$3:$J$344841)</f>
        <v>81404.600000000006</v>
      </c>
      <c r="O828" s="126">
        <f t="shared" si="277"/>
        <v>1581.75</v>
      </c>
      <c r="P828" s="126">
        <f t="shared" si="278"/>
        <v>2003.55</v>
      </c>
      <c r="Q828" s="126">
        <f>SUMIF('MPG Payment '!$E$3:$E$344841,'Shayak Income '!D828,'MPG Payment '!$S$3:$S$344841)</f>
        <v>0</v>
      </c>
      <c r="R828" s="126">
        <f t="shared" si="279"/>
        <v>2442.1379999999999</v>
      </c>
      <c r="S828" s="126">
        <f t="shared" si="280"/>
        <v>438.58799999999997</v>
      </c>
      <c r="T828" s="126">
        <f t="shared" si="252"/>
        <v>210.9</v>
      </c>
      <c r="U828" s="127">
        <f>((((((IF(K828="New",0,SUMIF('MPG Payment '!$E$3:$E$344841,'Shayak Income '!D828,'MPG Payment '!$AC$3:$AC$344841))))+0)+0)+0)+0)+0</f>
        <v>531.21759531212797</v>
      </c>
      <c r="V828" s="127">
        <f t="shared" si="253"/>
        <v>2843</v>
      </c>
      <c r="W828" s="19">
        <f t="shared" si="254"/>
        <v>0</v>
      </c>
      <c r="X828" s="19">
        <f t="shared" si="261"/>
        <v>0</v>
      </c>
      <c r="Y828" s="128">
        <f>IFERROR(VLOOKUP(D828,'Monthly Deduction'!$M$2:$N$640,2,0),0)</f>
        <v>0</v>
      </c>
      <c r="Z828" s="128">
        <v>0</v>
      </c>
      <c r="AA828" s="126">
        <f>IFERROR(VLOOKUP(D828,'Monthly Deduction'!A:B,2,0),0)</f>
        <v>0</v>
      </c>
      <c r="AB828" s="129">
        <f t="shared" si="242"/>
        <v>2843</v>
      </c>
      <c r="AC828" s="130">
        <v>0</v>
      </c>
      <c r="AD828" s="35">
        <f t="shared" si="281"/>
        <v>2843</v>
      </c>
      <c r="AE828" s="166" t="str">
        <f t="shared" si="282"/>
        <v>Release</v>
      </c>
      <c r="AF828" s="127"/>
      <c r="AG828" s="18">
        <v>0</v>
      </c>
      <c r="AH828" s="120"/>
      <c r="AI828" s="238">
        <v>0</v>
      </c>
      <c r="AJ828" s="132"/>
      <c r="AK828" s="151">
        <v>578.4</v>
      </c>
      <c r="AL828" s="154">
        <f t="shared" si="283"/>
        <v>0</v>
      </c>
      <c r="AM828" s="155"/>
      <c r="AN828" s="19">
        <f t="shared" si="245"/>
        <v>0</v>
      </c>
      <c r="AO828" s="118">
        <f>SUMIF('MPG Payment '!E:E,'Shayak Income '!D828,'MPG Payment '!AJ:AJ)</f>
        <v>0</v>
      </c>
      <c r="AP828" s="19">
        <f t="shared" si="246"/>
        <v>0</v>
      </c>
      <c r="AQ828" s="119">
        <f t="shared" si="284"/>
        <v>0</v>
      </c>
      <c r="AR828" s="91" t="s">
        <v>1144</v>
      </c>
      <c r="AS828" s="91">
        <f t="shared" si="248"/>
        <v>0</v>
      </c>
      <c r="AT828" s="118"/>
      <c r="AU828" s="118"/>
      <c r="AV828" s="118"/>
    </row>
    <row r="829" spans="1:48" s="20" customFormat="1" x14ac:dyDescent="0.25">
      <c r="A829" s="17">
        <f>IFERROR(VLOOKUP(D829,'Monthly Deduction'!$I$3:$J$957,2,0),0)</f>
        <v>0</v>
      </c>
      <c r="B829" s="17">
        <f>IFERROR(VLOOKUP(D829,'Monthly Deduction'!$E$3:$F$957,2,0),0)</f>
        <v>0</v>
      </c>
      <c r="C829" s="17">
        <f t="shared" si="276"/>
        <v>0</v>
      </c>
      <c r="D829" s="41">
        <v>10560033</v>
      </c>
      <c r="E829" s="122" t="str">
        <f>VLOOKUP(D829,'MPG Payment '!$E$3:$G$497305,2,0)</f>
        <v>Gomukh Thuthi Vlc</v>
      </c>
      <c r="F829" s="146">
        <f>IFERROR(_xlfn.XLOOKUP(D829,'Monthly Deduction'!$I$3:$I$957,'Monthly Deduction'!$H$3:$H$957),0)</f>
        <v>0</v>
      </c>
      <c r="G829" s="123" t="str">
        <f>VLOOKUP(D829,'MPG Payment '!$E$3:$G$333666,3,0)</f>
        <v>vlc</v>
      </c>
      <c r="H829" s="124" t="str">
        <f>VLOOKUP(D829,'MPG Payment '!$E$3:$H$333666,4,0)</f>
        <v>Indirect</v>
      </c>
      <c r="I829" s="88">
        <f>INDEX('MPG Payment '!$C:$C,MATCH('Shayak Income '!D829,'MPG Payment '!E:E,0))</f>
        <v>1056</v>
      </c>
      <c r="J829" s="88" t="str">
        <f>INDEX('MPG Payment '!$D:$D,MATCH('Shayak Income '!D829,'MPG Payment '!E:E,0))</f>
        <v>Chautham</v>
      </c>
      <c r="K829" s="125" t="s">
        <v>1594</v>
      </c>
      <c r="L829" s="125">
        <v>46112</v>
      </c>
      <c r="M829" s="126">
        <f>SUMIF('MPG Payment '!$E$3:$E$344841,'Shayak Income '!D829,'MPG Payment '!$I$3:$I$344841)</f>
        <v>1132.9199999999998</v>
      </c>
      <c r="N829" s="126">
        <f>SUMIF('MPG Payment '!$E$3:$E$344841,'Shayak Income '!D829,'MPG Payment '!$J$3:$J$344841)</f>
        <v>47534.239999999991</v>
      </c>
      <c r="O829" s="126">
        <f t="shared" si="277"/>
        <v>849.68999999999983</v>
      </c>
      <c r="P829" s="126">
        <f t="shared" si="278"/>
        <v>1076.2739999999999</v>
      </c>
      <c r="Q829" s="126">
        <f>SUMIF('MPG Payment '!$E$3:$E$344841,'Shayak Income '!D829,'MPG Payment '!$S$3:$S$344841)</f>
        <v>0</v>
      </c>
      <c r="R829" s="126">
        <f t="shared" si="279"/>
        <v>1426.0271999999998</v>
      </c>
      <c r="S829" s="126">
        <f t="shared" si="280"/>
        <v>349.75319999999988</v>
      </c>
      <c r="T829" s="126">
        <f t="shared" si="252"/>
        <v>113.29199999999999</v>
      </c>
      <c r="U829" s="127">
        <f>((((((IF(K829="New",0,SUMIF('MPG Payment '!$E$3:$E$344841,'Shayak Income '!D829,'MPG Payment '!$AC$3:$AC$344841))))+0)+0)+0)+0)+0</f>
        <v>1403.4965860812554</v>
      </c>
      <c r="V829" s="127">
        <f t="shared" si="253"/>
        <v>409</v>
      </c>
      <c r="W829" s="19">
        <f t="shared" si="254"/>
        <v>0</v>
      </c>
      <c r="X829" s="19">
        <f t="shared" si="261"/>
        <v>0</v>
      </c>
      <c r="Y829" s="128">
        <f>IFERROR(VLOOKUP(D829,'Monthly Deduction'!$M$2:$N$640,2,0),0)</f>
        <v>0</v>
      </c>
      <c r="Z829" s="128">
        <v>0</v>
      </c>
      <c r="AA829" s="126">
        <v>409</v>
      </c>
      <c r="AB829" s="129">
        <f t="shared" si="242"/>
        <v>0</v>
      </c>
      <c r="AC829" s="130">
        <v>0</v>
      </c>
      <c r="AD829" s="35">
        <f t="shared" si="281"/>
        <v>0</v>
      </c>
      <c r="AE829" s="166" t="str">
        <f t="shared" si="282"/>
        <v>Release</v>
      </c>
      <c r="AF829" s="127"/>
      <c r="AG829" s="18">
        <v>0</v>
      </c>
      <c r="AH829" s="120"/>
      <c r="AI829" s="238">
        <v>0</v>
      </c>
      <c r="AJ829" s="132"/>
      <c r="AK829" s="151">
        <v>269.43999999999994</v>
      </c>
      <c r="AL829" s="154">
        <f t="shared" si="283"/>
        <v>0</v>
      </c>
      <c r="AM829" s="155"/>
      <c r="AN829" s="19">
        <f t="shared" si="245"/>
        <v>0</v>
      </c>
      <c r="AO829" s="118">
        <f>SUMIF('MPG Payment '!E:E,'Shayak Income '!D829,'MPG Payment '!AJ:AJ)</f>
        <v>0</v>
      </c>
      <c r="AP829" s="19">
        <f t="shared" si="246"/>
        <v>0</v>
      </c>
      <c r="AQ829" s="119">
        <f t="shared" si="284"/>
        <v>0</v>
      </c>
      <c r="AR829" s="91" t="s">
        <v>1144</v>
      </c>
      <c r="AS829" s="91">
        <f t="shared" si="248"/>
        <v>0</v>
      </c>
      <c r="AT829" s="118"/>
      <c r="AU829" s="118"/>
      <c r="AV829" s="118"/>
    </row>
    <row r="830" spans="1:48" s="20" customFormat="1" x14ac:dyDescent="0.25">
      <c r="A830" s="17">
        <f>IFERROR(VLOOKUP(D830,'Monthly Deduction'!$I$3:$J$957,2,0),0)</f>
        <v>71756.90602834677</v>
      </c>
      <c r="B830" s="17">
        <f>IFERROR(VLOOKUP(D830,'Monthly Deduction'!$E$3:$F$957,2,0),0)</f>
        <v>6400</v>
      </c>
      <c r="C830" s="17">
        <f t="shared" si="276"/>
        <v>78156.90602834677</v>
      </c>
      <c r="D830" s="41">
        <v>10560036</v>
      </c>
      <c r="E830" s="122" t="str">
        <f>VLOOKUP(D830,'MPG Payment '!$E$3:$G$497305,2,0)</f>
        <v>Gomukh Bangalia</v>
      </c>
      <c r="F830" s="146">
        <f>IFERROR(_xlfn.XLOOKUP(D830,'Monthly Deduction'!$I$3:$I$957,'Monthly Deduction'!$H$3:$H$957),0)</f>
        <v>0</v>
      </c>
      <c r="G830" s="123" t="str">
        <f>VLOOKUP(D830,'MPG Payment '!$E$3:$G$333666,3,0)</f>
        <v>MPG</v>
      </c>
      <c r="H830" s="124" t="str">
        <f>VLOOKUP(D830,'MPG Payment '!$E$3:$H$333666,4,0)</f>
        <v>Direct</v>
      </c>
      <c r="I830" s="88">
        <f>INDEX('MPG Payment '!$C:$C,MATCH('Shayak Income '!D830,'MPG Payment '!E:E,0))</f>
        <v>1056</v>
      </c>
      <c r="J830" s="88" t="str">
        <f>INDEX('MPG Payment '!$D:$D,MATCH('Shayak Income '!D830,'MPG Payment '!E:E,0))</f>
        <v>Chautham</v>
      </c>
      <c r="K830" s="125" t="s">
        <v>1594</v>
      </c>
      <c r="L830" s="125">
        <v>46112</v>
      </c>
      <c r="M830" s="126">
        <f>SUMIF('MPG Payment '!$E$3:$E$344841,'Shayak Income '!D830,'MPG Payment '!$I$3:$I$344841)</f>
        <v>2216.2800000000002</v>
      </c>
      <c r="N830" s="126">
        <f>SUMIF('MPG Payment '!$E$3:$E$344841,'Shayak Income '!D830,'MPG Payment '!$J$3:$J$344841)</f>
        <v>107295.67</v>
      </c>
      <c r="O830" s="126">
        <f t="shared" si="277"/>
        <v>1662.21</v>
      </c>
      <c r="P830" s="126">
        <f t="shared" si="278"/>
        <v>2105.4659999999999</v>
      </c>
      <c r="Q830" s="126">
        <f>SUMIF('MPG Payment '!$E$3:$E$344841,'Shayak Income '!D830,'MPG Payment '!$S$3:$S$344841)</f>
        <v>0</v>
      </c>
      <c r="R830" s="126">
        <f t="shared" si="279"/>
        <v>3218.8700999999996</v>
      </c>
      <c r="S830" s="126">
        <f t="shared" si="280"/>
        <v>1113.4040999999997</v>
      </c>
      <c r="T830" s="126">
        <f t="shared" si="252"/>
        <v>221.62800000000004</v>
      </c>
      <c r="U830" s="127">
        <f>((((((IF(K830="New",0,SUMIF('MPG Payment '!$E$3:$E$344841,'Shayak Income '!D830,'MPG Payment '!$AC$3:$AC$344841))))+0)+0)+0)+0)+0</f>
        <v>565.81424869510613</v>
      </c>
      <c r="V830" s="127">
        <f t="shared" si="253"/>
        <v>2980</v>
      </c>
      <c r="W830" s="19">
        <f t="shared" si="254"/>
        <v>2145.9133999999999</v>
      </c>
      <c r="X830" s="19">
        <v>0</v>
      </c>
      <c r="Y830" s="128">
        <f>IFERROR(VLOOKUP(D830,'Monthly Deduction'!$M$2:$N$640,2,0),0)</f>
        <v>0</v>
      </c>
      <c r="Z830" s="128">
        <v>0</v>
      </c>
      <c r="AA830" s="126">
        <f>IFERROR(VLOOKUP(D830,'Monthly Deduction'!A:B,2,0),0)</f>
        <v>679.32854097868517</v>
      </c>
      <c r="AB830" s="129">
        <f t="shared" si="242"/>
        <v>155</v>
      </c>
      <c r="AC830" s="130">
        <f t="shared" ref="AC830:AC835" si="286">AB830</f>
        <v>155</v>
      </c>
      <c r="AD830" s="35">
        <f t="shared" si="281"/>
        <v>0</v>
      </c>
      <c r="AE830" s="166" t="str">
        <f t="shared" si="282"/>
        <v>Yes</v>
      </c>
      <c r="AF830" s="127"/>
      <c r="AG830" s="18">
        <v>0</v>
      </c>
      <c r="AH830" s="120" t="s">
        <v>1686</v>
      </c>
      <c r="AI830" s="238">
        <v>10000</v>
      </c>
      <c r="AJ830" s="132"/>
      <c r="AK830" s="151">
        <v>602.36</v>
      </c>
      <c r="AL830" s="154">
        <f t="shared" si="283"/>
        <v>0</v>
      </c>
      <c r="AM830" s="155"/>
      <c r="AN830" s="19">
        <f t="shared" si="245"/>
        <v>2145.9133999999999</v>
      </c>
      <c r="AO830" s="118">
        <f>SUMIF('MPG Payment '!E:E,'Shayak Income '!D830,'MPG Payment '!AJ:AJ)</f>
        <v>0</v>
      </c>
      <c r="AP830" s="19">
        <f t="shared" si="246"/>
        <v>2145.9133999999999</v>
      </c>
      <c r="AQ830" s="119">
        <f t="shared" si="284"/>
        <v>2145.9133999999999</v>
      </c>
      <c r="AR830" s="91" t="s">
        <v>1144</v>
      </c>
      <c r="AS830" s="91">
        <f t="shared" si="248"/>
        <v>6400</v>
      </c>
      <c r="AT830" s="118"/>
      <c r="AU830" s="118"/>
      <c r="AV830" s="118"/>
    </row>
    <row r="831" spans="1:48" s="20" customFormat="1" x14ac:dyDescent="0.25">
      <c r="A831" s="17">
        <f>IFERROR(VLOOKUP(D831,'Monthly Deduction'!$I$3:$J$957,2,0),0)</f>
        <v>73139</v>
      </c>
      <c r="B831" s="17">
        <f>IFERROR(VLOOKUP(D831,'Monthly Deduction'!$E$3:$F$957,2,0),0)</f>
        <v>6400</v>
      </c>
      <c r="C831" s="17">
        <f t="shared" si="276"/>
        <v>79539</v>
      </c>
      <c r="D831" s="41">
        <v>10560037</v>
      </c>
      <c r="E831" s="122" t="str">
        <f>VLOOKUP(D831,'MPG Payment '!$E$3:$G$497305,2,0)</f>
        <v>Gomukh Soharba Purvi</v>
      </c>
      <c r="F831" s="146">
        <f>IFERROR(_xlfn.XLOOKUP(D831,'Monthly Deduction'!$I$3:$I$957,'Monthly Deduction'!$H$3:$H$957),0)</f>
        <v>0</v>
      </c>
      <c r="G831" s="123" t="str">
        <f>VLOOKUP(D831,'MPG Payment '!$E$3:$G$333666,3,0)</f>
        <v>MPG</v>
      </c>
      <c r="H831" s="124" t="str">
        <f>VLOOKUP(D831,'MPG Payment '!$E$3:$H$333666,4,0)</f>
        <v>Direct</v>
      </c>
      <c r="I831" s="88">
        <f>INDEX('MPG Payment '!$C:$C,MATCH('Shayak Income '!D831,'MPG Payment '!E:E,0))</f>
        <v>1056</v>
      </c>
      <c r="J831" s="88" t="str">
        <f>INDEX('MPG Payment '!$D:$D,MATCH('Shayak Income '!D831,'MPG Payment '!E:E,0))</f>
        <v>Chautham</v>
      </c>
      <c r="K831" s="125" t="s">
        <v>1594</v>
      </c>
      <c r="L831" s="125">
        <v>46112</v>
      </c>
      <c r="M831" s="126">
        <f>SUMIF('MPG Payment '!$E$3:$E$344841,'Shayak Income '!D831,'MPG Payment '!$I$3:$I$344841)</f>
        <v>1094.1600000000001</v>
      </c>
      <c r="N831" s="126">
        <f>SUMIF('MPG Payment '!$E$3:$E$344841,'Shayak Income '!D831,'MPG Payment '!$J$3:$J$344841)</f>
        <v>43651.51</v>
      </c>
      <c r="O831" s="126">
        <f t="shared" si="277"/>
        <v>820.62000000000012</v>
      </c>
      <c r="P831" s="126">
        <f t="shared" si="278"/>
        <v>1039.452</v>
      </c>
      <c r="Q831" s="126">
        <f>SUMIF('MPG Payment '!$E$3:$E$344841,'Shayak Income '!D831,'MPG Payment '!$S$3:$S$344841)</f>
        <v>0</v>
      </c>
      <c r="R831" s="126">
        <f t="shared" si="279"/>
        <v>1309.5453</v>
      </c>
      <c r="S831" s="126">
        <f t="shared" si="280"/>
        <v>270.0933</v>
      </c>
      <c r="T831" s="126">
        <f t="shared" si="252"/>
        <v>109.41600000000001</v>
      </c>
      <c r="U831" s="127">
        <f>((((((IF(K831="New",0,SUMIF('MPG Payment '!$E$3:$E$344841,'Shayak Income '!D831,'MPG Payment '!$AC$3:$AC$344841))))+0)+0)+0)+0)+0</f>
        <v>1362.6088167948724</v>
      </c>
      <c r="V831" s="127">
        <f t="shared" si="253"/>
        <v>388</v>
      </c>
      <c r="W831" s="19">
        <v>388</v>
      </c>
      <c r="X831" s="19">
        <v>0</v>
      </c>
      <c r="Y831" s="128">
        <f>IFERROR(VLOOKUP(D831,'Monthly Deduction'!$M$2:$N$640,2,0),0)</f>
        <v>0</v>
      </c>
      <c r="Z831" s="128">
        <v>0</v>
      </c>
      <c r="AA831" s="126">
        <v>0</v>
      </c>
      <c r="AB831" s="129">
        <f t="shared" si="242"/>
        <v>0</v>
      </c>
      <c r="AC831" s="130">
        <f t="shared" si="286"/>
        <v>0</v>
      </c>
      <c r="AD831" s="35">
        <f t="shared" si="281"/>
        <v>0</v>
      </c>
      <c r="AE831" s="166" t="str">
        <f t="shared" si="282"/>
        <v>Release</v>
      </c>
      <c r="AF831" s="127"/>
      <c r="AG831" s="18">
        <v>0</v>
      </c>
      <c r="AH831" s="120" t="s">
        <v>1686</v>
      </c>
      <c r="AI831" s="238">
        <v>10000</v>
      </c>
      <c r="AJ831" s="132"/>
      <c r="AK831" s="151">
        <v>43.78</v>
      </c>
      <c r="AL831" s="154">
        <f t="shared" si="283"/>
        <v>0</v>
      </c>
      <c r="AM831" s="155"/>
      <c r="AN831" s="19">
        <f t="shared" si="245"/>
        <v>1861</v>
      </c>
      <c r="AO831" s="118">
        <f>SUMIF('MPG Payment '!E:E,'Shayak Income '!D831,'MPG Payment '!AJ:AJ)</f>
        <v>0</v>
      </c>
      <c r="AP831" s="19">
        <f t="shared" si="246"/>
        <v>388</v>
      </c>
      <c r="AQ831" s="119">
        <f t="shared" si="284"/>
        <v>388</v>
      </c>
      <c r="AR831" s="91" t="s">
        <v>1144</v>
      </c>
      <c r="AS831" s="91">
        <f t="shared" si="248"/>
        <v>6400</v>
      </c>
      <c r="AT831" s="118"/>
      <c r="AU831" s="118"/>
      <c r="AV831" s="118"/>
    </row>
    <row r="832" spans="1:48" s="20" customFormat="1" x14ac:dyDescent="0.25">
      <c r="A832" s="17">
        <f>IFERROR(VLOOKUP(D832,'Monthly Deduction'!$I$3:$J$957,2,0),0)</f>
        <v>84295</v>
      </c>
      <c r="B832" s="17">
        <f>IFERROR(VLOOKUP(D832,'Monthly Deduction'!$E$3:$F$957,2,0),0)</f>
        <v>0</v>
      </c>
      <c r="C832" s="17">
        <f t="shared" si="276"/>
        <v>84295</v>
      </c>
      <c r="D832" s="41">
        <v>10570055</v>
      </c>
      <c r="E832" s="122" t="str">
        <f>VLOOKUP(D832,'MPG Payment '!$E$3:$G$497305,2,0)</f>
        <v>Raini 2</v>
      </c>
      <c r="F832" s="146">
        <f>IFERROR(_xlfn.XLOOKUP(D832,'Monthly Deduction'!$I$3:$I$957,'Monthly Deduction'!$H$3:$H$957),0)</f>
        <v>0</v>
      </c>
      <c r="G832" s="123" t="str">
        <f>VLOOKUP(D832,'MPG Payment '!$E$3:$G$333666,3,0)</f>
        <v>MPG</v>
      </c>
      <c r="H832" s="124" t="str">
        <f>VLOOKUP(D832,'MPG Payment '!$E$3:$H$333666,4,0)</f>
        <v>Direct</v>
      </c>
      <c r="I832" s="88">
        <f>INDEX('MPG Payment '!$C:$C,MATCH('Shayak Income '!D832,'MPG Payment '!E:E,0))</f>
        <v>1057</v>
      </c>
      <c r="J832" s="88" t="str">
        <f>INDEX('MPG Payment '!$D:$D,MATCH('Shayak Income '!D832,'MPG Payment '!E:E,0))</f>
        <v>Warisnagar</v>
      </c>
      <c r="K832" s="125" t="s">
        <v>1594</v>
      </c>
      <c r="L832" s="125">
        <v>46108</v>
      </c>
      <c r="M832" s="126">
        <f>SUMIF('MPG Payment '!$E$3:$E$344841,'Shayak Income '!D832,'MPG Payment '!$I$3:$I$344841)</f>
        <v>1984.6</v>
      </c>
      <c r="N832" s="126">
        <f>SUMIF('MPG Payment '!$E$3:$E$344841,'Shayak Income '!D832,'MPG Payment '!$J$3:$J$344841)</f>
        <v>79489.2</v>
      </c>
      <c r="O832" s="126">
        <f t="shared" si="277"/>
        <v>1488.4499999999998</v>
      </c>
      <c r="P832" s="126">
        <f t="shared" si="278"/>
        <v>1885.37</v>
      </c>
      <c r="Q832" s="126">
        <f>SUMIF('MPG Payment '!$E$3:$E$344841,'Shayak Income '!D832,'MPG Payment '!$S$3:$S$344841)</f>
        <v>98.05</v>
      </c>
      <c r="R832" s="126">
        <f t="shared" si="279"/>
        <v>2384.6759999999999</v>
      </c>
      <c r="S832" s="126">
        <f t="shared" si="280"/>
        <v>499.30600000000004</v>
      </c>
      <c r="T832" s="126">
        <f t="shared" si="252"/>
        <v>198.46</v>
      </c>
      <c r="U832" s="127">
        <f>((((((IF(K832="New",0,SUMIF('MPG Payment '!$E$3:$E$344841,'Shayak Income '!D832,'MPG Payment '!$AC$3:$AC$344841))))+0)+0)+0)+0)+0</f>
        <v>665.58760395335673</v>
      </c>
      <c r="V832" s="127">
        <f t="shared" si="253"/>
        <v>2608</v>
      </c>
      <c r="W832" s="19">
        <f t="shared" si="254"/>
        <v>1861</v>
      </c>
      <c r="X832" s="19">
        <v>0</v>
      </c>
      <c r="Y832" s="128">
        <f>IFERROR(VLOOKUP(D832,'Monthly Deduction'!$M$2:$N$640,2,0),0)</f>
        <v>0</v>
      </c>
      <c r="Z832" s="128">
        <v>0</v>
      </c>
      <c r="AA832" s="126">
        <f>IFERROR(VLOOKUP(D832,'Monthly Deduction'!A:B,2,0),0)</f>
        <v>64.050000000000011</v>
      </c>
      <c r="AB832" s="129">
        <f t="shared" si="242"/>
        <v>683</v>
      </c>
      <c r="AC832" s="130">
        <f t="shared" si="286"/>
        <v>683</v>
      </c>
      <c r="AD832" s="35">
        <f t="shared" si="281"/>
        <v>0</v>
      </c>
      <c r="AE832" s="166" t="str">
        <f t="shared" si="282"/>
        <v>Yes</v>
      </c>
      <c r="AF832" s="127"/>
      <c r="AG832" s="234">
        <v>0</v>
      </c>
      <c r="AH832" s="120" t="s">
        <v>1686</v>
      </c>
      <c r="AI832" s="238">
        <v>20000</v>
      </c>
      <c r="AJ832" s="132"/>
      <c r="AK832" s="151">
        <v>694.6</v>
      </c>
      <c r="AL832" s="154">
        <f t="shared" si="283"/>
        <v>0</v>
      </c>
      <c r="AM832" s="155"/>
      <c r="AN832" s="19">
        <f t="shared" si="245"/>
        <v>1861</v>
      </c>
      <c r="AO832" s="118">
        <f>SUMIF('MPG Payment '!E:E,'Shayak Income '!D832,'MPG Payment '!AJ:AJ)</f>
        <v>0</v>
      </c>
      <c r="AP832" s="19">
        <f t="shared" si="246"/>
        <v>1861</v>
      </c>
      <c r="AQ832" s="119">
        <f t="shared" si="284"/>
        <v>1861</v>
      </c>
      <c r="AR832" s="91" t="s">
        <v>1144</v>
      </c>
      <c r="AS832" s="91">
        <f t="shared" si="248"/>
        <v>0</v>
      </c>
      <c r="AT832" s="118"/>
      <c r="AU832" s="118"/>
      <c r="AV832" s="118"/>
    </row>
    <row r="833" spans="1:48" s="20" customFormat="1" x14ac:dyDescent="0.25">
      <c r="A833" s="17">
        <f>IFERROR(VLOOKUP(D833,'Monthly Deduction'!$I$3:$J$957,2,0),0)</f>
        <v>73139</v>
      </c>
      <c r="B833" s="17">
        <f>IFERROR(VLOOKUP(D833,'Monthly Deduction'!$E$3:$F$957,2,0),0)</f>
        <v>6400</v>
      </c>
      <c r="C833" s="17">
        <f t="shared" si="276"/>
        <v>79539</v>
      </c>
      <c r="D833" s="41">
        <v>10580024</v>
      </c>
      <c r="E833" s="122" t="str">
        <f>VLOOKUP(D833,'MPG Payment '!$E$3:$G$497305,2,0)</f>
        <v>KARANCHI</v>
      </c>
      <c r="F833" s="146">
        <f>IFERROR(_xlfn.XLOOKUP(D833,'Monthly Deduction'!$I$3:$I$957,'Monthly Deduction'!$H$3:$H$957),0)</f>
        <v>0</v>
      </c>
      <c r="G833" s="123" t="str">
        <f>VLOOKUP(D833,'MPG Payment '!$E$3:$G$333666,3,0)</f>
        <v>MPG</v>
      </c>
      <c r="H833" s="124" t="str">
        <f>VLOOKUP(D833,'MPG Payment '!$E$3:$H$333666,4,0)</f>
        <v>Direct</v>
      </c>
      <c r="I833" s="88">
        <f>INDEX('MPG Payment '!$C:$C,MATCH('Shayak Income '!D833,'MPG Payment '!E:E,0))</f>
        <v>1058</v>
      </c>
      <c r="J833" s="88" t="str">
        <f>INDEX('MPG Payment '!$D:$D,MATCH('Shayak Income '!D833,'MPG Payment '!E:E,0))</f>
        <v>Hasanpur</v>
      </c>
      <c r="K833" s="125" t="s">
        <v>1594</v>
      </c>
      <c r="L833" s="125">
        <v>46112</v>
      </c>
      <c r="M833" s="126">
        <f>SUMIF('MPG Payment '!$E$3:$E$344841,'Shayak Income '!D833,'MPG Payment '!$I$3:$I$344841)</f>
        <v>2198.6800000000003</v>
      </c>
      <c r="N833" s="126">
        <f>SUMIF('MPG Payment '!$E$3:$E$344841,'Shayak Income '!D833,'MPG Payment '!$J$3:$J$344841)</f>
        <v>87099.890000000014</v>
      </c>
      <c r="O833" s="126">
        <f t="shared" si="277"/>
        <v>1649.0100000000002</v>
      </c>
      <c r="P833" s="126">
        <f t="shared" si="278"/>
        <v>2088.7460000000001</v>
      </c>
      <c r="Q833" s="126">
        <f>SUMIF('MPG Payment '!$E$3:$E$344841,'Shayak Income '!D833,'MPG Payment '!$S$3:$S$344841)</f>
        <v>0</v>
      </c>
      <c r="R833" s="126">
        <f t="shared" si="279"/>
        <v>2612.9967000000001</v>
      </c>
      <c r="S833" s="126">
        <f t="shared" si="280"/>
        <v>524.25070000000005</v>
      </c>
      <c r="T833" s="126">
        <f t="shared" si="252"/>
        <v>219.86800000000005</v>
      </c>
      <c r="U833" s="127">
        <f>((((((IF(K833="New",0,SUMIF('MPG Payment '!$E$3:$E$344841,'Shayak Income '!D833,'MPG Payment '!$AC$3:$AC$344841))))+0)+0)+0)+0)+0</f>
        <v>476.43697482499135</v>
      </c>
      <c r="V833" s="127">
        <f t="shared" si="253"/>
        <v>3041</v>
      </c>
      <c r="W833" s="19">
        <f t="shared" si="254"/>
        <v>1861</v>
      </c>
      <c r="X833" s="19">
        <v>0</v>
      </c>
      <c r="Y833" s="128">
        <f>IFERROR(VLOOKUP(D833,'Monthly Deduction'!$M$2:$N$640,2,0),0)</f>
        <v>0</v>
      </c>
      <c r="Z833" s="128">
        <v>0</v>
      </c>
      <c r="AA833" s="126">
        <f>IFERROR(VLOOKUP(D833,'Monthly Deduction'!A:B,2,0),0)</f>
        <v>0</v>
      </c>
      <c r="AB833" s="129">
        <f t="shared" si="242"/>
        <v>1180</v>
      </c>
      <c r="AC833" s="130">
        <f t="shared" si="286"/>
        <v>1180</v>
      </c>
      <c r="AD833" s="35">
        <f t="shared" si="281"/>
        <v>0</v>
      </c>
      <c r="AE833" s="166" t="str">
        <f t="shared" si="282"/>
        <v>Yes</v>
      </c>
      <c r="AF833" s="127"/>
      <c r="AG833" s="234">
        <v>0</v>
      </c>
      <c r="AH833" s="120" t="s">
        <v>1685</v>
      </c>
      <c r="AI833" s="238">
        <v>10000</v>
      </c>
      <c r="AJ833" s="132"/>
      <c r="AK833" s="151">
        <v>499.66999999999996</v>
      </c>
      <c r="AL833" s="154">
        <f t="shared" si="283"/>
        <v>0</v>
      </c>
      <c r="AM833" s="155"/>
      <c r="AN833" s="19">
        <f t="shared" si="245"/>
        <v>1861</v>
      </c>
      <c r="AO833" s="118">
        <f>SUMIF('MPG Payment '!E:E,'Shayak Income '!D833,'MPG Payment '!AJ:AJ)</f>
        <v>0</v>
      </c>
      <c r="AP833" s="19">
        <f t="shared" si="246"/>
        <v>1861</v>
      </c>
      <c r="AQ833" s="119">
        <f t="shared" si="284"/>
        <v>1861</v>
      </c>
      <c r="AR833" s="91" t="s">
        <v>1144</v>
      </c>
      <c r="AS833" s="91">
        <f t="shared" si="248"/>
        <v>6400</v>
      </c>
      <c r="AT833" s="118"/>
      <c r="AU833" s="118"/>
      <c r="AV833" s="118"/>
    </row>
    <row r="834" spans="1:48" s="20" customFormat="1" x14ac:dyDescent="0.25">
      <c r="A834" s="17">
        <f>IFERROR(VLOOKUP(D834,'Monthly Deduction'!$I$3:$J$957,2,0),0)</f>
        <v>67879.986038985197</v>
      </c>
      <c r="B834" s="17">
        <f>IFERROR(VLOOKUP(D834,'Monthly Deduction'!$E$3:$F$957,2,0),0)</f>
        <v>6400</v>
      </c>
      <c r="C834" s="17">
        <f t="shared" si="276"/>
        <v>74279.986038985197</v>
      </c>
      <c r="D834" s="41">
        <v>10580025</v>
      </c>
      <c r="E834" s="122" t="str">
        <f>VLOOKUP(D834,'MPG Payment '!$E$3:$G$497305,2,0)</f>
        <v>MARTHUA</v>
      </c>
      <c r="F834" s="146">
        <f>IFERROR(_xlfn.XLOOKUP(D834,'Monthly Deduction'!$I$3:$I$957,'Monthly Deduction'!$H$3:$H$957),0)</f>
        <v>0</v>
      </c>
      <c r="G834" s="123" t="str">
        <f>VLOOKUP(D834,'MPG Payment '!$E$3:$G$333666,3,0)</f>
        <v>MPG</v>
      </c>
      <c r="H834" s="124" t="str">
        <f>VLOOKUP(D834,'MPG Payment '!$E$3:$H$333666,4,0)</f>
        <v>Direct</v>
      </c>
      <c r="I834" s="88">
        <f>INDEX('MPG Payment '!$C:$C,MATCH('Shayak Income '!D834,'MPG Payment '!E:E,0))</f>
        <v>1058</v>
      </c>
      <c r="J834" s="88" t="str">
        <f>INDEX('MPG Payment '!$D:$D,MATCH('Shayak Income '!D834,'MPG Payment '!E:E,0))</f>
        <v>Hasanpur</v>
      </c>
      <c r="K834" s="125" t="s">
        <v>1594</v>
      </c>
      <c r="L834" s="125">
        <v>46112</v>
      </c>
      <c r="M834" s="126">
        <f>SUMIF('MPG Payment '!$E$3:$E$344841,'Shayak Income '!D834,'MPG Payment '!$I$3:$I$344841)</f>
        <v>3257.1900000000005</v>
      </c>
      <c r="N834" s="126">
        <f>SUMIF('MPG Payment '!$E$3:$E$344841,'Shayak Income '!D834,'MPG Payment '!$J$3:$J$344841)</f>
        <v>146466.67000000001</v>
      </c>
      <c r="O834" s="126">
        <f t="shared" si="277"/>
        <v>2442.8925000000004</v>
      </c>
      <c r="P834" s="126">
        <f t="shared" si="278"/>
        <v>3094.3305000000005</v>
      </c>
      <c r="Q834" s="126">
        <f>SUMIF('MPG Payment '!$E$3:$E$344841,'Shayak Income '!D834,'MPG Payment '!$S$3:$S$344841)</f>
        <v>0</v>
      </c>
      <c r="R834" s="126">
        <f t="shared" si="279"/>
        <v>4394.0001000000002</v>
      </c>
      <c r="S834" s="126">
        <f t="shared" si="280"/>
        <v>1299.6695999999997</v>
      </c>
      <c r="T834" s="126">
        <f t="shared" si="252"/>
        <v>325.71900000000005</v>
      </c>
      <c r="U834" s="127">
        <f>((((((IF(K834="New",0,SUMIF('MPG Payment '!$E$3:$E$344841,'Shayak Income '!D834,'MPG Payment '!$AC$3:$AC$344841))))+0)+0)+0)+0)+0</f>
        <v>0</v>
      </c>
      <c r="V834" s="127">
        <f t="shared" si="253"/>
        <v>5212</v>
      </c>
      <c r="W834" s="19">
        <f t="shared" si="254"/>
        <v>2929.3334000000004</v>
      </c>
      <c r="X834" s="19">
        <v>0</v>
      </c>
      <c r="Y834" s="128">
        <f>IFERROR(VLOOKUP(D834,'Monthly Deduction'!$M$2:$N$640,2,0),0)</f>
        <v>0</v>
      </c>
      <c r="Z834" s="128">
        <v>0</v>
      </c>
      <c r="AA834" s="126">
        <f>IFERROR(VLOOKUP(D834,'Monthly Deduction'!A:B,2,0),0)</f>
        <v>0</v>
      </c>
      <c r="AB834" s="129">
        <f t="shared" si="242"/>
        <v>2283</v>
      </c>
      <c r="AC834" s="130">
        <f t="shared" si="286"/>
        <v>2283</v>
      </c>
      <c r="AD834" s="35">
        <f t="shared" si="281"/>
        <v>0</v>
      </c>
      <c r="AE834" s="166" t="str">
        <f t="shared" si="282"/>
        <v>Yes</v>
      </c>
      <c r="AF834" s="127"/>
      <c r="AG834" s="234">
        <v>0</v>
      </c>
      <c r="AH834" s="120" t="s">
        <v>1685</v>
      </c>
      <c r="AI834" s="238">
        <v>5000</v>
      </c>
      <c r="AJ834" s="132"/>
      <c r="AK834" s="151">
        <v>874.91000000000008</v>
      </c>
      <c r="AL834" s="154">
        <f t="shared" si="283"/>
        <v>0</v>
      </c>
      <c r="AM834" s="155"/>
      <c r="AN834" s="19">
        <f t="shared" si="245"/>
        <v>2929.3334000000004</v>
      </c>
      <c r="AO834" s="118">
        <f>SUMIF('MPG Payment '!E:E,'Shayak Income '!D834,'MPG Payment '!AJ:AJ)</f>
        <v>0</v>
      </c>
      <c r="AP834" s="19">
        <f t="shared" si="246"/>
        <v>2929.3334000000004</v>
      </c>
      <c r="AQ834" s="119">
        <f t="shared" si="284"/>
        <v>2929.3334000000004</v>
      </c>
      <c r="AR834" s="91" t="s">
        <v>1144</v>
      </c>
      <c r="AS834" s="91">
        <f t="shared" si="248"/>
        <v>6400</v>
      </c>
      <c r="AT834" s="118"/>
      <c r="AU834" s="118"/>
      <c r="AV834" s="118"/>
    </row>
    <row r="835" spans="1:48" s="20" customFormat="1" x14ac:dyDescent="0.25">
      <c r="A835" s="17">
        <f>IFERROR(VLOOKUP(D835,'Monthly Deduction'!$I$3:$J$957,2,0),0)</f>
        <v>65000</v>
      </c>
      <c r="B835" s="17">
        <f>IFERROR(VLOOKUP(D835,'Monthly Deduction'!$E$3:$F$957,2,0),0)</f>
        <v>6400</v>
      </c>
      <c r="C835" s="17">
        <f t="shared" si="276"/>
        <v>71400</v>
      </c>
      <c r="D835" s="41">
        <v>10580026</v>
      </c>
      <c r="E835" s="122" t="str">
        <f>VLOOKUP(D835,'MPG Payment '!$E$3:$G$497305,2,0)</f>
        <v xml:space="preserve">GARHPURA </v>
      </c>
      <c r="F835" s="146">
        <f>IFERROR(_xlfn.XLOOKUP(D835,'Monthly Deduction'!$I$3:$I$957,'Monthly Deduction'!$H$3:$H$957),0)</f>
        <v>0</v>
      </c>
      <c r="G835" s="123" t="str">
        <f>VLOOKUP(D835,'MPG Payment '!$E$3:$G$333666,3,0)</f>
        <v>MPG</v>
      </c>
      <c r="H835" s="124" t="str">
        <f>VLOOKUP(D835,'MPG Payment '!$E$3:$H$333666,4,0)</f>
        <v>Direct</v>
      </c>
      <c r="I835" s="88">
        <f>INDEX('MPG Payment '!$C:$C,MATCH('Shayak Income '!D835,'MPG Payment '!E:E,0))</f>
        <v>1058</v>
      </c>
      <c r="J835" s="88" t="str">
        <f>INDEX('MPG Payment '!$D:$D,MATCH('Shayak Income '!D835,'MPG Payment '!E:E,0))</f>
        <v>Hasanpur</v>
      </c>
      <c r="K835" s="125" t="s">
        <v>1594</v>
      </c>
      <c r="L835" s="125">
        <v>46112</v>
      </c>
      <c r="M835" s="126">
        <f>SUMIF('MPG Payment '!$E$3:$E$344841,'Shayak Income '!D835,'MPG Payment '!$I$3:$I$344841)</f>
        <v>386.01</v>
      </c>
      <c r="N835" s="126">
        <f>SUMIF('MPG Payment '!$E$3:$E$344841,'Shayak Income '!D835,'MPG Payment '!$J$3:$J$344841)</f>
        <v>15995.01</v>
      </c>
      <c r="O835" s="126">
        <f t="shared" si="277"/>
        <v>289.50749999999999</v>
      </c>
      <c r="P835" s="126">
        <f t="shared" si="278"/>
        <v>366.70949999999999</v>
      </c>
      <c r="Q835" s="126">
        <f>SUMIF('MPG Payment '!$E$3:$E$344841,'Shayak Income '!D835,'MPG Payment '!$S$3:$S$344841)</f>
        <v>0</v>
      </c>
      <c r="R835" s="126">
        <f t="shared" si="279"/>
        <v>479.8503</v>
      </c>
      <c r="S835" s="126">
        <f t="shared" si="280"/>
        <v>113.14080000000001</v>
      </c>
      <c r="T835" s="126">
        <f t="shared" si="252"/>
        <v>38.600999999999999</v>
      </c>
      <c r="U835" s="127">
        <f>((((((IF(K835="New",0,SUMIF('MPG Payment '!$E$3:$E$344841,'Shayak Income '!D835,'MPG Payment '!$AC$3:$AC$344841))))+0)+0)+0)+0)+-1367</f>
        <v>617.90371495547015</v>
      </c>
      <c r="V835" s="127">
        <f t="shared" si="253"/>
        <v>0</v>
      </c>
      <c r="W835" s="19">
        <v>0</v>
      </c>
      <c r="X835" s="19">
        <v>0</v>
      </c>
      <c r="Y835" s="128">
        <v>0</v>
      </c>
      <c r="Z835" s="128">
        <v>0</v>
      </c>
      <c r="AA835" s="126">
        <v>0</v>
      </c>
      <c r="AB835" s="129">
        <f t="shared" si="242"/>
        <v>0</v>
      </c>
      <c r="AC835" s="130">
        <f t="shared" si="286"/>
        <v>0</v>
      </c>
      <c r="AD835" s="35">
        <f t="shared" si="281"/>
        <v>0</v>
      </c>
      <c r="AE835" s="166" t="str">
        <f t="shared" si="282"/>
        <v>Release</v>
      </c>
      <c r="AF835" s="127"/>
      <c r="AG835" s="234">
        <v>0</v>
      </c>
      <c r="AH835" s="120" t="s">
        <v>1683</v>
      </c>
      <c r="AI835" s="238">
        <v>0</v>
      </c>
      <c r="AJ835" s="132"/>
      <c r="AK835" s="151">
        <v>67.16</v>
      </c>
      <c r="AL835" s="154">
        <f t="shared" si="283"/>
        <v>0</v>
      </c>
      <c r="AM835" s="155"/>
      <c r="AN835" s="19">
        <f t="shared" si="245"/>
        <v>1861</v>
      </c>
      <c r="AO835" s="118">
        <f>SUMIF('MPG Payment '!E:E,'Shayak Income '!D835,'MPG Payment '!AJ:AJ)</f>
        <v>0</v>
      </c>
      <c r="AP835" s="19">
        <f t="shared" si="246"/>
        <v>0</v>
      </c>
      <c r="AQ835" s="119">
        <f t="shared" si="284"/>
        <v>0</v>
      </c>
      <c r="AR835" s="91" t="s">
        <v>1144</v>
      </c>
      <c r="AS835" s="91">
        <f t="shared" si="248"/>
        <v>6400</v>
      </c>
      <c r="AT835" s="118"/>
      <c r="AU835" s="118"/>
      <c r="AV835" s="118"/>
    </row>
    <row r="836" spans="1:48" s="20" customFormat="1" x14ac:dyDescent="0.25">
      <c r="A836" s="17">
        <f>IFERROR(VLOOKUP(D836,'Monthly Deduction'!$I$3:$J$957,2,0),0)</f>
        <v>65000</v>
      </c>
      <c r="B836" s="17">
        <f>IFERROR(VLOOKUP(D836,'Monthly Deduction'!$E$3:$F$957,2,0),0)</f>
        <v>0</v>
      </c>
      <c r="C836" s="17">
        <f t="shared" si="276"/>
        <v>65000</v>
      </c>
      <c r="D836" s="41">
        <v>10580027</v>
      </c>
      <c r="E836" s="122" t="str">
        <f>VLOOKUP(D836,'MPG Payment '!$E$3:$G$497305,2,0)</f>
        <v>KOKANI</v>
      </c>
      <c r="F836" s="146">
        <f>IFERROR(_xlfn.XLOOKUP(D836,'Monthly Deduction'!$I$3:$I$957,'Monthly Deduction'!$H$3:$H$957),0)</f>
        <v>0</v>
      </c>
      <c r="G836" s="123" t="str">
        <f>VLOOKUP(D836,'MPG Payment '!$E$3:$G$333666,3,0)</f>
        <v>MPG</v>
      </c>
      <c r="H836" s="124" t="str">
        <f>VLOOKUP(D836,'MPG Payment '!$E$3:$H$333666,4,0)</f>
        <v>Direct</v>
      </c>
      <c r="I836" s="88">
        <f>INDEX('MPG Payment '!$C:$C,MATCH('Shayak Income '!D836,'MPG Payment '!E:E,0))</f>
        <v>1058</v>
      </c>
      <c r="J836" s="88" t="str">
        <f>INDEX('MPG Payment '!$D:$D,MATCH('Shayak Income '!D836,'MPG Payment '!E:E,0))</f>
        <v>Hasanpur</v>
      </c>
      <c r="K836" s="125" t="s">
        <v>1594</v>
      </c>
      <c r="L836" s="125">
        <v>46112</v>
      </c>
      <c r="M836" s="126">
        <f>SUMIF('MPG Payment '!$E$3:$E$344841,'Shayak Income '!D836,'MPG Payment '!$I$3:$I$344841)</f>
        <v>546.25</v>
      </c>
      <c r="N836" s="126">
        <f>SUMIF('MPG Payment '!$E$3:$E$344841,'Shayak Income '!D836,'MPG Payment '!$J$3:$J$344841)</f>
        <v>21307.620000000003</v>
      </c>
      <c r="O836" s="126">
        <f t="shared" si="277"/>
        <v>409.6875</v>
      </c>
      <c r="P836" s="126">
        <f t="shared" si="278"/>
        <v>518.9375</v>
      </c>
      <c r="Q836" s="126">
        <f>SUMIF('MPG Payment '!$E$3:$E$344841,'Shayak Income '!D836,'MPG Payment '!$S$3:$S$344841)</f>
        <v>0</v>
      </c>
      <c r="R836" s="126">
        <f t="shared" si="279"/>
        <v>639.22860000000003</v>
      </c>
      <c r="S836" s="126">
        <f t="shared" si="280"/>
        <v>120.29110000000003</v>
      </c>
      <c r="T836" s="126">
        <f t="shared" si="252"/>
        <v>54.625</v>
      </c>
      <c r="U836" s="127">
        <f>((((((IF(K836="New",0,SUMIF('MPG Payment '!$E$3:$E$344841,'Shayak Income '!D836,'MPG Payment '!$AC$3:$AC$344841))))+0)+0)+0)+0)+-882</f>
        <v>874.2098370099302</v>
      </c>
      <c r="V836" s="127">
        <f t="shared" si="253"/>
        <v>0</v>
      </c>
      <c r="W836" s="19">
        <v>0</v>
      </c>
      <c r="X836" s="19">
        <v>0</v>
      </c>
      <c r="Y836" s="128">
        <v>0</v>
      </c>
      <c r="Z836" s="128">
        <v>0</v>
      </c>
      <c r="AA836" s="126">
        <v>0</v>
      </c>
      <c r="AB836" s="129">
        <f t="shared" ref="AB836:AB899" si="287">ROUND(IFERROR(V836-SUM(W836:AA836),0),0)</f>
        <v>0</v>
      </c>
      <c r="AC836" s="130">
        <v>0</v>
      </c>
      <c r="AD836" s="35">
        <f t="shared" si="281"/>
        <v>0</v>
      </c>
      <c r="AE836" s="166" t="str">
        <f t="shared" si="282"/>
        <v>Release</v>
      </c>
      <c r="AF836" s="127"/>
      <c r="AG836" s="234">
        <v>0</v>
      </c>
      <c r="AH836" s="120"/>
      <c r="AI836" s="238">
        <v>0</v>
      </c>
      <c r="AJ836" s="132"/>
      <c r="AK836" s="151">
        <v>99.47999999999999</v>
      </c>
      <c r="AL836" s="154">
        <f t="shared" si="283"/>
        <v>0</v>
      </c>
      <c r="AM836" s="155"/>
      <c r="AN836" s="19">
        <f t="shared" ref="AN836:AN899" si="288">((MIN(IF(A836&gt;0,MAX(N836*2%,1861),0),A836)))+0</f>
        <v>1861</v>
      </c>
      <c r="AO836" s="118">
        <f>SUMIF('MPG Payment '!E:E,'Shayak Income '!D836,'MPG Payment '!AJ:AJ)</f>
        <v>0</v>
      </c>
      <c r="AP836" s="19">
        <f t="shared" ref="AP836:AP899" si="289">W836</f>
        <v>0</v>
      </c>
      <c r="AQ836" s="119">
        <f t="shared" si="284"/>
        <v>0</v>
      </c>
      <c r="AR836" s="91" t="s">
        <v>1144</v>
      </c>
      <c r="AS836" s="91">
        <f t="shared" ref="AS836:AS899" si="290">B836-X836</f>
        <v>0</v>
      </c>
      <c r="AT836" s="118"/>
      <c r="AU836" s="118"/>
      <c r="AV836" s="118"/>
    </row>
    <row r="837" spans="1:48" s="20" customFormat="1" x14ac:dyDescent="0.25">
      <c r="A837" s="17">
        <f>IFERROR(VLOOKUP(D837,'Monthly Deduction'!$I$3:$J$957,2,0),0)</f>
        <v>63139</v>
      </c>
      <c r="B837" s="17">
        <f>IFERROR(VLOOKUP(D837,'Monthly Deduction'!$E$3:$F$957,2,0),0)</f>
        <v>6400</v>
      </c>
      <c r="C837" s="17">
        <f t="shared" si="276"/>
        <v>69539</v>
      </c>
      <c r="D837" s="41">
        <v>10580028</v>
      </c>
      <c r="E837" s="122" t="str">
        <f>VLOOKUP(D837,'MPG Payment '!$E$3:$G$497305,2,0)</f>
        <v xml:space="preserve">DURGAPUR </v>
      </c>
      <c r="F837" s="146">
        <f>IFERROR(_xlfn.XLOOKUP(D837,'Monthly Deduction'!$I$3:$I$957,'Monthly Deduction'!$H$3:$H$957),0)</f>
        <v>0</v>
      </c>
      <c r="G837" s="123" t="str">
        <f>VLOOKUP(D837,'MPG Payment '!$E$3:$G$333666,3,0)</f>
        <v>MPG</v>
      </c>
      <c r="H837" s="124" t="str">
        <f>VLOOKUP(D837,'MPG Payment '!$E$3:$H$333666,4,0)</f>
        <v>Direct</v>
      </c>
      <c r="I837" s="88">
        <f>INDEX('MPG Payment '!$C:$C,MATCH('Shayak Income '!D837,'MPG Payment '!E:E,0))</f>
        <v>1058</v>
      </c>
      <c r="J837" s="88" t="str">
        <f>INDEX('MPG Payment '!$D:$D,MATCH('Shayak Income '!D837,'MPG Payment '!E:E,0))</f>
        <v>Hasanpur</v>
      </c>
      <c r="K837" s="125" t="s">
        <v>1594</v>
      </c>
      <c r="L837" s="125">
        <v>46111</v>
      </c>
      <c r="M837" s="126">
        <f>SUMIF('MPG Payment '!$E$3:$E$344841,'Shayak Income '!D837,'MPG Payment '!$I$3:$I$344841)</f>
        <v>1768.0100000000002</v>
      </c>
      <c r="N837" s="126">
        <f>SUMIF('MPG Payment '!$E$3:$E$344841,'Shayak Income '!D837,'MPG Payment '!$J$3:$J$344841)</f>
        <v>71553.76999999999</v>
      </c>
      <c r="O837" s="126">
        <f t="shared" si="277"/>
        <v>1326.0075000000002</v>
      </c>
      <c r="P837" s="126">
        <f t="shared" si="278"/>
        <v>1679.6095</v>
      </c>
      <c r="Q837" s="126">
        <f>SUMIF('MPG Payment '!$E$3:$E$344841,'Shayak Income '!D837,'MPG Payment '!$S$3:$S$344841)</f>
        <v>0</v>
      </c>
      <c r="R837" s="126">
        <f t="shared" si="279"/>
        <v>2146.6130999999996</v>
      </c>
      <c r="S837" s="126">
        <f t="shared" si="280"/>
        <v>467.00359999999955</v>
      </c>
      <c r="T837" s="126">
        <f t="shared" ref="T837:T900" si="291">M837*0.1</f>
        <v>176.80100000000004</v>
      </c>
      <c r="U837" s="127">
        <f>((((((IF(K837="New",0,SUMIF('MPG Payment '!$E$3:$E$344841,'Shayak Income '!D837,'MPG Payment '!$AC$3:$AC$344841))))+0)+0)+0)+0)+0</f>
        <v>836.00718155159166</v>
      </c>
      <c r="V837" s="127">
        <f t="shared" ref="V837:V900" si="292">ROUND((SUM(O837:Q837)-SUM(T837:U837)),0)</f>
        <v>1993</v>
      </c>
      <c r="W837" s="19">
        <f t="shared" ref="W837:W887" si="293">(((AN837-AO837)))+0</f>
        <v>1861</v>
      </c>
      <c r="X837" s="19">
        <v>0</v>
      </c>
      <c r="Y837" s="128">
        <f>IFERROR(VLOOKUP(D837,'Monthly Deduction'!$M$2:$N$640,2,0),0)</f>
        <v>0</v>
      </c>
      <c r="Z837" s="128">
        <v>0</v>
      </c>
      <c r="AA837" s="126">
        <f>IFERROR(VLOOKUP(D837,'Monthly Deduction'!A:B,2,0),0)</f>
        <v>0</v>
      </c>
      <c r="AB837" s="129">
        <f t="shared" si="287"/>
        <v>132</v>
      </c>
      <c r="AC837" s="130">
        <v>0</v>
      </c>
      <c r="AD837" s="35">
        <f t="shared" si="281"/>
        <v>132</v>
      </c>
      <c r="AE837" s="166" t="str">
        <f t="shared" si="282"/>
        <v>Release</v>
      </c>
      <c r="AF837" s="127"/>
      <c r="AG837" s="18">
        <v>0</v>
      </c>
      <c r="AH837" s="120"/>
      <c r="AI837" s="238">
        <v>0</v>
      </c>
      <c r="AJ837" s="132"/>
      <c r="AK837" s="151">
        <v>355.03</v>
      </c>
      <c r="AL837" s="154">
        <f t="shared" si="283"/>
        <v>0</v>
      </c>
      <c r="AM837" s="155"/>
      <c r="AN837" s="19">
        <f t="shared" si="288"/>
        <v>1861</v>
      </c>
      <c r="AO837" s="118">
        <f>SUMIF('MPG Payment '!E:E,'Shayak Income '!D837,'MPG Payment '!AJ:AJ)</f>
        <v>0</v>
      </c>
      <c r="AP837" s="19">
        <f t="shared" si="289"/>
        <v>1861</v>
      </c>
      <c r="AQ837" s="119">
        <f t="shared" si="284"/>
        <v>1861</v>
      </c>
      <c r="AR837" s="91" t="s">
        <v>1144</v>
      </c>
      <c r="AS837" s="91">
        <f t="shared" si="290"/>
        <v>6400</v>
      </c>
      <c r="AT837" s="118"/>
      <c r="AU837" s="118"/>
      <c r="AV837" s="118"/>
    </row>
    <row r="838" spans="1:48" s="20" customFormat="1" x14ac:dyDescent="0.25">
      <c r="A838" s="17">
        <f>IFERROR(VLOOKUP(D838,'Monthly Deduction'!$I$3:$J$957,2,0),0)</f>
        <v>75000</v>
      </c>
      <c r="B838" s="17">
        <f>IFERROR(VLOOKUP(D838,'Monthly Deduction'!$E$3:$F$957,2,0),0)</f>
        <v>6400</v>
      </c>
      <c r="C838" s="17">
        <f t="shared" si="276"/>
        <v>81400</v>
      </c>
      <c r="D838" s="41">
        <v>10580029</v>
      </c>
      <c r="E838" s="122" t="str">
        <f>VLOOKUP(D838,'MPG Payment '!$E$3:$G$497305,2,0)</f>
        <v>Chandauli</v>
      </c>
      <c r="F838" s="146">
        <f>IFERROR(_xlfn.XLOOKUP(D838,'Monthly Deduction'!$I$3:$I$957,'Monthly Deduction'!$H$3:$H$957),0)</f>
        <v>0</v>
      </c>
      <c r="G838" s="123" t="str">
        <f>VLOOKUP(D838,'MPG Payment '!$E$3:$G$333666,3,0)</f>
        <v>MPG</v>
      </c>
      <c r="H838" s="124" t="str">
        <f>VLOOKUP(D838,'MPG Payment '!$E$3:$H$333666,4,0)</f>
        <v>Direct</v>
      </c>
      <c r="I838" s="88">
        <f>INDEX('MPG Payment '!$C:$C,MATCH('Shayak Income '!D838,'MPG Payment '!E:E,0))</f>
        <v>1058</v>
      </c>
      <c r="J838" s="88" t="str">
        <f>INDEX('MPG Payment '!$D:$D,MATCH('Shayak Income '!D838,'MPG Payment '!E:E,0))</f>
        <v>Hasanpur</v>
      </c>
      <c r="K838" s="125" t="s">
        <v>1594</v>
      </c>
      <c r="L838" s="125">
        <v>46112</v>
      </c>
      <c r="M838" s="126">
        <f>SUMIF('MPG Payment '!$E$3:$E$344841,'Shayak Income '!D838,'MPG Payment '!$I$3:$I$344841)</f>
        <v>921.69</v>
      </c>
      <c r="N838" s="126">
        <f>SUMIF('MPG Payment '!$E$3:$E$344841,'Shayak Income '!D838,'MPG Payment '!$J$3:$J$344841)</f>
        <v>41737.880000000005</v>
      </c>
      <c r="O838" s="126">
        <f t="shared" si="277"/>
        <v>691.26750000000004</v>
      </c>
      <c r="P838" s="126">
        <f t="shared" si="278"/>
        <v>875.60550000000001</v>
      </c>
      <c r="Q838" s="126">
        <f>SUMIF('MPG Payment '!$E$3:$E$344841,'Shayak Income '!D838,'MPG Payment '!$S$3:$S$344841)</f>
        <v>0</v>
      </c>
      <c r="R838" s="126">
        <f t="shared" si="279"/>
        <v>1252.1364000000001</v>
      </c>
      <c r="S838" s="126">
        <f t="shared" si="280"/>
        <v>376.53090000000009</v>
      </c>
      <c r="T838" s="126">
        <f t="shared" si="291"/>
        <v>92.169000000000011</v>
      </c>
      <c r="U838" s="127">
        <f>((((((IF(K838="New",0,SUMIF('MPG Payment '!$E$3:$E$344841,'Shayak Income '!D838,'MPG Payment '!$AC$3:$AC$344841))))+0)+0)+0)+0)+-231</f>
        <v>1474.6630789503211</v>
      </c>
      <c r="V838" s="127">
        <f t="shared" si="292"/>
        <v>0</v>
      </c>
      <c r="W838" s="19">
        <v>0</v>
      </c>
      <c r="X838" s="19">
        <v>0</v>
      </c>
      <c r="Y838" s="128">
        <v>0</v>
      </c>
      <c r="Z838" s="128">
        <v>0</v>
      </c>
      <c r="AA838" s="126">
        <v>0</v>
      </c>
      <c r="AB838" s="129">
        <f t="shared" si="287"/>
        <v>0</v>
      </c>
      <c r="AC838" s="130">
        <f t="shared" ref="AC838:AC841" si="294">AB838</f>
        <v>0</v>
      </c>
      <c r="AD838" s="35">
        <f t="shared" si="281"/>
        <v>0</v>
      </c>
      <c r="AE838" s="166" t="str">
        <f t="shared" si="282"/>
        <v>Release</v>
      </c>
      <c r="AF838" s="127"/>
      <c r="AG838" s="18">
        <v>0</v>
      </c>
      <c r="AH838" s="120" t="s">
        <v>1686</v>
      </c>
      <c r="AI838" s="238">
        <v>10000</v>
      </c>
      <c r="AJ838" s="132"/>
      <c r="AK838" s="151">
        <v>197.86</v>
      </c>
      <c r="AL838" s="154">
        <f t="shared" si="283"/>
        <v>0</v>
      </c>
      <c r="AM838" s="155"/>
      <c r="AN838" s="19">
        <f t="shared" si="288"/>
        <v>1861</v>
      </c>
      <c r="AO838" s="118">
        <f>SUMIF('MPG Payment '!E:E,'Shayak Income '!D838,'MPG Payment '!AJ:AJ)</f>
        <v>0</v>
      </c>
      <c r="AP838" s="19">
        <f t="shared" si="289"/>
        <v>0</v>
      </c>
      <c r="AQ838" s="119">
        <f t="shared" si="284"/>
        <v>0</v>
      </c>
      <c r="AR838" s="91" t="s">
        <v>1144</v>
      </c>
      <c r="AS838" s="91">
        <f t="shared" si="290"/>
        <v>6400</v>
      </c>
      <c r="AT838" s="118"/>
      <c r="AU838" s="118"/>
      <c r="AV838" s="118"/>
    </row>
    <row r="839" spans="1:48" s="20" customFormat="1" x14ac:dyDescent="0.25">
      <c r="A839" s="17">
        <f>IFERROR(VLOOKUP(D839,'Monthly Deduction'!$I$3:$J$957,2,0),0)</f>
        <v>63079.846397150199</v>
      </c>
      <c r="B839" s="17">
        <f>IFERROR(VLOOKUP(D839,'Monthly Deduction'!$E$3:$F$957,2,0),0)</f>
        <v>6400</v>
      </c>
      <c r="C839" s="17">
        <f t="shared" si="276"/>
        <v>69479.846397150191</v>
      </c>
      <c r="D839" s="41">
        <v>10580030</v>
      </c>
      <c r="E839" s="122" t="str">
        <f>VLOOKUP(D839,'MPG Payment '!$E$3:$G$497305,2,0)</f>
        <v>Girdharpur</v>
      </c>
      <c r="F839" s="146">
        <f>IFERROR(_xlfn.XLOOKUP(D839,'Monthly Deduction'!$I$3:$I$957,'Monthly Deduction'!$H$3:$H$957),0)</f>
        <v>0</v>
      </c>
      <c r="G839" s="123" t="str">
        <f>VLOOKUP(D839,'MPG Payment '!$E$3:$G$333666,3,0)</f>
        <v>MPG</v>
      </c>
      <c r="H839" s="124" t="str">
        <f>VLOOKUP(D839,'MPG Payment '!$E$3:$H$333666,4,0)</f>
        <v>Direct</v>
      </c>
      <c r="I839" s="88">
        <f>INDEX('MPG Payment '!$C:$C,MATCH('Shayak Income '!D839,'MPG Payment '!E:E,0))</f>
        <v>1058</v>
      </c>
      <c r="J839" s="88" t="str">
        <f>INDEX('MPG Payment '!$D:$D,MATCH('Shayak Income '!D839,'MPG Payment '!E:E,0))</f>
        <v>Hasanpur</v>
      </c>
      <c r="K839" s="125" t="s">
        <v>1594</v>
      </c>
      <c r="L839" s="125">
        <v>46112</v>
      </c>
      <c r="M839" s="126">
        <f>SUMIF('MPG Payment '!$E$3:$E$344841,'Shayak Income '!D839,'MPG Payment '!$I$3:$I$344841)</f>
        <v>94.210000000000008</v>
      </c>
      <c r="N839" s="126">
        <f>SUMIF('MPG Payment '!$E$3:$E$344841,'Shayak Income '!D839,'MPG Payment '!$J$3:$J$344841)</f>
        <v>3466.51</v>
      </c>
      <c r="O839" s="126">
        <f t="shared" si="277"/>
        <v>70.657499999999999</v>
      </c>
      <c r="P839" s="126">
        <f t="shared" si="278"/>
        <v>89.499499999999998</v>
      </c>
      <c r="Q839" s="126">
        <f>SUMIF('MPG Payment '!$E$3:$E$344841,'Shayak Income '!D839,'MPG Payment '!$S$3:$S$344841)</f>
        <v>0</v>
      </c>
      <c r="R839" s="126">
        <f t="shared" si="279"/>
        <v>103.9953</v>
      </c>
      <c r="S839" s="126">
        <f t="shared" si="280"/>
        <v>14.495800000000003</v>
      </c>
      <c r="T839" s="126">
        <f t="shared" si="291"/>
        <v>9.4210000000000012</v>
      </c>
      <c r="U839" s="127">
        <f>((((((IF(K839="New",0,SUMIF('MPG Payment '!$E$3:$E$344841,'Shayak Income '!D839,'MPG Payment '!$AC$3:$AC$344841))))+0)+0)+0)+0)+-295</f>
        <v>150.80768345186283</v>
      </c>
      <c r="V839" s="127">
        <f t="shared" si="292"/>
        <v>0</v>
      </c>
      <c r="W839" s="19">
        <v>0</v>
      </c>
      <c r="X839" s="19">
        <v>0</v>
      </c>
      <c r="Y839" s="128">
        <v>0</v>
      </c>
      <c r="Z839" s="128">
        <v>0</v>
      </c>
      <c r="AA839" s="126">
        <v>0</v>
      </c>
      <c r="AB839" s="129">
        <f t="shared" si="287"/>
        <v>0</v>
      </c>
      <c r="AC839" s="130">
        <f t="shared" si="294"/>
        <v>0</v>
      </c>
      <c r="AD839" s="35">
        <f t="shared" si="281"/>
        <v>0</v>
      </c>
      <c r="AE839" s="166" t="str">
        <f t="shared" si="282"/>
        <v>Release</v>
      </c>
      <c r="AF839" s="127"/>
      <c r="AG839" s="18">
        <v>0</v>
      </c>
      <c r="AH839" s="132" t="s">
        <v>1597</v>
      </c>
      <c r="AI839" s="238">
        <v>0</v>
      </c>
      <c r="AJ839" s="132"/>
      <c r="AK839" s="151">
        <v>0</v>
      </c>
      <c r="AL839" s="154">
        <f t="shared" si="283"/>
        <v>0</v>
      </c>
      <c r="AM839" s="155"/>
      <c r="AN839" s="19">
        <f t="shared" si="288"/>
        <v>1861</v>
      </c>
      <c r="AO839" s="118">
        <f>SUMIF('MPG Payment '!E:E,'Shayak Income '!D839,'MPG Payment '!AJ:AJ)</f>
        <v>0</v>
      </c>
      <c r="AP839" s="19">
        <f t="shared" si="289"/>
        <v>0</v>
      </c>
      <c r="AQ839" s="119">
        <f t="shared" si="284"/>
        <v>0</v>
      </c>
      <c r="AR839" s="91" t="s">
        <v>1144</v>
      </c>
      <c r="AS839" s="91">
        <f t="shared" si="290"/>
        <v>6400</v>
      </c>
      <c r="AT839" s="118"/>
      <c r="AU839" s="118"/>
      <c r="AV839" s="118"/>
    </row>
    <row r="840" spans="1:48" s="20" customFormat="1" x14ac:dyDescent="0.25">
      <c r="A840" s="17">
        <f>IFERROR(VLOOKUP(D840,'Monthly Deduction'!$I$3:$J$957,2,0),0)</f>
        <v>66929.71393696779</v>
      </c>
      <c r="B840" s="17">
        <f>IFERROR(VLOOKUP(D840,'Monthly Deduction'!$E$3:$F$957,2,0),0)</f>
        <v>6400</v>
      </c>
      <c r="C840" s="17">
        <f t="shared" si="276"/>
        <v>73329.71393696779</v>
      </c>
      <c r="D840" s="41">
        <v>10590013</v>
      </c>
      <c r="E840" s="122" t="str">
        <f>VLOOKUP(D840,'MPG Payment '!$E$3:$G$497305,2,0)</f>
        <v>BARIYARPUR</v>
      </c>
      <c r="F840" s="146">
        <f>IFERROR(_xlfn.XLOOKUP(D840,'Monthly Deduction'!$I$3:$I$957,'Monthly Deduction'!$H$3:$H$957),0)</f>
        <v>0</v>
      </c>
      <c r="G840" s="123" t="str">
        <f>VLOOKUP(D840,'MPG Payment '!$E$3:$G$333666,3,0)</f>
        <v>MPG</v>
      </c>
      <c r="H840" s="124" t="str">
        <f>VLOOKUP(D840,'MPG Payment '!$E$3:$H$333666,4,0)</f>
        <v>Direct</v>
      </c>
      <c r="I840" s="88">
        <f>INDEX('MPG Payment '!$C:$C,MATCH('Shayak Income '!D840,'MPG Payment '!E:E,0))</f>
        <v>1059</v>
      </c>
      <c r="J840" s="88" t="str">
        <f>INDEX('MPG Payment '!$D:$D,MATCH('Shayak Income '!D840,'MPG Payment '!E:E,0))</f>
        <v>Gopalpur Bmc</v>
      </c>
      <c r="K840" s="125" t="s">
        <v>1594</v>
      </c>
      <c r="L840" s="125">
        <v>46110</v>
      </c>
      <c r="M840" s="126">
        <f>SUMIF('MPG Payment '!$E$3:$E$344841,'Shayak Income '!D840,'MPG Payment '!$I$3:$I$344841)</f>
        <v>2634.9</v>
      </c>
      <c r="N840" s="126">
        <f>SUMIF('MPG Payment '!$E$3:$E$344841,'Shayak Income '!D840,'MPG Payment '!$J$3:$J$344841)</f>
        <v>123489.60999999999</v>
      </c>
      <c r="O840" s="126">
        <f t="shared" si="277"/>
        <v>1976.1750000000002</v>
      </c>
      <c r="P840" s="126">
        <f t="shared" si="278"/>
        <v>2503.1549999999997</v>
      </c>
      <c r="Q840" s="126">
        <f>SUMIF('MPG Payment '!$E$3:$E$344841,'Shayak Income '!D840,'MPG Payment '!$S$3:$S$344841)</f>
        <v>0</v>
      </c>
      <c r="R840" s="126">
        <f t="shared" si="279"/>
        <v>3704.6882999999993</v>
      </c>
      <c r="S840" s="126">
        <f t="shared" si="280"/>
        <v>1201.5332999999996</v>
      </c>
      <c r="T840" s="126">
        <f t="shared" si="291"/>
        <v>263.49</v>
      </c>
      <c r="U840" s="127">
        <f>((((((IF(K840="New",0,SUMIF('MPG Payment '!$E$3:$E$344841,'Shayak Income '!D840,'MPG Payment '!$AC$3:$AC$344841))))+0)+0)+0)+0)+0</f>
        <v>267.5682022885407</v>
      </c>
      <c r="V840" s="127">
        <f t="shared" si="292"/>
        <v>3948</v>
      </c>
      <c r="W840" s="19">
        <f t="shared" si="293"/>
        <v>2469.7921999999999</v>
      </c>
      <c r="X840" s="19">
        <v>0</v>
      </c>
      <c r="Y840" s="128">
        <f>IFERROR(VLOOKUP(D840,'Monthly Deduction'!$M$2:$N$640,2,0),0)</f>
        <v>0</v>
      </c>
      <c r="Z840" s="128">
        <v>0</v>
      </c>
      <c r="AA840" s="126">
        <f>IFERROR(VLOOKUP(D840,'Monthly Deduction'!A:B,2,0),0)</f>
        <v>0</v>
      </c>
      <c r="AB840" s="129">
        <f t="shared" si="287"/>
        <v>1478</v>
      </c>
      <c r="AC840" s="130">
        <f t="shared" si="294"/>
        <v>1478</v>
      </c>
      <c r="AD840" s="35">
        <f t="shared" si="281"/>
        <v>0</v>
      </c>
      <c r="AE840" s="166" t="str">
        <f t="shared" si="282"/>
        <v>Yes</v>
      </c>
      <c r="AF840" s="127"/>
      <c r="AG840" s="18">
        <v>0</v>
      </c>
      <c r="AH840" s="120" t="s">
        <v>1685</v>
      </c>
      <c r="AI840" s="238">
        <v>5000</v>
      </c>
      <c r="AJ840" s="132"/>
      <c r="AK840" s="151">
        <v>494.49999999999994</v>
      </c>
      <c r="AL840" s="154">
        <f t="shared" si="283"/>
        <v>0</v>
      </c>
      <c r="AM840" s="155"/>
      <c r="AN840" s="19">
        <f t="shared" si="288"/>
        <v>2469.7921999999999</v>
      </c>
      <c r="AO840" s="118">
        <f>SUMIF('MPG Payment '!E:E,'Shayak Income '!D840,'MPG Payment '!AJ:AJ)</f>
        <v>0</v>
      </c>
      <c r="AP840" s="19">
        <f t="shared" si="289"/>
        <v>2469.7921999999999</v>
      </c>
      <c r="AQ840" s="119">
        <f t="shared" si="284"/>
        <v>2469.7921999999999</v>
      </c>
      <c r="AR840" s="91" t="s">
        <v>1144</v>
      </c>
      <c r="AS840" s="91">
        <f t="shared" si="290"/>
        <v>6400</v>
      </c>
      <c r="AT840" s="118"/>
      <c r="AU840" s="118"/>
      <c r="AV840" s="118"/>
    </row>
    <row r="841" spans="1:48" s="20" customFormat="1" x14ac:dyDescent="0.25">
      <c r="A841" s="17">
        <f>IFERROR(VLOOKUP(D841,'Monthly Deduction'!$I$3:$J$957,2,0),0)</f>
        <v>67166.162005173406</v>
      </c>
      <c r="B841" s="17">
        <f>IFERROR(VLOOKUP(D841,'Monthly Deduction'!$E$3:$F$957,2,0),0)</f>
        <v>9600</v>
      </c>
      <c r="C841" s="17">
        <f t="shared" si="276"/>
        <v>76766.162005173406</v>
      </c>
      <c r="D841" s="41">
        <v>10590014</v>
      </c>
      <c r="E841" s="122" t="str">
        <f>VLOOKUP(D841,'MPG Payment '!$E$3:$G$497305,2,0)</f>
        <v>BAGWANA</v>
      </c>
      <c r="F841" s="146">
        <f>IFERROR(_xlfn.XLOOKUP(D841,'Monthly Deduction'!$I$3:$I$957,'Monthly Deduction'!$H$3:$H$957),0)</f>
        <v>0</v>
      </c>
      <c r="G841" s="123" t="str">
        <f>VLOOKUP(D841,'MPG Payment '!$E$3:$G$333666,3,0)</f>
        <v>MPG</v>
      </c>
      <c r="H841" s="124" t="str">
        <f>VLOOKUP(D841,'MPG Payment '!$E$3:$H$333666,4,0)</f>
        <v>Direct</v>
      </c>
      <c r="I841" s="88">
        <f>INDEX('MPG Payment '!$C:$C,MATCH('Shayak Income '!D841,'MPG Payment '!E:E,0))</f>
        <v>1059</v>
      </c>
      <c r="J841" s="88" t="str">
        <f>INDEX('MPG Payment '!$D:$D,MATCH('Shayak Income '!D841,'MPG Payment '!E:E,0))</f>
        <v>Gopalpur Bmc</v>
      </c>
      <c r="K841" s="125" t="s">
        <v>1594</v>
      </c>
      <c r="L841" s="125">
        <v>46112</v>
      </c>
      <c r="M841" s="126">
        <f>SUMIF('MPG Payment '!$E$3:$E$344841,'Shayak Income '!D841,'MPG Payment '!$I$3:$I$344841)</f>
        <v>2929.1</v>
      </c>
      <c r="N841" s="126">
        <f>SUMIF('MPG Payment '!$E$3:$E$344841,'Shayak Income '!D841,'MPG Payment '!$J$3:$J$344841)</f>
        <v>139946.15999999997</v>
      </c>
      <c r="O841" s="126">
        <f t="shared" si="277"/>
        <v>2196.8249999999998</v>
      </c>
      <c r="P841" s="126">
        <f t="shared" si="278"/>
        <v>2782.645</v>
      </c>
      <c r="Q841" s="126">
        <f>SUMIF('MPG Payment '!$E$3:$E$344841,'Shayak Income '!D841,'MPG Payment '!$S$3:$S$344841)</f>
        <v>0</v>
      </c>
      <c r="R841" s="126">
        <f t="shared" si="279"/>
        <v>4198.3847999999989</v>
      </c>
      <c r="S841" s="126">
        <f t="shared" si="280"/>
        <v>1415.7397999999989</v>
      </c>
      <c r="T841" s="126">
        <f t="shared" si="291"/>
        <v>292.91000000000003</v>
      </c>
      <c r="U841" s="127">
        <f>((((((IF(K841="New",0,SUMIF('MPG Payment '!$E$3:$E$344841,'Shayak Income '!D841,'MPG Payment '!$AC$3:$AC$344841))))+0)+0)+0)+0)+0</f>
        <v>38.025590001883408</v>
      </c>
      <c r="V841" s="127">
        <f t="shared" si="292"/>
        <v>4649</v>
      </c>
      <c r="W841" s="19">
        <f t="shared" si="293"/>
        <v>2798.9231999999997</v>
      </c>
      <c r="X841" s="19">
        <v>0</v>
      </c>
      <c r="Y841" s="128">
        <f>IFERROR(VLOOKUP(D841,'Monthly Deduction'!$M$2:$N$640,2,0),0)</f>
        <v>0</v>
      </c>
      <c r="Z841" s="128">
        <v>0</v>
      </c>
      <c r="AA841" s="126">
        <f>IFERROR(VLOOKUP(D841,'Monthly Deduction'!A:B,2,0),0)</f>
        <v>0</v>
      </c>
      <c r="AB841" s="129">
        <f t="shared" si="287"/>
        <v>1850</v>
      </c>
      <c r="AC841" s="130">
        <f t="shared" si="294"/>
        <v>1850</v>
      </c>
      <c r="AD841" s="35">
        <f t="shared" si="281"/>
        <v>0</v>
      </c>
      <c r="AE841" s="166" t="str">
        <f t="shared" si="282"/>
        <v>Yes</v>
      </c>
      <c r="AF841" s="127"/>
      <c r="AG841" s="18">
        <v>0</v>
      </c>
      <c r="AH841" s="120" t="s">
        <v>1685</v>
      </c>
      <c r="AI841" s="238">
        <v>5000</v>
      </c>
      <c r="AJ841" s="132"/>
      <c r="AK841" s="151">
        <v>595.59999999999991</v>
      </c>
      <c r="AL841" s="154">
        <f t="shared" si="283"/>
        <v>0</v>
      </c>
      <c r="AM841" s="155"/>
      <c r="AN841" s="19">
        <f t="shared" si="288"/>
        <v>2798.9231999999997</v>
      </c>
      <c r="AO841" s="118">
        <f>SUMIF('MPG Payment '!E:E,'Shayak Income '!D841,'MPG Payment '!AJ:AJ)</f>
        <v>0</v>
      </c>
      <c r="AP841" s="19">
        <f t="shared" si="289"/>
        <v>2798.9231999999997</v>
      </c>
      <c r="AQ841" s="119">
        <f t="shared" si="284"/>
        <v>2798.9231999999997</v>
      </c>
      <c r="AR841" s="91" t="s">
        <v>1144</v>
      </c>
      <c r="AS841" s="91">
        <f t="shared" si="290"/>
        <v>9600</v>
      </c>
      <c r="AT841" s="118"/>
      <c r="AU841" s="118"/>
      <c r="AV841" s="118"/>
    </row>
    <row r="842" spans="1:48" s="20" customFormat="1" x14ac:dyDescent="0.25">
      <c r="A842" s="17">
        <f>IFERROR(VLOOKUP(D842,'Monthly Deduction'!$I$3:$J$957,2,0),0)</f>
        <v>65000</v>
      </c>
      <c r="B842" s="17">
        <f>IFERROR(VLOOKUP(D842,'Monthly Deduction'!$E$3:$F$957,2,0),0)</f>
        <v>12800</v>
      </c>
      <c r="C842" s="17">
        <f t="shared" si="276"/>
        <v>77800</v>
      </c>
      <c r="D842" s="41">
        <v>10610026</v>
      </c>
      <c r="E842" s="122" t="str">
        <f>VLOOKUP(D842,'MPG Payment '!$E$3:$G$497305,2,0)</f>
        <v>Gomukh Jhitkahi East</v>
      </c>
      <c r="F842" s="146">
        <f>IFERROR(_xlfn.XLOOKUP(D842,'Monthly Deduction'!$I$3:$I$957,'Monthly Deduction'!$H$3:$H$957),0)</f>
        <v>0</v>
      </c>
      <c r="G842" s="123" t="str">
        <f>VLOOKUP(D842,'MPG Payment '!$E$3:$G$333666,3,0)</f>
        <v>MPG</v>
      </c>
      <c r="H842" s="124" t="str">
        <f>VLOOKUP(D842,'MPG Payment '!$E$3:$H$333666,4,0)</f>
        <v>Direct</v>
      </c>
      <c r="I842" s="88">
        <f>INDEX('MPG Payment '!$C:$C,MATCH('Shayak Income '!D842,'MPG Payment '!E:E,0))</f>
        <v>1061</v>
      </c>
      <c r="J842" s="88" t="str">
        <f>INDEX('MPG Payment '!$D:$D,MATCH('Shayak Income '!D842,'MPG Payment '!E:E,0))</f>
        <v>Mahua BMC</v>
      </c>
      <c r="K842" s="125" t="s">
        <v>1594</v>
      </c>
      <c r="L842" s="125">
        <v>46112</v>
      </c>
      <c r="M842" s="126">
        <f>SUMIF('MPG Payment '!$E$3:$E$344841,'Shayak Income '!D842,'MPG Payment '!$I$3:$I$344841)</f>
        <v>657.00000000000011</v>
      </c>
      <c r="N842" s="126">
        <f>SUMIF('MPG Payment '!$E$3:$E$344841,'Shayak Income '!D842,'MPG Payment '!$J$3:$J$344841)</f>
        <v>35914.15</v>
      </c>
      <c r="O842" s="126">
        <f t="shared" si="277"/>
        <v>492.75000000000011</v>
      </c>
      <c r="P842" s="126">
        <f t="shared" si="278"/>
        <v>624.15000000000009</v>
      </c>
      <c r="Q842" s="126">
        <f>SUMIF('MPG Payment '!$E$3:$E$344841,'Shayak Income '!D842,'MPG Payment '!$S$3:$S$344841)</f>
        <v>0</v>
      </c>
      <c r="R842" s="126">
        <f t="shared" si="279"/>
        <v>1077.4245000000001</v>
      </c>
      <c r="S842" s="126">
        <f t="shared" si="280"/>
        <v>453.27449999999999</v>
      </c>
      <c r="T842" s="126">
        <f t="shared" si="291"/>
        <v>65.700000000000017</v>
      </c>
      <c r="U842" s="127">
        <f>((((((IF(K842="New",0,SUMIF('MPG Payment '!$E$3:$E$344841,'Shayak Income '!D842,'MPG Payment '!$AC$3:$AC$344841))))+0)+0)+0)+0)+-1295</f>
        <v>1051.2778348189895</v>
      </c>
      <c r="V842" s="127">
        <f t="shared" si="292"/>
        <v>0</v>
      </c>
      <c r="W842" s="19">
        <v>0</v>
      </c>
      <c r="X842" s="19">
        <v>0</v>
      </c>
      <c r="Y842" s="128">
        <v>0</v>
      </c>
      <c r="Z842" s="128">
        <v>0</v>
      </c>
      <c r="AA842" s="126">
        <v>0</v>
      </c>
      <c r="AB842" s="129">
        <f t="shared" si="287"/>
        <v>0</v>
      </c>
      <c r="AC842" s="130">
        <v>0</v>
      </c>
      <c r="AD842" s="35">
        <f t="shared" si="281"/>
        <v>0</v>
      </c>
      <c r="AE842" s="166" t="str">
        <f t="shared" si="282"/>
        <v>Release</v>
      </c>
      <c r="AF842" s="127"/>
      <c r="AG842" s="18">
        <v>0</v>
      </c>
      <c r="AH842" s="120"/>
      <c r="AI842" s="238">
        <v>0</v>
      </c>
      <c r="AJ842" s="132"/>
      <c r="AK842" s="151">
        <v>231.00000000000003</v>
      </c>
      <c r="AL842" s="154">
        <f t="shared" si="283"/>
        <v>0</v>
      </c>
      <c r="AM842" s="155"/>
      <c r="AN842" s="19">
        <f t="shared" si="288"/>
        <v>1861</v>
      </c>
      <c r="AO842" s="118">
        <f>SUMIF('MPG Payment '!E:E,'Shayak Income '!D842,'MPG Payment '!AJ:AJ)</f>
        <v>0</v>
      </c>
      <c r="AP842" s="19">
        <f t="shared" si="289"/>
        <v>0</v>
      </c>
      <c r="AQ842" s="119">
        <f t="shared" si="284"/>
        <v>0</v>
      </c>
      <c r="AR842" s="91" t="s">
        <v>1144</v>
      </c>
      <c r="AS842" s="91">
        <f t="shared" si="290"/>
        <v>12800</v>
      </c>
      <c r="AT842" s="118"/>
      <c r="AU842" s="118"/>
      <c r="AV842" s="118"/>
    </row>
    <row r="843" spans="1:48" s="20" customFormat="1" x14ac:dyDescent="0.25">
      <c r="A843" s="17">
        <f>IFERROR(VLOOKUP(D843,'Monthly Deduction'!$I$3:$J$957,2,0),0)</f>
        <v>0</v>
      </c>
      <c r="B843" s="17">
        <f>IFERROR(VLOOKUP(D843,'Monthly Deduction'!$E$3:$F$957,2,0),0)</f>
        <v>0</v>
      </c>
      <c r="C843" s="17">
        <f t="shared" si="276"/>
        <v>0</v>
      </c>
      <c r="D843" s="41">
        <v>10610027</v>
      </c>
      <c r="E843" s="122" t="str">
        <f>VLOOKUP(D843,'MPG Payment '!$E$3:$G$497305,2,0)</f>
        <v>GOMUKH UPHRAUL</v>
      </c>
      <c r="F843" s="146">
        <f>IFERROR(_xlfn.XLOOKUP(D843,'Monthly Deduction'!$I$3:$I$957,'Monthly Deduction'!$H$3:$H$957),0)</f>
        <v>0</v>
      </c>
      <c r="G843" s="123" t="str">
        <f>VLOOKUP(D843,'MPG Payment '!$E$3:$G$333666,3,0)</f>
        <v>vlc</v>
      </c>
      <c r="H843" s="124" t="str">
        <f>VLOOKUP(D843,'MPG Payment '!$E$3:$H$333666,4,0)</f>
        <v>Indirect</v>
      </c>
      <c r="I843" s="88">
        <f>INDEX('MPG Payment '!$C:$C,MATCH('Shayak Income '!D843,'MPG Payment '!E:E,0))</f>
        <v>1061</v>
      </c>
      <c r="J843" s="88" t="str">
        <f>INDEX('MPG Payment '!$D:$D,MATCH('Shayak Income '!D843,'MPG Payment '!E:E,0))</f>
        <v>Mahua BMC</v>
      </c>
      <c r="K843" s="125" t="s">
        <v>1594</v>
      </c>
      <c r="L843" s="125">
        <v>46108</v>
      </c>
      <c r="M843" s="126">
        <f>SUMIF('MPG Payment '!$E$3:$E$344841,'Shayak Income '!D843,'MPG Payment '!$I$3:$I$344841)</f>
        <v>6105.3</v>
      </c>
      <c r="N843" s="126">
        <f>SUMIF('MPG Payment '!$E$3:$E$344841,'Shayak Income '!D843,'MPG Payment '!$J$3:$J$344841)</f>
        <v>234807.1</v>
      </c>
      <c r="O843" s="126">
        <f t="shared" si="277"/>
        <v>4578.9750000000004</v>
      </c>
      <c r="P843" s="126">
        <f t="shared" si="278"/>
        <v>5800.0349999999999</v>
      </c>
      <c r="Q843" s="126">
        <f>SUMIF('MPG Payment '!$E$3:$E$344841,'Shayak Income '!D843,'MPG Payment '!$S$3:$S$344841)</f>
        <v>0</v>
      </c>
      <c r="R843" s="126">
        <f t="shared" si="279"/>
        <v>7044.2129999999997</v>
      </c>
      <c r="S843" s="126">
        <f t="shared" si="280"/>
        <v>1244.1779999999999</v>
      </c>
      <c r="T843" s="126">
        <f t="shared" si="291"/>
        <v>610.53000000000009</v>
      </c>
      <c r="U843" s="127">
        <f>((((((IF(K843="New",0,SUMIF('MPG Payment '!$E$3:$E$344841,'Shayak Income '!D843,'MPG Payment '!$AC$3:$AC$344841))))+0)+0)+0)+0)+0</f>
        <v>0</v>
      </c>
      <c r="V843" s="127">
        <f t="shared" si="292"/>
        <v>9768</v>
      </c>
      <c r="W843" s="19">
        <f t="shared" si="293"/>
        <v>0</v>
      </c>
      <c r="X843" s="19">
        <f t="shared" ref="X843:X899" si="295">((MIN(IF(B843&gt;0,MAX(N843*2%),0),B843)))+0</f>
        <v>0</v>
      </c>
      <c r="Y843" s="128">
        <f>IFERROR(VLOOKUP(D843,'Monthly Deduction'!$M$2:$N$640,2,0),0)</f>
        <v>0</v>
      </c>
      <c r="Z843" s="128">
        <v>0</v>
      </c>
      <c r="AA843" s="126">
        <f>IFERROR(VLOOKUP(D843,'Monthly Deduction'!A:B,2,0),0)</f>
        <v>0</v>
      </c>
      <c r="AB843" s="129">
        <f t="shared" si="287"/>
        <v>9768</v>
      </c>
      <c r="AC843" s="130">
        <v>0</v>
      </c>
      <c r="AD843" s="35">
        <f t="shared" si="281"/>
        <v>9768</v>
      </c>
      <c r="AE843" s="166" t="str">
        <f t="shared" si="282"/>
        <v>Release</v>
      </c>
      <c r="AF843" s="127"/>
      <c r="AG843" s="18">
        <v>0</v>
      </c>
      <c r="AH843" s="120"/>
      <c r="AI843" s="238">
        <v>0</v>
      </c>
      <c r="AJ843" s="132"/>
      <c r="AK843" s="151">
        <v>1094.1000000000001</v>
      </c>
      <c r="AL843" s="154">
        <f t="shared" si="283"/>
        <v>0</v>
      </c>
      <c r="AM843" s="155"/>
      <c r="AN843" s="19">
        <f t="shared" si="288"/>
        <v>0</v>
      </c>
      <c r="AO843" s="118">
        <f>SUMIF('MPG Payment '!E:E,'Shayak Income '!D843,'MPG Payment '!AJ:AJ)</f>
        <v>0</v>
      </c>
      <c r="AP843" s="19">
        <f t="shared" si="289"/>
        <v>0</v>
      </c>
      <c r="AQ843" s="119">
        <f t="shared" si="284"/>
        <v>0</v>
      </c>
      <c r="AR843" s="91" t="s">
        <v>1144</v>
      </c>
      <c r="AS843" s="91">
        <f t="shared" si="290"/>
        <v>0</v>
      </c>
      <c r="AT843" s="118"/>
      <c r="AU843" s="118"/>
      <c r="AV843" s="118"/>
    </row>
    <row r="844" spans="1:48" s="20" customFormat="1" x14ac:dyDescent="0.25">
      <c r="A844" s="17">
        <f>IFERROR(VLOOKUP(D844,'Monthly Deduction'!$I$3:$J$957,2,0),0)</f>
        <v>0</v>
      </c>
      <c r="B844" s="17">
        <f>IFERROR(VLOOKUP(D844,'Monthly Deduction'!$E$3:$F$957,2,0),0)</f>
        <v>0</v>
      </c>
      <c r="C844" s="17">
        <f t="shared" si="276"/>
        <v>0</v>
      </c>
      <c r="D844" s="41">
        <v>10610028</v>
      </c>
      <c r="E844" s="122" t="str">
        <f>VLOOKUP(D844,'MPG Payment '!$E$3:$G$497305,2,0)</f>
        <v>GOMUKH SHERPUR</v>
      </c>
      <c r="F844" s="146">
        <f>IFERROR(_xlfn.XLOOKUP(D844,'Monthly Deduction'!$I$3:$I$957,'Monthly Deduction'!$H$3:$H$957),0)</f>
        <v>0</v>
      </c>
      <c r="G844" s="123" t="str">
        <f>VLOOKUP(D844,'MPG Payment '!$E$3:$G$333666,3,0)</f>
        <v>vlc</v>
      </c>
      <c r="H844" s="124" t="str">
        <f>VLOOKUP(D844,'MPG Payment '!$E$3:$H$333666,4,0)</f>
        <v>Indirect</v>
      </c>
      <c r="I844" s="88">
        <f>INDEX('MPG Payment '!$C:$C,MATCH('Shayak Income '!D844,'MPG Payment '!E:E,0))</f>
        <v>1061</v>
      </c>
      <c r="J844" s="88" t="str">
        <f>INDEX('MPG Payment '!$D:$D,MATCH('Shayak Income '!D844,'MPG Payment '!E:E,0))</f>
        <v>Mahua BMC</v>
      </c>
      <c r="K844" s="125" t="s">
        <v>1594</v>
      </c>
      <c r="L844" s="125">
        <v>46109</v>
      </c>
      <c r="M844" s="126">
        <f>SUMIF('MPG Payment '!$E$3:$E$344841,'Shayak Income '!D844,'MPG Payment '!$I$3:$I$344841)</f>
        <v>845.2</v>
      </c>
      <c r="N844" s="126">
        <f>SUMIF('MPG Payment '!$E$3:$E$344841,'Shayak Income '!D844,'MPG Payment '!$J$3:$J$344841)</f>
        <v>32756.350000000006</v>
      </c>
      <c r="O844" s="126">
        <f t="shared" si="277"/>
        <v>633.90000000000009</v>
      </c>
      <c r="P844" s="126">
        <f t="shared" si="278"/>
        <v>802.94</v>
      </c>
      <c r="Q844" s="126">
        <f>SUMIF('MPG Payment '!$E$3:$E$344841,'Shayak Income '!D844,'MPG Payment '!$S$3:$S$344841)</f>
        <v>0</v>
      </c>
      <c r="R844" s="126">
        <f t="shared" si="279"/>
        <v>982.69050000000016</v>
      </c>
      <c r="S844" s="126">
        <f t="shared" si="280"/>
        <v>179.7505000000001</v>
      </c>
      <c r="T844" s="126">
        <f t="shared" si="291"/>
        <v>84.52000000000001</v>
      </c>
      <c r="U844" s="127">
        <f>((((((IF(K844="New",0,SUMIF('MPG Payment '!$E$3:$E$344841,'Shayak Income '!D844,'MPG Payment '!$AC$3:$AC$344841))))+0)+0)+0)+0)+-163</f>
        <v>1352.7291682873076</v>
      </c>
      <c r="V844" s="127">
        <f t="shared" si="292"/>
        <v>0</v>
      </c>
      <c r="W844" s="19">
        <v>0</v>
      </c>
      <c r="X844" s="19">
        <v>0</v>
      </c>
      <c r="Y844" s="128">
        <v>0</v>
      </c>
      <c r="Z844" s="128">
        <v>0</v>
      </c>
      <c r="AA844" s="126">
        <v>0</v>
      </c>
      <c r="AB844" s="129">
        <f t="shared" si="287"/>
        <v>0</v>
      </c>
      <c r="AC844" s="130">
        <v>0</v>
      </c>
      <c r="AD844" s="35">
        <f t="shared" si="281"/>
        <v>0</v>
      </c>
      <c r="AE844" s="166" t="str">
        <f t="shared" si="282"/>
        <v>Release</v>
      </c>
      <c r="AF844" s="127"/>
      <c r="AG844" s="18">
        <v>0</v>
      </c>
      <c r="AH844" s="120"/>
      <c r="AI844" s="238">
        <v>0</v>
      </c>
      <c r="AJ844" s="132"/>
      <c r="AK844" s="151">
        <v>138.89999999999998</v>
      </c>
      <c r="AL844" s="154">
        <f t="shared" si="283"/>
        <v>0</v>
      </c>
      <c r="AM844" s="155"/>
      <c r="AN844" s="19">
        <f t="shared" si="288"/>
        <v>0</v>
      </c>
      <c r="AO844" s="118">
        <f>SUMIF('MPG Payment '!E:E,'Shayak Income '!D844,'MPG Payment '!AJ:AJ)</f>
        <v>0</v>
      </c>
      <c r="AP844" s="19">
        <f t="shared" si="289"/>
        <v>0</v>
      </c>
      <c r="AQ844" s="119">
        <f t="shared" si="284"/>
        <v>0</v>
      </c>
      <c r="AR844" s="91" t="s">
        <v>1144</v>
      </c>
      <c r="AS844" s="91">
        <f t="shared" si="290"/>
        <v>0</v>
      </c>
      <c r="AT844" s="118"/>
      <c r="AU844" s="118"/>
      <c r="AV844" s="118"/>
    </row>
    <row r="845" spans="1:48" s="20" customFormat="1" x14ac:dyDescent="0.25">
      <c r="A845" s="17">
        <f>IFERROR(VLOOKUP(D845,'Monthly Deduction'!$I$3:$J$957,2,0),0)</f>
        <v>0</v>
      </c>
      <c r="B845" s="17">
        <f>IFERROR(VLOOKUP(D845,'Monthly Deduction'!$E$3:$F$957,2,0),0)</f>
        <v>0</v>
      </c>
      <c r="C845" s="17">
        <f t="shared" si="276"/>
        <v>0</v>
      </c>
      <c r="D845" s="41">
        <v>10610031</v>
      </c>
      <c r="E845" s="122" t="str">
        <f>VLOOKUP(D845,'MPG Payment '!$E$3:$G$497305,2,0)</f>
        <v>GOMUKH PANSALA</v>
      </c>
      <c r="F845" s="146">
        <f>IFERROR(_xlfn.XLOOKUP(D845,'Monthly Deduction'!$I$3:$I$957,'Monthly Deduction'!$H$3:$H$957),0)</f>
        <v>0</v>
      </c>
      <c r="G845" s="123" t="str">
        <f>VLOOKUP(D845,'MPG Payment '!$E$3:$G$333666,3,0)</f>
        <v>VLC</v>
      </c>
      <c r="H845" s="124" t="str">
        <f>VLOOKUP(D845,'MPG Payment '!$E$3:$H$333666,4,0)</f>
        <v>Indirect</v>
      </c>
      <c r="I845" s="88">
        <f>INDEX('MPG Payment '!$C:$C,MATCH('Shayak Income '!D845,'MPG Payment '!E:E,0))</f>
        <v>1061</v>
      </c>
      <c r="J845" s="88" t="str">
        <f>INDEX('MPG Payment '!$D:$D,MATCH('Shayak Income '!D845,'MPG Payment '!E:E,0))</f>
        <v>Mahua BMC</v>
      </c>
      <c r="K845" s="125" t="s">
        <v>1594</v>
      </c>
      <c r="L845" s="125">
        <v>46108</v>
      </c>
      <c r="M845" s="126">
        <f>SUMIF('MPG Payment '!$E$3:$E$344841,'Shayak Income '!D845,'MPG Payment '!$I$3:$I$344841)</f>
        <v>1055.2</v>
      </c>
      <c r="N845" s="126">
        <f>SUMIF('MPG Payment '!$E$3:$E$344841,'Shayak Income '!D845,'MPG Payment '!$J$3:$J$344841)</f>
        <v>41930.33</v>
      </c>
      <c r="O845" s="126">
        <f t="shared" si="277"/>
        <v>791.40000000000009</v>
      </c>
      <c r="P845" s="126">
        <f t="shared" si="278"/>
        <v>1002.4399999999999</v>
      </c>
      <c r="Q845" s="126">
        <f>SUMIF('MPG Payment '!$E$3:$E$344841,'Shayak Income '!D845,'MPG Payment '!$S$3:$S$344841)</f>
        <v>0</v>
      </c>
      <c r="R845" s="126">
        <f t="shared" si="279"/>
        <v>1257.9099000000001</v>
      </c>
      <c r="S845" s="126">
        <f t="shared" si="280"/>
        <v>255.46990000000017</v>
      </c>
      <c r="T845" s="126">
        <f t="shared" si="291"/>
        <v>105.52000000000001</v>
      </c>
      <c r="U845" s="127">
        <f>((((((IF(K845="New",0,SUMIF('MPG Payment '!$E$3:$E$344841,'Shayak Income '!D845,'MPG Payment '!$AC$3:$AC$344841))))+0)+0)+0)+0)+0</f>
        <v>823.3218969268687</v>
      </c>
      <c r="V845" s="127">
        <f t="shared" si="292"/>
        <v>865</v>
      </c>
      <c r="W845" s="19">
        <f t="shared" si="293"/>
        <v>0</v>
      </c>
      <c r="X845" s="19">
        <f t="shared" si="295"/>
        <v>0</v>
      </c>
      <c r="Y845" s="128">
        <f>IFERROR(VLOOKUP(D845,'Monthly Deduction'!$M$2:$N$640,2,0),0)</f>
        <v>0</v>
      </c>
      <c r="Z845" s="128">
        <v>0</v>
      </c>
      <c r="AA845" s="126">
        <f>IFERROR(VLOOKUP(D845,'Monthly Deduction'!A:B,2,0),0)</f>
        <v>0</v>
      </c>
      <c r="AB845" s="129">
        <f t="shared" si="287"/>
        <v>865</v>
      </c>
      <c r="AC845" s="130">
        <v>0</v>
      </c>
      <c r="AD845" s="35">
        <f t="shared" si="281"/>
        <v>865</v>
      </c>
      <c r="AE845" s="166" t="str">
        <f t="shared" si="282"/>
        <v>Release</v>
      </c>
      <c r="AF845" s="127"/>
      <c r="AG845" s="18">
        <v>0</v>
      </c>
      <c r="AH845" s="120"/>
      <c r="AI845" s="238">
        <v>0</v>
      </c>
      <c r="AJ845" s="132"/>
      <c r="AK845" s="151">
        <v>208.29999999999998</v>
      </c>
      <c r="AL845" s="154">
        <f t="shared" si="283"/>
        <v>0</v>
      </c>
      <c r="AM845" s="155"/>
      <c r="AN845" s="19">
        <f t="shared" si="288"/>
        <v>0</v>
      </c>
      <c r="AO845" s="118">
        <f>SUMIF('MPG Payment '!E:E,'Shayak Income '!D845,'MPG Payment '!AJ:AJ)</f>
        <v>0</v>
      </c>
      <c r="AP845" s="19">
        <f t="shared" si="289"/>
        <v>0</v>
      </c>
      <c r="AQ845" s="119">
        <f t="shared" si="284"/>
        <v>0</v>
      </c>
      <c r="AR845" s="91" t="s">
        <v>1144</v>
      </c>
      <c r="AS845" s="91">
        <f t="shared" si="290"/>
        <v>0</v>
      </c>
      <c r="AT845" s="118"/>
      <c r="AU845" s="118"/>
      <c r="AV845" s="118"/>
    </row>
    <row r="846" spans="1:48" s="20" customFormat="1" x14ac:dyDescent="0.25">
      <c r="A846" s="17">
        <f>IFERROR(VLOOKUP(D846,'Monthly Deduction'!$I$3:$J$957,2,0),0)</f>
        <v>0</v>
      </c>
      <c r="B846" s="17">
        <f>IFERROR(VLOOKUP(D846,'Monthly Deduction'!$E$3:$F$957,2,0),0)</f>
        <v>0</v>
      </c>
      <c r="C846" s="17">
        <f t="shared" si="276"/>
        <v>0</v>
      </c>
      <c r="D846" s="41">
        <v>10610034</v>
      </c>
      <c r="E846" s="122" t="str">
        <f>VLOOKUP(D846,'MPG Payment '!$E$3:$G$497305,2,0)</f>
        <v>GOMUKH PACHAI</v>
      </c>
      <c r="F846" s="146">
        <f>IFERROR(_xlfn.XLOOKUP(D846,'Monthly Deduction'!$I$3:$I$957,'Monthly Deduction'!$H$3:$H$957),0)</f>
        <v>0</v>
      </c>
      <c r="G846" s="123" t="str">
        <f>VLOOKUP(D846,'MPG Payment '!$E$3:$G$333666,3,0)</f>
        <v>VLC</v>
      </c>
      <c r="H846" s="124" t="str">
        <f>VLOOKUP(D846,'MPG Payment '!$E$3:$H$333666,4,0)</f>
        <v>Indirect</v>
      </c>
      <c r="I846" s="88">
        <f>INDEX('MPG Payment '!$C:$C,MATCH('Shayak Income '!D846,'MPG Payment '!E:E,0))</f>
        <v>1061</v>
      </c>
      <c r="J846" s="88" t="str">
        <f>INDEX('MPG Payment '!$D:$D,MATCH('Shayak Income '!D846,'MPG Payment '!E:E,0))</f>
        <v>Mahua BMC</v>
      </c>
      <c r="K846" s="125" t="s">
        <v>1594</v>
      </c>
      <c r="L846" s="125">
        <v>46108</v>
      </c>
      <c r="M846" s="126">
        <f>SUMIF('MPG Payment '!$E$3:$E$344841,'Shayak Income '!D846,'MPG Payment '!$I$3:$I$344841)</f>
        <v>1174.3</v>
      </c>
      <c r="N846" s="126">
        <f>SUMIF('MPG Payment '!$E$3:$E$344841,'Shayak Income '!D846,'MPG Payment '!$J$3:$J$344841)</f>
        <v>45753.62000000001</v>
      </c>
      <c r="O846" s="126">
        <f t="shared" si="277"/>
        <v>880.72499999999991</v>
      </c>
      <c r="P846" s="126">
        <f t="shared" si="278"/>
        <v>1115.5849999999998</v>
      </c>
      <c r="Q846" s="126">
        <f>SUMIF('MPG Payment '!$E$3:$E$344841,'Shayak Income '!D846,'MPG Payment '!$S$3:$S$344841)</f>
        <v>0</v>
      </c>
      <c r="R846" s="126">
        <f t="shared" si="279"/>
        <v>1372.6086000000003</v>
      </c>
      <c r="S846" s="126">
        <f t="shared" si="280"/>
        <v>257.02360000000044</v>
      </c>
      <c r="T846" s="126">
        <f t="shared" si="291"/>
        <v>117.43</v>
      </c>
      <c r="U846" s="127">
        <f>((((((IF(K846="New",0,SUMIF('MPG Payment '!$E$3:$E$344841,'Shayak Income '!D846,'MPG Payment '!$AC$3:$AC$344841))))+0)+0)+0)+0)+0</f>
        <v>717.93252049429702</v>
      </c>
      <c r="V846" s="127">
        <f t="shared" si="292"/>
        <v>1161</v>
      </c>
      <c r="W846" s="19">
        <f t="shared" si="293"/>
        <v>0</v>
      </c>
      <c r="X846" s="19">
        <f t="shared" si="295"/>
        <v>0</v>
      </c>
      <c r="Y846" s="128">
        <f>IFERROR(VLOOKUP(D846,'Monthly Deduction'!$M$2:$N$640,2,0),0)</f>
        <v>0</v>
      </c>
      <c r="Z846" s="128">
        <v>0</v>
      </c>
      <c r="AA846" s="126">
        <f>IFERROR(VLOOKUP(D846,'Monthly Deduction'!A:B,2,0),0)</f>
        <v>0</v>
      </c>
      <c r="AB846" s="129">
        <f t="shared" si="287"/>
        <v>1161</v>
      </c>
      <c r="AC846" s="130">
        <v>0</v>
      </c>
      <c r="AD846" s="35">
        <f t="shared" si="281"/>
        <v>1161</v>
      </c>
      <c r="AE846" s="166" t="str">
        <f t="shared" si="282"/>
        <v>Release</v>
      </c>
      <c r="AF846" s="127"/>
      <c r="AG846" s="18">
        <v>0</v>
      </c>
      <c r="AH846" s="120"/>
      <c r="AI846" s="238">
        <v>0</v>
      </c>
      <c r="AJ846" s="132"/>
      <c r="AK846" s="151">
        <v>471.30000000000007</v>
      </c>
      <c r="AL846" s="154">
        <f t="shared" si="283"/>
        <v>0</v>
      </c>
      <c r="AM846" s="155"/>
      <c r="AN846" s="19">
        <f t="shared" si="288"/>
        <v>0</v>
      </c>
      <c r="AO846" s="118">
        <f>SUMIF('MPG Payment '!E:E,'Shayak Income '!D846,'MPG Payment '!AJ:AJ)</f>
        <v>0</v>
      </c>
      <c r="AP846" s="19">
        <f t="shared" si="289"/>
        <v>0</v>
      </c>
      <c r="AQ846" s="119">
        <f t="shared" si="284"/>
        <v>0</v>
      </c>
      <c r="AR846" s="91" t="s">
        <v>1144</v>
      </c>
      <c r="AS846" s="91">
        <f t="shared" si="290"/>
        <v>0</v>
      </c>
      <c r="AT846" s="118"/>
      <c r="AU846" s="118"/>
      <c r="AV846" s="118"/>
    </row>
    <row r="847" spans="1:48" s="20" customFormat="1" x14ac:dyDescent="0.25">
      <c r="A847" s="17">
        <f>IFERROR(VLOOKUP(D847,'Monthly Deduction'!$I$3:$J$957,2,0),0)</f>
        <v>0</v>
      </c>
      <c r="B847" s="17">
        <f>IFERROR(VLOOKUP(D847,'Monthly Deduction'!$E$3:$F$957,2,0),0)</f>
        <v>0</v>
      </c>
      <c r="C847" s="17">
        <f t="shared" si="276"/>
        <v>0</v>
      </c>
      <c r="D847" s="41">
        <v>10610035</v>
      </c>
      <c r="E847" s="122" t="str">
        <f>VLOOKUP(D847,'MPG Payment '!$E$3:$G$497305,2,0)</f>
        <v>GOMUKH GARAHI</v>
      </c>
      <c r="F847" s="146">
        <f>IFERROR(_xlfn.XLOOKUP(D847,'Monthly Deduction'!$I$3:$I$957,'Monthly Deduction'!$H$3:$H$957),0)</f>
        <v>0</v>
      </c>
      <c r="G847" s="123" t="str">
        <f>VLOOKUP(D847,'MPG Payment '!$E$3:$G$333666,3,0)</f>
        <v>vlc</v>
      </c>
      <c r="H847" s="124" t="str">
        <f>VLOOKUP(D847,'MPG Payment '!$E$3:$H$333666,4,0)</f>
        <v>Indirect</v>
      </c>
      <c r="I847" s="88">
        <f>INDEX('MPG Payment '!$C:$C,MATCH('Shayak Income '!D847,'MPG Payment '!E:E,0))</f>
        <v>1061</v>
      </c>
      <c r="J847" s="88" t="str">
        <f>INDEX('MPG Payment '!$D:$D,MATCH('Shayak Income '!D847,'MPG Payment '!E:E,0))</f>
        <v>Mahua BMC</v>
      </c>
      <c r="K847" s="125" t="s">
        <v>1594</v>
      </c>
      <c r="L847" s="125">
        <v>46108</v>
      </c>
      <c r="M847" s="126">
        <f>SUMIF('MPG Payment '!$E$3:$E$344841,'Shayak Income '!D847,'MPG Payment '!$I$3:$I$344841)</f>
        <v>1549.8000000000002</v>
      </c>
      <c r="N847" s="126">
        <f>SUMIF('MPG Payment '!$E$3:$E$344841,'Shayak Income '!D847,'MPG Payment '!$J$3:$J$344841)</f>
        <v>51162.19</v>
      </c>
      <c r="O847" s="126">
        <f t="shared" si="277"/>
        <v>1162.3500000000001</v>
      </c>
      <c r="P847" s="126">
        <f t="shared" si="278"/>
        <v>1472.3100000000002</v>
      </c>
      <c r="Q847" s="126">
        <f>SUMIF('MPG Payment '!$E$3:$E$344841,'Shayak Income '!D847,'MPG Payment '!$S$3:$S$344841)</f>
        <v>0</v>
      </c>
      <c r="R847" s="126">
        <f t="shared" si="279"/>
        <v>1534.8657000000001</v>
      </c>
      <c r="S847" s="126">
        <f t="shared" si="280"/>
        <v>62.555699999999888</v>
      </c>
      <c r="T847" s="126">
        <f t="shared" si="291"/>
        <v>154.98000000000002</v>
      </c>
      <c r="U847" s="127">
        <f>((((((IF(K847="New",0,SUMIF('MPG Payment '!$E$3:$E$344841,'Shayak Income '!D847,'MPG Payment '!$AC$3:$AC$344841))))+0)+0)+0)+0)+0</f>
        <v>832.83178226043356</v>
      </c>
      <c r="V847" s="127">
        <f t="shared" si="292"/>
        <v>1647</v>
      </c>
      <c r="W847" s="19">
        <f t="shared" si="293"/>
        <v>0</v>
      </c>
      <c r="X847" s="19">
        <f t="shared" si="295"/>
        <v>0</v>
      </c>
      <c r="Y847" s="128">
        <f>IFERROR(VLOOKUP(D847,'Monthly Deduction'!$M$2:$N$640,2,0),0)</f>
        <v>0</v>
      </c>
      <c r="Z847" s="128">
        <v>0</v>
      </c>
      <c r="AA847" s="126">
        <f>IFERROR(VLOOKUP(D847,'Monthly Deduction'!A:B,2,0),0)</f>
        <v>0</v>
      </c>
      <c r="AB847" s="129">
        <f t="shared" si="287"/>
        <v>1647</v>
      </c>
      <c r="AC847" s="130">
        <v>0</v>
      </c>
      <c r="AD847" s="35">
        <f t="shared" si="281"/>
        <v>1647</v>
      </c>
      <c r="AE847" s="166" t="str">
        <f t="shared" si="282"/>
        <v>Release</v>
      </c>
      <c r="AF847" s="127"/>
      <c r="AG847" s="18">
        <v>0</v>
      </c>
      <c r="AH847" s="120"/>
      <c r="AI847" s="238">
        <v>0</v>
      </c>
      <c r="AJ847" s="132"/>
      <c r="AK847" s="151">
        <v>312.10000000000002</v>
      </c>
      <c r="AL847" s="154">
        <f t="shared" si="283"/>
        <v>0</v>
      </c>
      <c r="AM847" s="155"/>
      <c r="AN847" s="19">
        <f t="shared" si="288"/>
        <v>0</v>
      </c>
      <c r="AO847" s="118">
        <f>SUMIF('MPG Payment '!E:E,'Shayak Income '!D847,'MPG Payment '!AJ:AJ)</f>
        <v>0</v>
      </c>
      <c r="AP847" s="19">
        <f t="shared" si="289"/>
        <v>0</v>
      </c>
      <c r="AQ847" s="119">
        <f t="shared" si="284"/>
        <v>0</v>
      </c>
      <c r="AR847" s="91" t="s">
        <v>1144</v>
      </c>
      <c r="AS847" s="91">
        <f t="shared" si="290"/>
        <v>0</v>
      </c>
      <c r="AT847" s="118"/>
      <c r="AU847" s="118"/>
      <c r="AV847" s="118"/>
    </row>
    <row r="848" spans="1:48" s="20" customFormat="1" x14ac:dyDescent="0.25">
      <c r="A848" s="17">
        <f>IFERROR(VLOOKUP(D848,'Monthly Deduction'!$I$3:$J$957,2,0),0)</f>
        <v>0</v>
      </c>
      <c r="B848" s="17">
        <f>IFERROR(VLOOKUP(D848,'Monthly Deduction'!$E$3:$F$957,2,0),0)</f>
        <v>0</v>
      </c>
      <c r="C848" s="17">
        <f t="shared" si="276"/>
        <v>0</v>
      </c>
      <c r="D848" s="41">
        <v>10610036</v>
      </c>
      <c r="E848" s="122" t="str">
        <f>VLOOKUP(D848,'MPG Payment '!$E$3:$G$497305,2,0)</f>
        <v>GOMUKH BAIKUNTHPUR</v>
      </c>
      <c r="F848" s="146">
        <f>IFERROR(_xlfn.XLOOKUP(D848,'Monthly Deduction'!$I$3:$I$957,'Monthly Deduction'!$H$3:$H$957),0)</f>
        <v>0</v>
      </c>
      <c r="G848" s="123" t="str">
        <f>VLOOKUP(D848,'MPG Payment '!$E$3:$G$333666,3,0)</f>
        <v>vlc</v>
      </c>
      <c r="H848" s="124" t="str">
        <f>VLOOKUP(D848,'MPG Payment '!$E$3:$H$333666,4,0)</f>
        <v>Indirect</v>
      </c>
      <c r="I848" s="88">
        <f>INDEX('MPG Payment '!$C:$C,MATCH('Shayak Income '!D848,'MPG Payment '!E:E,0))</f>
        <v>1061</v>
      </c>
      <c r="J848" s="88" t="str">
        <f>INDEX('MPG Payment '!$D:$D,MATCH('Shayak Income '!D848,'MPG Payment '!E:E,0))</f>
        <v>Mahua BMC</v>
      </c>
      <c r="K848" s="125" t="s">
        <v>1594</v>
      </c>
      <c r="L848" s="125">
        <v>46108</v>
      </c>
      <c r="M848" s="126">
        <f>SUMIF('MPG Payment '!$E$3:$E$344841,'Shayak Income '!D848,'MPG Payment '!$I$3:$I$344841)</f>
        <v>1580</v>
      </c>
      <c r="N848" s="126">
        <f>SUMIF('MPG Payment '!$E$3:$E$344841,'Shayak Income '!D848,'MPG Payment '!$J$3:$J$344841)</f>
        <v>58458.22</v>
      </c>
      <c r="O848" s="126">
        <f t="shared" si="277"/>
        <v>1185</v>
      </c>
      <c r="P848" s="126">
        <f t="shared" si="278"/>
        <v>1501</v>
      </c>
      <c r="Q848" s="126">
        <f>SUMIF('MPG Payment '!$E$3:$E$344841,'Shayak Income '!D848,'MPG Payment '!$S$3:$S$344841)</f>
        <v>0</v>
      </c>
      <c r="R848" s="126">
        <f t="shared" si="279"/>
        <v>1753.7465999999999</v>
      </c>
      <c r="S848" s="126">
        <f t="shared" si="280"/>
        <v>252.74659999999994</v>
      </c>
      <c r="T848" s="126">
        <f t="shared" si="291"/>
        <v>158</v>
      </c>
      <c r="U848" s="127">
        <f>((((((IF(K848="New",0,SUMIF('MPG Payment '!$E$3:$E$344841,'Shayak Income '!D848,'MPG Payment '!$AC$3:$AC$344841))))+0)+0)+0)+0)+0</f>
        <v>902.53253319169369</v>
      </c>
      <c r="V848" s="127">
        <f t="shared" si="292"/>
        <v>1625</v>
      </c>
      <c r="W848" s="19">
        <f t="shared" si="293"/>
        <v>0</v>
      </c>
      <c r="X848" s="19">
        <f t="shared" si="295"/>
        <v>0</v>
      </c>
      <c r="Y848" s="128">
        <f>IFERROR(VLOOKUP(D848,'Monthly Deduction'!$M$2:$N$640,2,0),0)</f>
        <v>0</v>
      </c>
      <c r="Z848" s="128">
        <v>0</v>
      </c>
      <c r="AA848" s="126">
        <f>IFERROR(VLOOKUP(D848,'Monthly Deduction'!A:B,2,0),0)</f>
        <v>0</v>
      </c>
      <c r="AB848" s="129">
        <f t="shared" si="287"/>
        <v>1625</v>
      </c>
      <c r="AC848" s="130">
        <v>0</v>
      </c>
      <c r="AD848" s="35">
        <f t="shared" si="281"/>
        <v>1625</v>
      </c>
      <c r="AE848" s="166" t="str">
        <f t="shared" si="282"/>
        <v>Release</v>
      </c>
      <c r="AF848" s="127"/>
      <c r="AG848" s="18">
        <v>0</v>
      </c>
      <c r="AH848" s="132"/>
      <c r="AI848" s="238">
        <v>0</v>
      </c>
      <c r="AJ848" s="132"/>
      <c r="AK848" s="151">
        <v>372.20000000000005</v>
      </c>
      <c r="AL848" s="154">
        <f t="shared" si="283"/>
        <v>0</v>
      </c>
      <c r="AM848" s="155"/>
      <c r="AN848" s="19">
        <f t="shared" si="288"/>
        <v>0</v>
      </c>
      <c r="AO848" s="118">
        <f>SUMIF('MPG Payment '!E:E,'Shayak Income '!D848,'MPG Payment '!AJ:AJ)</f>
        <v>0</v>
      </c>
      <c r="AP848" s="19">
        <f t="shared" si="289"/>
        <v>0</v>
      </c>
      <c r="AQ848" s="119">
        <f t="shared" si="284"/>
        <v>0</v>
      </c>
      <c r="AR848" s="91" t="s">
        <v>1144</v>
      </c>
      <c r="AS848" s="91">
        <f t="shared" si="290"/>
        <v>0</v>
      </c>
      <c r="AT848" s="118"/>
      <c r="AU848" s="118"/>
      <c r="AV848" s="118"/>
    </row>
    <row r="849" spans="1:48" s="20" customFormat="1" x14ac:dyDescent="0.25">
      <c r="A849" s="17">
        <f>IFERROR(VLOOKUP(D849,'Monthly Deduction'!$I$3:$J$957,2,0),0)</f>
        <v>0</v>
      </c>
      <c r="B849" s="17">
        <f>IFERROR(VLOOKUP(D849,'Monthly Deduction'!$E$3:$F$957,2,0),0)</f>
        <v>0</v>
      </c>
      <c r="C849" s="17">
        <f t="shared" si="276"/>
        <v>0</v>
      </c>
      <c r="D849" s="41">
        <v>10610038</v>
      </c>
      <c r="E849" s="122" t="str">
        <f>VLOOKUP(D849,'MPG Payment '!$E$3:$G$497305,2,0)</f>
        <v>GOMUKH BAHASHI</v>
      </c>
      <c r="F849" s="146">
        <f>IFERROR(_xlfn.XLOOKUP(D849,'Monthly Deduction'!$I$3:$I$957,'Monthly Deduction'!$H$3:$H$957),0)</f>
        <v>0</v>
      </c>
      <c r="G849" s="123" t="str">
        <f>VLOOKUP(D849,'MPG Payment '!$E$3:$G$333666,3,0)</f>
        <v>vlc</v>
      </c>
      <c r="H849" s="124" t="str">
        <f>VLOOKUP(D849,'MPG Payment '!$E$3:$H$333666,4,0)</f>
        <v>Indirect</v>
      </c>
      <c r="I849" s="88">
        <f>INDEX('MPG Payment '!$C:$C,MATCH('Shayak Income '!D849,'MPG Payment '!E:E,0))</f>
        <v>1061</v>
      </c>
      <c r="J849" s="88" t="str">
        <f>INDEX('MPG Payment '!$D:$D,MATCH('Shayak Income '!D849,'MPG Payment '!E:E,0))</f>
        <v>Mahua BMC</v>
      </c>
      <c r="K849" s="125" t="s">
        <v>1594</v>
      </c>
      <c r="L849" s="125">
        <v>46108</v>
      </c>
      <c r="M849" s="126">
        <f>SUMIF('MPG Payment '!$E$3:$E$344841,'Shayak Income '!D849,'MPG Payment '!$I$3:$I$344841)</f>
        <v>4242.8</v>
      </c>
      <c r="N849" s="126">
        <f>SUMIF('MPG Payment '!$E$3:$E$344841,'Shayak Income '!D849,'MPG Payment '!$J$3:$J$344841)</f>
        <v>156702.97</v>
      </c>
      <c r="O849" s="126">
        <f t="shared" si="277"/>
        <v>3182.1000000000004</v>
      </c>
      <c r="P849" s="126">
        <f t="shared" si="278"/>
        <v>4030.66</v>
      </c>
      <c r="Q849" s="126">
        <f>SUMIF('MPG Payment '!$E$3:$E$344841,'Shayak Income '!D849,'MPG Payment '!$S$3:$S$344841)</f>
        <v>0</v>
      </c>
      <c r="R849" s="126">
        <f t="shared" si="279"/>
        <v>4701.0891000000001</v>
      </c>
      <c r="S849" s="126">
        <f t="shared" si="280"/>
        <v>670.42910000000029</v>
      </c>
      <c r="T849" s="126">
        <f t="shared" si="291"/>
        <v>424.28000000000003</v>
      </c>
      <c r="U849" s="127">
        <f>((((((IF(K849="New",0,SUMIF('MPG Payment '!$E$3:$E$344841,'Shayak Income '!D849,'MPG Payment '!$AC$3:$AC$344841))))+0)+0)+0)+0)+0</f>
        <v>331.76801605967529</v>
      </c>
      <c r="V849" s="127">
        <f t="shared" si="292"/>
        <v>6457</v>
      </c>
      <c r="W849" s="19">
        <f t="shared" si="293"/>
        <v>0</v>
      </c>
      <c r="X849" s="19">
        <f t="shared" si="295"/>
        <v>0</v>
      </c>
      <c r="Y849" s="128">
        <f>IFERROR(VLOOKUP(D849,'Monthly Deduction'!$M$2:$N$640,2,0),0)</f>
        <v>0</v>
      </c>
      <c r="Z849" s="128">
        <v>0</v>
      </c>
      <c r="AA849" s="126">
        <f>IFERROR(VLOOKUP(D849,'Monthly Deduction'!A:B,2,0),0)</f>
        <v>0</v>
      </c>
      <c r="AB849" s="129">
        <f t="shared" si="287"/>
        <v>6457</v>
      </c>
      <c r="AC849" s="130">
        <v>0</v>
      </c>
      <c r="AD849" s="35">
        <f t="shared" si="281"/>
        <v>6457</v>
      </c>
      <c r="AE849" s="166" t="str">
        <f t="shared" si="282"/>
        <v>Release</v>
      </c>
      <c r="AF849" s="127"/>
      <c r="AG849" s="18">
        <v>0</v>
      </c>
      <c r="AH849" s="132"/>
      <c r="AI849" s="238">
        <v>0</v>
      </c>
      <c r="AJ849" s="132"/>
      <c r="AK849" s="151">
        <v>198.60000000000002</v>
      </c>
      <c r="AL849" s="154">
        <f t="shared" si="283"/>
        <v>0</v>
      </c>
      <c r="AM849" s="155"/>
      <c r="AN849" s="19">
        <f t="shared" si="288"/>
        <v>0</v>
      </c>
      <c r="AO849" s="118">
        <f>SUMIF('MPG Payment '!E:E,'Shayak Income '!D849,'MPG Payment '!AJ:AJ)</f>
        <v>0</v>
      </c>
      <c r="AP849" s="19">
        <f t="shared" si="289"/>
        <v>0</v>
      </c>
      <c r="AQ849" s="119">
        <f t="shared" si="284"/>
        <v>0</v>
      </c>
      <c r="AR849" s="91" t="s">
        <v>1144</v>
      </c>
      <c r="AS849" s="91">
        <f t="shared" si="290"/>
        <v>0</v>
      </c>
      <c r="AT849" s="118"/>
      <c r="AU849" s="118"/>
      <c r="AV849" s="118"/>
    </row>
    <row r="850" spans="1:48" s="20" customFormat="1" x14ac:dyDescent="0.25">
      <c r="A850" s="17">
        <f>IFERROR(VLOOKUP(D850,'Monthly Deduction'!$I$3:$J$957,2,0),0)</f>
        <v>85000</v>
      </c>
      <c r="B850" s="17">
        <f>IFERROR(VLOOKUP(D850,'Monthly Deduction'!$E$3:$F$957,2,0),0)</f>
        <v>0</v>
      </c>
      <c r="C850" s="17">
        <f t="shared" si="276"/>
        <v>85000</v>
      </c>
      <c r="D850" s="41">
        <v>10630002</v>
      </c>
      <c r="E850" s="122" t="str">
        <f>VLOOKUP(D850,'MPG Payment '!$E$3:$G$497305,2,0)</f>
        <v>Karua</v>
      </c>
      <c r="F850" s="146">
        <f>IFERROR(_xlfn.XLOOKUP(D850,'Monthly Deduction'!$I$3:$I$957,'Monthly Deduction'!$H$3:$H$957),0)</f>
        <v>0</v>
      </c>
      <c r="G850" s="123" t="str">
        <f>VLOOKUP(D850,'MPG Payment '!$E$3:$G$333666,3,0)</f>
        <v>MPG</v>
      </c>
      <c r="H850" s="124" t="str">
        <f>VLOOKUP(D850,'MPG Payment '!$E$3:$H$333666,4,0)</f>
        <v>Direct</v>
      </c>
      <c r="I850" s="88">
        <f>INDEX('MPG Payment '!$C:$C,MATCH('Shayak Income '!D850,'MPG Payment '!E:E,0))</f>
        <v>1057</v>
      </c>
      <c r="J850" s="88" t="str">
        <f>INDEX('MPG Payment '!$D:$D,MATCH('Shayak Income '!D850,'MPG Payment '!E:E,0))</f>
        <v>Warisnagar</v>
      </c>
      <c r="K850" s="125" t="s">
        <v>1594</v>
      </c>
      <c r="L850" s="125">
        <v>46109</v>
      </c>
      <c r="M850" s="126">
        <f>SUMIF('MPG Payment '!$E$3:$E$344841,'Shayak Income '!D850,'MPG Payment '!$I$3:$I$344841)</f>
        <v>738.59999999999991</v>
      </c>
      <c r="N850" s="126">
        <f>SUMIF('MPG Payment '!$E$3:$E$344841,'Shayak Income '!D850,'MPG Payment '!$J$3:$J$344841)</f>
        <v>32109.699999999997</v>
      </c>
      <c r="O850" s="126">
        <f t="shared" si="277"/>
        <v>553.94999999999993</v>
      </c>
      <c r="P850" s="126">
        <f t="shared" si="278"/>
        <v>701.66999999999985</v>
      </c>
      <c r="Q850" s="126">
        <f>SUMIF('MPG Payment '!$E$3:$E$344841,'Shayak Income '!D850,'MPG Payment '!$S$3:$S$344841)</f>
        <v>1834.38</v>
      </c>
      <c r="R850" s="126">
        <f t="shared" si="279"/>
        <v>963.29099999999983</v>
      </c>
      <c r="S850" s="126">
        <f t="shared" si="280"/>
        <v>261.62099999999998</v>
      </c>
      <c r="T850" s="126">
        <f t="shared" si="291"/>
        <v>73.86</v>
      </c>
      <c r="U850" s="127">
        <f>((((((IF(K850="New",0,SUMIF('MPG Payment '!$E$3:$E$344841,'Shayak Income '!D850,'MPG Payment '!$AC$3:$AC$344841))))+0)+0)+0)+0)+0</f>
        <v>1791.6580743169693</v>
      </c>
      <c r="V850" s="127">
        <f t="shared" si="292"/>
        <v>1224</v>
      </c>
      <c r="W850" s="19">
        <v>1224</v>
      </c>
      <c r="X850" s="19">
        <v>0</v>
      </c>
      <c r="Y850" s="128">
        <f>IFERROR(VLOOKUP(D850,'Monthly Deduction'!$M$2:$N$640,2,0),0)</f>
        <v>0</v>
      </c>
      <c r="Z850" s="128">
        <v>0</v>
      </c>
      <c r="AA850" s="126">
        <f>IFERROR(VLOOKUP(D850,'Monthly Deduction'!A:B,2,0),0)</f>
        <v>0</v>
      </c>
      <c r="AB850" s="129">
        <f t="shared" si="287"/>
        <v>0</v>
      </c>
      <c r="AC850" s="130">
        <f t="shared" ref="AC850:AC855" si="296">AB850</f>
        <v>0</v>
      </c>
      <c r="AD850" s="35">
        <f t="shared" si="281"/>
        <v>0</v>
      </c>
      <c r="AE850" s="166" t="str">
        <f t="shared" si="282"/>
        <v>Release</v>
      </c>
      <c r="AF850" s="127"/>
      <c r="AG850" s="18">
        <v>0</v>
      </c>
      <c r="AH850" s="120" t="s">
        <v>1686</v>
      </c>
      <c r="AI850" s="238">
        <v>20000</v>
      </c>
      <c r="AJ850" s="132"/>
      <c r="AK850" s="151">
        <v>166.90000000000003</v>
      </c>
      <c r="AL850" s="154">
        <f t="shared" si="283"/>
        <v>0</v>
      </c>
      <c r="AM850" s="155"/>
      <c r="AN850" s="19">
        <f t="shared" si="288"/>
        <v>1861</v>
      </c>
      <c r="AO850" s="118">
        <f>SUMIF('MPG Payment '!E:E,'Shayak Income '!D850,'MPG Payment '!AJ:AJ)</f>
        <v>0</v>
      </c>
      <c r="AP850" s="19">
        <f t="shared" si="289"/>
        <v>1224</v>
      </c>
      <c r="AQ850" s="119">
        <f t="shared" si="284"/>
        <v>1224</v>
      </c>
      <c r="AR850" s="91" t="s">
        <v>1144</v>
      </c>
      <c r="AS850" s="91">
        <f t="shared" si="290"/>
        <v>0</v>
      </c>
      <c r="AT850" s="118"/>
      <c r="AU850" s="118"/>
      <c r="AV850" s="118"/>
    </row>
    <row r="851" spans="1:48" s="20" customFormat="1" x14ac:dyDescent="0.25">
      <c r="A851" s="17">
        <f>IFERROR(VLOOKUP(D851,'Monthly Deduction'!$I$3:$J$957,2,0),0)</f>
        <v>83178</v>
      </c>
      <c r="B851" s="17">
        <f>IFERROR(VLOOKUP(D851,'Monthly Deduction'!$E$3:$F$957,2,0),0)</f>
        <v>0</v>
      </c>
      <c r="C851" s="17">
        <f t="shared" si="276"/>
        <v>83178</v>
      </c>
      <c r="D851" s="41">
        <v>10640009</v>
      </c>
      <c r="E851" s="122" t="str">
        <f>VLOOKUP(D851,'MPG Payment '!$E$3:$G$497305,2,0)</f>
        <v>SUKUMARPUR</v>
      </c>
      <c r="F851" s="146">
        <f>IFERROR(_xlfn.XLOOKUP(D851,'Monthly Deduction'!$I$3:$I$957,'Monthly Deduction'!$H$3:$H$957),0)</f>
        <v>0</v>
      </c>
      <c r="G851" s="123" t="str">
        <f>VLOOKUP(D851,'MPG Payment '!$E$3:$G$333666,3,0)</f>
        <v>MPG</v>
      </c>
      <c r="H851" s="124" t="str">
        <f>VLOOKUP(D851,'MPG Payment '!$E$3:$H$333666,4,0)</f>
        <v>Direct</v>
      </c>
      <c r="I851" s="88">
        <f>INDEX('MPG Payment '!$C:$C,MATCH('Shayak Income '!D851,'MPG Payment '!E:E,0))</f>
        <v>1062</v>
      </c>
      <c r="J851" s="88" t="str">
        <f>INDEX('MPG Payment '!$D:$D,MATCH('Shayak Income '!D851,'MPG Payment '!E:E,0))</f>
        <v>Singhia BMC</v>
      </c>
      <c r="K851" s="125" t="s">
        <v>1594</v>
      </c>
      <c r="L851" s="125">
        <v>46112</v>
      </c>
      <c r="M851" s="126">
        <f>SUMIF('MPG Payment '!$E$3:$E$344841,'Shayak Income '!D851,'MPG Payment '!$I$3:$I$344841)</f>
        <v>1159.32</v>
      </c>
      <c r="N851" s="126">
        <f>SUMIF('MPG Payment '!$E$3:$E$344841,'Shayak Income '!D851,'MPG Payment '!$J$3:$J$344841)</f>
        <v>55383.81</v>
      </c>
      <c r="O851" s="126">
        <f t="shared" si="277"/>
        <v>869.49</v>
      </c>
      <c r="P851" s="126">
        <f t="shared" si="278"/>
        <v>1101.3539999999998</v>
      </c>
      <c r="Q851" s="126">
        <f>SUMIF('MPG Payment '!$E$3:$E$344841,'Shayak Income '!D851,'MPG Payment '!$S$3:$S$344841)</f>
        <v>0</v>
      </c>
      <c r="R851" s="126">
        <f t="shared" si="279"/>
        <v>1661.5142999999998</v>
      </c>
      <c r="S851" s="126">
        <f t="shared" si="280"/>
        <v>560.16030000000001</v>
      </c>
      <c r="T851" s="126">
        <f t="shared" si="291"/>
        <v>115.932</v>
      </c>
      <c r="U851" s="127">
        <f>((((((IF(K851="New",0,SUMIF('MPG Payment '!$E$3:$E$344841,'Shayak Income '!D851,'MPG Payment '!$AC$3:$AC$344841))))+0)+0)+0)+0)+0</f>
        <v>1595.0247442477539</v>
      </c>
      <c r="V851" s="127">
        <f t="shared" si="292"/>
        <v>260</v>
      </c>
      <c r="W851" s="19">
        <v>260</v>
      </c>
      <c r="X851" s="19">
        <v>0</v>
      </c>
      <c r="Y851" s="128">
        <f>IFERROR(VLOOKUP(D851,'Monthly Deduction'!$M$2:$N$640,2,0),0)</f>
        <v>0</v>
      </c>
      <c r="Z851" s="128">
        <v>0</v>
      </c>
      <c r="AA851" s="126">
        <f>IFERROR(VLOOKUP(D851,'Monthly Deduction'!A:B,2,0),0)</f>
        <v>0</v>
      </c>
      <c r="AB851" s="129">
        <f t="shared" si="287"/>
        <v>0</v>
      </c>
      <c r="AC851" s="130">
        <f t="shared" si="296"/>
        <v>0</v>
      </c>
      <c r="AD851" s="35">
        <f t="shared" si="281"/>
        <v>0</v>
      </c>
      <c r="AE851" s="166" t="str">
        <f t="shared" si="282"/>
        <v>Release</v>
      </c>
      <c r="AF851" s="127"/>
      <c r="AG851" s="18">
        <v>0</v>
      </c>
      <c r="AH851" s="120" t="s">
        <v>1686</v>
      </c>
      <c r="AI851" s="238">
        <v>20000</v>
      </c>
      <c r="AJ851" s="132"/>
      <c r="AK851" s="151">
        <v>358.69999999999993</v>
      </c>
      <c r="AL851" s="154">
        <f t="shared" si="283"/>
        <v>0</v>
      </c>
      <c r="AM851" s="155"/>
      <c r="AN851" s="19">
        <f t="shared" si="288"/>
        <v>1861</v>
      </c>
      <c r="AO851" s="118">
        <f>SUMIF('MPG Payment '!E:E,'Shayak Income '!D851,'MPG Payment '!AJ:AJ)</f>
        <v>0</v>
      </c>
      <c r="AP851" s="19">
        <f t="shared" si="289"/>
        <v>260</v>
      </c>
      <c r="AQ851" s="119">
        <f t="shared" si="284"/>
        <v>260</v>
      </c>
      <c r="AR851" s="91" t="s">
        <v>1144</v>
      </c>
      <c r="AS851" s="91">
        <f t="shared" si="290"/>
        <v>0</v>
      </c>
      <c r="AT851" s="118"/>
      <c r="AU851" s="118"/>
      <c r="AV851" s="118"/>
    </row>
    <row r="852" spans="1:48" s="20" customFormat="1" x14ac:dyDescent="0.25">
      <c r="A852" s="17">
        <f>IFERROR(VLOOKUP(D852,'Monthly Deduction'!$I$3:$J$957,2,0),0)</f>
        <v>68104.783824751197</v>
      </c>
      <c r="B852" s="17">
        <f>IFERROR(VLOOKUP(D852,'Monthly Deduction'!$E$3:$F$957,2,0),0)</f>
        <v>12800</v>
      </c>
      <c r="C852" s="17">
        <f t="shared" si="276"/>
        <v>80904.783824751197</v>
      </c>
      <c r="D852" s="41">
        <v>10650004</v>
      </c>
      <c r="E852" s="122" t="str">
        <f>VLOOKUP(D852,'MPG Payment '!$E$3:$G$497305,2,0)</f>
        <v>Gomukh KARRAKH</v>
      </c>
      <c r="F852" s="146">
        <f>IFERROR(_xlfn.XLOOKUP(D852,'Monthly Deduction'!$I$3:$I$957,'Monthly Deduction'!$H$3:$H$957),0)</f>
        <v>0</v>
      </c>
      <c r="G852" s="123" t="str">
        <f>VLOOKUP(D852,'MPG Payment '!$E$3:$G$333666,3,0)</f>
        <v>MPG</v>
      </c>
      <c r="H852" s="124" t="str">
        <f>VLOOKUP(D852,'MPG Payment '!$E$3:$H$333666,4,0)</f>
        <v>Direct</v>
      </c>
      <c r="I852" s="88">
        <f>INDEX('MPG Payment '!$C:$C,MATCH('Shayak Income '!D852,'MPG Payment '!E:E,0))</f>
        <v>1065</v>
      </c>
      <c r="J852" s="88" t="str">
        <f>INDEX('MPG Payment '!$D:$D,MATCH('Shayak Income '!D852,'MPG Payment '!E:E,0))</f>
        <v>Bachhwara BMC</v>
      </c>
      <c r="K852" s="125" t="s">
        <v>1594</v>
      </c>
      <c r="L852" s="125">
        <v>46112</v>
      </c>
      <c r="M852" s="126">
        <f>SUMIF('MPG Payment '!$E$3:$E$344841,'Shayak Income '!D852,'MPG Payment '!$I$3:$I$344841)</f>
        <v>2285.0999999999995</v>
      </c>
      <c r="N852" s="126">
        <f>SUMIF('MPG Payment '!$E$3:$E$344841,'Shayak Income '!D852,'MPG Payment '!$J$3:$J$344841)</f>
        <v>89519.01999999999</v>
      </c>
      <c r="O852" s="126">
        <f t="shared" si="277"/>
        <v>1713.8249999999996</v>
      </c>
      <c r="P852" s="126">
        <f t="shared" si="278"/>
        <v>2170.8449999999993</v>
      </c>
      <c r="Q852" s="126">
        <f>SUMIF('MPG Payment '!$E$3:$E$344841,'Shayak Income '!D852,'MPG Payment '!$S$3:$S$344841)</f>
        <v>0</v>
      </c>
      <c r="R852" s="126">
        <f t="shared" si="279"/>
        <v>2685.5705999999996</v>
      </c>
      <c r="S852" s="126">
        <f t="shared" si="280"/>
        <v>514.72560000000021</v>
      </c>
      <c r="T852" s="126">
        <f t="shared" si="291"/>
        <v>228.50999999999996</v>
      </c>
      <c r="U852" s="127">
        <f>((((((IF(K852="New",0,SUMIF('MPG Payment '!$E$3:$E$344841,'Shayak Income '!D852,'MPG Payment '!$AC$3:$AC$344841))))+0)+0)+0)+0)+0</f>
        <v>403.84842605281153</v>
      </c>
      <c r="V852" s="127">
        <f t="shared" si="292"/>
        <v>3252</v>
      </c>
      <c r="W852" s="19">
        <f t="shared" si="293"/>
        <v>1861</v>
      </c>
      <c r="X852" s="19">
        <v>0</v>
      </c>
      <c r="Y852" s="128">
        <f>IFERROR(VLOOKUP(D852,'Monthly Deduction'!$M$2:$N$640,2,0),0)</f>
        <v>0</v>
      </c>
      <c r="Z852" s="128">
        <v>0</v>
      </c>
      <c r="AA852" s="126">
        <f>IFERROR(VLOOKUP(D852,'Monthly Deduction'!A:B,2,0),0)</f>
        <v>0</v>
      </c>
      <c r="AB852" s="129">
        <f t="shared" si="287"/>
        <v>1391</v>
      </c>
      <c r="AC852" s="130">
        <f t="shared" si="296"/>
        <v>1391</v>
      </c>
      <c r="AD852" s="35">
        <f t="shared" si="281"/>
        <v>0</v>
      </c>
      <c r="AE852" s="166" t="str">
        <f t="shared" si="282"/>
        <v>Yes</v>
      </c>
      <c r="AF852" s="127"/>
      <c r="AG852" s="18">
        <v>0</v>
      </c>
      <c r="AH852" s="120" t="s">
        <v>1685</v>
      </c>
      <c r="AI852" s="238">
        <v>5000</v>
      </c>
      <c r="AJ852" s="132"/>
      <c r="AK852" s="151">
        <v>516.70000000000005</v>
      </c>
      <c r="AL852" s="154">
        <f t="shared" si="283"/>
        <v>0</v>
      </c>
      <c r="AM852" s="155"/>
      <c r="AN852" s="19">
        <f t="shared" si="288"/>
        <v>1861</v>
      </c>
      <c r="AO852" s="118">
        <f>SUMIF('MPG Payment '!E:E,'Shayak Income '!D852,'MPG Payment '!AJ:AJ)</f>
        <v>0</v>
      </c>
      <c r="AP852" s="19">
        <f t="shared" si="289"/>
        <v>1861</v>
      </c>
      <c r="AQ852" s="119">
        <f t="shared" si="284"/>
        <v>1861</v>
      </c>
      <c r="AR852" s="91" t="s">
        <v>1144</v>
      </c>
      <c r="AS852" s="91">
        <f t="shared" si="290"/>
        <v>12800</v>
      </c>
      <c r="AT852" s="118"/>
      <c r="AU852" s="118"/>
      <c r="AV852" s="118"/>
    </row>
    <row r="853" spans="1:48" s="20" customFormat="1" x14ac:dyDescent="0.25">
      <c r="A853" s="17">
        <f>IFERROR(VLOOKUP(D853,'Monthly Deduction'!$I$3:$J$957,2,0),0)</f>
        <v>0</v>
      </c>
      <c r="B853" s="17">
        <f>IFERROR(VLOOKUP(D853,'Monthly Deduction'!$E$3:$F$957,2,0),0)</f>
        <v>0</v>
      </c>
      <c r="C853" s="17">
        <f t="shared" si="276"/>
        <v>0</v>
      </c>
      <c r="D853" s="41">
        <v>10130119</v>
      </c>
      <c r="E853" s="122" t="str">
        <f>VLOOKUP(D853,'MPG Payment '!$E$3:$G$497305,2,0)</f>
        <v>GOMUKH BAKHRI</v>
      </c>
      <c r="F853" s="146">
        <f>IFERROR(_xlfn.XLOOKUP(D853,'Monthly Deduction'!$I$3:$I$957,'Monthly Deduction'!$H$3:$H$957),0)</f>
        <v>0</v>
      </c>
      <c r="G853" s="123" t="str">
        <f>VLOOKUP(D853,'MPG Payment '!$E$3:$G$333666,3,0)</f>
        <v>vlc</v>
      </c>
      <c r="H853" s="124" t="str">
        <f>VLOOKUP(D853,'MPG Payment '!$E$3:$H$333666,4,0)</f>
        <v>Indirect</v>
      </c>
      <c r="I853" s="88">
        <f>INDEX('MPG Payment '!$C:$C,MATCH('Shayak Income '!D853,'MPG Payment '!E:E,0))</f>
        <v>1013</v>
      </c>
      <c r="J853" s="88" t="str">
        <f>INDEX('MPG Payment '!$D:$D,MATCH('Shayak Income '!D853,'MPG Payment '!E:E,0))</f>
        <v>Musrigharari</v>
      </c>
      <c r="K853" s="125" t="s">
        <v>1594</v>
      </c>
      <c r="L853" s="125">
        <v>46120</v>
      </c>
      <c r="M853" s="126">
        <f>SUMIF('MPG Payment '!$E$3:$E$344841,'Shayak Income '!D853,'MPG Payment '!$I$3:$I$344841)</f>
        <v>300</v>
      </c>
      <c r="N853" s="126">
        <f>SUMIF('MPG Payment '!$E$3:$E$344841,'Shayak Income '!D853,'MPG Payment '!$J$3:$J$344841)</f>
        <v>12544.39</v>
      </c>
      <c r="O853" s="126">
        <f t="shared" si="277"/>
        <v>225</v>
      </c>
      <c r="P853" s="126">
        <f t="shared" si="278"/>
        <v>285</v>
      </c>
      <c r="Q853" s="126">
        <f>SUMIF('MPG Payment '!$E$3:$E$344841,'Shayak Income '!D853,'MPG Payment '!$S$3:$S$344841)</f>
        <v>0</v>
      </c>
      <c r="R853" s="126">
        <f t="shared" si="279"/>
        <v>376.33169999999996</v>
      </c>
      <c r="S853" s="126">
        <f t="shared" si="280"/>
        <v>91.331699999999955</v>
      </c>
      <c r="T853" s="126">
        <f t="shared" si="291"/>
        <v>30</v>
      </c>
      <c r="U853" s="127">
        <f>((((((IF(K853="New",0,SUMIF('MPG Payment '!$E$3:$E$344841,'Shayak Income '!D853,'MPG Payment '!$AC$3:$AC$344841))))+0)+0)+0)+0)+-1626</f>
        <v>479.79641947809887</v>
      </c>
      <c r="V853" s="127">
        <f t="shared" si="292"/>
        <v>0</v>
      </c>
      <c r="W853" s="19">
        <v>0</v>
      </c>
      <c r="X853" s="19">
        <v>0</v>
      </c>
      <c r="Y853" s="128">
        <v>0</v>
      </c>
      <c r="Z853" s="128">
        <v>0</v>
      </c>
      <c r="AA853" s="126">
        <v>0</v>
      </c>
      <c r="AB853" s="129">
        <f t="shared" si="287"/>
        <v>0</v>
      </c>
      <c r="AC853" s="130">
        <f t="shared" si="296"/>
        <v>0</v>
      </c>
      <c r="AD853" s="35">
        <f t="shared" si="281"/>
        <v>0</v>
      </c>
      <c r="AE853" s="166" t="str">
        <f t="shared" si="282"/>
        <v>Release</v>
      </c>
      <c r="AF853" s="127"/>
      <c r="AG853" s="18">
        <v>0</v>
      </c>
      <c r="AH853" s="132" t="s">
        <v>1597</v>
      </c>
      <c r="AI853" s="238">
        <v>0</v>
      </c>
      <c r="AJ853" s="132"/>
      <c r="AK853" s="151">
        <v>0</v>
      </c>
      <c r="AL853" s="154">
        <f t="shared" si="283"/>
        <v>0</v>
      </c>
      <c r="AM853" s="155"/>
      <c r="AN853" s="19">
        <f t="shared" si="288"/>
        <v>0</v>
      </c>
      <c r="AO853" s="118">
        <f>SUMIF('MPG Payment '!E:E,'Shayak Income '!D853,'MPG Payment '!AJ:AJ)</f>
        <v>0</v>
      </c>
      <c r="AP853" s="19">
        <f t="shared" si="289"/>
        <v>0</v>
      </c>
      <c r="AQ853" s="119">
        <f t="shared" si="284"/>
        <v>0</v>
      </c>
      <c r="AR853" s="91" t="s">
        <v>1144</v>
      </c>
      <c r="AS853" s="91">
        <f t="shared" si="290"/>
        <v>0</v>
      </c>
      <c r="AT853" s="118"/>
      <c r="AU853" s="118"/>
      <c r="AV853" s="118"/>
    </row>
    <row r="854" spans="1:48" s="20" customFormat="1" x14ac:dyDescent="0.25">
      <c r="A854" s="17">
        <f>IFERROR(VLOOKUP(D854,'Monthly Deduction'!$I$3:$J$957,2,0),0)</f>
        <v>75000</v>
      </c>
      <c r="B854" s="17">
        <f>IFERROR(VLOOKUP(D854,'Monthly Deduction'!$E$3:$F$957,2,0),0)</f>
        <v>6400</v>
      </c>
      <c r="C854" s="17">
        <f t="shared" si="267"/>
        <v>81400</v>
      </c>
      <c r="D854" s="41">
        <v>10560035</v>
      </c>
      <c r="E854" s="122" t="str">
        <f>VLOOKUP(D854,'MPG Payment '!$E$3:$G$497305,2,0)</f>
        <v>Gomukh Kharra Basa</v>
      </c>
      <c r="F854" s="146">
        <f>IFERROR(_xlfn.XLOOKUP(D854,'Monthly Deduction'!$I$3:$I$957,'Monthly Deduction'!$H$3:$H$957),0)</f>
        <v>0</v>
      </c>
      <c r="G854" s="123" t="str">
        <f>VLOOKUP(D854,'MPG Payment '!$E$3:$G$333666,3,0)</f>
        <v>MPG</v>
      </c>
      <c r="H854" s="124" t="str">
        <f>VLOOKUP(D854,'MPG Payment '!$E$3:$H$333666,4,0)</f>
        <v>Direct</v>
      </c>
      <c r="I854" s="88">
        <f>INDEX('MPG Payment '!$C:$C,MATCH('Shayak Income '!D854,'MPG Payment '!E:E,0))</f>
        <v>1056</v>
      </c>
      <c r="J854" s="88" t="str">
        <f>INDEX('MPG Payment '!$D:$D,MATCH('Shayak Income '!D854,'MPG Payment '!E:E,0))</f>
        <v>Chautham</v>
      </c>
      <c r="K854" s="125" t="s">
        <v>1594</v>
      </c>
      <c r="L854" s="125">
        <v>46119</v>
      </c>
      <c r="M854" s="126">
        <f>SUMIF('MPG Payment '!$E$3:$E$344841,'Shayak Income '!D854,'MPG Payment '!$I$3:$I$344841)</f>
        <v>1850.8000000000002</v>
      </c>
      <c r="N854" s="126">
        <f>SUMIF('MPG Payment '!$E$3:$E$344841,'Shayak Income '!D854,'MPG Payment '!$J$3:$J$344841)</f>
        <v>68889.22</v>
      </c>
      <c r="O854" s="126">
        <f t="shared" si="268"/>
        <v>1388.1000000000001</v>
      </c>
      <c r="P854" s="126">
        <f t="shared" si="269"/>
        <v>1758.26</v>
      </c>
      <c r="Q854" s="126">
        <f>SUMIF('MPG Payment '!$E$3:$E$344841,'Shayak Income '!D854,'MPG Payment '!$S$3:$S$344841)</f>
        <v>0</v>
      </c>
      <c r="R854" s="126">
        <f t="shared" si="270"/>
        <v>2066.6765999999998</v>
      </c>
      <c r="S854" s="126">
        <f t="shared" si="271"/>
        <v>308.41659999999979</v>
      </c>
      <c r="T854" s="126">
        <f t="shared" si="291"/>
        <v>185.08000000000004</v>
      </c>
      <c r="U854" s="127">
        <f>((((((IF(K854="New",0,SUMIF('MPG Payment '!$E$3:$E$344841,'Shayak Income '!D854,'MPG Payment '!$AC$3:$AC$344841))))+0)+0)+0)+0)+0</f>
        <v>702.30827471493194</v>
      </c>
      <c r="V854" s="127">
        <f t="shared" si="292"/>
        <v>2259</v>
      </c>
      <c r="W854" s="19">
        <f t="shared" si="293"/>
        <v>1861</v>
      </c>
      <c r="X854" s="19">
        <v>0</v>
      </c>
      <c r="Y854" s="128">
        <f>IFERROR(VLOOKUP(D854,'Monthly Deduction'!$M$2:$N$640,2,0),0)</f>
        <v>0</v>
      </c>
      <c r="Z854" s="128">
        <v>0</v>
      </c>
      <c r="AA854" s="126">
        <v>398</v>
      </c>
      <c r="AB854" s="129">
        <f t="shared" si="287"/>
        <v>0</v>
      </c>
      <c r="AC854" s="130">
        <f t="shared" si="296"/>
        <v>0</v>
      </c>
      <c r="AD854" s="35">
        <f t="shared" si="272"/>
        <v>0</v>
      </c>
      <c r="AE854" s="166" t="str">
        <f t="shared" si="256"/>
        <v>Release</v>
      </c>
      <c r="AF854" s="127"/>
      <c r="AG854" s="18">
        <v>0</v>
      </c>
      <c r="AH854" s="120" t="s">
        <v>1686</v>
      </c>
      <c r="AI854" s="238">
        <v>10000</v>
      </c>
      <c r="AJ854" s="132"/>
      <c r="AK854" s="151">
        <v>455.71999999999997</v>
      </c>
      <c r="AL854" s="154">
        <f t="shared" si="273"/>
        <v>0</v>
      </c>
      <c r="AM854" s="155"/>
      <c r="AN854" s="19">
        <f t="shared" si="288"/>
        <v>1861</v>
      </c>
      <c r="AO854" s="118">
        <f>SUMIF('MPG Payment '!E:E,'Shayak Income '!D854,'MPG Payment '!AJ:AJ)</f>
        <v>0</v>
      </c>
      <c r="AP854" s="19">
        <f t="shared" si="289"/>
        <v>1861</v>
      </c>
      <c r="AQ854" s="119">
        <f t="shared" si="274"/>
        <v>1861</v>
      </c>
      <c r="AR854" s="91" t="s">
        <v>1144</v>
      </c>
      <c r="AS854" s="91">
        <f t="shared" si="290"/>
        <v>6400</v>
      </c>
      <c r="AT854" s="118"/>
      <c r="AU854" s="118"/>
      <c r="AV854" s="118"/>
    </row>
    <row r="855" spans="1:48" s="20" customFormat="1" x14ac:dyDescent="0.25">
      <c r="A855" s="17">
        <f>IFERROR(VLOOKUP(D855,'Monthly Deduction'!$I$3:$J$957,2,0),0)</f>
        <v>85000</v>
      </c>
      <c r="B855" s="17">
        <f>IFERROR(VLOOKUP(D855,'Monthly Deduction'!$E$3:$F$957,2,0),0)</f>
        <v>6400</v>
      </c>
      <c r="C855" s="17">
        <f t="shared" si="267"/>
        <v>91400</v>
      </c>
      <c r="D855" s="41">
        <v>10570042</v>
      </c>
      <c r="E855" s="122" t="str">
        <f>VLOOKUP(D855,'MPG Payment '!$E$3:$G$497305,2,0)</f>
        <v>Rahua</v>
      </c>
      <c r="F855" s="146">
        <f>IFERROR(_xlfn.XLOOKUP(D855,'Monthly Deduction'!$I$3:$I$957,'Monthly Deduction'!$H$3:$H$957),0)</f>
        <v>0</v>
      </c>
      <c r="G855" s="123" t="str">
        <f>VLOOKUP(D855,'MPG Payment '!$E$3:$G$333666,3,0)</f>
        <v>MPG</v>
      </c>
      <c r="H855" s="124" t="str">
        <f>VLOOKUP(D855,'MPG Payment '!$E$3:$H$333666,4,0)</f>
        <v>Direct</v>
      </c>
      <c r="I855" s="88">
        <f>INDEX('MPG Payment '!$C:$C,MATCH('Shayak Income '!D855,'MPG Payment '!E:E,0))</f>
        <v>1057</v>
      </c>
      <c r="J855" s="88" t="str">
        <f>INDEX('MPG Payment '!$D:$D,MATCH('Shayak Income '!D855,'MPG Payment '!E:E,0))</f>
        <v>Warisnagar</v>
      </c>
      <c r="K855" s="125" t="s">
        <v>1594</v>
      </c>
      <c r="L855" s="125">
        <v>46116</v>
      </c>
      <c r="M855" s="126">
        <f>SUMIF('MPG Payment '!$E$3:$E$344841,'Shayak Income '!D855,'MPG Payment '!$I$3:$I$344841)</f>
        <v>635.6</v>
      </c>
      <c r="N855" s="126">
        <f>SUMIF('MPG Payment '!$E$3:$E$344841,'Shayak Income '!D855,'MPG Payment '!$J$3:$J$344841)</f>
        <v>25488.820000000003</v>
      </c>
      <c r="O855" s="126">
        <f t="shared" si="268"/>
        <v>476.70000000000005</v>
      </c>
      <c r="P855" s="126">
        <f t="shared" si="269"/>
        <v>603.82000000000005</v>
      </c>
      <c r="Q855" s="126">
        <f>SUMIF('MPG Payment '!$E$3:$E$344841,'Shayak Income '!D855,'MPG Payment '!$S$3:$S$344841)</f>
        <v>61.68</v>
      </c>
      <c r="R855" s="126">
        <f t="shared" si="270"/>
        <v>764.66460000000006</v>
      </c>
      <c r="S855" s="126">
        <f t="shared" si="271"/>
        <v>160.84460000000001</v>
      </c>
      <c r="T855" s="126">
        <f t="shared" si="291"/>
        <v>63.56</v>
      </c>
      <c r="U855" s="127">
        <f>((((((IF(K855="New",0,SUMIF('MPG Payment '!$E$3:$E$344841,'Shayak Income '!D855,'MPG Payment '!$AC$3:$AC$344841))))+0)+0)+0)+0)+-657</f>
        <v>1078.9617919882198</v>
      </c>
      <c r="V855" s="127">
        <f t="shared" si="292"/>
        <v>0</v>
      </c>
      <c r="W855" s="19">
        <v>0</v>
      </c>
      <c r="X855" s="19">
        <v>0</v>
      </c>
      <c r="Y855" s="128">
        <v>0</v>
      </c>
      <c r="Z855" s="128">
        <v>0</v>
      </c>
      <c r="AA855" s="126">
        <v>0</v>
      </c>
      <c r="AB855" s="129">
        <f t="shared" si="287"/>
        <v>0</v>
      </c>
      <c r="AC855" s="130">
        <f t="shared" si="296"/>
        <v>0</v>
      </c>
      <c r="AD855" s="35">
        <f t="shared" si="272"/>
        <v>0</v>
      </c>
      <c r="AE855" s="166" t="str">
        <f t="shared" si="256"/>
        <v>Release</v>
      </c>
      <c r="AF855" s="127"/>
      <c r="AG855" s="18">
        <v>0</v>
      </c>
      <c r="AH855" s="120" t="s">
        <v>1686</v>
      </c>
      <c r="AI855" s="238">
        <v>20000</v>
      </c>
      <c r="AJ855" s="132"/>
      <c r="AK855" s="151">
        <v>185.8</v>
      </c>
      <c r="AL855" s="154">
        <f t="shared" si="273"/>
        <v>0</v>
      </c>
      <c r="AM855" s="155"/>
      <c r="AN855" s="19">
        <f t="shared" si="288"/>
        <v>1861</v>
      </c>
      <c r="AO855" s="118">
        <f>SUMIF('MPG Payment '!E:E,'Shayak Income '!D855,'MPG Payment '!AJ:AJ)</f>
        <v>0</v>
      </c>
      <c r="AP855" s="19">
        <f t="shared" si="289"/>
        <v>0</v>
      </c>
      <c r="AQ855" s="119">
        <f t="shared" si="274"/>
        <v>0</v>
      </c>
      <c r="AR855" s="91" t="s">
        <v>1144</v>
      </c>
      <c r="AS855" s="91">
        <f t="shared" si="290"/>
        <v>6400</v>
      </c>
      <c r="AT855" s="118"/>
      <c r="AU855" s="118"/>
      <c r="AV855" s="118"/>
    </row>
    <row r="856" spans="1:48" s="20" customFormat="1" x14ac:dyDescent="0.25">
      <c r="A856" s="17">
        <f>IFERROR(VLOOKUP(D856,'Monthly Deduction'!$I$3:$J$957,2,0),0)</f>
        <v>0</v>
      </c>
      <c r="B856" s="17">
        <f>IFERROR(VLOOKUP(D856,'Monthly Deduction'!$E$3:$F$957,2,0),0)</f>
        <v>0</v>
      </c>
      <c r="C856" s="17">
        <f t="shared" si="267"/>
        <v>0</v>
      </c>
      <c r="D856" s="41">
        <v>10610045</v>
      </c>
      <c r="E856" s="122" t="str">
        <f>VLOOKUP(D856,'MPG Payment '!$E$3:$G$497305,2,0)</f>
        <v>GOMUKH KHARIKA</v>
      </c>
      <c r="F856" s="146">
        <f>IFERROR(_xlfn.XLOOKUP(D856,'Monthly Deduction'!$I$3:$I$957,'Monthly Deduction'!$H$3:$H$957),0)</f>
        <v>0</v>
      </c>
      <c r="G856" s="123" t="str">
        <f>VLOOKUP(D856,'MPG Payment '!$E$3:$G$333666,3,0)</f>
        <v>vlc</v>
      </c>
      <c r="H856" s="124" t="str">
        <f>VLOOKUP(D856,'MPG Payment '!$E$3:$H$333666,4,0)</f>
        <v>Indirect</v>
      </c>
      <c r="I856" s="88">
        <f>INDEX('MPG Payment '!$C:$C,MATCH('Shayak Income '!D856,'MPG Payment '!E:E,0))</f>
        <v>1061</v>
      </c>
      <c r="J856" s="88" t="str">
        <f>INDEX('MPG Payment '!$D:$D,MATCH('Shayak Income '!D856,'MPG Payment '!E:E,0))</f>
        <v>Mahua BMC</v>
      </c>
      <c r="K856" s="125" t="s">
        <v>1594</v>
      </c>
      <c r="L856" s="125">
        <v>46115</v>
      </c>
      <c r="M856" s="126">
        <f>SUMIF('MPG Payment '!$E$3:$E$344841,'Shayak Income '!D856,'MPG Payment '!$I$3:$I$344841)</f>
        <v>2265.6999999999998</v>
      </c>
      <c r="N856" s="126">
        <f>SUMIF('MPG Payment '!$E$3:$E$344841,'Shayak Income '!D856,'MPG Payment '!$J$3:$J$344841)</f>
        <v>87681.390000000014</v>
      </c>
      <c r="O856" s="126">
        <f t="shared" si="268"/>
        <v>1699.2749999999999</v>
      </c>
      <c r="P856" s="126">
        <f t="shared" si="269"/>
        <v>2152.4149999999995</v>
      </c>
      <c r="Q856" s="126">
        <f>SUMIF('MPG Payment '!$E$3:$E$344841,'Shayak Income '!D856,'MPG Payment '!$S$3:$S$344841)</f>
        <v>0</v>
      </c>
      <c r="R856" s="126">
        <f t="shared" si="270"/>
        <v>2630.4417000000003</v>
      </c>
      <c r="S856" s="126">
        <f t="shared" si="271"/>
        <v>478.0267000000008</v>
      </c>
      <c r="T856" s="126">
        <f t="shared" si="291"/>
        <v>226.57</v>
      </c>
      <c r="U856" s="127">
        <f>((((((IF(K856="New",0,SUMIF('MPG Payment '!$E$3:$E$344841,'Shayak Income '!D856,'MPG Payment '!$AC$3:$AC$344841))))+0)+0)+0)+0)+0</f>
        <v>522.62914499168039</v>
      </c>
      <c r="V856" s="127">
        <f t="shared" si="292"/>
        <v>3102</v>
      </c>
      <c r="W856" s="19">
        <f t="shared" si="293"/>
        <v>0</v>
      </c>
      <c r="X856" s="19">
        <f t="shared" si="295"/>
        <v>0</v>
      </c>
      <c r="Y856" s="128">
        <f>IFERROR(VLOOKUP(D856,'Monthly Deduction'!$M$2:$N$640,2,0),0)</f>
        <v>0</v>
      </c>
      <c r="Z856" s="128">
        <v>0</v>
      </c>
      <c r="AA856" s="126">
        <f>IFERROR(VLOOKUP(D856,'Monthly Deduction'!A:B,2,0),0)</f>
        <v>0</v>
      </c>
      <c r="AB856" s="129">
        <f t="shared" si="287"/>
        <v>3102</v>
      </c>
      <c r="AC856" s="130">
        <v>0</v>
      </c>
      <c r="AD856" s="35">
        <f t="shared" si="272"/>
        <v>3102</v>
      </c>
      <c r="AE856" s="166" t="str">
        <f t="shared" si="256"/>
        <v>Release</v>
      </c>
      <c r="AF856" s="127"/>
      <c r="AG856" s="18">
        <v>0</v>
      </c>
      <c r="AH856" s="132"/>
      <c r="AI856" s="238">
        <v>0</v>
      </c>
      <c r="AJ856" s="132"/>
      <c r="AK856" s="151">
        <v>51.599999999999994</v>
      </c>
      <c r="AL856" s="154">
        <f t="shared" si="273"/>
        <v>0</v>
      </c>
      <c r="AM856" s="155"/>
      <c r="AN856" s="19">
        <f t="shared" si="288"/>
        <v>0</v>
      </c>
      <c r="AO856" s="118">
        <f>SUMIF('MPG Payment '!E:E,'Shayak Income '!D856,'MPG Payment '!AJ:AJ)</f>
        <v>0</v>
      </c>
      <c r="AP856" s="19">
        <f t="shared" si="289"/>
        <v>0</v>
      </c>
      <c r="AQ856" s="119">
        <f t="shared" si="274"/>
        <v>0</v>
      </c>
      <c r="AR856" s="91" t="s">
        <v>1144</v>
      </c>
      <c r="AS856" s="91">
        <f t="shared" si="290"/>
        <v>0</v>
      </c>
      <c r="AT856" s="118"/>
      <c r="AU856" s="118"/>
      <c r="AV856" s="118"/>
    </row>
    <row r="857" spans="1:48" s="20" customFormat="1" x14ac:dyDescent="0.25">
      <c r="A857" s="17">
        <f>IFERROR(VLOOKUP(D857,'Monthly Deduction'!$I$3:$J$957,2,0),0)</f>
        <v>0</v>
      </c>
      <c r="B857" s="17">
        <f>IFERROR(VLOOKUP(D857,'Monthly Deduction'!$E$3:$F$957,2,0),0)</f>
        <v>0</v>
      </c>
      <c r="C857" s="17">
        <f t="shared" si="267"/>
        <v>0</v>
      </c>
      <c r="D857" s="41">
        <v>10610046</v>
      </c>
      <c r="E857" s="122" t="str">
        <f>VLOOKUP(D857,'MPG Payment '!$E$3:$G$497305,2,0)</f>
        <v>GOMUKH KALYANPUR</v>
      </c>
      <c r="F857" s="146">
        <f>IFERROR(_xlfn.XLOOKUP(D857,'Monthly Deduction'!$I$3:$I$957,'Monthly Deduction'!$H$3:$H$957),0)</f>
        <v>0</v>
      </c>
      <c r="G857" s="123" t="str">
        <f>VLOOKUP(D857,'MPG Payment '!$E$3:$G$333666,3,0)</f>
        <v>vlc</v>
      </c>
      <c r="H857" s="124" t="str">
        <f>VLOOKUP(D857,'MPG Payment '!$E$3:$H$333666,4,0)</f>
        <v>Indirect</v>
      </c>
      <c r="I857" s="88">
        <f>INDEX('MPG Payment '!$C:$C,MATCH('Shayak Income '!D857,'MPG Payment '!E:E,0))</f>
        <v>1061</v>
      </c>
      <c r="J857" s="88" t="str">
        <f>INDEX('MPG Payment '!$D:$D,MATCH('Shayak Income '!D857,'MPG Payment '!E:E,0))</f>
        <v>Mahua BMC</v>
      </c>
      <c r="K857" s="125" t="s">
        <v>1594</v>
      </c>
      <c r="L857" s="125">
        <v>46115</v>
      </c>
      <c r="M857" s="126">
        <f>SUMIF('MPG Payment '!$E$3:$E$344841,'Shayak Income '!D857,'MPG Payment '!$I$3:$I$344841)</f>
        <v>228.59999999999997</v>
      </c>
      <c r="N857" s="126">
        <f>SUMIF('MPG Payment '!$E$3:$E$344841,'Shayak Income '!D857,'MPG Payment '!$J$3:$J$344841)</f>
        <v>8884.5499999999993</v>
      </c>
      <c r="O857" s="126">
        <f t="shared" si="268"/>
        <v>171.45</v>
      </c>
      <c r="P857" s="126">
        <f t="shared" si="269"/>
        <v>217.16999999999996</v>
      </c>
      <c r="Q857" s="126">
        <f>SUMIF('MPG Payment '!$E$3:$E$344841,'Shayak Income '!D857,'MPG Payment '!$S$3:$S$344841)</f>
        <v>0</v>
      </c>
      <c r="R857" s="126">
        <f t="shared" si="270"/>
        <v>266.53649999999999</v>
      </c>
      <c r="S857" s="126">
        <f t="shared" si="271"/>
        <v>49.36650000000003</v>
      </c>
      <c r="T857" s="126">
        <f t="shared" si="291"/>
        <v>22.86</v>
      </c>
      <c r="U857" s="127">
        <f>((((((IF(K857="New",0,SUMIF('MPG Payment '!$E$3:$E$344841,'Shayak Income '!D857,'MPG Payment '!$AC$3:$AC$344841))))+0)+0)+0)+0)+-531</f>
        <v>366.22100178158234</v>
      </c>
      <c r="V857" s="127">
        <f t="shared" si="292"/>
        <v>0</v>
      </c>
      <c r="W857" s="19">
        <v>0</v>
      </c>
      <c r="X857" s="19">
        <v>0</v>
      </c>
      <c r="Y857" s="128">
        <v>0</v>
      </c>
      <c r="Z857" s="128">
        <v>0</v>
      </c>
      <c r="AA857" s="126">
        <v>0</v>
      </c>
      <c r="AB857" s="129">
        <f t="shared" si="287"/>
        <v>0</v>
      </c>
      <c r="AC857" s="130">
        <f t="shared" ref="AC857:AC858" si="297">AB857</f>
        <v>0</v>
      </c>
      <c r="AD857" s="35">
        <f t="shared" si="272"/>
        <v>0</v>
      </c>
      <c r="AE857" s="166" t="str">
        <f t="shared" si="256"/>
        <v>Release</v>
      </c>
      <c r="AF857" s="127"/>
      <c r="AG857" s="18">
        <v>0</v>
      </c>
      <c r="AH857" s="132" t="s">
        <v>1597</v>
      </c>
      <c r="AI857" s="238">
        <v>0</v>
      </c>
      <c r="AJ857" s="132"/>
      <c r="AK857" s="151">
        <v>0</v>
      </c>
      <c r="AL857" s="154">
        <f t="shared" si="273"/>
        <v>0</v>
      </c>
      <c r="AM857" s="155"/>
      <c r="AN857" s="19">
        <f t="shared" si="288"/>
        <v>0</v>
      </c>
      <c r="AO857" s="118">
        <f>SUMIF('MPG Payment '!E:E,'Shayak Income '!D857,'MPG Payment '!AJ:AJ)</f>
        <v>0</v>
      </c>
      <c r="AP857" s="19">
        <f t="shared" si="289"/>
        <v>0</v>
      </c>
      <c r="AQ857" s="119">
        <f t="shared" si="274"/>
        <v>0</v>
      </c>
      <c r="AR857" s="91" t="s">
        <v>1144</v>
      </c>
      <c r="AS857" s="91">
        <f t="shared" si="290"/>
        <v>0</v>
      </c>
      <c r="AT857" s="118"/>
      <c r="AU857" s="118"/>
      <c r="AV857" s="118"/>
    </row>
    <row r="858" spans="1:48" s="20" customFormat="1" x14ac:dyDescent="0.25">
      <c r="A858" s="17">
        <f>IFERROR(VLOOKUP(D858,'Monthly Deduction'!$I$3:$J$957,2,0),0)</f>
        <v>85000</v>
      </c>
      <c r="B858" s="17">
        <f>IFERROR(VLOOKUP(D858,'Monthly Deduction'!$E$3:$F$957,2,0),0)</f>
        <v>0</v>
      </c>
      <c r="C858" s="17">
        <f t="shared" si="267"/>
        <v>85000</v>
      </c>
      <c r="D858" s="41">
        <v>10630014</v>
      </c>
      <c r="E858" s="122" t="str">
        <f>VLOOKUP(D858,'MPG Payment '!$E$3:$G$497305,2,0)</f>
        <v>Sedukha</v>
      </c>
      <c r="F858" s="146">
        <f>IFERROR(_xlfn.XLOOKUP(D858,'Monthly Deduction'!$I$3:$I$957,'Monthly Deduction'!$H$3:$H$957),0)</f>
        <v>0</v>
      </c>
      <c r="G858" s="123" t="str">
        <f>VLOOKUP(D858,'MPG Payment '!$E$3:$G$333666,3,0)</f>
        <v>MPG</v>
      </c>
      <c r="H858" s="124" t="str">
        <f>VLOOKUP(D858,'MPG Payment '!$E$3:$H$333666,4,0)</f>
        <v>Direct</v>
      </c>
      <c r="I858" s="88">
        <f>INDEX('MPG Payment '!$C:$C,MATCH('Shayak Income '!D858,'MPG Payment '!E:E,0))</f>
        <v>1063</v>
      </c>
      <c r="J858" s="88" t="str">
        <f>INDEX('MPG Payment '!$D:$D,MATCH('Shayak Income '!D858,'MPG Payment '!E:E,0))</f>
        <v>Rosera</v>
      </c>
      <c r="K858" s="125" t="s">
        <v>1594</v>
      </c>
      <c r="L858" s="125">
        <v>46115</v>
      </c>
      <c r="M858" s="126">
        <f>SUMIF('MPG Payment '!$E$3:$E$344841,'Shayak Income '!D858,'MPG Payment '!$I$3:$I$344841)</f>
        <v>1640.2</v>
      </c>
      <c r="N858" s="126">
        <f>SUMIF('MPG Payment '!$E$3:$E$344841,'Shayak Income '!D858,'MPG Payment '!$J$3:$J$344841)</f>
        <v>62747.580000000009</v>
      </c>
      <c r="O858" s="126">
        <f t="shared" si="268"/>
        <v>1230.1500000000001</v>
      </c>
      <c r="P858" s="126">
        <f t="shared" si="269"/>
        <v>1558.19</v>
      </c>
      <c r="Q858" s="126">
        <f>SUMIF('MPG Payment '!$E$3:$E$344841,'Shayak Income '!D858,'MPG Payment '!$S$3:$S$344841)</f>
        <v>301.06</v>
      </c>
      <c r="R858" s="126">
        <f t="shared" si="270"/>
        <v>1882.4274000000003</v>
      </c>
      <c r="S858" s="126">
        <f t="shared" si="271"/>
        <v>324.23740000000021</v>
      </c>
      <c r="T858" s="126">
        <f t="shared" si="291"/>
        <v>164.02</v>
      </c>
      <c r="U858" s="127">
        <f>((((((IF(K858="New",0,SUMIF('MPG Payment '!$E$3:$E$344841,'Shayak Income '!D858,'MPG Payment '!$AC$3:$AC$344841))))+0)+0)+0)+0)+0</f>
        <v>885.13783816975524</v>
      </c>
      <c r="V858" s="127">
        <f t="shared" si="292"/>
        <v>2040</v>
      </c>
      <c r="W858" s="19">
        <f t="shared" si="293"/>
        <v>1861</v>
      </c>
      <c r="X858" s="19">
        <v>0</v>
      </c>
      <c r="Y858" s="128">
        <f>IFERROR(VLOOKUP(D858,'Monthly Deduction'!$M$2:$N$640,2,0),0)</f>
        <v>0</v>
      </c>
      <c r="Z858" s="128">
        <v>0</v>
      </c>
      <c r="AA858" s="126">
        <f>IFERROR(VLOOKUP(D858,'Monthly Deduction'!A:B,2,0),0)</f>
        <v>0</v>
      </c>
      <c r="AB858" s="129">
        <f t="shared" si="287"/>
        <v>179</v>
      </c>
      <c r="AC858" s="130">
        <f t="shared" si="297"/>
        <v>179</v>
      </c>
      <c r="AD858" s="35">
        <f t="shared" si="272"/>
        <v>0</v>
      </c>
      <c r="AE858" s="166" t="str">
        <f t="shared" si="256"/>
        <v>Yes</v>
      </c>
      <c r="AF858" s="127"/>
      <c r="AG858" s="234">
        <v>0</v>
      </c>
      <c r="AH858" s="120" t="s">
        <v>1686</v>
      </c>
      <c r="AI858" s="238">
        <v>20000</v>
      </c>
      <c r="AJ858" s="132"/>
      <c r="AK858" s="151">
        <v>456.4</v>
      </c>
      <c r="AL858" s="154">
        <f t="shared" si="273"/>
        <v>0</v>
      </c>
      <c r="AM858" s="155"/>
      <c r="AN858" s="19">
        <f t="shared" si="288"/>
        <v>1861</v>
      </c>
      <c r="AO858" s="118">
        <f>SUMIF('MPG Payment '!E:E,'Shayak Income '!D858,'MPG Payment '!AJ:AJ)</f>
        <v>0</v>
      </c>
      <c r="AP858" s="19">
        <f t="shared" si="289"/>
        <v>1861</v>
      </c>
      <c r="AQ858" s="119">
        <f t="shared" si="274"/>
        <v>1861</v>
      </c>
      <c r="AR858" s="91" t="s">
        <v>1144</v>
      </c>
      <c r="AS858" s="91">
        <f t="shared" si="290"/>
        <v>0</v>
      </c>
      <c r="AT858" s="118"/>
      <c r="AU858" s="118"/>
      <c r="AV858" s="118"/>
    </row>
    <row r="859" spans="1:48" s="20" customFormat="1" x14ac:dyDescent="0.25">
      <c r="A859" s="17">
        <f>IFERROR(VLOOKUP(D859,'Monthly Deduction'!$I$3:$J$957,2,0),0)</f>
        <v>0</v>
      </c>
      <c r="B859" s="17">
        <f>IFERROR(VLOOKUP(D859,'Monthly Deduction'!$E$3:$F$957,2,0),0)</f>
        <v>0</v>
      </c>
      <c r="C859" s="17">
        <f t="shared" si="263"/>
        <v>0</v>
      </c>
      <c r="D859" s="41">
        <v>10060133</v>
      </c>
      <c r="E859" s="122" t="str">
        <f>VLOOKUP(D859,'MPG Payment '!$E$3:$G$497305,2,0)</f>
        <v>GOMUKH BOHLA</v>
      </c>
      <c r="F859" s="146">
        <f>IFERROR(_xlfn.XLOOKUP(D859,'Monthly Deduction'!$I$3:$I$957,'Monthly Deduction'!$H$3:$H$957),0)</f>
        <v>0</v>
      </c>
      <c r="G859" s="123" t="str">
        <f>VLOOKUP(D859,'MPG Payment '!$E$3:$G$333666,3,0)</f>
        <v>vlc</v>
      </c>
      <c r="H859" s="124" t="str">
        <f>VLOOKUP(D859,'MPG Payment '!$E$3:$H$333666,4,0)</f>
        <v>Indirect</v>
      </c>
      <c r="I859" s="88">
        <f>INDEX('MPG Payment '!$C:$C,MATCH('Shayak Income '!D859,'MPG Payment '!E:E,0))</f>
        <v>1006</v>
      </c>
      <c r="J859" s="88" t="str">
        <f>INDEX('MPG Payment '!$D:$D,MATCH('Shayak Income '!D859,'MPG Payment '!E:E,0))</f>
        <v>Sonvarsha</v>
      </c>
      <c r="K859" s="125" t="s">
        <v>1594</v>
      </c>
      <c r="L859" s="125">
        <v>46126</v>
      </c>
      <c r="M859" s="126">
        <f>SUMIF('MPG Payment '!$E$3:$E$344841,'Shayak Income '!D859,'MPG Payment '!$I$3:$I$344841)</f>
        <v>2251.5</v>
      </c>
      <c r="N859" s="126">
        <f>SUMIF('MPG Payment '!$E$3:$E$344841,'Shayak Income '!D859,'MPG Payment '!$J$3:$J$344841)</f>
        <v>84553.13</v>
      </c>
      <c r="O859" s="126">
        <f t="shared" si="250"/>
        <v>1688.625</v>
      </c>
      <c r="P859" s="126">
        <f t="shared" si="251"/>
        <v>2138.9249999999997</v>
      </c>
      <c r="Q859" s="126">
        <f>SUMIF('MPG Payment '!$E$3:$E$344841,'Shayak Income '!D859,'MPG Payment '!$S$3:$S$344841)</f>
        <v>0</v>
      </c>
      <c r="R859" s="126">
        <f t="shared" si="240"/>
        <v>2536.5938999999998</v>
      </c>
      <c r="S859" s="126">
        <f t="shared" si="241"/>
        <v>397.66890000000012</v>
      </c>
      <c r="T859" s="126">
        <f t="shared" si="291"/>
        <v>225.15</v>
      </c>
      <c r="U859" s="127">
        <f>((((((IF(K859="New",0,SUMIF('MPG Payment '!$E$3:$E$344841,'Shayak Income '!D859,'MPG Payment '!$AC$3:$AC$344841))))+0)+0)+0)+0)+0</f>
        <v>525.68420162614439</v>
      </c>
      <c r="V859" s="127">
        <f t="shared" si="292"/>
        <v>3077</v>
      </c>
      <c r="W859" s="19">
        <f t="shared" si="293"/>
        <v>0</v>
      </c>
      <c r="X859" s="19">
        <f t="shared" si="295"/>
        <v>0</v>
      </c>
      <c r="Y859" s="128">
        <f>IFERROR(VLOOKUP(D859,'Monthly Deduction'!$M$2:$N$640,2,0),0)</f>
        <v>0</v>
      </c>
      <c r="Z859" s="128">
        <v>0</v>
      </c>
      <c r="AA859" s="126">
        <f>IFERROR(VLOOKUP(D859,'Monthly Deduction'!A:B,2,0),0)</f>
        <v>0</v>
      </c>
      <c r="AB859" s="129">
        <f t="shared" si="287"/>
        <v>3077</v>
      </c>
      <c r="AC859" s="130">
        <v>0</v>
      </c>
      <c r="AD859" s="35">
        <f t="shared" si="264"/>
        <v>3077</v>
      </c>
      <c r="AE859" s="166" t="str">
        <f t="shared" si="256"/>
        <v>Release</v>
      </c>
      <c r="AF859" s="127"/>
      <c r="AG859" s="18">
        <v>0</v>
      </c>
      <c r="AH859" s="120"/>
      <c r="AI859" s="238">
        <v>0</v>
      </c>
      <c r="AJ859" s="132"/>
      <c r="AK859" s="151">
        <v>225.60000000000002</v>
      </c>
      <c r="AL859" s="154">
        <f t="shared" si="265"/>
        <v>0</v>
      </c>
      <c r="AM859" s="155"/>
      <c r="AN859" s="19">
        <f t="shared" si="288"/>
        <v>0</v>
      </c>
      <c r="AO859" s="118">
        <f>SUMIF('MPG Payment '!E:E,'Shayak Income '!D859,'MPG Payment '!AJ:AJ)</f>
        <v>0</v>
      </c>
      <c r="AP859" s="19">
        <f t="shared" si="289"/>
        <v>0</v>
      </c>
      <c r="AQ859" s="119">
        <f t="shared" si="266"/>
        <v>0</v>
      </c>
      <c r="AR859" s="91" t="s">
        <v>1144</v>
      </c>
      <c r="AS859" s="91">
        <f t="shared" si="290"/>
        <v>0</v>
      </c>
      <c r="AT859" s="118"/>
      <c r="AU859" s="118"/>
      <c r="AV859" s="118"/>
    </row>
    <row r="860" spans="1:48" s="20" customFormat="1" x14ac:dyDescent="0.25">
      <c r="A860" s="17">
        <f>IFERROR(VLOOKUP(D860,'Monthly Deduction'!$I$3:$J$957,2,0),0)</f>
        <v>0</v>
      </c>
      <c r="B860" s="17">
        <f>IFERROR(VLOOKUP(D860,'Monthly Deduction'!$E$3:$F$957,2,0),0)</f>
        <v>0</v>
      </c>
      <c r="C860" s="17">
        <f t="shared" si="263"/>
        <v>0</v>
      </c>
      <c r="D860" s="41">
        <v>10140204</v>
      </c>
      <c r="E860" s="122" t="str">
        <f>VLOOKUP(D860,'MPG Payment '!$E$3:$G$497305,2,0)</f>
        <v xml:space="preserve">Gomukh Arion Govind </v>
      </c>
      <c r="F860" s="146">
        <f>IFERROR(_xlfn.XLOOKUP(D860,'Monthly Deduction'!$I$3:$I$957,'Monthly Deduction'!$H$3:$H$957),0)</f>
        <v>0</v>
      </c>
      <c r="G860" s="123" t="str">
        <f>VLOOKUP(D860,'MPG Payment '!$E$3:$G$333666,3,0)</f>
        <v>vlc</v>
      </c>
      <c r="H860" s="124" t="str">
        <f>VLOOKUP(D860,'MPG Payment '!$E$3:$H$333666,4,0)</f>
        <v>Indirect</v>
      </c>
      <c r="I860" s="88">
        <f>INDEX('MPG Payment '!$C:$C,MATCH('Shayak Income '!D860,'MPG Payment '!E:E,0))</f>
        <v>1014</v>
      </c>
      <c r="J860" s="88" t="str">
        <f>INDEX('MPG Payment '!$D:$D,MATCH('Shayak Income '!D860,'MPG Payment '!E:E,0))</f>
        <v>Dumraon</v>
      </c>
      <c r="K860" s="125" t="s">
        <v>1594</v>
      </c>
      <c r="L860" s="125">
        <v>46123</v>
      </c>
      <c r="M860" s="126">
        <f>SUMIF('MPG Payment '!$E$3:$E$344841,'Shayak Income '!D860,'MPG Payment '!$I$3:$I$344841)</f>
        <v>267.89999999999998</v>
      </c>
      <c r="N860" s="126">
        <f>SUMIF('MPG Payment '!$E$3:$E$344841,'Shayak Income '!D860,'MPG Payment '!$J$3:$J$344841)</f>
        <v>11380.34</v>
      </c>
      <c r="O860" s="126">
        <f t="shared" si="250"/>
        <v>200.92499999999998</v>
      </c>
      <c r="P860" s="126">
        <f t="shared" si="251"/>
        <v>254.50499999999997</v>
      </c>
      <c r="Q860" s="126">
        <f>SUMIF('MPG Payment '!$E$3:$E$344841,'Shayak Income '!D860,'MPG Payment '!$S$3:$S$344841)</f>
        <v>0</v>
      </c>
      <c r="R860" s="126">
        <f t="shared" si="240"/>
        <v>341.41019999999997</v>
      </c>
      <c r="S860" s="126">
        <f t="shared" si="241"/>
        <v>86.905200000000008</v>
      </c>
      <c r="T860" s="126">
        <f t="shared" si="291"/>
        <v>26.79</v>
      </c>
      <c r="U860" s="127">
        <f>((((((IF(K860="New",0,SUMIF('MPG Payment '!$E$3:$E$344841,'Shayak Income '!D860,'MPG Payment '!$AC$3:$AC$344841))))+0)+0)+0)+0)+-1703</f>
        <v>429.08065722197716</v>
      </c>
      <c r="V860" s="127">
        <f t="shared" si="292"/>
        <v>0</v>
      </c>
      <c r="W860" s="19">
        <v>0</v>
      </c>
      <c r="X860" s="19">
        <v>0</v>
      </c>
      <c r="Y860" s="128">
        <v>0</v>
      </c>
      <c r="Z860" s="128">
        <v>0</v>
      </c>
      <c r="AA860" s="126">
        <v>0</v>
      </c>
      <c r="AB860" s="129">
        <f t="shared" si="287"/>
        <v>0</v>
      </c>
      <c r="AC860" s="130">
        <f>AB860</f>
        <v>0</v>
      </c>
      <c r="AD860" s="35">
        <f t="shared" si="264"/>
        <v>0</v>
      </c>
      <c r="AE860" s="166" t="str">
        <f t="shared" si="256"/>
        <v>Release</v>
      </c>
      <c r="AF860" s="127"/>
      <c r="AG860" s="18">
        <v>0</v>
      </c>
      <c r="AH860" s="132" t="s">
        <v>1597</v>
      </c>
      <c r="AI860" s="238">
        <v>0</v>
      </c>
      <c r="AJ860" s="132"/>
      <c r="AK860" s="151">
        <v>0</v>
      </c>
      <c r="AL860" s="154">
        <f t="shared" si="265"/>
        <v>0</v>
      </c>
      <c r="AM860" s="155"/>
      <c r="AN860" s="19">
        <f t="shared" si="288"/>
        <v>0</v>
      </c>
      <c r="AO860" s="118">
        <f>SUMIF('MPG Payment '!E:E,'Shayak Income '!D860,'MPG Payment '!AJ:AJ)</f>
        <v>0</v>
      </c>
      <c r="AP860" s="19">
        <f t="shared" si="289"/>
        <v>0</v>
      </c>
      <c r="AQ860" s="119">
        <f t="shared" si="266"/>
        <v>0</v>
      </c>
      <c r="AR860" s="91" t="s">
        <v>1144</v>
      </c>
      <c r="AS860" s="91">
        <f t="shared" si="290"/>
        <v>0</v>
      </c>
      <c r="AT860" s="118"/>
      <c r="AU860" s="118"/>
      <c r="AV860" s="118"/>
    </row>
    <row r="861" spans="1:48" s="20" customFormat="1" x14ac:dyDescent="0.25">
      <c r="A861" s="17">
        <f>IFERROR(VLOOKUP(D861,'Monthly Deduction'!$I$3:$J$957,2,0),0)</f>
        <v>90000</v>
      </c>
      <c r="B861" s="17">
        <f>IFERROR(VLOOKUP(D861,'Monthly Deduction'!$E$3:$F$957,2,0),0)</f>
        <v>0</v>
      </c>
      <c r="C861" s="17">
        <f t="shared" si="263"/>
        <v>90000</v>
      </c>
      <c r="D861" s="41">
        <v>10520011</v>
      </c>
      <c r="E861" s="122" t="str">
        <f>VLOOKUP(D861,'MPG Payment '!$E$3:$G$497305,2,0)</f>
        <v>Nand Kishor Kumar</v>
      </c>
      <c r="F861" s="146">
        <f>IFERROR(_xlfn.XLOOKUP(D861,'Monthly Deduction'!$I$3:$I$957,'Monthly Deduction'!$H$3:$H$957),0)</f>
        <v>0</v>
      </c>
      <c r="G861" s="123" t="str">
        <f>VLOOKUP(D861,'MPG Payment '!$E$3:$G$333666,3,0)</f>
        <v>vlc</v>
      </c>
      <c r="H861" s="124" t="str">
        <f>VLOOKUP(D861,'MPG Payment '!$E$3:$H$333666,4,0)</f>
        <v>Indirect</v>
      </c>
      <c r="I861" s="88">
        <f>INDEX('MPG Payment '!$C:$C,MATCH('Shayak Income '!D861,'MPG Payment '!E:E,0))</f>
        <v>1010</v>
      </c>
      <c r="J861" s="88" t="str">
        <f>INDEX('MPG Payment '!$D:$D,MATCH('Shayak Income '!D861,'MPG Payment '!E:E,0))</f>
        <v>Parbatta</v>
      </c>
      <c r="K861" s="125" t="s">
        <v>1594</v>
      </c>
      <c r="L861" s="125">
        <v>46124</v>
      </c>
      <c r="M861" s="126">
        <f>SUMIF('MPG Payment '!$E$3:$E$344841,'Shayak Income '!D861,'MPG Payment '!$I$3:$I$344841)</f>
        <v>52117</v>
      </c>
      <c r="N861" s="126">
        <f>SUMIF('MPG Payment '!$E$3:$E$344841,'Shayak Income '!D861,'MPG Payment '!$J$3:$J$344841)</f>
        <v>1858144.71</v>
      </c>
      <c r="O861" s="126">
        <f t="shared" si="250"/>
        <v>39087.75</v>
      </c>
      <c r="P861" s="126">
        <f t="shared" si="251"/>
        <v>49511.149999999994</v>
      </c>
      <c r="Q861" s="126">
        <f>SUMIF('MPG Payment '!$E$3:$E$344841,'Shayak Income '!D861,'MPG Payment '!$S$3:$S$344841)</f>
        <v>0</v>
      </c>
      <c r="R861" s="126">
        <f t="shared" si="240"/>
        <v>55744.3413</v>
      </c>
      <c r="S861" s="126">
        <f t="shared" si="241"/>
        <v>6233.1913000000059</v>
      </c>
      <c r="T861" s="126">
        <v>0</v>
      </c>
      <c r="U861" s="127">
        <f>((((((IF(K861="New",0,SUMIF('MPG Payment '!$E$3:$E$344841,'Shayak Income '!D861,'MPG Payment '!$AC$3:$AC$344841))))+0)+0)+0)+0)+0</f>
        <v>0</v>
      </c>
      <c r="V861" s="127">
        <f t="shared" si="292"/>
        <v>88599</v>
      </c>
      <c r="W861" s="19">
        <f t="shared" si="293"/>
        <v>37162.894200000002</v>
      </c>
      <c r="X861" s="19">
        <v>0</v>
      </c>
      <c r="Y861" s="128">
        <f>IFERROR(VLOOKUP(D861,'Monthly Deduction'!$M$2:$N$640,2,0),0)</f>
        <v>0</v>
      </c>
      <c r="Z861" s="128">
        <v>0</v>
      </c>
      <c r="AA861" s="126">
        <f>IFERROR(VLOOKUP(D861,'Monthly Deduction'!A:B,2,0),0)</f>
        <v>0</v>
      </c>
      <c r="AB861" s="129">
        <f t="shared" si="287"/>
        <v>51436</v>
      </c>
      <c r="AC861" s="130">
        <v>0</v>
      </c>
      <c r="AD861" s="35">
        <f t="shared" si="264"/>
        <v>51436</v>
      </c>
      <c r="AE861" s="166" t="str">
        <f t="shared" si="256"/>
        <v>Release</v>
      </c>
      <c r="AF861" s="127"/>
      <c r="AG861" s="18">
        <v>0</v>
      </c>
      <c r="AH861" s="120"/>
      <c r="AI861" s="238">
        <v>0</v>
      </c>
      <c r="AJ861" s="132"/>
      <c r="AK861" s="151">
        <v>19544</v>
      </c>
      <c r="AL861" s="154">
        <f t="shared" si="265"/>
        <v>0</v>
      </c>
      <c r="AM861" s="155"/>
      <c r="AN861" s="19">
        <f t="shared" si="288"/>
        <v>37162.894200000002</v>
      </c>
      <c r="AO861" s="118">
        <f>SUMIF('MPG Payment '!E:E,'Shayak Income '!D861,'MPG Payment '!AJ:AJ)</f>
        <v>0</v>
      </c>
      <c r="AP861" s="19">
        <f t="shared" si="289"/>
        <v>37162.894200000002</v>
      </c>
      <c r="AQ861" s="119">
        <f t="shared" si="266"/>
        <v>37162.894200000002</v>
      </c>
      <c r="AR861" s="91" t="s">
        <v>1144</v>
      </c>
      <c r="AS861" s="91">
        <f t="shared" si="290"/>
        <v>0</v>
      </c>
      <c r="AT861" s="118"/>
      <c r="AU861" s="118"/>
      <c r="AV861" s="118"/>
    </row>
    <row r="862" spans="1:48" s="20" customFormat="1" x14ac:dyDescent="0.25">
      <c r="A862" s="17">
        <f>IFERROR(VLOOKUP(D862,'Monthly Deduction'!$I$3:$J$957,2,0),0)</f>
        <v>0</v>
      </c>
      <c r="B862" s="17">
        <f>IFERROR(VLOOKUP(D862,'Monthly Deduction'!$E$3:$F$957,2,0),0)</f>
        <v>0</v>
      </c>
      <c r="C862" s="17">
        <f t="shared" si="263"/>
        <v>0</v>
      </c>
      <c r="D862" s="41">
        <v>10550009</v>
      </c>
      <c r="E862" s="122" t="str">
        <f>VLOOKUP(D862,'MPG Payment '!$E$3:$G$497305,2,0)</f>
        <v>Chak</v>
      </c>
      <c r="F862" s="146">
        <f>IFERROR(_xlfn.XLOOKUP(D862,'Monthly Deduction'!$I$3:$I$957,'Monthly Deduction'!$H$3:$H$957),0)</f>
        <v>0</v>
      </c>
      <c r="G862" s="123" t="str">
        <f>VLOOKUP(D862,'MPG Payment '!$E$3:$G$333666,3,0)</f>
        <v>vlc</v>
      </c>
      <c r="H862" s="124" t="str">
        <f>VLOOKUP(D862,'MPG Payment '!$E$3:$H$333666,4,0)</f>
        <v>Indirect</v>
      </c>
      <c r="I862" s="88">
        <f>INDEX('MPG Payment '!$C:$C,MATCH('Shayak Income '!D862,'MPG Payment '!E:E,0))</f>
        <v>1055</v>
      </c>
      <c r="J862" s="88" t="str">
        <f>INDEX('MPG Payment '!$D:$D,MATCH('Shayak Income '!D862,'MPG Payment '!E:E,0))</f>
        <v>Matihani</v>
      </c>
      <c r="K862" s="125" t="s">
        <v>1594</v>
      </c>
      <c r="L862" s="125">
        <v>46122</v>
      </c>
      <c r="M862" s="126">
        <f>SUMIF('MPG Payment '!$E$3:$E$344841,'Shayak Income '!D862,'MPG Payment '!$I$3:$I$344841)</f>
        <v>5303</v>
      </c>
      <c r="N862" s="126">
        <f>SUMIF('MPG Payment '!$E$3:$E$344841,'Shayak Income '!D862,'MPG Payment '!$J$3:$J$344841)</f>
        <v>205392.41999999998</v>
      </c>
      <c r="O862" s="126">
        <f t="shared" si="250"/>
        <v>3977.25</v>
      </c>
      <c r="P862" s="126">
        <f t="shared" si="251"/>
        <v>5037.8499999999995</v>
      </c>
      <c r="Q862" s="126">
        <f>SUMIF('MPG Payment '!$E$3:$E$344841,'Shayak Income '!D862,'MPG Payment '!$S$3:$S$344841)</f>
        <v>0</v>
      </c>
      <c r="R862" s="126">
        <f t="shared" si="240"/>
        <v>6161.7725999999993</v>
      </c>
      <c r="S862" s="126">
        <f t="shared" si="241"/>
        <v>1123.9225999999999</v>
      </c>
      <c r="T862" s="126">
        <f t="shared" si="291"/>
        <v>530.30000000000007</v>
      </c>
      <c r="U862" s="127">
        <f>((((((IF(K862="New",0,SUMIF('MPG Payment '!$E$3:$E$344841,'Shayak Income '!D862,'MPG Payment '!$AC$3:$AC$344841))))+0)+0)+0)+0)+0</f>
        <v>134.60609874381427</v>
      </c>
      <c r="V862" s="127">
        <f t="shared" si="292"/>
        <v>8350</v>
      </c>
      <c r="W862" s="19">
        <f t="shared" si="293"/>
        <v>0</v>
      </c>
      <c r="X862" s="19">
        <f t="shared" si="295"/>
        <v>0</v>
      </c>
      <c r="Y862" s="128">
        <f>IFERROR(VLOOKUP(D862,'Monthly Deduction'!$M$2:$N$640,2,0),0)</f>
        <v>0</v>
      </c>
      <c r="Z862" s="128">
        <v>0</v>
      </c>
      <c r="AA862" s="126">
        <f>IFERROR(VLOOKUP(D862,'Monthly Deduction'!A:B,2,0),0)</f>
        <v>0</v>
      </c>
      <c r="AB862" s="129">
        <f t="shared" si="287"/>
        <v>8350</v>
      </c>
      <c r="AC862" s="130">
        <v>0</v>
      </c>
      <c r="AD862" s="35">
        <f t="shared" si="264"/>
        <v>8350</v>
      </c>
      <c r="AE862" s="166" t="str">
        <f t="shared" si="256"/>
        <v>Release</v>
      </c>
      <c r="AF862" s="127"/>
      <c r="AG862" s="18">
        <v>0</v>
      </c>
      <c r="AH862" s="120"/>
      <c r="AI862" s="238">
        <v>0</v>
      </c>
      <c r="AJ862" s="132"/>
      <c r="AK862" s="151">
        <v>441</v>
      </c>
      <c r="AL862" s="154">
        <f t="shared" si="265"/>
        <v>0</v>
      </c>
      <c r="AM862" s="155"/>
      <c r="AN862" s="19">
        <f t="shared" si="288"/>
        <v>0</v>
      </c>
      <c r="AO862" s="118">
        <f>SUMIF('MPG Payment '!E:E,'Shayak Income '!D862,'MPG Payment '!AJ:AJ)</f>
        <v>0</v>
      </c>
      <c r="AP862" s="19">
        <f t="shared" si="289"/>
        <v>0</v>
      </c>
      <c r="AQ862" s="119">
        <f t="shared" si="266"/>
        <v>0</v>
      </c>
      <c r="AR862" s="91" t="s">
        <v>1144</v>
      </c>
      <c r="AS862" s="91">
        <f t="shared" si="290"/>
        <v>0</v>
      </c>
      <c r="AT862" s="118"/>
      <c r="AU862" s="118"/>
      <c r="AV862" s="118"/>
    </row>
    <row r="863" spans="1:48" s="20" customFormat="1" x14ac:dyDescent="0.25">
      <c r="A863" s="17">
        <f>IFERROR(VLOOKUP(D863,'Monthly Deduction'!$I$3:$J$957,2,0),0)</f>
        <v>0</v>
      </c>
      <c r="B863" s="17">
        <f>IFERROR(VLOOKUP(D863,'Monthly Deduction'!$E$3:$F$957,2,0),0)</f>
        <v>0</v>
      </c>
      <c r="C863" s="17">
        <f t="shared" ref="C863:C883" si="298">A863+B863</f>
        <v>0</v>
      </c>
      <c r="D863" s="41">
        <v>10570058</v>
      </c>
      <c r="E863" s="122" t="str">
        <f>VLOOKUP(D863,'MPG Payment '!$E$3:$G$497305,2,0)</f>
        <v>Babupur</v>
      </c>
      <c r="F863" s="146">
        <f>IFERROR(_xlfn.XLOOKUP(D863,'Monthly Deduction'!$I$3:$I$957,'Monthly Deduction'!$H$3:$H$957),0)</f>
        <v>0</v>
      </c>
      <c r="G863" s="123" t="str">
        <f>VLOOKUP(D863,'MPG Payment '!$E$3:$G$333666,3,0)</f>
        <v>vlc</v>
      </c>
      <c r="H863" s="124" t="str">
        <f>VLOOKUP(D863,'MPG Payment '!$E$3:$H$333666,4,0)</f>
        <v>Indirect</v>
      </c>
      <c r="I863" s="88">
        <f>INDEX('MPG Payment '!$C:$C,MATCH('Shayak Income '!D863,'MPG Payment '!E:E,0))</f>
        <v>1057</v>
      </c>
      <c r="J863" s="88" t="str">
        <f>INDEX('MPG Payment '!$D:$D,MATCH('Shayak Income '!D863,'MPG Payment '!E:E,0))</f>
        <v>Warisnagar</v>
      </c>
      <c r="K863" s="125" t="s">
        <v>1594</v>
      </c>
      <c r="L863" s="125">
        <v>46122</v>
      </c>
      <c r="M863" s="126">
        <f>SUMIF('MPG Payment '!$E$3:$E$344841,'Shayak Income '!D863,'MPG Payment '!$I$3:$I$344841)</f>
        <v>4171.6000000000004</v>
      </c>
      <c r="N863" s="126">
        <f>SUMIF('MPG Payment '!$E$3:$E$344841,'Shayak Income '!D863,'MPG Payment '!$J$3:$J$344841)</f>
        <v>157263.02000000002</v>
      </c>
      <c r="O863" s="126">
        <f t="shared" ref="O863:O883" si="299">+M863*0.75</f>
        <v>3128.7000000000003</v>
      </c>
      <c r="P863" s="126">
        <f t="shared" ref="P863:P883" si="300">+M863*0.95</f>
        <v>3963.02</v>
      </c>
      <c r="Q863" s="126">
        <f>SUMIF('MPG Payment '!$E$3:$E$344841,'Shayak Income '!D863,'MPG Payment '!$S$3:$S$344841)</f>
        <v>0</v>
      </c>
      <c r="R863" s="126">
        <f t="shared" ref="R863:R883" si="301">+N863*3%</f>
        <v>4717.8906000000006</v>
      </c>
      <c r="S863" s="126">
        <f t="shared" ref="S863:S883" si="302">R863-P863</f>
        <v>754.87060000000065</v>
      </c>
      <c r="T863" s="126">
        <f t="shared" si="291"/>
        <v>417.16000000000008</v>
      </c>
      <c r="U863" s="127">
        <f>((((((IF(K863="New",0,SUMIF('MPG Payment '!$E$3:$E$344841,'Shayak Income '!D863,'MPG Payment '!$AC$3:$AC$344841))))+0)+0)+0)+0)+0</f>
        <v>112.88792447296056</v>
      </c>
      <c r="V863" s="127">
        <f t="shared" si="292"/>
        <v>6562</v>
      </c>
      <c r="W863" s="19">
        <f t="shared" si="293"/>
        <v>0</v>
      </c>
      <c r="X863" s="19">
        <f t="shared" si="295"/>
        <v>0</v>
      </c>
      <c r="Y863" s="128">
        <f>IFERROR(VLOOKUP(D863,'Monthly Deduction'!$M$2:$N$640,2,0),0)</f>
        <v>0</v>
      </c>
      <c r="Z863" s="128">
        <v>0</v>
      </c>
      <c r="AA863" s="126">
        <f>IFERROR(VLOOKUP(D863,'Monthly Deduction'!A:B,2,0),0)</f>
        <v>0</v>
      </c>
      <c r="AB863" s="129">
        <f t="shared" si="287"/>
        <v>6562</v>
      </c>
      <c r="AC863" s="130">
        <v>0</v>
      </c>
      <c r="AD863" s="35">
        <f t="shared" ref="AD863:AD883" si="303">ROUND(AB863-AC863,0)</f>
        <v>6562</v>
      </c>
      <c r="AE863" s="166" t="str">
        <f t="shared" ref="AE863:AE883" si="304">IF(AC863&lt;&gt;0,"Yes","Release")</f>
        <v>Release</v>
      </c>
      <c r="AF863" s="127"/>
      <c r="AG863" s="18">
        <v>0</v>
      </c>
      <c r="AH863" s="132"/>
      <c r="AI863" s="238">
        <v>0</v>
      </c>
      <c r="AJ863" s="132"/>
      <c r="AK863" s="151">
        <v>335.4</v>
      </c>
      <c r="AL863" s="154">
        <f t="shared" ref="AL863:AL883" si="305">COUNTIF(AK863:AK863,"=NA")</f>
        <v>0</v>
      </c>
      <c r="AM863" s="155"/>
      <c r="AN863" s="19">
        <f t="shared" si="288"/>
        <v>0</v>
      </c>
      <c r="AO863" s="118">
        <f>SUMIF('MPG Payment '!E:E,'Shayak Income '!D863,'MPG Payment '!AJ:AJ)</f>
        <v>0</v>
      </c>
      <c r="AP863" s="19">
        <f t="shared" si="289"/>
        <v>0</v>
      </c>
      <c r="AQ863" s="119">
        <f t="shared" ref="AQ863:AQ883" si="306">AO863+AP863</f>
        <v>0</v>
      </c>
      <c r="AR863" s="91" t="s">
        <v>1144</v>
      </c>
      <c r="AS863" s="91">
        <f t="shared" si="290"/>
        <v>0</v>
      </c>
      <c r="AT863" s="118"/>
      <c r="AU863" s="118"/>
      <c r="AV863" s="118"/>
    </row>
    <row r="864" spans="1:48" s="20" customFormat="1" x14ac:dyDescent="0.25">
      <c r="A864" s="17">
        <f>IFERROR(VLOOKUP(D864,'Monthly Deduction'!$I$3:$J$957,2,0),0)</f>
        <v>0</v>
      </c>
      <c r="B864" s="17">
        <f>IFERROR(VLOOKUP(D864,'Monthly Deduction'!$E$3:$F$957,2,0),0)</f>
        <v>0</v>
      </c>
      <c r="C864" s="17">
        <f t="shared" si="298"/>
        <v>0</v>
      </c>
      <c r="D864" s="41">
        <v>10570059</v>
      </c>
      <c r="E864" s="122" t="str">
        <f>VLOOKUP(D864,'MPG Payment '!$E$3:$G$497305,2,0)</f>
        <v>Rahua 2</v>
      </c>
      <c r="F864" s="146">
        <f>IFERROR(_xlfn.XLOOKUP(D864,'Monthly Deduction'!$I$3:$I$957,'Monthly Deduction'!$H$3:$H$957),0)</f>
        <v>0</v>
      </c>
      <c r="G864" s="123" t="str">
        <f>VLOOKUP(D864,'MPG Payment '!$E$3:$G$333666,3,0)</f>
        <v>vlc</v>
      </c>
      <c r="H864" s="124" t="str">
        <f>VLOOKUP(D864,'MPG Payment '!$E$3:$H$333666,4,0)</f>
        <v>Indirect</v>
      </c>
      <c r="I864" s="88">
        <f>INDEX('MPG Payment '!$C:$C,MATCH('Shayak Income '!D864,'MPG Payment '!E:E,0))</f>
        <v>1057</v>
      </c>
      <c r="J864" s="88" t="str">
        <f>INDEX('MPG Payment '!$D:$D,MATCH('Shayak Income '!D864,'MPG Payment '!E:E,0))</f>
        <v>Warisnagar</v>
      </c>
      <c r="K864" s="125" t="s">
        <v>1594</v>
      </c>
      <c r="L864" s="125">
        <v>46122</v>
      </c>
      <c r="M864" s="126">
        <f>SUMIF('MPG Payment '!$E$3:$E$344841,'Shayak Income '!D864,'MPG Payment '!$I$3:$I$344841)</f>
        <v>6190.6</v>
      </c>
      <c r="N864" s="126">
        <f>SUMIF('MPG Payment '!$E$3:$E$344841,'Shayak Income '!D864,'MPG Payment '!$J$3:$J$344841)</f>
        <v>269042.20999999996</v>
      </c>
      <c r="O864" s="126">
        <f t="shared" si="299"/>
        <v>4642.9500000000007</v>
      </c>
      <c r="P864" s="126">
        <f t="shared" si="300"/>
        <v>5881.07</v>
      </c>
      <c r="Q864" s="126">
        <f>SUMIF('MPG Payment '!$E$3:$E$344841,'Shayak Income '!D864,'MPG Payment '!$S$3:$S$344841)</f>
        <v>0</v>
      </c>
      <c r="R864" s="126">
        <f t="shared" si="301"/>
        <v>8071.2662999999984</v>
      </c>
      <c r="S864" s="126">
        <f t="shared" si="302"/>
        <v>2190.1962999999987</v>
      </c>
      <c r="T864" s="126">
        <f t="shared" si="291"/>
        <v>619.06000000000006</v>
      </c>
      <c r="U864" s="127">
        <f>((((((IF(K864="New",0,SUMIF('MPG Payment '!$E$3:$E$344841,'Shayak Income '!D864,'MPG Payment '!$AC$3:$AC$344841))))+0)+0)+0)+0)+0</f>
        <v>0</v>
      </c>
      <c r="V864" s="127">
        <f t="shared" si="292"/>
        <v>9905</v>
      </c>
      <c r="W864" s="19">
        <f t="shared" si="293"/>
        <v>0</v>
      </c>
      <c r="X864" s="19">
        <f t="shared" si="295"/>
        <v>0</v>
      </c>
      <c r="Y864" s="128">
        <f>IFERROR(VLOOKUP(D864,'Monthly Deduction'!$M$2:$N$640,2,0),0)</f>
        <v>0</v>
      </c>
      <c r="Z864" s="128">
        <v>0</v>
      </c>
      <c r="AA864" s="126">
        <f>IFERROR(VLOOKUP(D864,'Monthly Deduction'!A:B,2,0),0)</f>
        <v>0</v>
      </c>
      <c r="AB864" s="129">
        <f t="shared" si="287"/>
        <v>9905</v>
      </c>
      <c r="AC864" s="130">
        <v>0</v>
      </c>
      <c r="AD864" s="35">
        <f t="shared" si="303"/>
        <v>9905</v>
      </c>
      <c r="AE864" s="166" t="str">
        <f t="shared" si="304"/>
        <v>Release</v>
      </c>
      <c r="AF864" s="127"/>
      <c r="AG864" s="18">
        <v>0</v>
      </c>
      <c r="AH864" s="120"/>
      <c r="AI864" s="238">
        <v>0</v>
      </c>
      <c r="AJ864" s="132"/>
      <c r="AK864" s="151">
        <v>1148.9000000000001</v>
      </c>
      <c r="AL864" s="154">
        <f t="shared" si="305"/>
        <v>0</v>
      </c>
      <c r="AM864" s="155"/>
      <c r="AN864" s="19">
        <f t="shared" si="288"/>
        <v>0</v>
      </c>
      <c r="AO864" s="118">
        <f>SUMIF('MPG Payment '!E:E,'Shayak Income '!D864,'MPG Payment '!AJ:AJ)</f>
        <v>0</v>
      </c>
      <c r="AP864" s="19">
        <f t="shared" si="289"/>
        <v>0</v>
      </c>
      <c r="AQ864" s="119">
        <f t="shared" si="306"/>
        <v>0</v>
      </c>
      <c r="AR864" s="91" t="s">
        <v>1144</v>
      </c>
      <c r="AS864" s="91">
        <f t="shared" si="290"/>
        <v>0</v>
      </c>
      <c r="AT864" s="118"/>
      <c r="AU864" s="118"/>
      <c r="AV864" s="118"/>
    </row>
    <row r="865" spans="1:48" s="20" customFormat="1" x14ac:dyDescent="0.25">
      <c r="A865" s="17">
        <f>IFERROR(VLOOKUP(D865,'Monthly Deduction'!$I$3:$J$957,2,0),0)</f>
        <v>0</v>
      </c>
      <c r="B865" s="17">
        <f>IFERROR(VLOOKUP(D865,'Monthly Deduction'!$E$3:$F$957,2,0),0)</f>
        <v>0</v>
      </c>
      <c r="C865" s="17">
        <f t="shared" si="298"/>
        <v>0</v>
      </c>
      <c r="D865" s="41">
        <v>10570060</v>
      </c>
      <c r="E865" s="122" t="str">
        <f>VLOOKUP(D865,'MPG Payment '!$E$3:$G$497305,2,0)</f>
        <v>Madhopur</v>
      </c>
      <c r="F865" s="146">
        <f>IFERROR(_xlfn.XLOOKUP(D865,'Monthly Deduction'!$I$3:$I$957,'Monthly Deduction'!$H$3:$H$957),0)</f>
        <v>0</v>
      </c>
      <c r="G865" s="123" t="str">
        <f>VLOOKUP(D865,'MPG Payment '!$E$3:$G$333666,3,0)</f>
        <v>vlc</v>
      </c>
      <c r="H865" s="124" t="str">
        <f>VLOOKUP(D865,'MPG Payment '!$E$3:$H$333666,4,0)</f>
        <v>Indirect</v>
      </c>
      <c r="I865" s="88">
        <f>INDEX('MPG Payment '!$C:$C,MATCH('Shayak Income '!D865,'MPG Payment '!E:E,0))</f>
        <v>1057</v>
      </c>
      <c r="J865" s="88" t="str">
        <f>INDEX('MPG Payment '!$D:$D,MATCH('Shayak Income '!D865,'MPG Payment '!E:E,0))</f>
        <v>Warisnagar</v>
      </c>
      <c r="K865" s="125" t="s">
        <v>1594</v>
      </c>
      <c r="L865" s="125">
        <v>46122</v>
      </c>
      <c r="M865" s="126">
        <f>SUMIF('MPG Payment '!$E$3:$E$344841,'Shayak Income '!D865,'MPG Payment '!$I$3:$I$344841)</f>
        <v>1983.9</v>
      </c>
      <c r="N865" s="126">
        <f>SUMIF('MPG Payment '!$E$3:$E$344841,'Shayak Income '!D865,'MPG Payment '!$J$3:$J$344841)</f>
        <v>86701.94</v>
      </c>
      <c r="O865" s="126">
        <f t="shared" si="299"/>
        <v>1487.9250000000002</v>
      </c>
      <c r="P865" s="126">
        <f t="shared" si="300"/>
        <v>1884.7049999999999</v>
      </c>
      <c r="Q865" s="126">
        <f>SUMIF('MPG Payment '!$E$3:$E$344841,'Shayak Income '!D865,'MPG Payment '!$S$3:$S$344841)</f>
        <v>0</v>
      </c>
      <c r="R865" s="126">
        <f t="shared" si="301"/>
        <v>2601.0581999999999</v>
      </c>
      <c r="S865" s="126">
        <f t="shared" si="302"/>
        <v>716.35320000000002</v>
      </c>
      <c r="T865" s="126">
        <f t="shared" si="291"/>
        <v>198.39000000000001</v>
      </c>
      <c r="U865" s="127">
        <f>((((((IF(K865="New",0,SUMIF('MPG Payment '!$E$3:$E$344841,'Shayak Income '!D865,'MPG Payment '!$AC$3:$AC$344841))))+0)+0)+0)+0)+0</f>
        <v>719.8074661247274</v>
      </c>
      <c r="V865" s="127">
        <f t="shared" si="292"/>
        <v>2454</v>
      </c>
      <c r="W865" s="19">
        <f t="shared" si="293"/>
        <v>0</v>
      </c>
      <c r="X865" s="19">
        <f t="shared" si="295"/>
        <v>0</v>
      </c>
      <c r="Y865" s="128">
        <f>IFERROR(VLOOKUP(D865,'Monthly Deduction'!$M$2:$N$640,2,0),0)</f>
        <v>0</v>
      </c>
      <c r="Z865" s="128">
        <v>0</v>
      </c>
      <c r="AA865" s="126">
        <f>IFERROR(VLOOKUP(D865,'Monthly Deduction'!A:B,2,0),0)</f>
        <v>0</v>
      </c>
      <c r="AB865" s="129">
        <f t="shared" si="287"/>
        <v>2454</v>
      </c>
      <c r="AC865" s="130">
        <v>0</v>
      </c>
      <c r="AD865" s="35">
        <f t="shared" si="303"/>
        <v>2454</v>
      </c>
      <c r="AE865" s="166" t="str">
        <f t="shared" si="304"/>
        <v>Release</v>
      </c>
      <c r="AF865" s="127"/>
      <c r="AG865" s="18">
        <v>0</v>
      </c>
      <c r="AH865" s="132"/>
      <c r="AI865" s="238">
        <v>0</v>
      </c>
      <c r="AJ865" s="132"/>
      <c r="AK865" s="151">
        <v>172.3</v>
      </c>
      <c r="AL865" s="154">
        <f t="shared" si="305"/>
        <v>0</v>
      </c>
      <c r="AM865" s="155"/>
      <c r="AN865" s="19">
        <f t="shared" si="288"/>
        <v>0</v>
      </c>
      <c r="AO865" s="118">
        <f>SUMIF('MPG Payment '!E:E,'Shayak Income '!D865,'MPG Payment '!AJ:AJ)</f>
        <v>0</v>
      </c>
      <c r="AP865" s="19">
        <f t="shared" si="289"/>
        <v>0</v>
      </c>
      <c r="AQ865" s="119">
        <f t="shared" si="306"/>
        <v>0</v>
      </c>
      <c r="AR865" s="91" t="s">
        <v>1144</v>
      </c>
      <c r="AS865" s="91">
        <f t="shared" si="290"/>
        <v>0</v>
      </c>
      <c r="AT865" s="118"/>
      <c r="AU865" s="118"/>
      <c r="AV865" s="118"/>
    </row>
    <row r="866" spans="1:48" s="20" customFormat="1" x14ac:dyDescent="0.25">
      <c r="A866" s="17">
        <f>IFERROR(VLOOKUP(D866,'Monthly Deduction'!$I$3:$J$957,2,0),0)</f>
        <v>0</v>
      </c>
      <c r="B866" s="17">
        <f>IFERROR(VLOOKUP(D866,'Monthly Deduction'!$E$3:$F$957,2,0),0)</f>
        <v>0</v>
      </c>
      <c r="C866" s="17">
        <f t="shared" si="298"/>
        <v>0</v>
      </c>
      <c r="D866" s="41">
        <v>10590016</v>
      </c>
      <c r="E866" s="122" t="str">
        <f>VLOOKUP(D866,'MPG Payment '!$E$3:$G$497305,2,0)</f>
        <v>GOMUKH DAND</v>
      </c>
      <c r="F866" s="146">
        <f>IFERROR(_xlfn.XLOOKUP(D866,'Monthly Deduction'!$I$3:$I$957,'Monthly Deduction'!$H$3:$H$957),0)</f>
        <v>0</v>
      </c>
      <c r="G866" s="123" t="str">
        <f>VLOOKUP(D866,'MPG Payment '!$E$3:$G$333666,3,0)</f>
        <v>vlc</v>
      </c>
      <c r="H866" s="124" t="str">
        <f>VLOOKUP(D866,'MPG Payment '!$E$3:$H$333666,4,0)</f>
        <v>Indirect</v>
      </c>
      <c r="I866" s="88">
        <f>INDEX('MPG Payment '!$C:$C,MATCH('Shayak Income '!D866,'MPG Payment '!E:E,0))</f>
        <v>1059</v>
      </c>
      <c r="J866" s="88" t="str">
        <f>INDEX('MPG Payment '!$D:$D,MATCH('Shayak Income '!D866,'MPG Payment '!E:E,0))</f>
        <v>Gopalpur Bmc</v>
      </c>
      <c r="K866" s="125" t="s">
        <v>1594</v>
      </c>
      <c r="L866" s="125">
        <v>46126</v>
      </c>
      <c r="M866" s="126">
        <f>SUMIF('MPG Payment '!$E$3:$E$344841,'Shayak Income '!D866,'MPG Payment '!$I$3:$I$344841)</f>
        <v>1568.6</v>
      </c>
      <c r="N866" s="126">
        <f>SUMIF('MPG Payment '!$E$3:$E$344841,'Shayak Income '!D866,'MPG Payment '!$J$3:$J$344841)</f>
        <v>80210.81</v>
      </c>
      <c r="O866" s="126">
        <f t="shared" si="299"/>
        <v>1176.4499999999998</v>
      </c>
      <c r="P866" s="126">
        <f t="shared" si="300"/>
        <v>1490.1699999999998</v>
      </c>
      <c r="Q866" s="126">
        <f>SUMIF('MPG Payment '!$E$3:$E$344841,'Shayak Income '!D866,'MPG Payment '!$S$3:$S$344841)</f>
        <v>0</v>
      </c>
      <c r="R866" s="126">
        <f t="shared" si="301"/>
        <v>2406.3242999999998</v>
      </c>
      <c r="S866" s="126">
        <f t="shared" si="302"/>
        <v>916.15429999999992</v>
      </c>
      <c r="T866" s="126">
        <f t="shared" si="291"/>
        <v>156.86000000000001</v>
      </c>
      <c r="U866" s="127">
        <f>((((((IF(K866="New",0,SUMIF('MPG Payment '!$E$3:$E$344841,'Shayak Income '!D866,'MPG Payment '!$AC$3:$AC$344841))))+0)+0)+0)+0)+0</f>
        <v>1267.6368176933756</v>
      </c>
      <c r="V866" s="127">
        <f t="shared" si="292"/>
        <v>1242</v>
      </c>
      <c r="W866" s="19">
        <f t="shared" si="293"/>
        <v>0</v>
      </c>
      <c r="X866" s="19">
        <f t="shared" si="295"/>
        <v>0</v>
      </c>
      <c r="Y866" s="128">
        <f>IFERROR(VLOOKUP(D866,'Monthly Deduction'!$M$2:$N$640,2,0),0)</f>
        <v>0</v>
      </c>
      <c r="Z866" s="128">
        <v>0</v>
      </c>
      <c r="AA866" s="126">
        <f>IFERROR(VLOOKUP(D866,'Monthly Deduction'!A:B,2,0),0)</f>
        <v>0</v>
      </c>
      <c r="AB866" s="129">
        <f t="shared" si="287"/>
        <v>1242</v>
      </c>
      <c r="AC866" s="130">
        <v>0</v>
      </c>
      <c r="AD866" s="35">
        <f t="shared" si="303"/>
        <v>1242</v>
      </c>
      <c r="AE866" s="166" t="str">
        <f t="shared" si="304"/>
        <v>Release</v>
      </c>
      <c r="AF866" s="127"/>
      <c r="AG866" s="18">
        <v>0</v>
      </c>
      <c r="AH866" s="132"/>
      <c r="AI866" s="238">
        <v>0</v>
      </c>
      <c r="AJ866" s="132"/>
      <c r="AK866" s="151">
        <v>326.3</v>
      </c>
      <c r="AL866" s="154">
        <f t="shared" si="305"/>
        <v>0</v>
      </c>
      <c r="AM866" s="155"/>
      <c r="AN866" s="19">
        <f t="shared" si="288"/>
        <v>0</v>
      </c>
      <c r="AO866" s="118">
        <f>SUMIF('MPG Payment '!E:E,'Shayak Income '!D866,'MPG Payment '!AJ:AJ)</f>
        <v>0</v>
      </c>
      <c r="AP866" s="19">
        <f t="shared" si="289"/>
        <v>0</v>
      </c>
      <c r="AQ866" s="119">
        <f t="shared" si="306"/>
        <v>0</v>
      </c>
      <c r="AR866" s="91" t="s">
        <v>1144</v>
      </c>
      <c r="AS866" s="91">
        <f t="shared" si="290"/>
        <v>0</v>
      </c>
      <c r="AT866" s="118"/>
      <c r="AU866" s="118"/>
      <c r="AV866" s="118"/>
    </row>
    <row r="867" spans="1:48" s="20" customFormat="1" x14ac:dyDescent="0.25">
      <c r="A867" s="17">
        <f>IFERROR(VLOOKUP(D867,'Monthly Deduction'!$I$3:$J$957,2,0),0)</f>
        <v>0</v>
      </c>
      <c r="B867" s="17">
        <f>IFERROR(VLOOKUP(D867,'Monthly Deduction'!$E$3:$F$957,2,0),0)</f>
        <v>0</v>
      </c>
      <c r="C867" s="17">
        <f t="shared" si="298"/>
        <v>0</v>
      </c>
      <c r="D867" s="41">
        <v>10630018</v>
      </c>
      <c r="E867" s="122" t="str">
        <f>VLOOKUP(D867,'MPG Payment '!$E$3:$G$497305,2,0)</f>
        <v>Durgaashtan 2</v>
      </c>
      <c r="F867" s="146">
        <f>IFERROR(_xlfn.XLOOKUP(D867,'Monthly Deduction'!$I$3:$I$957,'Monthly Deduction'!$H$3:$H$957),0)</f>
        <v>0</v>
      </c>
      <c r="G867" s="123" t="str">
        <f>VLOOKUP(D867,'MPG Payment '!$E$3:$G$333666,3,0)</f>
        <v>vlc</v>
      </c>
      <c r="H867" s="124" t="str">
        <f>VLOOKUP(D867,'MPG Payment '!$E$3:$H$333666,4,0)</f>
        <v>Indirect</v>
      </c>
      <c r="I867" s="88">
        <f>INDEX('MPG Payment '!$C:$C,MATCH('Shayak Income '!D867,'MPG Payment '!E:E,0))</f>
        <v>1063</v>
      </c>
      <c r="J867" s="88" t="str">
        <f>INDEX('MPG Payment '!$D:$D,MATCH('Shayak Income '!D867,'MPG Payment '!E:E,0))</f>
        <v>Rosera</v>
      </c>
      <c r="K867" s="125" t="s">
        <v>1594</v>
      </c>
      <c r="L867" s="125">
        <v>46123</v>
      </c>
      <c r="M867" s="126">
        <f>SUMIF('MPG Payment '!$E$3:$E$344841,'Shayak Income '!D867,'MPG Payment '!$I$3:$I$344841)</f>
        <v>4782.7</v>
      </c>
      <c r="N867" s="126">
        <f>SUMIF('MPG Payment '!$E$3:$E$344841,'Shayak Income '!D867,'MPG Payment '!$J$3:$J$344841)</f>
        <v>179290.21000000002</v>
      </c>
      <c r="O867" s="126">
        <f t="shared" si="299"/>
        <v>3587.0249999999996</v>
      </c>
      <c r="P867" s="126">
        <f t="shared" si="300"/>
        <v>4543.5649999999996</v>
      </c>
      <c r="Q867" s="126">
        <f>SUMIF('MPG Payment '!$E$3:$E$344841,'Shayak Income '!D867,'MPG Payment '!$S$3:$S$344841)</f>
        <v>0</v>
      </c>
      <c r="R867" s="126">
        <f t="shared" si="301"/>
        <v>5378.7063000000007</v>
      </c>
      <c r="S867" s="126">
        <f t="shared" si="302"/>
        <v>835.14130000000114</v>
      </c>
      <c r="T867" s="126">
        <f t="shared" si="291"/>
        <v>478.27</v>
      </c>
      <c r="U867" s="127">
        <f>((((((IF(K867="New",0,SUMIF('MPG Payment '!$E$3:$E$344841,'Shayak Income '!D867,'MPG Payment '!$AC$3:$AC$344841))))+0)+0)+0)+0)+0</f>
        <v>0</v>
      </c>
      <c r="V867" s="127">
        <f t="shared" si="292"/>
        <v>7652</v>
      </c>
      <c r="W867" s="19">
        <f t="shared" si="293"/>
        <v>0</v>
      </c>
      <c r="X867" s="19">
        <f t="shared" si="295"/>
        <v>0</v>
      </c>
      <c r="Y867" s="128">
        <f>IFERROR(VLOOKUP(D867,'Monthly Deduction'!$M$2:$N$640,2,0),0)</f>
        <v>0</v>
      </c>
      <c r="Z867" s="128">
        <v>0</v>
      </c>
      <c r="AA867" s="126">
        <f>IFERROR(VLOOKUP(D867,'Monthly Deduction'!A:B,2,0),0)</f>
        <v>0</v>
      </c>
      <c r="AB867" s="129">
        <f t="shared" si="287"/>
        <v>7652</v>
      </c>
      <c r="AC867" s="130">
        <v>0</v>
      </c>
      <c r="AD867" s="35">
        <f t="shared" si="303"/>
        <v>7652</v>
      </c>
      <c r="AE867" s="166" t="str">
        <f t="shared" si="304"/>
        <v>Release</v>
      </c>
      <c r="AF867" s="127"/>
      <c r="AG867" s="18">
        <v>0</v>
      </c>
      <c r="AH867" s="120"/>
      <c r="AI867" s="238">
        <v>0</v>
      </c>
      <c r="AJ867" s="132"/>
      <c r="AK867" s="151">
        <v>1095</v>
      </c>
      <c r="AL867" s="154">
        <f t="shared" si="305"/>
        <v>0</v>
      </c>
      <c r="AM867" s="155"/>
      <c r="AN867" s="19">
        <f t="shared" si="288"/>
        <v>0</v>
      </c>
      <c r="AO867" s="118">
        <f>SUMIF('MPG Payment '!E:E,'Shayak Income '!D867,'MPG Payment '!AJ:AJ)</f>
        <v>0</v>
      </c>
      <c r="AP867" s="19">
        <f t="shared" si="289"/>
        <v>0</v>
      </c>
      <c r="AQ867" s="119">
        <f t="shared" si="306"/>
        <v>0</v>
      </c>
      <c r="AR867" s="91" t="s">
        <v>1144</v>
      </c>
      <c r="AS867" s="91">
        <f t="shared" si="290"/>
        <v>0</v>
      </c>
      <c r="AT867" s="118"/>
      <c r="AU867" s="118"/>
      <c r="AV867" s="118"/>
    </row>
    <row r="868" spans="1:48" s="20" customFormat="1" x14ac:dyDescent="0.25">
      <c r="A868" s="17">
        <f>IFERROR(VLOOKUP(D868,'Monthly Deduction'!$I$3:$J$957,2,0),0)</f>
        <v>0</v>
      </c>
      <c r="B868" s="17">
        <f>IFERROR(VLOOKUP(D868,'Monthly Deduction'!$E$3:$F$957,2,0),0)</f>
        <v>0</v>
      </c>
      <c r="C868" s="17">
        <f t="shared" si="298"/>
        <v>0</v>
      </c>
      <c r="D868" s="41">
        <v>10650008</v>
      </c>
      <c r="E868" s="122" t="str">
        <f>VLOOKUP(D868,'MPG Payment '!$E$3:$G$497305,2,0)</f>
        <v>HAWASPUR</v>
      </c>
      <c r="F868" s="146">
        <f>IFERROR(_xlfn.XLOOKUP(D868,'Monthly Deduction'!$I$3:$I$957,'Monthly Deduction'!$H$3:$H$957),0)</f>
        <v>0</v>
      </c>
      <c r="G868" s="123" t="str">
        <f>VLOOKUP(D868,'MPG Payment '!$E$3:$G$333666,3,0)</f>
        <v>vlc</v>
      </c>
      <c r="H868" s="124" t="str">
        <f>VLOOKUP(D868,'MPG Payment '!$E$3:$H$333666,4,0)</f>
        <v>Indirect</v>
      </c>
      <c r="I868" s="88">
        <f>INDEX('MPG Payment '!$C:$C,MATCH('Shayak Income '!D868,'MPG Payment '!E:E,0))</f>
        <v>1065</v>
      </c>
      <c r="J868" s="88" t="str">
        <f>INDEX('MPG Payment '!$D:$D,MATCH('Shayak Income '!D868,'MPG Payment '!E:E,0))</f>
        <v>Bachhwara BMC</v>
      </c>
      <c r="K868" s="125" t="s">
        <v>1594</v>
      </c>
      <c r="L868" s="125">
        <v>46122</v>
      </c>
      <c r="M868" s="126">
        <f>SUMIF('MPG Payment '!$E$3:$E$344841,'Shayak Income '!D868,'MPG Payment '!$I$3:$I$344841)</f>
        <v>14.7</v>
      </c>
      <c r="N868" s="126">
        <f>SUMIF('MPG Payment '!$E$3:$E$344841,'Shayak Income '!D868,'MPG Payment '!$J$3:$J$344841)</f>
        <v>563.65000000000009</v>
      </c>
      <c r="O868" s="126">
        <f t="shared" si="299"/>
        <v>11.024999999999999</v>
      </c>
      <c r="P868" s="126">
        <f t="shared" si="300"/>
        <v>13.964999999999998</v>
      </c>
      <c r="Q868" s="126">
        <f>SUMIF('MPG Payment '!$E$3:$E$344841,'Shayak Income '!D868,'MPG Payment '!$S$3:$S$344841)</f>
        <v>0</v>
      </c>
      <c r="R868" s="126">
        <f t="shared" si="301"/>
        <v>16.909500000000001</v>
      </c>
      <c r="S868" s="126">
        <f t="shared" si="302"/>
        <v>2.9445000000000032</v>
      </c>
      <c r="T868" s="126">
        <f t="shared" si="291"/>
        <v>1.47</v>
      </c>
      <c r="U868" s="127">
        <f>((((((IF(K868="New",0,SUMIF('MPG Payment '!$E$3:$E$344841,'Shayak Income '!D868,'MPG Payment '!$AC$3:$AC$344841))))+0)+0)+0)+0)+-502</f>
        <v>23.536523809523942</v>
      </c>
      <c r="V868" s="127">
        <f t="shared" si="292"/>
        <v>0</v>
      </c>
      <c r="W868" s="19">
        <v>0</v>
      </c>
      <c r="X868" s="19">
        <v>0</v>
      </c>
      <c r="Y868" s="128">
        <v>0</v>
      </c>
      <c r="Z868" s="128">
        <v>0</v>
      </c>
      <c r="AA868" s="126">
        <v>0</v>
      </c>
      <c r="AB868" s="129">
        <f t="shared" si="287"/>
        <v>0</v>
      </c>
      <c r="AC868" s="130">
        <f>AB868</f>
        <v>0</v>
      </c>
      <c r="AD868" s="35">
        <f t="shared" si="303"/>
        <v>0</v>
      </c>
      <c r="AE868" s="166" t="str">
        <f t="shared" si="304"/>
        <v>Release</v>
      </c>
      <c r="AF868" s="127"/>
      <c r="AG868" s="18">
        <v>0</v>
      </c>
      <c r="AH868" s="132" t="s">
        <v>1597</v>
      </c>
      <c r="AI868" s="238">
        <v>0</v>
      </c>
      <c r="AJ868" s="132"/>
      <c r="AK868" s="151">
        <v>0</v>
      </c>
      <c r="AL868" s="154">
        <f t="shared" si="305"/>
        <v>0</v>
      </c>
      <c r="AM868" s="155"/>
      <c r="AN868" s="19">
        <f t="shared" si="288"/>
        <v>0</v>
      </c>
      <c r="AO868" s="118">
        <f>SUMIF('MPG Payment '!E:E,'Shayak Income '!D868,'MPG Payment '!AJ:AJ)</f>
        <v>0</v>
      </c>
      <c r="AP868" s="19">
        <f t="shared" si="289"/>
        <v>0</v>
      </c>
      <c r="AQ868" s="119">
        <f t="shared" si="306"/>
        <v>0</v>
      </c>
      <c r="AR868" s="91" t="s">
        <v>1144</v>
      </c>
      <c r="AS868" s="91">
        <f t="shared" si="290"/>
        <v>0</v>
      </c>
      <c r="AT868" s="118"/>
      <c r="AU868" s="118"/>
      <c r="AV868" s="118"/>
    </row>
    <row r="869" spans="1:48" s="20" customFormat="1" x14ac:dyDescent="0.25">
      <c r="A869" s="17">
        <f>IFERROR(VLOOKUP(D869,'Monthly Deduction'!$I$3:$J$957,2,0),0)</f>
        <v>65000</v>
      </c>
      <c r="B869" s="17">
        <f>IFERROR(VLOOKUP(D869,'Monthly Deduction'!$E$3:$F$957,2,0),0)</f>
        <v>0</v>
      </c>
      <c r="C869" s="17">
        <f t="shared" si="298"/>
        <v>65000</v>
      </c>
      <c r="D869" s="41">
        <v>10530113</v>
      </c>
      <c r="E869" s="122" t="str">
        <f>VLOOKUP(D869,'MPG Payment '!$E$3:$G$497305,2,0)</f>
        <v>GOMUKH GHOSRAWAN</v>
      </c>
      <c r="F869" s="146">
        <f>IFERROR(_xlfn.XLOOKUP(D869,'Monthly Deduction'!$I$3:$I$957,'Monthly Deduction'!$H$3:$H$957),0)</f>
        <v>0</v>
      </c>
      <c r="G869" s="123" t="str">
        <f>VLOOKUP(D869,'MPG Payment '!$E$3:$G$333666,3,0)</f>
        <v>MPG</v>
      </c>
      <c r="H869" s="124" t="str">
        <f>VLOOKUP(D869,'MPG Payment '!$E$3:$H$333666,4,0)</f>
        <v>Direct</v>
      </c>
      <c r="I869" s="88">
        <f>INDEX('MPG Payment '!$C:$C,MATCH('Shayak Income '!D869,'MPG Payment '!E:E,0))</f>
        <v>1053</v>
      </c>
      <c r="J869" s="88" t="str">
        <f>INDEX('MPG Payment '!$D:$D,MATCH('Shayak Income '!D869,'MPG Payment '!E:E,0))</f>
        <v>Kalyanpur</v>
      </c>
      <c r="K869" s="125" t="s">
        <v>1594</v>
      </c>
      <c r="L869" s="125">
        <v>46134</v>
      </c>
      <c r="M869" s="126">
        <f>SUMIF('MPG Payment '!$E$3:$E$344841,'Shayak Income '!D869,'MPG Payment '!$I$3:$I$344841)</f>
        <v>1833.75</v>
      </c>
      <c r="N869" s="126">
        <f>SUMIF('MPG Payment '!$E$3:$E$344841,'Shayak Income '!D869,'MPG Payment '!$J$3:$J$344841)</f>
        <v>74207.039999999994</v>
      </c>
      <c r="O869" s="126">
        <f t="shared" si="299"/>
        <v>1375.3125</v>
      </c>
      <c r="P869" s="126">
        <f t="shared" si="300"/>
        <v>1742.0625</v>
      </c>
      <c r="Q869" s="126">
        <f>SUMIF('MPG Payment '!$E$3:$E$344841,'Shayak Income '!D869,'MPG Payment '!$S$3:$S$344841)</f>
        <v>493.64</v>
      </c>
      <c r="R869" s="126">
        <f t="shared" si="301"/>
        <v>2226.2111999999997</v>
      </c>
      <c r="S869" s="126">
        <f t="shared" si="302"/>
        <v>484.14869999999974</v>
      </c>
      <c r="T869" s="126">
        <f t="shared" si="291"/>
        <v>183.375</v>
      </c>
      <c r="U869" s="127">
        <f>((((((IF(K869="New",0,SUMIF('MPG Payment '!$E$3:$E$344841,'Shayak Income '!D869,'MPG Payment '!$AC$3:$AC$344841))))+0)+0)+0)+0)+0</f>
        <v>781.60026173897074</v>
      </c>
      <c r="V869" s="127">
        <f t="shared" si="292"/>
        <v>2646</v>
      </c>
      <c r="W869" s="19">
        <f t="shared" si="293"/>
        <v>1861</v>
      </c>
      <c r="X869" s="19">
        <v>0</v>
      </c>
      <c r="Y869" s="128">
        <f>IFERROR(VLOOKUP(D869,'Monthly Deduction'!$M$2:$N$640,2,0),0)</f>
        <v>0</v>
      </c>
      <c r="Z869" s="128">
        <v>0</v>
      </c>
      <c r="AA869" s="126">
        <f>IFERROR(VLOOKUP(D869,'Monthly Deduction'!A:B,2,0),0)</f>
        <v>185.01543080156108</v>
      </c>
      <c r="AB869" s="129">
        <f t="shared" si="287"/>
        <v>600</v>
      </c>
      <c r="AC869" s="130">
        <v>0</v>
      </c>
      <c r="AD869" s="35">
        <f t="shared" si="303"/>
        <v>600</v>
      </c>
      <c r="AE869" s="166" t="str">
        <f t="shared" si="304"/>
        <v>Release</v>
      </c>
      <c r="AF869" s="127"/>
      <c r="AG869" s="18">
        <v>0</v>
      </c>
      <c r="AH869" s="132"/>
      <c r="AI869" s="238">
        <v>0</v>
      </c>
      <c r="AJ869" s="132"/>
      <c r="AK869" s="151">
        <v>474.00000000000006</v>
      </c>
      <c r="AL869" s="154">
        <f t="shared" si="305"/>
        <v>0</v>
      </c>
      <c r="AM869" s="155"/>
      <c r="AN869" s="19">
        <f t="shared" si="288"/>
        <v>1861</v>
      </c>
      <c r="AO869" s="118">
        <f>SUMIF('MPG Payment '!E:E,'Shayak Income '!D869,'MPG Payment '!AJ:AJ)</f>
        <v>0</v>
      </c>
      <c r="AP869" s="19">
        <f t="shared" si="289"/>
        <v>1861</v>
      </c>
      <c r="AQ869" s="119">
        <f t="shared" si="306"/>
        <v>1861</v>
      </c>
      <c r="AR869" s="91" t="s">
        <v>1144</v>
      </c>
      <c r="AS869" s="91">
        <f t="shared" si="290"/>
        <v>0</v>
      </c>
      <c r="AT869" s="118"/>
      <c r="AU869" s="118"/>
      <c r="AV869" s="118"/>
    </row>
    <row r="870" spans="1:48" s="20" customFormat="1" x14ac:dyDescent="0.25">
      <c r="A870" s="17">
        <f>IFERROR(VLOOKUP(D870,'Monthly Deduction'!$I$3:$J$957,2,0),0)</f>
        <v>0</v>
      </c>
      <c r="B870" s="17">
        <f>IFERROR(VLOOKUP(D870,'Monthly Deduction'!$E$3:$F$957,2,0),0)</f>
        <v>0</v>
      </c>
      <c r="C870" s="17">
        <f t="shared" si="298"/>
        <v>0</v>
      </c>
      <c r="D870" s="41">
        <v>10610050</v>
      </c>
      <c r="E870" s="122" t="str">
        <f>VLOOKUP(D870,'MPG Payment '!$E$3:$G$497305,2,0)</f>
        <v>GOMUKH HARPUR RAJESH</v>
      </c>
      <c r="F870" s="146">
        <f>IFERROR(_xlfn.XLOOKUP(D870,'Monthly Deduction'!$I$3:$I$957,'Monthly Deduction'!$H$3:$H$957),0)</f>
        <v>0</v>
      </c>
      <c r="G870" s="123" t="str">
        <f>VLOOKUP(D870,'MPG Payment '!$E$3:$G$333666,3,0)</f>
        <v>vlc</v>
      </c>
      <c r="H870" s="124" t="str">
        <f>VLOOKUP(D870,'MPG Payment '!$E$3:$H$333666,4,0)</f>
        <v>Indirect</v>
      </c>
      <c r="I870" s="88">
        <f>INDEX('MPG Payment '!$C:$C,MATCH('Shayak Income '!D870,'MPG Payment '!E:E,0))</f>
        <v>1061</v>
      </c>
      <c r="J870" s="88" t="str">
        <f>INDEX('MPG Payment '!$D:$D,MATCH('Shayak Income '!D870,'MPG Payment '!E:E,0))</f>
        <v>Mahua BMC</v>
      </c>
      <c r="K870" s="125" t="s">
        <v>1594</v>
      </c>
      <c r="L870" s="125">
        <v>46130</v>
      </c>
      <c r="M870" s="126">
        <f>SUMIF('MPG Payment '!$E$3:$E$344841,'Shayak Income '!D870,'MPG Payment '!$I$3:$I$344841)</f>
        <v>1833.6</v>
      </c>
      <c r="N870" s="126">
        <f>SUMIF('MPG Payment '!$E$3:$E$344841,'Shayak Income '!D870,'MPG Payment '!$J$3:$J$344841)</f>
        <v>75359.239999999991</v>
      </c>
      <c r="O870" s="126">
        <f t="shared" si="299"/>
        <v>1375.1999999999998</v>
      </c>
      <c r="P870" s="126">
        <f t="shared" si="300"/>
        <v>1741.9199999999998</v>
      </c>
      <c r="Q870" s="126">
        <f>SUMIF('MPG Payment '!$E$3:$E$344841,'Shayak Income '!D870,'MPG Payment '!$S$3:$S$344841)</f>
        <v>0</v>
      </c>
      <c r="R870" s="126">
        <f t="shared" si="301"/>
        <v>2260.7771999999995</v>
      </c>
      <c r="S870" s="126">
        <f t="shared" si="302"/>
        <v>518.85719999999969</v>
      </c>
      <c r="T870" s="126">
        <f t="shared" si="291"/>
        <v>183.36</v>
      </c>
      <c r="U870" s="127">
        <f>((((((IF(K870="New",0,SUMIF('MPG Payment '!$E$3:$E$344841,'Shayak Income '!D870,'MPG Payment '!$AC$3:$AC$344841))))+0)+0)+0)+0)+0</f>
        <v>795.1490746106856</v>
      </c>
      <c r="V870" s="127">
        <f t="shared" si="292"/>
        <v>2139</v>
      </c>
      <c r="W870" s="19">
        <f t="shared" si="293"/>
        <v>0</v>
      </c>
      <c r="X870" s="19">
        <f t="shared" si="295"/>
        <v>0</v>
      </c>
      <c r="Y870" s="128">
        <f>IFERROR(VLOOKUP(D870,'Monthly Deduction'!$M$2:$N$640,2,0),0)</f>
        <v>0</v>
      </c>
      <c r="Z870" s="128">
        <v>0</v>
      </c>
      <c r="AA870" s="126">
        <f>IFERROR(VLOOKUP(D870,'Monthly Deduction'!A:B,2,0),0)</f>
        <v>0</v>
      </c>
      <c r="AB870" s="129">
        <f t="shared" si="287"/>
        <v>2139</v>
      </c>
      <c r="AC870" s="130">
        <v>0</v>
      </c>
      <c r="AD870" s="35">
        <f t="shared" si="303"/>
        <v>2139</v>
      </c>
      <c r="AE870" s="166" t="str">
        <f t="shared" si="304"/>
        <v>Release</v>
      </c>
      <c r="AF870" s="127"/>
      <c r="AG870" s="18">
        <v>0</v>
      </c>
      <c r="AH870" s="132"/>
      <c r="AI870" s="238">
        <v>0</v>
      </c>
      <c r="AJ870" s="132"/>
      <c r="AK870" s="151">
        <v>486.6</v>
      </c>
      <c r="AL870" s="154">
        <f t="shared" si="305"/>
        <v>0</v>
      </c>
      <c r="AM870" s="155"/>
      <c r="AN870" s="19">
        <f t="shared" si="288"/>
        <v>0</v>
      </c>
      <c r="AO870" s="118">
        <f>SUMIF('MPG Payment '!E:E,'Shayak Income '!D870,'MPG Payment '!AJ:AJ)</f>
        <v>0</v>
      </c>
      <c r="AP870" s="19">
        <f t="shared" si="289"/>
        <v>0</v>
      </c>
      <c r="AQ870" s="119">
        <f t="shared" si="306"/>
        <v>0</v>
      </c>
      <c r="AR870" s="91" t="s">
        <v>1144</v>
      </c>
      <c r="AS870" s="91">
        <f t="shared" si="290"/>
        <v>0</v>
      </c>
      <c r="AT870" s="118"/>
      <c r="AU870" s="118"/>
      <c r="AV870" s="118"/>
    </row>
    <row r="871" spans="1:48" s="20" customFormat="1" x14ac:dyDescent="0.25">
      <c r="A871" s="17">
        <f>IFERROR(VLOOKUP(D871,'Monthly Deduction'!$I$3:$J$957,2,0),0)</f>
        <v>0</v>
      </c>
      <c r="B871" s="17">
        <f>IFERROR(VLOOKUP(D871,'Monthly Deduction'!$E$3:$F$957,2,0),0)</f>
        <v>0</v>
      </c>
      <c r="C871" s="17">
        <f t="shared" si="298"/>
        <v>0</v>
      </c>
      <c r="D871" s="41">
        <v>10610051</v>
      </c>
      <c r="E871" s="122" t="str">
        <f>VLOOKUP(D871,'MPG Payment '!$E$3:$G$497305,2,0)</f>
        <v>GOMUKH SANICHAR HATT</v>
      </c>
      <c r="F871" s="146">
        <f>IFERROR(_xlfn.XLOOKUP(D871,'Monthly Deduction'!$I$3:$I$957,'Monthly Deduction'!$H$3:$H$957),0)</f>
        <v>0</v>
      </c>
      <c r="G871" s="123" t="str">
        <f>VLOOKUP(D871,'MPG Payment '!$E$3:$G$333666,3,0)</f>
        <v>vlc</v>
      </c>
      <c r="H871" s="124" t="str">
        <f>VLOOKUP(D871,'MPG Payment '!$E$3:$H$333666,4,0)</f>
        <v>Indirect</v>
      </c>
      <c r="I871" s="88">
        <f>INDEX('MPG Payment '!$C:$C,MATCH('Shayak Income '!D871,'MPG Payment '!E:E,0))</f>
        <v>1061</v>
      </c>
      <c r="J871" s="88" t="str">
        <f>INDEX('MPG Payment '!$D:$D,MATCH('Shayak Income '!D871,'MPG Payment '!E:E,0))</f>
        <v>Mahua BMC</v>
      </c>
      <c r="K871" s="125" t="s">
        <v>1594</v>
      </c>
      <c r="L871" s="125">
        <v>46131</v>
      </c>
      <c r="M871" s="126">
        <f>SUMIF('MPG Payment '!$E$3:$E$344841,'Shayak Income '!D871,'MPG Payment '!$I$3:$I$344841)</f>
        <v>838.09999999999991</v>
      </c>
      <c r="N871" s="126">
        <f>SUMIF('MPG Payment '!$E$3:$E$344841,'Shayak Income '!D871,'MPG Payment '!$J$3:$J$344841)</f>
        <v>31532.170000000006</v>
      </c>
      <c r="O871" s="126">
        <f t="shared" si="299"/>
        <v>628.57499999999993</v>
      </c>
      <c r="P871" s="126">
        <f t="shared" si="300"/>
        <v>796.19499999999982</v>
      </c>
      <c r="Q871" s="126">
        <f>SUMIF('MPG Payment '!$E$3:$E$344841,'Shayak Income '!D871,'MPG Payment '!$S$3:$S$344841)</f>
        <v>0</v>
      </c>
      <c r="R871" s="126">
        <f t="shared" si="301"/>
        <v>945.96510000000012</v>
      </c>
      <c r="S871" s="126">
        <f t="shared" si="302"/>
        <v>149.7701000000003</v>
      </c>
      <c r="T871" s="126">
        <f t="shared" si="291"/>
        <v>83.81</v>
      </c>
      <c r="U871" s="127">
        <f>((((((IF(K871="New",0,SUMIF('MPG Payment '!$E$3:$E$344841,'Shayak Income '!D871,'MPG Payment '!$AC$3:$AC$344841))))+0)+0)+0)+0)+-168</f>
        <v>1340.9886452945391</v>
      </c>
      <c r="V871" s="127">
        <f t="shared" si="292"/>
        <v>0</v>
      </c>
      <c r="W871" s="19">
        <v>0</v>
      </c>
      <c r="X871" s="19">
        <v>0</v>
      </c>
      <c r="Y871" s="128">
        <v>0</v>
      </c>
      <c r="Z871" s="128">
        <v>0</v>
      </c>
      <c r="AA871" s="126">
        <v>0</v>
      </c>
      <c r="AB871" s="129">
        <f t="shared" si="287"/>
        <v>0</v>
      </c>
      <c r="AC871" s="130">
        <v>0</v>
      </c>
      <c r="AD871" s="35">
        <f t="shared" si="303"/>
        <v>0</v>
      </c>
      <c r="AE871" s="166" t="str">
        <f t="shared" si="304"/>
        <v>Release</v>
      </c>
      <c r="AF871" s="127"/>
      <c r="AG871" s="18">
        <v>0</v>
      </c>
      <c r="AH871" s="120"/>
      <c r="AI871" s="238">
        <v>0</v>
      </c>
      <c r="AJ871" s="132"/>
      <c r="AK871" s="151">
        <v>102.99999999999999</v>
      </c>
      <c r="AL871" s="154">
        <f t="shared" si="305"/>
        <v>0</v>
      </c>
      <c r="AM871" s="155"/>
      <c r="AN871" s="19">
        <f t="shared" si="288"/>
        <v>0</v>
      </c>
      <c r="AO871" s="118">
        <f>SUMIF('MPG Payment '!E:E,'Shayak Income '!D871,'MPG Payment '!AJ:AJ)</f>
        <v>0</v>
      </c>
      <c r="AP871" s="19">
        <f t="shared" si="289"/>
        <v>0</v>
      </c>
      <c r="AQ871" s="119">
        <f t="shared" si="306"/>
        <v>0</v>
      </c>
      <c r="AR871" s="91" t="s">
        <v>1144</v>
      </c>
      <c r="AS871" s="91">
        <f t="shared" si="290"/>
        <v>0</v>
      </c>
      <c r="AT871" s="118"/>
      <c r="AU871" s="118"/>
      <c r="AV871" s="118"/>
    </row>
    <row r="872" spans="1:48" s="20" customFormat="1" x14ac:dyDescent="0.25">
      <c r="A872" s="17">
        <f>IFERROR(VLOOKUP(D872,'Monthly Deduction'!$I$3:$J$957,2,0),0)</f>
        <v>75000</v>
      </c>
      <c r="B872" s="17">
        <f>IFERROR(VLOOKUP(D872,'Monthly Deduction'!$E$3:$F$957,2,0),0)</f>
        <v>12800</v>
      </c>
      <c r="C872" s="17">
        <f t="shared" si="298"/>
        <v>87800</v>
      </c>
      <c r="D872" s="41">
        <v>10650011</v>
      </c>
      <c r="E872" s="122" t="str">
        <f>VLOOKUP(D872,'MPG Payment '!$E$3:$G$497305,2,0)</f>
        <v>Gomukh Manda</v>
      </c>
      <c r="F872" s="146">
        <f>IFERROR(_xlfn.XLOOKUP(D872,'Monthly Deduction'!$I$3:$I$957,'Monthly Deduction'!$H$3:$H$957),0)</f>
        <v>0</v>
      </c>
      <c r="G872" s="123" t="str">
        <f>VLOOKUP(D872,'MPG Payment '!$E$3:$G$333666,3,0)</f>
        <v>MPG</v>
      </c>
      <c r="H872" s="124" t="str">
        <f>VLOOKUP(D872,'MPG Payment '!$E$3:$H$333666,4,0)</f>
        <v>Direct</v>
      </c>
      <c r="I872" s="88">
        <f>INDEX('MPG Payment '!$C:$C,MATCH('Shayak Income '!D872,'MPG Payment '!E:E,0))</f>
        <v>1065</v>
      </c>
      <c r="J872" s="88" t="str">
        <f>INDEX('MPG Payment '!$D:$D,MATCH('Shayak Income '!D872,'MPG Payment '!E:E,0))</f>
        <v>Bachhwara BMC</v>
      </c>
      <c r="K872" s="125" t="s">
        <v>1594</v>
      </c>
      <c r="L872" s="125">
        <v>46129</v>
      </c>
      <c r="M872" s="126">
        <f>SUMIF('MPG Payment '!$E$3:$E$344841,'Shayak Income '!D872,'MPG Payment '!$I$3:$I$344841)</f>
        <v>2385.25</v>
      </c>
      <c r="N872" s="126">
        <f>SUMIF('MPG Payment '!$E$3:$E$344841,'Shayak Income '!D872,'MPG Payment '!$J$3:$J$344841)</f>
        <v>95077.81</v>
      </c>
      <c r="O872" s="126">
        <f t="shared" si="299"/>
        <v>1788.9375</v>
      </c>
      <c r="P872" s="126">
        <f t="shared" si="300"/>
        <v>2265.9874999999997</v>
      </c>
      <c r="Q872" s="126">
        <f>SUMIF('MPG Payment '!$E$3:$E$344841,'Shayak Income '!D872,'MPG Payment '!$S$3:$S$344841)</f>
        <v>0</v>
      </c>
      <c r="R872" s="126">
        <f t="shared" si="301"/>
        <v>2852.3343</v>
      </c>
      <c r="S872" s="126">
        <f t="shared" si="302"/>
        <v>586.34680000000026</v>
      </c>
      <c r="T872" s="126">
        <f t="shared" si="291"/>
        <v>238.52500000000001</v>
      </c>
      <c r="U872" s="127">
        <f>((((((IF(K872="New",0,SUMIF('MPG Payment '!$E$3:$E$344841,'Shayak Income '!D872,'MPG Payment '!$AC$3:$AC$344841))))+0)+0)+0)+0)+0</f>
        <v>330.98275588692616</v>
      </c>
      <c r="V872" s="127">
        <f t="shared" si="292"/>
        <v>3485</v>
      </c>
      <c r="W872" s="19">
        <f t="shared" si="293"/>
        <v>1901.5562</v>
      </c>
      <c r="X872" s="19">
        <v>0</v>
      </c>
      <c r="Y872" s="128">
        <f>IFERROR(VLOOKUP(D872,'Monthly Deduction'!$M$2:$N$640,2,0),0)</f>
        <v>0</v>
      </c>
      <c r="Z872" s="128">
        <v>0</v>
      </c>
      <c r="AA872" s="126">
        <f>IFERROR(VLOOKUP(D872,'Monthly Deduction'!A:B,2,0),0)</f>
        <v>0</v>
      </c>
      <c r="AB872" s="129">
        <f t="shared" si="287"/>
        <v>1583</v>
      </c>
      <c r="AC872" s="130">
        <f>AB872</f>
        <v>1583</v>
      </c>
      <c r="AD872" s="35">
        <f t="shared" si="303"/>
        <v>0</v>
      </c>
      <c r="AE872" s="166" t="str">
        <f t="shared" si="304"/>
        <v>Yes</v>
      </c>
      <c r="AF872" s="127"/>
      <c r="AG872" s="18">
        <v>0</v>
      </c>
      <c r="AH872" s="120" t="s">
        <v>1685</v>
      </c>
      <c r="AI872" s="238">
        <v>10000</v>
      </c>
      <c r="AJ872" s="132"/>
      <c r="AK872" s="151">
        <v>579.80000000000007</v>
      </c>
      <c r="AL872" s="154">
        <f t="shared" si="305"/>
        <v>0</v>
      </c>
      <c r="AM872" s="155"/>
      <c r="AN872" s="19">
        <f t="shared" si="288"/>
        <v>1901.5562</v>
      </c>
      <c r="AO872" s="118">
        <f>SUMIF('MPG Payment '!E:E,'Shayak Income '!D872,'MPG Payment '!AJ:AJ)</f>
        <v>0</v>
      </c>
      <c r="AP872" s="19">
        <f t="shared" si="289"/>
        <v>1901.5562</v>
      </c>
      <c r="AQ872" s="119">
        <f t="shared" si="306"/>
        <v>1901.5562</v>
      </c>
      <c r="AR872" s="91" t="s">
        <v>1144</v>
      </c>
      <c r="AS872" s="91">
        <f t="shared" si="290"/>
        <v>12800</v>
      </c>
      <c r="AT872" s="118"/>
      <c r="AU872" s="118"/>
      <c r="AV872" s="118"/>
    </row>
    <row r="873" spans="1:48" s="20" customFormat="1" x14ac:dyDescent="0.25">
      <c r="A873" s="17">
        <f>IFERROR(VLOOKUP(D873,'Monthly Deduction'!$I$3:$J$957,2,0),0)</f>
        <v>0</v>
      </c>
      <c r="B873" s="17">
        <f>IFERROR(VLOOKUP(D873,'Monthly Deduction'!$E$3:$F$957,2,0),0)</f>
        <v>0</v>
      </c>
      <c r="C873" s="17">
        <f t="shared" si="298"/>
        <v>0</v>
      </c>
      <c r="D873" s="41">
        <v>10130027</v>
      </c>
      <c r="E873" s="122" t="str">
        <f>VLOOKUP(D873,'MPG Payment '!$E$3:$G$497305,2,0)</f>
        <v>Gomukh VISHNUPATTI</v>
      </c>
      <c r="F873" s="146">
        <f>IFERROR(_xlfn.XLOOKUP(D873,'Monthly Deduction'!$I$3:$I$957,'Monthly Deduction'!$H$3:$H$957),0)</f>
        <v>0</v>
      </c>
      <c r="G873" s="123" t="str">
        <f>VLOOKUP(D873,'MPG Payment '!$E$3:$G$333666,3,0)</f>
        <v>vlc</v>
      </c>
      <c r="H873" s="124" t="str">
        <f>VLOOKUP(D873,'MPG Payment '!$E$3:$H$333666,4,0)</f>
        <v>Indirect</v>
      </c>
      <c r="I873" s="88">
        <f>INDEX('MPG Payment '!$C:$C,MATCH('Shayak Income '!D873,'MPG Payment '!E:E,0))</f>
        <v>1013</v>
      </c>
      <c r="J873" s="88" t="str">
        <f>INDEX('MPG Payment '!$D:$D,MATCH('Shayak Income '!D873,'MPG Payment '!E:E,0))</f>
        <v>Musrigharari</v>
      </c>
      <c r="K873" s="125" t="s">
        <v>1594</v>
      </c>
      <c r="L873" s="125">
        <v>43846</v>
      </c>
      <c r="M873" s="126">
        <f>SUMIF('MPG Payment '!$E$3:$E$344841,'Shayak Income '!D873,'MPG Payment '!$I$3:$I$344841)</f>
        <v>240.8</v>
      </c>
      <c r="N873" s="126">
        <f>SUMIF('MPG Payment '!$E$3:$E$344841,'Shayak Income '!D873,'MPG Payment '!$J$3:$J$344841)</f>
        <v>9339.3999999999978</v>
      </c>
      <c r="O873" s="126">
        <f t="shared" si="299"/>
        <v>180.60000000000002</v>
      </c>
      <c r="P873" s="126">
        <f t="shared" si="300"/>
        <v>228.76</v>
      </c>
      <c r="Q873" s="126">
        <f>SUMIF('MPG Payment '!$E$3:$E$344841,'Shayak Income '!D873,'MPG Payment '!$S$3:$S$344841)</f>
        <v>0</v>
      </c>
      <c r="R873" s="126">
        <f t="shared" si="301"/>
        <v>280.1819999999999</v>
      </c>
      <c r="S873" s="126">
        <f t="shared" si="302"/>
        <v>51.421999999999912</v>
      </c>
      <c r="T873" s="126">
        <f t="shared" si="291"/>
        <v>24.080000000000002</v>
      </c>
      <c r="U873" s="127">
        <f>((((((IF(K873="New",0,SUMIF('MPG Payment '!$E$3:$E$344841,'Shayak Income '!D873,'MPG Payment '!$AC$3:$AC$344841))))+0)+0)+0)+0)+-1624</f>
        <v>384.97143234025111</v>
      </c>
      <c r="V873" s="127">
        <f t="shared" si="292"/>
        <v>0</v>
      </c>
      <c r="W873" s="19">
        <v>0</v>
      </c>
      <c r="X873" s="19">
        <v>0</v>
      </c>
      <c r="Y873" s="128">
        <v>0</v>
      </c>
      <c r="Z873" s="128">
        <v>0</v>
      </c>
      <c r="AA873" s="126">
        <v>0</v>
      </c>
      <c r="AB873" s="129">
        <f t="shared" si="287"/>
        <v>0</v>
      </c>
      <c r="AC873" s="130">
        <v>0</v>
      </c>
      <c r="AD873" s="35">
        <f t="shared" si="303"/>
        <v>0</v>
      </c>
      <c r="AE873" s="166" t="str">
        <f t="shared" si="304"/>
        <v>Release</v>
      </c>
      <c r="AF873" s="127"/>
      <c r="AG873" s="18">
        <v>0</v>
      </c>
      <c r="AH873" s="132"/>
      <c r="AI873" s="238">
        <v>0</v>
      </c>
      <c r="AJ873" s="132"/>
      <c r="AK873" s="151">
        <v>78.8</v>
      </c>
      <c r="AL873" s="154">
        <f t="shared" si="305"/>
        <v>0</v>
      </c>
      <c r="AM873" s="155"/>
      <c r="AN873" s="19">
        <f t="shared" si="288"/>
        <v>0</v>
      </c>
      <c r="AO873" s="118">
        <f>SUMIF('MPG Payment '!E:E,'Shayak Income '!D873,'MPG Payment '!AJ:AJ)</f>
        <v>0</v>
      </c>
      <c r="AP873" s="19">
        <f t="shared" si="289"/>
        <v>0</v>
      </c>
      <c r="AQ873" s="119">
        <f t="shared" si="306"/>
        <v>0</v>
      </c>
      <c r="AR873" s="91" t="s">
        <v>1144</v>
      </c>
      <c r="AS873" s="91">
        <f t="shared" si="290"/>
        <v>0</v>
      </c>
      <c r="AT873" s="118"/>
      <c r="AU873" s="118"/>
      <c r="AV873" s="118"/>
    </row>
    <row r="874" spans="1:48" s="20" customFormat="1" x14ac:dyDescent="0.25">
      <c r="A874" s="17">
        <f>IFERROR(VLOOKUP(D874,'Monthly Deduction'!$I$3:$J$957,2,0),0)</f>
        <v>0</v>
      </c>
      <c r="B874" s="17">
        <f>IFERROR(VLOOKUP(D874,'Monthly Deduction'!$E$3:$F$957,2,0),0)</f>
        <v>0</v>
      </c>
      <c r="C874" s="17">
        <f t="shared" si="298"/>
        <v>0</v>
      </c>
      <c r="D874" s="41">
        <v>10610052</v>
      </c>
      <c r="E874" s="122" t="str">
        <f>VLOOKUP(D874,'MPG Payment '!$E$3:$G$497305,2,0)</f>
        <v>GOMUKH SAHARIYA</v>
      </c>
      <c r="F874" s="146">
        <f>IFERROR(_xlfn.XLOOKUP(D874,'Monthly Deduction'!$I$3:$I$957,'Monthly Deduction'!$H$3:$H$957),0)</f>
        <v>0</v>
      </c>
      <c r="G874" s="123" t="str">
        <f>VLOOKUP(D874,'MPG Payment '!$E$3:$G$333666,3,0)</f>
        <v>vlc</v>
      </c>
      <c r="H874" s="124" t="str">
        <f>VLOOKUP(D874,'MPG Payment '!$E$3:$H$333666,4,0)</f>
        <v>Indirect</v>
      </c>
      <c r="I874" s="88">
        <f>INDEX('MPG Payment '!$C:$C,MATCH('Shayak Income '!D874,'MPG Payment '!E:E,0))</f>
        <v>1061</v>
      </c>
      <c r="J874" s="88" t="str">
        <f>INDEX('MPG Payment '!$D:$D,MATCH('Shayak Income '!D874,'MPG Payment '!E:E,0))</f>
        <v>Mahua BMC</v>
      </c>
      <c r="K874" s="125" t="s">
        <v>1594</v>
      </c>
      <c r="L874" s="125">
        <v>46138</v>
      </c>
      <c r="M874" s="126">
        <f>SUMIF('MPG Payment '!$E$3:$E$344841,'Shayak Income '!D874,'MPG Payment '!$I$3:$I$344841)</f>
        <v>3094.0000000000005</v>
      </c>
      <c r="N874" s="126">
        <f>SUMIF('MPG Payment '!$E$3:$E$344841,'Shayak Income '!D874,'MPG Payment '!$J$3:$J$344841)</f>
        <v>124696.04999999999</v>
      </c>
      <c r="O874" s="126">
        <f t="shared" si="299"/>
        <v>2320.5000000000005</v>
      </c>
      <c r="P874" s="126">
        <f t="shared" si="300"/>
        <v>2939.3</v>
      </c>
      <c r="Q874" s="126">
        <f>SUMIF('MPG Payment '!$E$3:$E$344841,'Shayak Income '!D874,'MPG Payment '!$S$3:$S$344841)</f>
        <v>0</v>
      </c>
      <c r="R874" s="126">
        <f t="shared" si="301"/>
        <v>3740.8814999999995</v>
      </c>
      <c r="S874" s="126">
        <f t="shared" si="302"/>
        <v>801.58149999999932</v>
      </c>
      <c r="T874" s="126">
        <f t="shared" si="291"/>
        <v>309.40000000000009</v>
      </c>
      <c r="U874" s="127">
        <f>((((((IF(K874="New",0,SUMIF('MPG Payment '!$E$3:$E$344841,'Shayak Income '!D874,'MPG Payment '!$AC$3:$AC$344841))))+0)+0)+0)+0)+0</f>
        <v>40.918414814814746</v>
      </c>
      <c r="V874" s="127">
        <f t="shared" si="292"/>
        <v>4909</v>
      </c>
      <c r="W874" s="19">
        <f t="shared" si="293"/>
        <v>0</v>
      </c>
      <c r="X874" s="19">
        <f t="shared" si="295"/>
        <v>0</v>
      </c>
      <c r="Y874" s="128">
        <f>IFERROR(VLOOKUP(D874,'Monthly Deduction'!$M$2:$N$640,2,0),0)</f>
        <v>0</v>
      </c>
      <c r="Z874" s="128">
        <v>0</v>
      </c>
      <c r="AA874" s="126">
        <f>IFERROR(VLOOKUP(D874,'Monthly Deduction'!A:B,2,0),0)</f>
        <v>0</v>
      </c>
      <c r="AB874" s="129">
        <f t="shared" si="287"/>
        <v>4909</v>
      </c>
      <c r="AC874" s="130">
        <v>0</v>
      </c>
      <c r="AD874" s="35">
        <f t="shared" si="303"/>
        <v>4909</v>
      </c>
      <c r="AE874" s="166" t="str">
        <f t="shared" si="304"/>
        <v>Release</v>
      </c>
      <c r="AF874" s="127"/>
      <c r="AG874" s="18">
        <v>0</v>
      </c>
      <c r="AH874" s="132"/>
      <c r="AI874" s="238">
        <v>0</v>
      </c>
      <c r="AJ874" s="132"/>
      <c r="AK874" s="151">
        <v>487.7</v>
      </c>
      <c r="AL874" s="154">
        <f t="shared" si="305"/>
        <v>0</v>
      </c>
      <c r="AM874" s="155"/>
      <c r="AN874" s="19">
        <f t="shared" si="288"/>
        <v>0</v>
      </c>
      <c r="AO874" s="118">
        <f>SUMIF('MPG Payment '!E:E,'Shayak Income '!D874,'MPG Payment '!AJ:AJ)</f>
        <v>0</v>
      </c>
      <c r="AP874" s="19">
        <f t="shared" si="289"/>
        <v>0</v>
      </c>
      <c r="AQ874" s="119">
        <f t="shared" si="306"/>
        <v>0</v>
      </c>
      <c r="AR874" s="91" t="s">
        <v>1144</v>
      </c>
      <c r="AS874" s="91">
        <f t="shared" si="290"/>
        <v>0</v>
      </c>
      <c r="AT874" s="118"/>
      <c r="AU874" s="118"/>
      <c r="AV874" s="118"/>
    </row>
    <row r="875" spans="1:48" s="20" customFormat="1" x14ac:dyDescent="0.25">
      <c r="A875" s="17">
        <f>IFERROR(VLOOKUP(D875,'Monthly Deduction'!$I$3:$J$957,2,0),0)</f>
        <v>74310</v>
      </c>
      <c r="B875" s="17">
        <f>IFERROR(VLOOKUP(D875,'Monthly Deduction'!$E$3:$F$957,2,0),0)</f>
        <v>0</v>
      </c>
      <c r="C875" s="17">
        <f t="shared" si="298"/>
        <v>74310</v>
      </c>
      <c r="D875" s="41">
        <v>10030087</v>
      </c>
      <c r="E875" s="122" t="str">
        <f>VLOOKUP(D875,'MPG Payment '!$E$3:$G$497305,2,0)</f>
        <v>DARIYAPUR R</v>
      </c>
      <c r="F875" s="146">
        <f>IFERROR(_xlfn.XLOOKUP(D875,'Monthly Deduction'!$I$3:$I$957,'Monthly Deduction'!$H$3:$H$957),0)</f>
        <v>0</v>
      </c>
      <c r="G875" s="123" t="str">
        <f>VLOOKUP(D875,'MPG Payment '!$E$3:$G$333666,3,0)</f>
        <v>MPG</v>
      </c>
      <c r="H875" s="124" t="str">
        <f>VLOOKUP(D875,'MPG Payment '!$E$3:$H$333666,4,0)</f>
        <v>Direct</v>
      </c>
      <c r="I875" s="88">
        <f>INDEX('MPG Payment '!$C:$C,MATCH('Shayak Income '!D875,'MPG Payment '!E:E,0))</f>
        <v>1003</v>
      </c>
      <c r="J875" s="88" t="str">
        <f>INDEX('MPG Payment '!$D:$D,MATCH('Shayak Income '!D875,'MPG Payment '!E:E,0))</f>
        <v>Asarganj</v>
      </c>
      <c r="K875" s="125" t="s">
        <v>1594</v>
      </c>
      <c r="L875" s="125">
        <v>46112</v>
      </c>
      <c r="M875" s="126">
        <f>SUMIF('MPG Payment '!$E$3:$E$344841,'Shayak Income '!D875,'MPG Payment '!$I$3:$I$344841)</f>
        <v>1614.7</v>
      </c>
      <c r="N875" s="126">
        <f>SUMIF('MPG Payment '!$E$3:$E$344841,'Shayak Income '!D875,'MPG Payment '!$J$3:$J$344841)</f>
        <v>87000.5</v>
      </c>
      <c r="O875" s="126">
        <f t="shared" si="299"/>
        <v>1211.0250000000001</v>
      </c>
      <c r="P875" s="126">
        <f t="shared" si="300"/>
        <v>1533.9649999999999</v>
      </c>
      <c r="Q875" s="126">
        <f>SUMIF('MPG Payment '!$E$3:$E$344841,'Shayak Income '!D875,'MPG Payment '!$S$3:$S$344841)</f>
        <v>0</v>
      </c>
      <c r="R875" s="126">
        <f t="shared" si="301"/>
        <v>2610.0149999999999</v>
      </c>
      <c r="S875" s="126">
        <f t="shared" si="302"/>
        <v>1076.05</v>
      </c>
      <c r="T875" s="126">
        <f t="shared" si="291"/>
        <v>161.47000000000003</v>
      </c>
      <c r="U875" s="127">
        <f>((((((IF(K875="New",0,SUMIF('MPG Payment '!$E$3:$E$344841,'Shayak Income '!D875,'MPG Payment '!$AC$3:$AC$344841))))+0)+0)+0)+0)+0</f>
        <v>1277.3420250337497</v>
      </c>
      <c r="V875" s="127">
        <f t="shared" si="292"/>
        <v>1306</v>
      </c>
      <c r="W875" s="19">
        <v>1306</v>
      </c>
      <c r="X875" s="19">
        <v>0</v>
      </c>
      <c r="Y875" s="128">
        <f>IFERROR(VLOOKUP(D875,'Monthly Deduction'!$M$2:$N$640,2,0),0)</f>
        <v>0</v>
      </c>
      <c r="Z875" s="128">
        <v>0</v>
      </c>
      <c r="AA875" s="126">
        <f>IFERROR(VLOOKUP(D875,'Monthly Deduction'!A:B,2,0),0)</f>
        <v>0</v>
      </c>
      <c r="AB875" s="129">
        <f t="shared" si="287"/>
        <v>0</v>
      </c>
      <c r="AC875" s="130">
        <f t="shared" ref="AC875:AC879" si="307">AB875</f>
        <v>0</v>
      </c>
      <c r="AD875" s="35">
        <f t="shared" si="303"/>
        <v>0</v>
      </c>
      <c r="AE875" s="166" t="str">
        <f t="shared" si="304"/>
        <v>Release</v>
      </c>
      <c r="AF875" s="127"/>
      <c r="AG875" s="18">
        <v>0</v>
      </c>
      <c r="AH875" s="120" t="s">
        <v>1686</v>
      </c>
      <c r="AI875" s="238">
        <v>10000</v>
      </c>
      <c r="AJ875" s="132"/>
      <c r="AK875" s="151">
        <v>382.94999999999993</v>
      </c>
      <c r="AL875" s="154">
        <f t="shared" si="305"/>
        <v>0</v>
      </c>
      <c r="AM875" s="155"/>
      <c r="AN875" s="19">
        <f t="shared" si="288"/>
        <v>1861</v>
      </c>
      <c r="AO875" s="118">
        <f>SUMIF('MPG Payment '!E:E,'Shayak Income '!D875,'MPG Payment '!AJ:AJ)</f>
        <v>0</v>
      </c>
      <c r="AP875" s="19">
        <f t="shared" si="289"/>
        <v>1306</v>
      </c>
      <c r="AQ875" s="119">
        <f t="shared" si="306"/>
        <v>1306</v>
      </c>
      <c r="AR875" s="91" t="s">
        <v>1144</v>
      </c>
      <c r="AS875" s="91">
        <f t="shared" si="290"/>
        <v>0</v>
      </c>
      <c r="AT875" s="118"/>
      <c r="AU875" s="118"/>
      <c r="AV875" s="118"/>
    </row>
    <row r="876" spans="1:48" s="20" customFormat="1" x14ac:dyDescent="0.25">
      <c r="A876" s="17">
        <f>IFERROR(VLOOKUP(D876,'Monthly Deduction'!$I$3:$J$957,2,0),0)</f>
        <v>72730.720260684553</v>
      </c>
      <c r="B876" s="17">
        <f>IFERROR(VLOOKUP(D876,'Monthly Deduction'!$E$3:$F$957,2,0),0)</f>
        <v>0</v>
      </c>
      <c r="C876" s="17">
        <f t="shared" si="298"/>
        <v>72730.720260684553</v>
      </c>
      <c r="D876" s="41">
        <v>10030088</v>
      </c>
      <c r="E876" s="122" t="str">
        <f>VLOOKUP(D876,'MPG Payment '!$E$3:$G$497305,2,0)</f>
        <v>MUZAFFARGANJ</v>
      </c>
      <c r="F876" s="146">
        <f>IFERROR(_xlfn.XLOOKUP(D876,'Monthly Deduction'!$I$3:$I$957,'Monthly Deduction'!$H$3:$H$957),0)</f>
        <v>0</v>
      </c>
      <c r="G876" s="123" t="str">
        <f>VLOOKUP(D876,'MPG Payment '!$E$3:$G$333666,3,0)</f>
        <v>MPG</v>
      </c>
      <c r="H876" s="124" t="str">
        <f>VLOOKUP(D876,'MPG Payment '!$E$3:$H$333666,4,0)</f>
        <v>Direct</v>
      </c>
      <c r="I876" s="88">
        <f>INDEX('MPG Payment '!$C:$C,MATCH('Shayak Income '!D876,'MPG Payment '!E:E,0))</f>
        <v>1003</v>
      </c>
      <c r="J876" s="88" t="str">
        <f>INDEX('MPG Payment '!$D:$D,MATCH('Shayak Income '!D876,'MPG Payment '!E:E,0))</f>
        <v>Asarganj</v>
      </c>
      <c r="K876" s="125" t="s">
        <v>1594</v>
      </c>
      <c r="L876" s="125">
        <v>46112</v>
      </c>
      <c r="M876" s="126">
        <f>SUMIF('MPG Payment '!$E$3:$E$344841,'Shayak Income '!D876,'MPG Payment '!$I$3:$I$344841)</f>
        <v>1838.5</v>
      </c>
      <c r="N876" s="126">
        <f>SUMIF('MPG Payment '!$E$3:$E$344841,'Shayak Income '!D876,'MPG Payment '!$J$3:$J$344841)</f>
        <v>68875.05</v>
      </c>
      <c r="O876" s="126">
        <f t="shared" si="299"/>
        <v>1378.875</v>
      </c>
      <c r="P876" s="126">
        <f t="shared" si="300"/>
        <v>1746.5749999999998</v>
      </c>
      <c r="Q876" s="126">
        <f>SUMIF('MPG Payment '!$E$3:$E$344841,'Shayak Income '!D876,'MPG Payment '!$S$3:$S$344841)</f>
        <v>0</v>
      </c>
      <c r="R876" s="126">
        <f t="shared" si="301"/>
        <v>2066.2514999999999</v>
      </c>
      <c r="S876" s="126">
        <f t="shared" si="302"/>
        <v>319.67650000000003</v>
      </c>
      <c r="T876" s="126">
        <f t="shared" si="291"/>
        <v>183.85000000000002</v>
      </c>
      <c r="U876" s="127">
        <f>((((((IF(K876="New",0,SUMIF('MPG Payment '!$E$3:$E$344841,'Shayak Income '!D876,'MPG Payment '!$AC$3:$AC$344841))))+0)+0)+0)+0)+0</f>
        <v>719.42688715694464</v>
      </c>
      <c r="V876" s="127">
        <f t="shared" si="292"/>
        <v>2222</v>
      </c>
      <c r="W876" s="19">
        <f t="shared" si="293"/>
        <v>1861</v>
      </c>
      <c r="X876" s="19">
        <v>0</v>
      </c>
      <c r="Y876" s="128">
        <f>IFERROR(VLOOKUP(D876,'Monthly Deduction'!$M$2:$N$640,2,0),0)</f>
        <v>0</v>
      </c>
      <c r="Z876" s="128">
        <v>0</v>
      </c>
      <c r="AA876" s="126">
        <f>IFERROR(VLOOKUP(D876,'Monthly Deduction'!A:B,2,0),0)</f>
        <v>0</v>
      </c>
      <c r="AB876" s="129">
        <f t="shared" si="287"/>
        <v>361</v>
      </c>
      <c r="AC876" s="130">
        <f t="shared" si="307"/>
        <v>361</v>
      </c>
      <c r="AD876" s="35">
        <f t="shared" si="303"/>
        <v>0</v>
      </c>
      <c r="AE876" s="166" t="str">
        <f t="shared" si="304"/>
        <v>Yes</v>
      </c>
      <c r="AF876" s="127"/>
      <c r="AG876" s="18">
        <v>0</v>
      </c>
      <c r="AH876" s="120" t="s">
        <v>1686</v>
      </c>
      <c r="AI876" s="238">
        <v>10000</v>
      </c>
      <c r="AJ876" s="132"/>
      <c r="AK876" s="151">
        <v>357.15000000000003</v>
      </c>
      <c r="AL876" s="154">
        <f t="shared" si="305"/>
        <v>0</v>
      </c>
      <c r="AM876" s="155"/>
      <c r="AN876" s="19">
        <f t="shared" si="288"/>
        <v>1861</v>
      </c>
      <c r="AO876" s="118">
        <f>SUMIF('MPG Payment '!E:E,'Shayak Income '!D876,'MPG Payment '!AJ:AJ)</f>
        <v>0</v>
      </c>
      <c r="AP876" s="19">
        <f t="shared" si="289"/>
        <v>1861</v>
      </c>
      <c r="AQ876" s="119">
        <f t="shared" si="306"/>
        <v>1861</v>
      </c>
      <c r="AR876" s="91" t="s">
        <v>1144</v>
      </c>
      <c r="AS876" s="91">
        <f t="shared" si="290"/>
        <v>0</v>
      </c>
      <c r="AT876" s="118"/>
      <c r="AU876" s="118"/>
      <c r="AV876" s="118"/>
    </row>
    <row r="877" spans="1:48" s="20" customFormat="1" x14ac:dyDescent="0.25">
      <c r="A877" s="17">
        <f>IFERROR(VLOOKUP(D877,'Monthly Deduction'!$I$3:$J$957,2,0),0)</f>
        <v>65864.066176220571</v>
      </c>
      <c r="B877" s="17">
        <f>IFERROR(VLOOKUP(D877,'Monthly Deduction'!$E$3:$F$957,2,0),0)</f>
        <v>0</v>
      </c>
      <c r="C877" s="17">
        <f t="shared" si="298"/>
        <v>65864.066176220571</v>
      </c>
      <c r="D877" s="41">
        <v>10030089</v>
      </c>
      <c r="E877" s="122" t="str">
        <f>VLOOKUP(D877,'MPG Payment '!$E$3:$G$497305,2,0)</f>
        <v>SARHA</v>
      </c>
      <c r="F877" s="146">
        <f>IFERROR(_xlfn.XLOOKUP(D877,'Monthly Deduction'!$I$3:$I$957,'Monthly Deduction'!$H$3:$H$957),0)</f>
        <v>0</v>
      </c>
      <c r="G877" s="123" t="str">
        <f>VLOOKUP(D877,'MPG Payment '!$E$3:$G$333666,3,0)</f>
        <v>MPG</v>
      </c>
      <c r="H877" s="124" t="str">
        <f>VLOOKUP(D877,'MPG Payment '!$E$3:$H$333666,4,0)</f>
        <v>Direct</v>
      </c>
      <c r="I877" s="88">
        <f>INDEX('MPG Payment '!$C:$C,MATCH('Shayak Income '!D877,'MPG Payment '!E:E,0))</f>
        <v>1003</v>
      </c>
      <c r="J877" s="88" t="str">
        <f>INDEX('MPG Payment '!$D:$D,MATCH('Shayak Income '!D877,'MPG Payment '!E:E,0))</f>
        <v>Asarganj</v>
      </c>
      <c r="K877" s="125" t="s">
        <v>1594</v>
      </c>
      <c r="L877" s="125">
        <v>46112</v>
      </c>
      <c r="M877" s="126">
        <f>SUMIF('MPG Payment '!$E$3:$E$344841,'Shayak Income '!D877,'MPG Payment '!$I$3:$I$344841)</f>
        <v>3645.2</v>
      </c>
      <c r="N877" s="126">
        <f>SUMIF('MPG Payment '!$E$3:$E$344841,'Shayak Income '!D877,'MPG Payment '!$J$3:$J$344841)</f>
        <v>188470.75999999998</v>
      </c>
      <c r="O877" s="126">
        <f t="shared" si="299"/>
        <v>2733.8999999999996</v>
      </c>
      <c r="P877" s="126">
        <f t="shared" si="300"/>
        <v>3462.9399999999996</v>
      </c>
      <c r="Q877" s="126">
        <f>SUMIF('MPG Payment '!$E$3:$E$344841,'Shayak Income '!D877,'MPG Payment '!$S$3:$S$344841)</f>
        <v>0</v>
      </c>
      <c r="R877" s="126">
        <f t="shared" si="301"/>
        <v>5654.1227999999992</v>
      </c>
      <c r="S877" s="126">
        <f t="shared" si="302"/>
        <v>2191.1827999999996</v>
      </c>
      <c r="T877" s="126">
        <f t="shared" si="291"/>
        <v>364.52</v>
      </c>
      <c r="U877" s="127">
        <f>((((((IF(K877="New",0,SUMIF('MPG Payment '!$E$3:$E$344841,'Shayak Income '!D877,'MPG Payment '!$AC$3:$AC$344841))))+0)+0)+0)+0)+0</f>
        <v>0</v>
      </c>
      <c r="V877" s="127">
        <f t="shared" si="292"/>
        <v>5832</v>
      </c>
      <c r="W877" s="19">
        <f t="shared" si="293"/>
        <v>3769.4151999999995</v>
      </c>
      <c r="X877" s="19">
        <v>0</v>
      </c>
      <c r="Y877" s="128">
        <f>IFERROR(VLOOKUP(D877,'Monthly Deduction'!$M$2:$N$640,2,0),0)</f>
        <v>0</v>
      </c>
      <c r="Z877" s="128">
        <v>0</v>
      </c>
      <c r="AA877" s="126">
        <f>IFERROR(VLOOKUP(D877,'Monthly Deduction'!A:B,2,0),0)</f>
        <v>0</v>
      </c>
      <c r="AB877" s="129">
        <f t="shared" si="287"/>
        <v>2063</v>
      </c>
      <c r="AC877" s="130">
        <f t="shared" si="307"/>
        <v>2063</v>
      </c>
      <c r="AD877" s="35">
        <f t="shared" si="303"/>
        <v>0</v>
      </c>
      <c r="AE877" s="166" t="str">
        <f t="shared" si="304"/>
        <v>Yes</v>
      </c>
      <c r="AF877" s="127"/>
      <c r="AG877" s="18">
        <v>0</v>
      </c>
      <c r="AH877" s="120" t="s">
        <v>1686</v>
      </c>
      <c r="AI877" s="238">
        <v>5000</v>
      </c>
      <c r="AJ877" s="132"/>
      <c r="AK877" s="151">
        <v>619.79999999999995</v>
      </c>
      <c r="AL877" s="154">
        <f t="shared" si="305"/>
        <v>0</v>
      </c>
      <c r="AM877" s="155"/>
      <c r="AN877" s="19">
        <f t="shared" si="288"/>
        <v>3769.4151999999995</v>
      </c>
      <c r="AO877" s="118">
        <f>SUMIF('MPG Payment '!E:E,'Shayak Income '!D877,'MPG Payment '!AJ:AJ)</f>
        <v>0</v>
      </c>
      <c r="AP877" s="19">
        <f t="shared" si="289"/>
        <v>3769.4151999999995</v>
      </c>
      <c r="AQ877" s="119">
        <f t="shared" si="306"/>
        <v>3769.4151999999995</v>
      </c>
      <c r="AR877" s="91" t="s">
        <v>1144</v>
      </c>
      <c r="AS877" s="91">
        <f t="shared" si="290"/>
        <v>0</v>
      </c>
      <c r="AT877" s="118"/>
      <c r="AU877" s="118"/>
      <c r="AV877" s="118"/>
    </row>
    <row r="878" spans="1:48" s="20" customFormat="1" x14ac:dyDescent="0.25">
      <c r="A878" s="17">
        <f>IFERROR(VLOOKUP(D878,'Monthly Deduction'!$I$3:$J$957,2,0),0)</f>
        <v>72763.07895318394</v>
      </c>
      <c r="B878" s="17">
        <f>IFERROR(VLOOKUP(D878,'Monthly Deduction'!$E$3:$F$957,2,0),0)</f>
        <v>0</v>
      </c>
      <c r="C878" s="17">
        <f t="shared" si="298"/>
        <v>72763.07895318394</v>
      </c>
      <c r="D878" s="41">
        <v>10030090</v>
      </c>
      <c r="E878" s="122" t="str">
        <f>VLOOKUP(D878,'MPG Payment '!$E$3:$G$497305,2,0)</f>
        <v>KUSUMBHA</v>
      </c>
      <c r="F878" s="146">
        <f>IFERROR(_xlfn.XLOOKUP(D878,'Monthly Deduction'!$I$3:$I$957,'Monthly Deduction'!$H$3:$H$957),0)</f>
        <v>0</v>
      </c>
      <c r="G878" s="123" t="str">
        <f>VLOOKUP(D878,'MPG Payment '!$E$3:$G$333666,3,0)</f>
        <v>MPG</v>
      </c>
      <c r="H878" s="124" t="str">
        <f>VLOOKUP(D878,'MPG Payment '!$E$3:$H$333666,4,0)</f>
        <v>Direct</v>
      </c>
      <c r="I878" s="88">
        <f>INDEX('MPG Payment '!$C:$C,MATCH('Shayak Income '!D878,'MPG Payment '!E:E,0))</f>
        <v>1003</v>
      </c>
      <c r="J878" s="88" t="str">
        <f>INDEX('MPG Payment '!$D:$D,MATCH('Shayak Income '!D878,'MPG Payment '!E:E,0))</f>
        <v>Asarganj</v>
      </c>
      <c r="K878" s="125" t="s">
        <v>1594</v>
      </c>
      <c r="L878" s="125">
        <v>46112</v>
      </c>
      <c r="M878" s="126">
        <f>SUMIF('MPG Payment '!$E$3:$E$344841,'Shayak Income '!D878,'MPG Payment '!$I$3:$I$344841)</f>
        <v>2124.6999999999998</v>
      </c>
      <c r="N878" s="126">
        <f>SUMIF('MPG Payment '!$E$3:$E$344841,'Shayak Income '!D878,'MPG Payment '!$J$3:$J$344841)</f>
        <v>92086.09</v>
      </c>
      <c r="O878" s="126">
        <f t="shared" si="299"/>
        <v>1593.5249999999999</v>
      </c>
      <c r="P878" s="126">
        <f t="shared" si="300"/>
        <v>2018.4649999999997</v>
      </c>
      <c r="Q878" s="126">
        <f>SUMIF('MPG Payment '!$E$3:$E$344841,'Shayak Income '!D878,'MPG Payment '!$S$3:$S$344841)</f>
        <v>0</v>
      </c>
      <c r="R878" s="126">
        <f t="shared" si="301"/>
        <v>2762.5826999999999</v>
      </c>
      <c r="S878" s="126">
        <f t="shared" si="302"/>
        <v>744.11770000000024</v>
      </c>
      <c r="T878" s="126">
        <f t="shared" si="291"/>
        <v>212.47</v>
      </c>
      <c r="U878" s="127">
        <f>((((((IF(K878="New",0,SUMIF('MPG Payment '!$E$3:$E$344841,'Shayak Income '!D878,'MPG Payment '!$AC$3:$AC$344841))))+0)+0)+0)+0)+0</f>
        <v>590.18221815829213</v>
      </c>
      <c r="V878" s="127">
        <f t="shared" si="292"/>
        <v>2809</v>
      </c>
      <c r="W878" s="19">
        <f t="shared" si="293"/>
        <v>1861</v>
      </c>
      <c r="X878" s="19">
        <v>0</v>
      </c>
      <c r="Y878" s="128">
        <f>IFERROR(VLOOKUP(D878,'Monthly Deduction'!$M$2:$N$640,2,0),0)</f>
        <v>0</v>
      </c>
      <c r="Z878" s="128">
        <v>0</v>
      </c>
      <c r="AA878" s="126">
        <f>IFERROR(VLOOKUP(D878,'Monthly Deduction'!A:B,2,0),0)</f>
        <v>0</v>
      </c>
      <c r="AB878" s="129">
        <f t="shared" si="287"/>
        <v>948</v>
      </c>
      <c r="AC878" s="130">
        <f t="shared" si="307"/>
        <v>948</v>
      </c>
      <c r="AD878" s="35">
        <f t="shared" si="303"/>
        <v>0</v>
      </c>
      <c r="AE878" s="166" t="str">
        <f t="shared" si="304"/>
        <v>Yes</v>
      </c>
      <c r="AF878" s="127"/>
      <c r="AG878" s="18">
        <v>0</v>
      </c>
      <c r="AH878" s="120" t="s">
        <v>1686</v>
      </c>
      <c r="AI878" s="238">
        <v>10000</v>
      </c>
      <c r="AJ878" s="132"/>
      <c r="AK878" s="151">
        <v>197.29999999999998</v>
      </c>
      <c r="AL878" s="154">
        <f t="shared" si="305"/>
        <v>0</v>
      </c>
      <c r="AM878" s="155"/>
      <c r="AN878" s="19">
        <f t="shared" si="288"/>
        <v>1861</v>
      </c>
      <c r="AO878" s="118">
        <f>SUMIF('MPG Payment '!E:E,'Shayak Income '!D878,'MPG Payment '!AJ:AJ)</f>
        <v>0</v>
      </c>
      <c r="AP878" s="19">
        <f t="shared" si="289"/>
        <v>1861</v>
      </c>
      <c r="AQ878" s="119">
        <f t="shared" si="306"/>
        <v>1861</v>
      </c>
      <c r="AR878" s="91" t="s">
        <v>1144</v>
      </c>
      <c r="AS878" s="91">
        <f t="shared" si="290"/>
        <v>0</v>
      </c>
      <c r="AT878" s="118"/>
      <c r="AU878" s="118"/>
      <c r="AV878" s="118"/>
    </row>
    <row r="879" spans="1:48" s="20" customFormat="1" x14ac:dyDescent="0.25">
      <c r="A879" s="17">
        <f>IFERROR(VLOOKUP(D879,'Monthly Deduction'!$I$3:$J$957,2,0),0)</f>
        <v>62947</v>
      </c>
      <c r="B879" s="17">
        <f>IFERROR(VLOOKUP(D879,'Monthly Deduction'!$E$3:$F$957,2,0),0)</f>
        <v>0</v>
      </c>
      <c r="C879" s="17">
        <f t="shared" si="298"/>
        <v>62947</v>
      </c>
      <c r="D879" s="41">
        <v>10090080</v>
      </c>
      <c r="E879" s="122" t="str">
        <f>VLOOKUP(D879,'MPG Payment '!$E$3:$G$497305,2,0)</f>
        <v>NAWADIH 2</v>
      </c>
      <c r="F879" s="146">
        <f>IFERROR(_xlfn.XLOOKUP(D879,'Monthly Deduction'!$I$3:$I$957,'Monthly Deduction'!$H$3:$H$957),0)</f>
        <v>0</v>
      </c>
      <c r="G879" s="123" t="str">
        <f>VLOOKUP(D879,'MPG Payment '!$E$3:$G$333666,3,0)</f>
        <v>MPG</v>
      </c>
      <c r="H879" s="124" t="str">
        <f>VLOOKUP(D879,'MPG Payment '!$E$3:$H$333666,4,0)</f>
        <v>Direct</v>
      </c>
      <c r="I879" s="88">
        <f>INDEX('MPG Payment '!$C:$C,MATCH('Shayak Income '!D879,'MPG Payment '!E:E,0))</f>
        <v>1009</v>
      </c>
      <c r="J879" s="88" t="str">
        <f>INDEX('MPG Payment '!$D:$D,MATCH('Shayak Income '!D879,'MPG Payment '!E:E,0))</f>
        <v>Halsi</v>
      </c>
      <c r="K879" s="125" t="s">
        <v>1594</v>
      </c>
      <c r="L879" s="125">
        <v>46112</v>
      </c>
      <c r="M879" s="126">
        <f>SUMIF('MPG Payment '!$E$3:$E$344841,'Shayak Income '!D879,'MPG Payment '!$I$3:$I$344841)</f>
        <v>2288.8000000000002</v>
      </c>
      <c r="N879" s="126">
        <f>SUMIF('MPG Payment '!$E$3:$E$344841,'Shayak Income '!D879,'MPG Payment '!$J$3:$J$344841)</f>
        <v>115933</v>
      </c>
      <c r="O879" s="126">
        <f t="shared" si="299"/>
        <v>1716.6000000000001</v>
      </c>
      <c r="P879" s="126">
        <f t="shared" si="300"/>
        <v>2174.36</v>
      </c>
      <c r="Q879" s="126">
        <f>SUMIF('MPG Payment '!$E$3:$E$344841,'Shayak Income '!D879,'MPG Payment '!$S$3:$S$344841)</f>
        <v>0</v>
      </c>
      <c r="R879" s="126">
        <f t="shared" si="301"/>
        <v>3477.99</v>
      </c>
      <c r="S879" s="126">
        <f t="shared" si="302"/>
        <v>1303.6299999999997</v>
      </c>
      <c r="T879" s="126">
        <f t="shared" si="291"/>
        <v>228.88000000000002</v>
      </c>
      <c r="U879" s="127">
        <f>((((((IF(K879="New",0,SUMIF('MPG Payment '!$E$3:$E$344841,'Shayak Income '!D879,'MPG Payment '!$AC$3:$AC$344841))))+0)+0)+0)+0)+0</f>
        <v>515.72114942846179</v>
      </c>
      <c r="V879" s="127">
        <f t="shared" si="292"/>
        <v>3146</v>
      </c>
      <c r="W879" s="19">
        <f t="shared" si="293"/>
        <v>2318.66</v>
      </c>
      <c r="X879" s="19">
        <v>0</v>
      </c>
      <c r="Y879" s="128">
        <f>IFERROR(VLOOKUP(D879,'Monthly Deduction'!$M$2:$N$640,2,0),0)</f>
        <v>0</v>
      </c>
      <c r="Z879" s="128">
        <v>0</v>
      </c>
      <c r="AA879" s="126">
        <f>IFERROR(VLOOKUP(D879,'Monthly Deduction'!A:B,2,0),0)</f>
        <v>0</v>
      </c>
      <c r="AB879" s="129">
        <f t="shared" si="287"/>
        <v>827</v>
      </c>
      <c r="AC879" s="130">
        <f t="shared" si="307"/>
        <v>827</v>
      </c>
      <c r="AD879" s="35">
        <f t="shared" si="303"/>
        <v>0</v>
      </c>
      <c r="AE879" s="166" t="str">
        <f t="shared" si="304"/>
        <v>Yes</v>
      </c>
      <c r="AF879" s="127"/>
      <c r="AG879" s="18">
        <v>0</v>
      </c>
      <c r="AH879" s="120" t="s">
        <v>1683</v>
      </c>
      <c r="AI879" s="238">
        <v>0</v>
      </c>
      <c r="AJ879" s="132"/>
      <c r="AK879" s="151">
        <v>576.29999999999995</v>
      </c>
      <c r="AL879" s="154">
        <f t="shared" si="305"/>
        <v>0</v>
      </c>
      <c r="AM879" s="155"/>
      <c r="AN879" s="19">
        <f t="shared" si="288"/>
        <v>2318.66</v>
      </c>
      <c r="AO879" s="118">
        <f>SUMIF('MPG Payment '!E:E,'Shayak Income '!D879,'MPG Payment '!AJ:AJ)</f>
        <v>0</v>
      </c>
      <c r="AP879" s="19">
        <f t="shared" si="289"/>
        <v>2318.66</v>
      </c>
      <c r="AQ879" s="119">
        <f t="shared" si="306"/>
        <v>2318.66</v>
      </c>
      <c r="AR879" s="91" t="s">
        <v>1144</v>
      </c>
      <c r="AS879" s="91">
        <f t="shared" si="290"/>
        <v>0</v>
      </c>
      <c r="AT879" s="118"/>
      <c r="AU879" s="118"/>
      <c r="AV879" s="118"/>
    </row>
    <row r="880" spans="1:48" s="20" customFormat="1" x14ac:dyDescent="0.25">
      <c r="A880" s="17">
        <f>IFERROR(VLOOKUP(D880,'Monthly Deduction'!$I$3:$J$957,2,0),0)</f>
        <v>0</v>
      </c>
      <c r="B880" s="17">
        <f>IFERROR(VLOOKUP(D880,'Monthly Deduction'!$E$3:$F$957,2,0),0)</f>
        <v>0</v>
      </c>
      <c r="C880" s="17">
        <f t="shared" si="298"/>
        <v>0</v>
      </c>
      <c r="D880" s="41">
        <v>10570062</v>
      </c>
      <c r="E880" s="122" t="str">
        <f>VLOOKUP(D880,'MPG Payment '!$E$3:$G$497305,2,0)</f>
        <v>Ekdara</v>
      </c>
      <c r="F880" s="146">
        <f>IFERROR(_xlfn.XLOOKUP(D880,'Monthly Deduction'!$I$3:$I$957,'Monthly Deduction'!$H$3:$H$957),0)</f>
        <v>0</v>
      </c>
      <c r="G880" s="123" t="str">
        <f>VLOOKUP(D880,'MPG Payment '!$E$3:$G$333666,3,0)</f>
        <v>vlc</v>
      </c>
      <c r="H880" s="124" t="str">
        <f>VLOOKUP(D880,'MPG Payment '!$E$3:$H$333666,4,0)</f>
        <v>Indirect</v>
      </c>
      <c r="I880" s="88">
        <f>INDEX('MPG Payment '!$C:$C,MATCH('Shayak Income '!D880,'MPG Payment '!E:E,0))</f>
        <v>1057</v>
      </c>
      <c r="J880" s="88" t="str">
        <f>INDEX('MPG Payment '!$D:$D,MATCH('Shayak Income '!D880,'MPG Payment '!E:E,0))</f>
        <v>Warisnagar</v>
      </c>
      <c r="K880" s="125" t="s">
        <v>1593</v>
      </c>
      <c r="L880" s="125">
        <v>46149</v>
      </c>
      <c r="M880" s="126">
        <f>SUMIF('MPG Payment '!$E$3:$E$344841,'Shayak Income '!D880,'MPG Payment '!$I$3:$I$344841)</f>
        <v>11879.3</v>
      </c>
      <c r="N880" s="126">
        <f>SUMIF('MPG Payment '!$E$3:$E$344841,'Shayak Income '!D880,'MPG Payment '!$J$3:$J$344841)</f>
        <v>451230.79000000004</v>
      </c>
      <c r="O880" s="126">
        <f t="shared" si="299"/>
        <v>8909.4749999999985</v>
      </c>
      <c r="P880" s="126">
        <f t="shared" si="300"/>
        <v>11285.334999999999</v>
      </c>
      <c r="Q880" s="126">
        <f>SUMIF('MPG Payment '!$E$3:$E$344841,'Shayak Income '!D880,'MPG Payment '!$S$3:$S$344841)</f>
        <v>0</v>
      </c>
      <c r="R880" s="126">
        <f t="shared" si="301"/>
        <v>13536.923700000001</v>
      </c>
      <c r="S880" s="126">
        <f t="shared" si="302"/>
        <v>2251.5887000000021</v>
      </c>
      <c r="T880" s="126">
        <f t="shared" si="291"/>
        <v>1187.93</v>
      </c>
      <c r="U880" s="127">
        <f>((((((IF(K880="New",0,SUMIF('MPG Payment '!$E$3:$E$344841,'Shayak Income '!D880,'MPG Payment '!$AC$3:$AC$344841))))+0)+0)+0)+0)+0</f>
        <v>0</v>
      </c>
      <c r="V880" s="127">
        <f t="shared" si="292"/>
        <v>19007</v>
      </c>
      <c r="W880" s="19">
        <v>0</v>
      </c>
      <c r="X880" s="19">
        <f t="shared" si="295"/>
        <v>0</v>
      </c>
      <c r="Y880" s="128">
        <f>IFERROR(VLOOKUP(D880,'Monthly Deduction'!$M$2:$N$640,2,0),0)</f>
        <v>0</v>
      </c>
      <c r="Z880" s="128">
        <v>0</v>
      </c>
      <c r="AA880" s="126">
        <f>IFERROR(VLOOKUP(D880,'Monthly Deduction'!A:B,2,0),0)</f>
        <v>0</v>
      </c>
      <c r="AB880" s="129">
        <f t="shared" si="287"/>
        <v>19007</v>
      </c>
      <c r="AC880" s="130">
        <v>0</v>
      </c>
      <c r="AD880" s="35">
        <f t="shared" si="303"/>
        <v>19007</v>
      </c>
      <c r="AE880" s="166" t="str">
        <f t="shared" si="304"/>
        <v>Release</v>
      </c>
      <c r="AF880" s="127"/>
      <c r="AG880" s="18">
        <v>0</v>
      </c>
      <c r="AH880" s="120"/>
      <c r="AI880" s="238">
        <v>0</v>
      </c>
      <c r="AJ880" s="132"/>
      <c r="AK880" s="151">
        <v>2995.6000000000004</v>
      </c>
      <c r="AL880" s="154">
        <f t="shared" si="305"/>
        <v>0</v>
      </c>
      <c r="AM880" s="155"/>
      <c r="AN880" s="19">
        <f t="shared" si="288"/>
        <v>0</v>
      </c>
      <c r="AO880" s="118">
        <f>SUMIF('MPG Payment '!E:E,'Shayak Income '!D880,'MPG Payment '!AJ:AJ)</f>
        <v>0</v>
      </c>
      <c r="AP880" s="19">
        <f t="shared" si="289"/>
        <v>0</v>
      </c>
      <c r="AQ880" s="119">
        <f t="shared" si="306"/>
        <v>0</v>
      </c>
      <c r="AR880" s="91" t="s">
        <v>1144</v>
      </c>
      <c r="AS880" s="91">
        <f t="shared" si="290"/>
        <v>0</v>
      </c>
      <c r="AT880" s="118"/>
      <c r="AU880" s="118"/>
      <c r="AV880" s="118"/>
    </row>
    <row r="881" spans="1:48" s="20" customFormat="1" x14ac:dyDescent="0.25">
      <c r="A881" s="17">
        <f>IFERROR(VLOOKUP(D881,'Monthly Deduction'!$I$3:$J$957,2,0),0)</f>
        <v>0</v>
      </c>
      <c r="B881" s="17">
        <f>IFERROR(VLOOKUP(D881,'Monthly Deduction'!$E$3:$F$957,2,0),0)</f>
        <v>0</v>
      </c>
      <c r="C881" s="17">
        <f t="shared" si="298"/>
        <v>0</v>
      </c>
      <c r="D881" s="41">
        <v>10580013</v>
      </c>
      <c r="E881" s="122" t="str">
        <f>VLOOKUP(D881,'MPG Payment '!$E$3:$G$497305,2,0)</f>
        <v>Laxmipur-VLC</v>
      </c>
      <c r="F881" s="146">
        <f>IFERROR(_xlfn.XLOOKUP(D881,'Monthly Deduction'!$I$3:$I$957,'Monthly Deduction'!$H$3:$H$957),0)</f>
        <v>0</v>
      </c>
      <c r="G881" s="123" t="str">
        <f>VLOOKUP(D881,'MPG Payment '!$E$3:$G$333666,3,0)</f>
        <v>vlc</v>
      </c>
      <c r="H881" s="124" t="str">
        <f>VLOOKUP(D881,'MPG Payment '!$E$3:$H$333666,4,0)</f>
        <v>Indirect</v>
      </c>
      <c r="I881" s="88">
        <f>INDEX('MPG Payment '!$C:$C,MATCH('Shayak Income '!D881,'MPG Payment '!E:E,0))</f>
        <v>1058</v>
      </c>
      <c r="J881" s="88" t="str">
        <f>INDEX('MPG Payment '!$D:$D,MATCH('Shayak Income '!D881,'MPG Payment '!E:E,0))</f>
        <v>Hasanpur</v>
      </c>
      <c r="K881" s="125" t="s">
        <v>1594</v>
      </c>
      <c r="L881" s="125">
        <v>46055</v>
      </c>
      <c r="M881" s="126">
        <f>SUMIF('MPG Payment '!$E$3:$E$344841,'Shayak Income '!D881,'MPG Payment '!$I$3:$I$344841)</f>
        <v>722.18999999999983</v>
      </c>
      <c r="N881" s="126">
        <f>SUMIF('MPG Payment '!$E$3:$E$344841,'Shayak Income '!D881,'MPG Payment '!$J$3:$J$344841)</f>
        <v>25646.82</v>
      </c>
      <c r="O881" s="126">
        <f t="shared" si="299"/>
        <v>541.64249999999993</v>
      </c>
      <c r="P881" s="126">
        <f t="shared" si="300"/>
        <v>686.0804999999998</v>
      </c>
      <c r="Q881" s="126">
        <f>SUMIF('MPG Payment '!$E$3:$E$344841,'Shayak Income '!D881,'MPG Payment '!$S$3:$S$344841)</f>
        <v>0</v>
      </c>
      <c r="R881" s="126">
        <f t="shared" si="301"/>
        <v>769.40459999999996</v>
      </c>
      <c r="S881" s="126">
        <f t="shared" si="302"/>
        <v>83.324100000000158</v>
      </c>
      <c r="T881" s="126">
        <f t="shared" si="291"/>
        <v>72.21899999999998</v>
      </c>
      <c r="U881" s="127">
        <f>((((((IF(K881="New",0,SUMIF('MPG Payment '!$E$3:$E$344841,'Shayak Income '!D881,'MPG Payment '!$AC$3:$AC$344841))))+0)+0)+0)+0)+-321</f>
        <v>1155.8922636846851</v>
      </c>
      <c r="V881" s="127">
        <f t="shared" si="292"/>
        <v>0</v>
      </c>
      <c r="W881" s="19">
        <v>0</v>
      </c>
      <c r="X881" s="19">
        <v>0</v>
      </c>
      <c r="Y881" s="128">
        <v>0</v>
      </c>
      <c r="Z881" s="128">
        <v>0</v>
      </c>
      <c r="AA881" s="126">
        <v>0</v>
      </c>
      <c r="AB881" s="129">
        <f t="shared" si="287"/>
        <v>0</v>
      </c>
      <c r="AC881" s="130">
        <v>0</v>
      </c>
      <c r="AD881" s="35">
        <f t="shared" si="303"/>
        <v>0</v>
      </c>
      <c r="AE881" s="166" t="str">
        <f t="shared" si="304"/>
        <v>Release</v>
      </c>
      <c r="AF881" s="127"/>
      <c r="AG881" s="18">
        <v>0</v>
      </c>
      <c r="AH881" s="120"/>
      <c r="AI881" s="238">
        <v>0</v>
      </c>
      <c r="AJ881" s="132"/>
      <c r="AK881" s="151">
        <v>149.28</v>
      </c>
      <c r="AL881" s="154">
        <f t="shared" si="305"/>
        <v>0</v>
      </c>
      <c r="AM881" s="155"/>
      <c r="AN881" s="19">
        <f t="shared" si="288"/>
        <v>0</v>
      </c>
      <c r="AO881" s="118">
        <f>SUMIF('MPG Payment '!E:E,'Shayak Income '!D881,'MPG Payment '!AJ:AJ)</f>
        <v>0</v>
      </c>
      <c r="AP881" s="19">
        <f t="shared" si="289"/>
        <v>0</v>
      </c>
      <c r="AQ881" s="119">
        <f t="shared" si="306"/>
        <v>0</v>
      </c>
      <c r="AR881" s="91" t="s">
        <v>1144</v>
      </c>
      <c r="AS881" s="91">
        <f t="shared" si="290"/>
        <v>0</v>
      </c>
      <c r="AT881" s="118"/>
      <c r="AU881" s="118"/>
      <c r="AV881" s="118"/>
    </row>
    <row r="882" spans="1:48" s="20" customFormat="1" x14ac:dyDescent="0.25">
      <c r="A882" s="17">
        <f>IFERROR(VLOOKUP(D882,'Monthly Deduction'!$I$3:$J$957,2,0),0)</f>
        <v>85000</v>
      </c>
      <c r="B882" s="17">
        <f>IFERROR(VLOOKUP(D882,'Monthly Deduction'!$E$3:$F$957,2,0),0)</f>
        <v>0</v>
      </c>
      <c r="C882" s="17">
        <f t="shared" si="298"/>
        <v>85000</v>
      </c>
      <c r="D882" s="41">
        <v>10640008</v>
      </c>
      <c r="E882" s="122" t="str">
        <f>VLOOKUP(D882,'MPG Payment '!$E$3:$G$497305,2,0)</f>
        <v>BHUSNA</v>
      </c>
      <c r="F882" s="146">
        <f>IFERROR(_xlfn.XLOOKUP(D882,'Monthly Deduction'!$I$3:$I$957,'Monthly Deduction'!$H$3:$H$957),0)</f>
        <v>0</v>
      </c>
      <c r="G882" s="123" t="str">
        <f>VLOOKUP(D882,'MPG Payment '!$E$3:$G$333666,3,0)</f>
        <v>MPG</v>
      </c>
      <c r="H882" s="124" t="str">
        <f>VLOOKUP(D882,'MPG Payment '!$E$3:$H$333666,4,0)</f>
        <v>Direct</v>
      </c>
      <c r="I882" s="88">
        <f>INDEX('MPG Payment '!$C:$C,MATCH('Shayak Income '!D882,'MPG Payment '!E:E,0))</f>
        <v>1062</v>
      </c>
      <c r="J882" s="88" t="str">
        <f>INDEX('MPG Payment '!$D:$D,MATCH('Shayak Income '!D882,'MPG Payment '!E:E,0))</f>
        <v>Singhia BMC</v>
      </c>
      <c r="K882" s="125" t="s">
        <v>1594</v>
      </c>
      <c r="L882" s="125">
        <v>46112</v>
      </c>
      <c r="M882" s="126">
        <f>SUMIF('MPG Payment '!$E$3:$E$344841,'Shayak Income '!D882,'MPG Payment '!$I$3:$I$344841)</f>
        <v>659.21999999999991</v>
      </c>
      <c r="N882" s="126">
        <f>SUMIF('MPG Payment '!$E$3:$E$344841,'Shayak Income '!D882,'MPG Payment '!$J$3:$J$344841)</f>
        <v>29410.480000000003</v>
      </c>
      <c r="O882" s="126">
        <f t="shared" si="299"/>
        <v>494.41499999999996</v>
      </c>
      <c r="P882" s="126">
        <f t="shared" si="300"/>
        <v>626.2589999999999</v>
      </c>
      <c r="Q882" s="126">
        <f>SUMIF('MPG Payment '!$E$3:$E$344841,'Shayak Income '!D882,'MPG Payment '!$S$3:$S$344841)</f>
        <v>0</v>
      </c>
      <c r="R882" s="126">
        <f t="shared" si="301"/>
        <v>882.31440000000009</v>
      </c>
      <c r="S882" s="126">
        <f t="shared" si="302"/>
        <v>256.05540000000019</v>
      </c>
      <c r="T882" s="126">
        <f t="shared" si="291"/>
        <v>65.921999999999997</v>
      </c>
      <c r="U882" s="127">
        <f>((((((IF(K882="New",0,SUMIF('MPG Payment '!$E$3:$E$344841,'Shayak Income '!D882,'MPG Payment '!$AC$3:$AC$344841))))+0)+0)+0)+0)+-856</f>
        <v>1054.5293080376955</v>
      </c>
      <c r="V882" s="127">
        <f t="shared" si="292"/>
        <v>0</v>
      </c>
      <c r="W882" s="19">
        <v>0</v>
      </c>
      <c r="X882" s="19">
        <v>0</v>
      </c>
      <c r="Y882" s="128">
        <v>0</v>
      </c>
      <c r="Z882" s="128">
        <v>0</v>
      </c>
      <c r="AA882" s="126">
        <v>0</v>
      </c>
      <c r="AB882" s="129">
        <f t="shared" si="287"/>
        <v>0</v>
      </c>
      <c r="AC882" s="130">
        <f>AB882</f>
        <v>0</v>
      </c>
      <c r="AD882" s="35">
        <f t="shared" si="303"/>
        <v>0</v>
      </c>
      <c r="AE882" s="166" t="str">
        <f t="shared" si="304"/>
        <v>Release</v>
      </c>
      <c r="AF882" s="127"/>
      <c r="AG882" s="18">
        <v>0</v>
      </c>
      <c r="AH882" s="120" t="s">
        <v>1686</v>
      </c>
      <c r="AI882" s="238">
        <v>20000</v>
      </c>
      <c r="AJ882" s="132"/>
      <c r="AK882" s="151">
        <v>297.76</v>
      </c>
      <c r="AL882" s="154">
        <f t="shared" si="305"/>
        <v>0</v>
      </c>
      <c r="AM882" s="155"/>
      <c r="AN882" s="19">
        <f t="shared" si="288"/>
        <v>1861</v>
      </c>
      <c r="AO882" s="118">
        <f>SUMIF('MPG Payment '!E:E,'Shayak Income '!D882,'MPG Payment '!AJ:AJ)</f>
        <v>0</v>
      </c>
      <c r="AP882" s="19">
        <f t="shared" si="289"/>
        <v>0</v>
      </c>
      <c r="AQ882" s="119">
        <f t="shared" si="306"/>
        <v>0</v>
      </c>
      <c r="AR882" s="91" t="s">
        <v>1144</v>
      </c>
      <c r="AS882" s="91">
        <f t="shared" si="290"/>
        <v>0</v>
      </c>
      <c r="AT882" s="118"/>
      <c r="AU882" s="118"/>
      <c r="AV882" s="118"/>
    </row>
    <row r="883" spans="1:48" s="20" customFormat="1" x14ac:dyDescent="0.25">
      <c r="A883" s="17">
        <f>IFERROR(VLOOKUP(D883,'Monthly Deduction'!$I$3:$J$957,2,0),0)</f>
        <v>0</v>
      </c>
      <c r="B883" s="17">
        <f>IFERROR(VLOOKUP(D883,'Monthly Deduction'!$E$3:$F$957,2,0),0)</f>
        <v>0</v>
      </c>
      <c r="C883" s="17">
        <f t="shared" si="298"/>
        <v>0</v>
      </c>
      <c r="D883" s="41">
        <v>10020052</v>
      </c>
      <c r="E883" s="122" t="str">
        <f>VLOOKUP(D883,'MPG Payment '!$E$3:$G$497305,2,0)</f>
        <v>Chetan Tola - Ravi</v>
      </c>
      <c r="F883" s="146">
        <f>IFERROR(_xlfn.XLOOKUP(D883,'Monthly Deduction'!$I$3:$I$957,'Monthly Deduction'!$H$3:$H$957),0)</f>
        <v>0</v>
      </c>
      <c r="G883" s="123" t="str">
        <f>VLOOKUP(D883,'MPG Payment '!$E$3:$G$333666,3,0)</f>
        <v>vlc</v>
      </c>
      <c r="H883" s="124" t="str">
        <f>VLOOKUP(D883,'MPG Payment '!$E$3:$H$333666,4,0)</f>
        <v>Indirect</v>
      </c>
      <c r="I883" s="88">
        <f>INDEX('MPG Payment '!$C:$C,MATCH('Shayak Income '!D883,'MPG Payment '!E:E,0))</f>
        <v>1002</v>
      </c>
      <c r="J883" s="88" t="str">
        <f>INDEX('MPG Payment '!$D:$D,MATCH('Shayak Income '!D883,'MPG Payment '!E:E,0))</f>
        <v>Laldiyara</v>
      </c>
      <c r="K883" s="125" t="s">
        <v>1594</v>
      </c>
      <c r="L883" s="125">
        <v>44652</v>
      </c>
      <c r="M883" s="126">
        <f>SUMIF('MPG Payment '!$E$3:$E$344841,'Shayak Income '!D883,'MPG Payment '!$I$3:$I$344841)</f>
        <v>1843.7</v>
      </c>
      <c r="N883" s="126">
        <f>SUMIF('MPG Payment '!$E$3:$E$344841,'Shayak Income '!D883,'MPG Payment '!$J$3:$J$344841)</f>
        <v>105234.12</v>
      </c>
      <c r="O883" s="126">
        <f t="shared" si="299"/>
        <v>1382.7750000000001</v>
      </c>
      <c r="P883" s="126">
        <f t="shared" si="300"/>
        <v>1751.5149999999999</v>
      </c>
      <c r="Q883" s="126">
        <f>SUMIF('MPG Payment '!$E$3:$E$344841,'Shayak Income '!D883,'MPG Payment '!$S$3:$S$344841)</f>
        <v>0</v>
      </c>
      <c r="R883" s="126">
        <f t="shared" si="301"/>
        <v>3157.0235999999995</v>
      </c>
      <c r="S883" s="126">
        <f t="shared" si="302"/>
        <v>1405.5085999999997</v>
      </c>
      <c r="T883" s="126">
        <f t="shared" si="291"/>
        <v>184.37</v>
      </c>
      <c r="U883" s="127">
        <f>((((((IF(K883="New",0,SUMIF('MPG Payment '!$E$3:$E$344841,'Shayak Income '!D883,'MPG Payment '!$AC$3:$AC$344841))))+0)+0)+0)+0)+0</f>
        <v>1134.2121234671793</v>
      </c>
      <c r="V883" s="127">
        <f t="shared" si="292"/>
        <v>1816</v>
      </c>
      <c r="W883" s="19">
        <f t="shared" si="293"/>
        <v>0</v>
      </c>
      <c r="X883" s="19">
        <f t="shared" si="295"/>
        <v>0</v>
      </c>
      <c r="Y883" s="128">
        <f>IFERROR(VLOOKUP(D883,'Monthly Deduction'!$M$2:$N$640,2,0),0)</f>
        <v>0</v>
      </c>
      <c r="Z883" s="128">
        <v>0</v>
      </c>
      <c r="AA883" s="126">
        <f>IFERROR(VLOOKUP(D883,'Monthly Deduction'!A:B,2,0),0)</f>
        <v>0</v>
      </c>
      <c r="AB883" s="129">
        <f t="shared" si="287"/>
        <v>1816</v>
      </c>
      <c r="AC883" s="130">
        <v>0</v>
      </c>
      <c r="AD883" s="35">
        <f t="shared" si="303"/>
        <v>1816</v>
      </c>
      <c r="AE883" s="166" t="str">
        <f t="shared" si="304"/>
        <v>Release</v>
      </c>
      <c r="AF883" s="127"/>
      <c r="AG883" s="18">
        <v>0</v>
      </c>
      <c r="AH883" s="120"/>
      <c r="AI883" s="238">
        <v>0</v>
      </c>
      <c r="AJ883" s="132"/>
      <c r="AK883" s="151">
        <v>71</v>
      </c>
      <c r="AL883" s="154">
        <f t="shared" si="305"/>
        <v>0</v>
      </c>
      <c r="AM883" s="155"/>
      <c r="AN883" s="19">
        <f t="shared" si="288"/>
        <v>0</v>
      </c>
      <c r="AO883" s="118">
        <f>SUMIF('MPG Payment '!E:E,'Shayak Income '!D883,'MPG Payment '!AJ:AJ)</f>
        <v>0</v>
      </c>
      <c r="AP883" s="19">
        <f t="shared" si="289"/>
        <v>0</v>
      </c>
      <c r="AQ883" s="119">
        <f t="shared" si="306"/>
        <v>0</v>
      </c>
      <c r="AR883" s="91" t="s">
        <v>1144</v>
      </c>
      <c r="AS883" s="91">
        <f t="shared" si="290"/>
        <v>0</v>
      </c>
      <c r="AT883" s="118"/>
      <c r="AU883" s="118"/>
      <c r="AV883" s="118"/>
    </row>
    <row r="884" spans="1:48" s="20" customFormat="1" x14ac:dyDescent="0.25">
      <c r="A884" s="17">
        <f>IFERROR(VLOOKUP(D884,'Monthly Deduction'!$I$3:$J$957,2,0),0)</f>
        <v>65000</v>
      </c>
      <c r="B884" s="17">
        <f>IFERROR(VLOOKUP(D884,'Monthly Deduction'!$E$3:$F$957,2,0),0)</f>
        <v>0</v>
      </c>
      <c r="C884" s="17">
        <f t="shared" si="263"/>
        <v>65000</v>
      </c>
      <c r="D884" s="41">
        <v>10020087</v>
      </c>
      <c r="E884" s="122" t="str">
        <f>VLOOKUP(D884,'MPG Payment '!$E$3:$G$497305,2,0)</f>
        <v>HIRDANBIGHA</v>
      </c>
      <c r="F884" s="146">
        <f>IFERROR(_xlfn.XLOOKUP(D884,'Monthly Deduction'!$I$3:$I$957,'Monthly Deduction'!$H$3:$H$957),0)</f>
        <v>0</v>
      </c>
      <c r="G884" s="123" t="str">
        <f>VLOOKUP(D884,'MPG Payment '!$E$3:$G$333666,3,0)</f>
        <v>MPG</v>
      </c>
      <c r="H884" s="124" t="str">
        <f>VLOOKUP(D884,'MPG Payment '!$E$3:$H$333666,4,0)</f>
        <v>Direct</v>
      </c>
      <c r="I884" s="88">
        <f>INDEX('MPG Payment '!$C:$C,MATCH('Shayak Income '!D884,'MPG Payment '!E:E,0))</f>
        <v>1002</v>
      </c>
      <c r="J884" s="88" t="str">
        <f>INDEX('MPG Payment '!$D:$D,MATCH('Shayak Income '!D884,'MPG Payment '!E:E,0))</f>
        <v>Laldiyara</v>
      </c>
      <c r="K884" s="125" t="s">
        <v>1593</v>
      </c>
      <c r="L884" s="125">
        <v>46152</v>
      </c>
      <c r="M884" s="126">
        <f>SUMIF('MPG Payment '!$E$3:$E$344841,'Shayak Income '!D884,'MPG Payment '!$I$3:$I$344841)</f>
        <v>2963.2000000000003</v>
      </c>
      <c r="N884" s="126">
        <f>SUMIF('MPG Payment '!$E$3:$E$344841,'Shayak Income '!D884,'MPG Payment '!$J$3:$J$344841)</f>
        <v>122162.13000000002</v>
      </c>
      <c r="O884" s="126">
        <f t="shared" si="250"/>
        <v>2222.4</v>
      </c>
      <c r="P884" s="126">
        <f t="shared" si="251"/>
        <v>2815.04</v>
      </c>
      <c r="Q884" s="126">
        <f>SUMIF('MPG Payment '!$E$3:$E$344841,'Shayak Income '!D884,'MPG Payment '!$S$3:$S$344841)</f>
        <v>0</v>
      </c>
      <c r="R884" s="126">
        <f t="shared" si="240"/>
        <v>3664.8639000000003</v>
      </c>
      <c r="S884" s="126">
        <f t="shared" si="241"/>
        <v>849.82390000000032</v>
      </c>
      <c r="T884" s="126">
        <f t="shared" si="291"/>
        <v>296.32000000000005</v>
      </c>
      <c r="U884" s="127">
        <f>((((((IF(K884="New",0,SUMIF('MPG Payment '!$E$3:$E$344841,'Shayak Income '!D884,'MPG Payment '!$AC$3:$AC$344841))))+0)+0)+0)+0)+0</f>
        <v>0</v>
      </c>
      <c r="V884" s="127">
        <f t="shared" si="292"/>
        <v>4741</v>
      </c>
      <c r="W884" s="19">
        <v>0</v>
      </c>
      <c r="X884" s="19">
        <f t="shared" si="295"/>
        <v>0</v>
      </c>
      <c r="Y884" s="128">
        <f>IFERROR(VLOOKUP(D884,'Monthly Deduction'!$M$2:$N$640,2,0),0)</f>
        <v>0</v>
      </c>
      <c r="Z884" s="128">
        <v>0</v>
      </c>
      <c r="AA884" s="126">
        <f>IFERROR(VLOOKUP(D884,'Monthly Deduction'!A:B,2,0),0)</f>
        <v>141.6</v>
      </c>
      <c r="AB884" s="129">
        <f t="shared" si="287"/>
        <v>4599</v>
      </c>
      <c r="AC884" s="130">
        <f>AB884</f>
        <v>4599</v>
      </c>
      <c r="AD884" s="35">
        <f t="shared" si="264"/>
        <v>0</v>
      </c>
      <c r="AE884" s="166" t="str">
        <f t="shared" si="256"/>
        <v>Yes</v>
      </c>
      <c r="AF884" s="127"/>
      <c r="AG884" s="18">
        <v>0</v>
      </c>
      <c r="AH884" s="120" t="s">
        <v>1683</v>
      </c>
      <c r="AI884" s="238">
        <v>0</v>
      </c>
      <c r="AJ884" s="132"/>
      <c r="AK884" s="151">
        <v>723.4</v>
      </c>
      <c r="AL884" s="154">
        <f t="shared" si="265"/>
        <v>0</v>
      </c>
      <c r="AM884" s="155"/>
      <c r="AN884" s="19">
        <f t="shared" si="288"/>
        <v>2443.2426000000005</v>
      </c>
      <c r="AO884" s="118">
        <f>SUMIF('MPG Payment '!E:E,'Shayak Income '!D884,'MPG Payment '!AJ:AJ)</f>
        <v>0</v>
      </c>
      <c r="AP884" s="19">
        <f t="shared" si="289"/>
        <v>0</v>
      </c>
      <c r="AQ884" s="119">
        <f t="shared" si="266"/>
        <v>0</v>
      </c>
      <c r="AR884" s="91" t="s">
        <v>1144</v>
      </c>
      <c r="AS884" s="91">
        <f t="shared" si="290"/>
        <v>0</v>
      </c>
      <c r="AT884" s="118"/>
      <c r="AU884" s="118"/>
      <c r="AV884" s="118"/>
    </row>
    <row r="885" spans="1:48" s="20" customFormat="1" x14ac:dyDescent="0.25">
      <c r="A885" s="17">
        <f>IFERROR(VLOOKUP(D885,'Monthly Deduction'!$I$3:$J$957,2,0),0)</f>
        <v>0</v>
      </c>
      <c r="B885" s="17">
        <f>IFERROR(VLOOKUP(D885,'Monthly Deduction'!$E$3:$F$957,2,0),0)</f>
        <v>0</v>
      </c>
      <c r="C885" s="17">
        <f t="shared" si="263"/>
        <v>0</v>
      </c>
      <c r="D885" s="41">
        <v>10100028</v>
      </c>
      <c r="E885" s="122" t="str">
        <f>VLOOKUP(D885,'MPG Payment '!$E$3:$G$497305,2,0)</f>
        <v>Gomukh Muradpur Deepak</v>
      </c>
      <c r="F885" s="146">
        <f>IFERROR(_xlfn.XLOOKUP(D885,'Monthly Deduction'!$I$3:$I$957,'Monthly Deduction'!$H$3:$H$957),0)</f>
        <v>0</v>
      </c>
      <c r="G885" s="123" t="str">
        <f>VLOOKUP(D885,'MPG Payment '!$E$3:$G$333666,3,0)</f>
        <v>vlc</v>
      </c>
      <c r="H885" s="124" t="str">
        <f>VLOOKUP(D885,'MPG Payment '!$E$3:$H$333666,4,0)</f>
        <v>Indirect</v>
      </c>
      <c r="I885" s="88">
        <f>INDEX('MPG Payment '!$C:$C,MATCH('Shayak Income '!D885,'MPG Payment '!E:E,0))</f>
        <v>1010</v>
      </c>
      <c r="J885" s="88" t="str">
        <f>INDEX('MPG Payment '!$D:$D,MATCH('Shayak Income '!D885,'MPG Payment '!E:E,0))</f>
        <v>Parbatta</v>
      </c>
      <c r="K885" s="125" t="s">
        <v>1594</v>
      </c>
      <c r="L885" s="125">
        <v>45149</v>
      </c>
      <c r="M885" s="126">
        <f>SUMIF('MPG Payment '!$E$3:$E$344841,'Shayak Income '!D885,'MPG Payment '!$I$3:$I$344841)</f>
        <v>1602.1</v>
      </c>
      <c r="N885" s="126">
        <f>SUMIF('MPG Payment '!$E$3:$E$344841,'Shayak Income '!D885,'MPG Payment '!$J$3:$J$344841)</f>
        <v>55927.679999999993</v>
      </c>
      <c r="O885" s="126">
        <f t="shared" si="250"/>
        <v>1201.5749999999998</v>
      </c>
      <c r="P885" s="126">
        <f t="shared" si="251"/>
        <v>1521.9949999999999</v>
      </c>
      <c r="Q885" s="126">
        <f>SUMIF('MPG Payment '!$E$3:$E$344841,'Shayak Income '!D885,'MPG Payment '!$S$3:$S$344841)</f>
        <v>0</v>
      </c>
      <c r="R885" s="126">
        <f t="shared" si="240"/>
        <v>1677.8303999999998</v>
      </c>
      <c r="S885" s="126">
        <f t="shared" si="241"/>
        <v>155.83539999999994</v>
      </c>
      <c r="T885" s="126">
        <f t="shared" si="291"/>
        <v>160.21</v>
      </c>
      <c r="U885" s="127">
        <f>((((((IF(K885="New",0,SUMIF('MPG Payment '!$E$3:$E$344841,'Shayak Income '!D885,'MPG Payment '!$AC$3:$AC$344841))))+0)+0)+0)+0)+0</f>
        <v>836.79382365124934</v>
      </c>
      <c r="V885" s="127">
        <f t="shared" si="292"/>
        <v>1727</v>
      </c>
      <c r="W885" s="19">
        <f t="shared" si="293"/>
        <v>0</v>
      </c>
      <c r="X885" s="19">
        <f t="shared" si="295"/>
        <v>0</v>
      </c>
      <c r="Y885" s="128">
        <f>IFERROR(VLOOKUP(D885,'Monthly Deduction'!$M$2:$N$640,2,0),0)</f>
        <v>0</v>
      </c>
      <c r="Z885" s="128">
        <v>0</v>
      </c>
      <c r="AA885" s="126">
        <f>IFERROR(VLOOKUP(D885,'Monthly Deduction'!A:B,2,0),0)</f>
        <v>0</v>
      </c>
      <c r="AB885" s="129">
        <f t="shared" si="287"/>
        <v>1727</v>
      </c>
      <c r="AC885" s="130">
        <v>0</v>
      </c>
      <c r="AD885" s="35">
        <f t="shared" si="264"/>
        <v>1727</v>
      </c>
      <c r="AE885" s="166" t="str">
        <f t="shared" si="256"/>
        <v>Release</v>
      </c>
      <c r="AF885" s="127"/>
      <c r="AG885" s="18">
        <v>0</v>
      </c>
      <c r="AH885" s="132"/>
      <c r="AI885" s="238">
        <v>0</v>
      </c>
      <c r="AJ885" s="132"/>
      <c r="AK885" s="151">
        <v>213.3</v>
      </c>
      <c r="AL885" s="154">
        <f t="shared" si="265"/>
        <v>0</v>
      </c>
      <c r="AM885" s="155"/>
      <c r="AN885" s="19">
        <f t="shared" si="288"/>
        <v>0</v>
      </c>
      <c r="AO885" s="118">
        <f>SUMIF('MPG Payment '!E:E,'Shayak Income '!D885,'MPG Payment '!AJ:AJ)</f>
        <v>0</v>
      </c>
      <c r="AP885" s="19">
        <f t="shared" si="289"/>
        <v>0</v>
      </c>
      <c r="AQ885" s="119">
        <f t="shared" si="266"/>
        <v>0</v>
      </c>
      <c r="AR885" s="91" t="s">
        <v>1144</v>
      </c>
      <c r="AS885" s="91">
        <f t="shared" si="290"/>
        <v>0</v>
      </c>
      <c r="AT885" s="118"/>
      <c r="AU885" s="118"/>
      <c r="AV885" s="118"/>
    </row>
    <row r="886" spans="1:48" s="20" customFormat="1" x14ac:dyDescent="0.25">
      <c r="A886" s="17">
        <f>IFERROR(VLOOKUP(D886,'Monthly Deduction'!$I$3:$J$957,2,0),0)</f>
        <v>85000</v>
      </c>
      <c r="B886" s="17">
        <f>IFERROR(VLOOKUP(D886,'Monthly Deduction'!$E$3:$F$957,2,0),0)</f>
        <v>0</v>
      </c>
      <c r="C886" s="17">
        <f t="shared" ref="C886" si="308">A886+B886</f>
        <v>85000</v>
      </c>
      <c r="D886" s="41">
        <v>10130120</v>
      </c>
      <c r="E886" s="122" t="str">
        <f>VLOOKUP(D886,'MPG Payment '!$E$3:$G$497305,2,0)</f>
        <v>GOMUKH KAMTAUL</v>
      </c>
      <c r="F886" s="146">
        <f>IFERROR(_xlfn.XLOOKUP(D886,'Monthly Deduction'!$I$3:$I$957,'Monthly Deduction'!$H$3:$H$957),0)</f>
        <v>0</v>
      </c>
      <c r="G886" s="123" t="str">
        <f>VLOOKUP(D886,'MPG Payment '!$E$3:$G$333666,3,0)</f>
        <v>MPG</v>
      </c>
      <c r="H886" s="124" t="str">
        <f>VLOOKUP(D886,'MPG Payment '!$E$3:$H$333666,4,0)</f>
        <v>Direct</v>
      </c>
      <c r="I886" s="88">
        <f>INDEX('MPG Payment '!$C:$C,MATCH('Shayak Income '!D886,'MPG Payment '!E:E,0))</f>
        <v>1013</v>
      </c>
      <c r="J886" s="88" t="str">
        <f>INDEX('MPG Payment '!$D:$D,MATCH('Shayak Income '!D886,'MPG Payment '!E:E,0))</f>
        <v>Musrigharari</v>
      </c>
      <c r="K886" s="125" t="s">
        <v>1593</v>
      </c>
      <c r="L886" s="125">
        <v>46150</v>
      </c>
      <c r="M886" s="126">
        <f>SUMIF('MPG Payment '!$E$3:$E$344841,'Shayak Income '!D886,'MPG Payment '!$I$3:$I$344841)</f>
        <v>2033.5</v>
      </c>
      <c r="N886" s="126">
        <f>SUMIF('MPG Payment '!$E$3:$E$344841,'Shayak Income '!D886,'MPG Payment '!$J$3:$J$344841)</f>
        <v>83659.17</v>
      </c>
      <c r="O886" s="126">
        <f t="shared" si="250"/>
        <v>1525.125</v>
      </c>
      <c r="P886" s="126">
        <f t="shared" si="251"/>
        <v>1931.8249999999998</v>
      </c>
      <c r="Q886" s="126">
        <f>SUMIF('MPG Payment '!$E$3:$E$344841,'Shayak Income '!D886,'MPG Payment '!$S$3:$S$344841)</f>
        <v>1119.3200000000002</v>
      </c>
      <c r="R886" s="126">
        <f t="shared" si="240"/>
        <v>2509.7750999999998</v>
      </c>
      <c r="S886" s="126">
        <f t="shared" si="241"/>
        <v>577.95010000000002</v>
      </c>
      <c r="T886" s="126">
        <f t="shared" si="291"/>
        <v>203.35000000000002</v>
      </c>
      <c r="U886" s="127">
        <f>((((((IF(K886="New",0,SUMIF('MPG Payment '!$E$3:$E$344841,'Shayak Income '!D886,'MPG Payment '!$AC$3:$AC$344841))))+0)+0)+0)+0)+0</f>
        <v>0</v>
      </c>
      <c r="V886" s="127">
        <f t="shared" si="292"/>
        <v>4373</v>
      </c>
      <c r="W886" s="19">
        <v>0</v>
      </c>
      <c r="X886" s="19">
        <f t="shared" si="295"/>
        <v>0</v>
      </c>
      <c r="Y886" s="128">
        <f>IFERROR(VLOOKUP(D886,'Monthly Deduction'!$M$2:$N$640,2,0),0)</f>
        <v>0</v>
      </c>
      <c r="Z886" s="128">
        <v>0</v>
      </c>
      <c r="AA886" s="126">
        <f>IFERROR(VLOOKUP(D886,'Monthly Deduction'!A:B,2,0),0)</f>
        <v>219.60000000000002</v>
      </c>
      <c r="AB886" s="129">
        <f t="shared" si="287"/>
        <v>4153</v>
      </c>
      <c r="AC886" s="130">
        <f>AB886</f>
        <v>4153</v>
      </c>
      <c r="AD886" s="35">
        <f t="shared" ref="AD886" si="309">ROUND(AB886-AC886,0)</f>
        <v>0</v>
      </c>
      <c r="AE886" s="166" t="str">
        <f t="shared" si="256"/>
        <v>Yes</v>
      </c>
      <c r="AF886" s="127"/>
      <c r="AG886" s="18">
        <v>0</v>
      </c>
      <c r="AH886" s="120" t="s">
        <v>1686</v>
      </c>
      <c r="AI886" s="238">
        <v>20000</v>
      </c>
      <c r="AJ886" s="132"/>
      <c r="AK886" s="151">
        <v>595.69999999999993</v>
      </c>
      <c r="AL886" s="154">
        <f t="shared" ref="AL886" si="310">COUNTIF(AK886:AK886,"=NA")</f>
        <v>0</v>
      </c>
      <c r="AM886" s="155"/>
      <c r="AN886" s="19">
        <f t="shared" si="288"/>
        <v>1861</v>
      </c>
      <c r="AO886" s="118">
        <f>SUMIF('MPG Payment '!E:E,'Shayak Income '!D886,'MPG Payment '!AJ:AJ)</f>
        <v>0</v>
      </c>
      <c r="AP886" s="19">
        <f t="shared" si="289"/>
        <v>0</v>
      </c>
      <c r="AQ886" s="119">
        <f t="shared" ref="AQ886" si="311">AO886+AP886</f>
        <v>0</v>
      </c>
      <c r="AR886" s="91" t="s">
        <v>1144</v>
      </c>
      <c r="AS886" s="91">
        <f t="shared" si="290"/>
        <v>0</v>
      </c>
      <c r="AT886" s="118"/>
      <c r="AU886" s="118"/>
      <c r="AV886" s="118"/>
    </row>
    <row r="887" spans="1:48" s="20" customFormat="1" x14ac:dyDescent="0.25">
      <c r="A887" s="17">
        <f>IFERROR(VLOOKUP(D887,'Monthly Deduction'!$I$3:$J$957,2,0),0)</f>
        <v>0</v>
      </c>
      <c r="B887" s="17">
        <f>IFERROR(VLOOKUP(D887,'Monthly Deduction'!$E$3:$F$957,2,0),0)</f>
        <v>0</v>
      </c>
      <c r="C887" s="17">
        <f t="shared" ref="C887:C947" si="312">A887+B887</f>
        <v>0</v>
      </c>
      <c r="D887" s="41">
        <v>10530088</v>
      </c>
      <c r="E887" s="122" t="str">
        <f>VLOOKUP(D887,'MPG Payment '!$E$3:$G$497305,2,0)</f>
        <v>DIH LAHI</v>
      </c>
      <c r="F887" s="146">
        <f>IFERROR(_xlfn.XLOOKUP(D887,'Monthly Deduction'!$I$3:$I$957,'Monthly Deduction'!$H$3:$H$957),0)</f>
        <v>0</v>
      </c>
      <c r="G887" s="123" t="str">
        <f>VLOOKUP(D887,'MPG Payment '!$E$3:$G$333666,3,0)</f>
        <v>vlc</v>
      </c>
      <c r="H887" s="124" t="str">
        <f>VLOOKUP(D887,'MPG Payment '!$E$3:$H$333666,4,0)</f>
        <v>Indirect</v>
      </c>
      <c r="I887" s="88">
        <f>INDEX('MPG Payment '!$C:$C,MATCH('Shayak Income '!D887,'MPG Payment '!E:E,0))</f>
        <v>1066</v>
      </c>
      <c r="J887" s="88" t="str">
        <f>INDEX('MPG Payment '!$D:$D,MATCH('Shayak Income '!D887,'MPG Payment '!E:E,0))</f>
        <v>Gaighat</v>
      </c>
      <c r="K887" s="125" t="s">
        <v>1594</v>
      </c>
      <c r="L887" s="125">
        <v>45917</v>
      </c>
      <c r="M887" s="126">
        <f>SUMIF('MPG Payment '!$E$3:$E$344841,'Shayak Income '!D887,'MPG Payment '!$I$3:$I$344841)</f>
        <v>1926.48</v>
      </c>
      <c r="N887" s="126">
        <f>SUMIF('MPG Payment '!$E$3:$E$344841,'Shayak Income '!D887,'MPG Payment '!$J$3:$J$344841)</f>
        <v>88884.160000000003</v>
      </c>
      <c r="O887" s="126">
        <f t="shared" ref="O887:O947" si="313">+M887*0.75</f>
        <v>1444.8600000000001</v>
      </c>
      <c r="P887" s="126">
        <f t="shared" ref="P887:P947" si="314">+M887*0.95</f>
        <v>1830.1559999999999</v>
      </c>
      <c r="Q887" s="126">
        <f>SUMIF('MPG Payment '!$E$3:$E$344841,'Shayak Income '!D887,'MPG Payment '!$S$3:$S$344841)</f>
        <v>0</v>
      </c>
      <c r="R887" s="126">
        <f t="shared" ref="R887:R947" si="315">+N887*3%</f>
        <v>2666.5248000000001</v>
      </c>
      <c r="S887" s="126">
        <f t="shared" ref="S887:S947" si="316">R887-P887</f>
        <v>836.36880000000019</v>
      </c>
      <c r="T887" s="126">
        <f t="shared" si="291"/>
        <v>192.64800000000002</v>
      </c>
      <c r="U887" s="127">
        <f>((((((IF(K887="New",0,SUMIF('MPG Payment '!$E$3:$E$344841,'Shayak Income '!D887,'MPG Payment '!$AC$3:$AC$344841))))+0)+0)+0)+0)+0</f>
        <v>842.33021054214987</v>
      </c>
      <c r="V887" s="127">
        <f t="shared" si="292"/>
        <v>2240</v>
      </c>
      <c r="W887" s="19">
        <f t="shared" si="293"/>
        <v>0</v>
      </c>
      <c r="X887" s="19">
        <f t="shared" si="295"/>
        <v>0</v>
      </c>
      <c r="Y887" s="128">
        <f>IFERROR(VLOOKUP(D887,'Monthly Deduction'!$M$2:$N$640,2,0),0)</f>
        <v>0</v>
      </c>
      <c r="Z887" s="128">
        <v>0</v>
      </c>
      <c r="AA887" s="126">
        <f>IFERROR(VLOOKUP(D887,'Monthly Deduction'!A:B,2,0),0)</f>
        <v>0</v>
      </c>
      <c r="AB887" s="129">
        <f t="shared" si="287"/>
        <v>2240</v>
      </c>
      <c r="AC887" s="130">
        <v>0</v>
      </c>
      <c r="AD887" s="35">
        <f t="shared" ref="AD887:AD947" si="317">ROUND(AB887-AC887,0)</f>
        <v>2240</v>
      </c>
      <c r="AE887" s="166" t="str">
        <f t="shared" ref="AE887:AE947" si="318">IF(AC887&lt;&gt;0,"Yes","Release")</f>
        <v>Release</v>
      </c>
      <c r="AF887" s="127"/>
      <c r="AG887" s="18">
        <v>0</v>
      </c>
      <c r="AH887" s="120"/>
      <c r="AI887" s="238">
        <v>0</v>
      </c>
      <c r="AJ887" s="132"/>
      <c r="AK887" s="151">
        <v>694</v>
      </c>
      <c r="AL887" s="154">
        <f t="shared" ref="AL887:AL947" si="319">COUNTIF(AK887:AK887,"=NA")</f>
        <v>0</v>
      </c>
      <c r="AM887" s="155"/>
      <c r="AN887" s="19">
        <f t="shared" si="288"/>
        <v>0</v>
      </c>
      <c r="AO887" s="118">
        <f>SUMIF('MPG Payment '!E:E,'Shayak Income '!D887,'MPG Payment '!AJ:AJ)</f>
        <v>0</v>
      </c>
      <c r="AP887" s="19">
        <f t="shared" si="289"/>
        <v>0</v>
      </c>
      <c r="AQ887" s="119">
        <f t="shared" ref="AQ887:AQ947" si="320">AO887+AP887</f>
        <v>0</v>
      </c>
      <c r="AR887" s="91" t="s">
        <v>1144</v>
      </c>
      <c r="AS887" s="91">
        <f t="shared" si="290"/>
        <v>0</v>
      </c>
      <c r="AT887" s="118"/>
      <c r="AU887" s="118"/>
      <c r="AV887" s="118"/>
    </row>
    <row r="888" spans="1:48" s="20" customFormat="1" x14ac:dyDescent="0.25">
      <c r="A888" s="17">
        <f>IFERROR(VLOOKUP(D888,'Monthly Deduction'!$I$3:$J$957,2,0),0)</f>
        <v>65000</v>
      </c>
      <c r="B888" s="17">
        <f>IFERROR(VLOOKUP(D888,'Monthly Deduction'!$E$3:$F$957,2,0),0)</f>
        <v>0</v>
      </c>
      <c r="C888" s="17">
        <f t="shared" si="312"/>
        <v>65000</v>
      </c>
      <c r="D888" s="41">
        <v>10530114</v>
      </c>
      <c r="E888" s="122" t="str">
        <f>VLOOKUP(D888,'MPG Payment '!$E$3:$G$497305,2,0)</f>
        <v>GOMUKH BANDRA W-9</v>
      </c>
      <c r="F888" s="146">
        <f>IFERROR(_xlfn.XLOOKUP(D888,'Monthly Deduction'!$I$3:$I$957,'Monthly Deduction'!$H$3:$H$957),0)</f>
        <v>0</v>
      </c>
      <c r="G888" s="123" t="str">
        <f>VLOOKUP(D888,'MPG Payment '!$E$3:$G$333666,3,0)</f>
        <v>MPG</v>
      </c>
      <c r="H888" s="124" t="str">
        <f>VLOOKUP(D888,'MPG Payment '!$E$3:$H$333666,4,0)</f>
        <v>Direct</v>
      </c>
      <c r="I888" s="88">
        <f>INDEX('MPG Payment '!$C:$C,MATCH('Shayak Income '!D888,'MPG Payment '!E:E,0))</f>
        <v>1053</v>
      </c>
      <c r="J888" s="88" t="str">
        <f>INDEX('MPG Payment '!$D:$D,MATCH('Shayak Income '!D888,'MPG Payment '!E:E,0))</f>
        <v>Kalyanpur</v>
      </c>
      <c r="K888" s="125" t="s">
        <v>1593</v>
      </c>
      <c r="L888" s="125">
        <v>46153</v>
      </c>
      <c r="M888" s="126">
        <f>SUMIF('MPG Payment '!$E$3:$E$344841,'Shayak Income '!D888,'MPG Payment '!$I$3:$I$344841)</f>
        <v>1727.7000000000003</v>
      </c>
      <c r="N888" s="126">
        <f>SUMIF('MPG Payment '!$E$3:$E$344841,'Shayak Income '!D888,'MPG Payment '!$J$3:$J$344841)</f>
        <v>76602.36</v>
      </c>
      <c r="O888" s="126">
        <f t="shared" si="313"/>
        <v>1295.7750000000001</v>
      </c>
      <c r="P888" s="126">
        <f t="shared" si="314"/>
        <v>1641.3150000000003</v>
      </c>
      <c r="Q888" s="126">
        <f>SUMIF('MPG Payment '!$E$3:$E$344841,'Shayak Income '!D888,'MPG Payment '!$S$3:$S$344841)</f>
        <v>1100.1399999999999</v>
      </c>
      <c r="R888" s="126">
        <f t="shared" si="315"/>
        <v>2298.0708</v>
      </c>
      <c r="S888" s="126">
        <f t="shared" si="316"/>
        <v>656.75579999999968</v>
      </c>
      <c r="T888" s="126">
        <f t="shared" si="291"/>
        <v>172.77000000000004</v>
      </c>
      <c r="U888" s="127">
        <f>((((((IF(K888="New",0,SUMIF('MPG Payment '!$E$3:$E$344841,'Shayak Income '!D888,'MPG Payment '!$AC$3:$AC$344841))))+0)+0)+0)+0)+0</f>
        <v>0</v>
      </c>
      <c r="V888" s="127">
        <f t="shared" si="292"/>
        <v>3864</v>
      </c>
      <c r="W888" s="19">
        <v>0</v>
      </c>
      <c r="X888" s="19">
        <f t="shared" si="295"/>
        <v>0</v>
      </c>
      <c r="Y888" s="128">
        <f>IFERROR(VLOOKUP(D888,'Monthly Deduction'!$M$2:$N$640,2,0),0)</f>
        <v>0</v>
      </c>
      <c r="Z888" s="128">
        <v>0</v>
      </c>
      <c r="AA888" s="126">
        <f>IFERROR(VLOOKUP(D888,'Monthly Deduction'!A:B,2,0),0)</f>
        <v>185.01543080156108</v>
      </c>
      <c r="AB888" s="129">
        <f t="shared" si="287"/>
        <v>3679</v>
      </c>
      <c r="AC888" s="130">
        <v>0</v>
      </c>
      <c r="AD888" s="35">
        <f t="shared" si="317"/>
        <v>3679</v>
      </c>
      <c r="AE888" s="166" t="str">
        <f t="shared" si="318"/>
        <v>Release</v>
      </c>
      <c r="AF888" s="127"/>
      <c r="AG888" s="18">
        <v>0</v>
      </c>
      <c r="AH888" s="120"/>
      <c r="AI888" s="238">
        <v>0</v>
      </c>
      <c r="AJ888" s="132"/>
      <c r="AK888" s="151">
        <v>519.75</v>
      </c>
      <c r="AL888" s="154">
        <f t="shared" si="319"/>
        <v>0</v>
      </c>
      <c r="AM888" s="155"/>
      <c r="AN888" s="19">
        <f t="shared" si="288"/>
        <v>1861</v>
      </c>
      <c r="AO888" s="118">
        <f>SUMIF('MPG Payment '!E:E,'Shayak Income '!D888,'MPG Payment '!AJ:AJ)</f>
        <v>0</v>
      </c>
      <c r="AP888" s="19">
        <f t="shared" si="289"/>
        <v>0</v>
      </c>
      <c r="AQ888" s="119">
        <f t="shared" si="320"/>
        <v>0</v>
      </c>
      <c r="AR888" s="91" t="s">
        <v>1144</v>
      </c>
      <c r="AS888" s="91">
        <f t="shared" si="290"/>
        <v>0</v>
      </c>
      <c r="AT888" s="118"/>
      <c r="AU888" s="118"/>
      <c r="AV888" s="118"/>
    </row>
    <row r="889" spans="1:48" s="20" customFormat="1" x14ac:dyDescent="0.25">
      <c r="A889" s="17">
        <f>IFERROR(VLOOKUP(D889,'Monthly Deduction'!$I$3:$J$957,2,0),0)</f>
        <v>0</v>
      </c>
      <c r="B889" s="17">
        <f>IFERROR(VLOOKUP(D889,'Monthly Deduction'!$E$3:$F$957,2,0),0)</f>
        <v>0</v>
      </c>
      <c r="C889" s="17">
        <f t="shared" si="312"/>
        <v>0</v>
      </c>
      <c r="D889" s="41">
        <v>10610041</v>
      </c>
      <c r="E889" s="122" t="str">
        <f>VLOOKUP(D889,'MPG Payment '!$E$3:$G$497305,2,0)</f>
        <v>GOMUKH RUSULPUR GANGATI</v>
      </c>
      <c r="F889" s="146">
        <f>IFERROR(_xlfn.XLOOKUP(D889,'Monthly Deduction'!$I$3:$I$957,'Monthly Deduction'!$H$3:$H$957),0)</f>
        <v>0</v>
      </c>
      <c r="G889" s="123" t="str">
        <f>VLOOKUP(D889,'MPG Payment '!$E$3:$G$333666,3,0)</f>
        <v>vlc</v>
      </c>
      <c r="H889" s="124" t="str">
        <f>VLOOKUP(D889,'MPG Payment '!$E$3:$H$333666,4,0)</f>
        <v>Indirect</v>
      </c>
      <c r="I889" s="88">
        <f>INDEX('MPG Payment '!$C:$C,MATCH('Shayak Income '!D889,'MPG Payment '!E:E,0))</f>
        <v>1061</v>
      </c>
      <c r="J889" s="88" t="str">
        <f>INDEX('MPG Payment '!$D:$D,MATCH('Shayak Income '!D889,'MPG Payment '!E:E,0))</f>
        <v>Mahua BMC</v>
      </c>
      <c r="K889" s="125" t="s">
        <v>1593</v>
      </c>
      <c r="L889" s="125">
        <v>46152</v>
      </c>
      <c r="M889" s="126">
        <f>SUMIF('MPG Payment '!$E$3:$E$344841,'Shayak Income '!D889,'MPG Payment '!$I$3:$I$344841)</f>
        <v>19.299999999999997</v>
      </c>
      <c r="N889" s="126">
        <f>SUMIF('MPG Payment '!$E$3:$E$344841,'Shayak Income '!D889,'MPG Payment '!$J$3:$J$344841)</f>
        <v>733.58</v>
      </c>
      <c r="O889" s="126">
        <f t="shared" si="313"/>
        <v>14.474999999999998</v>
      </c>
      <c r="P889" s="126">
        <f t="shared" si="314"/>
        <v>18.334999999999997</v>
      </c>
      <c r="Q889" s="126">
        <f>SUMIF('MPG Payment '!$E$3:$E$344841,'Shayak Income '!D889,'MPG Payment '!$S$3:$S$344841)</f>
        <v>0</v>
      </c>
      <c r="R889" s="126">
        <f t="shared" si="315"/>
        <v>22.007400000000001</v>
      </c>
      <c r="S889" s="126">
        <f t="shared" si="316"/>
        <v>3.6724000000000032</v>
      </c>
      <c r="T889" s="126">
        <f t="shared" si="291"/>
        <v>1.9299999999999997</v>
      </c>
      <c r="U889" s="127">
        <f>((((((IF(K889="New",0,SUMIF('MPG Payment '!$E$3:$E$344841,'Shayak Income '!D889,'MPG Payment '!$AC$3:$AC$344841))))+0)+0)+0)+0)+0</f>
        <v>0</v>
      </c>
      <c r="V889" s="127">
        <f t="shared" si="292"/>
        <v>31</v>
      </c>
      <c r="W889" s="19">
        <v>0</v>
      </c>
      <c r="X889" s="19">
        <f t="shared" si="295"/>
        <v>0</v>
      </c>
      <c r="Y889" s="128">
        <f>IFERROR(VLOOKUP(D889,'Monthly Deduction'!$M$2:$N$640,2,0),0)</f>
        <v>0</v>
      </c>
      <c r="Z889" s="128">
        <v>0</v>
      </c>
      <c r="AA889" s="126">
        <f>IFERROR(VLOOKUP(D889,'Monthly Deduction'!A:B,2,0),0)</f>
        <v>0</v>
      </c>
      <c r="AB889" s="129">
        <f t="shared" si="287"/>
        <v>31</v>
      </c>
      <c r="AC889" s="130">
        <f>AB889</f>
        <v>31</v>
      </c>
      <c r="AD889" s="35">
        <f t="shared" si="317"/>
        <v>0</v>
      </c>
      <c r="AE889" s="166" t="str">
        <f t="shared" si="318"/>
        <v>Yes</v>
      </c>
      <c r="AF889" s="127"/>
      <c r="AG889" s="18">
        <v>0</v>
      </c>
      <c r="AH889" s="132" t="s">
        <v>1597</v>
      </c>
      <c r="AI889" s="238">
        <v>0</v>
      </c>
      <c r="AJ889" s="132"/>
      <c r="AK889" s="151">
        <v>0</v>
      </c>
      <c r="AL889" s="154">
        <f t="shared" si="319"/>
        <v>0</v>
      </c>
      <c r="AM889" s="155"/>
      <c r="AN889" s="19">
        <f t="shared" si="288"/>
        <v>0</v>
      </c>
      <c r="AO889" s="118">
        <f>SUMIF('MPG Payment '!E:E,'Shayak Income '!D889,'MPG Payment '!AJ:AJ)</f>
        <v>0</v>
      </c>
      <c r="AP889" s="19">
        <f t="shared" si="289"/>
        <v>0</v>
      </c>
      <c r="AQ889" s="119">
        <f t="shared" si="320"/>
        <v>0</v>
      </c>
      <c r="AR889" s="91" t="s">
        <v>1144</v>
      </c>
      <c r="AS889" s="91">
        <f t="shared" si="290"/>
        <v>0</v>
      </c>
      <c r="AT889" s="118"/>
      <c r="AU889" s="118"/>
      <c r="AV889" s="118"/>
    </row>
    <row r="890" spans="1:48" s="20" customFormat="1" x14ac:dyDescent="0.25">
      <c r="A890" s="17">
        <f>IFERROR(VLOOKUP(D890,'Monthly Deduction'!$I$3:$J$957,2,0),0)</f>
        <v>65000</v>
      </c>
      <c r="B890" s="17">
        <f>IFERROR(VLOOKUP(D890,'Monthly Deduction'!$E$3:$F$957,2,0),0)</f>
        <v>0</v>
      </c>
      <c r="C890" s="17">
        <f t="shared" si="312"/>
        <v>65000</v>
      </c>
      <c r="D890" s="41">
        <v>10660001</v>
      </c>
      <c r="E890" s="122" t="str">
        <f>VLOOKUP(D890,'MPG Payment '!$E$3:$G$497305,2,0)</f>
        <v>GOMUKH CHATAUNA W-2</v>
      </c>
      <c r="F890" s="146">
        <f>IFERROR(_xlfn.XLOOKUP(D890,'Monthly Deduction'!$I$3:$I$957,'Monthly Deduction'!$H$3:$H$957),0)</f>
        <v>0</v>
      </c>
      <c r="G890" s="123" t="str">
        <f>VLOOKUP(D890,'MPG Payment '!$E$3:$G$333666,3,0)</f>
        <v>MPG</v>
      </c>
      <c r="H890" s="124" t="str">
        <f>VLOOKUP(D890,'MPG Payment '!$E$3:$H$333666,4,0)</f>
        <v>Direct</v>
      </c>
      <c r="I890" s="88">
        <f>INDEX('MPG Payment '!$C:$C,MATCH('Shayak Income '!D890,'MPG Payment '!E:E,0))</f>
        <v>1066</v>
      </c>
      <c r="J890" s="88" t="str">
        <f>INDEX('MPG Payment '!$D:$D,MATCH('Shayak Income '!D890,'MPG Payment '!E:E,0))</f>
        <v>Gaighat</v>
      </c>
      <c r="K890" s="125" t="s">
        <v>1593</v>
      </c>
      <c r="L890" s="125">
        <v>46150</v>
      </c>
      <c r="M890" s="126">
        <f>SUMIF('MPG Payment '!$E$3:$E$344841,'Shayak Income '!D890,'MPG Payment '!$I$3:$I$344841)</f>
        <v>3495.75</v>
      </c>
      <c r="N890" s="126">
        <f>SUMIF('MPG Payment '!$E$3:$E$344841,'Shayak Income '!D890,'MPG Payment '!$J$3:$J$344841)</f>
        <v>192554.37</v>
      </c>
      <c r="O890" s="126">
        <f t="shared" si="313"/>
        <v>2621.8125</v>
      </c>
      <c r="P890" s="126">
        <f t="shared" si="314"/>
        <v>3320.9624999999996</v>
      </c>
      <c r="Q890" s="126">
        <f>SUMIF('MPG Payment '!$E$3:$E$344841,'Shayak Income '!D890,'MPG Payment '!$S$3:$S$344841)</f>
        <v>1259.99</v>
      </c>
      <c r="R890" s="126">
        <f t="shared" si="315"/>
        <v>5776.6310999999996</v>
      </c>
      <c r="S890" s="126">
        <f t="shared" si="316"/>
        <v>2455.6686</v>
      </c>
      <c r="T890" s="126">
        <f t="shared" si="291"/>
        <v>349.57500000000005</v>
      </c>
      <c r="U890" s="127">
        <f>((((((IF(K890="New",0,SUMIF('MPG Payment '!$E$3:$E$344841,'Shayak Income '!D890,'MPG Payment '!$AC$3:$AC$344841))))+0)+0)+0)+0)+0</f>
        <v>0</v>
      </c>
      <c r="V890" s="127">
        <f t="shared" si="292"/>
        <v>6853</v>
      </c>
      <c r="W890" s="19">
        <v>0</v>
      </c>
      <c r="X890" s="19">
        <f t="shared" si="295"/>
        <v>0</v>
      </c>
      <c r="Y890" s="128">
        <f>IFERROR(VLOOKUP(D890,'Monthly Deduction'!$M$2:$N$640,2,0),0)</f>
        <v>0</v>
      </c>
      <c r="Z890" s="128">
        <v>0</v>
      </c>
      <c r="AA890" s="126">
        <f>IFERROR(VLOOKUP(D890,'Monthly Deduction'!A:B,2,0),0)</f>
        <v>0</v>
      </c>
      <c r="AB890" s="129">
        <f t="shared" si="287"/>
        <v>6853</v>
      </c>
      <c r="AC890" s="130">
        <v>0</v>
      </c>
      <c r="AD890" s="35">
        <f t="shared" si="317"/>
        <v>6853</v>
      </c>
      <c r="AE890" s="166" t="str">
        <f t="shared" si="318"/>
        <v>Release</v>
      </c>
      <c r="AF890" s="127"/>
      <c r="AG890" s="18">
        <v>0</v>
      </c>
      <c r="AH890" s="132"/>
      <c r="AI890" s="238">
        <v>0</v>
      </c>
      <c r="AJ890" s="132"/>
      <c r="AK890" s="151">
        <v>1451.8999999999999</v>
      </c>
      <c r="AL890" s="154">
        <f t="shared" si="319"/>
        <v>0</v>
      </c>
      <c r="AM890" s="155"/>
      <c r="AN890" s="19">
        <f t="shared" si="288"/>
        <v>3851.0873999999999</v>
      </c>
      <c r="AO890" s="118">
        <f>SUMIF('MPG Payment '!E:E,'Shayak Income '!D890,'MPG Payment '!AJ:AJ)</f>
        <v>0</v>
      </c>
      <c r="AP890" s="19">
        <f t="shared" si="289"/>
        <v>0</v>
      </c>
      <c r="AQ890" s="119">
        <f t="shared" si="320"/>
        <v>0</v>
      </c>
      <c r="AR890" s="91" t="s">
        <v>1144</v>
      </c>
      <c r="AS890" s="91">
        <f t="shared" si="290"/>
        <v>0</v>
      </c>
      <c r="AT890" s="118"/>
      <c r="AU890" s="118"/>
      <c r="AV890" s="118"/>
    </row>
    <row r="891" spans="1:48" s="20" customFormat="1" x14ac:dyDescent="0.25">
      <c r="A891" s="17">
        <f>IFERROR(VLOOKUP(D891,'Monthly Deduction'!$I$3:$J$957,2,0),0)</f>
        <v>65000</v>
      </c>
      <c r="B891" s="17">
        <f>IFERROR(VLOOKUP(D891,'Monthly Deduction'!$E$3:$F$957,2,0),0)</f>
        <v>0</v>
      </c>
      <c r="C891" s="17">
        <f t="shared" si="312"/>
        <v>65000</v>
      </c>
      <c r="D891" s="41">
        <v>10660002</v>
      </c>
      <c r="E891" s="122" t="str">
        <f>VLOOKUP(D891,'MPG Payment '!$E$3:$G$497305,2,0)</f>
        <v>GOMUKH TEERA JATMALPUR</v>
      </c>
      <c r="F891" s="146">
        <f>IFERROR(_xlfn.XLOOKUP(D891,'Monthly Deduction'!$I$3:$I$957,'Monthly Deduction'!$H$3:$H$957),0)</f>
        <v>0</v>
      </c>
      <c r="G891" s="123" t="str">
        <f>VLOOKUP(D891,'MPG Payment '!$E$3:$G$333666,3,0)</f>
        <v>MPG</v>
      </c>
      <c r="H891" s="124" t="str">
        <f>VLOOKUP(D891,'MPG Payment '!$E$3:$H$333666,4,0)</f>
        <v>Direct</v>
      </c>
      <c r="I891" s="88">
        <f>INDEX('MPG Payment '!$C:$C,MATCH('Shayak Income '!D891,'MPG Payment '!E:E,0))</f>
        <v>1066</v>
      </c>
      <c r="J891" s="88" t="str">
        <f>INDEX('MPG Payment '!$D:$D,MATCH('Shayak Income '!D891,'MPG Payment '!E:E,0))</f>
        <v>Gaighat</v>
      </c>
      <c r="K891" s="125" t="s">
        <v>1593</v>
      </c>
      <c r="L891" s="125">
        <v>46150</v>
      </c>
      <c r="M891" s="126">
        <f>SUMIF('MPG Payment '!$E$3:$E$344841,'Shayak Income '!D891,'MPG Payment '!$I$3:$I$344841)</f>
        <v>1804.3599999999997</v>
      </c>
      <c r="N891" s="126">
        <f>SUMIF('MPG Payment '!$E$3:$E$344841,'Shayak Income '!D891,'MPG Payment '!$J$3:$J$344841)</f>
        <v>82406.98000000001</v>
      </c>
      <c r="O891" s="126">
        <f t="shared" si="313"/>
        <v>1353.2699999999998</v>
      </c>
      <c r="P891" s="126">
        <f t="shared" si="314"/>
        <v>1714.1419999999996</v>
      </c>
      <c r="Q891" s="126">
        <f>SUMIF('MPG Payment '!$E$3:$E$344841,'Shayak Income '!D891,'MPG Payment '!$S$3:$S$344841)</f>
        <v>2697.67</v>
      </c>
      <c r="R891" s="126">
        <f t="shared" si="315"/>
        <v>2472.2094000000002</v>
      </c>
      <c r="S891" s="126">
        <f t="shared" si="316"/>
        <v>758.06740000000059</v>
      </c>
      <c r="T891" s="126">
        <f t="shared" si="291"/>
        <v>180.43599999999998</v>
      </c>
      <c r="U891" s="127">
        <f>((((((IF(K891="New",0,SUMIF('MPG Payment '!$E$3:$E$344841,'Shayak Income '!D891,'MPG Payment '!$AC$3:$AC$344841))))+0)+0)+0)+0)+0</f>
        <v>0</v>
      </c>
      <c r="V891" s="127">
        <f t="shared" si="292"/>
        <v>5585</v>
      </c>
      <c r="W891" s="19">
        <v>0</v>
      </c>
      <c r="X891" s="19">
        <f t="shared" si="295"/>
        <v>0</v>
      </c>
      <c r="Y891" s="128">
        <f>IFERROR(VLOOKUP(D891,'Monthly Deduction'!$M$2:$N$640,2,0),0)</f>
        <v>0</v>
      </c>
      <c r="Z891" s="128">
        <v>0</v>
      </c>
      <c r="AA891" s="126">
        <f>IFERROR(VLOOKUP(D891,'Monthly Deduction'!A:B,2,0),0)</f>
        <v>0</v>
      </c>
      <c r="AB891" s="129">
        <f t="shared" si="287"/>
        <v>5585</v>
      </c>
      <c r="AC891" s="130">
        <v>0</v>
      </c>
      <c r="AD891" s="35">
        <f t="shared" si="317"/>
        <v>5585</v>
      </c>
      <c r="AE891" s="166" t="str">
        <f t="shared" si="318"/>
        <v>Release</v>
      </c>
      <c r="AF891" s="127"/>
      <c r="AG891" s="18">
        <v>0</v>
      </c>
      <c r="AH891" s="132"/>
      <c r="AI891" s="238">
        <v>0</v>
      </c>
      <c r="AJ891" s="132"/>
      <c r="AK891" s="151">
        <v>546.90000000000009</v>
      </c>
      <c r="AL891" s="154">
        <f t="shared" si="319"/>
        <v>0</v>
      </c>
      <c r="AM891" s="155"/>
      <c r="AN891" s="19">
        <f t="shared" si="288"/>
        <v>1861</v>
      </c>
      <c r="AO891" s="118">
        <f>SUMIF('MPG Payment '!E:E,'Shayak Income '!D891,'MPG Payment '!AJ:AJ)</f>
        <v>0</v>
      </c>
      <c r="AP891" s="19">
        <f t="shared" si="289"/>
        <v>0</v>
      </c>
      <c r="AQ891" s="119">
        <f t="shared" si="320"/>
        <v>0</v>
      </c>
      <c r="AR891" s="91" t="s">
        <v>1144</v>
      </c>
      <c r="AS891" s="91">
        <f t="shared" si="290"/>
        <v>0</v>
      </c>
      <c r="AT891" s="118"/>
      <c r="AU891" s="118"/>
      <c r="AV891" s="118"/>
    </row>
    <row r="892" spans="1:48" s="20" customFormat="1" x14ac:dyDescent="0.25">
      <c r="A892" s="17">
        <f>IFERROR(VLOOKUP(D892,'Monthly Deduction'!$I$3:$J$957,2,0),0)</f>
        <v>65000</v>
      </c>
      <c r="B892" s="17">
        <f>IFERROR(VLOOKUP(D892,'Monthly Deduction'!$E$3:$F$957,2,0),0)</f>
        <v>0</v>
      </c>
      <c r="C892" s="17">
        <f t="shared" si="312"/>
        <v>65000</v>
      </c>
      <c r="D892" s="41">
        <v>10660004</v>
      </c>
      <c r="E892" s="122" t="str">
        <f>VLOOKUP(D892,'MPG Payment '!$E$3:$G$497305,2,0)</f>
        <v>GOMUKH GOBARSITTHA</v>
      </c>
      <c r="F892" s="146">
        <f>IFERROR(_xlfn.XLOOKUP(D892,'Monthly Deduction'!$I$3:$I$957,'Monthly Deduction'!$H$3:$H$957),0)</f>
        <v>0</v>
      </c>
      <c r="G892" s="123" t="str">
        <f>VLOOKUP(D892,'MPG Payment '!$E$3:$G$333666,3,0)</f>
        <v>MPG</v>
      </c>
      <c r="H892" s="124" t="str">
        <f>VLOOKUP(D892,'MPG Payment '!$E$3:$H$333666,4,0)</f>
        <v>Direct</v>
      </c>
      <c r="I892" s="88">
        <f>INDEX('MPG Payment '!$C:$C,MATCH('Shayak Income '!D892,'MPG Payment '!E:E,0))</f>
        <v>1066</v>
      </c>
      <c r="J892" s="88" t="str">
        <f>INDEX('MPG Payment '!$D:$D,MATCH('Shayak Income '!D892,'MPG Payment '!E:E,0))</f>
        <v>Gaighat</v>
      </c>
      <c r="K892" s="125" t="s">
        <v>1593</v>
      </c>
      <c r="L892" s="125">
        <v>46150</v>
      </c>
      <c r="M892" s="126">
        <f>SUMIF('MPG Payment '!$E$3:$E$344841,'Shayak Income '!D892,'MPG Payment '!$I$3:$I$344841)</f>
        <v>2726.1600000000003</v>
      </c>
      <c r="N892" s="126">
        <f>SUMIF('MPG Payment '!$E$3:$E$344841,'Shayak Income '!D892,'MPG Payment '!$J$3:$J$344841)</f>
        <v>117943.48999999999</v>
      </c>
      <c r="O892" s="126">
        <f t="shared" si="313"/>
        <v>2044.6200000000003</v>
      </c>
      <c r="P892" s="126">
        <f t="shared" si="314"/>
        <v>2589.8520000000003</v>
      </c>
      <c r="Q892" s="126">
        <f>SUMIF('MPG Payment '!$E$3:$E$344841,'Shayak Income '!D892,'MPG Payment '!$S$3:$S$344841)</f>
        <v>2459.94</v>
      </c>
      <c r="R892" s="126">
        <f t="shared" si="315"/>
        <v>3538.3046999999997</v>
      </c>
      <c r="S892" s="126">
        <f t="shared" si="316"/>
        <v>948.45269999999937</v>
      </c>
      <c r="T892" s="126">
        <f t="shared" si="291"/>
        <v>272.61600000000004</v>
      </c>
      <c r="U892" s="127">
        <f>((((((IF(K892="New",0,SUMIF('MPG Payment '!$E$3:$E$344841,'Shayak Income '!D892,'MPG Payment '!$AC$3:$AC$344841))))+0)+0)+0)+0)+0</f>
        <v>0</v>
      </c>
      <c r="V892" s="127">
        <f t="shared" si="292"/>
        <v>6822</v>
      </c>
      <c r="W892" s="19">
        <v>0</v>
      </c>
      <c r="X892" s="19">
        <f t="shared" si="295"/>
        <v>0</v>
      </c>
      <c r="Y892" s="128">
        <f>IFERROR(VLOOKUP(D892,'Monthly Deduction'!$M$2:$N$640,2,0),0)</f>
        <v>0</v>
      </c>
      <c r="Z892" s="128">
        <v>0</v>
      </c>
      <c r="AA892" s="126">
        <f>IFERROR(VLOOKUP(D892,'Monthly Deduction'!A:B,2,0),0)</f>
        <v>0</v>
      </c>
      <c r="AB892" s="129">
        <f t="shared" si="287"/>
        <v>6822</v>
      </c>
      <c r="AC892" s="130">
        <v>0</v>
      </c>
      <c r="AD892" s="35">
        <f t="shared" si="317"/>
        <v>6822</v>
      </c>
      <c r="AE892" s="166" t="str">
        <f t="shared" si="318"/>
        <v>Release</v>
      </c>
      <c r="AF892" s="127"/>
      <c r="AG892" s="18">
        <v>0</v>
      </c>
      <c r="AH892" s="120"/>
      <c r="AI892" s="238">
        <v>0</v>
      </c>
      <c r="AJ892" s="132"/>
      <c r="AK892" s="151">
        <v>692.1</v>
      </c>
      <c r="AL892" s="154">
        <f t="shared" si="319"/>
        <v>0</v>
      </c>
      <c r="AM892" s="155"/>
      <c r="AN892" s="19">
        <f t="shared" si="288"/>
        <v>2358.8697999999999</v>
      </c>
      <c r="AO892" s="118">
        <f>SUMIF('MPG Payment '!E:E,'Shayak Income '!D892,'MPG Payment '!AJ:AJ)</f>
        <v>0</v>
      </c>
      <c r="AP892" s="19">
        <f t="shared" si="289"/>
        <v>0</v>
      </c>
      <c r="AQ892" s="119">
        <f t="shared" si="320"/>
        <v>0</v>
      </c>
      <c r="AR892" s="91" t="s">
        <v>1144</v>
      </c>
      <c r="AS892" s="91">
        <f t="shared" si="290"/>
        <v>0</v>
      </c>
      <c r="AT892" s="118"/>
      <c r="AU892" s="118"/>
      <c r="AV892" s="118"/>
    </row>
    <row r="893" spans="1:48" s="20" customFormat="1" x14ac:dyDescent="0.25">
      <c r="A893" s="17">
        <f>IFERROR(VLOOKUP(D893,'Monthly Deduction'!$I$3:$J$957,2,0),0)</f>
        <v>65000</v>
      </c>
      <c r="B893" s="17">
        <f>IFERROR(VLOOKUP(D893,'Monthly Deduction'!$E$3:$F$957,2,0),0)</f>
        <v>0</v>
      </c>
      <c r="C893" s="17">
        <f t="shared" si="312"/>
        <v>65000</v>
      </c>
      <c r="D893" s="41">
        <v>10660005</v>
      </c>
      <c r="E893" s="122" t="str">
        <f>VLOOKUP(D893,'MPG Payment '!$E$3:$G$497305,2,0)</f>
        <v>GOMUKH UGHRA</v>
      </c>
      <c r="F893" s="146">
        <f>IFERROR(_xlfn.XLOOKUP(D893,'Monthly Deduction'!$I$3:$I$957,'Monthly Deduction'!$H$3:$H$957),0)</f>
        <v>0</v>
      </c>
      <c r="G893" s="123" t="str">
        <f>VLOOKUP(D893,'MPG Payment '!$E$3:$G$333666,3,0)</f>
        <v>MPG</v>
      </c>
      <c r="H893" s="124" t="str">
        <f>VLOOKUP(D893,'MPG Payment '!$E$3:$H$333666,4,0)</f>
        <v>Direct</v>
      </c>
      <c r="I893" s="88">
        <f>INDEX('MPG Payment '!$C:$C,MATCH('Shayak Income '!D893,'MPG Payment '!E:E,0))</f>
        <v>1066</v>
      </c>
      <c r="J893" s="88" t="str">
        <f>INDEX('MPG Payment '!$D:$D,MATCH('Shayak Income '!D893,'MPG Payment '!E:E,0))</f>
        <v>Gaighat</v>
      </c>
      <c r="K893" s="125" t="s">
        <v>1593</v>
      </c>
      <c r="L893" s="125">
        <v>46150</v>
      </c>
      <c r="M893" s="126">
        <f>SUMIF('MPG Payment '!$E$3:$E$344841,'Shayak Income '!D893,'MPG Payment '!$I$3:$I$344841)</f>
        <v>2509.2900000000004</v>
      </c>
      <c r="N893" s="126">
        <f>SUMIF('MPG Payment '!$E$3:$E$344841,'Shayak Income '!D893,'MPG Payment '!$J$3:$J$344841)</f>
        <v>121526</v>
      </c>
      <c r="O893" s="126">
        <f t="shared" si="313"/>
        <v>1881.9675000000002</v>
      </c>
      <c r="P893" s="126">
        <f t="shared" si="314"/>
        <v>2383.8255000000004</v>
      </c>
      <c r="Q893" s="126">
        <f>SUMIF('MPG Payment '!$E$3:$E$344841,'Shayak Income '!D893,'MPG Payment '!$S$3:$S$344841)</f>
        <v>639.2299999999999</v>
      </c>
      <c r="R893" s="126">
        <f t="shared" si="315"/>
        <v>3645.7799999999997</v>
      </c>
      <c r="S893" s="126">
        <f t="shared" si="316"/>
        <v>1261.9544999999994</v>
      </c>
      <c r="T893" s="126">
        <f t="shared" si="291"/>
        <v>250.92900000000006</v>
      </c>
      <c r="U893" s="127">
        <f>((((((IF(K893="New",0,SUMIF('MPG Payment '!$E$3:$E$344841,'Shayak Income '!D893,'MPG Payment '!$AC$3:$AC$344841))))+0)+0)+0)+0)+0</f>
        <v>0</v>
      </c>
      <c r="V893" s="127">
        <f t="shared" si="292"/>
        <v>4654</v>
      </c>
      <c r="W893" s="19">
        <v>0</v>
      </c>
      <c r="X893" s="19">
        <f t="shared" si="295"/>
        <v>0</v>
      </c>
      <c r="Y893" s="128">
        <f>IFERROR(VLOOKUP(D893,'Monthly Deduction'!$M$2:$N$640,2,0),0)</f>
        <v>0</v>
      </c>
      <c r="Z893" s="128">
        <v>0</v>
      </c>
      <c r="AA893" s="126">
        <f>IFERROR(VLOOKUP(D893,'Monthly Deduction'!A:B,2,0),0)</f>
        <v>0</v>
      </c>
      <c r="AB893" s="129">
        <f t="shared" si="287"/>
        <v>4654</v>
      </c>
      <c r="AC893" s="130">
        <v>0</v>
      </c>
      <c r="AD893" s="35">
        <f t="shared" si="317"/>
        <v>4654</v>
      </c>
      <c r="AE893" s="166" t="str">
        <f t="shared" si="318"/>
        <v>Release</v>
      </c>
      <c r="AF893" s="127"/>
      <c r="AG893" s="18">
        <v>0</v>
      </c>
      <c r="AH893" s="120"/>
      <c r="AI893" s="238">
        <v>0</v>
      </c>
      <c r="AJ893" s="132"/>
      <c r="AK893" s="151">
        <v>648.29999999999995</v>
      </c>
      <c r="AL893" s="154">
        <f t="shared" si="319"/>
        <v>0</v>
      </c>
      <c r="AM893" s="155"/>
      <c r="AN893" s="19">
        <f t="shared" si="288"/>
        <v>2430.52</v>
      </c>
      <c r="AO893" s="118">
        <f>SUMIF('MPG Payment '!E:E,'Shayak Income '!D893,'MPG Payment '!AJ:AJ)</f>
        <v>0</v>
      </c>
      <c r="AP893" s="19">
        <f t="shared" si="289"/>
        <v>0</v>
      </c>
      <c r="AQ893" s="119">
        <f t="shared" si="320"/>
        <v>0</v>
      </c>
      <c r="AR893" s="91" t="s">
        <v>1144</v>
      </c>
      <c r="AS893" s="91">
        <f t="shared" si="290"/>
        <v>0</v>
      </c>
      <c r="AT893" s="118"/>
      <c r="AU893" s="118"/>
      <c r="AV893" s="118"/>
    </row>
    <row r="894" spans="1:48" s="20" customFormat="1" x14ac:dyDescent="0.25">
      <c r="A894" s="17">
        <f>IFERROR(VLOOKUP(D894,'Monthly Deduction'!$I$3:$J$957,2,0),0)</f>
        <v>65000</v>
      </c>
      <c r="B894" s="17">
        <f>IFERROR(VLOOKUP(D894,'Monthly Deduction'!$E$3:$F$957,2,0),0)</f>
        <v>0</v>
      </c>
      <c r="C894" s="17">
        <f t="shared" si="312"/>
        <v>65000</v>
      </c>
      <c r="D894" s="41">
        <v>10660006</v>
      </c>
      <c r="E894" s="122" t="str">
        <f>VLOOKUP(D894,'MPG Payment '!$E$3:$G$497305,2,0)</f>
        <v>GOMUKH BALUAHA</v>
      </c>
      <c r="F894" s="146">
        <f>IFERROR(_xlfn.XLOOKUP(D894,'Monthly Deduction'!$I$3:$I$957,'Monthly Deduction'!$H$3:$H$957),0)</f>
        <v>0</v>
      </c>
      <c r="G894" s="123" t="str">
        <f>VLOOKUP(D894,'MPG Payment '!$E$3:$G$333666,3,0)</f>
        <v>MPG</v>
      </c>
      <c r="H894" s="124" t="str">
        <f>VLOOKUP(D894,'MPG Payment '!$E$3:$H$333666,4,0)</f>
        <v>Direct</v>
      </c>
      <c r="I894" s="88">
        <f>INDEX('MPG Payment '!$C:$C,MATCH('Shayak Income '!D894,'MPG Payment '!E:E,0))</f>
        <v>1066</v>
      </c>
      <c r="J894" s="88" t="str">
        <f>INDEX('MPG Payment '!$D:$D,MATCH('Shayak Income '!D894,'MPG Payment '!E:E,0))</f>
        <v>Gaighat</v>
      </c>
      <c r="K894" s="125" t="s">
        <v>1593</v>
      </c>
      <c r="L894" s="125">
        <v>46150</v>
      </c>
      <c r="M894" s="126">
        <f>SUMIF('MPG Payment '!$E$3:$E$344841,'Shayak Income '!D894,'MPG Payment '!$I$3:$I$344841)</f>
        <v>1400.21</v>
      </c>
      <c r="N894" s="126">
        <f>SUMIF('MPG Payment '!$E$3:$E$344841,'Shayak Income '!D894,'MPG Payment '!$J$3:$J$344841)</f>
        <v>61940.460000000006</v>
      </c>
      <c r="O894" s="126">
        <f t="shared" si="313"/>
        <v>1050.1575</v>
      </c>
      <c r="P894" s="126">
        <f t="shared" si="314"/>
        <v>1330.1994999999999</v>
      </c>
      <c r="Q894" s="126">
        <f>SUMIF('MPG Payment '!$E$3:$E$344841,'Shayak Income '!D894,'MPG Payment '!$S$3:$S$344841)</f>
        <v>1184.19</v>
      </c>
      <c r="R894" s="126">
        <f t="shared" si="315"/>
        <v>1858.2138000000002</v>
      </c>
      <c r="S894" s="126">
        <f t="shared" si="316"/>
        <v>528.01430000000028</v>
      </c>
      <c r="T894" s="126">
        <f t="shared" si="291"/>
        <v>140.02100000000002</v>
      </c>
      <c r="U894" s="127">
        <f>((((((IF(K894="New",0,SUMIF('MPG Payment '!$E$3:$E$344841,'Shayak Income '!D894,'MPG Payment '!$AC$3:$AC$344841))))+0)+0)+0)+0)+0</f>
        <v>0</v>
      </c>
      <c r="V894" s="127">
        <f t="shared" si="292"/>
        <v>3425</v>
      </c>
      <c r="W894" s="19">
        <v>0</v>
      </c>
      <c r="X894" s="19">
        <f t="shared" si="295"/>
        <v>0</v>
      </c>
      <c r="Y894" s="128">
        <f>IFERROR(VLOOKUP(D894,'Monthly Deduction'!$M$2:$N$640,2,0),0)</f>
        <v>0</v>
      </c>
      <c r="Z894" s="128">
        <v>0</v>
      </c>
      <c r="AA894" s="126">
        <f>IFERROR(VLOOKUP(D894,'Monthly Deduction'!A:B,2,0),0)</f>
        <v>0</v>
      </c>
      <c r="AB894" s="129">
        <f t="shared" si="287"/>
        <v>3425</v>
      </c>
      <c r="AC894" s="130">
        <v>0</v>
      </c>
      <c r="AD894" s="35">
        <f t="shared" si="317"/>
        <v>3425</v>
      </c>
      <c r="AE894" s="166" t="str">
        <f t="shared" si="318"/>
        <v>Release</v>
      </c>
      <c r="AF894" s="127"/>
      <c r="AG894" s="18">
        <v>0</v>
      </c>
      <c r="AH894" s="120"/>
      <c r="AI894" s="238">
        <v>0</v>
      </c>
      <c r="AJ894" s="132"/>
      <c r="AK894" s="151">
        <v>427.20000000000005</v>
      </c>
      <c r="AL894" s="154">
        <f t="shared" si="319"/>
        <v>0</v>
      </c>
      <c r="AM894" s="155"/>
      <c r="AN894" s="19">
        <f t="shared" si="288"/>
        <v>1861</v>
      </c>
      <c r="AO894" s="118">
        <f>SUMIF('MPG Payment '!E:E,'Shayak Income '!D894,'MPG Payment '!AJ:AJ)</f>
        <v>0</v>
      </c>
      <c r="AP894" s="19">
        <f t="shared" si="289"/>
        <v>0</v>
      </c>
      <c r="AQ894" s="119">
        <f t="shared" si="320"/>
        <v>0</v>
      </c>
      <c r="AR894" s="91" t="s">
        <v>1144</v>
      </c>
      <c r="AS894" s="91">
        <f t="shared" si="290"/>
        <v>0</v>
      </c>
      <c r="AT894" s="118"/>
      <c r="AU894" s="118"/>
      <c r="AV894" s="118"/>
    </row>
    <row r="895" spans="1:48" s="20" customFormat="1" x14ac:dyDescent="0.25">
      <c r="A895" s="17">
        <f>IFERROR(VLOOKUP(D895,'Monthly Deduction'!$I$3:$J$957,2,0),0)</f>
        <v>0</v>
      </c>
      <c r="B895" s="17">
        <f>IFERROR(VLOOKUP(D895,'Monthly Deduction'!$E$3:$F$957,2,0),0)</f>
        <v>0</v>
      </c>
      <c r="C895" s="17">
        <f t="shared" si="312"/>
        <v>0</v>
      </c>
      <c r="D895" s="41">
        <v>10660007</v>
      </c>
      <c r="E895" s="122" t="str">
        <f>VLOOKUP(D895,'MPG Payment '!$E$3:$G$497305,2,0)</f>
        <v>GOMUKH DHAB WEST</v>
      </c>
      <c r="F895" s="146">
        <f>IFERROR(_xlfn.XLOOKUP(D895,'Monthly Deduction'!$I$3:$I$957,'Monthly Deduction'!$H$3:$H$957),0)</f>
        <v>0</v>
      </c>
      <c r="G895" s="123" t="str">
        <f>VLOOKUP(D895,'MPG Payment '!$E$3:$G$333666,3,0)</f>
        <v>vlc</v>
      </c>
      <c r="H895" s="124" t="str">
        <f>VLOOKUP(D895,'MPG Payment '!$E$3:$H$333666,4,0)</f>
        <v>Indirect</v>
      </c>
      <c r="I895" s="88">
        <f>INDEX('MPG Payment '!$C:$C,MATCH('Shayak Income '!D895,'MPG Payment '!E:E,0))</f>
        <v>1066</v>
      </c>
      <c r="J895" s="88" t="str">
        <f>INDEX('MPG Payment '!$D:$D,MATCH('Shayak Income '!D895,'MPG Payment '!E:E,0))</f>
        <v>Gaighat</v>
      </c>
      <c r="K895" s="125" t="s">
        <v>1593</v>
      </c>
      <c r="L895" s="125">
        <v>46151</v>
      </c>
      <c r="M895" s="126">
        <f>SUMIF('MPG Payment '!$E$3:$E$344841,'Shayak Income '!D895,'MPG Payment '!$I$3:$I$344841)</f>
        <v>504.32999999999993</v>
      </c>
      <c r="N895" s="126">
        <f>SUMIF('MPG Payment '!$E$3:$E$344841,'Shayak Income '!D895,'MPG Payment '!$J$3:$J$344841)</f>
        <v>20239.75</v>
      </c>
      <c r="O895" s="126">
        <f t="shared" si="313"/>
        <v>378.24749999999995</v>
      </c>
      <c r="P895" s="126">
        <f t="shared" si="314"/>
        <v>479.11349999999993</v>
      </c>
      <c r="Q895" s="126">
        <f>SUMIF('MPG Payment '!$E$3:$E$344841,'Shayak Income '!D895,'MPG Payment '!$S$3:$S$344841)</f>
        <v>0</v>
      </c>
      <c r="R895" s="126">
        <f t="shared" si="315"/>
        <v>607.1925</v>
      </c>
      <c r="S895" s="126">
        <f t="shared" si="316"/>
        <v>128.07900000000006</v>
      </c>
      <c r="T895" s="126">
        <f t="shared" si="291"/>
        <v>50.432999999999993</v>
      </c>
      <c r="U895" s="127">
        <f>((((((IF(K895="New",0,SUMIF('MPG Payment '!$E$3:$E$344841,'Shayak Income '!D895,'MPG Payment '!$AC$3:$AC$344841))))+0)+0)+0)+0)+0</f>
        <v>0</v>
      </c>
      <c r="V895" s="127">
        <f t="shared" si="292"/>
        <v>807</v>
      </c>
      <c r="W895" s="19">
        <v>0</v>
      </c>
      <c r="X895" s="19">
        <f t="shared" si="295"/>
        <v>0</v>
      </c>
      <c r="Y895" s="128">
        <f>IFERROR(VLOOKUP(D895,'Monthly Deduction'!$M$2:$N$640,2,0),0)</f>
        <v>0</v>
      </c>
      <c r="Z895" s="128">
        <v>0</v>
      </c>
      <c r="AA895" s="126">
        <f>IFERROR(VLOOKUP(D895,'Monthly Deduction'!A:B,2,0),0)</f>
        <v>0</v>
      </c>
      <c r="AB895" s="129">
        <f t="shared" si="287"/>
        <v>807</v>
      </c>
      <c r="AC895" s="130">
        <v>0</v>
      </c>
      <c r="AD895" s="35">
        <f t="shared" si="317"/>
        <v>807</v>
      </c>
      <c r="AE895" s="166" t="str">
        <f t="shared" si="318"/>
        <v>Release</v>
      </c>
      <c r="AF895" s="127"/>
      <c r="AG895" s="18">
        <v>0</v>
      </c>
      <c r="AH895" s="132"/>
      <c r="AI895" s="238">
        <v>0</v>
      </c>
      <c r="AJ895" s="132"/>
      <c r="AK895" s="151">
        <v>32.5</v>
      </c>
      <c r="AL895" s="154">
        <f t="shared" si="319"/>
        <v>0</v>
      </c>
      <c r="AM895" s="155"/>
      <c r="AN895" s="19">
        <f t="shared" si="288"/>
        <v>0</v>
      </c>
      <c r="AO895" s="118">
        <f>SUMIF('MPG Payment '!E:E,'Shayak Income '!D895,'MPG Payment '!AJ:AJ)</f>
        <v>0</v>
      </c>
      <c r="AP895" s="19">
        <f t="shared" si="289"/>
        <v>0</v>
      </c>
      <c r="AQ895" s="119">
        <f t="shared" si="320"/>
        <v>0</v>
      </c>
      <c r="AR895" s="91" t="s">
        <v>1144</v>
      </c>
      <c r="AS895" s="91">
        <f t="shared" si="290"/>
        <v>0</v>
      </c>
      <c r="AT895" s="118"/>
      <c r="AU895" s="118"/>
      <c r="AV895" s="118"/>
    </row>
    <row r="896" spans="1:48" s="20" customFormat="1" x14ac:dyDescent="0.25">
      <c r="A896" s="17">
        <f>IFERROR(VLOOKUP(D896,'Monthly Deduction'!$I$3:$J$957,2,0),0)</f>
        <v>0</v>
      </c>
      <c r="B896" s="17">
        <f>IFERROR(VLOOKUP(D896,'Monthly Deduction'!$E$3:$F$957,2,0),0)</f>
        <v>0</v>
      </c>
      <c r="C896" s="17">
        <f t="shared" si="312"/>
        <v>0</v>
      </c>
      <c r="D896" s="41">
        <v>10660010</v>
      </c>
      <c r="E896" s="122" t="str">
        <f>VLOOKUP(D896,'MPG Payment '!$E$3:$G$497305,2,0)</f>
        <v>GOMUKH HAYAGHAT WEST</v>
      </c>
      <c r="F896" s="146">
        <f>IFERROR(_xlfn.XLOOKUP(D896,'Monthly Deduction'!$I$3:$I$957,'Monthly Deduction'!$H$3:$H$957),0)</f>
        <v>0</v>
      </c>
      <c r="G896" s="123" t="str">
        <f>VLOOKUP(D896,'MPG Payment '!$E$3:$G$333666,3,0)</f>
        <v>vlc</v>
      </c>
      <c r="H896" s="124" t="str">
        <f>VLOOKUP(D896,'MPG Payment '!$E$3:$H$333666,4,0)</f>
        <v>Indirect</v>
      </c>
      <c r="I896" s="88">
        <f>INDEX('MPG Payment '!$C:$C,MATCH('Shayak Income '!D896,'MPG Payment '!E:E,0))</f>
        <v>1066</v>
      </c>
      <c r="J896" s="88" t="str">
        <f>INDEX('MPG Payment '!$D:$D,MATCH('Shayak Income '!D896,'MPG Payment '!E:E,0))</f>
        <v>Gaighat</v>
      </c>
      <c r="K896" s="125" t="s">
        <v>1593</v>
      </c>
      <c r="L896" s="125">
        <v>46150</v>
      </c>
      <c r="M896" s="126">
        <f>SUMIF('MPG Payment '!$E$3:$E$344841,'Shayak Income '!D896,'MPG Payment '!$I$3:$I$344841)</f>
        <v>8294.57</v>
      </c>
      <c r="N896" s="126">
        <f>SUMIF('MPG Payment '!$E$3:$E$344841,'Shayak Income '!D896,'MPG Payment '!$J$3:$J$344841)</f>
        <v>330166.69</v>
      </c>
      <c r="O896" s="126">
        <f t="shared" si="313"/>
        <v>6220.9274999999998</v>
      </c>
      <c r="P896" s="126">
        <f t="shared" si="314"/>
        <v>7879.8414999999995</v>
      </c>
      <c r="Q896" s="126">
        <f>SUMIF('MPG Payment '!$E$3:$E$344841,'Shayak Income '!D896,'MPG Payment '!$S$3:$S$344841)</f>
        <v>0</v>
      </c>
      <c r="R896" s="126">
        <f t="shared" si="315"/>
        <v>9905.0007000000005</v>
      </c>
      <c r="S896" s="126">
        <f t="shared" si="316"/>
        <v>2025.159200000001</v>
      </c>
      <c r="T896" s="126">
        <f t="shared" si="291"/>
        <v>829.45699999999999</v>
      </c>
      <c r="U896" s="127">
        <f>((((((IF(K896="New",0,SUMIF('MPG Payment '!$E$3:$E$344841,'Shayak Income '!D896,'MPG Payment '!$AC$3:$AC$344841))))+0)+0)+0)+0)+0</f>
        <v>0</v>
      </c>
      <c r="V896" s="127">
        <f t="shared" si="292"/>
        <v>13271</v>
      </c>
      <c r="W896" s="19">
        <v>0</v>
      </c>
      <c r="X896" s="19">
        <f t="shared" si="295"/>
        <v>0</v>
      </c>
      <c r="Y896" s="128">
        <f>IFERROR(VLOOKUP(D896,'Monthly Deduction'!$M$2:$N$640,2,0),0)</f>
        <v>0</v>
      </c>
      <c r="Z896" s="128">
        <v>0</v>
      </c>
      <c r="AA896" s="126">
        <f>IFERROR(VLOOKUP(D896,'Monthly Deduction'!A:B,2,0),0)</f>
        <v>0</v>
      </c>
      <c r="AB896" s="129">
        <f t="shared" si="287"/>
        <v>13271</v>
      </c>
      <c r="AC896" s="130">
        <v>0</v>
      </c>
      <c r="AD896" s="35">
        <f t="shared" si="317"/>
        <v>13271</v>
      </c>
      <c r="AE896" s="166" t="str">
        <f t="shared" si="318"/>
        <v>Release</v>
      </c>
      <c r="AF896" s="127"/>
      <c r="AG896" s="18">
        <v>0</v>
      </c>
      <c r="AH896" s="132"/>
      <c r="AI896" s="238">
        <v>0</v>
      </c>
      <c r="AJ896" s="132"/>
      <c r="AK896" s="151">
        <v>2276.4999999999995</v>
      </c>
      <c r="AL896" s="154">
        <f t="shared" si="319"/>
        <v>0</v>
      </c>
      <c r="AM896" s="155"/>
      <c r="AN896" s="19">
        <f t="shared" si="288"/>
        <v>0</v>
      </c>
      <c r="AO896" s="118">
        <f>SUMIF('MPG Payment '!E:E,'Shayak Income '!D896,'MPG Payment '!AJ:AJ)</f>
        <v>0</v>
      </c>
      <c r="AP896" s="19">
        <f t="shared" si="289"/>
        <v>0</v>
      </c>
      <c r="AQ896" s="119">
        <f t="shared" si="320"/>
        <v>0</v>
      </c>
      <c r="AR896" s="91" t="s">
        <v>1144</v>
      </c>
      <c r="AS896" s="91">
        <f t="shared" si="290"/>
        <v>0</v>
      </c>
      <c r="AT896" s="118"/>
      <c r="AU896" s="118"/>
      <c r="AV896" s="118"/>
    </row>
    <row r="897" spans="1:48" s="20" customFormat="1" x14ac:dyDescent="0.25">
      <c r="A897" s="17">
        <f>IFERROR(VLOOKUP(D897,'Monthly Deduction'!$I$3:$J$957,2,0),0)</f>
        <v>0</v>
      </c>
      <c r="B897" s="17">
        <f>IFERROR(VLOOKUP(D897,'Monthly Deduction'!$E$3:$F$957,2,0),0)</f>
        <v>0</v>
      </c>
      <c r="C897" s="17">
        <f t="shared" si="312"/>
        <v>0</v>
      </c>
      <c r="D897" s="41">
        <v>10660011</v>
      </c>
      <c r="E897" s="122" t="str">
        <f>VLOOKUP(D897,'MPG Payment '!$E$3:$G$497305,2,0)</f>
        <v>GOMUKH GHOGHARAHA</v>
      </c>
      <c r="F897" s="146">
        <f>IFERROR(_xlfn.XLOOKUP(D897,'Monthly Deduction'!$I$3:$I$957,'Monthly Deduction'!$H$3:$H$957),0)</f>
        <v>0</v>
      </c>
      <c r="G897" s="123" t="str">
        <f>VLOOKUP(D897,'MPG Payment '!$E$3:$G$333666,3,0)</f>
        <v>vlc</v>
      </c>
      <c r="H897" s="124" t="str">
        <f>VLOOKUP(D897,'MPG Payment '!$E$3:$H$333666,4,0)</f>
        <v>Indirect</v>
      </c>
      <c r="I897" s="88">
        <f>INDEX('MPG Payment '!$C:$C,MATCH('Shayak Income '!D897,'MPG Payment '!E:E,0))</f>
        <v>1066</v>
      </c>
      <c r="J897" s="88" t="str">
        <f>INDEX('MPG Payment '!$D:$D,MATCH('Shayak Income '!D897,'MPG Payment '!E:E,0))</f>
        <v>Gaighat</v>
      </c>
      <c r="K897" s="125" t="s">
        <v>1593</v>
      </c>
      <c r="L897" s="125">
        <v>46150</v>
      </c>
      <c r="M897" s="126">
        <f>SUMIF('MPG Payment '!$E$3:$E$344841,'Shayak Income '!D897,'MPG Payment '!$I$3:$I$344841)</f>
        <v>4834.76</v>
      </c>
      <c r="N897" s="126">
        <f>SUMIF('MPG Payment '!$E$3:$E$344841,'Shayak Income '!D897,'MPG Payment '!$J$3:$J$344841)</f>
        <v>202259.28</v>
      </c>
      <c r="O897" s="126">
        <f t="shared" si="313"/>
        <v>3626.07</v>
      </c>
      <c r="P897" s="126">
        <f t="shared" si="314"/>
        <v>4593.0219999999999</v>
      </c>
      <c r="Q897" s="126">
        <f>SUMIF('MPG Payment '!$E$3:$E$344841,'Shayak Income '!D897,'MPG Payment '!$S$3:$S$344841)</f>
        <v>0</v>
      </c>
      <c r="R897" s="126">
        <f t="shared" si="315"/>
        <v>6067.7784000000001</v>
      </c>
      <c r="S897" s="126">
        <f t="shared" si="316"/>
        <v>1474.7564000000002</v>
      </c>
      <c r="T897" s="126">
        <f t="shared" si="291"/>
        <v>483.47600000000006</v>
      </c>
      <c r="U897" s="127">
        <f>((((((IF(K897="New",0,SUMIF('MPG Payment '!$E$3:$E$344841,'Shayak Income '!D897,'MPG Payment '!$AC$3:$AC$344841))))+0)+0)+0)+0)+0</f>
        <v>0</v>
      </c>
      <c r="V897" s="127">
        <f t="shared" si="292"/>
        <v>7736</v>
      </c>
      <c r="W897" s="19">
        <v>0</v>
      </c>
      <c r="X897" s="19">
        <f t="shared" si="295"/>
        <v>0</v>
      </c>
      <c r="Y897" s="128">
        <f>IFERROR(VLOOKUP(D897,'Monthly Deduction'!$M$2:$N$640,2,0),0)</f>
        <v>0</v>
      </c>
      <c r="Z897" s="128">
        <v>0</v>
      </c>
      <c r="AA897" s="126">
        <f>IFERROR(VLOOKUP(D897,'Monthly Deduction'!A:B,2,0),0)</f>
        <v>0</v>
      </c>
      <c r="AB897" s="129">
        <f t="shared" si="287"/>
        <v>7736</v>
      </c>
      <c r="AC897" s="130">
        <v>0</v>
      </c>
      <c r="AD897" s="35">
        <f t="shared" si="317"/>
        <v>7736</v>
      </c>
      <c r="AE897" s="166" t="str">
        <f t="shared" si="318"/>
        <v>Release</v>
      </c>
      <c r="AF897" s="127"/>
      <c r="AG897" s="18">
        <v>0</v>
      </c>
      <c r="AH897" s="132"/>
      <c r="AI897" s="238">
        <v>0</v>
      </c>
      <c r="AJ897" s="132"/>
      <c r="AK897" s="151">
        <v>771.30000000000007</v>
      </c>
      <c r="AL897" s="154">
        <f t="shared" si="319"/>
        <v>0</v>
      </c>
      <c r="AM897" s="155"/>
      <c r="AN897" s="19">
        <f t="shared" si="288"/>
        <v>0</v>
      </c>
      <c r="AO897" s="118">
        <f>SUMIF('MPG Payment '!E:E,'Shayak Income '!D897,'MPG Payment '!AJ:AJ)</f>
        <v>0</v>
      </c>
      <c r="AP897" s="19">
        <f t="shared" si="289"/>
        <v>0</v>
      </c>
      <c r="AQ897" s="119">
        <f t="shared" si="320"/>
        <v>0</v>
      </c>
      <c r="AR897" s="91" t="s">
        <v>1144</v>
      </c>
      <c r="AS897" s="91">
        <f t="shared" si="290"/>
        <v>0</v>
      </c>
      <c r="AT897" s="118"/>
      <c r="AU897" s="118"/>
      <c r="AV897" s="118"/>
    </row>
    <row r="898" spans="1:48" s="20" customFormat="1" x14ac:dyDescent="0.25">
      <c r="A898" s="17">
        <f>IFERROR(VLOOKUP(D898,'Monthly Deduction'!$I$3:$J$957,2,0),0)</f>
        <v>65000</v>
      </c>
      <c r="B898" s="17">
        <f>IFERROR(VLOOKUP(D898,'Monthly Deduction'!$E$3:$F$957,2,0),0)</f>
        <v>0</v>
      </c>
      <c r="C898" s="17">
        <f t="shared" si="312"/>
        <v>65000</v>
      </c>
      <c r="D898" s="41">
        <v>10660013</v>
      </c>
      <c r="E898" s="122" t="str">
        <f>VLOOKUP(D898,'MPG Payment '!$E$3:$G$497305,2,0)</f>
        <v>GOMUKH MORWARA</v>
      </c>
      <c r="F898" s="146">
        <f>IFERROR(_xlfn.XLOOKUP(D898,'Monthly Deduction'!$I$3:$I$957,'Monthly Deduction'!$H$3:$H$957),0)</f>
        <v>0</v>
      </c>
      <c r="G898" s="123" t="str">
        <f>VLOOKUP(D898,'MPG Payment '!$E$3:$G$333666,3,0)</f>
        <v>MPG</v>
      </c>
      <c r="H898" s="124" t="str">
        <f>VLOOKUP(D898,'MPG Payment '!$E$3:$H$333666,4,0)</f>
        <v>Direct</v>
      </c>
      <c r="I898" s="88">
        <f>INDEX('MPG Payment '!$C:$C,MATCH('Shayak Income '!D898,'MPG Payment '!E:E,0))</f>
        <v>1066</v>
      </c>
      <c r="J898" s="88" t="str">
        <f>INDEX('MPG Payment '!$D:$D,MATCH('Shayak Income '!D898,'MPG Payment '!E:E,0))</f>
        <v>Gaighat</v>
      </c>
      <c r="K898" s="125" t="s">
        <v>1593</v>
      </c>
      <c r="L898" s="125">
        <v>46150</v>
      </c>
      <c r="M898" s="126">
        <f>SUMIF('MPG Payment '!$E$3:$E$344841,'Shayak Income '!D898,'MPG Payment '!$I$3:$I$344841)</f>
        <v>2018.65</v>
      </c>
      <c r="N898" s="126">
        <f>SUMIF('MPG Payment '!$E$3:$E$344841,'Shayak Income '!D898,'MPG Payment '!$J$3:$J$344841)</f>
        <v>83531.47</v>
      </c>
      <c r="O898" s="126">
        <f t="shared" si="313"/>
        <v>1513.9875000000002</v>
      </c>
      <c r="P898" s="126">
        <f t="shared" si="314"/>
        <v>1917.7175</v>
      </c>
      <c r="Q898" s="126">
        <f>SUMIF('MPG Payment '!$E$3:$E$344841,'Shayak Income '!D898,'MPG Payment '!$S$3:$S$344841)</f>
        <v>0</v>
      </c>
      <c r="R898" s="126">
        <f t="shared" si="315"/>
        <v>2505.9441000000002</v>
      </c>
      <c r="S898" s="126">
        <f t="shared" si="316"/>
        <v>588.22660000000019</v>
      </c>
      <c r="T898" s="126">
        <f t="shared" si="291"/>
        <v>201.86500000000001</v>
      </c>
      <c r="U898" s="127">
        <f>((((((IF(K898="New",0,SUMIF('MPG Payment '!$E$3:$E$344841,'Shayak Income '!D898,'MPG Payment '!$AC$3:$AC$344841))))+0)+0)+0)+0)+0</f>
        <v>0</v>
      </c>
      <c r="V898" s="127">
        <f t="shared" si="292"/>
        <v>3230</v>
      </c>
      <c r="W898" s="19">
        <v>0</v>
      </c>
      <c r="X898" s="19">
        <f t="shared" si="295"/>
        <v>0</v>
      </c>
      <c r="Y898" s="128">
        <f>IFERROR(VLOOKUP(D898,'Monthly Deduction'!$M$2:$N$640,2,0),0)</f>
        <v>0</v>
      </c>
      <c r="Z898" s="128">
        <v>0</v>
      </c>
      <c r="AA898" s="126">
        <f>IFERROR(VLOOKUP(D898,'Monthly Deduction'!A:B,2,0),0)</f>
        <v>0</v>
      </c>
      <c r="AB898" s="129">
        <f t="shared" si="287"/>
        <v>3230</v>
      </c>
      <c r="AC898" s="130">
        <v>0</v>
      </c>
      <c r="AD898" s="35">
        <f t="shared" si="317"/>
        <v>3230</v>
      </c>
      <c r="AE898" s="166" t="str">
        <f t="shared" si="318"/>
        <v>Release</v>
      </c>
      <c r="AF898" s="127"/>
      <c r="AG898" s="18">
        <v>0</v>
      </c>
      <c r="AH898" s="132"/>
      <c r="AI898" s="238">
        <v>0</v>
      </c>
      <c r="AJ898" s="132"/>
      <c r="AK898" s="151">
        <v>775.1</v>
      </c>
      <c r="AL898" s="154">
        <f t="shared" si="319"/>
        <v>0</v>
      </c>
      <c r="AM898" s="155"/>
      <c r="AN898" s="19">
        <f t="shared" si="288"/>
        <v>1861</v>
      </c>
      <c r="AO898" s="118">
        <f>SUMIF('MPG Payment '!E:E,'Shayak Income '!D898,'MPG Payment '!AJ:AJ)</f>
        <v>0</v>
      </c>
      <c r="AP898" s="19">
        <f t="shared" si="289"/>
        <v>0</v>
      </c>
      <c r="AQ898" s="119">
        <f t="shared" si="320"/>
        <v>0</v>
      </c>
      <c r="AR898" s="91" t="s">
        <v>1144</v>
      </c>
      <c r="AS898" s="91">
        <f t="shared" si="290"/>
        <v>0</v>
      </c>
      <c r="AT898" s="118"/>
      <c r="AU898" s="118"/>
      <c r="AV898" s="118"/>
    </row>
    <row r="899" spans="1:48" s="20" customFormat="1" x14ac:dyDescent="0.25">
      <c r="A899" s="17">
        <f>IFERROR(VLOOKUP(D899,'Monthly Deduction'!$I$3:$J$957,2,0),0)</f>
        <v>0</v>
      </c>
      <c r="B899" s="17">
        <f>IFERROR(VLOOKUP(D899,'Monthly Deduction'!$E$3:$F$957,2,0),0)</f>
        <v>0</v>
      </c>
      <c r="C899" s="17">
        <f t="shared" si="312"/>
        <v>0</v>
      </c>
      <c r="D899" s="41">
        <v>10660015</v>
      </c>
      <c r="E899" s="122" t="str">
        <f>VLOOKUP(D899,'MPG Payment '!$E$3:$G$497305,2,0)</f>
        <v>GOMUKH NIYAMCHAKHAIDAR</v>
      </c>
      <c r="F899" s="146">
        <f>IFERROR(_xlfn.XLOOKUP(D899,'Monthly Deduction'!$I$3:$I$957,'Monthly Deduction'!$H$3:$H$957),0)</f>
        <v>0</v>
      </c>
      <c r="G899" s="123" t="str">
        <f>VLOOKUP(D899,'MPG Payment '!$E$3:$G$333666,3,0)</f>
        <v>vlc</v>
      </c>
      <c r="H899" s="124" t="str">
        <f>VLOOKUP(D899,'MPG Payment '!$E$3:$H$333666,4,0)</f>
        <v>Indirect</v>
      </c>
      <c r="I899" s="88">
        <f>INDEX('MPG Payment '!$C:$C,MATCH('Shayak Income '!D899,'MPG Payment '!E:E,0))</f>
        <v>1066</v>
      </c>
      <c r="J899" s="88" t="str">
        <f>INDEX('MPG Payment '!$D:$D,MATCH('Shayak Income '!D899,'MPG Payment '!E:E,0))</f>
        <v>Gaighat</v>
      </c>
      <c r="K899" s="125" t="s">
        <v>1593</v>
      </c>
      <c r="L899" s="125">
        <v>46150</v>
      </c>
      <c r="M899" s="126">
        <f>SUMIF('MPG Payment '!$E$3:$E$344841,'Shayak Income '!D899,'MPG Payment '!$I$3:$I$344841)</f>
        <v>5865.3600000000006</v>
      </c>
      <c r="N899" s="126">
        <f>SUMIF('MPG Payment '!$E$3:$E$344841,'Shayak Income '!D899,'MPG Payment '!$J$3:$J$344841)</f>
        <v>246974.53000000003</v>
      </c>
      <c r="O899" s="126">
        <f t="shared" si="313"/>
        <v>4399.0200000000004</v>
      </c>
      <c r="P899" s="126">
        <f t="shared" si="314"/>
        <v>5572.0920000000006</v>
      </c>
      <c r="Q899" s="126">
        <f>SUMIF('MPG Payment '!$E$3:$E$344841,'Shayak Income '!D899,'MPG Payment '!$S$3:$S$344841)</f>
        <v>0</v>
      </c>
      <c r="R899" s="126">
        <f t="shared" si="315"/>
        <v>7409.2359000000006</v>
      </c>
      <c r="S899" s="126">
        <f t="shared" si="316"/>
        <v>1837.1439</v>
      </c>
      <c r="T899" s="126">
        <f t="shared" si="291"/>
        <v>586.53600000000006</v>
      </c>
      <c r="U899" s="127">
        <f>((((((IF(K899="New",0,SUMIF('MPG Payment '!$E$3:$E$344841,'Shayak Income '!D899,'MPG Payment '!$AC$3:$AC$344841))))+0)+0)+0)+0)+0</f>
        <v>0</v>
      </c>
      <c r="V899" s="127">
        <f t="shared" si="292"/>
        <v>9385</v>
      </c>
      <c r="W899" s="19">
        <v>0</v>
      </c>
      <c r="X899" s="19">
        <f t="shared" si="295"/>
        <v>0</v>
      </c>
      <c r="Y899" s="128">
        <f>IFERROR(VLOOKUP(D899,'Monthly Deduction'!$M$2:$N$640,2,0),0)</f>
        <v>0</v>
      </c>
      <c r="Z899" s="128">
        <v>0</v>
      </c>
      <c r="AA899" s="126">
        <f>IFERROR(VLOOKUP(D899,'Monthly Deduction'!A:B,2,0),0)</f>
        <v>0</v>
      </c>
      <c r="AB899" s="129">
        <f t="shared" si="287"/>
        <v>9385</v>
      </c>
      <c r="AC899" s="130">
        <v>0</v>
      </c>
      <c r="AD899" s="35">
        <f t="shared" si="317"/>
        <v>9385</v>
      </c>
      <c r="AE899" s="166" t="str">
        <f t="shared" si="318"/>
        <v>Release</v>
      </c>
      <c r="AF899" s="127"/>
      <c r="AG899" s="18">
        <v>0</v>
      </c>
      <c r="AH899" s="132"/>
      <c r="AI899" s="238">
        <v>0</v>
      </c>
      <c r="AJ899" s="132"/>
      <c r="AK899" s="151">
        <v>1738.9</v>
      </c>
      <c r="AL899" s="154">
        <f t="shared" si="319"/>
        <v>0</v>
      </c>
      <c r="AM899" s="155"/>
      <c r="AN899" s="19">
        <f t="shared" si="288"/>
        <v>0</v>
      </c>
      <c r="AO899" s="118">
        <f>SUMIF('MPG Payment '!E:E,'Shayak Income '!D899,'MPG Payment '!AJ:AJ)</f>
        <v>0</v>
      </c>
      <c r="AP899" s="19">
        <f t="shared" si="289"/>
        <v>0</v>
      </c>
      <c r="AQ899" s="119">
        <f t="shared" si="320"/>
        <v>0</v>
      </c>
      <c r="AR899" s="91" t="s">
        <v>1144</v>
      </c>
      <c r="AS899" s="91">
        <f t="shared" si="290"/>
        <v>0</v>
      </c>
      <c r="AT899" s="118"/>
      <c r="AU899" s="118"/>
      <c r="AV899" s="118"/>
    </row>
    <row r="900" spans="1:48" s="20" customFormat="1" x14ac:dyDescent="0.25">
      <c r="A900" s="17">
        <f>IFERROR(VLOOKUP(D900,'Monthly Deduction'!$I$3:$J$957,2,0),0)</f>
        <v>0</v>
      </c>
      <c r="B900" s="17">
        <f>IFERROR(VLOOKUP(D900,'Monthly Deduction'!$E$3:$F$957,2,0),0)</f>
        <v>0</v>
      </c>
      <c r="C900" s="17">
        <f t="shared" si="312"/>
        <v>0</v>
      </c>
      <c r="D900" s="41">
        <v>10660016</v>
      </c>
      <c r="E900" s="122" t="str">
        <f>VLOOKUP(D900,'MPG Payment '!$E$3:$G$497305,2,0)</f>
        <v>GOMUKH JATMAPUR WARD 1</v>
      </c>
      <c r="F900" s="146">
        <f>IFERROR(_xlfn.XLOOKUP(D900,'Monthly Deduction'!$I$3:$I$957,'Monthly Deduction'!$H$3:$H$957),0)</f>
        <v>0</v>
      </c>
      <c r="G900" s="123" t="str">
        <f>VLOOKUP(D900,'MPG Payment '!$E$3:$G$333666,3,0)</f>
        <v>vlc</v>
      </c>
      <c r="H900" s="124" t="str">
        <f>VLOOKUP(D900,'MPG Payment '!$E$3:$H$333666,4,0)</f>
        <v>Indirect</v>
      </c>
      <c r="I900" s="88">
        <f>INDEX('MPG Payment '!$C:$C,MATCH('Shayak Income '!D900,'MPG Payment '!E:E,0))</f>
        <v>1066</v>
      </c>
      <c r="J900" s="88" t="str">
        <f>INDEX('MPG Payment '!$D:$D,MATCH('Shayak Income '!D900,'MPG Payment '!E:E,0))</f>
        <v>Gaighat</v>
      </c>
      <c r="K900" s="125" t="s">
        <v>1593</v>
      </c>
      <c r="L900" s="125">
        <v>46155</v>
      </c>
      <c r="M900" s="126">
        <f>SUMIF('MPG Payment '!$E$3:$E$344841,'Shayak Income '!D900,'MPG Payment '!$I$3:$I$344841)</f>
        <v>2879.6400000000003</v>
      </c>
      <c r="N900" s="126">
        <f>SUMIF('MPG Payment '!$E$3:$E$344841,'Shayak Income '!D900,'MPG Payment '!$J$3:$J$344841)</f>
        <v>115049.12000000001</v>
      </c>
      <c r="O900" s="126">
        <f t="shared" si="313"/>
        <v>2159.7300000000005</v>
      </c>
      <c r="P900" s="126">
        <f t="shared" si="314"/>
        <v>2735.6580000000004</v>
      </c>
      <c r="Q900" s="126">
        <f>SUMIF('MPG Payment '!$E$3:$E$344841,'Shayak Income '!D900,'MPG Payment '!$S$3:$S$344841)</f>
        <v>0</v>
      </c>
      <c r="R900" s="126">
        <f t="shared" si="315"/>
        <v>3451.4736000000003</v>
      </c>
      <c r="S900" s="126">
        <f t="shared" si="316"/>
        <v>715.8155999999999</v>
      </c>
      <c r="T900" s="126">
        <f t="shared" si="291"/>
        <v>287.96400000000006</v>
      </c>
      <c r="U900" s="127">
        <f>((((((IF(K900="New",0,SUMIF('MPG Payment '!$E$3:$E$344841,'Shayak Income '!D900,'MPG Payment '!$AC$3:$AC$344841))))+0)+0)+0)+0)+0</f>
        <v>0</v>
      </c>
      <c r="V900" s="127">
        <f t="shared" si="292"/>
        <v>4607</v>
      </c>
      <c r="W900" s="19">
        <v>0</v>
      </c>
      <c r="X900" s="19">
        <f t="shared" ref="X900:X963" si="321">((MIN(IF(B900&gt;0,MAX(N900*2%),0),B900)))+0</f>
        <v>0</v>
      </c>
      <c r="Y900" s="128">
        <f>IFERROR(VLOOKUP(D900,'Monthly Deduction'!$M$2:$N$640,2,0),0)</f>
        <v>0</v>
      </c>
      <c r="Z900" s="128">
        <v>0</v>
      </c>
      <c r="AA900" s="126">
        <f>IFERROR(VLOOKUP(D900,'Monthly Deduction'!A:B,2,0),0)</f>
        <v>0</v>
      </c>
      <c r="AB900" s="129">
        <f t="shared" ref="AB900:AB963" si="322">ROUND(IFERROR(V900-SUM(W900:AA900),0),0)</f>
        <v>4607</v>
      </c>
      <c r="AC900" s="130">
        <v>0</v>
      </c>
      <c r="AD900" s="35">
        <f t="shared" si="317"/>
        <v>4607</v>
      </c>
      <c r="AE900" s="166" t="str">
        <f t="shared" si="318"/>
        <v>Release</v>
      </c>
      <c r="AF900" s="127"/>
      <c r="AG900" s="18">
        <v>0</v>
      </c>
      <c r="AH900" s="132"/>
      <c r="AI900" s="238">
        <v>0</v>
      </c>
      <c r="AJ900" s="132"/>
      <c r="AK900" s="151">
        <v>501.8</v>
      </c>
      <c r="AL900" s="154">
        <f t="shared" si="319"/>
        <v>0</v>
      </c>
      <c r="AM900" s="155"/>
      <c r="AN900" s="19">
        <f t="shared" ref="AN900:AN963" si="323">((MIN(IF(A900&gt;0,MAX(N900*2%,1861),0),A900)))+0</f>
        <v>0</v>
      </c>
      <c r="AO900" s="118">
        <f>SUMIF('MPG Payment '!E:E,'Shayak Income '!D900,'MPG Payment '!AJ:AJ)</f>
        <v>0</v>
      </c>
      <c r="AP900" s="19">
        <f t="shared" ref="AP900:AP963" si="324">W900</f>
        <v>0</v>
      </c>
      <c r="AQ900" s="119">
        <f t="shared" si="320"/>
        <v>0</v>
      </c>
      <c r="AR900" s="91" t="s">
        <v>1144</v>
      </c>
      <c r="AS900" s="91">
        <f t="shared" ref="AS900:AS963" si="325">B900-X900</f>
        <v>0</v>
      </c>
      <c r="AT900" s="118"/>
      <c r="AU900" s="118"/>
      <c r="AV900" s="118"/>
    </row>
    <row r="901" spans="1:48" s="20" customFormat="1" x14ac:dyDescent="0.25">
      <c r="A901" s="17">
        <f>IFERROR(VLOOKUP(D901,'Monthly Deduction'!$I$3:$J$957,2,0),0)</f>
        <v>75000</v>
      </c>
      <c r="B901" s="17">
        <f>IFERROR(VLOOKUP(D901,'Monthly Deduction'!$E$3:$F$957,2,0),0)</f>
        <v>0</v>
      </c>
      <c r="C901" s="17">
        <f t="shared" si="312"/>
        <v>75000</v>
      </c>
      <c r="D901" s="41">
        <v>10660017</v>
      </c>
      <c r="E901" s="122" t="str">
        <f>VLOOKUP(D901,'MPG Payment '!$E$3:$G$497305,2,0)</f>
        <v>GOMUKH JATMALPUR</v>
      </c>
      <c r="F901" s="146">
        <f>IFERROR(_xlfn.XLOOKUP(D901,'Monthly Deduction'!$I$3:$I$957,'Monthly Deduction'!$H$3:$H$957),0)</f>
        <v>0</v>
      </c>
      <c r="G901" s="123" t="str">
        <f>VLOOKUP(D901,'MPG Payment '!$E$3:$G$333666,3,0)</f>
        <v>MPG</v>
      </c>
      <c r="H901" s="124" t="str">
        <f>VLOOKUP(D901,'MPG Payment '!$E$3:$H$333666,4,0)</f>
        <v>Direct</v>
      </c>
      <c r="I901" s="88">
        <f>INDEX('MPG Payment '!$C:$C,MATCH('Shayak Income '!D901,'MPG Payment '!E:E,0))</f>
        <v>1066</v>
      </c>
      <c r="J901" s="88" t="str">
        <f>INDEX('MPG Payment '!$D:$D,MATCH('Shayak Income '!D901,'MPG Payment '!E:E,0))</f>
        <v>Gaighat</v>
      </c>
      <c r="K901" s="125" t="s">
        <v>1593</v>
      </c>
      <c r="L901" s="125">
        <v>46150</v>
      </c>
      <c r="M901" s="126">
        <f>SUMIF('MPG Payment '!$E$3:$E$344841,'Shayak Income '!D901,'MPG Payment '!$I$3:$I$344841)</f>
        <v>901.96</v>
      </c>
      <c r="N901" s="126">
        <f>SUMIF('MPG Payment '!$E$3:$E$344841,'Shayak Income '!D901,'MPG Payment '!$J$3:$J$344841)</f>
        <v>39589.509999999995</v>
      </c>
      <c r="O901" s="126">
        <f t="shared" si="313"/>
        <v>676.47</v>
      </c>
      <c r="P901" s="126">
        <f t="shared" si="314"/>
        <v>856.86199999999997</v>
      </c>
      <c r="Q901" s="126">
        <f>SUMIF('MPG Payment '!$E$3:$E$344841,'Shayak Income '!D901,'MPG Payment '!$S$3:$S$344841)</f>
        <v>598.86</v>
      </c>
      <c r="R901" s="126">
        <f t="shared" si="315"/>
        <v>1187.6852999999999</v>
      </c>
      <c r="S901" s="126">
        <f t="shared" si="316"/>
        <v>330.8232999999999</v>
      </c>
      <c r="T901" s="126">
        <f t="shared" ref="T901:T964" si="326">M901*0.1</f>
        <v>90.196000000000012</v>
      </c>
      <c r="U901" s="127">
        <f>((((((IF(K901="New",0,SUMIF('MPG Payment '!$E$3:$E$344841,'Shayak Income '!D901,'MPG Payment '!$AC$3:$AC$344841))))+0)+0)+0)+0)+0</f>
        <v>0</v>
      </c>
      <c r="V901" s="127">
        <f t="shared" ref="V901:V964" si="327">ROUND((SUM(O901:Q901)-SUM(T901:U901)),0)</f>
        <v>2042</v>
      </c>
      <c r="W901" s="19">
        <v>0</v>
      </c>
      <c r="X901" s="19">
        <f t="shared" si="321"/>
        <v>0</v>
      </c>
      <c r="Y901" s="128">
        <f>IFERROR(VLOOKUP(D901,'Monthly Deduction'!$M$2:$N$640,2,0),0)</f>
        <v>0</v>
      </c>
      <c r="Z901" s="128">
        <v>0</v>
      </c>
      <c r="AA901" s="126">
        <f>IFERROR(VLOOKUP(D901,'Monthly Deduction'!A:B,2,0),0)</f>
        <v>0</v>
      </c>
      <c r="AB901" s="129">
        <f t="shared" si="322"/>
        <v>2042</v>
      </c>
      <c r="AC901" s="130">
        <f>AB901</f>
        <v>2042</v>
      </c>
      <c r="AD901" s="35">
        <f t="shared" si="317"/>
        <v>0</v>
      </c>
      <c r="AE901" s="166" t="str">
        <f t="shared" si="318"/>
        <v>Yes</v>
      </c>
      <c r="AF901" s="127"/>
      <c r="AG901" s="18">
        <v>0</v>
      </c>
      <c r="AH901" s="120" t="s">
        <v>1685</v>
      </c>
      <c r="AI901" s="238">
        <v>10000</v>
      </c>
      <c r="AJ901" s="132"/>
      <c r="AK901" s="151">
        <v>292</v>
      </c>
      <c r="AL901" s="154">
        <f t="shared" si="319"/>
        <v>0</v>
      </c>
      <c r="AM901" s="155"/>
      <c r="AN901" s="19">
        <f t="shared" si="323"/>
        <v>1861</v>
      </c>
      <c r="AO901" s="118">
        <f>SUMIF('MPG Payment '!E:E,'Shayak Income '!D901,'MPG Payment '!AJ:AJ)</f>
        <v>0</v>
      </c>
      <c r="AP901" s="19">
        <f t="shared" si="324"/>
        <v>0</v>
      </c>
      <c r="AQ901" s="119">
        <f t="shared" si="320"/>
        <v>0</v>
      </c>
      <c r="AR901" s="91" t="s">
        <v>1144</v>
      </c>
      <c r="AS901" s="91">
        <f t="shared" si="325"/>
        <v>0</v>
      </c>
      <c r="AT901" s="118"/>
      <c r="AU901" s="118"/>
      <c r="AV901" s="118"/>
    </row>
    <row r="902" spans="1:48" s="20" customFormat="1" x14ac:dyDescent="0.25">
      <c r="A902" s="17">
        <f>IFERROR(VLOOKUP(D902,'Monthly Deduction'!$I$3:$J$957,2,0),0)</f>
        <v>0</v>
      </c>
      <c r="B902" s="17">
        <f>IFERROR(VLOOKUP(D902,'Monthly Deduction'!$E$3:$F$957,2,0),0)</f>
        <v>0</v>
      </c>
      <c r="C902" s="17">
        <f t="shared" si="312"/>
        <v>0</v>
      </c>
      <c r="D902" s="41">
        <v>10660019</v>
      </c>
      <c r="E902" s="122" t="str">
        <f>VLOOKUP(D902,'MPG Payment '!$E$3:$G$497305,2,0)</f>
        <v>GOMUKH PURUSHOTTAMPUR WEST</v>
      </c>
      <c r="F902" s="146">
        <f>IFERROR(_xlfn.XLOOKUP(D902,'Monthly Deduction'!$I$3:$I$957,'Monthly Deduction'!$H$3:$H$957),0)</f>
        <v>0</v>
      </c>
      <c r="G902" s="123" t="str">
        <f>VLOOKUP(D902,'MPG Payment '!$E$3:$G$333666,3,0)</f>
        <v>vlc</v>
      </c>
      <c r="H902" s="124" t="str">
        <f>VLOOKUP(D902,'MPG Payment '!$E$3:$H$333666,4,0)</f>
        <v>Indirect</v>
      </c>
      <c r="I902" s="88">
        <f>INDEX('MPG Payment '!$C:$C,MATCH('Shayak Income '!D902,'MPG Payment '!E:E,0))</f>
        <v>1066</v>
      </c>
      <c r="J902" s="88" t="str">
        <f>INDEX('MPG Payment '!$D:$D,MATCH('Shayak Income '!D902,'MPG Payment '!E:E,0))</f>
        <v>Gaighat</v>
      </c>
      <c r="K902" s="125" t="s">
        <v>1593</v>
      </c>
      <c r="L902" s="125">
        <v>46150</v>
      </c>
      <c r="M902" s="126">
        <f>SUMIF('MPG Payment '!$E$3:$E$344841,'Shayak Income '!D902,'MPG Payment '!$I$3:$I$344841)</f>
        <v>32.21</v>
      </c>
      <c r="N902" s="126">
        <f>SUMIF('MPG Payment '!$E$3:$E$344841,'Shayak Income '!D902,'MPG Payment '!$J$3:$J$344841)</f>
        <v>1231.3900000000001</v>
      </c>
      <c r="O902" s="126">
        <f t="shared" si="313"/>
        <v>24.157499999999999</v>
      </c>
      <c r="P902" s="126">
        <f t="shared" si="314"/>
        <v>30.599499999999999</v>
      </c>
      <c r="Q902" s="126">
        <f>SUMIF('MPG Payment '!$E$3:$E$344841,'Shayak Income '!D902,'MPG Payment '!$S$3:$S$344841)</f>
        <v>0</v>
      </c>
      <c r="R902" s="126">
        <f t="shared" si="315"/>
        <v>36.941700000000004</v>
      </c>
      <c r="S902" s="126">
        <f t="shared" si="316"/>
        <v>6.3422000000000054</v>
      </c>
      <c r="T902" s="126">
        <f t="shared" si="326"/>
        <v>3.2210000000000001</v>
      </c>
      <c r="U902" s="127">
        <f>((((((IF(K902="New",0,SUMIF('MPG Payment '!$E$3:$E$344841,'Shayak Income '!D902,'MPG Payment '!$AC$3:$AC$344841))))+0)+0)+0)+0)+0</f>
        <v>0</v>
      </c>
      <c r="V902" s="127">
        <f t="shared" si="327"/>
        <v>52</v>
      </c>
      <c r="W902" s="19">
        <v>0</v>
      </c>
      <c r="X902" s="19">
        <f t="shared" si="321"/>
        <v>0</v>
      </c>
      <c r="Y902" s="128">
        <f>IFERROR(VLOOKUP(D902,'Monthly Deduction'!$M$2:$N$640,2,0),0)</f>
        <v>0</v>
      </c>
      <c r="Z902" s="128">
        <v>0</v>
      </c>
      <c r="AA902" s="126">
        <f>IFERROR(VLOOKUP(D902,'Monthly Deduction'!A:B,2,0),0)</f>
        <v>0</v>
      </c>
      <c r="AB902" s="129">
        <f t="shared" si="322"/>
        <v>52</v>
      </c>
      <c r="AC902" s="130">
        <v>0</v>
      </c>
      <c r="AD902" s="35">
        <f t="shared" si="317"/>
        <v>52</v>
      </c>
      <c r="AE902" s="166" t="str">
        <f t="shared" si="318"/>
        <v>Release</v>
      </c>
      <c r="AF902" s="127"/>
      <c r="AG902" s="18">
        <v>0</v>
      </c>
      <c r="AH902" s="120"/>
      <c r="AI902" s="238">
        <v>0</v>
      </c>
      <c r="AJ902" s="132"/>
      <c r="AK902" s="151">
        <v>28</v>
      </c>
      <c r="AL902" s="154">
        <f t="shared" si="319"/>
        <v>0</v>
      </c>
      <c r="AM902" s="155"/>
      <c r="AN902" s="19">
        <f t="shared" si="323"/>
        <v>0</v>
      </c>
      <c r="AO902" s="118">
        <f>SUMIF('MPG Payment '!E:E,'Shayak Income '!D902,'MPG Payment '!AJ:AJ)</f>
        <v>0</v>
      </c>
      <c r="AP902" s="19">
        <f t="shared" si="324"/>
        <v>0</v>
      </c>
      <c r="AQ902" s="119">
        <f t="shared" si="320"/>
        <v>0</v>
      </c>
      <c r="AR902" s="91" t="s">
        <v>1144</v>
      </c>
      <c r="AS902" s="91">
        <f t="shared" si="325"/>
        <v>0</v>
      </c>
      <c r="AT902" s="118"/>
      <c r="AU902" s="118"/>
      <c r="AV902" s="118"/>
    </row>
    <row r="903" spans="1:48" s="20" customFormat="1" x14ac:dyDescent="0.25">
      <c r="A903" s="17">
        <f>IFERROR(VLOOKUP(D903,'Monthly Deduction'!$I$3:$J$957,2,0),0)</f>
        <v>0</v>
      </c>
      <c r="B903" s="17">
        <f>IFERROR(VLOOKUP(D903,'Monthly Deduction'!$E$3:$F$957,2,0),0)</f>
        <v>0</v>
      </c>
      <c r="C903" s="17">
        <f t="shared" si="312"/>
        <v>0</v>
      </c>
      <c r="D903" s="41">
        <v>10660021</v>
      </c>
      <c r="E903" s="122" t="str">
        <f>VLOOKUP(D903,'MPG Payment '!$E$3:$G$497305,2,0)</f>
        <v>Gomukh Barhetta</v>
      </c>
      <c r="F903" s="146">
        <f>IFERROR(_xlfn.XLOOKUP(D903,'Monthly Deduction'!$I$3:$I$957,'Monthly Deduction'!$H$3:$H$957),0)</f>
        <v>0</v>
      </c>
      <c r="G903" s="123" t="str">
        <f>VLOOKUP(D903,'MPG Payment '!$E$3:$G$333666,3,0)</f>
        <v>vlc</v>
      </c>
      <c r="H903" s="124" t="str">
        <f>VLOOKUP(D903,'MPG Payment '!$E$3:$H$333666,4,0)</f>
        <v>Indirect</v>
      </c>
      <c r="I903" s="88">
        <f>INDEX('MPG Payment '!$C:$C,MATCH('Shayak Income '!D903,'MPG Payment '!E:E,0))</f>
        <v>1066</v>
      </c>
      <c r="J903" s="88" t="str">
        <f>INDEX('MPG Payment '!$D:$D,MATCH('Shayak Income '!D903,'MPG Payment '!E:E,0))</f>
        <v>Gaighat</v>
      </c>
      <c r="K903" s="125" t="s">
        <v>1593</v>
      </c>
      <c r="L903" s="125">
        <v>46150</v>
      </c>
      <c r="M903" s="126">
        <f>SUMIF('MPG Payment '!$E$3:$E$344841,'Shayak Income '!D903,'MPG Payment '!$I$3:$I$344841)</f>
        <v>1668.0800000000002</v>
      </c>
      <c r="N903" s="126">
        <f>SUMIF('MPG Payment '!$E$3:$E$344841,'Shayak Income '!D903,'MPG Payment '!$J$3:$J$344841)</f>
        <v>65249.350000000006</v>
      </c>
      <c r="O903" s="126">
        <f t="shared" si="313"/>
        <v>1251.0600000000002</v>
      </c>
      <c r="P903" s="126">
        <f t="shared" si="314"/>
        <v>1584.6760000000002</v>
      </c>
      <c r="Q903" s="126">
        <f>SUMIF('MPG Payment '!$E$3:$E$344841,'Shayak Income '!D903,'MPG Payment '!$S$3:$S$344841)</f>
        <v>0</v>
      </c>
      <c r="R903" s="126">
        <f t="shared" si="315"/>
        <v>1957.4805000000001</v>
      </c>
      <c r="S903" s="126">
        <f t="shared" si="316"/>
        <v>372.80449999999996</v>
      </c>
      <c r="T903" s="126">
        <f t="shared" si="326"/>
        <v>166.80800000000002</v>
      </c>
      <c r="U903" s="127">
        <f>((((((IF(K903="New",0,SUMIF('MPG Payment '!$E$3:$E$344841,'Shayak Income '!D903,'MPG Payment '!$AC$3:$AC$344841))))+0)+0)+0)+0)+0</f>
        <v>0</v>
      </c>
      <c r="V903" s="127">
        <f t="shared" si="327"/>
        <v>2669</v>
      </c>
      <c r="W903" s="19">
        <v>0</v>
      </c>
      <c r="X903" s="19">
        <f t="shared" si="321"/>
        <v>0</v>
      </c>
      <c r="Y903" s="128">
        <f>IFERROR(VLOOKUP(D903,'Monthly Deduction'!$M$2:$N$640,2,0),0)</f>
        <v>0</v>
      </c>
      <c r="Z903" s="128">
        <v>0</v>
      </c>
      <c r="AA903" s="126">
        <f>IFERROR(VLOOKUP(D903,'Monthly Deduction'!A:B,2,0),0)</f>
        <v>0</v>
      </c>
      <c r="AB903" s="129">
        <f t="shared" si="322"/>
        <v>2669</v>
      </c>
      <c r="AC903" s="130">
        <v>0</v>
      </c>
      <c r="AD903" s="35">
        <f t="shared" si="317"/>
        <v>2669</v>
      </c>
      <c r="AE903" s="166" t="str">
        <f t="shared" si="318"/>
        <v>Release</v>
      </c>
      <c r="AF903" s="127"/>
      <c r="AG903" s="18">
        <v>0</v>
      </c>
      <c r="AH903" s="132"/>
      <c r="AI903" s="238">
        <v>0</v>
      </c>
      <c r="AJ903" s="132"/>
      <c r="AK903" s="151">
        <v>47.5</v>
      </c>
      <c r="AL903" s="154">
        <f t="shared" si="319"/>
        <v>0</v>
      </c>
      <c r="AM903" s="155"/>
      <c r="AN903" s="19">
        <f t="shared" si="323"/>
        <v>0</v>
      </c>
      <c r="AO903" s="118">
        <f>SUMIF('MPG Payment '!E:E,'Shayak Income '!D903,'MPG Payment '!AJ:AJ)</f>
        <v>0</v>
      </c>
      <c r="AP903" s="19">
        <f t="shared" si="324"/>
        <v>0</v>
      </c>
      <c r="AQ903" s="119">
        <f t="shared" si="320"/>
        <v>0</v>
      </c>
      <c r="AR903" s="91" t="s">
        <v>1144</v>
      </c>
      <c r="AS903" s="91">
        <f t="shared" si="325"/>
        <v>0</v>
      </c>
      <c r="AT903" s="118"/>
      <c r="AU903" s="118"/>
      <c r="AV903" s="118"/>
    </row>
    <row r="904" spans="1:48" s="20" customFormat="1" x14ac:dyDescent="0.25">
      <c r="A904" s="17">
        <f>IFERROR(VLOOKUP(D904,'Monthly Deduction'!$I$3:$J$957,2,0),0)</f>
        <v>0</v>
      </c>
      <c r="B904" s="17">
        <f>IFERROR(VLOOKUP(D904,'Monthly Deduction'!$E$3:$F$957,2,0),0)</f>
        <v>0</v>
      </c>
      <c r="C904" s="17">
        <f t="shared" si="312"/>
        <v>0</v>
      </c>
      <c r="D904" s="41">
        <v>10660022</v>
      </c>
      <c r="E904" s="122" t="str">
        <f>VLOOKUP(D904,'MPG Payment '!$E$3:$G$497305,2,0)</f>
        <v>GOMUKH  MANORATHPUR</v>
      </c>
      <c r="F904" s="146">
        <f>IFERROR(_xlfn.XLOOKUP(D904,'Monthly Deduction'!$I$3:$I$957,'Monthly Deduction'!$H$3:$H$957),0)</f>
        <v>0</v>
      </c>
      <c r="G904" s="123" t="str">
        <f>VLOOKUP(D904,'MPG Payment '!$E$3:$G$333666,3,0)</f>
        <v>VLC</v>
      </c>
      <c r="H904" s="124" t="str">
        <f>VLOOKUP(D904,'MPG Payment '!$E$3:$H$333666,4,0)</f>
        <v>Indirect</v>
      </c>
      <c r="I904" s="88">
        <f>INDEX('MPG Payment '!$C:$C,MATCH('Shayak Income '!D904,'MPG Payment '!E:E,0))</f>
        <v>1066</v>
      </c>
      <c r="J904" s="88" t="str">
        <f>INDEX('MPG Payment '!$D:$D,MATCH('Shayak Income '!D904,'MPG Payment '!E:E,0))</f>
        <v>Gaighat</v>
      </c>
      <c r="K904" s="125" t="s">
        <v>1593</v>
      </c>
      <c r="L904" s="125">
        <v>46156</v>
      </c>
      <c r="M904" s="126">
        <f>SUMIF('MPG Payment '!$E$3:$E$344841,'Shayak Income '!D904,'MPG Payment '!$I$3:$I$344841)</f>
        <v>385.20000000000005</v>
      </c>
      <c r="N904" s="126">
        <f>SUMIF('MPG Payment '!$E$3:$E$344841,'Shayak Income '!D904,'MPG Payment '!$J$3:$J$344841)</f>
        <v>17656.669999999998</v>
      </c>
      <c r="O904" s="126">
        <f t="shared" si="313"/>
        <v>288.90000000000003</v>
      </c>
      <c r="P904" s="126">
        <f t="shared" si="314"/>
        <v>365.94</v>
      </c>
      <c r="Q904" s="126">
        <f>SUMIF('MPG Payment '!$E$3:$E$344841,'Shayak Income '!D904,'MPG Payment '!$S$3:$S$344841)</f>
        <v>0</v>
      </c>
      <c r="R904" s="126">
        <f t="shared" si="315"/>
        <v>529.70009999999991</v>
      </c>
      <c r="S904" s="126">
        <f t="shared" si="316"/>
        <v>163.76009999999991</v>
      </c>
      <c r="T904" s="126">
        <f t="shared" si="326"/>
        <v>38.52000000000001</v>
      </c>
      <c r="U904" s="127">
        <f>((((((IF(K904="New",0,SUMIF('MPG Payment '!$E$3:$E$344841,'Shayak Income '!D904,'MPG Payment '!$AC$3:$AC$344841))))+0)+0)+0)+0)+0</f>
        <v>0</v>
      </c>
      <c r="V904" s="127">
        <f t="shared" si="327"/>
        <v>616</v>
      </c>
      <c r="W904" s="19">
        <v>0</v>
      </c>
      <c r="X904" s="19">
        <f t="shared" si="321"/>
        <v>0</v>
      </c>
      <c r="Y904" s="128">
        <f>IFERROR(VLOOKUP(D904,'Monthly Deduction'!$M$2:$N$640,2,0),0)</f>
        <v>0</v>
      </c>
      <c r="Z904" s="128">
        <v>0</v>
      </c>
      <c r="AA904" s="126">
        <f>IFERROR(VLOOKUP(D904,'Monthly Deduction'!A:B,2,0),0)</f>
        <v>0</v>
      </c>
      <c r="AB904" s="129">
        <f t="shared" si="322"/>
        <v>616</v>
      </c>
      <c r="AC904" s="130">
        <f>AB904</f>
        <v>616</v>
      </c>
      <c r="AD904" s="35">
        <f t="shared" si="317"/>
        <v>0</v>
      </c>
      <c r="AE904" s="166" t="str">
        <f t="shared" si="318"/>
        <v>Yes</v>
      </c>
      <c r="AF904" s="127"/>
      <c r="AG904" s="18">
        <v>0</v>
      </c>
      <c r="AH904" s="132" t="s">
        <v>1597</v>
      </c>
      <c r="AI904" s="238">
        <v>0</v>
      </c>
      <c r="AJ904" s="132"/>
      <c r="AK904" s="151">
        <v>0</v>
      </c>
      <c r="AL904" s="154">
        <f t="shared" si="319"/>
        <v>0</v>
      </c>
      <c r="AM904" s="155"/>
      <c r="AN904" s="19">
        <f t="shared" si="323"/>
        <v>0</v>
      </c>
      <c r="AO904" s="118">
        <f>SUMIF('MPG Payment '!E:E,'Shayak Income '!D904,'MPG Payment '!AJ:AJ)</f>
        <v>0</v>
      </c>
      <c r="AP904" s="19">
        <f t="shared" si="324"/>
        <v>0</v>
      </c>
      <c r="AQ904" s="119">
        <f t="shared" si="320"/>
        <v>0</v>
      </c>
      <c r="AR904" s="91" t="s">
        <v>1144</v>
      </c>
      <c r="AS904" s="91">
        <f t="shared" si="325"/>
        <v>0</v>
      </c>
      <c r="AT904" s="118"/>
      <c r="AU904" s="118"/>
      <c r="AV904" s="118"/>
    </row>
    <row r="905" spans="1:48" s="20" customFormat="1" x14ac:dyDescent="0.25">
      <c r="A905" s="17">
        <f>IFERROR(VLOOKUP(D905,'Monthly Deduction'!$I$3:$J$957,2,0),0)</f>
        <v>0</v>
      </c>
      <c r="B905" s="17">
        <f>IFERROR(VLOOKUP(D905,'Monthly Deduction'!$E$3:$F$957,2,0),0)</f>
        <v>0</v>
      </c>
      <c r="C905" s="17">
        <f t="shared" si="312"/>
        <v>0</v>
      </c>
      <c r="D905" s="41">
        <v>10660023</v>
      </c>
      <c r="E905" s="122" t="str">
        <f>VLOOKUP(D905,'MPG Payment '!$E$3:$G$497305,2,0)</f>
        <v>GOMUKH BHADOGHAT</v>
      </c>
      <c r="F905" s="146">
        <f>IFERROR(_xlfn.XLOOKUP(D905,'Monthly Deduction'!$I$3:$I$957,'Monthly Deduction'!$H$3:$H$957),0)</f>
        <v>0</v>
      </c>
      <c r="G905" s="123" t="str">
        <f>VLOOKUP(D905,'MPG Payment '!$E$3:$G$333666,3,0)</f>
        <v>vlc</v>
      </c>
      <c r="H905" s="124" t="str">
        <f>VLOOKUP(D905,'MPG Payment '!$E$3:$H$333666,4,0)</f>
        <v>Indirect</v>
      </c>
      <c r="I905" s="88">
        <f>INDEX('MPG Payment '!$C:$C,MATCH('Shayak Income '!D905,'MPG Payment '!E:E,0))</f>
        <v>1066</v>
      </c>
      <c r="J905" s="88" t="str">
        <f>INDEX('MPG Payment '!$D:$D,MATCH('Shayak Income '!D905,'MPG Payment '!E:E,0))</f>
        <v>Gaighat</v>
      </c>
      <c r="K905" s="125" t="s">
        <v>1593</v>
      </c>
      <c r="L905" s="125">
        <v>46154</v>
      </c>
      <c r="M905" s="126">
        <f>SUMIF('MPG Payment '!$E$3:$E$344841,'Shayak Income '!D905,'MPG Payment '!$I$3:$I$344841)</f>
        <v>33739.360000000001</v>
      </c>
      <c r="N905" s="126">
        <f>SUMIF('MPG Payment '!$E$3:$E$344841,'Shayak Income '!D905,'MPG Payment '!$J$3:$J$344841)</f>
        <v>1389077.9499999997</v>
      </c>
      <c r="O905" s="126">
        <f t="shared" si="313"/>
        <v>25304.52</v>
      </c>
      <c r="P905" s="126">
        <f t="shared" si="314"/>
        <v>32052.392</v>
      </c>
      <c r="Q905" s="126">
        <f>SUMIF('MPG Payment '!$E$3:$E$344841,'Shayak Income '!D905,'MPG Payment '!$S$3:$S$344841)</f>
        <v>0</v>
      </c>
      <c r="R905" s="126">
        <f t="shared" si="315"/>
        <v>41672.338499999991</v>
      </c>
      <c r="S905" s="126">
        <f t="shared" si="316"/>
        <v>9619.9464999999909</v>
      </c>
      <c r="T905" s="126">
        <f t="shared" si="326"/>
        <v>3373.9360000000001</v>
      </c>
      <c r="U905" s="127">
        <f>((((((IF(K905="New",0,SUMIF('MPG Payment '!$E$3:$E$344841,'Shayak Income '!D905,'MPG Payment '!$AC$3:$AC$344841))))+0)+0)+0)+0)+0</f>
        <v>0</v>
      </c>
      <c r="V905" s="127">
        <f t="shared" si="327"/>
        <v>53983</v>
      </c>
      <c r="W905" s="19">
        <v>0</v>
      </c>
      <c r="X905" s="19">
        <f t="shared" si="321"/>
        <v>0</v>
      </c>
      <c r="Y905" s="128">
        <f>IFERROR(VLOOKUP(D905,'Monthly Deduction'!$M$2:$N$640,2,0),0)</f>
        <v>0</v>
      </c>
      <c r="Z905" s="128">
        <v>0</v>
      </c>
      <c r="AA905" s="126">
        <f>IFERROR(VLOOKUP(D905,'Monthly Deduction'!A:B,2,0),0)</f>
        <v>0</v>
      </c>
      <c r="AB905" s="129">
        <f t="shared" si="322"/>
        <v>53983</v>
      </c>
      <c r="AC905" s="130">
        <v>0</v>
      </c>
      <c r="AD905" s="35">
        <f t="shared" si="317"/>
        <v>53983</v>
      </c>
      <c r="AE905" s="166" t="str">
        <f t="shared" si="318"/>
        <v>Release</v>
      </c>
      <c r="AF905" s="127"/>
      <c r="AG905" s="18">
        <v>0</v>
      </c>
      <c r="AH905" s="120"/>
      <c r="AI905" s="238">
        <v>0</v>
      </c>
      <c r="AJ905" s="132"/>
      <c r="AK905" s="151">
        <v>9252.7999999999993</v>
      </c>
      <c r="AL905" s="154">
        <f t="shared" si="319"/>
        <v>0</v>
      </c>
      <c r="AM905" s="155"/>
      <c r="AN905" s="19">
        <f t="shared" si="323"/>
        <v>0</v>
      </c>
      <c r="AO905" s="118">
        <f>SUMIF('MPG Payment '!E:E,'Shayak Income '!D905,'MPG Payment '!AJ:AJ)</f>
        <v>0</v>
      </c>
      <c r="AP905" s="19">
        <f t="shared" si="324"/>
        <v>0</v>
      </c>
      <c r="AQ905" s="119">
        <f t="shared" si="320"/>
        <v>0</v>
      </c>
      <c r="AR905" s="91" t="s">
        <v>1144</v>
      </c>
      <c r="AS905" s="91">
        <f t="shared" si="325"/>
        <v>0</v>
      </c>
      <c r="AT905" s="118"/>
      <c r="AU905" s="118"/>
      <c r="AV905" s="118"/>
    </row>
    <row r="906" spans="1:48" s="20" customFormat="1" x14ac:dyDescent="0.25">
      <c r="A906" s="17">
        <f>IFERROR(VLOOKUP(D906,'Monthly Deduction'!$I$3:$J$957,2,0),0)</f>
        <v>0</v>
      </c>
      <c r="B906" s="17">
        <f>IFERROR(VLOOKUP(D906,'Monthly Deduction'!$E$3:$F$957,2,0),0)</f>
        <v>0</v>
      </c>
      <c r="C906" s="17">
        <f t="shared" si="312"/>
        <v>0</v>
      </c>
      <c r="D906" s="41">
        <v>10660024</v>
      </c>
      <c r="E906" s="122" t="str">
        <f>VLOOKUP(D906,'MPG Payment '!$E$3:$G$497305,2,0)</f>
        <v>GOMUKH BALUAHA</v>
      </c>
      <c r="F906" s="146">
        <f>IFERROR(_xlfn.XLOOKUP(D906,'Monthly Deduction'!$I$3:$I$957,'Monthly Deduction'!$H$3:$H$957),0)</f>
        <v>0</v>
      </c>
      <c r="G906" s="123" t="str">
        <f>VLOOKUP(D906,'MPG Payment '!$E$3:$G$333666,3,0)</f>
        <v>vlc</v>
      </c>
      <c r="H906" s="124" t="str">
        <f>VLOOKUP(D906,'MPG Payment '!$E$3:$H$333666,4,0)</f>
        <v>Indirect</v>
      </c>
      <c r="I906" s="88">
        <f>INDEX('MPG Payment '!$C:$C,MATCH('Shayak Income '!D906,'MPG Payment '!E:E,0))</f>
        <v>1066</v>
      </c>
      <c r="J906" s="88" t="str">
        <f>INDEX('MPG Payment '!$D:$D,MATCH('Shayak Income '!D906,'MPG Payment '!E:E,0))</f>
        <v>Gaighat</v>
      </c>
      <c r="K906" s="125" t="s">
        <v>1593</v>
      </c>
      <c r="L906" s="125">
        <v>46154</v>
      </c>
      <c r="M906" s="126">
        <f>SUMIF('MPG Payment '!$E$3:$E$344841,'Shayak Income '!D906,'MPG Payment '!$I$3:$I$344841)</f>
        <v>465.18999999999994</v>
      </c>
      <c r="N906" s="126">
        <f>SUMIF('MPG Payment '!$E$3:$E$344841,'Shayak Income '!D906,'MPG Payment '!$J$3:$J$344841)</f>
        <v>17867.599999999999</v>
      </c>
      <c r="O906" s="126">
        <f t="shared" si="313"/>
        <v>348.89249999999993</v>
      </c>
      <c r="P906" s="126">
        <f t="shared" si="314"/>
        <v>441.93049999999994</v>
      </c>
      <c r="Q906" s="126">
        <f>SUMIF('MPG Payment '!$E$3:$E$344841,'Shayak Income '!D906,'MPG Payment '!$S$3:$S$344841)</f>
        <v>0</v>
      </c>
      <c r="R906" s="126">
        <f t="shared" si="315"/>
        <v>536.02799999999991</v>
      </c>
      <c r="S906" s="126">
        <f t="shared" si="316"/>
        <v>94.097499999999968</v>
      </c>
      <c r="T906" s="126">
        <f t="shared" si="326"/>
        <v>46.518999999999998</v>
      </c>
      <c r="U906" s="127">
        <f>((((((IF(K906="New",0,SUMIF('MPG Payment '!$E$3:$E$344841,'Shayak Income '!D906,'MPG Payment '!$AC$3:$AC$344841))))+0)+0)+0)+0)+0</f>
        <v>0</v>
      </c>
      <c r="V906" s="127">
        <f t="shared" si="327"/>
        <v>744</v>
      </c>
      <c r="W906" s="19">
        <v>0</v>
      </c>
      <c r="X906" s="19">
        <f t="shared" si="321"/>
        <v>0</v>
      </c>
      <c r="Y906" s="128">
        <f>IFERROR(VLOOKUP(D906,'Monthly Deduction'!$M$2:$N$640,2,0),0)</f>
        <v>0</v>
      </c>
      <c r="Z906" s="128">
        <v>0</v>
      </c>
      <c r="AA906" s="126">
        <f>IFERROR(VLOOKUP(D906,'Monthly Deduction'!A:B,2,0),0)</f>
        <v>0</v>
      </c>
      <c r="AB906" s="129">
        <f t="shared" si="322"/>
        <v>744</v>
      </c>
      <c r="AC906" s="130">
        <f t="shared" ref="AC906:AC907" si="328">AB906</f>
        <v>744</v>
      </c>
      <c r="AD906" s="35">
        <f t="shared" si="317"/>
        <v>0</v>
      </c>
      <c r="AE906" s="166" t="str">
        <f t="shared" si="318"/>
        <v>Yes</v>
      </c>
      <c r="AF906" s="127"/>
      <c r="AG906" s="18">
        <v>0</v>
      </c>
      <c r="AH906" s="132" t="s">
        <v>1597</v>
      </c>
      <c r="AI906" s="238">
        <v>0</v>
      </c>
      <c r="AJ906" s="132"/>
      <c r="AK906" s="151">
        <v>0</v>
      </c>
      <c r="AL906" s="154">
        <f t="shared" si="319"/>
        <v>0</v>
      </c>
      <c r="AM906" s="155"/>
      <c r="AN906" s="19">
        <f t="shared" si="323"/>
        <v>0</v>
      </c>
      <c r="AO906" s="118">
        <f>SUMIF('MPG Payment '!E:E,'Shayak Income '!D906,'MPG Payment '!AJ:AJ)</f>
        <v>0</v>
      </c>
      <c r="AP906" s="19">
        <f t="shared" si="324"/>
        <v>0</v>
      </c>
      <c r="AQ906" s="119">
        <f t="shared" si="320"/>
        <v>0</v>
      </c>
      <c r="AR906" s="91" t="s">
        <v>1144</v>
      </c>
      <c r="AS906" s="91">
        <f t="shared" si="325"/>
        <v>0</v>
      </c>
      <c r="AT906" s="118"/>
      <c r="AU906" s="118"/>
      <c r="AV906" s="118"/>
    </row>
    <row r="907" spans="1:48" s="20" customFormat="1" x14ac:dyDescent="0.25">
      <c r="A907" s="17">
        <f>IFERROR(VLOOKUP(D907,'Monthly Deduction'!$I$3:$J$957,2,0),0)</f>
        <v>18902.8221116817</v>
      </c>
      <c r="B907" s="17">
        <f>IFERROR(VLOOKUP(D907,'Monthly Deduction'!$E$3:$F$957,2,0),0)</f>
        <v>16403.050599999999</v>
      </c>
      <c r="C907" s="17">
        <f t="shared" si="312"/>
        <v>35305.872711681703</v>
      </c>
      <c r="D907" s="41">
        <v>10060036</v>
      </c>
      <c r="E907" s="122" t="str">
        <f>VLOOKUP(D907,'MPG Payment '!$E$3:$G$497305,2,0)</f>
        <v>URAIN</v>
      </c>
      <c r="F907" s="146">
        <f>IFERROR(_xlfn.XLOOKUP(D907,'Monthly Deduction'!$I$3:$I$957,'Monthly Deduction'!$H$3:$H$957),0)</f>
        <v>0</v>
      </c>
      <c r="G907" s="123" t="str">
        <f>VLOOKUP(D907,'MPG Payment '!$E$3:$G$333666,3,0)</f>
        <v>MPG</v>
      </c>
      <c r="H907" s="124" t="str">
        <f>VLOOKUP(D907,'MPG Payment '!$E$3:$H$333666,4,0)</f>
        <v>Direct</v>
      </c>
      <c r="I907" s="88">
        <f>INDEX('MPG Payment '!$C:$C,MATCH('Shayak Income '!D907,'MPG Payment '!E:E,0))</f>
        <v>1006</v>
      </c>
      <c r="J907" s="88" t="str">
        <f>INDEX('MPG Payment '!$D:$D,MATCH('Shayak Income '!D907,'MPG Payment '!E:E,0))</f>
        <v>Sonvarsha</v>
      </c>
      <c r="K907" s="125" t="s">
        <v>1594</v>
      </c>
      <c r="L907" s="125">
        <v>45121</v>
      </c>
      <c r="M907" s="126">
        <f>SUMIF('MPG Payment '!$E$3:$E$344841,'Shayak Income '!D907,'MPG Payment '!$I$3:$I$344841)</f>
        <v>7851.4</v>
      </c>
      <c r="N907" s="126">
        <f>SUMIF('MPG Payment '!$E$3:$E$344841,'Shayak Income '!D907,'MPG Payment '!$J$3:$J$344841)</f>
        <v>404086.49</v>
      </c>
      <c r="O907" s="126">
        <f t="shared" si="313"/>
        <v>5888.5499999999993</v>
      </c>
      <c r="P907" s="126">
        <f t="shared" si="314"/>
        <v>7458.829999999999</v>
      </c>
      <c r="Q907" s="126">
        <f>SUMIF('MPG Payment '!$E$3:$E$344841,'Shayak Income '!D907,'MPG Payment '!$S$3:$S$344841)</f>
        <v>51.65</v>
      </c>
      <c r="R907" s="126">
        <f t="shared" si="315"/>
        <v>12122.5947</v>
      </c>
      <c r="S907" s="126">
        <f t="shared" si="316"/>
        <v>4663.7647000000006</v>
      </c>
      <c r="T907" s="126">
        <f t="shared" si="326"/>
        <v>785.14</v>
      </c>
      <c r="U907" s="127">
        <f>((((((IF(K907="New",0,SUMIF('MPG Payment '!$E$3:$E$344841,'Shayak Income '!D907,'MPG Payment '!$AC$3:$AC$344841))))+0)+0)+0)+0)+0</f>
        <v>0</v>
      </c>
      <c r="V907" s="127">
        <f t="shared" si="327"/>
        <v>12614</v>
      </c>
      <c r="W907" s="19">
        <f t="shared" ref="W907:W959" si="329">(((AN907-AO907)))+0</f>
        <v>8081.7298000000001</v>
      </c>
      <c r="X907" s="19">
        <v>0</v>
      </c>
      <c r="Y907" s="128">
        <f>IFERROR(VLOOKUP(D907,'Monthly Deduction'!$M$2:$N$640,2,0),0)</f>
        <v>0</v>
      </c>
      <c r="Z907" s="128">
        <v>0</v>
      </c>
      <c r="AA907" s="126">
        <f>IFERROR(VLOOKUP(D907,'Monthly Deduction'!A:B,2,0),0)</f>
        <v>0</v>
      </c>
      <c r="AB907" s="129">
        <f t="shared" si="322"/>
        <v>4532</v>
      </c>
      <c r="AC907" s="130">
        <f t="shared" si="328"/>
        <v>4532</v>
      </c>
      <c r="AD907" s="35">
        <f t="shared" si="317"/>
        <v>0</v>
      </c>
      <c r="AE907" s="166" t="str">
        <f t="shared" si="318"/>
        <v>Yes</v>
      </c>
      <c r="AF907" s="127"/>
      <c r="AG907" s="18">
        <v>0</v>
      </c>
      <c r="AH907" s="132" t="s">
        <v>1597</v>
      </c>
      <c r="AI907" s="238">
        <v>0</v>
      </c>
      <c r="AJ907" s="132"/>
      <c r="AK907" s="151">
        <v>0</v>
      </c>
      <c r="AL907" s="154">
        <f t="shared" si="319"/>
        <v>0</v>
      </c>
      <c r="AM907" s="155"/>
      <c r="AN907" s="19">
        <f t="shared" si="323"/>
        <v>8081.7298000000001</v>
      </c>
      <c r="AO907" s="118">
        <f>SUMIF('MPG Payment '!E:E,'Shayak Income '!D907,'MPG Payment '!AJ:AJ)</f>
        <v>0</v>
      </c>
      <c r="AP907" s="19">
        <f t="shared" si="324"/>
        <v>8081.7298000000001</v>
      </c>
      <c r="AQ907" s="119">
        <f t="shared" si="320"/>
        <v>8081.7298000000001</v>
      </c>
      <c r="AR907" s="91" t="s">
        <v>1144</v>
      </c>
      <c r="AS907" s="91">
        <f t="shared" si="325"/>
        <v>16403.050599999999</v>
      </c>
      <c r="AT907" s="118"/>
      <c r="AU907" s="118"/>
      <c r="AV907" s="118"/>
    </row>
    <row r="908" spans="1:48" s="20" customFormat="1" x14ac:dyDescent="0.25">
      <c r="A908" s="17">
        <f>IFERROR(VLOOKUP(D908,'Monthly Deduction'!$I$3:$J$957,2,0),0)</f>
        <v>0</v>
      </c>
      <c r="B908" s="17">
        <f>IFERROR(VLOOKUP(D908,'Monthly Deduction'!$E$3:$F$957,2,0),0)</f>
        <v>0</v>
      </c>
      <c r="C908" s="17">
        <f t="shared" si="312"/>
        <v>0</v>
      </c>
      <c r="D908" s="41">
        <v>10060089</v>
      </c>
      <c r="E908" s="122" t="str">
        <f>VLOOKUP(D908,'MPG Payment '!$E$3:$G$497305,2,0)</f>
        <v>GOMUKH NAWTOLIYA(OM PRAKASH)</v>
      </c>
      <c r="F908" s="146">
        <f>IFERROR(_xlfn.XLOOKUP(D908,'Monthly Deduction'!$I$3:$I$957,'Monthly Deduction'!$H$3:$H$957),0)</f>
        <v>0</v>
      </c>
      <c r="G908" s="123" t="str">
        <f>VLOOKUP(D908,'MPG Payment '!$E$3:$G$333666,3,0)</f>
        <v>vlc</v>
      </c>
      <c r="H908" s="124" t="str">
        <f>VLOOKUP(D908,'MPG Payment '!$E$3:$H$333666,4,0)</f>
        <v>Indirect</v>
      </c>
      <c r="I908" s="88">
        <f>INDEX('MPG Payment '!$C:$C,MATCH('Shayak Income '!D908,'MPG Payment '!E:E,0))</f>
        <v>1006</v>
      </c>
      <c r="J908" s="88" t="str">
        <f>INDEX('MPG Payment '!$D:$D,MATCH('Shayak Income '!D908,'MPG Payment '!E:E,0))</f>
        <v>Sonvarsha</v>
      </c>
      <c r="K908" s="125" t="s">
        <v>1594</v>
      </c>
      <c r="L908" s="125">
        <v>45659</v>
      </c>
      <c r="M908" s="126">
        <f>SUMIF('MPG Payment '!$E$3:$E$344841,'Shayak Income '!D908,'MPG Payment '!$I$3:$I$344841)</f>
        <v>1769.1</v>
      </c>
      <c r="N908" s="126">
        <f>SUMIF('MPG Payment '!$E$3:$E$344841,'Shayak Income '!D908,'MPG Payment '!$J$3:$J$344841)</f>
        <v>60972.479999999996</v>
      </c>
      <c r="O908" s="126">
        <f t="shared" si="313"/>
        <v>1326.8249999999998</v>
      </c>
      <c r="P908" s="126">
        <f t="shared" si="314"/>
        <v>1680.6449999999998</v>
      </c>
      <c r="Q908" s="126">
        <f>SUMIF('MPG Payment '!$E$3:$E$344841,'Shayak Income '!D908,'MPG Payment '!$S$3:$S$344841)</f>
        <v>0</v>
      </c>
      <c r="R908" s="126">
        <f t="shared" si="315"/>
        <v>1829.1743999999999</v>
      </c>
      <c r="S908" s="126">
        <f t="shared" si="316"/>
        <v>148.52940000000012</v>
      </c>
      <c r="T908" s="126">
        <f t="shared" si="326"/>
        <v>176.91</v>
      </c>
      <c r="U908" s="127">
        <f>((((((IF(K908="New",0,SUMIF('MPG Payment '!$E$3:$E$344841,'Shayak Income '!D908,'MPG Payment '!$AC$3:$AC$344841))))+0)+0)+0)+0)+0</f>
        <v>720.93976373531154</v>
      </c>
      <c r="V908" s="127">
        <f t="shared" si="327"/>
        <v>2110</v>
      </c>
      <c r="W908" s="19">
        <f t="shared" si="329"/>
        <v>0</v>
      </c>
      <c r="X908" s="19">
        <f t="shared" si="321"/>
        <v>0</v>
      </c>
      <c r="Y908" s="128">
        <f>IFERROR(VLOOKUP(D908,'Monthly Deduction'!$M$2:$N$640,2,0),0)</f>
        <v>0</v>
      </c>
      <c r="Z908" s="128">
        <v>0</v>
      </c>
      <c r="AA908" s="126">
        <f>IFERROR(VLOOKUP(D908,'Monthly Deduction'!A:B,2,0),0)</f>
        <v>0</v>
      </c>
      <c r="AB908" s="129">
        <f t="shared" si="322"/>
        <v>2110</v>
      </c>
      <c r="AC908" s="130">
        <v>0</v>
      </c>
      <c r="AD908" s="35">
        <f t="shared" si="317"/>
        <v>2110</v>
      </c>
      <c r="AE908" s="166" t="str">
        <f t="shared" si="318"/>
        <v>Release</v>
      </c>
      <c r="AF908" s="127"/>
      <c r="AG908" s="18">
        <v>0</v>
      </c>
      <c r="AH908" s="132"/>
      <c r="AI908" s="238">
        <v>0</v>
      </c>
      <c r="AJ908" s="132"/>
      <c r="AK908" s="151">
        <v>123.4</v>
      </c>
      <c r="AL908" s="154">
        <f t="shared" si="319"/>
        <v>0</v>
      </c>
      <c r="AM908" s="155"/>
      <c r="AN908" s="19">
        <f t="shared" si="323"/>
        <v>0</v>
      </c>
      <c r="AO908" s="118">
        <f>SUMIF('MPG Payment '!E:E,'Shayak Income '!D908,'MPG Payment '!AJ:AJ)</f>
        <v>0</v>
      </c>
      <c r="AP908" s="19">
        <f t="shared" si="324"/>
        <v>0</v>
      </c>
      <c r="AQ908" s="119">
        <f t="shared" si="320"/>
        <v>0</v>
      </c>
      <c r="AR908" s="91" t="s">
        <v>1144</v>
      </c>
      <c r="AS908" s="91">
        <f t="shared" si="325"/>
        <v>0</v>
      </c>
      <c r="AT908" s="118"/>
      <c r="AU908" s="118"/>
      <c r="AV908" s="118"/>
    </row>
    <row r="909" spans="1:48" s="20" customFormat="1" x14ac:dyDescent="0.25">
      <c r="A909" s="17">
        <f>IFERROR(VLOOKUP(D909,'Monthly Deduction'!$I$3:$J$957,2,0),0)</f>
        <v>0</v>
      </c>
      <c r="B909" s="17">
        <f>IFERROR(VLOOKUP(D909,'Monthly Deduction'!$E$3:$F$957,2,0),0)</f>
        <v>0</v>
      </c>
      <c r="C909" s="17">
        <f t="shared" ref="C909:C946" si="330">A909+B909</f>
        <v>0</v>
      </c>
      <c r="D909" s="41">
        <v>10080073</v>
      </c>
      <c r="E909" s="122" t="str">
        <f>VLOOKUP(D909,'MPG Payment '!$E$3:$G$497305,2,0)</f>
        <v>PAWAN RAY</v>
      </c>
      <c r="F909" s="146">
        <f>IFERROR(_xlfn.XLOOKUP(D909,'Monthly Deduction'!$I$3:$I$957,'Monthly Deduction'!$H$3:$H$957),0)</f>
        <v>0</v>
      </c>
      <c r="G909" s="123" t="str">
        <f>VLOOKUP(D909,'MPG Payment '!$E$3:$G$333666,3,0)</f>
        <v>vlc</v>
      </c>
      <c r="H909" s="124" t="str">
        <f>VLOOKUP(D909,'MPG Payment '!$E$3:$H$333666,4,0)</f>
        <v>Indirect</v>
      </c>
      <c r="I909" s="88">
        <f>INDEX('MPG Payment '!$C:$C,MATCH('Shayak Income '!D909,'MPG Payment '!E:E,0))</f>
        <v>1008</v>
      </c>
      <c r="J909" s="88" t="str">
        <f>INDEX('MPG Payment '!$D:$D,MATCH('Shayak Income '!D909,'MPG Payment '!E:E,0))</f>
        <v>Teghra</v>
      </c>
      <c r="K909" s="125" t="s">
        <v>1594</v>
      </c>
      <c r="L909" s="125">
        <v>45530</v>
      </c>
      <c r="M909" s="126">
        <f>SUMIF('MPG Payment '!$E$3:$E$344841,'Shayak Income '!D909,'MPG Payment '!$I$3:$I$344841)</f>
        <v>13678.500000000002</v>
      </c>
      <c r="N909" s="126">
        <f>SUMIF('MPG Payment '!$E$3:$E$344841,'Shayak Income '!D909,'MPG Payment '!$J$3:$J$344841)</f>
        <v>543701.65000000014</v>
      </c>
      <c r="O909" s="126">
        <f t="shared" ref="O909:O946" si="331">+M909*0.75</f>
        <v>10258.875000000002</v>
      </c>
      <c r="P909" s="126">
        <f t="shared" ref="P909:P946" si="332">+M909*0.95</f>
        <v>12994.575000000001</v>
      </c>
      <c r="Q909" s="126">
        <f>SUMIF('MPG Payment '!$E$3:$E$344841,'Shayak Income '!D909,'MPG Payment '!$S$3:$S$344841)</f>
        <v>0</v>
      </c>
      <c r="R909" s="126">
        <f t="shared" ref="R909:R946" si="333">+N909*3%</f>
        <v>16311.049500000003</v>
      </c>
      <c r="S909" s="126">
        <f t="shared" ref="S909:S946" si="334">R909-P909</f>
        <v>3316.4745000000021</v>
      </c>
      <c r="T909" s="126">
        <f t="shared" si="326"/>
        <v>1367.8500000000004</v>
      </c>
      <c r="U909" s="127">
        <f>((((((IF(K909="New",0,SUMIF('MPG Payment '!$E$3:$E$344841,'Shayak Income '!D909,'MPG Payment '!$AC$3:$AC$344841))))+0)+0)+0)+0)+0</f>
        <v>0</v>
      </c>
      <c r="V909" s="127">
        <f t="shared" si="327"/>
        <v>21886</v>
      </c>
      <c r="W909" s="19">
        <f t="shared" si="329"/>
        <v>0</v>
      </c>
      <c r="X909" s="19">
        <f t="shared" si="321"/>
        <v>0</v>
      </c>
      <c r="Y909" s="128">
        <f>IFERROR(VLOOKUP(D909,'Monthly Deduction'!$M$2:$N$640,2,0),0)</f>
        <v>0</v>
      </c>
      <c r="Z909" s="128">
        <v>0</v>
      </c>
      <c r="AA909" s="126">
        <f>IFERROR(VLOOKUP(D909,'Monthly Deduction'!A:B,2,0),0)</f>
        <v>0</v>
      </c>
      <c r="AB909" s="129">
        <f t="shared" si="322"/>
        <v>21886</v>
      </c>
      <c r="AC909" s="130">
        <v>0</v>
      </c>
      <c r="AD909" s="35">
        <f t="shared" ref="AD909:AD946" si="335">ROUND(AB909-AC909,0)</f>
        <v>21886</v>
      </c>
      <c r="AE909" s="166" t="str">
        <f t="shared" ref="AE909:AE946" si="336">IF(AC909&lt;&gt;0,"Yes","Release")</f>
        <v>Release</v>
      </c>
      <c r="AF909" s="127"/>
      <c r="AG909" s="18">
        <v>0</v>
      </c>
      <c r="AH909" s="120"/>
      <c r="AI909" s="238">
        <v>0</v>
      </c>
      <c r="AJ909" s="132"/>
      <c r="AK909" s="151">
        <v>1506.8000000000002</v>
      </c>
      <c r="AL909" s="154">
        <f t="shared" ref="AL909:AL946" si="337">COUNTIF(AK909:AK909,"=NA")</f>
        <v>0</v>
      </c>
      <c r="AM909" s="155"/>
      <c r="AN909" s="19">
        <f t="shared" si="323"/>
        <v>0</v>
      </c>
      <c r="AO909" s="118">
        <f>SUMIF('MPG Payment '!E:E,'Shayak Income '!D909,'MPG Payment '!AJ:AJ)</f>
        <v>0</v>
      </c>
      <c r="AP909" s="19">
        <f t="shared" si="324"/>
        <v>0</v>
      </c>
      <c r="AQ909" s="119">
        <f t="shared" ref="AQ909:AQ946" si="338">AO909+AP909</f>
        <v>0</v>
      </c>
      <c r="AR909" s="91" t="s">
        <v>1144</v>
      </c>
      <c r="AS909" s="91">
        <f t="shared" si="325"/>
        <v>0</v>
      </c>
      <c r="AT909" s="118"/>
      <c r="AU909" s="118"/>
      <c r="AV909" s="118"/>
    </row>
    <row r="910" spans="1:48" s="20" customFormat="1" x14ac:dyDescent="0.25">
      <c r="A910" s="17">
        <f>IFERROR(VLOOKUP(D910,'Monthly Deduction'!$I$3:$J$957,2,0),0)</f>
        <v>0</v>
      </c>
      <c r="B910" s="17">
        <f>IFERROR(VLOOKUP(D910,'Monthly Deduction'!$E$3:$F$957,2,0),0)</f>
        <v>0</v>
      </c>
      <c r="C910" s="17">
        <f t="shared" si="330"/>
        <v>0</v>
      </c>
      <c r="D910" s="41">
        <v>10100071</v>
      </c>
      <c r="E910" s="122" t="str">
        <f>VLOOKUP(D910,'MPG Payment '!$E$3:$G$497305,2,0)</f>
        <v>Gomukh Parbatta Vlc</v>
      </c>
      <c r="F910" s="146">
        <f>IFERROR(_xlfn.XLOOKUP(D910,'Monthly Deduction'!$I$3:$I$957,'Monthly Deduction'!$H$3:$H$957),0)</f>
        <v>0</v>
      </c>
      <c r="G910" s="123" t="str">
        <f>VLOOKUP(D910,'MPG Payment '!$E$3:$G$333666,3,0)</f>
        <v>vlc</v>
      </c>
      <c r="H910" s="124" t="str">
        <f>VLOOKUP(D910,'MPG Payment '!$E$3:$H$333666,4,0)</f>
        <v>Indirect</v>
      </c>
      <c r="I910" s="88">
        <f>INDEX('MPG Payment '!$C:$C,MATCH('Shayak Income '!D910,'MPG Payment '!E:E,0))</f>
        <v>1010</v>
      </c>
      <c r="J910" s="88" t="str">
        <f>INDEX('MPG Payment '!$D:$D,MATCH('Shayak Income '!D910,'MPG Payment '!E:E,0))</f>
        <v>Parbatta</v>
      </c>
      <c r="K910" s="125" t="s">
        <v>1593</v>
      </c>
      <c r="L910" s="125">
        <v>46159</v>
      </c>
      <c r="M910" s="126">
        <f>SUMIF('MPG Payment '!$E$3:$E$344841,'Shayak Income '!D910,'MPG Payment '!$I$3:$I$344841)</f>
        <v>12638.800000000001</v>
      </c>
      <c r="N910" s="126">
        <f>SUMIF('MPG Payment '!$E$3:$E$344841,'Shayak Income '!D910,'MPG Payment '!$J$3:$J$344841)</f>
        <v>643478.26</v>
      </c>
      <c r="O910" s="126">
        <f t="shared" si="331"/>
        <v>9479.1</v>
      </c>
      <c r="P910" s="126">
        <f t="shared" si="332"/>
        <v>12006.86</v>
      </c>
      <c r="Q910" s="126">
        <f>SUMIF('MPG Payment '!$E$3:$E$344841,'Shayak Income '!D910,'MPG Payment '!$S$3:$S$344841)</f>
        <v>0</v>
      </c>
      <c r="R910" s="126">
        <f t="shared" si="333"/>
        <v>19304.3478</v>
      </c>
      <c r="S910" s="126">
        <f t="shared" si="334"/>
        <v>7297.487799999999</v>
      </c>
      <c r="T910" s="126">
        <f t="shared" si="326"/>
        <v>1263.8800000000001</v>
      </c>
      <c r="U910" s="127">
        <f>((((((IF(K910="New",0,SUMIF('MPG Payment '!$E$3:$E$344841,'Shayak Income '!D910,'MPG Payment '!$AC$3:$AC$344841))))+0)+0)+0)+0)+0</f>
        <v>0</v>
      </c>
      <c r="V910" s="127">
        <f t="shared" si="327"/>
        <v>20222</v>
      </c>
      <c r="W910" s="19">
        <v>0</v>
      </c>
      <c r="X910" s="19">
        <f t="shared" si="321"/>
        <v>0</v>
      </c>
      <c r="Y910" s="128">
        <f>IFERROR(VLOOKUP(D910,'Monthly Deduction'!$M$2:$N$640,2,0),0)</f>
        <v>0</v>
      </c>
      <c r="Z910" s="128">
        <v>0</v>
      </c>
      <c r="AA910" s="126">
        <f>IFERROR(VLOOKUP(D910,'Monthly Deduction'!A:B,2,0),0)</f>
        <v>0</v>
      </c>
      <c r="AB910" s="129">
        <f t="shared" si="322"/>
        <v>20222</v>
      </c>
      <c r="AC910" s="130">
        <v>0</v>
      </c>
      <c r="AD910" s="35">
        <f t="shared" si="335"/>
        <v>20222</v>
      </c>
      <c r="AE910" s="166" t="str">
        <f t="shared" si="336"/>
        <v>Release</v>
      </c>
      <c r="AF910" s="127"/>
      <c r="AG910" s="18">
        <v>0</v>
      </c>
      <c r="AH910" s="120"/>
      <c r="AI910" s="238">
        <v>0</v>
      </c>
      <c r="AJ910" s="132"/>
      <c r="AK910" s="151">
        <v>2606.2000000000003</v>
      </c>
      <c r="AL910" s="154">
        <f t="shared" si="337"/>
        <v>0</v>
      </c>
      <c r="AM910" s="155"/>
      <c r="AN910" s="19">
        <f t="shared" si="323"/>
        <v>0</v>
      </c>
      <c r="AO910" s="118">
        <f>SUMIF('MPG Payment '!E:E,'Shayak Income '!D910,'MPG Payment '!AJ:AJ)</f>
        <v>0</v>
      </c>
      <c r="AP910" s="19">
        <f t="shared" si="324"/>
        <v>0</v>
      </c>
      <c r="AQ910" s="119">
        <f t="shared" si="338"/>
        <v>0</v>
      </c>
      <c r="AR910" s="91" t="s">
        <v>1144</v>
      </c>
      <c r="AS910" s="91">
        <f t="shared" si="325"/>
        <v>0</v>
      </c>
      <c r="AT910" s="118"/>
      <c r="AU910" s="118"/>
      <c r="AV910" s="118"/>
    </row>
    <row r="911" spans="1:48" s="20" customFormat="1" x14ac:dyDescent="0.25">
      <c r="A911" s="17">
        <f>IFERROR(VLOOKUP(D911,'Monthly Deduction'!$I$3:$J$957,2,0),0)</f>
        <v>0</v>
      </c>
      <c r="B911" s="17">
        <f>IFERROR(VLOOKUP(D911,'Monthly Deduction'!$E$3:$F$957,2,0),0)</f>
        <v>0</v>
      </c>
      <c r="C911" s="17">
        <f t="shared" si="330"/>
        <v>0</v>
      </c>
      <c r="D911" s="41">
        <v>10200001</v>
      </c>
      <c r="E911" s="122" t="str">
        <f>VLOOKUP(D911,'MPG Payment '!$E$3:$G$497305,2,0)</f>
        <v>SHIVNAR-2</v>
      </c>
      <c r="F911" s="146">
        <f>IFERROR(_xlfn.XLOOKUP(D911,'Monthly Deduction'!$I$3:$I$957,'Monthly Deduction'!$H$3:$H$957),0)</f>
        <v>0</v>
      </c>
      <c r="G911" s="123" t="str">
        <f>VLOOKUP(D911,'MPG Payment '!$E$3:$G$333666,3,0)</f>
        <v>MPG</v>
      </c>
      <c r="H911" s="124" t="str">
        <f>VLOOKUP(D911,'MPG Payment '!$E$3:$H$333666,4,0)</f>
        <v>Direct</v>
      </c>
      <c r="I911" s="88">
        <f>INDEX('MPG Payment '!$C:$C,MATCH('Shayak Income '!D911,'MPG Payment '!E:E,0))</f>
        <v>1002</v>
      </c>
      <c r="J911" s="88" t="str">
        <f>INDEX('MPG Payment '!$D:$D,MATCH('Shayak Income '!D911,'MPG Payment '!E:E,0))</f>
        <v>Laldiyara</v>
      </c>
      <c r="K911" s="125" t="s">
        <v>1594</v>
      </c>
      <c r="L911" s="125">
        <v>42979</v>
      </c>
      <c r="M911" s="126">
        <f>SUMIF('MPG Payment '!$E$3:$E$344841,'Shayak Income '!D911,'MPG Payment '!$I$3:$I$344841)</f>
        <v>1103.7</v>
      </c>
      <c r="N911" s="126">
        <f>SUMIF('MPG Payment '!$E$3:$E$344841,'Shayak Income '!D911,'MPG Payment '!$J$3:$J$344841)</f>
        <v>42956.08</v>
      </c>
      <c r="O911" s="126">
        <f t="shared" si="331"/>
        <v>827.77500000000009</v>
      </c>
      <c r="P911" s="126">
        <f t="shared" si="332"/>
        <v>1048.5150000000001</v>
      </c>
      <c r="Q911" s="126">
        <f>SUMIF('MPG Payment '!$E$3:$E$344841,'Shayak Income '!D911,'MPG Payment '!$S$3:$S$344841)</f>
        <v>0</v>
      </c>
      <c r="R911" s="126">
        <f t="shared" si="333"/>
        <v>1288.6823999999999</v>
      </c>
      <c r="S911" s="126">
        <f t="shared" si="334"/>
        <v>240.16739999999982</v>
      </c>
      <c r="T911" s="126">
        <f t="shared" si="326"/>
        <v>110.37</v>
      </c>
      <c r="U911" s="127">
        <f>((((((IF(K911="New",0,SUMIF('MPG Payment '!$E$3:$E$344841,'Shayak Income '!D911,'MPG Payment '!$AC$3:$AC$344841))))+0)+0)+0)+0)+0</f>
        <v>236.51845942824949</v>
      </c>
      <c r="V911" s="127">
        <f t="shared" si="327"/>
        <v>1529</v>
      </c>
      <c r="W911" s="19">
        <f t="shared" si="329"/>
        <v>0</v>
      </c>
      <c r="X911" s="19">
        <f t="shared" si="321"/>
        <v>0</v>
      </c>
      <c r="Y911" s="128">
        <f>IFERROR(VLOOKUP(D911,'Monthly Deduction'!$M$2:$N$640,2,0),0)</f>
        <v>0</v>
      </c>
      <c r="Z911" s="128">
        <v>0</v>
      </c>
      <c r="AA911" s="126">
        <f>IFERROR(VLOOKUP(D911,'Monthly Deduction'!A:B,2,0),0)</f>
        <v>0</v>
      </c>
      <c r="AB911" s="129">
        <f t="shared" si="322"/>
        <v>1529</v>
      </c>
      <c r="AC911" s="130">
        <v>0</v>
      </c>
      <c r="AD911" s="35">
        <f t="shared" si="335"/>
        <v>1529</v>
      </c>
      <c r="AE911" s="166" t="str">
        <f t="shared" si="336"/>
        <v>Release</v>
      </c>
      <c r="AF911" s="127"/>
      <c r="AG911" s="18">
        <v>0</v>
      </c>
      <c r="AH911" s="120"/>
      <c r="AI911" s="238">
        <v>0</v>
      </c>
      <c r="AJ911" s="132"/>
      <c r="AK911" s="151">
        <v>679.1</v>
      </c>
      <c r="AL911" s="154">
        <f t="shared" si="337"/>
        <v>0</v>
      </c>
      <c r="AM911" s="155"/>
      <c r="AN911" s="19">
        <f t="shared" si="323"/>
        <v>0</v>
      </c>
      <c r="AO911" s="118">
        <f>SUMIF('MPG Payment '!E:E,'Shayak Income '!D911,'MPG Payment '!AJ:AJ)</f>
        <v>0</v>
      </c>
      <c r="AP911" s="19">
        <f t="shared" si="324"/>
        <v>0</v>
      </c>
      <c r="AQ911" s="119">
        <f t="shared" si="338"/>
        <v>0</v>
      </c>
      <c r="AR911" s="91" t="s">
        <v>1144</v>
      </c>
      <c r="AS911" s="91">
        <f t="shared" si="325"/>
        <v>0</v>
      </c>
      <c r="AT911" s="118"/>
      <c r="AU911" s="118"/>
      <c r="AV911" s="118"/>
    </row>
    <row r="912" spans="1:48" s="20" customFormat="1" x14ac:dyDescent="0.25">
      <c r="A912" s="17">
        <f>IFERROR(VLOOKUP(D912,'Monthly Deduction'!$I$3:$J$957,2,0),0)</f>
        <v>0</v>
      </c>
      <c r="B912" s="17">
        <f>IFERROR(VLOOKUP(D912,'Monthly Deduction'!$E$3:$F$957,2,0),0)</f>
        <v>0</v>
      </c>
      <c r="C912" s="17">
        <f t="shared" si="330"/>
        <v>0</v>
      </c>
      <c r="D912" s="41">
        <v>10570032</v>
      </c>
      <c r="E912" s="122" t="str">
        <f>VLOOKUP(D912,'MPG Payment '!$E$3:$G$497305,2,0)</f>
        <v>Pauriya 2</v>
      </c>
      <c r="F912" s="146">
        <f>IFERROR(_xlfn.XLOOKUP(D912,'Monthly Deduction'!$I$3:$I$957,'Monthly Deduction'!$H$3:$H$957),0)</f>
        <v>0</v>
      </c>
      <c r="G912" s="123" t="str">
        <f>VLOOKUP(D912,'MPG Payment '!$E$3:$G$333666,3,0)</f>
        <v>vlc</v>
      </c>
      <c r="H912" s="124" t="str">
        <f>VLOOKUP(D912,'MPG Payment '!$E$3:$H$333666,4,0)</f>
        <v>Indirect</v>
      </c>
      <c r="I912" s="88">
        <f>INDEX('MPG Payment '!$C:$C,MATCH('Shayak Income '!D912,'MPG Payment '!E:E,0))</f>
        <v>1057</v>
      </c>
      <c r="J912" s="88" t="str">
        <f>INDEX('MPG Payment '!$D:$D,MATCH('Shayak Income '!D912,'MPG Payment '!E:E,0))</f>
        <v>Warisnagar</v>
      </c>
      <c r="K912" s="125" t="s">
        <v>1593</v>
      </c>
      <c r="L912" s="125">
        <v>46160</v>
      </c>
      <c r="M912" s="126">
        <f>SUMIF('MPG Payment '!$E$3:$E$344841,'Shayak Income '!D912,'MPG Payment '!$I$3:$I$344841)</f>
        <v>2460.3000000000002</v>
      </c>
      <c r="N912" s="126">
        <f>SUMIF('MPG Payment '!$E$3:$E$344841,'Shayak Income '!D912,'MPG Payment '!$J$3:$J$344841)</f>
        <v>106272.93000000001</v>
      </c>
      <c r="O912" s="126">
        <f t="shared" si="331"/>
        <v>1845.2250000000001</v>
      </c>
      <c r="P912" s="126">
        <f t="shared" si="332"/>
        <v>2337.2849999999999</v>
      </c>
      <c r="Q912" s="126">
        <f>SUMIF('MPG Payment '!$E$3:$E$344841,'Shayak Income '!D912,'MPG Payment '!$S$3:$S$344841)</f>
        <v>0</v>
      </c>
      <c r="R912" s="126">
        <f t="shared" si="333"/>
        <v>3188.1878999999999</v>
      </c>
      <c r="S912" s="126">
        <f t="shared" si="334"/>
        <v>850.90290000000005</v>
      </c>
      <c r="T912" s="126">
        <f t="shared" si="326"/>
        <v>246.03000000000003</v>
      </c>
      <c r="U912" s="127">
        <f>((((((IF(K912="New",0,SUMIF('MPG Payment '!$E$3:$E$344841,'Shayak Income '!D912,'MPG Payment '!$AC$3:$AC$344841))))+0)+0)+0)+0)+0</f>
        <v>0</v>
      </c>
      <c r="V912" s="127">
        <f t="shared" si="327"/>
        <v>3936</v>
      </c>
      <c r="W912" s="19">
        <v>0</v>
      </c>
      <c r="X912" s="19">
        <f t="shared" si="321"/>
        <v>0</v>
      </c>
      <c r="Y912" s="128">
        <f>IFERROR(VLOOKUP(D912,'Monthly Deduction'!$M$2:$N$640,2,0),0)</f>
        <v>0</v>
      </c>
      <c r="Z912" s="128">
        <v>0</v>
      </c>
      <c r="AA912" s="126">
        <f>IFERROR(VLOOKUP(D912,'Monthly Deduction'!A:B,2,0),0)</f>
        <v>0</v>
      </c>
      <c r="AB912" s="129">
        <f t="shared" si="322"/>
        <v>3936</v>
      </c>
      <c r="AC912" s="130">
        <v>0</v>
      </c>
      <c r="AD912" s="35">
        <f t="shared" si="335"/>
        <v>3936</v>
      </c>
      <c r="AE912" s="166" t="str">
        <f t="shared" si="336"/>
        <v>Release</v>
      </c>
      <c r="AF912" s="127"/>
      <c r="AG912" s="18">
        <v>0</v>
      </c>
      <c r="AH912" s="120"/>
      <c r="AI912" s="238">
        <v>0</v>
      </c>
      <c r="AJ912" s="132"/>
      <c r="AK912" s="151">
        <v>490.99999999999994</v>
      </c>
      <c r="AL912" s="154">
        <f t="shared" si="337"/>
        <v>0</v>
      </c>
      <c r="AM912" s="155"/>
      <c r="AN912" s="19">
        <f t="shared" si="323"/>
        <v>0</v>
      </c>
      <c r="AO912" s="118">
        <f>SUMIF('MPG Payment '!E:E,'Shayak Income '!D912,'MPG Payment '!AJ:AJ)</f>
        <v>0</v>
      </c>
      <c r="AP912" s="19">
        <f t="shared" si="324"/>
        <v>0</v>
      </c>
      <c r="AQ912" s="119">
        <f t="shared" si="338"/>
        <v>0</v>
      </c>
      <c r="AR912" s="91" t="s">
        <v>1144</v>
      </c>
      <c r="AS912" s="91">
        <f t="shared" si="325"/>
        <v>0</v>
      </c>
      <c r="AT912" s="118"/>
      <c r="AU912" s="118"/>
      <c r="AV912" s="118"/>
    </row>
    <row r="913" spans="1:48" s="20" customFormat="1" x14ac:dyDescent="0.25">
      <c r="A913" s="17">
        <f>IFERROR(VLOOKUP(D913,'Monthly Deduction'!$I$3:$J$957,2,0),0)</f>
        <v>85000</v>
      </c>
      <c r="B913" s="17">
        <f>IFERROR(VLOOKUP(D913,'Monthly Deduction'!$E$3:$F$957,2,0),0)</f>
        <v>0</v>
      </c>
      <c r="C913" s="17">
        <f t="shared" si="330"/>
        <v>85000</v>
      </c>
      <c r="D913" s="41">
        <v>10610055</v>
      </c>
      <c r="E913" s="122" t="str">
        <f>VLOOKUP(D913,'MPG Payment '!$E$3:$G$497305,2,0)</f>
        <v>GOMUKH PAITRAPUR</v>
      </c>
      <c r="F913" s="146">
        <f>IFERROR(_xlfn.XLOOKUP(D913,'Monthly Deduction'!$I$3:$I$957,'Monthly Deduction'!$H$3:$H$957),0)</f>
        <v>0</v>
      </c>
      <c r="G913" s="123" t="str">
        <f>VLOOKUP(D913,'MPG Payment '!$E$3:$G$333666,3,0)</f>
        <v>MPG</v>
      </c>
      <c r="H913" s="124" t="str">
        <f>VLOOKUP(D913,'MPG Payment '!$E$3:$H$333666,4,0)</f>
        <v>Direct</v>
      </c>
      <c r="I913" s="88">
        <f>INDEX('MPG Payment '!$C:$C,MATCH('Shayak Income '!D913,'MPG Payment '!E:E,0))</f>
        <v>1061</v>
      </c>
      <c r="J913" s="88" t="str">
        <f>INDEX('MPG Payment '!$D:$D,MATCH('Shayak Income '!D913,'MPG Payment '!E:E,0))</f>
        <v>Mahua BMC</v>
      </c>
      <c r="K913" s="125" t="s">
        <v>1593</v>
      </c>
      <c r="L913" s="125">
        <v>46159</v>
      </c>
      <c r="M913" s="126">
        <f>SUMIF('MPG Payment '!$E$3:$E$344841,'Shayak Income '!D913,'MPG Payment '!$I$3:$I$344841)</f>
        <v>903.1</v>
      </c>
      <c r="N913" s="126">
        <f>SUMIF('MPG Payment '!$E$3:$E$344841,'Shayak Income '!D913,'MPG Payment '!$J$3:$J$344841)</f>
        <v>44405.569999999992</v>
      </c>
      <c r="O913" s="126">
        <f t="shared" si="331"/>
        <v>677.32500000000005</v>
      </c>
      <c r="P913" s="126">
        <f t="shared" si="332"/>
        <v>857.94499999999994</v>
      </c>
      <c r="Q913" s="126">
        <f>SUMIF('MPG Payment '!$E$3:$E$344841,'Shayak Income '!D913,'MPG Payment '!$S$3:$S$344841)</f>
        <v>0</v>
      </c>
      <c r="R913" s="126">
        <f t="shared" si="333"/>
        <v>1332.1670999999997</v>
      </c>
      <c r="S913" s="126">
        <f t="shared" si="334"/>
        <v>474.22209999999973</v>
      </c>
      <c r="T913" s="126">
        <f t="shared" si="326"/>
        <v>90.31</v>
      </c>
      <c r="U913" s="127">
        <f>((((((IF(K913="New",0,SUMIF('MPG Payment '!$E$3:$E$344841,'Shayak Income '!D913,'MPG Payment '!$AC$3:$AC$344841))))+0)+0)+0)+0)+0</f>
        <v>0</v>
      </c>
      <c r="V913" s="127">
        <f t="shared" si="327"/>
        <v>1445</v>
      </c>
      <c r="W913" s="19">
        <v>0</v>
      </c>
      <c r="X913" s="19">
        <f t="shared" si="321"/>
        <v>0</v>
      </c>
      <c r="Y913" s="128">
        <f>IFERROR(VLOOKUP(D913,'Monthly Deduction'!$M$2:$N$640,2,0),0)</f>
        <v>0</v>
      </c>
      <c r="Z913" s="128">
        <v>0</v>
      </c>
      <c r="AA913" s="126">
        <f>IFERROR(VLOOKUP(D913,'Monthly Deduction'!A:B,2,0),0)</f>
        <v>0</v>
      </c>
      <c r="AB913" s="129">
        <f t="shared" si="322"/>
        <v>1445</v>
      </c>
      <c r="AC913" s="130">
        <f>AB913</f>
        <v>1445</v>
      </c>
      <c r="AD913" s="35">
        <f t="shared" si="335"/>
        <v>0</v>
      </c>
      <c r="AE913" s="166" t="str">
        <f t="shared" si="336"/>
        <v>Yes</v>
      </c>
      <c r="AF913" s="127"/>
      <c r="AG913" s="18">
        <v>0</v>
      </c>
      <c r="AH913" s="120" t="s">
        <v>1685</v>
      </c>
      <c r="AI913" s="238">
        <v>20000</v>
      </c>
      <c r="AJ913" s="132"/>
      <c r="AK913" s="151">
        <v>246.7</v>
      </c>
      <c r="AL913" s="154">
        <f t="shared" si="337"/>
        <v>0</v>
      </c>
      <c r="AM913" s="155"/>
      <c r="AN913" s="19">
        <f t="shared" si="323"/>
        <v>1861</v>
      </c>
      <c r="AO913" s="118">
        <f>SUMIF('MPG Payment '!E:E,'Shayak Income '!D913,'MPG Payment '!AJ:AJ)</f>
        <v>0</v>
      </c>
      <c r="AP913" s="19">
        <f t="shared" si="324"/>
        <v>0</v>
      </c>
      <c r="AQ913" s="119">
        <f t="shared" si="338"/>
        <v>0</v>
      </c>
      <c r="AR913" s="91" t="s">
        <v>1144</v>
      </c>
      <c r="AS913" s="91">
        <f t="shared" si="325"/>
        <v>0</v>
      </c>
      <c r="AT913" s="118"/>
      <c r="AU913" s="118"/>
      <c r="AV913" s="118"/>
    </row>
    <row r="914" spans="1:48" s="20" customFormat="1" x14ac:dyDescent="0.25">
      <c r="A914" s="17">
        <f>IFERROR(VLOOKUP(D914,'Monthly Deduction'!$I$3:$J$957,2,0),0)</f>
        <v>0</v>
      </c>
      <c r="B914" s="17">
        <f>IFERROR(VLOOKUP(D914,'Monthly Deduction'!$E$3:$F$957,2,0),0)</f>
        <v>0</v>
      </c>
      <c r="C914" s="17">
        <f t="shared" si="330"/>
        <v>0</v>
      </c>
      <c r="D914" s="41">
        <v>10610056</v>
      </c>
      <c r="E914" s="122" t="str">
        <f>VLOOKUP(D914,'MPG Payment '!$E$3:$G$497305,2,0)</f>
        <v>GOMUKH JAI MATA DI MILK CENTER</v>
      </c>
      <c r="F914" s="146">
        <f>IFERROR(_xlfn.XLOOKUP(D914,'Monthly Deduction'!$I$3:$I$957,'Monthly Deduction'!$H$3:$H$957),0)</f>
        <v>0</v>
      </c>
      <c r="G914" s="123" t="str">
        <f>VLOOKUP(D914,'MPG Payment '!$E$3:$G$333666,3,0)</f>
        <v>vlc</v>
      </c>
      <c r="H914" s="124" t="str">
        <f>VLOOKUP(D914,'MPG Payment '!$E$3:$H$333666,4,0)</f>
        <v>Indirect</v>
      </c>
      <c r="I914" s="88">
        <f>INDEX('MPG Payment '!$C:$C,MATCH('Shayak Income '!D914,'MPG Payment '!E:E,0))</f>
        <v>1061</v>
      </c>
      <c r="J914" s="88" t="str">
        <f>INDEX('MPG Payment '!$D:$D,MATCH('Shayak Income '!D914,'MPG Payment '!E:E,0))</f>
        <v>Mahua BMC</v>
      </c>
      <c r="K914" s="125" t="s">
        <v>1593</v>
      </c>
      <c r="L914" s="125">
        <v>46160</v>
      </c>
      <c r="M914" s="126">
        <f>SUMIF('MPG Payment '!$E$3:$E$344841,'Shayak Income '!D914,'MPG Payment '!$I$3:$I$344841)</f>
        <v>4730</v>
      </c>
      <c r="N914" s="126">
        <f>SUMIF('MPG Payment '!$E$3:$E$344841,'Shayak Income '!D914,'MPG Payment '!$J$3:$J$344841)</f>
        <v>187693.97</v>
      </c>
      <c r="O914" s="126">
        <f t="shared" si="331"/>
        <v>3547.5</v>
      </c>
      <c r="P914" s="126">
        <f t="shared" si="332"/>
        <v>4493.5</v>
      </c>
      <c r="Q914" s="126">
        <f>SUMIF('MPG Payment '!$E$3:$E$344841,'Shayak Income '!D914,'MPG Payment '!$S$3:$S$344841)</f>
        <v>0</v>
      </c>
      <c r="R914" s="126">
        <f t="shared" si="333"/>
        <v>5630.8190999999997</v>
      </c>
      <c r="S914" s="126">
        <f t="shared" si="334"/>
        <v>1137.3190999999997</v>
      </c>
      <c r="T914" s="126">
        <f t="shared" si="326"/>
        <v>473</v>
      </c>
      <c r="U914" s="127">
        <f>((((((IF(K914="New",0,SUMIF('MPG Payment '!$E$3:$E$344841,'Shayak Income '!D914,'MPG Payment '!$AC$3:$AC$344841))))+0)+0)+0)+0)+0</f>
        <v>0</v>
      </c>
      <c r="V914" s="127">
        <f t="shared" si="327"/>
        <v>7568</v>
      </c>
      <c r="W914" s="19">
        <v>0</v>
      </c>
      <c r="X914" s="19">
        <f t="shared" si="321"/>
        <v>0</v>
      </c>
      <c r="Y914" s="128">
        <f>IFERROR(VLOOKUP(D914,'Monthly Deduction'!$M$2:$N$640,2,0),0)</f>
        <v>0</v>
      </c>
      <c r="Z914" s="128">
        <v>0</v>
      </c>
      <c r="AA914" s="126">
        <f>IFERROR(VLOOKUP(D914,'Monthly Deduction'!A:B,2,0),0)</f>
        <v>0</v>
      </c>
      <c r="AB914" s="129">
        <f t="shared" si="322"/>
        <v>7568</v>
      </c>
      <c r="AC914" s="130">
        <v>0</v>
      </c>
      <c r="AD914" s="35">
        <f t="shared" si="335"/>
        <v>7568</v>
      </c>
      <c r="AE914" s="166" t="str">
        <f t="shared" si="336"/>
        <v>Release</v>
      </c>
      <c r="AF914" s="127"/>
      <c r="AG914" s="18">
        <v>0</v>
      </c>
      <c r="AH914" s="120"/>
      <c r="AI914" s="238">
        <v>0</v>
      </c>
      <c r="AJ914" s="132"/>
      <c r="AK914" s="151">
        <v>1244.4000000000001</v>
      </c>
      <c r="AL914" s="154">
        <f t="shared" si="337"/>
        <v>0</v>
      </c>
      <c r="AM914" s="155"/>
      <c r="AN914" s="19">
        <f t="shared" si="323"/>
        <v>0</v>
      </c>
      <c r="AO914" s="118">
        <f>SUMIF('MPG Payment '!E:E,'Shayak Income '!D914,'MPG Payment '!AJ:AJ)</f>
        <v>0</v>
      </c>
      <c r="AP914" s="19">
        <f t="shared" si="324"/>
        <v>0</v>
      </c>
      <c r="AQ914" s="119">
        <f t="shared" si="338"/>
        <v>0</v>
      </c>
      <c r="AR914" s="91" t="s">
        <v>1144</v>
      </c>
      <c r="AS914" s="91">
        <f t="shared" si="325"/>
        <v>0</v>
      </c>
      <c r="AT914" s="118"/>
      <c r="AU914" s="118"/>
      <c r="AV914" s="118"/>
    </row>
    <row r="915" spans="1:48" s="20" customFormat="1" x14ac:dyDescent="0.25">
      <c r="A915" s="17">
        <f>IFERROR(VLOOKUP(D915,'Monthly Deduction'!$I$3:$J$957,2,0),0)</f>
        <v>0</v>
      </c>
      <c r="B915" s="17">
        <f>IFERROR(VLOOKUP(D915,'Monthly Deduction'!$E$3:$F$957,2,0),0)</f>
        <v>0</v>
      </c>
      <c r="C915" s="17">
        <f t="shared" si="330"/>
        <v>0</v>
      </c>
      <c r="D915" s="41">
        <v>10660012</v>
      </c>
      <c r="E915" s="122" t="str">
        <f>VLOOKUP(D915,'MPG Payment '!$E$3:$G$497305,2,0)</f>
        <v>Gomukh Jatmalpur Dhab</v>
      </c>
      <c r="F915" s="146">
        <f>IFERROR(_xlfn.XLOOKUP(D915,'Monthly Deduction'!$I$3:$I$957,'Monthly Deduction'!$H$3:$H$957),0)</f>
        <v>0</v>
      </c>
      <c r="G915" s="123" t="str">
        <f>VLOOKUP(D915,'MPG Payment '!$E$3:$G$333666,3,0)</f>
        <v>vlc</v>
      </c>
      <c r="H915" s="124" t="str">
        <f>VLOOKUP(D915,'MPG Payment '!$E$3:$H$333666,4,0)</f>
        <v>Indirect</v>
      </c>
      <c r="I915" s="88">
        <f>INDEX('MPG Payment '!$C:$C,MATCH('Shayak Income '!D915,'MPG Payment '!E:E,0))</f>
        <v>1066</v>
      </c>
      <c r="J915" s="88" t="str">
        <f>INDEX('MPG Payment '!$D:$D,MATCH('Shayak Income '!D915,'MPG Payment '!E:E,0))</f>
        <v>Gaighat</v>
      </c>
      <c r="K915" s="125" t="s">
        <v>1593</v>
      </c>
      <c r="L915" s="125">
        <v>46157</v>
      </c>
      <c r="M915" s="126">
        <f>SUMIF('MPG Payment '!$E$3:$E$344841,'Shayak Income '!D915,'MPG Payment '!$I$3:$I$344841)</f>
        <v>323.40999999999997</v>
      </c>
      <c r="N915" s="126">
        <f>SUMIF('MPG Payment '!$E$3:$E$344841,'Shayak Income '!D915,'MPG Payment '!$J$3:$J$344841)</f>
        <v>15918.45</v>
      </c>
      <c r="O915" s="126">
        <f t="shared" si="331"/>
        <v>242.55749999999998</v>
      </c>
      <c r="P915" s="126">
        <f t="shared" si="332"/>
        <v>307.23949999999996</v>
      </c>
      <c r="Q915" s="126">
        <f>SUMIF('MPG Payment '!$E$3:$E$344841,'Shayak Income '!D915,'MPG Payment '!$S$3:$S$344841)</f>
        <v>0</v>
      </c>
      <c r="R915" s="126">
        <f t="shared" si="333"/>
        <v>477.55349999999999</v>
      </c>
      <c r="S915" s="126">
        <f t="shared" si="334"/>
        <v>170.31400000000002</v>
      </c>
      <c r="T915" s="126">
        <f t="shared" si="326"/>
        <v>32.341000000000001</v>
      </c>
      <c r="U915" s="127">
        <f>((((((IF(K915="New",0,SUMIF('MPG Payment '!$E$3:$E$344841,'Shayak Income '!D915,'MPG Payment '!$AC$3:$AC$344841))))+0)+0)+0)+0)+0</f>
        <v>0</v>
      </c>
      <c r="V915" s="127">
        <f t="shared" si="327"/>
        <v>517</v>
      </c>
      <c r="W915" s="19">
        <v>0</v>
      </c>
      <c r="X915" s="19">
        <f t="shared" si="321"/>
        <v>0</v>
      </c>
      <c r="Y915" s="128">
        <f>IFERROR(VLOOKUP(D915,'Monthly Deduction'!$M$2:$N$640,2,0),0)</f>
        <v>0</v>
      </c>
      <c r="Z915" s="128">
        <v>0</v>
      </c>
      <c r="AA915" s="126">
        <f>IFERROR(VLOOKUP(D915,'Monthly Deduction'!A:B,2,0),0)</f>
        <v>0</v>
      </c>
      <c r="AB915" s="129">
        <f t="shared" si="322"/>
        <v>517</v>
      </c>
      <c r="AC915" s="130">
        <v>0</v>
      </c>
      <c r="AD915" s="35">
        <f t="shared" si="335"/>
        <v>517</v>
      </c>
      <c r="AE915" s="166" t="str">
        <f t="shared" si="336"/>
        <v>Release</v>
      </c>
      <c r="AF915" s="127"/>
      <c r="AG915" s="18">
        <v>0</v>
      </c>
      <c r="AH915" s="120"/>
      <c r="AI915" s="238">
        <v>0</v>
      </c>
      <c r="AJ915" s="132"/>
      <c r="AK915" s="151">
        <v>434.3</v>
      </c>
      <c r="AL915" s="154">
        <f t="shared" si="337"/>
        <v>0</v>
      </c>
      <c r="AM915" s="155"/>
      <c r="AN915" s="19">
        <f t="shared" si="323"/>
        <v>0</v>
      </c>
      <c r="AO915" s="118">
        <f>SUMIF('MPG Payment '!E:E,'Shayak Income '!D915,'MPG Payment '!AJ:AJ)</f>
        <v>0</v>
      </c>
      <c r="AP915" s="19">
        <f t="shared" si="324"/>
        <v>0</v>
      </c>
      <c r="AQ915" s="119">
        <f t="shared" si="338"/>
        <v>0</v>
      </c>
      <c r="AR915" s="91" t="s">
        <v>1144</v>
      </c>
      <c r="AS915" s="91">
        <f t="shared" si="325"/>
        <v>0</v>
      </c>
      <c r="AT915" s="118"/>
      <c r="AU915" s="118"/>
      <c r="AV915" s="118"/>
    </row>
    <row r="916" spans="1:48" s="20" customFormat="1" x14ac:dyDescent="0.25">
      <c r="A916" s="17">
        <f>IFERROR(VLOOKUP(D916,'Monthly Deduction'!$I$3:$J$957,2,0),0)</f>
        <v>53530.838494397765</v>
      </c>
      <c r="B916" s="17">
        <f>IFERROR(VLOOKUP(D916,'Monthly Deduction'!$E$3:$F$957,2,0),0)</f>
        <v>2453.0201150835856</v>
      </c>
      <c r="C916" s="17">
        <f t="shared" si="330"/>
        <v>55983.858609481351</v>
      </c>
      <c r="D916" s="41">
        <v>10060076</v>
      </c>
      <c r="E916" s="122" t="str">
        <f>VLOOKUP(D916,'MPG Payment '!$E$3:$G$497305,2,0)</f>
        <v>AKHA KURHA</v>
      </c>
      <c r="F916" s="146">
        <f>IFERROR(_xlfn.XLOOKUP(D916,'Monthly Deduction'!$I$3:$I$957,'Monthly Deduction'!$H$3:$H$957),0)</f>
        <v>0</v>
      </c>
      <c r="G916" s="123" t="str">
        <f>VLOOKUP(D916,'MPG Payment '!$E$3:$G$333666,3,0)</f>
        <v>MPG</v>
      </c>
      <c r="H916" s="124" t="str">
        <f>VLOOKUP(D916,'MPG Payment '!$E$3:$H$333666,4,0)</f>
        <v>Direct</v>
      </c>
      <c r="I916" s="88">
        <f>INDEX('MPG Payment '!$C:$C,MATCH('Shayak Income '!D916,'MPG Payment '!E:E,0))</f>
        <v>1006</v>
      </c>
      <c r="J916" s="88" t="str">
        <f>INDEX('MPG Payment '!$D:$D,MATCH('Shayak Income '!D916,'MPG Payment '!E:E,0))</f>
        <v>Sonvarsha</v>
      </c>
      <c r="K916" s="125" t="s">
        <v>1594</v>
      </c>
      <c r="L916" s="125">
        <v>45664</v>
      </c>
      <c r="M916" s="126">
        <f>SUMIF('MPG Payment '!$E$3:$E$344841,'Shayak Income '!D916,'MPG Payment '!$I$3:$I$344841)</f>
        <v>1494.7999999999997</v>
      </c>
      <c r="N916" s="126">
        <f>SUMIF('MPG Payment '!$E$3:$E$344841,'Shayak Income '!D916,'MPG Payment '!$J$3:$J$344841)</f>
        <v>63034.879999999997</v>
      </c>
      <c r="O916" s="126">
        <f t="shared" si="331"/>
        <v>1121.0999999999999</v>
      </c>
      <c r="P916" s="126">
        <f t="shared" si="332"/>
        <v>1420.0599999999997</v>
      </c>
      <c r="Q916" s="126">
        <f>SUMIF('MPG Payment '!$E$3:$E$344841,'Shayak Income '!D916,'MPG Payment '!$S$3:$S$344841)</f>
        <v>0</v>
      </c>
      <c r="R916" s="126">
        <f t="shared" si="333"/>
        <v>1891.0463999999999</v>
      </c>
      <c r="S916" s="126">
        <f t="shared" si="334"/>
        <v>470.98640000000023</v>
      </c>
      <c r="T916" s="126">
        <f t="shared" si="326"/>
        <v>149.47999999999999</v>
      </c>
      <c r="U916" s="127">
        <f>((((((IF(K916="New",0,SUMIF('MPG Payment '!$E$3:$E$344841,'Shayak Income '!D916,'MPG Payment '!$AC$3:$AC$344841))))+0)+0)+0)+0)+0</f>
        <v>1100.8364607222202</v>
      </c>
      <c r="V916" s="127">
        <f t="shared" si="327"/>
        <v>1291</v>
      </c>
      <c r="W916" s="19">
        <v>1291</v>
      </c>
      <c r="X916" s="19">
        <v>0</v>
      </c>
      <c r="Y916" s="128">
        <f>IFERROR(VLOOKUP(D916,'Monthly Deduction'!$M$2:$N$640,2,0),0)</f>
        <v>0</v>
      </c>
      <c r="Z916" s="128">
        <v>0</v>
      </c>
      <c r="AA916" s="126">
        <f>IFERROR(VLOOKUP(D916,'Monthly Deduction'!A:B,2,0),0)</f>
        <v>0</v>
      </c>
      <c r="AB916" s="129">
        <f t="shared" si="322"/>
        <v>0</v>
      </c>
      <c r="AC916" s="130">
        <v>0</v>
      </c>
      <c r="AD916" s="35">
        <f t="shared" si="335"/>
        <v>0</v>
      </c>
      <c r="AE916" s="166" t="str">
        <f t="shared" si="336"/>
        <v>Release</v>
      </c>
      <c r="AF916" s="127"/>
      <c r="AG916" s="18">
        <v>0</v>
      </c>
      <c r="AH916" s="120"/>
      <c r="AI916" s="238">
        <v>0</v>
      </c>
      <c r="AJ916" s="132"/>
      <c r="AK916" s="151">
        <v>316.39999999999998</v>
      </c>
      <c r="AL916" s="154">
        <f t="shared" si="337"/>
        <v>0</v>
      </c>
      <c r="AM916" s="155"/>
      <c r="AN916" s="19">
        <f t="shared" si="323"/>
        <v>1861</v>
      </c>
      <c r="AO916" s="118">
        <f>SUMIF('MPG Payment '!E:E,'Shayak Income '!D916,'MPG Payment '!AJ:AJ)</f>
        <v>0</v>
      </c>
      <c r="AP916" s="19">
        <f t="shared" si="324"/>
        <v>1291</v>
      </c>
      <c r="AQ916" s="119">
        <f t="shared" si="338"/>
        <v>1291</v>
      </c>
      <c r="AR916" s="91" t="s">
        <v>1144</v>
      </c>
      <c r="AS916" s="91">
        <f t="shared" si="325"/>
        <v>2453.0201150835856</v>
      </c>
      <c r="AT916" s="118"/>
      <c r="AU916" s="118"/>
      <c r="AV916" s="118"/>
    </row>
    <row r="917" spans="1:48" s="20" customFormat="1" x14ac:dyDescent="0.25">
      <c r="A917" s="17">
        <f>IFERROR(VLOOKUP(D917,'Monthly Deduction'!$I$3:$J$957,2,0),0)</f>
        <v>0</v>
      </c>
      <c r="B917" s="17">
        <f>IFERROR(VLOOKUP(D917,'Monthly Deduction'!$E$3:$F$957,2,0),0)</f>
        <v>0</v>
      </c>
      <c r="C917" s="17">
        <f t="shared" si="330"/>
        <v>0</v>
      </c>
      <c r="D917" s="41">
        <v>10070067</v>
      </c>
      <c r="E917" s="122" t="str">
        <f>VLOOKUP(D917,'MPG Payment '!$E$3:$G$497305,2,0)</f>
        <v>Gomukh Gulshan Kumar VLC</v>
      </c>
      <c r="F917" s="146">
        <f>IFERROR(_xlfn.XLOOKUP(D917,'Monthly Deduction'!$I$3:$I$957,'Monthly Deduction'!$H$3:$H$957),0)</f>
        <v>0</v>
      </c>
      <c r="G917" s="123" t="str">
        <f>VLOOKUP(D917,'MPG Payment '!$E$3:$G$333666,3,0)</f>
        <v>vlc</v>
      </c>
      <c r="H917" s="124" t="str">
        <f>VLOOKUP(D917,'MPG Payment '!$E$3:$H$333666,4,0)</f>
        <v>Indirect</v>
      </c>
      <c r="I917" s="88">
        <f>INDEX('MPG Payment '!$C:$C,MATCH('Shayak Income '!D917,'MPG Payment '!E:E,0))</f>
        <v>1007</v>
      </c>
      <c r="J917" s="88" t="str">
        <f>INDEX('MPG Payment '!$D:$D,MATCH('Shayak Income '!D917,'MPG Payment '!E:E,0))</f>
        <v>Araria</v>
      </c>
      <c r="K917" s="125" t="s">
        <v>1594</v>
      </c>
      <c r="L917" s="125">
        <v>45825</v>
      </c>
      <c r="M917" s="126">
        <f>SUMIF('MPG Payment '!$E$3:$E$344841,'Shayak Income '!D917,'MPG Payment '!$I$3:$I$344841)</f>
        <v>6091.3</v>
      </c>
      <c r="N917" s="126">
        <f>SUMIF('MPG Payment '!$E$3:$E$344841,'Shayak Income '!D917,'MPG Payment '!$J$3:$J$344841)</f>
        <v>239973.08</v>
      </c>
      <c r="O917" s="126">
        <f t="shared" si="331"/>
        <v>4568.4750000000004</v>
      </c>
      <c r="P917" s="126">
        <f t="shared" si="332"/>
        <v>5786.7349999999997</v>
      </c>
      <c r="Q917" s="126">
        <f>SUMIF('MPG Payment '!$E$3:$E$344841,'Shayak Income '!D917,'MPG Payment '!$S$3:$S$344841)</f>
        <v>0</v>
      </c>
      <c r="R917" s="126">
        <f t="shared" si="333"/>
        <v>7199.192399999999</v>
      </c>
      <c r="S917" s="126">
        <f t="shared" si="334"/>
        <v>1412.4573999999993</v>
      </c>
      <c r="T917" s="126">
        <f t="shared" si="326"/>
        <v>609.13</v>
      </c>
      <c r="U917" s="127">
        <f>((((((IF(K917="New",0,SUMIF('MPG Payment '!$E$3:$E$344841,'Shayak Income '!D917,'MPG Payment '!$AC$3:$AC$344841))))+0)+0)+0)+0)+0</f>
        <v>0</v>
      </c>
      <c r="V917" s="127">
        <f t="shared" si="327"/>
        <v>9746</v>
      </c>
      <c r="W917" s="19">
        <f t="shared" si="329"/>
        <v>0</v>
      </c>
      <c r="X917" s="19">
        <f t="shared" si="321"/>
        <v>0</v>
      </c>
      <c r="Y917" s="128">
        <f>IFERROR(VLOOKUP(D917,'Monthly Deduction'!$M$2:$N$640,2,0),0)</f>
        <v>0</v>
      </c>
      <c r="Z917" s="128">
        <v>0</v>
      </c>
      <c r="AA917" s="126">
        <f>IFERROR(VLOOKUP(D917,'Monthly Deduction'!A:B,2,0),0)</f>
        <v>0</v>
      </c>
      <c r="AB917" s="129">
        <f t="shared" si="322"/>
        <v>9746</v>
      </c>
      <c r="AC917" s="130">
        <v>0</v>
      </c>
      <c r="AD917" s="35">
        <f t="shared" si="335"/>
        <v>9746</v>
      </c>
      <c r="AE917" s="166" t="str">
        <f t="shared" si="336"/>
        <v>Release</v>
      </c>
      <c r="AF917" s="127"/>
      <c r="AG917" s="234">
        <v>0</v>
      </c>
      <c r="AH917" s="120"/>
      <c r="AI917" s="238">
        <v>0</v>
      </c>
      <c r="AJ917" s="132"/>
      <c r="AK917" s="151">
        <v>1481.4000000000003</v>
      </c>
      <c r="AL917" s="154">
        <f t="shared" si="337"/>
        <v>0</v>
      </c>
      <c r="AM917" s="155"/>
      <c r="AN917" s="19">
        <f t="shared" si="323"/>
        <v>0</v>
      </c>
      <c r="AO917" s="118">
        <f>SUMIF('MPG Payment '!E:E,'Shayak Income '!D917,'MPG Payment '!AJ:AJ)</f>
        <v>0</v>
      </c>
      <c r="AP917" s="19">
        <f t="shared" si="324"/>
        <v>0</v>
      </c>
      <c r="AQ917" s="119">
        <f t="shared" si="338"/>
        <v>0</v>
      </c>
      <c r="AR917" s="91" t="s">
        <v>1144</v>
      </c>
      <c r="AS917" s="91">
        <f t="shared" si="325"/>
        <v>0</v>
      </c>
      <c r="AT917" s="118"/>
      <c r="AU917" s="118"/>
      <c r="AV917" s="118"/>
    </row>
    <row r="918" spans="1:48" s="20" customFormat="1" x14ac:dyDescent="0.25">
      <c r="A918" s="17">
        <f>IFERROR(VLOOKUP(D918,'Monthly Deduction'!$I$3:$J$957,2,0),0)</f>
        <v>73368.888583716529</v>
      </c>
      <c r="B918" s="17">
        <f>IFERROR(VLOOKUP(D918,'Monthly Deduction'!$E$3:$F$957,2,0),0)</f>
        <v>6400</v>
      </c>
      <c r="C918" s="17">
        <f t="shared" si="330"/>
        <v>79768.888583716529</v>
      </c>
      <c r="D918" s="41">
        <v>10110079</v>
      </c>
      <c r="E918" s="122" t="str">
        <f>VLOOKUP(D918,'MPG Payment '!$E$3:$G$497305,2,0)</f>
        <v>GOMUKH GARHIYA</v>
      </c>
      <c r="F918" s="146">
        <f>IFERROR(_xlfn.XLOOKUP(D918,'Monthly Deduction'!$I$3:$I$957,'Monthly Deduction'!$H$3:$H$957),0)</f>
        <v>0</v>
      </c>
      <c r="G918" s="123" t="str">
        <f>VLOOKUP(D918,'MPG Payment '!$E$3:$G$333666,3,0)</f>
        <v>MPG</v>
      </c>
      <c r="H918" s="124" t="str">
        <f>VLOOKUP(D918,'MPG Payment '!$E$3:$H$333666,4,0)</f>
        <v>Direct</v>
      </c>
      <c r="I918" s="88">
        <f>INDEX('MPG Payment '!$C:$C,MATCH('Shayak Income '!D918,'MPG Payment '!E:E,0))</f>
        <v>1011</v>
      </c>
      <c r="J918" s="88" t="str">
        <f>INDEX('MPG Payment '!$D:$D,MATCH('Shayak Income '!D918,'MPG Payment '!E:E,0))</f>
        <v>Sahibpur Kamal</v>
      </c>
      <c r="K918" s="125" t="s">
        <v>1594</v>
      </c>
      <c r="L918" s="125">
        <v>45429</v>
      </c>
      <c r="M918" s="126">
        <f>SUMIF('MPG Payment '!$E$3:$E$344841,'Shayak Income '!D918,'MPG Payment '!$I$3:$I$344841)</f>
        <v>79</v>
      </c>
      <c r="N918" s="126">
        <f>SUMIF('MPG Payment '!$E$3:$E$344841,'Shayak Income '!D918,'MPG Payment '!$J$3:$J$344841)</f>
        <v>2965.34</v>
      </c>
      <c r="O918" s="126">
        <f t="shared" si="331"/>
        <v>59.25</v>
      </c>
      <c r="P918" s="126">
        <f t="shared" si="332"/>
        <v>75.05</v>
      </c>
      <c r="Q918" s="126">
        <f>SUMIF('MPG Payment '!$E$3:$E$344841,'Shayak Income '!D918,'MPG Payment '!$S$3:$S$344841)</f>
        <v>0</v>
      </c>
      <c r="R918" s="126">
        <f t="shared" si="333"/>
        <v>88.9602</v>
      </c>
      <c r="S918" s="126">
        <f t="shared" si="334"/>
        <v>13.910200000000003</v>
      </c>
      <c r="T918" s="126">
        <f t="shared" si="326"/>
        <v>7.9</v>
      </c>
      <c r="U918" s="127">
        <f>((((((IF(K918="New",0,SUMIF('MPG Payment '!$E$3:$E$344841,'Shayak Income '!D918,'MPG Payment '!$AC$3:$AC$344841))))+0)+0)+0)+0)+-865</f>
        <v>126.81604291290887</v>
      </c>
      <c r="V918" s="127">
        <f t="shared" si="327"/>
        <v>0</v>
      </c>
      <c r="W918" s="19">
        <v>0</v>
      </c>
      <c r="X918" s="19">
        <v>0</v>
      </c>
      <c r="Y918" s="128">
        <v>0</v>
      </c>
      <c r="Z918" s="128">
        <v>0</v>
      </c>
      <c r="AA918" s="126">
        <v>0</v>
      </c>
      <c r="AB918" s="129">
        <f t="shared" si="322"/>
        <v>0</v>
      </c>
      <c r="AC918" s="130">
        <f t="shared" ref="AC918:AC921" si="339">AB918</f>
        <v>0</v>
      </c>
      <c r="AD918" s="35">
        <f t="shared" si="335"/>
        <v>0</v>
      </c>
      <c r="AE918" s="166" t="str">
        <f t="shared" si="336"/>
        <v>Release</v>
      </c>
      <c r="AF918" s="127"/>
      <c r="AG918" s="234">
        <v>0</v>
      </c>
      <c r="AH918" s="132" t="s">
        <v>1597</v>
      </c>
      <c r="AI918" s="238">
        <v>0</v>
      </c>
      <c r="AJ918" s="132"/>
      <c r="AK918" s="151">
        <v>0</v>
      </c>
      <c r="AL918" s="154">
        <f t="shared" si="337"/>
        <v>0</v>
      </c>
      <c r="AM918" s="155"/>
      <c r="AN918" s="19">
        <f t="shared" si="323"/>
        <v>1861</v>
      </c>
      <c r="AO918" s="118">
        <f>SUMIF('MPG Payment '!E:E,'Shayak Income '!D918,'MPG Payment '!AJ:AJ)</f>
        <v>0</v>
      </c>
      <c r="AP918" s="19">
        <f t="shared" si="324"/>
        <v>0</v>
      </c>
      <c r="AQ918" s="119">
        <f t="shared" si="338"/>
        <v>0</v>
      </c>
      <c r="AR918" s="91" t="s">
        <v>1144</v>
      </c>
      <c r="AS918" s="91">
        <f t="shared" si="325"/>
        <v>6400</v>
      </c>
      <c r="AT918" s="118"/>
      <c r="AU918" s="118"/>
      <c r="AV918" s="118"/>
    </row>
    <row r="919" spans="1:48" s="20" customFormat="1" x14ac:dyDescent="0.25">
      <c r="A919" s="17">
        <f>IFERROR(VLOOKUP(D919,'Monthly Deduction'!$I$3:$J$957,2,0),0)</f>
        <v>97205</v>
      </c>
      <c r="B919" s="17">
        <f>IFERROR(VLOOKUP(D919,'Monthly Deduction'!$E$3:$F$957,2,0),0)</f>
        <v>2800</v>
      </c>
      <c r="C919" s="17">
        <f t="shared" si="330"/>
        <v>100005</v>
      </c>
      <c r="D919" s="41">
        <v>10140191</v>
      </c>
      <c r="E919" s="122" t="str">
        <f>VLOOKUP(D919,'MPG Payment '!$E$3:$G$497305,2,0)</f>
        <v>Gumukk JP Dera</v>
      </c>
      <c r="F919" s="146">
        <f>IFERROR(_xlfn.XLOOKUP(D919,'Monthly Deduction'!$I$3:$I$957,'Monthly Deduction'!$H$3:$H$957),0)</f>
        <v>0</v>
      </c>
      <c r="G919" s="123" t="str">
        <f>VLOOKUP(D919,'MPG Payment '!$E$3:$G$333666,3,0)</f>
        <v>vlc</v>
      </c>
      <c r="H919" s="124" t="str">
        <f>VLOOKUP(D919,'MPG Payment '!$E$3:$H$333666,4,0)</f>
        <v>Indirect</v>
      </c>
      <c r="I919" s="88">
        <f>INDEX('MPG Payment '!$C:$C,MATCH('Shayak Income '!D919,'MPG Payment '!E:E,0))</f>
        <v>1014</v>
      </c>
      <c r="J919" s="88" t="str">
        <f>INDEX('MPG Payment '!$D:$D,MATCH('Shayak Income '!D919,'MPG Payment '!E:E,0))</f>
        <v>Dumraon</v>
      </c>
      <c r="K919" s="125" t="s">
        <v>1594</v>
      </c>
      <c r="L919" s="125">
        <v>46003</v>
      </c>
      <c r="M919" s="126">
        <f>SUMIF('MPG Payment '!$E$3:$E$344841,'Shayak Income '!D919,'MPG Payment '!$I$3:$I$344841)</f>
        <v>1512</v>
      </c>
      <c r="N919" s="126">
        <f>SUMIF('MPG Payment '!$E$3:$E$344841,'Shayak Income '!D919,'MPG Payment '!$J$3:$J$344841)</f>
        <v>59935.35</v>
      </c>
      <c r="O919" s="126">
        <f t="shared" si="331"/>
        <v>1134</v>
      </c>
      <c r="P919" s="126">
        <f t="shared" si="332"/>
        <v>1436.3999999999999</v>
      </c>
      <c r="Q919" s="126">
        <f>SUMIF('MPG Payment '!$E$3:$E$344841,'Shayak Income '!D919,'MPG Payment '!$S$3:$S$344841)</f>
        <v>0</v>
      </c>
      <c r="R919" s="126">
        <f t="shared" si="333"/>
        <v>1798.0604999999998</v>
      </c>
      <c r="S919" s="126">
        <f t="shared" si="334"/>
        <v>361.66049999999996</v>
      </c>
      <c r="T919" s="126">
        <f t="shared" si="326"/>
        <v>151.20000000000002</v>
      </c>
      <c r="U919" s="127">
        <f>((((((IF(K919="New",0,SUMIF('MPG Payment '!$E$3:$E$344841,'Shayak Income '!D919,'MPG Payment '!$AC$3:$AC$344841))))+0)+0)+0)+0)+0</f>
        <v>1020.6660546606795</v>
      </c>
      <c r="V919" s="127">
        <f t="shared" si="327"/>
        <v>1399</v>
      </c>
      <c r="W919" s="19">
        <v>1399</v>
      </c>
      <c r="X919" s="19">
        <v>0</v>
      </c>
      <c r="Y919" s="128">
        <f>IFERROR(VLOOKUP(D919,'Monthly Deduction'!$M$2:$N$640,2,0),0)</f>
        <v>0</v>
      </c>
      <c r="Z919" s="128">
        <v>0</v>
      </c>
      <c r="AA919" s="126">
        <v>0</v>
      </c>
      <c r="AB919" s="129">
        <f t="shared" si="322"/>
        <v>0</v>
      </c>
      <c r="AC919" s="130">
        <f t="shared" si="339"/>
        <v>0</v>
      </c>
      <c r="AD919" s="35">
        <f t="shared" si="335"/>
        <v>0</v>
      </c>
      <c r="AE919" s="166" t="str">
        <f t="shared" si="336"/>
        <v>Release</v>
      </c>
      <c r="AF919" s="127"/>
      <c r="AG919" s="234">
        <v>0</v>
      </c>
      <c r="AH919" s="120" t="s">
        <v>1685</v>
      </c>
      <c r="AI919" s="238">
        <v>9080</v>
      </c>
      <c r="AJ919" s="132"/>
      <c r="AK919" s="151">
        <v>288.59999999999997</v>
      </c>
      <c r="AL919" s="154">
        <f t="shared" si="337"/>
        <v>0</v>
      </c>
      <c r="AM919" s="155"/>
      <c r="AN919" s="19">
        <f t="shared" si="323"/>
        <v>1861</v>
      </c>
      <c r="AO919" s="118">
        <f>SUMIF('MPG Payment '!E:E,'Shayak Income '!D919,'MPG Payment '!AJ:AJ)</f>
        <v>0</v>
      </c>
      <c r="AP919" s="19">
        <f t="shared" si="324"/>
        <v>1399</v>
      </c>
      <c r="AQ919" s="119">
        <f t="shared" si="338"/>
        <v>1399</v>
      </c>
      <c r="AR919" s="91" t="s">
        <v>1144</v>
      </c>
      <c r="AS919" s="91">
        <f t="shared" si="325"/>
        <v>2800</v>
      </c>
      <c r="AT919" s="118"/>
      <c r="AU919" s="118"/>
      <c r="AV919" s="118"/>
    </row>
    <row r="920" spans="1:48" s="20" customFormat="1" x14ac:dyDescent="0.25">
      <c r="A920" s="17">
        <f>IFERROR(VLOOKUP(D920,'Monthly Deduction'!$I$3:$J$957,2,0),0)</f>
        <v>80000</v>
      </c>
      <c r="B920" s="17">
        <f>IFERROR(VLOOKUP(D920,'Monthly Deduction'!$E$3:$F$957,2,0),0)</f>
        <v>0</v>
      </c>
      <c r="C920" s="17">
        <f t="shared" si="330"/>
        <v>80000</v>
      </c>
      <c r="D920" s="41">
        <v>10650014</v>
      </c>
      <c r="E920" s="122" t="str">
        <f>VLOOKUP(D920,'MPG Payment '!$E$3:$G$497305,2,0)</f>
        <v>Gomukh KAIDRABAD</v>
      </c>
      <c r="F920" s="146">
        <f>IFERROR(_xlfn.XLOOKUP(D920,'Monthly Deduction'!$I$3:$I$957,'Monthly Deduction'!$H$3:$H$957),0)</f>
        <v>0</v>
      </c>
      <c r="G920" s="123" t="str">
        <f>VLOOKUP(D920,'MPG Payment '!$E$3:$G$333666,3,0)</f>
        <v>MPG</v>
      </c>
      <c r="H920" s="124" t="str">
        <f>VLOOKUP(D920,'MPG Payment '!$E$3:$H$333666,4,0)</f>
        <v>Direct</v>
      </c>
      <c r="I920" s="88">
        <f>INDEX('MPG Payment '!$C:$C,MATCH('Shayak Income '!D920,'MPG Payment '!E:E,0))</f>
        <v>1008</v>
      </c>
      <c r="J920" s="88" t="str">
        <f>INDEX('MPG Payment '!$D:$D,MATCH('Shayak Income '!D920,'MPG Payment '!E:E,0))</f>
        <v>Teghra</v>
      </c>
      <c r="K920" s="125" t="s">
        <v>1593</v>
      </c>
      <c r="L920" s="125">
        <v>46165</v>
      </c>
      <c r="M920" s="126">
        <f>SUMIF('MPG Payment '!$E$3:$E$344841,'Shayak Income '!D920,'MPG Payment '!$I$3:$I$344841)</f>
        <v>1919.6</v>
      </c>
      <c r="N920" s="126">
        <f>SUMIF('MPG Payment '!$E$3:$E$344841,'Shayak Income '!D920,'MPG Payment '!$J$3:$J$344841)</f>
        <v>76027.680000000008</v>
      </c>
      <c r="O920" s="126">
        <f t="shared" si="331"/>
        <v>1439.6999999999998</v>
      </c>
      <c r="P920" s="126">
        <f t="shared" si="332"/>
        <v>1823.62</v>
      </c>
      <c r="Q920" s="126">
        <f>SUMIF('MPG Payment '!$E$3:$E$344841,'Shayak Income '!D920,'MPG Payment '!$S$3:$S$344841)</f>
        <v>0</v>
      </c>
      <c r="R920" s="126">
        <f t="shared" si="333"/>
        <v>2280.8304000000003</v>
      </c>
      <c r="S920" s="126">
        <f t="shared" si="334"/>
        <v>457.21040000000039</v>
      </c>
      <c r="T920" s="126">
        <f t="shared" si="326"/>
        <v>191.96</v>
      </c>
      <c r="U920" s="127">
        <f>((((((IF(K920="New",0,SUMIF('MPG Payment '!$E$3:$E$344841,'Shayak Income '!D920,'MPG Payment '!$AC$3:$AC$344841))))+0)+0)+0)+0)+0</f>
        <v>0</v>
      </c>
      <c r="V920" s="127">
        <f t="shared" si="327"/>
        <v>3071</v>
      </c>
      <c r="W920" s="19">
        <v>0</v>
      </c>
      <c r="X920" s="19">
        <f t="shared" si="321"/>
        <v>0</v>
      </c>
      <c r="Y920" s="128">
        <f>IFERROR(VLOOKUP(D920,'Monthly Deduction'!$M$2:$N$640,2,0),0)</f>
        <v>0</v>
      </c>
      <c r="Z920" s="128">
        <v>0</v>
      </c>
      <c r="AA920" s="126">
        <f>IFERROR(VLOOKUP(D920,'Monthly Deduction'!A:B,2,0),0)</f>
        <v>0</v>
      </c>
      <c r="AB920" s="129">
        <f t="shared" si="322"/>
        <v>3071</v>
      </c>
      <c r="AC920" s="130">
        <f t="shared" si="339"/>
        <v>3071</v>
      </c>
      <c r="AD920" s="35">
        <f t="shared" si="335"/>
        <v>0</v>
      </c>
      <c r="AE920" s="166" t="str">
        <f t="shared" si="336"/>
        <v>Yes</v>
      </c>
      <c r="AF920" s="127"/>
      <c r="AG920" s="234">
        <v>0</v>
      </c>
      <c r="AH920" s="120" t="s">
        <v>1686</v>
      </c>
      <c r="AI920" s="238">
        <v>15000</v>
      </c>
      <c r="AJ920" s="132"/>
      <c r="AK920" s="151">
        <v>653.44999999999993</v>
      </c>
      <c r="AL920" s="154">
        <f t="shared" si="337"/>
        <v>0</v>
      </c>
      <c r="AM920" s="155"/>
      <c r="AN920" s="19">
        <f t="shared" si="323"/>
        <v>1861</v>
      </c>
      <c r="AO920" s="118">
        <f>SUMIF('MPG Payment '!E:E,'Shayak Income '!D920,'MPG Payment '!AJ:AJ)</f>
        <v>0</v>
      </c>
      <c r="AP920" s="19">
        <f t="shared" si="324"/>
        <v>0</v>
      </c>
      <c r="AQ920" s="119">
        <f t="shared" si="338"/>
        <v>0</v>
      </c>
      <c r="AR920" s="91" t="s">
        <v>1144</v>
      </c>
      <c r="AS920" s="91">
        <f t="shared" si="325"/>
        <v>0</v>
      </c>
      <c r="AT920" s="118"/>
      <c r="AU920" s="118"/>
      <c r="AV920" s="118"/>
    </row>
    <row r="921" spans="1:48" s="20" customFormat="1" x14ac:dyDescent="0.25">
      <c r="A921" s="17">
        <f>IFERROR(VLOOKUP(D921,'Monthly Deduction'!$I$3:$J$957,2,0),0)</f>
        <v>75000</v>
      </c>
      <c r="B921" s="17">
        <f>IFERROR(VLOOKUP(D921,'Monthly Deduction'!$E$3:$F$957,2,0),0)</f>
        <v>0</v>
      </c>
      <c r="C921" s="17">
        <f t="shared" si="330"/>
        <v>75000</v>
      </c>
      <c r="D921" s="41">
        <v>10650016</v>
      </c>
      <c r="E921" s="122" t="str">
        <f>VLOOKUP(D921,'MPG Payment '!$E$3:$G$497305,2,0)</f>
        <v>Gomukh KASTOLI</v>
      </c>
      <c r="F921" s="146">
        <f>IFERROR(_xlfn.XLOOKUP(D921,'Monthly Deduction'!$I$3:$I$957,'Monthly Deduction'!$H$3:$H$957),0)</f>
        <v>0</v>
      </c>
      <c r="G921" s="123" t="str">
        <f>VLOOKUP(D921,'MPG Payment '!$E$3:$G$333666,3,0)</f>
        <v>MPG</v>
      </c>
      <c r="H921" s="124" t="str">
        <f>VLOOKUP(D921,'MPG Payment '!$E$3:$H$333666,4,0)</f>
        <v>Direct</v>
      </c>
      <c r="I921" s="88">
        <f>INDEX('MPG Payment '!$C:$C,MATCH('Shayak Income '!D921,'MPG Payment '!E:E,0))</f>
        <v>1065</v>
      </c>
      <c r="J921" s="88" t="str">
        <f>INDEX('MPG Payment '!$D:$D,MATCH('Shayak Income '!D921,'MPG Payment '!E:E,0))</f>
        <v>Bachhwara BMC</v>
      </c>
      <c r="K921" s="125" t="s">
        <v>1593</v>
      </c>
      <c r="L921" s="125">
        <v>46164</v>
      </c>
      <c r="M921" s="126">
        <f>SUMIF('MPG Payment '!$E$3:$E$344841,'Shayak Income '!D921,'MPG Payment '!$I$3:$I$344841)</f>
        <v>1188</v>
      </c>
      <c r="N921" s="126">
        <f>SUMIF('MPG Payment '!$E$3:$E$344841,'Shayak Income '!D921,'MPG Payment '!$J$3:$J$344841)</f>
        <v>43862.399999999994</v>
      </c>
      <c r="O921" s="126">
        <f t="shared" si="331"/>
        <v>891</v>
      </c>
      <c r="P921" s="126">
        <f t="shared" si="332"/>
        <v>1128.5999999999999</v>
      </c>
      <c r="Q921" s="126">
        <f>SUMIF('MPG Payment '!$E$3:$E$344841,'Shayak Income '!D921,'MPG Payment '!$S$3:$S$344841)</f>
        <v>0</v>
      </c>
      <c r="R921" s="126">
        <f t="shared" si="333"/>
        <v>1315.8719999999998</v>
      </c>
      <c r="S921" s="126">
        <f t="shared" si="334"/>
        <v>187.27199999999993</v>
      </c>
      <c r="T921" s="126">
        <f t="shared" si="326"/>
        <v>118.80000000000001</v>
      </c>
      <c r="U921" s="127">
        <f>((((((IF(K921="New",0,SUMIF('MPG Payment '!$E$3:$E$344841,'Shayak Income '!D921,'MPG Payment '!$AC$3:$AC$344841))))+0)+0)+0)+0)+0</f>
        <v>0</v>
      </c>
      <c r="V921" s="127">
        <f t="shared" si="327"/>
        <v>1901</v>
      </c>
      <c r="W921" s="19">
        <v>0</v>
      </c>
      <c r="X921" s="19">
        <f t="shared" si="321"/>
        <v>0</v>
      </c>
      <c r="Y921" s="128">
        <f>IFERROR(VLOOKUP(D921,'Monthly Deduction'!$M$2:$N$640,2,0),0)</f>
        <v>0</v>
      </c>
      <c r="Z921" s="128">
        <v>0</v>
      </c>
      <c r="AA921" s="126">
        <f>IFERROR(VLOOKUP(D921,'Monthly Deduction'!A:B,2,0),0)</f>
        <v>0</v>
      </c>
      <c r="AB921" s="129">
        <f t="shared" si="322"/>
        <v>1901</v>
      </c>
      <c r="AC921" s="130">
        <f t="shared" si="339"/>
        <v>1901</v>
      </c>
      <c r="AD921" s="35">
        <f t="shared" si="335"/>
        <v>0</v>
      </c>
      <c r="AE921" s="166" t="str">
        <f t="shared" si="336"/>
        <v>Yes</v>
      </c>
      <c r="AF921" s="127"/>
      <c r="AG921" s="18">
        <v>0</v>
      </c>
      <c r="AH921" s="120" t="s">
        <v>1685</v>
      </c>
      <c r="AI921" s="238">
        <v>10000</v>
      </c>
      <c r="AJ921" s="132"/>
      <c r="AK921" s="151">
        <v>313.8</v>
      </c>
      <c r="AL921" s="154">
        <f t="shared" si="337"/>
        <v>0</v>
      </c>
      <c r="AM921" s="155"/>
      <c r="AN921" s="19">
        <f t="shared" si="323"/>
        <v>1861</v>
      </c>
      <c r="AO921" s="118">
        <f>SUMIF('MPG Payment '!E:E,'Shayak Income '!D921,'MPG Payment '!AJ:AJ)</f>
        <v>0</v>
      </c>
      <c r="AP921" s="19">
        <f t="shared" si="324"/>
        <v>0</v>
      </c>
      <c r="AQ921" s="119">
        <f t="shared" si="338"/>
        <v>0</v>
      </c>
      <c r="AR921" s="91" t="s">
        <v>1144</v>
      </c>
      <c r="AS921" s="91">
        <f t="shared" si="325"/>
        <v>0</v>
      </c>
      <c r="AT921" s="118"/>
      <c r="AU921" s="118"/>
      <c r="AV921" s="118"/>
    </row>
    <row r="922" spans="1:48" s="20" customFormat="1" x14ac:dyDescent="0.25">
      <c r="A922" s="17">
        <f>IFERROR(VLOOKUP(D922,'Monthly Deduction'!$I$3:$J$957,2,0),0)</f>
        <v>24511.543332678761</v>
      </c>
      <c r="B922" s="17">
        <f>IFERROR(VLOOKUP(D922,'Monthly Deduction'!$E$3:$F$957,2,0),0)</f>
        <v>5059.8527868101683</v>
      </c>
      <c r="C922" s="17">
        <f t="shared" si="330"/>
        <v>29571.396119488927</v>
      </c>
      <c r="D922" s="41">
        <v>10010044</v>
      </c>
      <c r="E922" s="122" t="str">
        <f>VLOOKUP(D922,'MPG Payment '!$E$3:$G$497305,2,0)</f>
        <v>Gomukh Kanausi</v>
      </c>
      <c r="F922" s="146">
        <f>IFERROR(_xlfn.XLOOKUP(D922,'Monthly Deduction'!$I$3:$I$957,'Monthly Deduction'!$H$3:$H$957),0)</f>
        <v>0</v>
      </c>
      <c r="G922" s="123" t="str">
        <f>VLOOKUP(D922,'MPG Payment '!$E$3:$G$333666,3,0)</f>
        <v>MPG</v>
      </c>
      <c r="H922" s="124" t="str">
        <f>VLOOKUP(D922,'MPG Payment '!$E$3:$H$333666,4,0)</f>
        <v>Direct</v>
      </c>
      <c r="I922" s="88">
        <f>INDEX('MPG Payment '!$C:$C,MATCH('Shayak Income '!D922,'MPG Payment '!E:E,0))</f>
        <v>1058</v>
      </c>
      <c r="J922" s="88" t="str">
        <f>INDEX('MPG Payment '!$D:$D,MATCH('Shayak Income '!D922,'MPG Payment '!E:E,0))</f>
        <v>Hasanpur</v>
      </c>
      <c r="K922" s="125" t="s">
        <v>1594</v>
      </c>
      <c r="L922" s="125">
        <v>45161</v>
      </c>
      <c r="M922" s="126">
        <f>SUMIF('MPG Payment '!$E$3:$E$344841,'Shayak Income '!D922,'MPG Payment '!$I$3:$I$344841)</f>
        <v>1127.8600000000001</v>
      </c>
      <c r="N922" s="126">
        <f>SUMIF('MPG Payment '!$E$3:$E$344841,'Shayak Income '!D922,'MPG Payment '!$J$3:$J$344841)</f>
        <v>45264.350000000006</v>
      </c>
      <c r="O922" s="126">
        <f t="shared" si="331"/>
        <v>845.8950000000001</v>
      </c>
      <c r="P922" s="126">
        <f t="shared" si="332"/>
        <v>1071.4670000000001</v>
      </c>
      <c r="Q922" s="126">
        <f>SUMIF('MPG Payment '!$E$3:$E$344841,'Shayak Income '!D922,'MPG Payment '!$S$3:$S$344841)</f>
        <v>756.54</v>
      </c>
      <c r="R922" s="126">
        <f t="shared" si="333"/>
        <v>1357.9305000000002</v>
      </c>
      <c r="S922" s="126">
        <f t="shared" si="334"/>
        <v>286.46350000000007</v>
      </c>
      <c r="T922" s="126">
        <f t="shared" si="326"/>
        <v>112.78600000000002</v>
      </c>
      <c r="U922" s="127">
        <f>((((((IF(K922="New",0,SUMIF('MPG Payment '!$E$3:$E$344841,'Shayak Income '!D922,'MPG Payment '!$AC$3:$AC$344841))))+0)+0)+0)+0)+0</f>
        <v>1344.870229828985</v>
      </c>
      <c r="V922" s="127">
        <f t="shared" si="327"/>
        <v>1216</v>
      </c>
      <c r="W922" s="19">
        <v>1216</v>
      </c>
      <c r="X922" s="19">
        <v>0</v>
      </c>
      <c r="Y922" s="128">
        <f>IFERROR(VLOOKUP(D922,'Monthly Deduction'!$M$2:$N$640,2,0),0)</f>
        <v>0</v>
      </c>
      <c r="Z922" s="128">
        <v>0</v>
      </c>
      <c r="AA922" s="126">
        <f>IFERROR(VLOOKUP(D922,'Monthly Deduction'!A:B,2,0),0)</f>
        <v>0</v>
      </c>
      <c r="AB922" s="129">
        <f t="shared" si="322"/>
        <v>0</v>
      </c>
      <c r="AC922" s="130">
        <v>0</v>
      </c>
      <c r="AD922" s="35">
        <f t="shared" si="335"/>
        <v>0</v>
      </c>
      <c r="AE922" s="166" t="str">
        <f t="shared" si="336"/>
        <v>Release</v>
      </c>
      <c r="AF922" s="127"/>
      <c r="AG922" s="18">
        <v>0</v>
      </c>
      <c r="AH922" s="132"/>
      <c r="AI922" s="238">
        <v>0</v>
      </c>
      <c r="AJ922" s="132"/>
      <c r="AK922" s="151">
        <v>255.44</v>
      </c>
      <c r="AL922" s="154">
        <f t="shared" si="337"/>
        <v>0</v>
      </c>
      <c r="AM922" s="155"/>
      <c r="AN922" s="19">
        <f t="shared" si="323"/>
        <v>1861</v>
      </c>
      <c r="AO922" s="118">
        <f>SUMIF('MPG Payment '!E:E,'Shayak Income '!D922,'MPG Payment '!AJ:AJ)</f>
        <v>0</v>
      </c>
      <c r="AP922" s="19">
        <f t="shared" si="324"/>
        <v>1216</v>
      </c>
      <c r="AQ922" s="119">
        <f t="shared" si="338"/>
        <v>1216</v>
      </c>
      <c r="AR922" s="91" t="s">
        <v>1144</v>
      </c>
      <c r="AS922" s="91">
        <f t="shared" si="325"/>
        <v>5059.8527868101683</v>
      </c>
      <c r="AT922" s="118"/>
      <c r="AU922" s="118"/>
      <c r="AV922" s="118"/>
    </row>
    <row r="923" spans="1:48" s="20" customFormat="1" x14ac:dyDescent="0.25">
      <c r="A923" s="17">
        <f>IFERROR(VLOOKUP(D923,'Monthly Deduction'!$I$3:$J$957,2,0),0)</f>
        <v>85000</v>
      </c>
      <c r="B923" s="17">
        <f>IFERROR(VLOOKUP(D923,'Monthly Deduction'!$E$3:$F$957,2,0),0)</f>
        <v>0</v>
      </c>
      <c r="C923" s="17">
        <f t="shared" si="330"/>
        <v>85000</v>
      </c>
      <c r="D923" s="41">
        <v>10020088</v>
      </c>
      <c r="E923" s="122" t="str">
        <f>VLOOKUP(D923,'MPG Payment '!$E$3:$G$497305,2,0)</f>
        <v>KHUTAHA DIH C</v>
      </c>
      <c r="F923" s="146">
        <f>IFERROR(_xlfn.XLOOKUP(D923,'Monthly Deduction'!$I$3:$I$957,'Monthly Deduction'!$H$3:$H$957),0)</f>
        <v>0</v>
      </c>
      <c r="G923" s="123" t="str">
        <f>VLOOKUP(D923,'MPG Payment '!$E$3:$G$333666,3,0)</f>
        <v>MPG</v>
      </c>
      <c r="H923" s="124" t="str">
        <f>VLOOKUP(D923,'MPG Payment '!$E$3:$H$333666,4,0)</f>
        <v>Direct</v>
      </c>
      <c r="I923" s="88">
        <f>INDEX('MPG Payment '!$C:$C,MATCH('Shayak Income '!D923,'MPG Payment '!E:E,0))</f>
        <v>1002</v>
      </c>
      <c r="J923" s="88" t="str">
        <f>INDEX('MPG Payment '!$D:$D,MATCH('Shayak Income '!D923,'MPG Payment '!E:E,0))</f>
        <v>Laldiyara</v>
      </c>
      <c r="K923" s="125" t="s">
        <v>1593</v>
      </c>
      <c r="L923" s="125">
        <v>46176</v>
      </c>
      <c r="M923" s="126">
        <f>SUMIF('MPG Payment '!$E$3:$E$344841,'Shayak Income '!D923,'MPG Payment '!$I$3:$I$344841)</f>
        <v>1125.4000000000001</v>
      </c>
      <c r="N923" s="126">
        <f>SUMIF('MPG Payment '!$E$3:$E$344841,'Shayak Income '!D923,'MPG Payment '!$J$3:$J$344841)</f>
        <v>44611.790000000008</v>
      </c>
      <c r="O923" s="126">
        <f t="shared" si="331"/>
        <v>844.05000000000007</v>
      </c>
      <c r="P923" s="126">
        <f t="shared" si="332"/>
        <v>1069.1300000000001</v>
      </c>
      <c r="Q923" s="126">
        <f>SUMIF('MPG Payment '!$E$3:$E$344841,'Shayak Income '!D923,'MPG Payment '!$S$3:$S$344841)</f>
        <v>0</v>
      </c>
      <c r="R923" s="126">
        <f t="shared" si="333"/>
        <v>1338.3537000000001</v>
      </c>
      <c r="S923" s="126">
        <f t="shared" si="334"/>
        <v>269.22370000000001</v>
      </c>
      <c r="T923" s="126">
        <f t="shared" si="326"/>
        <v>112.54000000000002</v>
      </c>
      <c r="U923" s="127">
        <f>((((((IF(K923="New",0,SUMIF('MPG Payment '!$E$3:$E$344841,'Shayak Income '!D923,'MPG Payment '!$AC$3:$AC$344841))))+0)+0)+0)+0)+0</f>
        <v>0</v>
      </c>
      <c r="V923" s="127">
        <f t="shared" si="327"/>
        <v>1801</v>
      </c>
      <c r="W923" s="19">
        <v>0</v>
      </c>
      <c r="X923" s="19">
        <f t="shared" si="321"/>
        <v>0</v>
      </c>
      <c r="Y923" s="128">
        <f>IFERROR(VLOOKUP(D923,'Monthly Deduction'!$M$2:$N$640,2,0),0)</f>
        <v>0</v>
      </c>
      <c r="Z923" s="128">
        <v>0</v>
      </c>
      <c r="AA923" s="126">
        <f>IFERROR(VLOOKUP(D923,'Monthly Deduction'!A:B,2,0),0)</f>
        <v>0</v>
      </c>
      <c r="AB923" s="129">
        <f t="shared" si="322"/>
        <v>1801</v>
      </c>
      <c r="AC923" s="130">
        <f t="shared" ref="AC923:AC924" si="340">AB923</f>
        <v>1801</v>
      </c>
      <c r="AD923" s="35">
        <f t="shared" si="335"/>
        <v>0</v>
      </c>
      <c r="AE923" s="166" t="str">
        <f t="shared" si="336"/>
        <v>Yes</v>
      </c>
      <c r="AF923" s="127"/>
      <c r="AG923" s="18">
        <v>0</v>
      </c>
      <c r="AH923" s="120" t="s">
        <v>1686</v>
      </c>
      <c r="AI923" s="238">
        <v>20000</v>
      </c>
      <c r="AJ923" s="132"/>
      <c r="AK923" s="151">
        <v>301.7</v>
      </c>
      <c r="AL923" s="154">
        <f t="shared" si="337"/>
        <v>0</v>
      </c>
      <c r="AM923" s="155"/>
      <c r="AN923" s="19">
        <f t="shared" si="323"/>
        <v>1861</v>
      </c>
      <c r="AO923" s="118">
        <f>SUMIF('MPG Payment '!E:E,'Shayak Income '!D923,'MPG Payment '!AJ:AJ)</f>
        <v>0</v>
      </c>
      <c r="AP923" s="19">
        <f t="shared" si="324"/>
        <v>0</v>
      </c>
      <c r="AQ923" s="119">
        <f t="shared" si="338"/>
        <v>0</v>
      </c>
      <c r="AR923" s="91" t="s">
        <v>1144</v>
      </c>
      <c r="AS923" s="91">
        <f t="shared" si="325"/>
        <v>0</v>
      </c>
      <c r="AT923" s="118"/>
      <c r="AU923" s="118"/>
      <c r="AV923" s="118"/>
    </row>
    <row r="924" spans="1:48" s="20" customFormat="1" x14ac:dyDescent="0.25">
      <c r="A924" s="17">
        <f>IFERROR(VLOOKUP(D924,'Monthly Deduction'!$I$3:$J$957,2,0),0)</f>
        <v>87186.883799999996</v>
      </c>
      <c r="B924" s="17">
        <f>IFERROR(VLOOKUP(D924,'Monthly Deduction'!$E$3:$F$957,2,0),0)</f>
        <v>9600</v>
      </c>
      <c r="C924" s="17">
        <f t="shared" si="330"/>
        <v>96786.883799999996</v>
      </c>
      <c r="D924" s="41">
        <v>10060115</v>
      </c>
      <c r="E924" s="122" t="str">
        <f>VLOOKUP(D924,'MPG Payment '!$E$3:$G$497305,2,0)</f>
        <v>Champanagar</v>
      </c>
      <c r="F924" s="146">
        <f>IFERROR(_xlfn.XLOOKUP(D924,'Monthly Deduction'!$I$3:$I$957,'Monthly Deduction'!$H$3:$H$957),0)</f>
        <v>0</v>
      </c>
      <c r="G924" s="123" t="str">
        <f>VLOOKUP(D924,'MPG Payment '!$E$3:$G$333666,3,0)</f>
        <v>MPG</v>
      </c>
      <c r="H924" s="124" t="str">
        <f>VLOOKUP(D924,'MPG Payment '!$E$3:$H$333666,4,0)</f>
        <v>Direct</v>
      </c>
      <c r="I924" s="88">
        <f>INDEX('MPG Payment '!$C:$C,MATCH('Shayak Income '!D924,'MPG Payment '!E:E,0))</f>
        <v>1006</v>
      </c>
      <c r="J924" s="88" t="str">
        <f>INDEX('MPG Payment '!$D:$D,MATCH('Shayak Income '!D924,'MPG Payment '!E:E,0))</f>
        <v>Sonvarsha</v>
      </c>
      <c r="K924" s="125" t="s">
        <v>1594</v>
      </c>
      <c r="L924" s="125">
        <v>45869</v>
      </c>
      <c r="M924" s="126">
        <f>SUMIF('MPG Payment '!$E$3:$E$344841,'Shayak Income '!D924,'MPG Payment '!$I$3:$I$344841)</f>
        <v>1742.2</v>
      </c>
      <c r="N924" s="126">
        <f>SUMIF('MPG Payment '!$E$3:$E$344841,'Shayak Income '!D924,'MPG Payment '!$J$3:$J$344841)</f>
        <v>91957.709999999992</v>
      </c>
      <c r="O924" s="126">
        <f t="shared" si="331"/>
        <v>1306.6500000000001</v>
      </c>
      <c r="P924" s="126">
        <f t="shared" si="332"/>
        <v>1655.09</v>
      </c>
      <c r="Q924" s="126">
        <f>SUMIF('MPG Payment '!$E$3:$E$344841,'Shayak Income '!D924,'MPG Payment '!$S$3:$S$344841)</f>
        <v>0</v>
      </c>
      <c r="R924" s="126">
        <f t="shared" si="333"/>
        <v>2758.7312999999995</v>
      </c>
      <c r="S924" s="126">
        <f t="shared" si="334"/>
        <v>1103.6412999999995</v>
      </c>
      <c r="T924" s="126">
        <f t="shared" si="326"/>
        <v>174.22000000000003</v>
      </c>
      <c r="U924" s="127">
        <f>((((((IF(K924="New",0,SUMIF('MPG Payment '!$E$3:$E$344841,'Shayak Income '!D924,'MPG Payment '!$AC$3:$AC$344841))))+0)+0)+0)+0)+0</f>
        <v>1113.982454429979</v>
      </c>
      <c r="V924" s="127">
        <f t="shared" si="327"/>
        <v>1674</v>
      </c>
      <c r="W924" s="19">
        <v>0</v>
      </c>
      <c r="X924" s="19">
        <v>1674</v>
      </c>
      <c r="Y924" s="128">
        <f>IFERROR(VLOOKUP(D924,'Monthly Deduction'!$M$2:$N$640,2,0),0)</f>
        <v>0</v>
      </c>
      <c r="Z924" s="128">
        <v>0</v>
      </c>
      <c r="AA924" s="126">
        <f>IFERROR(VLOOKUP(D924,'Monthly Deduction'!A:B,2,0),0)</f>
        <v>0</v>
      </c>
      <c r="AB924" s="129">
        <f t="shared" si="322"/>
        <v>0</v>
      </c>
      <c r="AC924" s="130">
        <f t="shared" si="340"/>
        <v>0</v>
      </c>
      <c r="AD924" s="35">
        <f t="shared" si="335"/>
        <v>0</v>
      </c>
      <c r="AE924" s="166" t="str">
        <f t="shared" si="336"/>
        <v>Release</v>
      </c>
      <c r="AF924" s="127"/>
      <c r="AG924" s="18">
        <v>0</v>
      </c>
      <c r="AH924" s="120" t="s">
        <v>1686</v>
      </c>
      <c r="AI924" s="238">
        <v>8153</v>
      </c>
      <c r="AJ924" s="132"/>
      <c r="AK924" s="151">
        <v>129.19999999999999</v>
      </c>
      <c r="AL924" s="154">
        <f t="shared" si="337"/>
        <v>0</v>
      </c>
      <c r="AM924" s="155"/>
      <c r="AN924" s="19">
        <f t="shared" si="323"/>
        <v>1861</v>
      </c>
      <c r="AO924" s="118">
        <f>SUMIF('MPG Payment '!E:E,'Shayak Income '!D924,'MPG Payment '!AJ:AJ)</f>
        <v>2000</v>
      </c>
      <c r="AP924" s="19">
        <f t="shared" si="324"/>
        <v>0</v>
      </c>
      <c r="AQ924" s="119">
        <f t="shared" si="338"/>
        <v>2000</v>
      </c>
      <c r="AR924" s="91" t="s">
        <v>1144</v>
      </c>
      <c r="AS924" s="91">
        <f t="shared" si="325"/>
        <v>7926</v>
      </c>
      <c r="AT924" s="118"/>
      <c r="AU924" s="118"/>
      <c r="AV924" s="118"/>
    </row>
    <row r="925" spans="1:48" s="20" customFormat="1" x14ac:dyDescent="0.25">
      <c r="A925" s="17">
        <f>IFERROR(VLOOKUP(D925,'Monthly Deduction'!$I$3:$J$957,2,0),0)</f>
        <v>0</v>
      </c>
      <c r="B925" s="17">
        <f>IFERROR(VLOOKUP(D925,'Monthly Deduction'!$E$3:$F$957,2,0),0)</f>
        <v>0</v>
      </c>
      <c r="C925" s="17">
        <f t="shared" si="330"/>
        <v>0</v>
      </c>
      <c r="D925" s="41">
        <v>10070079</v>
      </c>
      <c r="E925" s="122" t="str">
        <f>VLOOKUP(D925,'MPG Payment '!$E$3:$G$497305,2,0)</f>
        <v>Gomukh Shailesh Yadav Vlc</v>
      </c>
      <c r="F925" s="146">
        <f>IFERROR(_xlfn.XLOOKUP(D925,'Monthly Deduction'!$I$3:$I$957,'Monthly Deduction'!$H$3:$H$957),0)</f>
        <v>0</v>
      </c>
      <c r="G925" s="123" t="str">
        <f>VLOOKUP(D925,'MPG Payment '!$E$3:$G$333666,3,0)</f>
        <v>vlc</v>
      </c>
      <c r="H925" s="124" t="str">
        <f>VLOOKUP(D925,'MPG Payment '!$E$3:$H$333666,4,0)</f>
        <v>Indirect</v>
      </c>
      <c r="I925" s="88">
        <f>INDEX('MPG Payment '!$C:$C,MATCH('Shayak Income '!D925,'MPG Payment '!E:E,0))</f>
        <v>1007</v>
      </c>
      <c r="J925" s="88" t="str">
        <f>INDEX('MPG Payment '!$D:$D,MATCH('Shayak Income '!D925,'MPG Payment '!E:E,0))</f>
        <v>Araria</v>
      </c>
      <c r="K925" s="125" t="s">
        <v>1593</v>
      </c>
      <c r="L925" s="125">
        <v>46171</v>
      </c>
      <c r="M925" s="126">
        <f>SUMIF('MPG Payment '!$E$3:$E$344841,'Shayak Income '!D925,'MPG Payment '!$I$3:$I$344841)</f>
        <v>507.6</v>
      </c>
      <c r="N925" s="126">
        <f>SUMIF('MPG Payment '!$E$3:$E$344841,'Shayak Income '!D925,'MPG Payment '!$J$3:$J$344841)</f>
        <v>24801.97</v>
      </c>
      <c r="O925" s="126">
        <f t="shared" si="331"/>
        <v>380.70000000000005</v>
      </c>
      <c r="P925" s="126">
        <f t="shared" si="332"/>
        <v>482.22</v>
      </c>
      <c r="Q925" s="126">
        <f>SUMIF('MPG Payment '!$E$3:$E$344841,'Shayak Income '!D925,'MPG Payment '!$S$3:$S$344841)</f>
        <v>0</v>
      </c>
      <c r="R925" s="126">
        <f t="shared" si="333"/>
        <v>744.05910000000006</v>
      </c>
      <c r="S925" s="126">
        <f t="shared" si="334"/>
        <v>261.83910000000003</v>
      </c>
      <c r="T925" s="126">
        <f t="shared" si="326"/>
        <v>50.760000000000005</v>
      </c>
      <c r="U925" s="127">
        <f>((((((IF(K925="New",0,SUMIF('MPG Payment '!$E$3:$E$344841,'Shayak Income '!D925,'MPG Payment '!$AC$3:$AC$344841))))+0)+0)+0)+0)+0</f>
        <v>0</v>
      </c>
      <c r="V925" s="127">
        <f t="shared" si="327"/>
        <v>812</v>
      </c>
      <c r="W925" s="19">
        <v>0</v>
      </c>
      <c r="X925" s="19">
        <f t="shared" si="321"/>
        <v>0</v>
      </c>
      <c r="Y925" s="128">
        <f>IFERROR(VLOOKUP(D925,'Monthly Deduction'!$M$2:$N$640,2,0),0)</f>
        <v>0</v>
      </c>
      <c r="Z925" s="128">
        <v>0</v>
      </c>
      <c r="AA925" s="126">
        <f>IFERROR(VLOOKUP(D925,'Monthly Deduction'!A:B,2,0),0)</f>
        <v>0</v>
      </c>
      <c r="AB925" s="129">
        <f t="shared" si="322"/>
        <v>812</v>
      </c>
      <c r="AC925" s="130">
        <v>0</v>
      </c>
      <c r="AD925" s="35">
        <f t="shared" si="335"/>
        <v>812</v>
      </c>
      <c r="AE925" s="166" t="str">
        <f t="shared" si="336"/>
        <v>Release</v>
      </c>
      <c r="AF925" s="127"/>
      <c r="AG925" s="234">
        <v>0</v>
      </c>
      <c r="AH925" s="132"/>
      <c r="AI925" s="238">
        <v>0</v>
      </c>
      <c r="AJ925" s="132"/>
      <c r="AK925" s="151">
        <v>50</v>
      </c>
      <c r="AL925" s="154">
        <f t="shared" si="337"/>
        <v>0</v>
      </c>
      <c r="AM925" s="155"/>
      <c r="AN925" s="19">
        <f t="shared" si="323"/>
        <v>0</v>
      </c>
      <c r="AO925" s="118">
        <f>SUMIF('MPG Payment '!E:E,'Shayak Income '!D925,'MPG Payment '!AJ:AJ)</f>
        <v>0</v>
      </c>
      <c r="AP925" s="19">
        <f t="shared" si="324"/>
        <v>0</v>
      </c>
      <c r="AQ925" s="119">
        <f t="shared" si="338"/>
        <v>0</v>
      </c>
      <c r="AR925" s="91" t="s">
        <v>1144</v>
      </c>
      <c r="AS925" s="91">
        <f t="shared" si="325"/>
        <v>0</v>
      </c>
      <c r="AT925" s="118"/>
      <c r="AU925" s="118"/>
      <c r="AV925" s="118"/>
    </row>
    <row r="926" spans="1:48" s="20" customFormat="1" x14ac:dyDescent="0.25">
      <c r="A926" s="17">
        <f>IFERROR(VLOOKUP(D926,'Monthly Deduction'!$I$3:$J$957,2,0),0)</f>
        <v>0</v>
      </c>
      <c r="B926" s="17">
        <f>IFERROR(VLOOKUP(D926,'Monthly Deduction'!$E$3:$F$957,2,0),0)</f>
        <v>0</v>
      </c>
      <c r="C926" s="17">
        <f t="shared" si="330"/>
        <v>0</v>
      </c>
      <c r="D926" s="41">
        <v>10080041</v>
      </c>
      <c r="E926" s="122" t="str">
        <f>VLOOKUP(D926,'MPG Payment '!$E$3:$G$497305,2,0)</f>
        <v>Rani - Surender</v>
      </c>
      <c r="F926" s="146">
        <f>IFERROR(_xlfn.XLOOKUP(D926,'Monthly Deduction'!$I$3:$I$957,'Monthly Deduction'!$H$3:$H$957),0)</f>
        <v>0</v>
      </c>
      <c r="G926" s="123" t="str">
        <f>VLOOKUP(D926,'MPG Payment '!$E$3:$G$333666,3,0)</f>
        <v>vlc</v>
      </c>
      <c r="H926" s="124" t="str">
        <f>VLOOKUP(D926,'MPG Payment '!$E$3:$H$333666,4,0)</f>
        <v>Indirect</v>
      </c>
      <c r="I926" s="88">
        <f>INDEX('MPG Payment '!$C:$C,MATCH('Shayak Income '!D926,'MPG Payment '!E:E,0))</f>
        <v>1008</v>
      </c>
      <c r="J926" s="88" t="str">
        <f>INDEX('MPG Payment '!$D:$D,MATCH('Shayak Income '!D926,'MPG Payment '!E:E,0))</f>
        <v>Teghra</v>
      </c>
      <c r="K926" s="125" t="s">
        <v>1594</v>
      </c>
      <c r="L926" s="125">
        <v>45126</v>
      </c>
      <c r="M926" s="126">
        <f>SUMIF('MPG Payment '!$E$3:$E$344841,'Shayak Income '!D926,'MPG Payment '!$I$3:$I$344841)</f>
        <v>842.84999999999991</v>
      </c>
      <c r="N926" s="126">
        <f>SUMIF('MPG Payment '!$E$3:$E$344841,'Shayak Income '!D926,'MPG Payment '!$J$3:$J$344841)</f>
        <v>34447.380000000005</v>
      </c>
      <c r="O926" s="126">
        <f t="shared" si="331"/>
        <v>632.13749999999993</v>
      </c>
      <c r="P926" s="126">
        <f t="shared" si="332"/>
        <v>800.70749999999987</v>
      </c>
      <c r="Q926" s="126">
        <f>SUMIF('MPG Payment '!$E$3:$E$344841,'Shayak Income '!D926,'MPG Payment '!$S$3:$S$344841)</f>
        <v>0</v>
      </c>
      <c r="R926" s="126">
        <f t="shared" si="333"/>
        <v>1033.4214000000002</v>
      </c>
      <c r="S926" s="126">
        <f t="shared" si="334"/>
        <v>232.71390000000031</v>
      </c>
      <c r="T926" s="126">
        <f t="shared" si="326"/>
        <v>84.284999999999997</v>
      </c>
      <c r="U926" s="127">
        <f>((((((IF(K926="New",0,SUMIF('MPG Payment '!$E$3:$E$344841,'Shayak Income '!D926,'MPG Payment '!$AC$3:$AC$344841))))+0)+0)+0)+0)+-252</f>
        <v>1348.4814932328395</v>
      </c>
      <c r="V926" s="127">
        <f t="shared" si="327"/>
        <v>0</v>
      </c>
      <c r="W926" s="19">
        <v>0</v>
      </c>
      <c r="X926" s="19">
        <v>0</v>
      </c>
      <c r="Y926" s="128">
        <v>0</v>
      </c>
      <c r="Z926" s="128">
        <v>0</v>
      </c>
      <c r="AA926" s="126">
        <v>0</v>
      </c>
      <c r="AB926" s="129">
        <f t="shared" si="322"/>
        <v>0</v>
      </c>
      <c r="AC926" s="130">
        <v>0</v>
      </c>
      <c r="AD926" s="35">
        <f t="shared" si="335"/>
        <v>0</v>
      </c>
      <c r="AE926" s="166" t="str">
        <f t="shared" si="336"/>
        <v>Release</v>
      </c>
      <c r="AF926" s="127"/>
      <c r="AG926" s="234">
        <v>0</v>
      </c>
      <c r="AH926" s="132"/>
      <c r="AI926" s="238">
        <v>0</v>
      </c>
      <c r="AJ926" s="132"/>
      <c r="AK926" s="151">
        <v>91.7</v>
      </c>
      <c r="AL926" s="154">
        <f t="shared" si="337"/>
        <v>0</v>
      </c>
      <c r="AM926" s="155"/>
      <c r="AN926" s="19">
        <f t="shared" si="323"/>
        <v>0</v>
      </c>
      <c r="AO926" s="118">
        <f>SUMIF('MPG Payment '!E:E,'Shayak Income '!D926,'MPG Payment '!AJ:AJ)</f>
        <v>0</v>
      </c>
      <c r="AP926" s="19">
        <f t="shared" si="324"/>
        <v>0</v>
      </c>
      <c r="AQ926" s="119">
        <f t="shared" si="338"/>
        <v>0</v>
      </c>
      <c r="AR926" s="91" t="s">
        <v>1144</v>
      </c>
      <c r="AS926" s="91">
        <f t="shared" si="325"/>
        <v>0</v>
      </c>
      <c r="AT926" s="118"/>
      <c r="AU926" s="118"/>
      <c r="AV926" s="118"/>
    </row>
    <row r="927" spans="1:48" s="20" customFormat="1" x14ac:dyDescent="0.25">
      <c r="A927" s="17">
        <f>IFERROR(VLOOKUP(D927,'Monthly Deduction'!$I$3:$J$957,2,0),0)</f>
        <v>70558</v>
      </c>
      <c r="B927" s="17">
        <f>IFERROR(VLOOKUP(D927,'Monthly Deduction'!$E$3:$F$957,2,0),0)</f>
        <v>6400</v>
      </c>
      <c r="C927" s="17">
        <f t="shared" si="330"/>
        <v>76958</v>
      </c>
      <c r="D927" s="41">
        <v>10080065</v>
      </c>
      <c r="E927" s="122" t="str">
        <f>VLOOKUP(D927,'MPG Payment '!$E$3:$G$497305,2,0)</f>
        <v>GOMUKH HADIPUR</v>
      </c>
      <c r="F927" s="146">
        <f>IFERROR(_xlfn.XLOOKUP(D927,'Monthly Deduction'!$I$3:$I$957,'Monthly Deduction'!$H$3:$H$957),0)</f>
        <v>0</v>
      </c>
      <c r="G927" s="123" t="str">
        <f>VLOOKUP(D927,'MPG Payment '!$E$3:$G$333666,3,0)</f>
        <v>MPG</v>
      </c>
      <c r="H927" s="124" t="str">
        <f>VLOOKUP(D927,'MPG Payment '!$E$3:$H$333666,4,0)</f>
        <v>Direct</v>
      </c>
      <c r="I927" s="88">
        <f>INDEX('MPG Payment '!$C:$C,MATCH('Shayak Income '!D927,'MPG Payment '!E:E,0))</f>
        <v>1008</v>
      </c>
      <c r="J927" s="88" t="str">
        <f>INDEX('MPG Payment '!$D:$D,MATCH('Shayak Income '!D927,'MPG Payment '!E:E,0))</f>
        <v>Teghra</v>
      </c>
      <c r="K927" s="125" t="s">
        <v>1594</v>
      </c>
      <c r="L927" s="125">
        <v>45323</v>
      </c>
      <c r="M927" s="126">
        <f>SUMIF('MPG Payment '!$E$3:$E$344841,'Shayak Income '!D927,'MPG Payment '!$I$3:$I$344841)</f>
        <v>1491.25</v>
      </c>
      <c r="N927" s="126">
        <f>SUMIF('MPG Payment '!$E$3:$E$344841,'Shayak Income '!D927,'MPG Payment '!$J$3:$J$344841)</f>
        <v>57626.43</v>
      </c>
      <c r="O927" s="126">
        <f t="shared" si="331"/>
        <v>1118.4375</v>
      </c>
      <c r="P927" s="126">
        <f t="shared" si="332"/>
        <v>1416.6875</v>
      </c>
      <c r="Q927" s="126">
        <f>SUMIF('MPG Payment '!$E$3:$E$344841,'Shayak Income '!D927,'MPG Payment '!$S$3:$S$344841)</f>
        <v>1230.8</v>
      </c>
      <c r="R927" s="126">
        <f t="shared" si="333"/>
        <v>1728.7928999999999</v>
      </c>
      <c r="S927" s="126">
        <f t="shared" si="334"/>
        <v>312.10539999999992</v>
      </c>
      <c r="T927" s="126">
        <f t="shared" si="326"/>
        <v>149.125</v>
      </c>
      <c r="U927" s="127">
        <f>((((((IF(K927="New",0,SUMIF('MPG Payment '!$E$3:$E$344841,'Shayak Income '!D927,'MPG Payment '!$AC$3:$AC$344841))))+0)+0)+0)+0)+0</f>
        <v>1013.25479138867</v>
      </c>
      <c r="V927" s="127">
        <f t="shared" si="327"/>
        <v>2604</v>
      </c>
      <c r="W927" s="19">
        <v>0</v>
      </c>
      <c r="X927" s="19">
        <f t="shared" si="321"/>
        <v>1152.5286000000001</v>
      </c>
      <c r="Y927" s="128">
        <f>IFERROR(VLOOKUP(D927,'Monthly Deduction'!$M$2:$N$640,2,0),0)</f>
        <v>0</v>
      </c>
      <c r="Z927" s="128">
        <v>0</v>
      </c>
      <c r="AA927" s="126">
        <f>IFERROR(VLOOKUP(D927,'Monthly Deduction'!A:B,2,0),0)</f>
        <v>0</v>
      </c>
      <c r="AB927" s="129">
        <f t="shared" si="322"/>
        <v>1451</v>
      </c>
      <c r="AC927" s="130">
        <v>0</v>
      </c>
      <c r="AD927" s="35">
        <f t="shared" si="335"/>
        <v>1451</v>
      </c>
      <c r="AE927" s="166" t="str">
        <f t="shared" si="336"/>
        <v>Release</v>
      </c>
      <c r="AF927" s="127"/>
      <c r="AG927" s="234">
        <v>0</v>
      </c>
      <c r="AH927" s="120"/>
      <c r="AI927" s="238">
        <v>0</v>
      </c>
      <c r="AJ927" s="132"/>
      <c r="AK927" s="151">
        <v>377.09999999999997</v>
      </c>
      <c r="AL927" s="154">
        <f t="shared" si="337"/>
        <v>0</v>
      </c>
      <c r="AM927" s="155"/>
      <c r="AN927" s="19">
        <f t="shared" si="323"/>
        <v>1861</v>
      </c>
      <c r="AO927" s="118">
        <f>SUMIF('MPG Payment '!E:E,'Shayak Income '!D927,'MPG Payment '!AJ:AJ)</f>
        <v>2000</v>
      </c>
      <c r="AP927" s="19">
        <f t="shared" si="324"/>
        <v>0</v>
      </c>
      <c r="AQ927" s="119">
        <f t="shared" si="338"/>
        <v>2000</v>
      </c>
      <c r="AR927" s="91" t="s">
        <v>1144</v>
      </c>
      <c r="AS927" s="91">
        <f t="shared" si="325"/>
        <v>5247.4714000000004</v>
      </c>
      <c r="AT927" s="118"/>
      <c r="AU927" s="118"/>
      <c r="AV927" s="118"/>
    </row>
    <row r="928" spans="1:48" s="20" customFormat="1" x14ac:dyDescent="0.25">
      <c r="A928" s="17">
        <f>IFERROR(VLOOKUP(D928,'Monthly Deduction'!$I$3:$J$957,2,0),0)</f>
        <v>0</v>
      </c>
      <c r="B928" s="17">
        <f>IFERROR(VLOOKUP(D928,'Monthly Deduction'!$E$3:$F$957,2,0),0)</f>
        <v>0</v>
      </c>
      <c r="C928" s="17">
        <f t="shared" si="330"/>
        <v>0</v>
      </c>
      <c r="D928" s="41">
        <v>10140207</v>
      </c>
      <c r="E928" s="122" t="str">
        <f>VLOOKUP(D928,'MPG Payment '!$E$3:$G$497305,2,0)</f>
        <v>GomukhSimari Bakulha Patti</v>
      </c>
      <c r="F928" s="146">
        <f>IFERROR(_xlfn.XLOOKUP(D928,'Monthly Deduction'!$I$3:$I$957,'Monthly Deduction'!$H$3:$H$957),0)</f>
        <v>0</v>
      </c>
      <c r="G928" s="123" t="str">
        <f>VLOOKUP(D928,'MPG Payment '!$E$3:$G$333666,3,0)</f>
        <v>vlc</v>
      </c>
      <c r="H928" s="124" t="str">
        <f>VLOOKUP(D928,'MPG Payment '!$E$3:$H$333666,4,0)</f>
        <v>Indirect</v>
      </c>
      <c r="I928" s="88">
        <f>INDEX('MPG Payment '!$C:$C,MATCH('Shayak Income '!D928,'MPG Payment '!E:E,0))</f>
        <v>1014</v>
      </c>
      <c r="J928" s="88" t="str">
        <f>INDEX('MPG Payment '!$D:$D,MATCH('Shayak Income '!D928,'MPG Payment '!E:E,0))</f>
        <v>Dumraon</v>
      </c>
      <c r="K928" s="125" t="s">
        <v>1593</v>
      </c>
      <c r="L928" s="125">
        <v>46174</v>
      </c>
      <c r="M928" s="126">
        <f>SUMIF('MPG Payment '!$E$3:$E$344841,'Shayak Income '!D928,'MPG Payment '!$I$3:$I$344841)</f>
        <v>1405.1</v>
      </c>
      <c r="N928" s="126">
        <f>SUMIF('MPG Payment '!$E$3:$E$344841,'Shayak Income '!D928,'MPG Payment '!$J$3:$J$344841)</f>
        <v>50559.44</v>
      </c>
      <c r="O928" s="126">
        <f t="shared" si="331"/>
        <v>1053.8249999999998</v>
      </c>
      <c r="P928" s="126">
        <f t="shared" si="332"/>
        <v>1334.8449999999998</v>
      </c>
      <c r="Q928" s="126">
        <f>SUMIF('MPG Payment '!$E$3:$E$344841,'Shayak Income '!D928,'MPG Payment '!$S$3:$S$344841)</f>
        <v>0</v>
      </c>
      <c r="R928" s="126">
        <f t="shared" si="333"/>
        <v>1516.7832000000001</v>
      </c>
      <c r="S928" s="126">
        <f t="shared" si="334"/>
        <v>181.93820000000028</v>
      </c>
      <c r="T928" s="126">
        <f t="shared" si="326"/>
        <v>140.51</v>
      </c>
      <c r="U928" s="127">
        <f>((((((IF(K928="New",0,SUMIF('MPG Payment '!$E$3:$E$344841,'Shayak Income '!D928,'MPG Payment '!$AC$3:$AC$344841))))+0)+0)+0)+0)+0</f>
        <v>0</v>
      </c>
      <c r="V928" s="127">
        <f t="shared" si="327"/>
        <v>2248</v>
      </c>
      <c r="W928" s="19">
        <v>0</v>
      </c>
      <c r="X928" s="19">
        <f t="shared" si="321"/>
        <v>0</v>
      </c>
      <c r="Y928" s="128">
        <f>IFERROR(VLOOKUP(D928,'Monthly Deduction'!$M$2:$N$640,2,0),0)</f>
        <v>0</v>
      </c>
      <c r="Z928" s="128">
        <v>0</v>
      </c>
      <c r="AA928" s="126">
        <f>IFERROR(VLOOKUP(D928,'Monthly Deduction'!A:B,2,0),0)</f>
        <v>0</v>
      </c>
      <c r="AB928" s="129">
        <f t="shared" si="322"/>
        <v>2248</v>
      </c>
      <c r="AC928" s="130">
        <v>0</v>
      </c>
      <c r="AD928" s="35">
        <f t="shared" si="335"/>
        <v>2248</v>
      </c>
      <c r="AE928" s="166" t="str">
        <f t="shared" si="336"/>
        <v>Release</v>
      </c>
      <c r="AF928" s="127"/>
      <c r="AG928" s="234">
        <v>0</v>
      </c>
      <c r="AH928" s="120"/>
      <c r="AI928" s="238">
        <v>0</v>
      </c>
      <c r="AJ928" s="132"/>
      <c r="AK928" s="151">
        <v>426.6</v>
      </c>
      <c r="AL928" s="154">
        <f t="shared" si="337"/>
        <v>0</v>
      </c>
      <c r="AM928" s="155"/>
      <c r="AN928" s="19">
        <f t="shared" si="323"/>
        <v>0</v>
      </c>
      <c r="AO928" s="118">
        <f>SUMIF('MPG Payment '!E:E,'Shayak Income '!D928,'MPG Payment '!AJ:AJ)</f>
        <v>0</v>
      </c>
      <c r="AP928" s="19">
        <f t="shared" si="324"/>
        <v>0</v>
      </c>
      <c r="AQ928" s="119">
        <f t="shared" si="338"/>
        <v>0</v>
      </c>
      <c r="AR928" s="91" t="s">
        <v>1144</v>
      </c>
      <c r="AS928" s="91">
        <f t="shared" si="325"/>
        <v>0</v>
      </c>
      <c r="AT928" s="118"/>
      <c r="AU928" s="118"/>
      <c r="AV928" s="118"/>
    </row>
    <row r="929" spans="1:48" s="20" customFormat="1" x14ac:dyDescent="0.25">
      <c r="A929" s="17">
        <f>IFERROR(VLOOKUP(D929,'Monthly Deduction'!$I$3:$J$957,2,0),0)</f>
        <v>65000</v>
      </c>
      <c r="B929" s="17">
        <f>IFERROR(VLOOKUP(D929,'Monthly Deduction'!$E$3:$F$957,2,0),0)</f>
        <v>0</v>
      </c>
      <c r="C929" s="17">
        <f t="shared" si="330"/>
        <v>65000</v>
      </c>
      <c r="D929" s="41">
        <v>10540047</v>
      </c>
      <c r="E929" s="122" t="str">
        <f>VLOOKUP(D929,'MPG Payment '!$E$3:$G$497305,2,0)</f>
        <v>Gomukh Bekhari Ghat-2</v>
      </c>
      <c r="F929" s="146">
        <f>IFERROR(_xlfn.XLOOKUP(D929,'Monthly Deduction'!$I$3:$I$957,'Monthly Deduction'!$H$3:$H$957),0)</f>
        <v>0</v>
      </c>
      <c r="G929" s="123" t="str">
        <f>VLOOKUP(D929,'MPG Payment '!$E$3:$G$333666,3,0)</f>
        <v>MPG</v>
      </c>
      <c r="H929" s="124" t="str">
        <f>VLOOKUP(D929,'MPG Payment '!$E$3:$H$333666,4,0)</f>
        <v>Direct</v>
      </c>
      <c r="I929" s="88">
        <f>INDEX('MPG Payment '!$C:$C,MATCH('Shayak Income '!D929,'MPG Payment '!E:E,0))</f>
        <v>1054</v>
      </c>
      <c r="J929" s="88" t="str">
        <f>INDEX('MPG Payment '!$D:$D,MATCH('Shayak Income '!D929,'MPG Payment '!E:E,0))</f>
        <v xml:space="preserve">Alauli </v>
      </c>
      <c r="K929" s="125" t="s">
        <v>1593</v>
      </c>
      <c r="L929" s="125">
        <v>46175</v>
      </c>
      <c r="M929" s="126">
        <f>SUMIF('MPG Payment '!$E$3:$E$344841,'Shayak Income '!D929,'MPG Payment '!$I$3:$I$344841)</f>
        <v>442.20000000000005</v>
      </c>
      <c r="N929" s="126">
        <f>SUMIF('MPG Payment '!$E$3:$E$344841,'Shayak Income '!D929,'MPG Payment '!$J$3:$J$344841)</f>
        <v>15528.59</v>
      </c>
      <c r="O929" s="126">
        <f t="shared" si="331"/>
        <v>331.65000000000003</v>
      </c>
      <c r="P929" s="126">
        <f t="shared" si="332"/>
        <v>420.09000000000003</v>
      </c>
      <c r="Q929" s="126">
        <f>SUMIF('MPG Payment '!$E$3:$E$344841,'Shayak Income '!D929,'MPG Payment '!$S$3:$S$344841)</f>
        <v>0</v>
      </c>
      <c r="R929" s="126">
        <f t="shared" si="333"/>
        <v>465.85769999999997</v>
      </c>
      <c r="S929" s="126">
        <f t="shared" si="334"/>
        <v>45.767699999999934</v>
      </c>
      <c r="T929" s="126">
        <f t="shared" si="326"/>
        <v>44.220000000000006</v>
      </c>
      <c r="U929" s="127">
        <f>((((((IF(K929="New",0,SUMIF('MPG Payment '!$E$3:$E$344841,'Shayak Income '!D929,'MPG Payment '!$AC$3:$AC$344841))))+0)+0)+0)+0)+0</f>
        <v>0</v>
      </c>
      <c r="V929" s="127">
        <f t="shared" si="327"/>
        <v>708</v>
      </c>
      <c r="W929" s="19">
        <v>0</v>
      </c>
      <c r="X929" s="19">
        <f t="shared" si="321"/>
        <v>0</v>
      </c>
      <c r="Y929" s="128">
        <f>IFERROR(VLOOKUP(D929,'Monthly Deduction'!$M$2:$N$640,2,0),0)</f>
        <v>0</v>
      </c>
      <c r="Z929" s="128">
        <v>0</v>
      </c>
      <c r="AA929" s="126">
        <f>IFERROR(VLOOKUP(D929,'Monthly Deduction'!A:B,2,0),0)</f>
        <v>404.53999999999996</v>
      </c>
      <c r="AB929" s="129">
        <f t="shared" si="322"/>
        <v>303</v>
      </c>
      <c r="AC929" s="130">
        <v>0</v>
      </c>
      <c r="AD929" s="35">
        <f t="shared" si="335"/>
        <v>303</v>
      </c>
      <c r="AE929" s="166" t="str">
        <f t="shared" si="336"/>
        <v>Release</v>
      </c>
      <c r="AF929" s="127"/>
      <c r="AG929" s="18">
        <v>0</v>
      </c>
      <c r="AH929" s="132"/>
      <c r="AI929" s="238">
        <v>0</v>
      </c>
      <c r="AJ929" s="132"/>
      <c r="AK929" s="151">
        <v>98.299999999999983</v>
      </c>
      <c r="AL929" s="154">
        <f t="shared" si="337"/>
        <v>0</v>
      </c>
      <c r="AM929" s="155"/>
      <c r="AN929" s="19">
        <f t="shared" si="323"/>
        <v>1861</v>
      </c>
      <c r="AO929" s="118">
        <f>SUMIF('MPG Payment '!E:E,'Shayak Income '!D929,'MPG Payment '!AJ:AJ)</f>
        <v>0</v>
      </c>
      <c r="AP929" s="19">
        <f t="shared" si="324"/>
        <v>0</v>
      </c>
      <c r="AQ929" s="119">
        <f t="shared" si="338"/>
        <v>0</v>
      </c>
      <c r="AR929" s="91" t="s">
        <v>1144</v>
      </c>
      <c r="AS929" s="91">
        <f t="shared" si="325"/>
        <v>0</v>
      </c>
      <c r="AT929" s="118"/>
      <c r="AU929" s="118"/>
      <c r="AV929" s="118"/>
    </row>
    <row r="930" spans="1:48" s="20" customFormat="1" x14ac:dyDescent="0.25">
      <c r="A930" s="17">
        <f>IFERROR(VLOOKUP(D930,'Monthly Deduction'!$I$3:$J$957,2,0),0)</f>
        <v>0</v>
      </c>
      <c r="B930" s="17">
        <f>IFERROR(VLOOKUP(D930,'Monthly Deduction'!$E$3:$F$957,2,0),0)</f>
        <v>0</v>
      </c>
      <c r="C930" s="17">
        <f t="shared" si="330"/>
        <v>0</v>
      </c>
      <c r="D930" s="41">
        <v>10560041</v>
      </c>
      <c r="E930" s="122" t="str">
        <f>VLOOKUP(D930,'MPG Payment '!$E$3:$G$497305,2,0)</f>
        <v>Gomukh Baltara Wad-2 Vlc</v>
      </c>
      <c r="F930" s="146">
        <f>IFERROR(_xlfn.XLOOKUP(D930,'Monthly Deduction'!$I$3:$I$957,'Monthly Deduction'!$H$3:$H$957),0)</f>
        <v>0</v>
      </c>
      <c r="G930" s="123" t="str">
        <f>VLOOKUP(D930,'MPG Payment '!$E$3:$G$333666,3,0)</f>
        <v>VLC</v>
      </c>
      <c r="H930" s="124" t="str">
        <f>VLOOKUP(D930,'MPG Payment '!$E$3:$H$333666,4,0)</f>
        <v>Indirect</v>
      </c>
      <c r="I930" s="88">
        <f>INDEX('MPG Payment '!$C:$C,MATCH('Shayak Income '!D930,'MPG Payment '!E:E,0))</f>
        <v>1056</v>
      </c>
      <c r="J930" s="88" t="str">
        <f>INDEX('MPG Payment '!$D:$D,MATCH('Shayak Income '!D930,'MPG Payment '!E:E,0))</f>
        <v>Chautham</v>
      </c>
      <c r="K930" s="125" t="s">
        <v>1593</v>
      </c>
      <c r="L930" s="125">
        <v>46172</v>
      </c>
      <c r="M930" s="126">
        <f>SUMIF('MPG Payment '!$E$3:$E$344841,'Shayak Income '!D930,'MPG Payment '!$I$3:$I$344841)</f>
        <v>324.14</v>
      </c>
      <c r="N930" s="126">
        <f>SUMIF('MPG Payment '!$E$3:$E$344841,'Shayak Income '!D930,'MPG Payment '!$J$3:$J$344841)</f>
        <v>11941.32</v>
      </c>
      <c r="O930" s="126">
        <f t="shared" si="331"/>
        <v>243.10499999999999</v>
      </c>
      <c r="P930" s="126">
        <f t="shared" si="332"/>
        <v>307.93299999999999</v>
      </c>
      <c r="Q930" s="126">
        <f>SUMIF('MPG Payment '!$E$3:$E$344841,'Shayak Income '!D930,'MPG Payment '!$S$3:$S$344841)</f>
        <v>0</v>
      </c>
      <c r="R930" s="126">
        <f t="shared" si="333"/>
        <v>358.2396</v>
      </c>
      <c r="S930" s="126">
        <f t="shared" si="334"/>
        <v>50.306600000000003</v>
      </c>
      <c r="T930" s="126">
        <f t="shared" si="326"/>
        <v>32.414000000000001</v>
      </c>
      <c r="U930" s="127">
        <f>((((((IF(K930="New",0,SUMIF('MPG Payment '!$E$3:$E$344841,'Shayak Income '!D930,'MPG Payment '!$AC$3:$AC$344841))))+0)+0)+0)+0)+0</f>
        <v>0</v>
      </c>
      <c r="V930" s="127">
        <f t="shared" si="327"/>
        <v>519</v>
      </c>
      <c r="W930" s="19">
        <v>0</v>
      </c>
      <c r="X930" s="19">
        <f t="shared" si="321"/>
        <v>0</v>
      </c>
      <c r="Y930" s="128">
        <f>IFERROR(VLOOKUP(D930,'Monthly Deduction'!$M$2:$N$640,2,0),0)</f>
        <v>0</v>
      </c>
      <c r="Z930" s="128">
        <v>0</v>
      </c>
      <c r="AA930" s="126">
        <f>IFERROR(VLOOKUP(D930,'Monthly Deduction'!A:B,2,0),0)</f>
        <v>0</v>
      </c>
      <c r="AB930" s="129">
        <f t="shared" si="322"/>
        <v>519</v>
      </c>
      <c r="AC930" s="130">
        <f t="shared" ref="AC930:AC932" si="341">AB930</f>
        <v>519</v>
      </c>
      <c r="AD930" s="35">
        <f t="shared" si="335"/>
        <v>0</v>
      </c>
      <c r="AE930" s="166" t="str">
        <f t="shared" si="336"/>
        <v>Yes</v>
      </c>
      <c r="AF930" s="127"/>
      <c r="AG930" s="18">
        <v>0</v>
      </c>
      <c r="AH930" s="132" t="s">
        <v>1597</v>
      </c>
      <c r="AI930" s="238">
        <v>0</v>
      </c>
      <c r="AJ930" s="132"/>
      <c r="AK930" s="151">
        <v>0</v>
      </c>
      <c r="AL930" s="154">
        <f t="shared" si="337"/>
        <v>0</v>
      </c>
      <c r="AM930" s="155"/>
      <c r="AN930" s="19">
        <f t="shared" si="323"/>
        <v>0</v>
      </c>
      <c r="AO930" s="118">
        <f>SUMIF('MPG Payment '!E:E,'Shayak Income '!D930,'MPG Payment '!AJ:AJ)</f>
        <v>0</v>
      </c>
      <c r="AP930" s="19">
        <f t="shared" si="324"/>
        <v>0</v>
      </c>
      <c r="AQ930" s="119">
        <f t="shared" si="338"/>
        <v>0</v>
      </c>
      <c r="AR930" s="91" t="s">
        <v>1144</v>
      </c>
      <c r="AS930" s="91">
        <f t="shared" si="325"/>
        <v>0</v>
      </c>
      <c r="AT930" s="118"/>
      <c r="AU930" s="118"/>
      <c r="AV930" s="118"/>
    </row>
    <row r="931" spans="1:48" s="20" customFormat="1" x14ac:dyDescent="0.25">
      <c r="A931" s="17">
        <f>IFERROR(VLOOKUP(D931,'Monthly Deduction'!$I$3:$J$957,2,0),0)</f>
        <v>85000</v>
      </c>
      <c r="B931" s="17">
        <f>IFERROR(VLOOKUP(D931,'Monthly Deduction'!$E$3:$F$957,2,0),0)</f>
        <v>0</v>
      </c>
      <c r="C931" s="17">
        <f t="shared" si="330"/>
        <v>85000</v>
      </c>
      <c r="D931" s="41">
        <v>10570051</v>
      </c>
      <c r="E931" s="122" t="str">
        <f>VLOOKUP(D931,'MPG Payment '!$E$3:$G$497305,2,0)</f>
        <v>Jagdishpur</v>
      </c>
      <c r="F931" s="146">
        <f>IFERROR(_xlfn.XLOOKUP(D931,'Monthly Deduction'!$I$3:$I$957,'Monthly Deduction'!$H$3:$H$957),0)</f>
        <v>0</v>
      </c>
      <c r="G931" s="123" t="str">
        <f>VLOOKUP(D931,'MPG Payment '!$E$3:$G$333666,3,0)</f>
        <v>MPG</v>
      </c>
      <c r="H931" s="124" t="str">
        <f>VLOOKUP(D931,'MPG Payment '!$E$3:$H$333666,4,0)</f>
        <v>Direct</v>
      </c>
      <c r="I931" s="88">
        <f>INDEX('MPG Payment '!$C:$C,MATCH('Shayak Income '!D931,'MPG Payment '!E:E,0))</f>
        <v>1057</v>
      </c>
      <c r="J931" s="88" t="str">
        <f>INDEX('MPG Payment '!$D:$D,MATCH('Shayak Income '!D931,'MPG Payment '!E:E,0))</f>
        <v>Warisnagar</v>
      </c>
      <c r="K931" s="125" t="s">
        <v>1593</v>
      </c>
      <c r="L931" s="125">
        <v>46174</v>
      </c>
      <c r="M931" s="126">
        <f>SUMIF('MPG Payment '!$E$3:$E$344841,'Shayak Income '!D931,'MPG Payment '!$I$3:$I$344841)</f>
        <v>522.29999999999984</v>
      </c>
      <c r="N931" s="126">
        <f>SUMIF('MPG Payment '!$E$3:$E$344841,'Shayak Income '!D931,'MPG Payment '!$J$3:$J$344841)</f>
        <v>19437.329999999998</v>
      </c>
      <c r="O931" s="126">
        <f t="shared" si="331"/>
        <v>391.72499999999991</v>
      </c>
      <c r="P931" s="126">
        <f t="shared" si="332"/>
        <v>496.18499999999983</v>
      </c>
      <c r="Q931" s="126">
        <f>SUMIF('MPG Payment '!$E$3:$E$344841,'Shayak Income '!D931,'MPG Payment '!$S$3:$S$344841)</f>
        <v>0</v>
      </c>
      <c r="R931" s="126">
        <f t="shared" si="333"/>
        <v>583.11989999999992</v>
      </c>
      <c r="S931" s="126">
        <f t="shared" si="334"/>
        <v>86.934900000000084</v>
      </c>
      <c r="T931" s="126">
        <f t="shared" si="326"/>
        <v>52.22999999999999</v>
      </c>
      <c r="U931" s="127">
        <f>((((((IF(K931="New",0,SUMIF('MPG Payment '!$E$3:$E$344841,'Shayak Income '!D931,'MPG Payment '!$AC$3:$AC$344841))))+0)+0)+0)+0)+0</f>
        <v>0</v>
      </c>
      <c r="V931" s="127">
        <f t="shared" si="327"/>
        <v>836</v>
      </c>
      <c r="W931" s="19">
        <v>0</v>
      </c>
      <c r="X931" s="19">
        <f t="shared" si="321"/>
        <v>0</v>
      </c>
      <c r="Y931" s="128">
        <f>IFERROR(VLOOKUP(D931,'Monthly Deduction'!$M$2:$N$640,2,0),0)</f>
        <v>0</v>
      </c>
      <c r="Z931" s="128">
        <v>0</v>
      </c>
      <c r="AA931" s="126">
        <f>IFERROR(VLOOKUP(D931,'Monthly Deduction'!A:B,2,0),0)</f>
        <v>0</v>
      </c>
      <c r="AB931" s="129">
        <f t="shared" si="322"/>
        <v>836</v>
      </c>
      <c r="AC931" s="130">
        <f t="shared" si="341"/>
        <v>836</v>
      </c>
      <c r="AD931" s="35">
        <f t="shared" si="335"/>
        <v>0</v>
      </c>
      <c r="AE931" s="166" t="str">
        <f t="shared" si="336"/>
        <v>Yes</v>
      </c>
      <c r="AF931" s="127"/>
      <c r="AG931" s="18">
        <v>0</v>
      </c>
      <c r="AH931" s="120" t="s">
        <v>1686</v>
      </c>
      <c r="AI931" s="238">
        <v>20000</v>
      </c>
      <c r="AJ931" s="132"/>
      <c r="AK931" s="151">
        <v>101.10000000000001</v>
      </c>
      <c r="AL931" s="154">
        <f t="shared" si="337"/>
        <v>0</v>
      </c>
      <c r="AM931" s="155"/>
      <c r="AN931" s="19">
        <f t="shared" si="323"/>
        <v>1861</v>
      </c>
      <c r="AO931" s="118">
        <f>SUMIF('MPG Payment '!E:E,'Shayak Income '!D931,'MPG Payment '!AJ:AJ)</f>
        <v>0</v>
      </c>
      <c r="AP931" s="19">
        <f t="shared" si="324"/>
        <v>0</v>
      </c>
      <c r="AQ931" s="119">
        <f t="shared" si="338"/>
        <v>0</v>
      </c>
      <c r="AR931" s="91" t="s">
        <v>1144</v>
      </c>
      <c r="AS931" s="91">
        <f t="shared" si="325"/>
        <v>0</v>
      </c>
      <c r="AT931" s="118"/>
      <c r="AU931" s="118"/>
      <c r="AV931" s="118"/>
    </row>
    <row r="932" spans="1:48" s="20" customFormat="1" x14ac:dyDescent="0.25">
      <c r="A932" s="17">
        <f>IFERROR(VLOOKUP(D932,'Monthly Deduction'!$I$3:$J$957,2,0),0)</f>
        <v>0</v>
      </c>
      <c r="B932" s="17">
        <f>IFERROR(VLOOKUP(D932,'Monthly Deduction'!$E$3:$F$957,2,0),0)</f>
        <v>0</v>
      </c>
      <c r="C932" s="17">
        <f t="shared" si="330"/>
        <v>0</v>
      </c>
      <c r="D932" s="41">
        <v>10610059</v>
      </c>
      <c r="E932" s="122" t="str">
        <f>VLOOKUP(D932,'MPG Payment '!$E$3:$G$497305,2,0)</f>
        <v>GOMUKH NEW GANGAJAL</v>
      </c>
      <c r="F932" s="146">
        <f>IFERROR(_xlfn.XLOOKUP(D932,'Monthly Deduction'!$I$3:$I$957,'Monthly Deduction'!$H$3:$H$957),0)</f>
        <v>0</v>
      </c>
      <c r="G932" s="123" t="str">
        <f>VLOOKUP(D932,'MPG Payment '!$E$3:$G$333666,3,0)</f>
        <v>vlc</v>
      </c>
      <c r="H932" s="124" t="str">
        <f>VLOOKUP(D932,'MPG Payment '!$E$3:$H$333666,4,0)</f>
        <v>Indirect</v>
      </c>
      <c r="I932" s="88">
        <f>INDEX('MPG Payment '!$C:$C,MATCH('Shayak Income '!D932,'MPG Payment '!E:E,0))</f>
        <v>1061</v>
      </c>
      <c r="J932" s="88" t="str">
        <f>INDEX('MPG Payment '!$D:$D,MATCH('Shayak Income '!D932,'MPG Payment '!E:E,0))</f>
        <v>Mahua BMC</v>
      </c>
      <c r="K932" s="125" t="s">
        <v>1593</v>
      </c>
      <c r="L932" s="125">
        <v>46176</v>
      </c>
      <c r="M932" s="126">
        <f>SUMIF('MPG Payment '!$E$3:$E$344841,'Shayak Income '!D932,'MPG Payment '!$I$3:$I$344841)</f>
        <v>402.2</v>
      </c>
      <c r="N932" s="126">
        <f>SUMIF('MPG Payment '!$E$3:$E$344841,'Shayak Income '!D932,'MPG Payment '!$J$3:$J$344841)</f>
        <v>14451.650000000001</v>
      </c>
      <c r="O932" s="126">
        <f t="shared" si="331"/>
        <v>301.64999999999998</v>
      </c>
      <c r="P932" s="126">
        <f t="shared" si="332"/>
        <v>382.09</v>
      </c>
      <c r="Q932" s="126">
        <f>SUMIF('MPG Payment '!$E$3:$E$344841,'Shayak Income '!D932,'MPG Payment '!$S$3:$S$344841)</f>
        <v>0</v>
      </c>
      <c r="R932" s="126">
        <f t="shared" si="333"/>
        <v>433.54950000000002</v>
      </c>
      <c r="S932" s="126">
        <f t="shared" si="334"/>
        <v>51.459500000000048</v>
      </c>
      <c r="T932" s="126">
        <f t="shared" si="326"/>
        <v>40.22</v>
      </c>
      <c r="U932" s="127">
        <f>((((((IF(K932="New",0,SUMIF('MPG Payment '!$E$3:$E$344841,'Shayak Income '!D932,'MPG Payment '!$AC$3:$AC$344841))))+0)+0)+0)+0)+0</f>
        <v>0</v>
      </c>
      <c r="V932" s="127">
        <f t="shared" si="327"/>
        <v>644</v>
      </c>
      <c r="W932" s="19">
        <v>0</v>
      </c>
      <c r="X932" s="19">
        <f t="shared" si="321"/>
        <v>0</v>
      </c>
      <c r="Y932" s="128">
        <f>IFERROR(VLOOKUP(D932,'Monthly Deduction'!$M$2:$N$640,2,0),0)</f>
        <v>0</v>
      </c>
      <c r="Z932" s="128">
        <v>0</v>
      </c>
      <c r="AA932" s="126">
        <f>IFERROR(VLOOKUP(D932,'Monthly Deduction'!A:B,2,0),0)</f>
        <v>0</v>
      </c>
      <c r="AB932" s="129">
        <f t="shared" si="322"/>
        <v>644</v>
      </c>
      <c r="AC932" s="130">
        <f t="shared" si="341"/>
        <v>644</v>
      </c>
      <c r="AD932" s="35">
        <f t="shared" si="335"/>
        <v>0</v>
      </c>
      <c r="AE932" s="166" t="str">
        <f t="shared" si="336"/>
        <v>Yes</v>
      </c>
      <c r="AF932" s="127"/>
      <c r="AG932" s="18">
        <v>0</v>
      </c>
      <c r="AH932" s="132" t="s">
        <v>1597</v>
      </c>
      <c r="AI932" s="238">
        <v>0</v>
      </c>
      <c r="AJ932" s="132"/>
      <c r="AK932" s="151">
        <v>0</v>
      </c>
      <c r="AL932" s="154">
        <f t="shared" si="337"/>
        <v>0</v>
      </c>
      <c r="AM932" s="155"/>
      <c r="AN932" s="19">
        <f t="shared" si="323"/>
        <v>0</v>
      </c>
      <c r="AO932" s="118">
        <f>SUMIF('MPG Payment '!E:E,'Shayak Income '!D932,'MPG Payment '!AJ:AJ)</f>
        <v>0</v>
      </c>
      <c r="AP932" s="19">
        <f t="shared" si="324"/>
        <v>0</v>
      </c>
      <c r="AQ932" s="119">
        <f t="shared" si="338"/>
        <v>0</v>
      </c>
      <c r="AR932" s="91" t="s">
        <v>1144</v>
      </c>
      <c r="AS932" s="91">
        <f t="shared" si="325"/>
        <v>0</v>
      </c>
      <c r="AT932" s="118"/>
      <c r="AU932" s="118"/>
      <c r="AV932" s="118"/>
    </row>
    <row r="933" spans="1:48" s="20" customFormat="1" x14ac:dyDescent="0.25">
      <c r="A933" s="17">
        <f>IFERROR(VLOOKUP(D933,'Monthly Deduction'!$I$3:$J$957,2,0),0)</f>
        <v>0</v>
      </c>
      <c r="B933" s="17">
        <f>IFERROR(VLOOKUP(D933,'Monthly Deduction'!$E$3:$F$957,2,0),0)</f>
        <v>0</v>
      </c>
      <c r="C933" s="17">
        <f t="shared" si="330"/>
        <v>0</v>
      </c>
      <c r="D933" s="41">
        <v>10630022</v>
      </c>
      <c r="E933" s="122" t="str">
        <f>VLOOKUP(D933,'MPG Payment '!$E$3:$G$497305,2,0)</f>
        <v>Motipur</v>
      </c>
      <c r="F933" s="146">
        <f>IFERROR(_xlfn.XLOOKUP(D933,'Monthly Deduction'!$I$3:$I$957,'Monthly Deduction'!$H$3:$H$957),0)</f>
        <v>0</v>
      </c>
      <c r="G933" s="123" t="str">
        <f>VLOOKUP(D933,'MPG Payment '!$E$3:$G$333666,3,0)</f>
        <v>vlc</v>
      </c>
      <c r="H933" s="124" t="str">
        <f>VLOOKUP(D933,'MPG Payment '!$E$3:$H$333666,4,0)</f>
        <v>Indirect</v>
      </c>
      <c r="I933" s="88">
        <f>INDEX('MPG Payment '!$C:$C,MATCH('Shayak Income '!D933,'MPG Payment '!E:E,0))</f>
        <v>1063</v>
      </c>
      <c r="J933" s="88" t="str">
        <f>INDEX('MPG Payment '!$D:$D,MATCH('Shayak Income '!D933,'MPG Payment '!E:E,0))</f>
        <v>Rosera</v>
      </c>
      <c r="K933" s="125" t="s">
        <v>1593</v>
      </c>
      <c r="L933" s="125">
        <v>46174</v>
      </c>
      <c r="M933" s="126">
        <f>SUMIF('MPG Payment '!$E$3:$E$344841,'Shayak Income '!D933,'MPG Payment '!$I$3:$I$344841)</f>
        <v>1375.1</v>
      </c>
      <c r="N933" s="126">
        <f>SUMIF('MPG Payment '!$E$3:$E$344841,'Shayak Income '!D933,'MPG Payment '!$J$3:$J$344841)</f>
        <v>49231.590000000004</v>
      </c>
      <c r="O933" s="126">
        <f t="shared" si="331"/>
        <v>1031.3249999999998</v>
      </c>
      <c r="P933" s="126">
        <f t="shared" si="332"/>
        <v>1306.3449999999998</v>
      </c>
      <c r="Q933" s="126">
        <f>SUMIF('MPG Payment '!$E$3:$E$344841,'Shayak Income '!D933,'MPG Payment '!$S$3:$S$344841)</f>
        <v>0</v>
      </c>
      <c r="R933" s="126">
        <f t="shared" si="333"/>
        <v>1476.9477000000002</v>
      </c>
      <c r="S933" s="126">
        <f t="shared" si="334"/>
        <v>170.60270000000037</v>
      </c>
      <c r="T933" s="126">
        <f t="shared" si="326"/>
        <v>137.51</v>
      </c>
      <c r="U933" s="127">
        <f>((((((IF(K933="New",0,SUMIF('MPG Payment '!$E$3:$E$344841,'Shayak Income '!D933,'MPG Payment '!$AC$3:$AC$344841))))+0)+0)+0)+0)+0</f>
        <v>0</v>
      </c>
      <c r="V933" s="127">
        <f t="shared" si="327"/>
        <v>2200</v>
      </c>
      <c r="W933" s="19">
        <v>0</v>
      </c>
      <c r="X933" s="19">
        <f t="shared" si="321"/>
        <v>0</v>
      </c>
      <c r="Y933" s="128">
        <f>IFERROR(VLOOKUP(D933,'Monthly Deduction'!$M$2:$N$640,2,0),0)</f>
        <v>0</v>
      </c>
      <c r="Z933" s="128">
        <v>0</v>
      </c>
      <c r="AA933" s="126">
        <f>IFERROR(VLOOKUP(D933,'Monthly Deduction'!A:B,2,0),0)</f>
        <v>0</v>
      </c>
      <c r="AB933" s="129">
        <f t="shared" si="322"/>
        <v>2200</v>
      </c>
      <c r="AC933" s="130">
        <v>0</v>
      </c>
      <c r="AD933" s="35">
        <f t="shared" si="335"/>
        <v>2200</v>
      </c>
      <c r="AE933" s="166" t="str">
        <f t="shared" si="336"/>
        <v>Release</v>
      </c>
      <c r="AF933" s="127"/>
      <c r="AG933" s="18">
        <v>0</v>
      </c>
      <c r="AH933" s="132"/>
      <c r="AI933" s="238">
        <v>0</v>
      </c>
      <c r="AJ933" s="132"/>
      <c r="AK933" s="151">
        <v>179.50000000000003</v>
      </c>
      <c r="AL933" s="154">
        <f t="shared" si="337"/>
        <v>0</v>
      </c>
      <c r="AM933" s="155"/>
      <c r="AN933" s="19">
        <f t="shared" si="323"/>
        <v>0</v>
      </c>
      <c r="AO933" s="118">
        <f>SUMIF('MPG Payment '!E:E,'Shayak Income '!D933,'MPG Payment '!AJ:AJ)</f>
        <v>0</v>
      </c>
      <c r="AP933" s="19">
        <f t="shared" si="324"/>
        <v>0</v>
      </c>
      <c r="AQ933" s="119">
        <f t="shared" si="338"/>
        <v>0</v>
      </c>
      <c r="AR933" s="91" t="s">
        <v>1144</v>
      </c>
      <c r="AS933" s="91">
        <f t="shared" si="325"/>
        <v>0</v>
      </c>
      <c r="AT933" s="118"/>
      <c r="AU933" s="118"/>
      <c r="AV933" s="118"/>
    </row>
    <row r="934" spans="1:48" s="20" customFormat="1" x14ac:dyDescent="0.25">
      <c r="A934" s="17">
        <f>IFERROR(VLOOKUP(D934,'Monthly Deduction'!$I$3:$J$957,2,0),0)</f>
        <v>0</v>
      </c>
      <c r="B934" s="17">
        <f>IFERROR(VLOOKUP(D934,'Monthly Deduction'!$E$3:$F$957,2,0),0)</f>
        <v>0</v>
      </c>
      <c r="C934" s="17">
        <f t="shared" si="330"/>
        <v>0</v>
      </c>
      <c r="D934" s="41">
        <v>10650018</v>
      </c>
      <c r="E934" s="122" t="str">
        <f>VLOOKUP(D934,'MPG Payment '!$E$3:$G$497305,2,0)</f>
        <v>GANPATI DAIRY</v>
      </c>
      <c r="F934" s="146">
        <f>IFERROR(_xlfn.XLOOKUP(D934,'Monthly Deduction'!$I$3:$I$957,'Monthly Deduction'!$H$3:$H$957),0)</f>
        <v>0</v>
      </c>
      <c r="G934" s="123" t="str">
        <f>VLOOKUP(D934,'MPG Payment '!$E$3:$G$333666,3,0)</f>
        <v>vlc</v>
      </c>
      <c r="H934" s="124" t="str">
        <f>VLOOKUP(D934,'MPG Payment '!$E$3:$H$333666,4,0)</f>
        <v>Indirect</v>
      </c>
      <c r="I934" s="88">
        <f>INDEX('MPG Payment '!$C:$C,MATCH('Shayak Income '!D934,'MPG Payment '!E:E,0))</f>
        <v>1065</v>
      </c>
      <c r="J934" s="88" t="str">
        <f>INDEX('MPG Payment '!$D:$D,MATCH('Shayak Income '!D934,'MPG Payment '!E:E,0))</f>
        <v>Bachhwara BMC</v>
      </c>
      <c r="K934" s="125" t="s">
        <v>1593</v>
      </c>
      <c r="L934" s="125">
        <v>46172</v>
      </c>
      <c r="M934" s="126">
        <f>SUMIF('MPG Payment '!$E$3:$E$344841,'Shayak Income '!D934,'MPG Payment '!$I$3:$I$344841)</f>
        <v>3576.65</v>
      </c>
      <c r="N934" s="126">
        <f>SUMIF('MPG Payment '!$E$3:$E$344841,'Shayak Income '!D934,'MPG Payment '!$J$3:$J$344841)</f>
        <v>141257.70000000001</v>
      </c>
      <c r="O934" s="126">
        <f t="shared" si="331"/>
        <v>2682.4875000000002</v>
      </c>
      <c r="P934" s="126">
        <f t="shared" si="332"/>
        <v>3397.8175000000001</v>
      </c>
      <c r="Q934" s="126">
        <f>SUMIF('MPG Payment '!$E$3:$E$344841,'Shayak Income '!D934,'MPG Payment '!$S$3:$S$344841)</f>
        <v>0</v>
      </c>
      <c r="R934" s="126">
        <f t="shared" si="333"/>
        <v>4237.7309999999998</v>
      </c>
      <c r="S934" s="126">
        <f t="shared" si="334"/>
        <v>839.91349999999966</v>
      </c>
      <c r="T934" s="126">
        <f t="shared" si="326"/>
        <v>357.66500000000002</v>
      </c>
      <c r="U934" s="127">
        <f>((((((IF(K934="New",0,SUMIF('MPG Payment '!$E$3:$E$344841,'Shayak Income '!D934,'MPG Payment '!$AC$3:$AC$344841))))+0)+0)+0)+0)+0</f>
        <v>0</v>
      </c>
      <c r="V934" s="127">
        <f t="shared" si="327"/>
        <v>5723</v>
      </c>
      <c r="W934" s="19">
        <v>0</v>
      </c>
      <c r="X934" s="19">
        <f t="shared" si="321"/>
        <v>0</v>
      </c>
      <c r="Y934" s="128">
        <f>IFERROR(VLOOKUP(D934,'Monthly Deduction'!$M$2:$N$640,2,0),0)</f>
        <v>0</v>
      </c>
      <c r="Z934" s="128">
        <v>0</v>
      </c>
      <c r="AA934" s="126">
        <f>IFERROR(VLOOKUP(D934,'Monthly Deduction'!A:B,2,0),0)</f>
        <v>0</v>
      </c>
      <c r="AB934" s="129">
        <f t="shared" si="322"/>
        <v>5723</v>
      </c>
      <c r="AC934" s="130">
        <v>0</v>
      </c>
      <c r="AD934" s="35">
        <f t="shared" si="335"/>
        <v>5723</v>
      </c>
      <c r="AE934" s="166" t="str">
        <f t="shared" si="336"/>
        <v>Release</v>
      </c>
      <c r="AF934" s="127"/>
      <c r="AG934" s="18">
        <v>0</v>
      </c>
      <c r="AH934" s="132"/>
      <c r="AI934" s="238">
        <v>0</v>
      </c>
      <c r="AJ934" s="132"/>
      <c r="AK934" s="151">
        <v>703.8</v>
      </c>
      <c r="AL934" s="154">
        <f t="shared" si="337"/>
        <v>0</v>
      </c>
      <c r="AM934" s="155"/>
      <c r="AN934" s="19">
        <f t="shared" si="323"/>
        <v>0</v>
      </c>
      <c r="AO934" s="118">
        <f>SUMIF('MPG Payment '!E:E,'Shayak Income '!D934,'MPG Payment '!AJ:AJ)</f>
        <v>0</v>
      </c>
      <c r="AP934" s="19">
        <f t="shared" si="324"/>
        <v>0</v>
      </c>
      <c r="AQ934" s="119">
        <f t="shared" si="338"/>
        <v>0</v>
      </c>
      <c r="AR934" s="91" t="s">
        <v>1144</v>
      </c>
      <c r="AS934" s="91">
        <f t="shared" si="325"/>
        <v>0</v>
      </c>
      <c r="AT934" s="118"/>
      <c r="AU934" s="118"/>
      <c r="AV934" s="118"/>
    </row>
    <row r="935" spans="1:48" s="20" customFormat="1" x14ac:dyDescent="0.25">
      <c r="A935" s="17">
        <f>IFERROR(VLOOKUP(D935,'Monthly Deduction'!$I$3:$J$957,2,0),0)</f>
        <v>0</v>
      </c>
      <c r="B935" s="17">
        <f>IFERROR(VLOOKUP(D935,'Monthly Deduction'!$E$3:$F$957,2,0),0)</f>
        <v>0</v>
      </c>
      <c r="C935" s="17">
        <f t="shared" si="330"/>
        <v>0</v>
      </c>
      <c r="D935" s="41">
        <v>10080037</v>
      </c>
      <c r="E935" s="122" t="str">
        <f>VLOOKUP(D935,'MPG Payment '!$E$3:$G$497305,2,0)</f>
        <v>Bariyahi - Ramvaran</v>
      </c>
      <c r="F935" s="146">
        <f>IFERROR(_xlfn.XLOOKUP(D935,'Monthly Deduction'!$I$3:$I$957,'Monthly Deduction'!$H$3:$H$957),0)</f>
        <v>0</v>
      </c>
      <c r="G935" s="123" t="str">
        <f>VLOOKUP(D935,'MPG Payment '!$E$3:$G$333666,3,0)</f>
        <v>vlc</v>
      </c>
      <c r="H935" s="124" t="str">
        <f>VLOOKUP(D935,'MPG Payment '!$E$3:$H$333666,4,0)</f>
        <v>Indirect</v>
      </c>
      <c r="I935" s="88">
        <f>INDEX('MPG Payment '!$C:$C,MATCH('Shayak Income '!D935,'MPG Payment '!E:E,0))</f>
        <v>1008</v>
      </c>
      <c r="J935" s="88" t="str">
        <f>INDEX('MPG Payment '!$D:$D,MATCH('Shayak Income '!D935,'MPG Payment '!E:E,0))</f>
        <v>Teghra</v>
      </c>
      <c r="K935" s="125" t="s">
        <v>1594</v>
      </c>
      <c r="L935" s="125">
        <v>45044</v>
      </c>
      <c r="M935" s="126">
        <f>SUMIF('MPG Payment '!$E$3:$E$344841,'Shayak Income '!D935,'MPG Payment '!$I$3:$I$344841)</f>
        <v>578.75</v>
      </c>
      <c r="N935" s="126">
        <f>SUMIF('MPG Payment '!$E$3:$E$344841,'Shayak Income '!D935,'MPG Payment '!$J$3:$J$344841)</f>
        <v>23799.329999999998</v>
      </c>
      <c r="O935" s="126">
        <f t="shared" si="331"/>
        <v>434.0625</v>
      </c>
      <c r="P935" s="126">
        <f t="shared" si="332"/>
        <v>549.8125</v>
      </c>
      <c r="Q935" s="126">
        <f>SUMIF('MPG Payment '!$E$3:$E$344841,'Shayak Income '!D935,'MPG Payment '!$S$3:$S$344841)</f>
        <v>0</v>
      </c>
      <c r="R935" s="126">
        <f t="shared" si="333"/>
        <v>713.97989999999993</v>
      </c>
      <c r="S935" s="126">
        <f t="shared" si="334"/>
        <v>164.16739999999993</v>
      </c>
      <c r="T935" s="126">
        <f t="shared" si="326"/>
        <v>57.875</v>
      </c>
      <c r="U935" s="127">
        <f>((((((IF(K935="New",0,SUMIF('MPG Payment '!$E$3:$E$344841,'Shayak Income '!D935,'MPG Payment '!$AC$3:$AC$344841))))+0)+0)+0)+0)+-868</f>
        <v>926.3611649755926</v>
      </c>
      <c r="V935" s="127">
        <f t="shared" si="327"/>
        <v>0</v>
      </c>
      <c r="W935" s="19">
        <v>0</v>
      </c>
      <c r="X935" s="19">
        <v>0</v>
      </c>
      <c r="Y935" s="128">
        <v>0</v>
      </c>
      <c r="Z935" s="128">
        <v>0</v>
      </c>
      <c r="AA935" s="126">
        <v>0</v>
      </c>
      <c r="AB935" s="129">
        <f t="shared" si="322"/>
        <v>0</v>
      </c>
      <c r="AC935" s="130">
        <v>0</v>
      </c>
      <c r="AD935" s="35">
        <f t="shared" si="335"/>
        <v>0</v>
      </c>
      <c r="AE935" s="166" t="str">
        <f t="shared" si="336"/>
        <v>Release</v>
      </c>
      <c r="AF935" s="127"/>
      <c r="AG935" s="18">
        <v>0</v>
      </c>
      <c r="AH935" s="132"/>
      <c r="AI935" s="238">
        <v>0</v>
      </c>
      <c r="AJ935" s="132"/>
      <c r="AK935" s="151">
        <v>44.25</v>
      </c>
      <c r="AL935" s="154">
        <f t="shared" si="337"/>
        <v>0</v>
      </c>
      <c r="AM935" s="155"/>
      <c r="AN935" s="19">
        <f t="shared" si="323"/>
        <v>0</v>
      </c>
      <c r="AO935" s="118">
        <f>SUMIF('MPG Payment '!E:E,'Shayak Income '!D935,'MPG Payment '!AJ:AJ)</f>
        <v>0</v>
      </c>
      <c r="AP935" s="19">
        <f t="shared" si="324"/>
        <v>0</v>
      </c>
      <c r="AQ935" s="119">
        <f t="shared" si="338"/>
        <v>0</v>
      </c>
      <c r="AR935" s="91" t="s">
        <v>1144</v>
      </c>
      <c r="AS935" s="91">
        <f t="shared" si="325"/>
        <v>0</v>
      </c>
      <c r="AT935" s="118"/>
      <c r="AU935" s="118"/>
      <c r="AV935" s="118"/>
    </row>
    <row r="936" spans="1:48" s="20" customFormat="1" x14ac:dyDescent="0.25">
      <c r="A936" s="17">
        <f>IFERROR(VLOOKUP(D936,'Monthly Deduction'!$I$3:$J$957,2,0),0)</f>
        <v>0</v>
      </c>
      <c r="B936" s="17">
        <f>IFERROR(VLOOKUP(D936,'Monthly Deduction'!$E$3:$F$957,2,0),0)</f>
        <v>0</v>
      </c>
      <c r="C936" s="17">
        <f t="shared" si="330"/>
        <v>0</v>
      </c>
      <c r="D936" s="41">
        <v>10130122</v>
      </c>
      <c r="E936" s="122" t="str">
        <f>VLOOKUP(D936,'MPG Payment '!$E$3:$G$497305,2,0)</f>
        <v>GOMUKH MIRJAPUR NISFI</v>
      </c>
      <c r="F936" s="146">
        <f>IFERROR(_xlfn.XLOOKUP(D936,'Monthly Deduction'!$I$3:$I$957,'Monthly Deduction'!$H$3:$H$957),0)</f>
        <v>0</v>
      </c>
      <c r="G936" s="123" t="str">
        <f>VLOOKUP(D936,'MPG Payment '!$E$3:$G$333666,3,0)</f>
        <v>vlc</v>
      </c>
      <c r="H936" s="124" t="str">
        <f>VLOOKUP(D936,'MPG Payment '!$E$3:$H$333666,4,0)</f>
        <v>Indirect</v>
      </c>
      <c r="I936" s="88">
        <f>INDEX('MPG Payment '!$C:$C,MATCH('Shayak Income '!D936,'MPG Payment '!E:E,0))</f>
        <v>1013</v>
      </c>
      <c r="J936" s="88" t="str">
        <f>INDEX('MPG Payment '!$D:$D,MATCH('Shayak Income '!D936,'MPG Payment '!E:E,0))</f>
        <v>Musrigharari</v>
      </c>
      <c r="K936" s="125" t="s">
        <v>1593</v>
      </c>
      <c r="L936" s="125">
        <v>46180</v>
      </c>
      <c r="M936" s="126">
        <f>SUMIF('MPG Payment '!$E$3:$E$344841,'Shayak Income '!D936,'MPG Payment '!$I$3:$I$344841)</f>
        <v>1656.7000000000003</v>
      </c>
      <c r="N936" s="126">
        <f>SUMIF('MPG Payment '!$E$3:$E$344841,'Shayak Income '!D936,'MPG Payment '!$J$3:$J$344841)</f>
        <v>57346.79</v>
      </c>
      <c r="O936" s="126">
        <f t="shared" si="331"/>
        <v>1242.5250000000001</v>
      </c>
      <c r="P936" s="126">
        <f t="shared" si="332"/>
        <v>1573.8650000000002</v>
      </c>
      <c r="Q936" s="126">
        <f>SUMIF('MPG Payment '!$E$3:$E$344841,'Shayak Income '!D936,'MPG Payment '!$S$3:$S$344841)</f>
        <v>0</v>
      </c>
      <c r="R936" s="126">
        <f t="shared" si="333"/>
        <v>1720.4037000000001</v>
      </c>
      <c r="S936" s="126">
        <f t="shared" si="334"/>
        <v>146.53869999999984</v>
      </c>
      <c r="T936" s="126">
        <f t="shared" si="326"/>
        <v>165.67000000000004</v>
      </c>
      <c r="U936" s="127">
        <f>((((((IF(K936="New",0,SUMIF('MPG Payment '!$E$3:$E$344841,'Shayak Income '!D936,'MPG Payment '!$AC$3:$AC$344841))))+0)+0)+0)+0)+0</f>
        <v>0</v>
      </c>
      <c r="V936" s="127">
        <f t="shared" si="327"/>
        <v>2651</v>
      </c>
      <c r="W936" s="19">
        <v>0</v>
      </c>
      <c r="X936" s="19">
        <f t="shared" si="321"/>
        <v>0</v>
      </c>
      <c r="Y936" s="128">
        <f>IFERROR(VLOOKUP(D936,'Monthly Deduction'!$M$2:$N$640,2,0),0)</f>
        <v>0</v>
      </c>
      <c r="Z936" s="128">
        <v>0</v>
      </c>
      <c r="AA936" s="126">
        <f>IFERROR(VLOOKUP(D936,'Monthly Deduction'!A:B,2,0),0)</f>
        <v>0</v>
      </c>
      <c r="AB936" s="129">
        <f t="shared" si="322"/>
        <v>2651</v>
      </c>
      <c r="AC936" s="130">
        <v>0</v>
      </c>
      <c r="AD936" s="35">
        <f t="shared" si="335"/>
        <v>2651</v>
      </c>
      <c r="AE936" s="166" t="str">
        <f t="shared" si="336"/>
        <v>Release</v>
      </c>
      <c r="AF936" s="127"/>
      <c r="AG936" s="18">
        <v>0</v>
      </c>
      <c r="AH936" s="132"/>
      <c r="AI936" s="238">
        <v>0</v>
      </c>
      <c r="AJ936" s="132"/>
      <c r="AK936" s="151">
        <v>450.6</v>
      </c>
      <c r="AL936" s="154">
        <f t="shared" si="337"/>
        <v>0</v>
      </c>
      <c r="AM936" s="155"/>
      <c r="AN936" s="19">
        <f t="shared" si="323"/>
        <v>0</v>
      </c>
      <c r="AO936" s="118">
        <f>SUMIF('MPG Payment '!E:E,'Shayak Income '!D936,'MPG Payment '!AJ:AJ)</f>
        <v>0</v>
      </c>
      <c r="AP936" s="19">
        <f t="shared" si="324"/>
        <v>0</v>
      </c>
      <c r="AQ936" s="119">
        <f t="shared" si="338"/>
        <v>0</v>
      </c>
      <c r="AR936" s="91" t="s">
        <v>1144</v>
      </c>
      <c r="AS936" s="91">
        <f t="shared" si="325"/>
        <v>0</v>
      </c>
      <c r="AT936" s="118"/>
      <c r="AU936" s="118"/>
      <c r="AV936" s="118"/>
    </row>
    <row r="937" spans="1:48" s="20" customFormat="1" x14ac:dyDescent="0.25">
      <c r="A937" s="17">
        <f>IFERROR(VLOOKUP(D937,'Monthly Deduction'!$I$3:$J$957,2,0),0)</f>
        <v>0</v>
      </c>
      <c r="B937" s="17">
        <f>IFERROR(VLOOKUP(D937,'Monthly Deduction'!$E$3:$F$957,2,0),0)</f>
        <v>0</v>
      </c>
      <c r="C937" s="17">
        <f t="shared" si="330"/>
        <v>0</v>
      </c>
      <c r="D937" s="41">
        <v>10530053</v>
      </c>
      <c r="E937" s="122" t="str">
        <f>VLOOKUP(D937,'MPG Payment '!$E$3:$G$497305,2,0)</f>
        <v>Gomukh Balaha East</v>
      </c>
      <c r="F937" s="146">
        <f>IFERROR(_xlfn.XLOOKUP(D937,'Monthly Deduction'!$I$3:$I$957,'Monthly Deduction'!$H$3:$H$957),0)</f>
        <v>0</v>
      </c>
      <c r="G937" s="123" t="str">
        <f>VLOOKUP(D937,'MPG Payment '!$E$3:$G$333666,3,0)</f>
        <v>vlc</v>
      </c>
      <c r="H937" s="124" t="str">
        <f>VLOOKUP(D937,'MPG Payment '!$E$3:$H$333666,4,0)</f>
        <v>Indirect</v>
      </c>
      <c r="I937" s="88">
        <f>INDEX('MPG Payment '!$C:$C,MATCH('Shayak Income '!D937,'MPG Payment '!E:E,0))</f>
        <v>1053</v>
      </c>
      <c r="J937" s="88" t="str">
        <f>INDEX('MPG Payment '!$D:$D,MATCH('Shayak Income '!D937,'MPG Payment '!E:E,0))</f>
        <v>Kalyanpur</v>
      </c>
      <c r="K937" s="125" t="s">
        <v>1594</v>
      </c>
      <c r="L937" s="125">
        <v>45766</v>
      </c>
      <c r="M937" s="126">
        <f>SUMIF('MPG Payment '!$E$3:$E$344841,'Shayak Income '!D937,'MPG Payment '!$I$3:$I$344841)</f>
        <v>218.85000000000002</v>
      </c>
      <c r="N937" s="126">
        <f>SUMIF('MPG Payment '!$E$3:$E$344841,'Shayak Income '!D937,'MPG Payment '!$J$3:$J$344841)</f>
        <v>10611.81</v>
      </c>
      <c r="O937" s="126">
        <f t="shared" si="331"/>
        <v>164.13750000000002</v>
      </c>
      <c r="P937" s="126">
        <f t="shared" si="332"/>
        <v>207.9075</v>
      </c>
      <c r="Q937" s="126">
        <f>SUMIF('MPG Payment '!$E$3:$E$344841,'Shayak Income '!D937,'MPG Payment '!$S$3:$S$344841)</f>
        <v>0</v>
      </c>
      <c r="R937" s="126">
        <f t="shared" si="333"/>
        <v>318.35429999999997</v>
      </c>
      <c r="S937" s="126">
        <f t="shared" si="334"/>
        <v>110.44679999999997</v>
      </c>
      <c r="T937" s="126">
        <f t="shared" si="326"/>
        <v>21.885000000000005</v>
      </c>
      <c r="U937" s="127">
        <f>((((((IF(K937="New",0,SUMIF('MPG Payment '!$E$3:$E$344841,'Shayak Income '!D937,'MPG Payment '!$AC$3:$AC$344841))))+0)+0)+0)+0)+-116</f>
        <v>350.60931062371486</v>
      </c>
      <c r="V937" s="127">
        <f t="shared" si="327"/>
        <v>0</v>
      </c>
      <c r="W937" s="19">
        <v>0</v>
      </c>
      <c r="X937" s="19">
        <v>0</v>
      </c>
      <c r="Y937" s="128">
        <v>0</v>
      </c>
      <c r="Z937" s="128">
        <v>0</v>
      </c>
      <c r="AA937" s="126">
        <v>0</v>
      </c>
      <c r="AB937" s="129">
        <f t="shared" si="322"/>
        <v>0</v>
      </c>
      <c r="AC937" s="130">
        <f>AB937</f>
        <v>0</v>
      </c>
      <c r="AD937" s="35">
        <f t="shared" si="335"/>
        <v>0</v>
      </c>
      <c r="AE937" s="166" t="str">
        <f t="shared" si="336"/>
        <v>Release</v>
      </c>
      <c r="AF937" s="127"/>
      <c r="AG937" s="18">
        <v>0</v>
      </c>
      <c r="AH937" s="132" t="s">
        <v>1597</v>
      </c>
      <c r="AI937" s="238">
        <v>0</v>
      </c>
      <c r="AJ937" s="132"/>
      <c r="AK937" s="151">
        <v>0</v>
      </c>
      <c r="AL937" s="154">
        <f t="shared" si="337"/>
        <v>0</v>
      </c>
      <c r="AM937" s="155"/>
      <c r="AN937" s="19">
        <f t="shared" si="323"/>
        <v>0</v>
      </c>
      <c r="AO937" s="118">
        <f>SUMIF('MPG Payment '!E:E,'Shayak Income '!D937,'MPG Payment '!AJ:AJ)</f>
        <v>0</v>
      </c>
      <c r="AP937" s="19">
        <f t="shared" si="324"/>
        <v>0</v>
      </c>
      <c r="AQ937" s="119">
        <f t="shared" si="338"/>
        <v>0</v>
      </c>
      <c r="AR937" s="91" t="s">
        <v>1144</v>
      </c>
      <c r="AS937" s="91">
        <f t="shared" si="325"/>
        <v>0</v>
      </c>
      <c r="AT937" s="118"/>
      <c r="AU937" s="118"/>
      <c r="AV937" s="118"/>
    </row>
    <row r="938" spans="1:48" s="20" customFormat="1" x14ac:dyDescent="0.25">
      <c r="A938" s="17">
        <f>IFERROR(VLOOKUP(D938,'Monthly Deduction'!$I$3:$J$957,2,0),0)</f>
        <v>0</v>
      </c>
      <c r="B938" s="17">
        <f>IFERROR(VLOOKUP(D938,'Monthly Deduction'!$E$3:$F$957,2,0),0)</f>
        <v>0</v>
      </c>
      <c r="C938" s="17">
        <f t="shared" si="330"/>
        <v>0</v>
      </c>
      <c r="D938" s="41">
        <v>10530116</v>
      </c>
      <c r="E938" s="122" t="str">
        <f>VLOOKUP(D938,'MPG Payment '!$E$3:$G$497305,2,0)</f>
        <v>AMI Dairy</v>
      </c>
      <c r="F938" s="146">
        <f>IFERROR(_xlfn.XLOOKUP(D938,'Monthly Deduction'!$I$3:$I$957,'Monthly Deduction'!$H$3:$H$957),0)</f>
        <v>0</v>
      </c>
      <c r="G938" s="123" t="str">
        <f>VLOOKUP(D938,'MPG Payment '!$E$3:$G$333666,3,0)</f>
        <v>vlc</v>
      </c>
      <c r="H938" s="124" t="str">
        <f>VLOOKUP(D938,'MPG Payment '!$E$3:$H$333666,4,0)</f>
        <v>Indirect</v>
      </c>
      <c r="I938" s="88">
        <f>INDEX('MPG Payment '!$C:$C,MATCH('Shayak Income '!D938,'MPG Payment '!E:E,0))</f>
        <v>1053</v>
      </c>
      <c r="J938" s="88" t="str">
        <f>INDEX('MPG Payment '!$D:$D,MATCH('Shayak Income '!D938,'MPG Payment '!E:E,0))</f>
        <v>Kalyanpur</v>
      </c>
      <c r="K938" s="125" t="s">
        <v>1593</v>
      </c>
      <c r="L938" s="125">
        <v>46184</v>
      </c>
      <c r="M938" s="126">
        <f>SUMIF('MPG Payment '!$E$3:$E$344841,'Shayak Income '!D938,'MPG Payment '!$I$3:$I$344841)</f>
        <v>3987.5</v>
      </c>
      <c r="N938" s="126">
        <f>SUMIF('MPG Payment '!$E$3:$E$344841,'Shayak Income '!D938,'MPG Payment '!$J$3:$J$344841)</f>
        <v>163223.25</v>
      </c>
      <c r="O938" s="126">
        <f t="shared" si="331"/>
        <v>2990.625</v>
      </c>
      <c r="P938" s="126">
        <f t="shared" si="332"/>
        <v>3788.125</v>
      </c>
      <c r="Q938" s="126">
        <f>SUMIF('MPG Payment '!$E$3:$E$344841,'Shayak Income '!D938,'MPG Payment '!$S$3:$S$344841)</f>
        <v>0</v>
      </c>
      <c r="R938" s="126">
        <f t="shared" si="333"/>
        <v>4896.6975000000002</v>
      </c>
      <c r="S938" s="126">
        <f t="shared" si="334"/>
        <v>1108.5725000000002</v>
      </c>
      <c r="T938" s="126">
        <f t="shared" si="326"/>
        <v>398.75</v>
      </c>
      <c r="U938" s="127">
        <f>((((((IF(K938="New",0,SUMIF('MPG Payment '!$E$3:$E$344841,'Shayak Income '!D938,'MPG Payment '!$AC$3:$AC$344841))))+0)+0)+0)+0)+0</f>
        <v>0</v>
      </c>
      <c r="V938" s="127">
        <f t="shared" si="327"/>
        <v>6380</v>
      </c>
      <c r="W938" s="19">
        <v>0</v>
      </c>
      <c r="X938" s="19">
        <f t="shared" si="321"/>
        <v>0</v>
      </c>
      <c r="Y938" s="128">
        <f>IFERROR(VLOOKUP(D938,'Monthly Deduction'!$M$2:$N$640,2,0),0)</f>
        <v>0</v>
      </c>
      <c r="Z938" s="128">
        <v>0</v>
      </c>
      <c r="AA938" s="126">
        <f>IFERROR(VLOOKUP(D938,'Monthly Deduction'!A:B,2,0),0)</f>
        <v>0</v>
      </c>
      <c r="AB938" s="129">
        <f t="shared" si="322"/>
        <v>6380</v>
      </c>
      <c r="AC938" s="130">
        <v>0</v>
      </c>
      <c r="AD938" s="35">
        <f t="shared" si="335"/>
        <v>6380</v>
      </c>
      <c r="AE938" s="166" t="str">
        <f t="shared" si="336"/>
        <v>Release</v>
      </c>
      <c r="AF938" s="127"/>
      <c r="AG938" s="18">
        <v>0</v>
      </c>
      <c r="AH938" s="132"/>
      <c r="AI938" s="238">
        <v>0</v>
      </c>
      <c r="AJ938" s="132"/>
      <c r="AK938" s="151">
        <v>403.55</v>
      </c>
      <c r="AL938" s="154">
        <f t="shared" si="337"/>
        <v>0</v>
      </c>
      <c r="AM938" s="155"/>
      <c r="AN938" s="19">
        <f t="shared" si="323"/>
        <v>0</v>
      </c>
      <c r="AO938" s="118">
        <f>SUMIF('MPG Payment '!E:E,'Shayak Income '!D938,'MPG Payment '!AJ:AJ)</f>
        <v>0</v>
      </c>
      <c r="AP938" s="19">
        <f t="shared" si="324"/>
        <v>0</v>
      </c>
      <c r="AQ938" s="119">
        <f t="shared" si="338"/>
        <v>0</v>
      </c>
      <c r="AR938" s="91" t="s">
        <v>1144</v>
      </c>
      <c r="AS938" s="91">
        <f t="shared" si="325"/>
        <v>0</v>
      </c>
      <c r="AT938" s="118"/>
      <c r="AU938" s="118"/>
      <c r="AV938" s="118"/>
    </row>
    <row r="939" spans="1:48" s="20" customFormat="1" x14ac:dyDescent="0.25">
      <c r="A939" s="17">
        <f>IFERROR(VLOOKUP(D939,'Monthly Deduction'!$I$3:$J$957,2,0),0)</f>
        <v>0</v>
      </c>
      <c r="B939" s="17">
        <f>IFERROR(VLOOKUP(D939,'Monthly Deduction'!$E$3:$F$957,2,0),0)</f>
        <v>0</v>
      </c>
      <c r="C939" s="17">
        <f t="shared" si="330"/>
        <v>0</v>
      </c>
      <c r="D939" s="41">
        <v>10540036</v>
      </c>
      <c r="E939" s="122" t="str">
        <f>VLOOKUP(D939,'MPG Payment '!$E$3:$G$497305,2,0)</f>
        <v>GOMUKH ID ALAULI</v>
      </c>
      <c r="F939" s="146">
        <f>IFERROR(_xlfn.XLOOKUP(D939,'Monthly Deduction'!$I$3:$I$957,'Monthly Deduction'!$H$3:$H$957),0)</f>
        <v>0</v>
      </c>
      <c r="G939" s="123" t="str">
        <f>VLOOKUP(D939,'MPG Payment '!$E$3:$G$333666,3,0)</f>
        <v>VLC</v>
      </c>
      <c r="H939" s="124" t="str">
        <f>VLOOKUP(D939,'MPG Payment '!$E$3:$H$333666,4,0)</f>
        <v>Indirect</v>
      </c>
      <c r="I939" s="88">
        <f>INDEX('MPG Payment '!$C:$C,MATCH('Shayak Income '!D939,'MPG Payment '!E:E,0))</f>
        <v>1054</v>
      </c>
      <c r="J939" s="88" t="str">
        <f>INDEX('MPG Payment '!$D:$D,MATCH('Shayak Income '!D939,'MPG Payment '!E:E,0))</f>
        <v xml:space="preserve">Alauli </v>
      </c>
      <c r="K939" s="125" t="s">
        <v>1594</v>
      </c>
      <c r="L939" s="125">
        <v>45919</v>
      </c>
      <c r="M939" s="126">
        <f>SUMIF('MPG Payment '!$E$3:$E$344841,'Shayak Income '!D939,'MPG Payment '!$I$3:$I$344841)</f>
        <v>76.099999999999994</v>
      </c>
      <c r="N939" s="126">
        <f>SUMIF('MPG Payment '!$E$3:$E$344841,'Shayak Income '!D939,'MPG Payment '!$J$3:$J$344841)</f>
        <v>3141.41</v>
      </c>
      <c r="O939" s="126">
        <f t="shared" si="331"/>
        <v>57.074999999999996</v>
      </c>
      <c r="P939" s="126">
        <f t="shared" si="332"/>
        <v>72.294999999999987</v>
      </c>
      <c r="Q939" s="126">
        <f>SUMIF('MPG Payment '!$E$3:$E$344841,'Shayak Income '!D939,'MPG Payment '!$S$3:$S$344841)</f>
        <v>0</v>
      </c>
      <c r="R939" s="126">
        <f t="shared" si="333"/>
        <v>94.242299999999986</v>
      </c>
      <c r="S939" s="126">
        <f t="shared" si="334"/>
        <v>21.947299999999998</v>
      </c>
      <c r="T939" s="126">
        <f t="shared" si="326"/>
        <v>7.6099999999999994</v>
      </c>
      <c r="U939" s="127">
        <f>((((((IF(K939="New",0,SUMIF('MPG Payment '!$E$3:$E$344841,'Shayak Income '!D939,'MPG Payment '!$AC$3:$AC$344841))))+0)+0)+0)+0)+-393</f>
        <v>122.09216793692531</v>
      </c>
      <c r="V939" s="127">
        <f t="shared" si="327"/>
        <v>0</v>
      </c>
      <c r="W939" s="19">
        <v>0</v>
      </c>
      <c r="X939" s="19">
        <v>0</v>
      </c>
      <c r="Y939" s="128">
        <v>0</v>
      </c>
      <c r="Z939" s="128">
        <v>0</v>
      </c>
      <c r="AA939" s="126">
        <v>0</v>
      </c>
      <c r="AB939" s="129">
        <f t="shared" si="322"/>
        <v>0</v>
      </c>
      <c r="AC939" s="130">
        <f t="shared" ref="AC939:AC941" si="342">AB939</f>
        <v>0</v>
      </c>
      <c r="AD939" s="35">
        <f t="shared" si="335"/>
        <v>0</v>
      </c>
      <c r="AE939" s="166" t="str">
        <f t="shared" si="336"/>
        <v>Release</v>
      </c>
      <c r="AF939" s="127"/>
      <c r="AG939" s="18">
        <v>0</v>
      </c>
      <c r="AH939" s="132" t="s">
        <v>1597</v>
      </c>
      <c r="AI939" s="238">
        <v>0</v>
      </c>
      <c r="AJ939" s="132"/>
      <c r="AK939" s="151">
        <v>0</v>
      </c>
      <c r="AL939" s="154">
        <f t="shared" si="337"/>
        <v>0</v>
      </c>
      <c r="AM939" s="155"/>
      <c r="AN939" s="19">
        <f t="shared" si="323"/>
        <v>0</v>
      </c>
      <c r="AO939" s="118">
        <f>SUMIF('MPG Payment '!E:E,'Shayak Income '!D939,'MPG Payment '!AJ:AJ)</f>
        <v>0</v>
      </c>
      <c r="AP939" s="19">
        <f t="shared" si="324"/>
        <v>0</v>
      </c>
      <c r="AQ939" s="119">
        <f t="shared" si="338"/>
        <v>0</v>
      </c>
      <c r="AR939" s="91" t="s">
        <v>1144</v>
      </c>
      <c r="AS939" s="91">
        <f t="shared" si="325"/>
        <v>0</v>
      </c>
      <c r="AT939" s="118"/>
      <c r="AU939" s="118"/>
      <c r="AV939" s="118"/>
    </row>
    <row r="940" spans="1:48" s="20" customFormat="1" x14ac:dyDescent="0.25">
      <c r="A940" s="17">
        <f>IFERROR(VLOOKUP(D940,'Monthly Deduction'!$I$3:$J$957,2,0),0)</f>
        <v>85000</v>
      </c>
      <c r="B940" s="17">
        <f>IFERROR(VLOOKUP(D940,'Monthly Deduction'!$E$3:$F$957,2,0),0)</f>
        <v>0</v>
      </c>
      <c r="C940" s="17">
        <f t="shared" si="330"/>
        <v>85000</v>
      </c>
      <c r="D940" s="41">
        <v>10550011</v>
      </c>
      <c r="E940" s="122" t="str">
        <f>VLOOKUP(D940,'MPG Payment '!$E$3:$G$497305,2,0)</f>
        <v>Mahendarpur 2</v>
      </c>
      <c r="F940" s="146">
        <f>IFERROR(_xlfn.XLOOKUP(D940,'Monthly Deduction'!$I$3:$I$957,'Monthly Deduction'!$H$3:$H$957),0)</f>
        <v>0</v>
      </c>
      <c r="G940" s="123" t="str">
        <f>VLOOKUP(D940,'MPG Payment '!$E$3:$G$333666,3,0)</f>
        <v>MPG</v>
      </c>
      <c r="H940" s="124" t="str">
        <f>VLOOKUP(D940,'MPG Payment '!$E$3:$H$333666,4,0)</f>
        <v>Direct</v>
      </c>
      <c r="I940" s="88">
        <f>INDEX('MPG Payment '!$C:$C,MATCH('Shayak Income '!D940,'MPG Payment '!E:E,0))</f>
        <v>1055</v>
      </c>
      <c r="J940" s="88" t="str">
        <f>INDEX('MPG Payment '!$D:$D,MATCH('Shayak Income '!D940,'MPG Payment '!E:E,0))</f>
        <v>Matihani</v>
      </c>
      <c r="K940" s="125" t="s">
        <v>1593</v>
      </c>
      <c r="L940" s="125">
        <v>46179</v>
      </c>
      <c r="M940" s="126">
        <f>SUMIF('MPG Payment '!$E$3:$E$344841,'Shayak Income '!D940,'MPG Payment '!$I$3:$I$344841)</f>
        <v>1172.3</v>
      </c>
      <c r="N940" s="126">
        <f>SUMIF('MPG Payment '!$E$3:$E$344841,'Shayak Income '!D940,'MPG Payment '!$J$3:$J$344841)</f>
        <v>47188.68</v>
      </c>
      <c r="O940" s="126">
        <f t="shared" si="331"/>
        <v>879.22499999999991</v>
      </c>
      <c r="P940" s="126">
        <f t="shared" si="332"/>
        <v>1113.6849999999999</v>
      </c>
      <c r="Q940" s="126">
        <f>SUMIF('MPG Payment '!$E$3:$E$344841,'Shayak Income '!D940,'MPG Payment '!$S$3:$S$344841)</f>
        <v>358.28000000000003</v>
      </c>
      <c r="R940" s="126">
        <f t="shared" si="333"/>
        <v>1415.6604</v>
      </c>
      <c r="S940" s="126">
        <f t="shared" si="334"/>
        <v>301.97540000000004</v>
      </c>
      <c r="T940" s="126">
        <f t="shared" si="326"/>
        <v>117.23</v>
      </c>
      <c r="U940" s="127">
        <f>((((((IF(K940="New",0,SUMIF('MPG Payment '!$E$3:$E$344841,'Shayak Income '!D940,'MPG Payment '!$AC$3:$AC$344841))))+0)+0)+0)+0)+0</f>
        <v>0</v>
      </c>
      <c r="V940" s="127">
        <f t="shared" si="327"/>
        <v>2234</v>
      </c>
      <c r="W940" s="19">
        <v>0</v>
      </c>
      <c r="X940" s="19">
        <f t="shared" si="321"/>
        <v>0</v>
      </c>
      <c r="Y940" s="128">
        <f>IFERROR(VLOOKUP(D940,'Monthly Deduction'!$M$2:$N$640,2,0),0)</f>
        <v>0</v>
      </c>
      <c r="Z940" s="128">
        <v>0</v>
      </c>
      <c r="AA940" s="126">
        <f>IFERROR(VLOOKUP(D940,'Monthly Deduction'!A:B,2,0),0)</f>
        <v>0</v>
      </c>
      <c r="AB940" s="129">
        <f t="shared" si="322"/>
        <v>2234</v>
      </c>
      <c r="AC940" s="130">
        <f t="shared" si="342"/>
        <v>2234</v>
      </c>
      <c r="AD940" s="35">
        <f t="shared" si="335"/>
        <v>0</v>
      </c>
      <c r="AE940" s="166" t="str">
        <f t="shared" si="336"/>
        <v>Yes</v>
      </c>
      <c r="AF940" s="127"/>
      <c r="AG940" s="18">
        <v>0</v>
      </c>
      <c r="AH940" s="120" t="s">
        <v>1686</v>
      </c>
      <c r="AI940" s="238">
        <v>20000</v>
      </c>
      <c r="AJ940" s="132"/>
      <c r="AK940" s="151">
        <v>267.99999999999994</v>
      </c>
      <c r="AL940" s="154">
        <f t="shared" si="337"/>
        <v>0</v>
      </c>
      <c r="AM940" s="155"/>
      <c r="AN940" s="19">
        <f t="shared" si="323"/>
        <v>1861</v>
      </c>
      <c r="AO940" s="118">
        <f>SUMIF('MPG Payment '!E:E,'Shayak Income '!D940,'MPG Payment '!AJ:AJ)</f>
        <v>0</v>
      </c>
      <c r="AP940" s="19">
        <f t="shared" si="324"/>
        <v>0</v>
      </c>
      <c r="AQ940" s="119">
        <f t="shared" si="338"/>
        <v>0</v>
      </c>
      <c r="AR940" s="91" t="s">
        <v>1144</v>
      </c>
      <c r="AS940" s="91">
        <f t="shared" si="325"/>
        <v>0</v>
      </c>
      <c r="AT940" s="118"/>
      <c r="AU940" s="118"/>
      <c r="AV940" s="118"/>
    </row>
    <row r="941" spans="1:48" s="20" customFormat="1" x14ac:dyDescent="0.25">
      <c r="A941" s="17">
        <f>IFERROR(VLOOKUP(D941,'Monthly Deduction'!$I$3:$J$957,2,0),0)</f>
        <v>0</v>
      </c>
      <c r="B941" s="17">
        <f>IFERROR(VLOOKUP(D941,'Monthly Deduction'!$E$3:$F$957,2,0),0)</f>
        <v>0</v>
      </c>
      <c r="C941" s="17">
        <f t="shared" si="330"/>
        <v>0</v>
      </c>
      <c r="D941" s="41">
        <v>10560039</v>
      </c>
      <c r="E941" s="122" t="str">
        <f>VLOOKUP(D941,'MPG Payment '!$E$3:$G$497305,2,0)</f>
        <v>Gommukh Khushbu Kumari Vlc</v>
      </c>
      <c r="F941" s="146">
        <f>IFERROR(_xlfn.XLOOKUP(D941,'Monthly Deduction'!$I$3:$I$957,'Monthly Deduction'!$H$3:$H$957),0)</f>
        <v>0</v>
      </c>
      <c r="G941" s="123" t="str">
        <f>VLOOKUP(D941,'MPG Payment '!$E$3:$G$333666,3,0)</f>
        <v>vlc</v>
      </c>
      <c r="H941" s="124" t="str">
        <f>VLOOKUP(D941,'MPG Payment '!$E$3:$H$333666,4,0)</f>
        <v>Indirect</v>
      </c>
      <c r="I941" s="88">
        <f>INDEX('MPG Payment '!$C:$C,MATCH('Shayak Income '!D941,'MPG Payment '!E:E,0))</f>
        <v>1056</v>
      </c>
      <c r="J941" s="88" t="str">
        <f>INDEX('MPG Payment '!$D:$D,MATCH('Shayak Income '!D941,'MPG Payment '!E:E,0))</f>
        <v>Chautham</v>
      </c>
      <c r="K941" s="125" t="s">
        <v>1594</v>
      </c>
      <c r="L941" s="125">
        <v>46101</v>
      </c>
      <c r="M941" s="126">
        <f>SUMIF('MPG Payment '!$E$3:$E$344841,'Shayak Income '!D941,'MPG Payment '!$I$3:$I$344841)</f>
        <v>1140.76</v>
      </c>
      <c r="N941" s="126">
        <f>SUMIF('MPG Payment '!$E$3:$E$344841,'Shayak Income '!D941,'MPG Payment '!$J$3:$J$344841)</f>
        <v>40065.969999999994</v>
      </c>
      <c r="O941" s="126">
        <f t="shared" si="331"/>
        <v>855.56999999999994</v>
      </c>
      <c r="P941" s="126">
        <f t="shared" si="332"/>
        <v>1083.722</v>
      </c>
      <c r="Q941" s="126">
        <f>SUMIF('MPG Payment '!$E$3:$E$344841,'Shayak Income '!D941,'MPG Payment '!$S$3:$S$344841)</f>
        <v>0</v>
      </c>
      <c r="R941" s="126">
        <f t="shared" si="333"/>
        <v>1201.9790999999998</v>
      </c>
      <c r="S941" s="126">
        <f t="shared" si="334"/>
        <v>118.25709999999981</v>
      </c>
      <c r="T941" s="126">
        <f t="shared" si="326"/>
        <v>114.07600000000001</v>
      </c>
      <c r="U941" s="127">
        <f>((((((IF(K941="New",0,SUMIF('MPG Payment '!$E$3:$E$344841,'Shayak Income '!D941,'MPG Payment '!$AC$3:$AC$344841))))+0)+0)+0)+0)+0</f>
        <v>1172.8177631750493</v>
      </c>
      <c r="V941" s="127">
        <f t="shared" si="327"/>
        <v>652</v>
      </c>
      <c r="W941" s="19">
        <f t="shared" si="329"/>
        <v>0</v>
      </c>
      <c r="X941" s="19">
        <f t="shared" si="321"/>
        <v>0</v>
      </c>
      <c r="Y941" s="128">
        <f>IFERROR(VLOOKUP(D941,'Monthly Deduction'!$M$2:$N$640,2,0),0)</f>
        <v>0</v>
      </c>
      <c r="Z941" s="128">
        <v>0</v>
      </c>
      <c r="AA941" s="126">
        <f>IFERROR(VLOOKUP(D941,'Monthly Deduction'!A:B,2,0),0)</f>
        <v>0</v>
      </c>
      <c r="AB941" s="129">
        <f t="shared" si="322"/>
        <v>652</v>
      </c>
      <c r="AC941" s="130">
        <f t="shared" si="342"/>
        <v>652</v>
      </c>
      <c r="AD941" s="35">
        <f t="shared" si="335"/>
        <v>0</v>
      </c>
      <c r="AE941" s="166" t="str">
        <f t="shared" si="336"/>
        <v>Yes</v>
      </c>
      <c r="AF941" s="127"/>
      <c r="AG941" s="18">
        <v>0</v>
      </c>
      <c r="AH941" s="132" t="s">
        <v>1597</v>
      </c>
      <c r="AI941" s="238">
        <v>0</v>
      </c>
      <c r="AJ941" s="132"/>
      <c r="AK941" s="151">
        <v>0</v>
      </c>
      <c r="AL941" s="154">
        <f t="shared" si="337"/>
        <v>0</v>
      </c>
      <c r="AM941" s="155"/>
      <c r="AN941" s="19">
        <f t="shared" si="323"/>
        <v>0</v>
      </c>
      <c r="AO941" s="118">
        <f>SUMIF('MPG Payment '!E:E,'Shayak Income '!D941,'MPG Payment '!AJ:AJ)</f>
        <v>0</v>
      </c>
      <c r="AP941" s="19">
        <f t="shared" si="324"/>
        <v>0</v>
      </c>
      <c r="AQ941" s="119">
        <f t="shared" si="338"/>
        <v>0</v>
      </c>
      <c r="AR941" s="91" t="s">
        <v>1144</v>
      </c>
      <c r="AS941" s="91">
        <f t="shared" si="325"/>
        <v>0</v>
      </c>
      <c r="AT941" s="118"/>
      <c r="AU941" s="118"/>
      <c r="AV941" s="118"/>
    </row>
    <row r="942" spans="1:48" s="20" customFormat="1" x14ac:dyDescent="0.25">
      <c r="A942" s="17">
        <f>IFERROR(VLOOKUP(D942,'Monthly Deduction'!$I$3:$J$957,2,0),0)</f>
        <v>0</v>
      </c>
      <c r="B942" s="17">
        <f>IFERROR(VLOOKUP(D942,'Monthly Deduction'!$E$3:$F$957,2,0),0)</f>
        <v>0</v>
      </c>
      <c r="C942" s="17">
        <f t="shared" si="330"/>
        <v>0</v>
      </c>
      <c r="D942" s="41">
        <v>10560040</v>
      </c>
      <c r="E942" s="122" t="str">
        <f>VLOOKUP(D942,'MPG Payment '!$E$3:$G$497305,2,0)</f>
        <v>Gomukh Saraiya Wad -5 Vlc</v>
      </c>
      <c r="F942" s="146">
        <f>IFERROR(_xlfn.XLOOKUP(D942,'Monthly Deduction'!$I$3:$I$957,'Monthly Deduction'!$H$3:$H$957),0)</f>
        <v>0</v>
      </c>
      <c r="G942" s="123" t="str">
        <f>VLOOKUP(D942,'MPG Payment '!$E$3:$G$333666,3,0)</f>
        <v>vlc</v>
      </c>
      <c r="H942" s="124" t="str">
        <f>VLOOKUP(D942,'MPG Payment '!$E$3:$H$333666,4,0)</f>
        <v>Indirect</v>
      </c>
      <c r="I942" s="88">
        <f>INDEX('MPG Payment '!$C:$C,MATCH('Shayak Income '!D942,'MPG Payment '!E:E,0))</f>
        <v>1056</v>
      </c>
      <c r="J942" s="88" t="str">
        <f>INDEX('MPG Payment '!$D:$D,MATCH('Shayak Income '!D942,'MPG Payment '!E:E,0))</f>
        <v>Chautham</v>
      </c>
      <c r="K942" s="125" t="s">
        <v>1593</v>
      </c>
      <c r="L942" s="125">
        <v>46183</v>
      </c>
      <c r="M942" s="126">
        <f>SUMIF('MPG Payment '!$E$3:$E$344841,'Shayak Income '!D942,'MPG Payment '!$I$3:$I$344841)</f>
        <v>571.29999999999995</v>
      </c>
      <c r="N942" s="126">
        <f>SUMIF('MPG Payment '!$E$3:$E$344841,'Shayak Income '!D942,'MPG Payment '!$J$3:$J$344841)</f>
        <v>22548.090000000004</v>
      </c>
      <c r="O942" s="126">
        <f t="shared" si="331"/>
        <v>428.47499999999997</v>
      </c>
      <c r="P942" s="126">
        <f t="shared" si="332"/>
        <v>542.7349999999999</v>
      </c>
      <c r="Q942" s="126">
        <f>SUMIF('MPG Payment '!$E$3:$E$344841,'Shayak Income '!D942,'MPG Payment '!$S$3:$S$344841)</f>
        <v>0</v>
      </c>
      <c r="R942" s="126">
        <f t="shared" si="333"/>
        <v>676.44270000000006</v>
      </c>
      <c r="S942" s="126">
        <f t="shared" si="334"/>
        <v>133.70770000000016</v>
      </c>
      <c r="T942" s="126">
        <f t="shared" si="326"/>
        <v>57.129999999999995</v>
      </c>
      <c r="U942" s="127">
        <f>((((((IF(K942="New",0,SUMIF('MPG Payment '!$E$3:$E$344841,'Shayak Income '!D942,'MPG Payment '!$AC$3:$AC$344841))))+0)+0)+0)+0)+0</f>
        <v>0</v>
      </c>
      <c r="V942" s="127">
        <f t="shared" si="327"/>
        <v>914</v>
      </c>
      <c r="W942" s="19">
        <v>0</v>
      </c>
      <c r="X942" s="19">
        <f t="shared" si="321"/>
        <v>0</v>
      </c>
      <c r="Y942" s="128">
        <f>IFERROR(VLOOKUP(D942,'Monthly Deduction'!$M$2:$N$640,2,0),0)</f>
        <v>0</v>
      </c>
      <c r="Z942" s="128">
        <v>0</v>
      </c>
      <c r="AA942" s="126">
        <f>IFERROR(VLOOKUP(D942,'Monthly Deduction'!A:B,2,0),0)</f>
        <v>0</v>
      </c>
      <c r="AB942" s="129">
        <f t="shared" si="322"/>
        <v>914</v>
      </c>
      <c r="AC942" s="130">
        <v>0</v>
      </c>
      <c r="AD942" s="35">
        <f t="shared" si="335"/>
        <v>914</v>
      </c>
      <c r="AE942" s="166" t="str">
        <f t="shared" si="336"/>
        <v>Release</v>
      </c>
      <c r="AF942" s="127"/>
      <c r="AG942" s="18">
        <v>0</v>
      </c>
      <c r="AH942" s="132"/>
      <c r="AI942" s="238">
        <v>0</v>
      </c>
      <c r="AJ942" s="132"/>
      <c r="AK942" s="151">
        <v>128.12</v>
      </c>
      <c r="AL942" s="154">
        <f t="shared" si="337"/>
        <v>0</v>
      </c>
      <c r="AM942" s="155"/>
      <c r="AN942" s="19">
        <f t="shared" si="323"/>
        <v>0</v>
      </c>
      <c r="AO942" s="118">
        <f>SUMIF('MPG Payment '!E:E,'Shayak Income '!D942,'MPG Payment '!AJ:AJ)</f>
        <v>0</v>
      </c>
      <c r="AP942" s="19">
        <f t="shared" si="324"/>
        <v>0</v>
      </c>
      <c r="AQ942" s="119">
        <f t="shared" si="338"/>
        <v>0</v>
      </c>
      <c r="AR942" s="91" t="s">
        <v>1144</v>
      </c>
      <c r="AS942" s="91">
        <f t="shared" si="325"/>
        <v>0</v>
      </c>
      <c r="AT942" s="118"/>
      <c r="AU942" s="118"/>
      <c r="AV942" s="118"/>
    </row>
    <row r="943" spans="1:48" s="20" customFormat="1" x14ac:dyDescent="0.25">
      <c r="A943" s="17">
        <f>IFERROR(VLOOKUP(D943,'Monthly Deduction'!$I$3:$J$957,2,0),0)</f>
        <v>0</v>
      </c>
      <c r="B943" s="17">
        <f>IFERROR(VLOOKUP(D943,'Monthly Deduction'!$E$3:$F$957,2,0),0)</f>
        <v>0</v>
      </c>
      <c r="C943" s="17">
        <f t="shared" si="330"/>
        <v>0</v>
      </c>
      <c r="D943" s="41">
        <v>10570065</v>
      </c>
      <c r="E943" s="122" t="str">
        <f>VLOOKUP(D943,'MPG Payment '!$E$3:$G$497305,2,0)</f>
        <v>Khokasaha</v>
      </c>
      <c r="F943" s="146">
        <f>IFERROR(_xlfn.XLOOKUP(D943,'Monthly Deduction'!$I$3:$I$957,'Monthly Deduction'!$H$3:$H$957),0)</f>
        <v>0</v>
      </c>
      <c r="G943" s="123" t="str">
        <f>VLOOKUP(D943,'MPG Payment '!$E$3:$G$333666,3,0)</f>
        <v>vlc</v>
      </c>
      <c r="H943" s="124" t="str">
        <f>VLOOKUP(D943,'MPG Payment '!$E$3:$H$333666,4,0)</f>
        <v>Indirect</v>
      </c>
      <c r="I943" s="88">
        <f>INDEX('MPG Payment '!$C:$C,MATCH('Shayak Income '!D943,'MPG Payment '!E:E,0))</f>
        <v>1057</v>
      </c>
      <c r="J943" s="88" t="str">
        <f>INDEX('MPG Payment '!$D:$D,MATCH('Shayak Income '!D943,'MPG Payment '!E:E,0))</f>
        <v>Warisnagar</v>
      </c>
      <c r="K943" s="125" t="s">
        <v>1593</v>
      </c>
      <c r="L943" s="125">
        <v>46184</v>
      </c>
      <c r="M943" s="126">
        <f>SUMIF('MPG Payment '!$E$3:$E$344841,'Shayak Income '!D943,'MPG Payment '!$I$3:$I$344841)</f>
        <v>1713.3</v>
      </c>
      <c r="N943" s="126">
        <f>SUMIF('MPG Payment '!$E$3:$E$344841,'Shayak Income '!D943,'MPG Payment '!$J$3:$J$344841)</f>
        <v>67434.399999999994</v>
      </c>
      <c r="O943" s="126">
        <f t="shared" si="331"/>
        <v>1284.9749999999999</v>
      </c>
      <c r="P943" s="126">
        <f t="shared" si="332"/>
        <v>1627.635</v>
      </c>
      <c r="Q943" s="126">
        <f>SUMIF('MPG Payment '!$E$3:$E$344841,'Shayak Income '!D943,'MPG Payment '!$S$3:$S$344841)</f>
        <v>0</v>
      </c>
      <c r="R943" s="126">
        <f t="shared" si="333"/>
        <v>2023.0319999999997</v>
      </c>
      <c r="S943" s="126">
        <f t="shared" si="334"/>
        <v>395.39699999999971</v>
      </c>
      <c r="T943" s="126">
        <f t="shared" si="326"/>
        <v>171.33</v>
      </c>
      <c r="U943" s="127">
        <f>((((((IF(K943="New",0,SUMIF('MPG Payment '!$E$3:$E$344841,'Shayak Income '!D943,'MPG Payment '!$AC$3:$AC$344841))))+0)+0)+0)+0)+0</f>
        <v>0</v>
      </c>
      <c r="V943" s="127">
        <f t="shared" si="327"/>
        <v>2741</v>
      </c>
      <c r="W943" s="19">
        <v>0</v>
      </c>
      <c r="X943" s="19">
        <f t="shared" si="321"/>
        <v>0</v>
      </c>
      <c r="Y943" s="128">
        <f>IFERROR(VLOOKUP(D943,'Monthly Deduction'!$M$2:$N$640,2,0),0)</f>
        <v>0</v>
      </c>
      <c r="Z943" s="128">
        <v>0</v>
      </c>
      <c r="AA943" s="126">
        <f>IFERROR(VLOOKUP(D943,'Monthly Deduction'!A:B,2,0),0)</f>
        <v>0</v>
      </c>
      <c r="AB943" s="129">
        <f t="shared" si="322"/>
        <v>2741</v>
      </c>
      <c r="AC943" s="130">
        <v>0</v>
      </c>
      <c r="AD943" s="35">
        <f t="shared" si="335"/>
        <v>2741</v>
      </c>
      <c r="AE943" s="166" t="str">
        <f t="shared" si="336"/>
        <v>Release</v>
      </c>
      <c r="AF943" s="127"/>
      <c r="AG943" s="18">
        <v>0</v>
      </c>
      <c r="AH943" s="132"/>
      <c r="AI943" s="238">
        <v>0</v>
      </c>
      <c r="AJ943" s="132"/>
      <c r="AK943" s="151">
        <v>263.20000000000005</v>
      </c>
      <c r="AL943" s="154">
        <f t="shared" si="337"/>
        <v>0</v>
      </c>
      <c r="AM943" s="155"/>
      <c r="AN943" s="19">
        <f t="shared" si="323"/>
        <v>0</v>
      </c>
      <c r="AO943" s="118">
        <f>SUMIF('MPG Payment '!E:E,'Shayak Income '!D943,'MPG Payment '!AJ:AJ)</f>
        <v>0</v>
      </c>
      <c r="AP943" s="19">
        <f t="shared" si="324"/>
        <v>0</v>
      </c>
      <c r="AQ943" s="119">
        <f t="shared" si="338"/>
        <v>0</v>
      </c>
      <c r="AR943" s="91" t="s">
        <v>1144</v>
      </c>
      <c r="AS943" s="91">
        <f t="shared" si="325"/>
        <v>0</v>
      </c>
      <c r="AT943" s="118"/>
      <c r="AU943" s="118"/>
      <c r="AV943" s="118"/>
    </row>
    <row r="944" spans="1:48" s="20" customFormat="1" x14ac:dyDescent="0.25">
      <c r="A944" s="17">
        <f>IFERROR(VLOOKUP(D944,'Monthly Deduction'!$I$3:$J$957,2,0),0)</f>
        <v>0</v>
      </c>
      <c r="B944" s="17">
        <f>IFERROR(VLOOKUP(D944,'Monthly Deduction'!$E$3:$F$957,2,0),0)</f>
        <v>0</v>
      </c>
      <c r="C944" s="17">
        <f t="shared" si="330"/>
        <v>0</v>
      </c>
      <c r="D944" s="41">
        <v>10570066</v>
      </c>
      <c r="E944" s="122" t="str">
        <f>VLOOKUP(D944,'MPG Payment '!$E$3:$G$497305,2,0)</f>
        <v>Madhopur 2</v>
      </c>
      <c r="F944" s="146">
        <f>IFERROR(_xlfn.XLOOKUP(D944,'Monthly Deduction'!$I$3:$I$957,'Monthly Deduction'!$H$3:$H$957),0)</f>
        <v>0</v>
      </c>
      <c r="G944" s="123" t="str">
        <f>VLOOKUP(D944,'MPG Payment '!$E$3:$G$333666,3,0)</f>
        <v>vlc</v>
      </c>
      <c r="H944" s="124" t="str">
        <f>VLOOKUP(D944,'MPG Payment '!$E$3:$H$333666,4,0)</f>
        <v>Indirect</v>
      </c>
      <c r="I944" s="88">
        <f>INDEX('MPG Payment '!$C:$C,MATCH('Shayak Income '!D944,'MPG Payment '!E:E,0))</f>
        <v>1057</v>
      </c>
      <c r="J944" s="88" t="str">
        <f>INDEX('MPG Payment '!$D:$D,MATCH('Shayak Income '!D944,'MPG Payment '!E:E,0))</f>
        <v>Warisnagar</v>
      </c>
      <c r="K944" s="125" t="s">
        <v>1593</v>
      </c>
      <c r="L944" s="125">
        <v>46184</v>
      </c>
      <c r="M944" s="126">
        <f>SUMIF('MPG Payment '!$E$3:$E$344841,'Shayak Income '!D944,'MPG Payment '!$I$3:$I$344841)</f>
        <v>4594.3</v>
      </c>
      <c r="N944" s="126">
        <f>SUMIF('MPG Payment '!$E$3:$E$344841,'Shayak Income '!D944,'MPG Payment '!$J$3:$J$344841)</f>
        <v>179451.25999999998</v>
      </c>
      <c r="O944" s="126">
        <f t="shared" si="331"/>
        <v>3445.7250000000004</v>
      </c>
      <c r="P944" s="126">
        <f t="shared" si="332"/>
        <v>4364.585</v>
      </c>
      <c r="Q944" s="126">
        <f>SUMIF('MPG Payment '!$E$3:$E$344841,'Shayak Income '!D944,'MPG Payment '!$S$3:$S$344841)</f>
        <v>0</v>
      </c>
      <c r="R944" s="126">
        <f t="shared" si="333"/>
        <v>5383.5377999999992</v>
      </c>
      <c r="S944" s="126">
        <f t="shared" si="334"/>
        <v>1018.9527999999991</v>
      </c>
      <c r="T944" s="126">
        <f t="shared" si="326"/>
        <v>459.43000000000006</v>
      </c>
      <c r="U944" s="127">
        <f>((((((IF(K944="New",0,SUMIF('MPG Payment '!$E$3:$E$344841,'Shayak Income '!D944,'MPG Payment '!$AC$3:$AC$344841))))+0)+0)+0)+0)+0</f>
        <v>0</v>
      </c>
      <c r="V944" s="127">
        <f t="shared" si="327"/>
        <v>7351</v>
      </c>
      <c r="W944" s="19">
        <v>0</v>
      </c>
      <c r="X944" s="19">
        <f t="shared" si="321"/>
        <v>0</v>
      </c>
      <c r="Y944" s="128">
        <f>IFERROR(VLOOKUP(D944,'Monthly Deduction'!$M$2:$N$640,2,0),0)</f>
        <v>0</v>
      </c>
      <c r="Z944" s="128">
        <v>0</v>
      </c>
      <c r="AA944" s="126">
        <f>IFERROR(VLOOKUP(D944,'Monthly Deduction'!A:B,2,0),0)</f>
        <v>0</v>
      </c>
      <c r="AB944" s="129">
        <f t="shared" si="322"/>
        <v>7351</v>
      </c>
      <c r="AC944" s="130">
        <v>0</v>
      </c>
      <c r="AD944" s="35">
        <f t="shared" si="335"/>
        <v>7351</v>
      </c>
      <c r="AE944" s="166" t="str">
        <f t="shared" si="336"/>
        <v>Release</v>
      </c>
      <c r="AF944" s="127"/>
      <c r="AG944" s="18">
        <v>0</v>
      </c>
      <c r="AH944" s="132"/>
      <c r="AI944" s="238">
        <v>0</v>
      </c>
      <c r="AJ944" s="132"/>
      <c r="AK944" s="151">
        <v>32.5</v>
      </c>
      <c r="AL944" s="154">
        <f t="shared" si="337"/>
        <v>0</v>
      </c>
      <c r="AM944" s="155"/>
      <c r="AN944" s="19">
        <f t="shared" si="323"/>
        <v>0</v>
      </c>
      <c r="AO944" s="118">
        <f>SUMIF('MPG Payment '!E:E,'Shayak Income '!D944,'MPG Payment '!AJ:AJ)</f>
        <v>0</v>
      </c>
      <c r="AP944" s="19">
        <f t="shared" si="324"/>
        <v>0</v>
      </c>
      <c r="AQ944" s="119">
        <f t="shared" si="338"/>
        <v>0</v>
      </c>
      <c r="AR944" s="91" t="s">
        <v>1144</v>
      </c>
      <c r="AS944" s="91">
        <f t="shared" si="325"/>
        <v>0</v>
      </c>
      <c r="AT944" s="118"/>
      <c r="AU944" s="118"/>
      <c r="AV944" s="118"/>
    </row>
    <row r="945" spans="1:48" s="20" customFormat="1" x14ac:dyDescent="0.25">
      <c r="A945" s="17">
        <f>IFERROR(VLOOKUP(D945,'Monthly Deduction'!$I$3:$J$957,2,0),0)</f>
        <v>65000</v>
      </c>
      <c r="B945" s="17">
        <f>IFERROR(VLOOKUP(D945,'Monthly Deduction'!$E$3:$F$957,2,0),0)</f>
        <v>0</v>
      </c>
      <c r="C945" s="17">
        <f t="shared" si="330"/>
        <v>65000</v>
      </c>
      <c r="D945" s="41">
        <v>10610054</v>
      </c>
      <c r="E945" s="122" t="str">
        <f>VLOOKUP(D945,'MPG Payment '!$E$3:$G$497305,2,0)</f>
        <v>GOMUKH TAJPUR BUZURG</v>
      </c>
      <c r="F945" s="146">
        <f>IFERROR(_xlfn.XLOOKUP(D945,'Monthly Deduction'!$I$3:$I$957,'Monthly Deduction'!$H$3:$H$957),0)</f>
        <v>0</v>
      </c>
      <c r="G945" s="123" t="str">
        <f>VLOOKUP(D945,'MPG Payment '!$E$3:$G$333666,3,0)</f>
        <v>MPG</v>
      </c>
      <c r="H945" s="124" t="str">
        <f>VLOOKUP(D945,'MPG Payment '!$E$3:$H$333666,4,0)</f>
        <v>Direct</v>
      </c>
      <c r="I945" s="88">
        <f>INDEX('MPG Payment '!$C:$C,MATCH('Shayak Income '!D945,'MPG Payment '!E:E,0))</f>
        <v>1061</v>
      </c>
      <c r="J945" s="88" t="str">
        <f>INDEX('MPG Payment '!$D:$D,MATCH('Shayak Income '!D945,'MPG Payment '!E:E,0))</f>
        <v>Mahua BMC</v>
      </c>
      <c r="K945" s="125" t="s">
        <v>1593</v>
      </c>
      <c r="L945" s="125">
        <v>46184</v>
      </c>
      <c r="M945" s="126">
        <f>SUMIF('MPG Payment '!$E$3:$E$344841,'Shayak Income '!D945,'MPG Payment '!$I$3:$I$344841)</f>
        <v>2452.3999999999996</v>
      </c>
      <c r="N945" s="126">
        <f>SUMIF('MPG Payment '!$E$3:$E$344841,'Shayak Income '!D945,'MPG Payment '!$J$3:$J$344841)</f>
        <v>96516.66</v>
      </c>
      <c r="O945" s="126">
        <f t="shared" si="331"/>
        <v>1839.2999999999997</v>
      </c>
      <c r="P945" s="126">
        <f t="shared" si="332"/>
        <v>2329.7799999999997</v>
      </c>
      <c r="Q945" s="126">
        <f>SUMIF('MPG Payment '!$E$3:$E$344841,'Shayak Income '!D945,'MPG Payment '!$S$3:$S$344841)</f>
        <v>0</v>
      </c>
      <c r="R945" s="126">
        <f t="shared" si="333"/>
        <v>2895.4998000000001</v>
      </c>
      <c r="S945" s="126">
        <f t="shared" si="334"/>
        <v>565.7198000000003</v>
      </c>
      <c r="T945" s="126">
        <f t="shared" si="326"/>
        <v>245.23999999999998</v>
      </c>
      <c r="U945" s="127">
        <f>((((((IF(K945="New",0,SUMIF('MPG Payment '!$E$3:$E$344841,'Shayak Income '!D945,'MPG Payment '!$AC$3:$AC$344841))))+0)+0)+0)+0)+0</f>
        <v>0</v>
      </c>
      <c r="V945" s="127">
        <f t="shared" si="327"/>
        <v>3924</v>
      </c>
      <c r="W945" s="19">
        <v>0</v>
      </c>
      <c r="X945" s="19">
        <f t="shared" si="321"/>
        <v>0</v>
      </c>
      <c r="Y945" s="128">
        <f>IFERROR(VLOOKUP(D945,'Monthly Deduction'!$M$2:$N$640,2,0),0)</f>
        <v>0</v>
      </c>
      <c r="Z945" s="128">
        <v>0</v>
      </c>
      <c r="AA945" s="126">
        <f>IFERROR(VLOOKUP(D945,'Monthly Deduction'!A:B,2,0),0)</f>
        <v>0</v>
      </c>
      <c r="AB945" s="129">
        <f t="shared" si="322"/>
        <v>3924</v>
      </c>
      <c r="AC945" s="130">
        <v>0</v>
      </c>
      <c r="AD945" s="35">
        <f t="shared" si="335"/>
        <v>3924</v>
      </c>
      <c r="AE945" s="166" t="str">
        <f t="shared" si="336"/>
        <v>Release</v>
      </c>
      <c r="AF945" s="127"/>
      <c r="AG945" s="18">
        <v>0</v>
      </c>
      <c r="AH945" s="132"/>
      <c r="AI945" s="238">
        <v>0</v>
      </c>
      <c r="AJ945" s="132"/>
      <c r="AK945" s="151">
        <v>549.79999999999995</v>
      </c>
      <c r="AL945" s="154">
        <f t="shared" si="337"/>
        <v>0</v>
      </c>
      <c r="AM945" s="155"/>
      <c r="AN945" s="19">
        <f t="shared" si="323"/>
        <v>1930.3332</v>
      </c>
      <c r="AO945" s="118">
        <f>SUMIF('MPG Payment '!E:E,'Shayak Income '!D945,'MPG Payment '!AJ:AJ)</f>
        <v>0</v>
      </c>
      <c r="AP945" s="19">
        <f t="shared" si="324"/>
        <v>0</v>
      </c>
      <c r="AQ945" s="119">
        <f t="shared" si="338"/>
        <v>0</v>
      </c>
      <c r="AR945" s="91" t="s">
        <v>1144</v>
      </c>
      <c r="AS945" s="91">
        <f t="shared" si="325"/>
        <v>0</v>
      </c>
      <c r="AT945" s="118"/>
      <c r="AU945" s="118"/>
      <c r="AV945" s="118"/>
    </row>
    <row r="946" spans="1:48" s="20" customFormat="1" x14ac:dyDescent="0.25">
      <c r="A946" s="17">
        <f>IFERROR(VLOOKUP(D946,'Monthly Deduction'!$I$3:$J$957,2,0),0)</f>
        <v>0</v>
      </c>
      <c r="B946" s="17">
        <f>IFERROR(VLOOKUP(D946,'Monthly Deduction'!$E$3:$F$957,2,0),0)</f>
        <v>0</v>
      </c>
      <c r="C946" s="17">
        <f t="shared" si="330"/>
        <v>0</v>
      </c>
      <c r="D946" s="41">
        <v>10650015</v>
      </c>
      <c r="E946" s="122" t="str">
        <f>VLOOKUP(D946,'MPG Payment '!$E$3:$G$497305,2,0)</f>
        <v>Gomukh BACHHWARA</v>
      </c>
      <c r="F946" s="146">
        <f>IFERROR(_xlfn.XLOOKUP(D946,'Monthly Deduction'!$I$3:$I$957,'Monthly Deduction'!$H$3:$H$957),0)</f>
        <v>0</v>
      </c>
      <c r="G946" s="123" t="str">
        <f>VLOOKUP(D946,'MPG Payment '!$E$3:$G$333666,3,0)</f>
        <v>MPG</v>
      </c>
      <c r="H946" s="124" t="str">
        <f>VLOOKUP(D946,'MPG Payment '!$E$3:$H$333666,4,0)</f>
        <v>Direct</v>
      </c>
      <c r="I946" s="88">
        <f>INDEX('MPG Payment '!$C:$C,MATCH('Shayak Income '!D946,'MPG Payment '!E:E,0))</f>
        <v>1065</v>
      </c>
      <c r="J946" s="88" t="str">
        <f>INDEX('MPG Payment '!$D:$D,MATCH('Shayak Income '!D946,'MPG Payment '!E:E,0))</f>
        <v>Bachhwara BMC</v>
      </c>
      <c r="K946" s="125" t="s">
        <v>1593</v>
      </c>
      <c r="L946" s="125">
        <v>46179</v>
      </c>
      <c r="M946" s="126">
        <f>SUMIF('MPG Payment '!$E$3:$E$344841,'Shayak Income '!D946,'MPG Payment '!$I$3:$I$344841)</f>
        <v>264.89999999999998</v>
      </c>
      <c r="N946" s="126">
        <f>SUMIF('MPG Payment '!$E$3:$E$344841,'Shayak Income '!D946,'MPG Payment '!$J$3:$J$344841)</f>
        <v>9842.2200000000012</v>
      </c>
      <c r="O946" s="126">
        <f t="shared" si="331"/>
        <v>198.67499999999998</v>
      </c>
      <c r="P946" s="126">
        <f t="shared" si="332"/>
        <v>251.65499999999997</v>
      </c>
      <c r="Q946" s="126">
        <f>SUMIF('MPG Payment '!$E$3:$E$344841,'Shayak Income '!D946,'MPG Payment '!$S$3:$S$344841)</f>
        <v>0</v>
      </c>
      <c r="R946" s="126">
        <f t="shared" si="333"/>
        <v>295.26660000000004</v>
      </c>
      <c r="S946" s="126">
        <f t="shared" si="334"/>
        <v>43.611600000000067</v>
      </c>
      <c r="T946" s="126">
        <f t="shared" si="326"/>
        <v>26.49</v>
      </c>
      <c r="U946" s="127">
        <f>((((((IF(K946="New",0,SUMIF('MPG Payment '!$E$3:$E$344841,'Shayak Income '!D946,'MPG Payment '!$AC$3:$AC$344841))))+0)+0)+0)+0)+0</f>
        <v>0</v>
      </c>
      <c r="V946" s="127">
        <f t="shared" si="327"/>
        <v>424</v>
      </c>
      <c r="W946" s="19">
        <v>0</v>
      </c>
      <c r="X946" s="19">
        <f t="shared" si="321"/>
        <v>0</v>
      </c>
      <c r="Y946" s="128">
        <f>IFERROR(VLOOKUP(D946,'Monthly Deduction'!$M$2:$N$640,2,0),0)</f>
        <v>0</v>
      </c>
      <c r="Z946" s="128">
        <v>0</v>
      </c>
      <c r="AA946" s="126">
        <f>IFERROR(VLOOKUP(D946,'Monthly Deduction'!A:B,2,0),0)</f>
        <v>0</v>
      </c>
      <c r="AB946" s="129">
        <f t="shared" si="322"/>
        <v>424</v>
      </c>
      <c r="AC946" s="130">
        <f>AB946</f>
        <v>424</v>
      </c>
      <c r="AD946" s="35">
        <f t="shared" si="335"/>
        <v>0</v>
      </c>
      <c r="AE946" s="166" t="str">
        <f t="shared" si="336"/>
        <v>Yes</v>
      </c>
      <c r="AF946" s="127"/>
      <c r="AG946" s="234">
        <v>0</v>
      </c>
      <c r="AH946" s="132" t="s">
        <v>1684</v>
      </c>
      <c r="AI946" s="238">
        <v>0</v>
      </c>
      <c r="AJ946" s="132"/>
      <c r="AK946" s="151">
        <v>0</v>
      </c>
      <c r="AL946" s="154">
        <f t="shared" si="337"/>
        <v>0</v>
      </c>
      <c r="AM946" s="155"/>
      <c r="AN946" s="19">
        <f t="shared" si="323"/>
        <v>0</v>
      </c>
      <c r="AO946" s="118">
        <f>SUMIF('MPG Payment '!E:E,'Shayak Income '!D946,'MPG Payment '!AJ:AJ)</f>
        <v>0</v>
      </c>
      <c r="AP946" s="19">
        <f t="shared" si="324"/>
        <v>0</v>
      </c>
      <c r="AQ946" s="119">
        <f t="shared" si="338"/>
        <v>0</v>
      </c>
      <c r="AR946" s="91" t="s">
        <v>1144</v>
      </c>
      <c r="AS946" s="91">
        <f t="shared" si="325"/>
        <v>0</v>
      </c>
      <c r="AT946" s="118"/>
      <c r="AU946" s="118"/>
      <c r="AV946" s="118"/>
    </row>
    <row r="947" spans="1:48" s="20" customFormat="1" x14ac:dyDescent="0.25">
      <c r="A947" s="17">
        <f>IFERROR(VLOOKUP(D947,'Monthly Deduction'!$I$3:$J$957,2,0),0)</f>
        <v>0</v>
      </c>
      <c r="B947" s="17">
        <f>IFERROR(VLOOKUP(D947,'Monthly Deduction'!$E$3:$F$957,2,0),0)</f>
        <v>0</v>
      </c>
      <c r="C947" s="17">
        <f t="shared" si="312"/>
        <v>0</v>
      </c>
      <c r="D947" s="41">
        <v>10010079</v>
      </c>
      <c r="E947" s="122" t="str">
        <f>VLOOKUP(D947,'MPG Payment '!$E$3:$G$497305,2,0)</f>
        <v>Chandan Dairy</v>
      </c>
      <c r="F947" s="146">
        <f>IFERROR(_xlfn.XLOOKUP(D947,'Monthly Deduction'!$I$3:$I$957,'Monthly Deduction'!$H$3:$H$957),0)</f>
        <v>0</v>
      </c>
      <c r="G947" s="123" t="str">
        <f>VLOOKUP(D947,'MPG Payment '!$E$3:$G$333666,3,0)</f>
        <v>VLC</v>
      </c>
      <c r="H947" s="124" t="str">
        <f>VLOOKUP(D947,'MPG Payment '!$E$3:$H$333666,4,0)</f>
        <v>Indirect</v>
      </c>
      <c r="I947" s="88">
        <f>INDEX('MPG Payment '!$C:$C,MATCH('Shayak Income '!D947,'MPG Payment '!E:E,0))</f>
        <v>1058</v>
      </c>
      <c r="J947" s="88" t="str">
        <f>INDEX('MPG Payment '!$D:$D,MATCH('Shayak Income '!D947,'MPG Payment '!E:E,0))</f>
        <v>Hasanpur</v>
      </c>
      <c r="K947" s="125" t="s">
        <v>1594</v>
      </c>
      <c r="L947" s="125">
        <v>45469</v>
      </c>
      <c r="M947" s="126">
        <f>SUMIF('MPG Payment '!$E$3:$E$344841,'Shayak Income '!D947,'MPG Payment '!$I$3:$I$344841)</f>
        <v>781.23</v>
      </c>
      <c r="N947" s="126">
        <f>SUMIF('MPG Payment '!$E$3:$E$344841,'Shayak Income '!D947,'MPG Payment '!$J$3:$J$344841)</f>
        <v>32727.930000000004</v>
      </c>
      <c r="O947" s="126">
        <f t="shared" si="313"/>
        <v>585.92250000000001</v>
      </c>
      <c r="P947" s="126">
        <f t="shared" si="314"/>
        <v>742.16849999999999</v>
      </c>
      <c r="Q947" s="126">
        <f>SUMIF('MPG Payment '!$E$3:$E$344841,'Shayak Income '!D947,'MPG Payment '!$S$3:$S$344841)</f>
        <v>0</v>
      </c>
      <c r="R947" s="126">
        <f t="shared" si="315"/>
        <v>981.8379000000001</v>
      </c>
      <c r="S947" s="126">
        <f t="shared" si="316"/>
        <v>239.66940000000011</v>
      </c>
      <c r="T947" s="126">
        <f t="shared" si="326"/>
        <v>78.123000000000005</v>
      </c>
      <c r="U947" s="127">
        <f>((((((IF(K947="New",0,SUMIF('MPG Payment '!$E$3:$E$344841,'Shayak Income '!D947,'MPG Payment '!$AC$3:$AC$344841))))+0)+0)+0)+0)+0</f>
        <v>1095.7877065433604</v>
      </c>
      <c r="V947" s="127">
        <f t="shared" si="327"/>
        <v>154</v>
      </c>
      <c r="W947" s="19">
        <f t="shared" si="329"/>
        <v>0</v>
      </c>
      <c r="X947" s="19">
        <f t="shared" si="321"/>
        <v>0</v>
      </c>
      <c r="Y947" s="128">
        <f>IFERROR(VLOOKUP(D947,'Monthly Deduction'!$M$2:$N$640,2,0),0)</f>
        <v>0</v>
      </c>
      <c r="Z947" s="128">
        <v>0</v>
      </c>
      <c r="AA947" s="126">
        <f>IFERROR(VLOOKUP(D947,'Monthly Deduction'!A:B,2,0),0)</f>
        <v>0</v>
      </c>
      <c r="AB947" s="129">
        <f t="shared" si="322"/>
        <v>154</v>
      </c>
      <c r="AC947" s="130">
        <v>0</v>
      </c>
      <c r="AD947" s="35">
        <f t="shared" si="317"/>
        <v>154</v>
      </c>
      <c r="AE947" s="166" t="str">
        <f t="shared" si="318"/>
        <v>Release</v>
      </c>
      <c r="AF947" s="127"/>
      <c r="AG947" s="18">
        <v>0</v>
      </c>
      <c r="AH947" s="132"/>
      <c r="AI947" s="238">
        <v>0</v>
      </c>
      <c r="AJ947" s="132"/>
      <c r="AK947" s="151">
        <v>40.25</v>
      </c>
      <c r="AL947" s="154">
        <f t="shared" si="319"/>
        <v>0</v>
      </c>
      <c r="AM947" s="155"/>
      <c r="AN947" s="19">
        <f t="shared" si="323"/>
        <v>0</v>
      </c>
      <c r="AO947" s="118">
        <f>SUMIF('MPG Payment '!E:E,'Shayak Income '!D947,'MPG Payment '!AJ:AJ)</f>
        <v>0</v>
      </c>
      <c r="AP947" s="19">
        <f t="shared" si="324"/>
        <v>0</v>
      </c>
      <c r="AQ947" s="119">
        <f t="shared" si="320"/>
        <v>0</v>
      </c>
      <c r="AR947" s="91" t="s">
        <v>1144</v>
      </c>
      <c r="AS947" s="91">
        <f t="shared" si="325"/>
        <v>0</v>
      </c>
      <c r="AT947" s="118"/>
      <c r="AU947" s="118"/>
      <c r="AV947" s="118"/>
    </row>
    <row r="948" spans="1:48" s="20" customFormat="1" x14ac:dyDescent="0.25">
      <c r="A948" s="17">
        <f>IFERROR(VLOOKUP(D948,'Monthly Deduction'!$I$3:$J$957,2,0),0)</f>
        <v>0</v>
      </c>
      <c r="B948" s="17">
        <f>IFERROR(VLOOKUP(D948,'Monthly Deduction'!$E$3:$F$957,2,0),0)</f>
        <v>0</v>
      </c>
      <c r="C948" s="17">
        <f t="shared" ref="C948:C1005" si="343">A948+B948</f>
        <v>0</v>
      </c>
      <c r="D948" s="41">
        <v>10090069</v>
      </c>
      <c r="E948" s="122" t="str">
        <f>VLOOKUP(D948,'MPG Payment '!$E$3:$G$497305,2,0)</f>
        <v>MAHMADPUR VL</v>
      </c>
      <c r="F948" s="146">
        <f>IFERROR(_xlfn.XLOOKUP(D948,'Monthly Deduction'!$I$3:$I$957,'Monthly Deduction'!$H$3:$H$957),0)</f>
        <v>0</v>
      </c>
      <c r="G948" s="123" t="str">
        <f>VLOOKUP(D948,'MPG Payment '!$E$3:$G$333666,3,0)</f>
        <v>vlc</v>
      </c>
      <c r="H948" s="124" t="str">
        <f>VLOOKUP(D948,'MPG Payment '!$E$3:$H$333666,4,0)</f>
        <v>Indirect</v>
      </c>
      <c r="I948" s="88">
        <f>INDEX('MPG Payment '!$C:$C,MATCH('Shayak Income '!D948,'MPG Payment '!E:E,0))</f>
        <v>1009</v>
      </c>
      <c r="J948" s="88" t="str">
        <f>INDEX('MPG Payment '!$D:$D,MATCH('Shayak Income '!D948,'MPG Payment '!E:E,0))</f>
        <v>Halsi</v>
      </c>
      <c r="K948" s="125" t="s">
        <v>1594</v>
      </c>
      <c r="L948" s="125">
        <v>45892</v>
      </c>
      <c r="M948" s="126">
        <f>SUMIF('MPG Payment '!$E$3:$E$344841,'Shayak Income '!D948,'MPG Payment '!$I$3:$I$344841)</f>
        <v>3323.4999999999995</v>
      </c>
      <c r="N948" s="126">
        <f>SUMIF('MPG Payment '!$E$3:$E$344841,'Shayak Income '!D948,'MPG Payment '!$J$3:$J$344841)</f>
        <v>150503.63</v>
      </c>
      <c r="O948" s="126">
        <f t="shared" ref="O948:O1005" si="344">+M948*0.75</f>
        <v>2492.6249999999995</v>
      </c>
      <c r="P948" s="126">
        <f t="shared" ref="P948:P1005" si="345">+M948*0.95</f>
        <v>3157.3249999999994</v>
      </c>
      <c r="Q948" s="126">
        <f>SUMIF('MPG Payment '!$E$3:$E$344841,'Shayak Income '!D948,'MPG Payment '!$S$3:$S$344841)</f>
        <v>0</v>
      </c>
      <c r="R948" s="126">
        <f t="shared" ref="R948:R1005" si="346">+N948*3%</f>
        <v>4515.1089000000002</v>
      </c>
      <c r="S948" s="126">
        <f t="shared" ref="S948:S1005" si="347">R948-P948</f>
        <v>1357.7839000000008</v>
      </c>
      <c r="T948" s="126">
        <f t="shared" si="326"/>
        <v>332.34999999999997</v>
      </c>
      <c r="U948" s="127">
        <f>((((((IF(K948="New",0,SUMIF('MPG Payment '!$E$3:$E$344841,'Shayak Income '!D948,'MPG Payment '!$AC$3:$AC$344841))))+0)+0)+0)+0)+0</f>
        <v>0</v>
      </c>
      <c r="V948" s="127">
        <f t="shared" si="327"/>
        <v>5318</v>
      </c>
      <c r="W948" s="19">
        <f t="shared" si="329"/>
        <v>0</v>
      </c>
      <c r="X948" s="19">
        <f t="shared" si="321"/>
        <v>0</v>
      </c>
      <c r="Y948" s="128">
        <f>IFERROR(VLOOKUP(D948,'Monthly Deduction'!$M$2:$N$640,2,0),0)</f>
        <v>0</v>
      </c>
      <c r="Z948" s="128">
        <v>0</v>
      </c>
      <c r="AA948" s="126">
        <f>IFERROR(VLOOKUP(D948,'Monthly Deduction'!A:B,2,0),0)</f>
        <v>0</v>
      </c>
      <c r="AB948" s="129">
        <f t="shared" si="322"/>
        <v>5318</v>
      </c>
      <c r="AC948" s="130">
        <v>0</v>
      </c>
      <c r="AD948" s="35">
        <f t="shared" ref="AD948:AD1005" si="348">ROUND(AB948-AC948,0)</f>
        <v>5318</v>
      </c>
      <c r="AE948" s="166" t="str">
        <f t="shared" ref="AE948:AE1005" si="349">IF(AC948&lt;&gt;0,"Yes","Release")</f>
        <v>Release</v>
      </c>
      <c r="AF948" s="127"/>
      <c r="AG948" s="234">
        <v>0</v>
      </c>
      <c r="AH948" s="120"/>
      <c r="AI948" s="238">
        <v>0</v>
      </c>
      <c r="AJ948" s="132"/>
      <c r="AK948" s="151">
        <v>571.6</v>
      </c>
      <c r="AL948" s="154">
        <f t="shared" ref="AL948:AL1005" si="350">COUNTIF(AK948:AK948,"=NA")</f>
        <v>0</v>
      </c>
      <c r="AM948" s="155"/>
      <c r="AN948" s="19">
        <f t="shared" si="323"/>
        <v>0</v>
      </c>
      <c r="AO948" s="118">
        <f>SUMIF('MPG Payment '!E:E,'Shayak Income '!D948,'MPG Payment '!AJ:AJ)</f>
        <v>0</v>
      </c>
      <c r="AP948" s="19">
        <f t="shared" si="324"/>
        <v>0</v>
      </c>
      <c r="AQ948" s="119">
        <f t="shared" ref="AQ948:AQ1005" si="351">AO948+AP948</f>
        <v>0</v>
      </c>
      <c r="AR948" s="91" t="s">
        <v>1144</v>
      </c>
      <c r="AS948" s="91">
        <f t="shared" si="325"/>
        <v>0</v>
      </c>
      <c r="AT948" s="118"/>
      <c r="AU948" s="118"/>
      <c r="AV948" s="118"/>
    </row>
    <row r="949" spans="1:48" s="20" customFormat="1" x14ac:dyDescent="0.25">
      <c r="A949" s="17">
        <f>IFERROR(VLOOKUP(D949,'Monthly Deduction'!$I$3:$J$957,2,0),0)</f>
        <v>88448</v>
      </c>
      <c r="B949" s="17">
        <f>IFERROR(VLOOKUP(D949,'Monthly Deduction'!$E$3:$F$957,2,0),0)</f>
        <v>6400</v>
      </c>
      <c r="C949" s="17">
        <f t="shared" si="343"/>
        <v>94848</v>
      </c>
      <c r="D949" s="41">
        <v>10110112</v>
      </c>
      <c r="E949" s="122" t="str">
        <f>VLOOKUP(D949,'MPG Payment '!$E$3:$G$497305,2,0)</f>
        <v>GOMUKH ALOLI</v>
      </c>
      <c r="F949" s="146">
        <f>IFERROR(_xlfn.XLOOKUP(D949,'Monthly Deduction'!$I$3:$I$957,'Monthly Deduction'!$H$3:$H$957),0)</f>
        <v>0</v>
      </c>
      <c r="G949" s="123" t="str">
        <f>VLOOKUP(D949,'MPG Payment '!$E$3:$G$333666,3,0)</f>
        <v>MPG</v>
      </c>
      <c r="H949" s="124" t="str">
        <f>VLOOKUP(D949,'MPG Payment '!$E$3:$H$333666,4,0)</f>
        <v>Direct</v>
      </c>
      <c r="I949" s="88">
        <f>INDEX('MPG Payment '!$C:$C,MATCH('Shayak Income '!D949,'MPG Payment '!E:E,0))</f>
        <v>1054</v>
      </c>
      <c r="J949" s="88" t="str">
        <f>INDEX('MPG Payment '!$D:$D,MATCH('Shayak Income '!D949,'MPG Payment '!E:E,0))</f>
        <v xml:space="preserve">Alauli </v>
      </c>
      <c r="K949" s="125" t="s">
        <v>1594</v>
      </c>
      <c r="L949" s="125">
        <v>45814</v>
      </c>
      <c r="M949" s="126">
        <f>SUMIF('MPG Payment '!$E$3:$E$344841,'Shayak Income '!D949,'MPG Payment '!$I$3:$I$344841)</f>
        <v>462.8</v>
      </c>
      <c r="N949" s="126">
        <f>SUMIF('MPG Payment '!$E$3:$E$344841,'Shayak Income '!D949,'MPG Payment '!$J$3:$J$344841)</f>
        <v>17429.950000000004</v>
      </c>
      <c r="O949" s="126">
        <f t="shared" si="344"/>
        <v>347.1</v>
      </c>
      <c r="P949" s="126">
        <f t="shared" si="345"/>
        <v>439.65999999999997</v>
      </c>
      <c r="Q949" s="126">
        <f>SUMIF('MPG Payment '!$E$3:$E$344841,'Shayak Income '!D949,'MPG Payment '!$S$3:$S$344841)</f>
        <v>0</v>
      </c>
      <c r="R949" s="126">
        <f t="shared" si="346"/>
        <v>522.89850000000013</v>
      </c>
      <c r="S949" s="126">
        <f t="shared" si="347"/>
        <v>83.238500000000158</v>
      </c>
      <c r="T949" s="126">
        <f t="shared" si="326"/>
        <v>46.28</v>
      </c>
      <c r="U949" s="127">
        <f>((((((IF(K949="New",0,SUMIF('MPG Payment '!$E$3:$E$344841,'Shayak Income '!D949,'MPG Payment '!$AC$3:$AC$344841))))+0)+0)+0)+0)+-485</f>
        <v>740.26695838116802</v>
      </c>
      <c r="V949" s="127">
        <f t="shared" si="327"/>
        <v>0</v>
      </c>
      <c r="W949" s="19">
        <v>0</v>
      </c>
      <c r="X949" s="19">
        <v>0</v>
      </c>
      <c r="Y949" s="128">
        <v>0</v>
      </c>
      <c r="Z949" s="128">
        <v>0</v>
      </c>
      <c r="AA949" s="126">
        <v>0</v>
      </c>
      <c r="AB949" s="129">
        <f t="shared" si="322"/>
        <v>0</v>
      </c>
      <c r="AC949" s="130">
        <f t="shared" ref="AC949:AC950" si="352">AB949</f>
        <v>0</v>
      </c>
      <c r="AD949" s="35">
        <f t="shared" si="348"/>
        <v>0</v>
      </c>
      <c r="AE949" s="166" t="str">
        <f t="shared" si="349"/>
        <v>Release</v>
      </c>
      <c r="AF949" s="127"/>
      <c r="AG949" s="18">
        <v>0</v>
      </c>
      <c r="AH949" s="120" t="s">
        <v>1685</v>
      </c>
      <c r="AI949" s="238">
        <v>7414</v>
      </c>
      <c r="AJ949" s="132"/>
      <c r="AK949" s="151">
        <v>238.3</v>
      </c>
      <c r="AL949" s="154">
        <f t="shared" si="350"/>
        <v>0</v>
      </c>
      <c r="AM949" s="155"/>
      <c r="AN949" s="19">
        <f t="shared" si="323"/>
        <v>1861</v>
      </c>
      <c r="AO949" s="118">
        <f>SUMIF('MPG Payment '!E:E,'Shayak Income '!D949,'MPG Payment '!AJ:AJ)</f>
        <v>1500</v>
      </c>
      <c r="AP949" s="19">
        <f t="shared" si="324"/>
        <v>0</v>
      </c>
      <c r="AQ949" s="119">
        <f t="shared" si="351"/>
        <v>1500</v>
      </c>
      <c r="AR949" s="91" t="s">
        <v>1144</v>
      </c>
      <c r="AS949" s="91">
        <f t="shared" si="325"/>
        <v>6400</v>
      </c>
      <c r="AT949" s="118"/>
      <c r="AU949" s="118"/>
      <c r="AV949" s="118"/>
    </row>
    <row r="950" spans="1:48" s="20" customFormat="1" x14ac:dyDescent="0.25">
      <c r="A950" s="17">
        <f>IFERROR(VLOOKUP(D950,'Monthly Deduction'!$I$3:$J$957,2,0),0)</f>
        <v>94905</v>
      </c>
      <c r="B950" s="17">
        <f>IFERROR(VLOOKUP(D950,'Monthly Deduction'!$E$3:$F$957,2,0),0)</f>
        <v>6400</v>
      </c>
      <c r="C950" s="17">
        <f t="shared" ref="C950:C999" si="353">A950+B950</f>
        <v>101305</v>
      </c>
      <c r="D950" s="41">
        <v>10130090</v>
      </c>
      <c r="E950" s="122" t="str">
        <f>VLOOKUP(D950,'MPG Payment '!$E$3:$G$497305,2,0)</f>
        <v>Gomukh Akowahi Purvi Tol</v>
      </c>
      <c r="F950" s="146">
        <f>IFERROR(_xlfn.XLOOKUP(D950,'Monthly Deduction'!$I$3:$I$957,'Monthly Deduction'!$H$3:$H$957),0)</f>
        <v>0</v>
      </c>
      <c r="G950" s="123" t="str">
        <f>VLOOKUP(D950,'MPG Payment '!$E$3:$G$333666,3,0)</f>
        <v>MPG</v>
      </c>
      <c r="H950" s="124" t="str">
        <f>VLOOKUP(D950,'MPG Payment '!$E$3:$H$333666,4,0)</f>
        <v>Direct</v>
      </c>
      <c r="I950" s="88">
        <f>INDEX('MPG Payment '!$C:$C,MATCH('Shayak Income '!D950,'MPG Payment '!E:E,0))</f>
        <v>1013</v>
      </c>
      <c r="J950" s="88" t="str">
        <f>INDEX('MPG Payment '!$D:$D,MATCH('Shayak Income '!D950,'MPG Payment '!E:E,0))</f>
        <v>Musrigharari</v>
      </c>
      <c r="K950" s="125" t="s">
        <v>1594</v>
      </c>
      <c r="L950" s="125">
        <v>45740</v>
      </c>
      <c r="M950" s="126">
        <f>SUMIF('MPG Payment '!$E$3:$E$344841,'Shayak Income '!D950,'MPG Payment '!$I$3:$I$344841)</f>
        <v>61.2</v>
      </c>
      <c r="N950" s="126">
        <f>SUMIF('MPG Payment '!$E$3:$E$344841,'Shayak Income '!D950,'MPG Payment '!$J$3:$J$344841)</f>
        <v>2189.6799999999998</v>
      </c>
      <c r="O950" s="126">
        <f t="shared" ref="O950:O999" si="354">+M950*0.75</f>
        <v>45.900000000000006</v>
      </c>
      <c r="P950" s="126">
        <f t="shared" ref="P950:P999" si="355">+M950*0.95</f>
        <v>58.14</v>
      </c>
      <c r="Q950" s="126">
        <f>SUMIF('MPG Payment '!$E$3:$E$344841,'Shayak Income '!D950,'MPG Payment '!$S$3:$S$344841)</f>
        <v>0</v>
      </c>
      <c r="R950" s="126">
        <f t="shared" ref="R950:R999" si="356">+N950*3%</f>
        <v>65.690399999999997</v>
      </c>
      <c r="S950" s="126">
        <f t="shared" ref="S950:S999" si="357">R950-P950</f>
        <v>7.5503999999999962</v>
      </c>
      <c r="T950" s="126">
        <f t="shared" si="326"/>
        <v>6.120000000000001</v>
      </c>
      <c r="U950" s="127">
        <f>((((((IF(K950="New",0,SUMIF('MPG Payment '!$E$3:$E$344841,'Shayak Income '!D950,'MPG Payment '!$AC$3:$AC$344841))))+0)+0)+0)+0)+-1444</f>
        <v>98.018189110054664</v>
      </c>
      <c r="V950" s="127">
        <f t="shared" si="327"/>
        <v>0</v>
      </c>
      <c r="W950" s="19">
        <v>0</v>
      </c>
      <c r="X950" s="19">
        <v>0</v>
      </c>
      <c r="Y950" s="128">
        <v>0</v>
      </c>
      <c r="Z950" s="128">
        <v>0</v>
      </c>
      <c r="AA950" s="126">
        <v>0</v>
      </c>
      <c r="AB950" s="129">
        <f t="shared" si="322"/>
        <v>0</v>
      </c>
      <c r="AC950" s="130">
        <f t="shared" si="352"/>
        <v>0</v>
      </c>
      <c r="AD950" s="35">
        <f t="shared" ref="AD950:AD999" si="358">ROUND(AB950-AC950,0)</f>
        <v>0</v>
      </c>
      <c r="AE950" s="166" t="str">
        <f t="shared" ref="AE950:AE999" si="359">IF(AC950&lt;&gt;0,"Yes","Release")</f>
        <v>Release</v>
      </c>
      <c r="AF950" s="127"/>
      <c r="AG950" s="18">
        <v>0</v>
      </c>
      <c r="AH950" s="120" t="s">
        <v>1686</v>
      </c>
      <c r="AI950" s="238">
        <v>10000</v>
      </c>
      <c r="AJ950" s="132"/>
      <c r="AK950" s="151">
        <v>9.1999999999999993</v>
      </c>
      <c r="AL950" s="154">
        <f t="shared" ref="AL950:AL999" si="360">COUNTIF(AK950:AK950,"=NA")</f>
        <v>0</v>
      </c>
      <c r="AM950" s="155"/>
      <c r="AN950" s="19">
        <f t="shared" si="323"/>
        <v>1861</v>
      </c>
      <c r="AO950" s="118">
        <f>SUMIF('MPG Payment '!E:E,'Shayak Income '!D950,'MPG Payment '!AJ:AJ)</f>
        <v>0</v>
      </c>
      <c r="AP950" s="19">
        <f t="shared" si="324"/>
        <v>0</v>
      </c>
      <c r="AQ950" s="119">
        <f t="shared" ref="AQ950:AQ999" si="361">AO950+AP950</f>
        <v>0</v>
      </c>
      <c r="AR950" s="91" t="s">
        <v>1144</v>
      </c>
      <c r="AS950" s="91">
        <f t="shared" si="325"/>
        <v>6400</v>
      </c>
      <c r="AT950" s="118"/>
      <c r="AU950" s="118"/>
      <c r="AV950" s="118"/>
    </row>
    <row r="951" spans="1:48" s="20" customFormat="1" x14ac:dyDescent="0.25">
      <c r="A951" s="17">
        <f>IFERROR(VLOOKUP(D951,'Monthly Deduction'!$I$3:$J$957,2,0),0)</f>
        <v>58853.924908497051</v>
      </c>
      <c r="B951" s="17">
        <f>IFERROR(VLOOKUP(D951,'Monthly Deduction'!$E$3:$F$957,2,0),0)</f>
        <v>0</v>
      </c>
      <c r="C951" s="17">
        <f t="shared" si="353"/>
        <v>58853.924908497051</v>
      </c>
      <c r="D951" s="41">
        <v>10140041</v>
      </c>
      <c r="E951" s="122" t="str">
        <f>VLOOKUP(D951,'MPG Payment '!$E$3:$G$497305,2,0)</f>
        <v>Ramopatti</v>
      </c>
      <c r="F951" s="146">
        <f>IFERROR(_xlfn.XLOOKUP(D951,'Monthly Deduction'!$I$3:$I$957,'Monthly Deduction'!$H$3:$H$957),0)</f>
        <v>0</v>
      </c>
      <c r="G951" s="123" t="str">
        <f>VLOOKUP(D951,'MPG Payment '!$E$3:$G$333666,3,0)</f>
        <v>MPG</v>
      </c>
      <c r="H951" s="124" t="str">
        <f>VLOOKUP(D951,'MPG Payment '!$E$3:$H$333666,4,0)</f>
        <v>Direct</v>
      </c>
      <c r="I951" s="88">
        <f>INDEX('MPG Payment '!$C:$C,MATCH('Shayak Income '!D951,'MPG Payment '!E:E,0))</f>
        <v>1014</v>
      </c>
      <c r="J951" s="88" t="str">
        <f>INDEX('MPG Payment '!$D:$D,MATCH('Shayak Income '!D951,'MPG Payment '!E:E,0))</f>
        <v>Dumraon</v>
      </c>
      <c r="K951" s="125" t="s">
        <v>1594</v>
      </c>
      <c r="L951" s="125">
        <v>44979</v>
      </c>
      <c r="M951" s="126">
        <f>SUMIF('MPG Payment '!$E$3:$E$344841,'Shayak Income '!D951,'MPG Payment '!$I$3:$I$344841)</f>
        <v>1482.7</v>
      </c>
      <c r="N951" s="126">
        <f>SUMIF('MPG Payment '!$E$3:$E$344841,'Shayak Income '!D951,'MPG Payment '!$J$3:$J$344841)</f>
        <v>55781.8</v>
      </c>
      <c r="O951" s="126">
        <f t="shared" si="354"/>
        <v>1112.0250000000001</v>
      </c>
      <c r="P951" s="126">
        <f t="shared" si="355"/>
        <v>1408.5650000000001</v>
      </c>
      <c r="Q951" s="126">
        <f>SUMIF('MPG Payment '!$E$3:$E$344841,'Shayak Income '!D951,'MPG Payment '!$S$3:$S$344841)</f>
        <v>0</v>
      </c>
      <c r="R951" s="126">
        <f t="shared" si="356"/>
        <v>1673.454</v>
      </c>
      <c r="S951" s="126">
        <f t="shared" si="357"/>
        <v>264.8889999999999</v>
      </c>
      <c r="T951" s="126">
        <f t="shared" si="326"/>
        <v>148.27000000000001</v>
      </c>
      <c r="U951" s="127">
        <f>((((((IF(K951="New",0,SUMIF('MPG Payment '!$E$3:$E$344841,'Shayak Income '!D951,'MPG Payment '!$AC$3:$AC$344841))))+0)+0)+0)+0)+0</f>
        <v>1015.6904458795066</v>
      </c>
      <c r="V951" s="127">
        <f t="shared" si="327"/>
        <v>1357</v>
      </c>
      <c r="W951" s="19">
        <v>0</v>
      </c>
      <c r="X951" s="19">
        <f t="shared" si="321"/>
        <v>0</v>
      </c>
      <c r="Y951" s="128">
        <f>IFERROR(VLOOKUP(D951,'Monthly Deduction'!$M$2:$N$640,2,0),0)</f>
        <v>0</v>
      </c>
      <c r="Z951" s="128">
        <v>409</v>
      </c>
      <c r="AA951" s="126">
        <f>IFERROR(VLOOKUP(D951,'Monthly Deduction'!A:B,2,0),0)</f>
        <v>948.43999999999994</v>
      </c>
      <c r="AB951" s="129">
        <f t="shared" si="322"/>
        <v>0</v>
      </c>
      <c r="AC951" s="130">
        <v>0</v>
      </c>
      <c r="AD951" s="35">
        <f t="shared" si="358"/>
        <v>0</v>
      </c>
      <c r="AE951" s="166" t="str">
        <f t="shared" si="359"/>
        <v>Release</v>
      </c>
      <c r="AF951" s="127"/>
      <c r="AG951" s="18">
        <v>0</v>
      </c>
      <c r="AH951" s="132" t="s">
        <v>1682</v>
      </c>
      <c r="AI951" s="238">
        <v>0</v>
      </c>
      <c r="AJ951" s="132"/>
      <c r="AK951" s="151">
        <v>342.7</v>
      </c>
      <c r="AL951" s="154">
        <f t="shared" si="360"/>
        <v>0</v>
      </c>
      <c r="AM951" s="155"/>
      <c r="AN951" s="19">
        <f t="shared" si="323"/>
        <v>1861</v>
      </c>
      <c r="AO951" s="118">
        <f>SUMIF('MPG Payment '!E:E,'Shayak Income '!D951,'MPG Payment '!AJ:AJ)</f>
        <v>2000</v>
      </c>
      <c r="AP951" s="19">
        <f t="shared" si="324"/>
        <v>0</v>
      </c>
      <c r="AQ951" s="119">
        <f t="shared" si="361"/>
        <v>2000</v>
      </c>
      <c r="AR951" s="91" t="s">
        <v>1144</v>
      </c>
      <c r="AS951" s="91">
        <f t="shared" si="325"/>
        <v>0</v>
      </c>
      <c r="AT951" s="118"/>
      <c r="AU951" s="118"/>
      <c r="AV951" s="118"/>
    </row>
    <row r="952" spans="1:48" s="20" customFormat="1" x14ac:dyDescent="0.25">
      <c r="A952" s="17">
        <f>IFERROR(VLOOKUP(D952,'Monthly Deduction'!$I$3:$J$957,2,0),0)</f>
        <v>65000</v>
      </c>
      <c r="B952" s="17">
        <f>IFERROR(VLOOKUP(D952,'Monthly Deduction'!$E$3:$F$957,2,0),0)</f>
        <v>0</v>
      </c>
      <c r="C952" s="17">
        <f t="shared" si="353"/>
        <v>65000</v>
      </c>
      <c r="D952" s="41">
        <v>10140208</v>
      </c>
      <c r="E952" s="122" t="str">
        <f>VLOOKUP(D952,'MPG Payment '!$E$3:$G$497305,2,0)</f>
        <v>Gomukh Baijnathpur</v>
      </c>
      <c r="F952" s="146">
        <f>IFERROR(_xlfn.XLOOKUP(D952,'Monthly Deduction'!$I$3:$I$957,'Monthly Deduction'!$H$3:$H$957),0)</f>
        <v>0</v>
      </c>
      <c r="G952" s="123" t="str">
        <f>VLOOKUP(D952,'MPG Payment '!$E$3:$G$333666,3,0)</f>
        <v>MPG</v>
      </c>
      <c r="H952" s="124" t="str">
        <f>VLOOKUP(D952,'MPG Payment '!$E$3:$H$333666,4,0)</f>
        <v>Direct</v>
      </c>
      <c r="I952" s="88">
        <f>INDEX('MPG Payment '!$C:$C,MATCH('Shayak Income '!D952,'MPG Payment '!E:E,0))</f>
        <v>1014</v>
      </c>
      <c r="J952" s="88" t="str">
        <f>INDEX('MPG Payment '!$D:$D,MATCH('Shayak Income '!D952,'MPG Payment '!E:E,0))</f>
        <v>Dumraon</v>
      </c>
      <c r="K952" s="125" t="s">
        <v>1593</v>
      </c>
      <c r="L952" s="125">
        <v>46187</v>
      </c>
      <c r="M952" s="126">
        <f>SUMIF('MPG Payment '!$E$3:$E$344841,'Shayak Income '!D952,'MPG Payment '!$I$3:$I$344841)</f>
        <v>3646.3</v>
      </c>
      <c r="N952" s="126">
        <f>SUMIF('MPG Payment '!$E$3:$E$344841,'Shayak Income '!D952,'MPG Payment '!$J$3:$J$344841)</f>
        <v>148660.78000000003</v>
      </c>
      <c r="O952" s="126">
        <f t="shared" si="354"/>
        <v>2734.7250000000004</v>
      </c>
      <c r="P952" s="126">
        <f t="shared" si="355"/>
        <v>3463.9850000000001</v>
      </c>
      <c r="Q952" s="126">
        <f>SUMIF('MPG Payment '!$E$3:$E$344841,'Shayak Income '!D952,'MPG Payment '!$S$3:$S$344841)</f>
        <v>0</v>
      </c>
      <c r="R952" s="126">
        <f t="shared" si="356"/>
        <v>4459.8234000000002</v>
      </c>
      <c r="S952" s="126">
        <f t="shared" si="357"/>
        <v>995.83840000000009</v>
      </c>
      <c r="T952" s="126">
        <f t="shared" si="326"/>
        <v>364.63000000000005</v>
      </c>
      <c r="U952" s="127">
        <f>((((((IF(K952="New",0,SUMIF('MPG Payment '!$E$3:$E$344841,'Shayak Income '!D952,'MPG Payment '!$AC$3:$AC$344841))))+0)+0)+0)+0)+0</f>
        <v>0</v>
      </c>
      <c r="V952" s="127">
        <f t="shared" si="327"/>
        <v>5834</v>
      </c>
      <c r="W952" s="19">
        <v>0</v>
      </c>
      <c r="X952" s="19">
        <f t="shared" si="321"/>
        <v>0</v>
      </c>
      <c r="Y952" s="128">
        <f>IFERROR(VLOOKUP(D952,'Monthly Deduction'!$M$2:$N$640,2,0),0)</f>
        <v>0</v>
      </c>
      <c r="Z952" s="128">
        <v>0</v>
      </c>
      <c r="AA952" s="126">
        <f>IFERROR(VLOOKUP(D952,'Monthly Deduction'!A:B,2,0),0)</f>
        <v>0</v>
      </c>
      <c r="AB952" s="129">
        <f t="shared" si="322"/>
        <v>5834</v>
      </c>
      <c r="AC952" s="130">
        <f>AB952</f>
        <v>5834</v>
      </c>
      <c r="AD952" s="35">
        <f t="shared" si="358"/>
        <v>0</v>
      </c>
      <c r="AE952" s="166" t="str">
        <f t="shared" si="359"/>
        <v>Yes</v>
      </c>
      <c r="AF952" s="127"/>
      <c r="AG952" s="18">
        <v>0</v>
      </c>
      <c r="AH952" s="120" t="s">
        <v>1683</v>
      </c>
      <c r="AI952" s="238">
        <v>0</v>
      </c>
      <c r="AJ952" s="132"/>
      <c r="AK952" s="151">
        <v>805.5</v>
      </c>
      <c r="AL952" s="154">
        <f t="shared" si="360"/>
        <v>0</v>
      </c>
      <c r="AM952" s="155"/>
      <c r="AN952" s="19">
        <f t="shared" si="323"/>
        <v>2973.2156000000004</v>
      </c>
      <c r="AO952" s="118">
        <f>SUMIF('MPG Payment '!E:E,'Shayak Income '!D952,'MPG Payment '!AJ:AJ)</f>
        <v>0</v>
      </c>
      <c r="AP952" s="19">
        <f t="shared" si="324"/>
        <v>0</v>
      </c>
      <c r="AQ952" s="119">
        <f t="shared" si="361"/>
        <v>0</v>
      </c>
      <c r="AR952" s="91" t="s">
        <v>1144</v>
      </c>
      <c r="AS952" s="91">
        <f t="shared" si="325"/>
        <v>0</v>
      </c>
      <c r="AT952" s="118"/>
      <c r="AU952" s="118"/>
      <c r="AV952" s="118"/>
    </row>
    <row r="953" spans="1:48" s="20" customFormat="1" x14ac:dyDescent="0.25">
      <c r="A953" s="17">
        <f>IFERROR(VLOOKUP(D953,'Monthly Deduction'!$I$3:$J$957,2,0),0)</f>
        <v>0</v>
      </c>
      <c r="B953" s="17">
        <f>IFERROR(VLOOKUP(D953,'Monthly Deduction'!$E$3:$F$957,2,0),0)</f>
        <v>0</v>
      </c>
      <c r="C953" s="17">
        <f t="shared" si="353"/>
        <v>0</v>
      </c>
      <c r="D953" s="41">
        <v>10530094</v>
      </c>
      <c r="E953" s="122" t="str">
        <f>VLOOKUP(D953,'MPG Payment '!$E$3:$G$497305,2,0)</f>
        <v xml:space="preserve">Gomukh Bhagwanpur East </v>
      </c>
      <c r="F953" s="146">
        <f>IFERROR(_xlfn.XLOOKUP(D953,'Monthly Deduction'!$I$3:$I$957,'Monthly Deduction'!$H$3:$H$957),0)</f>
        <v>0</v>
      </c>
      <c r="G953" s="123" t="str">
        <f>VLOOKUP(D953,'MPG Payment '!$E$3:$G$333666,3,0)</f>
        <v>vlc</v>
      </c>
      <c r="H953" s="124" t="str">
        <f>VLOOKUP(D953,'MPG Payment '!$E$3:$H$333666,4,0)</f>
        <v>Indirect</v>
      </c>
      <c r="I953" s="88">
        <f>INDEX('MPG Payment '!$C:$C,MATCH('Shayak Income '!D953,'MPG Payment '!E:E,0))</f>
        <v>1066</v>
      </c>
      <c r="J953" s="88" t="str">
        <f>INDEX('MPG Payment '!$D:$D,MATCH('Shayak Income '!D953,'MPG Payment '!E:E,0))</f>
        <v>Gaighat</v>
      </c>
      <c r="K953" s="125" t="s">
        <v>1594</v>
      </c>
      <c r="L953" s="125">
        <v>45968</v>
      </c>
      <c r="M953" s="126">
        <f>SUMIF('MPG Payment '!$E$3:$E$344841,'Shayak Income '!D953,'MPG Payment '!$I$3:$I$344841)</f>
        <v>1855.3600000000001</v>
      </c>
      <c r="N953" s="126">
        <f>SUMIF('MPG Payment '!$E$3:$E$344841,'Shayak Income '!D953,'MPG Payment '!$J$3:$J$344841)</f>
        <v>71271.94</v>
      </c>
      <c r="O953" s="126">
        <f t="shared" si="354"/>
        <v>1391.52</v>
      </c>
      <c r="P953" s="126">
        <f t="shared" si="355"/>
        <v>1762.5920000000001</v>
      </c>
      <c r="Q953" s="126">
        <f>SUMIF('MPG Payment '!$E$3:$E$344841,'Shayak Income '!D953,'MPG Payment '!$S$3:$S$344841)</f>
        <v>0</v>
      </c>
      <c r="R953" s="126">
        <f t="shared" si="356"/>
        <v>2138.1581999999999</v>
      </c>
      <c r="S953" s="126">
        <f t="shared" si="357"/>
        <v>375.56619999999975</v>
      </c>
      <c r="T953" s="126">
        <f t="shared" si="326"/>
        <v>185.53600000000003</v>
      </c>
      <c r="U953" s="127">
        <f>((((((IF(K953="New",0,SUMIF('MPG Payment '!$E$3:$E$344841,'Shayak Income '!D953,'MPG Payment '!$AC$3:$AC$344841))))+0)+0)+0)+0)+0</f>
        <v>725.83723519325474</v>
      </c>
      <c r="V953" s="127">
        <f t="shared" si="327"/>
        <v>2243</v>
      </c>
      <c r="W953" s="19">
        <f t="shared" si="329"/>
        <v>0</v>
      </c>
      <c r="X953" s="19">
        <f t="shared" si="321"/>
        <v>0</v>
      </c>
      <c r="Y953" s="128">
        <f>IFERROR(VLOOKUP(D953,'Monthly Deduction'!$M$2:$N$640,2,0),0)</f>
        <v>0</v>
      </c>
      <c r="Z953" s="128">
        <v>0</v>
      </c>
      <c r="AA953" s="126">
        <f>IFERROR(VLOOKUP(D953,'Monthly Deduction'!A:B,2,0),0)</f>
        <v>0</v>
      </c>
      <c r="AB953" s="129">
        <f t="shared" si="322"/>
        <v>2243</v>
      </c>
      <c r="AC953" s="130">
        <v>0</v>
      </c>
      <c r="AD953" s="35">
        <f t="shared" si="358"/>
        <v>2243</v>
      </c>
      <c r="AE953" s="166" t="str">
        <f t="shared" si="359"/>
        <v>Release</v>
      </c>
      <c r="AF953" s="127"/>
      <c r="AG953" s="18">
        <v>0</v>
      </c>
      <c r="AH953" s="120"/>
      <c r="AI953" s="238">
        <v>0</v>
      </c>
      <c r="AJ953" s="132"/>
      <c r="AK953" s="151">
        <v>369.1</v>
      </c>
      <c r="AL953" s="154">
        <f t="shared" si="360"/>
        <v>0</v>
      </c>
      <c r="AM953" s="155"/>
      <c r="AN953" s="19">
        <f t="shared" si="323"/>
        <v>0</v>
      </c>
      <c r="AO953" s="118">
        <f>SUMIF('MPG Payment '!E:E,'Shayak Income '!D953,'MPG Payment '!AJ:AJ)</f>
        <v>0</v>
      </c>
      <c r="AP953" s="19">
        <f t="shared" si="324"/>
        <v>0</v>
      </c>
      <c r="AQ953" s="119">
        <f t="shared" si="361"/>
        <v>0</v>
      </c>
      <c r="AR953" s="91" t="s">
        <v>1144</v>
      </c>
      <c r="AS953" s="91">
        <f t="shared" si="325"/>
        <v>0</v>
      </c>
      <c r="AT953" s="118"/>
      <c r="AU953" s="118"/>
      <c r="AV953" s="118"/>
    </row>
    <row r="954" spans="1:48" s="20" customFormat="1" x14ac:dyDescent="0.25">
      <c r="A954" s="17">
        <f>IFERROR(VLOOKUP(D954,'Monthly Deduction'!$I$3:$J$957,2,0),0)</f>
        <v>85000</v>
      </c>
      <c r="B954" s="17">
        <f>IFERROR(VLOOKUP(D954,'Monthly Deduction'!$E$3:$F$957,2,0),0)</f>
        <v>0</v>
      </c>
      <c r="C954" s="17">
        <f t="shared" si="353"/>
        <v>85000</v>
      </c>
      <c r="D954" s="41">
        <v>10550010</v>
      </c>
      <c r="E954" s="122" t="str">
        <f>VLOOKUP(D954,'MPG Payment '!$E$3:$G$497305,2,0)</f>
        <v>Manmana Dhala</v>
      </c>
      <c r="F954" s="146">
        <f>IFERROR(_xlfn.XLOOKUP(D954,'Monthly Deduction'!$I$3:$I$957,'Monthly Deduction'!$H$3:$H$957),0)</f>
        <v>0</v>
      </c>
      <c r="G954" s="123" t="str">
        <f>VLOOKUP(D954,'MPG Payment '!$E$3:$G$333666,3,0)</f>
        <v>MPG</v>
      </c>
      <c r="H954" s="124" t="str">
        <f>VLOOKUP(D954,'MPG Payment '!$E$3:$H$333666,4,0)</f>
        <v>Direct</v>
      </c>
      <c r="I954" s="88">
        <f>INDEX('MPG Payment '!$C:$C,MATCH('Shayak Income '!D954,'MPG Payment '!E:E,0))</f>
        <v>1055</v>
      </c>
      <c r="J954" s="88" t="str">
        <f>INDEX('MPG Payment '!$D:$D,MATCH('Shayak Income '!D954,'MPG Payment '!E:E,0))</f>
        <v>Matihani</v>
      </c>
      <c r="K954" s="125" t="s">
        <v>1593</v>
      </c>
      <c r="L954" s="125">
        <v>46191</v>
      </c>
      <c r="M954" s="126">
        <f>SUMIF('MPG Payment '!$E$3:$E$344841,'Shayak Income '!D954,'MPG Payment '!$I$3:$I$344841)</f>
        <v>1230.5</v>
      </c>
      <c r="N954" s="126">
        <f>SUMIF('MPG Payment '!$E$3:$E$344841,'Shayak Income '!D954,'MPG Payment '!$J$3:$J$344841)</f>
        <v>51989.130000000005</v>
      </c>
      <c r="O954" s="126">
        <f t="shared" si="354"/>
        <v>922.875</v>
      </c>
      <c r="P954" s="126">
        <f t="shared" si="355"/>
        <v>1168.9749999999999</v>
      </c>
      <c r="Q954" s="126">
        <f>SUMIF('MPG Payment '!$E$3:$E$344841,'Shayak Income '!D954,'MPG Payment '!$S$3:$S$344841)</f>
        <v>606.67000000000007</v>
      </c>
      <c r="R954" s="126">
        <f t="shared" si="356"/>
        <v>1559.6739</v>
      </c>
      <c r="S954" s="126">
        <f t="shared" si="357"/>
        <v>390.69890000000009</v>
      </c>
      <c r="T954" s="126">
        <f t="shared" si="326"/>
        <v>123.05000000000001</v>
      </c>
      <c r="U954" s="127">
        <f>((((((IF(K954="New",0,SUMIF('MPG Payment '!$E$3:$E$344841,'Shayak Income '!D954,'MPG Payment '!$AC$3:$AC$344841))))+0)+0)+0)+0)+0</f>
        <v>0</v>
      </c>
      <c r="V954" s="127">
        <f t="shared" si="327"/>
        <v>2575</v>
      </c>
      <c r="W954" s="19">
        <v>0</v>
      </c>
      <c r="X954" s="19">
        <f t="shared" si="321"/>
        <v>0</v>
      </c>
      <c r="Y954" s="128">
        <f>IFERROR(VLOOKUP(D954,'Monthly Deduction'!$M$2:$N$640,2,0),0)</f>
        <v>0</v>
      </c>
      <c r="Z954" s="128">
        <v>0</v>
      </c>
      <c r="AA954" s="126">
        <f>IFERROR(VLOOKUP(D954,'Monthly Deduction'!A:B,2,0),0)</f>
        <v>0</v>
      </c>
      <c r="AB954" s="129">
        <f t="shared" si="322"/>
        <v>2575</v>
      </c>
      <c r="AC954" s="130">
        <f>AB954</f>
        <v>2575</v>
      </c>
      <c r="AD954" s="35">
        <f t="shared" si="358"/>
        <v>0</v>
      </c>
      <c r="AE954" s="166" t="str">
        <f t="shared" si="359"/>
        <v>Yes</v>
      </c>
      <c r="AF954" s="127"/>
      <c r="AG954" s="18">
        <v>0</v>
      </c>
      <c r="AH954" s="120" t="s">
        <v>1686</v>
      </c>
      <c r="AI954" s="238">
        <v>20000</v>
      </c>
      <c r="AJ954" s="132"/>
      <c r="AK954" s="151">
        <v>324.40000000000003</v>
      </c>
      <c r="AL954" s="154">
        <f t="shared" si="360"/>
        <v>0</v>
      </c>
      <c r="AM954" s="155"/>
      <c r="AN954" s="19">
        <f t="shared" si="323"/>
        <v>1861</v>
      </c>
      <c r="AO954" s="118">
        <f>SUMIF('MPG Payment '!E:E,'Shayak Income '!D954,'MPG Payment '!AJ:AJ)</f>
        <v>0</v>
      </c>
      <c r="AP954" s="19">
        <f t="shared" si="324"/>
        <v>0</v>
      </c>
      <c r="AQ954" s="119">
        <f t="shared" si="361"/>
        <v>0</v>
      </c>
      <c r="AR954" s="91" t="s">
        <v>1144</v>
      </c>
      <c r="AS954" s="91">
        <f t="shared" si="325"/>
        <v>0</v>
      </c>
      <c r="AT954" s="118"/>
      <c r="AU954" s="118"/>
      <c r="AV954" s="118"/>
    </row>
    <row r="955" spans="1:48" s="20" customFormat="1" x14ac:dyDescent="0.25">
      <c r="A955" s="17">
        <f>IFERROR(VLOOKUP(D955,'Monthly Deduction'!$I$3:$J$957,2,0),0)</f>
        <v>0</v>
      </c>
      <c r="B955" s="17">
        <f>IFERROR(VLOOKUP(D955,'Monthly Deduction'!$E$3:$F$957,2,0),0)</f>
        <v>0</v>
      </c>
      <c r="C955" s="17">
        <f t="shared" si="353"/>
        <v>0</v>
      </c>
      <c r="D955" s="41">
        <v>10660030</v>
      </c>
      <c r="E955" s="122" t="str">
        <f>VLOOKUP(D955,'MPG Payment '!$E$3:$G$497305,2,0)</f>
        <v>Gomukh Bhagwanpur</v>
      </c>
      <c r="F955" s="146">
        <f>IFERROR(_xlfn.XLOOKUP(D955,'Monthly Deduction'!$I$3:$I$957,'Monthly Deduction'!$H$3:$H$957),0)</f>
        <v>0</v>
      </c>
      <c r="G955" s="123" t="str">
        <f>VLOOKUP(D955,'MPG Payment '!$E$3:$G$333666,3,0)</f>
        <v>VLC</v>
      </c>
      <c r="H955" s="124" t="str">
        <f>VLOOKUP(D955,'MPG Payment '!$E$3:$H$333666,4,0)</f>
        <v>Indirect</v>
      </c>
      <c r="I955" s="88">
        <f>INDEX('MPG Payment '!$C:$C,MATCH('Shayak Income '!D955,'MPG Payment '!E:E,0))</f>
        <v>1066</v>
      </c>
      <c r="J955" s="88" t="str">
        <f>INDEX('MPG Payment '!$D:$D,MATCH('Shayak Income '!D955,'MPG Payment '!E:E,0))</f>
        <v>Gaighat</v>
      </c>
      <c r="K955" s="125" t="s">
        <v>1593</v>
      </c>
      <c r="L955" s="125">
        <v>46185</v>
      </c>
      <c r="M955" s="126">
        <f>SUMIF('MPG Payment '!$E$3:$E$344841,'Shayak Income '!D955,'MPG Payment '!$I$3:$I$344841)</f>
        <v>92.1</v>
      </c>
      <c r="N955" s="126">
        <f>SUMIF('MPG Payment '!$E$3:$E$344841,'Shayak Income '!D955,'MPG Payment '!$J$3:$J$344841)</f>
        <v>4035.38</v>
      </c>
      <c r="O955" s="126">
        <f t="shared" si="354"/>
        <v>69.074999999999989</v>
      </c>
      <c r="P955" s="126">
        <f t="shared" si="355"/>
        <v>87.49499999999999</v>
      </c>
      <c r="Q955" s="126">
        <f>SUMIF('MPG Payment '!$E$3:$E$344841,'Shayak Income '!D955,'MPG Payment '!$S$3:$S$344841)</f>
        <v>0</v>
      </c>
      <c r="R955" s="126">
        <f t="shared" si="356"/>
        <v>121.06139999999999</v>
      </c>
      <c r="S955" s="126">
        <f t="shared" si="357"/>
        <v>33.566400000000002</v>
      </c>
      <c r="T955" s="126">
        <f t="shared" si="326"/>
        <v>9.2099999999999991</v>
      </c>
      <c r="U955" s="127">
        <f>((((((IF(K955="New",0,SUMIF('MPG Payment '!$E$3:$E$344841,'Shayak Income '!D955,'MPG Payment '!$AC$3:$AC$344841))))+0)+0)+0)+0)+0</f>
        <v>0</v>
      </c>
      <c r="V955" s="127">
        <f t="shared" si="327"/>
        <v>147</v>
      </c>
      <c r="W955" s="19">
        <v>0</v>
      </c>
      <c r="X955" s="19">
        <f t="shared" si="321"/>
        <v>0</v>
      </c>
      <c r="Y955" s="128">
        <f>IFERROR(VLOOKUP(D955,'Monthly Deduction'!$M$2:$N$640,2,0),0)</f>
        <v>0</v>
      </c>
      <c r="Z955" s="128">
        <v>0</v>
      </c>
      <c r="AA955" s="126">
        <f>IFERROR(VLOOKUP(D955,'Monthly Deduction'!A:B,2,0),0)</f>
        <v>0</v>
      </c>
      <c r="AB955" s="129">
        <f t="shared" si="322"/>
        <v>147</v>
      </c>
      <c r="AC955" s="130">
        <v>0</v>
      </c>
      <c r="AD955" s="35">
        <f t="shared" si="358"/>
        <v>147</v>
      </c>
      <c r="AE955" s="166" t="str">
        <f t="shared" si="359"/>
        <v>Release</v>
      </c>
      <c r="AF955" s="127"/>
      <c r="AG955" s="18">
        <v>0</v>
      </c>
      <c r="AH955" s="132"/>
      <c r="AI955" s="238">
        <v>0</v>
      </c>
      <c r="AJ955" s="132"/>
      <c r="AK955" s="151">
        <v>12</v>
      </c>
      <c r="AL955" s="154">
        <f t="shared" si="360"/>
        <v>0</v>
      </c>
      <c r="AM955" s="155"/>
      <c r="AN955" s="19">
        <f t="shared" si="323"/>
        <v>0</v>
      </c>
      <c r="AO955" s="118">
        <f>SUMIF('MPG Payment '!E:E,'Shayak Income '!D955,'MPG Payment '!AJ:AJ)</f>
        <v>0</v>
      </c>
      <c r="AP955" s="19">
        <f t="shared" si="324"/>
        <v>0</v>
      </c>
      <c r="AQ955" s="119">
        <f t="shared" si="361"/>
        <v>0</v>
      </c>
      <c r="AR955" s="91" t="s">
        <v>1144</v>
      </c>
      <c r="AS955" s="91">
        <f t="shared" si="325"/>
        <v>0</v>
      </c>
      <c r="AT955" s="118"/>
      <c r="AU955" s="118"/>
      <c r="AV955" s="118"/>
    </row>
    <row r="956" spans="1:48" s="20" customFormat="1" x14ac:dyDescent="0.25">
      <c r="A956" s="17">
        <f>IFERROR(VLOOKUP(D956,'Monthly Deduction'!$I$3:$J$957,2,0),0)</f>
        <v>0</v>
      </c>
      <c r="B956" s="17">
        <f>IFERROR(VLOOKUP(D956,'Monthly Deduction'!$E$3:$F$957,2,0),0)</f>
        <v>0</v>
      </c>
      <c r="C956" s="17">
        <f t="shared" si="353"/>
        <v>0</v>
      </c>
      <c r="D956" s="41">
        <v>10660032</v>
      </c>
      <c r="E956" s="122" t="str">
        <f>VLOOKUP(D956,'MPG Payment '!$E$3:$G$497305,2,0)</f>
        <v>GOMUKH MORWARA</v>
      </c>
      <c r="F956" s="146">
        <f>IFERROR(_xlfn.XLOOKUP(D956,'Monthly Deduction'!$I$3:$I$957,'Monthly Deduction'!$H$3:$H$957),0)</f>
        <v>0</v>
      </c>
      <c r="G956" s="123" t="str">
        <f>VLOOKUP(D956,'MPG Payment '!$E$3:$G$333666,3,0)</f>
        <v>vlc</v>
      </c>
      <c r="H956" s="124" t="str">
        <f>VLOOKUP(D956,'MPG Payment '!$E$3:$H$333666,4,0)</f>
        <v>Indirect</v>
      </c>
      <c r="I956" s="88">
        <f>INDEX('MPG Payment '!$C:$C,MATCH('Shayak Income '!D956,'MPG Payment '!E:E,0))</f>
        <v>1066</v>
      </c>
      <c r="J956" s="88" t="str">
        <f>INDEX('MPG Payment '!$D:$D,MATCH('Shayak Income '!D956,'MPG Payment '!E:E,0))</f>
        <v>Gaighat</v>
      </c>
      <c r="K956" s="125" t="s">
        <v>1593</v>
      </c>
      <c r="L956" s="125">
        <v>46185</v>
      </c>
      <c r="M956" s="126">
        <f>SUMIF('MPG Payment '!$E$3:$E$344841,'Shayak Income '!D956,'MPG Payment '!$I$3:$I$344841)</f>
        <v>355.94</v>
      </c>
      <c r="N956" s="126">
        <f>SUMIF('MPG Payment '!$E$3:$E$344841,'Shayak Income '!D956,'MPG Payment '!$J$3:$J$344841)</f>
        <v>14735.01</v>
      </c>
      <c r="O956" s="126">
        <f t="shared" si="354"/>
        <v>266.95499999999998</v>
      </c>
      <c r="P956" s="126">
        <f t="shared" si="355"/>
        <v>338.14299999999997</v>
      </c>
      <c r="Q956" s="126">
        <f>SUMIF('MPG Payment '!$E$3:$E$344841,'Shayak Income '!D956,'MPG Payment '!$S$3:$S$344841)</f>
        <v>0</v>
      </c>
      <c r="R956" s="126">
        <f t="shared" si="356"/>
        <v>442.05029999999999</v>
      </c>
      <c r="S956" s="126">
        <f t="shared" si="357"/>
        <v>103.90730000000002</v>
      </c>
      <c r="T956" s="126">
        <f t="shared" si="326"/>
        <v>35.594000000000001</v>
      </c>
      <c r="U956" s="127">
        <f>((((((IF(K956="New",0,SUMIF('MPG Payment '!$E$3:$E$344841,'Shayak Income '!D956,'MPG Payment '!$AC$3:$AC$344841))))+0)+0)+0)+0)+0</f>
        <v>0</v>
      </c>
      <c r="V956" s="127">
        <f t="shared" si="327"/>
        <v>570</v>
      </c>
      <c r="W956" s="19">
        <v>0</v>
      </c>
      <c r="X956" s="19">
        <f t="shared" si="321"/>
        <v>0</v>
      </c>
      <c r="Y956" s="128">
        <f>IFERROR(VLOOKUP(D956,'Monthly Deduction'!$M$2:$N$640,2,0),0)</f>
        <v>0</v>
      </c>
      <c r="Z956" s="128">
        <v>0</v>
      </c>
      <c r="AA956" s="126">
        <f>IFERROR(VLOOKUP(D956,'Monthly Deduction'!A:B,2,0),0)</f>
        <v>0</v>
      </c>
      <c r="AB956" s="129">
        <f t="shared" si="322"/>
        <v>570</v>
      </c>
      <c r="AC956" s="130">
        <v>0</v>
      </c>
      <c r="AD956" s="35">
        <f t="shared" si="358"/>
        <v>570</v>
      </c>
      <c r="AE956" s="166" t="str">
        <f t="shared" si="359"/>
        <v>Release</v>
      </c>
      <c r="AF956" s="127"/>
      <c r="AG956" s="18">
        <v>0</v>
      </c>
      <c r="AH956" s="132"/>
      <c r="AI956" s="238">
        <v>0</v>
      </c>
      <c r="AJ956" s="132"/>
      <c r="AK956" s="151">
        <v>78.099999999999994</v>
      </c>
      <c r="AL956" s="154">
        <f t="shared" si="360"/>
        <v>0</v>
      </c>
      <c r="AM956" s="155"/>
      <c r="AN956" s="19">
        <f t="shared" si="323"/>
        <v>0</v>
      </c>
      <c r="AO956" s="118">
        <f>SUMIF('MPG Payment '!E:E,'Shayak Income '!D956,'MPG Payment '!AJ:AJ)</f>
        <v>0</v>
      </c>
      <c r="AP956" s="19">
        <f t="shared" si="324"/>
        <v>0</v>
      </c>
      <c r="AQ956" s="119">
        <f t="shared" si="361"/>
        <v>0</v>
      </c>
      <c r="AR956" s="91" t="s">
        <v>1144</v>
      </c>
      <c r="AS956" s="91">
        <f t="shared" si="325"/>
        <v>0</v>
      </c>
      <c r="AT956" s="118"/>
      <c r="AU956" s="118"/>
      <c r="AV956" s="118"/>
    </row>
    <row r="957" spans="1:48" s="20" customFormat="1" x14ac:dyDescent="0.25">
      <c r="A957" s="17">
        <f>IFERROR(VLOOKUP(D957,'Monthly Deduction'!$I$3:$J$957,2,0),0)</f>
        <v>0</v>
      </c>
      <c r="B957" s="17">
        <f>IFERROR(VLOOKUP(D957,'Monthly Deduction'!$E$3:$F$957,2,0),0)</f>
        <v>0</v>
      </c>
      <c r="C957" s="17">
        <f t="shared" si="353"/>
        <v>0</v>
      </c>
      <c r="D957" s="41">
        <v>10120067</v>
      </c>
      <c r="E957" s="122" t="str">
        <f>VLOOKUP(D957,'MPG Payment '!$E$3:$G$497305,2,0)</f>
        <v>Sarhad-Subodh</v>
      </c>
      <c r="F957" s="146">
        <f>IFERROR(_xlfn.XLOOKUP(D957,'Monthly Deduction'!$I$3:$I$957,'Monthly Deduction'!$H$3:$H$957),0)</f>
        <v>0</v>
      </c>
      <c r="G957" s="123" t="str">
        <f>VLOOKUP(D957,'MPG Payment '!$E$3:$G$333666,3,0)</f>
        <v>vlc</v>
      </c>
      <c r="H957" s="124" t="str">
        <f>VLOOKUP(D957,'MPG Payment '!$E$3:$H$333666,4,0)</f>
        <v>Indirect</v>
      </c>
      <c r="I957" s="88">
        <f>INDEX('MPG Payment '!$C:$C,MATCH('Shayak Income '!D957,'MPG Payment '!E:E,0))</f>
        <v>1012</v>
      </c>
      <c r="J957" s="88" t="str">
        <f>INDEX('MPG Payment '!$D:$D,MATCH('Shayak Income '!D957,'MPG Payment '!E:E,0))</f>
        <v>DalsinghSarai</v>
      </c>
      <c r="K957" s="125" t="s">
        <v>1594</v>
      </c>
      <c r="L957" s="125">
        <v>45403</v>
      </c>
      <c r="M957" s="126">
        <f>SUMIF('MPG Payment '!$E$3:$E$344841,'Shayak Income '!D957,'MPG Payment '!$I$3:$I$344841)</f>
        <v>1461.4</v>
      </c>
      <c r="N957" s="126">
        <f>SUMIF('MPG Payment '!$E$3:$E$344841,'Shayak Income '!D957,'MPG Payment '!$J$3:$J$344841)</f>
        <v>52098.619999999995</v>
      </c>
      <c r="O957" s="126">
        <f t="shared" si="354"/>
        <v>1096.0500000000002</v>
      </c>
      <c r="P957" s="126">
        <f t="shared" si="355"/>
        <v>1388.33</v>
      </c>
      <c r="Q957" s="126">
        <f>SUMIF('MPG Payment '!$E$3:$E$344841,'Shayak Income '!D957,'MPG Payment '!$S$3:$S$344841)</f>
        <v>0</v>
      </c>
      <c r="R957" s="126">
        <f t="shared" si="356"/>
        <v>1562.9585999999997</v>
      </c>
      <c r="S957" s="126">
        <f t="shared" si="357"/>
        <v>174.62859999999978</v>
      </c>
      <c r="T957" s="126">
        <f t="shared" si="326"/>
        <v>146.14000000000001</v>
      </c>
      <c r="U957" s="127">
        <f>((((((IF(K957="New",0,SUMIF('MPG Payment '!$E$3:$E$344841,'Shayak Income '!D957,'MPG Payment '!$AC$3:$AC$344841))))+0)+0)+0)+0)+0</f>
        <v>948.5547519937752</v>
      </c>
      <c r="V957" s="127">
        <f t="shared" si="327"/>
        <v>1390</v>
      </c>
      <c r="W957" s="19">
        <f t="shared" si="329"/>
        <v>0</v>
      </c>
      <c r="X957" s="19">
        <f t="shared" si="321"/>
        <v>0</v>
      </c>
      <c r="Y957" s="128">
        <f>IFERROR(VLOOKUP(D957,'Monthly Deduction'!$M$2:$N$640,2,0),0)</f>
        <v>0</v>
      </c>
      <c r="Z957" s="128">
        <v>0</v>
      </c>
      <c r="AA957" s="126">
        <f>IFERROR(VLOOKUP(D957,'Monthly Deduction'!A:B,2,0),0)</f>
        <v>0</v>
      </c>
      <c r="AB957" s="129">
        <f t="shared" si="322"/>
        <v>1390</v>
      </c>
      <c r="AC957" s="130">
        <v>0</v>
      </c>
      <c r="AD957" s="35">
        <f t="shared" si="358"/>
        <v>1390</v>
      </c>
      <c r="AE957" s="166" t="str">
        <f t="shared" si="359"/>
        <v>Release</v>
      </c>
      <c r="AF957" s="127"/>
      <c r="AG957" s="18">
        <v>0</v>
      </c>
      <c r="AH957" s="120"/>
      <c r="AI957" s="238">
        <v>0</v>
      </c>
      <c r="AJ957" s="132"/>
      <c r="AK957" s="151">
        <v>76.45</v>
      </c>
      <c r="AL957" s="154">
        <f t="shared" si="360"/>
        <v>0</v>
      </c>
      <c r="AM957" s="155"/>
      <c r="AN957" s="19">
        <f t="shared" si="323"/>
        <v>0</v>
      </c>
      <c r="AO957" s="118">
        <f>SUMIF('MPG Payment '!E:E,'Shayak Income '!D957,'MPG Payment '!AJ:AJ)</f>
        <v>0</v>
      </c>
      <c r="AP957" s="19">
        <f t="shared" si="324"/>
        <v>0</v>
      </c>
      <c r="AQ957" s="119">
        <f t="shared" si="361"/>
        <v>0</v>
      </c>
      <c r="AR957" s="91" t="s">
        <v>1144</v>
      </c>
      <c r="AS957" s="91">
        <f t="shared" si="325"/>
        <v>0</v>
      </c>
      <c r="AT957" s="118"/>
      <c r="AU957" s="118"/>
      <c r="AV957" s="118"/>
    </row>
    <row r="958" spans="1:48" s="20" customFormat="1" x14ac:dyDescent="0.25">
      <c r="A958" s="17">
        <f>IFERROR(VLOOKUP(D958,'Monthly Deduction'!$I$3:$J$957,2,0),0)</f>
        <v>0</v>
      </c>
      <c r="B958" s="17">
        <f>IFERROR(VLOOKUP(D958,'Monthly Deduction'!$E$3:$F$957,2,0),0)</f>
        <v>0</v>
      </c>
      <c r="C958" s="17">
        <f t="shared" si="353"/>
        <v>0</v>
      </c>
      <c r="D958" s="41">
        <v>10120124</v>
      </c>
      <c r="E958" s="122" t="str">
        <f>VLOOKUP(D958,'MPG Payment '!$E$3:$G$497305,2,0)</f>
        <v>Gomukh Simri</v>
      </c>
      <c r="F958" s="146">
        <f>IFERROR(_xlfn.XLOOKUP(D958,'Monthly Deduction'!$I$3:$I$957,'Monthly Deduction'!$H$3:$H$957),0)</f>
        <v>0</v>
      </c>
      <c r="G958" s="123" t="str">
        <f>VLOOKUP(D958,'MPG Payment '!$E$3:$G$333666,3,0)</f>
        <v>vlc</v>
      </c>
      <c r="H958" s="124" t="str">
        <f>VLOOKUP(D958,'MPG Payment '!$E$3:$H$333666,4,0)</f>
        <v>Indirect</v>
      </c>
      <c r="I958" s="88">
        <f>INDEX('MPG Payment '!$C:$C,MATCH('Shayak Income '!D958,'MPG Payment '!E:E,0))</f>
        <v>1012</v>
      </c>
      <c r="J958" s="88" t="str">
        <f>INDEX('MPG Payment '!$D:$D,MATCH('Shayak Income '!D958,'MPG Payment '!E:E,0))</f>
        <v>DalsinghSarai</v>
      </c>
      <c r="K958" s="125" t="s">
        <v>1593</v>
      </c>
      <c r="L958" s="125">
        <v>46194</v>
      </c>
      <c r="M958" s="126">
        <f>SUMIF('MPG Payment '!$E$3:$E$344841,'Shayak Income '!D958,'MPG Payment '!$I$3:$I$344841)</f>
        <v>3660.2599999999998</v>
      </c>
      <c r="N958" s="126">
        <f>SUMIF('MPG Payment '!$E$3:$E$344841,'Shayak Income '!D958,'MPG Payment '!$J$3:$J$344841)</f>
        <v>151254.30000000002</v>
      </c>
      <c r="O958" s="126">
        <f t="shared" si="354"/>
        <v>2745.1949999999997</v>
      </c>
      <c r="P958" s="126">
        <f t="shared" si="355"/>
        <v>3477.2469999999994</v>
      </c>
      <c r="Q958" s="126">
        <f>SUMIF('MPG Payment '!$E$3:$E$344841,'Shayak Income '!D958,'MPG Payment '!$S$3:$S$344841)</f>
        <v>0</v>
      </c>
      <c r="R958" s="126">
        <f t="shared" si="356"/>
        <v>4537.6289999999999</v>
      </c>
      <c r="S958" s="126">
        <f t="shared" si="357"/>
        <v>1060.3820000000005</v>
      </c>
      <c r="T958" s="126">
        <f t="shared" si="326"/>
        <v>366.02600000000001</v>
      </c>
      <c r="U958" s="127">
        <f>((((((IF(K958="New",0,SUMIF('MPG Payment '!$E$3:$E$344841,'Shayak Income '!D958,'MPG Payment '!$AC$3:$AC$344841))))+0)+0)+0)+0)+0</f>
        <v>0</v>
      </c>
      <c r="V958" s="127">
        <f t="shared" si="327"/>
        <v>5856</v>
      </c>
      <c r="W958" s="19">
        <v>0</v>
      </c>
      <c r="X958" s="19">
        <f t="shared" si="321"/>
        <v>0</v>
      </c>
      <c r="Y958" s="128">
        <f>IFERROR(VLOOKUP(D958,'Monthly Deduction'!$M$2:$N$640,2,0),0)</f>
        <v>0</v>
      </c>
      <c r="Z958" s="128">
        <v>0</v>
      </c>
      <c r="AA958" s="126">
        <f>IFERROR(VLOOKUP(D958,'Monthly Deduction'!A:B,2,0),0)</f>
        <v>0</v>
      </c>
      <c r="AB958" s="129">
        <f t="shared" si="322"/>
        <v>5856</v>
      </c>
      <c r="AC958" s="130">
        <v>0</v>
      </c>
      <c r="AD958" s="35">
        <f t="shared" si="358"/>
        <v>5856</v>
      </c>
      <c r="AE958" s="166" t="str">
        <f t="shared" si="359"/>
        <v>Release</v>
      </c>
      <c r="AF958" s="127"/>
      <c r="AG958" s="18">
        <v>0</v>
      </c>
      <c r="AH958" s="120"/>
      <c r="AI958" s="238">
        <v>0</v>
      </c>
      <c r="AJ958" s="132"/>
      <c r="AK958" s="151">
        <v>978.19999999999993</v>
      </c>
      <c r="AL958" s="154">
        <f t="shared" si="360"/>
        <v>0</v>
      </c>
      <c r="AM958" s="155"/>
      <c r="AN958" s="19">
        <f t="shared" si="323"/>
        <v>0</v>
      </c>
      <c r="AO958" s="118">
        <f>SUMIF('MPG Payment '!E:E,'Shayak Income '!D958,'MPG Payment '!AJ:AJ)</f>
        <v>0</v>
      </c>
      <c r="AP958" s="19">
        <f t="shared" si="324"/>
        <v>0</v>
      </c>
      <c r="AQ958" s="119">
        <f t="shared" si="361"/>
        <v>0</v>
      </c>
      <c r="AR958" s="91" t="s">
        <v>1144</v>
      </c>
      <c r="AS958" s="91">
        <f t="shared" si="325"/>
        <v>0</v>
      </c>
      <c r="AT958" s="118"/>
      <c r="AU958" s="118"/>
      <c r="AV958" s="118"/>
    </row>
    <row r="959" spans="1:48" s="20" customFormat="1" x14ac:dyDescent="0.25">
      <c r="A959" s="17">
        <f>IFERROR(VLOOKUP(D959,'Monthly Deduction'!$I$3:$J$957,2,0),0)</f>
        <v>0</v>
      </c>
      <c r="B959" s="17">
        <f>IFERROR(VLOOKUP(D959,'Monthly Deduction'!$E$3:$F$957,2,0),0)</f>
        <v>0</v>
      </c>
      <c r="C959" s="17">
        <f t="shared" si="353"/>
        <v>0</v>
      </c>
      <c r="D959" s="41">
        <v>10130061</v>
      </c>
      <c r="E959" s="122" t="str">
        <f>VLOOKUP(D959,'MPG Payment '!$E$3:$G$497305,2,0)</f>
        <v>Hussainipur Gobindpur</v>
      </c>
      <c r="F959" s="146">
        <f>IFERROR(_xlfn.XLOOKUP(D959,'Monthly Deduction'!$I$3:$I$957,'Monthly Deduction'!$H$3:$H$957),0)</f>
        <v>0</v>
      </c>
      <c r="G959" s="123" t="str">
        <f>VLOOKUP(D959,'MPG Payment '!$E$3:$G$333666,3,0)</f>
        <v>vlc</v>
      </c>
      <c r="H959" s="124" t="str">
        <f>VLOOKUP(D959,'MPG Payment '!$E$3:$H$333666,4,0)</f>
        <v>Indirect</v>
      </c>
      <c r="I959" s="88">
        <f>INDEX('MPG Payment '!$C:$C,MATCH('Shayak Income '!D959,'MPG Payment '!E:E,0))</f>
        <v>1013</v>
      </c>
      <c r="J959" s="88" t="str">
        <f>INDEX('MPG Payment '!$D:$D,MATCH('Shayak Income '!D959,'MPG Payment '!E:E,0))</f>
        <v>Musrigharari</v>
      </c>
      <c r="K959" s="125" t="s">
        <v>1594</v>
      </c>
      <c r="L959" s="125">
        <v>45414</v>
      </c>
      <c r="M959" s="126">
        <f>SUMIF('MPG Payment '!$E$3:$E$344841,'Shayak Income '!D959,'MPG Payment '!$I$3:$I$344841)</f>
        <v>1765.9</v>
      </c>
      <c r="N959" s="126">
        <f>SUMIF('MPG Payment '!$E$3:$E$344841,'Shayak Income '!D959,'MPG Payment '!$J$3:$J$344841)</f>
        <v>72502.75</v>
      </c>
      <c r="O959" s="126">
        <f t="shared" si="354"/>
        <v>1324.4250000000002</v>
      </c>
      <c r="P959" s="126">
        <f t="shared" si="355"/>
        <v>1677.605</v>
      </c>
      <c r="Q959" s="126">
        <f>SUMIF('MPG Payment '!$E$3:$E$344841,'Shayak Income '!D959,'MPG Payment '!$S$3:$S$344841)</f>
        <v>0</v>
      </c>
      <c r="R959" s="126">
        <f t="shared" si="356"/>
        <v>2175.0825</v>
      </c>
      <c r="S959" s="126">
        <f t="shared" si="357"/>
        <v>497.47749999999996</v>
      </c>
      <c r="T959" s="126">
        <f t="shared" si="326"/>
        <v>176.59000000000003</v>
      </c>
      <c r="U959" s="127">
        <f>((((((IF(K959="New",0,SUMIF('MPG Payment '!$E$3:$E$344841,'Shayak Income '!D959,'MPG Payment '!$AC$3:$AC$344841))))+0)+0)+0)+0)+0</f>
        <v>833.38541995109074</v>
      </c>
      <c r="V959" s="127">
        <f t="shared" si="327"/>
        <v>1992</v>
      </c>
      <c r="W959" s="19">
        <f t="shared" si="329"/>
        <v>0</v>
      </c>
      <c r="X959" s="19">
        <f t="shared" si="321"/>
        <v>0</v>
      </c>
      <c r="Y959" s="128">
        <f>IFERROR(VLOOKUP(D959,'Monthly Deduction'!$M$2:$N$640,2,0),0)</f>
        <v>0</v>
      </c>
      <c r="Z959" s="128">
        <v>0</v>
      </c>
      <c r="AA959" s="126">
        <f>IFERROR(VLOOKUP(D959,'Monthly Deduction'!A:B,2,0),0)</f>
        <v>0</v>
      </c>
      <c r="AB959" s="129">
        <f t="shared" si="322"/>
        <v>1992</v>
      </c>
      <c r="AC959" s="130">
        <v>0</v>
      </c>
      <c r="AD959" s="35">
        <f t="shared" si="358"/>
        <v>1992</v>
      </c>
      <c r="AE959" s="166" t="str">
        <f t="shared" si="359"/>
        <v>Release</v>
      </c>
      <c r="AF959" s="127"/>
      <c r="AG959" s="18">
        <v>0</v>
      </c>
      <c r="AH959" s="132"/>
      <c r="AI959" s="238">
        <v>0</v>
      </c>
      <c r="AJ959" s="132"/>
      <c r="AK959" s="151">
        <v>636.4</v>
      </c>
      <c r="AL959" s="154">
        <f t="shared" si="360"/>
        <v>0</v>
      </c>
      <c r="AM959" s="155"/>
      <c r="AN959" s="19">
        <f t="shared" si="323"/>
        <v>0</v>
      </c>
      <c r="AO959" s="118">
        <f>SUMIF('MPG Payment '!E:E,'Shayak Income '!D959,'MPG Payment '!AJ:AJ)</f>
        <v>0</v>
      </c>
      <c r="AP959" s="19">
        <f t="shared" si="324"/>
        <v>0</v>
      </c>
      <c r="AQ959" s="119">
        <f t="shared" si="361"/>
        <v>0</v>
      </c>
      <c r="AR959" s="91" t="s">
        <v>1144</v>
      </c>
      <c r="AS959" s="91">
        <f t="shared" si="325"/>
        <v>0</v>
      </c>
      <c r="AT959" s="118"/>
      <c r="AU959" s="118"/>
      <c r="AV959" s="118"/>
    </row>
    <row r="960" spans="1:48" s="20" customFormat="1" x14ac:dyDescent="0.25">
      <c r="A960" s="17">
        <f>IFERROR(VLOOKUP(D960,'Monthly Deduction'!$I$3:$J$957,2,0),0)</f>
        <v>0</v>
      </c>
      <c r="B960" s="17">
        <f>IFERROR(VLOOKUP(D960,'Monthly Deduction'!$E$3:$F$957,2,0),0)</f>
        <v>0</v>
      </c>
      <c r="C960" s="17">
        <f t="shared" si="353"/>
        <v>0</v>
      </c>
      <c r="D960" s="41">
        <v>10540051</v>
      </c>
      <c r="E960" s="122" t="str">
        <f>VLOOKUP(D960,'MPG Payment '!$E$3:$G$497305,2,0)</f>
        <v>Gomukh Bathnaha VLC</v>
      </c>
      <c r="F960" s="146">
        <f>IFERROR(_xlfn.XLOOKUP(D960,'Monthly Deduction'!$I$3:$I$957,'Monthly Deduction'!$H$3:$H$957),0)</f>
        <v>0</v>
      </c>
      <c r="G960" s="123" t="str">
        <f>VLOOKUP(D960,'MPG Payment '!$E$3:$G$333666,3,0)</f>
        <v>vlc</v>
      </c>
      <c r="H960" s="124" t="str">
        <f>VLOOKUP(D960,'MPG Payment '!$E$3:$H$333666,4,0)</f>
        <v>Indirect</v>
      </c>
      <c r="I960" s="88">
        <f>INDEX('MPG Payment '!$C:$C,MATCH('Shayak Income '!D960,'MPG Payment '!E:E,0))</f>
        <v>1054</v>
      </c>
      <c r="J960" s="88" t="str">
        <f>INDEX('MPG Payment '!$D:$D,MATCH('Shayak Income '!D960,'MPG Payment '!E:E,0))</f>
        <v xml:space="preserve">Alauli </v>
      </c>
      <c r="K960" s="125" t="s">
        <v>1593</v>
      </c>
      <c r="L960" s="125">
        <v>46194</v>
      </c>
      <c r="M960" s="126">
        <f>SUMIF('MPG Payment '!$E$3:$E$344841,'Shayak Income '!D960,'MPG Payment '!$I$3:$I$344841)</f>
        <v>1393.4</v>
      </c>
      <c r="N960" s="126">
        <f>SUMIF('MPG Payment '!$E$3:$E$344841,'Shayak Income '!D960,'MPG Payment '!$J$3:$J$344841)</f>
        <v>51775.990000000005</v>
      </c>
      <c r="O960" s="126">
        <f t="shared" si="354"/>
        <v>1045.0500000000002</v>
      </c>
      <c r="P960" s="126">
        <f t="shared" si="355"/>
        <v>1323.73</v>
      </c>
      <c r="Q960" s="126">
        <f>SUMIF('MPG Payment '!$E$3:$E$344841,'Shayak Income '!D960,'MPG Payment '!$S$3:$S$344841)</f>
        <v>0</v>
      </c>
      <c r="R960" s="126">
        <f t="shared" si="356"/>
        <v>1553.2797</v>
      </c>
      <c r="S960" s="126">
        <f t="shared" si="357"/>
        <v>229.54970000000003</v>
      </c>
      <c r="T960" s="126">
        <f t="shared" si="326"/>
        <v>139.34</v>
      </c>
      <c r="U960" s="127">
        <f>((((((IF(K960="New",0,SUMIF('MPG Payment '!$E$3:$E$344841,'Shayak Income '!D960,'MPG Payment '!$AC$3:$AC$344841))))+0)+0)+0)+0)+0</f>
        <v>0</v>
      </c>
      <c r="V960" s="127">
        <f t="shared" si="327"/>
        <v>2229</v>
      </c>
      <c r="W960" s="19">
        <v>0</v>
      </c>
      <c r="X960" s="19">
        <f t="shared" si="321"/>
        <v>0</v>
      </c>
      <c r="Y960" s="128">
        <f>IFERROR(VLOOKUP(D960,'Monthly Deduction'!$M$2:$N$640,2,0),0)</f>
        <v>0</v>
      </c>
      <c r="Z960" s="128">
        <v>0</v>
      </c>
      <c r="AA960" s="126">
        <f>IFERROR(VLOOKUP(D960,'Monthly Deduction'!A:B,2,0),0)</f>
        <v>0</v>
      </c>
      <c r="AB960" s="129">
        <f t="shared" si="322"/>
        <v>2229</v>
      </c>
      <c r="AC960" s="130">
        <v>0</v>
      </c>
      <c r="AD960" s="35">
        <f t="shared" si="358"/>
        <v>2229</v>
      </c>
      <c r="AE960" s="166" t="str">
        <f t="shared" si="359"/>
        <v>Release</v>
      </c>
      <c r="AF960" s="127"/>
      <c r="AG960" s="18">
        <v>0</v>
      </c>
      <c r="AH960" s="120"/>
      <c r="AI960" s="238">
        <v>0</v>
      </c>
      <c r="AJ960" s="132"/>
      <c r="AK960" s="151">
        <v>238.5</v>
      </c>
      <c r="AL960" s="154">
        <f t="shared" si="360"/>
        <v>0</v>
      </c>
      <c r="AM960" s="155"/>
      <c r="AN960" s="19">
        <f t="shared" si="323"/>
        <v>0</v>
      </c>
      <c r="AO960" s="118">
        <f>SUMIF('MPG Payment '!E:E,'Shayak Income '!D960,'MPG Payment '!AJ:AJ)</f>
        <v>0</v>
      </c>
      <c r="AP960" s="19">
        <f t="shared" si="324"/>
        <v>0</v>
      </c>
      <c r="AQ960" s="119">
        <f t="shared" si="361"/>
        <v>0</v>
      </c>
      <c r="AR960" s="91" t="s">
        <v>1144</v>
      </c>
      <c r="AS960" s="91">
        <f t="shared" si="325"/>
        <v>0</v>
      </c>
      <c r="AT960" s="118"/>
      <c r="AU960" s="118"/>
      <c r="AV960" s="118"/>
    </row>
    <row r="961" spans="1:48" s="20" customFormat="1" x14ac:dyDescent="0.25">
      <c r="A961" s="17">
        <f>IFERROR(VLOOKUP(D961,'Monthly Deduction'!$I$3:$J$957,2,0),0)</f>
        <v>85000</v>
      </c>
      <c r="B961" s="17">
        <f>IFERROR(VLOOKUP(D961,'Monthly Deduction'!$E$3:$F$957,2,0),0)</f>
        <v>0</v>
      </c>
      <c r="C961" s="17">
        <f t="shared" si="353"/>
        <v>85000</v>
      </c>
      <c r="D961" s="41">
        <v>10630024</v>
      </c>
      <c r="E961" s="122" t="str">
        <f>VLOOKUP(D961,'MPG Payment '!$E$3:$G$497305,2,0)</f>
        <v>Bhatandi</v>
      </c>
      <c r="F961" s="146">
        <f>IFERROR(_xlfn.XLOOKUP(D961,'Monthly Deduction'!$I$3:$I$957,'Monthly Deduction'!$H$3:$H$957),0)</f>
        <v>0</v>
      </c>
      <c r="G961" s="123" t="str">
        <f>VLOOKUP(D961,'MPG Payment '!$E$3:$G$333666,3,0)</f>
        <v>VLC</v>
      </c>
      <c r="H961" s="124" t="str">
        <f>VLOOKUP(D961,'MPG Payment '!$E$3:$H$333666,4,0)</f>
        <v>Direct</v>
      </c>
      <c r="I961" s="88">
        <f>INDEX('MPG Payment '!$C:$C,MATCH('Shayak Income '!D961,'MPG Payment '!E:E,0))</f>
        <v>1063</v>
      </c>
      <c r="J961" s="88" t="str">
        <f>INDEX('MPG Payment '!$D:$D,MATCH('Shayak Income '!D961,'MPG Payment '!E:E,0))</f>
        <v>Rosera</v>
      </c>
      <c r="K961" s="125" t="s">
        <v>1593</v>
      </c>
      <c r="L961" s="125">
        <v>46196</v>
      </c>
      <c r="M961" s="126">
        <f>SUMIF('MPG Payment '!$E$3:$E$344841,'Shayak Income '!D961,'MPG Payment '!$I$3:$I$344841)</f>
        <v>264</v>
      </c>
      <c r="N961" s="126">
        <f>SUMIF('MPG Payment '!$E$3:$E$344841,'Shayak Income '!D961,'MPG Payment '!$J$3:$J$344841)</f>
        <v>12888.71</v>
      </c>
      <c r="O961" s="126">
        <f t="shared" si="354"/>
        <v>198</v>
      </c>
      <c r="P961" s="126">
        <f t="shared" si="355"/>
        <v>250.79999999999998</v>
      </c>
      <c r="Q961" s="126">
        <f>SUMIF('MPG Payment '!$E$3:$E$344841,'Shayak Income '!D961,'MPG Payment '!$S$3:$S$344841)</f>
        <v>0</v>
      </c>
      <c r="R961" s="126">
        <f t="shared" si="356"/>
        <v>386.66129999999998</v>
      </c>
      <c r="S961" s="126">
        <f t="shared" si="357"/>
        <v>135.8613</v>
      </c>
      <c r="T961" s="126">
        <f t="shared" si="326"/>
        <v>26.400000000000002</v>
      </c>
      <c r="U961" s="127">
        <f>((((((IF(K961="New",0,SUMIF('MPG Payment '!$E$3:$E$344841,'Shayak Income '!D961,'MPG Payment '!$AC$3:$AC$344841))))+0)+0)+0)+0)+0</f>
        <v>0</v>
      </c>
      <c r="V961" s="127">
        <f t="shared" si="327"/>
        <v>422</v>
      </c>
      <c r="W961" s="19">
        <v>0</v>
      </c>
      <c r="X961" s="19">
        <f t="shared" si="321"/>
        <v>0</v>
      </c>
      <c r="Y961" s="128">
        <f>IFERROR(VLOOKUP(D961,'Monthly Deduction'!$M$2:$N$640,2,0),0)</f>
        <v>0</v>
      </c>
      <c r="Z961" s="128">
        <v>0</v>
      </c>
      <c r="AA961" s="126">
        <f>IFERROR(VLOOKUP(D961,'Monthly Deduction'!A:B,2,0),0)</f>
        <v>0</v>
      </c>
      <c r="AB961" s="129">
        <f t="shared" si="322"/>
        <v>422</v>
      </c>
      <c r="AC961" s="130">
        <f t="shared" ref="AC961:AC962" si="362">AB961</f>
        <v>422</v>
      </c>
      <c r="AD961" s="35">
        <f t="shared" si="358"/>
        <v>0</v>
      </c>
      <c r="AE961" s="166" t="str">
        <f t="shared" si="359"/>
        <v>Yes</v>
      </c>
      <c r="AF961" s="127"/>
      <c r="AG961" s="18">
        <v>0</v>
      </c>
      <c r="AH961" s="120" t="s">
        <v>1686</v>
      </c>
      <c r="AI961" s="238">
        <v>20000</v>
      </c>
      <c r="AJ961" s="132"/>
      <c r="AK961" s="151">
        <v>144.69999999999999</v>
      </c>
      <c r="AL961" s="154">
        <f t="shared" si="360"/>
        <v>0</v>
      </c>
      <c r="AM961" s="155"/>
      <c r="AN961" s="19">
        <f t="shared" si="323"/>
        <v>1861</v>
      </c>
      <c r="AO961" s="118">
        <f>SUMIF('MPG Payment '!E:E,'Shayak Income '!D961,'MPG Payment '!AJ:AJ)</f>
        <v>0</v>
      </c>
      <c r="AP961" s="19">
        <f t="shared" si="324"/>
        <v>0</v>
      </c>
      <c r="AQ961" s="119">
        <f t="shared" si="361"/>
        <v>0</v>
      </c>
      <c r="AR961" s="91" t="s">
        <v>1144</v>
      </c>
      <c r="AS961" s="91">
        <f t="shared" si="325"/>
        <v>0</v>
      </c>
      <c r="AT961" s="118"/>
      <c r="AU961" s="118"/>
      <c r="AV961" s="118"/>
    </row>
    <row r="962" spans="1:48" s="20" customFormat="1" x14ac:dyDescent="0.25">
      <c r="A962" s="17">
        <f>IFERROR(VLOOKUP(D962,'Monthly Deduction'!$I$3:$J$957,2,0),0)</f>
        <v>0</v>
      </c>
      <c r="B962" s="17">
        <f>IFERROR(VLOOKUP(D962,'Monthly Deduction'!$E$3:$F$957,2,0),0)</f>
        <v>0</v>
      </c>
      <c r="C962" s="17">
        <f t="shared" si="353"/>
        <v>0</v>
      </c>
      <c r="D962" s="41">
        <v>10630030</v>
      </c>
      <c r="E962" s="122" t="str">
        <f>VLOOKUP(D962,'MPG Payment '!$E$3:$G$497305,2,0)</f>
        <v>Jandaha</v>
      </c>
      <c r="F962" s="146">
        <f>IFERROR(_xlfn.XLOOKUP(D962,'Monthly Deduction'!$I$3:$I$957,'Monthly Deduction'!$H$3:$H$957),0)</f>
        <v>0</v>
      </c>
      <c r="G962" s="123" t="str">
        <f>VLOOKUP(D962,'MPG Payment '!$E$3:$G$333666,3,0)</f>
        <v>vlc</v>
      </c>
      <c r="H962" s="124" t="str">
        <f>VLOOKUP(D962,'MPG Payment '!$E$3:$H$333666,4,0)</f>
        <v>Indirect</v>
      </c>
      <c r="I962" s="88">
        <f>INDEX('MPG Payment '!$C:$C,MATCH('Shayak Income '!D962,'MPG Payment '!E:E,0))</f>
        <v>1063</v>
      </c>
      <c r="J962" s="88" t="str">
        <f>INDEX('MPG Payment '!$D:$D,MATCH('Shayak Income '!D962,'MPG Payment '!E:E,0))</f>
        <v>Rosera</v>
      </c>
      <c r="K962" s="125" t="s">
        <v>1593</v>
      </c>
      <c r="L962" s="125">
        <v>46196</v>
      </c>
      <c r="M962" s="126">
        <f>SUMIF('MPG Payment '!$E$3:$E$344841,'Shayak Income '!D962,'MPG Payment '!$I$3:$I$344841)</f>
        <v>184.09999999999997</v>
      </c>
      <c r="N962" s="126">
        <f>SUMIF('MPG Payment '!$E$3:$E$344841,'Shayak Income '!D962,'MPG Payment '!$J$3:$J$344841)</f>
        <v>6781.9000000000005</v>
      </c>
      <c r="O962" s="126">
        <f t="shared" si="354"/>
        <v>138.07499999999999</v>
      </c>
      <c r="P962" s="126">
        <f t="shared" si="355"/>
        <v>174.89499999999995</v>
      </c>
      <c r="Q962" s="126">
        <f>SUMIF('MPG Payment '!$E$3:$E$344841,'Shayak Income '!D962,'MPG Payment '!$S$3:$S$344841)</f>
        <v>0</v>
      </c>
      <c r="R962" s="126">
        <f t="shared" si="356"/>
        <v>203.45700000000002</v>
      </c>
      <c r="S962" s="126">
        <f t="shared" si="357"/>
        <v>28.562000000000069</v>
      </c>
      <c r="T962" s="126">
        <f t="shared" si="326"/>
        <v>18.409999999999997</v>
      </c>
      <c r="U962" s="127">
        <f>((((((IF(K962="New",0,SUMIF('MPG Payment '!$E$3:$E$344841,'Shayak Income '!D962,'MPG Payment '!$AC$3:$AC$344841))))+0)+0)+0)+0)+0</f>
        <v>0</v>
      </c>
      <c r="V962" s="127">
        <f t="shared" si="327"/>
        <v>295</v>
      </c>
      <c r="W962" s="19">
        <v>0</v>
      </c>
      <c r="X962" s="19">
        <f t="shared" si="321"/>
        <v>0</v>
      </c>
      <c r="Y962" s="128">
        <f>IFERROR(VLOOKUP(D962,'Monthly Deduction'!$M$2:$N$640,2,0),0)</f>
        <v>0</v>
      </c>
      <c r="Z962" s="128">
        <v>0</v>
      </c>
      <c r="AA962" s="126">
        <f>IFERROR(VLOOKUP(D962,'Monthly Deduction'!A:B,2,0),0)</f>
        <v>0</v>
      </c>
      <c r="AB962" s="129">
        <f t="shared" si="322"/>
        <v>295</v>
      </c>
      <c r="AC962" s="130">
        <f t="shared" si="362"/>
        <v>295</v>
      </c>
      <c r="AD962" s="35">
        <f t="shared" si="358"/>
        <v>0</v>
      </c>
      <c r="AE962" s="166" t="str">
        <f t="shared" si="359"/>
        <v>Yes</v>
      </c>
      <c r="AF962" s="127"/>
      <c r="AG962" s="18">
        <v>0</v>
      </c>
      <c r="AH962" s="132" t="s">
        <v>1597</v>
      </c>
      <c r="AI962" s="238">
        <v>0</v>
      </c>
      <c r="AJ962" s="132"/>
      <c r="AK962" s="151">
        <v>0</v>
      </c>
      <c r="AL962" s="154">
        <f t="shared" si="360"/>
        <v>0</v>
      </c>
      <c r="AM962" s="155"/>
      <c r="AN962" s="19">
        <f t="shared" si="323"/>
        <v>0</v>
      </c>
      <c r="AO962" s="118">
        <f>SUMIF('MPG Payment '!E:E,'Shayak Income '!D962,'MPG Payment '!AJ:AJ)</f>
        <v>0</v>
      </c>
      <c r="AP962" s="19">
        <f t="shared" si="324"/>
        <v>0</v>
      </c>
      <c r="AQ962" s="119">
        <f t="shared" si="361"/>
        <v>0</v>
      </c>
      <c r="AR962" s="91" t="s">
        <v>1144</v>
      </c>
      <c r="AS962" s="91">
        <f t="shared" si="325"/>
        <v>0</v>
      </c>
      <c r="AT962" s="118"/>
      <c r="AU962" s="118"/>
      <c r="AV962" s="118"/>
    </row>
    <row r="963" spans="1:48" s="20" customFormat="1" x14ac:dyDescent="0.25">
      <c r="A963" s="17">
        <f>IFERROR(VLOOKUP(D963,'Monthly Deduction'!$I$3:$J$957,2,0),0)</f>
        <v>0</v>
      </c>
      <c r="B963" s="17">
        <f>IFERROR(VLOOKUP(D963,'Monthly Deduction'!$E$3:$F$957,2,0),0)</f>
        <v>0</v>
      </c>
      <c r="C963" s="17">
        <f t="shared" si="353"/>
        <v>0</v>
      </c>
      <c r="D963" s="41">
        <v>10630032</v>
      </c>
      <c r="E963" s="122" t="str">
        <f>VLOOKUP(D963,'MPG Payment '!$E$3:$G$497305,2,0)</f>
        <v>Bhoraha</v>
      </c>
      <c r="F963" s="146">
        <f>IFERROR(_xlfn.XLOOKUP(D963,'Monthly Deduction'!$I$3:$I$957,'Monthly Deduction'!$H$3:$H$957),0)</f>
        <v>0</v>
      </c>
      <c r="G963" s="123" t="str">
        <f>VLOOKUP(D963,'MPG Payment '!$E$3:$G$333666,3,0)</f>
        <v>vlc</v>
      </c>
      <c r="H963" s="124" t="str">
        <f>VLOOKUP(D963,'MPG Payment '!$E$3:$H$333666,4,0)</f>
        <v>Indirect</v>
      </c>
      <c r="I963" s="88">
        <f>INDEX('MPG Payment '!$C:$C,MATCH('Shayak Income '!D963,'MPG Payment '!E:E,0))</f>
        <v>1063</v>
      </c>
      <c r="J963" s="88" t="str">
        <f>INDEX('MPG Payment '!$D:$D,MATCH('Shayak Income '!D963,'MPG Payment '!E:E,0))</f>
        <v>Rosera</v>
      </c>
      <c r="K963" s="125" t="s">
        <v>1593</v>
      </c>
      <c r="L963" s="125">
        <v>46196</v>
      </c>
      <c r="M963" s="126">
        <f>SUMIF('MPG Payment '!$E$3:$E$344841,'Shayak Income '!D963,'MPG Payment '!$I$3:$I$344841)</f>
        <v>611.29999999999995</v>
      </c>
      <c r="N963" s="126">
        <f>SUMIF('MPG Payment '!$E$3:$E$344841,'Shayak Income '!D963,'MPG Payment '!$J$3:$J$344841)</f>
        <v>26636.379999999997</v>
      </c>
      <c r="O963" s="126">
        <f t="shared" si="354"/>
        <v>458.47499999999997</v>
      </c>
      <c r="P963" s="126">
        <f t="shared" si="355"/>
        <v>580.7349999999999</v>
      </c>
      <c r="Q963" s="126">
        <f>SUMIF('MPG Payment '!$E$3:$E$344841,'Shayak Income '!D963,'MPG Payment '!$S$3:$S$344841)</f>
        <v>0</v>
      </c>
      <c r="R963" s="126">
        <f t="shared" si="356"/>
        <v>799.09139999999991</v>
      </c>
      <c r="S963" s="126">
        <f t="shared" si="357"/>
        <v>218.35640000000001</v>
      </c>
      <c r="T963" s="126">
        <f t="shared" si="326"/>
        <v>61.129999999999995</v>
      </c>
      <c r="U963" s="127">
        <f>((((((IF(K963="New",0,SUMIF('MPG Payment '!$E$3:$E$344841,'Shayak Income '!D963,'MPG Payment '!$AC$3:$AC$344841))))+0)+0)+0)+0)+0</f>
        <v>0</v>
      </c>
      <c r="V963" s="127">
        <f t="shared" si="327"/>
        <v>978</v>
      </c>
      <c r="W963" s="19">
        <v>0</v>
      </c>
      <c r="X963" s="19">
        <f t="shared" si="321"/>
        <v>0</v>
      </c>
      <c r="Y963" s="128">
        <f>IFERROR(VLOOKUP(D963,'Monthly Deduction'!$M$2:$N$640,2,0),0)</f>
        <v>0</v>
      </c>
      <c r="Z963" s="128">
        <v>0</v>
      </c>
      <c r="AA963" s="126">
        <f>IFERROR(VLOOKUP(D963,'Monthly Deduction'!A:B,2,0),0)</f>
        <v>0</v>
      </c>
      <c r="AB963" s="129">
        <f t="shared" si="322"/>
        <v>978</v>
      </c>
      <c r="AC963" s="130">
        <v>0</v>
      </c>
      <c r="AD963" s="35">
        <f t="shared" si="358"/>
        <v>978</v>
      </c>
      <c r="AE963" s="166" t="str">
        <f t="shared" si="359"/>
        <v>Release</v>
      </c>
      <c r="AF963" s="127"/>
      <c r="AG963" s="18">
        <v>0</v>
      </c>
      <c r="AH963" s="132"/>
      <c r="AI963" s="238">
        <v>0</v>
      </c>
      <c r="AJ963" s="132"/>
      <c r="AK963" s="151">
        <v>112</v>
      </c>
      <c r="AL963" s="154">
        <f t="shared" si="360"/>
        <v>0</v>
      </c>
      <c r="AM963" s="155"/>
      <c r="AN963" s="19">
        <f t="shared" si="323"/>
        <v>0</v>
      </c>
      <c r="AO963" s="118">
        <f>SUMIF('MPG Payment '!E:E,'Shayak Income '!D963,'MPG Payment '!AJ:AJ)</f>
        <v>0</v>
      </c>
      <c r="AP963" s="19">
        <f t="shared" si="324"/>
        <v>0</v>
      </c>
      <c r="AQ963" s="119">
        <f t="shared" si="361"/>
        <v>0</v>
      </c>
      <c r="AR963" s="91" t="s">
        <v>1144</v>
      </c>
      <c r="AS963" s="91">
        <f t="shared" si="325"/>
        <v>0</v>
      </c>
      <c r="AT963" s="118"/>
      <c r="AU963" s="118"/>
      <c r="AV963" s="118"/>
    </row>
    <row r="964" spans="1:48" s="20" customFormat="1" x14ac:dyDescent="0.25">
      <c r="A964" s="17">
        <f>IFERROR(VLOOKUP(D964,'Monthly Deduction'!$I$3:$J$957,2,0),0)</f>
        <v>0</v>
      </c>
      <c r="B964" s="17">
        <f>IFERROR(VLOOKUP(D964,'Monthly Deduction'!$E$3:$F$957,2,0),0)</f>
        <v>0</v>
      </c>
      <c r="C964" s="17">
        <f t="shared" si="353"/>
        <v>0</v>
      </c>
      <c r="D964" s="41">
        <v>10630033</v>
      </c>
      <c r="E964" s="122" t="str">
        <f>VLOOKUP(D964,'MPG Payment '!$E$3:$G$497305,2,0)</f>
        <v>Dharha</v>
      </c>
      <c r="F964" s="146">
        <f>IFERROR(_xlfn.XLOOKUP(D964,'Monthly Deduction'!$I$3:$I$957,'Monthly Deduction'!$H$3:$H$957),0)</f>
        <v>0</v>
      </c>
      <c r="G964" s="123" t="str">
        <f>VLOOKUP(D964,'MPG Payment '!$E$3:$G$333666,3,0)</f>
        <v>VLC</v>
      </c>
      <c r="H964" s="124" t="str">
        <f>VLOOKUP(D964,'MPG Payment '!$E$3:$H$333666,4,0)</f>
        <v>Indirect</v>
      </c>
      <c r="I964" s="88">
        <f>INDEX('MPG Payment '!$C:$C,MATCH('Shayak Income '!D964,'MPG Payment '!E:E,0))</f>
        <v>1063</v>
      </c>
      <c r="J964" s="88" t="str">
        <f>INDEX('MPG Payment '!$D:$D,MATCH('Shayak Income '!D964,'MPG Payment '!E:E,0))</f>
        <v>Rosera</v>
      </c>
      <c r="K964" s="125" t="s">
        <v>1593</v>
      </c>
      <c r="L964" s="125">
        <v>46196</v>
      </c>
      <c r="M964" s="126">
        <f>SUMIF('MPG Payment '!$E$3:$E$344841,'Shayak Income '!D964,'MPG Payment '!$I$3:$I$344841)</f>
        <v>388.3</v>
      </c>
      <c r="N964" s="126">
        <f>SUMIF('MPG Payment '!$E$3:$E$344841,'Shayak Income '!D964,'MPG Payment '!$J$3:$J$344841)</f>
        <v>14510.530000000002</v>
      </c>
      <c r="O964" s="126">
        <f t="shared" si="354"/>
        <v>291.22500000000002</v>
      </c>
      <c r="P964" s="126">
        <f t="shared" si="355"/>
        <v>368.88499999999999</v>
      </c>
      <c r="Q964" s="126">
        <f>SUMIF('MPG Payment '!$E$3:$E$344841,'Shayak Income '!D964,'MPG Payment '!$S$3:$S$344841)</f>
        <v>0</v>
      </c>
      <c r="R964" s="126">
        <f t="shared" si="356"/>
        <v>435.31590000000006</v>
      </c>
      <c r="S964" s="126">
        <f t="shared" si="357"/>
        <v>66.430900000000065</v>
      </c>
      <c r="T964" s="126">
        <f t="shared" si="326"/>
        <v>38.830000000000005</v>
      </c>
      <c r="U964" s="127">
        <f>((((((IF(K964="New",0,SUMIF('MPG Payment '!$E$3:$E$344841,'Shayak Income '!D964,'MPG Payment '!$AC$3:$AC$344841))))+0)+0)+0)+0)+0</f>
        <v>0</v>
      </c>
      <c r="V964" s="127">
        <f t="shared" si="327"/>
        <v>621</v>
      </c>
      <c r="W964" s="19">
        <v>0</v>
      </c>
      <c r="X964" s="19">
        <f t="shared" ref="X964:X1025" si="363">((MIN(IF(B964&gt;0,MAX(N964*2%),0),B964)))+0</f>
        <v>0</v>
      </c>
      <c r="Y964" s="128">
        <f>IFERROR(VLOOKUP(D964,'Monthly Deduction'!$M$2:$N$640,2,0),0)</f>
        <v>0</v>
      </c>
      <c r="Z964" s="128">
        <v>0</v>
      </c>
      <c r="AA964" s="126">
        <f>IFERROR(VLOOKUP(D964,'Monthly Deduction'!A:B,2,0),0)</f>
        <v>0</v>
      </c>
      <c r="AB964" s="129">
        <f t="shared" ref="AB964:AB1027" si="364">ROUND(IFERROR(V964-SUM(W964:AA964),0),0)</f>
        <v>621</v>
      </c>
      <c r="AC964" s="130">
        <v>0</v>
      </c>
      <c r="AD964" s="35">
        <f t="shared" si="358"/>
        <v>621</v>
      </c>
      <c r="AE964" s="166" t="str">
        <f t="shared" si="359"/>
        <v>Release</v>
      </c>
      <c r="AF964" s="127"/>
      <c r="AG964" s="18">
        <v>0</v>
      </c>
      <c r="AH964" s="132"/>
      <c r="AI964" s="238">
        <v>0</v>
      </c>
      <c r="AJ964" s="132"/>
      <c r="AK964" s="151">
        <v>240.3</v>
      </c>
      <c r="AL964" s="154">
        <f t="shared" si="360"/>
        <v>0</v>
      </c>
      <c r="AM964" s="155"/>
      <c r="AN964" s="19">
        <f t="shared" ref="AN964:AN1050" si="365">((MIN(IF(A964&gt;0,MAX(N964*2%,1861),0),A964)))+0</f>
        <v>0</v>
      </c>
      <c r="AO964" s="118">
        <f>SUMIF('MPG Payment '!E:E,'Shayak Income '!D964,'MPG Payment '!AJ:AJ)</f>
        <v>0</v>
      </c>
      <c r="AP964" s="19">
        <f t="shared" ref="AP964:AP1050" si="366">W964</f>
        <v>0</v>
      </c>
      <c r="AQ964" s="119">
        <f t="shared" si="361"/>
        <v>0</v>
      </c>
      <c r="AR964" s="91" t="s">
        <v>1144</v>
      </c>
      <c r="AS964" s="91">
        <f t="shared" ref="AS964:AS1050" si="367">B964-X964</f>
        <v>0</v>
      </c>
      <c r="AT964" s="118"/>
      <c r="AU964" s="118"/>
      <c r="AV964" s="118"/>
    </row>
    <row r="965" spans="1:48" s="20" customFormat="1" x14ac:dyDescent="0.25">
      <c r="A965" s="17">
        <f>IFERROR(VLOOKUP(D965,'Monthly Deduction'!$I$3:$J$957,2,0),0)</f>
        <v>0</v>
      </c>
      <c r="B965" s="17">
        <f>IFERROR(VLOOKUP(D965,'Monthly Deduction'!$E$3:$F$957,2,0),0)</f>
        <v>0</v>
      </c>
      <c r="C965" s="17">
        <f t="shared" si="353"/>
        <v>0</v>
      </c>
      <c r="D965" s="41">
        <v>10630034</v>
      </c>
      <c r="E965" s="122" t="str">
        <f>VLOOKUP(D965,'MPG Payment '!$E$3:$G$497305,2,0)</f>
        <v>Shivnagar</v>
      </c>
      <c r="F965" s="146">
        <f>IFERROR(_xlfn.XLOOKUP(D965,'Monthly Deduction'!$I$3:$I$957,'Monthly Deduction'!$H$3:$H$957),0)</f>
        <v>0</v>
      </c>
      <c r="G965" s="123" t="str">
        <f>VLOOKUP(D965,'MPG Payment '!$E$3:$G$333666,3,0)</f>
        <v>vlc</v>
      </c>
      <c r="H965" s="124" t="str">
        <f>VLOOKUP(D965,'MPG Payment '!$E$3:$H$333666,4,0)</f>
        <v>Indirect</v>
      </c>
      <c r="I965" s="88">
        <f>INDEX('MPG Payment '!$C:$C,MATCH('Shayak Income '!D965,'MPG Payment '!E:E,0))</f>
        <v>1063</v>
      </c>
      <c r="J965" s="88" t="str">
        <f>INDEX('MPG Payment '!$D:$D,MATCH('Shayak Income '!D965,'MPG Payment '!E:E,0))</f>
        <v>Rosera</v>
      </c>
      <c r="K965" s="125" t="s">
        <v>1593</v>
      </c>
      <c r="L965" s="125">
        <v>46197</v>
      </c>
      <c r="M965" s="126">
        <f>SUMIF('MPG Payment '!$E$3:$E$344841,'Shayak Income '!D965,'MPG Payment '!$I$3:$I$344841)</f>
        <v>453.29999999999995</v>
      </c>
      <c r="N965" s="126">
        <f>SUMIF('MPG Payment '!$E$3:$E$344841,'Shayak Income '!D965,'MPG Payment '!$J$3:$J$344841)</f>
        <v>14398.52</v>
      </c>
      <c r="O965" s="126">
        <f t="shared" si="354"/>
        <v>339.97499999999997</v>
      </c>
      <c r="P965" s="126">
        <f t="shared" si="355"/>
        <v>430.63499999999993</v>
      </c>
      <c r="Q965" s="126">
        <f>SUMIF('MPG Payment '!$E$3:$E$344841,'Shayak Income '!D965,'MPG Payment '!$S$3:$S$344841)</f>
        <v>0</v>
      </c>
      <c r="R965" s="126">
        <f t="shared" si="356"/>
        <v>431.9556</v>
      </c>
      <c r="S965" s="126">
        <f t="shared" si="357"/>
        <v>1.3206000000000699</v>
      </c>
      <c r="T965" s="126">
        <f t="shared" ref="T965:T1028" si="368">M965*0.1</f>
        <v>45.33</v>
      </c>
      <c r="U965" s="127">
        <f>((((((IF(K965="New",0,SUMIF('MPG Payment '!$E$3:$E$344841,'Shayak Income '!D965,'MPG Payment '!$AC$3:$AC$344841))))+0)+0)+0)+0)+0</f>
        <v>0</v>
      </c>
      <c r="V965" s="127">
        <f t="shared" ref="V965:V1028" si="369">ROUND((SUM(O965:Q965)-SUM(T965:U965)),0)</f>
        <v>725</v>
      </c>
      <c r="W965" s="19">
        <v>0</v>
      </c>
      <c r="X965" s="19">
        <f t="shared" si="363"/>
        <v>0</v>
      </c>
      <c r="Y965" s="128">
        <f>IFERROR(VLOOKUP(D965,'Monthly Deduction'!$M$2:$N$640,2,0),0)</f>
        <v>0</v>
      </c>
      <c r="Z965" s="128">
        <v>0</v>
      </c>
      <c r="AA965" s="126">
        <f>IFERROR(VLOOKUP(D965,'Monthly Deduction'!A:B,2,0),0)</f>
        <v>0</v>
      </c>
      <c r="AB965" s="129">
        <f t="shared" si="364"/>
        <v>725</v>
      </c>
      <c r="AC965" s="130">
        <f t="shared" ref="AC965:AC967" si="370">AB965</f>
        <v>725</v>
      </c>
      <c r="AD965" s="35">
        <f t="shared" si="358"/>
        <v>0</v>
      </c>
      <c r="AE965" s="166" t="str">
        <f t="shared" si="359"/>
        <v>Yes</v>
      </c>
      <c r="AF965" s="127"/>
      <c r="AG965" s="18">
        <v>0</v>
      </c>
      <c r="AH965" s="132" t="s">
        <v>1597</v>
      </c>
      <c r="AI965" s="238">
        <v>0</v>
      </c>
      <c r="AJ965" s="132"/>
      <c r="AK965" s="151">
        <v>0</v>
      </c>
      <c r="AL965" s="154">
        <f t="shared" si="360"/>
        <v>0</v>
      </c>
      <c r="AM965" s="155"/>
      <c r="AN965" s="19">
        <f t="shared" si="365"/>
        <v>0</v>
      </c>
      <c r="AO965" s="118">
        <f>SUMIF('MPG Payment '!E:E,'Shayak Income '!D965,'MPG Payment '!AJ:AJ)</f>
        <v>0</v>
      </c>
      <c r="AP965" s="19">
        <f t="shared" si="366"/>
        <v>0</v>
      </c>
      <c r="AQ965" s="119">
        <f t="shared" si="361"/>
        <v>0</v>
      </c>
      <c r="AR965" s="91" t="s">
        <v>1144</v>
      </c>
      <c r="AS965" s="91">
        <f t="shared" si="367"/>
        <v>0</v>
      </c>
      <c r="AT965" s="118"/>
      <c r="AU965" s="118"/>
      <c r="AV965" s="118"/>
    </row>
    <row r="966" spans="1:48" s="20" customFormat="1" x14ac:dyDescent="0.25">
      <c r="A966" s="17">
        <f>IFERROR(VLOOKUP(D966,'Monthly Deduction'!$I$3:$J$957,2,0),0)</f>
        <v>0</v>
      </c>
      <c r="B966" s="17">
        <f>IFERROR(VLOOKUP(D966,'Monthly Deduction'!$E$3:$F$957,2,0),0)</f>
        <v>0</v>
      </c>
      <c r="C966" s="17">
        <f t="shared" si="353"/>
        <v>0</v>
      </c>
      <c r="D966" s="41">
        <v>10630035</v>
      </c>
      <c r="E966" s="122" t="str">
        <f>VLOOKUP(D966,'MPG Payment '!$E$3:$G$497305,2,0)</f>
        <v>Baritha</v>
      </c>
      <c r="F966" s="146">
        <f>IFERROR(_xlfn.XLOOKUP(D966,'Monthly Deduction'!$I$3:$I$957,'Monthly Deduction'!$H$3:$H$957),0)</f>
        <v>0</v>
      </c>
      <c r="G966" s="123" t="str">
        <f>VLOOKUP(D966,'MPG Payment '!$E$3:$G$333666,3,0)</f>
        <v>vlc</v>
      </c>
      <c r="H966" s="124" t="str">
        <f>VLOOKUP(D966,'MPG Payment '!$E$3:$H$333666,4,0)</f>
        <v>Indirect</v>
      </c>
      <c r="I966" s="88">
        <f>INDEX('MPG Payment '!$C:$C,MATCH('Shayak Income '!D966,'MPG Payment '!E:E,0))</f>
        <v>1063</v>
      </c>
      <c r="J966" s="88" t="str">
        <f>INDEX('MPG Payment '!$D:$D,MATCH('Shayak Income '!D966,'MPG Payment '!E:E,0))</f>
        <v>Rosera</v>
      </c>
      <c r="K966" s="125" t="s">
        <v>1593</v>
      </c>
      <c r="L966" s="125">
        <v>46197</v>
      </c>
      <c r="M966" s="126">
        <f>SUMIF('MPG Payment '!$E$3:$E$344841,'Shayak Income '!D966,'MPG Payment '!$I$3:$I$344841)</f>
        <v>2154.7000000000003</v>
      </c>
      <c r="N966" s="126">
        <f>SUMIF('MPG Payment '!$E$3:$E$344841,'Shayak Income '!D966,'MPG Payment '!$J$3:$J$344841)</f>
        <v>80924.63</v>
      </c>
      <c r="O966" s="126">
        <f t="shared" si="354"/>
        <v>1616.0250000000001</v>
      </c>
      <c r="P966" s="126">
        <f t="shared" si="355"/>
        <v>2046.9650000000001</v>
      </c>
      <c r="Q966" s="126">
        <f>SUMIF('MPG Payment '!$E$3:$E$344841,'Shayak Income '!D966,'MPG Payment '!$S$3:$S$344841)</f>
        <v>0</v>
      </c>
      <c r="R966" s="126">
        <f t="shared" si="356"/>
        <v>2427.7388999999998</v>
      </c>
      <c r="S966" s="126">
        <f t="shared" si="357"/>
        <v>380.77389999999968</v>
      </c>
      <c r="T966" s="126">
        <f t="shared" si="368"/>
        <v>215.47000000000003</v>
      </c>
      <c r="U966" s="127">
        <f>((((((IF(K966="New",0,SUMIF('MPG Payment '!$E$3:$E$344841,'Shayak Income '!D966,'MPG Payment '!$AC$3:$AC$344841))))+0)+0)+0)+0)+0</f>
        <v>0</v>
      </c>
      <c r="V966" s="127">
        <f t="shared" si="369"/>
        <v>3448</v>
      </c>
      <c r="W966" s="19">
        <v>0</v>
      </c>
      <c r="X966" s="19">
        <f t="shared" si="363"/>
        <v>0</v>
      </c>
      <c r="Y966" s="128">
        <f>IFERROR(VLOOKUP(D966,'Monthly Deduction'!$M$2:$N$640,2,0),0)</f>
        <v>0</v>
      </c>
      <c r="Z966" s="128">
        <v>0</v>
      </c>
      <c r="AA966" s="126">
        <f>IFERROR(VLOOKUP(D966,'Monthly Deduction'!A:B,2,0),0)</f>
        <v>0</v>
      </c>
      <c r="AB966" s="129">
        <f t="shared" si="364"/>
        <v>3448</v>
      </c>
      <c r="AC966" s="130">
        <f t="shared" si="370"/>
        <v>3448</v>
      </c>
      <c r="AD966" s="35">
        <f t="shared" si="358"/>
        <v>0</v>
      </c>
      <c r="AE966" s="166" t="str">
        <f t="shared" si="359"/>
        <v>Yes</v>
      </c>
      <c r="AF966" s="127"/>
      <c r="AG966" s="18">
        <v>0</v>
      </c>
      <c r="AH966" s="132" t="s">
        <v>1597</v>
      </c>
      <c r="AI966" s="238">
        <v>0</v>
      </c>
      <c r="AJ966" s="132"/>
      <c r="AK966" s="151">
        <v>0</v>
      </c>
      <c r="AL966" s="154">
        <f t="shared" si="360"/>
        <v>0</v>
      </c>
      <c r="AM966" s="155"/>
      <c r="AN966" s="19">
        <f t="shared" si="365"/>
        <v>0</v>
      </c>
      <c r="AO966" s="118">
        <f>SUMIF('MPG Payment '!E:E,'Shayak Income '!D966,'MPG Payment '!AJ:AJ)</f>
        <v>0</v>
      </c>
      <c r="AP966" s="19">
        <f t="shared" si="366"/>
        <v>0</v>
      </c>
      <c r="AQ966" s="119">
        <f t="shared" si="361"/>
        <v>0</v>
      </c>
      <c r="AR966" s="91" t="s">
        <v>1144</v>
      </c>
      <c r="AS966" s="91">
        <f t="shared" si="367"/>
        <v>0</v>
      </c>
      <c r="AT966" s="118"/>
      <c r="AU966" s="118"/>
      <c r="AV966" s="118"/>
    </row>
    <row r="967" spans="1:48" s="20" customFormat="1" x14ac:dyDescent="0.25">
      <c r="A967" s="17">
        <f>IFERROR(VLOOKUP(D967,'Monthly Deduction'!$I$3:$J$957,2,0),0)</f>
        <v>80000</v>
      </c>
      <c r="B967" s="17">
        <f>IFERROR(VLOOKUP(D967,'Monthly Deduction'!$E$3:$F$957,2,0),0)</f>
        <v>0</v>
      </c>
      <c r="C967" s="17">
        <f t="shared" si="353"/>
        <v>80000</v>
      </c>
      <c r="D967" s="41">
        <v>10650013</v>
      </c>
      <c r="E967" s="122" t="str">
        <f>VLOOKUP(D967,'MPG Payment '!$E$3:$G$497305,2,0)</f>
        <v>Gomukh NAVTOL</v>
      </c>
      <c r="F967" s="146">
        <f>IFERROR(_xlfn.XLOOKUP(D967,'Monthly Deduction'!$I$3:$I$957,'Monthly Deduction'!$H$3:$H$957),0)</f>
        <v>0</v>
      </c>
      <c r="G967" s="123" t="str">
        <f>VLOOKUP(D967,'MPG Payment '!$E$3:$G$333666,3,0)</f>
        <v>MPG</v>
      </c>
      <c r="H967" s="124" t="str">
        <f>VLOOKUP(D967,'MPG Payment '!$E$3:$H$333666,4,0)</f>
        <v>Direct</v>
      </c>
      <c r="I967" s="88">
        <f>INDEX('MPG Payment '!$C:$C,MATCH('Shayak Income '!D967,'MPG Payment '!E:E,0))</f>
        <v>1065</v>
      </c>
      <c r="J967" s="88" t="str">
        <f>INDEX('MPG Payment '!$D:$D,MATCH('Shayak Income '!D967,'MPG Payment '!E:E,0))</f>
        <v>Bachhwara BMC</v>
      </c>
      <c r="K967" s="125" t="s">
        <v>1593</v>
      </c>
      <c r="L967" s="125">
        <v>46192</v>
      </c>
      <c r="M967" s="126">
        <f>SUMIF('MPG Payment '!$E$3:$E$344841,'Shayak Income '!D967,'MPG Payment '!$I$3:$I$344841)</f>
        <v>1223.8999999999999</v>
      </c>
      <c r="N967" s="126">
        <f>SUMIF('MPG Payment '!$E$3:$E$344841,'Shayak Income '!D967,'MPG Payment '!$J$3:$J$344841)</f>
        <v>46472.25</v>
      </c>
      <c r="O967" s="126">
        <f t="shared" si="354"/>
        <v>917.92499999999995</v>
      </c>
      <c r="P967" s="126">
        <f t="shared" si="355"/>
        <v>1162.7049999999999</v>
      </c>
      <c r="Q967" s="126">
        <f>SUMIF('MPG Payment '!$E$3:$E$344841,'Shayak Income '!D967,'MPG Payment '!$S$3:$S$344841)</f>
        <v>0</v>
      </c>
      <c r="R967" s="126">
        <f t="shared" si="356"/>
        <v>1394.1675</v>
      </c>
      <c r="S967" s="126">
        <f t="shared" si="357"/>
        <v>231.46250000000009</v>
      </c>
      <c r="T967" s="126">
        <f t="shared" si="368"/>
        <v>122.38999999999999</v>
      </c>
      <c r="U967" s="127">
        <f>((((((IF(K967="New",0,SUMIF('MPG Payment '!$E$3:$E$344841,'Shayak Income '!D967,'MPG Payment '!$AC$3:$AC$344841))))+0)+0)+0)+0)+0</f>
        <v>0</v>
      </c>
      <c r="V967" s="127">
        <f t="shared" si="369"/>
        <v>1958</v>
      </c>
      <c r="W967" s="19">
        <v>0</v>
      </c>
      <c r="X967" s="19">
        <f t="shared" si="363"/>
        <v>0</v>
      </c>
      <c r="Y967" s="128">
        <f>IFERROR(VLOOKUP(D967,'Monthly Deduction'!$M$2:$N$640,2,0),0)</f>
        <v>0</v>
      </c>
      <c r="Z967" s="128">
        <v>0</v>
      </c>
      <c r="AA967" s="126">
        <f>IFERROR(VLOOKUP(D967,'Monthly Deduction'!A:B,2,0),0)</f>
        <v>0</v>
      </c>
      <c r="AB967" s="129">
        <f t="shared" si="364"/>
        <v>1958</v>
      </c>
      <c r="AC967" s="130">
        <f t="shared" si="370"/>
        <v>1958</v>
      </c>
      <c r="AD967" s="35">
        <f t="shared" si="358"/>
        <v>0</v>
      </c>
      <c r="AE967" s="166" t="str">
        <f t="shared" si="359"/>
        <v>Yes</v>
      </c>
      <c r="AF967" s="127"/>
      <c r="AG967" s="18">
        <v>0</v>
      </c>
      <c r="AH967" s="120" t="s">
        <v>1685</v>
      </c>
      <c r="AI967" s="238">
        <v>15000</v>
      </c>
      <c r="AJ967" s="132"/>
      <c r="AK967" s="151">
        <v>444.75000000000006</v>
      </c>
      <c r="AL967" s="154">
        <f t="shared" si="360"/>
        <v>0</v>
      </c>
      <c r="AM967" s="155"/>
      <c r="AN967" s="19">
        <f t="shared" si="365"/>
        <v>1861</v>
      </c>
      <c r="AO967" s="118">
        <f>SUMIF('MPG Payment '!E:E,'Shayak Income '!D967,'MPG Payment '!AJ:AJ)</f>
        <v>0</v>
      </c>
      <c r="AP967" s="19">
        <f t="shared" si="366"/>
        <v>0</v>
      </c>
      <c r="AQ967" s="119">
        <f t="shared" si="361"/>
        <v>0</v>
      </c>
      <c r="AR967" s="91" t="s">
        <v>1144</v>
      </c>
      <c r="AS967" s="91">
        <f t="shared" si="367"/>
        <v>0</v>
      </c>
      <c r="AT967" s="118"/>
      <c r="AU967" s="118"/>
      <c r="AV967" s="118"/>
    </row>
    <row r="968" spans="1:48" s="20" customFormat="1" x14ac:dyDescent="0.25">
      <c r="A968" s="17">
        <f>IFERROR(VLOOKUP(D968,'Monthly Deduction'!$I$3:$J$957,2,0),0)</f>
        <v>0</v>
      </c>
      <c r="B968" s="17">
        <f>IFERROR(VLOOKUP(D968,'Monthly Deduction'!$E$3:$F$957,2,0),0)</f>
        <v>0</v>
      </c>
      <c r="C968" s="17">
        <f t="shared" si="353"/>
        <v>0</v>
      </c>
      <c r="D968" s="41">
        <v>10060136</v>
      </c>
      <c r="E968" s="122" t="str">
        <f>VLOOKUP(D968,'MPG Payment '!$E$3:$G$497305,2,0)</f>
        <v>GOMUKH RAMPUR</v>
      </c>
      <c r="F968" s="146">
        <f>IFERROR(_xlfn.XLOOKUP(D968,'Monthly Deduction'!$I$3:$I$957,'Monthly Deduction'!$H$3:$H$957),0)</f>
        <v>0</v>
      </c>
      <c r="G968" s="123" t="str">
        <f>VLOOKUP(D968,'MPG Payment '!$E$3:$G$333666,3,0)</f>
        <v>vlc</v>
      </c>
      <c r="H968" s="124" t="str">
        <f>VLOOKUP(D968,'MPG Payment '!$E$3:$H$333666,4,0)</f>
        <v>Indirect</v>
      </c>
      <c r="I968" s="88">
        <f>INDEX('MPG Payment '!$C:$C,MATCH('Shayak Income '!D968,'MPG Payment '!E:E,0))</f>
        <v>1006</v>
      </c>
      <c r="J968" s="88" t="str">
        <f>INDEX('MPG Payment '!$D:$D,MATCH('Shayak Income '!D968,'MPG Payment '!E:E,0))</f>
        <v>Sonvarsha</v>
      </c>
      <c r="K968" s="125" t="s">
        <v>1593</v>
      </c>
      <c r="L968" s="125">
        <v>46205</v>
      </c>
      <c r="M968" s="126">
        <f>SUMIF('MPG Payment '!$E$3:$E$344841,'Shayak Income '!D968,'MPG Payment '!$I$3:$I$344841)</f>
        <v>2598.8999999999996</v>
      </c>
      <c r="N968" s="126">
        <f>SUMIF('MPG Payment '!$E$3:$E$344841,'Shayak Income '!D968,'MPG Payment '!$J$3:$J$344841)</f>
        <v>91128.430000000008</v>
      </c>
      <c r="O968" s="126">
        <f t="shared" si="354"/>
        <v>1949.1749999999997</v>
      </c>
      <c r="P968" s="126">
        <f t="shared" si="355"/>
        <v>2468.9549999999995</v>
      </c>
      <c r="Q968" s="126">
        <f>SUMIF('MPG Payment '!$E$3:$E$344841,'Shayak Income '!D968,'MPG Payment '!$S$3:$S$344841)</f>
        <v>0</v>
      </c>
      <c r="R968" s="126">
        <f t="shared" si="356"/>
        <v>2733.8529000000003</v>
      </c>
      <c r="S968" s="126">
        <f t="shared" si="357"/>
        <v>264.89790000000085</v>
      </c>
      <c r="T968" s="126">
        <f t="shared" si="368"/>
        <v>259.89</v>
      </c>
      <c r="U968" s="127">
        <f>((((((IF(K968="New",0,SUMIF('MPG Payment '!$E$3:$E$344841,'Shayak Income '!D968,'MPG Payment '!$AC$3:$AC$344841))))+0)+0)+0)+0)+0</f>
        <v>0</v>
      </c>
      <c r="V968" s="127">
        <f t="shared" si="369"/>
        <v>4158</v>
      </c>
      <c r="W968" s="19">
        <v>0</v>
      </c>
      <c r="X968" s="19">
        <f t="shared" si="363"/>
        <v>0</v>
      </c>
      <c r="Y968" s="128">
        <f>IFERROR(VLOOKUP(D968,'Monthly Deduction'!$M$2:$N$640,2,0),0)</f>
        <v>0</v>
      </c>
      <c r="Z968" s="128">
        <v>0</v>
      </c>
      <c r="AA968" s="126">
        <f>IFERROR(VLOOKUP(D968,'Monthly Deduction'!A:B,2,0),0)</f>
        <v>0</v>
      </c>
      <c r="AB968" s="129">
        <f t="shared" si="364"/>
        <v>4158</v>
      </c>
      <c r="AC968" s="130">
        <v>0</v>
      </c>
      <c r="AD968" s="35">
        <f t="shared" si="358"/>
        <v>4158</v>
      </c>
      <c r="AE968" s="166" t="str">
        <f t="shared" si="359"/>
        <v>Release</v>
      </c>
      <c r="AF968" s="127"/>
      <c r="AG968" s="18">
        <v>0</v>
      </c>
      <c r="AH968" s="120"/>
      <c r="AI968" s="238">
        <v>0</v>
      </c>
      <c r="AJ968" s="132"/>
      <c r="AK968" s="151">
        <v>376.50000000000006</v>
      </c>
      <c r="AL968" s="154">
        <f t="shared" si="360"/>
        <v>0</v>
      </c>
      <c r="AM968" s="155"/>
      <c r="AN968" s="19">
        <f t="shared" si="365"/>
        <v>0</v>
      </c>
      <c r="AO968" s="118">
        <f>SUMIF('MPG Payment '!E:E,'Shayak Income '!D968,'MPG Payment '!AJ:AJ)</f>
        <v>0</v>
      </c>
      <c r="AP968" s="19">
        <f t="shared" si="366"/>
        <v>0</v>
      </c>
      <c r="AQ968" s="119">
        <f t="shared" si="361"/>
        <v>0</v>
      </c>
      <c r="AR968" s="91" t="s">
        <v>1144</v>
      </c>
      <c r="AS968" s="91">
        <f t="shared" si="367"/>
        <v>0</v>
      </c>
      <c r="AT968" s="118"/>
      <c r="AU968" s="118"/>
      <c r="AV968" s="118"/>
    </row>
    <row r="969" spans="1:48" s="20" customFormat="1" x14ac:dyDescent="0.25">
      <c r="A969" s="17">
        <f>IFERROR(VLOOKUP(D969,'Monthly Deduction'!$I$3:$J$957,2,0),0)</f>
        <v>0</v>
      </c>
      <c r="B969" s="17">
        <f>IFERROR(VLOOKUP(D969,'Monthly Deduction'!$E$3:$F$957,2,0),0)</f>
        <v>14056.697964742982</v>
      </c>
      <c r="C969" s="17">
        <f t="shared" si="353"/>
        <v>14056.697964742982</v>
      </c>
      <c r="D969" s="41">
        <v>10090039</v>
      </c>
      <c r="E969" s="122" t="str">
        <f>VLOOKUP(D969,'MPG Payment '!$E$3:$G$497305,2,0)</f>
        <v>SHARMA</v>
      </c>
      <c r="F969" s="146">
        <f>IFERROR(_xlfn.XLOOKUP(D969,'Monthly Deduction'!$I$3:$I$957,'Monthly Deduction'!$H$3:$H$957),0)</f>
        <v>0</v>
      </c>
      <c r="G969" s="123" t="str">
        <f>VLOOKUP(D969,'MPG Payment '!$E$3:$G$333666,3,0)</f>
        <v>MPG</v>
      </c>
      <c r="H969" s="124" t="str">
        <f>VLOOKUP(D969,'MPG Payment '!$E$3:$H$333666,4,0)</f>
        <v>Direct</v>
      </c>
      <c r="I969" s="88">
        <f>INDEX('MPG Payment '!$C:$C,MATCH('Shayak Income '!D969,'MPG Payment '!E:E,0))</f>
        <v>1009</v>
      </c>
      <c r="J969" s="88" t="str">
        <f>INDEX('MPG Payment '!$D:$D,MATCH('Shayak Income '!D969,'MPG Payment '!E:E,0))</f>
        <v>Halsi</v>
      </c>
      <c r="K969" s="125" t="s">
        <v>1594</v>
      </c>
      <c r="L969" s="125">
        <v>45110</v>
      </c>
      <c r="M969" s="126">
        <f>SUMIF('MPG Payment '!$E$3:$E$344841,'Shayak Income '!D969,'MPG Payment '!$I$3:$I$344841)</f>
        <v>929.10000000000014</v>
      </c>
      <c r="N969" s="126">
        <f>SUMIF('MPG Payment '!$E$3:$E$344841,'Shayak Income '!D969,'MPG Payment '!$J$3:$J$344841)</f>
        <v>37764</v>
      </c>
      <c r="O969" s="126">
        <f t="shared" si="354"/>
        <v>696.82500000000005</v>
      </c>
      <c r="P969" s="126">
        <f t="shared" si="355"/>
        <v>882.6450000000001</v>
      </c>
      <c r="Q969" s="126">
        <f>SUMIF('MPG Payment '!$E$3:$E$344841,'Shayak Income '!D969,'MPG Payment '!$S$3:$S$344841)</f>
        <v>0</v>
      </c>
      <c r="R969" s="126">
        <f t="shared" si="356"/>
        <v>1132.9199999999998</v>
      </c>
      <c r="S969" s="126">
        <f t="shared" si="357"/>
        <v>250.27499999999975</v>
      </c>
      <c r="T969" s="126">
        <f t="shared" si="368"/>
        <v>92.910000000000025</v>
      </c>
      <c r="U969" s="127">
        <f>((((((IF(K969="New",0,SUMIF('MPG Payment '!$E$3:$E$344841,'Shayak Income '!D969,'MPG Payment '!$AC$3:$AC$344841))))+0)+0)+0)+0)+-33</f>
        <v>1486.4794194139122</v>
      </c>
      <c r="V969" s="127">
        <f t="shared" si="369"/>
        <v>0</v>
      </c>
      <c r="W969" s="19">
        <v>0</v>
      </c>
      <c r="X969" s="19">
        <v>0</v>
      </c>
      <c r="Y969" s="128">
        <v>0</v>
      </c>
      <c r="Z969" s="128">
        <v>0</v>
      </c>
      <c r="AA969" s="126">
        <v>0</v>
      </c>
      <c r="AB969" s="129">
        <f t="shared" si="364"/>
        <v>0</v>
      </c>
      <c r="AC969" s="130">
        <v>0</v>
      </c>
      <c r="AD969" s="35">
        <f t="shared" si="358"/>
        <v>0</v>
      </c>
      <c r="AE969" s="166" t="str">
        <f t="shared" si="359"/>
        <v>Release</v>
      </c>
      <c r="AF969" s="127"/>
      <c r="AG969" s="18">
        <v>0</v>
      </c>
      <c r="AH969" s="132"/>
      <c r="AI969" s="238">
        <v>0</v>
      </c>
      <c r="AJ969" s="132"/>
      <c r="AK969" s="151">
        <v>274.60000000000002</v>
      </c>
      <c r="AL969" s="154">
        <f t="shared" si="360"/>
        <v>0</v>
      </c>
      <c r="AM969" s="155"/>
      <c r="AN969" s="19">
        <f t="shared" si="365"/>
        <v>0</v>
      </c>
      <c r="AO969" s="118">
        <f>SUMIF('MPG Payment '!E:E,'Shayak Income '!D969,'MPG Payment '!AJ:AJ)</f>
        <v>0</v>
      </c>
      <c r="AP969" s="19">
        <f t="shared" si="366"/>
        <v>0</v>
      </c>
      <c r="AQ969" s="119">
        <f t="shared" si="361"/>
        <v>0</v>
      </c>
      <c r="AR969" s="91" t="s">
        <v>1144</v>
      </c>
      <c r="AS969" s="91">
        <f t="shared" si="367"/>
        <v>14056.697964742982</v>
      </c>
      <c r="AT969" s="118"/>
      <c r="AU969" s="118"/>
      <c r="AV969" s="118"/>
    </row>
    <row r="970" spans="1:48" s="20" customFormat="1" x14ac:dyDescent="0.25">
      <c r="A970" s="17">
        <f>IFERROR(VLOOKUP(D970,'Monthly Deduction'!$I$3:$J$957,2,0),0)</f>
        <v>0</v>
      </c>
      <c r="B970" s="17">
        <f>IFERROR(VLOOKUP(D970,'Monthly Deduction'!$E$3:$F$957,2,0),0)</f>
        <v>0</v>
      </c>
      <c r="C970" s="17">
        <f t="shared" si="353"/>
        <v>0</v>
      </c>
      <c r="D970" s="41">
        <v>10110190</v>
      </c>
      <c r="E970" s="122" t="str">
        <f>VLOOKUP(D970,'MPG Payment '!$E$3:$G$497305,2,0)</f>
        <v>Baliya</v>
      </c>
      <c r="F970" s="146">
        <f>IFERROR(_xlfn.XLOOKUP(D970,'Monthly Deduction'!$I$3:$I$957,'Monthly Deduction'!$H$3:$H$957),0)</f>
        <v>0</v>
      </c>
      <c r="G970" s="123" t="str">
        <f>VLOOKUP(D970,'MPG Payment '!$E$3:$G$333666,3,0)</f>
        <v>vlc</v>
      </c>
      <c r="H970" s="124" t="str">
        <f>VLOOKUP(D970,'MPG Payment '!$E$3:$H$333666,4,0)</f>
        <v>Indirect</v>
      </c>
      <c r="I970" s="88">
        <f>INDEX('MPG Payment '!$C:$C,MATCH('Shayak Income '!D970,'MPG Payment '!E:E,0))</f>
        <v>1011</v>
      </c>
      <c r="J970" s="88" t="str">
        <f>INDEX('MPG Payment '!$D:$D,MATCH('Shayak Income '!D970,'MPG Payment '!E:E,0))</f>
        <v>Sahibpur Kamal</v>
      </c>
      <c r="K970" s="125" t="s">
        <v>1593</v>
      </c>
      <c r="L970" s="125">
        <v>46203</v>
      </c>
      <c r="M970" s="126">
        <f>SUMIF('MPG Payment '!$E$3:$E$344841,'Shayak Income '!D970,'MPG Payment '!$I$3:$I$344841)</f>
        <v>29305.999999999996</v>
      </c>
      <c r="N970" s="126">
        <f>SUMIF('MPG Payment '!$E$3:$E$344841,'Shayak Income '!D970,'MPG Payment '!$J$3:$J$344841)</f>
        <v>1161922.01</v>
      </c>
      <c r="O970" s="126">
        <f t="shared" si="354"/>
        <v>21979.499999999996</v>
      </c>
      <c r="P970" s="126">
        <f t="shared" si="355"/>
        <v>27840.699999999993</v>
      </c>
      <c r="Q970" s="126">
        <f>SUMIF('MPG Payment '!$E$3:$E$344841,'Shayak Income '!D970,'MPG Payment '!$S$3:$S$344841)</f>
        <v>0</v>
      </c>
      <c r="R970" s="126">
        <f t="shared" si="356"/>
        <v>34857.660299999996</v>
      </c>
      <c r="S970" s="126">
        <f t="shared" si="357"/>
        <v>7016.9603000000025</v>
      </c>
      <c r="T970" s="126">
        <f t="shared" si="368"/>
        <v>2930.6</v>
      </c>
      <c r="U970" s="127">
        <f>((((((IF(K970="New",0,SUMIF('MPG Payment '!$E$3:$E$344841,'Shayak Income '!D970,'MPG Payment '!$AC$3:$AC$344841))))+0)+0)+0)+0)+0</f>
        <v>0</v>
      </c>
      <c r="V970" s="127">
        <f t="shared" si="369"/>
        <v>46890</v>
      </c>
      <c r="W970" s="19">
        <v>0</v>
      </c>
      <c r="X970" s="19">
        <f t="shared" si="363"/>
        <v>0</v>
      </c>
      <c r="Y970" s="128">
        <f>IFERROR(VLOOKUP(D970,'Monthly Deduction'!$M$2:$N$640,2,0),0)</f>
        <v>0</v>
      </c>
      <c r="Z970" s="128">
        <v>0</v>
      </c>
      <c r="AA970" s="126">
        <f>IFERROR(VLOOKUP(D970,'Monthly Deduction'!A:B,2,0),0)</f>
        <v>0</v>
      </c>
      <c r="AB970" s="129">
        <f t="shared" si="364"/>
        <v>46890</v>
      </c>
      <c r="AC970" s="130">
        <v>0</v>
      </c>
      <c r="AD970" s="35">
        <f t="shared" si="358"/>
        <v>46890</v>
      </c>
      <c r="AE970" s="166" t="str">
        <f t="shared" si="359"/>
        <v>Release</v>
      </c>
      <c r="AF970" s="127"/>
      <c r="AG970" s="18">
        <v>0</v>
      </c>
      <c r="AH970" s="132"/>
      <c r="AI970" s="238">
        <v>0</v>
      </c>
      <c r="AJ970" s="132"/>
      <c r="AK970" s="151">
        <v>7115.7</v>
      </c>
      <c r="AL970" s="154">
        <f t="shared" si="360"/>
        <v>0</v>
      </c>
      <c r="AM970" s="155"/>
      <c r="AN970" s="19">
        <f t="shared" si="365"/>
        <v>0</v>
      </c>
      <c r="AO970" s="118">
        <f>SUMIF('MPG Payment '!E:E,'Shayak Income '!D970,'MPG Payment '!AJ:AJ)</f>
        <v>0</v>
      </c>
      <c r="AP970" s="19">
        <f t="shared" si="366"/>
        <v>0</v>
      </c>
      <c r="AQ970" s="119">
        <f t="shared" si="361"/>
        <v>0</v>
      </c>
      <c r="AR970" s="91" t="s">
        <v>1144</v>
      </c>
      <c r="AS970" s="91">
        <f t="shared" si="367"/>
        <v>0</v>
      </c>
      <c r="AT970" s="118"/>
      <c r="AU970" s="118"/>
      <c r="AV970" s="118"/>
    </row>
    <row r="971" spans="1:48" s="20" customFormat="1" x14ac:dyDescent="0.25">
      <c r="A971" s="17">
        <f>IFERROR(VLOOKUP(D971,'Monthly Deduction'!$I$3:$J$957,2,0),0)</f>
        <v>49348.179393945597</v>
      </c>
      <c r="B971" s="17">
        <f>IFERROR(VLOOKUP(D971,'Monthly Deduction'!$E$3:$F$957,2,0),0)</f>
        <v>8298.3607058969592</v>
      </c>
      <c r="C971" s="17">
        <f t="shared" si="353"/>
        <v>57646.540099842554</v>
      </c>
      <c r="D971" s="41">
        <v>10140011</v>
      </c>
      <c r="E971" s="122" t="str">
        <f>VLOOKUP(D971,'MPG Payment '!$E$3:$G$497305,2,0)</f>
        <v>DULLAHPUR2</v>
      </c>
      <c r="F971" s="146">
        <f>IFERROR(_xlfn.XLOOKUP(D971,'Monthly Deduction'!$I$3:$I$957,'Monthly Deduction'!$H$3:$H$957),0)</f>
        <v>0</v>
      </c>
      <c r="G971" s="123" t="str">
        <f>VLOOKUP(D971,'MPG Payment '!$E$3:$G$333666,3,0)</f>
        <v>MPG</v>
      </c>
      <c r="H971" s="124" t="str">
        <f>VLOOKUP(D971,'MPG Payment '!$E$3:$H$333666,4,0)</f>
        <v>Direct</v>
      </c>
      <c r="I971" s="88">
        <f>INDEX('MPG Payment '!$C:$C,MATCH('Shayak Income '!D971,'MPG Payment '!E:E,0))</f>
        <v>1014</v>
      </c>
      <c r="J971" s="88" t="str">
        <f>INDEX('MPG Payment '!$D:$D,MATCH('Shayak Income '!D971,'MPG Payment '!E:E,0))</f>
        <v>Dumraon</v>
      </c>
      <c r="K971" s="125" t="s">
        <v>1594</v>
      </c>
      <c r="L971" s="125">
        <v>44697</v>
      </c>
      <c r="M971" s="126">
        <f>SUMIF('MPG Payment '!$E$3:$E$344841,'Shayak Income '!D971,'MPG Payment '!$I$3:$I$344841)</f>
        <v>763.4</v>
      </c>
      <c r="N971" s="126">
        <f>SUMIF('MPG Payment '!$E$3:$E$344841,'Shayak Income '!D971,'MPG Payment '!$J$3:$J$344841)</f>
        <v>24054.409999999996</v>
      </c>
      <c r="O971" s="126">
        <f t="shared" si="354"/>
        <v>572.54999999999995</v>
      </c>
      <c r="P971" s="126">
        <f t="shared" si="355"/>
        <v>725.2299999999999</v>
      </c>
      <c r="Q971" s="126">
        <f>SUMIF('MPG Payment '!$E$3:$E$344841,'Shayak Income '!D971,'MPG Payment '!$S$3:$S$344841)</f>
        <v>0</v>
      </c>
      <c r="R971" s="126">
        <f t="shared" si="356"/>
        <v>721.63229999999987</v>
      </c>
      <c r="S971" s="126">
        <f t="shared" si="357"/>
        <v>-3.5977000000000317</v>
      </c>
      <c r="T971" s="126">
        <f t="shared" si="368"/>
        <v>76.34</v>
      </c>
      <c r="U971" s="127">
        <f>((((((IF(K971="New",0,SUMIF('MPG Payment '!$E$3:$E$344841,'Shayak Income '!D971,'MPG Payment '!$AC$3:$AC$344841))))+0)+0)+0)+0)+-63</f>
        <v>1221.8707287907243</v>
      </c>
      <c r="V971" s="127">
        <f t="shared" si="369"/>
        <v>0</v>
      </c>
      <c r="W971" s="19">
        <v>0</v>
      </c>
      <c r="X971" s="19">
        <v>0</v>
      </c>
      <c r="Y971" s="128">
        <v>0</v>
      </c>
      <c r="Z971" s="128">
        <v>0</v>
      </c>
      <c r="AA971" s="126">
        <v>0</v>
      </c>
      <c r="AB971" s="129">
        <f t="shared" si="364"/>
        <v>0</v>
      </c>
      <c r="AC971" s="130">
        <v>0</v>
      </c>
      <c r="AD971" s="35">
        <f t="shared" si="358"/>
        <v>0</v>
      </c>
      <c r="AE971" s="166" t="str">
        <f t="shared" si="359"/>
        <v>Release</v>
      </c>
      <c r="AF971" s="127"/>
      <c r="AG971" s="18">
        <v>0</v>
      </c>
      <c r="AH971" s="132"/>
      <c r="AI971" s="238">
        <v>0</v>
      </c>
      <c r="AJ971" s="132"/>
      <c r="AK971" s="151">
        <v>206.5</v>
      </c>
      <c r="AL971" s="154">
        <f t="shared" si="360"/>
        <v>0</v>
      </c>
      <c r="AM971" s="155"/>
      <c r="AN971" s="19">
        <f t="shared" si="365"/>
        <v>1861</v>
      </c>
      <c r="AO971" s="118">
        <f>SUMIF('MPG Payment '!E:E,'Shayak Income '!D971,'MPG Payment '!AJ:AJ)</f>
        <v>0</v>
      </c>
      <c r="AP971" s="19">
        <f t="shared" si="366"/>
        <v>0</v>
      </c>
      <c r="AQ971" s="119">
        <f t="shared" si="361"/>
        <v>0</v>
      </c>
      <c r="AR971" s="91" t="s">
        <v>1144</v>
      </c>
      <c r="AS971" s="91">
        <f t="shared" si="367"/>
        <v>8298.3607058969592</v>
      </c>
      <c r="AT971" s="118"/>
      <c r="AU971" s="118"/>
      <c r="AV971" s="118"/>
    </row>
    <row r="972" spans="1:48" s="20" customFormat="1" x14ac:dyDescent="0.25">
      <c r="A972" s="17">
        <f>IFERROR(VLOOKUP(D972,'Monthly Deduction'!$I$3:$J$957,2,0),0)</f>
        <v>0</v>
      </c>
      <c r="B972" s="17">
        <f>IFERROR(VLOOKUP(D972,'Monthly Deduction'!$E$3:$F$957,2,0),0)</f>
        <v>0</v>
      </c>
      <c r="C972" s="17">
        <f t="shared" si="353"/>
        <v>0</v>
      </c>
      <c r="D972" s="41">
        <v>10140209</v>
      </c>
      <c r="E972" s="122" t="str">
        <f>VLOOKUP(D972,'MPG Payment '!$E$3:$G$497305,2,0)</f>
        <v>Gomukh Banjhudera</v>
      </c>
      <c r="F972" s="146">
        <f>IFERROR(_xlfn.XLOOKUP(D972,'Monthly Deduction'!$I$3:$I$957,'Monthly Deduction'!$H$3:$H$957),0)</f>
        <v>0</v>
      </c>
      <c r="G972" s="123" t="str">
        <f>VLOOKUP(D972,'MPG Payment '!$E$3:$G$333666,3,0)</f>
        <v>vlc</v>
      </c>
      <c r="H972" s="124" t="str">
        <f>VLOOKUP(D972,'MPG Payment '!$E$3:$H$333666,4,0)</f>
        <v>Indirect</v>
      </c>
      <c r="I972" s="88">
        <f>INDEX('MPG Payment '!$C:$C,MATCH('Shayak Income '!D972,'MPG Payment '!E:E,0))</f>
        <v>1014</v>
      </c>
      <c r="J972" s="88" t="str">
        <f>INDEX('MPG Payment '!$D:$D,MATCH('Shayak Income '!D972,'MPG Payment '!E:E,0))</f>
        <v>Dumraon</v>
      </c>
      <c r="K972" s="125" t="s">
        <v>1593</v>
      </c>
      <c r="L972" s="125">
        <v>46204</v>
      </c>
      <c r="M972" s="126">
        <f>SUMIF('MPG Payment '!$E$3:$E$344841,'Shayak Income '!D972,'MPG Payment '!$I$3:$I$344841)</f>
        <v>714.8</v>
      </c>
      <c r="N972" s="126">
        <f>SUMIF('MPG Payment '!$E$3:$E$344841,'Shayak Income '!D972,'MPG Payment '!$J$3:$J$344841)</f>
        <v>26620.019999999997</v>
      </c>
      <c r="O972" s="126">
        <f t="shared" si="354"/>
        <v>536.09999999999991</v>
      </c>
      <c r="P972" s="126">
        <f t="shared" si="355"/>
        <v>679.06</v>
      </c>
      <c r="Q972" s="126">
        <f>SUMIF('MPG Payment '!$E$3:$E$344841,'Shayak Income '!D972,'MPG Payment '!$S$3:$S$344841)</f>
        <v>0</v>
      </c>
      <c r="R972" s="126">
        <f t="shared" si="356"/>
        <v>798.60059999999987</v>
      </c>
      <c r="S972" s="126">
        <f t="shared" si="357"/>
        <v>119.54059999999993</v>
      </c>
      <c r="T972" s="126">
        <f t="shared" si="368"/>
        <v>71.48</v>
      </c>
      <c r="U972" s="127">
        <f>((((((IF(K972="New",0,SUMIF('MPG Payment '!$E$3:$E$344841,'Shayak Income '!D972,'MPG Payment '!$AC$3:$AC$344841))))+0)+0)+0)+0)+0</f>
        <v>0</v>
      </c>
      <c r="V972" s="127">
        <f t="shared" si="369"/>
        <v>1144</v>
      </c>
      <c r="W972" s="19">
        <v>0</v>
      </c>
      <c r="X972" s="19">
        <f t="shared" si="363"/>
        <v>0</v>
      </c>
      <c r="Y972" s="128">
        <f>IFERROR(VLOOKUP(D972,'Monthly Deduction'!$M$2:$N$640,2,0),0)</f>
        <v>0</v>
      </c>
      <c r="Z972" s="128">
        <v>0</v>
      </c>
      <c r="AA972" s="126">
        <f>IFERROR(VLOOKUP(D972,'Monthly Deduction'!A:B,2,0),0)</f>
        <v>0</v>
      </c>
      <c r="AB972" s="129">
        <f t="shared" si="364"/>
        <v>1144</v>
      </c>
      <c r="AC972" s="130">
        <f>AB972</f>
        <v>1144</v>
      </c>
      <c r="AD972" s="35">
        <f t="shared" si="358"/>
        <v>0</v>
      </c>
      <c r="AE972" s="166" t="str">
        <f t="shared" si="359"/>
        <v>Yes</v>
      </c>
      <c r="AF972" s="127"/>
      <c r="AG972" s="18">
        <v>0</v>
      </c>
      <c r="AH972" s="132" t="s">
        <v>1597</v>
      </c>
      <c r="AI972" s="238">
        <v>0</v>
      </c>
      <c r="AJ972" s="132"/>
      <c r="AK972" s="151">
        <v>0</v>
      </c>
      <c r="AL972" s="154">
        <f t="shared" si="360"/>
        <v>0</v>
      </c>
      <c r="AM972" s="155"/>
      <c r="AN972" s="19">
        <f t="shared" si="365"/>
        <v>0</v>
      </c>
      <c r="AO972" s="118">
        <f>SUMIF('MPG Payment '!E:E,'Shayak Income '!D972,'MPG Payment '!AJ:AJ)</f>
        <v>0</v>
      </c>
      <c r="AP972" s="19">
        <f t="shared" si="366"/>
        <v>0</v>
      </c>
      <c r="AQ972" s="119">
        <f t="shared" si="361"/>
        <v>0</v>
      </c>
      <c r="AR972" s="91" t="s">
        <v>1144</v>
      </c>
      <c r="AS972" s="91">
        <f t="shared" si="367"/>
        <v>0</v>
      </c>
      <c r="AT972" s="118"/>
      <c r="AU972" s="118"/>
      <c r="AV972" s="118"/>
    </row>
    <row r="973" spans="1:48" s="20" customFormat="1" x14ac:dyDescent="0.25">
      <c r="A973" s="17">
        <f>IFERROR(VLOOKUP(D973,'Monthly Deduction'!$I$3:$J$957,2,0),0)</f>
        <v>0</v>
      </c>
      <c r="B973" s="17">
        <f>IFERROR(VLOOKUP(D973,'Monthly Deduction'!$E$3:$F$957,2,0),0)</f>
        <v>0</v>
      </c>
      <c r="C973" s="17">
        <f t="shared" si="353"/>
        <v>0</v>
      </c>
      <c r="D973" s="41">
        <v>10530104</v>
      </c>
      <c r="E973" s="122" t="str">
        <f>VLOOKUP(D973,'MPG Payment '!$E$3:$G$497305,2,0)</f>
        <v>Belsandi Dihtola</v>
      </c>
      <c r="F973" s="146">
        <f>IFERROR(_xlfn.XLOOKUP(D973,'Monthly Deduction'!$I$3:$I$957,'Monthly Deduction'!$H$3:$H$957),0)</f>
        <v>0</v>
      </c>
      <c r="G973" s="123" t="str">
        <f>VLOOKUP(D973,'MPG Payment '!$E$3:$G$333666,3,0)</f>
        <v>VLC</v>
      </c>
      <c r="H973" s="124" t="str">
        <f>VLOOKUP(D973,'MPG Payment '!$E$3:$H$333666,4,0)</f>
        <v>Indirect</v>
      </c>
      <c r="I973" s="88">
        <f>INDEX('MPG Payment '!$C:$C,MATCH('Shayak Income '!D973,'MPG Payment '!E:E,0))</f>
        <v>1053</v>
      </c>
      <c r="J973" s="88" t="str">
        <f>INDEX('MPG Payment '!$D:$D,MATCH('Shayak Income '!D973,'MPG Payment '!E:E,0))</f>
        <v>Kalyanpur</v>
      </c>
      <c r="K973" s="125" t="s">
        <v>1594</v>
      </c>
      <c r="L973" s="125">
        <v>46038</v>
      </c>
      <c r="M973" s="126">
        <f>SUMIF('MPG Payment '!$E$3:$E$344841,'Shayak Income '!D973,'MPG Payment '!$I$3:$I$344841)</f>
        <v>160.35</v>
      </c>
      <c r="N973" s="126">
        <f>SUMIF('MPG Payment '!$E$3:$E$344841,'Shayak Income '!D973,'MPG Payment '!$J$3:$J$344841)</f>
        <v>6497.93</v>
      </c>
      <c r="O973" s="126">
        <f t="shared" si="354"/>
        <v>120.26249999999999</v>
      </c>
      <c r="P973" s="126">
        <f t="shared" si="355"/>
        <v>152.33249999999998</v>
      </c>
      <c r="Q973" s="126">
        <f>SUMIF('MPG Payment '!$E$3:$E$344841,'Shayak Income '!D973,'MPG Payment '!$S$3:$S$344841)</f>
        <v>0</v>
      </c>
      <c r="R973" s="126">
        <f t="shared" si="356"/>
        <v>194.93790000000001</v>
      </c>
      <c r="S973" s="126">
        <f t="shared" si="357"/>
        <v>42.605400000000031</v>
      </c>
      <c r="T973" s="126">
        <f t="shared" si="368"/>
        <v>16.035</v>
      </c>
      <c r="U973" s="127">
        <f>((((((IF(K973="New",0,SUMIF('MPG Payment '!$E$3:$E$344841,'Shayak Income '!D973,'MPG Payment '!$AC$3:$AC$344841))))+0)+0)+0)+0)+-765</f>
        <v>256.64819716924524</v>
      </c>
      <c r="V973" s="127">
        <f t="shared" si="369"/>
        <v>0</v>
      </c>
      <c r="W973" s="19">
        <v>0</v>
      </c>
      <c r="X973" s="19">
        <v>0</v>
      </c>
      <c r="Y973" s="128">
        <v>0</v>
      </c>
      <c r="Z973" s="128">
        <v>0</v>
      </c>
      <c r="AA973" s="126">
        <v>0</v>
      </c>
      <c r="AB973" s="129">
        <f t="shared" si="364"/>
        <v>0</v>
      </c>
      <c r="AC973" s="130">
        <v>0</v>
      </c>
      <c r="AD973" s="35">
        <f t="shared" si="358"/>
        <v>0</v>
      </c>
      <c r="AE973" s="166" t="str">
        <f t="shared" si="359"/>
        <v>Release</v>
      </c>
      <c r="AF973" s="127"/>
      <c r="AG973" s="18">
        <v>0</v>
      </c>
      <c r="AH973" s="132"/>
      <c r="AI973" s="238">
        <v>0</v>
      </c>
      <c r="AJ973" s="132"/>
      <c r="AK973" s="151">
        <v>61.5</v>
      </c>
      <c r="AL973" s="154">
        <f t="shared" si="360"/>
        <v>0</v>
      </c>
      <c r="AM973" s="155"/>
      <c r="AN973" s="19">
        <f t="shared" si="365"/>
        <v>0</v>
      </c>
      <c r="AO973" s="118">
        <f>SUMIF('MPG Payment '!E:E,'Shayak Income '!D973,'MPG Payment '!AJ:AJ)</f>
        <v>0</v>
      </c>
      <c r="AP973" s="19">
        <f t="shared" si="366"/>
        <v>0</v>
      </c>
      <c r="AQ973" s="119">
        <f t="shared" si="361"/>
        <v>0</v>
      </c>
      <c r="AR973" s="91" t="s">
        <v>1144</v>
      </c>
      <c r="AS973" s="91">
        <f t="shared" si="367"/>
        <v>0</v>
      </c>
      <c r="AT973" s="118"/>
      <c r="AU973" s="118"/>
      <c r="AV973" s="118"/>
    </row>
    <row r="974" spans="1:48" s="20" customFormat="1" x14ac:dyDescent="0.25">
      <c r="A974" s="17">
        <f>IFERROR(VLOOKUP(D974,'Monthly Deduction'!$I$3:$J$957,2,0),0)</f>
        <v>65000</v>
      </c>
      <c r="B974" s="17">
        <f>IFERROR(VLOOKUP(D974,'Monthly Deduction'!$E$3:$F$957,2,0),0)</f>
        <v>0</v>
      </c>
      <c r="C974" s="17">
        <f t="shared" si="353"/>
        <v>65000</v>
      </c>
      <c r="D974" s="41">
        <v>10540050</v>
      </c>
      <c r="E974" s="122" t="str">
        <f>VLOOKUP(D974,'MPG Payment '!$E$3:$G$497305,2,0)</f>
        <v>Gomukh Khutauna</v>
      </c>
      <c r="F974" s="146">
        <f>IFERROR(_xlfn.XLOOKUP(D974,'Monthly Deduction'!$I$3:$I$957,'Monthly Deduction'!$H$3:$H$957),0)</f>
        <v>0</v>
      </c>
      <c r="G974" s="123" t="str">
        <f>VLOOKUP(D974,'MPG Payment '!$E$3:$G$333666,3,0)</f>
        <v>MPG</v>
      </c>
      <c r="H974" s="124" t="str">
        <f>VLOOKUP(D974,'MPG Payment '!$E$3:$H$333666,4,0)</f>
        <v>Direct</v>
      </c>
      <c r="I974" s="88">
        <f>INDEX('MPG Payment '!$C:$C,MATCH('Shayak Income '!D974,'MPG Payment '!E:E,0))</f>
        <v>1054</v>
      </c>
      <c r="J974" s="88" t="str">
        <f>INDEX('MPG Payment '!$D:$D,MATCH('Shayak Income '!D974,'MPG Payment '!E:E,0))</f>
        <v xml:space="preserve">Alauli </v>
      </c>
      <c r="K974" s="125" t="s">
        <v>1593</v>
      </c>
      <c r="L974" s="125">
        <v>46199</v>
      </c>
      <c r="M974" s="126">
        <f>SUMIF('MPG Payment '!$E$3:$E$344841,'Shayak Income '!D974,'MPG Payment '!$I$3:$I$344841)</f>
        <v>1292.0000000000002</v>
      </c>
      <c r="N974" s="126">
        <f>SUMIF('MPG Payment '!$E$3:$E$344841,'Shayak Income '!D974,'MPG Payment '!$J$3:$J$344841)</f>
        <v>45365.52</v>
      </c>
      <c r="O974" s="126">
        <f t="shared" si="354"/>
        <v>969.00000000000023</v>
      </c>
      <c r="P974" s="126">
        <f t="shared" si="355"/>
        <v>1227.4000000000001</v>
      </c>
      <c r="Q974" s="126">
        <f>SUMIF('MPG Payment '!$E$3:$E$344841,'Shayak Income '!D974,'MPG Payment '!$S$3:$S$344841)</f>
        <v>0</v>
      </c>
      <c r="R974" s="126">
        <f t="shared" si="356"/>
        <v>1360.9655999999998</v>
      </c>
      <c r="S974" s="126">
        <f t="shared" si="357"/>
        <v>133.56559999999968</v>
      </c>
      <c r="T974" s="126">
        <f t="shared" si="368"/>
        <v>129.20000000000002</v>
      </c>
      <c r="U974" s="127">
        <f>((((((IF(K974="New",0,SUMIF('MPG Payment '!$E$3:$E$344841,'Shayak Income '!D974,'MPG Payment '!$AC$3:$AC$344841))))+0)+0)+0)+0)+0</f>
        <v>0</v>
      </c>
      <c r="V974" s="127">
        <f t="shared" si="369"/>
        <v>2067</v>
      </c>
      <c r="W974" s="19">
        <v>0</v>
      </c>
      <c r="X974" s="19">
        <f t="shared" si="363"/>
        <v>0</v>
      </c>
      <c r="Y974" s="128">
        <f>IFERROR(VLOOKUP(D974,'Monthly Deduction'!$M$2:$N$640,2,0),0)</f>
        <v>0</v>
      </c>
      <c r="Z974" s="128">
        <v>0</v>
      </c>
      <c r="AA974" s="126">
        <f>IFERROR(VLOOKUP(D974,'Monthly Deduction'!A:B,2,0),0)</f>
        <v>404.53999999999996</v>
      </c>
      <c r="AB974" s="129">
        <f t="shared" si="364"/>
        <v>1662</v>
      </c>
      <c r="AC974" s="130">
        <v>0</v>
      </c>
      <c r="AD974" s="35">
        <f t="shared" si="358"/>
        <v>1662</v>
      </c>
      <c r="AE974" s="166" t="str">
        <f t="shared" si="359"/>
        <v>Release</v>
      </c>
      <c r="AF974" s="127"/>
      <c r="AG974" s="18">
        <v>0</v>
      </c>
      <c r="AH974" s="132"/>
      <c r="AI974" s="238">
        <v>0</v>
      </c>
      <c r="AJ974" s="132"/>
      <c r="AK974" s="151">
        <v>377.70000000000005</v>
      </c>
      <c r="AL974" s="154">
        <f t="shared" si="360"/>
        <v>0</v>
      </c>
      <c r="AM974" s="155"/>
      <c r="AN974" s="19">
        <f t="shared" si="365"/>
        <v>1861</v>
      </c>
      <c r="AO974" s="118">
        <f>SUMIF('MPG Payment '!E:E,'Shayak Income '!D974,'MPG Payment '!AJ:AJ)</f>
        <v>0</v>
      </c>
      <c r="AP974" s="19">
        <f t="shared" si="366"/>
        <v>0</v>
      </c>
      <c r="AQ974" s="119">
        <f t="shared" si="361"/>
        <v>0</v>
      </c>
      <c r="AR974" s="91" t="s">
        <v>1144</v>
      </c>
      <c r="AS974" s="91">
        <f t="shared" si="367"/>
        <v>0</v>
      </c>
      <c r="AT974" s="118"/>
      <c r="AU974" s="118"/>
      <c r="AV974" s="118"/>
    </row>
    <row r="975" spans="1:48" s="20" customFormat="1" x14ac:dyDescent="0.25">
      <c r="A975" s="17">
        <f>IFERROR(VLOOKUP(D975,'Monthly Deduction'!$I$3:$J$957,2,0),0)</f>
        <v>0</v>
      </c>
      <c r="B975" s="17">
        <f>IFERROR(VLOOKUP(D975,'Monthly Deduction'!$E$3:$F$957,2,0),0)</f>
        <v>0</v>
      </c>
      <c r="C975" s="17">
        <f t="shared" si="353"/>
        <v>0</v>
      </c>
      <c r="D975" s="41">
        <v>10570067</v>
      </c>
      <c r="E975" s="122" t="str">
        <f>VLOOKUP(D975,'MPG Payment '!$E$3:$G$497305,2,0)</f>
        <v>Kadarchak 2</v>
      </c>
      <c r="F975" s="146">
        <f>IFERROR(_xlfn.XLOOKUP(D975,'Monthly Deduction'!$I$3:$I$957,'Monthly Deduction'!$H$3:$H$957),0)</f>
        <v>0</v>
      </c>
      <c r="G975" s="123" t="str">
        <f>VLOOKUP(D975,'MPG Payment '!$E$3:$G$333666,3,0)</f>
        <v>vlc</v>
      </c>
      <c r="H975" s="124" t="str">
        <f>VLOOKUP(D975,'MPG Payment '!$E$3:$H$333666,4,0)</f>
        <v>Indirect</v>
      </c>
      <c r="I975" s="88">
        <f>INDEX('MPG Payment '!$C:$C,MATCH('Shayak Income '!D975,'MPG Payment '!E:E,0))</f>
        <v>1057</v>
      </c>
      <c r="J975" s="88" t="str">
        <f>INDEX('MPG Payment '!$D:$D,MATCH('Shayak Income '!D975,'MPG Payment '!E:E,0))</f>
        <v>Warisnagar</v>
      </c>
      <c r="K975" s="125" t="s">
        <v>1593</v>
      </c>
      <c r="L975" s="125">
        <v>46199</v>
      </c>
      <c r="M975" s="126">
        <f>SUMIF('MPG Payment '!$E$3:$E$344841,'Shayak Income '!D975,'MPG Payment '!$I$3:$I$344841)</f>
        <v>783.5</v>
      </c>
      <c r="N975" s="126">
        <f>SUMIF('MPG Payment '!$E$3:$E$344841,'Shayak Income '!D975,'MPG Payment '!$J$3:$J$344841)</f>
        <v>29384.15</v>
      </c>
      <c r="O975" s="126">
        <f t="shared" si="354"/>
        <v>587.625</v>
      </c>
      <c r="P975" s="126">
        <f t="shared" si="355"/>
        <v>744.32499999999993</v>
      </c>
      <c r="Q975" s="126">
        <f>SUMIF('MPG Payment '!$E$3:$E$344841,'Shayak Income '!D975,'MPG Payment '!$S$3:$S$344841)</f>
        <v>0</v>
      </c>
      <c r="R975" s="126">
        <f t="shared" si="356"/>
        <v>881.52449999999999</v>
      </c>
      <c r="S975" s="126">
        <f t="shared" si="357"/>
        <v>137.19950000000006</v>
      </c>
      <c r="T975" s="126">
        <f t="shared" si="368"/>
        <v>78.350000000000009</v>
      </c>
      <c r="U975" s="127">
        <f>((((((IF(K975="New",0,SUMIF('MPG Payment '!$E$3:$E$344841,'Shayak Income '!D975,'MPG Payment '!$AC$3:$AC$344841))))+0)+0)+0)+0)+0</f>
        <v>0</v>
      </c>
      <c r="V975" s="127">
        <f t="shared" si="369"/>
        <v>1254</v>
      </c>
      <c r="W975" s="19">
        <v>0</v>
      </c>
      <c r="X975" s="19">
        <f t="shared" si="363"/>
        <v>0</v>
      </c>
      <c r="Y975" s="128">
        <f>IFERROR(VLOOKUP(D975,'Monthly Deduction'!$M$2:$N$640,2,0),0)</f>
        <v>0</v>
      </c>
      <c r="Z975" s="128">
        <v>0</v>
      </c>
      <c r="AA975" s="126">
        <f>IFERROR(VLOOKUP(D975,'Monthly Deduction'!A:B,2,0),0)</f>
        <v>0</v>
      </c>
      <c r="AB975" s="129">
        <f t="shared" si="364"/>
        <v>1254</v>
      </c>
      <c r="AC975" s="130">
        <v>0</v>
      </c>
      <c r="AD975" s="35">
        <f t="shared" si="358"/>
        <v>1254</v>
      </c>
      <c r="AE975" s="166" t="str">
        <f t="shared" si="359"/>
        <v>Release</v>
      </c>
      <c r="AF975" s="127"/>
      <c r="AG975" s="18">
        <v>0</v>
      </c>
      <c r="AH975" s="132"/>
      <c r="AI975" s="238">
        <v>0</v>
      </c>
      <c r="AJ975" s="132"/>
      <c r="AK975" s="151">
        <v>219.79999999999998</v>
      </c>
      <c r="AL975" s="154">
        <f t="shared" si="360"/>
        <v>0</v>
      </c>
      <c r="AM975" s="155"/>
      <c r="AN975" s="19">
        <f t="shared" si="365"/>
        <v>0</v>
      </c>
      <c r="AO975" s="118">
        <f>SUMIF('MPG Payment '!E:E,'Shayak Income '!D975,'MPG Payment '!AJ:AJ)</f>
        <v>0</v>
      </c>
      <c r="AP975" s="19">
        <f t="shared" si="366"/>
        <v>0</v>
      </c>
      <c r="AQ975" s="119">
        <f t="shared" si="361"/>
        <v>0</v>
      </c>
      <c r="AR975" s="91" t="s">
        <v>1144</v>
      </c>
      <c r="AS975" s="91">
        <f t="shared" si="367"/>
        <v>0</v>
      </c>
      <c r="AT975" s="118"/>
      <c r="AU975" s="118"/>
      <c r="AV975" s="118"/>
    </row>
    <row r="976" spans="1:48" s="20" customFormat="1" x14ac:dyDescent="0.25">
      <c r="A976" s="17">
        <f>IFERROR(VLOOKUP(D976,'Monthly Deduction'!$I$3:$J$957,2,0),0)</f>
        <v>0</v>
      </c>
      <c r="B976" s="17">
        <f>IFERROR(VLOOKUP(D976,'Monthly Deduction'!$E$3:$F$957,2,0),0)</f>
        <v>0</v>
      </c>
      <c r="C976" s="17">
        <f t="shared" si="353"/>
        <v>0</v>
      </c>
      <c r="D976" s="41">
        <v>10570068</v>
      </c>
      <c r="E976" s="122" t="str">
        <f>VLOOKUP(D976,'MPG Payment '!$E$3:$G$497305,2,0)</f>
        <v>Madhopur Dih</v>
      </c>
      <c r="F976" s="146">
        <f>IFERROR(_xlfn.XLOOKUP(D976,'Monthly Deduction'!$I$3:$I$957,'Monthly Deduction'!$H$3:$H$957),0)</f>
        <v>0</v>
      </c>
      <c r="G976" s="123" t="str">
        <f>VLOOKUP(D976,'MPG Payment '!$E$3:$G$333666,3,0)</f>
        <v>vlc</v>
      </c>
      <c r="H976" s="124" t="str">
        <f>VLOOKUP(D976,'MPG Payment '!$E$3:$H$333666,4,0)</f>
        <v>Indirect</v>
      </c>
      <c r="I976" s="88">
        <f>INDEX('MPG Payment '!$C:$C,MATCH('Shayak Income '!D976,'MPG Payment '!E:E,0))</f>
        <v>1057</v>
      </c>
      <c r="J976" s="88" t="str">
        <f>INDEX('MPG Payment '!$D:$D,MATCH('Shayak Income '!D976,'MPG Payment '!E:E,0))</f>
        <v>Warisnagar</v>
      </c>
      <c r="K976" s="125" t="s">
        <v>1593</v>
      </c>
      <c r="L976" s="125">
        <v>46199</v>
      </c>
      <c r="M976" s="126">
        <f>SUMIF('MPG Payment '!$E$3:$E$344841,'Shayak Income '!D976,'MPG Payment '!$I$3:$I$344841)</f>
        <v>2416.6999999999998</v>
      </c>
      <c r="N976" s="126">
        <f>SUMIF('MPG Payment '!$E$3:$E$344841,'Shayak Income '!D976,'MPG Payment '!$J$3:$J$344841)</f>
        <v>101017.42000000001</v>
      </c>
      <c r="O976" s="126">
        <f t="shared" si="354"/>
        <v>1812.5249999999999</v>
      </c>
      <c r="P976" s="126">
        <f t="shared" si="355"/>
        <v>2295.8649999999998</v>
      </c>
      <c r="Q976" s="126">
        <f>SUMIF('MPG Payment '!$E$3:$E$344841,'Shayak Income '!D976,'MPG Payment '!$S$3:$S$344841)</f>
        <v>0</v>
      </c>
      <c r="R976" s="126">
        <f t="shared" si="356"/>
        <v>3030.5226000000002</v>
      </c>
      <c r="S976" s="126">
        <f t="shared" si="357"/>
        <v>734.65760000000046</v>
      </c>
      <c r="T976" s="126">
        <f t="shared" si="368"/>
        <v>241.67</v>
      </c>
      <c r="U976" s="127">
        <f>((((((IF(K976="New",0,SUMIF('MPG Payment '!$E$3:$E$344841,'Shayak Income '!D976,'MPG Payment '!$AC$3:$AC$344841))))+0)+0)+0)+0)+0</f>
        <v>0</v>
      </c>
      <c r="V976" s="127">
        <f t="shared" si="369"/>
        <v>3867</v>
      </c>
      <c r="W976" s="19">
        <v>0</v>
      </c>
      <c r="X976" s="19">
        <f t="shared" si="363"/>
        <v>0</v>
      </c>
      <c r="Y976" s="128">
        <f>IFERROR(VLOOKUP(D976,'Monthly Deduction'!$M$2:$N$640,2,0),0)</f>
        <v>0</v>
      </c>
      <c r="Z976" s="128">
        <v>0</v>
      </c>
      <c r="AA976" s="126">
        <f>IFERROR(VLOOKUP(D976,'Monthly Deduction'!A:B,2,0),0)</f>
        <v>0</v>
      </c>
      <c r="AB976" s="129">
        <f t="shared" si="364"/>
        <v>3867</v>
      </c>
      <c r="AC976" s="130">
        <v>0</v>
      </c>
      <c r="AD976" s="35">
        <f t="shared" si="358"/>
        <v>3867</v>
      </c>
      <c r="AE976" s="166" t="str">
        <f t="shared" si="359"/>
        <v>Release</v>
      </c>
      <c r="AF976" s="127"/>
      <c r="AG976" s="18">
        <v>0</v>
      </c>
      <c r="AH976" s="132"/>
      <c r="AI976" s="238">
        <v>0</v>
      </c>
      <c r="AJ976" s="132"/>
      <c r="AK976" s="151">
        <v>757.60000000000014</v>
      </c>
      <c r="AL976" s="154">
        <f t="shared" si="360"/>
        <v>0</v>
      </c>
      <c r="AM976" s="155"/>
      <c r="AN976" s="19">
        <f t="shared" si="365"/>
        <v>0</v>
      </c>
      <c r="AO976" s="118">
        <f>SUMIF('MPG Payment '!E:E,'Shayak Income '!D976,'MPG Payment '!AJ:AJ)</f>
        <v>0</v>
      </c>
      <c r="AP976" s="19">
        <f t="shared" si="366"/>
        <v>0</v>
      </c>
      <c r="AQ976" s="119">
        <f t="shared" si="361"/>
        <v>0</v>
      </c>
      <c r="AR976" s="91" t="s">
        <v>1144</v>
      </c>
      <c r="AS976" s="91">
        <f t="shared" si="367"/>
        <v>0</v>
      </c>
      <c r="AT976" s="118"/>
      <c r="AU976" s="118"/>
      <c r="AV976" s="118"/>
    </row>
    <row r="977" spans="1:48" s="20" customFormat="1" x14ac:dyDescent="0.25">
      <c r="A977" s="17">
        <f>IFERROR(VLOOKUP(D977,'Monthly Deduction'!$I$3:$J$957,2,0),0)</f>
        <v>0</v>
      </c>
      <c r="B977" s="17">
        <f>IFERROR(VLOOKUP(D977,'Monthly Deduction'!$E$3:$F$957,2,0),0)</f>
        <v>0</v>
      </c>
      <c r="C977" s="17">
        <f t="shared" si="353"/>
        <v>0</v>
      </c>
      <c r="D977" s="41">
        <v>10570070</v>
      </c>
      <c r="E977" s="122" t="str">
        <f>VLOOKUP(D977,'MPG Payment '!$E$3:$G$497305,2,0)</f>
        <v>Satmalpur Pachim</v>
      </c>
      <c r="F977" s="146">
        <f>IFERROR(_xlfn.XLOOKUP(D977,'Monthly Deduction'!$I$3:$I$957,'Monthly Deduction'!$H$3:$H$957),0)</f>
        <v>0</v>
      </c>
      <c r="G977" s="123" t="str">
        <f>VLOOKUP(D977,'MPG Payment '!$E$3:$G$333666,3,0)</f>
        <v>vlc</v>
      </c>
      <c r="H977" s="124" t="str">
        <f>VLOOKUP(D977,'MPG Payment '!$E$3:$H$333666,4,0)</f>
        <v>Indirect</v>
      </c>
      <c r="I977" s="88">
        <f>INDEX('MPG Payment '!$C:$C,MATCH('Shayak Income '!D977,'MPG Payment '!E:E,0))</f>
        <v>1057</v>
      </c>
      <c r="J977" s="88" t="str">
        <f>INDEX('MPG Payment '!$D:$D,MATCH('Shayak Income '!D977,'MPG Payment '!E:E,0))</f>
        <v>Warisnagar</v>
      </c>
      <c r="K977" s="125" t="s">
        <v>1593</v>
      </c>
      <c r="L977" s="125">
        <v>46204</v>
      </c>
      <c r="M977" s="126">
        <f>SUMIF('MPG Payment '!$E$3:$E$344841,'Shayak Income '!D977,'MPG Payment '!$I$3:$I$344841)</f>
        <v>299.10000000000002</v>
      </c>
      <c r="N977" s="126">
        <f>SUMIF('MPG Payment '!$E$3:$E$344841,'Shayak Income '!D977,'MPG Payment '!$J$3:$J$344841)</f>
        <v>11234.96</v>
      </c>
      <c r="O977" s="126">
        <f t="shared" si="354"/>
        <v>224.32500000000002</v>
      </c>
      <c r="P977" s="126">
        <f t="shared" si="355"/>
        <v>284.14499999999998</v>
      </c>
      <c r="Q977" s="126">
        <f>SUMIF('MPG Payment '!$E$3:$E$344841,'Shayak Income '!D977,'MPG Payment '!$S$3:$S$344841)</f>
        <v>0</v>
      </c>
      <c r="R977" s="126">
        <f t="shared" si="356"/>
        <v>337.04879999999997</v>
      </c>
      <c r="S977" s="126">
        <f t="shared" si="357"/>
        <v>52.90379999999999</v>
      </c>
      <c r="T977" s="126">
        <f t="shared" si="368"/>
        <v>29.910000000000004</v>
      </c>
      <c r="U977" s="127">
        <f>((((((IF(K977="New",0,SUMIF('MPG Payment '!$E$3:$E$344841,'Shayak Income '!D977,'MPG Payment '!$AC$3:$AC$344841))))+0)+0)+0)+0)+0</f>
        <v>0</v>
      </c>
      <c r="V977" s="127">
        <f t="shared" si="369"/>
        <v>479</v>
      </c>
      <c r="W977" s="19">
        <v>0</v>
      </c>
      <c r="X977" s="19">
        <f t="shared" si="363"/>
        <v>0</v>
      </c>
      <c r="Y977" s="128">
        <f>IFERROR(VLOOKUP(D977,'Monthly Deduction'!$M$2:$N$640,2,0),0)</f>
        <v>0</v>
      </c>
      <c r="Z977" s="128">
        <v>0</v>
      </c>
      <c r="AA977" s="126">
        <f>IFERROR(VLOOKUP(D977,'Monthly Deduction'!A:B,2,0),0)</f>
        <v>0</v>
      </c>
      <c r="AB977" s="129">
        <f t="shared" si="364"/>
        <v>479</v>
      </c>
      <c r="AC977" s="130">
        <v>0</v>
      </c>
      <c r="AD977" s="35">
        <f t="shared" si="358"/>
        <v>479</v>
      </c>
      <c r="AE977" s="166" t="str">
        <f t="shared" si="359"/>
        <v>Release</v>
      </c>
      <c r="AF977" s="127"/>
      <c r="AG977" s="18">
        <v>0</v>
      </c>
      <c r="AH977" s="132"/>
      <c r="AI977" s="238">
        <v>0</v>
      </c>
      <c r="AJ977" s="132"/>
      <c r="AK977" s="151">
        <v>84.300000000000011</v>
      </c>
      <c r="AL977" s="154">
        <f t="shared" si="360"/>
        <v>0</v>
      </c>
      <c r="AM977" s="155"/>
      <c r="AN977" s="19">
        <f t="shared" si="365"/>
        <v>0</v>
      </c>
      <c r="AO977" s="118">
        <f>SUMIF('MPG Payment '!E:E,'Shayak Income '!D977,'MPG Payment '!AJ:AJ)</f>
        <v>0</v>
      </c>
      <c r="AP977" s="19">
        <f t="shared" si="366"/>
        <v>0</v>
      </c>
      <c r="AQ977" s="119">
        <f t="shared" si="361"/>
        <v>0</v>
      </c>
      <c r="AR977" s="91" t="s">
        <v>1144</v>
      </c>
      <c r="AS977" s="91">
        <f t="shared" si="367"/>
        <v>0</v>
      </c>
      <c r="AT977" s="118"/>
      <c r="AU977" s="118"/>
      <c r="AV977" s="118"/>
    </row>
    <row r="978" spans="1:48" s="20" customFormat="1" x14ac:dyDescent="0.25">
      <c r="A978" s="17">
        <f>IFERROR(VLOOKUP(D978,'Monthly Deduction'!$I$3:$J$957,2,0),0)</f>
        <v>0</v>
      </c>
      <c r="B978" s="17">
        <f>IFERROR(VLOOKUP(D978,'Monthly Deduction'!$E$3:$F$957,2,0),0)</f>
        <v>0</v>
      </c>
      <c r="C978" s="17">
        <f t="shared" si="353"/>
        <v>0</v>
      </c>
      <c r="D978" s="41">
        <v>10570071</v>
      </c>
      <c r="E978" s="122" t="str">
        <f>VLOOKUP(D978,'MPG Payment '!$E$3:$G$497305,2,0)</f>
        <v>Ganopur</v>
      </c>
      <c r="F978" s="146">
        <f>IFERROR(_xlfn.XLOOKUP(D978,'Monthly Deduction'!$I$3:$I$957,'Monthly Deduction'!$H$3:$H$957),0)</f>
        <v>0</v>
      </c>
      <c r="G978" s="123" t="str">
        <f>VLOOKUP(D978,'MPG Payment '!$E$3:$G$333666,3,0)</f>
        <v>vlc</v>
      </c>
      <c r="H978" s="124" t="str">
        <f>VLOOKUP(D978,'MPG Payment '!$E$3:$H$333666,4,0)</f>
        <v>Indirect</v>
      </c>
      <c r="I978" s="88">
        <f>INDEX('MPG Payment '!$C:$C,MATCH('Shayak Income '!D978,'MPG Payment '!E:E,0))</f>
        <v>1057</v>
      </c>
      <c r="J978" s="88" t="str">
        <f>INDEX('MPG Payment '!$D:$D,MATCH('Shayak Income '!D978,'MPG Payment '!E:E,0))</f>
        <v>Warisnagar</v>
      </c>
      <c r="K978" s="125" t="s">
        <v>1593</v>
      </c>
      <c r="L978" s="125">
        <v>46199</v>
      </c>
      <c r="M978" s="126">
        <f>SUMIF('MPG Payment '!$E$3:$E$344841,'Shayak Income '!D978,'MPG Payment '!$I$3:$I$344841)</f>
        <v>853.90000000000009</v>
      </c>
      <c r="N978" s="126">
        <f>SUMIF('MPG Payment '!$E$3:$E$344841,'Shayak Income '!D978,'MPG Payment '!$J$3:$J$344841)</f>
        <v>32096.049999999996</v>
      </c>
      <c r="O978" s="126">
        <f t="shared" si="354"/>
        <v>640.42500000000007</v>
      </c>
      <c r="P978" s="126">
        <f t="shared" si="355"/>
        <v>811.20500000000004</v>
      </c>
      <c r="Q978" s="126">
        <f>SUMIF('MPG Payment '!$E$3:$E$344841,'Shayak Income '!D978,'MPG Payment '!$S$3:$S$344841)</f>
        <v>0</v>
      </c>
      <c r="R978" s="126">
        <f t="shared" si="356"/>
        <v>962.88149999999985</v>
      </c>
      <c r="S978" s="126">
        <f t="shared" si="357"/>
        <v>151.67649999999981</v>
      </c>
      <c r="T978" s="126">
        <f t="shared" si="368"/>
        <v>85.390000000000015</v>
      </c>
      <c r="U978" s="127">
        <f>((((((IF(K978="New",0,SUMIF('MPG Payment '!$E$3:$E$344841,'Shayak Income '!D978,'MPG Payment '!$AC$3:$AC$344841))))+0)+0)+0)+0)+0</f>
        <v>0</v>
      </c>
      <c r="V978" s="127">
        <f t="shared" si="369"/>
        <v>1366</v>
      </c>
      <c r="W978" s="19">
        <v>0</v>
      </c>
      <c r="X978" s="19">
        <f t="shared" si="363"/>
        <v>0</v>
      </c>
      <c r="Y978" s="128">
        <f>IFERROR(VLOOKUP(D978,'Monthly Deduction'!$M$2:$N$640,2,0),0)</f>
        <v>0</v>
      </c>
      <c r="Z978" s="128">
        <v>0</v>
      </c>
      <c r="AA978" s="126">
        <f>IFERROR(VLOOKUP(D978,'Monthly Deduction'!A:B,2,0),0)</f>
        <v>0</v>
      </c>
      <c r="AB978" s="129">
        <f t="shared" si="364"/>
        <v>1366</v>
      </c>
      <c r="AC978" s="130">
        <v>0</v>
      </c>
      <c r="AD978" s="35">
        <f t="shared" si="358"/>
        <v>1366</v>
      </c>
      <c r="AE978" s="166" t="str">
        <f t="shared" si="359"/>
        <v>Release</v>
      </c>
      <c r="AF978" s="127"/>
      <c r="AG978" s="18">
        <v>0</v>
      </c>
      <c r="AH978" s="132"/>
      <c r="AI978" s="238">
        <v>0</v>
      </c>
      <c r="AJ978" s="132"/>
      <c r="AK978" s="151">
        <v>118.29999999999998</v>
      </c>
      <c r="AL978" s="154">
        <f t="shared" si="360"/>
        <v>0</v>
      </c>
      <c r="AM978" s="155"/>
      <c r="AN978" s="19">
        <f t="shared" si="365"/>
        <v>0</v>
      </c>
      <c r="AO978" s="118">
        <f>SUMIF('MPG Payment '!E:E,'Shayak Income '!D978,'MPG Payment '!AJ:AJ)</f>
        <v>0</v>
      </c>
      <c r="AP978" s="19">
        <f t="shared" si="366"/>
        <v>0</v>
      </c>
      <c r="AQ978" s="119">
        <f t="shared" si="361"/>
        <v>0</v>
      </c>
      <c r="AR978" s="91" t="s">
        <v>1144</v>
      </c>
      <c r="AS978" s="91">
        <f t="shared" si="367"/>
        <v>0</v>
      </c>
      <c r="AT978" s="118"/>
      <c r="AU978" s="118"/>
      <c r="AV978" s="118"/>
    </row>
    <row r="979" spans="1:48" s="20" customFormat="1" x14ac:dyDescent="0.25">
      <c r="A979" s="17">
        <f>IFERROR(VLOOKUP(D979,'Monthly Deduction'!$I$3:$J$957,2,0),0)</f>
        <v>0</v>
      </c>
      <c r="B979" s="17">
        <f>IFERROR(VLOOKUP(D979,'Monthly Deduction'!$E$3:$F$957,2,0),0)</f>
        <v>0</v>
      </c>
      <c r="C979" s="17">
        <f t="shared" si="353"/>
        <v>0</v>
      </c>
      <c r="D979" s="41">
        <v>10610048</v>
      </c>
      <c r="E979" s="122" t="str">
        <f>VLOOKUP(D979,'MPG Payment '!$E$3:$G$497305,2,0)</f>
        <v>GOMUKH SARMASTPUR</v>
      </c>
      <c r="F979" s="146">
        <f>IFERROR(_xlfn.XLOOKUP(D979,'Monthly Deduction'!$I$3:$I$957,'Monthly Deduction'!$H$3:$H$957),0)</f>
        <v>0</v>
      </c>
      <c r="G979" s="123" t="str">
        <f>VLOOKUP(D979,'MPG Payment '!$E$3:$G$333666,3,0)</f>
        <v>vlc</v>
      </c>
      <c r="H979" s="124" t="str">
        <f>VLOOKUP(D979,'MPG Payment '!$E$3:$H$333666,4,0)</f>
        <v>Indirect</v>
      </c>
      <c r="I979" s="88">
        <f>INDEX('MPG Payment '!$C:$C,MATCH('Shayak Income '!D979,'MPG Payment '!E:E,0))</f>
        <v>1061</v>
      </c>
      <c r="J979" s="88" t="str">
        <f>INDEX('MPG Payment '!$D:$D,MATCH('Shayak Income '!D979,'MPG Payment '!E:E,0))</f>
        <v>Mahua BMC</v>
      </c>
      <c r="K979" s="125" t="s">
        <v>1594</v>
      </c>
      <c r="L979" s="125">
        <v>46119</v>
      </c>
      <c r="M979" s="126">
        <f>SUMIF('MPG Payment '!$E$3:$E$344841,'Shayak Income '!D979,'MPG Payment '!$I$3:$I$344841)</f>
        <v>69.8</v>
      </c>
      <c r="N979" s="126">
        <f>SUMIF('MPG Payment '!$E$3:$E$344841,'Shayak Income '!D979,'MPG Payment '!$J$3:$J$344841)</f>
        <v>2668.74</v>
      </c>
      <c r="O979" s="126">
        <f t="shared" si="354"/>
        <v>52.349999999999994</v>
      </c>
      <c r="P979" s="126">
        <f t="shared" si="355"/>
        <v>66.309999999999988</v>
      </c>
      <c r="Q979" s="126">
        <f>SUMIF('MPG Payment '!$E$3:$E$344841,'Shayak Income '!D979,'MPG Payment '!$S$3:$S$344841)</f>
        <v>0</v>
      </c>
      <c r="R979" s="126">
        <f t="shared" si="356"/>
        <v>80.06219999999999</v>
      </c>
      <c r="S979" s="126">
        <f t="shared" si="357"/>
        <v>13.752200000000002</v>
      </c>
      <c r="T979" s="126">
        <f t="shared" si="368"/>
        <v>6.98</v>
      </c>
      <c r="U979" s="127">
        <f>((((((IF(K979="New",0,SUMIF('MPG Payment '!$E$3:$E$344841,'Shayak Income '!D979,'MPG Payment '!$AC$3:$AC$344841))))+0)+0)+0)+0)+-370</f>
        <v>111.90256389684811</v>
      </c>
      <c r="V979" s="127">
        <f t="shared" si="369"/>
        <v>0</v>
      </c>
      <c r="W979" s="19">
        <v>0</v>
      </c>
      <c r="X979" s="19">
        <v>0</v>
      </c>
      <c r="Y979" s="128">
        <v>0</v>
      </c>
      <c r="Z979" s="128">
        <v>0</v>
      </c>
      <c r="AA979" s="126">
        <v>0</v>
      </c>
      <c r="AB979" s="129">
        <f t="shared" si="364"/>
        <v>0</v>
      </c>
      <c r="AC979" s="130">
        <f>AB979</f>
        <v>0</v>
      </c>
      <c r="AD979" s="35">
        <f t="shared" si="358"/>
        <v>0</v>
      </c>
      <c r="AE979" s="166" t="str">
        <f t="shared" si="359"/>
        <v>Release</v>
      </c>
      <c r="AF979" s="127"/>
      <c r="AG979" s="18">
        <v>0</v>
      </c>
      <c r="AH979" s="132" t="s">
        <v>1597</v>
      </c>
      <c r="AI979" s="238">
        <v>0</v>
      </c>
      <c r="AJ979" s="132"/>
      <c r="AK979" s="151">
        <v>0</v>
      </c>
      <c r="AL979" s="154">
        <f t="shared" si="360"/>
        <v>0</v>
      </c>
      <c r="AM979" s="155"/>
      <c r="AN979" s="19">
        <f t="shared" si="365"/>
        <v>0</v>
      </c>
      <c r="AO979" s="118">
        <f>SUMIF('MPG Payment '!E:E,'Shayak Income '!D979,'MPG Payment '!AJ:AJ)</f>
        <v>0</v>
      </c>
      <c r="AP979" s="19">
        <f t="shared" si="366"/>
        <v>0</v>
      </c>
      <c r="AQ979" s="119">
        <f t="shared" si="361"/>
        <v>0</v>
      </c>
      <c r="AR979" s="91" t="s">
        <v>1144</v>
      </c>
      <c r="AS979" s="91">
        <f t="shared" si="367"/>
        <v>0</v>
      </c>
      <c r="AT979" s="118"/>
      <c r="AU979" s="118"/>
      <c r="AV979" s="118"/>
    </row>
    <row r="980" spans="1:48" s="20" customFormat="1" x14ac:dyDescent="0.25">
      <c r="A980" s="17">
        <f>IFERROR(VLOOKUP(D980,'Monthly Deduction'!$I$3:$J$957,2,0),0)</f>
        <v>0</v>
      </c>
      <c r="B980" s="17">
        <f>IFERROR(VLOOKUP(D980,'Monthly Deduction'!$E$3:$F$957,2,0),0)</f>
        <v>0</v>
      </c>
      <c r="C980" s="17">
        <f t="shared" si="353"/>
        <v>0</v>
      </c>
      <c r="D980" s="41">
        <v>10610064</v>
      </c>
      <c r="E980" s="122" t="str">
        <f>VLOOKUP(D980,'MPG Payment '!$E$3:$G$497305,2,0)</f>
        <v>GOMUKH BAHJRANGI</v>
      </c>
      <c r="F980" s="146">
        <f>IFERROR(_xlfn.XLOOKUP(D980,'Monthly Deduction'!$I$3:$I$957,'Monthly Deduction'!$H$3:$H$957),0)</f>
        <v>0</v>
      </c>
      <c r="G980" s="123" t="str">
        <f>VLOOKUP(D980,'MPG Payment '!$E$3:$G$333666,3,0)</f>
        <v>vlc</v>
      </c>
      <c r="H980" s="124" t="str">
        <f>VLOOKUP(D980,'MPG Payment '!$E$3:$H$333666,4,0)</f>
        <v>Indirect</v>
      </c>
      <c r="I980" s="88">
        <f>INDEX('MPG Payment '!$C:$C,MATCH('Shayak Income '!D980,'MPG Payment '!E:E,0))</f>
        <v>1061</v>
      </c>
      <c r="J980" s="88" t="str">
        <f>INDEX('MPG Payment '!$D:$D,MATCH('Shayak Income '!D980,'MPG Payment '!E:E,0))</f>
        <v>Mahua BMC</v>
      </c>
      <c r="K980" s="125" t="s">
        <v>1593</v>
      </c>
      <c r="L980" s="125">
        <v>46202</v>
      </c>
      <c r="M980" s="126">
        <f>SUMIF('MPG Payment '!$E$3:$E$344841,'Shayak Income '!D980,'MPG Payment '!$I$3:$I$344841)</f>
        <v>4051.6000000000004</v>
      </c>
      <c r="N980" s="126">
        <f>SUMIF('MPG Payment '!$E$3:$E$344841,'Shayak Income '!D980,'MPG Payment '!$J$3:$J$344841)</f>
        <v>169156.63000000003</v>
      </c>
      <c r="O980" s="126">
        <f t="shared" si="354"/>
        <v>3038.7000000000003</v>
      </c>
      <c r="P980" s="126">
        <f t="shared" si="355"/>
        <v>3849.02</v>
      </c>
      <c r="Q980" s="126">
        <f>SUMIF('MPG Payment '!$E$3:$E$344841,'Shayak Income '!D980,'MPG Payment '!$S$3:$S$344841)</f>
        <v>0</v>
      </c>
      <c r="R980" s="126">
        <f t="shared" si="356"/>
        <v>5074.6989000000012</v>
      </c>
      <c r="S980" s="126">
        <f t="shared" si="357"/>
        <v>1225.6789000000012</v>
      </c>
      <c r="T980" s="126">
        <f t="shared" si="368"/>
        <v>405.16000000000008</v>
      </c>
      <c r="U980" s="127">
        <f>((((((IF(K980="New",0,SUMIF('MPG Payment '!$E$3:$E$344841,'Shayak Income '!D980,'MPG Payment '!$AC$3:$AC$344841))))+0)+0)+0)+0)+0</f>
        <v>0</v>
      </c>
      <c r="V980" s="127">
        <f t="shared" si="369"/>
        <v>6483</v>
      </c>
      <c r="W980" s="19">
        <v>0</v>
      </c>
      <c r="X980" s="19">
        <f t="shared" si="363"/>
        <v>0</v>
      </c>
      <c r="Y980" s="128">
        <f>IFERROR(VLOOKUP(D980,'Monthly Deduction'!$M$2:$N$640,2,0),0)</f>
        <v>0</v>
      </c>
      <c r="Z980" s="128">
        <v>0</v>
      </c>
      <c r="AA980" s="126">
        <f>IFERROR(VLOOKUP(D980,'Monthly Deduction'!A:B,2,0),0)</f>
        <v>0</v>
      </c>
      <c r="AB980" s="129">
        <f t="shared" si="364"/>
        <v>6483</v>
      </c>
      <c r="AC980" s="130">
        <v>0</v>
      </c>
      <c r="AD980" s="35">
        <f t="shared" si="358"/>
        <v>6483</v>
      </c>
      <c r="AE980" s="166" t="str">
        <f t="shared" si="359"/>
        <v>Release</v>
      </c>
      <c r="AF980" s="127"/>
      <c r="AG980" s="18">
        <v>0</v>
      </c>
      <c r="AH980" s="132"/>
      <c r="AI980" s="238">
        <v>0</v>
      </c>
      <c r="AJ980" s="132"/>
      <c r="AK980" s="151">
        <v>1199.8</v>
      </c>
      <c r="AL980" s="154">
        <f t="shared" si="360"/>
        <v>0</v>
      </c>
      <c r="AM980" s="155"/>
      <c r="AN980" s="19">
        <f t="shared" si="365"/>
        <v>0</v>
      </c>
      <c r="AO980" s="118">
        <f>SUMIF('MPG Payment '!E:E,'Shayak Income '!D980,'MPG Payment '!AJ:AJ)</f>
        <v>0</v>
      </c>
      <c r="AP980" s="19">
        <f t="shared" si="366"/>
        <v>0</v>
      </c>
      <c r="AQ980" s="119">
        <f t="shared" si="361"/>
        <v>0</v>
      </c>
      <c r="AR980" s="91" t="s">
        <v>1144</v>
      </c>
      <c r="AS980" s="91">
        <f t="shared" si="367"/>
        <v>0</v>
      </c>
      <c r="AT980" s="118"/>
      <c r="AU980" s="118"/>
      <c r="AV980" s="118"/>
    </row>
    <row r="981" spans="1:48" s="20" customFormat="1" x14ac:dyDescent="0.25">
      <c r="A981" s="17">
        <f>IFERROR(VLOOKUP(D981,'Monthly Deduction'!$I$3:$J$957,2,0),0)</f>
        <v>0</v>
      </c>
      <c r="B981" s="17">
        <f>IFERROR(VLOOKUP(D981,'Monthly Deduction'!$E$3:$F$957,2,0),0)</f>
        <v>0</v>
      </c>
      <c r="C981" s="17">
        <f t="shared" si="353"/>
        <v>0</v>
      </c>
      <c r="D981" s="41">
        <v>10630028</v>
      </c>
      <c r="E981" s="122" t="str">
        <f>VLOOKUP(D981,'MPG Payment '!$E$3:$G$497305,2,0)</f>
        <v>Dhattha</v>
      </c>
      <c r="F981" s="146">
        <f>IFERROR(_xlfn.XLOOKUP(D981,'Monthly Deduction'!$I$3:$I$957,'Monthly Deduction'!$H$3:$H$957),0)</f>
        <v>0</v>
      </c>
      <c r="G981" s="123" t="str">
        <f>VLOOKUP(D981,'MPG Payment '!$E$3:$G$333666,3,0)</f>
        <v>vlc</v>
      </c>
      <c r="H981" s="124" t="str">
        <f>VLOOKUP(D981,'MPG Payment '!$E$3:$H$333666,4,0)</f>
        <v>Indirect</v>
      </c>
      <c r="I981" s="88">
        <f>INDEX('MPG Payment '!$C:$C,MATCH('Shayak Income '!D981,'MPG Payment '!E:E,0))</f>
        <v>1063</v>
      </c>
      <c r="J981" s="88" t="str">
        <f>INDEX('MPG Payment '!$D:$D,MATCH('Shayak Income '!D981,'MPG Payment '!E:E,0))</f>
        <v>Rosera</v>
      </c>
      <c r="K981" s="125" t="s">
        <v>1593</v>
      </c>
      <c r="L981" s="125">
        <v>46204</v>
      </c>
      <c r="M981" s="126">
        <f>SUMIF('MPG Payment '!$E$3:$E$344841,'Shayak Income '!D981,'MPG Payment '!$I$3:$I$344841)</f>
        <v>214.9</v>
      </c>
      <c r="N981" s="126">
        <f>SUMIF('MPG Payment '!$E$3:$E$344841,'Shayak Income '!D981,'MPG Payment '!$J$3:$J$344841)</f>
        <v>7226.2300000000005</v>
      </c>
      <c r="O981" s="126">
        <f t="shared" si="354"/>
        <v>161.17500000000001</v>
      </c>
      <c r="P981" s="126">
        <f t="shared" si="355"/>
        <v>204.155</v>
      </c>
      <c r="Q981" s="126">
        <f>SUMIF('MPG Payment '!$E$3:$E$344841,'Shayak Income '!D981,'MPG Payment '!$S$3:$S$344841)</f>
        <v>0</v>
      </c>
      <c r="R981" s="126">
        <f t="shared" si="356"/>
        <v>216.7869</v>
      </c>
      <c r="S981" s="126">
        <f t="shared" si="357"/>
        <v>12.631900000000002</v>
      </c>
      <c r="T981" s="126">
        <f t="shared" si="368"/>
        <v>21.490000000000002</v>
      </c>
      <c r="U981" s="127">
        <f>((((((IF(K981="New",0,SUMIF('MPG Payment '!$E$3:$E$344841,'Shayak Income '!D981,'MPG Payment '!$AC$3:$AC$344841))))+0)+0)+0)+0)+0</f>
        <v>0</v>
      </c>
      <c r="V981" s="127">
        <f t="shared" si="369"/>
        <v>344</v>
      </c>
      <c r="W981" s="19">
        <v>0</v>
      </c>
      <c r="X981" s="19">
        <f t="shared" si="363"/>
        <v>0</v>
      </c>
      <c r="Y981" s="128">
        <f>IFERROR(VLOOKUP(D981,'Monthly Deduction'!$M$2:$N$640,2,0),0)</f>
        <v>0</v>
      </c>
      <c r="Z981" s="128">
        <v>0</v>
      </c>
      <c r="AA981" s="126">
        <f>IFERROR(VLOOKUP(D981,'Monthly Deduction'!A:B,2,0),0)</f>
        <v>0</v>
      </c>
      <c r="AB981" s="129">
        <f t="shared" si="364"/>
        <v>344</v>
      </c>
      <c r="AC981" s="130">
        <f>AB981</f>
        <v>344</v>
      </c>
      <c r="AD981" s="35">
        <f t="shared" si="358"/>
        <v>0</v>
      </c>
      <c r="AE981" s="166" t="str">
        <f t="shared" si="359"/>
        <v>Yes</v>
      </c>
      <c r="AF981" s="127"/>
      <c r="AG981" s="18">
        <v>0</v>
      </c>
      <c r="AH981" s="132" t="s">
        <v>1597</v>
      </c>
      <c r="AI981" s="238">
        <v>0</v>
      </c>
      <c r="AJ981" s="132"/>
      <c r="AK981" s="151">
        <v>0</v>
      </c>
      <c r="AL981" s="154">
        <f t="shared" si="360"/>
        <v>0</v>
      </c>
      <c r="AM981" s="155"/>
      <c r="AN981" s="19">
        <f t="shared" si="365"/>
        <v>0</v>
      </c>
      <c r="AO981" s="118">
        <f>SUMIF('MPG Payment '!E:E,'Shayak Income '!D981,'MPG Payment '!AJ:AJ)</f>
        <v>0</v>
      </c>
      <c r="AP981" s="19">
        <f t="shared" si="366"/>
        <v>0</v>
      </c>
      <c r="AQ981" s="119">
        <f t="shared" si="361"/>
        <v>0</v>
      </c>
      <c r="AR981" s="91" t="s">
        <v>1144</v>
      </c>
      <c r="AS981" s="91">
        <f t="shared" si="367"/>
        <v>0</v>
      </c>
      <c r="AT981" s="118"/>
      <c r="AU981" s="118"/>
      <c r="AV981" s="118"/>
    </row>
    <row r="982" spans="1:48" s="20" customFormat="1" x14ac:dyDescent="0.25">
      <c r="A982" s="17">
        <f>IFERROR(VLOOKUP(D982,'Monthly Deduction'!$I$3:$J$957,2,0),0)</f>
        <v>0</v>
      </c>
      <c r="B982" s="17">
        <f>IFERROR(VLOOKUP(D982,'Monthly Deduction'!$E$3:$F$957,2,0),0)</f>
        <v>0</v>
      </c>
      <c r="C982" s="17">
        <f t="shared" si="353"/>
        <v>0</v>
      </c>
      <c r="D982" s="41">
        <v>10630036</v>
      </c>
      <c r="E982" s="122" t="str">
        <f>VLOOKUP(D982,'MPG Payment '!$E$3:$G$497305,2,0)</f>
        <v>Tolapur Erout</v>
      </c>
      <c r="F982" s="146">
        <f>IFERROR(_xlfn.XLOOKUP(D982,'Monthly Deduction'!$I$3:$I$957,'Monthly Deduction'!$H$3:$H$957),0)</f>
        <v>0</v>
      </c>
      <c r="G982" s="123" t="str">
        <f>VLOOKUP(D982,'MPG Payment '!$E$3:$G$333666,3,0)</f>
        <v>vlc</v>
      </c>
      <c r="H982" s="124" t="str">
        <f>VLOOKUP(D982,'MPG Payment '!$E$3:$H$333666,4,0)</f>
        <v>Indirect</v>
      </c>
      <c r="I982" s="88">
        <f>INDEX('MPG Payment '!$C:$C,MATCH('Shayak Income '!D982,'MPG Payment '!E:E,0))</f>
        <v>1063</v>
      </c>
      <c r="J982" s="88" t="str">
        <f>INDEX('MPG Payment '!$D:$D,MATCH('Shayak Income '!D982,'MPG Payment '!E:E,0))</f>
        <v>Rosera</v>
      </c>
      <c r="K982" s="125" t="s">
        <v>1593</v>
      </c>
      <c r="L982" s="125">
        <v>46204</v>
      </c>
      <c r="M982" s="126">
        <f>SUMIF('MPG Payment '!$E$3:$E$344841,'Shayak Income '!D982,'MPG Payment '!$I$3:$I$344841)</f>
        <v>1615.0999999999997</v>
      </c>
      <c r="N982" s="126">
        <f>SUMIF('MPG Payment '!$E$3:$E$344841,'Shayak Income '!D982,'MPG Payment '!$J$3:$J$344841)</f>
        <v>54165.909999999996</v>
      </c>
      <c r="O982" s="126">
        <f t="shared" si="354"/>
        <v>1211.3249999999998</v>
      </c>
      <c r="P982" s="126">
        <f t="shared" si="355"/>
        <v>1534.3449999999996</v>
      </c>
      <c r="Q982" s="126">
        <f>SUMIF('MPG Payment '!$E$3:$E$344841,'Shayak Income '!D982,'MPG Payment '!$S$3:$S$344841)</f>
        <v>0</v>
      </c>
      <c r="R982" s="126">
        <f t="shared" si="356"/>
        <v>1624.9772999999998</v>
      </c>
      <c r="S982" s="126">
        <f t="shared" si="357"/>
        <v>90.632300000000214</v>
      </c>
      <c r="T982" s="126">
        <f t="shared" si="368"/>
        <v>161.51</v>
      </c>
      <c r="U982" s="127">
        <f>((((((IF(K982="New",0,SUMIF('MPG Payment '!$E$3:$E$344841,'Shayak Income '!D982,'MPG Payment '!$AC$3:$AC$344841))))+0)+0)+0)+0)+0</f>
        <v>0</v>
      </c>
      <c r="V982" s="127">
        <f t="shared" si="369"/>
        <v>2584</v>
      </c>
      <c r="W982" s="19">
        <v>0</v>
      </c>
      <c r="X982" s="19">
        <f t="shared" si="363"/>
        <v>0</v>
      </c>
      <c r="Y982" s="128">
        <f>IFERROR(VLOOKUP(D982,'Monthly Deduction'!$M$2:$N$640,2,0),0)</f>
        <v>0</v>
      </c>
      <c r="Z982" s="128">
        <v>0</v>
      </c>
      <c r="AA982" s="126">
        <f>IFERROR(VLOOKUP(D982,'Monthly Deduction'!A:B,2,0),0)</f>
        <v>0</v>
      </c>
      <c r="AB982" s="129">
        <f t="shared" si="364"/>
        <v>2584</v>
      </c>
      <c r="AC982" s="130">
        <v>0</v>
      </c>
      <c r="AD982" s="35">
        <f t="shared" si="358"/>
        <v>2584</v>
      </c>
      <c r="AE982" s="166" t="str">
        <f t="shared" si="359"/>
        <v>Release</v>
      </c>
      <c r="AF982" s="127"/>
      <c r="AG982" s="18">
        <v>0</v>
      </c>
      <c r="AH982" s="132"/>
      <c r="AI982" s="238">
        <v>0</v>
      </c>
      <c r="AJ982" s="132"/>
      <c r="AK982" s="151">
        <v>229.3</v>
      </c>
      <c r="AL982" s="154">
        <f t="shared" si="360"/>
        <v>0</v>
      </c>
      <c r="AM982" s="155"/>
      <c r="AN982" s="19">
        <f t="shared" si="365"/>
        <v>0</v>
      </c>
      <c r="AO982" s="118">
        <f>SUMIF('MPG Payment '!E:E,'Shayak Income '!D982,'MPG Payment '!AJ:AJ)</f>
        <v>0</v>
      </c>
      <c r="AP982" s="19">
        <f t="shared" si="366"/>
        <v>0</v>
      </c>
      <c r="AQ982" s="119">
        <f t="shared" si="361"/>
        <v>0</v>
      </c>
      <c r="AR982" s="91" t="s">
        <v>1144</v>
      </c>
      <c r="AS982" s="91">
        <f t="shared" si="367"/>
        <v>0</v>
      </c>
      <c r="AT982" s="118"/>
      <c r="AU982" s="118"/>
      <c r="AV982" s="118"/>
    </row>
    <row r="983" spans="1:48" s="20" customFormat="1" x14ac:dyDescent="0.25">
      <c r="A983" s="17">
        <f>IFERROR(VLOOKUP(D983,'Monthly Deduction'!$I$3:$J$957,2,0),0)</f>
        <v>75000</v>
      </c>
      <c r="B983" s="17">
        <f>IFERROR(VLOOKUP(D983,'Monthly Deduction'!$E$3:$F$957,2,0),0)</f>
        <v>0</v>
      </c>
      <c r="C983" s="17">
        <f t="shared" si="353"/>
        <v>75000</v>
      </c>
      <c r="D983" s="41">
        <v>10660028</v>
      </c>
      <c r="E983" s="122" t="str">
        <f>VLOOKUP(D983,'MPG Payment '!$E$3:$G$497305,2,0)</f>
        <v>GOMUKH CHHATAUNA W-1</v>
      </c>
      <c r="F983" s="146">
        <f>IFERROR(_xlfn.XLOOKUP(D983,'Monthly Deduction'!$I$3:$I$957,'Monthly Deduction'!$H$3:$H$957),0)</f>
        <v>0</v>
      </c>
      <c r="G983" s="123" t="str">
        <f>VLOOKUP(D983,'MPG Payment '!$E$3:$G$333666,3,0)</f>
        <v>MPG</v>
      </c>
      <c r="H983" s="124" t="str">
        <f>VLOOKUP(D983,'MPG Payment '!$E$3:$H$333666,4,0)</f>
        <v>Direct</v>
      </c>
      <c r="I983" s="88">
        <f>INDEX('MPG Payment '!$C:$C,MATCH('Shayak Income '!D983,'MPG Payment '!E:E,0))</f>
        <v>1066</v>
      </c>
      <c r="J983" s="88" t="str">
        <f>INDEX('MPG Payment '!$D:$D,MATCH('Shayak Income '!D983,'MPG Payment '!E:E,0))</f>
        <v>Gaighat</v>
      </c>
      <c r="K983" s="125" t="s">
        <v>1593</v>
      </c>
      <c r="L983" s="125">
        <v>46200</v>
      </c>
      <c r="M983" s="126">
        <f>SUMIF('MPG Payment '!$E$3:$E$344841,'Shayak Income '!D983,'MPG Payment '!$I$3:$I$344841)</f>
        <v>3430.88</v>
      </c>
      <c r="N983" s="126">
        <f>SUMIF('MPG Payment '!$E$3:$E$344841,'Shayak Income '!D983,'MPG Payment '!$J$3:$J$344841)</f>
        <v>177536.49000000002</v>
      </c>
      <c r="O983" s="126">
        <f t="shared" si="354"/>
        <v>2573.16</v>
      </c>
      <c r="P983" s="126">
        <f t="shared" si="355"/>
        <v>3259.3359999999998</v>
      </c>
      <c r="Q983" s="126">
        <f>SUMIF('MPG Payment '!$E$3:$E$344841,'Shayak Income '!D983,'MPG Payment '!$S$3:$S$344841)</f>
        <v>0</v>
      </c>
      <c r="R983" s="126">
        <f t="shared" si="356"/>
        <v>5326.0947000000006</v>
      </c>
      <c r="S983" s="126">
        <f t="shared" si="357"/>
        <v>2066.7587000000008</v>
      </c>
      <c r="T983" s="126">
        <f t="shared" si="368"/>
        <v>343.08800000000002</v>
      </c>
      <c r="U983" s="127">
        <f>((((((IF(K983="New",0,SUMIF('MPG Payment '!$E$3:$E$344841,'Shayak Income '!D983,'MPG Payment '!$AC$3:$AC$344841))))+0)+0)+0)+0)+0</f>
        <v>0</v>
      </c>
      <c r="V983" s="127">
        <f t="shared" si="369"/>
        <v>5489</v>
      </c>
      <c r="W983" s="19">
        <v>0</v>
      </c>
      <c r="X983" s="19">
        <f t="shared" si="363"/>
        <v>0</v>
      </c>
      <c r="Y983" s="128">
        <f>IFERROR(VLOOKUP(D983,'Monthly Deduction'!$M$2:$N$640,2,0),0)</f>
        <v>0</v>
      </c>
      <c r="Z983" s="128">
        <v>0</v>
      </c>
      <c r="AA983" s="126">
        <f>IFERROR(VLOOKUP(D983,'Monthly Deduction'!A:B,2,0),0)</f>
        <v>0</v>
      </c>
      <c r="AB983" s="129">
        <f t="shared" si="364"/>
        <v>5489</v>
      </c>
      <c r="AC983" s="130">
        <f>AB983</f>
        <v>5489</v>
      </c>
      <c r="AD983" s="35">
        <f t="shared" si="358"/>
        <v>0</v>
      </c>
      <c r="AE983" s="166" t="str">
        <f t="shared" si="359"/>
        <v>Yes</v>
      </c>
      <c r="AF983" s="127"/>
      <c r="AG983" s="18">
        <v>0</v>
      </c>
      <c r="AH983" s="120" t="s">
        <v>1686</v>
      </c>
      <c r="AI983" s="238">
        <v>10000</v>
      </c>
      <c r="AJ983" s="132"/>
      <c r="AK983" s="151">
        <v>1436.6</v>
      </c>
      <c r="AL983" s="154">
        <f t="shared" si="360"/>
        <v>0</v>
      </c>
      <c r="AM983" s="155"/>
      <c r="AN983" s="19">
        <f t="shared" si="365"/>
        <v>3550.7298000000005</v>
      </c>
      <c r="AO983" s="118">
        <f>SUMIF('MPG Payment '!E:E,'Shayak Income '!D983,'MPG Payment '!AJ:AJ)</f>
        <v>0</v>
      </c>
      <c r="AP983" s="19">
        <f t="shared" si="366"/>
        <v>0</v>
      </c>
      <c r="AQ983" s="119">
        <f t="shared" si="361"/>
        <v>0</v>
      </c>
      <c r="AR983" s="91" t="s">
        <v>1144</v>
      </c>
      <c r="AS983" s="91">
        <f t="shared" si="367"/>
        <v>0</v>
      </c>
      <c r="AT983" s="118"/>
      <c r="AU983" s="118"/>
      <c r="AV983" s="118"/>
    </row>
    <row r="984" spans="1:48" s="20" customFormat="1" x14ac:dyDescent="0.25">
      <c r="A984" s="17">
        <f>IFERROR(VLOOKUP(D984,'Monthly Deduction'!$I$3:$J$957,2,0),0)</f>
        <v>0</v>
      </c>
      <c r="B984" s="17">
        <f>IFERROR(VLOOKUP(D984,'Monthly Deduction'!$E$3:$F$957,2,0),0)</f>
        <v>0</v>
      </c>
      <c r="C984" s="17">
        <f t="shared" si="353"/>
        <v>0</v>
      </c>
      <c r="D984" s="41">
        <v>10080128</v>
      </c>
      <c r="E984" s="122" t="str">
        <f>VLOOKUP(D984,'MPG Payment '!$E$3:$G$497305,2,0)</f>
        <v>Shamar Kasha</v>
      </c>
      <c r="F984" s="146">
        <f>IFERROR(_xlfn.XLOOKUP(D984,'Monthly Deduction'!$I$3:$I$957,'Monthly Deduction'!$H$3:$H$957),0)</f>
        <v>0</v>
      </c>
      <c r="G984" s="123" t="str">
        <f>VLOOKUP(D984,'MPG Payment '!$E$3:$G$333666,3,0)</f>
        <v>vlc</v>
      </c>
      <c r="H984" s="124" t="str">
        <f>VLOOKUP(D984,'MPG Payment '!$E$3:$H$333666,4,0)</f>
        <v>Indirect</v>
      </c>
      <c r="I984" s="88">
        <f>INDEX('MPG Payment '!$C:$C,MATCH('Shayak Income '!D984,'MPG Payment '!E:E,0))</f>
        <v>1008</v>
      </c>
      <c r="J984" s="88" t="str">
        <f>INDEX('MPG Payment '!$D:$D,MATCH('Shayak Income '!D984,'MPG Payment '!E:E,0))</f>
        <v>Teghra</v>
      </c>
      <c r="K984" s="125" t="s">
        <v>1593</v>
      </c>
      <c r="L984" s="125">
        <v>46210</v>
      </c>
      <c r="M984" s="126">
        <f>SUMIF('MPG Payment '!$E$3:$E$344841,'Shayak Income '!D984,'MPG Payment '!$I$3:$I$344841)</f>
        <v>885.8</v>
      </c>
      <c r="N984" s="126">
        <f>SUMIF('MPG Payment '!$E$3:$E$344841,'Shayak Income '!D984,'MPG Payment '!$J$3:$J$344841)</f>
        <v>35187.9</v>
      </c>
      <c r="O984" s="126">
        <f t="shared" si="354"/>
        <v>664.34999999999991</v>
      </c>
      <c r="P984" s="126">
        <f t="shared" si="355"/>
        <v>841.50999999999988</v>
      </c>
      <c r="Q984" s="126">
        <f>SUMIF('MPG Payment '!$E$3:$E$344841,'Shayak Income '!D984,'MPG Payment '!$S$3:$S$344841)</f>
        <v>0</v>
      </c>
      <c r="R984" s="126">
        <f t="shared" si="356"/>
        <v>1055.6369999999999</v>
      </c>
      <c r="S984" s="126">
        <f t="shared" si="357"/>
        <v>214.12700000000007</v>
      </c>
      <c r="T984" s="126">
        <f t="shared" si="368"/>
        <v>88.58</v>
      </c>
      <c r="U984" s="127">
        <f>((((((IF(K984="New",0,SUMIF('MPG Payment '!$E$3:$E$344841,'Shayak Income '!D984,'MPG Payment '!$AC$3:$AC$344841))))+0)+0)+0)+0)+0</f>
        <v>0</v>
      </c>
      <c r="V984" s="127">
        <f t="shared" si="369"/>
        <v>1417</v>
      </c>
      <c r="W984" s="19">
        <v>0</v>
      </c>
      <c r="X984" s="19">
        <f t="shared" si="363"/>
        <v>0</v>
      </c>
      <c r="Y984" s="128">
        <f>IFERROR(VLOOKUP(D984,'Monthly Deduction'!$M$2:$N$640,2,0),0)</f>
        <v>0</v>
      </c>
      <c r="Z984" s="128">
        <v>0</v>
      </c>
      <c r="AA984" s="126">
        <f>IFERROR(VLOOKUP(D984,'Monthly Deduction'!A:B,2,0),0)</f>
        <v>0</v>
      </c>
      <c r="AB984" s="129">
        <f t="shared" si="364"/>
        <v>1417</v>
      </c>
      <c r="AC984" s="130">
        <v>0</v>
      </c>
      <c r="AD984" s="35">
        <f t="shared" si="358"/>
        <v>1417</v>
      </c>
      <c r="AE984" s="166" t="str">
        <f t="shared" si="359"/>
        <v>Release</v>
      </c>
      <c r="AF984" s="127"/>
      <c r="AG984" s="18">
        <v>0</v>
      </c>
      <c r="AH984" s="132"/>
      <c r="AI984" s="238">
        <v>0</v>
      </c>
      <c r="AJ984" s="132"/>
      <c r="AK984" s="151">
        <v>154.69999999999999</v>
      </c>
      <c r="AL984" s="154">
        <f t="shared" si="360"/>
        <v>0</v>
      </c>
      <c r="AM984" s="155"/>
      <c r="AN984" s="19">
        <f t="shared" si="365"/>
        <v>0</v>
      </c>
      <c r="AO984" s="118">
        <f>SUMIF('MPG Payment '!E:E,'Shayak Income '!D984,'MPG Payment '!AJ:AJ)</f>
        <v>0</v>
      </c>
      <c r="AP984" s="19">
        <f t="shared" si="366"/>
        <v>0</v>
      </c>
      <c r="AQ984" s="119">
        <f t="shared" si="361"/>
        <v>0</v>
      </c>
      <c r="AR984" s="91" t="s">
        <v>1144</v>
      </c>
      <c r="AS984" s="91">
        <f t="shared" si="367"/>
        <v>0</v>
      </c>
      <c r="AT984" s="118"/>
      <c r="AU984" s="118"/>
      <c r="AV984" s="118"/>
    </row>
    <row r="985" spans="1:48" s="20" customFormat="1" x14ac:dyDescent="0.25">
      <c r="A985" s="17">
        <f>IFERROR(VLOOKUP(D985,'Monthly Deduction'!$I$3:$J$957,2,0),0)</f>
        <v>0</v>
      </c>
      <c r="B985" s="17">
        <f>IFERROR(VLOOKUP(D985,'Monthly Deduction'!$E$3:$F$957,2,0),0)</f>
        <v>0</v>
      </c>
      <c r="C985" s="17">
        <f t="shared" si="353"/>
        <v>0</v>
      </c>
      <c r="D985" s="41">
        <v>10110166</v>
      </c>
      <c r="E985" s="122" t="str">
        <f>VLOOKUP(D985,'MPG Payment '!$E$3:$G$497305,2,0)</f>
        <v>Hiratol VLC</v>
      </c>
      <c r="F985" s="146">
        <f>IFERROR(_xlfn.XLOOKUP(D985,'Monthly Deduction'!$I$3:$I$957,'Monthly Deduction'!$H$3:$H$957),0)</f>
        <v>0</v>
      </c>
      <c r="G985" s="123" t="str">
        <f>VLOOKUP(D985,'MPG Payment '!$E$3:$G$333666,3,0)</f>
        <v>vlc</v>
      </c>
      <c r="H985" s="124" t="str">
        <f>VLOOKUP(D985,'MPG Payment '!$E$3:$H$333666,4,0)</f>
        <v>Indirect</v>
      </c>
      <c r="I985" s="88">
        <f>INDEX('MPG Payment '!$C:$C,MATCH('Shayak Income '!D985,'MPG Payment '!E:E,0))</f>
        <v>1011</v>
      </c>
      <c r="J985" s="88" t="str">
        <f>INDEX('MPG Payment '!$D:$D,MATCH('Shayak Income '!D985,'MPG Payment '!E:E,0))</f>
        <v>Sahibpur Kamal</v>
      </c>
      <c r="K985" s="125" t="s">
        <v>1594</v>
      </c>
      <c r="L985" s="125">
        <v>45863</v>
      </c>
      <c r="M985" s="126">
        <f>SUMIF('MPG Payment '!$E$3:$E$344841,'Shayak Income '!D985,'MPG Payment '!$I$3:$I$344841)</f>
        <v>377.9</v>
      </c>
      <c r="N985" s="126">
        <f>SUMIF('MPG Payment '!$E$3:$E$344841,'Shayak Income '!D985,'MPG Payment '!$J$3:$J$344841)</f>
        <v>13691.400000000001</v>
      </c>
      <c r="O985" s="126">
        <f t="shared" si="354"/>
        <v>283.42499999999995</v>
      </c>
      <c r="P985" s="126">
        <f t="shared" si="355"/>
        <v>359.00499999999994</v>
      </c>
      <c r="Q985" s="126">
        <f>SUMIF('MPG Payment '!$E$3:$E$344841,'Shayak Income '!D985,'MPG Payment '!$S$3:$S$344841)</f>
        <v>0</v>
      </c>
      <c r="R985" s="126">
        <f t="shared" si="356"/>
        <v>410.74200000000002</v>
      </c>
      <c r="S985" s="126">
        <f t="shared" si="357"/>
        <v>51.73700000000008</v>
      </c>
      <c r="T985" s="126">
        <f t="shared" si="368"/>
        <v>37.79</v>
      </c>
      <c r="U985" s="127">
        <f>((((((IF(K985="New",0,SUMIF('MPG Payment '!$E$3:$E$344841,'Shayak Income '!D985,'MPG Payment '!$AC$3:$AC$344841))))+0)+0)+0)+0)+-1211</f>
        <v>604.62248091123411</v>
      </c>
      <c r="V985" s="127">
        <f t="shared" si="369"/>
        <v>0</v>
      </c>
      <c r="W985" s="19">
        <v>0</v>
      </c>
      <c r="X985" s="19">
        <v>0</v>
      </c>
      <c r="Y985" s="128">
        <v>0</v>
      </c>
      <c r="Z985" s="128">
        <v>0</v>
      </c>
      <c r="AA985" s="126">
        <v>0</v>
      </c>
      <c r="AB985" s="129">
        <f t="shared" si="364"/>
        <v>0</v>
      </c>
      <c r="AC985" s="130">
        <f>AB985</f>
        <v>0</v>
      </c>
      <c r="AD985" s="35">
        <f t="shared" si="358"/>
        <v>0</v>
      </c>
      <c r="AE985" s="166" t="str">
        <f t="shared" si="359"/>
        <v>Release</v>
      </c>
      <c r="AF985" s="127"/>
      <c r="AG985" s="18">
        <v>0</v>
      </c>
      <c r="AH985" s="132" t="s">
        <v>1597</v>
      </c>
      <c r="AI985" s="238">
        <v>0</v>
      </c>
      <c r="AJ985" s="132"/>
      <c r="AK985" s="151">
        <v>0</v>
      </c>
      <c r="AL985" s="154">
        <f t="shared" si="360"/>
        <v>0</v>
      </c>
      <c r="AM985" s="155"/>
      <c r="AN985" s="19">
        <f t="shared" si="365"/>
        <v>0</v>
      </c>
      <c r="AO985" s="118">
        <f>SUMIF('MPG Payment '!E:E,'Shayak Income '!D985,'MPG Payment '!AJ:AJ)</f>
        <v>0</v>
      </c>
      <c r="AP985" s="19">
        <f t="shared" si="366"/>
        <v>0</v>
      </c>
      <c r="AQ985" s="119">
        <f t="shared" si="361"/>
        <v>0</v>
      </c>
      <c r="AR985" s="91" t="s">
        <v>1144</v>
      </c>
      <c r="AS985" s="91">
        <f t="shared" si="367"/>
        <v>0</v>
      </c>
      <c r="AT985" s="118"/>
      <c r="AU985" s="118"/>
      <c r="AV985" s="118"/>
    </row>
    <row r="986" spans="1:48" s="20" customFormat="1" x14ac:dyDescent="0.25">
      <c r="A986" s="17">
        <f>IFERROR(VLOOKUP(D986,'Monthly Deduction'!$I$3:$J$957,2,0),0)</f>
        <v>47019.865962866592</v>
      </c>
      <c r="B986" s="17">
        <f>IFERROR(VLOOKUP(D986,'Monthly Deduction'!$E$3:$F$957,2,0),0)</f>
        <v>13900</v>
      </c>
      <c r="C986" s="17">
        <f t="shared" si="353"/>
        <v>60919.865962866592</v>
      </c>
      <c r="D986" s="41">
        <v>10130073</v>
      </c>
      <c r="E986" s="122" t="str">
        <f>VLOOKUP(D986,'MPG Payment '!$E$3:$G$497305,2,0)</f>
        <v>Dagarua</v>
      </c>
      <c r="F986" s="146">
        <f>IFERROR(_xlfn.XLOOKUP(D986,'Monthly Deduction'!$I$3:$I$957,'Monthly Deduction'!$H$3:$H$957),0)</f>
        <v>0</v>
      </c>
      <c r="G986" s="123" t="str">
        <f>VLOOKUP(D986,'MPG Payment '!$E$3:$G$333666,3,0)</f>
        <v>MPG</v>
      </c>
      <c r="H986" s="124" t="str">
        <f>VLOOKUP(D986,'MPG Payment '!$E$3:$H$333666,4,0)</f>
        <v>Direct</v>
      </c>
      <c r="I986" s="88">
        <f>INDEX('MPG Payment '!$C:$C,MATCH('Shayak Income '!D986,'MPG Payment '!E:E,0))</f>
        <v>1013</v>
      </c>
      <c r="J986" s="88" t="str">
        <f>INDEX('MPG Payment '!$D:$D,MATCH('Shayak Income '!D986,'MPG Payment '!E:E,0))</f>
        <v>Musrigharari</v>
      </c>
      <c r="K986" s="125" t="s">
        <v>1594</v>
      </c>
      <c r="L986" s="125">
        <v>45599</v>
      </c>
      <c r="M986" s="126">
        <f>SUMIF('MPG Payment '!$E$3:$E$344841,'Shayak Income '!D986,'MPG Payment '!$I$3:$I$344841)</f>
        <v>2629.6</v>
      </c>
      <c r="N986" s="126">
        <f>SUMIF('MPG Payment '!$E$3:$E$344841,'Shayak Income '!D986,'MPG Payment '!$J$3:$J$344841)</f>
        <v>99360.69</v>
      </c>
      <c r="O986" s="126">
        <f t="shared" si="354"/>
        <v>1972.1999999999998</v>
      </c>
      <c r="P986" s="126">
        <f t="shared" si="355"/>
        <v>2498.12</v>
      </c>
      <c r="Q986" s="126">
        <f>SUMIF('MPG Payment '!$E$3:$E$344841,'Shayak Income '!D986,'MPG Payment '!$S$3:$S$344841)</f>
        <v>182.23</v>
      </c>
      <c r="R986" s="126">
        <f t="shared" si="356"/>
        <v>2980.8206999999998</v>
      </c>
      <c r="S986" s="126">
        <f t="shared" si="357"/>
        <v>482.70069999999987</v>
      </c>
      <c r="T986" s="126">
        <f t="shared" si="368"/>
        <v>262.95999999999998</v>
      </c>
      <c r="U986" s="127">
        <f>((((((IF(K986="New",0,SUMIF('MPG Payment '!$E$3:$E$344841,'Shayak Income '!D986,'MPG Payment '!$AC$3:$AC$344841))))+0)+0)+0)+0)+0</f>
        <v>340.32137846335138</v>
      </c>
      <c r="V986" s="127">
        <f t="shared" si="369"/>
        <v>4049</v>
      </c>
      <c r="W986" s="19">
        <f t="shared" ref="W986:W1024" si="371">(((AN986-AO986)))+0</f>
        <v>1487.2138</v>
      </c>
      <c r="X986" s="19">
        <v>0</v>
      </c>
      <c r="Y986" s="128">
        <f>IFERROR(VLOOKUP(D986,'Monthly Deduction'!$M$2:$N$640,2,0),0)</f>
        <v>0</v>
      </c>
      <c r="Z986" s="128">
        <v>0</v>
      </c>
      <c r="AA986" s="126">
        <f>IFERROR(VLOOKUP(D986,'Monthly Deduction'!A:B,2,0),0)</f>
        <v>219.60000000000002</v>
      </c>
      <c r="AB986" s="129">
        <f t="shared" si="364"/>
        <v>2342</v>
      </c>
      <c r="AC986" s="130">
        <v>0</v>
      </c>
      <c r="AD986" s="35">
        <f t="shared" si="358"/>
        <v>2342</v>
      </c>
      <c r="AE986" s="166" t="str">
        <f t="shared" si="359"/>
        <v>Release</v>
      </c>
      <c r="AF986" s="127"/>
      <c r="AG986" s="18">
        <v>0</v>
      </c>
      <c r="AH986" s="132"/>
      <c r="AI986" s="238">
        <v>0</v>
      </c>
      <c r="AJ986" s="132"/>
      <c r="AK986" s="151">
        <v>554.79999999999995</v>
      </c>
      <c r="AL986" s="154">
        <f t="shared" si="360"/>
        <v>0</v>
      </c>
      <c r="AM986" s="155"/>
      <c r="AN986" s="19">
        <f t="shared" si="365"/>
        <v>1987.2138</v>
      </c>
      <c r="AO986" s="118">
        <f>SUMIF('MPG Payment '!E:E,'Shayak Income '!D986,'MPG Payment '!AJ:AJ)</f>
        <v>500</v>
      </c>
      <c r="AP986" s="19">
        <f t="shared" si="366"/>
        <v>1487.2138</v>
      </c>
      <c r="AQ986" s="119">
        <f t="shared" si="361"/>
        <v>1987.2138</v>
      </c>
      <c r="AR986" s="91" t="s">
        <v>1144</v>
      </c>
      <c r="AS986" s="91">
        <f t="shared" si="367"/>
        <v>13900</v>
      </c>
      <c r="AT986" s="118"/>
      <c r="AU986" s="118"/>
      <c r="AV986" s="118"/>
    </row>
    <row r="987" spans="1:48" s="20" customFormat="1" x14ac:dyDescent="0.25">
      <c r="A987" s="17">
        <f>IFERROR(VLOOKUP(D987,'Monthly Deduction'!$I$3:$J$957,2,0),0)</f>
        <v>0</v>
      </c>
      <c r="B987" s="17">
        <f>IFERROR(VLOOKUP(D987,'Monthly Deduction'!$E$3:$F$957,2,0),0)</f>
        <v>0</v>
      </c>
      <c r="C987" s="17">
        <f t="shared" si="353"/>
        <v>0</v>
      </c>
      <c r="D987" s="41">
        <v>10530069</v>
      </c>
      <c r="E987" s="122" t="str">
        <f>VLOOKUP(D987,'MPG Payment '!$E$3:$G$497305,2,0)</f>
        <v>BELSANDI W-9</v>
      </c>
      <c r="F987" s="146">
        <f>IFERROR(_xlfn.XLOOKUP(D987,'Monthly Deduction'!$I$3:$I$957,'Monthly Deduction'!$H$3:$H$957),0)</f>
        <v>0</v>
      </c>
      <c r="G987" s="123" t="str">
        <f>VLOOKUP(D987,'MPG Payment '!$E$3:$G$333666,3,0)</f>
        <v>vlc</v>
      </c>
      <c r="H987" s="124" t="str">
        <f>VLOOKUP(D987,'MPG Payment '!$E$3:$H$333666,4,0)</f>
        <v>Indirect</v>
      </c>
      <c r="I987" s="88">
        <f>INDEX('MPG Payment '!$C:$C,MATCH('Shayak Income '!D987,'MPG Payment '!E:E,0))</f>
        <v>1066</v>
      </c>
      <c r="J987" s="88" t="str">
        <f>INDEX('MPG Payment '!$D:$D,MATCH('Shayak Income '!D987,'MPG Payment '!E:E,0))</f>
        <v>Gaighat</v>
      </c>
      <c r="K987" s="125" t="s">
        <v>1594</v>
      </c>
      <c r="L987" s="125">
        <v>45821</v>
      </c>
      <c r="M987" s="126">
        <f>SUMIF('MPG Payment '!$E$3:$E$344841,'Shayak Income '!D987,'MPG Payment '!$I$3:$I$344841)</f>
        <v>1645.05</v>
      </c>
      <c r="N987" s="126">
        <f>SUMIF('MPG Payment '!$E$3:$E$344841,'Shayak Income '!D987,'MPG Payment '!$J$3:$J$344841)</f>
        <v>70391.209999999992</v>
      </c>
      <c r="O987" s="126">
        <f t="shared" si="354"/>
        <v>1233.7874999999999</v>
      </c>
      <c r="P987" s="126">
        <f t="shared" si="355"/>
        <v>1562.7974999999999</v>
      </c>
      <c r="Q987" s="126">
        <f>SUMIF('MPG Payment '!$E$3:$E$344841,'Shayak Income '!D987,'MPG Payment '!$S$3:$S$344841)</f>
        <v>0</v>
      </c>
      <c r="R987" s="126">
        <f t="shared" si="356"/>
        <v>2111.7362999999996</v>
      </c>
      <c r="S987" s="126">
        <f t="shared" si="357"/>
        <v>548.93879999999967</v>
      </c>
      <c r="T987" s="126">
        <f t="shared" si="368"/>
        <v>164.505</v>
      </c>
      <c r="U987" s="127">
        <f>((((((IF(K987="New",0,SUMIF('MPG Payment '!$E$3:$E$344841,'Shayak Income '!D987,'MPG Payment '!$AC$3:$AC$344841))))+0)+0)+0)+0)+0</f>
        <v>1082.9176755779722</v>
      </c>
      <c r="V987" s="127">
        <f t="shared" si="369"/>
        <v>1549</v>
      </c>
      <c r="W987" s="19">
        <f t="shared" si="371"/>
        <v>0</v>
      </c>
      <c r="X987" s="19">
        <f t="shared" si="363"/>
        <v>0</v>
      </c>
      <c r="Y987" s="128">
        <f>IFERROR(VLOOKUP(D987,'Monthly Deduction'!$M$2:$N$640,2,0),0)</f>
        <v>0</v>
      </c>
      <c r="Z987" s="128">
        <v>0</v>
      </c>
      <c r="AA987" s="126">
        <f>IFERROR(VLOOKUP(D987,'Monthly Deduction'!A:B,2,0),0)</f>
        <v>0</v>
      </c>
      <c r="AB987" s="129">
        <f t="shared" si="364"/>
        <v>1549</v>
      </c>
      <c r="AC987" s="130">
        <v>0</v>
      </c>
      <c r="AD987" s="35">
        <f t="shared" si="358"/>
        <v>1549</v>
      </c>
      <c r="AE987" s="166" t="str">
        <f t="shared" si="359"/>
        <v>Release</v>
      </c>
      <c r="AF987" s="127"/>
      <c r="AG987" s="18">
        <v>0</v>
      </c>
      <c r="AH987" s="132"/>
      <c r="AI987" s="238">
        <v>0</v>
      </c>
      <c r="AJ987" s="132"/>
      <c r="AK987" s="151">
        <v>768.19999999999993</v>
      </c>
      <c r="AL987" s="154">
        <f t="shared" si="360"/>
        <v>0</v>
      </c>
      <c r="AM987" s="155"/>
      <c r="AN987" s="19">
        <f t="shared" si="365"/>
        <v>0</v>
      </c>
      <c r="AO987" s="118">
        <f>SUMIF('MPG Payment '!E:E,'Shayak Income '!D987,'MPG Payment '!AJ:AJ)</f>
        <v>0</v>
      </c>
      <c r="AP987" s="19">
        <f t="shared" si="366"/>
        <v>0</v>
      </c>
      <c r="AQ987" s="119">
        <f t="shared" si="361"/>
        <v>0</v>
      </c>
      <c r="AR987" s="91" t="s">
        <v>1144</v>
      </c>
      <c r="AS987" s="91">
        <f t="shared" si="367"/>
        <v>0</v>
      </c>
      <c r="AT987" s="118"/>
      <c r="AU987" s="118"/>
      <c r="AV987" s="118"/>
    </row>
    <row r="988" spans="1:48" s="20" customFormat="1" x14ac:dyDescent="0.25">
      <c r="A988" s="17">
        <f>IFERROR(VLOOKUP(D988,'Monthly Deduction'!$I$3:$J$957,2,0),0)</f>
        <v>75000</v>
      </c>
      <c r="B988" s="17">
        <f>IFERROR(VLOOKUP(D988,'Monthly Deduction'!$E$3:$F$957,2,0),0)</f>
        <v>0</v>
      </c>
      <c r="C988" s="17">
        <f t="shared" si="353"/>
        <v>75000</v>
      </c>
      <c r="D988" s="41">
        <v>10540043</v>
      </c>
      <c r="E988" s="122" t="str">
        <f>VLOOKUP(D988,'MPG Payment '!$E$3:$G$497305,2,0)</f>
        <v>Gomukh Usri</v>
      </c>
      <c r="F988" s="146">
        <f>IFERROR(_xlfn.XLOOKUP(D988,'Monthly Deduction'!$I$3:$I$957,'Monthly Deduction'!$H$3:$H$957),0)</f>
        <v>0</v>
      </c>
      <c r="G988" s="123" t="str">
        <f>VLOOKUP(D988,'MPG Payment '!$E$3:$G$333666,3,0)</f>
        <v>MPG</v>
      </c>
      <c r="H988" s="124" t="str">
        <f>VLOOKUP(D988,'MPG Payment '!$E$3:$H$333666,4,0)</f>
        <v>Direct</v>
      </c>
      <c r="I988" s="88">
        <f>INDEX('MPG Payment '!$C:$C,MATCH('Shayak Income '!D988,'MPG Payment '!E:E,0))</f>
        <v>1054</v>
      </c>
      <c r="J988" s="88" t="str">
        <f>INDEX('MPG Payment '!$D:$D,MATCH('Shayak Income '!D988,'MPG Payment '!E:E,0))</f>
        <v xml:space="preserve">Alauli </v>
      </c>
      <c r="K988" s="125" t="s">
        <v>1593</v>
      </c>
      <c r="L988" s="125">
        <v>46211</v>
      </c>
      <c r="M988" s="126">
        <f>SUMIF('MPG Payment '!$E$3:$E$344841,'Shayak Income '!D988,'MPG Payment '!$I$3:$I$344841)</f>
        <v>1165.1999999999998</v>
      </c>
      <c r="N988" s="126">
        <f>SUMIF('MPG Payment '!$E$3:$E$344841,'Shayak Income '!D988,'MPG Payment '!$J$3:$J$344841)</f>
        <v>53473.87999999999</v>
      </c>
      <c r="O988" s="126">
        <f t="shared" si="354"/>
        <v>873.89999999999986</v>
      </c>
      <c r="P988" s="126">
        <f t="shared" si="355"/>
        <v>1106.9399999999998</v>
      </c>
      <c r="Q988" s="126">
        <f>SUMIF('MPG Payment '!$E$3:$E$344841,'Shayak Income '!D988,'MPG Payment '!$S$3:$S$344841)</f>
        <v>0</v>
      </c>
      <c r="R988" s="126">
        <f t="shared" si="356"/>
        <v>1604.2163999999996</v>
      </c>
      <c r="S988" s="126">
        <f t="shared" si="357"/>
        <v>497.27639999999974</v>
      </c>
      <c r="T988" s="126">
        <f t="shared" si="368"/>
        <v>116.51999999999998</v>
      </c>
      <c r="U988" s="127">
        <f>((((((IF(K988="New",0,SUMIF('MPG Payment '!$E$3:$E$344841,'Shayak Income '!D988,'MPG Payment '!$AC$3:$AC$344841))))+0)+0)+0)+0)+0</f>
        <v>0</v>
      </c>
      <c r="V988" s="127">
        <f t="shared" si="369"/>
        <v>1864</v>
      </c>
      <c r="W988" s="19">
        <v>0</v>
      </c>
      <c r="X988" s="19">
        <f t="shared" si="363"/>
        <v>0</v>
      </c>
      <c r="Y988" s="128">
        <f>IFERROR(VLOOKUP(D988,'Monthly Deduction'!$M$2:$N$640,2,0),0)</f>
        <v>0</v>
      </c>
      <c r="Z988" s="128">
        <v>0</v>
      </c>
      <c r="AA988" s="126">
        <f>IFERROR(VLOOKUP(D988,'Monthly Deduction'!A:B,2,0),0)</f>
        <v>404.53999999999996</v>
      </c>
      <c r="AB988" s="129">
        <f t="shared" si="364"/>
        <v>1459</v>
      </c>
      <c r="AC988" s="130">
        <f>AB988</f>
        <v>1459</v>
      </c>
      <c r="AD988" s="35">
        <f t="shared" si="358"/>
        <v>0</v>
      </c>
      <c r="AE988" s="166" t="str">
        <f t="shared" si="359"/>
        <v>Yes</v>
      </c>
      <c r="AF988" s="127"/>
      <c r="AG988" s="18">
        <v>0</v>
      </c>
      <c r="AH988" s="120" t="s">
        <v>1685</v>
      </c>
      <c r="AI988" s="238">
        <v>10000</v>
      </c>
      <c r="AJ988" s="132"/>
      <c r="AK988" s="151">
        <v>412.30000000000007</v>
      </c>
      <c r="AL988" s="154">
        <f t="shared" si="360"/>
        <v>0</v>
      </c>
      <c r="AM988" s="155"/>
      <c r="AN988" s="19">
        <f t="shared" si="365"/>
        <v>1861</v>
      </c>
      <c r="AO988" s="118">
        <f>SUMIF('MPG Payment '!E:E,'Shayak Income '!D988,'MPG Payment '!AJ:AJ)</f>
        <v>0</v>
      </c>
      <c r="AP988" s="19">
        <f t="shared" si="366"/>
        <v>0</v>
      </c>
      <c r="AQ988" s="119">
        <f t="shared" si="361"/>
        <v>0</v>
      </c>
      <c r="AR988" s="91" t="s">
        <v>1144</v>
      </c>
      <c r="AS988" s="91">
        <f t="shared" si="367"/>
        <v>0</v>
      </c>
      <c r="AT988" s="118"/>
      <c r="AU988" s="118"/>
      <c r="AV988" s="118"/>
    </row>
    <row r="989" spans="1:48" s="20" customFormat="1" x14ac:dyDescent="0.25">
      <c r="A989" s="17">
        <f>IFERROR(VLOOKUP(D989,'Monthly Deduction'!$I$3:$J$957,2,0),0)</f>
        <v>0</v>
      </c>
      <c r="B989" s="17">
        <f>IFERROR(VLOOKUP(D989,'Monthly Deduction'!$E$3:$F$957,2,0),0)</f>
        <v>0</v>
      </c>
      <c r="C989" s="17">
        <f t="shared" si="353"/>
        <v>0</v>
      </c>
      <c r="D989" s="41">
        <v>10570069</v>
      </c>
      <c r="E989" s="122" t="str">
        <f>VLOOKUP(D989,'MPG Payment '!$E$3:$G$497305,2,0)</f>
        <v>Alampur</v>
      </c>
      <c r="F989" s="146">
        <f>IFERROR(_xlfn.XLOOKUP(D989,'Monthly Deduction'!$I$3:$I$957,'Monthly Deduction'!$H$3:$H$957),0)</f>
        <v>0</v>
      </c>
      <c r="G989" s="123" t="str">
        <f>VLOOKUP(D989,'MPG Payment '!$E$3:$G$333666,3,0)</f>
        <v>vlc</v>
      </c>
      <c r="H989" s="124" t="str">
        <f>VLOOKUP(D989,'MPG Payment '!$E$3:$H$333666,4,0)</f>
        <v>Indirect</v>
      </c>
      <c r="I989" s="88">
        <f>INDEX('MPG Payment '!$C:$C,MATCH('Shayak Income '!D989,'MPG Payment '!E:E,0))</f>
        <v>1057</v>
      </c>
      <c r="J989" s="88" t="str">
        <f>INDEX('MPG Payment '!$D:$D,MATCH('Shayak Income '!D989,'MPG Payment '!E:E,0))</f>
        <v>Warisnagar</v>
      </c>
      <c r="K989" s="125" t="s">
        <v>1593</v>
      </c>
      <c r="L989" s="125">
        <v>46212</v>
      </c>
      <c r="M989" s="126">
        <f>SUMIF('MPG Payment '!$E$3:$E$344841,'Shayak Income '!D989,'MPG Payment '!$I$3:$I$344841)</f>
        <v>3103</v>
      </c>
      <c r="N989" s="126">
        <f>SUMIF('MPG Payment '!$E$3:$E$344841,'Shayak Income '!D989,'MPG Payment '!$J$3:$J$344841)</f>
        <v>121382.73000000001</v>
      </c>
      <c r="O989" s="126">
        <f t="shared" si="354"/>
        <v>2327.25</v>
      </c>
      <c r="P989" s="126">
        <f t="shared" si="355"/>
        <v>2947.85</v>
      </c>
      <c r="Q989" s="126">
        <f>SUMIF('MPG Payment '!$E$3:$E$344841,'Shayak Income '!D989,'MPG Payment '!$S$3:$S$344841)</f>
        <v>0</v>
      </c>
      <c r="R989" s="126">
        <f t="shared" si="356"/>
        <v>3641.4819000000002</v>
      </c>
      <c r="S989" s="126">
        <f t="shared" si="357"/>
        <v>693.63190000000031</v>
      </c>
      <c r="T989" s="126">
        <f t="shared" si="368"/>
        <v>310.3</v>
      </c>
      <c r="U989" s="127">
        <f>((((((IF(K989="New",0,SUMIF('MPG Payment '!$E$3:$E$344841,'Shayak Income '!D989,'MPG Payment '!$AC$3:$AC$344841))))+0)+0)+0)+0)+0</f>
        <v>0</v>
      </c>
      <c r="V989" s="127">
        <f t="shared" si="369"/>
        <v>4965</v>
      </c>
      <c r="W989" s="19">
        <v>0</v>
      </c>
      <c r="X989" s="19">
        <f t="shared" si="363"/>
        <v>0</v>
      </c>
      <c r="Y989" s="128">
        <f>IFERROR(VLOOKUP(D989,'Monthly Deduction'!$M$2:$N$640,2,0),0)</f>
        <v>0</v>
      </c>
      <c r="Z989" s="128">
        <v>0</v>
      </c>
      <c r="AA989" s="126">
        <f>IFERROR(VLOOKUP(D989,'Monthly Deduction'!A:B,2,0),0)</f>
        <v>0</v>
      </c>
      <c r="AB989" s="129">
        <f t="shared" si="364"/>
        <v>4965</v>
      </c>
      <c r="AC989" s="130">
        <v>0</v>
      </c>
      <c r="AD989" s="35">
        <f t="shared" si="358"/>
        <v>4965</v>
      </c>
      <c r="AE989" s="166" t="str">
        <f t="shared" si="359"/>
        <v>Release</v>
      </c>
      <c r="AF989" s="127"/>
      <c r="AG989" s="18">
        <v>0</v>
      </c>
      <c r="AH989" s="120"/>
      <c r="AI989" s="238">
        <v>0</v>
      </c>
      <c r="AJ989" s="132"/>
      <c r="AK989" s="151">
        <v>1022.5</v>
      </c>
      <c r="AL989" s="154">
        <f t="shared" si="360"/>
        <v>0</v>
      </c>
      <c r="AM989" s="155"/>
      <c r="AN989" s="19">
        <f t="shared" si="365"/>
        <v>0</v>
      </c>
      <c r="AO989" s="118">
        <f>SUMIF('MPG Payment '!E:E,'Shayak Income '!D989,'MPG Payment '!AJ:AJ)</f>
        <v>0</v>
      </c>
      <c r="AP989" s="19">
        <f t="shared" si="366"/>
        <v>0</v>
      </c>
      <c r="AQ989" s="119">
        <f t="shared" si="361"/>
        <v>0</v>
      </c>
      <c r="AR989" s="91" t="s">
        <v>1144</v>
      </c>
      <c r="AS989" s="91">
        <f t="shared" si="367"/>
        <v>0</v>
      </c>
      <c r="AT989" s="118"/>
      <c r="AU989" s="118"/>
      <c r="AV989" s="118"/>
    </row>
    <row r="990" spans="1:48" s="20" customFormat="1" x14ac:dyDescent="0.25">
      <c r="A990" s="17">
        <f>IFERROR(VLOOKUP(D990,'Monthly Deduction'!$I$3:$J$957,2,0),0)</f>
        <v>70000</v>
      </c>
      <c r="B990" s="17">
        <f>IFERROR(VLOOKUP(D990,'Monthly Deduction'!$E$3:$F$957,2,0),0)</f>
        <v>0</v>
      </c>
      <c r="C990" s="17">
        <f t="shared" si="353"/>
        <v>70000</v>
      </c>
      <c r="D990" s="41">
        <v>10610060</v>
      </c>
      <c r="E990" s="122" t="str">
        <f>VLOOKUP(D990,'MPG Payment '!$E$3:$G$497305,2,0)</f>
        <v>GOMUKH MANSURPUR HALAIYA</v>
      </c>
      <c r="F990" s="146">
        <f>IFERROR(_xlfn.XLOOKUP(D990,'Monthly Deduction'!$I$3:$I$957,'Monthly Deduction'!$H$3:$H$957),0)</f>
        <v>0</v>
      </c>
      <c r="G990" s="123" t="str">
        <f>VLOOKUP(D990,'MPG Payment '!$E$3:$G$333666,3,0)</f>
        <v>MPG</v>
      </c>
      <c r="H990" s="124" t="str">
        <f>VLOOKUP(D990,'MPG Payment '!$E$3:$H$333666,4,0)</f>
        <v>Direct</v>
      </c>
      <c r="I990" s="88">
        <f>INDEX('MPG Payment '!$C:$C,MATCH('Shayak Income '!D990,'MPG Payment '!E:E,0))</f>
        <v>1061</v>
      </c>
      <c r="J990" s="88" t="str">
        <f>INDEX('MPG Payment '!$D:$D,MATCH('Shayak Income '!D990,'MPG Payment '!E:E,0))</f>
        <v>Mahua BMC</v>
      </c>
      <c r="K990" s="125" t="s">
        <v>1593</v>
      </c>
      <c r="L990" s="125">
        <v>46207</v>
      </c>
      <c r="M990" s="126">
        <f>SUMIF('MPG Payment '!$E$3:$E$344841,'Shayak Income '!D990,'MPG Payment '!$I$3:$I$344841)</f>
        <v>19.600000000000001</v>
      </c>
      <c r="N990" s="126">
        <f>SUMIF('MPG Payment '!$E$3:$E$344841,'Shayak Income '!D990,'MPG Payment '!$J$3:$J$344841)</f>
        <v>972.79</v>
      </c>
      <c r="O990" s="126">
        <f t="shared" si="354"/>
        <v>14.700000000000001</v>
      </c>
      <c r="P990" s="126">
        <f t="shared" si="355"/>
        <v>18.62</v>
      </c>
      <c r="Q990" s="126">
        <f>SUMIF('MPG Payment '!$E$3:$E$344841,'Shayak Income '!D990,'MPG Payment '!$S$3:$S$344841)</f>
        <v>0</v>
      </c>
      <c r="R990" s="126">
        <f t="shared" si="356"/>
        <v>29.183699999999998</v>
      </c>
      <c r="S990" s="126">
        <f t="shared" si="357"/>
        <v>10.563699999999997</v>
      </c>
      <c r="T990" s="126">
        <f t="shared" si="368"/>
        <v>1.9600000000000002</v>
      </c>
      <c r="U990" s="127">
        <f>((((((IF(K990="New",0,SUMIF('MPG Payment '!$E$3:$E$344841,'Shayak Income '!D990,'MPG Payment '!$AC$3:$AC$344841))))+0)+0)+0)+0)+0</f>
        <v>0</v>
      </c>
      <c r="V990" s="127">
        <f t="shared" si="369"/>
        <v>31</v>
      </c>
      <c r="W990" s="19">
        <v>0</v>
      </c>
      <c r="X990" s="19">
        <f t="shared" si="363"/>
        <v>0</v>
      </c>
      <c r="Y990" s="128">
        <f>IFERROR(VLOOKUP(D990,'Monthly Deduction'!$M$2:$N$640,2,0),0)</f>
        <v>0</v>
      </c>
      <c r="Z990" s="128">
        <v>0</v>
      </c>
      <c r="AA990" s="126">
        <f>IFERROR(VLOOKUP(D990,'Monthly Deduction'!A:B,2,0),0)</f>
        <v>0</v>
      </c>
      <c r="AB990" s="129">
        <f t="shared" si="364"/>
        <v>31</v>
      </c>
      <c r="AC990" s="130">
        <f t="shared" ref="AC990:AC993" si="372">AB990</f>
        <v>31</v>
      </c>
      <c r="AD990" s="35">
        <f t="shared" si="358"/>
        <v>0</v>
      </c>
      <c r="AE990" s="166" t="str">
        <f t="shared" si="359"/>
        <v>Yes</v>
      </c>
      <c r="AF990" s="127"/>
      <c r="AG990" s="18">
        <v>0</v>
      </c>
      <c r="AH990" s="132" t="s">
        <v>1688</v>
      </c>
      <c r="AI990" s="238">
        <v>5000</v>
      </c>
      <c r="AJ990" s="132"/>
      <c r="AK990" s="151">
        <v>0</v>
      </c>
      <c r="AL990" s="154">
        <f t="shared" si="360"/>
        <v>0</v>
      </c>
      <c r="AM990" s="155"/>
      <c r="AN990" s="19">
        <f t="shared" si="365"/>
        <v>1861</v>
      </c>
      <c r="AO990" s="118">
        <f>SUMIF('MPG Payment '!E:E,'Shayak Income '!D990,'MPG Payment '!AJ:AJ)</f>
        <v>0</v>
      </c>
      <c r="AP990" s="19">
        <f t="shared" si="366"/>
        <v>0</v>
      </c>
      <c r="AQ990" s="119">
        <f t="shared" si="361"/>
        <v>0</v>
      </c>
      <c r="AR990" s="91" t="s">
        <v>1144</v>
      </c>
      <c r="AS990" s="91">
        <f t="shared" si="367"/>
        <v>0</v>
      </c>
      <c r="AT990" s="118"/>
      <c r="AU990" s="118"/>
      <c r="AV990" s="118"/>
    </row>
    <row r="991" spans="1:48" s="20" customFormat="1" x14ac:dyDescent="0.25">
      <c r="A991" s="17">
        <f>IFERROR(VLOOKUP(D991,'Monthly Deduction'!$I$3:$J$957,2,0),0)</f>
        <v>85000</v>
      </c>
      <c r="B991" s="17">
        <f>IFERROR(VLOOKUP(D991,'Monthly Deduction'!$E$3:$F$957,2,0),0)</f>
        <v>0</v>
      </c>
      <c r="C991" s="17">
        <f t="shared" si="353"/>
        <v>85000</v>
      </c>
      <c r="D991" s="41">
        <v>10630025</v>
      </c>
      <c r="E991" s="122" t="str">
        <f>VLOOKUP(D991,'MPG Payment '!$E$3:$G$497305,2,0)</f>
        <v>Haripur</v>
      </c>
      <c r="F991" s="146">
        <f>IFERROR(_xlfn.XLOOKUP(D991,'Monthly Deduction'!$I$3:$I$957,'Monthly Deduction'!$H$3:$H$957),0)</f>
        <v>0</v>
      </c>
      <c r="G991" s="123" t="str">
        <f>VLOOKUP(D991,'MPG Payment '!$E$3:$G$333666,3,0)</f>
        <v>MPG</v>
      </c>
      <c r="H991" s="124" t="str">
        <f>VLOOKUP(D991,'MPG Payment '!$E$3:$H$333666,4,0)</f>
        <v>Direct</v>
      </c>
      <c r="I991" s="88">
        <f>INDEX('MPG Payment '!$C:$C,MATCH('Shayak Income '!D991,'MPG Payment '!E:E,0))</f>
        <v>1063</v>
      </c>
      <c r="J991" s="88" t="str">
        <f>INDEX('MPG Payment '!$D:$D,MATCH('Shayak Income '!D991,'MPG Payment '!E:E,0))</f>
        <v>Rosera</v>
      </c>
      <c r="K991" s="125" t="s">
        <v>1593</v>
      </c>
      <c r="L991" s="125">
        <v>46206</v>
      </c>
      <c r="M991" s="126">
        <f>SUMIF('MPG Payment '!$E$3:$E$344841,'Shayak Income '!D991,'MPG Payment '!$I$3:$I$344841)</f>
        <v>1065.02</v>
      </c>
      <c r="N991" s="126">
        <f>SUMIF('MPG Payment '!$E$3:$E$344841,'Shayak Income '!D991,'MPG Payment '!$J$3:$J$344841)</f>
        <v>43845.42</v>
      </c>
      <c r="O991" s="126">
        <f t="shared" si="354"/>
        <v>798.76499999999999</v>
      </c>
      <c r="P991" s="126">
        <f t="shared" si="355"/>
        <v>1011.7689999999999</v>
      </c>
      <c r="Q991" s="126">
        <f>SUMIF('MPG Payment '!$E$3:$E$344841,'Shayak Income '!D991,'MPG Payment '!$S$3:$S$344841)</f>
        <v>0</v>
      </c>
      <c r="R991" s="126">
        <f t="shared" si="356"/>
        <v>1315.3625999999999</v>
      </c>
      <c r="S991" s="126">
        <f t="shared" si="357"/>
        <v>303.59360000000004</v>
      </c>
      <c r="T991" s="126">
        <f t="shared" si="368"/>
        <v>106.50200000000001</v>
      </c>
      <c r="U991" s="127">
        <f>((((((IF(K991="New",0,SUMIF('MPG Payment '!$E$3:$E$344841,'Shayak Income '!D991,'MPG Payment '!$AC$3:$AC$344841))))+0)+0)+0)+0)+0</f>
        <v>0</v>
      </c>
      <c r="V991" s="127">
        <f t="shared" si="369"/>
        <v>1704</v>
      </c>
      <c r="W991" s="19">
        <v>0</v>
      </c>
      <c r="X991" s="19">
        <f t="shared" si="363"/>
        <v>0</v>
      </c>
      <c r="Y991" s="128">
        <f>IFERROR(VLOOKUP(D991,'Monthly Deduction'!$M$2:$N$640,2,0),0)</f>
        <v>0</v>
      </c>
      <c r="Z991" s="128">
        <v>0</v>
      </c>
      <c r="AA991" s="126">
        <f>IFERROR(VLOOKUP(D991,'Monthly Deduction'!A:B,2,0),0)</f>
        <v>0</v>
      </c>
      <c r="AB991" s="129">
        <f t="shared" si="364"/>
        <v>1704</v>
      </c>
      <c r="AC991" s="130">
        <f t="shared" si="372"/>
        <v>1704</v>
      </c>
      <c r="AD991" s="35">
        <f t="shared" si="358"/>
        <v>0</v>
      </c>
      <c r="AE991" s="166" t="str">
        <f t="shared" si="359"/>
        <v>Yes</v>
      </c>
      <c r="AF991" s="127"/>
      <c r="AG991" s="18">
        <v>0</v>
      </c>
      <c r="AH991" s="120" t="s">
        <v>1686</v>
      </c>
      <c r="AI991" s="238">
        <v>20000</v>
      </c>
      <c r="AJ991" s="132"/>
      <c r="AK991" s="151">
        <v>259.60000000000002</v>
      </c>
      <c r="AL991" s="154">
        <f t="shared" si="360"/>
        <v>0</v>
      </c>
      <c r="AM991" s="155"/>
      <c r="AN991" s="19">
        <f t="shared" si="365"/>
        <v>1861</v>
      </c>
      <c r="AO991" s="118">
        <f>SUMIF('MPG Payment '!E:E,'Shayak Income '!D991,'MPG Payment '!AJ:AJ)</f>
        <v>0</v>
      </c>
      <c r="AP991" s="19">
        <f t="shared" si="366"/>
        <v>0</v>
      </c>
      <c r="AQ991" s="119">
        <f t="shared" si="361"/>
        <v>0</v>
      </c>
      <c r="AR991" s="91" t="s">
        <v>1144</v>
      </c>
      <c r="AS991" s="91">
        <f t="shared" si="367"/>
        <v>0</v>
      </c>
      <c r="AT991" s="118"/>
      <c r="AU991" s="118"/>
      <c r="AV991" s="118"/>
    </row>
    <row r="992" spans="1:48" s="20" customFormat="1" x14ac:dyDescent="0.25">
      <c r="A992" s="17">
        <f>IFERROR(VLOOKUP(D992,'Monthly Deduction'!$I$3:$J$957,2,0),0)</f>
        <v>0</v>
      </c>
      <c r="B992" s="17">
        <f>IFERROR(VLOOKUP(D992,'Monthly Deduction'!$E$3:$F$957,2,0),0)</f>
        <v>0</v>
      </c>
      <c r="C992" s="17">
        <f t="shared" si="353"/>
        <v>0</v>
      </c>
      <c r="D992" s="41">
        <v>10630026</v>
      </c>
      <c r="E992" s="122" t="str">
        <f>VLOOKUP(D992,'MPG Payment '!$E$3:$G$497305,2,0)</f>
        <v>Jakhar</v>
      </c>
      <c r="F992" s="146">
        <f>IFERROR(_xlfn.XLOOKUP(D992,'Monthly Deduction'!$I$3:$I$957,'Monthly Deduction'!$H$3:$H$957),0)</f>
        <v>0</v>
      </c>
      <c r="G992" s="123" t="str">
        <f>VLOOKUP(D992,'MPG Payment '!$E$3:$G$333666,3,0)</f>
        <v>MPG</v>
      </c>
      <c r="H992" s="124" t="str">
        <f>VLOOKUP(D992,'MPG Payment '!$E$3:$H$333666,4,0)</f>
        <v>Indirect</v>
      </c>
      <c r="I992" s="88">
        <f>INDEX('MPG Payment '!$C:$C,MATCH('Shayak Income '!D992,'MPG Payment '!E:E,0))</f>
        <v>1063</v>
      </c>
      <c r="J992" s="88" t="str">
        <f>INDEX('MPG Payment '!$D:$D,MATCH('Shayak Income '!D992,'MPG Payment '!E:E,0))</f>
        <v>Rosera</v>
      </c>
      <c r="K992" s="125" t="s">
        <v>1593</v>
      </c>
      <c r="L992" s="125">
        <v>46206</v>
      </c>
      <c r="M992" s="126">
        <f>SUMIF('MPG Payment '!$E$3:$E$344841,'Shayak Income '!D992,'MPG Payment '!$I$3:$I$344841)</f>
        <v>554.4</v>
      </c>
      <c r="N992" s="126">
        <f>SUMIF('MPG Payment '!$E$3:$E$344841,'Shayak Income '!D992,'MPG Payment '!$J$3:$J$344841)</f>
        <v>17975.330000000002</v>
      </c>
      <c r="O992" s="126">
        <f t="shared" si="354"/>
        <v>415.79999999999995</v>
      </c>
      <c r="P992" s="126">
        <f t="shared" si="355"/>
        <v>526.67999999999995</v>
      </c>
      <c r="Q992" s="126">
        <f>SUMIF('MPG Payment '!$E$3:$E$344841,'Shayak Income '!D992,'MPG Payment '!$S$3:$S$344841)</f>
        <v>0</v>
      </c>
      <c r="R992" s="126">
        <f t="shared" si="356"/>
        <v>539.25990000000002</v>
      </c>
      <c r="S992" s="126">
        <f t="shared" si="357"/>
        <v>12.579900000000066</v>
      </c>
      <c r="T992" s="126">
        <f t="shared" si="368"/>
        <v>55.44</v>
      </c>
      <c r="U992" s="127">
        <f>((((((IF(K992="New",0,SUMIF('MPG Payment '!$E$3:$E$344841,'Shayak Income '!D992,'MPG Payment '!$AC$3:$AC$344841))))+0)+0)+0)+0)+0</f>
        <v>0</v>
      </c>
      <c r="V992" s="127">
        <f t="shared" si="369"/>
        <v>887</v>
      </c>
      <c r="W992" s="19">
        <v>0</v>
      </c>
      <c r="X992" s="19">
        <f t="shared" si="363"/>
        <v>0</v>
      </c>
      <c r="Y992" s="128">
        <f>IFERROR(VLOOKUP(D992,'Monthly Deduction'!$M$2:$N$640,2,0),0)</f>
        <v>0</v>
      </c>
      <c r="Z992" s="128">
        <v>0</v>
      </c>
      <c r="AA992" s="126">
        <f>IFERROR(VLOOKUP(D992,'Monthly Deduction'!A:B,2,0),0)</f>
        <v>0</v>
      </c>
      <c r="AB992" s="129">
        <f t="shared" si="364"/>
        <v>887</v>
      </c>
      <c r="AC992" s="130">
        <f t="shared" si="372"/>
        <v>887</v>
      </c>
      <c r="AD992" s="35">
        <f t="shared" si="358"/>
        <v>0</v>
      </c>
      <c r="AE992" s="166" t="str">
        <f t="shared" si="359"/>
        <v>Yes</v>
      </c>
      <c r="AF992" s="127"/>
      <c r="AG992" s="18">
        <v>0</v>
      </c>
      <c r="AH992" s="132" t="s">
        <v>1684</v>
      </c>
      <c r="AI992" s="238">
        <v>0</v>
      </c>
      <c r="AJ992" s="132"/>
      <c r="AK992" s="151">
        <v>0</v>
      </c>
      <c r="AL992" s="154">
        <f t="shared" si="360"/>
        <v>0</v>
      </c>
      <c r="AM992" s="155"/>
      <c r="AN992" s="19">
        <f t="shared" si="365"/>
        <v>0</v>
      </c>
      <c r="AO992" s="118">
        <f>SUMIF('MPG Payment '!E:E,'Shayak Income '!D992,'MPG Payment '!AJ:AJ)</f>
        <v>0</v>
      </c>
      <c r="AP992" s="19">
        <f t="shared" si="366"/>
        <v>0</v>
      </c>
      <c r="AQ992" s="119">
        <f t="shared" si="361"/>
        <v>0</v>
      </c>
      <c r="AR992" s="91" t="s">
        <v>1144</v>
      </c>
      <c r="AS992" s="91">
        <f t="shared" si="367"/>
        <v>0</v>
      </c>
      <c r="AT992" s="118"/>
      <c r="AU992" s="118"/>
      <c r="AV992" s="118"/>
    </row>
    <row r="993" spans="1:48" s="20" customFormat="1" x14ac:dyDescent="0.25">
      <c r="A993" s="17">
        <f>IFERROR(VLOOKUP(D993,'Monthly Deduction'!$I$3:$J$957,2,0),0)</f>
        <v>0</v>
      </c>
      <c r="B993" s="17">
        <f>IFERROR(VLOOKUP(D993,'Monthly Deduction'!$E$3:$F$957,2,0),0)</f>
        <v>0</v>
      </c>
      <c r="C993" s="17">
        <f t="shared" si="353"/>
        <v>0</v>
      </c>
      <c r="D993" s="41">
        <v>10630037</v>
      </c>
      <c r="E993" s="122" t="str">
        <f>VLOOKUP(D993,'MPG Payment '!$E$3:$G$497305,2,0)</f>
        <v>Sunil Erout</v>
      </c>
      <c r="F993" s="146">
        <f>IFERROR(_xlfn.XLOOKUP(D993,'Monthly Deduction'!$I$3:$I$957,'Monthly Deduction'!$H$3:$H$957),0)</f>
        <v>0</v>
      </c>
      <c r="G993" s="123" t="str">
        <f>VLOOKUP(D993,'MPG Payment '!$E$3:$G$333666,3,0)</f>
        <v>vlc</v>
      </c>
      <c r="H993" s="124" t="str">
        <f>VLOOKUP(D993,'MPG Payment '!$E$3:$H$333666,4,0)</f>
        <v>Indirect</v>
      </c>
      <c r="I993" s="88">
        <f>INDEX('MPG Payment '!$C:$C,MATCH('Shayak Income '!D993,'MPG Payment '!E:E,0))</f>
        <v>1063</v>
      </c>
      <c r="J993" s="88" t="str">
        <f>INDEX('MPG Payment '!$D:$D,MATCH('Shayak Income '!D993,'MPG Payment '!E:E,0))</f>
        <v>Rosera</v>
      </c>
      <c r="K993" s="125" t="s">
        <v>1593</v>
      </c>
      <c r="L993" s="125">
        <v>46209</v>
      </c>
      <c r="M993" s="126">
        <f>SUMIF('MPG Payment '!$E$3:$E$344841,'Shayak Income '!D993,'MPG Payment '!$I$3:$I$344841)</f>
        <v>185.5</v>
      </c>
      <c r="N993" s="126">
        <f>SUMIF('MPG Payment '!$E$3:$E$344841,'Shayak Income '!D993,'MPG Payment '!$J$3:$J$344841)</f>
        <v>6234.6200000000008</v>
      </c>
      <c r="O993" s="126">
        <f t="shared" si="354"/>
        <v>139.125</v>
      </c>
      <c r="P993" s="126">
        <f t="shared" si="355"/>
        <v>176.22499999999999</v>
      </c>
      <c r="Q993" s="126">
        <f>SUMIF('MPG Payment '!$E$3:$E$344841,'Shayak Income '!D993,'MPG Payment '!$S$3:$S$344841)</f>
        <v>0</v>
      </c>
      <c r="R993" s="126">
        <f t="shared" si="356"/>
        <v>187.03860000000003</v>
      </c>
      <c r="S993" s="126">
        <f t="shared" si="357"/>
        <v>10.813600000000037</v>
      </c>
      <c r="T993" s="126">
        <f t="shared" si="368"/>
        <v>18.55</v>
      </c>
      <c r="U993" s="127">
        <f>((((((IF(K993="New",0,SUMIF('MPG Payment '!$E$3:$E$344841,'Shayak Income '!D993,'MPG Payment '!$AC$3:$AC$344841))))+0)+0)+0)+0)+0</f>
        <v>0</v>
      </c>
      <c r="V993" s="127">
        <f t="shared" si="369"/>
        <v>297</v>
      </c>
      <c r="W993" s="19">
        <v>0</v>
      </c>
      <c r="X993" s="19">
        <f t="shared" si="363"/>
        <v>0</v>
      </c>
      <c r="Y993" s="128">
        <f>IFERROR(VLOOKUP(D993,'Monthly Deduction'!$M$2:$N$640,2,0),0)</f>
        <v>0</v>
      </c>
      <c r="Z993" s="128">
        <v>0</v>
      </c>
      <c r="AA993" s="126">
        <f>IFERROR(VLOOKUP(D993,'Monthly Deduction'!A:B,2,0),0)</f>
        <v>0</v>
      </c>
      <c r="AB993" s="129">
        <f t="shared" si="364"/>
        <v>297</v>
      </c>
      <c r="AC993" s="130">
        <f t="shared" si="372"/>
        <v>297</v>
      </c>
      <c r="AD993" s="35">
        <f t="shared" si="358"/>
        <v>0</v>
      </c>
      <c r="AE993" s="166" t="str">
        <f t="shared" si="359"/>
        <v>Yes</v>
      </c>
      <c r="AF993" s="127"/>
      <c r="AG993" s="18">
        <v>0</v>
      </c>
      <c r="AH993" s="132" t="s">
        <v>1597</v>
      </c>
      <c r="AI993" s="238">
        <v>0</v>
      </c>
      <c r="AJ993" s="132"/>
      <c r="AK993" s="151">
        <v>0</v>
      </c>
      <c r="AL993" s="154">
        <f t="shared" si="360"/>
        <v>0</v>
      </c>
      <c r="AM993" s="155"/>
      <c r="AN993" s="19">
        <f t="shared" si="365"/>
        <v>0</v>
      </c>
      <c r="AO993" s="118">
        <f>SUMIF('MPG Payment '!E:E,'Shayak Income '!D993,'MPG Payment '!AJ:AJ)</f>
        <v>0</v>
      </c>
      <c r="AP993" s="19">
        <f t="shared" si="366"/>
        <v>0</v>
      </c>
      <c r="AQ993" s="119">
        <f t="shared" si="361"/>
        <v>0</v>
      </c>
      <c r="AR993" s="91" t="s">
        <v>1144</v>
      </c>
      <c r="AS993" s="91">
        <f t="shared" si="367"/>
        <v>0</v>
      </c>
      <c r="AT993" s="118"/>
      <c r="AU993" s="118"/>
      <c r="AV993" s="118"/>
    </row>
    <row r="994" spans="1:48" s="20" customFormat="1" x14ac:dyDescent="0.25">
      <c r="A994" s="17">
        <f>IFERROR(VLOOKUP(D994,'Monthly Deduction'!$I$3:$J$957,2,0),0)</f>
        <v>0</v>
      </c>
      <c r="B994" s="17">
        <f>IFERROR(VLOOKUP(D994,'Monthly Deduction'!$E$3:$F$957,2,0),0)</f>
        <v>0</v>
      </c>
      <c r="C994" s="17">
        <f t="shared" si="353"/>
        <v>0</v>
      </c>
      <c r="D994" s="41">
        <v>10020056</v>
      </c>
      <c r="E994" s="122" t="str">
        <f>VLOOKUP(D994,'MPG Payment '!$E$3:$G$497305,2,0)</f>
        <v>Chetan Tola-Dakshin - Hari Om</v>
      </c>
      <c r="F994" s="146">
        <f>IFERROR(_xlfn.XLOOKUP(D994,'Monthly Deduction'!$I$3:$I$957,'Monthly Deduction'!$H$3:$H$957),0)</f>
        <v>0</v>
      </c>
      <c r="G994" s="123" t="str">
        <f>VLOOKUP(D994,'MPG Payment '!$E$3:$G$333666,3,0)</f>
        <v>VLC</v>
      </c>
      <c r="H994" s="124" t="str">
        <f>VLOOKUP(D994,'MPG Payment '!$E$3:$H$333666,4,0)</f>
        <v>Indirect</v>
      </c>
      <c r="I994" s="88">
        <f>INDEX('MPG Payment '!$C:$C,MATCH('Shayak Income '!D994,'MPG Payment '!E:E,0))</f>
        <v>1002</v>
      </c>
      <c r="J994" s="88" t="str">
        <f>INDEX('MPG Payment '!$D:$D,MATCH('Shayak Income '!D994,'MPG Payment '!E:E,0))</f>
        <v>Laldiyara</v>
      </c>
      <c r="K994" s="125" t="s">
        <v>1594</v>
      </c>
      <c r="L994" s="125">
        <v>44652</v>
      </c>
      <c r="M994" s="126">
        <f>SUMIF('MPG Payment '!$E$3:$E$344841,'Shayak Income '!D994,'MPG Payment '!$I$3:$I$344841)</f>
        <v>795</v>
      </c>
      <c r="N994" s="126">
        <f>SUMIF('MPG Payment '!$E$3:$E$344841,'Shayak Income '!D994,'MPG Payment '!$J$3:$J$344841)</f>
        <v>43583.240000000005</v>
      </c>
      <c r="O994" s="126">
        <f t="shared" si="354"/>
        <v>596.25</v>
      </c>
      <c r="P994" s="126">
        <f t="shared" si="355"/>
        <v>755.25</v>
      </c>
      <c r="Q994" s="126">
        <f>SUMIF('MPG Payment '!$E$3:$E$344841,'Shayak Income '!D994,'MPG Payment '!$S$3:$S$344841)</f>
        <v>0</v>
      </c>
      <c r="R994" s="126">
        <f t="shared" si="356"/>
        <v>1307.4972</v>
      </c>
      <c r="S994" s="126">
        <f t="shared" si="357"/>
        <v>552.24720000000002</v>
      </c>
      <c r="T994" s="126">
        <f t="shared" si="368"/>
        <v>79.5</v>
      </c>
      <c r="U994" s="127">
        <f>((((((IF(K994="New",0,SUMIF('MPG Payment '!$E$3:$E$344841,'Shayak Income '!D994,'MPG Payment '!$AC$3:$AC$344841))))+0)+0)+0)+0)+-169</f>
        <v>1271.5717178749842</v>
      </c>
      <c r="V994" s="127">
        <f t="shared" si="369"/>
        <v>0</v>
      </c>
      <c r="W994" s="19">
        <v>0</v>
      </c>
      <c r="X994" s="19">
        <v>0</v>
      </c>
      <c r="Y994" s="128">
        <v>0</v>
      </c>
      <c r="Z994" s="128">
        <v>0</v>
      </c>
      <c r="AA994" s="126">
        <v>0</v>
      </c>
      <c r="AB994" s="129">
        <f t="shared" si="364"/>
        <v>0</v>
      </c>
      <c r="AC994" s="130">
        <v>0</v>
      </c>
      <c r="AD994" s="35">
        <f t="shared" si="358"/>
        <v>0</v>
      </c>
      <c r="AE994" s="166" t="str">
        <f t="shared" si="359"/>
        <v>Release</v>
      </c>
      <c r="AF994" s="127"/>
      <c r="AG994" s="18">
        <v>0</v>
      </c>
      <c r="AH994" s="132"/>
      <c r="AI994" s="238">
        <v>0</v>
      </c>
      <c r="AJ994" s="132"/>
      <c r="AK994" s="151">
        <v>57.6</v>
      </c>
      <c r="AL994" s="154">
        <f t="shared" si="360"/>
        <v>0</v>
      </c>
      <c r="AM994" s="155"/>
      <c r="AN994" s="19">
        <f t="shared" si="365"/>
        <v>0</v>
      </c>
      <c r="AO994" s="118">
        <f>SUMIF('MPG Payment '!E:E,'Shayak Income '!D994,'MPG Payment '!AJ:AJ)</f>
        <v>0</v>
      </c>
      <c r="AP994" s="19">
        <f t="shared" si="366"/>
        <v>0</v>
      </c>
      <c r="AQ994" s="119">
        <f t="shared" si="361"/>
        <v>0</v>
      </c>
      <c r="AR994" s="91" t="s">
        <v>1144</v>
      </c>
      <c r="AS994" s="91">
        <f t="shared" si="367"/>
        <v>0</v>
      </c>
      <c r="AT994" s="118"/>
      <c r="AU994" s="118"/>
      <c r="AV994" s="118"/>
    </row>
    <row r="995" spans="1:48" s="20" customFormat="1" x14ac:dyDescent="0.25">
      <c r="A995" s="17">
        <f>IFERROR(VLOOKUP(D995,'Monthly Deduction'!$I$3:$J$957,2,0),0)</f>
        <v>1398.7088573647416</v>
      </c>
      <c r="B995" s="17">
        <f>IFERROR(VLOOKUP(D995,'Monthly Deduction'!$E$3:$F$957,2,0),0)</f>
        <v>5330</v>
      </c>
      <c r="C995" s="17">
        <f t="shared" si="353"/>
        <v>6728.7088573647416</v>
      </c>
      <c r="D995" s="41">
        <v>10030030</v>
      </c>
      <c r="E995" s="122" t="str">
        <f>VLOOKUP(D995,'MPG Payment '!$E$3:$G$497305,2,0)</f>
        <v>MACHIDIH</v>
      </c>
      <c r="F995" s="146">
        <f>IFERROR(_xlfn.XLOOKUP(D995,'Monthly Deduction'!$I$3:$I$957,'Monthly Deduction'!$H$3:$H$957),0)</f>
        <v>0</v>
      </c>
      <c r="G995" s="123" t="str">
        <f>VLOOKUP(D995,'MPG Payment '!$E$3:$G$333666,3,0)</f>
        <v>MPG</v>
      </c>
      <c r="H995" s="124" t="str">
        <f>VLOOKUP(D995,'MPG Payment '!$E$3:$H$333666,4,0)</f>
        <v>Direct</v>
      </c>
      <c r="I995" s="88">
        <f>INDEX('MPG Payment '!$C:$C,MATCH('Shayak Income '!D995,'MPG Payment '!E:E,0))</f>
        <v>1003</v>
      </c>
      <c r="J995" s="88" t="str">
        <f>INDEX('MPG Payment '!$D:$D,MATCH('Shayak Income '!D995,'MPG Payment '!E:E,0))</f>
        <v>Asarganj</v>
      </c>
      <c r="K995" s="125" t="s">
        <v>1594</v>
      </c>
      <c r="L995" s="125">
        <v>45015</v>
      </c>
      <c r="M995" s="126">
        <f>SUMIF('MPG Payment '!$E$3:$E$344841,'Shayak Income '!D995,'MPG Payment '!$I$3:$I$344841)</f>
        <v>391.9</v>
      </c>
      <c r="N995" s="126">
        <f>SUMIF('MPG Payment '!$E$3:$E$344841,'Shayak Income '!D995,'MPG Payment '!$J$3:$J$344841)</f>
        <v>18507.849999999999</v>
      </c>
      <c r="O995" s="126">
        <f t="shared" si="354"/>
        <v>293.92499999999995</v>
      </c>
      <c r="P995" s="126">
        <f t="shared" si="355"/>
        <v>372.30499999999995</v>
      </c>
      <c r="Q995" s="126">
        <f>SUMIF('MPG Payment '!$E$3:$E$344841,'Shayak Income '!D995,'MPG Payment '!$S$3:$S$344841)</f>
        <v>0</v>
      </c>
      <c r="R995" s="126">
        <f t="shared" si="356"/>
        <v>555.23549999999989</v>
      </c>
      <c r="S995" s="126">
        <f t="shared" si="357"/>
        <v>182.93049999999994</v>
      </c>
      <c r="T995" s="126">
        <f t="shared" si="368"/>
        <v>39.19</v>
      </c>
      <c r="U995" s="127">
        <f>((((((IF(K995="New",0,SUMIF('MPG Payment '!$E$3:$E$344841,'Shayak Income '!D995,'MPG Payment '!$AC$3:$AC$344841))))+0)+0)+0)+0)+-993</f>
        <v>627.21259049594278</v>
      </c>
      <c r="V995" s="127">
        <f t="shared" si="369"/>
        <v>0</v>
      </c>
      <c r="W995" s="19">
        <v>0</v>
      </c>
      <c r="X995" s="19">
        <v>0</v>
      </c>
      <c r="Y995" s="128">
        <v>0</v>
      </c>
      <c r="Z995" s="128">
        <v>0</v>
      </c>
      <c r="AA995" s="126">
        <v>0</v>
      </c>
      <c r="AB995" s="129">
        <f t="shared" si="364"/>
        <v>0</v>
      </c>
      <c r="AC995" s="130">
        <v>0</v>
      </c>
      <c r="AD995" s="35">
        <f t="shared" si="358"/>
        <v>0</v>
      </c>
      <c r="AE995" s="166" t="str">
        <f t="shared" si="359"/>
        <v>Release</v>
      </c>
      <c r="AF995" s="127"/>
      <c r="AG995" s="18">
        <v>0</v>
      </c>
      <c r="AH995" s="120"/>
      <c r="AI995" s="238">
        <v>0</v>
      </c>
      <c r="AJ995" s="132"/>
      <c r="AK995" s="151">
        <v>53.05</v>
      </c>
      <c r="AL995" s="154">
        <f t="shared" si="360"/>
        <v>0</v>
      </c>
      <c r="AM995" s="155"/>
      <c r="AN995" s="19">
        <f t="shared" si="365"/>
        <v>1398.7088573647416</v>
      </c>
      <c r="AO995" s="118">
        <f>SUMIF('MPG Payment '!E:E,'Shayak Income '!D995,'MPG Payment '!AJ:AJ)</f>
        <v>0</v>
      </c>
      <c r="AP995" s="19">
        <f t="shared" si="366"/>
        <v>0</v>
      </c>
      <c r="AQ995" s="119">
        <f t="shared" si="361"/>
        <v>0</v>
      </c>
      <c r="AR995" s="91" t="s">
        <v>1144</v>
      </c>
      <c r="AS995" s="91">
        <f t="shared" si="367"/>
        <v>5330</v>
      </c>
      <c r="AT995" s="118"/>
      <c r="AU995" s="118"/>
      <c r="AV995" s="118"/>
    </row>
    <row r="996" spans="1:48" s="20" customFormat="1" x14ac:dyDescent="0.25">
      <c r="A996" s="17">
        <f>IFERROR(VLOOKUP(D996,'Monthly Deduction'!$I$3:$J$957,2,0),0)</f>
        <v>0</v>
      </c>
      <c r="B996" s="17">
        <f>IFERROR(VLOOKUP(D996,'Monthly Deduction'!$E$3:$F$957,2,0),0)</f>
        <v>0</v>
      </c>
      <c r="C996" s="17">
        <f t="shared" si="353"/>
        <v>0</v>
      </c>
      <c r="D996" s="41">
        <v>10060045</v>
      </c>
      <c r="E996" s="122" t="str">
        <f>VLOOKUP(D996,'MPG Payment '!$E$3:$G$497305,2,0)</f>
        <v>Abgil-2 - Sheshnath</v>
      </c>
      <c r="F996" s="146">
        <f>IFERROR(_xlfn.XLOOKUP(D996,'Monthly Deduction'!$I$3:$I$957,'Monthly Deduction'!$H$3:$H$957),0)</f>
        <v>0</v>
      </c>
      <c r="G996" s="123" t="str">
        <f>VLOOKUP(D996,'MPG Payment '!$E$3:$G$333666,3,0)</f>
        <v>VLC</v>
      </c>
      <c r="H996" s="124" t="str">
        <f>VLOOKUP(D996,'MPG Payment '!$E$3:$H$333666,4,0)</f>
        <v>Indirect</v>
      </c>
      <c r="I996" s="88">
        <f>INDEX('MPG Payment '!$C:$C,MATCH('Shayak Income '!D996,'MPG Payment '!E:E,0))</f>
        <v>1006</v>
      </c>
      <c r="J996" s="88" t="str">
        <f>INDEX('MPG Payment '!$D:$D,MATCH('Shayak Income '!D996,'MPG Payment '!E:E,0))</f>
        <v>Sonvarsha</v>
      </c>
      <c r="K996" s="125" t="s">
        <v>1594</v>
      </c>
      <c r="L996" s="125">
        <v>45150</v>
      </c>
      <c r="M996" s="126">
        <f>SUMIF('MPG Payment '!$E$3:$E$344841,'Shayak Income '!D996,'MPG Payment '!$I$3:$I$344841)</f>
        <v>1284.0999999999999</v>
      </c>
      <c r="N996" s="126">
        <f>SUMIF('MPG Payment '!$E$3:$E$344841,'Shayak Income '!D996,'MPG Payment '!$J$3:$J$344841)</f>
        <v>56339.94</v>
      </c>
      <c r="O996" s="126">
        <f t="shared" si="354"/>
        <v>963.07499999999993</v>
      </c>
      <c r="P996" s="126">
        <f t="shared" si="355"/>
        <v>1219.8949999999998</v>
      </c>
      <c r="Q996" s="126">
        <f>SUMIF('MPG Payment '!$E$3:$E$344841,'Shayak Income '!D996,'MPG Payment '!$S$3:$S$344841)</f>
        <v>0</v>
      </c>
      <c r="R996" s="126">
        <f t="shared" si="356"/>
        <v>1690.1982</v>
      </c>
      <c r="S996" s="126">
        <f t="shared" si="357"/>
        <v>470.30320000000029</v>
      </c>
      <c r="T996" s="126">
        <f t="shared" si="368"/>
        <v>128.41</v>
      </c>
      <c r="U996" s="127">
        <f>((((((IF(K996="New",0,SUMIF('MPG Payment '!$E$3:$E$344841,'Shayak Income '!D996,'MPG Payment '!$AC$3:$AC$344841))))+0)+0)+0)+0)+0</f>
        <v>708.96153865304609</v>
      </c>
      <c r="V996" s="127">
        <f t="shared" si="369"/>
        <v>1346</v>
      </c>
      <c r="W996" s="19">
        <f t="shared" si="371"/>
        <v>0</v>
      </c>
      <c r="X996" s="19">
        <f t="shared" si="363"/>
        <v>0</v>
      </c>
      <c r="Y996" s="128">
        <f>IFERROR(VLOOKUP(D996,'Monthly Deduction'!$M$2:$N$640,2,0),0)</f>
        <v>0</v>
      </c>
      <c r="Z996" s="128">
        <v>0</v>
      </c>
      <c r="AA996" s="126">
        <f>IFERROR(VLOOKUP(D996,'Monthly Deduction'!A:B,2,0),0)</f>
        <v>0</v>
      </c>
      <c r="AB996" s="129">
        <f t="shared" si="364"/>
        <v>1346</v>
      </c>
      <c r="AC996" s="130">
        <v>0</v>
      </c>
      <c r="AD996" s="35">
        <f t="shared" si="358"/>
        <v>1346</v>
      </c>
      <c r="AE996" s="166" t="str">
        <f t="shared" si="359"/>
        <v>Release</v>
      </c>
      <c r="AF996" s="127"/>
      <c r="AG996" s="18">
        <v>0</v>
      </c>
      <c r="AH996" s="120"/>
      <c r="AI996" s="238">
        <v>0</v>
      </c>
      <c r="AJ996" s="132"/>
      <c r="AK996" s="151">
        <v>635.6</v>
      </c>
      <c r="AL996" s="154">
        <f t="shared" si="360"/>
        <v>0</v>
      </c>
      <c r="AM996" s="155"/>
      <c r="AN996" s="19">
        <f t="shared" si="365"/>
        <v>0</v>
      </c>
      <c r="AO996" s="118">
        <f>SUMIF('MPG Payment '!E:E,'Shayak Income '!D996,'MPG Payment '!AJ:AJ)</f>
        <v>0</v>
      </c>
      <c r="AP996" s="19">
        <f t="shared" si="366"/>
        <v>0</v>
      </c>
      <c r="AQ996" s="119">
        <f t="shared" si="361"/>
        <v>0</v>
      </c>
      <c r="AR996" s="91" t="s">
        <v>1144</v>
      </c>
      <c r="AS996" s="91">
        <f t="shared" si="367"/>
        <v>0</v>
      </c>
      <c r="AT996" s="118"/>
      <c r="AU996" s="118"/>
      <c r="AV996" s="118"/>
    </row>
    <row r="997" spans="1:48" s="20" customFormat="1" x14ac:dyDescent="0.25">
      <c r="A997" s="17">
        <f>IFERROR(VLOOKUP(D997,'Monthly Deduction'!$I$3:$J$957,2,0),0)</f>
        <v>75000</v>
      </c>
      <c r="B997" s="17">
        <f>IFERROR(VLOOKUP(D997,'Monthly Deduction'!$E$3:$F$957,2,0),0)</f>
        <v>0</v>
      </c>
      <c r="C997" s="17">
        <f t="shared" si="353"/>
        <v>75000</v>
      </c>
      <c r="D997" s="41">
        <v>10060135</v>
      </c>
      <c r="E997" s="122" t="str">
        <f>VLOOKUP(D997,'MPG Payment '!$E$3:$G$497305,2,0)</f>
        <v>TOTAHA</v>
      </c>
      <c r="F997" s="146">
        <f>IFERROR(_xlfn.XLOOKUP(D997,'Monthly Deduction'!$I$3:$I$957,'Monthly Deduction'!$H$3:$H$957),0)</f>
        <v>0</v>
      </c>
      <c r="G997" s="123" t="str">
        <f>VLOOKUP(D997,'MPG Payment '!$E$3:$G$333666,3,0)</f>
        <v>VLC</v>
      </c>
      <c r="H997" s="124" t="str">
        <f>VLOOKUP(D997,'MPG Payment '!$E$3:$H$333666,4,0)</f>
        <v>Direct</v>
      </c>
      <c r="I997" s="88">
        <f>INDEX('MPG Payment '!$C:$C,MATCH('Shayak Income '!D997,'MPG Payment '!E:E,0))</f>
        <v>1006</v>
      </c>
      <c r="J997" s="88" t="str">
        <f>INDEX('MPG Payment '!$D:$D,MATCH('Shayak Income '!D997,'MPG Payment '!E:E,0))</f>
        <v>Sonvarsha</v>
      </c>
      <c r="K997" s="125" t="s">
        <v>1593</v>
      </c>
      <c r="L997" s="125">
        <v>46213</v>
      </c>
      <c r="M997" s="126">
        <f>SUMIF('MPG Payment '!$E$3:$E$344841,'Shayak Income '!D997,'MPG Payment '!$I$3:$I$344841)</f>
        <v>1139.5</v>
      </c>
      <c r="N997" s="126">
        <f>SUMIF('MPG Payment '!$E$3:$E$344841,'Shayak Income '!D997,'MPG Payment '!$J$3:$J$344841)</f>
        <v>48456.78</v>
      </c>
      <c r="O997" s="126">
        <f t="shared" si="354"/>
        <v>854.625</v>
      </c>
      <c r="P997" s="126">
        <f t="shared" si="355"/>
        <v>1082.5249999999999</v>
      </c>
      <c r="Q997" s="126">
        <f>SUMIF('MPG Payment '!$E$3:$E$344841,'Shayak Income '!D997,'MPG Payment '!$S$3:$S$344841)</f>
        <v>0</v>
      </c>
      <c r="R997" s="126">
        <f t="shared" si="356"/>
        <v>1453.7033999999999</v>
      </c>
      <c r="S997" s="126">
        <f t="shared" si="357"/>
        <v>371.17840000000001</v>
      </c>
      <c r="T997" s="126">
        <f t="shared" si="368"/>
        <v>113.95</v>
      </c>
      <c r="U997" s="127">
        <f>((((((IF(K997="New",0,SUMIF('MPG Payment '!$E$3:$E$344841,'Shayak Income '!D997,'MPG Payment '!$AC$3:$AC$344841))))+0)+0)+0)+0)+0</f>
        <v>0</v>
      </c>
      <c r="V997" s="127">
        <f t="shared" si="369"/>
        <v>1823</v>
      </c>
      <c r="W997" s="19">
        <v>0</v>
      </c>
      <c r="X997" s="19">
        <f t="shared" si="363"/>
        <v>0</v>
      </c>
      <c r="Y997" s="128">
        <f>IFERROR(VLOOKUP(D997,'Monthly Deduction'!$M$2:$N$640,2,0),0)</f>
        <v>0</v>
      </c>
      <c r="Z997" s="128">
        <v>0</v>
      </c>
      <c r="AA997" s="126">
        <f>IFERROR(VLOOKUP(D997,'Monthly Deduction'!A:B,2,0),0)</f>
        <v>0</v>
      </c>
      <c r="AB997" s="129">
        <f t="shared" si="364"/>
        <v>1823</v>
      </c>
      <c r="AC997" s="130">
        <f>AB997</f>
        <v>1823</v>
      </c>
      <c r="AD997" s="35">
        <f t="shared" si="358"/>
        <v>0</v>
      </c>
      <c r="AE997" s="166" t="str">
        <f t="shared" si="359"/>
        <v>Yes</v>
      </c>
      <c r="AF997" s="127"/>
      <c r="AG997" s="18">
        <v>0</v>
      </c>
      <c r="AH997" s="120" t="s">
        <v>1686</v>
      </c>
      <c r="AI997" s="238">
        <v>10000</v>
      </c>
      <c r="AJ997" s="132"/>
      <c r="AK997" s="151">
        <v>541.6</v>
      </c>
      <c r="AL997" s="154">
        <f t="shared" si="360"/>
        <v>0</v>
      </c>
      <c r="AM997" s="155"/>
      <c r="AN997" s="19">
        <f t="shared" si="365"/>
        <v>1861</v>
      </c>
      <c r="AO997" s="118">
        <f>SUMIF('MPG Payment '!E:E,'Shayak Income '!D997,'MPG Payment '!AJ:AJ)</f>
        <v>0</v>
      </c>
      <c r="AP997" s="19">
        <f t="shared" si="366"/>
        <v>0</v>
      </c>
      <c r="AQ997" s="119">
        <f t="shared" si="361"/>
        <v>0</v>
      </c>
      <c r="AR997" s="91" t="s">
        <v>1144</v>
      </c>
      <c r="AS997" s="91">
        <f t="shared" si="367"/>
        <v>0</v>
      </c>
      <c r="AT997" s="118"/>
      <c r="AU997" s="118"/>
      <c r="AV997" s="118"/>
    </row>
    <row r="998" spans="1:48" s="20" customFormat="1" x14ac:dyDescent="0.25">
      <c r="A998" s="17">
        <f>IFERROR(VLOOKUP(D998,'Monthly Deduction'!$I$3:$J$957,2,0),0)</f>
        <v>53684.954614666851</v>
      </c>
      <c r="B998" s="17">
        <f>IFERROR(VLOOKUP(D998,'Monthly Deduction'!$E$3:$F$957,2,0),0)</f>
        <v>9600</v>
      </c>
      <c r="C998" s="17">
        <f t="shared" si="353"/>
        <v>63284.954614666851</v>
      </c>
      <c r="D998" s="41">
        <v>10070036</v>
      </c>
      <c r="E998" s="122" t="str">
        <f>VLOOKUP(D998,'MPG Payment '!$E$3:$G$497305,2,0)</f>
        <v xml:space="preserve">Gomukh Navlolya                                                                                     </v>
      </c>
      <c r="F998" s="146">
        <f>IFERROR(_xlfn.XLOOKUP(D998,'Monthly Deduction'!$I$3:$I$957,'Monthly Deduction'!$H$3:$H$957),0)</f>
        <v>0</v>
      </c>
      <c r="G998" s="123" t="str">
        <f>VLOOKUP(D998,'MPG Payment '!$E$3:$G$333666,3,0)</f>
        <v>MPG</v>
      </c>
      <c r="H998" s="124" t="str">
        <f>VLOOKUP(D998,'MPG Payment '!$E$3:$H$333666,4,0)</f>
        <v>Indirect</v>
      </c>
      <c r="I998" s="88">
        <f>INDEX('MPG Payment '!$C:$C,MATCH('Shayak Income '!D998,'MPG Payment '!E:E,0))</f>
        <v>1056</v>
      </c>
      <c r="J998" s="88" t="str">
        <f>INDEX('MPG Payment '!$D:$D,MATCH('Shayak Income '!D998,'MPG Payment '!E:E,0))</f>
        <v>Chautham</v>
      </c>
      <c r="K998" s="125" t="s">
        <v>1594</v>
      </c>
      <c r="L998" s="125">
        <v>45205</v>
      </c>
      <c r="M998" s="126">
        <f>SUMIF('MPG Payment '!$E$3:$E$344841,'Shayak Income '!D998,'MPG Payment '!$I$3:$I$344841)</f>
        <v>19.899999999999999</v>
      </c>
      <c r="N998" s="126">
        <f>SUMIF('MPG Payment '!$E$3:$E$344841,'Shayak Income '!D998,'MPG Payment '!$J$3:$J$344841)</f>
        <v>998.18</v>
      </c>
      <c r="O998" s="126">
        <f t="shared" si="354"/>
        <v>14.924999999999999</v>
      </c>
      <c r="P998" s="126">
        <f t="shared" si="355"/>
        <v>18.904999999999998</v>
      </c>
      <c r="Q998" s="126">
        <f>SUMIF('MPG Payment '!$E$3:$E$344841,'Shayak Income '!D998,'MPG Payment '!$S$3:$S$344841)</f>
        <v>0</v>
      </c>
      <c r="R998" s="126">
        <f t="shared" si="356"/>
        <v>29.945399999999996</v>
      </c>
      <c r="S998" s="126">
        <f t="shared" si="357"/>
        <v>11.040399999999998</v>
      </c>
      <c r="T998" s="126">
        <f t="shared" si="368"/>
        <v>1.99</v>
      </c>
      <c r="U998" s="127">
        <f>((((((IF(K998="New",0,SUMIF('MPG Payment '!$E$3:$E$344841,'Shayak Income '!D998,'MPG Payment '!$AC$3:$AC$344841))))+0)+0)+0)+0)+-650</f>
        <v>32.27358592964822</v>
      </c>
      <c r="V998" s="127">
        <f t="shared" si="369"/>
        <v>0</v>
      </c>
      <c r="W998" s="19">
        <v>0</v>
      </c>
      <c r="X998" s="19">
        <v>0</v>
      </c>
      <c r="Y998" s="128">
        <v>0</v>
      </c>
      <c r="Z998" s="128">
        <v>0</v>
      </c>
      <c r="AA998" s="126">
        <v>0</v>
      </c>
      <c r="AB998" s="129">
        <f t="shared" si="364"/>
        <v>0</v>
      </c>
      <c r="AC998" s="130">
        <v>0</v>
      </c>
      <c r="AD998" s="35">
        <f t="shared" si="358"/>
        <v>0</v>
      </c>
      <c r="AE998" s="166" t="str">
        <f t="shared" si="359"/>
        <v>Release</v>
      </c>
      <c r="AF998" s="127"/>
      <c r="AG998" s="18">
        <v>0</v>
      </c>
      <c r="AH998" s="132"/>
      <c r="AI998" s="238">
        <v>0</v>
      </c>
      <c r="AJ998" s="132"/>
      <c r="AK998" s="151">
        <v>7.58</v>
      </c>
      <c r="AL998" s="154">
        <f t="shared" si="360"/>
        <v>0</v>
      </c>
      <c r="AM998" s="155"/>
      <c r="AN998" s="19">
        <f t="shared" si="365"/>
        <v>1861</v>
      </c>
      <c r="AO998" s="118">
        <f>SUMIF('MPG Payment '!E:E,'Shayak Income '!D998,'MPG Payment '!AJ:AJ)</f>
        <v>0</v>
      </c>
      <c r="AP998" s="19">
        <f t="shared" si="366"/>
        <v>0</v>
      </c>
      <c r="AQ998" s="119">
        <f t="shared" si="361"/>
        <v>0</v>
      </c>
      <c r="AR998" s="91" t="s">
        <v>1144</v>
      </c>
      <c r="AS998" s="91">
        <f t="shared" si="367"/>
        <v>9600</v>
      </c>
      <c r="AT998" s="118"/>
      <c r="AU998" s="118"/>
      <c r="AV998" s="118"/>
    </row>
    <row r="999" spans="1:48" s="20" customFormat="1" x14ac:dyDescent="0.25">
      <c r="A999" s="17">
        <f>IFERROR(VLOOKUP(D999,'Monthly Deduction'!$I$3:$J$957,2,0),0)</f>
        <v>0</v>
      </c>
      <c r="B999" s="17">
        <f>IFERROR(VLOOKUP(D999,'Monthly Deduction'!$E$3:$F$957,2,0),0)</f>
        <v>0</v>
      </c>
      <c r="C999" s="17">
        <f t="shared" si="353"/>
        <v>0</v>
      </c>
      <c r="D999" s="41">
        <v>10100059</v>
      </c>
      <c r="E999" s="122" t="str">
        <f>VLOOKUP(D999,'MPG Payment '!$E$3:$G$497305,2,0)</f>
        <v>Gomukh Rahempur</v>
      </c>
      <c r="F999" s="146">
        <f>IFERROR(_xlfn.XLOOKUP(D999,'Monthly Deduction'!$I$3:$I$957,'Monthly Deduction'!$H$3:$H$957),0)</f>
        <v>0</v>
      </c>
      <c r="G999" s="123" t="str">
        <f>VLOOKUP(D999,'MPG Payment '!$E$3:$G$333666,3,0)</f>
        <v>VLC</v>
      </c>
      <c r="H999" s="124" t="str">
        <f>VLOOKUP(D999,'MPG Payment '!$E$3:$H$333666,4,0)</f>
        <v>Indirect</v>
      </c>
      <c r="I999" s="88">
        <f>INDEX('MPG Payment '!$C:$C,MATCH('Shayak Income '!D999,'MPG Payment '!E:E,0))</f>
        <v>1010</v>
      </c>
      <c r="J999" s="88" t="str">
        <f>INDEX('MPG Payment '!$D:$D,MATCH('Shayak Income '!D999,'MPG Payment '!E:E,0))</f>
        <v>Parbatta</v>
      </c>
      <c r="K999" s="125" t="s">
        <v>1594</v>
      </c>
      <c r="L999" s="125">
        <v>46115</v>
      </c>
      <c r="M999" s="126">
        <f>SUMIF('MPG Payment '!$E$3:$E$344841,'Shayak Income '!D999,'MPG Payment '!$I$3:$I$344841)</f>
        <v>3750.4000000000005</v>
      </c>
      <c r="N999" s="126">
        <f>SUMIF('MPG Payment '!$E$3:$E$344841,'Shayak Income '!D999,'MPG Payment '!$J$3:$J$344841)</f>
        <v>178884.62</v>
      </c>
      <c r="O999" s="126">
        <f t="shared" si="354"/>
        <v>2812.8</v>
      </c>
      <c r="P999" s="126">
        <f t="shared" si="355"/>
        <v>3562.8800000000006</v>
      </c>
      <c r="Q999" s="126">
        <f>SUMIF('MPG Payment '!$E$3:$E$344841,'Shayak Income '!D999,'MPG Payment '!$S$3:$S$344841)</f>
        <v>0</v>
      </c>
      <c r="R999" s="126">
        <f t="shared" si="356"/>
        <v>5366.5385999999999</v>
      </c>
      <c r="S999" s="126">
        <f t="shared" si="357"/>
        <v>1803.6585999999993</v>
      </c>
      <c r="T999" s="126">
        <f t="shared" si="368"/>
        <v>375.04000000000008</v>
      </c>
      <c r="U999" s="127">
        <f>((((((IF(K999="New",0,SUMIF('MPG Payment '!$E$3:$E$344841,'Shayak Income '!D999,'MPG Payment '!$AC$3:$AC$344841))))+0)+0)+0)+0)+0</f>
        <v>0</v>
      </c>
      <c r="V999" s="127">
        <f t="shared" si="369"/>
        <v>6001</v>
      </c>
      <c r="W999" s="19">
        <f t="shared" si="371"/>
        <v>0</v>
      </c>
      <c r="X999" s="19">
        <f t="shared" si="363"/>
        <v>0</v>
      </c>
      <c r="Y999" s="128">
        <f>IFERROR(VLOOKUP(D999,'Monthly Deduction'!$M$2:$N$640,2,0),0)</f>
        <v>0</v>
      </c>
      <c r="Z999" s="128">
        <v>0</v>
      </c>
      <c r="AA999" s="126">
        <f>IFERROR(VLOOKUP(D999,'Monthly Deduction'!A:B,2,0),0)</f>
        <v>0</v>
      </c>
      <c r="AB999" s="129">
        <f t="shared" si="364"/>
        <v>6001</v>
      </c>
      <c r="AC999" s="130">
        <v>0</v>
      </c>
      <c r="AD999" s="35">
        <f t="shared" si="358"/>
        <v>6001</v>
      </c>
      <c r="AE999" s="166" t="str">
        <f t="shared" si="359"/>
        <v>Release</v>
      </c>
      <c r="AF999" s="127"/>
      <c r="AG999" s="18">
        <v>0</v>
      </c>
      <c r="AH999" s="120"/>
      <c r="AI999" s="238">
        <v>0</v>
      </c>
      <c r="AJ999" s="132"/>
      <c r="AK999" s="151">
        <v>171.4</v>
      </c>
      <c r="AL999" s="154">
        <f t="shared" si="360"/>
        <v>0</v>
      </c>
      <c r="AM999" s="155"/>
      <c r="AN999" s="19">
        <f t="shared" si="365"/>
        <v>0</v>
      </c>
      <c r="AO999" s="118">
        <f>SUMIF('MPG Payment '!E:E,'Shayak Income '!D999,'MPG Payment '!AJ:AJ)</f>
        <v>0</v>
      </c>
      <c r="AP999" s="19">
        <f t="shared" si="366"/>
        <v>0</v>
      </c>
      <c r="AQ999" s="119">
        <f t="shared" si="361"/>
        <v>0</v>
      </c>
      <c r="AR999" s="91" t="s">
        <v>1144</v>
      </c>
      <c r="AS999" s="91">
        <f t="shared" si="367"/>
        <v>0</v>
      </c>
      <c r="AT999" s="118"/>
      <c r="AU999" s="118"/>
      <c r="AV999" s="118"/>
    </row>
    <row r="1000" spans="1:48" s="20" customFormat="1" x14ac:dyDescent="0.25">
      <c r="A1000" s="17">
        <f>IFERROR(VLOOKUP(D1000,'Monthly Deduction'!$I$3:$J$957,2,0),0)</f>
        <v>0</v>
      </c>
      <c r="B1000" s="17">
        <f>IFERROR(VLOOKUP(D1000,'Monthly Deduction'!$E$3:$F$957,2,0),0)</f>
        <v>0</v>
      </c>
      <c r="C1000" s="17">
        <f t="shared" si="343"/>
        <v>0</v>
      </c>
      <c r="D1000" s="41">
        <v>10110179</v>
      </c>
      <c r="E1000" s="122" t="str">
        <f>VLOOKUP(D1000,'MPG Payment '!$E$3:$G$497305,2,0)</f>
        <v>Barkhaditol-3</v>
      </c>
      <c r="F1000" s="146">
        <f>IFERROR(_xlfn.XLOOKUP(D1000,'Monthly Deduction'!$I$3:$I$957,'Monthly Deduction'!$H$3:$H$957),0)</f>
        <v>0</v>
      </c>
      <c r="G1000" s="123" t="str">
        <f>VLOOKUP(D1000,'MPG Payment '!$E$3:$G$333666,3,0)</f>
        <v>VLC</v>
      </c>
      <c r="H1000" s="124" t="str">
        <f>VLOOKUP(D1000,'MPG Payment '!$E$3:$H$333666,4,0)</f>
        <v>Indirect</v>
      </c>
      <c r="I1000" s="88">
        <f>INDEX('MPG Payment '!$C:$C,MATCH('Shayak Income '!D1000,'MPG Payment '!E:E,0))</f>
        <v>1011</v>
      </c>
      <c r="J1000" s="88" t="str">
        <f>INDEX('MPG Payment '!$D:$D,MATCH('Shayak Income '!D1000,'MPG Payment '!E:E,0))</f>
        <v>Sahibpur Kamal</v>
      </c>
      <c r="K1000" s="125" t="s">
        <v>1594</v>
      </c>
      <c r="L1000" s="125">
        <v>46025</v>
      </c>
      <c r="M1000" s="126">
        <f>SUMIF('MPG Payment '!$E$3:$E$344841,'Shayak Income '!D1000,'MPG Payment '!$I$3:$I$344841)</f>
        <v>1691.3</v>
      </c>
      <c r="N1000" s="126">
        <f>SUMIF('MPG Payment '!$E$3:$E$344841,'Shayak Income '!D1000,'MPG Payment '!$J$3:$J$344841)</f>
        <v>70447.450000000012</v>
      </c>
      <c r="O1000" s="126">
        <f t="shared" si="344"/>
        <v>1268.4749999999999</v>
      </c>
      <c r="P1000" s="126">
        <f t="shared" si="345"/>
        <v>1606.7349999999999</v>
      </c>
      <c r="Q1000" s="126">
        <f>SUMIF('MPG Payment '!$E$3:$E$344841,'Shayak Income '!D1000,'MPG Payment '!$S$3:$S$344841)</f>
        <v>0</v>
      </c>
      <c r="R1000" s="126">
        <f t="shared" si="346"/>
        <v>2113.4235000000003</v>
      </c>
      <c r="S1000" s="126">
        <f t="shared" si="347"/>
        <v>506.68850000000043</v>
      </c>
      <c r="T1000" s="126">
        <f t="shared" si="368"/>
        <v>169.13</v>
      </c>
      <c r="U1000" s="127">
        <f>((((((IF(K1000="New",0,SUMIF('MPG Payment '!$E$3:$E$344841,'Shayak Income '!D1000,'MPG Payment '!$AC$3:$AC$344841))))+0)+0)+0)+0)+0</f>
        <v>503.99607973550673</v>
      </c>
      <c r="V1000" s="127">
        <f t="shared" si="369"/>
        <v>2202</v>
      </c>
      <c r="W1000" s="19">
        <f t="shared" si="371"/>
        <v>0</v>
      </c>
      <c r="X1000" s="19">
        <f t="shared" si="363"/>
        <v>0</v>
      </c>
      <c r="Y1000" s="128">
        <f>IFERROR(VLOOKUP(D1000,'Monthly Deduction'!$M$2:$N$640,2,0),0)</f>
        <v>0</v>
      </c>
      <c r="Z1000" s="128">
        <v>0</v>
      </c>
      <c r="AA1000" s="126">
        <f>IFERROR(VLOOKUP(D1000,'Monthly Deduction'!A:B,2,0),0)</f>
        <v>0</v>
      </c>
      <c r="AB1000" s="129">
        <f t="shared" si="364"/>
        <v>2202</v>
      </c>
      <c r="AC1000" s="130">
        <v>0</v>
      </c>
      <c r="AD1000" s="35">
        <f t="shared" si="348"/>
        <v>2202</v>
      </c>
      <c r="AE1000" s="166" t="str">
        <f t="shared" si="349"/>
        <v>Release</v>
      </c>
      <c r="AF1000" s="127"/>
      <c r="AG1000" s="18">
        <v>0</v>
      </c>
      <c r="AH1000" s="120"/>
      <c r="AI1000" s="238">
        <v>0</v>
      </c>
      <c r="AJ1000" s="132"/>
      <c r="AK1000" s="151">
        <v>301.59999999999997</v>
      </c>
      <c r="AL1000" s="154">
        <f t="shared" si="350"/>
        <v>0</v>
      </c>
      <c r="AM1000" s="155"/>
      <c r="AN1000" s="19">
        <f t="shared" si="365"/>
        <v>0</v>
      </c>
      <c r="AO1000" s="118">
        <f>SUMIF('MPG Payment '!E:E,'Shayak Income '!D1000,'MPG Payment '!AJ:AJ)</f>
        <v>0</v>
      </c>
      <c r="AP1000" s="19">
        <f t="shared" si="366"/>
        <v>0</v>
      </c>
      <c r="AQ1000" s="119">
        <f t="shared" si="351"/>
        <v>0</v>
      </c>
      <c r="AR1000" s="91" t="s">
        <v>1144</v>
      </c>
      <c r="AS1000" s="91">
        <f t="shared" si="367"/>
        <v>0</v>
      </c>
      <c r="AT1000" s="118"/>
      <c r="AU1000" s="118"/>
      <c r="AV1000" s="118"/>
    </row>
    <row r="1001" spans="1:48" s="20" customFormat="1" x14ac:dyDescent="0.25">
      <c r="A1001" s="17">
        <f>IFERROR(VLOOKUP(D1001,'Monthly Deduction'!$I$3:$J$957,2,0),0)</f>
        <v>0</v>
      </c>
      <c r="B1001" s="17">
        <f>IFERROR(VLOOKUP(D1001,'Monthly Deduction'!$E$3:$F$957,2,0),0)</f>
        <v>0</v>
      </c>
      <c r="C1001" s="17">
        <f t="shared" si="343"/>
        <v>0</v>
      </c>
      <c r="D1001" s="41">
        <v>10140117</v>
      </c>
      <c r="E1001" s="122" t="str">
        <f>VLOOKUP(D1001,'MPG Payment '!$E$3:$G$497305,2,0)</f>
        <v>Gomukh Keshopur Surendra</v>
      </c>
      <c r="F1001" s="146">
        <f>IFERROR(_xlfn.XLOOKUP(D1001,'Monthly Deduction'!$I$3:$I$957,'Monthly Deduction'!$H$3:$H$957),0)</f>
        <v>0</v>
      </c>
      <c r="G1001" s="123" t="str">
        <f>VLOOKUP(D1001,'MPG Payment '!$E$3:$G$333666,3,0)</f>
        <v>VLC</v>
      </c>
      <c r="H1001" s="124" t="str">
        <f>VLOOKUP(D1001,'MPG Payment '!$E$3:$H$333666,4,0)</f>
        <v>Indirect</v>
      </c>
      <c r="I1001" s="88">
        <f>INDEX('MPG Payment '!$C:$C,MATCH('Shayak Income '!D1001,'MPG Payment '!E:E,0))</f>
        <v>1014</v>
      </c>
      <c r="J1001" s="88" t="str">
        <f>INDEX('MPG Payment '!$D:$D,MATCH('Shayak Income '!D1001,'MPG Payment '!E:E,0))</f>
        <v>Dumraon</v>
      </c>
      <c r="K1001" s="125" t="s">
        <v>1594</v>
      </c>
      <c r="L1001" s="125">
        <v>45505</v>
      </c>
      <c r="M1001" s="126">
        <f>SUMIF('MPG Payment '!$E$3:$E$344841,'Shayak Income '!D1001,'MPG Payment '!$I$3:$I$344841)</f>
        <v>108</v>
      </c>
      <c r="N1001" s="126">
        <f>SUMIF('MPG Payment '!$E$3:$E$344841,'Shayak Income '!D1001,'MPG Payment '!$J$3:$J$344841)</f>
        <v>3557.52</v>
      </c>
      <c r="O1001" s="126">
        <f t="shared" si="344"/>
        <v>81</v>
      </c>
      <c r="P1001" s="126">
        <f t="shared" si="345"/>
        <v>102.6</v>
      </c>
      <c r="Q1001" s="126">
        <f>SUMIF('MPG Payment '!$E$3:$E$344841,'Shayak Income '!D1001,'MPG Payment '!$S$3:$S$344841)</f>
        <v>0</v>
      </c>
      <c r="R1001" s="126">
        <f t="shared" si="346"/>
        <v>106.7256</v>
      </c>
      <c r="S1001" s="126">
        <f t="shared" si="347"/>
        <v>4.1256000000000057</v>
      </c>
      <c r="T1001" s="126">
        <f t="shared" si="368"/>
        <v>10.8</v>
      </c>
      <c r="U1001" s="127">
        <f>((((((IF(K1001="New",0,SUMIF('MPG Payment '!$E$3:$E$344841,'Shayak Income '!D1001,'MPG Payment '!$AC$3:$AC$344841))))+0)+0)+0)+0)+-217</f>
        <v>173.00959999999998</v>
      </c>
      <c r="V1001" s="127">
        <f t="shared" si="369"/>
        <v>0</v>
      </c>
      <c r="W1001" s="19">
        <v>0</v>
      </c>
      <c r="X1001" s="19">
        <v>0</v>
      </c>
      <c r="Y1001" s="128">
        <v>0</v>
      </c>
      <c r="Z1001" s="128">
        <v>0</v>
      </c>
      <c r="AA1001" s="126">
        <v>0</v>
      </c>
      <c r="AB1001" s="129">
        <f t="shared" si="364"/>
        <v>0</v>
      </c>
      <c r="AC1001" s="130">
        <f>AB1001</f>
        <v>0</v>
      </c>
      <c r="AD1001" s="35">
        <f t="shared" si="348"/>
        <v>0</v>
      </c>
      <c r="AE1001" s="166" t="str">
        <f t="shared" si="349"/>
        <v>Release</v>
      </c>
      <c r="AF1001" s="127"/>
      <c r="AG1001" s="18">
        <v>0</v>
      </c>
      <c r="AH1001" s="132" t="s">
        <v>1597</v>
      </c>
      <c r="AI1001" s="238">
        <v>0</v>
      </c>
      <c r="AJ1001" s="132"/>
      <c r="AK1001" s="151">
        <v>0</v>
      </c>
      <c r="AL1001" s="154">
        <f t="shared" si="350"/>
        <v>0</v>
      </c>
      <c r="AM1001" s="155"/>
      <c r="AN1001" s="19">
        <f t="shared" si="365"/>
        <v>0</v>
      </c>
      <c r="AO1001" s="118">
        <f>SUMIF('MPG Payment '!E:E,'Shayak Income '!D1001,'MPG Payment '!AJ:AJ)</f>
        <v>0</v>
      </c>
      <c r="AP1001" s="19">
        <f t="shared" si="366"/>
        <v>0</v>
      </c>
      <c r="AQ1001" s="119">
        <f t="shared" si="351"/>
        <v>0</v>
      </c>
      <c r="AR1001" s="91" t="s">
        <v>1144</v>
      </c>
      <c r="AS1001" s="91">
        <f t="shared" si="367"/>
        <v>0</v>
      </c>
      <c r="AT1001" s="118"/>
      <c r="AU1001" s="118"/>
      <c r="AV1001" s="118"/>
    </row>
    <row r="1002" spans="1:48" s="20" customFormat="1" x14ac:dyDescent="0.25">
      <c r="A1002" s="17">
        <f>IFERROR(VLOOKUP(D1002,'Monthly Deduction'!$I$3:$J$957,2,0),0)</f>
        <v>0</v>
      </c>
      <c r="B1002" s="17">
        <f>IFERROR(VLOOKUP(D1002,'Monthly Deduction'!$E$3:$F$957,2,0),0)</f>
        <v>0</v>
      </c>
      <c r="C1002" s="17">
        <f t="shared" si="343"/>
        <v>0</v>
      </c>
      <c r="D1002" s="41">
        <v>10530054</v>
      </c>
      <c r="E1002" s="122" t="str">
        <f>VLOOKUP(D1002,'MPG Payment '!$E$3:$G$497305,2,0)</f>
        <v>Gomukh PARAN</v>
      </c>
      <c r="F1002" s="146">
        <f>IFERROR(_xlfn.XLOOKUP(D1002,'Monthly Deduction'!$I$3:$I$957,'Monthly Deduction'!$H$3:$H$957),0)</f>
        <v>0</v>
      </c>
      <c r="G1002" s="123" t="str">
        <f>VLOOKUP(D1002,'MPG Payment '!$E$3:$G$333666,3,0)</f>
        <v>VLC</v>
      </c>
      <c r="H1002" s="124" t="str">
        <f>VLOOKUP(D1002,'MPG Payment '!$E$3:$H$333666,4,0)</f>
        <v>Indirect</v>
      </c>
      <c r="I1002" s="88">
        <f>INDEX('MPG Payment '!$C:$C,MATCH('Shayak Income '!D1002,'MPG Payment '!E:E,0))</f>
        <v>1066</v>
      </c>
      <c r="J1002" s="88" t="str">
        <f>INDEX('MPG Payment '!$D:$D,MATCH('Shayak Income '!D1002,'MPG Payment '!E:E,0))</f>
        <v>Gaighat</v>
      </c>
      <c r="K1002" s="125" t="s">
        <v>1594</v>
      </c>
      <c r="L1002" s="125">
        <v>45772</v>
      </c>
      <c r="M1002" s="126">
        <f>SUMIF('MPG Payment '!$E$3:$E$344841,'Shayak Income '!D1002,'MPG Payment '!$I$3:$I$344841)</f>
        <v>7727.8000000000011</v>
      </c>
      <c r="N1002" s="126">
        <f>SUMIF('MPG Payment '!$E$3:$E$344841,'Shayak Income '!D1002,'MPG Payment '!$J$3:$J$344841)</f>
        <v>319120.71999999997</v>
      </c>
      <c r="O1002" s="126">
        <f t="shared" si="344"/>
        <v>5795.85</v>
      </c>
      <c r="P1002" s="126">
        <f t="shared" si="345"/>
        <v>7341.4100000000008</v>
      </c>
      <c r="Q1002" s="126">
        <f>SUMIF('MPG Payment '!$E$3:$E$344841,'Shayak Income '!D1002,'MPG Payment '!$S$3:$S$344841)</f>
        <v>0</v>
      </c>
      <c r="R1002" s="126">
        <f t="shared" si="346"/>
        <v>9573.6215999999986</v>
      </c>
      <c r="S1002" s="126">
        <f t="shared" si="347"/>
        <v>2232.2115999999978</v>
      </c>
      <c r="T1002" s="126">
        <f t="shared" si="368"/>
        <v>772.7800000000002</v>
      </c>
      <c r="U1002" s="127">
        <f>((((((IF(K1002="New",0,SUMIF('MPG Payment '!$E$3:$E$344841,'Shayak Income '!D1002,'MPG Payment '!$AC$3:$AC$344841))))+0)+0)+0)+0)+0</f>
        <v>0</v>
      </c>
      <c r="V1002" s="127">
        <f t="shared" si="369"/>
        <v>12364</v>
      </c>
      <c r="W1002" s="19">
        <f t="shared" si="371"/>
        <v>0</v>
      </c>
      <c r="X1002" s="19">
        <f t="shared" si="363"/>
        <v>0</v>
      </c>
      <c r="Y1002" s="128">
        <f>IFERROR(VLOOKUP(D1002,'Monthly Deduction'!$M$2:$N$640,2,0),0)</f>
        <v>0</v>
      </c>
      <c r="Z1002" s="128">
        <v>0</v>
      </c>
      <c r="AA1002" s="126">
        <f>IFERROR(VLOOKUP(D1002,'Monthly Deduction'!A:B,2,0),0)</f>
        <v>0</v>
      </c>
      <c r="AB1002" s="129">
        <f t="shared" si="364"/>
        <v>12364</v>
      </c>
      <c r="AC1002" s="130">
        <v>0</v>
      </c>
      <c r="AD1002" s="35">
        <f t="shared" si="348"/>
        <v>12364</v>
      </c>
      <c r="AE1002" s="166" t="str">
        <f t="shared" si="349"/>
        <v>Release</v>
      </c>
      <c r="AF1002" s="127"/>
      <c r="AG1002" s="18">
        <v>0</v>
      </c>
      <c r="AH1002" s="120"/>
      <c r="AI1002" s="238">
        <v>0</v>
      </c>
      <c r="AJ1002" s="132"/>
      <c r="AK1002" s="151">
        <v>408.4</v>
      </c>
      <c r="AL1002" s="154">
        <f t="shared" si="350"/>
        <v>0</v>
      </c>
      <c r="AM1002" s="155"/>
      <c r="AN1002" s="19">
        <f t="shared" si="365"/>
        <v>0</v>
      </c>
      <c r="AO1002" s="118">
        <f>SUMIF('MPG Payment '!E:E,'Shayak Income '!D1002,'MPG Payment '!AJ:AJ)</f>
        <v>0</v>
      </c>
      <c r="AP1002" s="19">
        <f t="shared" si="366"/>
        <v>0</v>
      </c>
      <c r="AQ1002" s="119">
        <f t="shared" si="351"/>
        <v>0</v>
      </c>
      <c r="AR1002" s="91" t="s">
        <v>1144</v>
      </c>
      <c r="AS1002" s="91">
        <f t="shared" si="367"/>
        <v>0</v>
      </c>
      <c r="AT1002" s="118"/>
      <c r="AU1002" s="118"/>
      <c r="AV1002" s="118"/>
    </row>
    <row r="1003" spans="1:48" s="20" customFormat="1" x14ac:dyDescent="0.25">
      <c r="A1003" s="17">
        <f>IFERROR(VLOOKUP(D1003,'Monthly Deduction'!$I$3:$J$957,2,0),0)</f>
        <v>0</v>
      </c>
      <c r="B1003" s="17">
        <f>IFERROR(VLOOKUP(D1003,'Monthly Deduction'!$E$3:$F$957,2,0),0)</f>
        <v>0</v>
      </c>
      <c r="C1003" s="17">
        <f t="shared" si="343"/>
        <v>0</v>
      </c>
      <c r="D1003" s="41">
        <v>10530117</v>
      </c>
      <c r="E1003" s="122" t="str">
        <f>VLOOKUP(D1003,'MPG Payment '!$E$3:$G$497305,2,0)</f>
        <v>Gomukh Simra</v>
      </c>
      <c r="F1003" s="146">
        <f>IFERROR(_xlfn.XLOOKUP(D1003,'Monthly Deduction'!$I$3:$I$957,'Monthly Deduction'!$H$3:$H$957),0)</f>
        <v>0</v>
      </c>
      <c r="G1003" s="123" t="str">
        <f>VLOOKUP(D1003,'MPG Payment '!$E$3:$G$333666,3,0)</f>
        <v>VLC</v>
      </c>
      <c r="H1003" s="124" t="str">
        <f>VLOOKUP(D1003,'MPG Payment '!$E$3:$H$333666,4,0)</f>
        <v>Indirect</v>
      </c>
      <c r="I1003" s="88">
        <f>INDEX('MPG Payment '!$C:$C,MATCH('Shayak Income '!D1003,'MPG Payment '!E:E,0))</f>
        <v>1053</v>
      </c>
      <c r="J1003" s="88" t="str">
        <f>INDEX('MPG Payment '!$D:$D,MATCH('Shayak Income '!D1003,'MPG Payment '!E:E,0))</f>
        <v>Kalyanpur</v>
      </c>
      <c r="K1003" s="125" t="s">
        <v>1593</v>
      </c>
      <c r="L1003" s="125">
        <v>46216</v>
      </c>
      <c r="M1003" s="126">
        <f>SUMIF('MPG Payment '!$E$3:$E$344841,'Shayak Income '!D1003,'MPG Payment '!$I$3:$I$344841)</f>
        <v>3257</v>
      </c>
      <c r="N1003" s="126">
        <f>SUMIF('MPG Payment '!$E$3:$E$344841,'Shayak Income '!D1003,'MPG Payment '!$J$3:$J$344841)</f>
        <v>129518.26</v>
      </c>
      <c r="O1003" s="126">
        <f t="shared" si="344"/>
        <v>2442.75</v>
      </c>
      <c r="P1003" s="126">
        <f t="shared" si="345"/>
        <v>3094.1499999999996</v>
      </c>
      <c r="Q1003" s="126">
        <f>SUMIF('MPG Payment '!$E$3:$E$344841,'Shayak Income '!D1003,'MPG Payment '!$S$3:$S$344841)</f>
        <v>0</v>
      </c>
      <c r="R1003" s="126">
        <f t="shared" si="346"/>
        <v>3885.5477999999998</v>
      </c>
      <c r="S1003" s="126">
        <f t="shared" si="347"/>
        <v>791.39780000000019</v>
      </c>
      <c r="T1003" s="126">
        <f t="shared" si="368"/>
        <v>325.70000000000005</v>
      </c>
      <c r="U1003" s="127">
        <f>((((((IF(K1003="New",0,SUMIF('MPG Payment '!$E$3:$E$344841,'Shayak Income '!D1003,'MPG Payment '!$AC$3:$AC$344841))))+0)+0)+0)+0)+0</f>
        <v>0</v>
      </c>
      <c r="V1003" s="127">
        <f t="shared" si="369"/>
        <v>5211</v>
      </c>
      <c r="W1003" s="19">
        <v>0</v>
      </c>
      <c r="X1003" s="19">
        <f t="shared" si="363"/>
        <v>0</v>
      </c>
      <c r="Y1003" s="128">
        <f>IFERROR(VLOOKUP(D1003,'Monthly Deduction'!$M$2:$N$640,2,0),0)</f>
        <v>0</v>
      </c>
      <c r="Z1003" s="128">
        <v>0</v>
      </c>
      <c r="AA1003" s="126">
        <f>IFERROR(VLOOKUP(D1003,'Monthly Deduction'!A:B,2,0),0)</f>
        <v>0</v>
      </c>
      <c r="AB1003" s="129">
        <f t="shared" si="364"/>
        <v>5211</v>
      </c>
      <c r="AC1003" s="130">
        <v>0</v>
      </c>
      <c r="AD1003" s="35">
        <f t="shared" si="348"/>
        <v>5211</v>
      </c>
      <c r="AE1003" s="166" t="str">
        <f t="shared" si="349"/>
        <v>Release</v>
      </c>
      <c r="AF1003" s="127"/>
      <c r="AG1003" s="18">
        <v>0</v>
      </c>
      <c r="AH1003" s="132"/>
      <c r="AI1003" s="238">
        <v>0</v>
      </c>
      <c r="AJ1003" s="132"/>
      <c r="AK1003" s="151">
        <v>1245.8999999999999</v>
      </c>
      <c r="AL1003" s="154">
        <f t="shared" si="350"/>
        <v>0</v>
      </c>
      <c r="AM1003" s="155"/>
      <c r="AN1003" s="19">
        <f t="shared" si="365"/>
        <v>0</v>
      </c>
      <c r="AO1003" s="118">
        <f>SUMIF('MPG Payment '!E:E,'Shayak Income '!D1003,'MPG Payment '!AJ:AJ)</f>
        <v>0</v>
      </c>
      <c r="AP1003" s="19">
        <f t="shared" si="366"/>
        <v>0</v>
      </c>
      <c r="AQ1003" s="119">
        <f t="shared" si="351"/>
        <v>0</v>
      </c>
      <c r="AR1003" s="91" t="s">
        <v>1144</v>
      </c>
      <c r="AS1003" s="91">
        <f t="shared" si="367"/>
        <v>0</v>
      </c>
      <c r="AT1003" s="118"/>
      <c r="AU1003" s="118"/>
      <c r="AV1003" s="118"/>
    </row>
    <row r="1004" spans="1:48" s="20" customFormat="1" x14ac:dyDescent="0.25">
      <c r="A1004" s="17">
        <f>IFERROR(VLOOKUP(D1004,'Monthly Deduction'!$I$3:$J$957,2,0),0)</f>
        <v>79350</v>
      </c>
      <c r="B1004" s="17">
        <f>IFERROR(VLOOKUP(D1004,'Monthly Deduction'!$E$3:$F$957,2,0),0)</f>
        <v>6400</v>
      </c>
      <c r="C1004" s="17">
        <f t="shared" si="343"/>
        <v>85750</v>
      </c>
      <c r="D1004" s="41">
        <v>10540007</v>
      </c>
      <c r="E1004" s="122" t="str">
        <f>VLOOKUP(D1004,'MPG Payment '!$E$3:$G$497305,2,0)</f>
        <v>GOMUKH GORIYAMI</v>
      </c>
      <c r="F1004" s="146">
        <f>IFERROR(_xlfn.XLOOKUP(D1004,'Monthly Deduction'!$I$3:$I$957,'Monthly Deduction'!$H$3:$H$957),0)</f>
        <v>0</v>
      </c>
      <c r="G1004" s="123" t="str">
        <f>VLOOKUP(D1004,'MPG Payment '!$E$3:$G$333666,3,0)</f>
        <v>MPG</v>
      </c>
      <c r="H1004" s="124" t="str">
        <f>VLOOKUP(D1004,'MPG Payment '!$E$3:$H$333666,4,0)</f>
        <v>Direct</v>
      </c>
      <c r="I1004" s="88">
        <f>INDEX('MPG Payment '!$C:$C,MATCH('Shayak Income '!D1004,'MPG Payment '!E:E,0))</f>
        <v>1054</v>
      </c>
      <c r="J1004" s="88" t="str">
        <f>INDEX('MPG Payment '!$D:$D,MATCH('Shayak Income '!D1004,'MPG Payment '!E:E,0))</f>
        <v xml:space="preserve">Alauli </v>
      </c>
      <c r="K1004" s="125" t="s">
        <v>1594</v>
      </c>
      <c r="L1004" s="125">
        <v>45809</v>
      </c>
      <c r="M1004" s="126">
        <f>SUMIF('MPG Payment '!$E$3:$E$344841,'Shayak Income '!D1004,'MPG Payment '!$I$3:$I$344841)</f>
        <v>874.3</v>
      </c>
      <c r="N1004" s="126">
        <f>SUMIF('MPG Payment '!$E$3:$E$344841,'Shayak Income '!D1004,'MPG Payment '!$J$3:$J$344841)</f>
        <v>38492.07</v>
      </c>
      <c r="O1004" s="126">
        <f t="shared" si="344"/>
        <v>655.72499999999991</v>
      </c>
      <c r="P1004" s="126">
        <f t="shared" si="345"/>
        <v>830.58499999999992</v>
      </c>
      <c r="Q1004" s="126">
        <f>SUMIF('MPG Payment '!$E$3:$E$344841,'Shayak Income '!D1004,'MPG Payment '!$S$3:$S$344841)</f>
        <v>113.54</v>
      </c>
      <c r="R1004" s="126">
        <f t="shared" si="346"/>
        <v>1154.7620999999999</v>
      </c>
      <c r="S1004" s="126">
        <f t="shared" si="347"/>
        <v>324.1771</v>
      </c>
      <c r="T1004" s="126">
        <f t="shared" si="368"/>
        <v>87.43</v>
      </c>
      <c r="U1004" s="127">
        <f>((((((IF(K1004="New",0,SUMIF('MPG Payment '!$E$3:$E$344841,'Shayak Income '!D1004,'MPG Payment '!$AC$3:$AC$344841))))+0)+0)+0)+0)+0</f>
        <v>1092.6698972589288</v>
      </c>
      <c r="V1004" s="127">
        <f t="shared" si="369"/>
        <v>420</v>
      </c>
      <c r="W1004" s="19">
        <v>420</v>
      </c>
      <c r="X1004" s="19">
        <v>0</v>
      </c>
      <c r="Y1004" s="128">
        <f>IFERROR(VLOOKUP(D1004,'Monthly Deduction'!$M$2:$N$640,2,0),0)</f>
        <v>0</v>
      </c>
      <c r="Z1004" s="128">
        <v>0</v>
      </c>
      <c r="AA1004" s="126">
        <v>0</v>
      </c>
      <c r="AB1004" s="129">
        <f t="shared" si="364"/>
        <v>0</v>
      </c>
      <c r="AC1004" s="130">
        <v>0</v>
      </c>
      <c r="AD1004" s="35">
        <f t="shared" si="348"/>
        <v>0</v>
      </c>
      <c r="AE1004" s="166" t="str">
        <f t="shared" si="349"/>
        <v>Release</v>
      </c>
      <c r="AF1004" s="127"/>
      <c r="AG1004" s="18">
        <v>0</v>
      </c>
      <c r="AH1004" s="132"/>
      <c r="AI1004" s="238">
        <v>0</v>
      </c>
      <c r="AJ1004" s="132"/>
      <c r="AK1004" s="151">
        <v>447.50000000000006</v>
      </c>
      <c r="AL1004" s="154">
        <f t="shared" si="350"/>
        <v>0</v>
      </c>
      <c r="AM1004" s="155"/>
      <c r="AN1004" s="19">
        <f t="shared" si="365"/>
        <v>1861</v>
      </c>
      <c r="AO1004" s="118">
        <f>SUMIF('MPG Payment '!E:E,'Shayak Income '!D1004,'MPG Payment '!AJ:AJ)</f>
        <v>0</v>
      </c>
      <c r="AP1004" s="19">
        <f t="shared" si="366"/>
        <v>420</v>
      </c>
      <c r="AQ1004" s="119">
        <f t="shared" si="351"/>
        <v>420</v>
      </c>
      <c r="AR1004" s="91" t="s">
        <v>1144</v>
      </c>
      <c r="AS1004" s="91">
        <f t="shared" si="367"/>
        <v>6400</v>
      </c>
      <c r="AT1004" s="118"/>
      <c r="AU1004" s="118"/>
      <c r="AV1004" s="118"/>
    </row>
    <row r="1005" spans="1:48" s="20" customFormat="1" x14ac:dyDescent="0.25">
      <c r="A1005" s="17">
        <f>IFERROR(VLOOKUP(D1005,'Monthly Deduction'!$I$3:$J$957,2,0),0)</f>
        <v>0</v>
      </c>
      <c r="B1005" s="17">
        <f>IFERROR(VLOOKUP(D1005,'Monthly Deduction'!$E$3:$F$957,2,0),0)</f>
        <v>0</v>
      </c>
      <c r="C1005" s="17">
        <f t="shared" si="343"/>
        <v>0</v>
      </c>
      <c r="D1005" s="41">
        <v>10610032</v>
      </c>
      <c r="E1005" s="122" t="str">
        <f>VLOOKUP(D1005,'MPG Payment '!$E$3:$G$497305,2,0)</f>
        <v>GOMUKH KUSIYARI</v>
      </c>
      <c r="F1005" s="146">
        <f>IFERROR(_xlfn.XLOOKUP(D1005,'Monthly Deduction'!$I$3:$I$957,'Monthly Deduction'!$H$3:$H$957),0)</f>
        <v>0</v>
      </c>
      <c r="G1005" s="123" t="str">
        <f>VLOOKUP(D1005,'MPG Payment '!$E$3:$G$333666,3,0)</f>
        <v>VLC</v>
      </c>
      <c r="H1005" s="124" t="str">
        <f>VLOOKUP(D1005,'MPG Payment '!$E$3:$H$333666,4,0)</f>
        <v>Indirect</v>
      </c>
      <c r="I1005" s="88">
        <f>INDEX('MPG Payment '!$C:$C,MATCH('Shayak Income '!D1005,'MPG Payment '!E:E,0))</f>
        <v>1061</v>
      </c>
      <c r="J1005" s="88" t="str">
        <f>INDEX('MPG Payment '!$D:$D,MATCH('Shayak Income '!D1005,'MPG Payment '!E:E,0))</f>
        <v>Mahua BMC</v>
      </c>
      <c r="K1005" s="125" t="s">
        <v>1594</v>
      </c>
      <c r="L1005" s="125">
        <v>46113</v>
      </c>
      <c r="M1005" s="126">
        <f>SUMIF('MPG Payment '!$E$3:$E$344841,'Shayak Income '!D1005,'MPG Payment '!$I$3:$I$344841)</f>
        <v>941.6</v>
      </c>
      <c r="N1005" s="126">
        <f>SUMIF('MPG Payment '!$E$3:$E$344841,'Shayak Income '!D1005,'MPG Payment '!$J$3:$J$344841)</f>
        <v>35991.370000000003</v>
      </c>
      <c r="O1005" s="126">
        <f t="shared" si="344"/>
        <v>706.2</v>
      </c>
      <c r="P1005" s="126">
        <f t="shared" si="345"/>
        <v>894.52</v>
      </c>
      <c r="Q1005" s="126">
        <f>SUMIF('MPG Payment '!$E$3:$E$344841,'Shayak Income '!D1005,'MPG Payment '!$S$3:$S$344841)</f>
        <v>0</v>
      </c>
      <c r="R1005" s="126">
        <f t="shared" si="346"/>
        <v>1079.7411</v>
      </c>
      <c r="S1005" s="126">
        <f t="shared" si="347"/>
        <v>185.22109999999998</v>
      </c>
      <c r="T1005" s="126">
        <f t="shared" si="368"/>
        <v>94.160000000000011</v>
      </c>
      <c r="U1005" s="127">
        <f>((((((IF(K1005="New",0,SUMIF('MPG Payment '!$E$3:$E$344841,'Shayak Income '!D1005,'MPG Payment '!$AC$3:$AC$344841))))+0)+0)+0)+0)+0</f>
        <v>887.69311490436837</v>
      </c>
      <c r="V1005" s="127">
        <f t="shared" si="369"/>
        <v>619</v>
      </c>
      <c r="W1005" s="19">
        <f t="shared" si="371"/>
        <v>0</v>
      </c>
      <c r="X1005" s="19">
        <f t="shared" si="363"/>
        <v>0</v>
      </c>
      <c r="Y1005" s="128">
        <f>IFERROR(VLOOKUP(D1005,'Monthly Deduction'!$M$2:$N$640,2,0),0)</f>
        <v>0</v>
      </c>
      <c r="Z1005" s="128">
        <v>0</v>
      </c>
      <c r="AA1005" s="126">
        <f>IFERROR(VLOOKUP(D1005,'Monthly Deduction'!A:B,2,0),0)</f>
        <v>0</v>
      </c>
      <c r="AB1005" s="129">
        <f t="shared" si="364"/>
        <v>619</v>
      </c>
      <c r="AC1005" s="130">
        <v>0</v>
      </c>
      <c r="AD1005" s="35">
        <f t="shared" si="348"/>
        <v>619</v>
      </c>
      <c r="AE1005" s="166" t="str">
        <f t="shared" si="349"/>
        <v>Release</v>
      </c>
      <c r="AF1005" s="127"/>
      <c r="AG1005" s="18">
        <v>0</v>
      </c>
      <c r="AH1005" s="132"/>
      <c r="AI1005" s="238">
        <v>0</v>
      </c>
      <c r="AJ1005" s="132"/>
      <c r="AK1005" s="151">
        <v>217.3</v>
      </c>
      <c r="AL1005" s="154">
        <f t="shared" si="350"/>
        <v>0</v>
      </c>
      <c r="AM1005" s="155"/>
      <c r="AN1005" s="19">
        <f t="shared" si="365"/>
        <v>0</v>
      </c>
      <c r="AO1005" s="118">
        <f>SUMIF('MPG Payment '!E:E,'Shayak Income '!D1005,'MPG Payment '!AJ:AJ)</f>
        <v>0</v>
      </c>
      <c r="AP1005" s="19">
        <f t="shared" si="366"/>
        <v>0</v>
      </c>
      <c r="AQ1005" s="119">
        <f t="shared" si="351"/>
        <v>0</v>
      </c>
      <c r="AR1005" s="91" t="s">
        <v>1144</v>
      </c>
      <c r="AS1005" s="91">
        <f t="shared" si="367"/>
        <v>0</v>
      </c>
      <c r="AT1005" s="118"/>
      <c r="AU1005" s="118"/>
      <c r="AV1005" s="118"/>
    </row>
    <row r="1006" spans="1:48" s="20" customFormat="1" x14ac:dyDescent="0.25">
      <c r="A1006" s="17">
        <f>IFERROR(VLOOKUP(D1006,'Monthly Deduction'!$I$3:$J$957,2,0),0)</f>
        <v>0</v>
      </c>
      <c r="B1006" s="17">
        <f>IFERROR(VLOOKUP(D1006,'Monthly Deduction'!$E$3:$F$957,2,0),0)</f>
        <v>0</v>
      </c>
      <c r="C1006" s="17">
        <f t="shared" ref="C1006:C1057" si="373">A1006+B1006</f>
        <v>0</v>
      </c>
      <c r="D1006" s="41">
        <v>10610047</v>
      </c>
      <c r="E1006" s="122" t="str">
        <f>VLOOKUP(D1006,'MPG Payment '!$E$3:$G$497305,2,0)</f>
        <v>GOMUKH GOVINDPUR</v>
      </c>
      <c r="F1006" s="146">
        <f>IFERROR(_xlfn.XLOOKUP(D1006,'Monthly Deduction'!$I$3:$I$957,'Monthly Deduction'!$H$3:$H$957),0)</f>
        <v>0</v>
      </c>
      <c r="G1006" s="123" t="str">
        <f>VLOOKUP(D1006,'MPG Payment '!$E$3:$G$333666,3,0)</f>
        <v>VLC</v>
      </c>
      <c r="H1006" s="124" t="str">
        <f>VLOOKUP(D1006,'MPG Payment '!$E$3:$H$333666,4,0)</f>
        <v>Indirect</v>
      </c>
      <c r="I1006" s="88">
        <f>INDEX('MPG Payment '!$C:$C,MATCH('Shayak Income '!D1006,'MPG Payment '!E:E,0))</f>
        <v>1061</v>
      </c>
      <c r="J1006" s="88" t="str">
        <f>INDEX('MPG Payment '!$D:$D,MATCH('Shayak Income '!D1006,'MPG Payment '!E:E,0))</f>
        <v>Mahua BMC</v>
      </c>
      <c r="K1006" s="125" t="s">
        <v>1594</v>
      </c>
      <c r="L1006" s="125">
        <v>46115</v>
      </c>
      <c r="M1006" s="126">
        <f>SUMIF('MPG Payment '!$E$3:$E$344841,'Shayak Income '!D1006,'MPG Payment '!$I$3:$I$344841)</f>
        <v>438.6</v>
      </c>
      <c r="N1006" s="126">
        <f>SUMIF('MPG Payment '!$E$3:$E$344841,'Shayak Income '!D1006,'MPG Payment '!$J$3:$J$344841)</f>
        <v>15697.960000000001</v>
      </c>
      <c r="O1006" s="126">
        <f t="shared" ref="O1006:O1057" si="374">+M1006*0.75</f>
        <v>328.95000000000005</v>
      </c>
      <c r="P1006" s="126">
        <f t="shared" ref="P1006:P1057" si="375">+M1006*0.95</f>
        <v>416.67</v>
      </c>
      <c r="Q1006" s="126">
        <f>SUMIF('MPG Payment '!$E$3:$E$344841,'Shayak Income '!D1006,'MPG Payment '!$S$3:$S$344841)</f>
        <v>0</v>
      </c>
      <c r="R1006" s="126">
        <f t="shared" ref="R1006:R1057" si="376">+N1006*3%</f>
        <v>470.93880000000001</v>
      </c>
      <c r="S1006" s="126">
        <f t="shared" ref="S1006:S1057" si="377">R1006-P1006</f>
        <v>54.268799999999999</v>
      </c>
      <c r="T1006" s="126">
        <f t="shared" si="368"/>
        <v>43.860000000000007</v>
      </c>
      <c r="U1006" s="127">
        <f>((((((IF(K1006="New",0,SUMIF('MPG Payment '!$E$3:$E$344841,'Shayak Income '!D1006,'MPG Payment '!$AC$3:$AC$344841))))+0)+0)+0)+0)+0</f>
        <v>671.61108623656878</v>
      </c>
      <c r="V1006" s="127">
        <f t="shared" si="369"/>
        <v>30</v>
      </c>
      <c r="W1006" s="19">
        <f t="shared" si="371"/>
        <v>0</v>
      </c>
      <c r="X1006" s="19">
        <f t="shared" si="363"/>
        <v>0</v>
      </c>
      <c r="Y1006" s="128">
        <f>IFERROR(VLOOKUP(D1006,'Monthly Deduction'!$M$2:$N$640,2,0),0)</f>
        <v>0</v>
      </c>
      <c r="Z1006" s="128">
        <v>0</v>
      </c>
      <c r="AA1006" s="126">
        <f>IFERROR(VLOOKUP(D1006,'Monthly Deduction'!A:B,2,0),0)</f>
        <v>0</v>
      </c>
      <c r="AB1006" s="129">
        <f t="shared" si="364"/>
        <v>30</v>
      </c>
      <c r="AC1006" s="130">
        <f t="shared" ref="AC1006:AC1007" si="378">AB1006</f>
        <v>30</v>
      </c>
      <c r="AD1006" s="35">
        <f t="shared" ref="AD1006:AD1057" si="379">ROUND(AB1006-AC1006,0)</f>
        <v>0</v>
      </c>
      <c r="AE1006" s="166" t="str">
        <f t="shared" ref="AE1006:AE1057" si="380">IF(AC1006&lt;&gt;0,"Yes","Release")</f>
        <v>Yes</v>
      </c>
      <c r="AF1006" s="127"/>
      <c r="AG1006" s="18">
        <v>0</v>
      </c>
      <c r="AH1006" s="132" t="s">
        <v>1597</v>
      </c>
      <c r="AI1006" s="238">
        <v>0</v>
      </c>
      <c r="AJ1006" s="132"/>
      <c r="AK1006" s="151">
        <v>0</v>
      </c>
      <c r="AL1006" s="154">
        <f t="shared" ref="AL1006:AL1057" si="381">COUNTIF(AK1006:AK1006,"=NA")</f>
        <v>0</v>
      </c>
      <c r="AM1006" s="155"/>
      <c r="AN1006" s="19">
        <f t="shared" si="365"/>
        <v>0</v>
      </c>
      <c r="AO1006" s="118">
        <f>SUMIF('MPG Payment '!E:E,'Shayak Income '!D1006,'MPG Payment '!AJ:AJ)</f>
        <v>0</v>
      </c>
      <c r="AP1006" s="19">
        <f t="shared" si="366"/>
        <v>0</v>
      </c>
      <c r="AQ1006" s="119">
        <f t="shared" ref="AQ1006:AQ1057" si="382">AO1006+AP1006</f>
        <v>0</v>
      </c>
      <c r="AR1006" s="91" t="s">
        <v>1144</v>
      </c>
      <c r="AS1006" s="91">
        <f t="shared" si="367"/>
        <v>0</v>
      </c>
      <c r="AT1006" s="118"/>
      <c r="AU1006" s="118"/>
      <c r="AV1006" s="118"/>
    </row>
    <row r="1007" spans="1:48" s="20" customFormat="1" x14ac:dyDescent="0.25">
      <c r="A1007" s="17">
        <f>IFERROR(VLOOKUP(D1007,'Monthly Deduction'!$I$3:$J$957,2,0),0)</f>
        <v>0</v>
      </c>
      <c r="B1007" s="17">
        <f>IFERROR(VLOOKUP(D1007,'Monthly Deduction'!$E$3:$F$957,2,0),0)</f>
        <v>0</v>
      </c>
      <c r="C1007" s="17">
        <f t="shared" si="373"/>
        <v>0</v>
      </c>
      <c r="D1007" s="41">
        <v>10610071</v>
      </c>
      <c r="E1007" s="122" t="str">
        <f>VLOOKUP(D1007,'MPG Payment '!$E$3:$G$497305,2,0)</f>
        <v>GOMUKH CHAKABDUL</v>
      </c>
      <c r="F1007" s="146">
        <f>IFERROR(_xlfn.XLOOKUP(D1007,'Monthly Deduction'!$I$3:$I$957,'Monthly Deduction'!$H$3:$H$957),0)</f>
        <v>0</v>
      </c>
      <c r="G1007" s="123" t="str">
        <f>VLOOKUP(D1007,'MPG Payment '!$E$3:$G$333666,3,0)</f>
        <v>VLC</v>
      </c>
      <c r="H1007" s="124" t="str">
        <f>VLOOKUP(D1007,'MPG Payment '!$E$3:$H$333666,4,0)</f>
        <v>Indirect</v>
      </c>
      <c r="I1007" s="88">
        <f>INDEX('MPG Payment '!$C:$C,MATCH('Shayak Income '!D1007,'MPG Payment '!E:E,0))</f>
        <v>1061</v>
      </c>
      <c r="J1007" s="88" t="str">
        <f>INDEX('MPG Payment '!$D:$D,MATCH('Shayak Income '!D1007,'MPG Payment '!E:E,0))</f>
        <v>Mahua BMC</v>
      </c>
      <c r="K1007" s="125" t="s">
        <v>1593</v>
      </c>
      <c r="L1007" s="125">
        <v>46214</v>
      </c>
      <c r="M1007" s="126">
        <f>SUMIF('MPG Payment '!$E$3:$E$344841,'Shayak Income '!D1007,'MPG Payment '!$I$3:$I$344841)</f>
        <v>481.40000000000009</v>
      </c>
      <c r="N1007" s="126">
        <f>SUMIF('MPG Payment '!$E$3:$E$344841,'Shayak Income '!D1007,'MPG Payment '!$J$3:$J$344841)</f>
        <v>17586.599999999999</v>
      </c>
      <c r="O1007" s="126">
        <f t="shared" si="374"/>
        <v>361.05000000000007</v>
      </c>
      <c r="P1007" s="126">
        <f t="shared" si="375"/>
        <v>457.33000000000004</v>
      </c>
      <c r="Q1007" s="126">
        <f>SUMIF('MPG Payment '!$E$3:$E$344841,'Shayak Income '!D1007,'MPG Payment '!$S$3:$S$344841)</f>
        <v>0</v>
      </c>
      <c r="R1007" s="126">
        <f t="shared" si="376"/>
        <v>527.59799999999996</v>
      </c>
      <c r="S1007" s="126">
        <f t="shared" si="377"/>
        <v>70.267999999999915</v>
      </c>
      <c r="T1007" s="126">
        <f t="shared" si="368"/>
        <v>48.140000000000015</v>
      </c>
      <c r="U1007" s="127">
        <f>((((((IF(K1007="New",0,SUMIF('MPG Payment '!$E$3:$E$344841,'Shayak Income '!D1007,'MPG Payment '!$AC$3:$AC$344841))))+0)+0)+0)+0)+0</f>
        <v>0</v>
      </c>
      <c r="V1007" s="127">
        <f t="shared" si="369"/>
        <v>770</v>
      </c>
      <c r="W1007" s="19">
        <v>0</v>
      </c>
      <c r="X1007" s="19">
        <f t="shared" si="363"/>
        <v>0</v>
      </c>
      <c r="Y1007" s="128">
        <f>IFERROR(VLOOKUP(D1007,'Monthly Deduction'!$M$2:$N$640,2,0),0)</f>
        <v>0</v>
      </c>
      <c r="Z1007" s="128">
        <v>0</v>
      </c>
      <c r="AA1007" s="126">
        <f>IFERROR(VLOOKUP(D1007,'Monthly Deduction'!A:B,2,0),0)</f>
        <v>0</v>
      </c>
      <c r="AB1007" s="129">
        <f t="shared" si="364"/>
        <v>770</v>
      </c>
      <c r="AC1007" s="130">
        <f t="shared" si="378"/>
        <v>770</v>
      </c>
      <c r="AD1007" s="35">
        <f t="shared" si="379"/>
        <v>0</v>
      </c>
      <c r="AE1007" s="166" t="str">
        <f t="shared" si="380"/>
        <v>Yes</v>
      </c>
      <c r="AF1007" s="127"/>
      <c r="AG1007" s="18">
        <v>0</v>
      </c>
      <c r="AH1007" s="132" t="s">
        <v>1597</v>
      </c>
      <c r="AI1007" s="238">
        <v>0</v>
      </c>
      <c r="AJ1007" s="132"/>
      <c r="AK1007" s="151">
        <v>0</v>
      </c>
      <c r="AL1007" s="154">
        <f t="shared" si="381"/>
        <v>0</v>
      </c>
      <c r="AM1007" s="155"/>
      <c r="AN1007" s="19">
        <f t="shared" si="365"/>
        <v>0</v>
      </c>
      <c r="AO1007" s="118">
        <f>SUMIF('MPG Payment '!E:E,'Shayak Income '!D1007,'MPG Payment '!AJ:AJ)</f>
        <v>0</v>
      </c>
      <c r="AP1007" s="19">
        <f t="shared" si="366"/>
        <v>0</v>
      </c>
      <c r="AQ1007" s="119">
        <f t="shared" si="382"/>
        <v>0</v>
      </c>
      <c r="AR1007" s="91" t="s">
        <v>1144</v>
      </c>
      <c r="AS1007" s="91">
        <f t="shared" si="367"/>
        <v>0</v>
      </c>
      <c r="AT1007" s="118"/>
      <c r="AU1007" s="118"/>
      <c r="AV1007" s="118"/>
    </row>
    <row r="1008" spans="1:48" s="20" customFormat="1" x14ac:dyDescent="0.25">
      <c r="A1008" s="17">
        <f>IFERROR(VLOOKUP(D1008,'Monthly Deduction'!$I$3:$J$957,2,0),0)</f>
        <v>0</v>
      </c>
      <c r="B1008" s="17">
        <f>IFERROR(VLOOKUP(D1008,'Monthly Deduction'!$E$3:$F$957,2,0),0)</f>
        <v>0</v>
      </c>
      <c r="C1008" s="17">
        <f t="shared" si="373"/>
        <v>0</v>
      </c>
      <c r="D1008" s="41">
        <v>10610072</v>
      </c>
      <c r="E1008" s="122" t="str">
        <f>VLOOKUP(D1008,'MPG Payment '!$E$3:$G$497305,2,0)</f>
        <v>GOMUKH BAJITPUR</v>
      </c>
      <c r="F1008" s="146">
        <f>IFERROR(_xlfn.XLOOKUP(D1008,'Monthly Deduction'!$I$3:$I$957,'Monthly Deduction'!$H$3:$H$957),0)</f>
        <v>0</v>
      </c>
      <c r="G1008" s="123" t="str">
        <f>VLOOKUP(D1008,'MPG Payment '!$E$3:$G$333666,3,0)</f>
        <v>VLC</v>
      </c>
      <c r="H1008" s="124" t="str">
        <f>VLOOKUP(D1008,'MPG Payment '!$E$3:$H$333666,4,0)</f>
        <v>Indirect</v>
      </c>
      <c r="I1008" s="88">
        <f>INDEX('MPG Payment '!$C:$C,MATCH('Shayak Income '!D1008,'MPG Payment '!E:E,0))</f>
        <v>1061</v>
      </c>
      <c r="J1008" s="88" t="str">
        <f>INDEX('MPG Payment '!$D:$D,MATCH('Shayak Income '!D1008,'MPG Payment '!E:E,0))</f>
        <v>Mahua BMC</v>
      </c>
      <c r="K1008" s="125" t="s">
        <v>1593</v>
      </c>
      <c r="L1008" s="125">
        <v>46214</v>
      </c>
      <c r="M1008" s="126">
        <f>SUMIF('MPG Payment '!$E$3:$E$344841,'Shayak Income '!D1008,'MPG Payment '!$I$3:$I$344841)</f>
        <v>747.80000000000007</v>
      </c>
      <c r="N1008" s="126">
        <f>SUMIF('MPG Payment '!$E$3:$E$344841,'Shayak Income '!D1008,'MPG Payment '!$J$3:$J$344841)</f>
        <v>29037.98</v>
      </c>
      <c r="O1008" s="126">
        <f t="shared" si="374"/>
        <v>560.85</v>
      </c>
      <c r="P1008" s="126">
        <f t="shared" si="375"/>
        <v>710.41000000000008</v>
      </c>
      <c r="Q1008" s="126">
        <f>SUMIF('MPG Payment '!$E$3:$E$344841,'Shayak Income '!D1008,'MPG Payment '!$S$3:$S$344841)</f>
        <v>0</v>
      </c>
      <c r="R1008" s="126">
        <f t="shared" si="376"/>
        <v>871.13939999999991</v>
      </c>
      <c r="S1008" s="126">
        <f t="shared" si="377"/>
        <v>160.72939999999983</v>
      </c>
      <c r="T1008" s="126">
        <f t="shared" si="368"/>
        <v>74.780000000000015</v>
      </c>
      <c r="U1008" s="127">
        <f>((((((IF(K1008="New",0,SUMIF('MPG Payment '!$E$3:$E$344841,'Shayak Income '!D1008,'MPG Payment '!$AC$3:$AC$344841))))+0)+0)+0)+0)+0</f>
        <v>0</v>
      </c>
      <c r="V1008" s="127">
        <f t="shared" si="369"/>
        <v>1196</v>
      </c>
      <c r="W1008" s="19">
        <v>0</v>
      </c>
      <c r="X1008" s="19">
        <f t="shared" si="363"/>
        <v>0</v>
      </c>
      <c r="Y1008" s="128">
        <f>IFERROR(VLOOKUP(D1008,'Monthly Deduction'!$M$2:$N$640,2,0),0)</f>
        <v>0</v>
      </c>
      <c r="Z1008" s="128">
        <v>0</v>
      </c>
      <c r="AA1008" s="126">
        <f>IFERROR(VLOOKUP(D1008,'Monthly Deduction'!A:B,2,0),0)</f>
        <v>0</v>
      </c>
      <c r="AB1008" s="129">
        <f t="shared" si="364"/>
        <v>1196</v>
      </c>
      <c r="AC1008" s="130">
        <v>0</v>
      </c>
      <c r="AD1008" s="35">
        <f t="shared" si="379"/>
        <v>1196</v>
      </c>
      <c r="AE1008" s="166" t="str">
        <f t="shared" si="380"/>
        <v>Release</v>
      </c>
      <c r="AF1008" s="127"/>
      <c r="AG1008" s="18">
        <v>0</v>
      </c>
      <c r="AH1008" s="120"/>
      <c r="AI1008" s="238">
        <v>0</v>
      </c>
      <c r="AJ1008" s="132"/>
      <c r="AK1008" s="151">
        <v>50</v>
      </c>
      <c r="AL1008" s="154">
        <f t="shared" si="381"/>
        <v>0</v>
      </c>
      <c r="AM1008" s="155"/>
      <c r="AN1008" s="19">
        <f t="shared" si="365"/>
        <v>0</v>
      </c>
      <c r="AO1008" s="118">
        <f>SUMIF('MPG Payment '!E:E,'Shayak Income '!D1008,'MPG Payment '!AJ:AJ)</f>
        <v>0</v>
      </c>
      <c r="AP1008" s="19">
        <f t="shared" si="366"/>
        <v>0</v>
      </c>
      <c r="AQ1008" s="119">
        <f t="shared" si="382"/>
        <v>0</v>
      </c>
      <c r="AR1008" s="91" t="s">
        <v>1144</v>
      </c>
      <c r="AS1008" s="91">
        <f t="shared" si="367"/>
        <v>0</v>
      </c>
      <c r="AT1008" s="118"/>
      <c r="AU1008" s="118"/>
      <c r="AV1008" s="118"/>
    </row>
    <row r="1009" spans="1:48" s="20" customFormat="1" x14ac:dyDescent="0.25">
      <c r="A1009" s="17">
        <f>IFERROR(VLOOKUP(D1009,'Monthly Deduction'!$I$3:$J$957,2,0),0)</f>
        <v>0</v>
      </c>
      <c r="B1009" s="17">
        <f>IFERROR(VLOOKUP(D1009,'Monthly Deduction'!$E$3:$F$957,2,0),0)</f>
        <v>0</v>
      </c>
      <c r="C1009" s="17">
        <f t="shared" si="373"/>
        <v>0</v>
      </c>
      <c r="D1009" s="41">
        <v>10610073</v>
      </c>
      <c r="E1009" s="122" t="str">
        <f>VLOOKUP(D1009,'MPG Payment '!$E$3:$G$497305,2,0)</f>
        <v>GOMUKH SHAHPUR TOI</v>
      </c>
      <c r="F1009" s="146">
        <f>IFERROR(_xlfn.XLOOKUP(D1009,'Monthly Deduction'!$I$3:$I$957,'Monthly Deduction'!$H$3:$H$957),0)</f>
        <v>0</v>
      </c>
      <c r="G1009" s="123" t="str">
        <f>VLOOKUP(D1009,'MPG Payment '!$E$3:$G$333666,3,0)</f>
        <v>VLC</v>
      </c>
      <c r="H1009" s="124" t="str">
        <f>VLOOKUP(D1009,'MPG Payment '!$E$3:$H$333666,4,0)</f>
        <v>Indirect</v>
      </c>
      <c r="I1009" s="88">
        <f>INDEX('MPG Payment '!$C:$C,MATCH('Shayak Income '!D1009,'MPG Payment '!E:E,0))</f>
        <v>1061</v>
      </c>
      <c r="J1009" s="88" t="str">
        <f>INDEX('MPG Payment '!$D:$D,MATCH('Shayak Income '!D1009,'MPG Payment '!E:E,0))</f>
        <v>Mahua BMC</v>
      </c>
      <c r="K1009" s="125" t="s">
        <v>1593</v>
      </c>
      <c r="L1009" s="125">
        <v>46215</v>
      </c>
      <c r="M1009" s="126">
        <f>SUMIF('MPG Payment '!$E$3:$E$344841,'Shayak Income '!D1009,'MPG Payment '!$I$3:$I$344841)</f>
        <v>1048.8</v>
      </c>
      <c r="N1009" s="126">
        <f>SUMIF('MPG Payment '!$E$3:$E$344841,'Shayak Income '!D1009,'MPG Payment '!$J$3:$J$344841)</f>
        <v>43218.94</v>
      </c>
      <c r="O1009" s="126">
        <f t="shared" si="374"/>
        <v>786.59999999999991</v>
      </c>
      <c r="P1009" s="126">
        <f t="shared" si="375"/>
        <v>996.3599999999999</v>
      </c>
      <c r="Q1009" s="126">
        <f>SUMIF('MPG Payment '!$E$3:$E$344841,'Shayak Income '!D1009,'MPG Payment '!$S$3:$S$344841)</f>
        <v>0</v>
      </c>
      <c r="R1009" s="126">
        <f t="shared" si="376"/>
        <v>1296.5681999999999</v>
      </c>
      <c r="S1009" s="126">
        <f t="shared" si="377"/>
        <v>300.20820000000003</v>
      </c>
      <c r="T1009" s="126">
        <f t="shared" si="368"/>
        <v>104.88</v>
      </c>
      <c r="U1009" s="127">
        <f>((((((IF(K1009="New",0,SUMIF('MPG Payment '!$E$3:$E$344841,'Shayak Income '!D1009,'MPG Payment '!$AC$3:$AC$344841))))+0)+0)+0)+0)+0</f>
        <v>0</v>
      </c>
      <c r="V1009" s="127">
        <f t="shared" si="369"/>
        <v>1678</v>
      </c>
      <c r="W1009" s="19">
        <v>0</v>
      </c>
      <c r="X1009" s="19">
        <f t="shared" si="363"/>
        <v>0</v>
      </c>
      <c r="Y1009" s="128">
        <f>IFERROR(VLOOKUP(D1009,'Monthly Deduction'!$M$2:$N$640,2,0),0)</f>
        <v>0</v>
      </c>
      <c r="Z1009" s="128">
        <v>0</v>
      </c>
      <c r="AA1009" s="126">
        <f>IFERROR(VLOOKUP(D1009,'Monthly Deduction'!A:B,2,0),0)</f>
        <v>0</v>
      </c>
      <c r="AB1009" s="129">
        <f t="shared" si="364"/>
        <v>1678</v>
      </c>
      <c r="AC1009" s="130">
        <v>0</v>
      </c>
      <c r="AD1009" s="35">
        <f t="shared" si="379"/>
        <v>1678</v>
      </c>
      <c r="AE1009" s="166" t="str">
        <f t="shared" si="380"/>
        <v>Release</v>
      </c>
      <c r="AF1009" s="127"/>
      <c r="AG1009" s="18">
        <v>0</v>
      </c>
      <c r="AH1009" s="120"/>
      <c r="AI1009" s="238">
        <v>0</v>
      </c>
      <c r="AJ1009" s="132"/>
      <c r="AK1009" s="151">
        <v>500.5</v>
      </c>
      <c r="AL1009" s="154">
        <f t="shared" si="381"/>
        <v>0</v>
      </c>
      <c r="AM1009" s="155"/>
      <c r="AN1009" s="19">
        <f t="shared" si="365"/>
        <v>0</v>
      </c>
      <c r="AO1009" s="118">
        <f>SUMIF('MPG Payment '!E:E,'Shayak Income '!D1009,'MPG Payment '!AJ:AJ)</f>
        <v>0</v>
      </c>
      <c r="AP1009" s="19">
        <f t="shared" si="366"/>
        <v>0</v>
      </c>
      <c r="AQ1009" s="119">
        <f t="shared" si="382"/>
        <v>0</v>
      </c>
      <c r="AR1009" s="91" t="s">
        <v>1144</v>
      </c>
      <c r="AS1009" s="91">
        <f t="shared" si="367"/>
        <v>0</v>
      </c>
      <c r="AT1009" s="118"/>
      <c r="AU1009" s="118"/>
      <c r="AV1009" s="118"/>
    </row>
    <row r="1010" spans="1:48" s="20" customFormat="1" x14ac:dyDescent="0.25">
      <c r="A1010" s="17">
        <f>IFERROR(VLOOKUP(D1010,'Monthly Deduction'!$I$3:$J$957,2,0),0)</f>
        <v>0</v>
      </c>
      <c r="B1010" s="17">
        <f>IFERROR(VLOOKUP(D1010,'Monthly Deduction'!$E$3:$F$957,2,0),0)</f>
        <v>0</v>
      </c>
      <c r="C1010" s="17">
        <f t="shared" si="373"/>
        <v>0</v>
      </c>
      <c r="D1010" s="41">
        <v>10610074</v>
      </c>
      <c r="E1010" s="122" t="str">
        <f>VLOOKUP(D1010,'MPG Payment '!$E$3:$G$497305,2,0)</f>
        <v>GOMUKH SUPAYAN</v>
      </c>
      <c r="F1010" s="146">
        <f>IFERROR(_xlfn.XLOOKUP(D1010,'Monthly Deduction'!$I$3:$I$957,'Monthly Deduction'!$H$3:$H$957),0)</f>
        <v>0</v>
      </c>
      <c r="G1010" s="123" t="str">
        <f>VLOOKUP(D1010,'MPG Payment '!$E$3:$G$333666,3,0)</f>
        <v>VLC</v>
      </c>
      <c r="H1010" s="124" t="str">
        <f>VLOOKUP(D1010,'MPG Payment '!$E$3:$H$333666,4,0)</f>
        <v>Indirect</v>
      </c>
      <c r="I1010" s="88">
        <f>INDEX('MPG Payment '!$C:$C,MATCH('Shayak Income '!D1010,'MPG Payment '!E:E,0))</f>
        <v>1061</v>
      </c>
      <c r="J1010" s="88" t="str">
        <f>INDEX('MPG Payment '!$D:$D,MATCH('Shayak Income '!D1010,'MPG Payment '!E:E,0))</f>
        <v>Mahua BMC</v>
      </c>
      <c r="K1010" s="125" t="s">
        <v>1593</v>
      </c>
      <c r="L1010" s="125">
        <v>46214</v>
      </c>
      <c r="M1010" s="126">
        <f>SUMIF('MPG Payment '!$E$3:$E$344841,'Shayak Income '!D1010,'MPG Payment '!$I$3:$I$344841)</f>
        <v>2334.6</v>
      </c>
      <c r="N1010" s="126">
        <f>SUMIF('MPG Payment '!$E$3:$E$344841,'Shayak Income '!D1010,'MPG Payment '!$J$3:$J$344841)</f>
        <v>99266.26</v>
      </c>
      <c r="O1010" s="126">
        <f t="shared" si="374"/>
        <v>1750.9499999999998</v>
      </c>
      <c r="P1010" s="126">
        <f t="shared" si="375"/>
        <v>2217.87</v>
      </c>
      <c r="Q1010" s="126">
        <f>SUMIF('MPG Payment '!$E$3:$E$344841,'Shayak Income '!D1010,'MPG Payment '!$S$3:$S$344841)</f>
        <v>0</v>
      </c>
      <c r="R1010" s="126">
        <f t="shared" si="376"/>
        <v>2977.9877999999999</v>
      </c>
      <c r="S1010" s="126">
        <f t="shared" si="377"/>
        <v>760.11779999999999</v>
      </c>
      <c r="T1010" s="126">
        <f t="shared" si="368"/>
        <v>233.46</v>
      </c>
      <c r="U1010" s="127">
        <f>((((((IF(K1010="New",0,SUMIF('MPG Payment '!$E$3:$E$344841,'Shayak Income '!D1010,'MPG Payment '!$AC$3:$AC$344841))))+0)+0)+0)+0)+0</f>
        <v>0</v>
      </c>
      <c r="V1010" s="127">
        <f t="shared" si="369"/>
        <v>3735</v>
      </c>
      <c r="W1010" s="19">
        <v>0</v>
      </c>
      <c r="X1010" s="19">
        <f t="shared" si="363"/>
        <v>0</v>
      </c>
      <c r="Y1010" s="128">
        <f>IFERROR(VLOOKUP(D1010,'Monthly Deduction'!$M$2:$N$640,2,0),0)</f>
        <v>0</v>
      </c>
      <c r="Z1010" s="128">
        <v>0</v>
      </c>
      <c r="AA1010" s="126">
        <f>IFERROR(VLOOKUP(D1010,'Monthly Deduction'!A:B,2,0),0)</f>
        <v>0</v>
      </c>
      <c r="AB1010" s="129">
        <f t="shared" si="364"/>
        <v>3735</v>
      </c>
      <c r="AC1010" s="130">
        <v>0</v>
      </c>
      <c r="AD1010" s="35">
        <f t="shared" si="379"/>
        <v>3735</v>
      </c>
      <c r="AE1010" s="166" t="str">
        <f t="shared" si="380"/>
        <v>Release</v>
      </c>
      <c r="AF1010" s="127"/>
      <c r="AG1010" s="18">
        <v>0</v>
      </c>
      <c r="AH1010" s="132"/>
      <c r="AI1010" s="238">
        <v>0</v>
      </c>
      <c r="AJ1010" s="132"/>
      <c r="AK1010" s="151">
        <v>1420.4999999999998</v>
      </c>
      <c r="AL1010" s="154">
        <f t="shared" si="381"/>
        <v>0</v>
      </c>
      <c r="AM1010" s="155"/>
      <c r="AN1010" s="19">
        <f t="shared" si="365"/>
        <v>0</v>
      </c>
      <c r="AO1010" s="118">
        <f>SUMIF('MPG Payment '!E:E,'Shayak Income '!D1010,'MPG Payment '!AJ:AJ)</f>
        <v>0</v>
      </c>
      <c r="AP1010" s="19">
        <f t="shared" si="366"/>
        <v>0</v>
      </c>
      <c r="AQ1010" s="119">
        <f t="shared" si="382"/>
        <v>0</v>
      </c>
      <c r="AR1010" s="91" t="s">
        <v>1144</v>
      </c>
      <c r="AS1010" s="91">
        <f t="shared" si="367"/>
        <v>0</v>
      </c>
      <c r="AT1010" s="118"/>
      <c r="AU1010" s="118"/>
      <c r="AV1010" s="118"/>
    </row>
    <row r="1011" spans="1:48" s="20" customFormat="1" x14ac:dyDescent="0.25">
      <c r="A1011" s="17">
        <f>IFERROR(VLOOKUP(D1011,'Monthly Deduction'!$I$3:$J$957,2,0),0)</f>
        <v>85000</v>
      </c>
      <c r="B1011" s="17">
        <f>IFERROR(VLOOKUP(D1011,'Monthly Deduction'!$E$3:$F$957,2,0),0)</f>
        <v>0</v>
      </c>
      <c r="C1011" s="17">
        <f t="shared" si="373"/>
        <v>85000</v>
      </c>
      <c r="D1011" s="41">
        <v>10630023</v>
      </c>
      <c r="E1011" s="122" t="str">
        <f>VLOOKUP(D1011,'MPG Payment '!$E$3:$G$497305,2,0)</f>
        <v>Gudarghat Nitish</v>
      </c>
      <c r="F1011" s="146">
        <f>IFERROR(_xlfn.XLOOKUP(D1011,'Monthly Deduction'!$I$3:$I$957,'Monthly Deduction'!$H$3:$H$957),0)</f>
        <v>0</v>
      </c>
      <c r="G1011" s="123" t="str">
        <f>VLOOKUP(D1011,'MPG Payment '!$E$3:$G$333666,3,0)</f>
        <v>VLC</v>
      </c>
      <c r="H1011" s="124" t="str">
        <f>VLOOKUP(D1011,'MPG Payment '!$E$3:$H$333666,4,0)</f>
        <v>Indirect</v>
      </c>
      <c r="I1011" s="88">
        <f>INDEX('MPG Payment '!$C:$C,MATCH('Shayak Income '!D1011,'MPG Payment '!E:E,0))</f>
        <v>1063</v>
      </c>
      <c r="J1011" s="88" t="str">
        <f>INDEX('MPG Payment '!$D:$D,MATCH('Shayak Income '!D1011,'MPG Payment '!E:E,0))</f>
        <v>Rosera</v>
      </c>
      <c r="K1011" s="125" t="s">
        <v>1593</v>
      </c>
      <c r="L1011" s="125">
        <v>46217</v>
      </c>
      <c r="M1011" s="126">
        <f>SUMIF('MPG Payment '!$E$3:$E$344841,'Shayak Income '!D1011,'MPG Payment '!$I$3:$I$344841)</f>
        <v>143.69999999999999</v>
      </c>
      <c r="N1011" s="126">
        <f>SUMIF('MPG Payment '!$E$3:$E$344841,'Shayak Income '!D1011,'MPG Payment '!$J$3:$J$344841)</f>
        <v>5207.88</v>
      </c>
      <c r="O1011" s="126">
        <f t="shared" si="374"/>
        <v>107.77499999999999</v>
      </c>
      <c r="P1011" s="126">
        <f t="shared" si="375"/>
        <v>136.51499999999999</v>
      </c>
      <c r="Q1011" s="126">
        <f>SUMIF('MPG Payment '!$E$3:$E$344841,'Shayak Income '!D1011,'MPG Payment '!$S$3:$S$344841)</f>
        <v>0</v>
      </c>
      <c r="R1011" s="126">
        <f t="shared" si="376"/>
        <v>156.2364</v>
      </c>
      <c r="S1011" s="126">
        <f t="shared" si="377"/>
        <v>19.721400000000017</v>
      </c>
      <c r="T1011" s="126">
        <f t="shared" si="368"/>
        <v>14.37</v>
      </c>
      <c r="U1011" s="127">
        <f>((((((IF(K1011="New",0,SUMIF('MPG Payment '!$E$3:$E$344841,'Shayak Income '!D1011,'MPG Payment '!$AC$3:$AC$344841))))+0)+0)+0)+0)+0</f>
        <v>0</v>
      </c>
      <c r="V1011" s="127">
        <f t="shared" si="369"/>
        <v>230</v>
      </c>
      <c r="W1011" s="19">
        <v>0</v>
      </c>
      <c r="X1011" s="19">
        <f t="shared" si="363"/>
        <v>0</v>
      </c>
      <c r="Y1011" s="128">
        <f>IFERROR(VLOOKUP(D1011,'Monthly Deduction'!$M$2:$N$640,2,0),0)</f>
        <v>0</v>
      </c>
      <c r="Z1011" s="128">
        <v>0</v>
      </c>
      <c r="AA1011" s="126">
        <f>IFERROR(VLOOKUP(D1011,'Monthly Deduction'!A:B,2,0),0)</f>
        <v>0</v>
      </c>
      <c r="AB1011" s="129">
        <f t="shared" si="364"/>
        <v>230</v>
      </c>
      <c r="AC1011" s="130">
        <f t="shared" ref="AC1011:AC1012" si="383">AB1011</f>
        <v>230</v>
      </c>
      <c r="AD1011" s="35">
        <f t="shared" si="379"/>
        <v>0</v>
      </c>
      <c r="AE1011" s="166" t="str">
        <f t="shared" si="380"/>
        <v>Yes</v>
      </c>
      <c r="AF1011" s="127"/>
      <c r="AG1011" s="18">
        <v>0</v>
      </c>
      <c r="AH1011" s="120" t="s">
        <v>1685</v>
      </c>
      <c r="AI1011" s="238">
        <v>20000</v>
      </c>
      <c r="AJ1011" s="132"/>
      <c r="AK1011" s="151">
        <v>7.3</v>
      </c>
      <c r="AL1011" s="154">
        <f t="shared" si="381"/>
        <v>0</v>
      </c>
      <c r="AM1011" s="155"/>
      <c r="AN1011" s="19">
        <f t="shared" si="365"/>
        <v>1861</v>
      </c>
      <c r="AO1011" s="118">
        <f>SUMIF('MPG Payment '!E:E,'Shayak Income '!D1011,'MPG Payment '!AJ:AJ)</f>
        <v>0</v>
      </c>
      <c r="AP1011" s="19">
        <f t="shared" si="366"/>
        <v>0</v>
      </c>
      <c r="AQ1011" s="119">
        <f t="shared" si="382"/>
        <v>0</v>
      </c>
      <c r="AR1011" s="91" t="s">
        <v>1144</v>
      </c>
      <c r="AS1011" s="91">
        <f t="shared" si="367"/>
        <v>0</v>
      </c>
      <c r="AT1011" s="118"/>
      <c r="AU1011" s="118"/>
      <c r="AV1011" s="118"/>
    </row>
    <row r="1012" spans="1:48" s="20" customFormat="1" x14ac:dyDescent="0.25">
      <c r="A1012" s="17">
        <f>IFERROR(VLOOKUP(D1012,'Monthly Deduction'!$I$3:$J$957,2,0),0)</f>
        <v>85000</v>
      </c>
      <c r="B1012" s="17">
        <f>IFERROR(VLOOKUP(D1012,'Monthly Deduction'!$E$3:$F$957,2,0),0)</f>
        <v>0</v>
      </c>
      <c r="C1012" s="17">
        <f t="shared" si="373"/>
        <v>85000</v>
      </c>
      <c r="D1012" s="41">
        <v>10630038</v>
      </c>
      <c r="E1012" s="122" t="str">
        <f>VLOOKUP(D1012,'MPG Payment '!$E$3:$G$497305,2,0)</f>
        <v>Fatepur 2</v>
      </c>
      <c r="F1012" s="146">
        <f>IFERROR(_xlfn.XLOOKUP(D1012,'Monthly Deduction'!$I$3:$I$957,'Monthly Deduction'!$H$3:$H$957),0)</f>
        <v>0</v>
      </c>
      <c r="G1012" s="123" t="str">
        <f>VLOOKUP(D1012,'MPG Payment '!$E$3:$G$333666,3,0)</f>
        <v>VLC</v>
      </c>
      <c r="H1012" s="124" t="str">
        <f>VLOOKUP(D1012,'MPG Payment '!$E$3:$H$333666,4,0)</f>
        <v>Indirect</v>
      </c>
      <c r="I1012" s="88">
        <f>INDEX('MPG Payment '!$C:$C,MATCH('Shayak Income '!D1012,'MPG Payment '!E:E,0))</f>
        <v>1063</v>
      </c>
      <c r="J1012" s="88" t="str">
        <f>INDEX('MPG Payment '!$D:$D,MATCH('Shayak Income '!D1012,'MPG Payment '!E:E,0))</f>
        <v>Rosera</v>
      </c>
      <c r="K1012" s="125" t="s">
        <v>1593</v>
      </c>
      <c r="L1012" s="125">
        <v>46214</v>
      </c>
      <c r="M1012" s="126">
        <f>SUMIF('MPG Payment '!$E$3:$E$344841,'Shayak Income '!D1012,'MPG Payment '!$I$3:$I$344841)</f>
        <v>1122.8000000000002</v>
      </c>
      <c r="N1012" s="126">
        <f>SUMIF('MPG Payment '!$E$3:$E$344841,'Shayak Income '!D1012,'MPG Payment '!$J$3:$J$344841)</f>
        <v>38007.4</v>
      </c>
      <c r="O1012" s="126">
        <f t="shared" si="374"/>
        <v>842.10000000000014</v>
      </c>
      <c r="P1012" s="126">
        <f t="shared" si="375"/>
        <v>1066.6600000000001</v>
      </c>
      <c r="Q1012" s="126">
        <f>SUMIF('MPG Payment '!$E$3:$E$344841,'Shayak Income '!D1012,'MPG Payment '!$S$3:$S$344841)</f>
        <v>0</v>
      </c>
      <c r="R1012" s="126">
        <f t="shared" si="376"/>
        <v>1140.222</v>
      </c>
      <c r="S1012" s="126">
        <f t="shared" si="377"/>
        <v>73.561999999999898</v>
      </c>
      <c r="T1012" s="126">
        <f t="shared" si="368"/>
        <v>112.28000000000003</v>
      </c>
      <c r="U1012" s="127">
        <f>((((((IF(K1012="New",0,SUMIF('MPG Payment '!$E$3:$E$344841,'Shayak Income '!D1012,'MPG Payment '!$AC$3:$AC$344841))))+0)+0)+0)+0)+0</f>
        <v>0</v>
      </c>
      <c r="V1012" s="127">
        <f t="shared" si="369"/>
        <v>1796</v>
      </c>
      <c r="W1012" s="19">
        <v>0</v>
      </c>
      <c r="X1012" s="19">
        <f t="shared" si="363"/>
        <v>0</v>
      </c>
      <c r="Y1012" s="128">
        <f>IFERROR(VLOOKUP(D1012,'Monthly Deduction'!$M$2:$N$640,2,0),0)</f>
        <v>0</v>
      </c>
      <c r="Z1012" s="128">
        <v>0</v>
      </c>
      <c r="AA1012" s="126">
        <f>IFERROR(VLOOKUP(D1012,'Monthly Deduction'!A:B,2,0),0)</f>
        <v>0</v>
      </c>
      <c r="AB1012" s="129">
        <f t="shared" si="364"/>
        <v>1796</v>
      </c>
      <c r="AC1012" s="130">
        <f t="shared" si="383"/>
        <v>1796</v>
      </c>
      <c r="AD1012" s="35">
        <f t="shared" si="379"/>
        <v>0</v>
      </c>
      <c r="AE1012" s="166" t="str">
        <f t="shared" si="380"/>
        <v>Yes</v>
      </c>
      <c r="AF1012" s="127"/>
      <c r="AG1012" s="18">
        <v>0</v>
      </c>
      <c r="AH1012" s="120" t="s">
        <v>1685</v>
      </c>
      <c r="AI1012" s="238">
        <v>20000</v>
      </c>
      <c r="AJ1012" s="132"/>
      <c r="AK1012" s="151">
        <v>428.3</v>
      </c>
      <c r="AL1012" s="154">
        <f t="shared" si="381"/>
        <v>0</v>
      </c>
      <c r="AM1012" s="155"/>
      <c r="AN1012" s="19">
        <f t="shared" si="365"/>
        <v>1861</v>
      </c>
      <c r="AO1012" s="118">
        <f>SUMIF('MPG Payment '!E:E,'Shayak Income '!D1012,'MPG Payment '!AJ:AJ)</f>
        <v>0</v>
      </c>
      <c r="AP1012" s="19">
        <f t="shared" si="366"/>
        <v>0</v>
      </c>
      <c r="AQ1012" s="119">
        <f t="shared" si="382"/>
        <v>0</v>
      </c>
      <c r="AR1012" s="91" t="s">
        <v>1144</v>
      </c>
      <c r="AS1012" s="91">
        <f t="shared" si="367"/>
        <v>0</v>
      </c>
      <c r="AT1012" s="118"/>
      <c r="AU1012" s="118"/>
      <c r="AV1012" s="118"/>
    </row>
    <row r="1013" spans="1:48" s="20" customFormat="1" x14ac:dyDescent="0.25">
      <c r="A1013" s="17">
        <f>IFERROR(VLOOKUP(D1013,'Monthly Deduction'!$I$3:$J$957,2,0),0)</f>
        <v>0</v>
      </c>
      <c r="B1013" s="17">
        <f>IFERROR(VLOOKUP(D1013,'Monthly Deduction'!$E$3:$F$957,2,0),0)</f>
        <v>0</v>
      </c>
      <c r="C1013" s="17">
        <f t="shared" si="373"/>
        <v>0</v>
      </c>
      <c r="D1013" s="41">
        <v>10630039</v>
      </c>
      <c r="E1013" s="122" t="str">
        <f>VLOOKUP(D1013,'MPG Payment '!$E$3:$G$497305,2,0)</f>
        <v>Shivram</v>
      </c>
      <c r="F1013" s="146">
        <f>IFERROR(_xlfn.XLOOKUP(D1013,'Monthly Deduction'!$I$3:$I$957,'Monthly Deduction'!$H$3:$H$957),0)</f>
        <v>0</v>
      </c>
      <c r="G1013" s="123" t="str">
        <f>VLOOKUP(D1013,'MPG Payment '!$E$3:$G$333666,3,0)</f>
        <v>VLC</v>
      </c>
      <c r="H1013" s="124" t="str">
        <f>VLOOKUP(D1013,'MPG Payment '!$E$3:$H$333666,4,0)</f>
        <v>Indirect</v>
      </c>
      <c r="I1013" s="88">
        <f>INDEX('MPG Payment '!$C:$C,MATCH('Shayak Income '!D1013,'MPG Payment '!E:E,0))</f>
        <v>1063</v>
      </c>
      <c r="J1013" s="88" t="str">
        <f>INDEX('MPG Payment '!$D:$D,MATCH('Shayak Income '!D1013,'MPG Payment '!E:E,0))</f>
        <v>Rosera</v>
      </c>
      <c r="K1013" s="125" t="s">
        <v>1593</v>
      </c>
      <c r="L1013" s="125">
        <v>46216</v>
      </c>
      <c r="M1013" s="126">
        <f>SUMIF('MPG Payment '!$E$3:$E$344841,'Shayak Income '!D1013,'MPG Payment '!$I$3:$I$344841)</f>
        <v>1406.7000000000003</v>
      </c>
      <c r="N1013" s="126">
        <f>SUMIF('MPG Payment '!$E$3:$E$344841,'Shayak Income '!D1013,'MPG Payment '!$J$3:$J$344841)</f>
        <v>49078.210000000006</v>
      </c>
      <c r="O1013" s="126">
        <f t="shared" si="374"/>
        <v>1055.0250000000001</v>
      </c>
      <c r="P1013" s="126">
        <f t="shared" si="375"/>
        <v>1336.3650000000002</v>
      </c>
      <c r="Q1013" s="126">
        <f>SUMIF('MPG Payment '!$E$3:$E$344841,'Shayak Income '!D1013,'MPG Payment '!$S$3:$S$344841)</f>
        <v>0</v>
      </c>
      <c r="R1013" s="126">
        <f t="shared" si="376"/>
        <v>1472.3463000000002</v>
      </c>
      <c r="S1013" s="126">
        <f t="shared" si="377"/>
        <v>135.98129999999992</v>
      </c>
      <c r="T1013" s="126">
        <f t="shared" si="368"/>
        <v>140.67000000000004</v>
      </c>
      <c r="U1013" s="127">
        <f>((((((IF(K1013="New",0,SUMIF('MPG Payment '!$E$3:$E$344841,'Shayak Income '!D1013,'MPG Payment '!$AC$3:$AC$344841))))+0)+0)+0)+0)+0</f>
        <v>0</v>
      </c>
      <c r="V1013" s="127">
        <f t="shared" si="369"/>
        <v>2251</v>
      </c>
      <c r="W1013" s="19">
        <v>0</v>
      </c>
      <c r="X1013" s="19">
        <f t="shared" si="363"/>
        <v>0</v>
      </c>
      <c r="Y1013" s="128">
        <f>IFERROR(VLOOKUP(D1013,'Monthly Deduction'!$M$2:$N$640,2,0),0)</f>
        <v>0</v>
      </c>
      <c r="Z1013" s="128">
        <v>0</v>
      </c>
      <c r="AA1013" s="126">
        <f>IFERROR(VLOOKUP(D1013,'Monthly Deduction'!A:B,2,0),0)</f>
        <v>0</v>
      </c>
      <c r="AB1013" s="129">
        <f t="shared" si="364"/>
        <v>2251</v>
      </c>
      <c r="AC1013" s="130">
        <v>0</v>
      </c>
      <c r="AD1013" s="35">
        <f t="shared" si="379"/>
        <v>2251</v>
      </c>
      <c r="AE1013" s="166" t="str">
        <f t="shared" si="380"/>
        <v>Release</v>
      </c>
      <c r="AF1013" s="127"/>
      <c r="AG1013" s="18">
        <v>0</v>
      </c>
      <c r="AH1013" s="132"/>
      <c r="AI1013" s="238">
        <v>0</v>
      </c>
      <c r="AJ1013" s="132"/>
      <c r="AK1013" s="151">
        <v>374.9</v>
      </c>
      <c r="AL1013" s="154">
        <f t="shared" si="381"/>
        <v>0</v>
      </c>
      <c r="AM1013" s="155"/>
      <c r="AN1013" s="19">
        <f t="shared" si="365"/>
        <v>0</v>
      </c>
      <c r="AO1013" s="118">
        <f>SUMIF('MPG Payment '!E:E,'Shayak Income '!D1013,'MPG Payment '!AJ:AJ)</f>
        <v>0</v>
      </c>
      <c r="AP1013" s="19">
        <f t="shared" si="366"/>
        <v>0</v>
      </c>
      <c r="AQ1013" s="119">
        <f t="shared" si="382"/>
        <v>0</v>
      </c>
      <c r="AR1013" s="91" t="s">
        <v>1144</v>
      </c>
      <c r="AS1013" s="91">
        <f t="shared" si="367"/>
        <v>0</v>
      </c>
      <c r="AT1013" s="118"/>
      <c r="AU1013" s="118"/>
      <c r="AV1013" s="118"/>
    </row>
    <row r="1014" spans="1:48" s="20" customFormat="1" x14ac:dyDescent="0.25">
      <c r="A1014" s="17">
        <f>IFERROR(VLOOKUP(D1014,'Monthly Deduction'!$I$3:$J$957,2,0),0)</f>
        <v>0</v>
      </c>
      <c r="B1014" s="17">
        <f>IFERROR(VLOOKUP(D1014,'Monthly Deduction'!$E$3:$F$957,2,0),0)</f>
        <v>0</v>
      </c>
      <c r="C1014" s="17">
        <f t="shared" ref="C1014:C1032" si="384">A1014+B1014</f>
        <v>0</v>
      </c>
      <c r="D1014" s="41">
        <v>10630040</v>
      </c>
      <c r="E1014" s="122" t="str">
        <f>VLOOKUP(D1014,'MPG Payment '!$E$3:$G$497305,2,0)</f>
        <v>Sonupur</v>
      </c>
      <c r="F1014" s="146">
        <f>IFERROR(_xlfn.XLOOKUP(D1014,'Monthly Deduction'!$I$3:$I$957,'Monthly Deduction'!$H$3:$H$957),0)</f>
        <v>0</v>
      </c>
      <c r="G1014" s="123" t="str">
        <f>VLOOKUP(D1014,'MPG Payment '!$E$3:$G$333666,3,0)</f>
        <v>VLC</v>
      </c>
      <c r="H1014" s="124" t="str">
        <f>VLOOKUP(D1014,'MPG Payment '!$E$3:$H$333666,4,0)</f>
        <v>Indirect</v>
      </c>
      <c r="I1014" s="88">
        <f>INDEX('MPG Payment '!$C:$C,MATCH('Shayak Income '!D1014,'MPG Payment '!E:E,0))</f>
        <v>1063</v>
      </c>
      <c r="J1014" s="88" t="str">
        <f>INDEX('MPG Payment '!$D:$D,MATCH('Shayak Income '!D1014,'MPG Payment '!E:E,0))</f>
        <v>Rosera</v>
      </c>
      <c r="K1014" s="125" t="s">
        <v>1593</v>
      </c>
      <c r="L1014" s="125">
        <v>46214</v>
      </c>
      <c r="M1014" s="126">
        <f>SUMIF('MPG Payment '!$E$3:$E$344841,'Shayak Income '!D1014,'MPG Payment '!$I$3:$I$344841)</f>
        <v>578.09999999999991</v>
      </c>
      <c r="N1014" s="126">
        <f>SUMIF('MPG Payment '!$E$3:$E$344841,'Shayak Income '!D1014,'MPG Payment '!$J$3:$J$344841)</f>
        <v>17416.7</v>
      </c>
      <c r="O1014" s="126">
        <f t="shared" ref="O1014:O1032" si="385">+M1014*0.75</f>
        <v>433.57499999999993</v>
      </c>
      <c r="P1014" s="126">
        <f t="shared" ref="P1014:P1032" si="386">+M1014*0.95</f>
        <v>549.19499999999994</v>
      </c>
      <c r="Q1014" s="126">
        <f>SUMIF('MPG Payment '!$E$3:$E$344841,'Shayak Income '!D1014,'MPG Payment '!$S$3:$S$344841)</f>
        <v>0</v>
      </c>
      <c r="R1014" s="126">
        <f t="shared" ref="R1014:R1032" si="387">+N1014*3%</f>
        <v>522.50099999999998</v>
      </c>
      <c r="S1014" s="126">
        <f t="shared" ref="S1014:S1032" si="388">R1014-P1014</f>
        <v>-26.69399999999996</v>
      </c>
      <c r="T1014" s="126">
        <f t="shared" si="368"/>
        <v>57.809999999999995</v>
      </c>
      <c r="U1014" s="127">
        <f>((((((IF(K1014="New",0,SUMIF('MPG Payment '!$E$3:$E$344841,'Shayak Income '!D1014,'MPG Payment '!$AC$3:$AC$344841))))+0)+0)+0)+0)+0</f>
        <v>0</v>
      </c>
      <c r="V1014" s="127">
        <f t="shared" si="369"/>
        <v>925</v>
      </c>
      <c r="W1014" s="19">
        <v>0</v>
      </c>
      <c r="X1014" s="19">
        <f t="shared" si="363"/>
        <v>0</v>
      </c>
      <c r="Y1014" s="128">
        <f>IFERROR(VLOOKUP(D1014,'Monthly Deduction'!$M$2:$N$640,2,0),0)</f>
        <v>0</v>
      </c>
      <c r="Z1014" s="128">
        <v>0</v>
      </c>
      <c r="AA1014" s="126">
        <f>IFERROR(VLOOKUP(D1014,'Monthly Deduction'!A:B,2,0),0)</f>
        <v>0</v>
      </c>
      <c r="AB1014" s="129">
        <f t="shared" si="364"/>
        <v>925</v>
      </c>
      <c r="AC1014" s="130">
        <v>0</v>
      </c>
      <c r="AD1014" s="35">
        <f t="shared" ref="AD1014:AD1032" si="389">ROUND(AB1014-AC1014,0)</f>
        <v>925</v>
      </c>
      <c r="AE1014" s="166" t="str">
        <f t="shared" ref="AE1014:AE1032" si="390">IF(AC1014&lt;&gt;0,"Yes","Release")</f>
        <v>Release</v>
      </c>
      <c r="AF1014" s="127"/>
      <c r="AG1014" s="18">
        <v>0</v>
      </c>
      <c r="AH1014" s="132"/>
      <c r="AI1014" s="238">
        <v>0</v>
      </c>
      <c r="AJ1014" s="132"/>
      <c r="AK1014" s="151">
        <v>174.60000000000002</v>
      </c>
      <c r="AL1014" s="154">
        <f t="shared" ref="AL1014:AL1032" si="391">COUNTIF(AK1014:AK1014,"=NA")</f>
        <v>0</v>
      </c>
      <c r="AM1014" s="155"/>
      <c r="AN1014" s="19">
        <f t="shared" ref="AN1014:AN1032" si="392">((MIN(IF(A1014&gt;0,MAX(N1014*2%,1861),0),A1014)))+0</f>
        <v>0</v>
      </c>
      <c r="AO1014" s="118">
        <f>SUMIF('MPG Payment '!E:E,'Shayak Income '!D1014,'MPG Payment '!AJ:AJ)</f>
        <v>0</v>
      </c>
      <c r="AP1014" s="19">
        <f t="shared" ref="AP1014:AP1032" si="393">W1014</f>
        <v>0</v>
      </c>
      <c r="AQ1014" s="119">
        <f t="shared" ref="AQ1014:AQ1032" si="394">AO1014+AP1014</f>
        <v>0</v>
      </c>
      <c r="AR1014" s="91" t="s">
        <v>1144</v>
      </c>
      <c r="AS1014" s="91">
        <f t="shared" ref="AS1014:AS1032" si="395">B1014-X1014</f>
        <v>0</v>
      </c>
      <c r="AT1014" s="118"/>
      <c r="AU1014" s="118"/>
      <c r="AV1014" s="118"/>
    </row>
    <row r="1015" spans="1:48" s="20" customFormat="1" x14ac:dyDescent="0.25">
      <c r="A1015" s="17">
        <f>IFERROR(VLOOKUP(D1015,'Monthly Deduction'!$I$3:$J$957,2,0),0)</f>
        <v>0</v>
      </c>
      <c r="B1015" s="17">
        <f>IFERROR(VLOOKUP(D1015,'Monthly Deduction'!$E$3:$F$957,2,0),0)</f>
        <v>0</v>
      </c>
      <c r="C1015" s="17">
        <f t="shared" si="384"/>
        <v>0</v>
      </c>
      <c r="D1015" s="41">
        <v>10630041</v>
      </c>
      <c r="E1015" s="122" t="str">
        <f>VLOOKUP(D1015,'MPG Payment '!$E$3:$G$497305,2,0)</f>
        <v>Lakashmipur</v>
      </c>
      <c r="F1015" s="146">
        <f>IFERROR(_xlfn.XLOOKUP(D1015,'Monthly Deduction'!$I$3:$I$957,'Monthly Deduction'!$H$3:$H$957),0)</f>
        <v>0</v>
      </c>
      <c r="G1015" s="123" t="str">
        <f>VLOOKUP(D1015,'MPG Payment '!$E$3:$G$333666,3,0)</f>
        <v>VLC</v>
      </c>
      <c r="H1015" s="124" t="str">
        <f>VLOOKUP(D1015,'MPG Payment '!$E$3:$H$333666,4,0)</f>
        <v>Indirect</v>
      </c>
      <c r="I1015" s="88">
        <f>INDEX('MPG Payment '!$C:$C,MATCH('Shayak Income '!D1015,'MPG Payment '!E:E,0))</f>
        <v>1063</v>
      </c>
      <c r="J1015" s="88" t="str">
        <f>INDEX('MPG Payment '!$D:$D,MATCH('Shayak Income '!D1015,'MPG Payment '!E:E,0))</f>
        <v>Rosera</v>
      </c>
      <c r="K1015" s="125" t="s">
        <v>1593</v>
      </c>
      <c r="L1015" s="125">
        <v>46214</v>
      </c>
      <c r="M1015" s="126">
        <f>SUMIF('MPG Payment '!$E$3:$E$344841,'Shayak Income '!D1015,'MPG Payment '!$I$3:$I$344841)</f>
        <v>174.2</v>
      </c>
      <c r="N1015" s="126">
        <f>SUMIF('MPG Payment '!$E$3:$E$344841,'Shayak Income '!D1015,'MPG Payment '!$J$3:$J$344841)</f>
        <v>6039.84</v>
      </c>
      <c r="O1015" s="126">
        <f t="shared" si="385"/>
        <v>130.64999999999998</v>
      </c>
      <c r="P1015" s="126">
        <f t="shared" si="386"/>
        <v>165.48999999999998</v>
      </c>
      <c r="Q1015" s="126">
        <f>SUMIF('MPG Payment '!$E$3:$E$344841,'Shayak Income '!D1015,'MPG Payment '!$S$3:$S$344841)</f>
        <v>0</v>
      </c>
      <c r="R1015" s="126">
        <f t="shared" si="387"/>
        <v>181.1952</v>
      </c>
      <c r="S1015" s="126">
        <f t="shared" si="388"/>
        <v>15.705200000000019</v>
      </c>
      <c r="T1015" s="126">
        <f t="shared" si="368"/>
        <v>17.419999999999998</v>
      </c>
      <c r="U1015" s="127">
        <f>((((((IF(K1015="New",0,SUMIF('MPG Payment '!$E$3:$E$344841,'Shayak Income '!D1015,'MPG Payment '!$AC$3:$AC$344841))))+0)+0)+0)+0)+0</f>
        <v>0</v>
      </c>
      <c r="V1015" s="127">
        <f t="shared" si="369"/>
        <v>279</v>
      </c>
      <c r="W1015" s="19">
        <v>0</v>
      </c>
      <c r="X1015" s="19">
        <f t="shared" si="363"/>
        <v>0</v>
      </c>
      <c r="Y1015" s="128">
        <f>IFERROR(VLOOKUP(D1015,'Monthly Deduction'!$M$2:$N$640,2,0),0)</f>
        <v>0</v>
      </c>
      <c r="Z1015" s="128">
        <v>0</v>
      </c>
      <c r="AA1015" s="126">
        <f>IFERROR(VLOOKUP(D1015,'Monthly Deduction'!A:B,2,0),0)</f>
        <v>0</v>
      </c>
      <c r="AB1015" s="129">
        <f t="shared" si="364"/>
        <v>279</v>
      </c>
      <c r="AC1015" s="130">
        <f>AB1015</f>
        <v>279</v>
      </c>
      <c r="AD1015" s="35">
        <f t="shared" si="389"/>
        <v>0</v>
      </c>
      <c r="AE1015" s="166" t="str">
        <f t="shared" si="390"/>
        <v>Yes</v>
      </c>
      <c r="AF1015" s="127"/>
      <c r="AG1015" s="18">
        <v>0</v>
      </c>
      <c r="AH1015" s="132" t="s">
        <v>1597</v>
      </c>
      <c r="AI1015" s="238">
        <v>0</v>
      </c>
      <c r="AJ1015" s="132"/>
      <c r="AK1015" s="151">
        <v>0</v>
      </c>
      <c r="AL1015" s="154">
        <f t="shared" si="391"/>
        <v>0</v>
      </c>
      <c r="AM1015" s="155"/>
      <c r="AN1015" s="19">
        <f t="shared" si="392"/>
        <v>0</v>
      </c>
      <c r="AO1015" s="118">
        <f>SUMIF('MPG Payment '!E:E,'Shayak Income '!D1015,'MPG Payment '!AJ:AJ)</f>
        <v>0</v>
      </c>
      <c r="AP1015" s="19">
        <f t="shared" si="393"/>
        <v>0</v>
      </c>
      <c r="AQ1015" s="119">
        <f t="shared" si="394"/>
        <v>0</v>
      </c>
      <c r="AR1015" s="91" t="s">
        <v>1144</v>
      </c>
      <c r="AS1015" s="91">
        <f t="shared" si="395"/>
        <v>0</v>
      </c>
      <c r="AT1015" s="118"/>
      <c r="AU1015" s="118"/>
      <c r="AV1015" s="118"/>
    </row>
    <row r="1016" spans="1:48" s="20" customFormat="1" x14ac:dyDescent="0.25">
      <c r="A1016" s="17">
        <f>IFERROR(VLOOKUP(D1016,'Monthly Deduction'!$I$3:$J$957,2,0),0)</f>
        <v>0</v>
      </c>
      <c r="B1016" s="17">
        <f>IFERROR(VLOOKUP(D1016,'Monthly Deduction'!$E$3:$F$957,2,0),0)</f>
        <v>0</v>
      </c>
      <c r="C1016" s="17">
        <f t="shared" si="384"/>
        <v>0</v>
      </c>
      <c r="D1016" s="41">
        <v>10630042</v>
      </c>
      <c r="E1016" s="122" t="str">
        <f>VLOOKUP(D1016,'MPG Payment '!$E$3:$G$497305,2,0)</f>
        <v>Jahangirpur</v>
      </c>
      <c r="F1016" s="146">
        <f>IFERROR(_xlfn.XLOOKUP(D1016,'Monthly Deduction'!$I$3:$I$957,'Monthly Deduction'!$H$3:$H$957),0)</f>
        <v>0</v>
      </c>
      <c r="G1016" s="123" t="str">
        <f>VLOOKUP(D1016,'MPG Payment '!$E$3:$G$333666,3,0)</f>
        <v>VLC</v>
      </c>
      <c r="H1016" s="124" t="str">
        <f>VLOOKUP(D1016,'MPG Payment '!$E$3:$H$333666,4,0)</f>
        <v>Indirect</v>
      </c>
      <c r="I1016" s="88">
        <f>INDEX('MPG Payment '!$C:$C,MATCH('Shayak Income '!D1016,'MPG Payment '!E:E,0))</f>
        <v>1063</v>
      </c>
      <c r="J1016" s="88" t="str">
        <f>INDEX('MPG Payment '!$D:$D,MATCH('Shayak Income '!D1016,'MPG Payment '!E:E,0))</f>
        <v>Rosera</v>
      </c>
      <c r="K1016" s="125" t="s">
        <v>1593</v>
      </c>
      <c r="L1016" s="125">
        <v>46213</v>
      </c>
      <c r="M1016" s="126">
        <f>SUMIF('MPG Payment '!$E$3:$E$344841,'Shayak Income '!D1016,'MPG Payment '!$I$3:$I$344841)</f>
        <v>496.19999999999993</v>
      </c>
      <c r="N1016" s="126">
        <f>SUMIF('MPG Payment '!$E$3:$E$344841,'Shayak Income '!D1016,'MPG Payment '!$J$3:$J$344841)</f>
        <v>16280.420000000002</v>
      </c>
      <c r="O1016" s="126">
        <f t="shared" si="385"/>
        <v>372.15</v>
      </c>
      <c r="P1016" s="126">
        <f t="shared" si="386"/>
        <v>471.38999999999993</v>
      </c>
      <c r="Q1016" s="126">
        <f>SUMIF('MPG Payment '!$E$3:$E$344841,'Shayak Income '!D1016,'MPG Payment '!$S$3:$S$344841)</f>
        <v>0</v>
      </c>
      <c r="R1016" s="126">
        <f t="shared" si="387"/>
        <v>488.41260000000005</v>
      </c>
      <c r="S1016" s="126">
        <f t="shared" si="388"/>
        <v>17.022600000000125</v>
      </c>
      <c r="T1016" s="126">
        <f t="shared" si="368"/>
        <v>49.62</v>
      </c>
      <c r="U1016" s="127">
        <f>((((((IF(K1016="New",0,SUMIF('MPG Payment '!$E$3:$E$344841,'Shayak Income '!D1016,'MPG Payment '!$AC$3:$AC$344841))))+0)+0)+0)+0)+0</f>
        <v>0</v>
      </c>
      <c r="V1016" s="127">
        <f t="shared" si="369"/>
        <v>794</v>
      </c>
      <c r="W1016" s="19">
        <v>0</v>
      </c>
      <c r="X1016" s="19">
        <f t="shared" si="363"/>
        <v>0</v>
      </c>
      <c r="Y1016" s="128">
        <f>IFERROR(VLOOKUP(D1016,'Monthly Deduction'!$M$2:$N$640,2,0),0)</f>
        <v>0</v>
      </c>
      <c r="Z1016" s="128">
        <v>0</v>
      </c>
      <c r="AA1016" s="126">
        <f>IFERROR(VLOOKUP(D1016,'Monthly Deduction'!A:B,2,0),0)</f>
        <v>0</v>
      </c>
      <c r="AB1016" s="129">
        <f t="shared" si="364"/>
        <v>794</v>
      </c>
      <c r="AC1016" s="130">
        <v>0</v>
      </c>
      <c r="AD1016" s="35">
        <f t="shared" si="389"/>
        <v>794</v>
      </c>
      <c r="AE1016" s="166" t="str">
        <f t="shared" si="390"/>
        <v>Release</v>
      </c>
      <c r="AF1016" s="127"/>
      <c r="AG1016" s="18">
        <v>0</v>
      </c>
      <c r="AH1016" s="132"/>
      <c r="AI1016" s="238">
        <v>0</v>
      </c>
      <c r="AJ1016" s="132"/>
      <c r="AK1016" s="151">
        <v>119</v>
      </c>
      <c r="AL1016" s="154">
        <f t="shared" si="391"/>
        <v>0</v>
      </c>
      <c r="AM1016" s="155"/>
      <c r="AN1016" s="19">
        <f t="shared" si="392"/>
        <v>0</v>
      </c>
      <c r="AO1016" s="118">
        <f>SUMIF('MPG Payment '!E:E,'Shayak Income '!D1016,'MPG Payment '!AJ:AJ)</f>
        <v>0</v>
      </c>
      <c r="AP1016" s="19">
        <f t="shared" si="393"/>
        <v>0</v>
      </c>
      <c r="AQ1016" s="119">
        <f t="shared" si="394"/>
        <v>0</v>
      </c>
      <c r="AR1016" s="91" t="s">
        <v>1144</v>
      </c>
      <c r="AS1016" s="91">
        <f t="shared" si="395"/>
        <v>0</v>
      </c>
      <c r="AT1016" s="118"/>
      <c r="AU1016" s="118"/>
      <c r="AV1016" s="118"/>
    </row>
    <row r="1017" spans="1:48" s="20" customFormat="1" x14ac:dyDescent="0.25">
      <c r="A1017" s="17">
        <f>IFERROR(VLOOKUP(D1017,'Monthly Deduction'!$I$3:$J$957,2,0),0)</f>
        <v>0</v>
      </c>
      <c r="B1017" s="17">
        <f>IFERROR(VLOOKUP(D1017,'Monthly Deduction'!$E$3:$F$957,2,0),0)</f>
        <v>0</v>
      </c>
      <c r="C1017" s="17">
        <f t="shared" si="384"/>
        <v>0</v>
      </c>
      <c r="D1017" s="41">
        <v>10630043</v>
      </c>
      <c r="E1017" s="122" t="str">
        <f>VLOOKUP(D1017,'MPG Payment '!$E$3:$G$497305,2,0)</f>
        <v>Tolapur Durgasthan</v>
      </c>
      <c r="F1017" s="146">
        <f>IFERROR(_xlfn.XLOOKUP(D1017,'Monthly Deduction'!$I$3:$I$957,'Monthly Deduction'!$H$3:$H$957),0)</f>
        <v>0</v>
      </c>
      <c r="G1017" s="123" t="str">
        <f>VLOOKUP(D1017,'MPG Payment '!$E$3:$G$333666,3,0)</f>
        <v>VLC</v>
      </c>
      <c r="H1017" s="124" t="str">
        <f>VLOOKUP(D1017,'MPG Payment '!$E$3:$H$333666,4,0)</f>
        <v>Indirect</v>
      </c>
      <c r="I1017" s="88">
        <f>INDEX('MPG Payment '!$C:$C,MATCH('Shayak Income '!D1017,'MPG Payment '!E:E,0))</f>
        <v>1063</v>
      </c>
      <c r="J1017" s="88" t="str">
        <f>INDEX('MPG Payment '!$D:$D,MATCH('Shayak Income '!D1017,'MPG Payment '!E:E,0))</f>
        <v>Rosera</v>
      </c>
      <c r="K1017" s="125" t="s">
        <v>1593</v>
      </c>
      <c r="L1017" s="125">
        <v>46213</v>
      </c>
      <c r="M1017" s="126">
        <f>SUMIF('MPG Payment '!$E$3:$E$344841,'Shayak Income '!D1017,'MPG Payment '!$I$3:$I$344841)</f>
        <v>140.19999999999999</v>
      </c>
      <c r="N1017" s="126">
        <f>SUMIF('MPG Payment '!$E$3:$E$344841,'Shayak Income '!D1017,'MPG Payment '!$J$3:$J$344841)</f>
        <v>4688</v>
      </c>
      <c r="O1017" s="126">
        <f t="shared" si="385"/>
        <v>105.14999999999999</v>
      </c>
      <c r="P1017" s="126">
        <f t="shared" si="386"/>
        <v>133.18999999999997</v>
      </c>
      <c r="Q1017" s="126">
        <f>SUMIF('MPG Payment '!$E$3:$E$344841,'Shayak Income '!D1017,'MPG Payment '!$S$3:$S$344841)</f>
        <v>0</v>
      </c>
      <c r="R1017" s="126">
        <f t="shared" si="387"/>
        <v>140.63999999999999</v>
      </c>
      <c r="S1017" s="126">
        <f t="shared" si="388"/>
        <v>7.4500000000000171</v>
      </c>
      <c r="T1017" s="126">
        <f t="shared" si="368"/>
        <v>14.02</v>
      </c>
      <c r="U1017" s="127">
        <f>((((((IF(K1017="New",0,SUMIF('MPG Payment '!$E$3:$E$344841,'Shayak Income '!D1017,'MPG Payment '!$AC$3:$AC$344841))))+0)+0)+0)+0)+0</f>
        <v>0</v>
      </c>
      <c r="V1017" s="127">
        <f t="shared" si="369"/>
        <v>224</v>
      </c>
      <c r="W1017" s="19">
        <v>0</v>
      </c>
      <c r="X1017" s="19">
        <f t="shared" si="363"/>
        <v>0</v>
      </c>
      <c r="Y1017" s="128">
        <f>IFERROR(VLOOKUP(D1017,'Monthly Deduction'!$M$2:$N$640,2,0),0)</f>
        <v>0</v>
      </c>
      <c r="Z1017" s="128">
        <v>0</v>
      </c>
      <c r="AA1017" s="126">
        <f>IFERROR(VLOOKUP(D1017,'Monthly Deduction'!A:B,2,0),0)</f>
        <v>0</v>
      </c>
      <c r="AB1017" s="129">
        <f t="shared" si="364"/>
        <v>224</v>
      </c>
      <c r="AC1017" s="130">
        <v>0</v>
      </c>
      <c r="AD1017" s="35">
        <f t="shared" si="389"/>
        <v>224</v>
      </c>
      <c r="AE1017" s="166" t="str">
        <f t="shared" si="390"/>
        <v>Release</v>
      </c>
      <c r="AF1017" s="127"/>
      <c r="AG1017" s="18">
        <v>0</v>
      </c>
      <c r="AH1017" s="132"/>
      <c r="AI1017" s="238">
        <v>0</v>
      </c>
      <c r="AJ1017" s="132"/>
      <c r="AK1017" s="151">
        <v>47.599999999999994</v>
      </c>
      <c r="AL1017" s="154">
        <f t="shared" si="391"/>
        <v>0</v>
      </c>
      <c r="AM1017" s="155"/>
      <c r="AN1017" s="19">
        <f t="shared" si="392"/>
        <v>0</v>
      </c>
      <c r="AO1017" s="118">
        <f>SUMIF('MPG Payment '!E:E,'Shayak Income '!D1017,'MPG Payment '!AJ:AJ)</f>
        <v>0</v>
      </c>
      <c r="AP1017" s="19">
        <f t="shared" si="393"/>
        <v>0</v>
      </c>
      <c r="AQ1017" s="119">
        <f t="shared" si="394"/>
        <v>0</v>
      </c>
      <c r="AR1017" s="91" t="s">
        <v>1144</v>
      </c>
      <c r="AS1017" s="91">
        <f t="shared" si="395"/>
        <v>0</v>
      </c>
      <c r="AT1017" s="118"/>
      <c r="AU1017" s="118"/>
      <c r="AV1017" s="118"/>
    </row>
    <row r="1018" spans="1:48" s="20" customFormat="1" x14ac:dyDescent="0.25">
      <c r="A1018" s="17">
        <f>IFERROR(VLOOKUP(D1018,'Monthly Deduction'!$I$3:$J$957,2,0),0)</f>
        <v>65000</v>
      </c>
      <c r="B1018" s="17">
        <f>IFERROR(VLOOKUP(D1018,'Monthly Deduction'!$E$3:$F$957,2,0),0)</f>
        <v>0</v>
      </c>
      <c r="C1018" s="17">
        <f t="shared" si="384"/>
        <v>65000</v>
      </c>
      <c r="D1018" s="41">
        <v>10660026</v>
      </c>
      <c r="E1018" s="122" t="str">
        <f>VLOOKUP(D1018,'MPG Payment '!$E$3:$G$497305,2,0)</f>
        <v>GOMUKH  DAGHRAUL</v>
      </c>
      <c r="F1018" s="146">
        <f>IFERROR(_xlfn.XLOOKUP(D1018,'Monthly Deduction'!$I$3:$I$957,'Monthly Deduction'!$H$3:$H$957),0)</f>
        <v>0</v>
      </c>
      <c r="G1018" s="123" t="str">
        <f>VLOOKUP(D1018,'MPG Payment '!$E$3:$G$333666,3,0)</f>
        <v>VLC</v>
      </c>
      <c r="H1018" s="124" t="str">
        <f>VLOOKUP(D1018,'MPG Payment '!$E$3:$H$333666,4,0)</f>
        <v>Direct</v>
      </c>
      <c r="I1018" s="88">
        <f>INDEX('MPG Payment '!$C:$C,MATCH('Shayak Income '!D1018,'MPG Payment '!E:E,0))</f>
        <v>1066</v>
      </c>
      <c r="J1018" s="88" t="str">
        <f>INDEX('MPG Payment '!$D:$D,MATCH('Shayak Income '!D1018,'MPG Payment '!E:E,0))</f>
        <v>Gaighat</v>
      </c>
      <c r="K1018" s="125" t="s">
        <v>1593</v>
      </c>
      <c r="L1018" s="125">
        <v>46218</v>
      </c>
      <c r="M1018" s="126">
        <f>SUMIF('MPG Payment '!$E$3:$E$344841,'Shayak Income '!D1018,'MPG Payment '!$I$3:$I$344841)</f>
        <v>491.1</v>
      </c>
      <c r="N1018" s="126">
        <f>SUMIF('MPG Payment '!$E$3:$E$344841,'Shayak Income '!D1018,'MPG Payment '!$J$3:$J$344841)</f>
        <v>21923.559999999998</v>
      </c>
      <c r="O1018" s="126">
        <f t="shared" si="385"/>
        <v>368.32500000000005</v>
      </c>
      <c r="P1018" s="126">
        <f t="shared" si="386"/>
        <v>466.54500000000002</v>
      </c>
      <c r="Q1018" s="126">
        <f>SUMIF('MPG Payment '!$E$3:$E$344841,'Shayak Income '!D1018,'MPG Payment '!$S$3:$S$344841)</f>
        <v>0</v>
      </c>
      <c r="R1018" s="126">
        <f t="shared" si="387"/>
        <v>657.70679999999993</v>
      </c>
      <c r="S1018" s="126">
        <f t="shared" si="388"/>
        <v>191.16179999999991</v>
      </c>
      <c r="T1018" s="126">
        <f t="shared" si="368"/>
        <v>49.110000000000007</v>
      </c>
      <c r="U1018" s="127">
        <f>((((((IF(K1018="New",0,SUMIF('MPG Payment '!$E$3:$E$344841,'Shayak Income '!D1018,'MPG Payment '!$AC$3:$AC$344841))))+0)+0)+0)+0)+0</f>
        <v>0</v>
      </c>
      <c r="V1018" s="127">
        <f t="shared" si="369"/>
        <v>786</v>
      </c>
      <c r="W1018" s="19">
        <v>0</v>
      </c>
      <c r="X1018" s="19">
        <f t="shared" si="363"/>
        <v>0</v>
      </c>
      <c r="Y1018" s="128">
        <f>IFERROR(VLOOKUP(D1018,'Monthly Deduction'!$M$2:$N$640,2,0),0)</f>
        <v>0</v>
      </c>
      <c r="Z1018" s="128">
        <v>0</v>
      </c>
      <c r="AA1018" s="126">
        <f>IFERROR(VLOOKUP(D1018,'Monthly Deduction'!A:B,2,0),0)</f>
        <v>0</v>
      </c>
      <c r="AB1018" s="129">
        <f t="shared" si="364"/>
        <v>786</v>
      </c>
      <c r="AC1018" s="130">
        <f t="shared" ref="AC1018:AC1021" si="396">AB1018</f>
        <v>786</v>
      </c>
      <c r="AD1018" s="35">
        <f t="shared" si="389"/>
        <v>0</v>
      </c>
      <c r="AE1018" s="166" t="str">
        <f t="shared" si="390"/>
        <v>Yes</v>
      </c>
      <c r="AF1018" s="127"/>
      <c r="AG1018" s="18">
        <v>0</v>
      </c>
      <c r="AH1018" s="120" t="s">
        <v>1683</v>
      </c>
      <c r="AI1018" s="238">
        <v>0</v>
      </c>
      <c r="AJ1018" s="132"/>
      <c r="AK1018" s="151">
        <v>195.99999999999997</v>
      </c>
      <c r="AL1018" s="154">
        <f t="shared" si="391"/>
        <v>0</v>
      </c>
      <c r="AM1018" s="155"/>
      <c r="AN1018" s="19">
        <f t="shared" si="392"/>
        <v>1861</v>
      </c>
      <c r="AO1018" s="118">
        <f>SUMIF('MPG Payment '!E:E,'Shayak Income '!D1018,'MPG Payment '!AJ:AJ)</f>
        <v>0</v>
      </c>
      <c r="AP1018" s="19">
        <f t="shared" si="393"/>
        <v>0</v>
      </c>
      <c r="AQ1018" s="119">
        <f t="shared" si="394"/>
        <v>0</v>
      </c>
      <c r="AR1018" s="91" t="s">
        <v>1144</v>
      </c>
      <c r="AS1018" s="91">
        <f t="shared" si="395"/>
        <v>0</v>
      </c>
      <c r="AT1018" s="118"/>
      <c r="AU1018" s="118"/>
      <c r="AV1018" s="118"/>
    </row>
    <row r="1019" spans="1:48" s="20" customFormat="1" x14ac:dyDescent="0.25">
      <c r="A1019" s="17">
        <f>IFERROR(VLOOKUP(D1019,'Monthly Deduction'!$I$3:$J$957,2,0),0)</f>
        <v>75000</v>
      </c>
      <c r="B1019" s="17">
        <f>IFERROR(VLOOKUP(D1019,'Monthly Deduction'!$E$3:$F$957,2,0),0)</f>
        <v>0</v>
      </c>
      <c r="C1019" s="17">
        <f t="shared" si="384"/>
        <v>75000</v>
      </c>
      <c r="D1019" s="41">
        <v>10660027</v>
      </c>
      <c r="E1019" s="122" t="str">
        <f>VLOOKUP(D1019,'MPG Payment '!$E$3:$G$497305,2,0)</f>
        <v>GOMUKH RUPAULI</v>
      </c>
      <c r="F1019" s="146">
        <f>IFERROR(_xlfn.XLOOKUP(D1019,'Monthly Deduction'!$I$3:$I$957,'Monthly Deduction'!$H$3:$H$957),0)</f>
        <v>0</v>
      </c>
      <c r="G1019" s="123" t="str">
        <f>VLOOKUP(D1019,'MPG Payment '!$E$3:$G$333666,3,0)</f>
        <v>VLC</v>
      </c>
      <c r="H1019" s="124" t="str">
        <f>VLOOKUP(D1019,'MPG Payment '!$E$3:$H$333666,4,0)</f>
        <v>Direct</v>
      </c>
      <c r="I1019" s="88">
        <f>INDEX('MPG Payment '!$C:$C,MATCH('Shayak Income '!D1019,'MPG Payment '!E:E,0))</f>
        <v>1066</v>
      </c>
      <c r="J1019" s="88" t="str">
        <f>INDEX('MPG Payment '!$D:$D,MATCH('Shayak Income '!D1019,'MPG Payment '!E:E,0))</f>
        <v>Gaighat</v>
      </c>
      <c r="K1019" s="125" t="s">
        <v>1593</v>
      </c>
      <c r="L1019" s="125">
        <v>46218</v>
      </c>
      <c r="M1019" s="126">
        <f>SUMIF('MPG Payment '!$E$3:$E$344841,'Shayak Income '!D1019,'MPG Payment '!$I$3:$I$344841)</f>
        <v>1108.9000000000001</v>
      </c>
      <c r="N1019" s="126">
        <f>SUMIF('MPG Payment '!$E$3:$E$344841,'Shayak Income '!D1019,'MPG Payment '!$J$3:$J$344841)</f>
        <v>47619.179999999993</v>
      </c>
      <c r="O1019" s="126">
        <f t="shared" si="385"/>
        <v>831.67500000000007</v>
      </c>
      <c r="P1019" s="126">
        <f t="shared" si="386"/>
        <v>1053.4549999999999</v>
      </c>
      <c r="Q1019" s="126">
        <f>SUMIF('MPG Payment '!$E$3:$E$344841,'Shayak Income '!D1019,'MPG Payment '!$S$3:$S$344841)</f>
        <v>0</v>
      </c>
      <c r="R1019" s="126">
        <f t="shared" si="387"/>
        <v>1428.5753999999997</v>
      </c>
      <c r="S1019" s="126">
        <f t="shared" si="388"/>
        <v>375.12039999999979</v>
      </c>
      <c r="T1019" s="126">
        <f t="shared" si="368"/>
        <v>110.89000000000001</v>
      </c>
      <c r="U1019" s="127">
        <f>((((((IF(K1019="New",0,SUMIF('MPG Payment '!$E$3:$E$344841,'Shayak Income '!D1019,'MPG Payment '!$AC$3:$AC$344841))))+0)+0)+0)+0)+0</f>
        <v>0</v>
      </c>
      <c r="V1019" s="127">
        <f t="shared" si="369"/>
        <v>1774</v>
      </c>
      <c r="W1019" s="19">
        <v>0</v>
      </c>
      <c r="X1019" s="19">
        <f t="shared" si="363"/>
        <v>0</v>
      </c>
      <c r="Y1019" s="128">
        <f>IFERROR(VLOOKUP(D1019,'Monthly Deduction'!$M$2:$N$640,2,0),0)</f>
        <v>0</v>
      </c>
      <c r="Z1019" s="128">
        <v>0</v>
      </c>
      <c r="AA1019" s="126">
        <f>IFERROR(VLOOKUP(D1019,'Monthly Deduction'!A:B,2,0),0)</f>
        <v>0</v>
      </c>
      <c r="AB1019" s="129">
        <f t="shared" si="364"/>
        <v>1774</v>
      </c>
      <c r="AC1019" s="130">
        <f t="shared" si="396"/>
        <v>1774</v>
      </c>
      <c r="AD1019" s="35">
        <f t="shared" si="389"/>
        <v>0</v>
      </c>
      <c r="AE1019" s="166" t="str">
        <f t="shared" si="390"/>
        <v>Yes</v>
      </c>
      <c r="AF1019" s="127"/>
      <c r="AG1019" s="18">
        <v>0</v>
      </c>
      <c r="AH1019" s="120" t="s">
        <v>1686</v>
      </c>
      <c r="AI1019" s="238">
        <v>10000</v>
      </c>
      <c r="AJ1019" s="132"/>
      <c r="AK1019" s="151">
        <v>400.2</v>
      </c>
      <c r="AL1019" s="154">
        <f t="shared" si="391"/>
        <v>0</v>
      </c>
      <c r="AM1019" s="155"/>
      <c r="AN1019" s="19">
        <f t="shared" si="392"/>
        <v>1861</v>
      </c>
      <c r="AO1019" s="118">
        <f>SUMIF('MPG Payment '!E:E,'Shayak Income '!D1019,'MPG Payment '!AJ:AJ)</f>
        <v>0</v>
      </c>
      <c r="AP1019" s="19">
        <f t="shared" si="393"/>
        <v>0</v>
      </c>
      <c r="AQ1019" s="119">
        <f t="shared" si="394"/>
        <v>0</v>
      </c>
      <c r="AR1019" s="91" t="s">
        <v>1144</v>
      </c>
      <c r="AS1019" s="91">
        <f t="shared" si="395"/>
        <v>0</v>
      </c>
      <c r="AT1019" s="118"/>
      <c r="AU1019" s="118"/>
      <c r="AV1019" s="118"/>
    </row>
    <row r="1020" spans="1:48" s="20" customFormat="1" x14ac:dyDescent="0.25">
      <c r="A1020" s="17">
        <f>IFERROR(VLOOKUP(D1020,'Monthly Deduction'!$I$3:$J$957,2,0),0)</f>
        <v>75000</v>
      </c>
      <c r="B1020" s="17">
        <f>IFERROR(VLOOKUP(D1020,'Monthly Deduction'!$E$3:$F$957,2,0),0)</f>
        <v>0</v>
      </c>
      <c r="C1020" s="17">
        <f t="shared" si="384"/>
        <v>75000</v>
      </c>
      <c r="D1020" s="41">
        <v>10660029</v>
      </c>
      <c r="E1020" s="122" t="str">
        <f>VLOOKUP(D1020,'MPG Payment '!$E$3:$G$497305,2,0)</f>
        <v>GOMUKH VISHANPUR MORO</v>
      </c>
      <c r="F1020" s="146">
        <f>IFERROR(_xlfn.XLOOKUP(D1020,'Monthly Deduction'!$I$3:$I$957,'Monthly Deduction'!$H$3:$H$957),0)</f>
        <v>0</v>
      </c>
      <c r="G1020" s="123" t="str">
        <f>VLOOKUP(D1020,'MPG Payment '!$E$3:$G$333666,3,0)</f>
        <v>VLC</v>
      </c>
      <c r="H1020" s="124" t="str">
        <f>VLOOKUP(D1020,'MPG Payment '!$E$3:$H$333666,4,0)</f>
        <v>Direct</v>
      </c>
      <c r="I1020" s="88">
        <f>INDEX('MPG Payment '!$C:$C,MATCH('Shayak Income '!D1020,'MPG Payment '!E:E,0))</f>
        <v>1066</v>
      </c>
      <c r="J1020" s="88" t="str">
        <f>INDEX('MPG Payment '!$D:$D,MATCH('Shayak Income '!D1020,'MPG Payment '!E:E,0))</f>
        <v>Gaighat</v>
      </c>
      <c r="K1020" s="125" t="s">
        <v>1593</v>
      </c>
      <c r="L1020" s="125">
        <v>46218</v>
      </c>
      <c r="M1020" s="126">
        <f>SUMIF('MPG Payment '!$E$3:$E$344841,'Shayak Income '!D1020,'MPG Payment '!$I$3:$I$344841)</f>
        <v>420.9</v>
      </c>
      <c r="N1020" s="126">
        <f>SUMIF('MPG Payment '!$E$3:$E$344841,'Shayak Income '!D1020,'MPG Payment '!$J$3:$J$344841)</f>
        <v>18583.72</v>
      </c>
      <c r="O1020" s="126">
        <f t="shared" si="385"/>
        <v>315.67499999999995</v>
      </c>
      <c r="P1020" s="126">
        <f t="shared" si="386"/>
        <v>399.85499999999996</v>
      </c>
      <c r="Q1020" s="126">
        <f>SUMIF('MPG Payment '!$E$3:$E$344841,'Shayak Income '!D1020,'MPG Payment '!$S$3:$S$344841)</f>
        <v>0</v>
      </c>
      <c r="R1020" s="126">
        <f t="shared" si="387"/>
        <v>557.51160000000004</v>
      </c>
      <c r="S1020" s="126">
        <f t="shared" si="388"/>
        <v>157.65660000000008</v>
      </c>
      <c r="T1020" s="126">
        <f t="shared" si="368"/>
        <v>42.09</v>
      </c>
      <c r="U1020" s="127">
        <f>((((((IF(K1020="New",0,SUMIF('MPG Payment '!$E$3:$E$344841,'Shayak Income '!D1020,'MPG Payment '!$AC$3:$AC$344841))))+0)+0)+0)+0)+0</f>
        <v>0</v>
      </c>
      <c r="V1020" s="127">
        <f t="shared" si="369"/>
        <v>673</v>
      </c>
      <c r="W1020" s="19">
        <v>0</v>
      </c>
      <c r="X1020" s="19">
        <f t="shared" si="363"/>
        <v>0</v>
      </c>
      <c r="Y1020" s="128">
        <f>IFERROR(VLOOKUP(D1020,'Monthly Deduction'!$M$2:$N$640,2,0),0)</f>
        <v>0</v>
      </c>
      <c r="Z1020" s="128">
        <v>0</v>
      </c>
      <c r="AA1020" s="126">
        <f>IFERROR(VLOOKUP(D1020,'Monthly Deduction'!A:B,2,0),0)</f>
        <v>0</v>
      </c>
      <c r="AB1020" s="129">
        <f t="shared" si="364"/>
        <v>673</v>
      </c>
      <c r="AC1020" s="130">
        <f t="shared" si="396"/>
        <v>673</v>
      </c>
      <c r="AD1020" s="35">
        <f t="shared" si="389"/>
        <v>0</v>
      </c>
      <c r="AE1020" s="166" t="str">
        <f t="shared" si="390"/>
        <v>Yes</v>
      </c>
      <c r="AF1020" s="127"/>
      <c r="AG1020" s="18">
        <v>0</v>
      </c>
      <c r="AH1020" s="120" t="s">
        <v>1686</v>
      </c>
      <c r="AI1020" s="238">
        <v>10000</v>
      </c>
      <c r="AJ1020" s="132"/>
      <c r="AK1020" s="151">
        <v>360.49999999999994</v>
      </c>
      <c r="AL1020" s="154">
        <f t="shared" si="391"/>
        <v>0</v>
      </c>
      <c r="AM1020" s="155"/>
      <c r="AN1020" s="19">
        <f t="shared" si="392"/>
        <v>1861</v>
      </c>
      <c r="AO1020" s="118">
        <f>SUMIF('MPG Payment '!E:E,'Shayak Income '!D1020,'MPG Payment '!AJ:AJ)</f>
        <v>0</v>
      </c>
      <c r="AP1020" s="19">
        <f t="shared" si="393"/>
        <v>0</v>
      </c>
      <c r="AQ1020" s="119">
        <f t="shared" si="394"/>
        <v>0</v>
      </c>
      <c r="AR1020" s="91" t="s">
        <v>1144</v>
      </c>
      <c r="AS1020" s="91">
        <f t="shared" si="395"/>
        <v>0</v>
      </c>
      <c r="AT1020" s="118"/>
      <c r="AU1020" s="118"/>
      <c r="AV1020" s="118"/>
    </row>
    <row r="1021" spans="1:48" s="20" customFormat="1" x14ac:dyDescent="0.25">
      <c r="A1021" s="17">
        <f>IFERROR(VLOOKUP(D1021,'Monthly Deduction'!$I$3:$J$957,2,0),0)</f>
        <v>0</v>
      </c>
      <c r="B1021" s="17">
        <f>IFERROR(VLOOKUP(D1021,'Monthly Deduction'!$E$3:$F$957,2,0),0)</f>
        <v>0</v>
      </c>
      <c r="C1021" s="17">
        <f t="shared" si="384"/>
        <v>0</v>
      </c>
      <c r="D1021" s="41">
        <v>10020018</v>
      </c>
      <c r="E1021" s="122" t="str">
        <f>VLOOKUP(D1021,'MPG Payment '!$E$3:$G$497305,2,0)</f>
        <v>WAKIL YADAV VLC</v>
      </c>
      <c r="F1021" s="146">
        <f>IFERROR(_xlfn.XLOOKUP(D1021,'Monthly Deduction'!$I$3:$I$957,'Monthly Deduction'!$H$3:$H$957),0)</f>
        <v>0</v>
      </c>
      <c r="G1021" s="123" t="str">
        <f>VLOOKUP(D1021,'MPG Payment '!$E$3:$G$333666,3,0)</f>
        <v>VLC</v>
      </c>
      <c r="H1021" s="124" t="str">
        <f>VLOOKUP(D1021,'MPG Payment '!$E$3:$H$333666,4,0)</f>
        <v>Indirect</v>
      </c>
      <c r="I1021" s="88">
        <f>INDEX('MPG Payment '!$C:$C,MATCH('Shayak Income '!D1021,'MPG Payment '!E:E,0))</f>
        <v>1002</v>
      </c>
      <c r="J1021" s="88" t="str">
        <f>INDEX('MPG Payment '!$D:$D,MATCH('Shayak Income '!D1021,'MPG Payment '!E:E,0))</f>
        <v>Laldiyara</v>
      </c>
      <c r="K1021" s="125" t="s">
        <v>1594</v>
      </c>
      <c r="L1021" s="125">
        <v>44652</v>
      </c>
      <c r="M1021" s="126">
        <f>SUMIF('MPG Payment '!$E$3:$E$344841,'Shayak Income '!D1021,'MPG Payment '!$I$3:$I$344841)</f>
        <v>152.19999999999999</v>
      </c>
      <c r="N1021" s="126">
        <f>SUMIF('MPG Payment '!$E$3:$E$344841,'Shayak Income '!D1021,'MPG Payment '!$J$3:$J$344841)</f>
        <v>7316.95</v>
      </c>
      <c r="O1021" s="126">
        <f t="shared" si="385"/>
        <v>114.14999999999999</v>
      </c>
      <c r="P1021" s="126">
        <f t="shared" si="386"/>
        <v>144.58999999999997</v>
      </c>
      <c r="Q1021" s="126">
        <f>SUMIF('MPG Payment '!$E$3:$E$344841,'Shayak Income '!D1021,'MPG Payment '!$S$3:$S$344841)</f>
        <v>0</v>
      </c>
      <c r="R1021" s="126">
        <f t="shared" si="387"/>
        <v>219.5085</v>
      </c>
      <c r="S1021" s="126">
        <f t="shared" si="388"/>
        <v>74.918500000000023</v>
      </c>
      <c r="T1021" s="126">
        <f t="shared" si="368"/>
        <v>15.219999999999999</v>
      </c>
      <c r="U1021" s="127">
        <f>((((((IF(K1021="New",0,SUMIF('MPG Payment '!$E$3:$E$344841,'Shayak Income '!D1021,'MPG Payment '!$AC$3:$AC$344841))))+0)+0)+0)+0)+-967</f>
        <v>243.12053795379529</v>
      </c>
      <c r="V1021" s="127">
        <f t="shared" si="369"/>
        <v>0</v>
      </c>
      <c r="W1021" s="19">
        <v>0</v>
      </c>
      <c r="X1021" s="19">
        <v>0</v>
      </c>
      <c r="Y1021" s="128">
        <v>0</v>
      </c>
      <c r="Z1021" s="128">
        <v>0</v>
      </c>
      <c r="AA1021" s="126">
        <v>0</v>
      </c>
      <c r="AB1021" s="129">
        <f t="shared" si="364"/>
        <v>0</v>
      </c>
      <c r="AC1021" s="130">
        <f t="shared" si="396"/>
        <v>0</v>
      </c>
      <c r="AD1021" s="35">
        <f t="shared" si="389"/>
        <v>0</v>
      </c>
      <c r="AE1021" s="166" t="str">
        <f t="shared" si="390"/>
        <v>Release</v>
      </c>
      <c r="AF1021" s="127"/>
      <c r="AG1021" s="18">
        <v>0</v>
      </c>
      <c r="AH1021" s="132" t="s">
        <v>1597</v>
      </c>
      <c r="AI1021" s="238">
        <v>0</v>
      </c>
      <c r="AJ1021" s="132"/>
      <c r="AK1021" s="151">
        <v>0</v>
      </c>
      <c r="AL1021" s="154">
        <f t="shared" si="391"/>
        <v>0</v>
      </c>
      <c r="AM1021" s="155"/>
      <c r="AN1021" s="19">
        <f t="shared" si="392"/>
        <v>0</v>
      </c>
      <c r="AO1021" s="118">
        <f>SUMIF('MPG Payment '!E:E,'Shayak Income '!D1021,'MPG Payment '!AJ:AJ)</f>
        <v>0</v>
      </c>
      <c r="AP1021" s="19">
        <f t="shared" si="393"/>
        <v>0</v>
      </c>
      <c r="AQ1021" s="119">
        <f t="shared" si="394"/>
        <v>0</v>
      </c>
      <c r="AR1021" s="91" t="s">
        <v>1144</v>
      </c>
      <c r="AS1021" s="91">
        <f t="shared" si="395"/>
        <v>0</v>
      </c>
      <c r="AT1021" s="118"/>
      <c r="AU1021" s="118"/>
      <c r="AV1021" s="118"/>
    </row>
    <row r="1022" spans="1:48" s="20" customFormat="1" x14ac:dyDescent="0.25">
      <c r="A1022" s="17">
        <f>IFERROR(VLOOKUP(D1022,'Monthly Deduction'!$I$3:$J$957,2,0),0)</f>
        <v>0</v>
      </c>
      <c r="B1022" s="17">
        <f>IFERROR(VLOOKUP(D1022,'Monthly Deduction'!$E$3:$F$957,2,0),0)</f>
        <v>0</v>
      </c>
      <c r="C1022" s="17">
        <f t="shared" si="384"/>
        <v>0</v>
      </c>
      <c r="D1022" s="41">
        <v>10060052</v>
      </c>
      <c r="E1022" s="122" t="str">
        <f>VLOOKUP(D1022,'MPG Payment '!$E$3:$G$497305,2,0)</f>
        <v>ABGIL</v>
      </c>
      <c r="F1022" s="146">
        <f>IFERROR(_xlfn.XLOOKUP(D1022,'Monthly Deduction'!$I$3:$I$957,'Monthly Deduction'!$H$3:$H$957),0)</f>
        <v>0</v>
      </c>
      <c r="G1022" s="123" t="str">
        <f>VLOOKUP(D1022,'MPG Payment '!$E$3:$G$333666,3,0)</f>
        <v>VLC</v>
      </c>
      <c r="H1022" s="124" t="str">
        <f>VLOOKUP(D1022,'MPG Payment '!$E$3:$H$333666,4,0)</f>
        <v>Indirect</v>
      </c>
      <c r="I1022" s="88">
        <f>INDEX('MPG Payment '!$C:$C,MATCH('Shayak Income '!D1022,'MPG Payment '!E:E,0))</f>
        <v>1006</v>
      </c>
      <c r="J1022" s="88" t="str">
        <f>INDEX('MPG Payment '!$D:$D,MATCH('Shayak Income '!D1022,'MPG Payment '!E:E,0))</f>
        <v>Sonvarsha</v>
      </c>
      <c r="K1022" s="125" t="s">
        <v>1594</v>
      </c>
      <c r="L1022" s="125">
        <v>45254</v>
      </c>
      <c r="M1022" s="126">
        <f>SUMIF('MPG Payment '!$E$3:$E$344841,'Shayak Income '!D1022,'MPG Payment '!$I$3:$I$344841)</f>
        <v>842.8</v>
      </c>
      <c r="N1022" s="126">
        <f>SUMIF('MPG Payment '!$E$3:$E$344841,'Shayak Income '!D1022,'MPG Payment '!$J$3:$J$344841)</f>
        <v>32371.300000000003</v>
      </c>
      <c r="O1022" s="126">
        <f t="shared" si="385"/>
        <v>632.09999999999991</v>
      </c>
      <c r="P1022" s="126">
        <f t="shared" si="386"/>
        <v>800.66</v>
      </c>
      <c r="Q1022" s="126">
        <f>SUMIF('MPG Payment '!$E$3:$E$344841,'Shayak Income '!D1022,'MPG Payment '!$S$3:$S$344841)</f>
        <v>0</v>
      </c>
      <c r="R1022" s="126">
        <f t="shared" si="387"/>
        <v>971.13900000000001</v>
      </c>
      <c r="S1022" s="126">
        <f t="shared" si="388"/>
        <v>170.47900000000004</v>
      </c>
      <c r="T1022" s="126">
        <f t="shared" si="368"/>
        <v>84.28</v>
      </c>
      <c r="U1022" s="127">
        <f>((((((IF(K1022="New",0,SUMIF('MPG Payment '!$E$3:$E$344841,'Shayak Income '!D1022,'MPG Payment '!$AC$3:$AC$344841))))+0)+0)+0)+0)+0</f>
        <v>424.77569469086478</v>
      </c>
      <c r="V1022" s="127">
        <f t="shared" si="369"/>
        <v>924</v>
      </c>
      <c r="W1022" s="19">
        <f t="shared" si="371"/>
        <v>0</v>
      </c>
      <c r="X1022" s="19">
        <f t="shared" si="363"/>
        <v>0</v>
      </c>
      <c r="Y1022" s="128">
        <f>IFERROR(VLOOKUP(D1022,'Monthly Deduction'!$M$2:$N$640,2,0),0)</f>
        <v>0</v>
      </c>
      <c r="Z1022" s="128">
        <v>0</v>
      </c>
      <c r="AA1022" s="126">
        <f>IFERROR(VLOOKUP(D1022,'Monthly Deduction'!A:B,2,0),0)</f>
        <v>0</v>
      </c>
      <c r="AB1022" s="129">
        <f t="shared" si="364"/>
        <v>924</v>
      </c>
      <c r="AC1022" s="130">
        <v>0</v>
      </c>
      <c r="AD1022" s="35">
        <f t="shared" si="389"/>
        <v>924</v>
      </c>
      <c r="AE1022" s="166" t="str">
        <f t="shared" si="390"/>
        <v>Release</v>
      </c>
      <c r="AF1022" s="127"/>
      <c r="AG1022" s="18">
        <v>0</v>
      </c>
      <c r="AH1022" s="132"/>
      <c r="AI1022" s="238">
        <v>0</v>
      </c>
      <c r="AJ1022" s="132"/>
      <c r="AK1022" s="151">
        <v>497.99999999999994</v>
      </c>
      <c r="AL1022" s="154">
        <f t="shared" si="391"/>
        <v>0</v>
      </c>
      <c r="AM1022" s="155"/>
      <c r="AN1022" s="19">
        <f t="shared" si="392"/>
        <v>0</v>
      </c>
      <c r="AO1022" s="118">
        <f>SUMIF('MPG Payment '!E:E,'Shayak Income '!D1022,'MPG Payment '!AJ:AJ)</f>
        <v>0</v>
      </c>
      <c r="AP1022" s="19">
        <f t="shared" si="393"/>
        <v>0</v>
      </c>
      <c r="AQ1022" s="119">
        <f t="shared" si="394"/>
        <v>0</v>
      </c>
      <c r="AR1022" s="91" t="s">
        <v>1144</v>
      </c>
      <c r="AS1022" s="91">
        <f t="shared" si="395"/>
        <v>0</v>
      </c>
      <c r="AT1022" s="118"/>
      <c r="AU1022" s="118"/>
      <c r="AV1022" s="118"/>
    </row>
    <row r="1023" spans="1:48" s="20" customFormat="1" x14ac:dyDescent="0.25">
      <c r="A1023" s="17">
        <f>IFERROR(VLOOKUP(D1023,'Monthly Deduction'!$I$3:$J$957,2,0),0)</f>
        <v>0</v>
      </c>
      <c r="B1023" s="17">
        <f>IFERROR(VLOOKUP(D1023,'Monthly Deduction'!$E$3:$F$957,2,0),0)</f>
        <v>0</v>
      </c>
      <c r="C1023" s="17">
        <f t="shared" si="384"/>
        <v>0</v>
      </c>
      <c r="D1023" s="41">
        <v>10100047</v>
      </c>
      <c r="E1023" s="122" t="str">
        <f>VLOOKUP(D1023,'MPG Payment '!$E$3:$G$497305,2,0)</f>
        <v>Gomukh Mahdipur</v>
      </c>
      <c r="F1023" s="146">
        <f>IFERROR(_xlfn.XLOOKUP(D1023,'Monthly Deduction'!$I$3:$I$957,'Monthly Deduction'!$H$3:$H$957),0)</f>
        <v>0</v>
      </c>
      <c r="G1023" s="123" t="str">
        <f>VLOOKUP(D1023,'MPG Payment '!$E$3:$G$333666,3,0)</f>
        <v>VLC</v>
      </c>
      <c r="H1023" s="124" t="str">
        <f>VLOOKUP(D1023,'MPG Payment '!$E$3:$H$333666,4,0)</f>
        <v>Direct</v>
      </c>
      <c r="I1023" s="88">
        <f>INDEX('MPG Payment '!$C:$C,MATCH('Shayak Income '!D1023,'MPG Payment '!E:E,0))</f>
        <v>1010</v>
      </c>
      <c r="J1023" s="88" t="str">
        <f>INDEX('MPG Payment '!$D:$D,MATCH('Shayak Income '!D1023,'MPG Payment '!E:E,0))</f>
        <v>Parbatta</v>
      </c>
      <c r="K1023" s="125" t="s">
        <v>1594</v>
      </c>
      <c r="L1023" s="125">
        <v>45564</v>
      </c>
      <c r="M1023" s="126">
        <f>SUMIF('MPG Payment '!$E$3:$E$344841,'Shayak Income '!D1023,'MPG Payment '!$I$3:$I$344841)</f>
        <v>20.6</v>
      </c>
      <c r="N1023" s="126">
        <f>SUMIF('MPG Payment '!$E$3:$E$344841,'Shayak Income '!D1023,'MPG Payment '!$J$3:$J$344841)</f>
        <v>890.54</v>
      </c>
      <c r="O1023" s="126">
        <f t="shared" si="385"/>
        <v>15.450000000000001</v>
      </c>
      <c r="P1023" s="126">
        <f t="shared" si="386"/>
        <v>19.57</v>
      </c>
      <c r="Q1023" s="126">
        <f>SUMIF('MPG Payment '!$E$3:$E$344841,'Shayak Income '!D1023,'MPG Payment '!$S$3:$S$344841)</f>
        <v>0</v>
      </c>
      <c r="R1023" s="126">
        <f t="shared" si="387"/>
        <v>26.716199999999997</v>
      </c>
      <c r="S1023" s="126">
        <f t="shared" si="388"/>
        <v>7.1461999999999968</v>
      </c>
      <c r="T1023" s="126">
        <f t="shared" si="368"/>
        <v>2.06</v>
      </c>
      <c r="U1023" s="127">
        <f>((((((IF(K1023="New",0,SUMIF('MPG Payment '!$E$3:$E$344841,'Shayak Income '!D1023,'MPG Payment '!$AC$3:$AC$344841))))+0)+0)+0)+0)+-554</f>
        <v>33.410559223300993</v>
      </c>
      <c r="V1023" s="127">
        <f t="shared" si="369"/>
        <v>0</v>
      </c>
      <c r="W1023" s="19">
        <v>0</v>
      </c>
      <c r="X1023" s="19">
        <v>0</v>
      </c>
      <c r="Y1023" s="128">
        <v>0</v>
      </c>
      <c r="Z1023" s="128">
        <v>0</v>
      </c>
      <c r="AA1023" s="126">
        <v>0</v>
      </c>
      <c r="AB1023" s="129">
        <f t="shared" si="364"/>
        <v>0</v>
      </c>
      <c r="AC1023" s="130">
        <f>AB1023</f>
        <v>0</v>
      </c>
      <c r="AD1023" s="35">
        <f t="shared" si="389"/>
        <v>0</v>
      </c>
      <c r="AE1023" s="166" t="str">
        <f t="shared" si="390"/>
        <v>Release</v>
      </c>
      <c r="AF1023" s="127"/>
      <c r="AG1023" s="18">
        <v>0</v>
      </c>
      <c r="AH1023" s="132" t="s">
        <v>1597</v>
      </c>
      <c r="AI1023" s="238">
        <v>0</v>
      </c>
      <c r="AJ1023" s="132"/>
      <c r="AK1023" s="151">
        <v>0</v>
      </c>
      <c r="AL1023" s="154">
        <f t="shared" si="391"/>
        <v>0</v>
      </c>
      <c r="AM1023" s="155"/>
      <c r="AN1023" s="19">
        <f t="shared" si="392"/>
        <v>0</v>
      </c>
      <c r="AO1023" s="118">
        <f>SUMIF('MPG Payment '!E:E,'Shayak Income '!D1023,'MPG Payment '!AJ:AJ)</f>
        <v>0</v>
      </c>
      <c r="AP1023" s="19">
        <f t="shared" si="393"/>
        <v>0</v>
      </c>
      <c r="AQ1023" s="119">
        <f t="shared" si="394"/>
        <v>0</v>
      </c>
      <c r="AR1023" s="91" t="s">
        <v>1144</v>
      </c>
      <c r="AS1023" s="91">
        <f t="shared" si="395"/>
        <v>0</v>
      </c>
      <c r="AT1023" s="118"/>
      <c r="AU1023" s="118"/>
      <c r="AV1023" s="118"/>
    </row>
    <row r="1024" spans="1:48" s="20" customFormat="1" x14ac:dyDescent="0.25">
      <c r="A1024" s="17">
        <f>IFERROR(VLOOKUP(D1024,'Monthly Deduction'!$I$3:$J$957,2,0),0)</f>
        <v>0</v>
      </c>
      <c r="B1024" s="17">
        <f>IFERROR(VLOOKUP(D1024,'Monthly Deduction'!$E$3:$F$957,2,0),0)</f>
        <v>0</v>
      </c>
      <c r="C1024" s="17">
        <f t="shared" si="384"/>
        <v>0</v>
      </c>
      <c r="D1024" s="41">
        <v>10100058</v>
      </c>
      <c r="E1024" s="122" t="str">
        <f>VLOOKUP(D1024,'MPG Payment '!$E$3:$G$497305,2,0)</f>
        <v>Gomukh Bandehra</v>
      </c>
      <c r="F1024" s="146">
        <f>IFERROR(_xlfn.XLOOKUP(D1024,'Monthly Deduction'!$I$3:$I$957,'Monthly Deduction'!$H$3:$H$957),0)</f>
        <v>0</v>
      </c>
      <c r="G1024" s="123" t="str">
        <f>VLOOKUP(D1024,'MPG Payment '!$E$3:$G$333666,3,0)</f>
        <v>VLC</v>
      </c>
      <c r="H1024" s="124" t="str">
        <f>VLOOKUP(D1024,'MPG Payment '!$E$3:$H$333666,4,0)</f>
        <v>Indirect</v>
      </c>
      <c r="I1024" s="88">
        <f>INDEX('MPG Payment '!$C:$C,MATCH('Shayak Income '!D1024,'MPG Payment '!E:E,0))</f>
        <v>1010</v>
      </c>
      <c r="J1024" s="88" t="str">
        <f>INDEX('MPG Payment '!$D:$D,MATCH('Shayak Income '!D1024,'MPG Payment '!E:E,0))</f>
        <v>Parbatta</v>
      </c>
      <c r="K1024" s="125" t="s">
        <v>1594</v>
      </c>
      <c r="L1024" s="125">
        <v>45654</v>
      </c>
      <c r="M1024" s="126">
        <f>SUMIF('MPG Payment '!$E$3:$E$344841,'Shayak Income '!D1024,'MPG Payment '!$I$3:$I$344841)</f>
        <v>1354.5</v>
      </c>
      <c r="N1024" s="126">
        <f>SUMIF('MPG Payment '!$E$3:$E$344841,'Shayak Income '!D1024,'MPG Payment '!$J$3:$J$344841)</f>
        <v>62704.990000000005</v>
      </c>
      <c r="O1024" s="126">
        <f t="shared" si="385"/>
        <v>1015.875</v>
      </c>
      <c r="P1024" s="126">
        <f t="shared" si="386"/>
        <v>1286.7749999999999</v>
      </c>
      <c r="Q1024" s="126">
        <f>SUMIF('MPG Payment '!$E$3:$E$344841,'Shayak Income '!D1024,'MPG Payment '!$S$3:$S$344841)</f>
        <v>0</v>
      </c>
      <c r="R1024" s="126">
        <f t="shared" si="387"/>
        <v>1881.1497000000002</v>
      </c>
      <c r="S1024" s="126">
        <f t="shared" si="388"/>
        <v>594.3747000000003</v>
      </c>
      <c r="T1024" s="126">
        <f t="shared" si="368"/>
        <v>135.45000000000002</v>
      </c>
      <c r="U1024" s="127">
        <f>((((((IF(K1024="New",0,SUMIF('MPG Payment '!$E$3:$E$344841,'Shayak Income '!D1024,'MPG Payment '!$AC$3:$AC$344841))))+0)+0)+0)+0)+0</f>
        <v>42.117596546461435</v>
      </c>
      <c r="V1024" s="127">
        <f t="shared" si="369"/>
        <v>2125</v>
      </c>
      <c r="W1024" s="19">
        <f t="shared" si="371"/>
        <v>0</v>
      </c>
      <c r="X1024" s="19">
        <f t="shared" si="363"/>
        <v>0</v>
      </c>
      <c r="Y1024" s="128">
        <f>IFERROR(VLOOKUP(D1024,'Monthly Deduction'!$M$2:$N$640,2,0),0)</f>
        <v>0</v>
      </c>
      <c r="Z1024" s="128">
        <v>0</v>
      </c>
      <c r="AA1024" s="126">
        <f>IFERROR(VLOOKUP(D1024,'Monthly Deduction'!A:B,2,0),0)</f>
        <v>0</v>
      </c>
      <c r="AB1024" s="129">
        <f t="shared" si="364"/>
        <v>2125</v>
      </c>
      <c r="AC1024" s="130">
        <v>0</v>
      </c>
      <c r="AD1024" s="35">
        <f t="shared" si="389"/>
        <v>2125</v>
      </c>
      <c r="AE1024" s="166" t="str">
        <f t="shared" si="390"/>
        <v>Release</v>
      </c>
      <c r="AF1024" s="127"/>
      <c r="AG1024" s="18">
        <v>0</v>
      </c>
      <c r="AH1024" s="132"/>
      <c r="AI1024" s="238">
        <v>0</v>
      </c>
      <c r="AJ1024" s="132"/>
      <c r="AK1024" s="151">
        <v>630.4</v>
      </c>
      <c r="AL1024" s="154">
        <f t="shared" si="391"/>
        <v>0</v>
      </c>
      <c r="AM1024" s="155"/>
      <c r="AN1024" s="19">
        <f t="shared" si="392"/>
        <v>0</v>
      </c>
      <c r="AO1024" s="118">
        <f>SUMIF('MPG Payment '!E:E,'Shayak Income '!D1024,'MPG Payment '!AJ:AJ)</f>
        <v>0</v>
      </c>
      <c r="AP1024" s="19">
        <f t="shared" si="393"/>
        <v>0</v>
      </c>
      <c r="AQ1024" s="119">
        <f t="shared" si="394"/>
        <v>0</v>
      </c>
      <c r="AR1024" s="91" t="s">
        <v>1144</v>
      </c>
      <c r="AS1024" s="91">
        <f t="shared" si="395"/>
        <v>0</v>
      </c>
      <c r="AT1024" s="118"/>
      <c r="AU1024" s="118"/>
      <c r="AV1024" s="118"/>
    </row>
    <row r="1025" spans="1:48" s="20" customFormat="1" x14ac:dyDescent="0.25">
      <c r="A1025" s="17">
        <f>IFERROR(VLOOKUP(D1025,'Monthly Deduction'!$I$3:$J$957,2,0),0)</f>
        <v>0</v>
      </c>
      <c r="B1025" s="17">
        <f>IFERROR(VLOOKUP(D1025,'Monthly Deduction'!$E$3:$F$957,2,0),0)</f>
        <v>0</v>
      </c>
      <c r="C1025" s="17">
        <f t="shared" si="384"/>
        <v>0</v>
      </c>
      <c r="D1025" s="41">
        <v>10100066</v>
      </c>
      <c r="E1025" s="122" t="str">
        <f>VLOOKUP(D1025,'MPG Payment '!$E$3:$G$497305,2,0)</f>
        <v>RaJu Kumar(MOR)</v>
      </c>
      <c r="F1025" s="146">
        <f>IFERROR(_xlfn.XLOOKUP(D1025,'Monthly Deduction'!$I$3:$I$957,'Monthly Deduction'!$H$3:$H$957),0)</f>
        <v>0</v>
      </c>
      <c r="G1025" s="123" t="str">
        <f>VLOOKUP(D1025,'MPG Payment '!$E$3:$G$333666,3,0)</f>
        <v>VLC</v>
      </c>
      <c r="H1025" s="124" t="str">
        <f>VLOOKUP(D1025,'MPG Payment '!$E$3:$H$333666,4,0)</f>
        <v>Indirect</v>
      </c>
      <c r="I1025" s="88">
        <f>INDEX('MPG Payment '!$C:$C,MATCH('Shayak Income '!D1025,'MPG Payment '!E:E,0))</f>
        <v>1010</v>
      </c>
      <c r="J1025" s="88" t="str">
        <f>INDEX('MPG Payment '!$D:$D,MATCH('Shayak Income '!D1025,'MPG Payment '!E:E,0))</f>
        <v>Parbatta</v>
      </c>
      <c r="K1025" s="125" t="s">
        <v>1593</v>
      </c>
      <c r="L1025" s="125">
        <v>46221</v>
      </c>
      <c r="M1025" s="126">
        <f>SUMIF('MPG Payment '!$E$3:$E$344841,'Shayak Income '!D1025,'MPG Payment '!$I$3:$I$344841)</f>
        <v>2024.7000000000003</v>
      </c>
      <c r="N1025" s="126">
        <f>SUMIF('MPG Payment '!$E$3:$E$344841,'Shayak Income '!D1025,'MPG Payment '!$J$3:$J$344841)</f>
        <v>99981.549999999988</v>
      </c>
      <c r="O1025" s="126">
        <f t="shared" si="385"/>
        <v>1518.5250000000001</v>
      </c>
      <c r="P1025" s="126">
        <f t="shared" si="386"/>
        <v>1923.4650000000001</v>
      </c>
      <c r="Q1025" s="126">
        <f>SUMIF('MPG Payment '!$E$3:$E$344841,'Shayak Income '!D1025,'MPG Payment '!$S$3:$S$344841)</f>
        <v>0</v>
      </c>
      <c r="R1025" s="126">
        <f t="shared" si="387"/>
        <v>2999.4464999999996</v>
      </c>
      <c r="S1025" s="126">
        <f t="shared" si="388"/>
        <v>1075.9814999999994</v>
      </c>
      <c r="T1025" s="126">
        <f t="shared" si="368"/>
        <v>202.47000000000003</v>
      </c>
      <c r="U1025" s="127">
        <f>((((((IF(K1025="New",0,SUMIF('MPG Payment '!$E$3:$E$344841,'Shayak Income '!D1025,'MPG Payment '!$AC$3:$AC$344841))))+0)+0)+0)+0)+0</f>
        <v>0</v>
      </c>
      <c r="V1025" s="127">
        <f t="shared" si="369"/>
        <v>3240</v>
      </c>
      <c r="W1025" s="19">
        <v>0</v>
      </c>
      <c r="X1025" s="19">
        <f t="shared" si="363"/>
        <v>0</v>
      </c>
      <c r="Y1025" s="128">
        <f>IFERROR(VLOOKUP(D1025,'Monthly Deduction'!$M$2:$N$640,2,0),0)</f>
        <v>0</v>
      </c>
      <c r="Z1025" s="128">
        <v>0</v>
      </c>
      <c r="AA1025" s="126">
        <f>IFERROR(VLOOKUP(D1025,'Monthly Deduction'!A:B,2,0),0)</f>
        <v>0</v>
      </c>
      <c r="AB1025" s="129">
        <f t="shared" si="364"/>
        <v>3240</v>
      </c>
      <c r="AC1025" s="130">
        <v>0</v>
      </c>
      <c r="AD1025" s="35">
        <f t="shared" si="389"/>
        <v>3240</v>
      </c>
      <c r="AE1025" s="166" t="str">
        <f t="shared" si="390"/>
        <v>Release</v>
      </c>
      <c r="AF1025" s="127"/>
      <c r="AG1025" s="18">
        <v>0</v>
      </c>
      <c r="AH1025" s="132"/>
      <c r="AI1025" s="238">
        <v>0</v>
      </c>
      <c r="AJ1025" s="132"/>
      <c r="AK1025" s="151">
        <v>1107.0999999999999</v>
      </c>
      <c r="AL1025" s="154">
        <f t="shared" si="391"/>
        <v>0</v>
      </c>
      <c r="AM1025" s="155"/>
      <c r="AN1025" s="19">
        <f t="shared" si="392"/>
        <v>0</v>
      </c>
      <c r="AO1025" s="118">
        <f>SUMIF('MPG Payment '!E:E,'Shayak Income '!D1025,'MPG Payment '!AJ:AJ)</f>
        <v>0</v>
      </c>
      <c r="AP1025" s="19">
        <f t="shared" si="393"/>
        <v>0</v>
      </c>
      <c r="AQ1025" s="119">
        <f t="shared" si="394"/>
        <v>0</v>
      </c>
      <c r="AR1025" s="91" t="s">
        <v>1144</v>
      </c>
      <c r="AS1025" s="91">
        <f t="shared" si="395"/>
        <v>0</v>
      </c>
      <c r="AT1025" s="118"/>
      <c r="AU1025" s="118"/>
      <c r="AV1025" s="118"/>
    </row>
    <row r="1026" spans="1:48" s="20" customFormat="1" x14ac:dyDescent="0.25">
      <c r="A1026" s="17">
        <f>IFERROR(VLOOKUP(D1026,'Monthly Deduction'!$I$3:$J$957,2,0),0)</f>
        <v>79186.656199999998</v>
      </c>
      <c r="B1026" s="17">
        <f>IFERROR(VLOOKUP(D1026,'Monthly Deduction'!$E$3:$F$957,2,0),0)</f>
        <v>10765</v>
      </c>
      <c r="C1026" s="17">
        <f t="shared" si="384"/>
        <v>89951.656199999998</v>
      </c>
      <c r="D1026" s="41">
        <v>10110148</v>
      </c>
      <c r="E1026" s="122" t="str">
        <f>VLOOKUP(D1026,'MPG Payment '!$E$3:$G$497305,2,0)</f>
        <v>GOMUKH SAHARBANNI</v>
      </c>
      <c r="F1026" s="146">
        <f>IFERROR(_xlfn.XLOOKUP(D1026,'Monthly Deduction'!$I$3:$I$957,'Monthly Deduction'!$H$3:$H$957),0)</f>
        <v>0</v>
      </c>
      <c r="G1026" s="123" t="str">
        <f>VLOOKUP(D1026,'MPG Payment '!$E$3:$G$333666,3,0)</f>
        <v>MPG</v>
      </c>
      <c r="H1026" s="124" t="str">
        <f>VLOOKUP(D1026,'MPG Payment '!$E$3:$H$333666,4,0)</f>
        <v>Direct</v>
      </c>
      <c r="I1026" s="88">
        <f>INDEX('MPG Payment '!$C:$C,MATCH('Shayak Income '!D1026,'MPG Payment '!E:E,0))</f>
        <v>1054</v>
      </c>
      <c r="J1026" s="88" t="str">
        <f>INDEX('MPG Payment '!$D:$D,MATCH('Shayak Income '!D1026,'MPG Payment '!E:E,0))</f>
        <v xml:space="preserve">Alauli </v>
      </c>
      <c r="K1026" s="125" t="s">
        <v>1594</v>
      </c>
      <c r="L1026" s="125">
        <v>45800</v>
      </c>
      <c r="M1026" s="126">
        <f>SUMIF('MPG Payment '!$E$3:$E$344841,'Shayak Income '!D1026,'MPG Payment '!$I$3:$I$344841)</f>
        <v>481.20000000000005</v>
      </c>
      <c r="N1026" s="126">
        <f>SUMIF('MPG Payment '!$E$3:$E$344841,'Shayak Income '!D1026,'MPG Payment '!$J$3:$J$344841)</f>
        <v>19480.689999999999</v>
      </c>
      <c r="O1026" s="126">
        <f t="shared" si="385"/>
        <v>360.90000000000003</v>
      </c>
      <c r="P1026" s="126">
        <f t="shared" si="386"/>
        <v>457.14000000000004</v>
      </c>
      <c r="Q1026" s="126">
        <f>SUMIF('MPG Payment '!$E$3:$E$344841,'Shayak Income '!D1026,'MPG Payment '!$S$3:$S$344841)</f>
        <v>0</v>
      </c>
      <c r="R1026" s="126">
        <f t="shared" si="387"/>
        <v>584.4206999999999</v>
      </c>
      <c r="S1026" s="126">
        <f t="shared" si="388"/>
        <v>127.28069999999985</v>
      </c>
      <c r="T1026" s="126">
        <f t="shared" si="368"/>
        <v>48.120000000000005</v>
      </c>
      <c r="U1026" s="127">
        <f>((((((IF(K1026="New",0,SUMIF('MPG Payment '!$E$3:$E$344841,'Shayak Income '!D1026,'MPG Payment '!$AC$3:$AC$344841))))+0)+0)+0)+0)+0</f>
        <v>751.4059310969742</v>
      </c>
      <c r="V1026" s="127">
        <f t="shared" si="369"/>
        <v>19</v>
      </c>
      <c r="W1026" s="19">
        <v>19</v>
      </c>
      <c r="X1026" s="19">
        <v>0</v>
      </c>
      <c r="Y1026" s="128">
        <f>IFERROR(VLOOKUP(D1026,'Monthly Deduction'!$M$2:$N$640,2,0),0)</f>
        <v>0</v>
      </c>
      <c r="Z1026" s="128">
        <v>0</v>
      </c>
      <c r="AA1026" s="126">
        <v>0</v>
      </c>
      <c r="AB1026" s="129">
        <f t="shared" si="364"/>
        <v>0</v>
      </c>
      <c r="AC1026" s="130">
        <f>AB1026</f>
        <v>0</v>
      </c>
      <c r="AD1026" s="35">
        <f t="shared" si="389"/>
        <v>0</v>
      </c>
      <c r="AE1026" s="166" t="str">
        <f t="shared" si="390"/>
        <v>Release</v>
      </c>
      <c r="AF1026" s="127"/>
      <c r="AG1026" s="18">
        <v>0</v>
      </c>
      <c r="AH1026" s="132" t="s">
        <v>1597</v>
      </c>
      <c r="AI1026" s="238">
        <v>0</v>
      </c>
      <c r="AJ1026" s="132"/>
      <c r="AK1026" s="151">
        <v>0</v>
      </c>
      <c r="AL1026" s="154">
        <f t="shared" si="391"/>
        <v>0</v>
      </c>
      <c r="AM1026" s="155"/>
      <c r="AN1026" s="19">
        <f t="shared" si="392"/>
        <v>1861</v>
      </c>
      <c r="AO1026" s="118">
        <f>SUMIF('MPG Payment '!E:E,'Shayak Income '!D1026,'MPG Payment '!AJ:AJ)</f>
        <v>1000</v>
      </c>
      <c r="AP1026" s="19">
        <f t="shared" si="393"/>
        <v>19</v>
      </c>
      <c r="AQ1026" s="119">
        <f t="shared" si="394"/>
        <v>1019</v>
      </c>
      <c r="AR1026" s="91" t="s">
        <v>1144</v>
      </c>
      <c r="AS1026" s="91">
        <f t="shared" si="395"/>
        <v>10765</v>
      </c>
      <c r="AT1026" s="118"/>
      <c r="AU1026" s="118"/>
      <c r="AV1026" s="118"/>
    </row>
    <row r="1027" spans="1:48" s="20" customFormat="1" x14ac:dyDescent="0.25">
      <c r="A1027" s="17">
        <f>IFERROR(VLOOKUP(D1027,'Monthly Deduction'!$I$3:$J$957,2,0),0)</f>
        <v>0</v>
      </c>
      <c r="B1027" s="17">
        <f>IFERROR(VLOOKUP(D1027,'Monthly Deduction'!$E$3:$F$957,2,0),0)</f>
        <v>0</v>
      </c>
      <c r="C1027" s="17">
        <f t="shared" si="384"/>
        <v>0</v>
      </c>
      <c r="D1027" s="41">
        <v>10130103</v>
      </c>
      <c r="E1027" s="122" t="str">
        <f>VLOOKUP(D1027,'MPG Payment '!$E$3:$G$497305,2,0)</f>
        <v>NAUACHAUK W-04</v>
      </c>
      <c r="F1027" s="146">
        <f>IFERROR(_xlfn.XLOOKUP(D1027,'Monthly Deduction'!$I$3:$I$957,'Monthly Deduction'!$H$3:$H$957),0)</f>
        <v>0</v>
      </c>
      <c r="G1027" s="123" t="str">
        <f>VLOOKUP(D1027,'MPG Payment '!$E$3:$G$333666,3,0)</f>
        <v>VLC</v>
      </c>
      <c r="H1027" s="124" t="str">
        <f>VLOOKUP(D1027,'MPG Payment '!$E$3:$H$333666,4,0)</f>
        <v>Indirect</v>
      </c>
      <c r="I1027" s="88">
        <f>INDEX('MPG Payment '!$C:$C,MATCH('Shayak Income '!D1027,'MPG Payment '!E:E,0))</f>
        <v>1013</v>
      </c>
      <c r="J1027" s="88" t="str">
        <f>INDEX('MPG Payment '!$D:$D,MATCH('Shayak Income '!D1027,'MPG Payment '!E:E,0))</f>
        <v>Musrigharari</v>
      </c>
      <c r="K1027" s="125" t="s">
        <v>1594</v>
      </c>
      <c r="L1027" s="125">
        <v>45820</v>
      </c>
      <c r="M1027" s="126">
        <f>SUMIF('MPG Payment '!$E$3:$E$344841,'Shayak Income '!D1027,'MPG Payment '!$I$3:$I$344841)</f>
        <v>120.70000000000002</v>
      </c>
      <c r="N1027" s="126">
        <f>SUMIF('MPG Payment '!$E$3:$E$344841,'Shayak Income '!D1027,'MPG Payment '!$J$3:$J$344841)</f>
        <v>4445.619999999999</v>
      </c>
      <c r="O1027" s="126">
        <f t="shared" si="385"/>
        <v>90.525000000000006</v>
      </c>
      <c r="P1027" s="126">
        <f t="shared" si="386"/>
        <v>114.66500000000001</v>
      </c>
      <c r="Q1027" s="126">
        <f>SUMIF('MPG Payment '!$E$3:$E$344841,'Shayak Income '!D1027,'MPG Payment '!$S$3:$S$344841)</f>
        <v>0</v>
      </c>
      <c r="R1027" s="126">
        <f t="shared" si="387"/>
        <v>133.36859999999996</v>
      </c>
      <c r="S1027" s="126">
        <f t="shared" si="388"/>
        <v>18.703599999999952</v>
      </c>
      <c r="T1027" s="126">
        <f t="shared" si="368"/>
        <v>12.070000000000002</v>
      </c>
      <c r="U1027" s="127">
        <f>((((((IF(K1027="New",0,SUMIF('MPG Payment '!$E$3:$E$344841,'Shayak Income '!D1027,'MPG Payment '!$AC$3:$AC$344841))))+0)+0)+0)+0)+-798</f>
        <v>193.43091590739346</v>
      </c>
      <c r="V1027" s="127">
        <f t="shared" si="369"/>
        <v>0</v>
      </c>
      <c r="W1027" s="19">
        <v>0</v>
      </c>
      <c r="X1027" s="19">
        <v>0</v>
      </c>
      <c r="Y1027" s="128">
        <v>0</v>
      </c>
      <c r="Z1027" s="128">
        <v>0</v>
      </c>
      <c r="AA1027" s="126">
        <v>0</v>
      </c>
      <c r="AB1027" s="129">
        <f t="shared" si="364"/>
        <v>0</v>
      </c>
      <c r="AC1027" s="130">
        <v>0</v>
      </c>
      <c r="AD1027" s="35">
        <f t="shared" si="389"/>
        <v>0</v>
      </c>
      <c r="AE1027" s="166" t="str">
        <f t="shared" si="390"/>
        <v>Release</v>
      </c>
      <c r="AF1027" s="127"/>
      <c r="AG1027" s="18">
        <v>0</v>
      </c>
      <c r="AH1027" s="132"/>
      <c r="AI1027" s="238">
        <v>0</v>
      </c>
      <c r="AJ1027" s="132"/>
      <c r="AK1027" s="151">
        <v>178.3</v>
      </c>
      <c r="AL1027" s="154">
        <f t="shared" si="391"/>
        <v>0</v>
      </c>
      <c r="AM1027" s="155"/>
      <c r="AN1027" s="19">
        <f t="shared" si="392"/>
        <v>0</v>
      </c>
      <c r="AO1027" s="118">
        <f>SUMIF('MPG Payment '!E:E,'Shayak Income '!D1027,'MPG Payment '!AJ:AJ)</f>
        <v>0</v>
      </c>
      <c r="AP1027" s="19">
        <f t="shared" si="393"/>
        <v>0</v>
      </c>
      <c r="AQ1027" s="119">
        <f t="shared" si="394"/>
        <v>0</v>
      </c>
      <c r="AR1027" s="91" t="s">
        <v>1144</v>
      </c>
      <c r="AS1027" s="91">
        <f t="shared" si="395"/>
        <v>0</v>
      </c>
      <c r="AT1027" s="118"/>
      <c r="AU1027" s="118"/>
      <c r="AV1027" s="118"/>
    </row>
    <row r="1028" spans="1:48" s="20" customFormat="1" x14ac:dyDescent="0.25">
      <c r="A1028" s="17">
        <f>IFERROR(VLOOKUP(D1028,'Monthly Deduction'!$I$3:$J$957,2,0),0)</f>
        <v>25895.264111066455</v>
      </c>
      <c r="B1028" s="17">
        <f>IFERROR(VLOOKUP(D1028,'Monthly Deduction'!$E$3:$F$957,2,0),0)</f>
        <v>4553.6584051864938</v>
      </c>
      <c r="C1028" s="17">
        <f t="shared" si="384"/>
        <v>30448.922516252947</v>
      </c>
      <c r="D1028" s="41">
        <v>10140058</v>
      </c>
      <c r="E1028" s="122" t="str">
        <f>VLOOKUP(D1028,'MPG Payment '!$E$3:$G$497305,2,0)</f>
        <v>Gomukh Lewar</v>
      </c>
      <c r="F1028" s="146">
        <f>IFERROR(_xlfn.XLOOKUP(D1028,'Monthly Deduction'!$I$3:$I$957,'Monthly Deduction'!$H$3:$H$957),0)</f>
        <v>0</v>
      </c>
      <c r="G1028" s="123" t="str">
        <f>VLOOKUP(D1028,'MPG Payment '!$E$3:$G$333666,3,0)</f>
        <v>MPG</v>
      </c>
      <c r="H1028" s="124" t="str">
        <f>VLOOKUP(D1028,'MPG Payment '!$E$3:$H$333666,4,0)</f>
        <v>Direct</v>
      </c>
      <c r="I1028" s="88">
        <f>INDEX('MPG Payment '!$C:$C,MATCH('Shayak Income '!D1028,'MPG Payment '!E:E,0))</f>
        <v>1014</v>
      </c>
      <c r="J1028" s="88" t="str">
        <f>INDEX('MPG Payment '!$D:$D,MATCH('Shayak Income '!D1028,'MPG Payment '!E:E,0))</f>
        <v>Dumraon</v>
      </c>
      <c r="K1028" s="125" t="s">
        <v>1594</v>
      </c>
      <c r="L1028" s="125">
        <v>45127</v>
      </c>
      <c r="M1028" s="126">
        <f>SUMIF('MPG Payment '!$E$3:$E$344841,'Shayak Income '!D1028,'MPG Payment '!$I$3:$I$344841)</f>
        <v>223</v>
      </c>
      <c r="N1028" s="126">
        <f>SUMIF('MPG Payment '!$E$3:$E$344841,'Shayak Income '!D1028,'MPG Payment '!$J$3:$J$344841)</f>
        <v>8554.76</v>
      </c>
      <c r="O1028" s="126">
        <f t="shared" si="385"/>
        <v>167.25</v>
      </c>
      <c r="P1028" s="126">
        <f t="shared" si="386"/>
        <v>211.85</v>
      </c>
      <c r="Q1028" s="126">
        <f>SUMIF('MPG Payment '!$E$3:$E$344841,'Shayak Income '!D1028,'MPG Payment '!$S$3:$S$344841)</f>
        <v>0</v>
      </c>
      <c r="R1028" s="126">
        <f t="shared" si="387"/>
        <v>256.64280000000002</v>
      </c>
      <c r="S1028" s="126">
        <f t="shared" si="388"/>
        <v>44.792800000000028</v>
      </c>
      <c r="T1028" s="126">
        <f t="shared" si="368"/>
        <v>22.3</v>
      </c>
      <c r="U1028" s="127">
        <f>((((((IF(K1028="New",0,SUMIF('MPG Payment '!$E$3:$E$344841,'Shayak Income '!D1028,'MPG Payment '!$AC$3:$AC$344841))))+0)+0)+0)+0)+-547</f>
        <v>356.38930107705119</v>
      </c>
      <c r="V1028" s="127">
        <f t="shared" si="369"/>
        <v>0</v>
      </c>
      <c r="W1028" s="19">
        <v>0</v>
      </c>
      <c r="X1028" s="19">
        <v>0</v>
      </c>
      <c r="Y1028" s="128">
        <v>0</v>
      </c>
      <c r="Z1028" s="128">
        <v>0</v>
      </c>
      <c r="AA1028" s="126">
        <v>0</v>
      </c>
      <c r="AB1028" s="129">
        <f t="shared" ref="AB1028:AB1057" si="397">ROUND(IFERROR(V1028-SUM(W1028:AA1028),0),0)</f>
        <v>0</v>
      </c>
      <c r="AC1028" s="130">
        <v>0</v>
      </c>
      <c r="AD1028" s="35">
        <f t="shared" si="389"/>
        <v>0</v>
      </c>
      <c r="AE1028" s="166" t="str">
        <f t="shared" si="390"/>
        <v>Release</v>
      </c>
      <c r="AF1028" s="127"/>
      <c r="AG1028" s="18">
        <v>0</v>
      </c>
      <c r="AH1028" s="132"/>
      <c r="AI1028" s="238">
        <v>0</v>
      </c>
      <c r="AJ1028" s="132"/>
      <c r="AK1028" s="151">
        <v>151.9</v>
      </c>
      <c r="AL1028" s="154">
        <f t="shared" si="391"/>
        <v>0</v>
      </c>
      <c r="AM1028" s="155"/>
      <c r="AN1028" s="19">
        <f t="shared" si="392"/>
        <v>1861</v>
      </c>
      <c r="AO1028" s="118">
        <f>SUMIF('MPG Payment '!E:E,'Shayak Income '!D1028,'MPG Payment '!AJ:AJ)</f>
        <v>0</v>
      </c>
      <c r="AP1028" s="19">
        <f t="shared" si="393"/>
        <v>0</v>
      </c>
      <c r="AQ1028" s="119">
        <f t="shared" si="394"/>
        <v>0</v>
      </c>
      <c r="AR1028" s="91" t="s">
        <v>1144</v>
      </c>
      <c r="AS1028" s="91">
        <f t="shared" si="395"/>
        <v>4553.6584051864938</v>
      </c>
      <c r="AT1028" s="118"/>
      <c r="AU1028" s="118"/>
      <c r="AV1028" s="118"/>
    </row>
    <row r="1029" spans="1:48" s="20" customFormat="1" x14ac:dyDescent="0.25">
      <c r="A1029" s="17">
        <f>IFERROR(VLOOKUP(D1029,'Monthly Deduction'!$I$3:$J$957,2,0),0)</f>
        <v>0</v>
      </c>
      <c r="B1029" s="17">
        <f>IFERROR(VLOOKUP(D1029,'Monthly Deduction'!$E$3:$F$957,2,0),0)</f>
        <v>0</v>
      </c>
      <c r="C1029" s="17">
        <f t="shared" si="384"/>
        <v>0</v>
      </c>
      <c r="D1029" s="41">
        <v>10610039</v>
      </c>
      <c r="E1029" s="122" t="str">
        <f>VLOOKUP(D1029,'MPG Payment '!$E$3:$G$497305,2,0)</f>
        <v>GOMUKH BAKHRI</v>
      </c>
      <c r="F1029" s="146">
        <f>IFERROR(_xlfn.XLOOKUP(D1029,'Monthly Deduction'!$I$3:$I$957,'Monthly Deduction'!$H$3:$H$957),0)</f>
        <v>0</v>
      </c>
      <c r="G1029" s="123" t="str">
        <f>VLOOKUP(D1029,'MPG Payment '!$E$3:$G$333666,3,0)</f>
        <v>VLC</v>
      </c>
      <c r="H1029" s="124" t="str">
        <f>VLOOKUP(D1029,'MPG Payment '!$E$3:$H$333666,4,0)</f>
        <v>Indirect</v>
      </c>
      <c r="I1029" s="88">
        <f>INDEX('MPG Payment '!$C:$C,MATCH('Shayak Income '!D1029,'MPG Payment '!E:E,0))</f>
        <v>1061</v>
      </c>
      <c r="J1029" s="88" t="str">
        <f>INDEX('MPG Payment '!$D:$D,MATCH('Shayak Income '!D1029,'MPG Payment '!E:E,0))</f>
        <v>Mahua BMC</v>
      </c>
      <c r="K1029" s="125" t="s">
        <v>1594</v>
      </c>
      <c r="L1029" s="125">
        <v>46108</v>
      </c>
      <c r="M1029" s="126">
        <f>SUMIF('MPG Payment '!$E$3:$E$344841,'Shayak Income '!D1029,'MPG Payment '!$I$3:$I$344841)</f>
        <v>1648.6000000000001</v>
      </c>
      <c r="N1029" s="126">
        <f>SUMIF('MPG Payment '!$E$3:$E$344841,'Shayak Income '!D1029,'MPG Payment '!$J$3:$J$344841)</f>
        <v>67442.570000000007</v>
      </c>
      <c r="O1029" s="126">
        <f t="shared" si="385"/>
        <v>1236.45</v>
      </c>
      <c r="P1029" s="126">
        <f t="shared" si="386"/>
        <v>1566.17</v>
      </c>
      <c r="Q1029" s="126">
        <f>SUMIF('MPG Payment '!$E$3:$E$344841,'Shayak Income '!D1029,'MPG Payment '!$S$3:$S$344841)</f>
        <v>0</v>
      </c>
      <c r="R1029" s="126">
        <f t="shared" si="387"/>
        <v>2023.2771000000002</v>
      </c>
      <c r="S1029" s="126">
        <f t="shared" si="388"/>
        <v>457.10710000000017</v>
      </c>
      <c r="T1029" s="126">
        <f t="shared" ref="T1029:T1057" si="398">M1029*0.1</f>
        <v>164.86</v>
      </c>
      <c r="U1029" s="127">
        <f>((((((IF(K1029="New",0,SUMIF('MPG Payment '!$E$3:$E$344841,'Shayak Income '!D1029,'MPG Payment '!$AC$3:$AC$344841))))+0)+0)+0)+0)+0</f>
        <v>0</v>
      </c>
      <c r="V1029" s="127">
        <f t="shared" ref="V1029:V1057" si="399">ROUND((SUM(O1029:Q1029)-SUM(T1029:U1029)),0)</f>
        <v>2638</v>
      </c>
      <c r="W1029" s="19">
        <f t="shared" ref="W1029:W1043" si="400">(((AN1029-AO1029)))+0</f>
        <v>0</v>
      </c>
      <c r="X1029" s="19">
        <f t="shared" ref="X1029:X1057" si="401">((MIN(IF(B1029&gt;0,MAX(N1029*2%),0),B1029)))+0</f>
        <v>0</v>
      </c>
      <c r="Y1029" s="128">
        <f>IFERROR(VLOOKUP(D1029,'Monthly Deduction'!$M$2:$N$640,2,0),0)</f>
        <v>0</v>
      </c>
      <c r="Z1029" s="128">
        <v>0</v>
      </c>
      <c r="AA1029" s="126">
        <f>IFERROR(VLOOKUP(D1029,'Monthly Deduction'!A:B,2,0),0)</f>
        <v>0</v>
      </c>
      <c r="AB1029" s="129">
        <f t="shared" si="397"/>
        <v>2638</v>
      </c>
      <c r="AC1029" s="130">
        <f>AB1029</f>
        <v>2638</v>
      </c>
      <c r="AD1029" s="35">
        <f t="shared" si="389"/>
        <v>0</v>
      </c>
      <c r="AE1029" s="166" t="str">
        <f t="shared" si="390"/>
        <v>Yes</v>
      </c>
      <c r="AF1029" s="127"/>
      <c r="AG1029" s="18">
        <v>0</v>
      </c>
      <c r="AH1029" s="132" t="s">
        <v>1597</v>
      </c>
      <c r="AI1029" s="238">
        <v>0</v>
      </c>
      <c r="AJ1029" s="132"/>
      <c r="AK1029" s="151">
        <v>0</v>
      </c>
      <c r="AL1029" s="154">
        <f t="shared" si="391"/>
        <v>0</v>
      </c>
      <c r="AM1029" s="155"/>
      <c r="AN1029" s="19">
        <f t="shared" si="392"/>
        <v>0</v>
      </c>
      <c r="AO1029" s="118">
        <f>SUMIF('MPG Payment '!E:E,'Shayak Income '!D1029,'MPG Payment '!AJ:AJ)</f>
        <v>0</v>
      </c>
      <c r="AP1029" s="19">
        <f t="shared" si="393"/>
        <v>0</v>
      </c>
      <c r="AQ1029" s="119">
        <f t="shared" si="394"/>
        <v>0</v>
      </c>
      <c r="AR1029" s="91" t="s">
        <v>1144</v>
      </c>
      <c r="AS1029" s="91">
        <f t="shared" si="395"/>
        <v>0</v>
      </c>
      <c r="AT1029" s="118"/>
      <c r="AU1029" s="118"/>
      <c r="AV1029" s="118"/>
    </row>
    <row r="1030" spans="1:48" s="20" customFormat="1" x14ac:dyDescent="0.25">
      <c r="A1030" s="17">
        <f>IFERROR(VLOOKUP(D1030,'Monthly Deduction'!$I$3:$J$957,2,0),0)</f>
        <v>0</v>
      </c>
      <c r="B1030" s="17">
        <f>IFERROR(VLOOKUP(D1030,'Monthly Deduction'!$E$3:$F$957,2,0),0)</f>
        <v>0</v>
      </c>
      <c r="C1030" s="17">
        <f t="shared" si="384"/>
        <v>0</v>
      </c>
      <c r="D1030" s="41">
        <v>10610076</v>
      </c>
      <c r="E1030" s="122" t="str">
        <f>VLOOKUP(D1030,'MPG Payment '!$E$3:$G$497305,2,0)</f>
        <v>GOMUKH RAJAPAKAR PURBI</v>
      </c>
      <c r="F1030" s="146">
        <f>IFERROR(_xlfn.XLOOKUP(D1030,'Monthly Deduction'!$I$3:$I$957,'Monthly Deduction'!$H$3:$H$957),0)</f>
        <v>0</v>
      </c>
      <c r="G1030" s="123" t="str">
        <f>VLOOKUP(D1030,'MPG Payment '!$E$3:$G$333666,3,0)</f>
        <v>VLC</v>
      </c>
      <c r="H1030" s="124" t="str">
        <f>VLOOKUP(D1030,'MPG Payment '!$E$3:$H$333666,4,0)</f>
        <v>Indirect</v>
      </c>
      <c r="I1030" s="88">
        <f>INDEX('MPG Payment '!$C:$C,MATCH('Shayak Income '!D1030,'MPG Payment '!E:E,0))</f>
        <v>1061</v>
      </c>
      <c r="J1030" s="88" t="str">
        <f>INDEX('MPG Payment '!$D:$D,MATCH('Shayak Income '!D1030,'MPG Payment '!E:E,0))</f>
        <v>Mahua BMC</v>
      </c>
      <c r="K1030" s="125" t="s">
        <v>1593</v>
      </c>
      <c r="L1030" s="125">
        <v>46226</v>
      </c>
      <c r="M1030" s="126">
        <f>SUMIF('MPG Payment '!$E$3:$E$344841,'Shayak Income '!D1030,'MPG Payment '!$I$3:$I$344841)</f>
        <v>285.3</v>
      </c>
      <c r="N1030" s="126">
        <f>SUMIF('MPG Payment '!$E$3:$E$344841,'Shayak Income '!D1030,'MPG Payment '!$J$3:$J$344841)</f>
        <v>11471.67</v>
      </c>
      <c r="O1030" s="126">
        <f t="shared" si="385"/>
        <v>213.97500000000002</v>
      </c>
      <c r="P1030" s="126">
        <f t="shared" si="386"/>
        <v>271.03500000000003</v>
      </c>
      <c r="Q1030" s="126">
        <f>SUMIF('MPG Payment '!$E$3:$E$344841,'Shayak Income '!D1030,'MPG Payment '!$S$3:$S$344841)</f>
        <v>0</v>
      </c>
      <c r="R1030" s="126">
        <f t="shared" si="387"/>
        <v>344.15010000000001</v>
      </c>
      <c r="S1030" s="126">
        <f t="shared" si="388"/>
        <v>73.115099999999984</v>
      </c>
      <c r="T1030" s="126">
        <f t="shared" si="398"/>
        <v>28.53</v>
      </c>
      <c r="U1030" s="127">
        <f>((((((IF(K1030="New",0,SUMIF('MPG Payment '!$E$3:$E$344841,'Shayak Income '!D1030,'MPG Payment '!$AC$3:$AC$344841))))+0)+0)+0)+0)+0</f>
        <v>0</v>
      </c>
      <c r="V1030" s="127">
        <f t="shared" si="399"/>
        <v>456</v>
      </c>
      <c r="W1030" s="19">
        <v>0</v>
      </c>
      <c r="X1030" s="19">
        <f t="shared" si="401"/>
        <v>0</v>
      </c>
      <c r="Y1030" s="128">
        <f>IFERROR(VLOOKUP(D1030,'Monthly Deduction'!$M$2:$N$640,2,0),0)</f>
        <v>0</v>
      </c>
      <c r="Z1030" s="128">
        <v>0</v>
      </c>
      <c r="AA1030" s="126">
        <f>IFERROR(VLOOKUP(D1030,'Monthly Deduction'!A:B,2,0),0)</f>
        <v>0</v>
      </c>
      <c r="AB1030" s="129">
        <f t="shared" si="397"/>
        <v>456</v>
      </c>
      <c r="AC1030" s="130">
        <v>0</v>
      </c>
      <c r="AD1030" s="35">
        <f t="shared" si="389"/>
        <v>456</v>
      </c>
      <c r="AE1030" s="166" t="str">
        <f t="shared" si="390"/>
        <v>Release</v>
      </c>
      <c r="AF1030" s="127"/>
      <c r="AG1030" s="18">
        <v>0</v>
      </c>
      <c r="AH1030" s="132"/>
      <c r="AI1030" s="238">
        <v>0</v>
      </c>
      <c r="AJ1030" s="132"/>
      <c r="AK1030" s="151">
        <v>292.89999999999998</v>
      </c>
      <c r="AL1030" s="154">
        <f t="shared" si="391"/>
        <v>0</v>
      </c>
      <c r="AM1030" s="155"/>
      <c r="AN1030" s="19">
        <f t="shared" si="392"/>
        <v>0</v>
      </c>
      <c r="AO1030" s="118">
        <f>SUMIF('MPG Payment '!E:E,'Shayak Income '!D1030,'MPG Payment '!AJ:AJ)</f>
        <v>0</v>
      </c>
      <c r="AP1030" s="19">
        <f t="shared" si="393"/>
        <v>0</v>
      </c>
      <c r="AQ1030" s="119">
        <f t="shared" si="394"/>
        <v>0</v>
      </c>
      <c r="AR1030" s="91" t="s">
        <v>1144</v>
      </c>
      <c r="AS1030" s="91">
        <f t="shared" si="395"/>
        <v>0</v>
      </c>
      <c r="AT1030" s="118"/>
      <c r="AU1030" s="118"/>
      <c r="AV1030" s="118"/>
    </row>
    <row r="1031" spans="1:48" s="20" customFormat="1" x14ac:dyDescent="0.25">
      <c r="A1031" s="17">
        <f>IFERROR(VLOOKUP(D1031,'Monthly Deduction'!$I$3:$J$957,2,0),0)</f>
        <v>0</v>
      </c>
      <c r="B1031" s="17">
        <f>IFERROR(VLOOKUP(D1031,'Monthly Deduction'!$E$3:$F$957,2,0),0)</f>
        <v>0</v>
      </c>
      <c r="C1031" s="17">
        <f t="shared" si="384"/>
        <v>0</v>
      </c>
      <c r="D1031" s="41">
        <v>10610077</v>
      </c>
      <c r="E1031" s="122" t="str">
        <f>VLOOKUP(D1031,'MPG Payment '!$E$3:$G$497305,2,0)</f>
        <v>GOMUKH SAIDPUR</v>
      </c>
      <c r="F1031" s="146">
        <f>IFERROR(_xlfn.XLOOKUP(D1031,'Monthly Deduction'!$I$3:$I$957,'Monthly Deduction'!$H$3:$H$957),0)</f>
        <v>0</v>
      </c>
      <c r="G1031" s="123" t="str">
        <f>VLOOKUP(D1031,'MPG Payment '!$E$3:$G$333666,3,0)</f>
        <v>VLC</v>
      </c>
      <c r="H1031" s="124" t="str">
        <f>VLOOKUP(D1031,'MPG Payment '!$E$3:$H$333666,4,0)</f>
        <v>Indirect</v>
      </c>
      <c r="I1031" s="88">
        <f>INDEX('MPG Payment '!$C:$C,MATCH('Shayak Income '!D1031,'MPG Payment '!E:E,0))</f>
        <v>1061</v>
      </c>
      <c r="J1031" s="88" t="str">
        <f>INDEX('MPG Payment '!$D:$D,MATCH('Shayak Income '!D1031,'MPG Payment '!E:E,0))</f>
        <v>Mahua BMC</v>
      </c>
      <c r="K1031" s="125" t="s">
        <v>1593</v>
      </c>
      <c r="L1031" s="125">
        <v>46226</v>
      </c>
      <c r="M1031" s="126">
        <f>SUMIF('MPG Payment '!$E$3:$E$344841,'Shayak Income '!D1031,'MPG Payment '!$I$3:$I$344841)</f>
        <v>228</v>
      </c>
      <c r="N1031" s="126">
        <f>SUMIF('MPG Payment '!$E$3:$E$344841,'Shayak Income '!D1031,'MPG Payment '!$J$3:$J$344841)</f>
        <v>9911.1899999999987</v>
      </c>
      <c r="O1031" s="126">
        <f t="shared" si="385"/>
        <v>171</v>
      </c>
      <c r="P1031" s="126">
        <f t="shared" si="386"/>
        <v>216.6</v>
      </c>
      <c r="Q1031" s="126">
        <f>SUMIF('MPG Payment '!$E$3:$E$344841,'Shayak Income '!D1031,'MPG Payment '!$S$3:$S$344841)</f>
        <v>0</v>
      </c>
      <c r="R1031" s="126">
        <f t="shared" si="387"/>
        <v>297.33569999999997</v>
      </c>
      <c r="S1031" s="126">
        <f t="shared" si="388"/>
        <v>80.73569999999998</v>
      </c>
      <c r="T1031" s="126">
        <f t="shared" si="398"/>
        <v>22.8</v>
      </c>
      <c r="U1031" s="127">
        <f>((((((IF(K1031="New",0,SUMIF('MPG Payment '!$E$3:$E$344841,'Shayak Income '!D1031,'MPG Payment '!$AC$3:$AC$344841))))+0)+0)+0)+0)+0</f>
        <v>0</v>
      </c>
      <c r="V1031" s="127">
        <f t="shared" si="399"/>
        <v>365</v>
      </c>
      <c r="W1031" s="19">
        <v>0</v>
      </c>
      <c r="X1031" s="19">
        <f t="shared" si="401"/>
        <v>0</v>
      </c>
      <c r="Y1031" s="128">
        <f>IFERROR(VLOOKUP(D1031,'Monthly Deduction'!$M$2:$N$640,2,0),0)</f>
        <v>0</v>
      </c>
      <c r="Z1031" s="128">
        <v>0</v>
      </c>
      <c r="AA1031" s="126">
        <f>IFERROR(VLOOKUP(D1031,'Monthly Deduction'!A:B,2,0),0)</f>
        <v>0</v>
      </c>
      <c r="AB1031" s="129">
        <f t="shared" si="397"/>
        <v>365</v>
      </c>
      <c r="AC1031" s="130">
        <v>0</v>
      </c>
      <c r="AD1031" s="35">
        <f t="shared" si="389"/>
        <v>365</v>
      </c>
      <c r="AE1031" s="166" t="str">
        <f t="shared" si="390"/>
        <v>Release</v>
      </c>
      <c r="AF1031" s="127"/>
      <c r="AG1031" s="18">
        <v>0</v>
      </c>
      <c r="AH1031" s="132"/>
      <c r="AI1031" s="238">
        <v>0</v>
      </c>
      <c r="AJ1031" s="132"/>
      <c r="AK1031" s="151">
        <v>124.6</v>
      </c>
      <c r="AL1031" s="154">
        <f t="shared" si="391"/>
        <v>0</v>
      </c>
      <c r="AM1031" s="155"/>
      <c r="AN1031" s="19">
        <f t="shared" si="392"/>
        <v>0</v>
      </c>
      <c r="AO1031" s="118">
        <f>SUMIF('MPG Payment '!E:E,'Shayak Income '!D1031,'MPG Payment '!AJ:AJ)</f>
        <v>0</v>
      </c>
      <c r="AP1031" s="19">
        <f t="shared" si="393"/>
        <v>0</v>
      </c>
      <c r="AQ1031" s="119">
        <f t="shared" si="394"/>
        <v>0</v>
      </c>
      <c r="AR1031" s="91" t="s">
        <v>1144</v>
      </c>
      <c r="AS1031" s="91">
        <f t="shared" si="395"/>
        <v>0</v>
      </c>
      <c r="AT1031" s="118"/>
      <c r="AU1031" s="118"/>
      <c r="AV1031" s="118"/>
    </row>
    <row r="1032" spans="1:48" s="20" customFormat="1" x14ac:dyDescent="0.25">
      <c r="A1032" s="17">
        <f>IFERROR(VLOOKUP(D1032,'Monthly Deduction'!$I$3:$J$957,2,0),0)</f>
        <v>65000</v>
      </c>
      <c r="B1032" s="17">
        <f>IFERROR(VLOOKUP(D1032,'Monthly Deduction'!$E$3:$F$957,2,0),0)</f>
        <v>0</v>
      </c>
      <c r="C1032" s="17">
        <f t="shared" si="384"/>
        <v>65000</v>
      </c>
      <c r="D1032" s="41">
        <v>10660014</v>
      </c>
      <c r="E1032" s="122" t="str">
        <f>VLOOKUP(D1032,'MPG Payment '!$E$3:$G$497305,2,0)</f>
        <v>GOMUKH SABAUL</v>
      </c>
      <c r="F1032" s="146">
        <f>IFERROR(_xlfn.XLOOKUP(D1032,'Monthly Deduction'!$I$3:$I$957,'Monthly Deduction'!$H$3:$H$957),0)</f>
        <v>0</v>
      </c>
      <c r="G1032" s="123" t="str">
        <f>VLOOKUP(D1032,'MPG Payment '!$E$3:$G$333666,3,0)</f>
        <v>VLC</v>
      </c>
      <c r="H1032" s="124" t="str">
        <f>VLOOKUP(D1032,'MPG Payment '!$E$3:$H$333666,4,0)</f>
        <v>Direct</v>
      </c>
      <c r="I1032" s="88">
        <f>INDEX('MPG Payment '!$C:$C,MATCH('Shayak Income '!D1032,'MPG Payment '!E:E,0))</f>
        <v>1066</v>
      </c>
      <c r="J1032" s="88" t="str">
        <f>INDEX('MPG Payment '!$D:$D,MATCH('Shayak Income '!D1032,'MPG Payment '!E:E,0))</f>
        <v>Gaighat</v>
      </c>
      <c r="K1032" s="125" t="s">
        <v>1593</v>
      </c>
      <c r="L1032" s="125">
        <v>46223</v>
      </c>
      <c r="M1032" s="126">
        <f>SUMIF('MPG Payment '!$E$3:$E$344841,'Shayak Income '!D1032,'MPG Payment '!$I$3:$I$344841)</f>
        <v>88.1</v>
      </c>
      <c r="N1032" s="126">
        <f>SUMIF('MPG Payment '!$E$3:$E$344841,'Shayak Income '!D1032,'MPG Payment '!$J$3:$J$344841)</f>
        <v>3877.38</v>
      </c>
      <c r="O1032" s="126">
        <f t="shared" si="385"/>
        <v>66.074999999999989</v>
      </c>
      <c r="P1032" s="126">
        <f t="shared" si="386"/>
        <v>83.694999999999993</v>
      </c>
      <c r="Q1032" s="126">
        <f>SUMIF('MPG Payment '!$E$3:$E$344841,'Shayak Income '!D1032,'MPG Payment '!$S$3:$S$344841)</f>
        <v>0</v>
      </c>
      <c r="R1032" s="126">
        <f t="shared" si="387"/>
        <v>116.3214</v>
      </c>
      <c r="S1032" s="126">
        <f t="shared" si="388"/>
        <v>32.626400000000004</v>
      </c>
      <c r="T1032" s="126">
        <f t="shared" si="398"/>
        <v>8.81</v>
      </c>
      <c r="U1032" s="127">
        <f>((((((IF(K1032="New",0,SUMIF('MPG Payment '!$E$3:$E$344841,'Shayak Income '!D1032,'MPG Payment '!$AC$3:$AC$344841))))+0)+0)+0)+0)+0</f>
        <v>0</v>
      </c>
      <c r="V1032" s="127">
        <f t="shared" si="399"/>
        <v>141</v>
      </c>
      <c r="W1032" s="19">
        <v>0</v>
      </c>
      <c r="X1032" s="19">
        <f t="shared" si="401"/>
        <v>0</v>
      </c>
      <c r="Y1032" s="128">
        <f>IFERROR(VLOOKUP(D1032,'Monthly Deduction'!$M$2:$N$640,2,0),0)</f>
        <v>0</v>
      </c>
      <c r="Z1032" s="128">
        <v>0</v>
      </c>
      <c r="AA1032" s="126">
        <f>IFERROR(VLOOKUP(D1032,'Monthly Deduction'!A:B,2,0),0)</f>
        <v>0</v>
      </c>
      <c r="AB1032" s="129">
        <f t="shared" si="397"/>
        <v>141</v>
      </c>
      <c r="AC1032" s="130">
        <f>AB1032</f>
        <v>141</v>
      </c>
      <c r="AD1032" s="35">
        <f t="shared" si="389"/>
        <v>0</v>
      </c>
      <c r="AE1032" s="166" t="str">
        <f t="shared" si="390"/>
        <v>Yes</v>
      </c>
      <c r="AF1032" s="127"/>
      <c r="AG1032" s="18">
        <v>0</v>
      </c>
      <c r="AH1032" s="120" t="s">
        <v>1683</v>
      </c>
      <c r="AI1032" s="238">
        <v>0</v>
      </c>
      <c r="AJ1032" s="132"/>
      <c r="AK1032" s="151">
        <v>32.199999999999996</v>
      </c>
      <c r="AL1032" s="154">
        <f t="shared" si="391"/>
        <v>0</v>
      </c>
      <c r="AM1032" s="155"/>
      <c r="AN1032" s="19">
        <f t="shared" si="392"/>
        <v>1861</v>
      </c>
      <c r="AO1032" s="118">
        <f>SUMIF('MPG Payment '!E:E,'Shayak Income '!D1032,'MPG Payment '!AJ:AJ)</f>
        <v>0</v>
      </c>
      <c r="AP1032" s="19">
        <f t="shared" si="393"/>
        <v>0</v>
      </c>
      <c r="AQ1032" s="119">
        <f t="shared" si="394"/>
        <v>0</v>
      </c>
      <c r="AR1032" s="91" t="s">
        <v>1144</v>
      </c>
      <c r="AS1032" s="91">
        <f t="shared" si="395"/>
        <v>0</v>
      </c>
      <c r="AT1032" s="118"/>
      <c r="AU1032" s="118"/>
      <c r="AV1032" s="118"/>
    </row>
    <row r="1033" spans="1:48" s="20" customFormat="1" x14ac:dyDescent="0.25">
      <c r="A1033" s="17">
        <f>IFERROR(VLOOKUP(D1033,'Monthly Deduction'!$I$3:$J$957,2,0),0)</f>
        <v>0</v>
      </c>
      <c r="B1033" s="17">
        <f>IFERROR(VLOOKUP(D1033,'Monthly Deduction'!$E$3:$F$957,2,0),0)</f>
        <v>0</v>
      </c>
      <c r="C1033" s="17">
        <f t="shared" ref="C1033:C1036" si="402">A1033+B1033</f>
        <v>0</v>
      </c>
      <c r="D1033" s="41">
        <v>10660025</v>
      </c>
      <c r="E1033" s="122" t="str">
        <f>VLOOKUP(D1033,'MPG Payment '!$E$3:$G$497305,2,0)</f>
        <v>GOMUKH  JATMALPUR DHAB</v>
      </c>
      <c r="F1033" s="146">
        <f>IFERROR(_xlfn.XLOOKUP(D1033,'Monthly Deduction'!$I$3:$I$957,'Monthly Deduction'!$H$3:$H$957),0)</f>
        <v>0</v>
      </c>
      <c r="G1033" s="123" t="str">
        <f>VLOOKUP(D1033,'MPG Payment '!$E$3:$G$333666,3,0)</f>
        <v>VLC</v>
      </c>
      <c r="H1033" s="124" t="str">
        <f>VLOOKUP(D1033,'MPG Payment '!$E$3:$H$333666,4,0)</f>
        <v>Indirect</v>
      </c>
      <c r="I1033" s="88">
        <f>INDEX('MPG Payment '!$C:$C,MATCH('Shayak Income '!D1033,'MPG Payment '!E:E,0))</f>
        <v>1066</v>
      </c>
      <c r="J1033" s="88" t="str">
        <f>INDEX('MPG Payment '!$D:$D,MATCH('Shayak Income '!D1033,'MPG Payment '!E:E,0))</f>
        <v>Gaighat</v>
      </c>
      <c r="K1033" s="125" t="s">
        <v>1593</v>
      </c>
      <c r="L1033" s="125">
        <v>46165</v>
      </c>
      <c r="M1033" s="126">
        <f>SUMIF('MPG Payment '!$E$3:$E$344841,'Shayak Income '!D1033,'MPG Payment '!$I$3:$I$344841)</f>
        <v>237.8</v>
      </c>
      <c r="N1033" s="126">
        <f>SUMIF('MPG Payment '!$E$3:$E$344841,'Shayak Income '!D1033,'MPG Payment '!$J$3:$J$344841)</f>
        <v>10308.09</v>
      </c>
      <c r="O1033" s="126">
        <f t="shared" ref="O1033:O1036" si="403">+M1033*0.75</f>
        <v>178.35000000000002</v>
      </c>
      <c r="P1033" s="126">
        <f t="shared" ref="P1033:P1036" si="404">+M1033*0.95</f>
        <v>225.91</v>
      </c>
      <c r="Q1033" s="126">
        <f>SUMIF('MPG Payment '!$E$3:$E$344841,'Shayak Income '!D1033,'MPG Payment '!$S$3:$S$344841)</f>
        <v>0</v>
      </c>
      <c r="R1033" s="126">
        <f t="shared" ref="R1033:R1036" si="405">+N1033*3%</f>
        <v>309.24270000000001</v>
      </c>
      <c r="S1033" s="126">
        <f t="shared" ref="S1033:S1036" si="406">R1033-P1033</f>
        <v>83.332700000000017</v>
      </c>
      <c r="T1033" s="126">
        <f t="shared" si="398"/>
        <v>23.78</v>
      </c>
      <c r="U1033" s="127">
        <f>((((((IF(K1033="New",0,SUMIF('MPG Payment '!$E$3:$E$344841,'Shayak Income '!D1033,'MPG Payment '!$AC$3:$AC$344841))))+0)+0)+0)+0)+0</f>
        <v>0</v>
      </c>
      <c r="V1033" s="127">
        <f t="shared" si="399"/>
        <v>380</v>
      </c>
      <c r="W1033" s="19">
        <v>0</v>
      </c>
      <c r="X1033" s="19">
        <f t="shared" si="401"/>
        <v>0</v>
      </c>
      <c r="Y1033" s="128">
        <f>IFERROR(VLOOKUP(D1033,'Monthly Deduction'!$M$2:$N$640,2,0),0)</f>
        <v>0</v>
      </c>
      <c r="Z1033" s="128">
        <v>0</v>
      </c>
      <c r="AA1033" s="126">
        <f>IFERROR(VLOOKUP(D1033,'Monthly Deduction'!A:B,2,0),0)</f>
        <v>0</v>
      </c>
      <c r="AB1033" s="129">
        <f t="shared" si="397"/>
        <v>380</v>
      </c>
      <c r="AC1033" s="130">
        <v>0</v>
      </c>
      <c r="AD1033" s="35">
        <f t="shared" ref="AD1033:AD1036" si="407">ROUND(AB1033-AC1033,0)</f>
        <v>380</v>
      </c>
      <c r="AE1033" s="166" t="str">
        <f t="shared" ref="AE1033:AE1036" si="408">IF(AC1033&lt;&gt;0,"Yes","Release")</f>
        <v>Release</v>
      </c>
      <c r="AF1033" s="127"/>
      <c r="AG1033" s="18">
        <v>0</v>
      </c>
      <c r="AH1033" s="132"/>
      <c r="AI1033" s="238">
        <v>0</v>
      </c>
      <c r="AJ1033" s="132"/>
      <c r="AK1033" s="151">
        <v>93.3</v>
      </c>
      <c r="AL1033" s="154">
        <f t="shared" ref="AL1033:AL1036" si="409">COUNTIF(AK1033:AK1033,"=NA")</f>
        <v>0</v>
      </c>
      <c r="AM1033" s="155"/>
      <c r="AN1033" s="19">
        <f t="shared" ref="AN1033:AN1036" si="410">((MIN(IF(A1033&gt;0,MAX(N1033*2%,1861),0),A1033)))+0</f>
        <v>0</v>
      </c>
      <c r="AO1033" s="118">
        <f>SUMIF('MPG Payment '!E:E,'Shayak Income '!D1033,'MPG Payment '!AJ:AJ)</f>
        <v>0</v>
      </c>
      <c r="AP1033" s="19">
        <f t="shared" ref="AP1033:AP1036" si="411">W1033</f>
        <v>0</v>
      </c>
      <c r="AQ1033" s="119">
        <f t="shared" ref="AQ1033:AQ1036" si="412">AO1033+AP1033</f>
        <v>0</v>
      </c>
      <c r="AR1033" s="91" t="s">
        <v>1144</v>
      </c>
      <c r="AS1033" s="91">
        <f t="shared" ref="AS1033:AS1036" si="413">B1033-X1033</f>
        <v>0</v>
      </c>
      <c r="AT1033" s="118"/>
      <c r="AU1033" s="118"/>
      <c r="AV1033" s="118"/>
    </row>
    <row r="1034" spans="1:48" s="20" customFormat="1" x14ac:dyDescent="0.25">
      <c r="A1034" s="17">
        <f>IFERROR(VLOOKUP(D1034,'Monthly Deduction'!$I$3:$J$957,2,0),0)</f>
        <v>85000</v>
      </c>
      <c r="B1034" s="17">
        <f>IFERROR(VLOOKUP(D1034,'Monthly Deduction'!$E$3:$F$957,2,0),0)</f>
        <v>0</v>
      </c>
      <c r="C1034" s="17">
        <f t="shared" si="402"/>
        <v>85000</v>
      </c>
      <c r="D1034" s="41">
        <v>10660034</v>
      </c>
      <c r="E1034" s="122" t="str">
        <f>VLOOKUP(D1034,'MPG Payment '!$E$3:$G$497305,2,0)</f>
        <v>GOMUKH  RUPAULI GHAT</v>
      </c>
      <c r="F1034" s="146">
        <f>IFERROR(_xlfn.XLOOKUP(D1034,'Monthly Deduction'!$I$3:$I$957,'Monthly Deduction'!$H$3:$H$957),0)</f>
        <v>0</v>
      </c>
      <c r="G1034" s="123" t="str">
        <f>VLOOKUP(D1034,'MPG Payment '!$E$3:$G$333666,3,0)</f>
        <v>VLC</v>
      </c>
      <c r="H1034" s="124" t="str">
        <f>VLOOKUP(D1034,'MPG Payment '!$E$3:$H$333666,4,0)</f>
        <v>Direct</v>
      </c>
      <c r="I1034" s="88">
        <f>INDEX('MPG Payment '!$C:$C,MATCH('Shayak Income '!D1034,'MPG Payment '!E:E,0))</f>
        <v>1066</v>
      </c>
      <c r="J1034" s="88" t="str">
        <f>INDEX('MPG Payment '!$D:$D,MATCH('Shayak Income '!D1034,'MPG Payment '!E:E,0))</f>
        <v>Gaighat</v>
      </c>
      <c r="K1034" s="125" t="s">
        <v>1593</v>
      </c>
      <c r="L1034" s="125">
        <v>46223</v>
      </c>
      <c r="M1034" s="126">
        <f>SUMIF('MPG Payment '!$E$3:$E$344841,'Shayak Income '!D1034,'MPG Payment '!$I$3:$I$344841)</f>
        <v>214.5</v>
      </c>
      <c r="N1034" s="126">
        <f>SUMIF('MPG Payment '!$E$3:$E$344841,'Shayak Income '!D1034,'MPG Payment '!$J$3:$J$344841)</f>
        <v>12191.019999999999</v>
      </c>
      <c r="O1034" s="126">
        <f t="shared" si="403"/>
        <v>160.875</v>
      </c>
      <c r="P1034" s="126">
        <f t="shared" si="404"/>
        <v>203.77499999999998</v>
      </c>
      <c r="Q1034" s="126">
        <f>SUMIF('MPG Payment '!$E$3:$E$344841,'Shayak Income '!D1034,'MPG Payment '!$S$3:$S$344841)</f>
        <v>0</v>
      </c>
      <c r="R1034" s="126">
        <f t="shared" si="405"/>
        <v>365.73059999999992</v>
      </c>
      <c r="S1034" s="126">
        <f t="shared" si="406"/>
        <v>161.95559999999995</v>
      </c>
      <c r="T1034" s="126">
        <f t="shared" si="398"/>
        <v>21.450000000000003</v>
      </c>
      <c r="U1034" s="127">
        <f>((((((IF(K1034="New",0,SUMIF('MPG Payment '!$E$3:$E$344841,'Shayak Income '!D1034,'MPG Payment '!$AC$3:$AC$344841))))+0)+0)+0)+0)+0</f>
        <v>0</v>
      </c>
      <c r="V1034" s="127">
        <f t="shared" si="399"/>
        <v>343</v>
      </c>
      <c r="W1034" s="19">
        <v>0</v>
      </c>
      <c r="X1034" s="19">
        <f t="shared" si="401"/>
        <v>0</v>
      </c>
      <c r="Y1034" s="128">
        <f>IFERROR(VLOOKUP(D1034,'Monthly Deduction'!$M$2:$N$640,2,0),0)</f>
        <v>0</v>
      </c>
      <c r="Z1034" s="128">
        <v>0</v>
      </c>
      <c r="AA1034" s="126">
        <f>IFERROR(VLOOKUP(D1034,'Monthly Deduction'!A:B,2,0),0)</f>
        <v>0</v>
      </c>
      <c r="AB1034" s="129">
        <f t="shared" si="397"/>
        <v>343</v>
      </c>
      <c r="AC1034" s="130">
        <f t="shared" ref="AC1034:AC1035" si="414">AB1034</f>
        <v>343</v>
      </c>
      <c r="AD1034" s="35">
        <f t="shared" si="407"/>
        <v>0</v>
      </c>
      <c r="AE1034" s="166" t="str">
        <f t="shared" si="408"/>
        <v>Yes</v>
      </c>
      <c r="AF1034" s="127"/>
      <c r="AG1034" s="18">
        <v>0</v>
      </c>
      <c r="AH1034" s="120" t="s">
        <v>1685</v>
      </c>
      <c r="AI1034" s="238">
        <v>20000</v>
      </c>
      <c r="AJ1034" s="132"/>
      <c r="AK1034" s="151">
        <v>211.70000000000002</v>
      </c>
      <c r="AL1034" s="154">
        <f t="shared" si="409"/>
        <v>0</v>
      </c>
      <c r="AM1034" s="155"/>
      <c r="AN1034" s="19">
        <f t="shared" si="410"/>
        <v>1861</v>
      </c>
      <c r="AO1034" s="118">
        <f>SUMIF('MPG Payment '!E:E,'Shayak Income '!D1034,'MPG Payment '!AJ:AJ)</f>
        <v>0</v>
      </c>
      <c r="AP1034" s="19">
        <f t="shared" si="411"/>
        <v>0</v>
      </c>
      <c r="AQ1034" s="119">
        <f t="shared" si="412"/>
        <v>0</v>
      </c>
      <c r="AR1034" s="91" t="s">
        <v>1144</v>
      </c>
      <c r="AS1034" s="91">
        <f t="shared" si="413"/>
        <v>0</v>
      </c>
      <c r="AT1034" s="118"/>
      <c r="AU1034" s="118"/>
      <c r="AV1034" s="118"/>
    </row>
    <row r="1035" spans="1:48" s="20" customFormat="1" x14ac:dyDescent="0.25">
      <c r="A1035" s="17">
        <f>IFERROR(VLOOKUP(D1035,'Monthly Deduction'!$I$3:$J$957,2,0),0)</f>
        <v>0</v>
      </c>
      <c r="B1035" s="17">
        <f>IFERROR(VLOOKUP(D1035,'Monthly Deduction'!$E$3:$F$957,2,0),0)</f>
        <v>0</v>
      </c>
      <c r="C1035" s="17">
        <f t="shared" si="402"/>
        <v>0</v>
      </c>
      <c r="D1035" s="41">
        <v>10660038</v>
      </c>
      <c r="E1035" s="122" t="str">
        <f>VLOOKUP(D1035,'MPG Payment '!$E$3:$G$497305,2,0)</f>
        <v>GOMUKH Dharampur</v>
      </c>
      <c r="F1035" s="146">
        <f>IFERROR(_xlfn.XLOOKUP(D1035,'Monthly Deduction'!$I$3:$I$957,'Monthly Deduction'!$H$3:$H$957),0)</f>
        <v>0</v>
      </c>
      <c r="G1035" s="123" t="str">
        <f>VLOOKUP(D1035,'MPG Payment '!$E$3:$G$333666,3,0)</f>
        <v>VLC</v>
      </c>
      <c r="H1035" s="124" t="str">
        <f>VLOOKUP(D1035,'MPG Payment '!$E$3:$H$333666,4,0)</f>
        <v>Indirect</v>
      </c>
      <c r="I1035" s="88">
        <f>INDEX('MPG Payment '!$C:$C,MATCH('Shayak Income '!D1035,'MPG Payment '!E:E,0))</f>
        <v>1066</v>
      </c>
      <c r="J1035" s="88" t="str">
        <f>INDEX('MPG Payment '!$D:$D,MATCH('Shayak Income '!D1035,'MPG Payment '!E:E,0))</f>
        <v>Gaighat</v>
      </c>
      <c r="K1035" s="125" t="s">
        <v>1593</v>
      </c>
      <c r="L1035" s="125">
        <v>46224</v>
      </c>
      <c r="M1035" s="126">
        <f>SUMIF('MPG Payment '!$E$3:$E$344841,'Shayak Income '!D1035,'MPG Payment '!$I$3:$I$344841)</f>
        <v>5511.7999999999993</v>
      </c>
      <c r="N1035" s="126">
        <f>SUMIF('MPG Payment '!$E$3:$E$344841,'Shayak Income '!D1035,'MPG Payment '!$J$3:$J$344841)</f>
        <v>229842.25</v>
      </c>
      <c r="O1035" s="126">
        <f t="shared" si="403"/>
        <v>4133.8499999999995</v>
      </c>
      <c r="P1035" s="126">
        <f t="shared" si="404"/>
        <v>5236.2099999999991</v>
      </c>
      <c r="Q1035" s="126">
        <f>SUMIF('MPG Payment '!$E$3:$E$344841,'Shayak Income '!D1035,'MPG Payment '!$S$3:$S$344841)</f>
        <v>0</v>
      </c>
      <c r="R1035" s="126">
        <f t="shared" si="405"/>
        <v>6895.2674999999999</v>
      </c>
      <c r="S1035" s="126">
        <f t="shared" si="406"/>
        <v>1659.0575000000008</v>
      </c>
      <c r="T1035" s="126">
        <f t="shared" si="398"/>
        <v>551.17999999999995</v>
      </c>
      <c r="U1035" s="127">
        <f>((((((IF(K1035="New",0,SUMIF('MPG Payment '!$E$3:$E$344841,'Shayak Income '!D1035,'MPG Payment '!$AC$3:$AC$344841))))+0)+0)+0)+0)+0</f>
        <v>0</v>
      </c>
      <c r="V1035" s="127">
        <f t="shared" si="399"/>
        <v>8819</v>
      </c>
      <c r="W1035" s="19">
        <v>0</v>
      </c>
      <c r="X1035" s="19">
        <f t="shared" si="401"/>
        <v>0</v>
      </c>
      <c r="Y1035" s="128">
        <f>IFERROR(VLOOKUP(D1035,'Monthly Deduction'!$M$2:$N$640,2,0),0)</f>
        <v>0</v>
      </c>
      <c r="Z1035" s="128">
        <v>0</v>
      </c>
      <c r="AA1035" s="126">
        <f>IFERROR(VLOOKUP(D1035,'Monthly Deduction'!A:B,2,0),0)</f>
        <v>0</v>
      </c>
      <c r="AB1035" s="129">
        <f t="shared" si="397"/>
        <v>8819</v>
      </c>
      <c r="AC1035" s="130">
        <f t="shared" si="414"/>
        <v>8819</v>
      </c>
      <c r="AD1035" s="35">
        <f t="shared" si="407"/>
        <v>0</v>
      </c>
      <c r="AE1035" s="166" t="str">
        <f t="shared" si="408"/>
        <v>Yes</v>
      </c>
      <c r="AF1035" s="127"/>
      <c r="AG1035" s="18">
        <v>0</v>
      </c>
      <c r="AH1035" s="132" t="s">
        <v>1597</v>
      </c>
      <c r="AI1035" s="238">
        <v>0</v>
      </c>
      <c r="AJ1035" s="132"/>
      <c r="AK1035" s="151">
        <v>0</v>
      </c>
      <c r="AL1035" s="154">
        <f t="shared" si="409"/>
        <v>0</v>
      </c>
      <c r="AM1035" s="155"/>
      <c r="AN1035" s="19">
        <f t="shared" si="410"/>
        <v>0</v>
      </c>
      <c r="AO1035" s="118">
        <f>SUMIF('MPG Payment '!E:E,'Shayak Income '!D1035,'MPG Payment '!AJ:AJ)</f>
        <v>0</v>
      </c>
      <c r="AP1035" s="19">
        <f t="shared" si="411"/>
        <v>0</v>
      </c>
      <c r="AQ1035" s="119">
        <f t="shared" si="412"/>
        <v>0</v>
      </c>
      <c r="AR1035" s="91" t="s">
        <v>1144</v>
      </c>
      <c r="AS1035" s="91">
        <f t="shared" si="413"/>
        <v>0</v>
      </c>
      <c r="AT1035" s="118"/>
      <c r="AU1035" s="118"/>
      <c r="AV1035" s="118"/>
    </row>
    <row r="1036" spans="1:48" s="20" customFormat="1" x14ac:dyDescent="0.25">
      <c r="A1036" s="17">
        <f>IFERROR(VLOOKUP(D1036,'Monthly Deduction'!$I$3:$J$957,2,0),0)</f>
        <v>0</v>
      </c>
      <c r="B1036" s="17">
        <f>IFERROR(VLOOKUP(D1036,'Monthly Deduction'!$E$3:$F$957,2,0),0)</f>
        <v>0</v>
      </c>
      <c r="C1036" s="17">
        <f t="shared" si="402"/>
        <v>0</v>
      </c>
      <c r="D1036" s="41">
        <v>10010151</v>
      </c>
      <c r="E1036" s="122" t="str">
        <f>VLOOKUP(D1036,'MPG Payment '!$E$3:$G$497305,2,0)</f>
        <v>Kamla Nagar</v>
      </c>
      <c r="F1036" s="146">
        <f>IFERROR(_xlfn.XLOOKUP(D1036,'Monthly Deduction'!$I$3:$I$957,'Monthly Deduction'!$H$3:$H$957),0)</f>
        <v>0</v>
      </c>
      <c r="G1036" s="123" t="str">
        <f>VLOOKUP(D1036,'MPG Payment '!$E$3:$G$333666,3,0)</f>
        <v>VLC</v>
      </c>
      <c r="H1036" s="124" t="str">
        <f>VLOOKUP(D1036,'MPG Payment '!$E$3:$H$333666,4,0)</f>
        <v>Indirect</v>
      </c>
      <c r="I1036" s="88">
        <f>INDEX('MPG Payment '!$C:$C,MATCH('Shayak Income '!D1036,'MPG Payment '!E:E,0))</f>
        <v>1001</v>
      </c>
      <c r="J1036" s="88" t="str">
        <f>INDEX('MPG Payment '!$D:$D,MATCH('Shayak Income '!D1036,'MPG Payment '!E:E,0))</f>
        <v>Majhaul</v>
      </c>
      <c r="K1036" s="125" t="s">
        <v>1593</v>
      </c>
      <c r="L1036" s="125">
        <v>46228</v>
      </c>
      <c r="M1036" s="126">
        <f>SUMIF('MPG Payment '!$E$3:$E$344841,'Shayak Income '!D1036,'MPG Payment '!$I$3:$I$344841)</f>
        <v>205.89999999999998</v>
      </c>
      <c r="N1036" s="126">
        <f>SUMIF('MPG Payment '!$E$3:$E$344841,'Shayak Income '!D1036,'MPG Payment '!$J$3:$J$344841)</f>
        <v>7377.1</v>
      </c>
      <c r="O1036" s="126">
        <f t="shared" si="403"/>
        <v>154.42499999999998</v>
      </c>
      <c r="P1036" s="126">
        <f t="shared" si="404"/>
        <v>195.60499999999996</v>
      </c>
      <c r="Q1036" s="126">
        <f>SUMIF('MPG Payment '!$E$3:$E$344841,'Shayak Income '!D1036,'MPG Payment '!$S$3:$S$344841)</f>
        <v>0</v>
      </c>
      <c r="R1036" s="126">
        <f t="shared" si="405"/>
        <v>221.31300000000002</v>
      </c>
      <c r="S1036" s="126">
        <f t="shared" si="406"/>
        <v>25.708000000000055</v>
      </c>
      <c r="T1036" s="126">
        <f t="shared" si="398"/>
        <v>20.59</v>
      </c>
      <c r="U1036" s="127">
        <f>((((((IF(K1036="New",0,SUMIF('MPG Payment '!$E$3:$E$344841,'Shayak Income '!D1036,'MPG Payment '!$AC$3:$AC$344841))))+0)+0)+0)+0)+0</f>
        <v>0</v>
      </c>
      <c r="V1036" s="127">
        <f t="shared" si="399"/>
        <v>329</v>
      </c>
      <c r="W1036" s="19">
        <v>0</v>
      </c>
      <c r="X1036" s="19">
        <f t="shared" si="401"/>
        <v>0</v>
      </c>
      <c r="Y1036" s="128">
        <f>IFERROR(VLOOKUP(D1036,'Monthly Deduction'!$M$2:$N$640,2,0),0)</f>
        <v>0</v>
      </c>
      <c r="Z1036" s="128">
        <v>0</v>
      </c>
      <c r="AA1036" s="126">
        <f>IFERROR(VLOOKUP(D1036,'Monthly Deduction'!A:B,2,0),0)</f>
        <v>0</v>
      </c>
      <c r="AB1036" s="129">
        <f t="shared" si="397"/>
        <v>329</v>
      </c>
      <c r="AC1036" s="130">
        <v>0</v>
      </c>
      <c r="AD1036" s="35">
        <f t="shared" si="407"/>
        <v>329</v>
      </c>
      <c r="AE1036" s="166" t="str">
        <f t="shared" si="408"/>
        <v>Release</v>
      </c>
      <c r="AF1036" s="127"/>
      <c r="AG1036" s="18">
        <v>0</v>
      </c>
      <c r="AH1036" s="132"/>
      <c r="AI1036" s="238">
        <v>0</v>
      </c>
      <c r="AJ1036" s="132"/>
      <c r="AK1036" s="151">
        <v>290.2</v>
      </c>
      <c r="AL1036" s="154">
        <f t="shared" si="409"/>
        <v>0</v>
      </c>
      <c r="AM1036" s="155"/>
      <c r="AN1036" s="19">
        <f t="shared" si="410"/>
        <v>0</v>
      </c>
      <c r="AO1036" s="118">
        <f>SUMIF('MPG Payment '!E:E,'Shayak Income '!D1036,'MPG Payment '!AJ:AJ)</f>
        <v>0</v>
      </c>
      <c r="AP1036" s="19">
        <f t="shared" si="411"/>
        <v>0</v>
      </c>
      <c r="AQ1036" s="119">
        <f t="shared" si="412"/>
        <v>0</v>
      </c>
      <c r="AR1036" s="91" t="s">
        <v>1144</v>
      </c>
      <c r="AS1036" s="91">
        <f t="shared" si="413"/>
        <v>0</v>
      </c>
      <c r="AT1036" s="118"/>
      <c r="AU1036" s="118"/>
      <c r="AV1036" s="118"/>
    </row>
    <row r="1037" spans="1:48" s="20" customFormat="1" x14ac:dyDescent="0.25">
      <c r="A1037" s="17">
        <f>IFERROR(VLOOKUP(D1037,'Monthly Deduction'!$I$3:$J$957,2,0),0)</f>
        <v>0</v>
      </c>
      <c r="B1037" s="17">
        <f>IFERROR(VLOOKUP(D1037,'Monthly Deduction'!$E$3:$F$957,2,0),0)</f>
        <v>0</v>
      </c>
      <c r="C1037" s="17">
        <f t="shared" si="373"/>
        <v>0</v>
      </c>
      <c r="D1037" s="41">
        <v>10060081</v>
      </c>
      <c r="E1037" s="122" t="str">
        <f>VLOOKUP(D1037,'MPG Payment '!$E$3:$G$497305,2,0)</f>
        <v xml:space="preserve">RAVIRAJ </v>
      </c>
      <c r="F1037" s="146">
        <f>IFERROR(_xlfn.XLOOKUP(D1037,'Monthly Deduction'!$I$3:$I$957,'Monthly Deduction'!$H$3:$H$957),0)</f>
        <v>0</v>
      </c>
      <c r="G1037" s="123" t="str">
        <f>VLOOKUP(D1037,'MPG Payment '!$E$3:$G$333666,3,0)</f>
        <v>VLC</v>
      </c>
      <c r="H1037" s="124" t="str">
        <f>VLOOKUP(D1037,'MPG Payment '!$E$3:$H$333666,4,0)</f>
        <v>Indirect</v>
      </c>
      <c r="I1037" s="88">
        <f>INDEX('MPG Payment '!$C:$C,MATCH('Shayak Income '!D1037,'MPG Payment '!E:E,0))</f>
        <v>1006</v>
      </c>
      <c r="J1037" s="88" t="str">
        <f>INDEX('MPG Payment '!$D:$D,MATCH('Shayak Income '!D1037,'MPG Payment '!E:E,0))</f>
        <v>Sonvarsha</v>
      </c>
      <c r="K1037" s="125" t="s">
        <v>1594</v>
      </c>
      <c r="L1037" s="125">
        <v>45647</v>
      </c>
      <c r="M1037" s="126">
        <f>SUMIF('MPG Payment '!$E$3:$E$344841,'Shayak Income '!D1037,'MPG Payment '!$I$3:$I$344841)</f>
        <v>1212.5</v>
      </c>
      <c r="N1037" s="126">
        <f>SUMIF('MPG Payment '!$E$3:$E$344841,'Shayak Income '!D1037,'MPG Payment '!$J$3:$J$344841)</f>
        <v>49609.17</v>
      </c>
      <c r="O1037" s="126">
        <f t="shared" si="374"/>
        <v>909.375</v>
      </c>
      <c r="P1037" s="126">
        <f t="shared" si="375"/>
        <v>1151.875</v>
      </c>
      <c r="Q1037" s="126">
        <f>SUMIF('MPG Payment '!$E$3:$E$344841,'Shayak Income '!D1037,'MPG Payment '!$S$3:$S$344841)</f>
        <v>0</v>
      </c>
      <c r="R1037" s="126">
        <f t="shared" si="376"/>
        <v>1488.2750999999998</v>
      </c>
      <c r="S1037" s="126">
        <f t="shared" si="377"/>
        <v>336.40009999999984</v>
      </c>
      <c r="T1037" s="126">
        <f t="shared" si="398"/>
        <v>121.25</v>
      </c>
      <c r="U1037" s="127">
        <f>((((((IF(K1037="New",0,SUMIF('MPG Payment '!$E$3:$E$344841,'Shayak Income '!D1037,'MPG Payment '!$AC$3:$AC$344841))))+0)+0)+0)+0)+0</f>
        <v>0</v>
      </c>
      <c r="V1037" s="127">
        <f t="shared" si="399"/>
        <v>1940</v>
      </c>
      <c r="W1037" s="19">
        <f t="shared" si="400"/>
        <v>0</v>
      </c>
      <c r="X1037" s="19">
        <f t="shared" si="401"/>
        <v>0</v>
      </c>
      <c r="Y1037" s="128">
        <f>IFERROR(VLOOKUP(D1037,'Monthly Deduction'!$M$2:$N$640,2,0),0)</f>
        <v>0</v>
      </c>
      <c r="Z1037" s="128">
        <v>0</v>
      </c>
      <c r="AA1037" s="126">
        <f>IFERROR(VLOOKUP(D1037,'Monthly Deduction'!A:B,2,0),0)</f>
        <v>0</v>
      </c>
      <c r="AB1037" s="129">
        <f t="shared" si="397"/>
        <v>1940</v>
      </c>
      <c r="AC1037" s="130">
        <v>0</v>
      </c>
      <c r="AD1037" s="35">
        <f t="shared" si="379"/>
        <v>1940</v>
      </c>
      <c r="AE1037" s="166" t="str">
        <f t="shared" si="380"/>
        <v>Release</v>
      </c>
      <c r="AF1037" s="127"/>
      <c r="AG1037" s="18">
        <v>0</v>
      </c>
      <c r="AH1037" s="132"/>
      <c r="AI1037" s="238">
        <v>0</v>
      </c>
      <c r="AJ1037" s="132"/>
      <c r="AK1037" s="151">
        <v>905.2</v>
      </c>
      <c r="AL1037" s="154">
        <f t="shared" si="381"/>
        <v>0</v>
      </c>
      <c r="AM1037" s="155"/>
      <c r="AN1037" s="19">
        <f t="shared" si="365"/>
        <v>0</v>
      </c>
      <c r="AO1037" s="118">
        <f>SUMIF('MPG Payment '!E:E,'Shayak Income '!D1037,'MPG Payment '!AJ:AJ)</f>
        <v>0</v>
      </c>
      <c r="AP1037" s="19">
        <f t="shared" si="366"/>
        <v>0</v>
      </c>
      <c r="AQ1037" s="119">
        <f t="shared" si="382"/>
        <v>0</v>
      </c>
      <c r="AR1037" s="91" t="s">
        <v>1144</v>
      </c>
      <c r="AS1037" s="91">
        <f t="shared" si="367"/>
        <v>0</v>
      </c>
      <c r="AT1037" s="118"/>
      <c r="AU1037" s="118"/>
      <c r="AV1037" s="118"/>
    </row>
    <row r="1038" spans="1:48" s="20" customFormat="1" x14ac:dyDescent="0.25">
      <c r="A1038" s="17">
        <f>IFERROR(VLOOKUP(D1038,'Monthly Deduction'!$I$3:$J$957,2,0),0)</f>
        <v>0</v>
      </c>
      <c r="B1038" s="17">
        <f>IFERROR(VLOOKUP(D1038,'Monthly Deduction'!$E$3:$F$957,2,0),0)</f>
        <v>0</v>
      </c>
      <c r="C1038" s="17">
        <f t="shared" si="373"/>
        <v>0</v>
      </c>
      <c r="D1038" s="41">
        <v>10060117</v>
      </c>
      <c r="E1038" s="122" t="str">
        <f>VLOOKUP(D1038,'MPG Payment '!$E$3:$G$497305,2,0)</f>
        <v>GOMUKH MAHGAMA</v>
      </c>
      <c r="F1038" s="146">
        <f>IFERROR(_xlfn.XLOOKUP(D1038,'Monthly Deduction'!$I$3:$I$957,'Monthly Deduction'!$H$3:$H$957),0)</f>
        <v>0</v>
      </c>
      <c r="G1038" s="123" t="str">
        <f>VLOOKUP(D1038,'MPG Payment '!$E$3:$G$333666,3,0)</f>
        <v>VLC</v>
      </c>
      <c r="H1038" s="124" t="str">
        <f>VLOOKUP(D1038,'MPG Payment '!$E$3:$H$333666,4,0)</f>
        <v>Indirect</v>
      </c>
      <c r="I1038" s="88">
        <f>INDEX('MPG Payment '!$C:$C,MATCH('Shayak Income '!D1038,'MPG Payment '!E:E,0))</f>
        <v>1006</v>
      </c>
      <c r="J1038" s="88" t="str">
        <f>INDEX('MPG Payment '!$D:$D,MATCH('Shayak Income '!D1038,'MPG Payment '!E:E,0))</f>
        <v>Sonvarsha</v>
      </c>
      <c r="K1038" s="125" t="s">
        <v>1594</v>
      </c>
      <c r="L1038" s="125">
        <v>45906</v>
      </c>
      <c r="M1038" s="126">
        <f>SUMIF('MPG Payment '!$E$3:$E$344841,'Shayak Income '!D1038,'MPG Payment '!$I$3:$I$344841)</f>
        <v>207</v>
      </c>
      <c r="N1038" s="126">
        <f>SUMIF('MPG Payment '!$E$3:$E$344841,'Shayak Income '!D1038,'MPG Payment '!$J$3:$J$344841)</f>
        <v>9764.23</v>
      </c>
      <c r="O1038" s="126">
        <f t="shared" si="374"/>
        <v>155.25</v>
      </c>
      <c r="P1038" s="126">
        <f t="shared" si="375"/>
        <v>196.64999999999998</v>
      </c>
      <c r="Q1038" s="126">
        <f>SUMIF('MPG Payment '!$E$3:$E$344841,'Shayak Income '!D1038,'MPG Payment '!$S$3:$S$344841)</f>
        <v>0</v>
      </c>
      <c r="R1038" s="126">
        <f t="shared" si="376"/>
        <v>292.92689999999999</v>
      </c>
      <c r="S1038" s="126">
        <f t="shared" si="377"/>
        <v>96.276900000000012</v>
      </c>
      <c r="T1038" s="126">
        <f t="shared" si="398"/>
        <v>20.700000000000003</v>
      </c>
      <c r="U1038" s="127">
        <f>((((((IF(K1038="New",0,SUMIF('MPG Payment '!$E$3:$E$344841,'Shayak Income '!D1038,'MPG Payment '!$AC$3:$AC$344841))))+0)+0)+0)+0)+-134</f>
        <v>331.09810531400967</v>
      </c>
      <c r="V1038" s="127">
        <f t="shared" si="399"/>
        <v>0</v>
      </c>
      <c r="W1038" s="19">
        <v>0</v>
      </c>
      <c r="X1038" s="19">
        <v>0</v>
      </c>
      <c r="Y1038" s="128">
        <v>0</v>
      </c>
      <c r="Z1038" s="128">
        <v>0</v>
      </c>
      <c r="AA1038" s="126">
        <v>0</v>
      </c>
      <c r="AB1038" s="129">
        <f t="shared" si="397"/>
        <v>0</v>
      </c>
      <c r="AC1038" s="130">
        <v>0</v>
      </c>
      <c r="AD1038" s="35">
        <f t="shared" si="379"/>
        <v>0</v>
      </c>
      <c r="AE1038" s="166" t="str">
        <f t="shared" si="380"/>
        <v>Release</v>
      </c>
      <c r="AF1038" s="127"/>
      <c r="AG1038" s="18">
        <v>0</v>
      </c>
      <c r="AH1038" s="132"/>
      <c r="AI1038" s="238">
        <v>0</v>
      </c>
      <c r="AJ1038" s="132"/>
      <c r="AK1038" s="151">
        <v>216.2</v>
      </c>
      <c r="AL1038" s="154">
        <f t="shared" si="381"/>
        <v>0</v>
      </c>
      <c r="AM1038" s="155"/>
      <c r="AN1038" s="19">
        <f t="shared" si="365"/>
        <v>0</v>
      </c>
      <c r="AO1038" s="118">
        <f>SUMIF('MPG Payment '!E:E,'Shayak Income '!D1038,'MPG Payment '!AJ:AJ)</f>
        <v>0</v>
      </c>
      <c r="AP1038" s="19">
        <f t="shared" si="366"/>
        <v>0</v>
      </c>
      <c r="AQ1038" s="119">
        <f t="shared" si="382"/>
        <v>0</v>
      </c>
      <c r="AR1038" s="91" t="s">
        <v>1144</v>
      </c>
      <c r="AS1038" s="91">
        <f t="shared" si="367"/>
        <v>0</v>
      </c>
      <c r="AT1038" s="118"/>
      <c r="AU1038" s="118"/>
      <c r="AV1038" s="118"/>
    </row>
    <row r="1039" spans="1:48" s="20" customFormat="1" x14ac:dyDescent="0.25">
      <c r="A1039" s="17">
        <f>IFERROR(VLOOKUP(D1039,'Monthly Deduction'!$I$3:$J$957,2,0),0)</f>
        <v>0</v>
      </c>
      <c r="B1039" s="17">
        <f>IFERROR(VLOOKUP(D1039,'Monthly Deduction'!$E$3:$F$957,2,0),0)</f>
        <v>0</v>
      </c>
      <c r="C1039" s="17">
        <f t="shared" si="373"/>
        <v>0</v>
      </c>
      <c r="D1039" s="41">
        <v>10060138</v>
      </c>
      <c r="E1039" s="122" t="str">
        <f>VLOOKUP(D1039,'MPG Payment '!$E$3:$G$497305,2,0)</f>
        <v>GOMUKH GAHILSTHAN</v>
      </c>
      <c r="F1039" s="146">
        <f>IFERROR(_xlfn.XLOOKUP(D1039,'Monthly Deduction'!$I$3:$I$957,'Monthly Deduction'!$H$3:$H$957),0)</f>
        <v>0</v>
      </c>
      <c r="G1039" s="123" t="str">
        <f>VLOOKUP(D1039,'MPG Payment '!$E$3:$G$333666,3,0)</f>
        <v>VLC</v>
      </c>
      <c r="H1039" s="124" t="str">
        <f>VLOOKUP(D1039,'MPG Payment '!$E$3:$H$333666,4,0)</f>
        <v>Indirect</v>
      </c>
      <c r="I1039" s="88">
        <f>INDEX('MPG Payment '!$C:$C,MATCH('Shayak Income '!D1039,'MPG Payment '!E:E,0))</f>
        <v>1006</v>
      </c>
      <c r="J1039" s="88" t="str">
        <f>INDEX('MPG Payment '!$D:$D,MATCH('Shayak Income '!D1039,'MPG Payment '!E:E,0))</f>
        <v>Sonvarsha</v>
      </c>
      <c r="K1039" s="125" t="s">
        <v>1593</v>
      </c>
      <c r="L1039" s="125">
        <v>46230</v>
      </c>
      <c r="M1039" s="126">
        <f>SUMIF('MPG Payment '!$E$3:$E$344841,'Shayak Income '!D1039,'MPG Payment '!$I$3:$I$344841)</f>
        <v>5563.8</v>
      </c>
      <c r="N1039" s="126">
        <f>SUMIF('MPG Payment '!$E$3:$E$344841,'Shayak Income '!D1039,'MPG Payment '!$J$3:$J$344841)</f>
        <v>234627.50999999995</v>
      </c>
      <c r="O1039" s="126">
        <f t="shared" si="374"/>
        <v>4172.8500000000004</v>
      </c>
      <c r="P1039" s="126">
        <f t="shared" si="375"/>
        <v>5285.61</v>
      </c>
      <c r="Q1039" s="126">
        <f>SUMIF('MPG Payment '!$E$3:$E$344841,'Shayak Income '!D1039,'MPG Payment '!$S$3:$S$344841)</f>
        <v>0</v>
      </c>
      <c r="R1039" s="126">
        <f t="shared" si="376"/>
        <v>7038.8252999999986</v>
      </c>
      <c r="S1039" s="126">
        <f t="shared" si="377"/>
        <v>1753.2152999999989</v>
      </c>
      <c r="T1039" s="126">
        <f t="shared" si="398"/>
        <v>556.38</v>
      </c>
      <c r="U1039" s="127">
        <f>((((((IF(K1039="New",0,SUMIF('MPG Payment '!$E$3:$E$344841,'Shayak Income '!D1039,'MPG Payment '!$AC$3:$AC$344841))))+0)+0)+0)+0)+0</f>
        <v>0</v>
      </c>
      <c r="V1039" s="127">
        <f t="shared" si="399"/>
        <v>8902</v>
      </c>
      <c r="W1039" s="19">
        <v>0</v>
      </c>
      <c r="X1039" s="19">
        <f t="shared" si="401"/>
        <v>0</v>
      </c>
      <c r="Y1039" s="128">
        <f>IFERROR(VLOOKUP(D1039,'Monthly Deduction'!$M$2:$N$640,2,0),0)</f>
        <v>0</v>
      </c>
      <c r="Z1039" s="128">
        <v>0</v>
      </c>
      <c r="AA1039" s="126">
        <f>IFERROR(VLOOKUP(D1039,'Monthly Deduction'!A:B,2,0),0)</f>
        <v>0</v>
      </c>
      <c r="AB1039" s="129">
        <f t="shared" si="397"/>
        <v>8902</v>
      </c>
      <c r="AC1039" s="130">
        <v>0</v>
      </c>
      <c r="AD1039" s="35">
        <f t="shared" si="379"/>
        <v>8902</v>
      </c>
      <c r="AE1039" s="166" t="str">
        <f t="shared" si="380"/>
        <v>Release</v>
      </c>
      <c r="AF1039" s="127"/>
      <c r="AG1039" s="18">
        <v>0</v>
      </c>
      <c r="AH1039" s="132"/>
      <c r="AI1039" s="238">
        <v>0</v>
      </c>
      <c r="AJ1039" s="132"/>
      <c r="AK1039" s="151">
        <v>1513.5</v>
      </c>
      <c r="AL1039" s="154">
        <f t="shared" si="381"/>
        <v>0</v>
      </c>
      <c r="AM1039" s="155"/>
      <c r="AN1039" s="19">
        <f t="shared" si="365"/>
        <v>0</v>
      </c>
      <c r="AO1039" s="118">
        <f>SUMIF('MPG Payment '!E:E,'Shayak Income '!D1039,'MPG Payment '!AJ:AJ)</f>
        <v>0</v>
      </c>
      <c r="AP1039" s="19">
        <f t="shared" si="366"/>
        <v>0</v>
      </c>
      <c r="AQ1039" s="119">
        <f t="shared" si="382"/>
        <v>0</v>
      </c>
      <c r="AR1039" s="91" t="s">
        <v>1144</v>
      </c>
      <c r="AS1039" s="91">
        <f t="shared" si="367"/>
        <v>0</v>
      </c>
      <c r="AT1039" s="118"/>
      <c r="AU1039" s="118"/>
      <c r="AV1039" s="118"/>
    </row>
    <row r="1040" spans="1:48" s="20" customFormat="1" x14ac:dyDescent="0.25">
      <c r="A1040" s="17">
        <f>IFERROR(VLOOKUP(D1040,'Monthly Deduction'!$I$3:$J$957,2,0),0)</f>
        <v>108646</v>
      </c>
      <c r="B1040" s="17">
        <f>IFERROR(VLOOKUP(D1040,'Monthly Deduction'!$E$3:$F$957,2,0),0)</f>
        <v>0</v>
      </c>
      <c r="C1040" s="17">
        <f t="shared" si="373"/>
        <v>108646</v>
      </c>
      <c r="D1040" s="41">
        <v>10070072</v>
      </c>
      <c r="E1040" s="122" t="str">
        <f>VLOOKUP(D1040,'MPG Payment '!$E$3:$G$497305,2,0)</f>
        <v>Gomukh Purani Tola</v>
      </c>
      <c r="F1040" s="146">
        <f>IFERROR(_xlfn.XLOOKUP(D1040,'Monthly Deduction'!$I$3:$I$957,'Monthly Deduction'!$H$3:$H$957),0)</f>
        <v>0</v>
      </c>
      <c r="G1040" s="123" t="str">
        <f>VLOOKUP(D1040,'MPG Payment '!$E$3:$G$333666,3,0)</f>
        <v>VLC</v>
      </c>
      <c r="H1040" s="124" t="str">
        <f>VLOOKUP(D1040,'MPG Payment '!$E$3:$H$333666,4,0)</f>
        <v>Indirect</v>
      </c>
      <c r="I1040" s="88">
        <f>INDEX('MPG Payment '!$C:$C,MATCH('Shayak Income '!D1040,'MPG Payment '!E:E,0))</f>
        <v>1007</v>
      </c>
      <c r="J1040" s="88" t="str">
        <f>INDEX('MPG Payment '!$D:$D,MATCH('Shayak Income '!D1040,'MPG Payment '!E:E,0))</f>
        <v>Araria</v>
      </c>
      <c r="K1040" s="125" t="s">
        <v>1594</v>
      </c>
      <c r="L1040" s="125">
        <v>45856</v>
      </c>
      <c r="M1040" s="126">
        <f>SUMIF('MPG Payment '!$E$3:$E$344841,'Shayak Income '!D1040,'MPG Payment '!$I$3:$I$344841)</f>
        <v>297</v>
      </c>
      <c r="N1040" s="126">
        <f>SUMIF('MPG Payment '!$E$3:$E$344841,'Shayak Income '!D1040,'MPG Payment '!$J$3:$J$344841)</f>
        <v>11154.220000000001</v>
      </c>
      <c r="O1040" s="126">
        <f t="shared" si="374"/>
        <v>222.75</v>
      </c>
      <c r="P1040" s="126">
        <f t="shared" si="375"/>
        <v>282.14999999999998</v>
      </c>
      <c r="Q1040" s="126">
        <f>SUMIF('MPG Payment '!$E$3:$E$344841,'Shayak Income '!D1040,'MPG Payment '!$S$3:$S$344841)</f>
        <v>0</v>
      </c>
      <c r="R1040" s="126">
        <f t="shared" si="376"/>
        <v>334.6266</v>
      </c>
      <c r="S1040" s="126">
        <f t="shared" si="377"/>
        <v>52.476600000000019</v>
      </c>
      <c r="T1040" s="126">
        <f t="shared" si="398"/>
        <v>29.700000000000003</v>
      </c>
      <c r="U1040" s="127">
        <f>((((((IF(K1040="New",0,SUMIF('MPG Payment '!$E$3:$E$344841,'Shayak Income '!D1040,'MPG Payment '!$AC$3:$AC$344841))))+0)+0)+0)+0)+0</f>
        <v>302.70374814814818</v>
      </c>
      <c r="V1040" s="127">
        <f t="shared" si="399"/>
        <v>172</v>
      </c>
      <c r="W1040" s="19">
        <v>172</v>
      </c>
      <c r="X1040" s="19">
        <v>0</v>
      </c>
      <c r="Y1040" s="128">
        <f>IFERROR(VLOOKUP(D1040,'Monthly Deduction'!$M$2:$N$640,2,0),0)</f>
        <v>0</v>
      </c>
      <c r="Z1040" s="128">
        <v>0</v>
      </c>
      <c r="AA1040" s="126">
        <f>IFERROR(VLOOKUP(D1040,'Monthly Deduction'!A:B,2,0),0)</f>
        <v>0</v>
      </c>
      <c r="AB1040" s="129">
        <f t="shared" si="397"/>
        <v>0</v>
      </c>
      <c r="AC1040" s="130">
        <f t="shared" ref="AC1040:AC1042" si="415">AB1040</f>
        <v>0</v>
      </c>
      <c r="AD1040" s="35">
        <f t="shared" si="379"/>
        <v>0</v>
      </c>
      <c r="AE1040" s="166" t="str">
        <f t="shared" si="380"/>
        <v>Release</v>
      </c>
      <c r="AF1040" s="127"/>
      <c r="AG1040" s="18">
        <v>0</v>
      </c>
      <c r="AH1040" s="120" t="s">
        <v>1685</v>
      </c>
      <c r="AI1040" s="238">
        <v>8646</v>
      </c>
      <c r="AJ1040" s="132"/>
      <c r="AK1040" s="151">
        <v>292.20000000000005</v>
      </c>
      <c r="AL1040" s="154">
        <f t="shared" si="381"/>
        <v>0</v>
      </c>
      <c r="AM1040" s="155"/>
      <c r="AN1040" s="19">
        <f t="shared" si="365"/>
        <v>1861</v>
      </c>
      <c r="AO1040" s="118">
        <f>SUMIF('MPG Payment '!E:E,'Shayak Income '!D1040,'MPG Payment '!AJ:AJ)</f>
        <v>0</v>
      </c>
      <c r="AP1040" s="19">
        <f t="shared" si="366"/>
        <v>172</v>
      </c>
      <c r="AQ1040" s="119">
        <f t="shared" si="382"/>
        <v>172</v>
      </c>
      <c r="AR1040" s="91" t="s">
        <v>1144</v>
      </c>
      <c r="AS1040" s="91">
        <f t="shared" si="367"/>
        <v>0</v>
      </c>
      <c r="AT1040" s="118"/>
      <c r="AU1040" s="118"/>
      <c r="AV1040" s="118"/>
    </row>
    <row r="1041" spans="1:48" s="20" customFormat="1" x14ac:dyDescent="0.25">
      <c r="A1041" s="17">
        <f>IFERROR(VLOOKUP(D1041,'Monthly Deduction'!$I$3:$J$957,2,0),0)</f>
        <v>75000</v>
      </c>
      <c r="B1041" s="17">
        <f>IFERROR(VLOOKUP(D1041,'Monthly Deduction'!$E$3:$F$957,2,0),0)</f>
        <v>0</v>
      </c>
      <c r="C1041" s="17">
        <f t="shared" si="373"/>
        <v>75000</v>
      </c>
      <c r="D1041" s="41">
        <v>10070080</v>
      </c>
      <c r="E1041" s="122" t="str">
        <f>VLOOKUP(D1041,'MPG Payment '!$E$3:$G$497305,2,0)</f>
        <v>Gomukh Banni</v>
      </c>
      <c r="F1041" s="146">
        <f>IFERROR(_xlfn.XLOOKUP(D1041,'Monthly Deduction'!$I$3:$I$957,'Monthly Deduction'!$H$3:$H$957),0)</f>
        <v>0</v>
      </c>
      <c r="G1041" s="123" t="str">
        <f>VLOOKUP(D1041,'MPG Payment '!$E$3:$G$333666,3,0)</f>
        <v>VLC</v>
      </c>
      <c r="H1041" s="124" t="str">
        <f>VLOOKUP(D1041,'MPG Payment '!$E$3:$H$333666,4,0)</f>
        <v>Direct</v>
      </c>
      <c r="I1041" s="88">
        <f>INDEX('MPG Payment '!$C:$C,MATCH('Shayak Income '!D1041,'MPG Payment '!E:E,0))</f>
        <v>1007</v>
      </c>
      <c r="J1041" s="88" t="str">
        <f>INDEX('MPG Payment '!$D:$D,MATCH('Shayak Income '!D1041,'MPG Payment '!E:E,0))</f>
        <v>Araria</v>
      </c>
      <c r="K1041" s="125" t="s">
        <v>1593</v>
      </c>
      <c r="L1041" s="125">
        <v>46231</v>
      </c>
      <c r="M1041" s="126">
        <f>SUMIF('MPG Payment '!$E$3:$E$344841,'Shayak Income '!D1041,'MPG Payment '!$I$3:$I$344841)</f>
        <v>450.5</v>
      </c>
      <c r="N1041" s="126">
        <f>SUMIF('MPG Payment '!$E$3:$E$344841,'Shayak Income '!D1041,'MPG Payment '!$J$3:$J$344841)</f>
        <v>18746.670000000002</v>
      </c>
      <c r="O1041" s="126">
        <f t="shared" si="374"/>
        <v>337.875</v>
      </c>
      <c r="P1041" s="126">
        <f t="shared" si="375"/>
        <v>427.97499999999997</v>
      </c>
      <c r="Q1041" s="126">
        <f>SUMIF('MPG Payment '!$E$3:$E$344841,'Shayak Income '!D1041,'MPG Payment '!$S$3:$S$344841)</f>
        <v>0</v>
      </c>
      <c r="R1041" s="126">
        <f t="shared" si="376"/>
        <v>562.40010000000007</v>
      </c>
      <c r="S1041" s="126">
        <f t="shared" si="377"/>
        <v>134.4251000000001</v>
      </c>
      <c r="T1041" s="126">
        <f t="shared" si="398"/>
        <v>45.050000000000004</v>
      </c>
      <c r="U1041" s="127">
        <f>((((((IF(K1041="New",0,SUMIF('MPG Payment '!$E$3:$E$344841,'Shayak Income '!D1041,'MPG Payment '!$AC$3:$AC$344841))))+0)+0)+0)+0)+0</f>
        <v>0</v>
      </c>
      <c r="V1041" s="127">
        <f t="shared" si="399"/>
        <v>721</v>
      </c>
      <c r="W1041" s="19">
        <v>0</v>
      </c>
      <c r="X1041" s="19">
        <f t="shared" si="401"/>
        <v>0</v>
      </c>
      <c r="Y1041" s="128">
        <f>IFERROR(VLOOKUP(D1041,'Monthly Deduction'!$M$2:$N$640,2,0),0)</f>
        <v>0</v>
      </c>
      <c r="Z1041" s="128">
        <v>0</v>
      </c>
      <c r="AA1041" s="126">
        <f>IFERROR(VLOOKUP(D1041,'Monthly Deduction'!A:B,2,0),0)</f>
        <v>0</v>
      </c>
      <c r="AB1041" s="129">
        <f t="shared" si="397"/>
        <v>721</v>
      </c>
      <c r="AC1041" s="130">
        <f t="shared" si="415"/>
        <v>721</v>
      </c>
      <c r="AD1041" s="35">
        <f t="shared" si="379"/>
        <v>0</v>
      </c>
      <c r="AE1041" s="166" t="str">
        <f t="shared" si="380"/>
        <v>Yes</v>
      </c>
      <c r="AF1041" s="127"/>
      <c r="AG1041" s="18">
        <v>0</v>
      </c>
      <c r="AH1041" s="120" t="s">
        <v>1685</v>
      </c>
      <c r="AI1041" s="238">
        <v>10000</v>
      </c>
      <c r="AJ1041" s="132"/>
      <c r="AK1041" s="151">
        <v>1195.5</v>
      </c>
      <c r="AL1041" s="154">
        <f t="shared" si="381"/>
        <v>0</v>
      </c>
      <c r="AM1041" s="155"/>
      <c r="AN1041" s="19">
        <f t="shared" si="365"/>
        <v>1861</v>
      </c>
      <c r="AO1041" s="118">
        <f>SUMIF('MPG Payment '!E:E,'Shayak Income '!D1041,'MPG Payment '!AJ:AJ)</f>
        <v>0</v>
      </c>
      <c r="AP1041" s="19">
        <f t="shared" si="366"/>
        <v>0</v>
      </c>
      <c r="AQ1041" s="119">
        <f t="shared" si="382"/>
        <v>0</v>
      </c>
      <c r="AR1041" s="91" t="s">
        <v>1144</v>
      </c>
      <c r="AS1041" s="91">
        <f t="shared" si="367"/>
        <v>0</v>
      </c>
      <c r="AT1041" s="118"/>
      <c r="AU1041" s="118"/>
      <c r="AV1041" s="118"/>
    </row>
    <row r="1042" spans="1:48" s="20" customFormat="1" x14ac:dyDescent="0.25">
      <c r="A1042" s="17">
        <f>IFERROR(VLOOKUP(D1042,'Monthly Deduction'!$I$3:$J$957,2,0),0)</f>
        <v>0</v>
      </c>
      <c r="B1042" s="17">
        <f>IFERROR(VLOOKUP(D1042,'Monthly Deduction'!$E$3:$F$957,2,0),0)</f>
        <v>0</v>
      </c>
      <c r="C1042" s="17">
        <f t="shared" si="373"/>
        <v>0</v>
      </c>
      <c r="D1042" s="41">
        <v>10090026</v>
      </c>
      <c r="E1042" s="122" t="str">
        <f>VLOOKUP(D1042,'MPG Payment '!$E$3:$G$497305,2,0)</f>
        <v>Gomukh ID Nawadih</v>
      </c>
      <c r="F1042" s="146">
        <f>IFERROR(_xlfn.XLOOKUP(D1042,'Monthly Deduction'!$I$3:$I$957,'Monthly Deduction'!$H$3:$H$957),0)</f>
        <v>0</v>
      </c>
      <c r="G1042" s="123" t="str">
        <f>VLOOKUP(D1042,'MPG Payment '!$E$3:$G$333666,3,0)</f>
        <v>VLC</v>
      </c>
      <c r="H1042" s="124" t="str">
        <f>VLOOKUP(D1042,'MPG Payment '!$E$3:$H$333666,4,0)</f>
        <v>Indirect</v>
      </c>
      <c r="I1042" s="88">
        <f>INDEX('MPG Payment '!$C:$C,MATCH('Shayak Income '!D1042,'MPG Payment '!E:E,0))</f>
        <v>1009</v>
      </c>
      <c r="J1042" s="88" t="str">
        <f>INDEX('MPG Payment '!$D:$D,MATCH('Shayak Income '!D1042,'MPG Payment '!E:E,0))</f>
        <v>Halsi</v>
      </c>
      <c r="K1042" s="125" t="s">
        <v>1594</v>
      </c>
      <c r="L1042" s="125">
        <v>44835</v>
      </c>
      <c r="M1042" s="126">
        <f>SUMIF('MPG Payment '!$E$3:$E$344841,'Shayak Income '!D1042,'MPG Payment '!$I$3:$I$344841)</f>
        <v>12.5</v>
      </c>
      <c r="N1042" s="126">
        <f>SUMIF('MPG Payment '!$E$3:$E$344841,'Shayak Income '!D1042,'MPG Payment '!$J$3:$J$344841)</f>
        <v>524.75</v>
      </c>
      <c r="O1042" s="126">
        <f t="shared" si="374"/>
        <v>9.375</v>
      </c>
      <c r="P1042" s="126">
        <f t="shared" si="375"/>
        <v>11.875</v>
      </c>
      <c r="Q1042" s="126">
        <f>SUMIF('MPG Payment '!$E$3:$E$344841,'Shayak Income '!D1042,'MPG Payment '!$S$3:$S$344841)</f>
        <v>0</v>
      </c>
      <c r="R1042" s="126">
        <f t="shared" si="376"/>
        <v>15.7425</v>
      </c>
      <c r="S1042" s="126">
        <f t="shared" si="377"/>
        <v>3.8674999999999997</v>
      </c>
      <c r="T1042" s="126">
        <f t="shared" si="398"/>
        <v>1.25</v>
      </c>
      <c r="U1042" s="127">
        <f>((((((IF(K1042="New",0,SUMIF('MPG Payment '!$E$3:$E$344841,'Shayak Income '!D1042,'MPG Payment '!$AC$3:$AC$344841))))+0)+0)+0)+0)+-557</f>
        <v>20.224999999999909</v>
      </c>
      <c r="V1042" s="127">
        <f t="shared" si="399"/>
        <v>0</v>
      </c>
      <c r="W1042" s="19">
        <v>0</v>
      </c>
      <c r="X1042" s="19">
        <v>0</v>
      </c>
      <c r="Y1042" s="128">
        <v>0</v>
      </c>
      <c r="Z1042" s="128">
        <v>0</v>
      </c>
      <c r="AA1042" s="126">
        <v>0</v>
      </c>
      <c r="AB1042" s="129">
        <f t="shared" si="397"/>
        <v>0</v>
      </c>
      <c r="AC1042" s="130">
        <f t="shared" si="415"/>
        <v>0</v>
      </c>
      <c r="AD1042" s="35">
        <f t="shared" si="379"/>
        <v>0</v>
      </c>
      <c r="AE1042" s="166" t="str">
        <f t="shared" si="380"/>
        <v>Release</v>
      </c>
      <c r="AF1042" s="127"/>
      <c r="AG1042" s="18">
        <v>0</v>
      </c>
      <c r="AH1042" s="132" t="s">
        <v>1597</v>
      </c>
      <c r="AI1042" s="238">
        <v>0</v>
      </c>
      <c r="AJ1042" s="132"/>
      <c r="AK1042" s="151">
        <v>0</v>
      </c>
      <c r="AL1042" s="154">
        <f t="shared" si="381"/>
        <v>0</v>
      </c>
      <c r="AM1042" s="155"/>
      <c r="AN1042" s="19">
        <f t="shared" si="365"/>
        <v>0</v>
      </c>
      <c r="AO1042" s="118">
        <f>SUMIF('MPG Payment '!E:E,'Shayak Income '!D1042,'MPG Payment '!AJ:AJ)</f>
        <v>0</v>
      </c>
      <c r="AP1042" s="19">
        <f t="shared" si="366"/>
        <v>0</v>
      </c>
      <c r="AQ1042" s="119">
        <f t="shared" si="382"/>
        <v>0</v>
      </c>
      <c r="AR1042" s="91" t="s">
        <v>1144</v>
      </c>
      <c r="AS1042" s="91">
        <f t="shared" si="367"/>
        <v>0</v>
      </c>
      <c r="AT1042" s="118"/>
      <c r="AU1042" s="118"/>
      <c r="AV1042" s="118"/>
    </row>
    <row r="1043" spans="1:48" s="20" customFormat="1" x14ac:dyDescent="0.25">
      <c r="A1043" s="17">
        <f>IFERROR(VLOOKUP(D1043,'Monthly Deduction'!$I$3:$J$957,2,0),0)</f>
        <v>0</v>
      </c>
      <c r="B1043" s="17">
        <f>IFERROR(VLOOKUP(D1043,'Monthly Deduction'!$E$3:$F$957,2,0),0)</f>
        <v>0</v>
      </c>
      <c r="C1043" s="17">
        <f t="shared" si="373"/>
        <v>0</v>
      </c>
      <c r="D1043" s="41">
        <v>10110036</v>
      </c>
      <c r="E1043" s="122" t="str">
        <f>VLOOKUP(D1043,'MPG Payment '!$E$3:$G$497305,2,0)</f>
        <v xml:space="preserve">Gomukh Samastipur Kundan                                                                            </v>
      </c>
      <c r="F1043" s="146">
        <f>IFERROR(_xlfn.XLOOKUP(D1043,'Monthly Deduction'!$I$3:$I$957,'Monthly Deduction'!$H$3:$H$957),0)</f>
        <v>0</v>
      </c>
      <c r="G1043" s="123" t="str">
        <f>VLOOKUP(D1043,'MPG Payment '!$E$3:$G$333666,3,0)</f>
        <v>VLC</v>
      </c>
      <c r="H1043" s="124" t="str">
        <f>VLOOKUP(D1043,'MPG Payment '!$E$3:$H$333666,4,0)</f>
        <v>Indirect</v>
      </c>
      <c r="I1043" s="88">
        <f>INDEX('MPG Payment '!$C:$C,MATCH('Shayak Income '!D1043,'MPG Payment '!E:E,0))</f>
        <v>1011</v>
      </c>
      <c r="J1043" s="88" t="str">
        <f>INDEX('MPG Payment '!$D:$D,MATCH('Shayak Income '!D1043,'MPG Payment '!E:E,0))</f>
        <v>Sahibpur Kamal</v>
      </c>
      <c r="K1043" s="125" t="s">
        <v>1594</v>
      </c>
      <c r="L1043" s="125">
        <v>45058</v>
      </c>
      <c r="M1043" s="126">
        <f>SUMIF('MPG Payment '!$E$3:$E$344841,'Shayak Income '!D1043,'MPG Payment '!$I$3:$I$344841)</f>
        <v>420.20000000000005</v>
      </c>
      <c r="N1043" s="126">
        <f>SUMIF('MPG Payment '!$E$3:$E$344841,'Shayak Income '!D1043,'MPG Payment '!$J$3:$J$344841)</f>
        <v>16629.84</v>
      </c>
      <c r="O1043" s="126">
        <f t="shared" si="374"/>
        <v>315.15000000000003</v>
      </c>
      <c r="P1043" s="126">
        <f t="shared" si="375"/>
        <v>399.19</v>
      </c>
      <c r="Q1043" s="126">
        <f>SUMIF('MPG Payment '!$E$3:$E$344841,'Shayak Income '!D1043,'MPG Payment '!$S$3:$S$344841)</f>
        <v>0</v>
      </c>
      <c r="R1043" s="126">
        <f t="shared" si="376"/>
        <v>498.89519999999999</v>
      </c>
      <c r="S1043" s="126">
        <f t="shared" si="377"/>
        <v>99.705199999999991</v>
      </c>
      <c r="T1043" s="126">
        <f t="shared" si="398"/>
        <v>42.02000000000001</v>
      </c>
      <c r="U1043" s="127">
        <f>((((((IF(K1043="New",0,SUMIF('MPG Payment '!$E$3:$E$344841,'Shayak Income '!D1043,'MPG Payment '!$AC$3:$AC$344841))))+0)+0)+0)+0)+0</f>
        <v>221.46735992384572</v>
      </c>
      <c r="V1043" s="127">
        <f t="shared" si="399"/>
        <v>451</v>
      </c>
      <c r="W1043" s="19">
        <f t="shared" si="400"/>
        <v>0</v>
      </c>
      <c r="X1043" s="19">
        <f t="shared" si="401"/>
        <v>0</v>
      </c>
      <c r="Y1043" s="128">
        <f>IFERROR(VLOOKUP(D1043,'Monthly Deduction'!$M$2:$N$640,2,0),0)</f>
        <v>0</v>
      </c>
      <c r="Z1043" s="128">
        <v>0</v>
      </c>
      <c r="AA1043" s="126">
        <f>IFERROR(VLOOKUP(D1043,'Monthly Deduction'!A:B,2,0),0)</f>
        <v>0</v>
      </c>
      <c r="AB1043" s="129">
        <f t="shared" si="397"/>
        <v>451</v>
      </c>
      <c r="AC1043" s="130">
        <v>0</v>
      </c>
      <c r="AD1043" s="35">
        <f t="shared" si="379"/>
        <v>451</v>
      </c>
      <c r="AE1043" s="166" t="str">
        <f t="shared" si="380"/>
        <v>Release</v>
      </c>
      <c r="AF1043" s="127"/>
      <c r="AG1043" s="18">
        <v>0</v>
      </c>
      <c r="AH1043" s="132"/>
      <c r="AI1043" s="238">
        <v>0</v>
      </c>
      <c r="AJ1043" s="132"/>
      <c r="AK1043" s="151">
        <v>1270.9000000000001</v>
      </c>
      <c r="AL1043" s="154">
        <f t="shared" si="381"/>
        <v>0</v>
      </c>
      <c r="AM1043" s="155"/>
      <c r="AN1043" s="19">
        <f t="shared" si="365"/>
        <v>0</v>
      </c>
      <c r="AO1043" s="118">
        <f>SUMIF('MPG Payment '!E:E,'Shayak Income '!D1043,'MPG Payment '!AJ:AJ)</f>
        <v>0</v>
      </c>
      <c r="AP1043" s="19">
        <f t="shared" si="366"/>
        <v>0</v>
      </c>
      <c r="AQ1043" s="119">
        <f t="shared" si="382"/>
        <v>0</v>
      </c>
      <c r="AR1043" s="91" t="s">
        <v>1144</v>
      </c>
      <c r="AS1043" s="91">
        <f t="shared" si="367"/>
        <v>0</v>
      </c>
      <c r="AT1043" s="118"/>
      <c r="AU1043" s="118"/>
      <c r="AV1043" s="118"/>
    </row>
    <row r="1044" spans="1:48" s="20" customFormat="1" x14ac:dyDescent="0.25">
      <c r="A1044" s="17">
        <f>IFERROR(VLOOKUP(D1044,'Monthly Deduction'!$I$3:$J$957,2,0),0)</f>
        <v>0</v>
      </c>
      <c r="B1044" s="17">
        <f>IFERROR(VLOOKUP(D1044,'Monthly Deduction'!$E$3:$F$957,2,0),0)</f>
        <v>0</v>
      </c>
      <c r="C1044" s="17">
        <f t="shared" si="373"/>
        <v>0</v>
      </c>
      <c r="D1044" s="41">
        <v>10540060</v>
      </c>
      <c r="E1044" s="122" t="str">
        <f>VLOOKUP(D1044,'MPG Payment '!$E$3:$G$497305,2,0)</f>
        <v>Ahok VLC</v>
      </c>
      <c r="F1044" s="146">
        <f>IFERROR(_xlfn.XLOOKUP(D1044,'Monthly Deduction'!$I$3:$I$957,'Monthly Deduction'!$H$3:$H$957),0)</f>
        <v>0</v>
      </c>
      <c r="G1044" s="123" t="str">
        <f>VLOOKUP(D1044,'MPG Payment '!$E$3:$G$333666,3,0)</f>
        <v>VLC</v>
      </c>
      <c r="H1044" s="124" t="str">
        <f>VLOOKUP(D1044,'MPG Payment '!$E$3:$H$333666,4,0)</f>
        <v>Indirect</v>
      </c>
      <c r="I1044" s="88">
        <f>INDEX('MPG Payment '!$C:$C,MATCH('Shayak Income '!D1044,'MPG Payment '!E:E,0))</f>
        <v>1054</v>
      </c>
      <c r="J1044" s="88" t="str">
        <f>INDEX('MPG Payment '!$D:$D,MATCH('Shayak Income '!D1044,'MPG Payment '!E:E,0))</f>
        <v xml:space="preserve">Alauli </v>
      </c>
      <c r="K1044" s="125" t="s">
        <v>1593</v>
      </c>
      <c r="L1044" s="125">
        <v>46227</v>
      </c>
      <c r="M1044" s="126">
        <f>SUMIF('MPG Payment '!$E$3:$E$344841,'Shayak Income '!D1044,'MPG Payment '!$I$3:$I$344841)</f>
        <v>207.29999999999998</v>
      </c>
      <c r="N1044" s="126">
        <f>SUMIF('MPG Payment '!$E$3:$E$344841,'Shayak Income '!D1044,'MPG Payment '!$J$3:$J$344841)</f>
        <v>6932.25</v>
      </c>
      <c r="O1044" s="126">
        <f t="shared" si="374"/>
        <v>155.47499999999999</v>
      </c>
      <c r="P1044" s="126">
        <f t="shared" si="375"/>
        <v>196.93499999999997</v>
      </c>
      <c r="Q1044" s="126">
        <f>SUMIF('MPG Payment '!$E$3:$E$344841,'Shayak Income '!D1044,'MPG Payment '!$S$3:$S$344841)</f>
        <v>0</v>
      </c>
      <c r="R1044" s="126">
        <f t="shared" si="376"/>
        <v>207.9675</v>
      </c>
      <c r="S1044" s="126">
        <f t="shared" si="377"/>
        <v>11.032500000000027</v>
      </c>
      <c r="T1044" s="126">
        <f t="shared" si="398"/>
        <v>20.73</v>
      </c>
      <c r="U1044" s="127">
        <f>((((((IF(K1044="New",0,SUMIF('MPG Payment '!$E$3:$E$344841,'Shayak Income '!D1044,'MPG Payment '!$AC$3:$AC$344841))))+0)+0)+0)+0)+0</f>
        <v>0</v>
      </c>
      <c r="V1044" s="127">
        <f t="shared" si="399"/>
        <v>332</v>
      </c>
      <c r="W1044" s="19">
        <v>0</v>
      </c>
      <c r="X1044" s="19">
        <f t="shared" si="401"/>
        <v>0</v>
      </c>
      <c r="Y1044" s="128">
        <f>IFERROR(VLOOKUP(D1044,'Monthly Deduction'!$M$2:$N$640,2,0),0)</f>
        <v>0</v>
      </c>
      <c r="Z1044" s="128">
        <v>0</v>
      </c>
      <c r="AA1044" s="126">
        <f>IFERROR(VLOOKUP(D1044,'Monthly Deduction'!A:B,2,0),0)</f>
        <v>0</v>
      </c>
      <c r="AB1044" s="129">
        <f t="shared" si="397"/>
        <v>332</v>
      </c>
      <c r="AC1044" s="130">
        <v>0</v>
      </c>
      <c r="AD1044" s="35">
        <f t="shared" si="379"/>
        <v>332</v>
      </c>
      <c r="AE1044" s="166" t="str">
        <f t="shared" si="380"/>
        <v>Release</v>
      </c>
      <c r="AF1044" s="127"/>
      <c r="AG1044" s="18">
        <v>0</v>
      </c>
      <c r="AH1044" s="132"/>
      <c r="AI1044" s="238">
        <v>0</v>
      </c>
      <c r="AJ1044" s="132"/>
      <c r="AK1044" s="151">
        <v>162.89999999999998</v>
      </c>
      <c r="AL1044" s="154">
        <f t="shared" si="381"/>
        <v>0</v>
      </c>
      <c r="AM1044" s="155"/>
      <c r="AN1044" s="19">
        <f t="shared" si="365"/>
        <v>0</v>
      </c>
      <c r="AO1044" s="118">
        <f>SUMIF('MPG Payment '!E:E,'Shayak Income '!D1044,'MPG Payment '!AJ:AJ)</f>
        <v>0</v>
      </c>
      <c r="AP1044" s="19">
        <f t="shared" si="366"/>
        <v>0</v>
      </c>
      <c r="AQ1044" s="119">
        <f t="shared" si="382"/>
        <v>0</v>
      </c>
      <c r="AR1044" s="91" t="s">
        <v>1144</v>
      </c>
      <c r="AS1044" s="91">
        <f t="shared" si="367"/>
        <v>0</v>
      </c>
      <c r="AT1044" s="118"/>
      <c r="AU1044" s="118"/>
      <c r="AV1044" s="118"/>
    </row>
    <row r="1045" spans="1:48" s="20" customFormat="1" x14ac:dyDescent="0.25">
      <c r="A1045" s="17">
        <f>IFERROR(VLOOKUP(D1045,'Monthly Deduction'!$I$3:$J$957,2,0),0)</f>
        <v>65000</v>
      </c>
      <c r="B1045" s="17">
        <f>IFERROR(VLOOKUP(D1045,'Monthly Deduction'!$E$3:$F$957,2,0),0)</f>
        <v>0</v>
      </c>
      <c r="C1045" s="17">
        <f t="shared" si="373"/>
        <v>65000</v>
      </c>
      <c r="D1045" s="41">
        <v>10550012</v>
      </c>
      <c r="E1045" s="122" t="str">
        <f>VLOOKUP(D1045,'MPG Payment '!$E$3:$G$497305,2,0)</f>
        <v>Badalpura</v>
      </c>
      <c r="F1045" s="146">
        <f>IFERROR(_xlfn.XLOOKUP(D1045,'Monthly Deduction'!$I$3:$I$957,'Monthly Deduction'!$H$3:$H$957),0)</f>
        <v>0</v>
      </c>
      <c r="G1045" s="123" t="str">
        <f>VLOOKUP(D1045,'MPG Payment '!$E$3:$G$333666,3,0)</f>
        <v>MPG</v>
      </c>
      <c r="H1045" s="124" t="str">
        <f>VLOOKUP(D1045,'MPG Payment '!$E$3:$H$333666,4,0)</f>
        <v>Direct</v>
      </c>
      <c r="I1045" s="88">
        <f>INDEX('MPG Payment '!$C:$C,MATCH('Shayak Income '!D1045,'MPG Payment '!E:E,0))</f>
        <v>1055</v>
      </c>
      <c r="J1045" s="88" t="str">
        <f>INDEX('MPG Payment '!$D:$D,MATCH('Shayak Income '!D1045,'MPG Payment '!E:E,0))</f>
        <v>Matihani</v>
      </c>
      <c r="K1045" s="125" t="s">
        <v>1593</v>
      </c>
      <c r="L1045" s="125">
        <v>46232</v>
      </c>
      <c r="M1045" s="126">
        <f>SUMIF('MPG Payment '!$E$3:$E$344841,'Shayak Income '!D1045,'MPG Payment '!$I$3:$I$344841)</f>
        <v>46.4</v>
      </c>
      <c r="N1045" s="126">
        <f>SUMIF('MPG Payment '!$E$3:$E$344841,'Shayak Income '!D1045,'MPG Payment '!$J$3:$J$344841)</f>
        <v>1899.6100000000001</v>
      </c>
      <c r="O1045" s="126">
        <f t="shared" si="374"/>
        <v>34.799999999999997</v>
      </c>
      <c r="P1045" s="126">
        <f t="shared" si="375"/>
        <v>44.08</v>
      </c>
      <c r="Q1045" s="126">
        <f>SUMIF('MPG Payment '!$E$3:$E$344841,'Shayak Income '!D1045,'MPG Payment '!$S$3:$S$344841)</f>
        <v>7.7</v>
      </c>
      <c r="R1045" s="126">
        <f t="shared" si="376"/>
        <v>56.988300000000002</v>
      </c>
      <c r="S1045" s="126">
        <f t="shared" si="377"/>
        <v>12.908300000000004</v>
      </c>
      <c r="T1045" s="126">
        <f t="shared" si="398"/>
        <v>4.6399999999999997</v>
      </c>
      <c r="U1045" s="127">
        <f>((((((IF(K1045="New",0,SUMIF('MPG Payment '!$E$3:$E$344841,'Shayak Income '!D1045,'MPG Payment '!$AC$3:$AC$344841))))+0)+0)+0)+0)+0</f>
        <v>0</v>
      </c>
      <c r="V1045" s="127">
        <f t="shared" si="399"/>
        <v>82</v>
      </c>
      <c r="W1045" s="19">
        <v>0</v>
      </c>
      <c r="X1045" s="19">
        <f t="shared" si="401"/>
        <v>0</v>
      </c>
      <c r="Y1045" s="128">
        <f>IFERROR(VLOOKUP(D1045,'Monthly Deduction'!$M$2:$N$640,2,0),0)</f>
        <v>0</v>
      </c>
      <c r="Z1045" s="128">
        <v>0</v>
      </c>
      <c r="AA1045" s="126">
        <f>IFERROR(VLOOKUP(D1045,'Monthly Deduction'!A:B,2,0),0)</f>
        <v>0</v>
      </c>
      <c r="AB1045" s="129">
        <f t="shared" si="397"/>
        <v>82</v>
      </c>
      <c r="AC1045" s="130">
        <f>AB1045</f>
        <v>82</v>
      </c>
      <c r="AD1045" s="35">
        <f t="shared" si="379"/>
        <v>0</v>
      </c>
      <c r="AE1045" s="166" t="str">
        <f t="shared" si="380"/>
        <v>Yes</v>
      </c>
      <c r="AF1045" s="127"/>
      <c r="AG1045" s="18">
        <v>0</v>
      </c>
      <c r="AH1045" s="120" t="s">
        <v>1683</v>
      </c>
      <c r="AI1045" s="238">
        <v>0</v>
      </c>
      <c r="AJ1045" s="132"/>
      <c r="AK1045" s="151">
        <v>147.70000000000002</v>
      </c>
      <c r="AL1045" s="154">
        <f t="shared" si="381"/>
        <v>0</v>
      </c>
      <c r="AM1045" s="155"/>
      <c r="AN1045" s="19">
        <f t="shared" si="365"/>
        <v>1861</v>
      </c>
      <c r="AO1045" s="118">
        <f>SUMIF('MPG Payment '!E:E,'Shayak Income '!D1045,'MPG Payment '!AJ:AJ)</f>
        <v>0</v>
      </c>
      <c r="AP1045" s="19">
        <f t="shared" si="366"/>
        <v>0</v>
      </c>
      <c r="AQ1045" s="119">
        <f t="shared" si="382"/>
        <v>0</v>
      </c>
      <c r="AR1045" s="91" t="s">
        <v>1144</v>
      </c>
      <c r="AS1045" s="91">
        <f t="shared" si="367"/>
        <v>0</v>
      </c>
      <c r="AT1045" s="118"/>
      <c r="AU1045" s="118"/>
      <c r="AV1045" s="118"/>
    </row>
    <row r="1046" spans="1:48" s="20" customFormat="1" x14ac:dyDescent="0.25">
      <c r="A1046" s="17">
        <f>IFERROR(VLOOKUP(D1046,'Monthly Deduction'!$I$3:$J$957,2,0),0)</f>
        <v>65000</v>
      </c>
      <c r="B1046" s="17">
        <f>IFERROR(VLOOKUP(D1046,'Monthly Deduction'!$E$3:$F$957,2,0),0)</f>
        <v>0</v>
      </c>
      <c r="C1046" s="17">
        <f t="shared" si="373"/>
        <v>65000</v>
      </c>
      <c r="D1046" s="41">
        <v>10560042</v>
      </c>
      <c r="E1046" s="122" t="str">
        <f>VLOOKUP(D1046,'MPG Payment '!$E$3:$G$497305,2,0)</f>
        <v>Gomukh Koila</v>
      </c>
      <c r="F1046" s="146">
        <f>IFERROR(_xlfn.XLOOKUP(D1046,'Monthly Deduction'!$I$3:$I$957,'Monthly Deduction'!$H$3:$H$957),0)</f>
        <v>0</v>
      </c>
      <c r="G1046" s="123" t="str">
        <f>VLOOKUP(D1046,'MPG Payment '!$E$3:$G$333666,3,0)</f>
        <v>VLC</v>
      </c>
      <c r="H1046" s="124" t="str">
        <f>VLOOKUP(D1046,'MPG Payment '!$E$3:$H$333666,4,0)</f>
        <v>Direct</v>
      </c>
      <c r="I1046" s="88">
        <f>INDEX('MPG Payment '!$C:$C,MATCH('Shayak Income '!D1046,'MPG Payment '!E:E,0))</f>
        <v>1056</v>
      </c>
      <c r="J1046" s="88" t="str">
        <f>INDEX('MPG Payment '!$D:$D,MATCH('Shayak Income '!D1046,'MPG Payment '!E:E,0))</f>
        <v>Chautham</v>
      </c>
      <c r="K1046" s="125" t="s">
        <v>1593</v>
      </c>
      <c r="L1046" s="125">
        <v>46233</v>
      </c>
      <c r="M1046" s="126">
        <f>SUMIF('MPG Payment '!$E$3:$E$344841,'Shayak Income '!D1046,'MPG Payment '!$I$3:$I$344841)</f>
        <v>97.5</v>
      </c>
      <c r="N1046" s="126">
        <f>SUMIF('MPG Payment '!$E$3:$E$344841,'Shayak Income '!D1046,'MPG Payment '!$J$3:$J$344841)</f>
        <v>4168.74</v>
      </c>
      <c r="O1046" s="126">
        <f t="shared" si="374"/>
        <v>73.125</v>
      </c>
      <c r="P1046" s="126">
        <f t="shared" si="375"/>
        <v>92.625</v>
      </c>
      <c r="Q1046" s="126">
        <f>SUMIF('MPG Payment '!$E$3:$E$344841,'Shayak Income '!D1046,'MPG Payment '!$S$3:$S$344841)</f>
        <v>0</v>
      </c>
      <c r="R1046" s="126">
        <f t="shared" si="376"/>
        <v>125.06219999999999</v>
      </c>
      <c r="S1046" s="126">
        <f t="shared" si="377"/>
        <v>32.43719999999999</v>
      </c>
      <c r="T1046" s="126">
        <f t="shared" si="398"/>
        <v>9.75</v>
      </c>
      <c r="U1046" s="127">
        <f>((((((IF(K1046="New",0,SUMIF('MPG Payment '!$E$3:$E$344841,'Shayak Income '!D1046,'MPG Payment '!$AC$3:$AC$344841))))+0)+0)+0)+0)+0</f>
        <v>0</v>
      </c>
      <c r="V1046" s="127">
        <f t="shared" si="399"/>
        <v>156</v>
      </c>
      <c r="W1046" s="19">
        <v>0</v>
      </c>
      <c r="X1046" s="19">
        <f t="shared" si="401"/>
        <v>0</v>
      </c>
      <c r="Y1046" s="128">
        <f>IFERROR(VLOOKUP(D1046,'Monthly Deduction'!$M$2:$N$640,2,0),0)</f>
        <v>0</v>
      </c>
      <c r="Z1046" s="128">
        <v>0</v>
      </c>
      <c r="AA1046" s="126">
        <f>IFERROR(VLOOKUP(D1046,'Monthly Deduction'!A:B,2,0),0)</f>
        <v>0</v>
      </c>
      <c r="AB1046" s="129">
        <f t="shared" si="397"/>
        <v>156</v>
      </c>
      <c r="AC1046" s="130">
        <v>0</v>
      </c>
      <c r="AD1046" s="35">
        <f t="shared" si="379"/>
        <v>156</v>
      </c>
      <c r="AE1046" s="166" t="str">
        <f t="shared" si="380"/>
        <v>Release</v>
      </c>
      <c r="AF1046" s="127"/>
      <c r="AG1046" s="18">
        <v>0</v>
      </c>
      <c r="AH1046" s="132"/>
      <c r="AI1046" s="238">
        <v>0</v>
      </c>
      <c r="AJ1046" s="132"/>
      <c r="AK1046" s="151">
        <v>1163.9000000000001</v>
      </c>
      <c r="AL1046" s="154">
        <f t="shared" si="381"/>
        <v>0</v>
      </c>
      <c r="AM1046" s="155"/>
      <c r="AN1046" s="19">
        <f t="shared" si="365"/>
        <v>1861</v>
      </c>
      <c r="AO1046" s="118">
        <f>SUMIF('MPG Payment '!E:E,'Shayak Income '!D1046,'MPG Payment '!AJ:AJ)</f>
        <v>0</v>
      </c>
      <c r="AP1046" s="19">
        <f t="shared" si="366"/>
        <v>0</v>
      </c>
      <c r="AQ1046" s="119">
        <f t="shared" si="382"/>
        <v>0</v>
      </c>
      <c r="AR1046" s="91" t="s">
        <v>1144</v>
      </c>
      <c r="AS1046" s="91">
        <f t="shared" si="367"/>
        <v>0</v>
      </c>
      <c r="AT1046" s="118"/>
      <c r="AU1046" s="118"/>
      <c r="AV1046" s="118"/>
    </row>
    <row r="1047" spans="1:48" s="20" customFormat="1" x14ac:dyDescent="0.25">
      <c r="A1047" s="17">
        <f>IFERROR(VLOOKUP(D1047,'Monthly Deduction'!$I$3:$J$957,2,0),0)</f>
        <v>0</v>
      </c>
      <c r="B1047" s="17">
        <f>IFERROR(VLOOKUP(D1047,'Monthly Deduction'!$E$3:$F$957,2,0),0)</f>
        <v>0</v>
      </c>
      <c r="C1047" s="17">
        <f t="shared" si="373"/>
        <v>0</v>
      </c>
      <c r="D1047" s="41">
        <v>10560043</v>
      </c>
      <c r="E1047" s="122" t="str">
        <f>VLOOKUP(D1047,'MPG Payment '!$E$3:$G$497305,2,0)</f>
        <v>Gomukh Aakash Milk And Milk Producers.company</v>
      </c>
      <c r="F1047" s="146">
        <f>IFERROR(_xlfn.XLOOKUP(D1047,'Monthly Deduction'!$I$3:$I$957,'Monthly Deduction'!$H$3:$H$957),0)</f>
        <v>0</v>
      </c>
      <c r="G1047" s="123" t="str">
        <f>VLOOKUP(D1047,'MPG Payment '!$E$3:$G$333666,3,0)</f>
        <v>VLC</v>
      </c>
      <c r="H1047" s="124" t="str">
        <f>VLOOKUP(D1047,'MPG Payment '!$E$3:$H$333666,4,0)</f>
        <v>Indirect</v>
      </c>
      <c r="I1047" s="88">
        <f>INDEX('MPG Payment '!$C:$C,MATCH('Shayak Income '!D1047,'MPG Payment '!E:E,0))</f>
        <v>1056</v>
      </c>
      <c r="J1047" s="88" t="str">
        <f>INDEX('MPG Payment '!$D:$D,MATCH('Shayak Income '!D1047,'MPG Payment '!E:E,0))</f>
        <v>Chautham</v>
      </c>
      <c r="K1047" s="125" t="s">
        <v>1593</v>
      </c>
      <c r="L1047" s="125">
        <v>46232</v>
      </c>
      <c r="M1047" s="126">
        <f>SUMIF('MPG Payment '!$E$3:$E$344841,'Shayak Income '!D1047,'MPG Payment '!$I$3:$I$344841)</f>
        <v>523.29999999999995</v>
      </c>
      <c r="N1047" s="126">
        <f>SUMIF('MPG Payment '!$E$3:$E$344841,'Shayak Income '!D1047,'MPG Payment '!$J$3:$J$344841)</f>
        <v>22311.02</v>
      </c>
      <c r="O1047" s="126">
        <f t="shared" si="374"/>
        <v>392.47499999999997</v>
      </c>
      <c r="P1047" s="126">
        <f t="shared" si="375"/>
        <v>497.13499999999993</v>
      </c>
      <c r="Q1047" s="126">
        <f>SUMIF('MPG Payment '!$E$3:$E$344841,'Shayak Income '!D1047,'MPG Payment '!$S$3:$S$344841)</f>
        <v>0</v>
      </c>
      <c r="R1047" s="126">
        <f t="shared" si="376"/>
        <v>669.3306</v>
      </c>
      <c r="S1047" s="126">
        <f t="shared" si="377"/>
        <v>172.19560000000007</v>
      </c>
      <c r="T1047" s="126">
        <f t="shared" si="398"/>
        <v>52.33</v>
      </c>
      <c r="U1047" s="127">
        <f>((((((IF(K1047="New",0,SUMIF('MPG Payment '!$E$3:$E$344841,'Shayak Income '!D1047,'MPG Payment '!$AC$3:$AC$344841))))+0)+0)+0)+0)+0</f>
        <v>0</v>
      </c>
      <c r="V1047" s="127">
        <f t="shared" si="399"/>
        <v>837</v>
      </c>
      <c r="W1047" s="19">
        <v>0</v>
      </c>
      <c r="X1047" s="19">
        <f t="shared" si="401"/>
        <v>0</v>
      </c>
      <c r="Y1047" s="128">
        <f>IFERROR(VLOOKUP(D1047,'Monthly Deduction'!$M$2:$N$640,2,0),0)</f>
        <v>0</v>
      </c>
      <c r="Z1047" s="128">
        <v>0</v>
      </c>
      <c r="AA1047" s="126">
        <f>IFERROR(VLOOKUP(D1047,'Monthly Deduction'!A:B,2,0),0)</f>
        <v>0</v>
      </c>
      <c r="AB1047" s="129">
        <f t="shared" si="397"/>
        <v>837</v>
      </c>
      <c r="AC1047" s="130">
        <v>0</v>
      </c>
      <c r="AD1047" s="35">
        <f t="shared" si="379"/>
        <v>837</v>
      </c>
      <c r="AE1047" s="166" t="str">
        <f t="shared" si="380"/>
        <v>Release</v>
      </c>
      <c r="AF1047" s="127"/>
      <c r="AG1047" s="18">
        <v>0</v>
      </c>
      <c r="AH1047" s="132"/>
      <c r="AI1047" s="238">
        <v>0</v>
      </c>
      <c r="AJ1047" s="132"/>
      <c r="AK1047" s="151">
        <v>3704.26</v>
      </c>
      <c r="AL1047" s="154">
        <f t="shared" si="381"/>
        <v>0</v>
      </c>
      <c r="AM1047" s="155"/>
      <c r="AN1047" s="19">
        <f t="shared" si="365"/>
        <v>0</v>
      </c>
      <c r="AO1047" s="118">
        <f>SUMIF('MPG Payment '!E:E,'Shayak Income '!D1047,'MPG Payment '!AJ:AJ)</f>
        <v>0</v>
      </c>
      <c r="AP1047" s="19">
        <f t="shared" si="366"/>
        <v>0</v>
      </c>
      <c r="AQ1047" s="119">
        <f t="shared" si="382"/>
        <v>0</v>
      </c>
      <c r="AR1047" s="91" t="s">
        <v>1144</v>
      </c>
      <c r="AS1047" s="91">
        <f t="shared" si="367"/>
        <v>0</v>
      </c>
      <c r="AT1047" s="118"/>
      <c r="AU1047" s="118"/>
      <c r="AV1047" s="118"/>
    </row>
    <row r="1048" spans="1:48" s="20" customFormat="1" x14ac:dyDescent="0.25">
      <c r="A1048" s="17">
        <f>IFERROR(VLOOKUP(D1048,'Monthly Deduction'!$I$3:$J$957,2,0),0)</f>
        <v>0</v>
      </c>
      <c r="B1048" s="17">
        <f>IFERROR(VLOOKUP(D1048,'Monthly Deduction'!$E$3:$F$957,2,0),0)</f>
        <v>0</v>
      </c>
      <c r="C1048" s="17">
        <f t="shared" si="373"/>
        <v>0</v>
      </c>
      <c r="D1048" s="41">
        <v>10560044</v>
      </c>
      <c r="E1048" s="122" t="str">
        <f>VLOOKUP(D1048,'MPG Payment '!$E$3:$G$497305,2,0)</f>
        <v>Gomukh Paharpur Vlc</v>
      </c>
      <c r="F1048" s="146">
        <f>IFERROR(_xlfn.XLOOKUP(D1048,'Monthly Deduction'!$I$3:$I$957,'Monthly Deduction'!$H$3:$H$957),0)</f>
        <v>0</v>
      </c>
      <c r="G1048" s="123" t="str">
        <f>VLOOKUP(D1048,'MPG Payment '!$E$3:$G$333666,3,0)</f>
        <v>VLC</v>
      </c>
      <c r="H1048" s="124" t="str">
        <f>VLOOKUP(D1048,'MPG Payment '!$E$3:$H$333666,4,0)</f>
        <v>Indirect</v>
      </c>
      <c r="I1048" s="88">
        <f>INDEX('MPG Payment '!$C:$C,MATCH('Shayak Income '!D1048,'MPG Payment '!E:E,0))</f>
        <v>1056</v>
      </c>
      <c r="J1048" s="88" t="str">
        <f>INDEX('MPG Payment '!$D:$D,MATCH('Shayak Income '!D1048,'MPG Payment '!E:E,0))</f>
        <v>Chautham</v>
      </c>
      <c r="K1048" s="125" t="s">
        <v>1593</v>
      </c>
      <c r="L1048" s="125">
        <v>46233</v>
      </c>
      <c r="M1048" s="126">
        <f>SUMIF('MPG Payment '!$E$3:$E$344841,'Shayak Income '!D1048,'MPG Payment '!$I$3:$I$344841)</f>
        <v>39.340000000000003</v>
      </c>
      <c r="N1048" s="126">
        <f>SUMIF('MPG Payment '!$E$3:$E$344841,'Shayak Income '!D1048,'MPG Payment '!$J$3:$J$344841)</f>
        <v>1427.65</v>
      </c>
      <c r="O1048" s="126">
        <f t="shared" si="374"/>
        <v>29.505000000000003</v>
      </c>
      <c r="P1048" s="126">
        <f t="shared" si="375"/>
        <v>37.373000000000005</v>
      </c>
      <c r="Q1048" s="126">
        <f>SUMIF('MPG Payment '!$E$3:$E$344841,'Shayak Income '!D1048,'MPG Payment '!$S$3:$S$344841)</f>
        <v>0</v>
      </c>
      <c r="R1048" s="126">
        <f t="shared" si="376"/>
        <v>42.829500000000003</v>
      </c>
      <c r="S1048" s="126">
        <f t="shared" si="377"/>
        <v>5.4564999999999984</v>
      </c>
      <c r="T1048" s="126">
        <f t="shared" si="398"/>
        <v>3.9340000000000006</v>
      </c>
      <c r="U1048" s="127">
        <f>((((((IF(K1048="New",0,SUMIF('MPG Payment '!$E$3:$E$344841,'Shayak Income '!D1048,'MPG Payment '!$AC$3:$AC$344841))))+0)+0)+0)+0)+0</f>
        <v>0</v>
      </c>
      <c r="V1048" s="127">
        <f t="shared" si="399"/>
        <v>63</v>
      </c>
      <c r="W1048" s="19">
        <v>0</v>
      </c>
      <c r="X1048" s="19">
        <f t="shared" si="401"/>
        <v>0</v>
      </c>
      <c r="Y1048" s="128">
        <f>IFERROR(VLOOKUP(D1048,'Monthly Deduction'!$M$2:$N$640,2,0),0)</f>
        <v>0</v>
      </c>
      <c r="Z1048" s="128">
        <v>0</v>
      </c>
      <c r="AA1048" s="126">
        <f>IFERROR(VLOOKUP(D1048,'Monthly Deduction'!A:B,2,0),0)</f>
        <v>0</v>
      </c>
      <c r="AB1048" s="129">
        <f t="shared" si="397"/>
        <v>63</v>
      </c>
      <c r="AC1048" s="130">
        <v>0</v>
      </c>
      <c r="AD1048" s="35">
        <f t="shared" si="379"/>
        <v>63</v>
      </c>
      <c r="AE1048" s="166" t="str">
        <f t="shared" si="380"/>
        <v>Release</v>
      </c>
      <c r="AF1048" s="127"/>
      <c r="AG1048" s="18">
        <v>0</v>
      </c>
      <c r="AH1048" s="132"/>
      <c r="AI1048" s="238">
        <v>0</v>
      </c>
      <c r="AJ1048" s="132"/>
      <c r="AK1048" s="151">
        <v>919.45999999999992</v>
      </c>
      <c r="AL1048" s="154">
        <f t="shared" si="381"/>
        <v>0</v>
      </c>
      <c r="AM1048" s="155"/>
      <c r="AN1048" s="19">
        <f t="shared" si="365"/>
        <v>0</v>
      </c>
      <c r="AO1048" s="118">
        <f>SUMIF('MPG Payment '!E:E,'Shayak Income '!D1048,'MPG Payment '!AJ:AJ)</f>
        <v>0</v>
      </c>
      <c r="AP1048" s="19">
        <f t="shared" si="366"/>
        <v>0</v>
      </c>
      <c r="AQ1048" s="119">
        <f t="shared" si="382"/>
        <v>0</v>
      </c>
      <c r="AR1048" s="91" t="s">
        <v>1144</v>
      </c>
      <c r="AS1048" s="91">
        <f t="shared" si="367"/>
        <v>0</v>
      </c>
      <c r="AT1048" s="118"/>
      <c r="AU1048" s="118"/>
      <c r="AV1048" s="118"/>
    </row>
    <row r="1049" spans="1:48" s="20" customFormat="1" x14ac:dyDescent="0.25">
      <c r="A1049" s="17">
        <f>IFERROR(VLOOKUP(D1049,'Monthly Deduction'!$I$3:$J$957,2,0),0)</f>
        <v>0</v>
      </c>
      <c r="B1049" s="17">
        <f>IFERROR(VLOOKUP(D1049,'Monthly Deduction'!$E$3:$F$957,2,0),0)</f>
        <v>0</v>
      </c>
      <c r="C1049" s="17">
        <f t="shared" si="373"/>
        <v>0</v>
      </c>
      <c r="D1049" s="41">
        <v>10570023</v>
      </c>
      <c r="E1049" s="122" t="str">
        <f>VLOOKUP(D1049,'MPG Payment '!$E$3:$G$497305,2,0)</f>
        <v>Nakta</v>
      </c>
      <c r="F1049" s="146">
        <f>IFERROR(_xlfn.XLOOKUP(D1049,'Monthly Deduction'!$I$3:$I$957,'Monthly Deduction'!$H$3:$H$957),0)</f>
        <v>0</v>
      </c>
      <c r="G1049" s="123" t="str">
        <f>VLOOKUP(D1049,'MPG Payment '!$E$3:$G$333666,3,0)</f>
        <v>VLC</v>
      </c>
      <c r="H1049" s="124" t="str">
        <f>VLOOKUP(D1049,'MPG Payment '!$E$3:$H$333666,4,0)</f>
        <v>Indirect</v>
      </c>
      <c r="I1049" s="88">
        <f>INDEX('MPG Payment '!$C:$C,MATCH('Shayak Income '!D1049,'MPG Payment '!E:E,0))</f>
        <v>1057</v>
      </c>
      <c r="J1049" s="88" t="str">
        <f>INDEX('MPG Payment '!$D:$D,MATCH('Shayak Income '!D1049,'MPG Payment '!E:E,0))</f>
        <v>Warisnagar</v>
      </c>
      <c r="K1049" s="125" t="s">
        <v>1594</v>
      </c>
      <c r="L1049" s="125">
        <v>45970</v>
      </c>
      <c r="M1049" s="126">
        <f>SUMIF('MPG Payment '!$E$3:$E$344841,'Shayak Income '!D1049,'MPG Payment '!$I$3:$I$344841)</f>
        <v>122.8</v>
      </c>
      <c r="N1049" s="126">
        <f>SUMIF('MPG Payment '!$E$3:$E$344841,'Shayak Income '!D1049,'MPG Payment '!$J$3:$J$344841)</f>
        <v>5138.6200000000008</v>
      </c>
      <c r="O1049" s="126">
        <f t="shared" si="374"/>
        <v>92.1</v>
      </c>
      <c r="P1049" s="126">
        <f t="shared" si="375"/>
        <v>116.66</v>
      </c>
      <c r="Q1049" s="126">
        <f>SUMIF('MPG Payment '!$E$3:$E$344841,'Shayak Income '!D1049,'MPG Payment '!$S$3:$S$344841)</f>
        <v>0</v>
      </c>
      <c r="R1049" s="126">
        <f t="shared" si="376"/>
        <v>154.15860000000001</v>
      </c>
      <c r="S1049" s="126">
        <f t="shared" si="377"/>
        <v>37.49860000000001</v>
      </c>
      <c r="T1049" s="126">
        <f t="shared" si="398"/>
        <v>12.280000000000001</v>
      </c>
      <c r="U1049" s="127">
        <f>((((((IF(K1049="New",0,SUMIF('MPG Payment '!$E$3:$E$344841,'Shayak Income '!D1049,'MPG Payment '!$AC$3:$AC$344841))))+0)+0)+0)+0)+-287</f>
        <v>196.0637563517916</v>
      </c>
      <c r="V1049" s="127">
        <f t="shared" si="399"/>
        <v>0</v>
      </c>
      <c r="W1049" s="19">
        <v>0</v>
      </c>
      <c r="X1049" s="19">
        <v>0</v>
      </c>
      <c r="Y1049" s="128">
        <v>0</v>
      </c>
      <c r="Z1049" s="128">
        <v>0</v>
      </c>
      <c r="AA1049" s="126">
        <v>0</v>
      </c>
      <c r="AB1049" s="129">
        <f t="shared" si="397"/>
        <v>0</v>
      </c>
      <c r="AC1049" s="130">
        <v>0</v>
      </c>
      <c r="AD1049" s="35">
        <f t="shared" si="379"/>
        <v>0</v>
      </c>
      <c r="AE1049" s="166" t="str">
        <f t="shared" si="380"/>
        <v>Release</v>
      </c>
      <c r="AF1049" s="127"/>
      <c r="AG1049" s="18">
        <v>0</v>
      </c>
      <c r="AH1049" s="120"/>
      <c r="AI1049" s="238">
        <v>0</v>
      </c>
      <c r="AJ1049" s="132"/>
      <c r="AK1049" s="151">
        <v>76.600000000000009</v>
      </c>
      <c r="AL1049" s="154">
        <f t="shared" si="381"/>
        <v>0</v>
      </c>
      <c r="AM1049" s="155"/>
      <c r="AN1049" s="19">
        <f t="shared" si="365"/>
        <v>0</v>
      </c>
      <c r="AO1049" s="118">
        <f>SUMIF('MPG Payment '!E:E,'Shayak Income '!D1049,'MPG Payment '!AJ:AJ)</f>
        <v>0</v>
      </c>
      <c r="AP1049" s="19">
        <f t="shared" si="366"/>
        <v>0</v>
      </c>
      <c r="AQ1049" s="119">
        <f t="shared" si="382"/>
        <v>0</v>
      </c>
      <c r="AR1049" s="91" t="s">
        <v>1144</v>
      </c>
      <c r="AS1049" s="91">
        <f t="shared" si="367"/>
        <v>0</v>
      </c>
      <c r="AT1049" s="118"/>
      <c r="AU1049" s="118"/>
      <c r="AV1049" s="118"/>
    </row>
    <row r="1050" spans="1:48" s="20" customFormat="1" x14ac:dyDescent="0.25">
      <c r="A1050" s="17">
        <f>IFERROR(VLOOKUP(D1050,'Monthly Deduction'!$I$3:$J$957,2,0),0)</f>
        <v>85000</v>
      </c>
      <c r="B1050" s="17">
        <f>IFERROR(VLOOKUP(D1050,'Monthly Deduction'!$E$3:$F$957,2,0),0)</f>
        <v>0</v>
      </c>
      <c r="C1050" s="17">
        <f t="shared" si="373"/>
        <v>85000</v>
      </c>
      <c r="D1050" s="41">
        <v>10570073</v>
      </c>
      <c r="E1050" s="122" t="str">
        <f>VLOOKUP(D1050,'MPG Payment '!$E$3:$G$497305,2,0)</f>
        <v>Ratanpur</v>
      </c>
      <c r="F1050" s="146">
        <f>IFERROR(_xlfn.XLOOKUP(D1050,'Monthly Deduction'!$I$3:$I$957,'Monthly Deduction'!$H$3:$H$957),0)</f>
        <v>0</v>
      </c>
      <c r="G1050" s="123" t="str">
        <f>VLOOKUP(D1050,'MPG Payment '!$E$3:$G$333666,3,0)</f>
        <v>MPG</v>
      </c>
      <c r="H1050" s="124" t="str">
        <f>VLOOKUP(D1050,'MPG Payment '!$E$3:$H$333666,4,0)</f>
        <v>Direct</v>
      </c>
      <c r="I1050" s="88">
        <f>INDEX('MPG Payment '!$C:$C,MATCH('Shayak Income '!D1050,'MPG Payment '!E:E,0))</f>
        <v>1057</v>
      </c>
      <c r="J1050" s="88" t="str">
        <f>INDEX('MPG Payment '!$D:$D,MATCH('Shayak Income '!D1050,'MPG Payment '!E:E,0))</f>
        <v>Warisnagar</v>
      </c>
      <c r="K1050" s="125" t="s">
        <v>1593</v>
      </c>
      <c r="L1050" s="125">
        <v>46233</v>
      </c>
      <c r="M1050" s="126">
        <f>SUMIF('MPG Payment '!$E$3:$E$344841,'Shayak Income '!D1050,'MPG Payment '!$I$3:$I$344841)</f>
        <v>19.600000000000001</v>
      </c>
      <c r="N1050" s="126">
        <f>SUMIF('MPG Payment '!$E$3:$E$344841,'Shayak Income '!D1050,'MPG Payment '!$J$3:$J$344841)</f>
        <v>836.33</v>
      </c>
      <c r="O1050" s="126">
        <f t="shared" si="374"/>
        <v>14.700000000000001</v>
      </c>
      <c r="P1050" s="126">
        <f t="shared" si="375"/>
        <v>18.62</v>
      </c>
      <c r="Q1050" s="126">
        <f>SUMIF('MPG Payment '!$E$3:$E$344841,'Shayak Income '!D1050,'MPG Payment '!$S$3:$S$344841)</f>
        <v>0</v>
      </c>
      <c r="R1050" s="126">
        <f t="shared" si="376"/>
        <v>25.0899</v>
      </c>
      <c r="S1050" s="126">
        <f t="shared" si="377"/>
        <v>6.4698999999999991</v>
      </c>
      <c r="T1050" s="126">
        <f t="shared" si="398"/>
        <v>1.9600000000000002</v>
      </c>
      <c r="U1050" s="127">
        <f>((((((IF(K1050="New",0,SUMIF('MPG Payment '!$E$3:$E$344841,'Shayak Income '!D1050,'MPG Payment '!$AC$3:$AC$344841))))+0)+0)+0)+0)+0</f>
        <v>0</v>
      </c>
      <c r="V1050" s="127">
        <f t="shared" si="399"/>
        <v>31</v>
      </c>
      <c r="W1050" s="19">
        <v>0</v>
      </c>
      <c r="X1050" s="19">
        <f t="shared" si="401"/>
        <v>0</v>
      </c>
      <c r="Y1050" s="128">
        <f>IFERROR(VLOOKUP(D1050,'Monthly Deduction'!$M$2:$N$640,2,0),0)</f>
        <v>0</v>
      </c>
      <c r="Z1050" s="128">
        <v>0</v>
      </c>
      <c r="AA1050" s="126">
        <f>IFERROR(VLOOKUP(D1050,'Monthly Deduction'!A:B,2,0),0)</f>
        <v>0</v>
      </c>
      <c r="AB1050" s="129">
        <f t="shared" si="397"/>
        <v>31</v>
      </c>
      <c r="AC1050" s="130">
        <f>AB1050</f>
        <v>31</v>
      </c>
      <c r="AD1050" s="35">
        <f t="shared" si="379"/>
        <v>0</v>
      </c>
      <c r="AE1050" s="166" t="str">
        <f t="shared" si="380"/>
        <v>Yes</v>
      </c>
      <c r="AF1050" s="127"/>
      <c r="AG1050" s="18">
        <v>0</v>
      </c>
      <c r="AH1050" s="120" t="s">
        <v>1685</v>
      </c>
      <c r="AI1050" s="238">
        <v>20000</v>
      </c>
      <c r="AJ1050" s="132"/>
      <c r="AK1050" s="151">
        <v>327.49999999999994</v>
      </c>
      <c r="AL1050" s="154">
        <f t="shared" si="381"/>
        <v>0</v>
      </c>
      <c r="AM1050" s="155"/>
      <c r="AN1050" s="19">
        <f t="shared" si="365"/>
        <v>1861</v>
      </c>
      <c r="AO1050" s="118">
        <f>SUMIF('MPG Payment '!E:E,'Shayak Income '!D1050,'MPG Payment '!AJ:AJ)</f>
        <v>0</v>
      </c>
      <c r="AP1050" s="19">
        <f t="shared" si="366"/>
        <v>0</v>
      </c>
      <c r="AQ1050" s="119">
        <f t="shared" si="382"/>
        <v>0</v>
      </c>
      <c r="AR1050" s="91" t="s">
        <v>1144</v>
      </c>
      <c r="AS1050" s="91">
        <f t="shared" si="367"/>
        <v>0</v>
      </c>
      <c r="AT1050" s="118"/>
      <c r="AU1050" s="118"/>
      <c r="AV1050" s="118"/>
    </row>
    <row r="1051" spans="1:48" s="20" customFormat="1" x14ac:dyDescent="0.25">
      <c r="A1051" s="17">
        <f>IFERROR(VLOOKUP(D1051,'Monthly Deduction'!$I$3:$J$957,2,0),0)</f>
        <v>0</v>
      </c>
      <c r="B1051" s="17">
        <f>IFERROR(VLOOKUP(D1051,'Monthly Deduction'!$E$3:$F$957,2,0),0)</f>
        <v>0</v>
      </c>
      <c r="C1051" s="17">
        <f t="shared" si="373"/>
        <v>0</v>
      </c>
      <c r="D1051" s="41">
        <v>10570074</v>
      </c>
      <c r="E1051" s="122" t="str">
        <f>VLOOKUP(D1051,'MPG Payment '!$E$3:$G$497305,2,0)</f>
        <v>Ratanpur 2</v>
      </c>
      <c r="F1051" s="146">
        <f>IFERROR(_xlfn.XLOOKUP(D1051,'Monthly Deduction'!$I$3:$I$957,'Monthly Deduction'!$H$3:$H$957),0)</f>
        <v>0</v>
      </c>
      <c r="G1051" s="123" t="str">
        <f>VLOOKUP(D1051,'MPG Payment '!$E$3:$G$333666,3,0)</f>
        <v>VLC</v>
      </c>
      <c r="H1051" s="124" t="str">
        <f>VLOOKUP(D1051,'MPG Payment '!$E$3:$H$333666,4,0)</f>
        <v>Indirect</v>
      </c>
      <c r="I1051" s="88">
        <f>INDEX('MPG Payment '!$C:$C,MATCH('Shayak Income '!D1051,'MPG Payment '!E:E,0))</f>
        <v>1057</v>
      </c>
      <c r="J1051" s="88" t="str">
        <f>INDEX('MPG Payment '!$D:$D,MATCH('Shayak Income '!D1051,'MPG Payment '!E:E,0))</f>
        <v>Warisnagar</v>
      </c>
      <c r="K1051" s="125" t="s">
        <v>1593</v>
      </c>
      <c r="L1051" s="125">
        <v>46232</v>
      </c>
      <c r="M1051" s="126">
        <f>SUMIF('MPG Payment '!$E$3:$E$344841,'Shayak Income '!D1051,'MPG Payment '!$I$3:$I$344841)</f>
        <v>103.69999999999999</v>
      </c>
      <c r="N1051" s="126">
        <f>SUMIF('MPG Payment '!$E$3:$E$344841,'Shayak Income '!D1051,'MPG Payment '!$J$3:$J$344841)</f>
        <v>4325.57</v>
      </c>
      <c r="O1051" s="126">
        <f t="shared" si="374"/>
        <v>77.774999999999991</v>
      </c>
      <c r="P1051" s="126">
        <f t="shared" si="375"/>
        <v>98.514999999999986</v>
      </c>
      <c r="Q1051" s="126">
        <f>SUMIF('MPG Payment '!$E$3:$E$344841,'Shayak Income '!D1051,'MPG Payment '!$S$3:$S$344841)</f>
        <v>0</v>
      </c>
      <c r="R1051" s="126">
        <f t="shared" si="376"/>
        <v>129.7671</v>
      </c>
      <c r="S1051" s="126">
        <f t="shared" si="377"/>
        <v>31.252100000000013</v>
      </c>
      <c r="T1051" s="126">
        <f t="shared" si="398"/>
        <v>10.37</v>
      </c>
      <c r="U1051" s="127">
        <f>((((((IF(K1051="New",0,SUMIF('MPG Payment '!$E$3:$E$344841,'Shayak Income '!D1051,'MPG Payment '!$AC$3:$AC$344841))))+0)+0)+0)+0)+0</f>
        <v>0</v>
      </c>
      <c r="V1051" s="127">
        <f t="shared" si="399"/>
        <v>166</v>
      </c>
      <c r="W1051" s="19">
        <v>0</v>
      </c>
      <c r="X1051" s="19">
        <f t="shared" si="401"/>
        <v>0</v>
      </c>
      <c r="Y1051" s="128">
        <f>IFERROR(VLOOKUP(D1051,'Monthly Deduction'!$M$2:$N$640,2,0),0)</f>
        <v>0</v>
      </c>
      <c r="Z1051" s="128">
        <v>0</v>
      </c>
      <c r="AA1051" s="126">
        <f>IFERROR(VLOOKUP(D1051,'Monthly Deduction'!A:B,2,0),0)</f>
        <v>0</v>
      </c>
      <c r="AB1051" s="129">
        <f t="shared" si="397"/>
        <v>166</v>
      </c>
      <c r="AC1051" s="130">
        <v>0</v>
      </c>
      <c r="AD1051" s="35">
        <f t="shared" si="379"/>
        <v>166</v>
      </c>
      <c r="AE1051" s="166" t="str">
        <f t="shared" si="380"/>
        <v>Release</v>
      </c>
      <c r="AF1051" s="127"/>
      <c r="AG1051" s="18">
        <v>0</v>
      </c>
      <c r="AH1051" s="132"/>
      <c r="AI1051" s="238">
        <v>0</v>
      </c>
      <c r="AJ1051" s="132"/>
      <c r="AK1051" s="151">
        <v>278.5</v>
      </c>
      <c r="AL1051" s="154">
        <f t="shared" si="381"/>
        <v>0</v>
      </c>
      <c r="AM1051" s="155"/>
      <c r="AN1051" s="19">
        <f t="shared" ref="AN1051:AN1057" si="416">((MIN(IF(A1051&gt;0,MAX(N1051*2%,1861),0),A1051)))+0</f>
        <v>0</v>
      </c>
      <c r="AO1051" s="118">
        <f>SUMIF('MPG Payment '!E:E,'Shayak Income '!D1051,'MPG Payment '!AJ:AJ)</f>
        <v>0</v>
      </c>
      <c r="AP1051" s="19">
        <f t="shared" ref="AP1051:AP1057" si="417">W1051</f>
        <v>0</v>
      </c>
      <c r="AQ1051" s="119">
        <f t="shared" si="382"/>
        <v>0</v>
      </c>
      <c r="AR1051" s="91" t="s">
        <v>1144</v>
      </c>
      <c r="AS1051" s="91">
        <f t="shared" ref="AS1051:AS1057" si="418">B1051-X1051</f>
        <v>0</v>
      </c>
      <c r="AT1051" s="118"/>
      <c r="AU1051" s="118"/>
      <c r="AV1051" s="118"/>
    </row>
    <row r="1052" spans="1:48" s="20" customFormat="1" x14ac:dyDescent="0.25">
      <c r="A1052" s="17">
        <f>IFERROR(VLOOKUP(D1052,'Monthly Deduction'!$I$3:$J$957,2,0),0)</f>
        <v>65000</v>
      </c>
      <c r="B1052" s="17">
        <f>IFERROR(VLOOKUP(D1052,'Monthly Deduction'!$E$3:$F$957,2,0),0)</f>
        <v>0</v>
      </c>
      <c r="C1052" s="17">
        <f t="shared" si="373"/>
        <v>65000</v>
      </c>
      <c r="D1052" s="41">
        <v>10580036</v>
      </c>
      <c r="E1052" s="122" t="str">
        <f>VLOOKUP(D1052,'MPG Payment '!$E$3:$G$497305,2,0)</f>
        <v>Gomukh Baliyar</v>
      </c>
      <c r="F1052" s="146">
        <f>IFERROR(_xlfn.XLOOKUP(D1052,'Monthly Deduction'!$I$3:$I$957,'Monthly Deduction'!$H$3:$H$957),0)</f>
        <v>0</v>
      </c>
      <c r="G1052" s="123" t="str">
        <f>VLOOKUP(D1052,'MPG Payment '!$E$3:$G$333666,3,0)</f>
        <v>MPG</v>
      </c>
      <c r="H1052" s="124" t="str">
        <f>VLOOKUP(D1052,'MPG Payment '!$E$3:$H$333666,4,0)</f>
        <v>Direct</v>
      </c>
      <c r="I1052" s="88">
        <f>INDEX('MPG Payment '!$C:$C,MATCH('Shayak Income '!D1052,'MPG Payment '!E:E,0))</f>
        <v>1058</v>
      </c>
      <c r="J1052" s="88" t="str">
        <f>INDEX('MPG Payment '!$D:$D,MATCH('Shayak Income '!D1052,'MPG Payment '!E:E,0))</f>
        <v>Hasanpur</v>
      </c>
      <c r="K1052" s="125" t="s">
        <v>1593</v>
      </c>
      <c r="L1052" s="125">
        <v>46227</v>
      </c>
      <c r="M1052" s="126">
        <f>SUMIF('MPG Payment '!$E$3:$E$344841,'Shayak Income '!D1052,'MPG Payment '!$I$3:$I$344841)</f>
        <v>323.18999999999994</v>
      </c>
      <c r="N1052" s="126">
        <f>SUMIF('MPG Payment '!$E$3:$E$344841,'Shayak Income '!D1052,'MPG Payment '!$J$3:$J$344841)</f>
        <v>14096.87</v>
      </c>
      <c r="O1052" s="126">
        <f t="shared" si="374"/>
        <v>242.39249999999996</v>
      </c>
      <c r="P1052" s="126">
        <f t="shared" si="375"/>
        <v>307.0304999999999</v>
      </c>
      <c r="Q1052" s="126">
        <f>SUMIF('MPG Payment '!$E$3:$E$344841,'Shayak Income '!D1052,'MPG Payment '!$S$3:$S$344841)</f>
        <v>0</v>
      </c>
      <c r="R1052" s="126">
        <f t="shared" si="376"/>
        <v>422.90609999999998</v>
      </c>
      <c r="S1052" s="126">
        <f t="shared" si="377"/>
        <v>115.87560000000008</v>
      </c>
      <c r="T1052" s="126">
        <f t="shared" si="398"/>
        <v>32.318999999999996</v>
      </c>
      <c r="U1052" s="127">
        <f>((((((IF(K1052="New",0,SUMIF('MPG Payment '!$E$3:$E$344841,'Shayak Income '!D1052,'MPG Payment '!$AC$3:$AC$344841))))+0)+0)+0)+0)+0</f>
        <v>0</v>
      </c>
      <c r="V1052" s="127">
        <f t="shared" si="399"/>
        <v>517</v>
      </c>
      <c r="W1052" s="19">
        <v>0</v>
      </c>
      <c r="X1052" s="19">
        <f t="shared" si="401"/>
        <v>0</v>
      </c>
      <c r="Y1052" s="128">
        <f>IFERROR(VLOOKUP(D1052,'Monthly Deduction'!$M$2:$N$640,2,0),0)</f>
        <v>0</v>
      </c>
      <c r="Z1052" s="128">
        <v>0</v>
      </c>
      <c r="AA1052" s="126">
        <f>IFERROR(VLOOKUP(D1052,'Monthly Deduction'!A:B,2,0),0)</f>
        <v>0</v>
      </c>
      <c r="AB1052" s="129">
        <f t="shared" si="397"/>
        <v>517</v>
      </c>
      <c r="AC1052" s="130">
        <v>0</v>
      </c>
      <c r="AD1052" s="35">
        <f t="shared" si="379"/>
        <v>517</v>
      </c>
      <c r="AE1052" s="166" t="str">
        <f t="shared" si="380"/>
        <v>Release</v>
      </c>
      <c r="AF1052" s="127"/>
      <c r="AG1052" s="18">
        <v>0</v>
      </c>
      <c r="AH1052" s="132"/>
      <c r="AI1052" s="238">
        <v>0</v>
      </c>
      <c r="AJ1052" s="132"/>
      <c r="AK1052" s="151">
        <v>242.40000000000003</v>
      </c>
      <c r="AL1052" s="154">
        <f t="shared" si="381"/>
        <v>0</v>
      </c>
      <c r="AM1052" s="155"/>
      <c r="AN1052" s="19">
        <f t="shared" si="416"/>
        <v>1861</v>
      </c>
      <c r="AO1052" s="118">
        <f>SUMIF('MPG Payment '!E:E,'Shayak Income '!D1052,'MPG Payment '!AJ:AJ)</f>
        <v>0</v>
      </c>
      <c r="AP1052" s="19">
        <f t="shared" si="417"/>
        <v>0</v>
      </c>
      <c r="AQ1052" s="119">
        <f t="shared" si="382"/>
        <v>0</v>
      </c>
      <c r="AR1052" s="91" t="s">
        <v>1144</v>
      </c>
      <c r="AS1052" s="91">
        <f t="shared" si="418"/>
        <v>0</v>
      </c>
      <c r="AT1052" s="118"/>
      <c r="AU1052" s="118"/>
      <c r="AV1052" s="118"/>
    </row>
    <row r="1053" spans="1:48" s="20" customFormat="1" x14ac:dyDescent="0.25">
      <c r="A1053" s="17">
        <f>IFERROR(VLOOKUP(D1053,'Monthly Deduction'!$I$3:$J$957,2,0),0)</f>
        <v>65000</v>
      </c>
      <c r="B1053" s="17">
        <f>IFERROR(VLOOKUP(D1053,'Monthly Deduction'!$E$3:$F$957,2,0),0)</f>
        <v>6400</v>
      </c>
      <c r="C1053" s="17">
        <f t="shared" si="373"/>
        <v>71400</v>
      </c>
      <c r="D1053" s="41">
        <v>10590007</v>
      </c>
      <c r="E1053" s="122" t="str">
        <f>VLOOKUP(D1053,'MPG Payment '!$E$3:$G$497305,2,0)</f>
        <v>LAXMIPUR</v>
      </c>
      <c r="F1053" s="146">
        <f>IFERROR(_xlfn.XLOOKUP(D1053,'Monthly Deduction'!$I$3:$I$957,'Monthly Deduction'!$H$3:$H$957),0)</f>
        <v>0</v>
      </c>
      <c r="G1053" s="123" t="str">
        <f>VLOOKUP(D1053,'MPG Payment '!$E$3:$G$333666,3,0)</f>
        <v>MPG</v>
      </c>
      <c r="H1053" s="124" t="str">
        <f>VLOOKUP(D1053,'MPG Payment '!$E$3:$H$333666,4,0)</f>
        <v>Direct</v>
      </c>
      <c r="I1053" s="88">
        <f>INDEX('MPG Payment '!$C:$C,MATCH('Shayak Income '!D1053,'MPG Payment '!E:E,0))</f>
        <v>1059</v>
      </c>
      <c r="J1053" s="88" t="str">
        <f>INDEX('MPG Payment '!$D:$D,MATCH('Shayak Income '!D1053,'MPG Payment '!E:E,0))</f>
        <v>Gopalpur Bmc</v>
      </c>
      <c r="K1053" s="125" t="s">
        <v>1594</v>
      </c>
      <c r="L1053" s="125">
        <v>46092</v>
      </c>
      <c r="M1053" s="126">
        <f>SUMIF('MPG Payment '!$E$3:$E$344841,'Shayak Income '!D1053,'MPG Payment '!$I$3:$I$344841)</f>
        <v>202.8</v>
      </c>
      <c r="N1053" s="126">
        <f>SUMIF('MPG Payment '!$E$3:$E$344841,'Shayak Income '!D1053,'MPG Payment '!$J$3:$J$344841)</f>
        <v>9163.4500000000007</v>
      </c>
      <c r="O1053" s="126">
        <f t="shared" si="374"/>
        <v>152.10000000000002</v>
      </c>
      <c r="P1053" s="126">
        <f t="shared" si="375"/>
        <v>192.66</v>
      </c>
      <c r="Q1053" s="126">
        <f>SUMIF('MPG Payment '!$E$3:$E$344841,'Shayak Income '!D1053,'MPG Payment '!$S$3:$S$344841)</f>
        <v>0</v>
      </c>
      <c r="R1053" s="126">
        <f t="shared" si="376"/>
        <v>274.90350000000001</v>
      </c>
      <c r="S1053" s="126">
        <f t="shared" si="377"/>
        <v>82.243500000000012</v>
      </c>
      <c r="T1053" s="126">
        <f t="shared" si="398"/>
        <v>20.28</v>
      </c>
      <c r="U1053" s="127">
        <f>((((((IF(K1053="New",0,SUMIF('MPG Payment '!$E$3:$E$344841,'Shayak Income '!D1053,'MPG Payment '!$AC$3:$AC$344841))))+0)+0)+0)+0)+-125</f>
        <v>324.3163057199211</v>
      </c>
      <c r="V1053" s="127">
        <f t="shared" si="399"/>
        <v>0</v>
      </c>
      <c r="W1053" s="19">
        <v>0</v>
      </c>
      <c r="X1053" s="19">
        <v>0</v>
      </c>
      <c r="Y1053" s="128">
        <v>0</v>
      </c>
      <c r="Z1053" s="128">
        <v>0</v>
      </c>
      <c r="AA1053" s="126">
        <v>0</v>
      </c>
      <c r="AB1053" s="129">
        <f t="shared" si="397"/>
        <v>0</v>
      </c>
      <c r="AC1053" s="130">
        <f t="shared" ref="AC1053:AC1056" si="419">AB1053</f>
        <v>0</v>
      </c>
      <c r="AD1053" s="35">
        <f t="shared" si="379"/>
        <v>0</v>
      </c>
      <c r="AE1053" s="166" t="str">
        <f t="shared" si="380"/>
        <v>Release</v>
      </c>
      <c r="AF1053" s="127"/>
      <c r="AG1053" s="18">
        <v>0</v>
      </c>
      <c r="AH1053" s="120" t="s">
        <v>1683</v>
      </c>
      <c r="AI1053" s="238">
        <v>0</v>
      </c>
      <c r="AJ1053" s="132"/>
      <c r="AK1053" s="151">
        <v>235.7</v>
      </c>
      <c r="AL1053" s="154">
        <f t="shared" si="381"/>
        <v>0</v>
      </c>
      <c r="AM1053" s="155"/>
      <c r="AN1053" s="19">
        <f t="shared" si="416"/>
        <v>1861</v>
      </c>
      <c r="AO1053" s="118">
        <f>SUMIF('MPG Payment '!E:E,'Shayak Income '!D1053,'MPG Payment '!AJ:AJ)</f>
        <v>0</v>
      </c>
      <c r="AP1053" s="19">
        <f t="shared" si="417"/>
        <v>0</v>
      </c>
      <c r="AQ1053" s="119">
        <f t="shared" si="382"/>
        <v>0</v>
      </c>
      <c r="AR1053" s="91" t="s">
        <v>1144</v>
      </c>
      <c r="AS1053" s="91">
        <f t="shared" si="418"/>
        <v>6400</v>
      </c>
      <c r="AT1053" s="118"/>
      <c r="AU1053" s="118"/>
      <c r="AV1053" s="118"/>
    </row>
    <row r="1054" spans="1:48" s="20" customFormat="1" x14ac:dyDescent="0.25">
      <c r="A1054" s="17">
        <f>IFERROR(VLOOKUP(D1054,'Monthly Deduction'!$I$3:$J$957,2,0),0)</f>
        <v>75000</v>
      </c>
      <c r="B1054" s="17">
        <f>IFERROR(VLOOKUP(D1054,'Monthly Deduction'!$E$3:$F$957,2,0),0)</f>
        <v>6400</v>
      </c>
      <c r="C1054" s="17">
        <f t="shared" si="373"/>
        <v>81400</v>
      </c>
      <c r="D1054" s="41">
        <v>10590009</v>
      </c>
      <c r="E1054" s="122" t="str">
        <f>VLOOKUP(D1054,'MPG Payment '!$E$3:$G$497305,2,0)</f>
        <v>LAKHANPUR</v>
      </c>
      <c r="F1054" s="146">
        <f>IFERROR(_xlfn.XLOOKUP(D1054,'Monthly Deduction'!$I$3:$I$957,'Monthly Deduction'!$H$3:$H$957),0)</f>
        <v>0</v>
      </c>
      <c r="G1054" s="123" t="str">
        <f>VLOOKUP(D1054,'MPG Payment '!$E$3:$G$333666,3,0)</f>
        <v>MPG</v>
      </c>
      <c r="H1054" s="124" t="str">
        <f>VLOOKUP(D1054,'MPG Payment '!$E$3:$H$333666,4,0)</f>
        <v>Direct</v>
      </c>
      <c r="I1054" s="88">
        <f>INDEX('MPG Payment '!$C:$C,MATCH('Shayak Income '!D1054,'MPG Payment '!E:E,0))</f>
        <v>1059</v>
      </c>
      <c r="J1054" s="88" t="str">
        <f>INDEX('MPG Payment '!$D:$D,MATCH('Shayak Income '!D1054,'MPG Payment '!E:E,0))</f>
        <v>Gopalpur Bmc</v>
      </c>
      <c r="K1054" s="125" t="s">
        <v>1594</v>
      </c>
      <c r="L1054" s="125">
        <v>46086</v>
      </c>
      <c r="M1054" s="126">
        <f>SUMIF('MPG Payment '!$E$3:$E$344841,'Shayak Income '!D1054,'MPG Payment '!$I$3:$I$344841)</f>
        <v>722.10000000000014</v>
      </c>
      <c r="N1054" s="126">
        <f>SUMIF('MPG Payment '!$E$3:$E$344841,'Shayak Income '!D1054,'MPG Payment '!$J$3:$J$344841)</f>
        <v>39839.340000000004</v>
      </c>
      <c r="O1054" s="126">
        <f t="shared" si="374"/>
        <v>541.57500000000005</v>
      </c>
      <c r="P1054" s="126">
        <f t="shared" si="375"/>
        <v>685.99500000000012</v>
      </c>
      <c r="Q1054" s="126">
        <f>SUMIF('MPG Payment '!$E$3:$E$344841,'Shayak Income '!D1054,'MPG Payment '!$S$3:$S$344841)</f>
        <v>0</v>
      </c>
      <c r="R1054" s="126">
        <f t="shared" si="376"/>
        <v>1195.1802</v>
      </c>
      <c r="S1054" s="126">
        <f t="shared" si="377"/>
        <v>509.1851999999999</v>
      </c>
      <c r="T1054" s="126">
        <f t="shared" si="398"/>
        <v>72.210000000000022</v>
      </c>
      <c r="U1054" s="127">
        <f>((((((IF(K1054="New",0,SUMIF('MPG Payment '!$E$3:$E$344841,'Shayak Income '!D1054,'MPG Payment '!$AC$3:$AC$344841))))+0)+0)+0)+0)+0</f>
        <v>0</v>
      </c>
      <c r="V1054" s="127">
        <f t="shared" si="399"/>
        <v>1155</v>
      </c>
      <c r="W1054" s="19">
        <v>1155</v>
      </c>
      <c r="X1054" s="19">
        <v>0</v>
      </c>
      <c r="Y1054" s="128">
        <f>IFERROR(VLOOKUP(D1054,'Monthly Deduction'!$M$2:$N$640,2,0),0)</f>
        <v>0</v>
      </c>
      <c r="Z1054" s="128">
        <v>0</v>
      </c>
      <c r="AA1054" s="126">
        <f>IFERROR(VLOOKUP(D1054,'Monthly Deduction'!A:B,2,0),0)</f>
        <v>0</v>
      </c>
      <c r="AB1054" s="129">
        <f t="shared" si="397"/>
        <v>0</v>
      </c>
      <c r="AC1054" s="130">
        <f t="shared" si="419"/>
        <v>0</v>
      </c>
      <c r="AD1054" s="35">
        <f t="shared" si="379"/>
        <v>0</v>
      </c>
      <c r="AE1054" s="166" t="str">
        <f t="shared" si="380"/>
        <v>Release</v>
      </c>
      <c r="AF1054" s="127"/>
      <c r="AG1054" s="18">
        <v>0</v>
      </c>
      <c r="AH1054" s="120" t="s">
        <v>1686</v>
      </c>
      <c r="AI1054" s="238">
        <v>10000</v>
      </c>
      <c r="AJ1054" s="132"/>
      <c r="AK1054" s="151">
        <v>723.99999999999977</v>
      </c>
      <c r="AL1054" s="154">
        <f t="shared" si="381"/>
        <v>0</v>
      </c>
      <c r="AM1054" s="155"/>
      <c r="AN1054" s="19">
        <f t="shared" si="416"/>
        <v>1861</v>
      </c>
      <c r="AO1054" s="118">
        <f>SUMIF('MPG Payment '!E:E,'Shayak Income '!D1054,'MPG Payment '!AJ:AJ)</f>
        <v>0</v>
      </c>
      <c r="AP1054" s="19">
        <f t="shared" si="417"/>
        <v>1155</v>
      </c>
      <c r="AQ1054" s="119">
        <f t="shared" si="382"/>
        <v>1155</v>
      </c>
      <c r="AR1054" s="91" t="s">
        <v>1144</v>
      </c>
      <c r="AS1054" s="91">
        <f t="shared" si="418"/>
        <v>6400</v>
      </c>
      <c r="AT1054" s="118"/>
      <c r="AU1054" s="118"/>
      <c r="AV1054" s="118"/>
    </row>
    <row r="1055" spans="1:48" s="20" customFormat="1" x14ac:dyDescent="0.25">
      <c r="A1055" s="17">
        <f>IFERROR(VLOOKUP(D1055,'Monthly Deduction'!$I$3:$J$957,2,0),0)</f>
        <v>0</v>
      </c>
      <c r="B1055" s="17">
        <f>IFERROR(VLOOKUP(D1055,'Monthly Deduction'!$E$3:$F$957,2,0),0)</f>
        <v>0</v>
      </c>
      <c r="C1055" s="17">
        <f t="shared" si="373"/>
        <v>0</v>
      </c>
      <c r="D1055" s="41">
        <v>10610075</v>
      </c>
      <c r="E1055" s="122" t="str">
        <f>VLOOKUP(D1055,'MPG Payment '!$E$3:$G$497305,2,0)</f>
        <v>GOMUKH SURYANSH</v>
      </c>
      <c r="F1055" s="146">
        <f>IFERROR(_xlfn.XLOOKUP(D1055,'Monthly Deduction'!$I$3:$I$957,'Monthly Deduction'!$H$3:$H$957),0)</f>
        <v>0</v>
      </c>
      <c r="G1055" s="123" t="str">
        <f>VLOOKUP(D1055,'MPG Payment '!$E$3:$G$333666,3,0)</f>
        <v>VLC</v>
      </c>
      <c r="H1055" s="124" t="str">
        <f>VLOOKUP(D1055,'MPG Payment '!$E$3:$H$333666,4,0)</f>
        <v>Indirect</v>
      </c>
      <c r="I1055" s="88">
        <f>INDEX('MPG Payment '!$C:$C,MATCH('Shayak Income '!D1055,'MPG Payment '!E:E,0))</f>
        <v>1061</v>
      </c>
      <c r="J1055" s="88" t="str">
        <f>INDEX('MPG Payment '!$D:$D,MATCH('Shayak Income '!D1055,'MPG Payment '!E:E,0))</f>
        <v>Mahua BMC</v>
      </c>
      <c r="K1055" s="125" t="s">
        <v>1593</v>
      </c>
      <c r="L1055" s="125">
        <v>46228</v>
      </c>
      <c r="M1055" s="126">
        <f>SUMIF('MPG Payment '!$E$3:$E$344841,'Shayak Income '!D1055,'MPG Payment '!$I$3:$I$344841)</f>
        <v>110.7</v>
      </c>
      <c r="N1055" s="126">
        <f>SUMIF('MPG Payment '!$E$3:$E$344841,'Shayak Income '!D1055,'MPG Payment '!$J$3:$J$344841)</f>
        <v>5263.869999999999</v>
      </c>
      <c r="O1055" s="126">
        <f t="shared" si="374"/>
        <v>83.025000000000006</v>
      </c>
      <c r="P1055" s="126">
        <f t="shared" si="375"/>
        <v>105.16499999999999</v>
      </c>
      <c r="Q1055" s="126">
        <f>SUMIF('MPG Payment '!$E$3:$E$344841,'Shayak Income '!D1055,'MPG Payment '!$S$3:$S$344841)</f>
        <v>0</v>
      </c>
      <c r="R1055" s="126">
        <f t="shared" si="376"/>
        <v>157.91609999999997</v>
      </c>
      <c r="S1055" s="126">
        <f t="shared" si="377"/>
        <v>52.75109999999998</v>
      </c>
      <c r="T1055" s="126">
        <f t="shared" si="398"/>
        <v>11.07</v>
      </c>
      <c r="U1055" s="127">
        <f>((((((IF(K1055="New",0,SUMIF('MPG Payment '!$E$3:$E$344841,'Shayak Income '!D1055,'MPG Payment '!$AC$3:$AC$344841))))+0)+0)+0)+0)+0</f>
        <v>0</v>
      </c>
      <c r="V1055" s="127">
        <f t="shared" si="399"/>
        <v>177</v>
      </c>
      <c r="W1055" s="19">
        <v>0</v>
      </c>
      <c r="X1055" s="19">
        <f t="shared" si="401"/>
        <v>0</v>
      </c>
      <c r="Y1055" s="128">
        <f>IFERROR(VLOOKUP(D1055,'Monthly Deduction'!$M$2:$N$640,2,0),0)</f>
        <v>0</v>
      </c>
      <c r="Z1055" s="128">
        <v>0</v>
      </c>
      <c r="AA1055" s="126">
        <f>IFERROR(VLOOKUP(D1055,'Monthly Deduction'!A:B,2,0),0)</f>
        <v>0</v>
      </c>
      <c r="AB1055" s="129">
        <f t="shared" si="397"/>
        <v>177</v>
      </c>
      <c r="AC1055" s="130">
        <f t="shared" si="419"/>
        <v>177</v>
      </c>
      <c r="AD1055" s="35">
        <f t="shared" si="379"/>
        <v>0</v>
      </c>
      <c r="AE1055" s="166" t="str">
        <f t="shared" si="380"/>
        <v>Yes</v>
      </c>
      <c r="AF1055" s="127"/>
      <c r="AG1055" s="18">
        <v>0</v>
      </c>
      <c r="AH1055" s="132" t="s">
        <v>1597</v>
      </c>
      <c r="AI1055" s="238">
        <v>0</v>
      </c>
      <c r="AJ1055" s="132"/>
      <c r="AK1055" s="151">
        <v>0</v>
      </c>
      <c r="AL1055" s="154">
        <f t="shared" si="381"/>
        <v>0</v>
      </c>
      <c r="AM1055" s="155"/>
      <c r="AN1055" s="19">
        <f t="shared" si="416"/>
        <v>0</v>
      </c>
      <c r="AO1055" s="118">
        <f>SUMIF('MPG Payment '!E:E,'Shayak Income '!D1055,'MPG Payment '!AJ:AJ)</f>
        <v>0</v>
      </c>
      <c r="AP1055" s="19">
        <f t="shared" si="417"/>
        <v>0</v>
      </c>
      <c r="AQ1055" s="119">
        <f t="shared" si="382"/>
        <v>0</v>
      </c>
      <c r="AR1055" s="91" t="s">
        <v>1144</v>
      </c>
      <c r="AS1055" s="91">
        <f t="shared" si="418"/>
        <v>0</v>
      </c>
      <c r="AT1055" s="118"/>
      <c r="AU1055" s="118"/>
      <c r="AV1055" s="118"/>
    </row>
    <row r="1056" spans="1:48" s="20" customFormat="1" x14ac:dyDescent="0.25">
      <c r="A1056" s="17">
        <f>IFERROR(VLOOKUP(D1056,'Monthly Deduction'!$I$3:$J$957,2,0),0)</f>
        <v>80000</v>
      </c>
      <c r="B1056" s="17">
        <f>IFERROR(VLOOKUP(D1056,'Monthly Deduction'!$E$3:$F$957,2,0),0)</f>
        <v>0</v>
      </c>
      <c r="C1056" s="17">
        <f t="shared" si="373"/>
        <v>80000</v>
      </c>
      <c r="D1056" s="41">
        <v>10650029</v>
      </c>
      <c r="E1056" s="122" t="str">
        <f>VLOOKUP(D1056,'MPG Payment '!$E$3:$G$497305,2,0)</f>
        <v>Gomukh Sakh Mohan</v>
      </c>
      <c r="F1056" s="146">
        <f>IFERROR(_xlfn.XLOOKUP(D1056,'Monthly Deduction'!$I$3:$I$957,'Monthly Deduction'!$H$3:$H$957),0)</f>
        <v>0</v>
      </c>
      <c r="G1056" s="123" t="str">
        <f>VLOOKUP(D1056,'MPG Payment '!$E$3:$G$333666,3,0)</f>
        <v>MPG</v>
      </c>
      <c r="H1056" s="124" t="str">
        <f>VLOOKUP(D1056,'MPG Payment '!$E$3:$H$333666,4,0)</f>
        <v>Direct</v>
      </c>
      <c r="I1056" s="88">
        <f>INDEX('MPG Payment '!$C:$C,MATCH('Shayak Income '!D1056,'MPG Payment '!E:E,0))</f>
        <v>1008</v>
      </c>
      <c r="J1056" s="88" t="str">
        <f>INDEX('MPG Payment '!$D:$D,MATCH('Shayak Income '!D1056,'MPG Payment '!E:E,0))</f>
        <v>Teghra</v>
      </c>
      <c r="K1056" s="125" t="s">
        <v>1593</v>
      </c>
      <c r="L1056" s="125">
        <v>46232</v>
      </c>
      <c r="M1056" s="126">
        <f>SUMIF('MPG Payment '!$E$3:$E$344841,'Shayak Income '!D1056,'MPG Payment '!$I$3:$I$344841)</f>
        <v>27.65</v>
      </c>
      <c r="N1056" s="126">
        <f>SUMIF('MPG Payment '!$E$3:$E$344841,'Shayak Income '!D1056,'MPG Payment '!$J$3:$J$344841)</f>
        <v>1109.96</v>
      </c>
      <c r="O1056" s="126">
        <f t="shared" si="374"/>
        <v>20.737499999999997</v>
      </c>
      <c r="P1056" s="126">
        <f t="shared" si="375"/>
        <v>26.267499999999998</v>
      </c>
      <c r="Q1056" s="126">
        <f>SUMIF('MPG Payment '!$E$3:$E$344841,'Shayak Income '!D1056,'MPG Payment '!$S$3:$S$344841)</f>
        <v>0</v>
      </c>
      <c r="R1056" s="126">
        <f t="shared" si="376"/>
        <v>33.2988</v>
      </c>
      <c r="S1056" s="126">
        <f t="shared" si="377"/>
        <v>7.0313000000000017</v>
      </c>
      <c r="T1056" s="126">
        <f t="shared" si="398"/>
        <v>2.7650000000000001</v>
      </c>
      <c r="U1056" s="127">
        <f>((((((IF(K1056="New",0,SUMIF('MPG Payment '!$E$3:$E$344841,'Shayak Income '!D1056,'MPG Payment '!$AC$3:$AC$344841))))+0)+0)+0)+0)+0</f>
        <v>0</v>
      </c>
      <c r="V1056" s="127">
        <f t="shared" si="399"/>
        <v>44</v>
      </c>
      <c r="W1056" s="19">
        <v>0</v>
      </c>
      <c r="X1056" s="19">
        <f t="shared" si="401"/>
        <v>0</v>
      </c>
      <c r="Y1056" s="128">
        <f>IFERROR(VLOOKUP(D1056,'Monthly Deduction'!$M$2:$N$640,2,0),0)</f>
        <v>0</v>
      </c>
      <c r="Z1056" s="128">
        <v>0</v>
      </c>
      <c r="AA1056" s="126">
        <f>IFERROR(VLOOKUP(D1056,'Monthly Deduction'!A:B,2,0),0)</f>
        <v>0</v>
      </c>
      <c r="AB1056" s="129">
        <f t="shared" si="397"/>
        <v>44</v>
      </c>
      <c r="AC1056" s="130">
        <f t="shared" si="419"/>
        <v>44</v>
      </c>
      <c r="AD1056" s="35">
        <f t="shared" si="379"/>
        <v>0</v>
      </c>
      <c r="AE1056" s="166" t="str">
        <f t="shared" si="380"/>
        <v>Yes</v>
      </c>
      <c r="AF1056" s="127"/>
      <c r="AG1056" s="18">
        <v>0</v>
      </c>
      <c r="AH1056" s="120" t="s">
        <v>1685</v>
      </c>
      <c r="AI1056" s="238">
        <v>15000</v>
      </c>
      <c r="AJ1056" s="132"/>
      <c r="AK1056" s="151">
        <v>95.75</v>
      </c>
      <c r="AL1056" s="154">
        <f t="shared" si="381"/>
        <v>0</v>
      </c>
      <c r="AM1056" s="155"/>
      <c r="AN1056" s="19">
        <f t="shared" si="416"/>
        <v>1861</v>
      </c>
      <c r="AO1056" s="118">
        <f>SUMIF('MPG Payment '!E:E,'Shayak Income '!D1056,'MPG Payment '!AJ:AJ)</f>
        <v>0</v>
      </c>
      <c r="AP1056" s="19">
        <f t="shared" si="417"/>
        <v>0</v>
      </c>
      <c r="AQ1056" s="119">
        <f t="shared" si="382"/>
        <v>0</v>
      </c>
      <c r="AR1056" s="91" t="s">
        <v>1144</v>
      </c>
      <c r="AS1056" s="91">
        <f t="shared" si="418"/>
        <v>0</v>
      </c>
      <c r="AT1056" s="118"/>
      <c r="AU1056" s="118"/>
      <c r="AV1056" s="118"/>
    </row>
    <row r="1057" spans="1:48" s="20" customFormat="1" x14ac:dyDescent="0.25">
      <c r="A1057" s="17">
        <f>IFERROR(VLOOKUP(D1057,'Monthly Deduction'!$I$3:$J$957,2,0),0)</f>
        <v>0</v>
      </c>
      <c r="B1057" s="17">
        <f>IFERROR(VLOOKUP(D1057,'Monthly Deduction'!$E$3:$F$957,2,0),0)</f>
        <v>0</v>
      </c>
      <c r="C1057" s="17">
        <f t="shared" si="373"/>
        <v>0</v>
      </c>
      <c r="D1057" s="41">
        <v>10660037</v>
      </c>
      <c r="E1057" s="122" t="str">
        <f>VLOOKUP(D1057,'MPG Payment '!$E$3:$G$497305,2,0)</f>
        <v>GOMUKH  DIHLAHI 2</v>
      </c>
      <c r="F1057" s="146">
        <f>IFERROR(_xlfn.XLOOKUP(D1057,'Monthly Deduction'!$I$3:$I$957,'Monthly Deduction'!$H$3:$H$957),0)</f>
        <v>0</v>
      </c>
      <c r="G1057" s="123" t="str">
        <f>VLOOKUP(D1057,'MPG Payment '!$E$3:$G$333666,3,0)</f>
        <v>VLC</v>
      </c>
      <c r="H1057" s="124" t="str">
        <f>VLOOKUP(D1057,'MPG Payment '!$E$3:$H$333666,4,0)</f>
        <v>Indirect</v>
      </c>
      <c r="I1057" s="88">
        <f>INDEX('MPG Payment '!$C:$C,MATCH('Shayak Income '!D1057,'MPG Payment '!E:E,0))</f>
        <v>1066</v>
      </c>
      <c r="J1057" s="88" t="str">
        <f>INDEX('MPG Payment '!$D:$D,MATCH('Shayak Income '!D1057,'MPG Payment '!E:E,0))</f>
        <v>Gaighat</v>
      </c>
      <c r="K1057" s="125" t="s">
        <v>1593</v>
      </c>
      <c r="L1057" s="125">
        <v>46233</v>
      </c>
      <c r="M1057" s="126">
        <f>SUMIF('MPG Payment '!$E$3:$E$344841,'Shayak Income '!D1057,'MPG Payment '!$I$3:$I$344841)</f>
        <v>22</v>
      </c>
      <c r="N1057" s="126">
        <f>SUMIF('MPG Payment '!$E$3:$E$344841,'Shayak Income '!D1057,'MPG Payment '!$J$3:$J$344841)</f>
        <v>889.9</v>
      </c>
      <c r="O1057" s="126">
        <f t="shared" si="374"/>
        <v>16.5</v>
      </c>
      <c r="P1057" s="126">
        <f t="shared" si="375"/>
        <v>20.9</v>
      </c>
      <c r="Q1057" s="126">
        <f>SUMIF('MPG Payment '!$E$3:$E$344841,'Shayak Income '!D1057,'MPG Payment '!$S$3:$S$344841)</f>
        <v>0</v>
      </c>
      <c r="R1057" s="126">
        <f t="shared" si="376"/>
        <v>26.696999999999999</v>
      </c>
      <c r="S1057" s="126">
        <f t="shared" si="377"/>
        <v>5.7970000000000006</v>
      </c>
      <c r="T1057" s="126">
        <f t="shared" si="398"/>
        <v>2.2000000000000002</v>
      </c>
      <c r="U1057" s="127">
        <f>((((((IF(K1057="New",0,SUMIF('MPG Payment '!$E$3:$E$344841,'Shayak Income '!D1057,'MPG Payment '!$AC$3:$AC$344841))))+0)+0)+0)+0)+0</f>
        <v>0</v>
      </c>
      <c r="V1057" s="127">
        <f t="shared" si="399"/>
        <v>35</v>
      </c>
      <c r="W1057" s="19">
        <v>0</v>
      </c>
      <c r="X1057" s="19">
        <f t="shared" si="401"/>
        <v>0</v>
      </c>
      <c r="Y1057" s="128">
        <f>IFERROR(VLOOKUP(D1057,'Monthly Deduction'!$M$2:$N$640,2,0),0)</f>
        <v>0</v>
      </c>
      <c r="Z1057" s="128">
        <v>0</v>
      </c>
      <c r="AA1057" s="126">
        <f>IFERROR(VLOOKUP(D1057,'Monthly Deduction'!A:B,2,0),0)</f>
        <v>0</v>
      </c>
      <c r="AB1057" s="129">
        <f t="shared" si="397"/>
        <v>35</v>
      </c>
      <c r="AC1057" s="130">
        <v>0</v>
      </c>
      <c r="AD1057" s="35">
        <f t="shared" si="379"/>
        <v>35</v>
      </c>
      <c r="AE1057" s="166" t="str">
        <f t="shared" si="380"/>
        <v>Release</v>
      </c>
      <c r="AF1057" s="127"/>
      <c r="AG1057" s="18">
        <v>0</v>
      </c>
      <c r="AH1057" s="120"/>
      <c r="AI1057" s="238">
        <v>0</v>
      </c>
      <c r="AJ1057" s="132"/>
      <c r="AK1057" s="151">
        <v>189.39999999999998</v>
      </c>
      <c r="AL1057" s="154">
        <f t="shared" si="381"/>
        <v>0</v>
      </c>
      <c r="AM1057" s="155"/>
      <c r="AN1057" s="19">
        <f t="shared" si="416"/>
        <v>0</v>
      </c>
      <c r="AO1057" s="118">
        <f>SUMIF('MPG Payment '!E:E,'Shayak Income '!D1057,'MPG Payment '!AJ:AJ)</f>
        <v>0</v>
      </c>
      <c r="AP1057" s="19">
        <f t="shared" si="417"/>
        <v>0</v>
      </c>
      <c r="AQ1057" s="119">
        <f t="shared" si="382"/>
        <v>0</v>
      </c>
      <c r="AR1057" s="91" t="s">
        <v>1144</v>
      </c>
      <c r="AS1057" s="91">
        <f t="shared" si="418"/>
        <v>0</v>
      </c>
      <c r="AT1057" s="118"/>
      <c r="AU1057" s="118"/>
      <c r="AV1057" s="118"/>
    </row>
    <row r="1058" spans="1:48" x14ac:dyDescent="0.25">
      <c r="A1058" s="22">
        <f>SUM(A4:A1057)</f>
        <v>28628689.307382148</v>
      </c>
      <c r="B1058" s="22">
        <f>SUM(B4:B1057)</f>
        <v>4653725.3278737534</v>
      </c>
      <c r="C1058" s="22"/>
      <c r="D1058" s="44">
        <f>COUNTA(D4:D1057)</f>
        <v>1054</v>
      </c>
      <c r="E1058" s="22" t="s">
        <v>34</v>
      </c>
      <c r="F1058" s="44"/>
      <c r="G1058" s="22"/>
      <c r="H1058" s="22"/>
      <c r="I1058" s="22"/>
      <c r="J1058" s="22"/>
      <c r="K1058" s="44"/>
      <c r="L1058" s="44"/>
      <c r="M1058" s="22">
        <f t="shared" ref="M1058:V1058" si="420">SUM(M4:M1057)</f>
        <v>4064088.6099999952</v>
      </c>
      <c r="N1058" s="22">
        <f t="shared" si="420"/>
        <v>166455017.78999987</v>
      </c>
      <c r="O1058" s="22">
        <f t="shared" si="420"/>
        <v>3048066.4575000079</v>
      </c>
      <c r="P1058" s="22">
        <f t="shared" si="420"/>
        <v>3861853.1413000016</v>
      </c>
      <c r="Q1058" s="22">
        <f t="shared" si="420"/>
        <v>543136.35000000044</v>
      </c>
      <c r="R1058" s="22">
        <f t="shared" si="420"/>
        <v>4993650.5337000042</v>
      </c>
      <c r="S1058" s="22">
        <f t="shared" si="420"/>
        <v>1130092.6718999988</v>
      </c>
      <c r="T1058" s="22">
        <f t="shared" si="420"/>
        <v>390560.56100000028</v>
      </c>
      <c r="U1058" s="22">
        <f t="shared" si="420"/>
        <v>508455.92886057339</v>
      </c>
      <c r="V1058" s="22">
        <f t="shared" si="420"/>
        <v>6408696</v>
      </c>
      <c r="W1058" s="22">
        <f>SUBTOTAL(9,W3:W1057)</f>
        <v>828722.81132704183</v>
      </c>
      <c r="X1058" s="22">
        <f>SUBTOTAL(9,X3:X1057)</f>
        <v>88989.117737269538</v>
      </c>
      <c r="Y1058" s="22">
        <f>SUBTOTAL(9,Y3:Y1057)</f>
        <v>46315</v>
      </c>
      <c r="Z1058" s="22">
        <f>SUM(Z4:Z1057)</f>
        <v>77099.34</v>
      </c>
      <c r="AA1058" s="22">
        <f>SUM(AA4:AA1057)</f>
        <v>53086.634090745836</v>
      </c>
      <c r="AB1058" s="22">
        <f>SUM(AB4:AB1057)</f>
        <v>5314485</v>
      </c>
      <c r="AC1058" s="90">
        <f>SUM(AC4:AC1057)</f>
        <v>254097</v>
      </c>
      <c r="AD1058" s="36">
        <f>SUBTOTAL(9,AD4:AD1057)</f>
        <v>5060388</v>
      </c>
      <c r="AE1058" s="167">
        <f>COUNTIF(AE4:AE1057,"Yes")</f>
        <v>118</v>
      </c>
      <c r="AF1058" s="161"/>
      <c r="AG1058" s="36"/>
      <c r="AH1058" s="36"/>
      <c r="AI1058" s="36"/>
      <c r="AJ1058" s="36"/>
      <c r="AK1058" s="36"/>
      <c r="AL1058" s="36"/>
      <c r="AM1058" s="36"/>
      <c r="AN1058" s="36">
        <f>SUM(AN4:AN1057)</f>
        <v>1239371.5185844067</v>
      </c>
      <c r="AO1058" s="36">
        <f>SUM(AO4:AO1057)</f>
        <v>130688</v>
      </c>
      <c r="AP1058" s="36">
        <f>SUM(AP4:AP1057)</f>
        <v>828722.81132704183</v>
      </c>
      <c r="AQ1058" s="36">
        <f>SUM(AQ4:AQ1057)</f>
        <v>959410.81132704194</v>
      </c>
      <c r="AT1058" s="36"/>
      <c r="AU1058" s="36"/>
      <c r="AV1058" s="36"/>
    </row>
    <row r="1059" spans="1:48" x14ac:dyDescent="0.25">
      <c r="A1059" s="11"/>
      <c r="M1059" s="11"/>
      <c r="N1059" s="10"/>
      <c r="O1059" s="10"/>
      <c r="P1059" s="21"/>
      <c r="Q1059" s="11"/>
      <c r="R1059" s="11"/>
      <c r="S1059" s="11"/>
      <c r="T1059" s="11"/>
      <c r="U1059" s="11"/>
      <c r="V1059" s="10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</row>
    <row r="1060" spans="1:48" ht="15.75" thickBot="1" x14ac:dyDescent="0.3">
      <c r="A1060" s="11"/>
      <c r="E1060" s="242"/>
      <c r="F1060" s="242"/>
      <c r="M1060" s="11"/>
      <c r="N1060" s="114"/>
      <c r="O1060" s="11"/>
      <c r="P1060" s="11"/>
      <c r="Q1060" s="12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25"/>
      <c r="AC1060" s="25"/>
      <c r="AD1060" s="26"/>
      <c r="AE1060" s="11"/>
      <c r="AF1060" s="11"/>
      <c r="AG1060" s="101"/>
      <c r="AH1060" s="101"/>
      <c r="AI1060" s="101"/>
      <c r="AJ1060" s="101"/>
    </row>
    <row r="1061" spans="1:48" x14ac:dyDescent="0.25">
      <c r="E1061" s="27" t="s">
        <v>9</v>
      </c>
      <c r="F1061" s="28" t="s">
        <v>28</v>
      </c>
      <c r="M1061" s="6"/>
      <c r="N1061" s="23" t="s">
        <v>47</v>
      </c>
      <c r="O1061" s="23">
        <f>+O1058</f>
        <v>3048066.4575000079</v>
      </c>
      <c r="P1061" s="16"/>
      <c r="AB1061" s="25"/>
      <c r="AC1061" s="11"/>
      <c r="AD1061" s="11"/>
    </row>
    <row r="1062" spans="1:48" x14ac:dyDescent="0.25">
      <c r="E1062" s="29" t="s">
        <v>4</v>
      </c>
      <c r="F1062" s="73">
        <f>M1058</f>
        <v>4064088.6099999952</v>
      </c>
      <c r="I1062" s="26"/>
      <c r="J1062" s="26"/>
      <c r="K1062" s="89"/>
      <c r="N1062" s="4" t="s">
        <v>48</v>
      </c>
      <c r="O1062" s="24">
        <f>-U1058</f>
        <v>-508455.92886057339</v>
      </c>
      <c r="S1062" s="11"/>
      <c r="X1062" s="16"/>
      <c r="AB1062" s="11"/>
      <c r="AC1062" s="11"/>
      <c r="AD1062" s="11"/>
    </row>
    <row r="1063" spans="1:48" x14ac:dyDescent="0.25">
      <c r="E1063" s="29" t="s">
        <v>5</v>
      </c>
      <c r="F1063" s="73">
        <f>N1058</f>
        <v>166455017.78999987</v>
      </c>
      <c r="I1063" s="26"/>
      <c r="J1063" s="26"/>
      <c r="K1063" s="89">
        <v>20253.400000000001</v>
      </c>
      <c r="L1063">
        <v>742186.33722623996</v>
      </c>
      <c r="N1063" s="240">
        <v>46234</v>
      </c>
      <c r="O1063" s="24">
        <f>S1070</f>
        <v>90939.517500000016</v>
      </c>
      <c r="R1063" s="96"/>
      <c r="S1063" s="95"/>
      <c r="AC1063" s="92"/>
      <c r="AD1063" s="11"/>
    </row>
    <row r="1064" spans="1:48" x14ac:dyDescent="0.25">
      <c r="D1064" s="94"/>
      <c r="E1064" s="30" t="s">
        <v>15</v>
      </c>
      <c r="F1064" s="74">
        <f>O1058</f>
        <v>3048066.4575000079</v>
      </c>
      <c r="I1064" s="26"/>
      <c r="J1064" s="26"/>
      <c r="K1064" s="89">
        <f>K1063*0.75</f>
        <v>15190.050000000001</v>
      </c>
      <c r="N1064" s="4" t="s">
        <v>1679</v>
      </c>
      <c r="O1064" s="24">
        <f>Q1070</f>
        <v>174399.19900000002</v>
      </c>
      <c r="R1064" s="96"/>
      <c r="X1064" s="92"/>
    </row>
    <row r="1065" spans="1:48" x14ac:dyDescent="0.25">
      <c r="D1065" s="94"/>
      <c r="E1065" s="30" t="s">
        <v>69</v>
      </c>
      <c r="F1065" s="74">
        <f>P1058</f>
        <v>3861853.1413000016</v>
      </c>
      <c r="I1065" s="26"/>
      <c r="J1065" s="26"/>
      <c r="K1065" s="89"/>
      <c r="N1065" s="4"/>
      <c r="O1065" s="23"/>
    </row>
    <row r="1066" spans="1:48" x14ac:dyDescent="0.25">
      <c r="D1066" s="94"/>
      <c r="E1066" s="30" t="s">
        <v>12</v>
      </c>
      <c r="F1066" s="74">
        <f>Q1058</f>
        <v>543136.35000000044</v>
      </c>
      <c r="I1066" s="26"/>
      <c r="J1066" s="26"/>
      <c r="K1066" s="89"/>
      <c r="N1066" s="56" t="s">
        <v>49</v>
      </c>
      <c r="O1066" s="57">
        <f>SUM(O1061:O1065)</f>
        <v>2804949.2451394345</v>
      </c>
      <c r="AD1066" s="6"/>
    </row>
    <row r="1067" spans="1:48" x14ac:dyDescent="0.25">
      <c r="D1067" s="7"/>
      <c r="E1067" s="31" t="s">
        <v>16</v>
      </c>
      <c r="F1067" s="75">
        <f>R1058</f>
        <v>4993650.5337000042</v>
      </c>
      <c r="I1067" s="26"/>
      <c r="J1067" s="26"/>
      <c r="K1067" s="89"/>
      <c r="W1067" s="16"/>
    </row>
    <row r="1068" spans="1:48" x14ac:dyDescent="0.25">
      <c r="D1068" s="7"/>
      <c r="E1068" s="31" t="s">
        <v>10</v>
      </c>
      <c r="F1068" s="75">
        <f>S1058</f>
        <v>1130092.6718999988</v>
      </c>
      <c r="I1068" s="26"/>
      <c r="J1068" s="26"/>
      <c r="K1068" s="89"/>
      <c r="O1068" s="6"/>
      <c r="P1068" s="212"/>
      <c r="Q1068" s="239" t="s">
        <v>1595</v>
      </c>
      <c r="R1068" s="213"/>
      <c r="S1068" s="214" t="s">
        <v>1678</v>
      </c>
    </row>
    <row r="1069" spans="1:48" x14ac:dyDescent="0.25">
      <c r="D1069" s="93"/>
      <c r="E1069" s="32" t="s">
        <v>75</v>
      </c>
      <c r="F1069" s="76">
        <f>T1058</f>
        <v>390560.56100000028</v>
      </c>
      <c r="I1069" s="26"/>
      <c r="J1069" s="26"/>
      <c r="K1069" s="89"/>
      <c r="P1069" s="212" t="s">
        <v>1360</v>
      </c>
      <c r="Q1069" s="212">
        <v>268306.46000000002</v>
      </c>
      <c r="R1069" s="213" t="s">
        <v>1360</v>
      </c>
      <c r="S1069" s="213">
        <v>139906.95000000001</v>
      </c>
      <c r="W1069" s="16"/>
    </row>
    <row r="1070" spans="1:48" x14ac:dyDescent="0.25">
      <c r="D1070" s="93"/>
      <c r="E1070" s="32" t="s">
        <v>6</v>
      </c>
      <c r="F1070" s="76">
        <f>U1058</f>
        <v>508455.92886057339</v>
      </c>
      <c r="I1070" s="26"/>
      <c r="J1070" s="26"/>
      <c r="K1070" s="89"/>
      <c r="Q1070" s="11">
        <f>Q1069*0.65</f>
        <v>174399.19900000002</v>
      </c>
      <c r="S1070">
        <f>S1069*0.65</f>
        <v>90939.517500000016</v>
      </c>
      <c r="X1070" s="92"/>
    </row>
    <row r="1071" spans="1:48" x14ac:dyDescent="0.25">
      <c r="D1071" s="7"/>
      <c r="E1071" s="30" t="s">
        <v>7</v>
      </c>
      <c r="F1071" s="74">
        <f>V1058</f>
        <v>6408696</v>
      </c>
      <c r="I1071" s="26"/>
      <c r="J1071" s="26"/>
      <c r="K1071" s="89"/>
      <c r="U1071" s="16"/>
      <c r="X1071" s="92"/>
    </row>
    <row r="1072" spans="1:48" ht="14.45" customHeight="1" x14ac:dyDescent="0.25">
      <c r="D1072" s="93"/>
      <c r="E1072" s="32" t="s">
        <v>1484</v>
      </c>
      <c r="F1072" s="76" cm="1">
        <f t="array" ref="F1072:F1076">TRANSPOSE(W1058:AA1058)</f>
        <v>828722.81132704183</v>
      </c>
      <c r="I1072" s="26"/>
      <c r="J1072" s="26"/>
      <c r="K1072" s="89"/>
    </row>
    <row r="1073" spans="4:30" ht="14.45" customHeight="1" x14ac:dyDescent="0.25">
      <c r="D1073" s="93"/>
      <c r="E1073" s="32" t="s">
        <v>14</v>
      </c>
      <c r="F1073" s="76">
        <v>88989.117737269538</v>
      </c>
      <c r="I1073" s="26"/>
      <c r="J1073" s="26"/>
      <c r="K1073" s="89"/>
    </row>
    <row r="1074" spans="4:30" x14ac:dyDescent="0.25">
      <c r="D1074" s="93"/>
      <c r="E1074" s="32" t="s">
        <v>1485</v>
      </c>
      <c r="F1074" s="76">
        <v>46315</v>
      </c>
      <c r="I1074" s="26"/>
      <c r="J1074" s="26"/>
      <c r="K1074" s="89"/>
      <c r="W1074" s="16"/>
    </row>
    <row r="1075" spans="4:30" x14ac:dyDescent="0.25">
      <c r="D1075" s="93"/>
      <c r="E1075" s="32" t="s">
        <v>1486</v>
      </c>
      <c r="F1075" s="76">
        <v>77099.34</v>
      </c>
      <c r="I1075" s="26"/>
      <c r="J1075" s="26"/>
      <c r="K1075" s="89"/>
      <c r="W1075" s="16"/>
    </row>
    <row r="1076" spans="4:30" x14ac:dyDescent="0.25">
      <c r="D1076" s="93"/>
      <c r="E1076" s="32" t="s">
        <v>1487</v>
      </c>
      <c r="F1076" s="76">
        <v>53086.634090745836</v>
      </c>
      <c r="G1076" s="6"/>
      <c r="I1076" s="26"/>
      <c r="J1076" s="26"/>
      <c r="K1076" s="89"/>
    </row>
    <row r="1077" spans="4:30" ht="15.75" thickBot="1" x14ac:dyDescent="0.3">
      <c r="E1077" s="33" t="s">
        <v>8</v>
      </c>
      <c r="F1077" s="77">
        <f>AB1058</f>
        <v>5314485</v>
      </c>
      <c r="H1077" s="6"/>
      <c r="I1077" s="26"/>
      <c r="J1077" s="26"/>
      <c r="K1077" s="89"/>
      <c r="AD1077" s="6"/>
    </row>
    <row r="1078" spans="4:30" ht="30" x14ac:dyDescent="0.25">
      <c r="E1078" s="32" t="s">
        <v>1483</v>
      </c>
      <c r="F1078" s="76">
        <f>+AC1058</f>
        <v>254097</v>
      </c>
      <c r="I1078" s="26"/>
      <c r="J1078" s="26"/>
      <c r="P1078" s="16"/>
    </row>
    <row r="1079" spans="4:30" ht="15.75" thickBot="1" x14ac:dyDescent="0.3">
      <c r="E1079" s="33" t="s">
        <v>59</v>
      </c>
      <c r="F1079" s="77">
        <f>+AD1058</f>
        <v>5060388</v>
      </c>
      <c r="I1079" s="26"/>
      <c r="J1079" s="26"/>
      <c r="AD1079" s="6"/>
    </row>
    <row r="1081" spans="4:30" x14ac:dyDescent="0.25">
      <c r="E1081" s="4" t="s">
        <v>593</v>
      </c>
      <c r="F1081" s="24">
        <f>AO1058</f>
        <v>130688</v>
      </c>
    </row>
    <row r="1082" spans="4:30" x14ac:dyDescent="0.25">
      <c r="E1082" s="4" t="s">
        <v>594</v>
      </c>
      <c r="F1082" s="24">
        <f>F1072</f>
        <v>828722.81132704183</v>
      </c>
    </row>
    <row r="1083" spans="4:30" x14ac:dyDescent="0.25">
      <c r="E1083" s="116" t="s">
        <v>595</v>
      </c>
      <c r="F1083" s="117">
        <f>SUM(F1081:F1082)</f>
        <v>959410.81132704183</v>
      </c>
    </row>
  </sheetData>
  <autoFilter ref="A3:AV1057" xr:uid="{00000000-0001-0000-0000-000000000000}"/>
  <mergeCells count="9">
    <mergeCell ref="W1:X1"/>
    <mergeCell ref="T1:U1"/>
    <mergeCell ref="R1:S1"/>
    <mergeCell ref="E1060:F1060"/>
    <mergeCell ref="A2:B2"/>
    <mergeCell ref="O2:Q2"/>
    <mergeCell ref="M1:N1"/>
    <mergeCell ref="R2:S2"/>
    <mergeCell ref="T2:U2"/>
  </mergeCells>
  <conditionalFormatting sqref="D79">
    <cfRule type="duplicateValues" dxfId="107" priority="23"/>
    <cfRule type="duplicateValues" dxfId="106" priority="24"/>
  </conditionalFormatting>
  <conditionalFormatting sqref="D1059:D1064 D2:D3 D1067:D1069 D1071:D1073 D1077:D66183">
    <cfRule type="duplicateValues" dxfId="105" priority="440" stopIfTrue="1"/>
  </conditionalFormatting>
  <conditionalFormatting sqref="K3:K1057">
    <cfRule type="containsText" dxfId="104" priority="160" stopIfTrue="1" operator="containsText" text="100%">
      <formula>NOT(ISERROR(SEARCH("100%",K3)))</formula>
    </cfRule>
  </conditionalFormatting>
  <conditionalFormatting sqref="K4:K1057">
    <cfRule type="containsText" dxfId="103" priority="159" stopIfTrue="1" operator="containsText" text="Direct Farfmer Payment ">
      <formula>NOT(ISERROR(SEARCH("Direct Farfmer Payment ",K4)))</formula>
    </cfRule>
  </conditionalFormatting>
  <conditionalFormatting sqref="U4:V1057 AB4:AG1057 V1058 AE1058:AF1058">
    <cfRule type="cellIs" dxfId="102" priority="3" operator="less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724C-35BE-44F6-B996-93460B142472}">
  <dimension ref="A3:H1059"/>
  <sheetViews>
    <sheetView topLeftCell="A1023" workbookViewId="0">
      <selection activeCell="A5" sqref="A5:A1058"/>
    </sheetView>
  </sheetViews>
  <sheetFormatPr defaultRowHeight="15" x14ac:dyDescent="0.25"/>
  <cols>
    <col min="1" max="1" width="11.28515625" bestFit="1" customWidth="1"/>
    <col min="2" max="2" width="19.42578125" bestFit="1" customWidth="1"/>
    <col min="3" max="3" width="19.5703125" bestFit="1" customWidth="1"/>
  </cols>
  <sheetData>
    <row r="3" spans="1:8" x14ac:dyDescent="0.25">
      <c r="B3" s="190" t="s">
        <v>77</v>
      </c>
    </row>
    <row r="4" spans="1:8" x14ac:dyDescent="0.25">
      <c r="A4" s="190" t="s">
        <v>0</v>
      </c>
      <c r="B4" t="s">
        <v>1183</v>
      </c>
      <c r="C4" t="s">
        <v>1184</v>
      </c>
    </row>
    <row r="5" spans="1:8" x14ac:dyDescent="0.25">
      <c r="A5">
        <v>10010013</v>
      </c>
      <c r="B5" s="11">
        <v>2231.3000000000002</v>
      </c>
      <c r="C5">
        <v>84420.7</v>
      </c>
      <c r="H5" s="48"/>
    </row>
    <row r="6" spans="1:8" x14ac:dyDescent="0.25">
      <c r="A6">
        <v>10010019</v>
      </c>
      <c r="B6" s="11">
        <v>3615.7</v>
      </c>
      <c r="C6">
        <v>140356.53999999998</v>
      </c>
      <c r="H6" s="48"/>
    </row>
    <row r="7" spans="1:8" x14ac:dyDescent="0.25">
      <c r="A7">
        <v>10010038</v>
      </c>
      <c r="B7" s="11">
        <v>3578.5800000000004</v>
      </c>
      <c r="C7">
        <v>143943.16999999998</v>
      </c>
      <c r="H7" s="39"/>
    </row>
    <row r="8" spans="1:8" x14ac:dyDescent="0.25">
      <c r="A8">
        <v>10010047</v>
      </c>
      <c r="B8" s="11">
        <v>527.9</v>
      </c>
      <c r="C8">
        <v>20684.890000000003</v>
      </c>
      <c r="H8" s="39"/>
    </row>
    <row r="9" spans="1:8" x14ac:dyDescent="0.25">
      <c r="A9">
        <v>10010050</v>
      </c>
      <c r="B9" s="11">
        <v>5015.62</v>
      </c>
      <c r="C9">
        <v>217108.75</v>
      </c>
      <c r="H9" s="39"/>
    </row>
    <row r="10" spans="1:8" x14ac:dyDescent="0.25">
      <c r="A10">
        <v>10010051</v>
      </c>
      <c r="B10" s="11">
        <v>81.59</v>
      </c>
      <c r="C10">
        <v>3336.3</v>
      </c>
      <c r="H10" s="39"/>
    </row>
    <row r="11" spans="1:8" x14ac:dyDescent="0.25">
      <c r="A11">
        <v>10010055</v>
      </c>
      <c r="B11" s="11">
        <v>398.20000000000005</v>
      </c>
      <c r="C11">
        <v>16578.310000000001</v>
      </c>
      <c r="H11" s="39"/>
    </row>
    <row r="12" spans="1:8" x14ac:dyDescent="0.25">
      <c r="A12">
        <v>10010057</v>
      </c>
      <c r="B12" s="11">
        <v>36779.800000000003</v>
      </c>
      <c r="C12">
        <v>1389812.1600000001</v>
      </c>
      <c r="H12" s="39"/>
    </row>
    <row r="13" spans="1:8" x14ac:dyDescent="0.25">
      <c r="A13">
        <v>10010076</v>
      </c>
      <c r="B13" s="11">
        <v>3203.3999999999996</v>
      </c>
      <c r="C13">
        <v>140070.81</v>
      </c>
      <c r="H13" s="39"/>
    </row>
    <row r="14" spans="1:8" x14ac:dyDescent="0.25">
      <c r="A14">
        <v>10010082</v>
      </c>
      <c r="B14" s="11">
        <v>4784.1000000000004</v>
      </c>
      <c r="C14">
        <v>186101.66</v>
      </c>
      <c r="H14" s="39"/>
    </row>
    <row r="15" spans="1:8" x14ac:dyDescent="0.25">
      <c r="A15">
        <v>10010084</v>
      </c>
      <c r="B15" s="11">
        <v>1017.7</v>
      </c>
      <c r="C15">
        <v>34594.479999999996</v>
      </c>
      <c r="H15" s="39"/>
    </row>
    <row r="16" spans="1:8" x14ac:dyDescent="0.25">
      <c r="A16">
        <v>10010086</v>
      </c>
      <c r="B16" s="11">
        <v>340.43</v>
      </c>
      <c r="C16">
        <v>16211.800000000001</v>
      </c>
      <c r="H16" s="39"/>
    </row>
    <row r="17" spans="1:8" x14ac:dyDescent="0.25">
      <c r="A17">
        <v>10010087</v>
      </c>
      <c r="B17" s="11">
        <v>133.74</v>
      </c>
      <c r="C17">
        <v>4762.38</v>
      </c>
      <c r="H17" s="39"/>
    </row>
    <row r="18" spans="1:8" x14ac:dyDescent="0.25">
      <c r="A18">
        <v>10010089</v>
      </c>
      <c r="B18" s="11">
        <v>1985.29</v>
      </c>
      <c r="C18">
        <v>84683.87000000001</v>
      </c>
      <c r="H18" s="39"/>
    </row>
    <row r="19" spans="1:8" x14ac:dyDescent="0.25">
      <c r="A19">
        <v>10010092</v>
      </c>
      <c r="B19" s="11">
        <v>2867.6</v>
      </c>
      <c r="C19">
        <v>92714.09</v>
      </c>
      <c r="H19" s="39"/>
    </row>
    <row r="20" spans="1:8" x14ac:dyDescent="0.25">
      <c r="A20">
        <v>10010095</v>
      </c>
      <c r="B20" s="11">
        <v>1004.1000000000001</v>
      </c>
      <c r="C20">
        <v>42066.850000000006</v>
      </c>
      <c r="H20" s="39"/>
    </row>
    <row r="21" spans="1:8" x14ac:dyDescent="0.25">
      <c r="A21">
        <v>10010097</v>
      </c>
      <c r="B21" s="11">
        <v>4607.6000000000004</v>
      </c>
      <c r="C21">
        <v>178316.71</v>
      </c>
      <c r="H21" s="39"/>
    </row>
    <row r="22" spans="1:8" x14ac:dyDescent="0.25">
      <c r="A22">
        <v>10010099</v>
      </c>
      <c r="B22" s="11">
        <v>780.52</v>
      </c>
      <c r="C22">
        <v>33748.800000000003</v>
      </c>
      <c r="H22" s="39"/>
    </row>
    <row r="23" spans="1:8" x14ac:dyDescent="0.25">
      <c r="A23">
        <v>10010108</v>
      </c>
      <c r="B23" s="11">
        <v>956.09999999999991</v>
      </c>
      <c r="C23">
        <v>34333.040000000001</v>
      </c>
      <c r="H23" s="39"/>
    </row>
    <row r="24" spans="1:8" x14ac:dyDescent="0.25">
      <c r="A24">
        <v>10010109</v>
      </c>
      <c r="B24" s="11">
        <v>1139.5999999999999</v>
      </c>
      <c r="C24">
        <v>39508.1</v>
      </c>
      <c r="H24" s="39"/>
    </row>
    <row r="25" spans="1:8" x14ac:dyDescent="0.25">
      <c r="A25">
        <v>10010113</v>
      </c>
      <c r="B25" s="11">
        <v>3405.2000000000003</v>
      </c>
      <c r="C25">
        <v>137136.07</v>
      </c>
      <c r="H25" s="39"/>
    </row>
    <row r="26" spans="1:8" x14ac:dyDescent="0.25">
      <c r="A26">
        <v>10010121</v>
      </c>
      <c r="B26" s="11">
        <v>5378.7000000000007</v>
      </c>
      <c r="C26">
        <v>207037.88</v>
      </c>
      <c r="H26" s="39"/>
    </row>
    <row r="27" spans="1:8" x14ac:dyDescent="0.25">
      <c r="A27">
        <v>10010125</v>
      </c>
      <c r="B27" s="11">
        <v>1174.5999999999999</v>
      </c>
      <c r="C27">
        <v>50962.270000000004</v>
      </c>
      <c r="H27" s="39"/>
    </row>
    <row r="28" spans="1:8" x14ac:dyDescent="0.25">
      <c r="A28">
        <v>10010128</v>
      </c>
      <c r="B28" s="11">
        <v>3903.3999999999996</v>
      </c>
      <c r="C28">
        <v>167166.49</v>
      </c>
      <c r="H28" s="39"/>
    </row>
    <row r="29" spans="1:8" x14ac:dyDescent="0.25">
      <c r="A29">
        <v>10010129</v>
      </c>
      <c r="B29" s="11">
        <v>3307.2000000000003</v>
      </c>
      <c r="C29">
        <v>139788.43999999997</v>
      </c>
      <c r="H29" s="39"/>
    </row>
    <row r="30" spans="1:8" x14ac:dyDescent="0.25">
      <c r="A30">
        <v>10010130</v>
      </c>
      <c r="B30" s="11">
        <v>1784.9999999999998</v>
      </c>
      <c r="C30">
        <v>65862.27</v>
      </c>
      <c r="H30" s="39"/>
    </row>
    <row r="31" spans="1:8" x14ac:dyDescent="0.25">
      <c r="A31">
        <v>10010131</v>
      </c>
      <c r="B31" s="11">
        <v>2838.7999999999997</v>
      </c>
      <c r="C31">
        <v>107591.78</v>
      </c>
      <c r="H31" s="39"/>
    </row>
    <row r="32" spans="1:8" x14ac:dyDescent="0.25">
      <c r="A32">
        <v>10020002</v>
      </c>
      <c r="B32" s="11">
        <v>9646.5</v>
      </c>
      <c r="C32">
        <v>445239.29</v>
      </c>
      <c r="H32" s="39"/>
    </row>
    <row r="33" spans="1:8" x14ac:dyDescent="0.25">
      <c r="A33">
        <v>10020004</v>
      </c>
      <c r="B33" s="11">
        <v>2196.6000000000004</v>
      </c>
      <c r="C33">
        <v>88368.15</v>
      </c>
      <c r="H33" s="39"/>
    </row>
    <row r="34" spans="1:8" x14ac:dyDescent="0.25">
      <c r="A34">
        <v>10020006</v>
      </c>
      <c r="B34" s="11">
        <v>684.60000000000014</v>
      </c>
      <c r="C34">
        <v>26992.799999999999</v>
      </c>
      <c r="H34" s="39"/>
    </row>
    <row r="35" spans="1:8" x14ac:dyDescent="0.25">
      <c r="A35">
        <v>10020007</v>
      </c>
      <c r="B35" s="11">
        <v>941.80000000000007</v>
      </c>
      <c r="C35">
        <v>38313.509999999995</v>
      </c>
      <c r="H35" s="39"/>
    </row>
    <row r="36" spans="1:8" x14ac:dyDescent="0.25">
      <c r="A36">
        <v>10020008</v>
      </c>
      <c r="B36" s="11">
        <v>5635.1</v>
      </c>
      <c r="C36">
        <v>234286.88</v>
      </c>
      <c r="H36" s="39"/>
    </row>
    <row r="37" spans="1:8" x14ac:dyDescent="0.25">
      <c r="A37">
        <v>10020015</v>
      </c>
      <c r="B37" s="11">
        <v>115041.09999999999</v>
      </c>
      <c r="C37">
        <v>4623990.1399999997</v>
      </c>
      <c r="H37" s="39"/>
    </row>
    <row r="38" spans="1:8" x14ac:dyDescent="0.25">
      <c r="A38">
        <v>10020016</v>
      </c>
      <c r="B38" s="11">
        <v>115487.50000000001</v>
      </c>
      <c r="C38">
        <v>4641678.7399999993</v>
      </c>
      <c r="H38" s="39"/>
    </row>
    <row r="39" spans="1:8" x14ac:dyDescent="0.25">
      <c r="A39">
        <v>10020017</v>
      </c>
      <c r="B39" s="11">
        <v>14908.4</v>
      </c>
      <c r="C39">
        <v>625889.8899999999</v>
      </c>
      <c r="H39" s="39"/>
    </row>
    <row r="40" spans="1:8" x14ac:dyDescent="0.25">
      <c r="A40">
        <v>10020021</v>
      </c>
      <c r="B40" s="11">
        <v>15929.800000000001</v>
      </c>
      <c r="C40">
        <v>695026.33</v>
      </c>
      <c r="H40" s="39"/>
    </row>
    <row r="41" spans="1:8" x14ac:dyDescent="0.25">
      <c r="A41">
        <v>10020023</v>
      </c>
      <c r="B41" s="11">
        <v>3495.8</v>
      </c>
      <c r="C41">
        <v>138826.33000000002</v>
      </c>
      <c r="H41" s="39"/>
    </row>
    <row r="42" spans="1:8" x14ac:dyDescent="0.25">
      <c r="A42">
        <v>10020024</v>
      </c>
      <c r="B42" s="11">
        <v>10845.7</v>
      </c>
      <c r="C42">
        <v>446700.11000000004</v>
      </c>
      <c r="H42" s="39"/>
    </row>
    <row r="43" spans="1:8" x14ac:dyDescent="0.25">
      <c r="A43">
        <v>10020025</v>
      </c>
      <c r="B43" s="11">
        <v>3328.1000000000004</v>
      </c>
      <c r="C43">
        <v>137251.33000000002</v>
      </c>
      <c r="H43" s="39"/>
    </row>
    <row r="44" spans="1:8" x14ac:dyDescent="0.25">
      <c r="A44">
        <v>10020026</v>
      </c>
      <c r="B44" s="11">
        <v>1892.3000000000002</v>
      </c>
      <c r="C44">
        <v>77759.27</v>
      </c>
      <c r="H44" s="39"/>
    </row>
    <row r="45" spans="1:8" x14ac:dyDescent="0.25">
      <c r="A45">
        <v>10020029</v>
      </c>
      <c r="B45" s="11">
        <v>1441.5</v>
      </c>
      <c r="C45">
        <v>58828.259999999995</v>
      </c>
      <c r="H45" s="39"/>
    </row>
    <row r="46" spans="1:8" x14ac:dyDescent="0.25">
      <c r="A46">
        <v>10020032</v>
      </c>
      <c r="B46" s="11">
        <v>5207.8999999999996</v>
      </c>
      <c r="C46">
        <v>233003.64999999997</v>
      </c>
      <c r="H46" s="39"/>
    </row>
    <row r="47" spans="1:8" x14ac:dyDescent="0.25">
      <c r="A47">
        <v>10020034</v>
      </c>
      <c r="B47" s="11">
        <v>3612.5</v>
      </c>
      <c r="C47">
        <v>162884.9</v>
      </c>
      <c r="H47" s="39"/>
    </row>
    <row r="48" spans="1:8" x14ac:dyDescent="0.25">
      <c r="A48">
        <v>10020035</v>
      </c>
      <c r="B48" s="11">
        <v>6870</v>
      </c>
      <c r="C48">
        <v>298991</v>
      </c>
      <c r="H48" s="39"/>
    </row>
    <row r="49" spans="1:8" x14ac:dyDescent="0.25">
      <c r="A49">
        <v>10020038</v>
      </c>
      <c r="B49" s="11">
        <v>2476.9</v>
      </c>
      <c r="C49">
        <v>104139.71999999999</v>
      </c>
      <c r="H49" s="39"/>
    </row>
    <row r="50" spans="1:8" x14ac:dyDescent="0.25">
      <c r="A50">
        <v>10020041</v>
      </c>
      <c r="B50" s="11">
        <v>832.10000000000014</v>
      </c>
      <c r="C50">
        <v>41958.95</v>
      </c>
      <c r="H50" s="39"/>
    </row>
    <row r="51" spans="1:8" x14ac:dyDescent="0.25">
      <c r="A51">
        <v>10020042</v>
      </c>
      <c r="B51" s="11">
        <v>2991.8</v>
      </c>
      <c r="C51">
        <v>114877.9</v>
      </c>
      <c r="H51" s="39"/>
    </row>
    <row r="52" spans="1:8" x14ac:dyDescent="0.25">
      <c r="A52">
        <v>10020043</v>
      </c>
      <c r="B52" s="11">
        <v>3269.5</v>
      </c>
      <c r="C52">
        <v>145426.26999999999</v>
      </c>
      <c r="H52" s="39"/>
    </row>
    <row r="53" spans="1:8" x14ac:dyDescent="0.25">
      <c r="A53">
        <v>10020044</v>
      </c>
      <c r="B53" s="11">
        <v>5171.7999999999993</v>
      </c>
      <c r="C53">
        <v>232499.72999999998</v>
      </c>
      <c r="H53" s="39"/>
    </row>
    <row r="54" spans="1:8" x14ac:dyDescent="0.25">
      <c r="A54">
        <v>10020047</v>
      </c>
      <c r="B54" s="11">
        <v>12531.599999999999</v>
      </c>
      <c r="C54">
        <v>537178.78</v>
      </c>
      <c r="H54" s="39"/>
    </row>
    <row r="55" spans="1:8" x14ac:dyDescent="0.25">
      <c r="A55">
        <v>10020050</v>
      </c>
      <c r="B55" s="11">
        <v>5121.3999999999996</v>
      </c>
      <c r="C55">
        <v>240089.98</v>
      </c>
      <c r="H55" s="39"/>
    </row>
    <row r="56" spans="1:8" x14ac:dyDescent="0.25">
      <c r="A56">
        <v>10020054</v>
      </c>
      <c r="B56" s="11">
        <v>7298.9</v>
      </c>
      <c r="C56">
        <v>315060.40000000002</v>
      </c>
      <c r="H56" s="39"/>
    </row>
    <row r="57" spans="1:8" x14ac:dyDescent="0.25">
      <c r="A57">
        <v>10020057</v>
      </c>
      <c r="B57" s="11">
        <v>10371</v>
      </c>
      <c r="C57">
        <v>487216.09000000008</v>
      </c>
      <c r="H57" s="39"/>
    </row>
    <row r="58" spans="1:8" x14ac:dyDescent="0.25">
      <c r="A58">
        <v>10020058</v>
      </c>
      <c r="B58" s="11">
        <v>2675.6000000000004</v>
      </c>
      <c r="C58">
        <v>113501.68</v>
      </c>
      <c r="H58" s="39"/>
    </row>
    <row r="59" spans="1:8" x14ac:dyDescent="0.25">
      <c r="A59">
        <v>10020059</v>
      </c>
      <c r="B59" s="11">
        <v>4603.8999999999996</v>
      </c>
      <c r="C59">
        <v>199326.13</v>
      </c>
      <c r="H59" s="39"/>
    </row>
    <row r="60" spans="1:8" x14ac:dyDescent="0.25">
      <c r="A60">
        <v>10020062</v>
      </c>
      <c r="B60" s="11">
        <v>974.1</v>
      </c>
      <c r="C60">
        <v>40954.33</v>
      </c>
      <c r="H60" s="39"/>
    </row>
    <row r="61" spans="1:8" x14ac:dyDescent="0.25">
      <c r="A61">
        <v>10020063</v>
      </c>
      <c r="B61" s="11">
        <v>3929.5</v>
      </c>
      <c r="C61">
        <v>180757.10000000003</v>
      </c>
      <c r="H61" s="39"/>
    </row>
    <row r="62" spans="1:8" x14ac:dyDescent="0.25">
      <c r="A62">
        <v>10020064</v>
      </c>
      <c r="B62" s="11">
        <v>2239.6</v>
      </c>
      <c r="C62">
        <v>93575.109999999971</v>
      </c>
      <c r="H62" s="39"/>
    </row>
    <row r="63" spans="1:8" x14ac:dyDescent="0.25">
      <c r="A63">
        <v>10020067</v>
      </c>
      <c r="B63" s="11">
        <v>2566.8000000000002</v>
      </c>
      <c r="C63">
        <v>105856.78999999998</v>
      </c>
      <c r="H63" s="39"/>
    </row>
    <row r="64" spans="1:8" x14ac:dyDescent="0.25">
      <c r="A64">
        <v>10020068</v>
      </c>
      <c r="B64" s="11">
        <v>5869.7</v>
      </c>
      <c r="C64">
        <v>253795.61000000002</v>
      </c>
      <c r="H64" s="39"/>
    </row>
    <row r="65" spans="1:8" x14ac:dyDescent="0.25">
      <c r="A65">
        <v>10020069</v>
      </c>
      <c r="B65" s="11">
        <v>728.19999999999993</v>
      </c>
      <c r="C65">
        <v>31582.78</v>
      </c>
      <c r="H65" s="39"/>
    </row>
    <row r="66" spans="1:8" x14ac:dyDescent="0.25">
      <c r="A66">
        <v>10020070</v>
      </c>
      <c r="B66" s="11">
        <v>3035.2</v>
      </c>
      <c r="C66">
        <v>121081.77000000002</v>
      </c>
      <c r="H66" s="39"/>
    </row>
    <row r="67" spans="1:8" x14ac:dyDescent="0.25">
      <c r="A67">
        <v>10020073</v>
      </c>
      <c r="B67" s="11">
        <v>4010.3999999999996</v>
      </c>
      <c r="C67">
        <v>156744.07</v>
      </c>
      <c r="H67" s="39"/>
    </row>
    <row r="68" spans="1:8" x14ac:dyDescent="0.25">
      <c r="A68">
        <v>10020075</v>
      </c>
      <c r="B68" s="11">
        <v>977.7</v>
      </c>
      <c r="C68">
        <v>44315.44</v>
      </c>
      <c r="H68" s="39"/>
    </row>
    <row r="69" spans="1:8" x14ac:dyDescent="0.25">
      <c r="A69">
        <v>10020077</v>
      </c>
      <c r="B69" s="11">
        <v>1117.5</v>
      </c>
      <c r="C69">
        <v>54943.33</v>
      </c>
      <c r="H69" s="39"/>
    </row>
    <row r="70" spans="1:8" x14ac:dyDescent="0.25">
      <c r="A70">
        <v>10020078</v>
      </c>
      <c r="B70" s="11">
        <v>2125.1999999999998</v>
      </c>
      <c r="C70">
        <v>91984.34</v>
      </c>
      <c r="H70" s="39"/>
    </row>
    <row r="71" spans="1:8" x14ac:dyDescent="0.25">
      <c r="A71">
        <v>10020079</v>
      </c>
      <c r="B71" s="11">
        <v>394.90000000000003</v>
      </c>
      <c r="C71">
        <v>17651.47</v>
      </c>
      <c r="H71" s="39"/>
    </row>
    <row r="72" spans="1:8" x14ac:dyDescent="0.25">
      <c r="A72">
        <v>10030002</v>
      </c>
      <c r="B72" s="11">
        <v>2186.0500000000002</v>
      </c>
      <c r="C72">
        <v>93216.55</v>
      </c>
      <c r="H72" s="39"/>
    </row>
    <row r="73" spans="1:8" x14ac:dyDescent="0.25">
      <c r="A73">
        <v>10030003</v>
      </c>
      <c r="B73" s="11">
        <v>7341.6999999999989</v>
      </c>
      <c r="C73">
        <v>355291.87999999995</v>
      </c>
      <c r="H73" s="39"/>
    </row>
    <row r="74" spans="1:8" x14ac:dyDescent="0.25">
      <c r="A74">
        <v>10030007</v>
      </c>
      <c r="B74" s="11">
        <v>3021.5</v>
      </c>
      <c r="C74">
        <v>92549.31</v>
      </c>
      <c r="H74" s="39"/>
    </row>
    <row r="75" spans="1:8" x14ac:dyDescent="0.25">
      <c r="A75">
        <v>10030009</v>
      </c>
      <c r="B75" s="11">
        <v>45084.25</v>
      </c>
      <c r="C75">
        <v>1889255.0199999998</v>
      </c>
      <c r="H75" s="39"/>
    </row>
    <row r="76" spans="1:8" x14ac:dyDescent="0.25">
      <c r="A76">
        <v>10030010</v>
      </c>
      <c r="B76" s="11">
        <v>963.90000000000009</v>
      </c>
      <c r="C76">
        <v>34739.43</v>
      </c>
      <c r="H76" s="39"/>
    </row>
    <row r="77" spans="1:8" x14ac:dyDescent="0.25">
      <c r="A77">
        <v>10030011</v>
      </c>
      <c r="B77" s="11">
        <v>5989.35</v>
      </c>
      <c r="C77">
        <v>256054.56999999998</v>
      </c>
      <c r="H77" s="39"/>
    </row>
    <row r="78" spans="1:8" x14ac:dyDescent="0.25">
      <c r="A78">
        <v>10030012</v>
      </c>
      <c r="B78" s="11">
        <v>2114</v>
      </c>
      <c r="C78">
        <v>75620.399999999994</v>
      </c>
      <c r="H78" s="39"/>
    </row>
    <row r="79" spans="1:8" x14ac:dyDescent="0.25">
      <c r="A79">
        <v>10030013</v>
      </c>
      <c r="B79" s="11">
        <v>2757.3999999999996</v>
      </c>
      <c r="C79">
        <v>150208.89000000001</v>
      </c>
      <c r="H79" s="39"/>
    </row>
    <row r="80" spans="1:8" x14ac:dyDescent="0.25">
      <c r="A80">
        <v>10030015</v>
      </c>
      <c r="B80" s="11">
        <v>463.59999999999997</v>
      </c>
      <c r="C80">
        <v>18633.830000000002</v>
      </c>
      <c r="H80" s="39"/>
    </row>
    <row r="81" spans="1:8" x14ac:dyDescent="0.25">
      <c r="A81">
        <v>10030016</v>
      </c>
      <c r="B81" s="11">
        <v>5074.9000000000005</v>
      </c>
      <c r="C81">
        <v>222153.31999999998</v>
      </c>
      <c r="H81" s="39"/>
    </row>
    <row r="82" spans="1:8" x14ac:dyDescent="0.25">
      <c r="A82">
        <v>10030017</v>
      </c>
      <c r="B82" s="11">
        <v>5588.2</v>
      </c>
      <c r="C82">
        <v>290877.16000000003</v>
      </c>
      <c r="H82" s="39"/>
    </row>
    <row r="83" spans="1:8" x14ac:dyDescent="0.25">
      <c r="A83">
        <v>10030018</v>
      </c>
      <c r="B83" s="11">
        <v>2936.9500000000003</v>
      </c>
      <c r="C83">
        <v>124484.47</v>
      </c>
      <c r="H83" s="39"/>
    </row>
    <row r="84" spans="1:8" x14ac:dyDescent="0.25">
      <c r="A84">
        <v>10030019</v>
      </c>
      <c r="B84" s="11">
        <v>1511.8</v>
      </c>
      <c r="C84">
        <v>66316.12</v>
      </c>
      <c r="H84" s="39"/>
    </row>
    <row r="85" spans="1:8" x14ac:dyDescent="0.25">
      <c r="A85">
        <v>10030021</v>
      </c>
      <c r="B85" s="11">
        <v>2126.6999999999998</v>
      </c>
      <c r="C85">
        <v>88213.540000000008</v>
      </c>
      <c r="H85" s="39"/>
    </row>
    <row r="86" spans="1:8" x14ac:dyDescent="0.25">
      <c r="A86">
        <v>10030022</v>
      </c>
      <c r="B86" s="11">
        <v>6096.3499999999995</v>
      </c>
      <c r="C86">
        <v>251349.80000000002</v>
      </c>
      <c r="H86" s="39"/>
    </row>
    <row r="87" spans="1:8" x14ac:dyDescent="0.25">
      <c r="A87">
        <v>10030023</v>
      </c>
      <c r="B87" s="11">
        <v>1635.2999999999997</v>
      </c>
      <c r="C87">
        <v>68177.7</v>
      </c>
      <c r="H87" s="39"/>
    </row>
    <row r="88" spans="1:8" x14ac:dyDescent="0.25">
      <c r="A88">
        <v>10030025</v>
      </c>
      <c r="B88" s="11">
        <v>3126.3999999999996</v>
      </c>
      <c r="C88">
        <v>125257.30000000002</v>
      </c>
      <c r="H88" s="39"/>
    </row>
    <row r="89" spans="1:8" x14ac:dyDescent="0.25">
      <c r="A89">
        <v>10030026</v>
      </c>
      <c r="B89" s="11">
        <v>4993.6500000000005</v>
      </c>
      <c r="C89">
        <v>203974.96</v>
      </c>
      <c r="H89" s="39"/>
    </row>
    <row r="90" spans="1:8" x14ac:dyDescent="0.25">
      <c r="A90">
        <v>10030027</v>
      </c>
      <c r="B90" s="11">
        <v>4117.8</v>
      </c>
      <c r="C90">
        <v>161212.20000000001</v>
      </c>
      <c r="H90" s="39"/>
    </row>
    <row r="91" spans="1:8" x14ac:dyDescent="0.25">
      <c r="A91">
        <v>10030028</v>
      </c>
      <c r="B91" s="11">
        <v>4651.2999999999993</v>
      </c>
      <c r="C91">
        <v>196144.64999999997</v>
      </c>
      <c r="H91" s="39"/>
    </row>
    <row r="92" spans="1:8" x14ac:dyDescent="0.25">
      <c r="A92">
        <v>10030031</v>
      </c>
      <c r="B92" s="11">
        <v>3276.55</v>
      </c>
      <c r="C92">
        <v>125951.44</v>
      </c>
      <c r="H92" s="39"/>
    </row>
    <row r="93" spans="1:8" x14ac:dyDescent="0.25">
      <c r="A93">
        <v>10030032</v>
      </c>
      <c r="B93" s="11">
        <v>4995.05</v>
      </c>
      <c r="C93">
        <v>185601.21999999997</v>
      </c>
      <c r="H93" s="39"/>
    </row>
    <row r="94" spans="1:8" x14ac:dyDescent="0.25">
      <c r="A94">
        <v>10030034</v>
      </c>
      <c r="B94" s="11">
        <v>5091.95</v>
      </c>
      <c r="C94">
        <v>220432.74</v>
      </c>
      <c r="H94" s="39"/>
    </row>
    <row r="95" spans="1:8" x14ac:dyDescent="0.25">
      <c r="A95">
        <v>10030035</v>
      </c>
      <c r="B95" s="11">
        <v>2833.6</v>
      </c>
      <c r="C95">
        <v>117932.68999999999</v>
      </c>
      <c r="H95" s="39"/>
    </row>
    <row r="96" spans="1:8" x14ac:dyDescent="0.25">
      <c r="A96">
        <v>10030037</v>
      </c>
      <c r="B96" s="11">
        <v>5988.1</v>
      </c>
      <c r="C96">
        <v>228047.94</v>
      </c>
      <c r="H96" s="39"/>
    </row>
    <row r="97" spans="1:8" x14ac:dyDescent="0.25">
      <c r="A97">
        <v>10030038</v>
      </c>
      <c r="B97" s="11">
        <v>2640.3999999999996</v>
      </c>
      <c r="C97">
        <v>112537.19999999998</v>
      </c>
      <c r="H97" s="39"/>
    </row>
    <row r="98" spans="1:8" x14ac:dyDescent="0.25">
      <c r="A98">
        <v>10030040</v>
      </c>
      <c r="B98" s="11">
        <v>1449.0000000000002</v>
      </c>
      <c r="C98">
        <v>65008.729999999996</v>
      </c>
      <c r="H98" s="39"/>
    </row>
    <row r="99" spans="1:8" x14ac:dyDescent="0.25">
      <c r="A99">
        <v>10030041</v>
      </c>
      <c r="B99" s="11">
        <v>4592.5</v>
      </c>
      <c r="C99">
        <v>184859.13</v>
      </c>
      <c r="H99" s="39"/>
    </row>
    <row r="100" spans="1:8" x14ac:dyDescent="0.25">
      <c r="A100">
        <v>10030042</v>
      </c>
      <c r="B100" s="11">
        <v>1957.7</v>
      </c>
      <c r="C100">
        <v>81694.19</v>
      </c>
      <c r="H100" s="39"/>
    </row>
    <row r="101" spans="1:8" x14ac:dyDescent="0.25">
      <c r="A101">
        <v>10030043</v>
      </c>
      <c r="B101" s="11">
        <v>42075.95</v>
      </c>
      <c r="C101">
        <v>1761671.3299999998</v>
      </c>
      <c r="H101" s="39"/>
    </row>
    <row r="102" spans="1:8" x14ac:dyDescent="0.25">
      <c r="A102">
        <v>10030044</v>
      </c>
      <c r="B102" s="11">
        <v>41380.050000000003</v>
      </c>
      <c r="C102">
        <v>1734327.7299999997</v>
      </c>
      <c r="H102" s="39"/>
    </row>
    <row r="103" spans="1:8" x14ac:dyDescent="0.25">
      <c r="A103">
        <v>10030045</v>
      </c>
      <c r="B103" s="11">
        <v>2845</v>
      </c>
      <c r="C103">
        <v>116681.35999999999</v>
      </c>
      <c r="H103" s="39"/>
    </row>
    <row r="104" spans="1:8" x14ac:dyDescent="0.25">
      <c r="A104">
        <v>10030046</v>
      </c>
      <c r="B104" s="11">
        <v>2178</v>
      </c>
      <c r="C104">
        <v>90479.73</v>
      </c>
      <c r="H104" s="39"/>
    </row>
    <row r="105" spans="1:8" x14ac:dyDescent="0.25">
      <c r="A105">
        <v>10030047</v>
      </c>
      <c r="B105" s="11">
        <v>1957.7</v>
      </c>
      <c r="C105">
        <v>81694.19</v>
      </c>
      <c r="H105" s="39"/>
    </row>
    <row r="106" spans="1:8" x14ac:dyDescent="0.25">
      <c r="A106">
        <v>10030048</v>
      </c>
      <c r="B106" s="11">
        <v>1957.7</v>
      </c>
      <c r="C106">
        <v>81694.19</v>
      </c>
      <c r="H106" s="39"/>
    </row>
    <row r="107" spans="1:8" x14ac:dyDescent="0.25">
      <c r="A107">
        <v>10030050</v>
      </c>
      <c r="B107" s="11">
        <v>2557.3000000000002</v>
      </c>
      <c r="C107">
        <v>92619.7</v>
      </c>
      <c r="H107" s="39"/>
    </row>
    <row r="108" spans="1:8" x14ac:dyDescent="0.25">
      <c r="A108">
        <v>10030051</v>
      </c>
      <c r="B108" s="11">
        <v>15186.7</v>
      </c>
      <c r="C108">
        <v>569166.45000000007</v>
      </c>
      <c r="H108" s="39"/>
    </row>
    <row r="109" spans="1:8" x14ac:dyDescent="0.25">
      <c r="A109">
        <v>10030053</v>
      </c>
      <c r="B109" s="11">
        <v>1097.8500000000001</v>
      </c>
      <c r="C109">
        <v>44176.639999999999</v>
      </c>
      <c r="H109" s="39"/>
    </row>
    <row r="110" spans="1:8" x14ac:dyDescent="0.25">
      <c r="A110">
        <v>10030055</v>
      </c>
      <c r="B110" s="11">
        <v>884.4</v>
      </c>
      <c r="C110">
        <v>37589.360000000001</v>
      </c>
      <c r="H110" s="105"/>
    </row>
    <row r="111" spans="1:8" x14ac:dyDescent="0.25">
      <c r="A111">
        <v>10030056</v>
      </c>
      <c r="B111" s="11">
        <v>800.69999999999993</v>
      </c>
      <c r="C111">
        <v>27836.47</v>
      </c>
      <c r="H111" s="39"/>
    </row>
    <row r="112" spans="1:8" x14ac:dyDescent="0.25">
      <c r="A112">
        <v>10030059</v>
      </c>
      <c r="B112" s="11">
        <v>2798.75</v>
      </c>
      <c r="C112">
        <v>121687.12000000001</v>
      </c>
      <c r="H112" s="39"/>
    </row>
    <row r="113" spans="1:8" x14ac:dyDescent="0.25">
      <c r="A113">
        <v>10030060</v>
      </c>
      <c r="B113" s="11">
        <v>1382.9</v>
      </c>
      <c r="C113">
        <v>49989.29</v>
      </c>
      <c r="H113" s="39"/>
    </row>
    <row r="114" spans="1:8" x14ac:dyDescent="0.25">
      <c r="A114">
        <v>10030061</v>
      </c>
      <c r="B114" s="11">
        <v>1734.5</v>
      </c>
      <c r="C114">
        <v>66776.659999999989</v>
      </c>
      <c r="H114" s="39"/>
    </row>
    <row r="115" spans="1:8" x14ac:dyDescent="0.25">
      <c r="A115">
        <v>10030063</v>
      </c>
      <c r="B115" s="11">
        <v>6883.9500000000007</v>
      </c>
      <c r="C115">
        <v>287054.28999999998</v>
      </c>
      <c r="H115" s="39"/>
    </row>
    <row r="116" spans="1:8" x14ac:dyDescent="0.25">
      <c r="A116">
        <v>10030064</v>
      </c>
      <c r="B116" s="11">
        <v>4757.3999999999996</v>
      </c>
      <c r="C116">
        <v>195398.89</v>
      </c>
      <c r="H116" s="39"/>
    </row>
    <row r="117" spans="1:8" x14ac:dyDescent="0.25">
      <c r="A117">
        <v>10030065</v>
      </c>
      <c r="B117" s="11">
        <v>1242.5500000000002</v>
      </c>
      <c r="C117">
        <v>48028.900000000009</v>
      </c>
      <c r="H117" s="39"/>
    </row>
    <row r="118" spans="1:8" x14ac:dyDescent="0.25">
      <c r="A118">
        <v>10030066</v>
      </c>
      <c r="B118" s="11">
        <v>14286.800000000001</v>
      </c>
      <c r="C118">
        <v>626488.30999999994</v>
      </c>
      <c r="H118" s="39"/>
    </row>
    <row r="119" spans="1:8" x14ac:dyDescent="0.25">
      <c r="A119">
        <v>10030069</v>
      </c>
      <c r="B119" s="11">
        <v>4211.0499999999993</v>
      </c>
      <c r="C119">
        <v>149377.22</v>
      </c>
      <c r="H119" s="39"/>
    </row>
    <row r="120" spans="1:8" x14ac:dyDescent="0.25">
      <c r="A120">
        <v>10030070</v>
      </c>
      <c r="B120" s="11">
        <v>2797.75</v>
      </c>
      <c r="C120">
        <v>120901.31</v>
      </c>
      <c r="H120" s="39"/>
    </row>
    <row r="121" spans="1:8" x14ac:dyDescent="0.25">
      <c r="A121">
        <v>10030071</v>
      </c>
      <c r="B121" s="11">
        <v>941.2</v>
      </c>
      <c r="C121">
        <v>41183.08</v>
      </c>
      <c r="H121" s="39"/>
    </row>
    <row r="122" spans="1:8" x14ac:dyDescent="0.25">
      <c r="A122">
        <v>10030072</v>
      </c>
      <c r="B122" s="11">
        <v>5082.8</v>
      </c>
      <c r="C122">
        <v>208070.96999999997</v>
      </c>
      <c r="H122" s="39"/>
    </row>
    <row r="123" spans="1:8" x14ac:dyDescent="0.25">
      <c r="A123">
        <v>10030075</v>
      </c>
      <c r="B123" s="11">
        <v>2043</v>
      </c>
      <c r="C123">
        <v>91591.800000000017</v>
      </c>
      <c r="H123" s="39"/>
    </row>
    <row r="124" spans="1:8" x14ac:dyDescent="0.25">
      <c r="A124">
        <v>10060002</v>
      </c>
      <c r="B124" s="11">
        <v>4422.8999999999996</v>
      </c>
      <c r="C124">
        <v>187004.81999999998</v>
      </c>
      <c r="H124" s="39"/>
    </row>
    <row r="125" spans="1:8" x14ac:dyDescent="0.25">
      <c r="A125">
        <v>10060003</v>
      </c>
      <c r="B125" s="11">
        <v>6816.4</v>
      </c>
      <c r="C125">
        <v>276214.2</v>
      </c>
      <c r="H125" s="39"/>
    </row>
    <row r="126" spans="1:8" x14ac:dyDescent="0.25">
      <c r="A126">
        <v>10060004</v>
      </c>
      <c r="B126" s="11">
        <v>10780.6</v>
      </c>
      <c r="C126">
        <v>436483.83</v>
      </c>
      <c r="H126" s="39"/>
    </row>
    <row r="127" spans="1:8" x14ac:dyDescent="0.25">
      <c r="A127">
        <v>10060005</v>
      </c>
      <c r="B127" s="11">
        <v>3231.7999999999997</v>
      </c>
      <c r="C127">
        <v>135306.63999999998</v>
      </c>
      <c r="H127" s="39"/>
    </row>
    <row r="128" spans="1:8" x14ac:dyDescent="0.25">
      <c r="A128">
        <v>10060007</v>
      </c>
      <c r="B128" s="11">
        <v>2910.2000000000003</v>
      </c>
      <c r="C128">
        <v>109937.47</v>
      </c>
      <c r="H128" s="39"/>
    </row>
    <row r="129" spans="1:8" x14ac:dyDescent="0.25">
      <c r="A129">
        <v>10060008</v>
      </c>
      <c r="B129" s="11">
        <v>1807.6000000000001</v>
      </c>
      <c r="C129">
        <v>73347.790000000008</v>
      </c>
      <c r="H129" s="39"/>
    </row>
    <row r="130" spans="1:8" x14ac:dyDescent="0.25">
      <c r="A130">
        <v>10060009</v>
      </c>
      <c r="B130" s="11">
        <v>5209.7999999999993</v>
      </c>
      <c r="C130">
        <v>228007.47999999998</v>
      </c>
      <c r="H130" s="39"/>
    </row>
    <row r="131" spans="1:8" x14ac:dyDescent="0.25">
      <c r="A131">
        <v>10060010</v>
      </c>
      <c r="B131" s="11">
        <v>8055</v>
      </c>
      <c r="C131">
        <v>345358.96</v>
      </c>
      <c r="H131" s="39"/>
    </row>
    <row r="132" spans="1:8" x14ac:dyDescent="0.25">
      <c r="A132">
        <v>10060011</v>
      </c>
      <c r="B132" s="11">
        <v>2123.3000000000002</v>
      </c>
      <c r="C132">
        <v>103906.62</v>
      </c>
      <c r="H132" s="39"/>
    </row>
    <row r="133" spans="1:8" x14ac:dyDescent="0.25">
      <c r="A133">
        <v>10060014</v>
      </c>
      <c r="B133" s="11">
        <v>1626.1000000000001</v>
      </c>
      <c r="C133">
        <v>61160.92</v>
      </c>
      <c r="H133" s="39"/>
    </row>
    <row r="134" spans="1:8" x14ac:dyDescent="0.25">
      <c r="A134">
        <v>10060015</v>
      </c>
      <c r="B134" s="11">
        <v>674.69999999999993</v>
      </c>
      <c r="C134">
        <v>30078.03</v>
      </c>
      <c r="H134" s="39"/>
    </row>
    <row r="135" spans="1:8" x14ac:dyDescent="0.25">
      <c r="A135">
        <v>10060020</v>
      </c>
      <c r="B135" s="11">
        <v>5009.1000000000004</v>
      </c>
      <c r="C135">
        <v>191644.6</v>
      </c>
      <c r="H135" s="39"/>
    </row>
    <row r="136" spans="1:8" x14ac:dyDescent="0.25">
      <c r="A136">
        <v>10060021</v>
      </c>
      <c r="B136" s="11">
        <v>8743.1</v>
      </c>
      <c r="C136">
        <v>375948.04</v>
      </c>
      <c r="H136" s="39"/>
    </row>
    <row r="137" spans="1:8" x14ac:dyDescent="0.25">
      <c r="A137">
        <v>10060022</v>
      </c>
      <c r="B137" s="11">
        <v>3439.2</v>
      </c>
      <c r="C137">
        <v>133282.44</v>
      </c>
      <c r="H137" s="39"/>
    </row>
    <row r="138" spans="1:8" x14ac:dyDescent="0.25">
      <c r="A138">
        <v>10060023</v>
      </c>
      <c r="B138" s="11">
        <v>562.5</v>
      </c>
      <c r="C138">
        <v>25337.43</v>
      </c>
      <c r="H138" s="39"/>
    </row>
    <row r="139" spans="1:8" x14ac:dyDescent="0.25">
      <c r="A139">
        <v>10060026</v>
      </c>
      <c r="B139" s="11">
        <v>3467.7</v>
      </c>
      <c r="C139">
        <v>184110.15</v>
      </c>
      <c r="H139" s="39"/>
    </row>
    <row r="140" spans="1:8" x14ac:dyDescent="0.25">
      <c r="A140">
        <v>10060027</v>
      </c>
      <c r="B140" s="11">
        <v>6678.2</v>
      </c>
      <c r="C140">
        <v>298163.42</v>
      </c>
      <c r="H140" s="39"/>
    </row>
    <row r="141" spans="1:8" x14ac:dyDescent="0.25">
      <c r="A141">
        <v>10060028</v>
      </c>
      <c r="B141" s="11">
        <v>1420.3999999999999</v>
      </c>
      <c r="C141">
        <v>54040.62</v>
      </c>
      <c r="H141" s="39"/>
    </row>
    <row r="142" spans="1:8" x14ac:dyDescent="0.25">
      <c r="A142">
        <v>10060029</v>
      </c>
      <c r="B142" s="11">
        <v>9644.5999999999985</v>
      </c>
      <c r="C142">
        <v>476958.01000000013</v>
      </c>
      <c r="H142" s="39"/>
    </row>
    <row r="143" spans="1:8" x14ac:dyDescent="0.25">
      <c r="A143">
        <v>10060031</v>
      </c>
      <c r="B143" s="11">
        <v>1791.7999999999997</v>
      </c>
      <c r="C143">
        <v>76883.740000000005</v>
      </c>
      <c r="H143" s="39"/>
    </row>
    <row r="144" spans="1:8" x14ac:dyDescent="0.25">
      <c r="A144">
        <v>10060032</v>
      </c>
      <c r="B144" s="11">
        <v>13754.800000000001</v>
      </c>
      <c r="C144">
        <v>743090.58</v>
      </c>
      <c r="H144" s="39"/>
    </row>
    <row r="145" spans="1:8" x14ac:dyDescent="0.25">
      <c r="A145">
        <v>10060041</v>
      </c>
      <c r="B145" s="11">
        <v>937.3</v>
      </c>
      <c r="C145">
        <v>37664.980000000003</v>
      </c>
      <c r="H145" s="39"/>
    </row>
    <row r="146" spans="1:8" x14ac:dyDescent="0.25">
      <c r="A146">
        <v>10060049</v>
      </c>
      <c r="B146" s="11">
        <v>3173.9</v>
      </c>
      <c r="C146">
        <v>150681.56</v>
      </c>
      <c r="H146" s="39"/>
    </row>
    <row r="147" spans="1:8" x14ac:dyDescent="0.25">
      <c r="A147">
        <v>10060050</v>
      </c>
      <c r="B147" s="11">
        <v>2866.7000000000003</v>
      </c>
      <c r="C147">
        <v>136724.21000000002</v>
      </c>
      <c r="H147" s="39"/>
    </row>
    <row r="148" spans="1:8" x14ac:dyDescent="0.25">
      <c r="A148">
        <v>10060058</v>
      </c>
      <c r="B148" s="11">
        <v>1676.5</v>
      </c>
      <c r="C148">
        <v>67025.510000000009</v>
      </c>
      <c r="H148" s="39"/>
    </row>
    <row r="149" spans="1:8" x14ac:dyDescent="0.25">
      <c r="A149">
        <v>10060062</v>
      </c>
      <c r="B149" s="11">
        <v>1273</v>
      </c>
      <c r="C149">
        <v>54187.22</v>
      </c>
      <c r="H149" s="39"/>
    </row>
    <row r="150" spans="1:8" x14ac:dyDescent="0.25">
      <c r="A150">
        <v>10060069</v>
      </c>
      <c r="B150" s="11">
        <v>1121.4000000000001</v>
      </c>
      <c r="C150">
        <v>53643.1</v>
      </c>
      <c r="H150" s="39"/>
    </row>
    <row r="151" spans="1:8" x14ac:dyDescent="0.25">
      <c r="A151">
        <v>10060074</v>
      </c>
      <c r="B151" s="11">
        <v>1433.21</v>
      </c>
      <c r="C151">
        <v>64490.91</v>
      </c>
      <c r="H151" s="39"/>
    </row>
    <row r="152" spans="1:8" x14ac:dyDescent="0.25">
      <c r="A152">
        <v>10060077</v>
      </c>
      <c r="B152" s="11">
        <v>5911.5</v>
      </c>
      <c r="C152">
        <v>255729.14000000004</v>
      </c>
      <c r="H152" s="39"/>
    </row>
    <row r="153" spans="1:8" x14ac:dyDescent="0.25">
      <c r="A153">
        <v>10060083</v>
      </c>
      <c r="B153" s="11">
        <v>8326.4000000000015</v>
      </c>
      <c r="C153">
        <v>335201.19</v>
      </c>
      <c r="H153" s="39"/>
    </row>
    <row r="154" spans="1:8" x14ac:dyDescent="0.25">
      <c r="A154">
        <v>10060090</v>
      </c>
      <c r="B154" s="11">
        <v>2517.1</v>
      </c>
      <c r="C154">
        <v>120154.15</v>
      </c>
      <c r="H154" s="39"/>
    </row>
    <row r="155" spans="1:8" x14ac:dyDescent="0.25">
      <c r="A155">
        <v>10060096</v>
      </c>
      <c r="B155" s="11">
        <v>2873.2</v>
      </c>
      <c r="C155">
        <v>111515.96999999999</v>
      </c>
      <c r="H155" s="39"/>
    </row>
    <row r="156" spans="1:8" x14ac:dyDescent="0.25">
      <c r="A156">
        <v>10060097</v>
      </c>
      <c r="B156" s="11">
        <v>3656</v>
      </c>
      <c r="C156">
        <v>149591.45000000001</v>
      </c>
      <c r="H156" s="39"/>
    </row>
    <row r="157" spans="1:8" x14ac:dyDescent="0.25">
      <c r="A157">
        <v>10060098</v>
      </c>
      <c r="B157" s="11">
        <v>6604.3</v>
      </c>
      <c r="C157">
        <v>301635.54000000004</v>
      </c>
      <c r="H157" s="39"/>
    </row>
    <row r="158" spans="1:8" x14ac:dyDescent="0.25">
      <c r="A158">
        <v>10060104</v>
      </c>
      <c r="B158" s="11">
        <v>6978.3</v>
      </c>
      <c r="C158">
        <v>263220.58999999997</v>
      </c>
      <c r="H158" s="39"/>
    </row>
    <row r="159" spans="1:8" x14ac:dyDescent="0.25">
      <c r="A159">
        <v>10060107</v>
      </c>
      <c r="B159" s="11">
        <v>4148.2999999999993</v>
      </c>
      <c r="C159">
        <v>168763.06</v>
      </c>
      <c r="H159" s="39"/>
    </row>
    <row r="160" spans="1:8" x14ac:dyDescent="0.25">
      <c r="A160">
        <v>10060110</v>
      </c>
      <c r="B160" s="11">
        <v>1956.5</v>
      </c>
      <c r="C160">
        <v>82689.97</v>
      </c>
      <c r="H160" s="39"/>
    </row>
    <row r="161" spans="1:8" x14ac:dyDescent="0.25">
      <c r="A161">
        <v>10060111</v>
      </c>
      <c r="B161" s="11">
        <v>1635.9</v>
      </c>
      <c r="C161">
        <v>70079.98</v>
      </c>
      <c r="H161" s="39"/>
    </row>
    <row r="162" spans="1:8" x14ac:dyDescent="0.25">
      <c r="A162">
        <v>10060113</v>
      </c>
      <c r="B162" s="11">
        <v>3454.8</v>
      </c>
      <c r="C162">
        <v>139723.88</v>
      </c>
      <c r="H162" s="39"/>
    </row>
    <row r="163" spans="1:8" x14ac:dyDescent="0.25">
      <c r="A163">
        <v>10060114</v>
      </c>
      <c r="B163" s="11">
        <v>947.69999999999993</v>
      </c>
      <c r="C163">
        <v>43331.5</v>
      </c>
      <c r="H163" s="39"/>
    </row>
    <row r="164" spans="1:8" x14ac:dyDescent="0.25">
      <c r="A164">
        <v>10070002</v>
      </c>
      <c r="B164" s="11">
        <v>18369.3</v>
      </c>
      <c r="C164">
        <v>733459.77</v>
      </c>
      <c r="H164" s="39"/>
    </row>
    <row r="165" spans="1:8" x14ac:dyDescent="0.25">
      <c r="A165">
        <v>10070003</v>
      </c>
      <c r="B165" s="11">
        <v>3467</v>
      </c>
      <c r="C165">
        <v>121759.16000000002</v>
      </c>
      <c r="H165" s="39"/>
    </row>
    <row r="166" spans="1:8" x14ac:dyDescent="0.25">
      <c r="A166">
        <v>10070004</v>
      </c>
      <c r="B166" s="11">
        <v>382.88</v>
      </c>
      <c r="C166">
        <v>12945.61</v>
      </c>
      <c r="H166" s="39"/>
    </row>
    <row r="167" spans="1:8" x14ac:dyDescent="0.25">
      <c r="A167">
        <v>10070008</v>
      </c>
      <c r="B167" s="11">
        <v>1481.38</v>
      </c>
      <c r="C167">
        <v>52778.80999999999</v>
      </c>
      <c r="H167" s="39"/>
    </row>
    <row r="168" spans="1:8" x14ac:dyDescent="0.25">
      <c r="A168">
        <v>10070013</v>
      </c>
      <c r="B168" s="11">
        <v>867.40000000000009</v>
      </c>
      <c r="C168">
        <v>35528.210000000006</v>
      </c>
      <c r="H168" s="39"/>
    </row>
    <row r="169" spans="1:8" x14ac:dyDescent="0.25">
      <c r="A169">
        <v>10070016</v>
      </c>
      <c r="B169" s="11">
        <v>851.3</v>
      </c>
      <c r="C169">
        <v>35024.49</v>
      </c>
      <c r="H169" s="39"/>
    </row>
    <row r="170" spans="1:8" x14ac:dyDescent="0.25">
      <c r="A170">
        <v>10070018</v>
      </c>
      <c r="B170" s="11">
        <v>46801.700000000004</v>
      </c>
      <c r="C170">
        <v>1844809.8199999998</v>
      </c>
      <c r="H170" s="39"/>
    </row>
    <row r="171" spans="1:8" x14ac:dyDescent="0.25">
      <c r="A171">
        <v>10070019</v>
      </c>
      <c r="B171" s="11">
        <v>28144.399999999998</v>
      </c>
      <c r="C171">
        <v>1100640.44</v>
      </c>
      <c r="H171" s="39"/>
    </row>
    <row r="172" spans="1:8" x14ac:dyDescent="0.25">
      <c r="A172">
        <v>10070020</v>
      </c>
      <c r="B172" s="11">
        <v>22444.6</v>
      </c>
      <c r="C172">
        <v>863148.51</v>
      </c>
      <c r="H172" s="39"/>
    </row>
    <row r="173" spans="1:8" x14ac:dyDescent="0.25">
      <c r="A173">
        <v>10070024</v>
      </c>
      <c r="B173" s="11">
        <v>2802.0999999999995</v>
      </c>
      <c r="C173">
        <v>108786.02000000002</v>
      </c>
      <c r="H173" s="39"/>
    </row>
    <row r="174" spans="1:8" x14ac:dyDescent="0.25">
      <c r="A174">
        <v>10070026</v>
      </c>
      <c r="B174" s="11">
        <v>17666.7</v>
      </c>
      <c r="C174">
        <v>673163.77</v>
      </c>
      <c r="H174" s="39"/>
    </row>
    <row r="175" spans="1:8" x14ac:dyDescent="0.25">
      <c r="A175">
        <v>10070033</v>
      </c>
      <c r="B175" s="11">
        <v>1746.1</v>
      </c>
      <c r="C175">
        <v>91466.739999999991</v>
      </c>
      <c r="H175" s="39"/>
    </row>
    <row r="176" spans="1:8" x14ac:dyDescent="0.25">
      <c r="A176">
        <v>10070039</v>
      </c>
      <c r="B176" s="11">
        <v>551.33999999999992</v>
      </c>
      <c r="C176">
        <v>18924.84</v>
      </c>
      <c r="H176" s="39"/>
    </row>
    <row r="177" spans="1:8" x14ac:dyDescent="0.25">
      <c r="A177">
        <v>10070042</v>
      </c>
      <c r="B177" s="11">
        <v>867.2</v>
      </c>
      <c r="C177">
        <v>35153.9</v>
      </c>
      <c r="H177" s="39"/>
    </row>
    <row r="178" spans="1:8" x14ac:dyDescent="0.25">
      <c r="A178">
        <v>10070043</v>
      </c>
      <c r="B178" s="11">
        <v>54401.5</v>
      </c>
      <c r="C178">
        <v>2162238.38</v>
      </c>
      <c r="H178" s="39"/>
    </row>
    <row r="179" spans="1:8" x14ac:dyDescent="0.25">
      <c r="A179">
        <v>10070045</v>
      </c>
      <c r="B179" s="11">
        <v>266.3</v>
      </c>
      <c r="C179">
        <v>10271.959999999999</v>
      </c>
      <c r="H179" s="39"/>
    </row>
    <row r="180" spans="1:8" x14ac:dyDescent="0.25">
      <c r="A180">
        <v>10070046</v>
      </c>
      <c r="B180" s="11">
        <v>6211.4199999999992</v>
      </c>
      <c r="C180">
        <v>246211.91999999998</v>
      </c>
      <c r="H180" s="39"/>
    </row>
    <row r="181" spans="1:8" x14ac:dyDescent="0.25">
      <c r="A181">
        <v>10070048</v>
      </c>
      <c r="B181" s="11">
        <v>6525.4000000000005</v>
      </c>
      <c r="C181">
        <v>262213.27999999997</v>
      </c>
      <c r="H181" s="39"/>
    </row>
    <row r="182" spans="1:8" x14ac:dyDescent="0.25">
      <c r="A182">
        <v>10070056</v>
      </c>
      <c r="B182" s="11">
        <v>832.33999999999992</v>
      </c>
      <c r="C182">
        <v>35021.020000000004</v>
      </c>
      <c r="H182" s="39"/>
    </row>
    <row r="183" spans="1:8" x14ac:dyDescent="0.25">
      <c r="A183">
        <v>10070059</v>
      </c>
      <c r="B183" s="11">
        <v>2679</v>
      </c>
      <c r="C183">
        <v>105285.48999999999</v>
      </c>
      <c r="H183" s="39"/>
    </row>
    <row r="184" spans="1:8" x14ac:dyDescent="0.25">
      <c r="A184">
        <v>10070061</v>
      </c>
      <c r="B184" s="11">
        <v>1163.5</v>
      </c>
      <c r="C184">
        <v>43609.569999999992</v>
      </c>
      <c r="H184" s="39"/>
    </row>
    <row r="185" spans="1:8" x14ac:dyDescent="0.25">
      <c r="A185">
        <v>10070063</v>
      </c>
      <c r="B185" s="11">
        <v>1241</v>
      </c>
      <c r="C185">
        <v>48858.9</v>
      </c>
      <c r="H185" s="39"/>
    </row>
    <row r="186" spans="1:8" x14ac:dyDescent="0.25">
      <c r="A186">
        <v>10070064</v>
      </c>
      <c r="B186" s="11">
        <v>3035</v>
      </c>
      <c r="C186">
        <v>124354.64</v>
      </c>
      <c r="H186" s="39"/>
    </row>
    <row r="187" spans="1:8" x14ac:dyDescent="0.25">
      <c r="A187">
        <v>10070074</v>
      </c>
      <c r="B187" s="11">
        <v>1323.5</v>
      </c>
      <c r="C187">
        <v>49540.75</v>
      </c>
      <c r="H187" s="39"/>
    </row>
    <row r="188" spans="1:8" x14ac:dyDescent="0.25">
      <c r="A188">
        <v>10080001</v>
      </c>
      <c r="B188" s="11">
        <v>2960.6000000000004</v>
      </c>
      <c r="C188">
        <v>116687.18000000001</v>
      </c>
      <c r="H188" s="39"/>
    </row>
    <row r="189" spans="1:8" x14ac:dyDescent="0.25">
      <c r="A189">
        <v>10080002</v>
      </c>
      <c r="B189" s="11">
        <v>1240.2</v>
      </c>
      <c r="C189">
        <v>46088.39</v>
      </c>
      <c r="H189" s="39"/>
    </row>
    <row r="190" spans="1:8" x14ac:dyDescent="0.25">
      <c r="A190">
        <v>10080003</v>
      </c>
      <c r="B190" s="11">
        <v>94.399999999999991</v>
      </c>
      <c r="C190">
        <v>3353.3199999999997</v>
      </c>
      <c r="H190" s="39"/>
    </row>
    <row r="191" spans="1:8" x14ac:dyDescent="0.25">
      <c r="A191">
        <v>10080004</v>
      </c>
      <c r="B191" s="11">
        <v>65.05</v>
      </c>
      <c r="C191">
        <v>2498.7000000000003</v>
      </c>
      <c r="H191" s="39"/>
    </row>
    <row r="192" spans="1:8" x14ac:dyDescent="0.25">
      <c r="A192">
        <v>10080006</v>
      </c>
      <c r="B192" s="11">
        <v>1216.4999999999998</v>
      </c>
      <c r="C192">
        <v>44624.99</v>
      </c>
      <c r="H192" s="39"/>
    </row>
    <row r="193" spans="1:8" x14ac:dyDescent="0.25">
      <c r="A193">
        <v>10080007</v>
      </c>
      <c r="B193" s="11">
        <v>2695.75</v>
      </c>
      <c r="C193">
        <v>98406.61</v>
      </c>
      <c r="H193" s="39"/>
    </row>
    <row r="194" spans="1:8" x14ac:dyDescent="0.25">
      <c r="A194">
        <v>10080013</v>
      </c>
      <c r="B194" s="11">
        <v>1591.15</v>
      </c>
      <c r="C194">
        <v>64951.76</v>
      </c>
      <c r="H194" s="39"/>
    </row>
    <row r="195" spans="1:8" x14ac:dyDescent="0.25">
      <c r="A195">
        <v>10080014</v>
      </c>
      <c r="B195" s="11">
        <v>1415.6499999999999</v>
      </c>
      <c r="C195">
        <v>58021.819999999992</v>
      </c>
      <c r="H195" s="39"/>
    </row>
    <row r="196" spans="1:8" x14ac:dyDescent="0.25">
      <c r="A196">
        <v>10080015</v>
      </c>
      <c r="B196" s="11">
        <v>4619.3999999999996</v>
      </c>
      <c r="C196">
        <v>169208.86</v>
      </c>
      <c r="H196" s="39"/>
    </row>
    <row r="197" spans="1:8" x14ac:dyDescent="0.25">
      <c r="A197">
        <v>10080016</v>
      </c>
      <c r="B197" s="11">
        <v>484.95000000000005</v>
      </c>
      <c r="C197">
        <v>18224.089999999997</v>
      </c>
      <c r="H197" s="39"/>
    </row>
    <row r="198" spans="1:8" x14ac:dyDescent="0.25">
      <c r="A198">
        <v>10080022</v>
      </c>
      <c r="B198" s="11">
        <v>788.3</v>
      </c>
      <c r="C198">
        <v>35289.46</v>
      </c>
      <c r="H198" s="39"/>
    </row>
    <row r="199" spans="1:8" x14ac:dyDescent="0.25">
      <c r="A199">
        <v>10080024</v>
      </c>
      <c r="B199" s="11">
        <v>14629.900000000001</v>
      </c>
      <c r="C199">
        <v>584454.76</v>
      </c>
      <c r="H199" s="39"/>
    </row>
    <row r="200" spans="1:8" x14ac:dyDescent="0.25">
      <c r="A200">
        <v>10080025</v>
      </c>
      <c r="B200" s="11">
        <v>3250.7</v>
      </c>
      <c r="C200">
        <v>117638.29999999999</v>
      </c>
      <c r="H200" s="39"/>
    </row>
    <row r="201" spans="1:8" x14ac:dyDescent="0.25">
      <c r="A201">
        <v>10080032</v>
      </c>
      <c r="B201" s="11">
        <v>876.8</v>
      </c>
      <c r="C201">
        <v>39175.03</v>
      </c>
      <c r="H201" s="39"/>
    </row>
    <row r="202" spans="1:8" x14ac:dyDescent="0.25">
      <c r="A202">
        <v>10080039</v>
      </c>
      <c r="B202" s="11">
        <v>32251.050000000003</v>
      </c>
      <c r="C202">
        <v>1242394.93</v>
      </c>
      <c r="H202" s="39"/>
    </row>
    <row r="203" spans="1:8" x14ac:dyDescent="0.25">
      <c r="A203">
        <v>10080040</v>
      </c>
      <c r="B203" s="11">
        <v>3165.6000000000004</v>
      </c>
      <c r="C203">
        <v>129705.69999999998</v>
      </c>
      <c r="H203" s="39"/>
    </row>
    <row r="204" spans="1:8" x14ac:dyDescent="0.25">
      <c r="A204">
        <v>10080048</v>
      </c>
      <c r="B204" s="11">
        <v>1031.0500000000002</v>
      </c>
      <c r="C204">
        <v>46580.329999999987</v>
      </c>
      <c r="H204" s="39"/>
    </row>
    <row r="205" spans="1:8" x14ac:dyDescent="0.25">
      <c r="A205">
        <v>10080052</v>
      </c>
      <c r="B205" s="11">
        <v>2033.75</v>
      </c>
      <c r="C205">
        <v>79807.97</v>
      </c>
      <c r="H205" s="39"/>
    </row>
    <row r="206" spans="1:8" x14ac:dyDescent="0.25">
      <c r="A206">
        <v>10080053</v>
      </c>
      <c r="B206" s="11">
        <v>266.95</v>
      </c>
      <c r="C206">
        <v>10230.480000000001</v>
      </c>
      <c r="H206" s="39"/>
    </row>
    <row r="207" spans="1:8" x14ac:dyDescent="0.25">
      <c r="A207">
        <v>10080054</v>
      </c>
      <c r="B207" s="11">
        <v>4514.0499999999993</v>
      </c>
      <c r="C207">
        <v>170179.97999999998</v>
      </c>
      <c r="H207" s="39"/>
    </row>
    <row r="208" spans="1:8" x14ac:dyDescent="0.25">
      <c r="A208">
        <v>10080055</v>
      </c>
      <c r="B208" s="11">
        <v>1973.3000000000002</v>
      </c>
      <c r="C208">
        <v>75221</v>
      </c>
      <c r="H208" s="39"/>
    </row>
    <row r="209" spans="1:8" x14ac:dyDescent="0.25">
      <c r="A209">
        <v>10080061</v>
      </c>
      <c r="B209" s="11">
        <v>1016.3</v>
      </c>
      <c r="C209">
        <v>36449.199999999997</v>
      </c>
      <c r="H209" s="39"/>
    </row>
    <row r="210" spans="1:8" x14ac:dyDescent="0.25">
      <c r="A210">
        <v>10080067</v>
      </c>
      <c r="B210" s="11">
        <v>474.35</v>
      </c>
      <c r="C210">
        <v>19828.180000000004</v>
      </c>
      <c r="H210" s="39"/>
    </row>
    <row r="211" spans="1:8" x14ac:dyDescent="0.25">
      <c r="A211">
        <v>10080076</v>
      </c>
      <c r="B211" s="11">
        <v>1083.75</v>
      </c>
      <c r="C211">
        <v>41126.759999999995</v>
      </c>
      <c r="H211" s="39"/>
    </row>
    <row r="212" spans="1:8" x14ac:dyDescent="0.25">
      <c r="A212">
        <v>10080077</v>
      </c>
      <c r="B212" s="11">
        <v>702.05</v>
      </c>
      <c r="C212">
        <v>26495.07</v>
      </c>
      <c r="H212" s="39"/>
    </row>
    <row r="213" spans="1:8" x14ac:dyDescent="0.25">
      <c r="A213">
        <v>10080078</v>
      </c>
      <c r="B213" s="11">
        <v>203.9</v>
      </c>
      <c r="C213">
        <v>7722.1299999999992</v>
      </c>
      <c r="H213" s="39"/>
    </row>
    <row r="214" spans="1:8" x14ac:dyDescent="0.25">
      <c r="A214">
        <v>10080079</v>
      </c>
      <c r="B214" s="11">
        <v>89.75</v>
      </c>
      <c r="C214">
        <v>3704.17</v>
      </c>
      <c r="H214" s="39"/>
    </row>
    <row r="215" spans="1:8" x14ac:dyDescent="0.25">
      <c r="A215">
        <v>10080080</v>
      </c>
      <c r="B215" s="11">
        <v>1365.6499999999999</v>
      </c>
      <c r="C215">
        <v>51284.42</v>
      </c>
      <c r="H215" s="39"/>
    </row>
    <row r="216" spans="1:8" x14ac:dyDescent="0.25">
      <c r="A216">
        <v>10080082</v>
      </c>
      <c r="B216" s="11">
        <v>63.2</v>
      </c>
      <c r="C216">
        <v>2541.4700000000003</v>
      </c>
      <c r="H216" s="39"/>
    </row>
    <row r="217" spans="1:8" x14ac:dyDescent="0.25">
      <c r="A217">
        <v>10080083</v>
      </c>
      <c r="B217" s="11">
        <v>1201.75</v>
      </c>
      <c r="C217">
        <v>43822.869999999995</v>
      </c>
      <c r="H217" s="39"/>
    </row>
    <row r="218" spans="1:8" x14ac:dyDescent="0.25">
      <c r="A218">
        <v>10080086</v>
      </c>
      <c r="B218" s="11">
        <v>786.85</v>
      </c>
      <c r="C218">
        <v>30354.78</v>
      </c>
      <c r="H218" s="39"/>
    </row>
    <row r="219" spans="1:8" x14ac:dyDescent="0.25">
      <c r="A219">
        <v>10080087</v>
      </c>
      <c r="B219" s="11">
        <v>2354.7000000000003</v>
      </c>
      <c r="C219">
        <v>95390.040000000008</v>
      </c>
      <c r="H219" s="39"/>
    </row>
    <row r="220" spans="1:8" x14ac:dyDescent="0.25">
      <c r="A220">
        <v>10080088</v>
      </c>
      <c r="B220" s="11">
        <v>2728.6500000000005</v>
      </c>
      <c r="C220">
        <v>96982.84</v>
      </c>
      <c r="H220" s="39"/>
    </row>
    <row r="221" spans="1:8" x14ac:dyDescent="0.25">
      <c r="A221">
        <v>10080090</v>
      </c>
      <c r="B221" s="11">
        <v>920.05</v>
      </c>
      <c r="C221">
        <v>35435.519999999997</v>
      </c>
      <c r="H221" s="39"/>
    </row>
    <row r="222" spans="1:8" x14ac:dyDescent="0.25">
      <c r="A222">
        <v>10080093</v>
      </c>
      <c r="B222" s="11">
        <v>1515</v>
      </c>
      <c r="C222">
        <v>56287.19</v>
      </c>
      <c r="H222" s="39"/>
    </row>
    <row r="223" spans="1:8" x14ac:dyDescent="0.25">
      <c r="A223">
        <v>10080095</v>
      </c>
      <c r="B223" s="11">
        <v>20.399999999999999</v>
      </c>
      <c r="C223">
        <v>724.95</v>
      </c>
      <c r="H223" s="39"/>
    </row>
    <row r="224" spans="1:8" x14ac:dyDescent="0.25">
      <c r="A224">
        <v>10080097</v>
      </c>
      <c r="B224" s="11">
        <v>1079.3</v>
      </c>
      <c r="C224">
        <v>43470.65</v>
      </c>
      <c r="H224" s="39"/>
    </row>
    <row r="225" spans="1:8" x14ac:dyDescent="0.25">
      <c r="A225">
        <v>10080099</v>
      </c>
      <c r="B225" s="11">
        <v>1112.8</v>
      </c>
      <c r="C225">
        <v>40146.660000000003</v>
      </c>
      <c r="H225" s="39"/>
    </row>
    <row r="226" spans="1:8" x14ac:dyDescent="0.25">
      <c r="A226">
        <v>10080100</v>
      </c>
      <c r="B226" s="11">
        <v>431.99999999999994</v>
      </c>
      <c r="C226">
        <v>15044.900000000001</v>
      </c>
      <c r="H226" s="39"/>
    </row>
    <row r="227" spans="1:8" x14ac:dyDescent="0.25">
      <c r="A227">
        <v>10080107</v>
      </c>
      <c r="B227" s="11">
        <v>4434.1000000000004</v>
      </c>
      <c r="C227">
        <v>163188.56</v>
      </c>
      <c r="H227" s="39"/>
    </row>
    <row r="228" spans="1:8" x14ac:dyDescent="0.25">
      <c r="A228">
        <v>10090001</v>
      </c>
      <c r="B228" s="11">
        <v>2552.5</v>
      </c>
      <c r="C228">
        <v>110043.01999999999</v>
      </c>
      <c r="H228" s="39"/>
    </row>
    <row r="229" spans="1:8" x14ac:dyDescent="0.25">
      <c r="A229">
        <v>10090002</v>
      </c>
      <c r="B229" s="11">
        <v>5868.7</v>
      </c>
      <c r="C229">
        <v>254519.63</v>
      </c>
      <c r="H229" s="39"/>
    </row>
    <row r="230" spans="1:8" x14ac:dyDescent="0.25">
      <c r="A230">
        <v>10090003</v>
      </c>
      <c r="B230" s="11">
        <v>229.79999999999998</v>
      </c>
      <c r="C230">
        <v>8061.45</v>
      </c>
      <c r="H230" s="39"/>
    </row>
    <row r="231" spans="1:8" x14ac:dyDescent="0.25">
      <c r="A231">
        <v>10090005</v>
      </c>
      <c r="B231" s="11">
        <v>398.70000000000005</v>
      </c>
      <c r="C231">
        <v>17512.129999999997</v>
      </c>
      <c r="H231" s="39"/>
    </row>
    <row r="232" spans="1:8" x14ac:dyDescent="0.25">
      <c r="A232">
        <v>10090006</v>
      </c>
      <c r="B232" s="11">
        <v>5774.8</v>
      </c>
      <c r="C232">
        <v>247934.43</v>
      </c>
      <c r="H232" s="39"/>
    </row>
    <row r="233" spans="1:8" x14ac:dyDescent="0.25">
      <c r="A233">
        <v>10090007</v>
      </c>
      <c r="B233" s="11">
        <v>2205</v>
      </c>
      <c r="C233">
        <v>82497.590000000011</v>
      </c>
      <c r="H233" s="39"/>
    </row>
    <row r="234" spans="1:8" x14ac:dyDescent="0.25">
      <c r="A234">
        <v>10090008</v>
      </c>
      <c r="B234" s="11">
        <v>3252.2</v>
      </c>
      <c r="C234">
        <v>132140.15</v>
      </c>
      <c r="H234" s="39"/>
    </row>
    <row r="235" spans="1:8" x14ac:dyDescent="0.25">
      <c r="A235">
        <v>10090009</v>
      </c>
      <c r="B235" s="11">
        <v>2423.6999999999998</v>
      </c>
      <c r="C235">
        <v>96707.85</v>
      </c>
      <c r="H235" s="39"/>
    </row>
    <row r="236" spans="1:8" x14ac:dyDescent="0.25">
      <c r="A236">
        <v>10090011</v>
      </c>
      <c r="B236" s="11">
        <v>3050.6000000000004</v>
      </c>
      <c r="C236">
        <v>117843.90000000001</v>
      </c>
      <c r="H236" s="39"/>
    </row>
    <row r="237" spans="1:8" x14ac:dyDescent="0.25">
      <c r="A237">
        <v>10090012</v>
      </c>
      <c r="B237" s="11">
        <v>4100.5</v>
      </c>
      <c r="C237">
        <v>158741.52000000002</v>
      </c>
      <c r="H237" s="39"/>
    </row>
    <row r="238" spans="1:8" x14ac:dyDescent="0.25">
      <c r="A238">
        <v>10090014</v>
      </c>
      <c r="B238" s="11">
        <v>2991.3</v>
      </c>
      <c r="C238">
        <v>127645.6</v>
      </c>
      <c r="H238" s="39"/>
    </row>
    <row r="239" spans="1:8" x14ac:dyDescent="0.25">
      <c r="A239">
        <v>10090015</v>
      </c>
      <c r="B239" s="11">
        <v>2417.3999999999996</v>
      </c>
      <c r="C239">
        <v>107246.26000000001</v>
      </c>
      <c r="H239" s="39"/>
    </row>
    <row r="240" spans="1:8" x14ac:dyDescent="0.25">
      <c r="A240">
        <v>10090017</v>
      </c>
      <c r="B240" s="11">
        <v>20648.300000000003</v>
      </c>
      <c r="C240">
        <v>772440.83000000007</v>
      </c>
      <c r="H240" s="39"/>
    </row>
    <row r="241" spans="1:8" x14ac:dyDescent="0.25">
      <c r="A241">
        <v>10090021</v>
      </c>
      <c r="B241" s="11">
        <v>5062.5999999999995</v>
      </c>
      <c r="C241">
        <v>236072.47999999998</v>
      </c>
      <c r="H241" s="39"/>
    </row>
    <row r="242" spans="1:8" x14ac:dyDescent="0.25">
      <c r="A242">
        <v>10090022</v>
      </c>
      <c r="B242" s="11">
        <v>1854.8999999999999</v>
      </c>
      <c r="C242">
        <v>74833.929999999993</v>
      </c>
      <c r="H242" s="39"/>
    </row>
    <row r="243" spans="1:8" x14ac:dyDescent="0.25">
      <c r="A243">
        <v>10090024</v>
      </c>
      <c r="B243" s="11">
        <v>635.90000000000009</v>
      </c>
      <c r="C243">
        <v>25522.9</v>
      </c>
      <c r="H243" s="39"/>
    </row>
    <row r="244" spans="1:8" x14ac:dyDescent="0.25">
      <c r="A244">
        <v>10090025</v>
      </c>
      <c r="B244" s="11">
        <v>1968.7</v>
      </c>
      <c r="C244">
        <v>76211</v>
      </c>
      <c r="H244" s="39"/>
    </row>
    <row r="245" spans="1:8" x14ac:dyDescent="0.25">
      <c r="A245">
        <v>10090027</v>
      </c>
      <c r="B245" s="11">
        <v>7410.4</v>
      </c>
      <c r="C245">
        <v>325551.69</v>
      </c>
      <c r="H245" s="39"/>
    </row>
    <row r="246" spans="1:8" x14ac:dyDescent="0.25">
      <c r="A246">
        <v>10090029</v>
      </c>
      <c r="B246" s="11">
        <v>3023.2</v>
      </c>
      <c r="C246">
        <v>135486.34</v>
      </c>
      <c r="H246" s="39"/>
    </row>
    <row r="247" spans="1:8" x14ac:dyDescent="0.25">
      <c r="A247">
        <v>10090033</v>
      </c>
      <c r="B247" s="11">
        <v>4335.3</v>
      </c>
      <c r="C247">
        <v>201715.57</v>
      </c>
      <c r="H247" s="39"/>
    </row>
    <row r="248" spans="1:8" x14ac:dyDescent="0.25">
      <c r="A248">
        <v>10090036</v>
      </c>
      <c r="B248" s="11">
        <v>6716.2999999999993</v>
      </c>
      <c r="C248">
        <v>299122.57999999996</v>
      </c>
      <c r="H248" s="39"/>
    </row>
    <row r="249" spans="1:8" x14ac:dyDescent="0.25">
      <c r="A249">
        <v>10090037</v>
      </c>
      <c r="B249" s="11">
        <v>2854.2</v>
      </c>
      <c r="C249">
        <v>147485</v>
      </c>
      <c r="H249" s="39"/>
    </row>
    <row r="250" spans="1:8" x14ac:dyDescent="0.25">
      <c r="A250">
        <v>10090041</v>
      </c>
      <c r="B250" s="11">
        <v>1385.6</v>
      </c>
      <c r="C250">
        <v>40888.33</v>
      </c>
      <c r="H250" s="39"/>
    </row>
    <row r="251" spans="1:8" x14ac:dyDescent="0.25">
      <c r="A251">
        <v>10090042</v>
      </c>
      <c r="B251" s="11">
        <v>3832.3</v>
      </c>
      <c r="C251">
        <v>168437.55</v>
      </c>
      <c r="H251" s="39"/>
    </row>
    <row r="252" spans="1:8" x14ac:dyDescent="0.25">
      <c r="A252">
        <v>10090045</v>
      </c>
      <c r="B252" s="11">
        <v>345.4</v>
      </c>
      <c r="C252">
        <v>14910.029999999999</v>
      </c>
      <c r="H252" s="39"/>
    </row>
    <row r="253" spans="1:8" x14ac:dyDescent="0.25">
      <c r="A253">
        <v>10090046</v>
      </c>
      <c r="B253" s="11">
        <v>2060.9</v>
      </c>
      <c r="C253">
        <v>96964.46</v>
      </c>
      <c r="H253" s="39"/>
    </row>
    <row r="254" spans="1:8" x14ac:dyDescent="0.25">
      <c r="A254">
        <v>10090047</v>
      </c>
      <c r="B254" s="11">
        <v>1201.9000000000001</v>
      </c>
      <c r="C254">
        <v>53662.280000000006</v>
      </c>
      <c r="H254" s="39"/>
    </row>
    <row r="255" spans="1:8" x14ac:dyDescent="0.25">
      <c r="A255">
        <v>10090049</v>
      </c>
      <c r="B255" s="11">
        <v>3101.3</v>
      </c>
      <c r="C255">
        <v>165388.58000000002</v>
      </c>
      <c r="H255" s="39"/>
    </row>
    <row r="256" spans="1:8" x14ac:dyDescent="0.25">
      <c r="A256">
        <v>10090055</v>
      </c>
      <c r="B256" s="11">
        <v>1343.1999999999998</v>
      </c>
      <c r="C256">
        <v>53113.86</v>
      </c>
      <c r="H256" s="39"/>
    </row>
    <row r="257" spans="1:8" x14ac:dyDescent="0.25">
      <c r="A257">
        <v>10090056</v>
      </c>
      <c r="B257" s="11">
        <v>1198.4000000000001</v>
      </c>
      <c r="C257">
        <v>52860.17</v>
      </c>
      <c r="H257" s="39"/>
    </row>
    <row r="258" spans="1:8" x14ac:dyDescent="0.25">
      <c r="A258">
        <v>10090058</v>
      </c>
      <c r="B258" s="11">
        <v>3278.5</v>
      </c>
      <c r="C258">
        <v>146261.56</v>
      </c>
      <c r="H258" s="39"/>
    </row>
    <row r="259" spans="1:8" x14ac:dyDescent="0.25">
      <c r="A259">
        <v>10090060</v>
      </c>
      <c r="B259" s="11">
        <v>738.2</v>
      </c>
      <c r="C259">
        <v>35606.719999999994</v>
      </c>
      <c r="H259" s="39"/>
    </row>
    <row r="260" spans="1:8" x14ac:dyDescent="0.25">
      <c r="A260">
        <v>10090061</v>
      </c>
      <c r="B260" s="11">
        <v>806.40000000000009</v>
      </c>
      <c r="C260">
        <v>37064.92</v>
      </c>
      <c r="H260" s="39"/>
    </row>
    <row r="261" spans="1:8" x14ac:dyDescent="0.25">
      <c r="A261">
        <v>10090063</v>
      </c>
      <c r="B261" s="11">
        <v>698.9</v>
      </c>
      <c r="C261">
        <v>38194.68</v>
      </c>
      <c r="H261" s="39"/>
    </row>
    <row r="262" spans="1:8" x14ac:dyDescent="0.25">
      <c r="A262">
        <v>10090064</v>
      </c>
      <c r="B262" s="11">
        <v>1835.6</v>
      </c>
      <c r="C262">
        <v>89179.4</v>
      </c>
      <c r="H262" s="39"/>
    </row>
    <row r="263" spans="1:8" x14ac:dyDescent="0.25">
      <c r="A263">
        <v>10090065</v>
      </c>
      <c r="B263" s="11">
        <v>2751.7999999999997</v>
      </c>
      <c r="C263">
        <v>117244.07</v>
      </c>
      <c r="H263" s="39"/>
    </row>
    <row r="264" spans="1:8" x14ac:dyDescent="0.25">
      <c r="A264">
        <v>10100001</v>
      </c>
      <c r="B264" s="11">
        <v>3336.9</v>
      </c>
      <c r="C264">
        <v>133508.76</v>
      </c>
      <c r="H264" s="39"/>
    </row>
    <row r="265" spans="1:8" x14ac:dyDescent="0.25">
      <c r="A265">
        <v>10100003</v>
      </c>
      <c r="B265" s="11">
        <v>7211.1</v>
      </c>
      <c r="C265">
        <v>302615.56</v>
      </c>
      <c r="H265" s="39"/>
    </row>
    <row r="266" spans="1:8" x14ac:dyDescent="0.25">
      <c r="A266">
        <v>10100009</v>
      </c>
      <c r="B266" s="11">
        <v>5405.3</v>
      </c>
      <c r="C266">
        <v>217564.1</v>
      </c>
      <c r="H266" s="39"/>
    </row>
    <row r="267" spans="1:8" x14ac:dyDescent="0.25">
      <c r="A267">
        <v>10100014</v>
      </c>
      <c r="B267" s="11">
        <v>1553</v>
      </c>
      <c r="C267">
        <v>65059.44999999999</v>
      </c>
      <c r="H267" s="39"/>
    </row>
    <row r="268" spans="1:8" x14ac:dyDescent="0.25">
      <c r="A268">
        <v>10100021</v>
      </c>
      <c r="B268" s="11">
        <v>2202.4999999999995</v>
      </c>
      <c r="C268">
        <v>91770.02</v>
      </c>
      <c r="H268" s="39"/>
    </row>
    <row r="269" spans="1:8" x14ac:dyDescent="0.25">
      <c r="A269">
        <v>10100033</v>
      </c>
      <c r="B269" s="11">
        <v>280.10000000000002</v>
      </c>
      <c r="C269">
        <v>10899.27</v>
      </c>
      <c r="H269" s="39"/>
    </row>
    <row r="270" spans="1:8" x14ac:dyDescent="0.25">
      <c r="A270">
        <v>10100035</v>
      </c>
      <c r="B270" s="11">
        <v>1860.1000000000001</v>
      </c>
      <c r="C270">
        <v>88442.989999999991</v>
      </c>
      <c r="H270" s="39"/>
    </row>
    <row r="271" spans="1:8" x14ac:dyDescent="0.25">
      <c r="A271">
        <v>10100037</v>
      </c>
      <c r="B271" s="11">
        <v>957.3</v>
      </c>
      <c r="C271">
        <v>44965.42</v>
      </c>
      <c r="H271" s="39"/>
    </row>
    <row r="272" spans="1:8" x14ac:dyDescent="0.25">
      <c r="A272">
        <v>10100045</v>
      </c>
      <c r="B272" s="11">
        <v>7069.7</v>
      </c>
      <c r="C272">
        <v>263460.20999999996</v>
      </c>
      <c r="H272" s="39"/>
    </row>
    <row r="273" spans="1:8" x14ac:dyDescent="0.25">
      <c r="A273">
        <v>10100049</v>
      </c>
      <c r="B273" s="11">
        <v>4325</v>
      </c>
      <c r="C273">
        <v>169346</v>
      </c>
      <c r="H273" s="39"/>
    </row>
    <row r="274" spans="1:8" x14ac:dyDescent="0.25">
      <c r="A274">
        <v>10100051</v>
      </c>
      <c r="B274" s="11">
        <v>7156.5</v>
      </c>
      <c r="C274">
        <v>280224.77</v>
      </c>
      <c r="H274" s="39"/>
    </row>
    <row r="275" spans="1:8" x14ac:dyDescent="0.25">
      <c r="A275">
        <v>10100054</v>
      </c>
      <c r="B275" s="11">
        <v>1318.3000000000002</v>
      </c>
      <c r="C275">
        <v>58709.649999999994</v>
      </c>
      <c r="H275" s="39"/>
    </row>
    <row r="276" spans="1:8" x14ac:dyDescent="0.25">
      <c r="A276">
        <v>10100060</v>
      </c>
      <c r="B276" s="11">
        <v>942.8</v>
      </c>
      <c r="C276">
        <v>36611.270000000004</v>
      </c>
      <c r="H276" s="39"/>
    </row>
    <row r="277" spans="1:8" x14ac:dyDescent="0.25">
      <c r="A277">
        <v>10110001</v>
      </c>
      <c r="B277" s="11">
        <v>7944.8000000000011</v>
      </c>
      <c r="C277">
        <v>331254.18999999994</v>
      </c>
      <c r="H277" s="39"/>
    </row>
    <row r="278" spans="1:8" x14ac:dyDescent="0.25">
      <c r="A278">
        <v>10110002</v>
      </c>
      <c r="B278" s="11">
        <v>2267.1999999999998</v>
      </c>
      <c r="C278">
        <v>87101.07</v>
      </c>
      <c r="H278" s="39"/>
    </row>
    <row r="279" spans="1:8" x14ac:dyDescent="0.25">
      <c r="A279">
        <v>10110004</v>
      </c>
      <c r="B279" s="11">
        <v>2061.1</v>
      </c>
      <c r="C279">
        <v>79359.89</v>
      </c>
      <c r="H279" s="39"/>
    </row>
    <row r="280" spans="1:8" x14ac:dyDescent="0.25">
      <c r="A280">
        <v>10110005</v>
      </c>
      <c r="B280" s="11">
        <v>14941.4</v>
      </c>
      <c r="C280">
        <v>642386.97</v>
      </c>
      <c r="H280" s="39"/>
    </row>
    <row r="281" spans="1:8" x14ac:dyDescent="0.25">
      <c r="A281">
        <v>10110007</v>
      </c>
      <c r="B281" s="11">
        <v>1451.3</v>
      </c>
      <c r="C281">
        <v>53745.740000000005</v>
      </c>
      <c r="H281" s="39"/>
    </row>
    <row r="282" spans="1:8" x14ac:dyDescent="0.25">
      <c r="A282">
        <v>10110008</v>
      </c>
      <c r="B282" s="11">
        <v>30502.500000000004</v>
      </c>
      <c r="C282">
        <v>1215244.6499999999</v>
      </c>
      <c r="H282" s="39"/>
    </row>
    <row r="283" spans="1:8" x14ac:dyDescent="0.25">
      <c r="A283">
        <v>10110013</v>
      </c>
      <c r="B283" s="11">
        <v>3459.8</v>
      </c>
      <c r="C283">
        <v>131283.43</v>
      </c>
      <c r="H283" s="39"/>
    </row>
    <row r="284" spans="1:8" x14ac:dyDescent="0.25">
      <c r="A284">
        <v>10110014</v>
      </c>
      <c r="B284" s="11">
        <v>4439.3000000000011</v>
      </c>
      <c r="C284">
        <v>198526.72</v>
      </c>
      <c r="H284" s="39"/>
    </row>
    <row r="285" spans="1:8" x14ac:dyDescent="0.25">
      <c r="A285">
        <v>10110015</v>
      </c>
      <c r="B285" s="11">
        <v>2406.3999999999996</v>
      </c>
      <c r="C285">
        <v>104392.47</v>
      </c>
      <c r="H285" s="39"/>
    </row>
    <row r="286" spans="1:8" x14ac:dyDescent="0.25">
      <c r="A286">
        <v>10110016</v>
      </c>
      <c r="B286" s="11">
        <v>2101.8999999999996</v>
      </c>
      <c r="C286">
        <v>87850.81</v>
      </c>
      <c r="H286" s="39"/>
    </row>
    <row r="287" spans="1:8" x14ac:dyDescent="0.25">
      <c r="A287">
        <v>10110021</v>
      </c>
      <c r="B287" s="11">
        <v>631.9</v>
      </c>
      <c r="C287">
        <v>27820.65</v>
      </c>
      <c r="H287" s="39"/>
    </row>
    <row r="288" spans="1:8" x14ac:dyDescent="0.25">
      <c r="A288">
        <v>10110042</v>
      </c>
      <c r="B288" s="11">
        <v>1872.1</v>
      </c>
      <c r="C288">
        <v>73512.709999999992</v>
      </c>
      <c r="H288" s="39"/>
    </row>
    <row r="289" spans="1:8" x14ac:dyDescent="0.25">
      <c r="A289">
        <v>10110043</v>
      </c>
      <c r="B289" s="11">
        <v>4303</v>
      </c>
      <c r="C289">
        <v>188035.28000000003</v>
      </c>
      <c r="H289" s="39"/>
    </row>
    <row r="290" spans="1:8" x14ac:dyDescent="0.25">
      <c r="A290">
        <v>10110050</v>
      </c>
      <c r="B290" s="11">
        <v>4487.3</v>
      </c>
      <c r="C290">
        <v>202836.43</v>
      </c>
      <c r="H290" s="39"/>
    </row>
    <row r="291" spans="1:8" x14ac:dyDescent="0.25">
      <c r="A291">
        <v>10110053</v>
      </c>
      <c r="B291" s="11">
        <v>1388.6</v>
      </c>
      <c r="C291">
        <v>58254.82</v>
      </c>
      <c r="H291" s="39"/>
    </row>
    <row r="292" spans="1:8" x14ac:dyDescent="0.25">
      <c r="A292">
        <v>10110055</v>
      </c>
      <c r="B292" s="11">
        <v>4064.7000000000003</v>
      </c>
      <c r="C292">
        <v>187555.81</v>
      </c>
      <c r="H292" s="39"/>
    </row>
    <row r="293" spans="1:8" x14ac:dyDescent="0.25">
      <c r="A293">
        <v>10110057</v>
      </c>
      <c r="B293" s="11">
        <v>975.6</v>
      </c>
      <c r="C293">
        <v>42794.07</v>
      </c>
      <c r="H293" s="39"/>
    </row>
    <row r="294" spans="1:8" x14ac:dyDescent="0.25">
      <c r="A294">
        <v>10110065</v>
      </c>
      <c r="B294" s="11">
        <v>2851.8999999999996</v>
      </c>
      <c r="C294">
        <v>112759.80999999998</v>
      </c>
      <c r="H294" s="39"/>
    </row>
    <row r="295" spans="1:8" x14ac:dyDescent="0.25">
      <c r="A295">
        <v>10110066</v>
      </c>
      <c r="B295" s="11">
        <v>3343.1</v>
      </c>
      <c r="C295">
        <v>141588.63</v>
      </c>
      <c r="H295" s="39"/>
    </row>
    <row r="296" spans="1:8" x14ac:dyDescent="0.25">
      <c r="A296">
        <v>10110071</v>
      </c>
      <c r="B296" s="11">
        <v>801.9</v>
      </c>
      <c r="C296">
        <v>28649.120000000003</v>
      </c>
      <c r="H296" s="39"/>
    </row>
    <row r="297" spans="1:8" x14ac:dyDescent="0.25">
      <c r="A297">
        <v>10110073</v>
      </c>
      <c r="B297" s="11">
        <v>1013.6999999999998</v>
      </c>
      <c r="C297">
        <v>37531.24</v>
      </c>
      <c r="H297" s="39"/>
    </row>
    <row r="298" spans="1:8" x14ac:dyDescent="0.25">
      <c r="A298">
        <v>10110076</v>
      </c>
      <c r="B298" s="11">
        <v>8458.2000000000007</v>
      </c>
      <c r="C298">
        <v>358779.41</v>
      </c>
      <c r="H298" s="39"/>
    </row>
    <row r="299" spans="1:8" x14ac:dyDescent="0.25">
      <c r="A299">
        <v>10110078</v>
      </c>
      <c r="B299" s="11">
        <v>993.7</v>
      </c>
      <c r="C299">
        <v>37185.89</v>
      </c>
      <c r="H299" s="39"/>
    </row>
    <row r="300" spans="1:8" x14ac:dyDescent="0.25">
      <c r="A300">
        <v>10110083</v>
      </c>
      <c r="B300" s="11">
        <v>941.6</v>
      </c>
      <c r="C300">
        <v>37189.75</v>
      </c>
      <c r="H300" s="39"/>
    </row>
    <row r="301" spans="1:8" x14ac:dyDescent="0.25">
      <c r="A301">
        <v>10110086</v>
      </c>
      <c r="B301" s="11">
        <v>1626.6000000000001</v>
      </c>
      <c r="C301">
        <v>67611</v>
      </c>
      <c r="H301" s="39"/>
    </row>
    <row r="302" spans="1:8" x14ac:dyDescent="0.25">
      <c r="A302">
        <v>10110093</v>
      </c>
      <c r="B302" s="11">
        <v>1835.6999999999998</v>
      </c>
      <c r="C302">
        <v>72521.680000000008</v>
      </c>
      <c r="H302" s="39"/>
    </row>
    <row r="303" spans="1:8" x14ac:dyDescent="0.25">
      <c r="A303">
        <v>10110094</v>
      </c>
      <c r="B303" s="11">
        <v>1611.3999999999999</v>
      </c>
      <c r="C303">
        <v>63974.639999999992</v>
      </c>
      <c r="H303" s="39"/>
    </row>
    <row r="304" spans="1:8" x14ac:dyDescent="0.25">
      <c r="A304">
        <v>10110095</v>
      </c>
      <c r="B304" s="11">
        <v>1375.1</v>
      </c>
      <c r="C304">
        <v>63215.960000000006</v>
      </c>
      <c r="H304" s="39"/>
    </row>
    <row r="305" spans="1:8" x14ac:dyDescent="0.25">
      <c r="A305">
        <v>10110098</v>
      </c>
      <c r="B305" s="11">
        <v>612.1</v>
      </c>
      <c r="C305">
        <v>23093.8</v>
      </c>
      <c r="H305" s="39"/>
    </row>
    <row r="306" spans="1:8" x14ac:dyDescent="0.25">
      <c r="A306">
        <v>10110100</v>
      </c>
      <c r="B306" s="11">
        <v>16570.8</v>
      </c>
      <c r="C306">
        <v>677654.00999999989</v>
      </c>
      <c r="H306" s="39"/>
    </row>
    <row r="307" spans="1:8" x14ac:dyDescent="0.25">
      <c r="A307">
        <v>10110101</v>
      </c>
      <c r="B307" s="11">
        <v>1064.5999999999999</v>
      </c>
      <c r="C307">
        <v>49178.619999999995</v>
      </c>
      <c r="H307" s="39"/>
    </row>
    <row r="308" spans="1:8" x14ac:dyDescent="0.25">
      <c r="A308">
        <v>10110106</v>
      </c>
      <c r="B308" s="11">
        <v>28430.799999999996</v>
      </c>
      <c r="C308">
        <v>1158684.72</v>
      </c>
      <c r="H308" s="39"/>
    </row>
    <row r="309" spans="1:8" x14ac:dyDescent="0.25">
      <c r="A309">
        <v>10110109</v>
      </c>
      <c r="B309" s="11">
        <v>2914</v>
      </c>
      <c r="C309">
        <v>114370.82</v>
      </c>
      <c r="H309" s="39"/>
    </row>
    <row r="310" spans="1:8" x14ac:dyDescent="0.25">
      <c r="A310">
        <v>10110110</v>
      </c>
      <c r="B310" s="11">
        <v>238.89999999999998</v>
      </c>
      <c r="C310">
        <v>10422.75</v>
      </c>
      <c r="H310" s="39"/>
    </row>
    <row r="311" spans="1:8" x14ac:dyDescent="0.25">
      <c r="A311">
        <v>10110111</v>
      </c>
      <c r="B311" s="11">
        <v>498</v>
      </c>
      <c r="C311">
        <v>26604.36</v>
      </c>
      <c r="H311" s="39"/>
    </row>
    <row r="312" spans="1:8" x14ac:dyDescent="0.25">
      <c r="A312">
        <v>10110114</v>
      </c>
      <c r="B312" s="11">
        <v>1324.8000000000002</v>
      </c>
      <c r="C312">
        <v>54111.479999999996</v>
      </c>
      <c r="H312" s="39"/>
    </row>
    <row r="313" spans="1:8" x14ac:dyDescent="0.25">
      <c r="A313">
        <v>10110116</v>
      </c>
      <c r="B313" s="11">
        <v>2999.8999999999996</v>
      </c>
      <c r="C313">
        <v>113834.68000000001</v>
      </c>
      <c r="H313" s="39"/>
    </row>
    <row r="314" spans="1:8" x14ac:dyDescent="0.25">
      <c r="A314">
        <v>10110118</v>
      </c>
      <c r="B314" s="11">
        <v>1921.7</v>
      </c>
      <c r="C314">
        <v>79664.66</v>
      </c>
      <c r="H314" s="39"/>
    </row>
    <row r="315" spans="1:8" x14ac:dyDescent="0.25">
      <c r="A315">
        <v>10110119</v>
      </c>
      <c r="B315" s="11">
        <v>1635.6999999999998</v>
      </c>
      <c r="C315">
        <v>62081.959999999992</v>
      </c>
      <c r="H315" s="39"/>
    </row>
    <row r="316" spans="1:8" x14ac:dyDescent="0.25">
      <c r="A316">
        <v>10110120</v>
      </c>
      <c r="B316" s="11">
        <v>4212.5</v>
      </c>
      <c r="C316">
        <v>199304.04000000004</v>
      </c>
      <c r="H316" s="39"/>
    </row>
    <row r="317" spans="1:8" x14ac:dyDescent="0.25">
      <c r="A317">
        <v>10110121</v>
      </c>
      <c r="B317" s="11">
        <v>1413.3</v>
      </c>
      <c r="C317">
        <v>55342.020000000004</v>
      </c>
      <c r="H317" s="39"/>
    </row>
    <row r="318" spans="1:8" x14ac:dyDescent="0.25">
      <c r="A318">
        <v>10110123</v>
      </c>
      <c r="B318" s="11">
        <v>3741.6000000000004</v>
      </c>
      <c r="C318">
        <v>157421.83999999997</v>
      </c>
      <c r="H318" s="39"/>
    </row>
    <row r="319" spans="1:8" x14ac:dyDescent="0.25">
      <c r="A319">
        <v>10110124</v>
      </c>
      <c r="B319" s="11">
        <v>4807</v>
      </c>
      <c r="C319">
        <v>205642.51</v>
      </c>
      <c r="H319" s="39"/>
    </row>
    <row r="320" spans="1:8" x14ac:dyDescent="0.25">
      <c r="A320">
        <v>10110128</v>
      </c>
      <c r="B320" s="11">
        <v>2037.3000000000002</v>
      </c>
      <c r="C320">
        <v>83900.57</v>
      </c>
      <c r="H320" s="39"/>
    </row>
    <row r="321" spans="1:8" x14ac:dyDescent="0.25">
      <c r="A321">
        <v>10110129</v>
      </c>
      <c r="B321" s="11">
        <v>2949.2</v>
      </c>
      <c r="C321">
        <v>111978.91</v>
      </c>
      <c r="H321" s="39"/>
    </row>
    <row r="322" spans="1:8" x14ac:dyDescent="0.25">
      <c r="A322">
        <v>10110132</v>
      </c>
      <c r="B322" s="11">
        <v>1422.1</v>
      </c>
      <c r="C322">
        <v>57334.210000000006</v>
      </c>
      <c r="H322" s="39"/>
    </row>
    <row r="323" spans="1:8" x14ac:dyDescent="0.25">
      <c r="A323">
        <v>10110133</v>
      </c>
      <c r="B323" s="11">
        <v>11005.300000000001</v>
      </c>
      <c r="C323">
        <v>438053.83</v>
      </c>
      <c r="H323" s="39"/>
    </row>
    <row r="324" spans="1:8" x14ac:dyDescent="0.25">
      <c r="A324">
        <v>10110134</v>
      </c>
      <c r="B324" s="11">
        <v>1149.5999999999999</v>
      </c>
      <c r="C324">
        <v>48897.91</v>
      </c>
      <c r="H324" s="39"/>
    </row>
    <row r="325" spans="1:8" x14ac:dyDescent="0.25">
      <c r="A325">
        <v>10110135</v>
      </c>
      <c r="B325" s="11">
        <v>2662.8</v>
      </c>
      <c r="C325">
        <v>105596.37</v>
      </c>
      <c r="H325" s="39"/>
    </row>
    <row r="326" spans="1:8" x14ac:dyDescent="0.25">
      <c r="A326">
        <v>10110140</v>
      </c>
      <c r="B326" s="11">
        <v>486.09999999999997</v>
      </c>
      <c r="C326">
        <v>24929.99</v>
      </c>
      <c r="H326" s="39"/>
    </row>
    <row r="327" spans="1:8" x14ac:dyDescent="0.25">
      <c r="A327">
        <v>10110141</v>
      </c>
      <c r="B327" s="11">
        <v>3110</v>
      </c>
      <c r="C327">
        <v>129185.17000000001</v>
      </c>
      <c r="H327" s="39"/>
    </row>
    <row r="328" spans="1:8" x14ac:dyDescent="0.25">
      <c r="A328">
        <v>10110143</v>
      </c>
      <c r="B328" s="11">
        <v>2829.4999999999995</v>
      </c>
      <c r="C328">
        <v>109361.57</v>
      </c>
      <c r="H328" s="39"/>
    </row>
    <row r="329" spans="1:8" x14ac:dyDescent="0.25">
      <c r="A329">
        <v>10110144</v>
      </c>
      <c r="B329" s="11">
        <v>2823.5</v>
      </c>
      <c r="C329">
        <v>110355.81</v>
      </c>
      <c r="H329" s="39"/>
    </row>
    <row r="330" spans="1:8" x14ac:dyDescent="0.25">
      <c r="A330">
        <v>10110146</v>
      </c>
      <c r="B330" s="11">
        <v>7639.8</v>
      </c>
      <c r="C330">
        <v>310432.40000000002</v>
      </c>
      <c r="H330" s="39"/>
    </row>
    <row r="331" spans="1:8" x14ac:dyDescent="0.25">
      <c r="A331">
        <v>10110149</v>
      </c>
      <c r="B331" s="11">
        <v>2350.5</v>
      </c>
      <c r="C331">
        <v>94021.830000000016</v>
      </c>
      <c r="H331" s="39"/>
    </row>
    <row r="332" spans="1:8" x14ac:dyDescent="0.25">
      <c r="A332">
        <v>10110153</v>
      </c>
      <c r="B332" s="11">
        <v>9253.8000000000011</v>
      </c>
      <c r="C332">
        <v>380292.11000000004</v>
      </c>
      <c r="H332" s="39"/>
    </row>
    <row r="333" spans="1:8" x14ac:dyDescent="0.25">
      <c r="A333">
        <v>10110155</v>
      </c>
      <c r="B333" s="11">
        <v>1890.1</v>
      </c>
      <c r="C333">
        <v>73279.319999999992</v>
      </c>
      <c r="H333" s="39"/>
    </row>
    <row r="334" spans="1:8" x14ac:dyDescent="0.25">
      <c r="A334">
        <v>10110158</v>
      </c>
      <c r="B334" s="11">
        <v>27447.800000000003</v>
      </c>
      <c r="C334">
        <v>1068029.83</v>
      </c>
      <c r="H334" s="39"/>
    </row>
    <row r="335" spans="1:8" x14ac:dyDescent="0.25">
      <c r="A335">
        <v>10110159</v>
      </c>
      <c r="B335" s="11">
        <v>7041.0999999999995</v>
      </c>
      <c r="C335">
        <v>275594.53000000003</v>
      </c>
      <c r="H335" s="39"/>
    </row>
    <row r="336" spans="1:8" x14ac:dyDescent="0.25">
      <c r="A336">
        <v>10110160</v>
      </c>
      <c r="B336" s="11">
        <v>2005.6000000000004</v>
      </c>
      <c r="C336">
        <v>73958.509999999995</v>
      </c>
      <c r="H336" s="39"/>
    </row>
    <row r="337" spans="1:8" x14ac:dyDescent="0.25">
      <c r="A337">
        <v>10110161</v>
      </c>
      <c r="B337" s="11">
        <v>3075.5</v>
      </c>
      <c r="C337">
        <v>112057.1</v>
      </c>
      <c r="H337" s="39"/>
    </row>
    <row r="338" spans="1:8" x14ac:dyDescent="0.25">
      <c r="A338">
        <v>10120001</v>
      </c>
      <c r="B338" s="11">
        <v>983.43000000000006</v>
      </c>
      <c r="C338">
        <v>39246.090000000004</v>
      </c>
      <c r="H338" s="39"/>
    </row>
    <row r="339" spans="1:8" x14ac:dyDescent="0.25">
      <c r="A339">
        <v>10120002</v>
      </c>
      <c r="B339" s="11">
        <v>1911.1200000000001</v>
      </c>
      <c r="C339">
        <v>75669.2</v>
      </c>
      <c r="H339" s="39"/>
    </row>
    <row r="340" spans="1:8" x14ac:dyDescent="0.25">
      <c r="A340">
        <v>10120005</v>
      </c>
      <c r="B340" s="11">
        <v>2117.58</v>
      </c>
      <c r="C340">
        <v>82474.55</v>
      </c>
      <c r="H340" s="39"/>
    </row>
    <row r="341" spans="1:8" x14ac:dyDescent="0.25">
      <c r="A341">
        <v>10120006</v>
      </c>
      <c r="B341" s="11">
        <v>1382.3600000000001</v>
      </c>
      <c r="C341">
        <v>52588.29</v>
      </c>
      <c r="H341" s="39"/>
    </row>
    <row r="342" spans="1:8" x14ac:dyDescent="0.25">
      <c r="A342">
        <v>10120007</v>
      </c>
      <c r="B342" s="11">
        <v>4581.74</v>
      </c>
      <c r="C342">
        <v>189827.84000000003</v>
      </c>
      <c r="H342" s="39"/>
    </row>
    <row r="343" spans="1:8" x14ac:dyDescent="0.25">
      <c r="A343">
        <v>10120008</v>
      </c>
      <c r="B343" s="11">
        <v>252.83</v>
      </c>
      <c r="C343">
        <v>8827.3599999999988</v>
      </c>
      <c r="H343" s="39"/>
    </row>
    <row r="344" spans="1:8" x14ac:dyDescent="0.25">
      <c r="A344">
        <v>10120010</v>
      </c>
      <c r="B344" s="11">
        <v>7803.5</v>
      </c>
      <c r="C344">
        <v>335876.32000000007</v>
      </c>
      <c r="H344" s="39"/>
    </row>
    <row r="345" spans="1:8" x14ac:dyDescent="0.25">
      <c r="A345">
        <v>10120011</v>
      </c>
      <c r="B345" s="11">
        <v>1772.39</v>
      </c>
      <c r="C345">
        <v>73151.680000000008</v>
      </c>
      <c r="H345" s="39"/>
    </row>
    <row r="346" spans="1:8" x14ac:dyDescent="0.25">
      <c r="A346">
        <v>10120012</v>
      </c>
      <c r="B346" s="11">
        <v>2572.6999999999998</v>
      </c>
      <c r="C346">
        <v>123795.08</v>
      </c>
      <c r="H346" s="39"/>
    </row>
    <row r="347" spans="1:8" x14ac:dyDescent="0.25">
      <c r="A347">
        <v>10120013</v>
      </c>
      <c r="B347" s="11">
        <v>1822.71</v>
      </c>
      <c r="C347">
        <v>63577.700000000004</v>
      </c>
      <c r="H347" s="39"/>
    </row>
    <row r="348" spans="1:8" x14ac:dyDescent="0.25">
      <c r="A348">
        <v>10120014</v>
      </c>
      <c r="B348" s="11">
        <v>4207.4500000000007</v>
      </c>
      <c r="C348">
        <v>180026.07</v>
      </c>
      <c r="H348" s="39"/>
    </row>
    <row r="349" spans="1:8" x14ac:dyDescent="0.25">
      <c r="A349">
        <v>10120015</v>
      </c>
      <c r="B349" s="11">
        <v>4803.2699999999995</v>
      </c>
      <c r="C349">
        <v>186636.08000000002</v>
      </c>
      <c r="H349" s="39"/>
    </row>
    <row r="350" spans="1:8" x14ac:dyDescent="0.25">
      <c r="A350">
        <v>10120016</v>
      </c>
      <c r="B350" s="11">
        <v>830.11</v>
      </c>
      <c r="C350">
        <v>28990.87</v>
      </c>
      <c r="H350" s="39"/>
    </row>
    <row r="351" spans="1:8" x14ac:dyDescent="0.25">
      <c r="A351">
        <v>10120017</v>
      </c>
      <c r="B351" s="11">
        <v>1719.2299999999998</v>
      </c>
      <c r="C351">
        <v>67467.11</v>
      </c>
      <c r="H351" s="39"/>
    </row>
    <row r="352" spans="1:8" x14ac:dyDescent="0.25">
      <c r="A352">
        <v>10120018</v>
      </c>
      <c r="B352" s="11">
        <v>1676.2400000000002</v>
      </c>
      <c r="C352">
        <v>72647.950000000012</v>
      </c>
      <c r="H352" s="39"/>
    </row>
    <row r="353" spans="1:8" x14ac:dyDescent="0.25">
      <c r="A353">
        <v>10120019</v>
      </c>
      <c r="B353" s="11">
        <v>908.5300000000002</v>
      </c>
      <c r="C353">
        <v>39111.760000000002</v>
      </c>
      <c r="H353" s="39"/>
    </row>
    <row r="354" spans="1:8" x14ac:dyDescent="0.25">
      <c r="A354">
        <v>10120022</v>
      </c>
      <c r="B354" s="11">
        <v>558.45000000000005</v>
      </c>
      <c r="C354">
        <v>26330.920000000002</v>
      </c>
      <c r="H354" s="39"/>
    </row>
    <row r="355" spans="1:8" x14ac:dyDescent="0.25">
      <c r="A355">
        <v>10120023</v>
      </c>
      <c r="B355" s="11">
        <v>907.36</v>
      </c>
      <c r="C355">
        <v>34733.54</v>
      </c>
      <c r="H355" s="39"/>
    </row>
    <row r="356" spans="1:8" x14ac:dyDescent="0.25">
      <c r="A356">
        <v>10120024</v>
      </c>
      <c r="B356" s="11">
        <v>646.20000000000005</v>
      </c>
      <c r="C356">
        <v>22472.25</v>
      </c>
      <c r="H356" s="39"/>
    </row>
    <row r="357" spans="1:8" x14ac:dyDescent="0.25">
      <c r="A357">
        <v>10120025</v>
      </c>
      <c r="B357" s="11">
        <v>9901.26</v>
      </c>
      <c r="C357">
        <v>416443.35999999993</v>
      </c>
      <c r="H357" s="39"/>
    </row>
    <row r="358" spans="1:8" x14ac:dyDescent="0.25">
      <c r="A358">
        <v>10120026</v>
      </c>
      <c r="B358" s="11">
        <v>145.96</v>
      </c>
      <c r="C358">
        <v>5124.3999999999996</v>
      </c>
      <c r="H358" s="39"/>
    </row>
    <row r="359" spans="1:8" x14ac:dyDescent="0.25">
      <c r="A359">
        <v>10120029</v>
      </c>
      <c r="B359" s="11">
        <v>2514.1200000000003</v>
      </c>
      <c r="C359">
        <v>99075.26</v>
      </c>
      <c r="H359" s="39"/>
    </row>
    <row r="360" spans="1:8" x14ac:dyDescent="0.25">
      <c r="A360">
        <v>10120031</v>
      </c>
      <c r="B360" s="11">
        <v>1827.79</v>
      </c>
      <c r="C360">
        <v>78338.31</v>
      </c>
      <c r="H360" s="39"/>
    </row>
    <row r="361" spans="1:8" x14ac:dyDescent="0.25">
      <c r="A361">
        <v>10120034</v>
      </c>
      <c r="B361" s="11">
        <v>869.78</v>
      </c>
      <c r="C361">
        <v>33475.360000000001</v>
      </c>
      <c r="H361" s="39"/>
    </row>
    <row r="362" spans="1:8" x14ac:dyDescent="0.25">
      <c r="A362">
        <v>10120035</v>
      </c>
      <c r="B362" s="11">
        <v>1327.21</v>
      </c>
      <c r="C362">
        <v>56306.200000000004</v>
      </c>
      <c r="H362" s="39"/>
    </row>
    <row r="363" spans="1:8" x14ac:dyDescent="0.25">
      <c r="A363">
        <v>10120043</v>
      </c>
      <c r="B363" s="11">
        <v>749.88</v>
      </c>
      <c r="C363">
        <v>38588.000000000007</v>
      </c>
      <c r="H363" s="39"/>
    </row>
    <row r="364" spans="1:8" x14ac:dyDescent="0.25">
      <c r="A364">
        <v>10120046</v>
      </c>
      <c r="B364" s="11">
        <v>9189.91</v>
      </c>
      <c r="C364">
        <v>364256.31</v>
      </c>
      <c r="H364" s="39"/>
    </row>
    <row r="365" spans="1:8" x14ac:dyDescent="0.25">
      <c r="A365">
        <v>10120049</v>
      </c>
      <c r="B365" s="11">
        <v>1363.75</v>
      </c>
      <c r="C365">
        <v>62034.62</v>
      </c>
      <c r="H365" s="39"/>
    </row>
    <row r="366" spans="1:8" x14ac:dyDescent="0.25">
      <c r="A366">
        <v>10120050</v>
      </c>
      <c r="B366" s="11">
        <v>12642.1</v>
      </c>
      <c r="C366">
        <v>493725.93000000005</v>
      </c>
      <c r="H366" s="39"/>
    </row>
    <row r="367" spans="1:8" x14ac:dyDescent="0.25">
      <c r="A367">
        <v>10120051</v>
      </c>
      <c r="B367" s="11">
        <v>1180.75</v>
      </c>
      <c r="C367">
        <v>49410.130000000005</v>
      </c>
      <c r="H367" s="39"/>
    </row>
    <row r="368" spans="1:8" x14ac:dyDescent="0.25">
      <c r="A368">
        <v>10120052</v>
      </c>
      <c r="B368" s="11">
        <v>6645.7100000000009</v>
      </c>
      <c r="C368">
        <v>268248.87</v>
      </c>
      <c r="H368" s="39"/>
    </row>
    <row r="369" spans="1:8" x14ac:dyDescent="0.25">
      <c r="A369">
        <v>10120053</v>
      </c>
      <c r="B369" s="11">
        <v>738.34</v>
      </c>
      <c r="C369">
        <v>29235.45</v>
      </c>
      <c r="H369" s="39"/>
    </row>
    <row r="370" spans="1:8" x14ac:dyDescent="0.25">
      <c r="A370">
        <v>10120060</v>
      </c>
      <c r="B370" s="11">
        <v>12707.75</v>
      </c>
      <c r="C370">
        <v>492565.89</v>
      </c>
      <c r="H370" s="39"/>
    </row>
    <row r="371" spans="1:8" x14ac:dyDescent="0.25">
      <c r="A371">
        <v>10120066</v>
      </c>
      <c r="B371" s="11">
        <v>62.099999999999994</v>
      </c>
      <c r="C371">
        <v>2363.1600000000003</v>
      </c>
      <c r="H371" s="105"/>
    </row>
    <row r="372" spans="1:8" x14ac:dyDescent="0.25">
      <c r="A372">
        <v>10120071</v>
      </c>
      <c r="B372" s="11">
        <v>4143.67</v>
      </c>
      <c r="C372">
        <v>164901.41</v>
      </c>
      <c r="H372" s="105"/>
    </row>
    <row r="373" spans="1:8" x14ac:dyDescent="0.25">
      <c r="A373">
        <v>10120083</v>
      </c>
      <c r="B373" s="11">
        <v>1002.5999999999999</v>
      </c>
      <c r="C373">
        <v>42728.02</v>
      </c>
      <c r="H373" s="39"/>
    </row>
    <row r="374" spans="1:8" x14ac:dyDescent="0.25">
      <c r="A374">
        <v>10120084</v>
      </c>
      <c r="B374" s="11">
        <v>10001.180000000002</v>
      </c>
      <c r="C374">
        <v>513784.53</v>
      </c>
      <c r="H374" s="105"/>
    </row>
    <row r="375" spans="1:8" x14ac:dyDescent="0.25">
      <c r="A375">
        <v>10120086</v>
      </c>
      <c r="B375" s="11">
        <v>216.7</v>
      </c>
      <c r="C375">
        <v>8844</v>
      </c>
      <c r="H375" s="39"/>
    </row>
    <row r="376" spans="1:8" x14ac:dyDescent="0.25">
      <c r="A376">
        <v>10120089</v>
      </c>
      <c r="B376" s="11">
        <v>2547.34</v>
      </c>
      <c r="C376">
        <v>99862.67</v>
      </c>
      <c r="H376" s="105"/>
    </row>
    <row r="377" spans="1:8" x14ac:dyDescent="0.25">
      <c r="A377">
        <v>10120091</v>
      </c>
      <c r="B377" s="11">
        <v>1604.2599999999998</v>
      </c>
      <c r="C377">
        <v>61407.41</v>
      </c>
      <c r="H377" s="105"/>
    </row>
    <row r="378" spans="1:8" x14ac:dyDescent="0.25">
      <c r="A378">
        <v>10120094</v>
      </c>
      <c r="B378" s="11">
        <v>4848.34</v>
      </c>
      <c r="C378">
        <v>220828.44</v>
      </c>
      <c r="H378" s="105"/>
    </row>
    <row r="379" spans="1:8" x14ac:dyDescent="0.25">
      <c r="A379">
        <v>10120095</v>
      </c>
      <c r="B379" s="11">
        <v>880.62999999999988</v>
      </c>
      <c r="C379">
        <v>36822.86</v>
      </c>
      <c r="H379" s="105"/>
    </row>
    <row r="380" spans="1:8" x14ac:dyDescent="0.25">
      <c r="A380">
        <v>10120096</v>
      </c>
      <c r="B380" s="11">
        <v>5934.8</v>
      </c>
      <c r="C380">
        <v>276222.28000000003</v>
      </c>
      <c r="H380" s="39"/>
    </row>
    <row r="381" spans="1:8" x14ac:dyDescent="0.25">
      <c r="A381">
        <v>10120099</v>
      </c>
      <c r="B381" s="11">
        <v>38174</v>
      </c>
      <c r="C381">
        <v>1535434.88</v>
      </c>
      <c r="H381" s="39"/>
    </row>
    <row r="382" spans="1:8" x14ac:dyDescent="0.25">
      <c r="A382">
        <v>10120103</v>
      </c>
      <c r="B382" s="11">
        <v>5825.6500000000005</v>
      </c>
      <c r="C382">
        <v>233854.61000000002</v>
      </c>
      <c r="H382" s="39"/>
    </row>
    <row r="383" spans="1:8" x14ac:dyDescent="0.25">
      <c r="A383">
        <v>10120104</v>
      </c>
      <c r="B383" s="11">
        <v>4974.0199999999995</v>
      </c>
      <c r="C383">
        <v>199522.09</v>
      </c>
      <c r="H383" s="39"/>
    </row>
    <row r="384" spans="1:8" x14ac:dyDescent="0.25">
      <c r="A384">
        <v>10120106</v>
      </c>
      <c r="B384" s="11">
        <v>5959.65</v>
      </c>
      <c r="C384">
        <v>227647.46000000002</v>
      </c>
      <c r="H384" s="39"/>
    </row>
    <row r="385" spans="1:8" x14ac:dyDescent="0.25">
      <c r="A385">
        <v>10120107</v>
      </c>
      <c r="B385" s="11">
        <v>2982.58</v>
      </c>
      <c r="C385">
        <v>121159.32999999999</v>
      </c>
      <c r="H385" s="110"/>
    </row>
    <row r="386" spans="1:8" x14ac:dyDescent="0.25">
      <c r="A386">
        <v>10120108</v>
      </c>
      <c r="B386" s="11">
        <v>2498.4000000000005</v>
      </c>
      <c r="C386">
        <v>97871.63</v>
      </c>
      <c r="H386" s="39"/>
    </row>
    <row r="387" spans="1:8" x14ac:dyDescent="0.25">
      <c r="A387">
        <v>10120111</v>
      </c>
      <c r="B387" s="11">
        <v>4080.46</v>
      </c>
      <c r="C387">
        <v>165642.47</v>
      </c>
      <c r="H387" s="48"/>
    </row>
    <row r="388" spans="1:8" x14ac:dyDescent="0.25">
      <c r="A388">
        <v>10130001</v>
      </c>
      <c r="B388" s="11">
        <v>2676.2000000000007</v>
      </c>
      <c r="C388">
        <v>100802.41</v>
      </c>
      <c r="H388" s="39"/>
    </row>
    <row r="389" spans="1:8" x14ac:dyDescent="0.25">
      <c r="A389">
        <v>10130002</v>
      </c>
      <c r="B389" s="11">
        <v>827.4</v>
      </c>
      <c r="C389">
        <v>30189.360000000001</v>
      </c>
      <c r="H389" s="39"/>
    </row>
    <row r="390" spans="1:8" x14ac:dyDescent="0.25">
      <c r="A390">
        <v>10130003</v>
      </c>
      <c r="B390" s="11">
        <v>355.1</v>
      </c>
      <c r="C390">
        <v>11416.93</v>
      </c>
      <c r="H390" s="39"/>
    </row>
    <row r="391" spans="1:8" x14ac:dyDescent="0.25">
      <c r="A391">
        <v>10130005</v>
      </c>
      <c r="B391" s="11">
        <v>165.9</v>
      </c>
      <c r="C391">
        <v>5853.9800000000005</v>
      </c>
      <c r="H391" s="39"/>
    </row>
    <row r="392" spans="1:8" x14ac:dyDescent="0.25">
      <c r="A392">
        <v>10130006</v>
      </c>
      <c r="B392" s="11">
        <v>2082.5</v>
      </c>
      <c r="C392">
        <v>81001.7</v>
      </c>
      <c r="H392" s="39"/>
    </row>
    <row r="393" spans="1:8" x14ac:dyDescent="0.25">
      <c r="A393">
        <v>10130008</v>
      </c>
      <c r="B393" s="11">
        <v>1732.1999999999998</v>
      </c>
      <c r="C393">
        <v>70897.830000000016</v>
      </c>
      <c r="H393" s="39"/>
    </row>
    <row r="394" spans="1:8" x14ac:dyDescent="0.25">
      <c r="A394">
        <v>10130012</v>
      </c>
      <c r="B394" s="11">
        <v>11652.3</v>
      </c>
      <c r="C394">
        <v>445195.52999999991</v>
      </c>
      <c r="H394" s="39"/>
    </row>
    <row r="395" spans="1:8" x14ac:dyDescent="0.25">
      <c r="A395">
        <v>10130015</v>
      </c>
      <c r="B395" s="11">
        <v>2852.6000000000004</v>
      </c>
      <c r="C395">
        <v>109964.37</v>
      </c>
      <c r="H395" s="39"/>
    </row>
    <row r="396" spans="1:8" x14ac:dyDescent="0.25">
      <c r="A396">
        <v>10130016</v>
      </c>
      <c r="B396" s="11">
        <v>955.19999999999993</v>
      </c>
      <c r="C396">
        <v>39881.14</v>
      </c>
      <c r="H396" s="39"/>
    </row>
    <row r="397" spans="1:8" x14ac:dyDescent="0.25">
      <c r="A397">
        <v>10130018</v>
      </c>
      <c r="B397" s="11">
        <v>1642.4</v>
      </c>
      <c r="C397">
        <v>55948.259999999995</v>
      </c>
      <c r="H397" s="39"/>
    </row>
    <row r="398" spans="1:8" x14ac:dyDescent="0.25">
      <c r="A398">
        <v>10130020</v>
      </c>
      <c r="B398" s="11">
        <v>2328.4</v>
      </c>
      <c r="C398">
        <v>93132.91</v>
      </c>
      <c r="H398" s="39"/>
    </row>
    <row r="399" spans="1:8" x14ac:dyDescent="0.25">
      <c r="A399">
        <v>10130025</v>
      </c>
      <c r="B399" s="11">
        <v>1690.3000000000002</v>
      </c>
      <c r="C399">
        <v>70839.69</v>
      </c>
      <c r="H399" s="39"/>
    </row>
    <row r="400" spans="1:8" x14ac:dyDescent="0.25">
      <c r="A400">
        <v>10130026</v>
      </c>
      <c r="B400" s="11">
        <v>831.7</v>
      </c>
      <c r="C400">
        <v>36361.99</v>
      </c>
      <c r="H400" s="39"/>
    </row>
    <row r="401" spans="1:8" x14ac:dyDescent="0.25">
      <c r="A401">
        <v>10130030</v>
      </c>
      <c r="B401" s="11">
        <v>1026.3999999999999</v>
      </c>
      <c r="C401">
        <v>35943.120000000003</v>
      </c>
      <c r="H401" s="39"/>
    </row>
    <row r="402" spans="1:8" x14ac:dyDescent="0.25">
      <c r="A402">
        <v>10130031</v>
      </c>
      <c r="B402" s="11">
        <v>492.70000000000005</v>
      </c>
      <c r="C402">
        <v>17096.21</v>
      </c>
      <c r="H402" s="39"/>
    </row>
    <row r="403" spans="1:8" x14ac:dyDescent="0.25">
      <c r="A403">
        <v>10130032</v>
      </c>
      <c r="B403" s="11">
        <v>186.3</v>
      </c>
      <c r="C403">
        <v>7973.9000000000005</v>
      </c>
      <c r="H403" s="39"/>
    </row>
    <row r="404" spans="1:8" x14ac:dyDescent="0.25">
      <c r="A404">
        <v>10130040</v>
      </c>
      <c r="B404" s="11">
        <v>4070.4</v>
      </c>
      <c r="C404">
        <v>112040.38</v>
      </c>
      <c r="H404" s="39"/>
    </row>
    <row r="405" spans="1:8" x14ac:dyDescent="0.25">
      <c r="A405">
        <v>10130041</v>
      </c>
      <c r="B405" s="11">
        <v>146</v>
      </c>
      <c r="C405">
        <v>5702.02</v>
      </c>
      <c r="H405" s="39"/>
    </row>
    <row r="406" spans="1:8" x14ac:dyDescent="0.25">
      <c r="A406">
        <v>10130042</v>
      </c>
      <c r="B406" s="11">
        <v>95.899999999999977</v>
      </c>
      <c r="C406">
        <v>3565.74</v>
      </c>
      <c r="H406" s="39"/>
    </row>
    <row r="407" spans="1:8" x14ac:dyDescent="0.25">
      <c r="A407">
        <v>10130044</v>
      </c>
      <c r="B407" s="11">
        <v>9702.6</v>
      </c>
      <c r="C407">
        <v>436769.89000000007</v>
      </c>
      <c r="H407" s="39"/>
    </row>
    <row r="408" spans="1:8" x14ac:dyDescent="0.25">
      <c r="A408">
        <v>10130046</v>
      </c>
      <c r="B408" s="11">
        <v>1278.5</v>
      </c>
      <c r="C408">
        <v>57421.57</v>
      </c>
      <c r="H408" s="39"/>
    </row>
    <row r="409" spans="1:8" x14ac:dyDescent="0.25">
      <c r="A409">
        <v>10130047</v>
      </c>
      <c r="B409" s="11">
        <v>1039.5999999999999</v>
      </c>
      <c r="C409">
        <v>40061.189999999995</v>
      </c>
      <c r="H409" s="39"/>
    </row>
    <row r="410" spans="1:8" x14ac:dyDescent="0.25">
      <c r="A410">
        <v>10130052</v>
      </c>
      <c r="B410" s="11">
        <v>4292.4000000000005</v>
      </c>
      <c r="C410">
        <v>155187.83999999997</v>
      </c>
      <c r="H410" s="39"/>
    </row>
    <row r="411" spans="1:8" x14ac:dyDescent="0.25">
      <c r="A411">
        <v>10130054</v>
      </c>
      <c r="B411" s="11">
        <v>3071.3999999999996</v>
      </c>
      <c r="C411">
        <v>126025.40999999999</v>
      </c>
      <c r="H411" s="39"/>
    </row>
    <row r="412" spans="1:8" x14ac:dyDescent="0.25">
      <c r="A412">
        <v>10130058</v>
      </c>
      <c r="B412" s="11">
        <v>5309.5999999999995</v>
      </c>
      <c r="C412">
        <v>177706.01</v>
      </c>
      <c r="H412" s="39"/>
    </row>
    <row r="413" spans="1:8" x14ac:dyDescent="0.25">
      <c r="A413">
        <v>10130065</v>
      </c>
      <c r="B413" s="11">
        <v>2153.4</v>
      </c>
      <c r="C413">
        <v>86465.35</v>
      </c>
      <c r="H413" s="39"/>
    </row>
    <row r="414" spans="1:8" x14ac:dyDescent="0.25">
      <c r="A414">
        <v>10130074</v>
      </c>
      <c r="B414" s="11">
        <v>876.69999999999993</v>
      </c>
      <c r="C414">
        <v>33592.25</v>
      </c>
      <c r="H414" s="39"/>
    </row>
    <row r="415" spans="1:8" x14ac:dyDescent="0.25">
      <c r="A415">
        <v>10130077</v>
      </c>
      <c r="B415" s="11">
        <v>1478.8</v>
      </c>
      <c r="C415">
        <v>54541.33</v>
      </c>
      <c r="H415" s="39"/>
    </row>
    <row r="416" spans="1:8" x14ac:dyDescent="0.25">
      <c r="A416">
        <v>10130080</v>
      </c>
      <c r="B416" s="11">
        <v>142.5</v>
      </c>
      <c r="C416">
        <v>5932.33</v>
      </c>
      <c r="H416" s="39"/>
    </row>
    <row r="417" spans="1:8" x14ac:dyDescent="0.25">
      <c r="A417">
        <v>10130083</v>
      </c>
      <c r="B417" s="11">
        <v>3956.4</v>
      </c>
      <c r="C417">
        <v>126429.95000000001</v>
      </c>
      <c r="H417" s="39"/>
    </row>
    <row r="418" spans="1:8" x14ac:dyDescent="0.25">
      <c r="A418">
        <v>10130093</v>
      </c>
      <c r="B418" s="11">
        <v>1017.4000000000001</v>
      </c>
      <c r="C418">
        <v>44433.54</v>
      </c>
      <c r="H418" s="39"/>
    </row>
    <row r="419" spans="1:8" x14ac:dyDescent="0.25">
      <c r="A419">
        <v>10130097</v>
      </c>
      <c r="B419" s="11">
        <v>331</v>
      </c>
      <c r="C419">
        <v>10896.42</v>
      </c>
      <c r="H419" s="39"/>
    </row>
    <row r="420" spans="1:8" x14ac:dyDescent="0.25">
      <c r="A420">
        <v>10130098</v>
      </c>
      <c r="B420" s="11">
        <v>879</v>
      </c>
      <c r="C420">
        <v>45420.47</v>
      </c>
      <c r="H420" s="39"/>
    </row>
    <row r="421" spans="1:8" x14ac:dyDescent="0.25">
      <c r="A421">
        <v>10130100</v>
      </c>
      <c r="B421" s="11">
        <v>358.61</v>
      </c>
      <c r="C421">
        <v>14307.97</v>
      </c>
      <c r="H421" s="39"/>
    </row>
    <row r="422" spans="1:8" x14ac:dyDescent="0.25">
      <c r="A422">
        <v>10130102</v>
      </c>
      <c r="B422" s="11">
        <v>721.4</v>
      </c>
      <c r="C422">
        <v>25179.53</v>
      </c>
      <c r="H422" s="39"/>
    </row>
    <row r="423" spans="1:8" x14ac:dyDescent="0.25">
      <c r="A423">
        <v>10130107</v>
      </c>
      <c r="B423" s="11">
        <v>1190.7</v>
      </c>
      <c r="C423">
        <v>50059.399999999994</v>
      </c>
      <c r="H423" s="39"/>
    </row>
    <row r="424" spans="1:8" x14ac:dyDescent="0.25">
      <c r="A424">
        <v>10140001</v>
      </c>
      <c r="B424" s="11">
        <v>2340.8000000000002</v>
      </c>
      <c r="C424">
        <v>79070</v>
      </c>
      <c r="H424" s="39"/>
    </row>
    <row r="425" spans="1:8" x14ac:dyDescent="0.25">
      <c r="A425">
        <v>10140002</v>
      </c>
      <c r="B425" s="11">
        <v>2761.4</v>
      </c>
      <c r="C425">
        <v>104878.09999999999</v>
      </c>
      <c r="H425" s="39"/>
    </row>
    <row r="426" spans="1:8" x14ac:dyDescent="0.25">
      <c r="A426">
        <v>10140003</v>
      </c>
      <c r="B426" s="11">
        <v>4247.1000000000004</v>
      </c>
      <c r="C426">
        <v>176472.97999999998</v>
      </c>
      <c r="H426" s="39"/>
    </row>
    <row r="427" spans="1:8" x14ac:dyDescent="0.25">
      <c r="A427">
        <v>10140007</v>
      </c>
      <c r="B427" s="11">
        <v>2902.2000000000003</v>
      </c>
      <c r="C427">
        <v>108177.91999999998</v>
      </c>
      <c r="H427" s="39"/>
    </row>
    <row r="428" spans="1:8" x14ac:dyDescent="0.25">
      <c r="A428">
        <v>10140008</v>
      </c>
      <c r="B428" s="11">
        <v>2254.8000000000002</v>
      </c>
      <c r="C428">
        <v>87895.069999999978</v>
      </c>
      <c r="H428" s="39"/>
    </row>
    <row r="429" spans="1:8" x14ac:dyDescent="0.25">
      <c r="A429">
        <v>10140009</v>
      </c>
      <c r="B429" s="11">
        <v>4749.3999999999996</v>
      </c>
      <c r="C429">
        <v>200730.76</v>
      </c>
      <c r="H429" s="39"/>
    </row>
    <row r="430" spans="1:8" x14ac:dyDescent="0.25">
      <c r="A430">
        <v>10140012</v>
      </c>
      <c r="B430" s="11">
        <v>5545.7999999999993</v>
      </c>
      <c r="C430">
        <v>251068.59000000003</v>
      </c>
      <c r="H430" s="39"/>
    </row>
    <row r="431" spans="1:8" x14ac:dyDescent="0.25">
      <c r="A431">
        <v>10140013</v>
      </c>
      <c r="B431" s="11">
        <v>8848</v>
      </c>
      <c r="C431">
        <v>358677</v>
      </c>
      <c r="H431" s="39"/>
    </row>
    <row r="432" spans="1:8" x14ac:dyDescent="0.25">
      <c r="A432">
        <v>10140018</v>
      </c>
      <c r="B432" s="11">
        <v>1146.8999999999999</v>
      </c>
      <c r="C432">
        <v>60782.869999999995</v>
      </c>
      <c r="H432" s="39"/>
    </row>
    <row r="433" spans="1:8" x14ac:dyDescent="0.25">
      <c r="A433">
        <v>10140022</v>
      </c>
      <c r="B433" s="11">
        <v>2094.3000000000002</v>
      </c>
      <c r="C433">
        <v>79005.02</v>
      </c>
      <c r="H433" s="39"/>
    </row>
    <row r="434" spans="1:8" x14ac:dyDescent="0.25">
      <c r="A434">
        <v>10140032</v>
      </c>
      <c r="B434" s="11">
        <v>1247</v>
      </c>
      <c r="C434">
        <v>44456.69</v>
      </c>
      <c r="H434" s="39"/>
    </row>
    <row r="435" spans="1:8" x14ac:dyDescent="0.25">
      <c r="A435">
        <v>10140033</v>
      </c>
      <c r="B435" s="11">
        <v>204.60000000000002</v>
      </c>
      <c r="C435">
        <v>7658.9300000000012</v>
      </c>
      <c r="H435" s="39"/>
    </row>
    <row r="436" spans="1:8" x14ac:dyDescent="0.25">
      <c r="A436">
        <v>10140034</v>
      </c>
      <c r="B436" s="11">
        <v>1543.8</v>
      </c>
      <c r="C436">
        <v>56949.54</v>
      </c>
      <c r="H436" s="39"/>
    </row>
    <row r="437" spans="1:8" x14ac:dyDescent="0.25">
      <c r="A437">
        <v>10140039</v>
      </c>
      <c r="B437" s="11">
        <v>966.2</v>
      </c>
      <c r="C437">
        <v>38154.300000000003</v>
      </c>
      <c r="H437" s="39"/>
    </row>
    <row r="438" spans="1:8" x14ac:dyDescent="0.25">
      <c r="A438">
        <v>10140043</v>
      </c>
      <c r="B438" s="11">
        <v>844</v>
      </c>
      <c r="C438">
        <v>34318.720000000001</v>
      </c>
      <c r="H438" s="39"/>
    </row>
    <row r="439" spans="1:8" x14ac:dyDescent="0.25">
      <c r="A439">
        <v>10140045</v>
      </c>
      <c r="B439" s="11">
        <v>595.6</v>
      </c>
      <c r="C439">
        <v>23770.36</v>
      </c>
      <c r="H439" s="39"/>
    </row>
    <row r="440" spans="1:8" x14ac:dyDescent="0.25">
      <c r="A440">
        <v>10140047</v>
      </c>
      <c r="B440" s="11">
        <v>1989.4</v>
      </c>
      <c r="C440">
        <v>96952.320000000007</v>
      </c>
      <c r="H440" s="110"/>
    </row>
    <row r="441" spans="1:8" x14ac:dyDescent="0.25">
      <c r="A441">
        <v>10140048</v>
      </c>
      <c r="B441" s="11">
        <v>1164.2</v>
      </c>
      <c r="C441">
        <v>46592.83</v>
      </c>
      <c r="H441" s="39"/>
    </row>
    <row r="442" spans="1:8" x14ac:dyDescent="0.25">
      <c r="A442">
        <v>10140054</v>
      </c>
      <c r="B442" s="11">
        <v>1034.3000000000002</v>
      </c>
      <c r="C442">
        <v>46469.829999999994</v>
      </c>
      <c r="H442" s="48"/>
    </row>
    <row r="443" spans="1:8" x14ac:dyDescent="0.25">
      <c r="A443">
        <v>10140055</v>
      </c>
      <c r="B443" s="11">
        <v>999</v>
      </c>
      <c r="C443">
        <v>38459.71</v>
      </c>
      <c r="H443" s="105"/>
    </row>
    <row r="444" spans="1:8" x14ac:dyDescent="0.25">
      <c r="A444">
        <v>10140066</v>
      </c>
      <c r="B444" s="11">
        <v>736.7</v>
      </c>
      <c r="C444">
        <v>37409.789999999994</v>
      </c>
      <c r="H444" s="191"/>
    </row>
    <row r="445" spans="1:8" x14ac:dyDescent="0.25">
      <c r="A445">
        <v>10140068</v>
      </c>
      <c r="B445" s="11">
        <v>1975.3999999999996</v>
      </c>
      <c r="C445">
        <v>75007.47</v>
      </c>
      <c r="H445" s="105"/>
    </row>
    <row r="446" spans="1:8" x14ac:dyDescent="0.25">
      <c r="A446">
        <v>10140069</v>
      </c>
      <c r="B446" s="11">
        <v>1491.2399999999998</v>
      </c>
      <c r="C446">
        <v>59414.53</v>
      </c>
      <c r="H446" s="192"/>
    </row>
    <row r="447" spans="1:8" x14ac:dyDescent="0.25">
      <c r="A447">
        <v>10140071</v>
      </c>
      <c r="B447" s="11">
        <v>4419.6000000000004</v>
      </c>
      <c r="C447">
        <v>155894.01</v>
      </c>
      <c r="H447" s="39"/>
    </row>
    <row r="448" spans="1:8" x14ac:dyDescent="0.25">
      <c r="A448">
        <v>10140083</v>
      </c>
      <c r="B448" s="11">
        <v>4001.12</v>
      </c>
      <c r="C448">
        <v>164487.69999999998</v>
      </c>
      <c r="H448" s="39"/>
    </row>
    <row r="449" spans="1:8" x14ac:dyDescent="0.25">
      <c r="A449">
        <v>10140087</v>
      </c>
      <c r="B449" s="11">
        <v>720.89999999999986</v>
      </c>
      <c r="C449">
        <v>30135.260000000002</v>
      </c>
      <c r="H449" s="39"/>
    </row>
    <row r="450" spans="1:8" x14ac:dyDescent="0.25">
      <c r="A450">
        <v>10140095</v>
      </c>
      <c r="B450" s="11">
        <v>64.400000000000006</v>
      </c>
      <c r="C450">
        <v>2303.69</v>
      </c>
      <c r="H450" s="39"/>
    </row>
    <row r="451" spans="1:8" x14ac:dyDescent="0.25">
      <c r="A451">
        <v>10140098</v>
      </c>
      <c r="B451" s="11">
        <v>3915.8</v>
      </c>
      <c r="C451">
        <v>161451.92000000004</v>
      </c>
      <c r="H451" s="39"/>
    </row>
    <row r="452" spans="1:8" x14ac:dyDescent="0.25">
      <c r="A452">
        <v>10140099</v>
      </c>
      <c r="B452" s="11">
        <v>647.29999999999995</v>
      </c>
      <c r="C452">
        <v>25548.13</v>
      </c>
      <c r="H452" s="39"/>
    </row>
    <row r="453" spans="1:8" x14ac:dyDescent="0.25">
      <c r="A453">
        <v>10140109</v>
      </c>
      <c r="B453" s="11">
        <v>2826.9000000000005</v>
      </c>
      <c r="C453">
        <v>106111.28</v>
      </c>
      <c r="H453" s="39"/>
    </row>
    <row r="454" spans="1:8" x14ac:dyDescent="0.25">
      <c r="A454">
        <v>10140120</v>
      </c>
      <c r="B454" s="11">
        <v>2117.4</v>
      </c>
      <c r="C454">
        <v>87770.189999999988</v>
      </c>
      <c r="H454" s="39"/>
    </row>
    <row r="455" spans="1:8" x14ac:dyDescent="0.25">
      <c r="A455">
        <v>10140126</v>
      </c>
      <c r="B455" s="11">
        <v>810.80000000000007</v>
      </c>
      <c r="C455">
        <v>29743.489999999998</v>
      </c>
      <c r="H455" s="39"/>
    </row>
    <row r="456" spans="1:8" x14ac:dyDescent="0.25">
      <c r="A456">
        <v>10140129</v>
      </c>
      <c r="B456" s="11">
        <v>429.4</v>
      </c>
      <c r="C456">
        <v>15981.86</v>
      </c>
      <c r="H456" s="39"/>
    </row>
    <row r="457" spans="1:8" x14ac:dyDescent="0.25">
      <c r="A457">
        <v>10140131</v>
      </c>
      <c r="B457" s="11">
        <v>171.5</v>
      </c>
      <c r="C457">
        <v>6382.42</v>
      </c>
      <c r="H457" s="39"/>
    </row>
    <row r="458" spans="1:8" x14ac:dyDescent="0.25">
      <c r="A458">
        <v>10140132</v>
      </c>
      <c r="B458" s="11">
        <v>1417.7000000000003</v>
      </c>
      <c r="C458">
        <v>49379.560000000012</v>
      </c>
      <c r="H458" s="110"/>
    </row>
    <row r="459" spans="1:8" x14ac:dyDescent="0.25">
      <c r="A459">
        <v>10140135</v>
      </c>
      <c r="B459" s="11">
        <v>1433.8000000000002</v>
      </c>
      <c r="C459">
        <v>58641.51999999999</v>
      </c>
      <c r="H459" s="39"/>
    </row>
    <row r="460" spans="1:8" x14ac:dyDescent="0.25">
      <c r="A460">
        <v>10140137</v>
      </c>
      <c r="B460" s="11">
        <v>2017.5</v>
      </c>
      <c r="C460">
        <v>87933.17</v>
      </c>
      <c r="H460" s="48"/>
    </row>
    <row r="461" spans="1:8" x14ac:dyDescent="0.25">
      <c r="A461">
        <v>10140139</v>
      </c>
      <c r="B461" s="11">
        <v>1139.5</v>
      </c>
      <c r="C461">
        <v>34030.909999999996</v>
      </c>
      <c r="H461" s="39"/>
    </row>
    <row r="462" spans="1:8" x14ac:dyDescent="0.25">
      <c r="A462">
        <v>10140153</v>
      </c>
      <c r="B462" s="11">
        <v>422.2</v>
      </c>
      <c r="C462">
        <v>14614.41</v>
      </c>
      <c r="H462" s="39"/>
    </row>
    <row r="463" spans="1:8" x14ac:dyDescent="0.25">
      <c r="A463">
        <v>10140156</v>
      </c>
      <c r="B463" s="11">
        <v>3248.7</v>
      </c>
      <c r="C463">
        <v>127192.73999999998</v>
      </c>
      <c r="H463" s="39"/>
    </row>
    <row r="464" spans="1:8" x14ac:dyDescent="0.25">
      <c r="A464">
        <v>10140166</v>
      </c>
      <c r="B464" s="11">
        <v>1219.9000000000001</v>
      </c>
      <c r="C464">
        <v>60980.560000000005</v>
      </c>
      <c r="H464" s="39"/>
    </row>
    <row r="465" spans="1:8" x14ac:dyDescent="0.25">
      <c r="A465">
        <v>10140167</v>
      </c>
      <c r="B465" s="11">
        <v>7742.5</v>
      </c>
      <c r="C465">
        <v>299389.59000000003</v>
      </c>
      <c r="H465" s="39"/>
    </row>
    <row r="466" spans="1:8" x14ac:dyDescent="0.25">
      <c r="A466">
        <v>10140170</v>
      </c>
      <c r="B466" s="11">
        <v>1338</v>
      </c>
      <c r="C466">
        <v>59410.729999999996</v>
      </c>
      <c r="H466" s="39"/>
    </row>
    <row r="467" spans="1:8" x14ac:dyDescent="0.25">
      <c r="A467">
        <v>10140173</v>
      </c>
      <c r="B467" s="11">
        <v>3471</v>
      </c>
      <c r="C467">
        <v>129010.09999999999</v>
      </c>
      <c r="H467" s="39"/>
    </row>
    <row r="468" spans="1:8" x14ac:dyDescent="0.25">
      <c r="A468">
        <v>10140176</v>
      </c>
      <c r="B468" s="11">
        <v>432.3</v>
      </c>
      <c r="C468">
        <v>16324.33</v>
      </c>
      <c r="H468" s="39"/>
    </row>
    <row r="469" spans="1:8" x14ac:dyDescent="0.25">
      <c r="A469">
        <v>10140179</v>
      </c>
      <c r="B469" s="11">
        <v>4223.6000000000004</v>
      </c>
      <c r="C469">
        <v>178940.55000000005</v>
      </c>
      <c r="H469" s="39"/>
    </row>
    <row r="470" spans="1:8" x14ac:dyDescent="0.25">
      <c r="A470">
        <v>10140180</v>
      </c>
      <c r="B470" s="11">
        <v>771.82999999999993</v>
      </c>
      <c r="C470">
        <v>31699.120000000003</v>
      </c>
      <c r="H470" s="39"/>
    </row>
    <row r="471" spans="1:8" x14ac:dyDescent="0.25">
      <c r="A471">
        <v>10140185</v>
      </c>
      <c r="B471" s="11">
        <v>1474.9</v>
      </c>
      <c r="C471">
        <v>50608.19</v>
      </c>
      <c r="H471" s="39"/>
    </row>
    <row r="472" spans="1:8" x14ac:dyDescent="0.25">
      <c r="A472">
        <v>10180001</v>
      </c>
      <c r="B472" s="11">
        <v>2848.3</v>
      </c>
      <c r="C472">
        <v>118352.8</v>
      </c>
      <c r="H472" s="39"/>
    </row>
    <row r="473" spans="1:8" x14ac:dyDescent="0.25">
      <c r="A473">
        <v>10240001</v>
      </c>
      <c r="B473" s="11">
        <v>8827.4</v>
      </c>
      <c r="C473">
        <v>336680.88</v>
      </c>
      <c r="H473" s="39"/>
    </row>
    <row r="474" spans="1:8" x14ac:dyDescent="0.25">
      <c r="A474">
        <v>10250001</v>
      </c>
      <c r="B474" s="11">
        <v>7315.9500000000007</v>
      </c>
      <c r="C474">
        <v>321938.95999999996</v>
      </c>
      <c r="H474" s="39"/>
    </row>
    <row r="475" spans="1:8" x14ac:dyDescent="0.25">
      <c r="A475">
        <v>10260001</v>
      </c>
      <c r="B475" s="11">
        <v>5968.9000000000005</v>
      </c>
      <c r="C475">
        <v>227823.4</v>
      </c>
      <c r="H475" s="39"/>
    </row>
    <row r="476" spans="1:8" x14ac:dyDescent="0.25">
      <c r="A476">
        <v>10290001</v>
      </c>
      <c r="B476" s="11">
        <v>7674.1999999999989</v>
      </c>
      <c r="C476">
        <v>285640.07</v>
      </c>
      <c r="H476" s="39"/>
    </row>
    <row r="477" spans="1:8" x14ac:dyDescent="0.25">
      <c r="A477">
        <v>10300001</v>
      </c>
      <c r="B477" s="11">
        <v>5123.3</v>
      </c>
      <c r="C477">
        <v>216174.53000000003</v>
      </c>
      <c r="H477" s="39"/>
    </row>
    <row r="478" spans="1:8" x14ac:dyDescent="0.25">
      <c r="A478">
        <v>10310001</v>
      </c>
      <c r="B478" s="11">
        <v>3811.5</v>
      </c>
      <c r="C478">
        <v>158387.88</v>
      </c>
      <c r="H478" s="39"/>
    </row>
    <row r="479" spans="1:8" x14ac:dyDescent="0.25">
      <c r="A479">
        <v>10320001</v>
      </c>
      <c r="B479" s="11">
        <v>6457.3</v>
      </c>
      <c r="C479">
        <v>257740.98000000004</v>
      </c>
      <c r="H479" s="39"/>
    </row>
    <row r="480" spans="1:8" x14ac:dyDescent="0.25">
      <c r="A480">
        <v>10340001</v>
      </c>
      <c r="B480" s="11">
        <v>5669.4</v>
      </c>
      <c r="C480">
        <v>218607.40999999997</v>
      </c>
      <c r="H480" s="39"/>
    </row>
    <row r="481" spans="1:8" x14ac:dyDescent="0.25">
      <c r="A481">
        <v>10350001</v>
      </c>
      <c r="B481" s="11">
        <v>6864.7999999999993</v>
      </c>
      <c r="C481">
        <v>284165.61</v>
      </c>
      <c r="H481" s="39"/>
    </row>
    <row r="482" spans="1:8" x14ac:dyDescent="0.25">
      <c r="A482">
        <v>10360001</v>
      </c>
      <c r="B482" s="11">
        <v>9095</v>
      </c>
      <c r="C482">
        <v>356722.28</v>
      </c>
      <c r="H482" s="39"/>
    </row>
    <row r="483" spans="1:8" x14ac:dyDescent="0.25">
      <c r="A483">
        <v>10380001</v>
      </c>
      <c r="B483" s="11">
        <v>2484</v>
      </c>
      <c r="C483">
        <v>88979.44</v>
      </c>
      <c r="H483" s="39"/>
    </row>
    <row r="484" spans="1:8" x14ac:dyDescent="0.25">
      <c r="A484">
        <v>10390001</v>
      </c>
      <c r="B484" s="11">
        <v>2225</v>
      </c>
      <c r="C484">
        <v>79740.36</v>
      </c>
      <c r="H484" s="39"/>
    </row>
    <row r="485" spans="1:8" x14ac:dyDescent="0.25">
      <c r="A485">
        <v>10400001</v>
      </c>
      <c r="B485" s="11">
        <v>8528</v>
      </c>
      <c r="C485">
        <v>301667.96000000002</v>
      </c>
      <c r="H485" s="39"/>
    </row>
    <row r="486" spans="1:8" x14ac:dyDescent="0.25">
      <c r="A486">
        <v>10410001</v>
      </c>
      <c r="B486" s="11">
        <v>11714</v>
      </c>
      <c r="C486">
        <v>406349.06</v>
      </c>
      <c r="H486" s="39"/>
    </row>
    <row r="487" spans="1:8" x14ac:dyDescent="0.25">
      <c r="A487">
        <v>10440001</v>
      </c>
      <c r="B487" s="11">
        <v>290.10000000000002</v>
      </c>
      <c r="C487">
        <v>10010.419999999998</v>
      </c>
      <c r="H487" s="39"/>
    </row>
    <row r="488" spans="1:8" x14ac:dyDescent="0.25">
      <c r="A488">
        <v>10460001</v>
      </c>
      <c r="B488" s="11">
        <v>2170.1</v>
      </c>
      <c r="C488">
        <v>76621.47</v>
      </c>
      <c r="H488" s="39"/>
    </row>
    <row r="489" spans="1:8" x14ac:dyDescent="0.25">
      <c r="A489">
        <v>10460002</v>
      </c>
      <c r="B489" s="11">
        <v>3035.7</v>
      </c>
      <c r="C489">
        <v>96538.4</v>
      </c>
      <c r="H489" s="39"/>
    </row>
    <row r="490" spans="1:8" x14ac:dyDescent="0.25">
      <c r="A490">
        <v>10480001</v>
      </c>
      <c r="B490" s="11">
        <v>1419.8</v>
      </c>
      <c r="C490">
        <v>54765.39</v>
      </c>
      <c r="H490" s="39"/>
    </row>
    <row r="491" spans="1:8" x14ac:dyDescent="0.25">
      <c r="A491">
        <v>10480002</v>
      </c>
      <c r="B491" s="11">
        <v>1556.9</v>
      </c>
      <c r="C491">
        <v>53934.630000000005</v>
      </c>
      <c r="H491" s="39"/>
    </row>
    <row r="492" spans="1:8" x14ac:dyDescent="0.25">
      <c r="A492">
        <v>10480003</v>
      </c>
      <c r="B492" s="11">
        <v>4776</v>
      </c>
      <c r="C492">
        <v>152369.28999999998</v>
      </c>
      <c r="H492" s="110"/>
    </row>
    <row r="493" spans="1:8" x14ac:dyDescent="0.25">
      <c r="A493">
        <v>10480005</v>
      </c>
      <c r="B493" s="11">
        <v>1484.2</v>
      </c>
      <c r="C493">
        <v>61182.7</v>
      </c>
      <c r="H493" s="39"/>
    </row>
    <row r="494" spans="1:8" x14ac:dyDescent="0.25">
      <c r="A494">
        <v>10480008</v>
      </c>
      <c r="B494" s="11">
        <v>1974.1000000000001</v>
      </c>
      <c r="C494">
        <v>80302.559999999998</v>
      </c>
      <c r="H494" s="48"/>
    </row>
    <row r="495" spans="1:8" x14ac:dyDescent="0.25">
      <c r="A495">
        <v>10480022</v>
      </c>
      <c r="B495" s="11">
        <v>1851.3</v>
      </c>
      <c r="C495">
        <v>71927.42</v>
      </c>
      <c r="H495" s="39"/>
    </row>
    <row r="496" spans="1:8" x14ac:dyDescent="0.25">
      <c r="A496">
        <v>10480023</v>
      </c>
      <c r="B496" s="11">
        <v>6707.6</v>
      </c>
      <c r="C496">
        <v>270868.32</v>
      </c>
      <c r="H496" s="39"/>
    </row>
    <row r="497" spans="1:8" x14ac:dyDescent="0.25">
      <c r="A497">
        <v>10480028</v>
      </c>
      <c r="B497" s="11">
        <v>2064.9</v>
      </c>
      <c r="C497">
        <v>77480.439999999988</v>
      </c>
      <c r="H497" s="39"/>
    </row>
    <row r="498" spans="1:8" x14ac:dyDescent="0.25">
      <c r="A498">
        <v>10480034</v>
      </c>
      <c r="B498" s="11">
        <v>1186.3</v>
      </c>
      <c r="C498">
        <v>49168.43</v>
      </c>
      <c r="H498" s="39"/>
    </row>
    <row r="499" spans="1:8" x14ac:dyDescent="0.25">
      <c r="A499">
        <v>10500001</v>
      </c>
      <c r="B499" s="11">
        <v>3576.25</v>
      </c>
      <c r="C499">
        <v>136852.38</v>
      </c>
      <c r="H499" s="39"/>
    </row>
    <row r="500" spans="1:8" x14ac:dyDescent="0.25">
      <c r="A500">
        <v>10510001</v>
      </c>
      <c r="B500" s="11">
        <v>9082.4999999999982</v>
      </c>
      <c r="C500">
        <v>346457.89999999997</v>
      </c>
      <c r="H500" s="39"/>
    </row>
    <row r="501" spans="1:8" x14ac:dyDescent="0.25">
      <c r="A501">
        <v>10510002</v>
      </c>
      <c r="B501" s="11">
        <v>4499.0999999999995</v>
      </c>
      <c r="C501">
        <v>188697.52</v>
      </c>
      <c r="H501" s="39"/>
    </row>
    <row r="502" spans="1:8" x14ac:dyDescent="0.25">
      <c r="A502">
        <v>10510004</v>
      </c>
      <c r="B502" s="11">
        <v>8897.6999999999989</v>
      </c>
      <c r="C502">
        <v>347907.99</v>
      </c>
      <c r="H502" s="39"/>
    </row>
    <row r="503" spans="1:8" x14ac:dyDescent="0.25">
      <c r="A503">
        <v>10520006</v>
      </c>
      <c r="B503" s="11">
        <v>85500</v>
      </c>
      <c r="C503">
        <v>3197725.05</v>
      </c>
      <c r="H503" s="39"/>
    </row>
    <row r="504" spans="1:8" x14ac:dyDescent="0.25">
      <c r="A504">
        <v>10530001</v>
      </c>
      <c r="B504" s="11">
        <v>5639.4</v>
      </c>
      <c r="C504">
        <v>240277.35000000003</v>
      </c>
      <c r="H504" s="39"/>
    </row>
    <row r="505" spans="1:8" x14ac:dyDescent="0.25">
      <c r="A505">
        <v>10530002</v>
      </c>
      <c r="B505" s="11">
        <v>7185.35</v>
      </c>
      <c r="C505">
        <v>289630.61</v>
      </c>
      <c r="H505" s="39"/>
    </row>
    <row r="506" spans="1:8" x14ac:dyDescent="0.25">
      <c r="A506">
        <v>10530003</v>
      </c>
      <c r="B506" s="11">
        <v>3775.05</v>
      </c>
      <c r="C506">
        <v>165867.77000000002</v>
      </c>
      <c r="H506" s="39"/>
    </row>
    <row r="507" spans="1:8" x14ac:dyDescent="0.25">
      <c r="A507">
        <v>10530005</v>
      </c>
      <c r="B507" s="11">
        <v>2664.9500000000003</v>
      </c>
      <c r="C507">
        <v>126402.71</v>
      </c>
      <c r="H507" s="39"/>
    </row>
    <row r="508" spans="1:8" x14ac:dyDescent="0.25">
      <c r="A508">
        <v>10530006</v>
      </c>
      <c r="B508" s="11">
        <v>5022.8</v>
      </c>
      <c r="C508">
        <v>232304.83</v>
      </c>
      <c r="H508" s="39"/>
    </row>
    <row r="509" spans="1:8" x14ac:dyDescent="0.25">
      <c r="A509">
        <v>10530007</v>
      </c>
      <c r="B509" s="11">
        <v>1908.6999999999998</v>
      </c>
      <c r="C509">
        <v>86532.12</v>
      </c>
      <c r="H509" s="39"/>
    </row>
    <row r="510" spans="1:8" x14ac:dyDescent="0.25">
      <c r="A510">
        <v>10530008</v>
      </c>
      <c r="B510" s="11">
        <v>1524.9499999999998</v>
      </c>
      <c r="C510">
        <v>69911.149999999994</v>
      </c>
      <c r="H510" s="39"/>
    </row>
    <row r="511" spans="1:8" x14ac:dyDescent="0.25">
      <c r="A511">
        <v>10530009</v>
      </c>
      <c r="B511" s="11">
        <v>27920.9</v>
      </c>
      <c r="C511">
        <v>1156660.4300000002</v>
      </c>
      <c r="H511" s="39"/>
    </row>
    <row r="512" spans="1:8" x14ac:dyDescent="0.25">
      <c r="A512">
        <v>10530010</v>
      </c>
      <c r="B512" s="11">
        <v>11549.45</v>
      </c>
      <c r="C512">
        <v>499758.39</v>
      </c>
      <c r="H512" s="39"/>
    </row>
    <row r="513" spans="1:8" x14ac:dyDescent="0.25">
      <c r="A513">
        <v>10530014</v>
      </c>
      <c r="B513" s="11">
        <v>5867.75</v>
      </c>
      <c r="C513">
        <v>227582.65999999997</v>
      </c>
      <c r="H513" s="39"/>
    </row>
    <row r="514" spans="1:8" x14ac:dyDescent="0.25">
      <c r="A514">
        <v>10530015</v>
      </c>
      <c r="B514" s="11">
        <v>2426.1</v>
      </c>
      <c r="C514">
        <v>100901.56</v>
      </c>
      <c r="H514" s="39"/>
    </row>
    <row r="515" spans="1:8" x14ac:dyDescent="0.25">
      <c r="A515">
        <v>10530016</v>
      </c>
      <c r="B515" s="11">
        <v>3502.85</v>
      </c>
      <c r="C515">
        <v>141432.46999999997</v>
      </c>
      <c r="H515" s="39"/>
    </row>
    <row r="516" spans="1:8" x14ac:dyDescent="0.25">
      <c r="A516">
        <v>10530017</v>
      </c>
      <c r="B516" s="11">
        <v>11409</v>
      </c>
      <c r="C516">
        <v>506557.29000000004</v>
      </c>
      <c r="H516" s="39"/>
    </row>
    <row r="517" spans="1:8" x14ac:dyDescent="0.25">
      <c r="A517">
        <v>10530018</v>
      </c>
      <c r="B517" s="11">
        <v>3814.5</v>
      </c>
      <c r="C517">
        <v>157622.93</v>
      </c>
      <c r="H517" s="39"/>
    </row>
    <row r="518" spans="1:8" x14ac:dyDescent="0.25">
      <c r="A518">
        <v>10530019</v>
      </c>
      <c r="B518" s="11">
        <v>4028.8</v>
      </c>
      <c r="C518">
        <v>166946.91999999998</v>
      </c>
      <c r="H518" s="39"/>
    </row>
    <row r="519" spans="1:8" x14ac:dyDescent="0.25">
      <c r="A519">
        <v>10530025</v>
      </c>
      <c r="B519" s="11">
        <v>1366.1</v>
      </c>
      <c r="C519">
        <v>60820.770000000004</v>
      </c>
      <c r="H519" s="39"/>
    </row>
    <row r="520" spans="1:8" x14ac:dyDescent="0.25">
      <c r="A520">
        <v>10530029</v>
      </c>
      <c r="B520" s="11">
        <v>3520.3999999999996</v>
      </c>
      <c r="C520">
        <v>159918.72999999998</v>
      </c>
      <c r="H520" s="39"/>
    </row>
    <row r="521" spans="1:8" x14ac:dyDescent="0.25">
      <c r="A521">
        <v>10530030</v>
      </c>
      <c r="B521" s="11">
        <v>1266.1999999999998</v>
      </c>
      <c r="C521">
        <v>51563.97</v>
      </c>
      <c r="H521" s="39"/>
    </row>
    <row r="522" spans="1:8" x14ac:dyDescent="0.25">
      <c r="A522">
        <v>10530031</v>
      </c>
      <c r="B522" s="11">
        <v>12159.1</v>
      </c>
      <c r="C522">
        <v>513129.03</v>
      </c>
      <c r="H522" s="39"/>
    </row>
    <row r="523" spans="1:8" x14ac:dyDescent="0.25">
      <c r="A523">
        <v>10530032</v>
      </c>
      <c r="B523" s="11">
        <v>2421.9</v>
      </c>
      <c r="C523">
        <v>117994.04</v>
      </c>
      <c r="H523" s="39"/>
    </row>
    <row r="524" spans="1:8" x14ac:dyDescent="0.25">
      <c r="A524">
        <v>10530033</v>
      </c>
      <c r="B524" s="11">
        <v>3270.1000000000004</v>
      </c>
      <c r="C524">
        <v>148140.49</v>
      </c>
      <c r="H524" s="39"/>
    </row>
    <row r="525" spans="1:8" x14ac:dyDescent="0.25">
      <c r="A525">
        <v>10530034</v>
      </c>
      <c r="B525" s="11">
        <v>7164.0499999999993</v>
      </c>
      <c r="C525">
        <v>368449.31</v>
      </c>
      <c r="H525" s="39"/>
    </row>
    <row r="526" spans="1:8" x14ac:dyDescent="0.25">
      <c r="A526">
        <v>10530035</v>
      </c>
      <c r="B526" s="11">
        <v>3156.55</v>
      </c>
      <c r="C526">
        <v>154031.08000000002</v>
      </c>
      <c r="H526" s="39"/>
    </row>
    <row r="527" spans="1:8" x14ac:dyDescent="0.25">
      <c r="A527">
        <v>10530038</v>
      </c>
      <c r="B527" s="11">
        <v>2731.7999999999997</v>
      </c>
      <c r="C527">
        <v>112978.73</v>
      </c>
      <c r="H527" s="39"/>
    </row>
    <row r="528" spans="1:8" x14ac:dyDescent="0.25">
      <c r="A528">
        <v>10530040</v>
      </c>
      <c r="B528" s="11">
        <v>2036.75</v>
      </c>
      <c r="C528">
        <v>98915.26</v>
      </c>
      <c r="H528" s="39"/>
    </row>
    <row r="529" spans="1:8" x14ac:dyDescent="0.25">
      <c r="A529">
        <v>10530044</v>
      </c>
      <c r="B529" s="11">
        <v>5242</v>
      </c>
      <c r="C529">
        <v>244798.89</v>
      </c>
      <c r="H529" s="39"/>
    </row>
    <row r="530" spans="1:8" x14ac:dyDescent="0.25">
      <c r="A530">
        <v>10530046</v>
      </c>
      <c r="B530" s="11">
        <v>1236.05</v>
      </c>
      <c r="C530">
        <v>61472.569999999992</v>
      </c>
      <c r="H530" s="39"/>
    </row>
    <row r="531" spans="1:8" x14ac:dyDescent="0.25">
      <c r="A531">
        <v>10530047</v>
      </c>
      <c r="B531" s="11">
        <v>1350.1</v>
      </c>
      <c r="C531">
        <v>48065.5</v>
      </c>
      <c r="H531" s="39"/>
    </row>
    <row r="532" spans="1:8" x14ac:dyDescent="0.25">
      <c r="A532">
        <v>10530048</v>
      </c>
      <c r="B532" s="11">
        <v>1172.75</v>
      </c>
      <c r="C532">
        <v>47866.319999999992</v>
      </c>
      <c r="H532" s="39"/>
    </row>
    <row r="533" spans="1:8" x14ac:dyDescent="0.25">
      <c r="A533">
        <v>10530049</v>
      </c>
      <c r="B533" s="11">
        <v>7963.1999999999989</v>
      </c>
      <c r="C533">
        <v>316876.78999999998</v>
      </c>
      <c r="H533" s="39"/>
    </row>
    <row r="534" spans="1:8" x14ac:dyDescent="0.25">
      <c r="A534">
        <v>10530050</v>
      </c>
      <c r="B534" s="11">
        <v>1214.0500000000002</v>
      </c>
      <c r="C534">
        <v>61325.960000000006</v>
      </c>
      <c r="H534" s="39"/>
    </row>
    <row r="535" spans="1:8" x14ac:dyDescent="0.25">
      <c r="A535">
        <v>10530055</v>
      </c>
      <c r="B535" s="11">
        <v>6617.05</v>
      </c>
      <c r="C535">
        <v>275019.89</v>
      </c>
      <c r="H535" s="39"/>
    </row>
    <row r="536" spans="1:8" x14ac:dyDescent="0.25">
      <c r="A536">
        <v>10530057</v>
      </c>
      <c r="B536" s="11">
        <v>240.55</v>
      </c>
      <c r="C536">
        <v>10659.09</v>
      </c>
      <c r="H536" s="39"/>
    </row>
    <row r="537" spans="1:8" x14ac:dyDescent="0.25">
      <c r="A537">
        <v>10530058</v>
      </c>
      <c r="B537" s="11">
        <v>565.94999999999993</v>
      </c>
      <c r="C537">
        <v>20803.669999999998</v>
      </c>
      <c r="H537" s="39"/>
    </row>
    <row r="538" spans="1:8" x14ac:dyDescent="0.25">
      <c r="A538">
        <v>10530059</v>
      </c>
      <c r="B538" s="11">
        <v>8063.9</v>
      </c>
      <c r="C538">
        <v>367799.34</v>
      </c>
      <c r="H538" s="39"/>
    </row>
    <row r="539" spans="1:8" x14ac:dyDescent="0.25">
      <c r="A539">
        <v>10530060</v>
      </c>
      <c r="B539" s="11">
        <v>4662</v>
      </c>
      <c r="C539">
        <v>201913.03</v>
      </c>
      <c r="H539" s="39"/>
    </row>
    <row r="540" spans="1:8" x14ac:dyDescent="0.25">
      <c r="A540">
        <v>10530062</v>
      </c>
      <c r="B540" s="11">
        <v>4581.55</v>
      </c>
      <c r="C540">
        <v>198528.71000000002</v>
      </c>
      <c r="H540" s="39"/>
    </row>
    <row r="541" spans="1:8" x14ac:dyDescent="0.25">
      <c r="A541">
        <v>10530063</v>
      </c>
      <c r="B541" s="11">
        <v>1285.25</v>
      </c>
      <c r="C541">
        <v>60979.149999999994</v>
      </c>
      <c r="H541" s="39"/>
    </row>
    <row r="542" spans="1:8" x14ac:dyDescent="0.25">
      <c r="A542">
        <v>10530064</v>
      </c>
      <c r="B542" s="11">
        <v>4651.05</v>
      </c>
      <c r="C542">
        <v>205386.78999999998</v>
      </c>
      <c r="H542" s="39"/>
    </row>
    <row r="543" spans="1:8" x14ac:dyDescent="0.25">
      <c r="A543">
        <v>10530065</v>
      </c>
      <c r="B543" s="11">
        <v>4147.2</v>
      </c>
      <c r="C543">
        <v>164578.22000000003</v>
      </c>
      <c r="H543" s="39"/>
    </row>
    <row r="544" spans="1:8" x14ac:dyDescent="0.25">
      <c r="A544">
        <v>10530067</v>
      </c>
      <c r="B544" s="11">
        <v>1924.3999999999999</v>
      </c>
      <c r="C544">
        <v>87222.59</v>
      </c>
      <c r="H544" s="39"/>
    </row>
    <row r="545" spans="1:8" x14ac:dyDescent="0.25">
      <c r="A545">
        <v>10530070</v>
      </c>
      <c r="B545" s="11">
        <v>1159.0500000000002</v>
      </c>
      <c r="C545">
        <v>58562.77</v>
      </c>
      <c r="H545" s="39"/>
    </row>
    <row r="546" spans="1:8" x14ac:dyDescent="0.25">
      <c r="A546">
        <v>10530071</v>
      </c>
      <c r="B546" s="11">
        <v>1760.35</v>
      </c>
      <c r="C546">
        <v>83987.489999999991</v>
      </c>
      <c r="H546" s="39"/>
    </row>
    <row r="547" spans="1:8" x14ac:dyDescent="0.25">
      <c r="A547">
        <v>10530072</v>
      </c>
      <c r="B547" s="11">
        <v>2515.1999999999998</v>
      </c>
      <c r="C547">
        <v>152592.87</v>
      </c>
      <c r="H547" s="39"/>
    </row>
    <row r="548" spans="1:8" x14ac:dyDescent="0.25">
      <c r="A548">
        <v>10530074</v>
      </c>
      <c r="B548" s="11">
        <v>3119.8000000000006</v>
      </c>
      <c r="C548">
        <v>133323.06</v>
      </c>
      <c r="H548" s="39"/>
    </row>
    <row r="549" spans="1:8" x14ac:dyDescent="0.25">
      <c r="A549">
        <v>10530075</v>
      </c>
      <c r="B549" s="11">
        <v>36.1</v>
      </c>
      <c r="C549">
        <v>1605.73</v>
      </c>
      <c r="H549" s="39"/>
    </row>
    <row r="550" spans="1:8" x14ac:dyDescent="0.25">
      <c r="A550">
        <v>10530076</v>
      </c>
      <c r="B550" s="11">
        <v>9240.9000000000015</v>
      </c>
      <c r="C550">
        <v>444805.52</v>
      </c>
      <c r="H550" s="39"/>
    </row>
    <row r="551" spans="1:8" x14ac:dyDescent="0.25">
      <c r="A551">
        <v>10530079</v>
      </c>
      <c r="B551" s="11">
        <v>476.44999999999993</v>
      </c>
      <c r="C551">
        <v>23458.03</v>
      </c>
      <c r="H551" s="39"/>
    </row>
    <row r="552" spans="1:8" x14ac:dyDescent="0.25">
      <c r="A552">
        <v>10530081</v>
      </c>
      <c r="B552" s="11">
        <v>6128.0499999999993</v>
      </c>
      <c r="C552">
        <v>272379.81999999995</v>
      </c>
      <c r="H552" s="39"/>
    </row>
    <row r="553" spans="1:8" x14ac:dyDescent="0.25">
      <c r="A553">
        <v>10530082</v>
      </c>
      <c r="B553" s="11">
        <v>4824.5</v>
      </c>
      <c r="C553">
        <v>202438.90000000002</v>
      </c>
      <c r="H553" s="39"/>
    </row>
    <row r="554" spans="1:8" x14ac:dyDescent="0.25">
      <c r="A554">
        <v>10540003</v>
      </c>
      <c r="B554" s="11">
        <v>12511.800000000001</v>
      </c>
      <c r="C554">
        <v>516586.80999999994</v>
      </c>
      <c r="H554" s="39"/>
    </row>
    <row r="555" spans="1:8" x14ac:dyDescent="0.25">
      <c r="A555">
        <v>10540005</v>
      </c>
      <c r="B555" s="11">
        <v>1394.1999999999998</v>
      </c>
      <c r="C555">
        <v>60824.880000000005</v>
      </c>
      <c r="H555" s="39"/>
    </row>
    <row r="556" spans="1:8" x14ac:dyDescent="0.25">
      <c r="A556">
        <v>10540008</v>
      </c>
      <c r="B556" s="11">
        <v>343.5</v>
      </c>
      <c r="C556">
        <v>15803.35</v>
      </c>
      <c r="H556" s="39"/>
    </row>
    <row r="557" spans="1:8" x14ac:dyDescent="0.25">
      <c r="A557">
        <v>10540009</v>
      </c>
      <c r="B557" s="11">
        <v>4694.3</v>
      </c>
      <c r="C557">
        <v>205894.7</v>
      </c>
      <c r="H557" s="39"/>
    </row>
    <row r="558" spans="1:8" x14ac:dyDescent="0.25">
      <c r="A558">
        <v>10540010</v>
      </c>
      <c r="B558" s="11">
        <v>8189.4000000000005</v>
      </c>
      <c r="C558">
        <v>345090.41000000003</v>
      </c>
      <c r="H558" s="39"/>
    </row>
    <row r="559" spans="1:8" x14ac:dyDescent="0.25">
      <c r="A559">
        <v>10540012</v>
      </c>
      <c r="B559" s="11">
        <v>1149.9000000000001</v>
      </c>
      <c r="C559">
        <v>41105.120000000003</v>
      </c>
      <c r="H559" s="39"/>
    </row>
    <row r="560" spans="1:8" x14ac:dyDescent="0.25">
      <c r="A560">
        <v>10540014</v>
      </c>
      <c r="B560" s="11">
        <v>230.1</v>
      </c>
      <c r="C560">
        <v>12016.809999999998</v>
      </c>
      <c r="H560" s="39"/>
    </row>
    <row r="561" spans="1:8" x14ac:dyDescent="0.25">
      <c r="A561">
        <v>10540016</v>
      </c>
      <c r="B561" s="11">
        <v>1798</v>
      </c>
      <c r="C561">
        <v>98022.920000000013</v>
      </c>
      <c r="H561" s="39"/>
    </row>
    <row r="562" spans="1:8" x14ac:dyDescent="0.25">
      <c r="A562">
        <v>10540017</v>
      </c>
      <c r="B562" s="11">
        <v>2978.7000000000003</v>
      </c>
      <c r="C562">
        <v>116031.23</v>
      </c>
      <c r="H562" s="39"/>
    </row>
    <row r="563" spans="1:8" x14ac:dyDescent="0.25">
      <c r="A563">
        <v>10540018</v>
      </c>
      <c r="B563" s="11">
        <v>1441.6000000000001</v>
      </c>
      <c r="C563">
        <v>65627.06</v>
      </c>
      <c r="H563" s="39"/>
    </row>
    <row r="564" spans="1:8" x14ac:dyDescent="0.25">
      <c r="A564">
        <v>10540020</v>
      </c>
      <c r="B564" s="11">
        <v>367.8</v>
      </c>
      <c r="C564">
        <v>14577.79</v>
      </c>
      <c r="H564" s="39"/>
    </row>
    <row r="565" spans="1:8" x14ac:dyDescent="0.25">
      <c r="A565">
        <v>10540021</v>
      </c>
      <c r="B565" s="11">
        <v>2912.8999999999996</v>
      </c>
      <c r="C565">
        <v>99659.32</v>
      </c>
      <c r="H565" s="39"/>
    </row>
    <row r="566" spans="1:8" x14ac:dyDescent="0.25">
      <c r="A566">
        <v>10560001</v>
      </c>
      <c r="B566" s="11">
        <v>5949.26</v>
      </c>
      <c r="C566">
        <v>235083.58</v>
      </c>
      <c r="H566" s="39"/>
    </row>
    <row r="567" spans="1:8" x14ac:dyDescent="0.25">
      <c r="A567">
        <v>10560002</v>
      </c>
      <c r="B567" s="11">
        <v>1660.98</v>
      </c>
      <c r="C567">
        <v>61071.250000000007</v>
      </c>
      <c r="H567" s="39"/>
    </row>
    <row r="568" spans="1:8" x14ac:dyDescent="0.25">
      <c r="A568">
        <v>10560004</v>
      </c>
      <c r="B568" s="11">
        <v>3764.8</v>
      </c>
      <c r="C568">
        <v>137233.31</v>
      </c>
      <c r="H568" s="39"/>
    </row>
    <row r="569" spans="1:8" x14ac:dyDescent="0.25">
      <c r="A569">
        <v>10560005</v>
      </c>
      <c r="B569" s="11">
        <v>6760.6800000000012</v>
      </c>
      <c r="C569">
        <v>285308.40999999997</v>
      </c>
      <c r="H569" s="39"/>
    </row>
    <row r="570" spans="1:8" x14ac:dyDescent="0.25">
      <c r="A570">
        <v>10560007</v>
      </c>
      <c r="B570" s="11">
        <v>891.76000000000022</v>
      </c>
      <c r="C570">
        <v>36249.85</v>
      </c>
      <c r="H570" s="39"/>
    </row>
    <row r="571" spans="1:8" x14ac:dyDescent="0.25">
      <c r="A571">
        <v>10030074</v>
      </c>
      <c r="B571" s="11">
        <v>7129.05</v>
      </c>
      <c r="C571">
        <v>302084.11</v>
      </c>
      <c r="H571" s="39"/>
    </row>
    <row r="572" spans="1:8" x14ac:dyDescent="0.25">
      <c r="A572">
        <v>10060116</v>
      </c>
      <c r="B572" s="11">
        <v>479.29999999999995</v>
      </c>
      <c r="C572">
        <v>17648.11</v>
      </c>
      <c r="H572" s="39"/>
    </row>
    <row r="573" spans="1:8" x14ac:dyDescent="0.25">
      <c r="A573">
        <v>10530078</v>
      </c>
      <c r="B573" s="11">
        <v>3140.3999999999996</v>
      </c>
      <c r="C573">
        <v>135704.47</v>
      </c>
      <c r="H573" s="39"/>
    </row>
    <row r="574" spans="1:8" x14ac:dyDescent="0.25">
      <c r="A574">
        <v>10530080</v>
      </c>
      <c r="B574" s="11">
        <v>513.9</v>
      </c>
      <c r="C574">
        <v>17122.120000000003</v>
      </c>
      <c r="H574" s="39"/>
    </row>
    <row r="575" spans="1:8" x14ac:dyDescent="0.25">
      <c r="A575">
        <v>10540019</v>
      </c>
      <c r="B575" s="11">
        <v>555.20000000000005</v>
      </c>
      <c r="C575">
        <v>18618.829999999998</v>
      </c>
      <c r="H575" s="39"/>
    </row>
    <row r="576" spans="1:8" x14ac:dyDescent="0.25">
      <c r="A576">
        <v>10060118</v>
      </c>
      <c r="B576" s="11">
        <v>1325.1</v>
      </c>
      <c r="C576">
        <v>73034.66</v>
      </c>
      <c r="H576" s="39"/>
    </row>
    <row r="577" spans="1:8" x14ac:dyDescent="0.25">
      <c r="A577">
        <v>10550001</v>
      </c>
      <c r="B577" s="11">
        <v>100478.9</v>
      </c>
      <c r="C577">
        <v>3829048.2199999997</v>
      </c>
      <c r="H577" s="39"/>
    </row>
    <row r="578" spans="1:8" x14ac:dyDescent="0.25">
      <c r="A578">
        <v>10020081</v>
      </c>
      <c r="B578" s="11">
        <v>8275.2999999999993</v>
      </c>
      <c r="C578">
        <v>351248.03</v>
      </c>
      <c r="H578" s="39"/>
    </row>
    <row r="579" spans="1:8" x14ac:dyDescent="0.25">
      <c r="A579">
        <v>10020082</v>
      </c>
      <c r="B579" s="11">
        <v>6678.6999999999989</v>
      </c>
      <c r="C579">
        <v>290824.15999999997</v>
      </c>
      <c r="H579" s="39"/>
    </row>
    <row r="580" spans="1:8" x14ac:dyDescent="0.25">
      <c r="A580">
        <v>10030077</v>
      </c>
      <c r="B580" s="11">
        <v>640.5</v>
      </c>
      <c r="C580">
        <v>23746.62</v>
      </c>
      <c r="H580" s="39"/>
    </row>
    <row r="581" spans="1:8" x14ac:dyDescent="0.25">
      <c r="A581">
        <v>10090018</v>
      </c>
      <c r="B581" s="11">
        <v>2549.8999999999996</v>
      </c>
      <c r="C581">
        <v>102430.90999999999</v>
      </c>
      <c r="H581" s="39"/>
    </row>
    <row r="582" spans="1:8" x14ac:dyDescent="0.25">
      <c r="A582">
        <v>10530090</v>
      </c>
      <c r="B582" s="11">
        <v>1339.53</v>
      </c>
      <c r="C582">
        <v>46018.62</v>
      </c>
      <c r="H582" s="39"/>
    </row>
    <row r="583" spans="1:8" x14ac:dyDescent="0.25">
      <c r="A583">
        <v>10570001</v>
      </c>
      <c r="B583" s="11">
        <v>259.89999999999998</v>
      </c>
      <c r="C583">
        <v>9845.6400000000012</v>
      </c>
      <c r="H583" s="39"/>
    </row>
    <row r="584" spans="1:8" x14ac:dyDescent="0.25">
      <c r="A584">
        <v>10570003</v>
      </c>
      <c r="B584" s="11">
        <v>1225.5</v>
      </c>
      <c r="C584">
        <v>48641.759999999995</v>
      </c>
      <c r="H584" s="39"/>
    </row>
    <row r="585" spans="1:8" x14ac:dyDescent="0.25">
      <c r="A585">
        <v>10570008</v>
      </c>
      <c r="B585" s="11">
        <v>4014.2</v>
      </c>
      <c r="C585">
        <v>160828.52999999997</v>
      </c>
      <c r="H585" s="39"/>
    </row>
    <row r="586" spans="1:8" x14ac:dyDescent="0.25">
      <c r="A586">
        <v>10570009</v>
      </c>
      <c r="B586" s="11">
        <v>4425.3</v>
      </c>
      <c r="C586">
        <v>174468.08000000002</v>
      </c>
      <c r="H586" s="39"/>
    </row>
    <row r="587" spans="1:8" x14ac:dyDescent="0.25">
      <c r="A587">
        <v>10570010</v>
      </c>
      <c r="B587" s="11">
        <v>1213.0999999999999</v>
      </c>
      <c r="C587">
        <v>42555.88</v>
      </c>
      <c r="H587" s="39"/>
    </row>
    <row r="588" spans="1:8" x14ac:dyDescent="0.25">
      <c r="A588">
        <v>10330001</v>
      </c>
      <c r="B588" s="11">
        <v>11433.2</v>
      </c>
      <c r="C588">
        <v>451289.1</v>
      </c>
      <c r="H588" s="39"/>
    </row>
    <row r="589" spans="1:8" x14ac:dyDescent="0.25">
      <c r="A589">
        <v>10530085</v>
      </c>
      <c r="B589" s="11">
        <v>2752.8</v>
      </c>
      <c r="C589">
        <v>122953.31</v>
      </c>
      <c r="H589" s="39"/>
    </row>
    <row r="590" spans="1:8" x14ac:dyDescent="0.25">
      <c r="A590">
        <v>10570007</v>
      </c>
      <c r="B590" s="11">
        <v>2993.1</v>
      </c>
      <c r="C590">
        <v>130752.25</v>
      </c>
      <c r="H590" s="39"/>
    </row>
    <row r="591" spans="1:8" x14ac:dyDescent="0.25">
      <c r="A591">
        <v>10010049</v>
      </c>
      <c r="B591" s="11">
        <v>993.8</v>
      </c>
      <c r="C591">
        <v>39527.730000000003</v>
      </c>
      <c r="H591" s="39"/>
    </row>
    <row r="592" spans="1:8" x14ac:dyDescent="0.25">
      <c r="A592">
        <v>10060122</v>
      </c>
      <c r="B592" s="11">
        <v>270.60000000000002</v>
      </c>
      <c r="C592">
        <v>9910.11</v>
      </c>
      <c r="H592" s="39"/>
    </row>
    <row r="593" spans="1:8" x14ac:dyDescent="0.25">
      <c r="A593">
        <v>10120114</v>
      </c>
      <c r="B593" s="11">
        <v>770.69</v>
      </c>
      <c r="C593">
        <v>32317.65</v>
      </c>
      <c r="H593" s="39"/>
    </row>
    <row r="594" spans="1:8" x14ac:dyDescent="0.25">
      <c r="A594">
        <v>10550002</v>
      </c>
      <c r="B594" s="11">
        <v>618.29999999999995</v>
      </c>
      <c r="C594">
        <v>23652.240000000002</v>
      </c>
      <c r="H594" s="39"/>
    </row>
    <row r="595" spans="1:8" x14ac:dyDescent="0.25">
      <c r="A595">
        <v>10570013</v>
      </c>
      <c r="B595" s="11">
        <v>4944.8</v>
      </c>
      <c r="C595">
        <v>189942.13</v>
      </c>
      <c r="H595" s="39"/>
    </row>
    <row r="596" spans="1:8" x14ac:dyDescent="0.25">
      <c r="A596">
        <v>10080112</v>
      </c>
      <c r="B596" s="11">
        <v>4897</v>
      </c>
      <c r="C596">
        <v>202161.88</v>
      </c>
      <c r="H596" s="39"/>
    </row>
    <row r="597" spans="1:8" x14ac:dyDescent="0.25">
      <c r="A597">
        <v>10080113</v>
      </c>
      <c r="B597" s="11">
        <v>1530.85</v>
      </c>
      <c r="C597">
        <v>56772.2</v>
      </c>
      <c r="H597" s="39"/>
    </row>
    <row r="598" spans="1:8" x14ac:dyDescent="0.25">
      <c r="A598">
        <v>10120115</v>
      </c>
      <c r="B598" s="11">
        <v>7733.9900000000007</v>
      </c>
      <c r="C598">
        <v>304884.45</v>
      </c>
      <c r="H598" s="39"/>
    </row>
    <row r="599" spans="1:8" x14ac:dyDescent="0.25">
      <c r="A599">
        <v>10530092</v>
      </c>
      <c r="B599" s="11">
        <v>4196.8000000000011</v>
      </c>
      <c r="C599">
        <v>175412.22999999998</v>
      </c>
      <c r="H599" s="39"/>
    </row>
    <row r="600" spans="1:8" x14ac:dyDescent="0.25">
      <c r="A600">
        <v>10530093</v>
      </c>
      <c r="B600" s="11">
        <v>4990.0999999999995</v>
      </c>
      <c r="C600">
        <v>228138.52999999997</v>
      </c>
      <c r="H600" s="39"/>
    </row>
    <row r="601" spans="1:8" x14ac:dyDescent="0.25">
      <c r="A601">
        <v>10540032</v>
      </c>
      <c r="B601" s="11">
        <v>754.5</v>
      </c>
      <c r="C601">
        <v>28138.6</v>
      </c>
      <c r="H601" s="39"/>
    </row>
    <row r="602" spans="1:8" x14ac:dyDescent="0.25">
      <c r="A602">
        <v>10580001</v>
      </c>
      <c r="B602" s="11">
        <v>1915.0200000000002</v>
      </c>
      <c r="C602">
        <v>83928.7</v>
      </c>
      <c r="H602" s="39"/>
    </row>
    <row r="603" spans="1:8" x14ac:dyDescent="0.25">
      <c r="A603">
        <v>10090059</v>
      </c>
      <c r="B603" s="11">
        <v>1071.2</v>
      </c>
      <c r="C603">
        <v>49698.209999999992</v>
      </c>
      <c r="H603" s="39"/>
    </row>
    <row r="604" spans="1:8" x14ac:dyDescent="0.25">
      <c r="A604">
        <v>10530091</v>
      </c>
      <c r="B604" s="11">
        <v>589.44999999999993</v>
      </c>
      <c r="C604">
        <v>23705.21</v>
      </c>
      <c r="H604" s="39"/>
    </row>
    <row r="605" spans="1:8" x14ac:dyDescent="0.25">
      <c r="A605">
        <v>10080012</v>
      </c>
      <c r="B605" s="11">
        <v>1358.1000000000001</v>
      </c>
      <c r="C605">
        <v>51566.969999999994</v>
      </c>
      <c r="H605" s="39"/>
    </row>
    <row r="606" spans="1:8" x14ac:dyDescent="0.25">
      <c r="A606">
        <v>10560015</v>
      </c>
      <c r="B606" s="11">
        <v>1588.38</v>
      </c>
      <c r="C606">
        <v>61538.94</v>
      </c>
      <c r="H606" s="39"/>
    </row>
    <row r="607" spans="1:8" x14ac:dyDescent="0.25">
      <c r="A607">
        <v>10580004</v>
      </c>
      <c r="B607" s="11">
        <v>1044.96</v>
      </c>
      <c r="C607">
        <v>43455.22</v>
      </c>
      <c r="H607" s="39"/>
    </row>
    <row r="608" spans="1:8" x14ac:dyDescent="0.25">
      <c r="A608">
        <v>10020010</v>
      </c>
      <c r="B608" s="11">
        <v>392.6</v>
      </c>
      <c r="C608">
        <v>16170.83</v>
      </c>
      <c r="H608" s="39"/>
    </row>
    <row r="609" spans="1:8" x14ac:dyDescent="0.25">
      <c r="A609">
        <v>10560017</v>
      </c>
      <c r="B609" s="11">
        <v>3219.7000000000003</v>
      </c>
      <c r="C609">
        <v>130088.43000000001</v>
      </c>
      <c r="H609" s="39"/>
    </row>
    <row r="610" spans="1:8" x14ac:dyDescent="0.25">
      <c r="A610">
        <v>10560019</v>
      </c>
      <c r="B610" s="11">
        <v>5677.9800000000005</v>
      </c>
      <c r="C610">
        <v>212439.92</v>
      </c>
      <c r="H610" s="39"/>
    </row>
    <row r="611" spans="1:8" x14ac:dyDescent="0.25">
      <c r="A611">
        <v>10570018</v>
      </c>
      <c r="B611" s="11">
        <v>755.3</v>
      </c>
      <c r="C611">
        <v>29792.57</v>
      </c>
      <c r="H611" s="39"/>
    </row>
    <row r="612" spans="1:8" x14ac:dyDescent="0.25">
      <c r="A612">
        <v>10570019</v>
      </c>
      <c r="B612" s="11">
        <v>2315.9</v>
      </c>
      <c r="C612">
        <v>105635.56</v>
      </c>
      <c r="H612" s="39"/>
    </row>
    <row r="613" spans="1:8" x14ac:dyDescent="0.25">
      <c r="A613">
        <v>10570020</v>
      </c>
      <c r="B613" s="11">
        <v>2788.2</v>
      </c>
      <c r="C613">
        <v>126486.24</v>
      </c>
      <c r="H613" s="39"/>
    </row>
    <row r="614" spans="1:8" x14ac:dyDescent="0.25">
      <c r="A614">
        <v>10570021</v>
      </c>
      <c r="B614" s="11">
        <v>2204.1000000000004</v>
      </c>
      <c r="C614">
        <v>84237.170000000013</v>
      </c>
      <c r="H614" s="39"/>
    </row>
    <row r="615" spans="1:8" x14ac:dyDescent="0.25">
      <c r="A615">
        <v>10570022</v>
      </c>
      <c r="B615" s="11">
        <v>824.9</v>
      </c>
      <c r="C615">
        <v>38434.85</v>
      </c>
      <c r="H615" s="39"/>
    </row>
    <row r="616" spans="1:8" x14ac:dyDescent="0.25">
      <c r="A616">
        <v>10570024</v>
      </c>
      <c r="B616" s="11">
        <v>3779.0999999999995</v>
      </c>
      <c r="C616">
        <v>146444.81</v>
      </c>
      <c r="H616" s="39"/>
    </row>
    <row r="617" spans="1:8" x14ac:dyDescent="0.25">
      <c r="A617">
        <v>10580002</v>
      </c>
      <c r="B617" s="11">
        <v>1633.5099999999998</v>
      </c>
      <c r="C617">
        <v>71863.59</v>
      </c>
      <c r="H617" s="39"/>
    </row>
    <row r="618" spans="1:8" x14ac:dyDescent="0.25">
      <c r="A618">
        <v>10020013</v>
      </c>
      <c r="B618" s="11">
        <v>6124.9000000000005</v>
      </c>
      <c r="C618">
        <v>245341.61</v>
      </c>
      <c r="H618" s="39"/>
    </row>
    <row r="619" spans="1:8" x14ac:dyDescent="0.25">
      <c r="A619">
        <v>10020084</v>
      </c>
      <c r="B619" s="11">
        <v>2404.5</v>
      </c>
      <c r="C619">
        <v>100628.04999999999</v>
      </c>
      <c r="H619" s="39"/>
    </row>
    <row r="620" spans="1:8" x14ac:dyDescent="0.25">
      <c r="A620">
        <v>10030078</v>
      </c>
      <c r="B620" s="11">
        <v>3274.65</v>
      </c>
      <c r="C620">
        <v>150996.22000000003</v>
      </c>
      <c r="H620" s="39"/>
    </row>
    <row r="621" spans="1:8" x14ac:dyDescent="0.25">
      <c r="A621">
        <v>10060106</v>
      </c>
      <c r="B621" s="11">
        <v>3080.3</v>
      </c>
      <c r="C621">
        <v>154224.97</v>
      </c>
      <c r="H621" s="39"/>
    </row>
    <row r="622" spans="1:8" x14ac:dyDescent="0.25">
      <c r="A622">
        <v>10110164</v>
      </c>
      <c r="B622" s="11">
        <v>994.6</v>
      </c>
      <c r="C622">
        <v>40985.15</v>
      </c>
      <c r="H622" s="39"/>
    </row>
    <row r="623" spans="1:8" x14ac:dyDescent="0.25">
      <c r="A623">
        <v>10110168</v>
      </c>
      <c r="B623" s="11">
        <v>6332.4999999999991</v>
      </c>
      <c r="C623">
        <v>241293.03</v>
      </c>
      <c r="H623" s="39"/>
    </row>
    <row r="624" spans="1:8" x14ac:dyDescent="0.25">
      <c r="A624">
        <v>10110173</v>
      </c>
      <c r="B624" s="11">
        <v>4795.5</v>
      </c>
      <c r="C624">
        <v>208836.39</v>
      </c>
      <c r="H624" s="39"/>
    </row>
    <row r="625" spans="1:8" x14ac:dyDescent="0.25">
      <c r="A625">
        <v>10480033</v>
      </c>
      <c r="B625" s="11">
        <v>584.70000000000005</v>
      </c>
      <c r="C625">
        <v>21021.39</v>
      </c>
      <c r="H625" s="39"/>
    </row>
    <row r="626" spans="1:8" x14ac:dyDescent="0.25">
      <c r="A626">
        <v>10570025</v>
      </c>
      <c r="B626" s="11">
        <v>4431.5</v>
      </c>
      <c r="C626">
        <v>170628.02000000002</v>
      </c>
      <c r="H626" s="39"/>
    </row>
    <row r="627" spans="1:8" x14ac:dyDescent="0.25">
      <c r="A627">
        <v>10020083</v>
      </c>
      <c r="B627" s="11">
        <v>2248.5</v>
      </c>
      <c r="C627">
        <v>88989.01999999999</v>
      </c>
      <c r="H627" s="39"/>
    </row>
    <row r="628" spans="1:8" x14ac:dyDescent="0.25">
      <c r="A628">
        <v>10030080</v>
      </c>
      <c r="B628" s="11">
        <v>3757.3999999999996</v>
      </c>
      <c r="C628">
        <v>154352.18</v>
      </c>
      <c r="H628" s="39"/>
    </row>
    <row r="629" spans="1:8" x14ac:dyDescent="0.25">
      <c r="A629">
        <v>10120113</v>
      </c>
      <c r="B629" s="11">
        <v>361.63000000000005</v>
      </c>
      <c r="C629">
        <v>14091.04</v>
      </c>
      <c r="H629" s="39"/>
    </row>
    <row r="630" spans="1:8" x14ac:dyDescent="0.25">
      <c r="A630">
        <v>10530084</v>
      </c>
      <c r="B630" s="11">
        <v>9382.6999999999989</v>
      </c>
      <c r="C630">
        <v>381074.42</v>
      </c>
      <c r="H630" s="39"/>
    </row>
    <row r="631" spans="1:8" x14ac:dyDescent="0.25">
      <c r="A631">
        <v>10030068</v>
      </c>
      <c r="B631" s="11">
        <v>3766.65</v>
      </c>
      <c r="C631">
        <v>136938.18</v>
      </c>
      <c r="H631" s="39"/>
    </row>
    <row r="632" spans="1:8" x14ac:dyDescent="0.25">
      <c r="A632">
        <v>10080115</v>
      </c>
      <c r="B632" s="11">
        <v>1128.3499999999999</v>
      </c>
      <c r="C632">
        <v>42693.710000000006</v>
      </c>
      <c r="H632" s="39"/>
    </row>
    <row r="633" spans="1:8" x14ac:dyDescent="0.25">
      <c r="A633">
        <v>10110032</v>
      </c>
      <c r="B633" s="11">
        <v>345.2</v>
      </c>
      <c r="C633">
        <v>13446.21</v>
      </c>
      <c r="H633" s="39"/>
    </row>
    <row r="634" spans="1:8" x14ac:dyDescent="0.25">
      <c r="A634">
        <v>10110049</v>
      </c>
      <c r="B634" s="11">
        <v>3050.1</v>
      </c>
      <c r="C634">
        <v>118614.56</v>
      </c>
      <c r="H634" s="39"/>
    </row>
    <row r="635" spans="1:8" x14ac:dyDescent="0.25">
      <c r="A635">
        <v>10110172</v>
      </c>
      <c r="B635" s="11">
        <v>970.90000000000009</v>
      </c>
      <c r="C635">
        <v>37233.839999999997</v>
      </c>
      <c r="H635" s="39"/>
    </row>
    <row r="636" spans="1:8" x14ac:dyDescent="0.25">
      <c r="A636">
        <v>10120116</v>
      </c>
      <c r="B636" s="11">
        <v>5555.97</v>
      </c>
      <c r="C636">
        <v>241541.90999999997</v>
      </c>
      <c r="H636" s="39"/>
    </row>
    <row r="637" spans="1:8" x14ac:dyDescent="0.25">
      <c r="A637">
        <v>10130081</v>
      </c>
      <c r="B637" s="11">
        <v>380.90000000000003</v>
      </c>
      <c r="C637">
        <v>13168.44</v>
      </c>
      <c r="H637" s="39"/>
    </row>
    <row r="638" spans="1:8" x14ac:dyDescent="0.25">
      <c r="A638">
        <v>10130111</v>
      </c>
      <c r="B638" s="11">
        <v>1620.4</v>
      </c>
      <c r="C638">
        <v>53497.65</v>
      </c>
      <c r="H638" s="39"/>
    </row>
    <row r="639" spans="1:8" x14ac:dyDescent="0.25">
      <c r="A639">
        <v>10140020</v>
      </c>
      <c r="B639" s="11">
        <v>145.9</v>
      </c>
      <c r="C639">
        <v>5334.0700000000006</v>
      </c>
      <c r="H639" s="39"/>
    </row>
    <row r="640" spans="1:8" x14ac:dyDescent="0.25">
      <c r="A640">
        <v>10430001</v>
      </c>
      <c r="B640" s="11">
        <v>2140.4</v>
      </c>
      <c r="C640">
        <v>81461.639999999985</v>
      </c>
      <c r="H640" s="39"/>
    </row>
    <row r="641" spans="1:8" x14ac:dyDescent="0.25">
      <c r="A641">
        <v>10530096</v>
      </c>
      <c r="B641" s="11">
        <v>8106.6500000000005</v>
      </c>
      <c r="C641">
        <v>409885.81000000006</v>
      </c>
      <c r="H641" s="39"/>
    </row>
    <row r="642" spans="1:8" x14ac:dyDescent="0.25">
      <c r="A642">
        <v>10530097</v>
      </c>
      <c r="B642" s="11">
        <v>3047.6</v>
      </c>
      <c r="C642">
        <v>125827.12</v>
      </c>
      <c r="H642" s="39"/>
    </row>
    <row r="643" spans="1:8" x14ac:dyDescent="0.25">
      <c r="A643">
        <v>10540026</v>
      </c>
      <c r="B643" s="11">
        <v>2037.5</v>
      </c>
      <c r="C643">
        <v>80056.69</v>
      </c>
      <c r="H643" s="39"/>
    </row>
    <row r="644" spans="1:8" x14ac:dyDescent="0.25">
      <c r="A644">
        <v>10560011</v>
      </c>
      <c r="B644" s="11">
        <v>7930.08</v>
      </c>
      <c r="C644">
        <v>322568.27</v>
      </c>
      <c r="H644" s="39"/>
    </row>
    <row r="645" spans="1:8" x14ac:dyDescent="0.25">
      <c r="A645">
        <v>10560012</v>
      </c>
      <c r="B645" s="11">
        <v>5461.42</v>
      </c>
      <c r="C645">
        <v>226006</v>
      </c>
      <c r="H645" s="39"/>
    </row>
    <row r="646" spans="1:8" x14ac:dyDescent="0.25">
      <c r="A646">
        <v>10570017</v>
      </c>
      <c r="B646" s="11">
        <v>794.90000000000009</v>
      </c>
      <c r="C646">
        <v>37886.949999999997</v>
      </c>
      <c r="H646" s="39"/>
    </row>
    <row r="647" spans="1:8" x14ac:dyDescent="0.25">
      <c r="A647">
        <v>10580005</v>
      </c>
      <c r="B647" s="11">
        <v>2419.3599999999997</v>
      </c>
      <c r="C647">
        <v>100946.47000000002</v>
      </c>
      <c r="H647" s="39"/>
    </row>
    <row r="648" spans="1:8" x14ac:dyDescent="0.25">
      <c r="A648">
        <v>10010140</v>
      </c>
      <c r="B648" s="11">
        <v>915.4</v>
      </c>
      <c r="C648">
        <v>40222.53</v>
      </c>
      <c r="H648" s="39"/>
    </row>
    <row r="649" spans="1:8" x14ac:dyDescent="0.25">
      <c r="A649">
        <v>10080089</v>
      </c>
      <c r="B649" s="11">
        <v>250.5</v>
      </c>
      <c r="C649">
        <v>9184.92</v>
      </c>
      <c r="H649" s="39"/>
    </row>
    <row r="650" spans="1:8" x14ac:dyDescent="0.25">
      <c r="A650">
        <v>10100016</v>
      </c>
      <c r="B650" s="11">
        <v>1083.4000000000001</v>
      </c>
      <c r="C650">
        <v>45888.729999999996</v>
      </c>
      <c r="H650" s="39"/>
    </row>
    <row r="651" spans="1:8" x14ac:dyDescent="0.25">
      <c r="A651">
        <v>10100044</v>
      </c>
      <c r="B651" s="11">
        <v>4330.0999999999995</v>
      </c>
      <c r="C651">
        <v>168952.52000000002</v>
      </c>
      <c r="H651" s="39"/>
    </row>
    <row r="652" spans="1:8" x14ac:dyDescent="0.25">
      <c r="A652">
        <v>10110176</v>
      </c>
      <c r="B652" s="11">
        <v>2213.8000000000002</v>
      </c>
      <c r="C652">
        <v>89707.62</v>
      </c>
      <c r="H652" s="39"/>
    </row>
    <row r="653" spans="1:8" x14ac:dyDescent="0.25">
      <c r="A653">
        <v>10130088</v>
      </c>
      <c r="B653" s="11">
        <v>1190.5999999999999</v>
      </c>
      <c r="C653">
        <v>42329.07</v>
      </c>
      <c r="H653" s="39"/>
    </row>
    <row r="654" spans="1:8" x14ac:dyDescent="0.25">
      <c r="A654">
        <v>10140157</v>
      </c>
      <c r="B654" s="11">
        <v>680.69999999999993</v>
      </c>
      <c r="C654">
        <v>27551.5</v>
      </c>
      <c r="H654" s="39"/>
    </row>
    <row r="655" spans="1:8" x14ac:dyDescent="0.25">
      <c r="A655">
        <v>10540027</v>
      </c>
      <c r="B655" s="11">
        <v>3645.9</v>
      </c>
      <c r="C655">
        <v>139428.49</v>
      </c>
      <c r="H655" s="39"/>
    </row>
    <row r="656" spans="1:8" x14ac:dyDescent="0.25">
      <c r="A656">
        <v>10070058</v>
      </c>
      <c r="B656" s="11">
        <v>400.91999999999996</v>
      </c>
      <c r="C656">
        <v>13818.580000000002</v>
      </c>
      <c r="H656" s="39"/>
    </row>
    <row r="657" spans="1:8" x14ac:dyDescent="0.25">
      <c r="A657">
        <v>10090072</v>
      </c>
      <c r="B657" s="11">
        <v>1481.1</v>
      </c>
      <c r="C657">
        <v>58995</v>
      </c>
      <c r="H657" s="39"/>
    </row>
    <row r="658" spans="1:8" x14ac:dyDescent="0.25">
      <c r="A658">
        <v>10540039</v>
      </c>
      <c r="B658" s="11">
        <v>1789.3</v>
      </c>
      <c r="C658">
        <v>60248.420000000006</v>
      </c>
      <c r="H658" s="39"/>
    </row>
    <row r="659" spans="1:8" x14ac:dyDescent="0.25">
      <c r="A659">
        <v>10540040</v>
      </c>
      <c r="B659" s="11">
        <v>1912.2999999999997</v>
      </c>
      <c r="C659">
        <v>71577.94</v>
      </c>
      <c r="H659" s="39"/>
    </row>
    <row r="660" spans="1:8" x14ac:dyDescent="0.25">
      <c r="A660">
        <v>10570028</v>
      </c>
      <c r="B660" s="11">
        <v>1460.1</v>
      </c>
      <c r="C660">
        <v>55577.8</v>
      </c>
      <c r="H660" s="39"/>
    </row>
    <row r="661" spans="1:8" x14ac:dyDescent="0.25">
      <c r="A661">
        <v>10570029</v>
      </c>
      <c r="B661" s="11">
        <v>620.80000000000007</v>
      </c>
      <c r="C661">
        <v>26624.03</v>
      </c>
      <c r="H661" s="39"/>
    </row>
    <row r="662" spans="1:8" x14ac:dyDescent="0.25">
      <c r="A662">
        <v>10570030</v>
      </c>
      <c r="B662" s="11">
        <v>1517.3</v>
      </c>
      <c r="C662">
        <v>57374.11</v>
      </c>
      <c r="H662" s="39"/>
    </row>
    <row r="663" spans="1:8" x14ac:dyDescent="0.25">
      <c r="A663">
        <v>10570031</v>
      </c>
      <c r="B663" s="11">
        <v>379.1</v>
      </c>
      <c r="C663">
        <v>15759.219999999998</v>
      </c>
      <c r="H663" s="39"/>
    </row>
    <row r="664" spans="1:8" x14ac:dyDescent="0.25">
      <c r="A664">
        <v>10070053</v>
      </c>
      <c r="B664" s="11">
        <v>1143.3799999999999</v>
      </c>
      <c r="C664">
        <v>41411.1</v>
      </c>
      <c r="H664" s="39"/>
    </row>
    <row r="665" spans="1:8" x14ac:dyDescent="0.25">
      <c r="A665">
        <v>10110178</v>
      </c>
      <c r="B665" s="11">
        <v>56261.9</v>
      </c>
      <c r="C665">
        <v>2216498.31</v>
      </c>
      <c r="H665" s="39"/>
    </row>
    <row r="666" spans="1:8" x14ac:dyDescent="0.25">
      <c r="A666">
        <v>10130113</v>
      </c>
      <c r="B666" s="11">
        <v>1660.2</v>
      </c>
      <c r="C666">
        <v>67070.7</v>
      </c>
      <c r="H666" s="39"/>
    </row>
    <row r="667" spans="1:8" x14ac:dyDescent="0.25">
      <c r="A667">
        <v>10140196</v>
      </c>
      <c r="B667" s="11">
        <v>1651.1000000000001</v>
      </c>
      <c r="C667">
        <v>65137.989999999991</v>
      </c>
      <c r="H667" s="39"/>
    </row>
    <row r="668" spans="1:8" x14ac:dyDescent="0.25">
      <c r="A668">
        <v>10530077</v>
      </c>
      <c r="B668" s="11">
        <v>2978.7000000000003</v>
      </c>
      <c r="C668">
        <v>121213.98999999999</v>
      </c>
      <c r="H668" s="39"/>
    </row>
    <row r="669" spans="1:8" x14ac:dyDescent="0.25">
      <c r="A669">
        <v>10060125</v>
      </c>
      <c r="B669" s="11">
        <v>516.6</v>
      </c>
      <c r="C669">
        <v>21013.98</v>
      </c>
      <c r="H669" s="39"/>
    </row>
    <row r="670" spans="1:8" x14ac:dyDescent="0.25">
      <c r="A670">
        <v>10060126</v>
      </c>
      <c r="B670" s="11">
        <v>3979.7</v>
      </c>
      <c r="C670">
        <v>141554.39000000001</v>
      </c>
      <c r="H670" s="39"/>
    </row>
    <row r="671" spans="1:8" x14ac:dyDescent="0.25">
      <c r="A671">
        <v>10090074</v>
      </c>
      <c r="B671" s="11">
        <v>1514.4</v>
      </c>
      <c r="C671">
        <v>65055.94</v>
      </c>
      <c r="H671" s="39"/>
    </row>
    <row r="672" spans="1:8" x14ac:dyDescent="0.25">
      <c r="A672">
        <v>10120119</v>
      </c>
      <c r="B672" s="11">
        <v>2200</v>
      </c>
      <c r="C672">
        <v>86648</v>
      </c>
      <c r="H672" s="39"/>
    </row>
    <row r="673" spans="1:8" x14ac:dyDescent="0.25">
      <c r="A673">
        <v>10140194</v>
      </c>
      <c r="B673" s="11">
        <v>1619.5</v>
      </c>
      <c r="C673">
        <v>65002.369999999995</v>
      </c>
      <c r="H673" s="39"/>
    </row>
    <row r="674" spans="1:8" x14ac:dyDescent="0.25">
      <c r="A674">
        <v>10140197</v>
      </c>
      <c r="B674" s="11">
        <v>726.1</v>
      </c>
      <c r="C674">
        <v>30396.349999999995</v>
      </c>
      <c r="H674" s="39"/>
    </row>
    <row r="675" spans="1:8" x14ac:dyDescent="0.25">
      <c r="A675">
        <v>10140198</v>
      </c>
      <c r="B675" s="11">
        <v>3081.2999999999997</v>
      </c>
      <c r="C675">
        <v>130275.27</v>
      </c>
      <c r="H675" s="39"/>
    </row>
    <row r="676" spans="1:8" x14ac:dyDescent="0.25">
      <c r="A676">
        <v>10560025</v>
      </c>
      <c r="B676" s="11">
        <v>313.56000000000006</v>
      </c>
      <c r="C676">
        <v>13449.859999999997</v>
      </c>
      <c r="H676" s="39"/>
    </row>
    <row r="677" spans="1:8" x14ac:dyDescent="0.25">
      <c r="A677">
        <v>10570037</v>
      </c>
      <c r="B677" s="11">
        <v>810.2</v>
      </c>
      <c r="C677">
        <v>30993.930000000004</v>
      </c>
      <c r="H677" s="39"/>
    </row>
    <row r="678" spans="1:8" x14ac:dyDescent="0.25">
      <c r="A678">
        <v>10570038</v>
      </c>
      <c r="B678" s="11">
        <v>243.70000000000002</v>
      </c>
      <c r="C678">
        <v>9560.0299999999988</v>
      </c>
      <c r="H678" s="39"/>
    </row>
    <row r="679" spans="1:8" x14ac:dyDescent="0.25">
      <c r="A679">
        <v>10030082</v>
      </c>
      <c r="B679" s="11">
        <v>2789.05</v>
      </c>
      <c r="C679">
        <v>114596.97</v>
      </c>
      <c r="H679" s="39"/>
    </row>
    <row r="680" spans="1:8" x14ac:dyDescent="0.25">
      <c r="A680">
        <v>10080119</v>
      </c>
      <c r="B680" s="11">
        <v>532</v>
      </c>
      <c r="C680">
        <v>19972.78</v>
      </c>
      <c r="H680" s="39"/>
    </row>
    <row r="681" spans="1:8" x14ac:dyDescent="0.25">
      <c r="A681">
        <v>10090075</v>
      </c>
      <c r="B681" s="11">
        <v>1645.5000000000002</v>
      </c>
      <c r="C681">
        <v>65607.34</v>
      </c>
      <c r="H681" s="39"/>
    </row>
    <row r="682" spans="1:8" x14ac:dyDescent="0.25">
      <c r="A682">
        <v>10130114</v>
      </c>
      <c r="B682" s="11">
        <v>1306.9000000000001</v>
      </c>
      <c r="C682">
        <v>51762.92</v>
      </c>
      <c r="H682" s="39"/>
    </row>
    <row r="683" spans="1:8" x14ac:dyDescent="0.25">
      <c r="A683">
        <v>10140147</v>
      </c>
      <c r="B683" s="11">
        <v>1836</v>
      </c>
      <c r="C683">
        <v>77669.5</v>
      </c>
      <c r="H683" s="39"/>
    </row>
    <row r="684" spans="1:8" x14ac:dyDescent="0.25">
      <c r="A684">
        <v>10520010</v>
      </c>
      <c r="B684" s="11">
        <v>20866</v>
      </c>
      <c r="C684">
        <v>854265.4800000001</v>
      </c>
      <c r="H684" s="39"/>
    </row>
    <row r="685" spans="1:8" x14ac:dyDescent="0.25">
      <c r="A685">
        <v>10540041</v>
      </c>
      <c r="B685" s="11">
        <v>377.2</v>
      </c>
      <c r="C685">
        <v>14608.53</v>
      </c>
      <c r="H685" s="39"/>
    </row>
    <row r="686" spans="1:8" x14ac:dyDescent="0.25">
      <c r="A686">
        <v>10030084</v>
      </c>
      <c r="B686" s="11">
        <v>1306.25</v>
      </c>
      <c r="C686">
        <v>58759.499999999993</v>
      </c>
      <c r="H686" s="39"/>
    </row>
    <row r="687" spans="1:8" x14ac:dyDescent="0.25">
      <c r="A687">
        <v>10030085</v>
      </c>
      <c r="B687" s="11">
        <v>4123.5000000000009</v>
      </c>
      <c r="C687">
        <v>197396.13999999998</v>
      </c>
      <c r="H687" s="39"/>
    </row>
    <row r="688" spans="1:8" x14ac:dyDescent="0.25">
      <c r="A688">
        <v>10090076</v>
      </c>
      <c r="B688" s="11">
        <v>42800</v>
      </c>
      <c r="C688">
        <v>1752006</v>
      </c>
      <c r="H688" s="39"/>
    </row>
    <row r="689" spans="1:8" x14ac:dyDescent="0.25">
      <c r="A689">
        <v>10090077</v>
      </c>
      <c r="B689" s="11">
        <v>45200</v>
      </c>
      <c r="C689">
        <v>1861357</v>
      </c>
      <c r="H689" s="39"/>
    </row>
    <row r="690" spans="1:8" x14ac:dyDescent="0.25">
      <c r="A690">
        <v>10530101</v>
      </c>
      <c r="B690" s="11">
        <v>1956.5500000000002</v>
      </c>
      <c r="C690">
        <v>85224.229999999981</v>
      </c>
      <c r="H690" s="39"/>
    </row>
    <row r="691" spans="1:8" x14ac:dyDescent="0.25">
      <c r="A691">
        <v>10530103</v>
      </c>
      <c r="B691" s="11">
        <v>11023.349999999999</v>
      </c>
      <c r="C691">
        <v>476831.04999999993</v>
      </c>
      <c r="H691" s="39"/>
    </row>
    <row r="692" spans="1:8" x14ac:dyDescent="0.25">
      <c r="A692">
        <v>10560022</v>
      </c>
      <c r="B692" s="11">
        <v>9214.7199999999993</v>
      </c>
      <c r="C692">
        <v>393859.41</v>
      </c>
      <c r="H692" s="39"/>
    </row>
    <row r="693" spans="1:8" x14ac:dyDescent="0.25">
      <c r="A693">
        <v>10560026</v>
      </c>
      <c r="B693" s="11">
        <v>4067.8199999999997</v>
      </c>
      <c r="C693">
        <v>161701.83000000002</v>
      </c>
      <c r="H693" s="39"/>
    </row>
    <row r="694" spans="1:8" x14ac:dyDescent="0.25">
      <c r="A694">
        <v>10590001</v>
      </c>
      <c r="B694" s="11">
        <v>3259.3000000000006</v>
      </c>
      <c r="C694">
        <v>159002.84999999998</v>
      </c>
      <c r="H694" s="39"/>
    </row>
    <row r="695" spans="1:8" x14ac:dyDescent="0.25">
      <c r="A695">
        <v>10590002</v>
      </c>
      <c r="B695" s="11">
        <v>327</v>
      </c>
      <c r="C695">
        <v>21020.57</v>
      </c>
      <c r="H695" s="39"/>
    </row>
    <row r="696" spans="1:8" x14ac:dyDescent="0.25">
      <c r="A696">
        <v>10590004</v>
      </c>
      <c r="B696" s="11">
        <v>3716.4000000000005</v>
      </c>
      <c r="C696">
        <v>145032.54999999999</v>
      </c>
      <c r="H696" s="39"/>
    </row>
    <row r="697" spans="1:8" x14ac:dyDescent="0.25">
      <c r="A697">
        <v>10010141</v>
      </c>
      <c r="B697" s="11">
        <v>212.2</v>
      </c>
      <c r="C697">
        <v>8384.15</v>
      </c>
      <c r="H697" s="39"/>
    </row>
    <row r="698" spans="1:8" x14ac:dyDescent="0.25">
      <c r="A698">
        <v>10070060</v>
      </c>
      <c r="B698" s="11">
        <v>472</v>
      </c>
      <c r="C698">
        <v>18110.71</v>
      </c>
      <c r="H698" s="39"/>
    </row>
    <row r="699" spans="1:8" x14ac:dyDescent="0.25">
      <c r="A699">
        <v>10070077</v>
      </c>
      <c r="B699" s="11">
        <v>1553.8999999999999</v>
      </c>
      <c r="C699">
        <v>55224.27</v>
      </c>
      <c r="H699" s="39"/>
    </row>
    <row r="700" spans="1:8" x14ac:dyDescent="0.25">
      <c r="A700">
        <v>10070078</v>
      </c>
      <c r="B700" s="11">
        <v>3423.6000000000004</v>
      </c>
      <c r="C700">
        <v>127667.95000000001</v>
      </c>
      <c r="H700" s="39"/>
    </row>
    <row r="701" spans="1:8" x14ac:dyDescent="0.25">
      <c r="A701">
        <v>10140201</v>
      </c>
      <c r="B701" s="11">
        <v>530.9</v>
      </c>
      <c r="C701">
        <v>19800.539999999997</v>
      </c>
      <c r="H701" s="39"/>
    </row>
    <row r="702" spans="1:8" x14ac:dyDescent="0.25">
      <c r="A702">
        <v>10530100</v>
      </c>
      <c r="B702" s="11">
        <v>691.39999999999986</v>
      </c>
      <c r="C702">
        <v>30268.829999999998</v>
      </c>
      <c r="H702" s="39"/>
    </row>
    <row r="703" spans="1:8" x14ac:dyDescent="0.25">
      <c r="A703">
        <v>10530102</v>
      </c>
      <c r="B703" s="11">
        <v>422.45000000000005</v>
      </c>
      <c r="C703">
        <v>19080.82</v>
      </c>
      <c r="H703" s="39"/>
    </row>
    <row r="704" spans="1:8" x14ac:dyDescent="0.25">
      <c r="A704">
        <v>10580010</v>
      </c>
      <c r="B704" s="11">
        <v>1965.4699999999998</v>
      </c>
      <c r="C704">
        <v>89179.24</v>
      </c>
      <c r="H704" s="39"/>
    </row>
    <row r="705" spans="1:8" x14ac:dyDescent="0.25">
      <c r="A705">
        <v>10580012</v>
      </c>
      <c r="B705" s="11">
        <v>1956.12</v>
      </c>
      <c r="C705">
        <v>74683.549999999988</v>
      </c>
      <c r="H705" s="39"/>
    </row>
    <row r="706" spans="1:8" x14ac:dyDescent="0.25">
      <c r="A706">
        <v>10580015</v>
      </c>
      <c r="B706" s="11">
        <v>1988.5700000000002</v>
      </c>
      <c r="C706">
        <v>75050.28</v>
      </c>
      <c r="H706" s="39"/>
    </row>
    <row r="707" spans="1:8" x14ac:dyDescent="0.25">
      <c r="A707">
        <v>10580017</v>
      </c>
      <c r="B707" s="11">
        <v>3711.5699999999997</v>
      </c>
      <c r="C707">
        <v>154516.34999999998</v>
      </c>
      <c r="H707" s="39"/>
    </row>
    <row r="708" spans="1:8" x14ac:dyDescent="0.25">
      <c r="A708">
        <v>10590006</v>
      </c>
      <c r="B708" s="11">
        <v>6101.5</v>
      </c>
      <c r="C708">
        <v>280971.08</v>
      </c>
      <c r="H708" s="39"/>
    </row>
    <row r="709" spans="1:8" x14ac:dyDescent="0.25">
      <c r="A709">
        <v>10100004</v>
      </c>
      <c r="B709" s="11">
        <v>519.9</v>
      </c>
      <c r="C709">
        <v>19741.169999999998</v>
      </c>
      <c r="H709" s="39"/>
    </row>
    <row r="710" spans="1:8" x14ac:dyDescent="0.25">
      <c r="A710">
        <v>10100026</v>
      </c>
      <c r="B710" s="11">
        <v>3636.1000000000004</v>
      </c>
      <c r="C710">
        <v>162660.87</v>
      </c>
      <c r="H710" s="39"/>
    </row>
    <row r="711" spans="1:8" x14ac:dyDescent="0.25">
      <c r="A711">
        <v>10100062</v>
      </c>
      <c r="B711" s="11">
        <v>32860.1</v>
      </c>
      <c r="C711">
        <v>1357716</v>
      </c>
      <c r="H711" s="39"/>
    </row>
    <row r="712" spans="1:8" x14ac:dyDescent="0.25">
      <c r="A712">
        <v>10120122</v>
      </c>
      <c r="B712" s="11">
        <v>4632.6099999999997</v>
      </c>
      <c r="C712">
        <v>199338.55000000002</v>
      </c>
      <c r="H712" s="39"/>
    </row>
    <row r="713" spans="1:8" x14ac:dyDescent="0.25">
      <c r="A713">
        <v>10540042</v>
      </c>
      <c r="B713" s="11">
        <v>6476.7000000000007</v>
      </c>
      <c r="C713">
        <v>341935.38</v>
      </c>
      <c r="H713" s="39"/>
    </row>
    <row r="714" spans="1:8" x14ac:dyDescent="0.25">
      <c r="A714">
        <v>10580018</v>
      </c>
      <c r="B714" s="11">
        <v>1486.3500000000001</v>
      </c>
      <c r="C714">
        <v>58865.75</v>
      </c>
      <c r="H714" s="39"/>
    </row>
    <row r="715" spans="1:8" x14ac:dyDescent="0.25">
      <c r="A715">
        <v>10090078</v>
      </c>
      <c r="B715" s="11">
        <v>1192.8999999999999</v>
      </c>
      <c r="C715">
        <v>42418.78</v>
      </c>
      <c r="H715" s="39"/>
    </row>
    <row r="716" spans="1:8" x14ac:dyDescent="0.25">
      <c r="A716">
        <v>10130115</v>
      </c>
      <c r="B716" s="11">
        <v>2003.6</v>
      </c>
      <c r="C716">
        <v>92715.699999999983</v>
      </c>
      <c r="H716" s="39"/>
    </row>
    <row r="717" spans="1:8" x14ac:dyDescent="0.25">
      <c r="A717">
        <v>10540044</v>
      </c>
      <c r="B717" s="11">
        <v>811</v>
      </c>
      <c r="C717">
        <v>33826.229999999996</v>
      </c>
      <c r="H717" s="39"/>
    </row>
    <row r="718" spans="1:8" x14ac:dyDescent="0.25">
      <c r="A718">
        <v>10570036</v>
      </c>
      <c r="B718" s="11">
        <v>1191.0999999999999</v>
      </c>
      <c r="C718">
        <v>54306.45</v>
      </c>
      <c r="H718" s="39"/>
    </row>
    <row r="719" spans="1:8" x14ac:dyDescent="0.25">
      <c r="A719">
        <v>10600001</v>
      </c>
      <c r="B719" s="11">
        <v>129.69999999999999</v>
      </c>
      <c r="C719">
        <v>5064.41</v>
      </c>
      <c r="H719" s="39"/>
    </row>
    <row r="720" spans="1:8" x14ac:dyDescent="0.25">
      <c r="A720">
        <v>10600002</v>
      </c>
      <c r="B720" s="11">
        <v>2285.5300000000002</v>
      </c>
      <c r="C720">
        <v>87849.64</v>
      </c>
      <c r="H720" s="39"/>
    </row>
    <row r="721" spans="1:8" x14ac:dyDescent="0.25">
      <c r="A721">
        <v>10600004</v>
      </c>
      <c r="B721" s="11">
        <v>685.1</v>
      </c>
      <c r="C721">
        <v>27832.719999999998</v>
      </c>
      <c r="H721" s="39"/>
    </row>
    <row r="722" spans="1:8" x14ac:dyDescent="0.25">
      <c r="A722">
        <v>10600006</v>
      </c>
      <c r="B722" s="11">
        <v>322.20000000000005</v>
      </c>
      <c r="C722">
        <v>13670.989999999998</v>
      </c>
      <c r="H722" s="39"/>
    </row>
    <row r="723" spans="1:8" x14ac:dyDescent="0.25">
      <c r="A723">
        <v>10600008</v>
      </c>
      <c r="B723" s="11">
        <v>339.9</v>
      </c>
      <c r="C723">
        <v>12172.53</v>
      </c>
      <c r="H723" s="39"/>
    </row>
    <row r="724" spans="1:8" x14ac:dyDescent="0.25">
      <c r="A724">
        <v>10600009</v>
      </c>
      <c r="B724" s="11">
        <v>201.73</v>
      </c>
      <c r="C724">
        <v>7566.52</v>
      </c>
      <c r="H724" s="39"/>
    </row>
    <row r="725" spans="1:8" x14ac:dyDescent="0.25">
      <c r="A725">
        <v>10610002</v>
      </c>
      <c r="B725" s="11">
        <v>1507.2</v>
      </c>
      <c r="C725">
        <v>70915.179999999993</v>
      </c>
      <c r="H725" s="39"/>
    </row>
    <row r="726" spans="1:8" x14ac:dyDescent="0.25">
      <c r="A726">
        <v>10610006</v>
      </c>
      <c r="B726" s="11">
        <v>1482.6000000000004</v>
      </c>
      <c r="C726">
        <v>74487.56</v>
      </c>
      <c r="H726" s="39"/>
    </row>
    <row r="727" spans="1:8" x14ac:dyDescent="0.25">
      <c r="A727">
        <v>10610008</v>
      </c>
      <c r="B727" s="11">
        <v>1552.3</v>
      </c>
      <c r="C727">
        <v>72314.709999999992</v>
      </c>
      <c r="H727" s="39"/>
    </row>
    <row r="728" spans="1:8" x14ac:dyDescent="0.25">
      <c r="A728">
        <v>10610010</v>
      </c>
      <c r="B728" s="11">
        <v>1837.7</v>
      </c>
      <c r="C728">
        <v>90795.389999999985</v>
      </c>
      <c r="H728" s="39"/>
    </row>
    <row r="729" spans="1:8" x14ac:dyDescent="0.25">
      <c r="A729">
        <v>10060130</v>
      </c>
      <c r="B729" s="11">
        <v>7881.4000000000015</v>
      </c>
      <c r="C729">
        <v>352631.53</v>
      </c>
      <c r="H729" s="39"/>
    </row>
    <row r="730" spans="1:8" x14ac:dyDescent="0.25">
      <c r="A730">
        <v>10100065</v>
      </c>
      <c r="B730" s="11">
        <v>3414.1</v>
      </c>
      <c r="C730">
        <v>129099.63000000002</v>
      </c>
      <c r="H730" s="39"/>
    </row>
    <row r="731" spans="1:8" x14ac:dyDescent="0.25">
      <c r="A731">
        <v>10140203</v>
      </c>
      <c r="B731" s="11">
        <v>7141.5</v>
      </c>
      <c r="C731">
        <v>265874.75</v>
      </c>
      <c r="H731" s="39"/>
    </row>
    <row r="732" spans="1:8" x14ac:dyDescent="0.25">
      <c r="A732">
        <v>10600005</v>
      </c>
      <c r="B732" s="11">
        <v>510.2</v>
      </c>
      <c r="C732">
        <v>19629.439999999999</v>
      </c>
      <c r="H732" s="39"/>
    </row>
    <row r="733" spans="1:8" x14ac:dyDescent="0.25">
      <c r="A733">
        <v>10020027</v>
      </c>
      <c r="B733" s="11">
        <v>2707.1</v>
      </c>
      <c r="C733">
        <v>115332.48</v>
      </c>
      <c r="H733" s="39"/>
    </row>
    <row r="734" spans="1:8" x14ac:dyDescent="0.25">
      <c r="A734">
        <v>10080120</v>
      </c>
      <c r="B734" s="11">
        <v>2305.6999999999998</v>
      </c>
      <c r="C734">
        <v>90282.81</v>
      </c>
      <c r="H734" s="39"/>
    </row>
    <row r="735" spans="1:8" x14ac:dyDescent="0.25">
      <c r="A735">
        <v>10110177</v>
      </c>
      <c r="B735" s="11">
        <v>3069.5</v>
      </c>
      <c r="C735">
        <v>133915.9</v>
      </c>
      <c r="H735" s="39"/>
    </row>
    <row r="736" spans="1:8" x14ac:dyDescent="0.25">
      <c r="A736">
        <v>10120088</v>
      </c>
      <c r="B736" s="11">
        <v>25538.760000000002</v>
      </c>
      <c r="C736">
        <v>1091332.9899999998</v>
      </c>
      <c r="H736" s="39"/>
    </row>
    <row r="737" spans="1:8" x14ac:dyDescent="0.25">
      <c r="A737">
        <v>10130117</v>
      </c>
      <c r="B737" s="11">
        <v>1125.2</v>
      </c>
      <c r="C737">
        <v>35052.57</v>
      </c>
      <c r="H737" s="39"/>
    </row>
    <row r="738" spans="1:8" x14ac:dyDescent="0.25">
      <c r="A738">
        <v>10530107</v>
      </c>
      <c r="B738" s="11">
        <v>1836.75</v>
      </c>
      <c r="C738">
        <v>104307.57</v>
      </c>
      <c r="H738" s="39"/>
    </row>
    <row r="739" spans="1:8" x14ac:dyDescent="0.25">
      <c r="A739">
        <v>10540045</v>
      </c>
      <c r="B739" s="11">
        <v>3021.3</v>
      </c>
      <c r="C739">
        <v>130826.26999999999</v>
      </c>
      <c r="H739" s="39"/>
    </row>
    <row r="740" spans="1:8" x14ac:dyDescent="0.25">
      <c r="A740">
        <v>10560034</v>
      </c>
      <c r="B740" s="11">
        <v>448.86</v>
      </c>
      <c r="C740">
        <v>15830.369999999999</v>
      </c>
      <c r="H740" s="39"/>
    </row>
    <row r="741" spans="1:8" x14ac:dyDescent="0.25">
      <c r="A741">
        <v>10570045</v>
      </c>
      <c r="B741" s="11">
        <v>4150.2</v>
      </c>
      <c r="C741">
        <v>168211.93000000002</v>
      </c>
      <c r="H741" s="39"/>
    </row>
    <row r="742" spans="1:8" x14ac:dyDescent="0.25">
      <c r="A742">
        <v>10570046</v>
      </c>
      <c r="B742" s="11">
        <v>1973.8</v>
      </c>
      <c r="C742">
        <v>69923.290000000008</v>
      </c>
      <c r="H742" s="39"/>
    </row>
    <row r="743" spans="1:8" x14ac:dyDescent="0.25">
      <c r="A743">
        <v>10580022</v>
      </c>
      <c r="B743" s="11">
        <v>1862.67</v>
      </c>
      <c r="C743">
        <v>76060.03</v>
      </c>
      <c r="H743" s="39"/>
    </row>
    <row r="744" spans="1:8" x14ac:dyDescent="0.25">
      <c r="A744">
        <v>10580023</v>
      </c>
      <c r="B744" s="11">
        <v>3180.08</v>
      </c>
      <c r="C744">
        <v>126457.41</v>
      </c>
      <c r="H744" s="39"/>
    </row>
    <row r="745" spans="1:8" x14ac:dyDescent="0.25">
      <c r="A745">
        <v>10610009</v>
      </c>
      <c r="B745" s="11">
        <v>5090.2999999999993</v>
      </c>
      <c r="C745">
        <v>240212.91000000003</v>
      </c>
      <c r="H745" s="39"/>
    </row>
    <row r="746" spans="1:8" x14ac:dyDescent="0.25">
      <c r="A746">
        <v>10060129</v>
      </c>
      <c r="B746" s="11">
        <v>1966.6000000000001</v>
      </c>
      <c r="C746">
        <v>84989.599999999991</v>
      </c>
      <c r="H746" s="39"/>
    </row>
    <row r="747" spans="1:8" x14ac:dyDescent="0.25">
      <c r="A747">
        <v>10080122</v>
      </c>
      <c r="B747" s="11">
        <v>2467.35</v>
      </c>
      <c r="C747">
        <v>96651.77</v>
      </c>
      <c r="H747" s="39"/>
    </row>
    <row r="748" spans="1:8" x14ac:dyDescent="0.25">
      <c r="A748">
        <v>10110183</v>
      </c>
      <c r="B748" s="11">
        <v>12157.3</v>
      </c>
      <c r="C748">
        <v>507960.94</v>
      </c>
      <c r="H748" s="39"/>
    </row>
    <row r="749" spans="1:8" x14ac:dyDescent="0.25">
      <c r="A749">
        <v>10110184</v>
      </c>
      <c r="B749" s="11">
        <v>2133.5</v>
      </c>
      <c r="C749">
        <v>94585.95</v>
      </c>
      <c r="H749" s="39"/>
    </row>
    <row r="750" spans="1:8" x14ac:dyDescent="0.25">
      <c r="A750">
        <v>10130118</v>
      </c>
      <c r="B750" s="11">
        <v>33040.1</v>
      </c>
      <c r="C750">
        <v>1220203.7800000003</v>
      </c>
      <c r="H750" s="39"/>
    </row>
    <row r="751" spans="1:8" x14ac:dyDescent="0.25">
      <c r="A751">
        <v>10530109</v>
      </c>
      <c r="B751" s="11">
        <v>6857.8</v>
      </c>
      <c r="C751">
        <v>304410.51</v>
      </c>
      <c r="H751" s="39"/>
    </row>
    <row r="752" spans="1:8" x14ac:dyDescent="0.25">
      <c r="A752">
        <v>10630003</v>
      </c>
      <c r="B752" s="11">
        <v>110</v>
      </c>
      <c r="C752">
        <v>6607.3000000000011</v>
      </c>
      <c r="H752" s="39"/>
    </row>
    <row r="753" spans="1:8" x14ac:dyDescent="0.25">
      <c r="A753">
        <v>10630008</v>
      </c>
      <c r="B753" s="11">
        <v>42.7</v>
      </c>
      <c r="C753">
        <v>1853.8400000000001</v>
      </c>
      <c r="H753" s="39"/>
    </row>
    <row r="754" spans="1:8" x14ac:dyDescent="0.25">
      <c r="A754">
        <v>10630009</v>
      </c>
      <c r="B754" s="11">
        <v>5982.9</v>
      </c>
      <c r="C754">
        <v>238041.93999999994</v>
      </c>
      <c r="H754" s="39"/>
    </row>
    <row r="755" spans="1:8" x14ac:dyDescent="0.25">
      <c r="A755">
        <v>10630010</v>
      </c>
      <c r="B755" s="11">
        <v>2938.9000000000005</v>
      </c>
      <c r="C755">
        <v>124069.54000000001</v>
      </c>
      <c r="H755" s="39"/>
    </row>
    <row r="756" spans="1:8" x14ac:dyDescent="0.25">
      <c r="A756">
        <v>10630011</v>
      </c>
      <c r="B756" s="11">
        <v>527.20000000000005</v>
      </c>
      <c r="C756">
        <v>16207.25</v>
      </c>
      <c r="H756" s="39"/>
    </row>
    <row r="757" spans="1:8" x14ac:dyDescent="0.25">
      <c r="A757">
        <v>10630012</v>
      </c>
      <c r="B757" s="11">
        <v>244.10000000000002</v>
      </c>
      <c r="C757">
        <v>9267.16</v>
      </c>
      <c r="H757" s="39"/>
    </row>
    <row r="758" spans="1:8" x14ac:dyDescent="0.25">
      <c r="A758">
        <v>10060051</v>
      </c>
      <c r="B758" s="11">
        <v>735.2</v>
      </c>
      <c r="C758">
        <v>29611.89</v>
      </c>
      <c r="H758" s="39"/>
    </row>
    <row r="759" spans="1:8" x14ac:dyDescent="0.25">
      <c r="A759">
        <v>10080124</v>
      </c>
      <c r="B759" s="11">
        <v>1031.75</v>
      </c>
      <c r="C759">
        <v>41688.799999999996</v>
      </c>
      <c r="H759" s="39"/>
    </row>
    <row r="760" spans="1:8" x14ac:dyDescent="0.25">
      <c r="A760">
        <v>10110185</v>
      </c>
      <c r="B760" s="11">
        <v>1358.5</v>
      </c>
      <c r="C760">
        <v>55450.900000000009</v>
      </c>
      <c r="H760" s="39"/>
    </row>
    <row r="761" spans="1:8" x14ac:dyDescent="0.25">
      <c r="A761">
        <v>10120120</v>
      </c>
      <c r="B761" s="11">
        <v>1660.1299999999999</v>
      </c>
      <c r="C761">
        <v>68657.350000000006</v>
      </c>
      <c r="H761" s="39"/>
    </row>
    <row r="762" spans="1:8" x14ac:dyDescent="0.25">
      <c r="A762">
        <v>10120123</v>
      </c>
      <c r="B762" s="11">
        <v>3808.99</v>
      </c>
      <c r="C762">
        <v>149410.41</v>
      </c>
      <c r="H762" s="39"/>
    </row>
    <row r="763" spans="1:8" x14ac:dyDescent="0.25">
      <c r="A763">
        <v>10550005</v>
      </c>
      <c r="B763" s="11">
        <v>833.60000000000014</v>
      </c>
      <c r="C763">
        <v>34087.26</v>
      </c>
      <c r="H763" s="39"/>
    </row>
    <row r="764" spans="1:8" x14ac:dyDescent="0.25">
      <c r="A764">
        <v>10550007</v>
      </c>
      <c r="B764" s="11">
        <v>7782</v>
      </c>
      <c r="C764">
        <v>277511.64999999997</v>
      </c>
      <c r="H764" s="39"/>
    </row>
    <row r="765" spans="1:8" x14ac:dyDescent="0.25">
      <c r="A765">
        <v>10590008</v>
      </c>
      <c r="B765" s="11">
        <v>1241.9000000000001</v>
      </c>
      <c r="C765">
        <v>61509.649999999994</v>
      </c>
      <c r="H765" s="39"/>
    </row>
    <row r="766" spans="1:8" x14ac:dyDescent="0.25">
      <c r="A766">
        <v>10590010</v>
      </c>
      <c r="B766" s="11">
        <v>6161.2999999999993</v>
      </c>
      <c r="C766">
        <v>316685.05</v>
      </c>
      <c r="H766" s="39"/>
    </row>
    <row r="767" spans="1:8" x14ac:dyDescent="0.25">
      <c r="A767">
        <v>10590011</v>
      </c>
      <c r="B767" s="11">
        <v>2094.2000000000003</v>
      </c>
      <c r="C767">
        <v>89024.010000000024</v>
      </c>
      <c r="H767" s="39"/>
    </row>
    <row r="768" spans="1:8" x14ac:dyDescent="0.25">
      <c r="A768">
        <v>10590012</v>
      </c>
      <c r="B768" s="11">
        <v>4444</v>
      </c>
      <c r="C768">
        <v>193301.94</v>
      </c>
      <c r="H768" s="39"/>
    </row>
    <row r="769" spans="1:8" x14ac:dyDescent="0.25">
      <c r="A769">
        <v>10060055</v>
      </c>
      <c r="B769" s="11">
        <v>514</v>
      </c>
      <c r="C769">
        <v>19571.82</v>
      </c>
      <c r="H769" s="39"/>
    </row>
    <row r="770" spans="1:8" x14ac:dyDescent="0.25">
      <c r="A770">
        <v>10140206</v>
      </c>
      <c r="B770" s="11">
        <v>1760.6</v>
      </c>
      <c r="C770">
        <v>73004.100000000006</v>
      </c>
      <c r="H770" s="39"/>
    </row>
    <row r="771" spans="1:8" x14ac:dyDescent="0.25">
      <c r="A771">
        <v>10530106</v>
      </c>
      <c r="B771" s="11">
        <v>2620.0499999999997</v>
      </c>
      <c r="C771">
        <v>115034.98</v>
      </c>
      <c r="H771" s="39"/>
    </row>
    <row r="772" spans="1:8" x14ac:dyDescent="0.25">
      <c r="A772">
        <v>10530108</v>
      </c>
      <c r="B772" s="11">
        <v>1827.3000000000002</v>
      </c>
      <c r="C772">
        <v>74762.44</v>
      </c>
      <c r="H772" s="39"/>
    </row>
    <row r="773" spans="1:8" x14ac:dyDescent="0.25">
      <c r="A773">
        <v>10530110</v>
      </c>
      <c r="B773" s="11">
        <v>2977.2</v>
      </c>
      <c r="C773">
        <v>123646.06999999999</v>
      </c>
      <c r="H773" s="39"/>
    </row>
    <row r="774" spans="1:8" x14ac:dyDescent="0.25">
      <c r="A774">
        <v>10560016</v>
      </c>
      <c r="B774" s="11">
        <v>3716.2799999999997</v>
      </c>
      <c r="C774">
        <v>138283.07999999999</v>
      </c>
      <c r="H774" s="39"/>
    </row>
    <row r="775" spans="1:8" x14ac:dyDescent="0.25">
      <c r="A775">
        <v>10570047</v>
      </c>
      <c r="B775" s="11">
        <v>1573.6</v>
      </c>
      <c r="C775">
        <v>68144.399999999994</v>
      </c>
      <c r="H775" s="39"/>
    </row>
    <row r="776" spans="1:8" x14ac:dyDescent="0.25">
      <c r="A776">
        <v>10630004</v>
      </c>
      <c r="B776" s="11">
        <v>1152.2</v>
      </c>
      <c r="C776">
        <v>47185.729999999996</v>
      </c>
      <c r="H776" s="39"/>
    </row>
    <row r="777" spans="1:8" x14ac:dyDescent="0.25">
      <c r="A777">
        <v>10640001</v>
      </c>
      <c r="B777" s="11">
        <v>4678.6899999999996</v>
      </c>
      <c r="C777">
        <v>192434.57</v>
      </c>
      <c r="H777" s="39"/>
    </row>
    <row r="778" spans="1:8" x14ac:dyDescent="0.25">
      <c r="A778">
        <v>10640003</v>
      </c>
      <c r="B778" s="11">
        <v>7327.26</v>
      </c>
      <c r="C778">
        <v>326384.87</v>
      </c>
      <c r="H778" s="39"/>
    </row>
    <row r="779" spans="1:8" x14ac:dyDescent="0.25">
      <c r="A779">
        <v>10640005</v>
      </c>
      <c r="B779" s="11">
        <v>673.71</v>
      </c>
      <c r="C779">
        <v>27740.980000000003</v>
      </c>
      <c r="H779" s="39"/>
    </row>
    <row r="780" spans="1:8" x14ac:dyDescent="0.25">
      <c r="A780">
        <v>10640006</v>
      </c>
      <c r="B780" s="11">
        <v>1254.47</v>
      </c>
      <c r="C780">
        <v>61950.67</v>
      </c>
      <c r="H780" s="39"/>
    </row>
    <row r="781" spans="1:8" x14ac:dyDescent="0.25">
      <c r="A781">
        <v>10640007</v>
      </c>
      <c r="B781" s="11">
        <v>531.27</v>
      </c>
      <c r="C781">
        <v>24328.010000000002</v>
      </c>
      <c r="H781" s="39"/>
    </row>
    <row r="782" spans="1:8" x14ac:dyDescent="0.25">
      <c r="A782">
        <v>10060061</v>
      </c>
      <c r="B782" s="11">
        <v>565.5</v>
      </c>
      <c r="C782">
        <v>21481.52</v>
      </c>
      <c r="H782" s="39"/>
    </row>
    <row r="783" spans="1:8" x14ac:dyDescent="0.25">
      <c r="A783">
        <v>10130101</v>
      </c>
      <c r="B783" s="11">
        <v>1770.7000000000003</v>
      </c>
      <c r="C783">
        <v>73524.949999999983</v>
      </c>
      <c r="H783" s="39"/>
    </row>
    <row r="784" spans="1:8" x14ac:dyDescent="0.25">
      <c r="A784">
        <v>10560028</v>
      </c>
      <c r="B784" s="11">
        <v>1291.22</v>
      </c>
      <c r="C784">
        <v>61959.38</v>
      </c>
      <c r="H784" s="39"/>
    </row>
    <row r="785" spans="1:8" x14ac:dyDescent="0.25">
      <c r="A785">
        <v>10560031</v>
      </c>
      <c r="B785" s="11">
        <v>2243.98</v>
      </c>
      <c r="C785">
        <v>89194.81</v>
      </c>
      <c r="H785" s="39"/>
    </row>
    <row r="786" spans="1:8" x14ac:dyDescent="0.25">
      <c r="A786">
        <v>10570044</v>
      </c>
      <c r="B786" s="11">
        <v>543.6</v>
      </c>
      <c r="C786">
        <v>26110.170000000002</v>
      </c>
      <c r="H786" s="39"/>
    </row>
    <row r="787" spans="1:8" x14ac:dyDescent="0.25">
      <c r="A787">
        <v>10570049</v>
      </c>
      <c r="B787" s="11">
        <v>1887.3000000000002</v>
      </c>
      <c r="C787">
        <v>83371.159999999989</v>
      </c>
      <c r="H787" s="39"/>
    </row>
    <row r="788" spans="1:8" x14ac:dyDescent="0.25">
      <c r="A788">
        <v>10600012</v>
      </c>
      <c r="B788" s="11">
        <v>1046</v>
      </c>
      <c r="C788">
        <v>41548.910000000003</v>
      </c>
      <c r="H788" s="39"/>
    </row>
    <row r="789" spans="1:8" x14ac:dyDescent="0.25">
      <c r="A789">
        <v>10610001</v>
      </c>
      <c r="B789" s="11">
        <v>2646.7</v>
      </c>
      <c r="C789">
        <v>123695.38</v>
      </c>
      <c r="H789" s="39"/>
    </row>
    <row r="790" spans="1:8" x14ac:dyDescent="0.25">
      <c r="A790">
        <v>10610003</v>
      </c>
      <c r="B790" s="11">
        <v>1006.7</v>
      </c>
      <c r="C790">
        <v>39895.49</v>
      </c>
      <c r="H790" s="39"/>
    </row>
    <row r="791" spans="1:8" x14ac:dyDescent="0.25">
      <c r="A791">
        <v>10610004</v>
      </c>
      <c r="B791" s="11">
        <v>1401.1999999999998</v>
      </c>
      <c r="C791">
        <v>62603.670000000006</v>
      </c>
      <c r="H791" s="39"/>
    </row>
    <row r="792" spans="1:8" x14ac:dyDescent="0.25">
      <c r="A792">
        <v>10610005</v>
      </c>
      <c r="B792" s="11">
        <v>3777</v>
      </c>
      <c r="C792">
        <v>171484.36</v>
      </c>
      <c r="H792" s="39"/>
    </row>
    <row r="793" spans="1:8" x14ac:dyDescent="0.25">
      <c r="A793">
        <v>10610011</v>
      </c>
      <c r="B793" s="11">
        <v>1346.8999999999999</v>
      </c>
      <c r="C793">
        <v>53501.75</v>
      </c>
      <c r="H793" s="39"/>
    </row>
    <row r="794" spans="1:8" x14ac:dyDescent="0.25">
      <c r="A794">
        <v>10610013</v>
      </c>
      <c r="B794" s="11">
        <v>569</v>
      </c>
      <c r="C794">
        <v>20356.599999999999</v>
      </c>
      <c r="H794" s="39"/>
    </row>
    <row r="795" spans="1:8" x14ac:dyDescent="0.25">
      <c r="A795">
        <v>10610017</v>
      </c>
      <c r="B795" s="11">
        <v>818.8</v>
      </c>
      <c r="C795">
        <v>36017.949999999997</v>
      </c>
      <c r="H795" s="39"/>
    </row>
    <row r="796" spans="1:8" x14ac:dyDescent="0.25">
      <c r="A796">
        <v>10610018</v>
      </c>
      <c r="B796" s="11">
        <v>1950.8</v>
      </c>
      <c r="C796">
        <v>88585.88</v>
      </c>
      <c r="H796" s="39"/>
    </row>
    <row r="797" spans="1:8" x14ac:dyDescent="0.25">
      <c r="A797">
        <v>10610020</v>
      </c>
      <c r="B797" s="11">
        <v>1362.4</v>
      </c>
      <c r="C797">
        <v>59221.760000000002</v>
      </c>
      <c r="H797" s="39"/>
    </row>
    <row r="798" spans="1:8" x14ac:dyDescent="0.25">
      <c r="A798">
        <v>10610022</v>
      </c>
      <c r="B798" s="11">
        <v>765.6</v>
      </c>
      <c r="C798">
        <v>40200.959999999999</v>
      </c>
      <c r="H798" s="39"/>
    </row>
    <row r="799" spans="1:8" x14ac:dyDescent="0.25">
      <c r="A799">
        <v>10610025</v>
      </c>
      <c r="B799" s="11">
        <v>14.6</v>
      </c>
      <c r="C799">
        <v>580.95000000000005</v>
      </c>
      <c r="H799" s="39"/>
    </row>
    <row r="800" spans="1:8" x14ac:dyDescent="0.25">
      <c r="A800">
        <v>10630016</v>
      </c>
      <c r="B800" s="11">
        <v>1759.9</v>
      </c>
      <c r="C800">
        <v>67047.91</v>
      </c>
      <c r="H800" s="39"/>
    </row>
    <row r="801" spans="1:8" x14ac:dyDescent="0.25">
      <c r="A801">
        <v>10630017</v>
      </c>
      <c r="B801" s="11">
        <v>795.80000000000007</v>
      </c>
      <c r="C801">
        <v>31303.710000000003</v>
      </c>
      <c r="H801" s="39"/>
    </row>
    <row r="802" spans="1:8" x14ac:dyDescent="0.25">
      <c r="A802">
        <v>10630019</v>
      </c>
      <c r="B802" s="11">
        <v>4407.7</v>
      </c>
      <c r="C802">
        <v>165438.07999999999</v>
      </c>
      <c r="H802" s="39"/>
    </row>
    <row r="803" spans="1:8" x14ac:dyDescent="0.25">
      <c r="A803">
        <v>10650001</v>
      </c>
      <c r="B803" s="11">
        <v>1309.4000000000001</v>
      </c>
      <c r="C803">
        <v>52927.94</v>
      </c>
      <c r="H803" s="39"/>
    </row>
    <row r="804" spans="1:8" x14ac:dyDescent="0.25">
      <c r="A804">
        <v>10650003</v>
      </c>
      <c r="B804" s="11">
        <v>4673.3999999999996</v>
      </c>
      <c r="C804">
        <v>196994.29</v>
      </c>
      <c r="H804" s="39"/>
    </row>
    <row r="805" spans="1:8" x14ac:dyDescent="0.25">
      <c r="A805">
        <v>10110188</v>
      </c>
      <c r="B805" s="11">
        <v>380.09999999999997</v>
      </c>
      <c r="C805">
        <v>14791.62</v>
      </c>
      <c r="H805" s="39"/>
    </row>
    <row r="806" spans="1:8" x14ac:dyDescent="0.25">
      <c r="A806">
        <v>10540046</v>
      </c>
      <c r="B806" s="11">
        <v>1918.1</v>
      </c>
      <c r="C806">
        <v>79562.94</v>
      </c>
      <c r="H806" s="39"/>
    </row>
    <row r="807" spans="1:8" x14ac:dyDescent="0.25">
      <c r="A807">
        <v>10550008</v>
      </c>
      <c r="B807" s="11">
        <v>1245.6000000000001</v>
      </c>
      <c r="C807">
        <v>44542</v>
      </c>
      <c r="H807" s="39"/>
    </row>
    <row r="808" spans="1:8" x14ac:dyDescent="0.25">
      <c r="A808">
        <v>10570053</v>
      </c>
      <c r="B808" s="11">
        <v>801</v>
      </c>
      <c r="C808">
        <v>31468.440000000002</v>
      </c>
      <c r="H808" s="39"/>
    </row>
    <row r="809" spans="1:8" x14ac:dyDescent="0.25">
      <c r="A809">
        <v>10610019</v>
      </c>
      <c r="B809" s="11">
        <v>247.8</v>
      </c>
      <c r="C809">
        <v>12677.13</v>
      </c>
      <c r="H809" s="39"/>
    </row>
    <row r="810" spans="1:8" x14ac:dyDescent="0.25">
      <c r="A810">
        <v>10610024</v>
      </c>
      <c r="B810" s="11">
        <v>1159.3</v>
      </c>
      <c r="C810">
        <v>46373.09</v>
      </c>
      <c r="H810" s="39"/>
    </row>
    <row r="811" spans="1:8" x14ac:dyDescent="0.25">
      <c r="A811">
        <v>10640010</v>
      </c>
      <c r="B811" s="11">
        <v>913.76</v>
      </c>
      <c r="C811">
        <v>34853.899999999994</v>
      </c>
      <c r="H811" s="39"/>
    </row>
    <row r="812" spans="1:8" x14ac:dyDescent="0.25">
      <c r="A812">
        <v>10640011</v>
      </c>
      <c r="B812" s="11">
        <v>867.01</v>
      </c>
      <c r="C812">
        <v>41660.579999999994</v>
      </c>
      <c r="H812" s="39"/>
    </row>
    <row r="813" spans="1:8" x14ac:dyDescent="0.25">
      <c r="A813">
        <v>10010143</v>
      </c>
      <c r="B813" s="11">
        <v>848.8</v>
      </c>
      <c r="C813">
        <v>28337.81</v>
      </c>
      <c r="H813" s="39"/>
    </row>
    <row r="814" spans="1:8" x14ac:dyDescent="0.25">
      <c r="A814">
        <v>10010144</v>
      </c>
      <c r="B814" s="11">
        <v>440.09999999999991</v>
      </c>
      <c r="C814">
        <v>15610.61</v>
      </c>
      <c r="H814" s="39"/>
    </row>
    <row r="815" spans="1:8" x14ac:dyDescent="0.25">
      <c r="A815">
        <v>10010145</v>
      </c>
      <c r="B815" s="11">
        <v>738.59999999999991</v>
      </c>
      <c r="C815">
        <v>29101.4</v>
      </c>
      <c r="H815" s="39"/>
    </row>
    <row r="816" spans="1:8" x14ac:dyDescent="0.25">
      <c r="A816">
        <v>10010146</v>
      </c>
      <c r="B816" s="11">
        <v>624.70000000000005</v>
      </c>
      <c r="C816">
        <v>25441.26</v>
      </c>
      <c r="H816" s="39"/>
    </row>
    <row r="817" spans="1:8" x14ac:dyDescent="0.25">
      <c r="A817">
        <v>10010147</v>
      </c>
      <c r="B817" s="11">
        <v>503.29999999999995</v>
      </c>
      <c r="C817">
        <v>20444.41</v>
      </c>
      <c r="H817" s="39"/>
    </row>
    <row r="818" spans="1:8" x14ac:dyDescent="0.25">
      <c r="A818">
        <v>10010148</v>
      </c>
      <c r="B818" s="11">
        <v>1223.8</v>
      </c>
      <c r="C818">
        <v>52059.64</v>
      </c>
      <c r="H818" s="39"/>
    </row>
    <row r="819" spans="1:8" x14ac:dyDescent="0.25">
      <c r="A819">
        <v>10010149</v>
      </c>
      <c r="B819" s="11">
        <v>916.80000000000007</v>
      </c>
      <c r="C819">
        <v>35409.959999999992</v>
      </c>
      <c r="H819" s="39"/>
    </row>
    <row r="820" spans="1:8" x14ac:dyDescent="0.25">
      <c r="A820">
        <v>10080126</v>
      </c>
      <c r="B820" s="11">
        <v>863.15</v>
      </c>
      <c r="C820">
        <v>31869.479999999996</v>
      </c>
      <c r="H820" s="39"/>
    </row>
    <row r="821" spans="1:8" x14ac:dyDescent="0.25">
      <c r="A821">
        <v>10090079</v>
      </c>
      <c r="B821" s="11">
        <v>1072.8</v>
      </c>
      <c r="C821">
        <v>42531.770000000004</v>
      </c>
      <c r="H821" s="39"/>
    </row>
    <row r="822" spans="1:8" x14ac:dyDescent="0.25">
      <c r="A822">
        <v>10100069</v>
      </c>
      <c r="B822" s="11">
        <v>1743.5</v>
      </c>
      <c r="C822">
        <v>88419.1</v>
      </c>
      <c r="H822" s="39"/>
    </row>
    <row r="823" spans="1:8" x14ac:dyDescent="0.25">
      <c r="A823">
        <v>10100070</v>
      </c>
      <c r="B823" s="11">
        <v>9521</v>
      </c>
      <c r="C823">
        <v>493026.38999999996</v>
      </c>
      <c r="H823" s="39"/>
    </row>
    <row r="824" spans="1:8" x14ac:dyDescent="0.25">
      <c r="A824">
        <v>10110187</v>
      </c>
      <c r="B824" s="11">
        <v>3240.4000000000005</v>
      </c>
      <c r="C824">
        <v>121129.08</v>
      </c>
      <c r="H824" s="39"/>
    </row>
    <row r="825" spans="1:8" x14ac:dyDescent="0.25">
      <c r="A825">
        <v>10120109</v>
      </c>
      <c r="B825" s="11">
        <v>5165.8100000000004</v>
      </c>
      <c r="C825">
        <v>194692.78</v>
      </c>
      <c r="H825" s="39"/>
    </row>
    <row r="826" spans="1:8" x14ac:dyDescent="0.25">
      <c r="A826">
        <v>10530111</v>
      </c>
      <c r="B826" s="11">
        <v>2084.5499999999997</v>
      </c>
      <c r="C826">
        <v>84298.11</v>
      </c>
      <c r="H826" s="39"/>
    </row>
    <row r="827" spans="1:8" x14ac:dyDescent="0.25">
      <c r="A827">
        <v>10530112</v>
      </c>
      <c r="B827" s="11">
        <v>2457.35</v>
      </c>
      <c r="C827">
        <v>99307.27</v>
      </c>
      <c r="H827" s="39"/>
    </row>
    <row r="828" spans="1:8" x14ac:dyDescent="0.25">
      <c r="A828">
        <v>10540048</v>
      </c>
      <c r="B828" s="11">
        <v>6977.7</v>
      </c>
      <c r="C828">
        <v>306875.05</v>
      </c>
      <c r="H828" s="39"/>
    </row>
    <row r="829" spans="1:8" x14ac:dyDescent="0.25">
      <c r="A829">
        <v>10540049</v>
      </c>
      <c r="B829" s="11">
        <v>2109</v>
      </c>
      <c r="C829">
        <v>81404.600000000006</v>
      </c>
      <c r="H829" s="39"/>
    </row>
    <row r="830" spans="1:8" x14ac:dyDescent="0.25">
      <c r="A830">
        <v>10560033</v>
      </c>
      <c r="B830" s="11">
        <v>1132.9199999999998</v>
      </c>
      <c r="C830">
        <v>47534.239999999991</v>
      </c>
      <c r="H830" s="39"/>
    </row>
    <row r="831" spans="1:8" x14ac:dyDescent="0.25">
      <c r="A831">
        <v>10560036</v>
      </c>
      <c r="B831" s="11">
        <v>2216.2800000000002</v>
      </c>
      <c r="C831">
        <v>107295.67</v>
      </c>
      <c r="H831" s="39"/>
    </row>
    <row r="832" spans="1:8" x14ac:dyDescent="0.25">
      <c r="A832">
        <v>10560037</v>
      </c>
      <c r="B832" s="11">
        <v>1094.1600000000001</v>
      </c>
      <c r="C832">
        <v>43651.51</v>
      </c>
      <c r="H832" s="39"/>
    </row>
    <row r="833" spans="1:8" x14ac:dyDescent="0.25">
      <c r="A833">
        <v>10570055</v>
      </c>
      <c r="B833" s="11">
        <v>1984.6</v>
      </c>
      <c r="C833">
        <v>79489.2</v>
      </c>
      <c r="H833" s="39"/>
    </row>
    <row r="834" spans="1:8" x14ac:dyDescent="0.25">
      <c r="A834">
        <v>10580024</v>
      </c>
      <c r="B834" s="11">
        <v>2198.6800000000003</v>
      </c>
      <c r="C834">
        <v>87099.890000000014</v>
      </c>
      <c r="H834" s="39"/>
    </row>
    <row r="835" spans="1:8" x14ac:dyDescent="0.25">
      <c r="A835">
        <v>10580025</v>
      </c>
      <c r="B835" s="11">
        <v>3257.1900000000005</v>
      </c>
      <c r="C835">
        <v>146466.67000000001</v>
      </c>
      <c r="H835" s="39"/>
    </row>
    <row r="836" spans="1:8" x14ac:dyDescent="0.25">
      <c r="A836">
        <v>10580026</v>
      </c>
      <c r="B836" s="11">
        <v>386.01</v>
      </c>
      <c r="C836">
        <v>15995.01</v>
      </c>
      <c r="H836" s="39"/>
    </row>
    <row r="837" spans="1:8" x14ac:dyDescent="0.25">
      <c r="A837">
        <v>10580027</v>
      </c>
      <c r="B837" s="11">
        <v>546.25</v>
      </c>
      <c r="C837">
        <v>21307.620000000003</v>
      </c>
      <c r="H837" s="39"/>
    </row>
    <row r="838" spans="1:8" x14ac:dyDescent="0.25">
      <c r="A838">
        <v>10580028</v>
      </c>
      <c r="B838" s="11">
        <v>1768.0100000000002</v>
      </c>
      <c r="C838">
        <v>71553.76999999999</v>
      </c>
      <c r="H838" s="39"/>
    </row>
    <row r="839" spans="1:8" x14ac:dyDescent="0.25">
      <c r="A839">
        <v>10580029</v>
      </c>
      <c r="B839" s="11">
        <v>921.69</v>
      </c>
      <c r="C839">
        <v>41737.880000000005</v>
      </c>
      <c r="H839" s="39"/>
    </row>
    <row r="840" spans="1:8" x14ac:dyDescent="0.25">
      <c r="A840">
        <v>10580030</v>
      </c>
      <c r="B840" s="11">
        <v>94.210000000000008</v>
      </c>
      <c r="C840">
        <v>3466.51</v>
      </c>
      <c r="H840" s="39"/>
    </row>
    <row r="841" spans="1:8" x14ac:dyDescent="0.25">
      <c r="A841">
        <v>10590013</v>
      </c>
      <c r="B841" s="11">
        <v>2634.9</v>
      </c>
      <c r="C841">
        <v>123489.60999999999</v>
      </c>
      <c r="H841" s="39"/>
    </row>
    <row r="842" spans="1:8" x14ac:dyDescent="0.25">
      <c r="A842">
        <v>10590014</v>
      </c>
      <c r="B842" s="11">
        <v>2929.1</v>
      </c>
      <c r="C842">
        <v>139946.15999999997</v>
      </c>
      <c r="H842" s="39"/>
    </row>
    <row r="843" spans="1:8" x14ac:dyDescent="0.25">
      <c r="A843">
        <v>10610026</v>
      </c>
      <c r="B843" s="11">
        <v>657.00000000000011</v>
      </c>
      <c r="C843">
        <v>35914.15</v>
      </c>
      <c r="H843" s="39"/>
    </row>
    <row r="844" spans="1:8" x14ac:dyDescent="0.25">
      <c r="A844">
        <v>10610027</v>
      </c>
      <c r="B844" s="11">
        <v>6105.3</v>
      </c>
      <c r="C844">
        <v>234807.1</v>
      </c>
      <c r="H844" s="39"/>
    </row>
    <row r="845" spans="1:8" x14ac:dyDescent="0.25">
      <c r="A845">
        <v>10610028</v>
      </c>
      <c r="B845" s="11">
        <v>845.2</v>
      </c>
      <c r="C845">
        <v>32756.350000000006</v>
      </c>
      <c r="H845" s="39"/>
    </row>
    <row r="846" spans="1:8" x14ac:dyDescent="0.25">
      <c r="A846">
        <v>10610031</v>
      </c>
      <c r="B846" s="11">
        <v>1055.2</v>
      </c>
      <c r="C846">
        <v>41930.33</v>
      </c>
      <c r="H846" s="39"/>
    </row>
    <row r="847" spans="1:8" x14ac:dyDescent="0.25">
      <c r="A847">
        <v>10610034</v>
      </c>
      <c r="B847" s="11">
        <v>1174.3</v>
      </c>
      <c r="C847">
        <v>45753.62000000001</v>
      </c>
      <c r="H847" s="39"/>
    </row>
    <row r="848" spans="1:8" x14ac:dyDescent="0.25">
      <c r="A848">
        <v>10610035</v>
      </c>
      <c r="B848" s="11">
        <v>1549.8000000000002</v>
      </c>
      <c r="C848">
        <v>51162.19</v>
      </c>
      <c r="H848" s="39"/>
    </row>
    <row r="849" spans="1:8" x14ac:dyDescent="0.25">
      <c r="A849">
        <v>10610036</v>
      </c>
      <c r="B849" s="11">
        <v>1580</v>
      </c>
      <c r="C849">
        <v>58458.22</v>
      </c>
      <c r="H849" s="39"/>
    </row>
    <row r="850" spans="1:8" x14ac:dyDescent="0.25">
      <c r="A850">
        <v>10610038</v>
      </c>
      <c r="B850" s="11">
        <v>4242.8</v>
      </c>
      <c r="C850">
        <v>156702.97</v>
      </c>
      <c r="H850" s="39"/>
    </row>
    <row r="851" spans="1:8" x14ac:dyDescent="0.25">
      <c r="A851">
        <v>10630002</v>
      </c>
      <c r="B851" s="11">
        <v>738.59999999999991</v>
      </c>
      <c r="C851">
        <v>32109.699999999997</v>
      </c>
      <c r="H851" s="39"/>
    </row>
    <row r="852" spans="1:8" x14ac:dyDescent="0.25">
      <c r="A852">
        <v>10640009</v>
      </c>
      <c r="B852" s="11">
        <v>1159.32</v>
      </c>
      <c r="C852">
        <v>55383.81</v>
      </c>
      <c r="H852" s="39"/>
    </row>
    <row r="853" spans="1:8" x14ac:dyDescent="0.25">
      <c r="A853">
        <v>10650004</v>
      </c>
      <c r="B853" s="11">
        <v>2285.0999999999995</v>
      </c>
      <c r="C853">
        <v>89519.01999999999</v>
      </c>
      <c r="H853" s="105"/>
    </row>
    <row r="854" spans="1:8" x14ac:dyDescent="0.25">
      <c r="A854">
        <v>10130119</v>
      </c>
      <c r="B854" s="11">
        <v>300</v>
      </c>
      <c r="C854">
        <v>12544.39</v>
      </c>
      <c r="H854" s="39"/>
    </row>
    <row r="855" spans="1:8" x14ac:dyDescent="0.25">
      <c r="A855">
        <v>10560035</v>
      </c>
      <c r="B855" s="11">
        <v>1850.8000000000002</v>
      </c>
      <c r="C855">
        <v>68889.22</v>
      </c>
      <c r="H855" s="39"/>
    </row>
    <row r="856" spans="1:8" x14ac:dyDescent="0.25">
      <c r="A856">
        <v>10570042</v>
      </c>
      <c r="B856" s="11">
        <v>635.6</v>
      </c>
      <c r="C856">
        <v>25488.820000000003</v>
      </c>
      <c r="H856" s="39"/>
    </row>
    <row r="857" spans="1:8" x14ac:dyDescent="0.25">
      <c r="A857">
        <v>10610045</v>
      </c>
      <c r="B857" s="11">
        <v>2265.6999999999998</v>
      </c>
      <c r="C857">
        <v>87681.390000000014</v>
      </c>
      <c r="H857" s="39"/>
    </row>
    <row r="858" spans="1:8" x14ac:dyDescent="0.25">
      <c r="A858">
        <v>10610046</v>
      </c>
      <c r="B858" s="11">
        <v>228.59999999999997</v>
      </c>
      <c r="C858">
        <v>8884.5499999999993</v>
      </c>
      <c r="H858" s="39"/>
    </row>
    <row r="859" spans="1:8" x14ac:dyDescent="0.25">
      <c r="A859">
        <v>10630014</v>
      </c>
      <c r="B859" s="11">
        <v>1640.2</v>
      </c>
      <c r="C859">
        <v>62747.580000000009</v>
      </c>
      <c r="H859" s="39"/>
    </row>
    <row r="860" spans="1:8" x14ac:dyDescent="0.25">
      <c r="A860">
        <v>10060133</v>
      </c>
      <c r="B860" s="11">
        <v>2251.5</v>
      </c>
      <c r="C860">
        <v>84553.13</v>
      </c>
      <c r="H860" s="39"/>
    </row>
    <row r="861" spans="1:8" x14ac:dyDescent="0.25">
      <c r="A861">
        <v>10140204</v>
      </c>
      <c r="B861" s="11">
        <v>267.89999999999998</v>
      </c>
      <c r="C861">
        <v>11380.34</v>
      </c>
      <c r="H861" s="39"/>
    </row>
    <row r="862" spans="1:8" x14ac:dyDescent="0.25">
      <c r="A862">
        <v>10520011</v>
      </c>
      <c r="B862" s="11">
        <v>52117</v>
      </c>
      <c r="C862">
        <v>1858144.71</v>
      </c>
      <c r="H862" s="39"/>
    </row>
    <row r="863" spans="1:8" x14ac:dyDescent="0.25">
      <c r="A863">
        <v>10550009</v>
      </c>
      <c r="B863" s="11">
        <v>5303</v>
      </c>
      <c r="C863">
        <v>205392.41999999998</v>
      </c>
      <c r="H863" s="39"/>
    </row>
    <row r="864" spans="1:8" x14ac:dyDescent="0.25">
      <c r="A864">
        <v>10570058</v>
      </c>
      <c r="B864" s="11">
        <v>4171.6000000000004</v>
      </c>
      <c r="C864">
        <v>157263.02000000002</v>
      </c>
      <c r="H864" s="39"/>
    </row>
    <row r="865" spans="1:8" x14ac:dyDescent="0.25">
      <c r="A865">
        <v>10570059</v>
      </c>
      <c r="B865" s="11">
        <v>6190.6</v>
      </c>
      <c r="C865">
        <v>269042.20999999996</v>
      </c>
      <c r="H865" s="39"/>
    </row>
    <row r="866" spans="1:8" x14ac:dyDescent="0.25">
      <c r="A866">
        <v>10570060</v>
      </c>
      <c r="B866" s="11">
        <v>1983.9</v>
      </c>
      <c r="C866">
        <v>86701.94</v>
      </c>
      <c r="H866" s="39"/>
    </row>
    <row r="867" spans="1:8" x14ac:dyDescent="0.25">
      <c r="A867">
        <v>10590016</v>
      </c>
      <c r="B867" s="11">
        <v>1568.6</v>
      </c>
      <c r="C867">
        <v>80210.81</v>
      </c>
      <c r="H867" s="39"/>
    </row>
    <row r="868" spans="1:8" x14ac:dyDescent="0.25">
      <c r="A868">
        <v>10630018</v>
      </c>
      <c r="B868" s="11">
        <v>4782.7</v>
      </c>
      <c r="C868">
        <v>179290.21000000002</v>
      </c>
      <c r="H868" s="39"/>
    </row>
    <row r="869" spans="1:8" x14ac:dyDescent="0.25">
      <c r="A869">
        <v>10650008</v>
      </c>
      <c r="B869" s="11">
        <v>14.7</v>
      </c>
      <c r="C869">
        <v>563.65000000000009</v>
      </c>
      <c r="H869" s="39"/>
    </row>
    <row r="870" spans="1:8" x14ac:dyDescent="0.25">
      <c r="A870">
        <v>10530113</v>
      </c>
      <c r="B870" s="11">
        <v>1833.75</v>
      </c>
      <c r="C870">
        <v>74207.039999999994</v>
      </c>
      <c r="H870" s="39"/>
    </row>
    <row r="871" spans="1:8" x14ac:dyDescent="0.25">
      <c r="A871">
        <v>10610050</v>
      </c>
      <c r="B871" s="11">
        <v>1833.6</v>
      </c>
      <c r="C871">
        <v>75359.239999999991</v>
      </c>
      <c r="H871" s="39"/>
    </row>
    <row r="872" spans="1:8" x14ac:dyDescent="0.25">
      <c r="A872">
        <v>10610051</v>
      </c>
      <c r="B872" s="11">
        <v>838.09999999999991</v>
      </c>
      <c r="C872">
        <v>31532.170000000006</v>
      </c>
      <c r="H872" s="39"/>
    </row>
    <row r="873" spans="1:8" x14ac:dyDescent="0.25">
      <c r="A873">
        <v>10650011</v>
      </c>
      <c r="B873" s="11">
        <v>2385.25</v>
      </c>
      <c r="C873">
        <v>95077.81</v>
      </c>
      <c r="H873" s="39"/>
    </row>
    <row r="874" spans="1:8" x14ac:dyDescent="0.25">
      <c r="A874">
        <v>10130027</v>
      </c>
      <c r="B874" s="11">
        <v>240.8</v>
      </c>
      <c r="C874">
        <v>9339.3999999999978</v>
      </c>
      <c r="H874" s="39"/>
    </row>
    <row r="875" spans="1:8" x14ac:dyDescent="0.25">
      <c r="A875">
        <v>10610052</v>
      </c>
      <c r="B875" s="11">
        <v>3094.0000000000005</v>
      </c>
      <c r="C875">
        <v>124696.04999999999</v>
      </c>
      <c r="H875" s="39"/>
    </row>
    <row r="876" spans="1:8" x14ac:dyDescent="0.25">
      <c r="A876">
        <v>10030087</v>
      </c>
      <c r="B876" s="11">
        <v>1614.7</v>
      </c>
      <c r="C876">
        <v>87000.5</v>
      </c>
      <c r="H876" s="39"/>
    </row>
    <row r="877" spans="1:8" x14ac:dyDescent="0.25">
      <c r="A877">
        <v>10030088</v>
      </c>
      <c r="B877" s="11">
        <v>1838.5</v>
      </c>
      <c r="C877">
        <v>68875.05</v>
      </c>
      <c r="H877" s="39"/>
    </row>
    <row r="878" spans="1:8" x14ac:dyDescent="0.25">
      <c r="A878">
        <v>10030089</v>
      </c>
      <c r="B878" s="11">
        <v>3645.2</v>
      </c>
      <c r="C878">
        <v>188470.75999999998</v>
      </c>
      <c r="H878" s="39"/>
    </row>
    <row r="879" spans="1:8" x14ac:dyDescent="0.25">
      <c r="A879">
        <v>10030090</v>
      </c>
      <c r="B879" s="11">
        <v>2124.6999999999998</v>
      </c>
      <c r="C879">
        <v>92086.09</v>
      </c>
      <c r="H879" s="39"/>
    </row>
    <row r="880" spans="1:8" x14ac:dyDescent="0.25">
      <c r="A880">
        <v>10090080</v>
      </c>
      <c r="B880" s="11">
        <v>2288.8000000000002</v>
      </c>
      <c r="C880">
        <v>115933</v>
      </c>
      <c r="H880" s="39"/>
    </row>
    <row r="881" spans="1:8" x14ac:dyDescent="0.25">
      <c r="A881">
        <v>10570062</v>
      </c>
      <c r="B881" s="11">
        <v>11879.3</v>
      </c>
      <c r="C881">
        <v>451230.79000000004</v>
      </c>
      <c r="H881" s="39"/>
    </row>
    <row r="882" spans="1:8" x14ac:dyDescent="0.25">
      <c r="A882">
        <v>10580013</v>
      </c>
      <c r="B882" s="11">
        <v>722.18999999999983</v>
      </c>
      <c r="C882">
        <v>25646.82</v>
      </c>
      <c r="H882" s="39"/>
    </row>
    <row r="883" spans="1:8" x14ac:dyDescent="0.25">
      <c r="A883">
        <v>10640008</v>
      </c>
      <c r="B883" s="11">
        <v>659.21999999999991</v>
      </c>
      <c r="C883">
        <v>29410.480000000003</v>
      </c>
      <c r="H883" s="39"/>
    </row>
    <row r="884" spans="1:8" x14ac:dyDescent="0.25">
      <c r="A884">
        <v>10020052</v>
      </c>
      <c r="B884" s="11">
        <v>1843.7</v>
      </c>
      <c r="C884">
        <v>105234.12</v>
      </c>
      <c r="H884" s="39"/>
    </row>
    <row r="885" spans="1:8" x14ac:dyDescent="0.25">
      <c r="A885">
        <v>10020087</v>
      </c>
      <c r="B885" s="11">
        <v>2963.2000000000003</v>
      </c>
      <c r="C885">
        <v>122162.13000000002</v>
      </c>
      <c r="H885" s="39"/>
    </row>
    <row r="886" spans="1:8" x14ac:dyDescent="0.25">
      <c r="A886">
        <v>10100028</v>
      </c>
      <c r="B886" s="11">
        <v>1602.1</v>
      </c>
      <c r="C886">
        <v>55927.679999999993</v>
      </c>
      <c r="H886" s="39"/>
    </row>
    <row r="887" spans="1:8" x14ac:dyDescent="0.25">
      <c r="A887">
        <v>10130120</v>
      </c>
      <c r="B887" s="11">
        <v>2033.5</v>
      </c>
      <c r="C887">
        <v>83659.17</v>
      </c>
      <c r="H887" s="39"/>
    </row>
    <row r="888" spans="1:8" x14ac:dyDescent="0.25">
      <c r="A888">
        <v>10530088</v>
      </c>
      <c r="B888" s="11">
        <v>1926.48</v>
      </c>
      <c r="C888">
        <v>88884.160000000003</v>
      </c>
      <c r="H888" s="39"/>
    </row>
    <row r="889" spans="1:8" x14ac:dyDescent="0.25">
      <c r="A889">
        <v>10530114</v>
      </c>
      <c r="B889" s="11">
        <v>1727.7000000000003</v>
      </c>
      <c r="C889">
        <v>76602.36</v>
      </c>
      <c r="H889" s="39"/>
    </row>
    <row r="890" spans="1:8" x14ac:dyDescent="0.25">
      <c r="A890">
        <v>10610041</v>
      </c>
      <c r="B890" s="11">
        <v>19.299999999999997</v>
      </c>
      <c r="C890">
        <v>733.58</v>
      </c>
      <c r="H890" s="39"/>
    </row>
    <row r="891" spans="1:8" x14ac:dyDescent="0.25">
      <c r="A891">
        <v>10660001</v>
      </c>
      <c r="B891" s="11">
        <v>3495.75</v>
      </c>
      <c r="C891">
        <v>192554.37</v>
      </c>
      <c r="H891" s="39"/>
    </row>
    <row r="892" spans="1:8" x14ac:dyDescent="0.25">
      <c r="A892">
        <v>10660002</v>
      </c>
      <c r="B892" s="11">
        <v>1804.3599999999997</v>
      </c>
      <c r="C892">
        <v>82406.98000000001</v>
      </c>
      <c r="H892" s="39"/>
    </row>
    <row r="893" spans="1:8" x14ac:dyDescent="0.25">
      <c r="A893">
        <v>10660004</v>
      </c>
      <c r="B893" s="11">
        <v>2726.1600000000003</v>
      </c>
      <c r="C893">
        <v>117943.48999999999</v>
      </c>
      <c r="H893" s="39"/>
    </row>
    <row r="894" spans="1:8" x14ac:dyDescent="0.25">
      <c r="A894">
        <v>10660005</v>
      </c>
      <c r="B894" s="11">
        <v>2509.2900000000004</v>
      </c>
      <c r="C894">
        <v>121526</v>
      </c>
      <c r="H894" s="39"/>
    </row>
    <row r="895" spans="1:8" x14ac:dyDescent="0.25">
      <c r="A895">
        <v>10660006</v>
      </c>
      <c r="B895" s="11">
        <v>1400.21</v>
      </c>
      <c r="C895">
        <v>61940.460000000006</v>
      </c>
      <c r="H895" s="39"/>
    </row>
    <row r="896" spans="1:8" x14ac:dyDescent="0.25">
      <c r="A896">
        <v>10660007</v>
      </c>
      <c r="B896" s="11">
        <v>504.32999999999993</v>
      </c>
      <c r="C896">
        <v>20239.75</v>
      </c>
      <c r="H896" s="39"/>
    </row>
    <row r="897" spans="1:8" x14ac:dyDescent="0.25">
      <c r="A897">
        <v>10660010</v>
      </c>
      <c r="B897" s="11">
        <v>8294.57</v>
      </c>
      <c r="C897">
        <v>330166.69</v>
      </c>
      <c r="H897" s="39"/>
    </row>
    <row r="898" spans="1:8" x14ac:dyDescent="0.25">
      <c r="A898">
        <v>10660011</v>
      </c>
      <c r="B898" s="11">
        <v>4834.76</v>
      </c>
      <c r="C898">
        <v>202259.28</v>
      </c>
      <c r="H898" s="39"/>
    </row>
    <row r="899" spans="1:8" x14ac:dyDescent="0.25">
      <c r="A899">
        <v>10660013</v>
      </c>
      <c r="B899" s="11">
        <v>2018.65</v>
      </c>
      <c r="C899">
        <v>83531.47</v>
      </c>
      <c r="H899" s="39"/>
    </row>
    <row r="900" spans="1:8" x14ac:dyDescent="0.25">
      <c r="A900">
        <v>10660015</v>
      </c>
      <c r="B900" s="11">
        <v>5865.3600000000006</v>
      </c>
      <c r="C900">
        <v>246974.53000000003</v>
      </c>
      <c r="H900" s="39"/>
    </row>
    <row r="901" spans="1:8" x14ac:dyDescent="0.25">
      <c r="A901">
        <v>10660016</v>
      </c>
      <c r="B901" s="11">
        <v>2879.6400000000003</v>
      </c>
      <c r="C901">
        <v>115049.12000000001</v>
      </c>
      <c r="H901" s="39"/>
    </row>
    <row r="902" spans="1:8" x14ac:dyDescent="0.25">
      <c r="A902">
        <v>10660017</v>
      </c>
      <c r="B902" s="11">
        <v>901.96</v>
      </c>
      <c r="C902">
        <v>39589.509999999995</v>
      </c>
      <c r="H902" s="39"/>
    </row>
    <row r="903" spans="1:8" x14ac:dyDescent="0.25">
      <c r="A903">
        <v>10660019</v>
      </c>
      <c r="B903" s="11">
        <v>32.21</v>
      </c>
      <c r="C903">
        <v>1231.3900000000001</v>
      </c>
      <c r="H903" s="39"/>
    </row>
    <row r="904" spans="1:8" x14ac:dyDescent="0.25">
      <c r="A904">
        <v>10660021</v>
      </c>
      <c r="B904" s="11">
        <v>1668.0800000000002</v>
      </c>
      <c r="C904">
        <v>65249.350000000006</v>
      </c>
      <c r="H904" s="39"/>
    </row>
    <row r="905" spans="1:8" x14ac:dyDescent="0.25">
      <c r="A905">
        <v>10660022</v>
      </c>
      <c r="B905" s="11">
        <v>385.20000000000005</v>
      </c>
      <c r="C905">
        <v>17656.669999999998</v>
      </c>
      <c r="H905" s="39"/>
    </row>
    <row r="906" spans="1:8" x14ac:dyDescent="0.25">
      <c r="A906">
        <v>10660023</v>
      </c>
      <c r="B906" s="11">
        <v>33739.360000000001</v>
      </c>
      <c r="C906">
        <v>1389077.9499999997</v>
      </c>
      <c r="H906" s="39"/>
    </row>
    <row r="907" spans="1:8" x14ac:dyDescent="0.25">
      <c r="A907">
        <v>10660024</v>
      </c>
      <c r="B907" s="11">
        <v>465.18999999999994</v>
      </c>
      <c r="C907">
        <v>17867.599999999999</v>
      </c>
      <c r="H907" s="39"/>
    </row>
    <row r="908" spans="1:8" x14ac:dyDescent="0.25">
      <c r="A908">
        <v>10060036</v>
      </c>
      <c r="B908" s="11">
        <v>7851.4</v>
      </c>
      <c r="C908">
        <v>404086.49</v>
      </c>
      <c r="H908" s="39"/>
    </row>
    <row r="909" spans="1:8" x14ac:dyDescent="0.25">
      <c r="A909">
        <v>10060089</v>
      </c>
      <c r="B909" s="11">
        <v>1769.1</v>
      </c>
      <c r="C909">
        <v>60972.479999999996</v>
      </c>
      <c r="H909" s="39"/>
    </row>
    <row r="910" spans="1:8" x14ac:dyDescent="0.25">
      <c r="A910">
        <v>10080073</v>
      </c>
      <c r="B910" s="11">
        <v>13678.500000000002</v>
      </c>
      <c r="C910">
        <v>543701.65000000014</v>
      </c>
    </row>
    <row r="911" spans="1:8" x14ac:dyDescent="0.25">
      <c r="A911">
        <v>10100071</v>
      </c>
      <c r="B911" s="11">
        <v>12638.800000000001</v>
      </c>
      <c r="C911">
        <v>643478.26</v>
      </c>
    </row>
    <row r="912" spans="1:8" x14ac:dyDescent="0.25">
      <c r="A912">
        <v>10200001</v>
      </c>
      <c r="B912" s="11">
        <v>1103.7</v>
      </c>
      <c r="C912">
        <v>42956.08</v>
      </c>
    </row>
    <row r="913" spans="1:3" x14ac:dyDescent="0.25">
      <c r="A913">
        <v>10570032</v>
      </c>
      <c r="B913" s="11">
        <v>2460.3000000000002</v>
      </c>
      <c r="C913">
        <v>106272.93000000001</v>
      </c>
    </row>
    <row r="914" spans="1:3" x14ac:dyDescent="0.25">
      <c r="A914">
        <v>10610055</v>
      </c>
      <c r="B914" s="11">
        <v>903.1</v>
      </c>
      <c r="C914">
        <v>44405.569999999992</v>
      </c>
    </row>
    <row r="915" spans="1:3" x14ac:dyDescent="0.25">
      <c r="A915">
        <v>10610056</v>
      </c>
      <c r="B915" s="11">
        <v>4730</v>
      </c>
      <c r="C915">
        <v>187693.97</v>
      </c>
    </row>
    <row r="916" spans="1:3" x14ac:dyDescent="0.25">
      <c r="A916">
        <v>10660012</v>
      </c>
      <c r="B916" s="11">
        <v>323.40999999999997</v>
      </c>
      <c r="C916">
        <v>15918.45</v>
      </c>
    </row>
    <row r="917" spans="1:3" x14ac:dyDescent="0.25">
      <c r="A917">
        <v>10060076</v>
      </c>
      <c r="B917" s="11">
        <v>1494.7999999999997</v>
      </c>
      <c r="C917">
        <v>63034.879999999997</v>
      </c>
    </row>
    <row r="918" spans="1:3" x14ac:dyDescent="0.25">
      <c r="A918">
        <v>10070067</v>
      </c>
      <c r="B918" s="11">
        <v>6091.3</v>
      </c>
      <c r="C918">
        <v>239973.08</v>
      </c>
    </row>
    <row r="919" spans="1:3" x14ac:dyDescent="0.25">
      <c r="A919">
        <v>10110079</v>
      </c>
      <c r="B919" s="11">
        <v>79</v>
      </c>
      <c r="C919">
        <v>2965.34</v>
      </c>
    </row>
    <row r="920" spans="1:3" x14ac:dyDescent="0.25">
      <c r="A920">
        <v>10140191</v>
      </c>
      <c r="B920" s="11">
        <v>1512</v>
      </c>
      <c r="C920">
        <v>59935.35</v>
      </c>
    </row>
    <row r="921" spans="1:3" x14ac:dyDescent="0.25">
      <c r="A921">
        <v>10650014</v>
      </c>
      <c r="B921" s="11">
        <v>1919.6</v>
      </c>
      <c r="C921">
        <v>76027.680000000008</v>
      </c>
    </row>
    <row r="922" spans="1:3" x14ac:dyDescent="0.25">
      <c r="A922">
        <v>10650016</v>
      </c>
      <c r="B922" s="11">
        <v>1188</v>
      </c>
      <c r="C922">
        <v>43862.399999999994</v>
      </c>
    </row>
    <row r="923" spans="1:3" x14ac:dyDescent="0.25">
      <c r="A923">
        <v>10010044</v>
      </c>
      <c r="B923" s="11">
        <v>1127.8600000000001</v>
      </c>
      <c r="C923">
        <v>45264.350000000006</v>
      </c>
    </row>
    <row r="924" spans="1:3" x14ac:dyDescent="0.25">
      <c r="A924">
        <v>10020088</v>
      </c>
      <c r="B924" s="11">
        <v>1125.4000000000001</v>
      </c>
      <c r="C924">
        <v>44611.790000000008</v>
      </c>
    </row>
    <row r="925" spans="1:3" x14ac:dyDescent="0.25">
      <c r="A925">
        <v>10060115</v>
      </c>
      <c r="B925" s="11">
        <v>1742.2</v>
      </c>
      <c r="C925">
        <v>91957.709999999992</v>
      </c>
    </row>
    <row r="926" spans="1:3" x14ac:dyDescent="0.25">
      <c r="A926">
        <v>10070079</v>
      </c>
      <c r="B926" s="11">
        <v>507.6</v>
      </c>
      <c r="C926">
        <v>24801.97</v>
      </c>
    </row>
    <row r="927" spans="1:3" x14ac:dyDescent="0.25">
      <c r="A927">
        <v>10080041</v>
      </c>
      <c r="B927" s="11">
        <v>842.84999999999991</v>
      </c>
      <c r="C927">
        <v>34447.380000000005</v>
      </c>
    </row>
    <row r="928" spans="1:3" x14ac:dyDescent="0.25">
      <c r="A928">
        <v>10080065</v>
      </c>
      <c r="B928" s="11">
        <v>1491.25</v>
      </c>
      <c r="C928">
        <v>57626.43</v>
      </c>
    </row>
    <row r="929" spans="1:3" x14ac:dyDescent="0.25">
      <c r="A929">
        <v>10140207</v>
      </c>
      <c r="B929" s="11">
        <v>1405.1</v>
      </c>
      <c r="C929">
        <v>50559.44</v>
      </c>
    </row>
    <row r="930" spans="1:3" x14ac:dyDescent="0.25">
      <c r="A930">
        <v>10540047</v>
      </c>
      <c r="B930" s="11">
        <v>442.20000000000005</v>
      </c>
      <c r="C930">
        <v>15528.59</v>
      </c>
    </row>
    <row r="931" spans="1:3" x14ac:dyDescent="0.25">
      <c r="A931">
        <v>10560041</v>
      </c>
      <c r="B931" s="11">
        <v>324.14</v>
      </c>
      <c r="C931">
        <v>11941.32</v>
      </c>
    </row>
    <row r="932" spans="1:3" x14ac:dyDescent="0.25">
      <c r="A932">
        <v>10570051</v>
      </c>
      <c r="B932" s="11">
        <v>522.29999999999984</v>
      </c>
      <c r="C932">
        <v>19437.329999999998</v>
      </c>
    </row>
    <row r="933" spans="1:3" x14ac:dyDescent="0.25">
      <c r="A933">
        <v>10610059</v>
      </c>
      <c r="B933" s="11">
        <v>402.2</v>
      </c>
      <c r="C933">
        <v>14451.650000000001</v>
      </c>
    </row>
    <row r="934" spans="1:3" x14ac:dyDescent="0.25">
      <c r="A934">
        <v>10630022</v>
      </c>
      <c r="B934" s="11">
        <v>1375.1</v>
      </c>
      <c r="C934">
        <v>49231.590000000004</v>
      </c>
    </row>
    <row r="935" spans="1:3" x14ac:dyDescent="0.25">
      <c r="A935">
        <v>10650018</v>
      </c>
      <c r="B935" s="11">
        <v>3576.65</v>
      </c>
      <c r="C935">
        <v>141257.70000000001</v>
      </c>
    </row>
    <row r="936" spans="1:3" x14ac:dyDescent="0.25">
      <c r="A936">
        <v>10080037</v>
      </c>
      <c r="B936" s="11">
        <v>578.75</v>
      </c>
      <c r="C936">
        <v>23799.329999999998</v>
      </c>
    </row>
    <row r="937" spans="1:3" x14ac:dyDescent="0.25">
      <c r="A937">
        <v>10130122</v>
      </c>
      <c r="B937" s="11">
        <v>1656.7000000000003</v>
      </c>
      <c r="C937">
        <v>57346.79</v>
      </c>
    </row>
    <row r="938" spans="1:3" x14ac:dyDescent="0.25">
      <c r="A938">
        <v>10530053</v>
      </c>
      <c r="B938" s="11">
        <v>218.85000000000002</v>
      </c>
      <c r="C938">
        <v>10611.81</v>
      </c>
    </row>
    <row r="939" spans="1:3" x14ac:dyDescent="0.25">
      <c r="A939">
        <v>10530116</v>
      </c>
      <c r="B939" s="11">
        <v>3987.5</v>
      </c>
      <c r="C939">
        <v>163223.25</v>
      </c>
    </row>
    <row r="940" spans="1:3" x14ac:dyDescent="0.25">
      <c r="A940">
        <v>10540036</v>
      </c>
      <c r="B940" s="11">
        <v>76.099999999999994</v>
      </c>
      <c r="C940">
        <v>3141.41</v>
      </c>
    </row>
    <row r="941" spans="1:3" x14ac:dyDescent="0.25">
      <c r="A941">
        <v>10550011</v>
      </c>
      <c r="B941" s="11">
        <v>1172.3</v>
      </c>
      <c r="C941">
        <v>47188.68</v>
      </c>
    </row>
    <row r="942" spans="1:3" x14ac:dyDescent="0.25">
      <c r="A942">
        <v>10560039</v>
      </c>
      <c r="B942" s="11">
        <v>1140.76</v>
      </c>
      <c r="C942">
        <v>40065.969999999994</v>
      </c>
    </row>
    <row r="943" spans="1:3" x14ac:dyDescent="0.25">
      <c r="A943">
        <v>10560040</v>
      </c>
      <c r="B943" s="11">
        <v>571.29999999999995</v>
      </c>
      <c r="C943">
        <v>22548.090000000004</v>
      </c>
    </row>
    <row r="944" spans="1:3" x14ac:dyDescent="0.25">
      <c r="A944">
        <v>10570065</v>
      </c>
      <c r="B944" s="11">
        <v>1713.3</v>
      </c>
      <c r="C944">
        <v>67434.399999999994</v>
      </c>
    </row>
    <row r="945" spans="1:3" x14ac:dyDescent="0.25">
      <c r="A945">
        <v>10570066</v>
      </c>
      <c r="B945" s="11">
        <v>4594.3</v>
      </c>
      <c r="C945">
        <v>179451.25999999998</v>
      </c>
    </row>
    <row r="946" spans="1:3" x14ac:dyDescent="0.25">
      <c r="A946">
        <v>10610054</v>
      </c>
      <c r="B946" s="11">
        <v>2452.3999999999996</v>
      </c>
      <c r="C946">
        <v>96516.66</v>
      </c>
    </row>
    <row r="947" spans="1:3" x14ac:dyDescent="0.25">
      <c r="A947">
        <v>10650015</v>
      </c>
      <c r="B947" s="11">
        <v>264.89999999999998</v>
      </c>
      <c r="C947">
        <v>9842.2200000000012</v>
      </c>
    </row>
    <row r="948" spans="1:3" x14ac:dyDescent="0.25">
      <c r="A948">
        <v>10010079</v>
      </c>
      <c r="B948" s="11">
        <v>781.23</v>
      </c>
      <c r="C948">
        <v>32727.930000000004</v>
      </c>
    </row>
    <row r="949" spans="1:3" x14ac:dyDescent="0.25">
      <c r="A949">
        <v>10090069</v>
      </c>
      <c r="B949" s="11">
        <v>3323.4999999999995</v>
      </c>
      <c r="C949">
        <v>150503.63</v>
      </c>
    </row>
    <row r="950" spans="1:3" x14ac:dyDescent="0.25">
      <c r="A950">
        <v>10110112</v>
      </c>
      <c r="B950" s="11">
        <v>462.8</v>
      </c>
      <c r="C950">
        <v>17429.950000000004</v>
      </c>
    </row>
    <row r="951" spans="1:3" x14ac:dyDescent="0.25">
      <c r="A951">
        <v>10130090</v>
      </c>
      <c r="B951" s="11">
        <v>61.2</v>
      </c>
      <c r="C951">
        <v>2189.6799999999998</v>
      </c>
    </row>
    <row r="952" spans="1:3" x14ac:dyDescent="0.25">
      <c r="A952">
        <v>10140041</v>
      </c>
      <c r="B952" s="11">
        <v>1482.7</v>
      </c>
      <c r="C952">
        <v>55781.8</v>
      </c>
    </row>
    <row r="953" spans="1:3" x14ac:dyDescent="0.25">
      <c r="A953">
        <v>10140208</v>
      </c>
      <c r="B953" s="11">
        <v>3646.3</v>
      </c>
      <c r="C953">
        <v>148660.78000000003</v>
      </c>
    </row>
    <row r="954" spans="1:3" x14ac:dyDescent="0.25">
      <c r="A954">
        <v>10530094</v>
      </c>
      <c r="B954" s="11">
        <v>1855.3600000000001</v>
      </c>
      <c r="C954">
        <v>71271.94</v>
      </c>
    </row>
    <row r="955" spans="1:3" x14ac:dyDescent="0.25">
      <c r="A955">
        <v>10550010</v>
      </c>
      <c r="B955" s="11">
        <v>1230.5</v>
      </c>
      <c r="C955">
        <v>51989.130000000005</v>
      </c>
    </row>
    <row r="956" spans="1:3" x14ac:dyDescent="0.25">
      <c r="A956">
        <v>10660030</v>
      </c>
      <c r="B956" s="11">
        <v>92.1</v>
      </c>
      <c r="C956">
        <v>4035.38</v>
      </c>
    </row>
    <row r="957" spans="1:3" x14ac:dyDescent="0.25">
      <c r="A957">
        <v>10660032</v>
      </c>
      <c r="B957" s="11">
        <v>355.94</v>
      </c>
      <c r="C957">
        <v>14735.01</v>
      </c>
    </row>
    <row r="958" spans="1:3" x14ac:dyDescent="0.25">
      <c r="A958">
        <v>10120067</v>
      </c>
      <c r="B958" s="11">
        <v>1461.4</v>
      </c>
      <c r="C958">
        <v>52098.619999999995</v>
      </c>
    </row>
    <row r="959" spans="1:3" x14ac:dyDescent="0.25">
      <c r="A959">
        <v>10120124</v>
      </c>
      <c r="B959" s="11">
        <v>3660.2599999999998</v>
      </c>
      <c r="C959">
        <v>151254.30000000002</v>
      </c>
    </row>
    <row r="960" spans="1:3" x14ac:dyDescent="0.25">
      <c r="A960">
        <v>10130061</v>
      </c>
      <c r="B960" s="11">
        <v>1765.9</v>
      </c>
      <c r="C960">
        <v>72502.75</v>
      </c>
    </row>
    <row r="961" spans="1:3" x14ac:dyDescent="0.25">
      <c r="A961">
        <v>10540051</v>
      </c>
      <c r="B961" s="11">
        <v>1393.4</v>
      </c>
      <c r="C961">
        <v>51775.990000000005</v>
      </c>
    </row>
    <row r="962" spans="1:3" x14ac:dyDescent="0.25">
      <c r="A962">
        <v>10630024</v>
      </c>
      <c r="B962" s="11">
        <v>264</v>
      </c>
      <c r="C962">
        <v>12888.71</v>
      </c>
    </row>
    <row r="963" spans="1:3" x14ac:dyDescent="0.25">
      <c r="A963">
        <v>10630030</v>
      </c>
      <c r="B963" s="11">
        <v>184.09999999999997</v>
      </c>
      <c r="C963">
        <v>6781.9000000000005</v>
      </c>
    </row>
    <row r="964" spans="1:3" x14ac:dyDescent="0.25">
      <c r="A964">
        <v>10630032</v>
      </c>
      <c r="B964" s="11">
        <v>611.29999999999995</v>
      </c>
      <c r="C964">
        <v>26636.379999999997</v>
      </c>
    </row>
    <row r="965" spans="1:3" x14ac:dyDescent="0.25">
      <c r="A965">
        <v>10630033</v>
      </c>
      <c r="B965" s="11">
        <v>388.3</v>
      </c>
      <c r="C965">
        <v>14510.530000000002</v>
      </c>
    </row>
    <row r="966" spans="1:3" x14ac:dyDescent="0.25">
      <c r="A966">
        <v>10630034</v>
      </c>
      <c r="B966" s="11">
        <v>453.29999999999995</v>
      </c>
      <c r="C966">
        <v>14398.52</v>
      </c>
    </row>
    <row r="967" spans="1:3" x14ac:dyDescent="0.25">
      <c r="A967">
        <v>10630035</v>
      </c>
      <c r="B967" s="11">
        <v>2154.7000000000003</v>
      </c>
      <c r="C967">
        <v>80924.63</v>
      </c>
    </row>
    <row r="968" spans="1:3" x14ac:dyDescent="0.25">
      <c r="A968">
        <v>10650013</v>
      </c>
      <c r="B968" s="11">
        <v>1223.8999999999999</v>
      </c>
      <c r="C968">
        <v>46472.25</v>
      </c>
    </row>
    <row r="969" spans="1:3" x14ac:dyDescent="0.25">
      <c r="A969">
        <v>10060136</v>
      </c>
      <c r="B969" s="11">
        <v>2598.8999999999996</v>
      </c>
      <c r="C969">
        <v>91128.430000000008</v>
      </c>
    </row>
    <row r="970" spans="1:3" x14ac:dyDescent="0.25">
      <c r="A970">
        <v>10090039</v>
      </c>
      <c r="B970" s="11">
        <v>929.10000000000014</v>
      </c>
      <c r="C970">
        <v>37764</v>
      </c>
    </row>
    <row r="971" spans="1:3" x14ac:dyDescent="0.25">
      <c r="A971">
        <v>10110190</v>
      </c>
      <c r="B971" s="11">
        <v>29305.999999999996</v>
      </c>
      <c r="C971">
        <v>1161922.01</v>
      </c>
    </row>
    <row r="972" spans="1:3" x14ac:dyDescent="0.25">
      <c r="A972">
        <v>10140011</v>
      </c>
      <c r="B972" s="11">
        <v>763.4</v>
      </c>
      <c r="C972">
        <v>24054.409999999996</v>
      </c>
    </row>
    <row r="973" spans="1:3" x14ac:dyDescent="0.25">
      <c r="A973">
        <v>10140209</v>
      </c>
      <c r="B973" s="11">
        <v>714.8</v>
      </c>
      <c r="C973">
        <v>26620.019999999997</v>
      </c>
    </row>
    <row r="974" spans="1:3" x14ac:dyDescent="0.25">
      <c r="A974">
        <v>10530104</v>
      </c>
      <c r="B974" s="11">
        <v>160.35</v>
      </c>
      <c r="C974">
        <v>6497.93</v>
      </c>
    </row>
    <row r="975" spans="1:3" x14ac:dyDescent="0.25">
      <c r="A975">
        <v>10540050</v>
      </c>
      <c r="B975" s="11">
        <v>1292.0000000000002</v>
      </c>
      <c r="C975">
        <v>45365.52</v>
      </c>
    </row>
    <row r="976" spans="1:3" x14ac:dyDescent="0.25">
      <c r="A976">
        <v>10570067</v>
      </c>
      <c r="B976" s="11">
        <v>783.5</v>
      </c>
      <c r="C976">
        <v>29384.15</v>
      </c>
    </row>
    <row r="977" spans="1:3" x14ac:dyDescent="0.25">
      <c r="A977">
        <v>10570068</v>
      </c>
      <c r="B977" s="11">
        <v>2416.6999999999998</v>
      </c>
      <c r="C977">
        <v>101017.42000000001</v>
      </c>
    </row>
    <row r="978" spans="1:3" x14ac:dyDescent="0.25">
      <c r="A978">
        <v>10570070</v>
      </c>
      <c r="B978" s="11">
        <v>299.10000000000002</v>
      </c>
      <c r="C978">
        <v>11234.96</v>
      </c>
    </row>
    <row r="979" spans="1:3" x14ac:dyDescent="0.25">
      <c r="A979">
        <v>10570071</v>
      </c>
      <c r="B979" s="11">
        <v>853.90000000000009</v>
      </c>
      <c r="C979">
        <v>32096.049999999996</v>
      </c>
    </row>
    <row r="980" spans="1:3" x14ac:dyDescent="0.25">
      <c r="A980">
        <v>10610048</v>
      </c>
      <c r="B980" s="11">
        <v>69.8</v>
      </c>
      <c r="C980">
        <v>2668.74</v>
      </c>
    </row>
    <row r="981" spans="1:3" x14ac:dyDescent="0.25">
      <c r="A981">
        <v>10610064</v>
      </c>
      <c r="B981" s="11">
        <v>4051.6000000000004</v>
      </c>
      <c r="C981">
        <v>169156.63000000003</v>
      </c>
    </row>
    <row r="982" spans="1:3" x14ac:dyDescent="0.25">
      <c r="A982">
        <v>10630028</v>
      </c>
      <c r="B982" s="11">
        <v>214.9</v>
      </c>
      <c r="C982">
        <v>7226.2300000000005</v>
      </c>
    </row>
    <row r="983" spans="1:3" x14ac:dyDescent="0.25">
      <c r="A983">
        <v>10630036</v>
      </c>
      <c r="B983" s="11">
        <v>1615.0999999999997</v>
      </c>
      <c r="C983">
        <v>54165.909999999996</v>
      </c>
    </row>
    <row r="984" spans="1:3" x14ac:dyDescent="0.25">
      <c r="A984">
        <v>10660028</v>
      </c>
      <c r="B984" s="11">
        <v>3430.88</v>
      </c>
      <c r="C984">
        <v>177536.49000000002</v>
      </c>
    </row>
    <row r="985" spans="1:3" x14ac:dyDescent="0.25">
      <c r="A985">
        <v>10080128</v>
      </c>
      <c r="B985" s="11">
        <v>885.8</v>
      </c>
      <c r="C985">
        <v>35187.9</v>
      </c>
    </row>
    <row r="986" spans="1:3" x14ac:dyDescent="0.25">
      <c r="A986">
        <v>10110166</v>
      </c>
      <c r="B986" s="11">
        <v>377.9</v>
      </c>
      <c r="C986">
        <v>13691.400000000001</v>
      </c>
    </row>
    <row r="987" spans="1:3" x14ac:dyDescent="0.25">
      <c r="A987">
        <v>10130073</v>
      </c>
      <c r="B987" s="11">
        <v>2629.6</v>
      </c>
      <c r="C987">
        <v>99360.69</v>
      </c>
    </row>
    <row r="988" spans="1:3" x14ac:dyDescent="0.25">
      <c r="A988">
        <v>10530069</v>
      </c>
      <c r="B988" s="11">
        <v>1645.05</v>
      </c>
      <c r="C988">
        <v>70391.209999999992</v>
      </c>
    </row>
    <row r="989" spans="1:3" x14ac:dyDescent="0.25">
      <c r="A989">
        <v>10540043</v>
      </c>
      <c r="B989" s="11">
        <v>1165.1999999999998</v>
      </c>
      <c r="C989">
        <v>53473.87999999999</v>
      </c>
    </row>
    <row r="990" spans="1:3" x14ac:dyDescent="0.25">
      <c r="A990">
        <v>10570069</v>
      </c>
      <c r="B990" s="11">
        <v>3103</v>
      </c>
      <c r="C990">
        <v>121382.73000000001</v>
      </c>
    </row>
    <row r="991" spans="1:3" x14ac:dyDescent="0.25">
      <c r="A991">
        <v>10610060</v>
      </c>
      <c r="B991" s="11">
        <v>19.600000000000001</v>
      </c>
      <c r="C991">
        <v>972.79</v>
      </c>
    </row>
    <row r="992" spans="1:3" x14ac:dyDescent="0.25">
      <c r="A992">
        <v>10630025</v>
      </c>
      <c r="B992" s="11">
        <v>1065.02</v>
      </c>
      <c r="C992">
        <v>43845.42</v>
      </c>
    </row>
    <row r="993" spans="1:3" x14ac:dyDescent="0.25">
      <c r="A993">
        <v>10630026</v>
      </c>
      <c r="B993" s="11">
        <v>554.4</v>
      </c>
      <c r="C993">
        <v>17975.330000000002</v>
      </c>
    </row>
    <row r="994" spans="1:3" x14ac:dyDescent="0.25">
      <c r="A994">
        <v>10630037</v>
      </c>
      <c r="B994" s="11">
        <v>185.5</v>
      </c>
      <c r="C994">
        <v>6234.6200000000008</v>
      </c>
    </row>
    <row r="995" spans="1:3" x14ac:dyDescent="0.25">
      <c r="A995">
        <v>10020056</v>
      </c>
      <c r="B995" s="11">
        <v>795</v>
      </c>
      <c r="C995">
        <v>43583.240000000005</v>
      </c>
    </row>
    <row r="996" spans="1:3" x14ac:dyDescent="0.25">
      <c r="A996">
        <v>10030030</v>
      </c>
      <c r="B996" s="11">
        <v>391.9</v>
      </c>
      <c r="C996">
        <v>18507.849999999999</v>
      </c>
    </row>
    <row r="997" spans="1:3" x14ac:dyDescent="0.25">
      <c r="A997">
        <v>10060045</v>
      </c>
      <c r="B997" s="11">
        <v>1284.0999999999999</v>
      </c>
      <c r="C997">
        <v>56339.94</v>
      </c>
    </row>
    <row r="998" spans="1:3" x14ac:dyDescent="0.25">
      <c r="A998">
        <v>10060135</v>
      </c>
      <c r="B998" s="11">
        <v>1139.5</v>
      </c>
      <c r="C998">
        <v>48456.78</v>
      </c>
    </row>
    <row r="999" spans="1:3" x14ac:dyDescent="0.25">
      <c r="A999">
        <v>10070036</v>
      </c>
      <c r="B999" s="11">
        <v>19.899999999999999</v>
      </c>
      <c r="C999">
        <v>998.18</v>
      </c>
    </row>
    <row r="1000" spans="1:3" x14ac:dyDescent="0.25">
      <c r="A1000">
        <v>10100059</v>
      </c>
      <c r="B1000" s="11">
        <v>3750.4000000000005</v>
      </c>
      <c r="C1000">
        <v>178884.62</v>
      </c>
    </row>
    <row r="1001" spans="1:3" x14ac:dyDescent="0.25">
      <c r="A1001">
        <v>10110179</v>
      </c>
      <c r="B1001" s="11">
        <v>1691.3</v>
      </c>
      <c r="C1001">
        <v>70447.450000000012</v>
      </c>
    </row>
    <row r="1002" spans="1:3" x14ac:dyDescent="0.25">
      <c r="A1002">
        <v>10140117</v>
      </c>
      <c r="B1002" s="11">
        <v>108</v>
      </c>
      <c r="C1002">
        <v>3557.52</v>
      </c>
    </row>
    <row r="1003" spans="1:3" x14ac:dyDescent="0.25">
      <c r="A1003">
        <v>10530054</v>
      </c>
      <c r="B1003" s="11">
        <v>7727.8000000000011</v>
      </c>
      <c r="C1003">
        <v>319120.71999999997</v>
      </c>
    </row>
    <row r="1004" spans="1:3" x14ac:dyDescent="0.25">
      <c r="A1004">
        <v>10530117</v>
      </c>
      <c r="B1004" s="11">
        <v>3257</v>
      </c>
      <c r="C1004">
        <v>129518.26</v>
      </c>
    </row>
    <row r="1005" spans="1:3" x14ac:dyDescent="0.25">
      <c r="A1005">
        <v>10540007</v>
      </c>
      <c r="B1005" s="11">
        <v>874.3</v>
      </c>
      <c r="C1005">
        <v>38492.07</v>
      </c>
    </row>
    <row r="1006" spans="1:3" x14ac:dyDescent="0.25">
      <c r="A1006">
        <v>10610032</v>
      </c>
      <c r="B1006" s="11">
        <v>941.6</v>
      </c>
      <c r="C1006">
        <v>35991.370000000003</v>
      </c>
    </row>
    <row r="1007" spans="1:3" x14ac:dyDescent="0.25">
      <c r="A1007">
        <v>10610047</v>
      </c>
      <c r="B1007" s="11">
        <v>438.6</v>
      </c>
      <c r="C1007">
        <v>15697.960000000001</v>
      </c>
    </row>
    <row r="1008" spans="1:3" x14ac:dyDescent="0.25">
      <c r="A1008">
        <v>10610071</v>
      </c>
      <c r="B1008" s="11">
        <v>481.40000000000009</v>
      </c>
      <c r="C1008">
        <v>17586.599999999999</v>
      </c>
    </row>
    <row r="1009" spans="1:3" x14ac:dyDescent="0.25">
      <c r="A1009">
        <v>10610072</v>
      </c>
      <c r="B1009" s="11">
        <v>747.80000000000007</v>
      </c>
      <c r="C1009">
        <v>29037.98</v>
      </c>
    </row>
    <row r="1010" spans="1:3" x14ac:dyDescent="0.25">
      <c r="A1010">
        <v>10610073</v>
      </c>
      <c r="B1010" s="11">
        <v>1048.8</v>
      </c>
      <c r="C1010">
        <v>43218.94</v>
      </c>
    </row>
    <row r="1011" spans="1:3" x14ac:dyDescent="0.25">
      <c r="A1011">
        <v>10610074</v>
      </c>
      <c r="B1011" s="11">
        <v>2334.6</v>
      </c>
      <c r="C1011">
        <v>99266.26</v>
      </c>
    </row>
    <row r="1012" spans="1:3" x14ac:dyDescent="0.25">
      <c r="A1012">
        <v>10630023</v>
      </c>
      <c r="B1012" s="11">
        <v>143.69999999999999</v>
      </c>
      <c r="C1012">
        <v>5207.88</v>
      </c>
    </row>
    <row r="1013" spans="1:3" x14ac:dyDescent="0.25">
      <c r="A1013">
        <v>10630038</v>
      </c>
      <c r="B1013" s="11">
        <v>1122.8000000000002</v>
      </c>
      <c r="C1013">
        <v>38007.4</v>
      </c>
    </row>
    <row r="1014" spans="1:3" x14ac:dyDescent="0.25">
      <c r="A1014">
        <v>10630039</v>
      </c>
      <c r="B1014" s="11">
        <v>1406.7000000000003</v>
      </c>
      <c r="C1014">
        <v>49078.210000000006</v>
      </c>
    </row>
    <row r="1015" spans="1:3" x14ac:dyDescent="0.25">
      <c r="A1015">
        <v>10630040</v>
      </c>
      <c r="B1015" s="11">
        <v>578.09999999999991</v>
      </c>
      <c r="C1015">
        <v>17416.7</v>
      </c>
    </row>
    <row r="1016" spans="1:3" x14ac:dyDescent="0.25">
      <c r="A1016">
        <v>10630041</v>
      </c>
      <c r="B1016" s="11">
        <v>174.2</v>
      </c>
      <c r="C1016">
        <v>6039.84</v>
      </c>
    </row>
    <row r="1017" spans="1:3" x14ac:dyDescent="0.25">
      <c r="A1017">
        <v>10630042</v>
      </c>
      <c r="B1017" s="11">
        <v>496.19999999999993</v>
      </c>
      <c r="C1017">
        <v>16280.420000000002</v>
      </c>
    </row>
    <row r="1018" spans="1:3" x14ac:dyDescent="0.25">
      <c r="A1018">
        <v>10630043</v>
      </c>
      <c r="B1018" s="11">
        <v>140.19999999999999</v>
      </c>
      <c r="C1018">
        <v>4688</v>
      </c>
    </row>
    <row r="1019" spans="1:3" x14ac:dyDescent="0.25">
      <c r="A1019">
        <v>10660026</v>
      </c>
      <c r="B1019" s="11">
        <v>491.1</v>
      </c>
      <c r="C1019">
        <v>21923.559999999998</v>
      </c>
    </row>
    <row r="1020" spans="1:3" x14ac:dyDescent="0.25">
      <c r="A1020">
        <v>10660027</v>
      </c>
      <c r="B1020" s="11">
        <v>1108.9000000000001</v>
      </c>
      <c r="C1020">
        <v>47619.179999999993</v>
      </c>
    </row>
    <row r="1021" spans="1:3" x14ac:dyDescent="0.25">
      <c r="A1021">
        <v>10660029</v>
      </c>
      <c r="B1021" s="11">
        <v>420.9</v>
      </c>
      <c r="C1021">
        <v>18583.72</v>
      </c>
    </row>
    <row r="1022" spans="1:3" x14ac:dyDescent="0.25">
      <c r="A1022">
        <v>10020018</v>
      </c>
      <c r="B1022" s="11">
        <v>152.19999999999999</v>
      </c>
      <c r="C1022">
        <v>7316.95</v>
      </c>
    </row>
    <row r="1023" spans="1:3" x14ac:dyDescent="0.25">
      <c r="A1023">
        <v>10060052</v>
      </c>
      <c r="B1023" s="11">
        <v>842.8</v>
      </c>
      <c r="C1023">
        <v>32371.300000000003</v>
      </c>
    </row>
    <row r="1024" spans="1:3" x14ac:dyDescent="0.25">
      <c r="A1024">
        <v>10100047</v>
      </c>
      <c r="B1024" s="11">
        <v>20.6</v>
      </c>
      <c r="C1024">
        <v>890.54</v>
      </c>
    </row>
    <row r="1025" spans="1:3" x14ac:dyDescent="0.25">
      <c r="A1025">
        <v>10100058</v>
      </c>
      <c r="B1025" s="11">
        <v>1354.5</v>
      </c>
      <c r="C1025">
        <v>62704.990000000005</v>
      </c>
    </row>
    <row r="1026" spans="1:3" x14ac:dyDescent="0.25">
      <c r="A1026">
        <v>10100066</v>
      </c>
      <c r="B1026" s="11">
        <v>2024.7000000000003</v>
      </c>
      <c r="C1026">
        <v>99981.549999999988</v>
      </c>
    </row>
    <row r="1027" spans="1:3" x14ac:dyDescent="0.25">
      <c r="A1027">
        <v>10110148</v>
      </c>
      <c r="B1027" s="11">
        <v>481.20000000000005</v>
      </c>
      <c r="C1027">
        <v>19480.689999999999</v>
      </c>
    </row>
    <row r="1028" spans="1:3" x14ac:dyDescent="0.25">
      <c r="A1028">
        <v>10130103</v>
      </c>
      <c r="B1028" s="11">
        <v>120.70000000000002</v>
      </c>
      <c r="C1028">
        <v>4445.619999999999</v>
      </c>
    </row>
    <row r="1029" spans="1:3" x14ac:dyDescent="0.25">
      <c r="A1029">
        <v>10140058</v>
      </c>
      <c r="B1029" s="11">
        <v>223</v>
      </c>
      <c r="C1029">
        <v>8554.76</v>
      </c>
    </row>
    <row r="1030" spans="1:3" x14ac:dyDescent="0.25">
      <c r="A1030">
        <v>10610039</v>
      </c>
      <c r="B1030" s="11">
        <v>1648.6000000000001</v>
      </c>
      <c r="C1030">
        <v>67442.570000000007</v>
      </c>
    </row>
    <row r="1031" spans="1:3" x14ac:dyDescent="0.25">
      <c r="A1031">
        <v>10610076</v>
      </c>
      <c r="B1031" s="11">
        <v>285.3</v>
      </c>
      <c r="C1031">
        <v>11471.67</v>
      </c>
    </row>
    <row r="1032" spans="1:3" x14ac:dyDescent="0.25">
      <c r="A1032">
        <v>10610077</v>
      </c>
      <c r="B1032" s="11">
        <v>228</v>
      </c>
      <c r="C1032">
        <v>9911.1899999999987</v>
      </c>
    </row>
    <row r="1033" spans="1:3" x14ac:dyDescent="0.25">
      <c r="A1033">
        <v>10660014</v>
      </c>
      <c r="B1033" s="11">
        <v>88.1</v>
      </c>
      <c r="C1033">
        <v>3877.38</v>
      </c>
    </row>
    <row r="1034" spans="1:3" x14ac:dyDescent="0.25">
      <c r="A1034">
        <v>10660025</v>
      </c>
      <c r="B1034" s="11">
        <v>237.8</v>
      </c>
      <c r="C1034">
        <v>10308.09</v>
      </c>
    </row>
    <row r="1035" spans="1:3" x14ac:dyDescent="0.25">
      <c r="A1035">
        <v>10660034</v>
      </c>
      <c r="B1035" s="11">
        <v>214.5</v>
      </c>
      <c r="C1035">
        <v>12191.019999999999</v>
      </c>
    </row>
    <row r="1036" spans="1:3" x14ac:dyDescent="0.25">
      <c r="A1036">
        <v>10660038</v>
      </c>
      <c r="B1036" s="11">
        <v>5511.7999999999993</v>
      </c>
      <c r="C1036">
        <v>229842.25</v>
      </c>
    </row>
    <row r="1037" spans="1:3" x14ac:dyDescent="0.25">
      <c r="A1037">
        <v>10010151</v>
      </c>
      <c r="B1037" s="11">
        <v>205.89999999999998</v>
      </c>
      <c r="C1037">
        <v>7377.1</v>
      </c>
    </row>
    <row r="1038" spans="1:3" x14ac:dyDescent="0.25">
      <c r="A1038">
        <v>10060081</v>
      </c>
      <c r="B1038" s="11">
        <v>1212.5</v>
      </c>
      <c r="C1038">
        <v>49609.17</v>
      </c>
    </row>
    <row r="1039" spans="1:3" x14ac:dyDescent="0.25">
      <c r="A1039">
        <v>10060117</v>
      </c>
      <c r="B1039" s="11">
        <v>207</v>
      </c>
      <c r="C1039">
        <v>9764.23</v>
      </c>
    </row>
    <row r="1040" spans="1:3" x14ac:dyDescent="0.25">
      <c r="A1040">
        <v>10060138</v>
      </c>
      <c r="B1040" s="11">
        <v>5563.8</v>
      </c>
      <c r="C1040">
        <v>234627.50999999995</v>
      </c>
    </row>
    <row r="1041" spans="1:3" x14ac:dyDescent="0.25">
      <c r="A1041">
        <v>10070072</v>
      </c>
      <c r="B1041" s="11">
        <v>297</v>
      </c>
      <c r="C1041">
        <v>11154.220000000001</v>
      </c>
    </row>
    <row r="1042" spans="1:3" x14ac:dyDescent="0.25">
      <c r="A1042">
        <v>10070080</v>
      </c>
      <c r="B1042" s="11">
        <v>450.5</v>
      </c>
      <c r="C1042">
        <v>18746.670000000002</v>
      </c>
    </row>
    <row r="1043" spans="1:3" x14ac:dyDescent="0.25">
      <c r="A1043">
        <v>10090026</v>
      </c>
      <c r="B1043" s="11">
        <v>12.5</v>
      </c>
      <c r="C1043">
        <v>524.75</v>
      </c>
    </row>
    <row r="1044" spans="1:3" x14ac:dyDescent="0.25">
      <c r="A1044">
        <v>10110036</v>
      </c>
      <c r="B1044" s="11">
        <v>420.20000000000005</v>
      </c>
      <c r="C1044">
        <v>16629.84</v>
      </c>
    </row>
    <row r="1045" spans="1:3" x14ac:dyDescent="0.25">
      <c r="A1045">
        <v>10540060</v>
      </c>
      <c r="B1045" s="11">
        <v>207.29999999999998</v>
      </c>
      <c r="C1045">
        <v>6932.25</v>
      </c>
    </row>
    <row r="1046" spans="1:3" x14ac:dyDescent="0.25">
      <c r="A1046">
        <v>10550012</v>
      </c>
      <c r="B1046" s="11">
        <v>46.4</v>
      </c>
      <c r="C1046">
        <v>1899.6100000000001</v>
      </c>
    </row>
    <row r="1047" spans="1:3" x14ac:dyDescent="0.25">
      <c r="A1047">
        <v>10560042</v>
      </c>
      <c r="B1047" s="11">
        <v>97.5</v>
      </c>
      <c r="C1047">
        <v>4168.74</v>
      </c>
    </row>
    <row r="1048" spans="1:3" x14ac:dyDescent="0.25">
      <c r="A1048">
        <v>10560043</v>
      </c>
      <c r="B1048" s="11">
        <v>523.29999999999995</v>
      </c>
      <c r="C1048">
        <v>22311.02</v>
      </c>
    </row>
    <row r="1049" spans="1:3" x14ac:dyDescent="0.25">
      <c r="A1049">
        <v>10560044</v>
      </c>
      <c r="B1049" s="11">
        <v>39.340000000000003</v>
      </c>
      <c r="C1049">
        <v>1427.65</v>
      </c>
    </row>
    <row r="1050" spans="1:3" x14ac:dyDescent="0.25">
      <c r="A1050">
        <v>10570023</v>
      </c>
      <c r="B1050" s="11">
        <v>122.8</v>
      </c>
      <c r="C1050">
        <v>5138.6200000000008</v>
      </c>
    </row>
    <row r="1051" spans="1:3" x14ac:dyDescent="0.25">
      <c r="A1051">
        <v>10570073</v>
      </c>
      <c r="B1051" s="11">
        <v>19.600000000000001</v>
      </c>
      <c r="C1051">
        <v>836.33</v>
      </c>
    </row>
    <row r="1052" spans="1:3" x14ac:dyDescent="0.25">
      <c r="A1052">
        <v>10570074</v>
      </c>
      <c r="B1052" s="11">
        <v>103.69999999999999</v>
      </c>
      <c r="C1052">
        <v>4325.57</v>
      </c>
    </row>
    <row r="1053" spans="1:3" x14ac:dyDescent="0.25">
      <c r="A1053">
        <v>10580036</v>
      </c>
      <c r="B1053" s="11">
        <v>323.18999999999994</v>
      </c>
      <c r="C1053">
        <v>14096.87</v>
      </c>
    </row>
    <row r="1054" spans="1:3" x14ac:dyDescent="0.25">
      <c r="A1054">
        <v>10590007</v>
      </c>
      <c r="B1054" s="11">
        <v>202.8</v>
      </c>
      <c r="C1054">
        <v>9163.4500000000007</v>
      </c>
    </row>
    <row r="1055" spans="1:3" x14ac:dyDescent="0.25">
      <c r="A1055">
        <v>10590009</v>
      </c>
      <c r="B1055" s="11">
        <v>722.10000000000014</v>
      </c>
      <c r="C1055">
        <v>39839.340000000004</v>
      </c>
    </row>
    <row r="1056" spans="1:3" x14ac:dyDescent="0.25">
      <c r="A1056">
        <v>10610075</v>
      </c>
      <c r="B1056" s="11">
        <v>110.7</v>
      </c>
      <c r="C1056">
        <v>5263.869999999999</v>
      </c>
    </row>
    <row r="1057" spans="1:3" x14ac:dyDescent="0.25">
      <c r="A1057">
        <v>10650029</v>
      </c>
      <c r="B1057" s="11">
        <v>27.65</v>
      </c>
      <c r="C1057">
        <v>1109.96</v>
      </c>
    </row>
    <row r="1058" spans="1:3" x14ac:dyDescent="0.25">
      <c r="A1058">
        <v>10660037</v>
      </c>
      <c r="B1058" s="11">
        <v>22</v>
      </c>
      <c r="C1058">
        <v>889.9</v>
      </c>
    </row>
    <row r="1059" spans="1:3" x14ac:dyDescent="0.25">
      <c r="A1059" t="s">
        <v>76</v>
      </c>
      <c r="B1059" s="11">
        <v>4064088.6099999952</v>
      </c>
      <c r="C1059">
        <v>166455017.78999987</v>
      </c>
    </row>
  </sheetData>
  <conditionalFormatting sqref="H5 H7:H578">
    <cfRule type="duplicateValues" dxfId="101" priority="3"/>
  </conditionalFormatting>
  <conditionalFormatting sqref="H6">
    <cfRule type="duplicateValues" dxfId="100" priority="2"/>
  </conditionalFormatting>
  <conditionalFormatting sqref="H7:H578">
    <cfRule type="duplicateValues" dxfId="99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0693A-EB22-4F30-8177-F3293C21D326}">
  <dimension ref="A3:G1074"/>
  <sheetViews>
    <sheetView topLeftCell="A1022" workbookViewId="0">
      <selection activeCell="A4" sqref="A4:A1057"/>
    </sheetView>
  </sheetViews>
  <sheetFormatPr defaultRowHeight="15" x14ac:dyDescent="0.25"/>
  <cols>
    <col min="1" max="1" width="13.140625" bestFit="1" customWidth="1"/>
    <col min="2" max="2" width="19.85546875" bestFit="1" customWidth="1"/>
  </cols>
  <sheetData>
    <row r="3" spans="1:7" x14ac:dyDescent="0.25">
      <c r="A3" s="190" t="s">
        <v>1479</v>
      </c>
      <c r="B3" t="s">
        <v>1480</v>
      </c>
      <c r="F3" t="s">
        <v>1479</v>
      </c>
      <c r="G3" t="s">
        <v>1480</v>
      </c>
    </row>
    <row r="4" spans="1:7" x14ac:dyDescent="0.25">
      <c r="A4" s="226">
        <v>10010013</v>
      </c>
      <c r="B4" s="92">
        <v>0</v>
      </c>
      <c r="F4">
        <v>10010013</v>
      </c>
      <c r="G4">
        <v>0</v>
      </c>
    </row>
    <row r="5" spans="1:7" x14ac:dyDescent="0.25">
      <c r="A5" s="226">
        <v>10010019</v>
      </c>
      <c r="B5" s="92">
        <v>0</v>
      </c>
      <c r="F5">
        <v>10010017</v>
      </c>
      <c r="G5">
        <v>1000</v>
      </c>
    </row>
    <row r="6" spans="1:7" x14ac:dyDescent="0.25">
      <c r="A6" s="226">
        <v>10010038</v>
      </c>
      <c r="B6" s="92">
        <v>0</v>
      </c>
      <c r="F6">
        <v>10010019</v>
      </c>
      <c r="G6">
        <v>0</v>
      </c>
    </row>
    <row r="7" spans="1:7" x14ac:dyDescent="0.25">
      <c r="A7" s="226">
        <v>10010044</v>
      </c>
      <c r="B7" s="92">
        <v>0</v>
      </c>
      <c r="F7">
        <v>10010038</v>
      </c>
      <c r="G7">
        <v>0</v>
      </c>
    </row>
    <row r="8" spans="1:7" x14ac:dyDescent="0.25">
      <c r="A8" s="226">
        <v>10010047</v>
      </c>
      <c r="B8" s="92">
        <v>0</v>
      </c>
      <c r="F8">
        <v>10010044</v>
      </c>
      <c r="G8">
        <v>0</v>
      </c>
    </row>
    <row r="9" spans="1:7" x14ac:dyDescent="0.25">
      <c r="A9" s="226">
        <v>10010049</v>
      </c>
      <c r="B9" s="92">
        <v>0</v>
      </c>
      <c r="F9">
        <v>10010047</v>
      </c>
      <c r="G9">
        <v>0</v>
      </c>
    </row>
    <row r="10" spans="1:7" x14ac:dyDescent="0.25">
      <c r="A10" s="226">
        <v>10010050</v>
      </c>
      <c r="B10" s="92">
        <v>0</v>
      </c>
      <c r="F10">
        <v>10010049</v>
      </c>
      <c r="G10">
        <v>0</v>
      </c>
    </row>
    <row r="11" spans="1:7" x14ac:dyDescent="0.25">
      <c r="A11" s="226">
        <v>10010051</v>
      </c>
      <c r="B11" s="92">
        <v>0</v>
      </c>
      <c r="F11">
        <v>10010050</v>
      </c>
      <c r="G11">
        <v>0</v>
      </c>
    </row>
    <row r="12" spans="1:7" x14ac:dyDescent="0.25">
      <c r="A12" s="226">
        <v>10010055</v>
      </c>
      <c r="B12" s="92">
        <v>2000</v>
      </c>
      <c r="F12">
        <v>10010051</v>
      </c>
      <c r="G12">
        <v>0</v>
      </c>
    </row>
    <row r="13" spans="1:7" x14ac:dyDescent="0.25">
      <c r="A13" s="226">
        <v>10010057</v>
      </c>
      <c r="B13" s="92">
        <v>0</v>
      </c>
      <c r="F13">
        <v>10010055</v>
      </c>
      <c r="G13">
        <v>0</v>
      </c>
    </row>
    <row r="14" spans="1:7" x14ac:dyDescent="0.25">
      <c r="A14" s="226">
        <v>10010076</v>
      </c>
      <c r="B14" s="92">
        <v>0</v>
      </c>
      <c r="F14">
        <v>10010056</v>
      </c>
      <c r="G14">
        <v>0</v>
      </c>
    </row>
    <row r="15" spans="1:7" x14ac:dyDescent="0.25">
      <c r="A15" s="226">
        <v>10010079</v>
      </c>
      <c r="B15" s="92">
        <v>0</v>
      </c>
      <c r="F15">
        <v>10010057</v>
      </c>
      <c r="G15">
        <v>0</v>
      </c>
    </row>
    <row r="16" spans="1:7" x14ac:dyDescent="0.25">
      <c r="A16" s="226">
        <v>10010082</v>
      </c>
      <c r="B16" s="92">
        <v>0</v>
      </c>
      <c r="F16">
        <v>10010076</v>
      </c>
      <c r="G16">
        <v>0</v>
      </c>
    </row>
    <row r="17" spans="1:7" x14ac:dyDescent="0.25">
      <c r="A17" s="226">
        <v>10010084</v>
      </c>
      <c r="B17" s="92">
        <v>0</v>
      </c>
      <c r="F17">
        <v>10010079</v>
      </c>
      <c r="G17">
        <v>0</v>
      </c>
    </row>
    <row r="18" spans="1:7" x14ac:dyDescent="0.25">
      <c r="A18" s="226">
        <v>10010086</v>
      </c>
      <c r="B18" s="92">
        <v>1500</v>
      </c>
      <c r="F18">
        <v>10010080</v>
      </c>
      <c r="G18">
        <v>0</v>
      </c>
    </row>
    <row r="19" spans="1:7" x14ac:dyDescent="0.25">
      <c r="A19" s="226">
        <v>10010087</v>
      </c>
      <c r="B19" s="92">
        <v>0</v>
      </c>
      <c r="F19">
        <v>10010082</v>
      </c>
      <c r="G19">
        <v>0</v>
      </c>
    </row>
    <row r="20" spans="1:7" x14ac:dyDescent="0.25">
      <c r="A20" s="226">
        <v>10010089</v>
      </c>
      <c r="B20" s="92">
        <v>0</v>
      </c>
      <c r="F20">
        <v>10010084</v>
      </c>
      <c r="G20">
        <v>0</v>
      </c>
    </row>
    <row r="21" spans="1:7" x14ac:dyDescent="0.25">
      <c r="A21" s="226">
        <v>10010092</v>
      </c>
      <c r="B21" s="92">
        <v>0</v>
      </c>
      <c r="F21">
        <v>10010086</v>
      </c>
      <c r="G21">
        <v>0</v>
      </c>
    </row>
    <row r="22" spans="1:7" x14ac:dyDescent="0.25">
      <c r="A22" s="226">
        <v>10010095</v>
      </c>
      <c r="B22" s="92">
        <v>0</v>
      </c>
      <c r="F22">
        <v>10010087</v>
      </c>
      <c r="G22">
        <v>0</v>
      </c>
    </row>
    <row r="23" spans="1:7" x14ac:dyDescent="0.25">
      <c r="A23" s="226">
        <v>10010097</v>
      </c>
      <c r="B23" s="92">
        <v>0</v>
      </c>
      <c r="F23">
        <v>10010089</v>
      </c>
      <c r="G23">
        <v>0</v>
      </c>
    </row>
    <row r="24" spans="1:7" x14ac:dyDescent="0.25">
      <c r="A24" s="226">
        <v>10010099</v>
      </c>
      <c r="B24" s="92">
        <v>1500</v>
      </c>
      <c r="F24">
        <v>10010092</v>
      </c>
      <c r="G24">
        <v>0</v>
      </c>
    </row>
    <row r="25" spans="1:7" x14ac:dyDescent="0.25">
      <c r="A25" s="226">
        <v>10010108</v>
      </c>
      <c r="B25" s="92">
        <v>1500</v>
      </c>
      <c r="F25">
        <v>10010095</v>
      </c>
      <c r="G25">
        <v>1000</v>
      </c>
    </row>
    <row r="26" spans="1:7" x14ac:dyDescent="0.25">
      <c r="A26" s="226">
        <v>10010109</v>
      </c>
      <c r="B26" s="92">
        <v>0</v>
      </c>
      <c r="F26">
        <v>10010097</v>
      </c>
      <c r="G26">
        <v>0</v>
      </c>
    </row>
    <row r="27" spans="1:7" x14ac:dyDescent="0.25">
      <c r="A27" s="226">
        <v>10010113</v>
      </c>
      <c r="B27" s="92">
        <v>0</v>
      </c>
      <c r="F27">
        <v>10010098</v>
      </c>
      <c r="G27">
        <v>0</v>
      </c>
    </row>
    <row r="28" spans="1:7" x14ac:dyDescent="0.25">
      <c r="A28" s="226">
        <v>10010121</v>
      </c>
      <c r="B28" s="92">
        <v>0</v>
      </c>
      <c r="F28">
        <v>10010099</v>
      </c>
      <c r="G28">
        <v>1000</v>
      </c>
    </row>
    <row r="29" spans="1:7" x14ac:dyDescent="0.25">
      <c r="A29" s="226">
        <v>10010125</v>
      </c>
      <c r="B29" s="92">
        <v>0</v>
      </c>
      <c r="F29">
        <v>10010103</v>
      </c>
      <c r="G29">
        <v>0</v>
      </c>
    </row>
    <row r="30" spans="1:7" x14ac:dyDescent="0.25">
      <c r="A30" s="226">
        <v>10010128</v>
      </c>
      <c r="B30" s="92">
        <v>0</v>
      </c>
      <c r="F30">
        <v>10010108</v>
      </c>
      <c r="G30">
        <v>0</v>
      </c>
    </row>
    <row r="31" spans="1:7" x14ac:dyDescent="0.25">
      <c r="A31" s="226">
        <v>10010129</v>
      </c>
      <c r="B31" s="92">
        <v>0</v>
      </c>
      <c r="F31">
        <v>10010109</v>
      </c>
      <c r="G31">
        <v>0</v>
      </c>
    </row>
    <row r="32" spans="1:7" x14ac:dyDescent="0.25">
      <c r="A32" s="226">
        <v>10010130</v>
      </c>
      <c r="B32" s="92">
        <v>0</v>
      </c>
      <c r="F32">
        <v>10010113</v>
      </c>
      <c r="G32">
        <v>0</v>
      </c>
    </row>
    <row r="33" spans="1:7" x14ac:dyDescent="0.25">
      <c r="A33" s="226">
        <v>10010131</v>
      </c>
      <c r="B33" s="92">
        <v>0</v>
      </c>
      <c r="F33">
        <v>10010116</v>
      </c>
      <c r="G33">
        <v>0</v>
      </c>
    </row>
    <row r="34" spans="1:7" x14ac:dyDescent="0.25">
      <c r="A34" s="226">
        <v>10010140</v>
      </c>
      <c r="B34" s="92">
        <v>0</v>
      </c>
      <c r="F34">
        <v>10010121</v>
      </c>
      <c r="G34">
        <v>0</v>
      </c>
    </row>
    <row r="35" spans="1:7" x14ac:dyDescent="0.25">
      <c r="A35" s="226">
        <v>10010141</v>
      </c>
      <c r="B35" s="92">
        <v>1000</v>
      </c>
      <c r="F35">
        <v>10010125</v>
      </c>
      <c r="G35">
        <v>0</v>
      </c>
    </row>
    <row r="36" spans="1:7" x14ac:dyDescent="0.25">
      <c r="A36" s="226">
        <v>10010143</v>
      </c>
      <c r="B36" s="92">
        <v>0</v>
      </c>
      <c r="F36">
        <v>10010128</v>
      </c>
      <c r="G36">
        <v>0</v>
      </c>
    </row>
    <row r="37" spans="1:7" x14ac:dyDescent="0.25">
      <c r="A37" s="226">
        <v>10010144</v>
      </c>
      <c r="B37" s="92">
        <v>0</v>
      </c>
      <c r="F37">
        <v>10010129</v>
      </c>
      <c r="G37">
        <v>0</v>
      </c>
    </row>
    <row r="38" spans="1:7" x14ac:dyDescent="0.25">
      <c r="A38" s="226">
        <v>10010145</v>
      </c>
      <c r="B38" s="92">
        <v>0</v>
      </c>
      <c r="F38">
        <v>10010130</v>
      </c>
      <c r="G38">
        <v>0</v>
      </c>
    </row>
    <row r="39" spans="1:7" x14ac:dyDescent="0.25">
      <c r="A39" s="226">
        <v>10010146</v>
      </c>
      <c r="B39" s="92">
        <v>0</v>
      </c>
      <c r="F39">
        <v>10010131</v>
      </c>
      <c r="G39">
        <v>0</v>
      </c>
    </row>
    <row r="40" spans="1:7" x14ac:dyDescent="0.25">
      <c r="A40" s="226">
        <v>10010147</v>
      </c>
      <c r="B40" s="92">
        <v>0</v>
      </c>
      <c r="F40">
        <v>10010137</v>
      </c>
      <c r="G40">
        <v>0</v>
      </c>
    </row>
    <row r="41" spans="1:7" x14ac:dyDescent="0.25">
      <c r="A41" s="226">
        <v>10010148</v>
      </c>
      <c r="B41" s="92">
        <v>0</v>
      </c>
      <c r="F41">
        <v>10010140</v>
      </c>
      <c r="G41">
        <v>0</v>
      </c>
    </row>
    <row r="42" spans="1:7" x14ac:dyDescent="0.25">
      <c r="A42" s="226">
        <v>10010149</v>
      </c>
      <c r="B42" s="92">
        <v>0</v>
      </c>
      <c r="F42">
        <v>10010141</v>
      </c>
      <c r="G42">
        <v>0</v>
      </c>
    </row>
    <row r="43" spans="1:7" x14ac:dyDescent="0.25">
      <c r="A43" s="226">
        <v>10020002</v>
      </c>
      <c r="B43" s="92">
        <v>0</v>
      </c>
      <c r="F43">
        <v>10010143</v>
      </c>
      <c r="G43">
        <v>0</v>
      </c>
    </row>
    <row r="44" spans="1:7" x14ac:dyDescent="0.25">
      <c r="A44" s="226">
        <v>10020004</v>
      </c>
      <c r="B44" s="92">
        <v>0</v>
      </c>
      <c r="F44">
        <v>10010144</v>
      </c>
      <c r="G44">
        <v>0</v>
      </c>
    </row>
    <row r="45" spans="1:7" x14ac:dyDescent="0.25">
      <c r="A45" s="226">
        <v>10020006</v>
      </c>
      <c r="B45" s="92">
        <v>0</v>
      </c>
      <c r="F45">
        <v>10010145</v>
      </c>
      <c r="G45">
        <v>0</v>
      </c>
    </row>
    <row r="46" spans="1:7" x14ac:dyDescent="0.25">
      <c r="A46" s="226">
        <v>10020007</v>
      </c>
      <c r="B46" s="92">
        <v>0</v>
      </c>
      <c r="F46">
        <v>10010146</v>
      </c>
      <c r="G46">
        <v>0</v>
      </c>
    </row>
    <row r="47" spans="1:7" x14ac:dyDescent="0.25">
      <c r="A47" s="226">
        <v>10020008</v>
      </c>
      <c r="B47" s="92">
        <v>0</v>
      </c>
      <c r="F47">
        <v>10010147</v>
      </c>
      <c r="G47">
        <v>0</v>
      </c>
    </row>
    <row r="48" spans="1:7" x14ac:dyDescent="0.25">
      <c r="A48" s="226">
        <v>10020010</v>
      </c>
      <c r="B48" s="92">
        <v>0</v>
      </c>
      <c r="F48">
        <v>10010148</v>
      </c>
      <c r="G48">
        <v>0</v>
      </c>
    </row>
    <row r="49" spans="1:7" x14ac:dyDescent="0.25">
      <c r="A49" s="226">
        <v>10020013</v>
      </c>
      <c r="B49" s="92">
        <v>0</v>
      </c>
      <c r="F49">
        <v>10010149</v>
      </c>
      <c r="G49">
        <v>0</v>
      </c>
    </row>
    <row r="50" spans="1:7" x14ac:dyDescent="0.25">
      <c r="A50" s="226">
        <v>10020015</v>
      </c>
      <c r="B50" s="92">
        <v>0</v>
      </c>
      <c r="F50">
        <v>10020002</v>
      </c>
      <c r="G50">
        <v>0</v>
      </c>
    </row>
    <row r="51" spans="1:7" x14ac:dyDescent="0.25">
      <c r="A51" s="226">
        <v>10020016</v>
      </c>
      <c r="B51" s="92">
        <v>0</v>
      </c>
      <c r="F51">
        <v>10020004</v>
      </c>
      <c r="G51">
        <v>0</v>
      </c>
    </row>
    <row r="52" spans="1:7" x14ac:dyDescent="0.25">
      <c r="A52" s="226">
        <v>10020017</v>
      </c>
      <c r="B52" s="92">
        <v>0</v>
      </c>
      <c r="F52">
        <v>10020006</v>
      </c>
      <c r="G52">
        <v>0</v>
      </c>
    </row>
    <row r="53" spans="1:7" x14ac:dyDescent="0.25">
      <c r="A53" s="226">
        <v>10020018</v>
      </c>
      <c r="B53" s="92">
        <v>0</v>
      </c>
      <c r="F53">
        <v>10020007</v>
      </c>
      <c r="G53">
        <v>0</v>
      </c>
    </row>
    <row r="54" spans="1:7" x14ac:dyDescent="0.25">
      <c r="A54" s="226">
        <v>10020021</v>
      </c>
      <c r="B54" s="92">
        <v>0</v>
      </c>
      <c r="F54">
        <v>10020008</v>
      </c>
      <c r="G54">
        <v>0</v>
      </c>
    </row>
    <row r="55" spans="1:7" x14ac:dyDescent="0.25">
      <c r="A55" s="226">
        <v>10020023</v>
      </c>
      <c r="B55" s="92">
        <v>0</v>
      </c>
      <c r="F55">
        <v>10020010</v>
      </c>
      <c r="G55">
        <v>0</v>
      </c>
    </row>
    <row r="56" spans="1:7" x14ac:dyDescent="0.25">
      <c r="A56" s="226">
        <v>10020024</v>
      </c>
      <c r="B56" s="92">
        <v>0</v>
      </c>
      <c r="F56">
        <v>10020012</v>
      </c>
      <c r="G56">
        <v>0</v>
      </c>
    </row>
    <row r="57" spans="1:7" x14ac:dyDescent="0.25">
      <c r="A57" s="226">
        <v>10020025</v>
      </c>
      <c r="B57" s="92">
        <v>0</v>
      </c>
      <c r="F57">
        <v>10020013</v>
      </c>
      <c r="G57">
        <v>0</v>
      </c>
    </row>
    <row r="58" spans="1:7" x14ac:dyDescent="0.25">
      <c r="A58" s="226">
        <v>10020026</v>
      </c>
      <c r="B58" s="92">
        <v>0</v>
      </c>
      <c r="F58">
        <v>10020014</v>
      </c>
      <c r="G58">
        <v>0</v>
      </c>
    </row>
    <row r="59" spans="1:7" x14ac:dyDescent="0.25">
      <c r="A59" s="226">
        <v>10020027</v>
      </c>
      <c r="B59" s="92">
        <v>0</v>
      </c>
      <c r="F59">
        <v>10020015</v>
      </c>
      <c r="G59">
        <v>0</v>
      </c>
    </row>
    <row r="60" spans="1:7" x14ac:dyDescent="0.25">
      <c r="A60" s="226">
        <v>10020029</v>
      </c>
      <c r="B60" s="92">
        <v>0</v>
      </c>
      <c r="F60">
        <v>10020016</v>
      </c>
      <c r="G60">
        <v>0</v>
      </c>
    </row>
    <row r="61" spans="1:7" x14ac:dyDescent="0.25">
      <c r="A61" s="226">
        <v>10020032</v>
      </c>
      <c r="B61" s="92">
        <v>0</v>
      </c>
      <c r="F61">
        <v>10020017</v>
      </c>
      <c r="G61">
        <v>0</v>
      </c>
    </row>
    <row r="62" spans="1:7" x14ac:dyDescent="0.25">
      <c r="A62" s="226">
        <v>10020034</v>
      </c>
      <c r="B62" s="92">
        <v>0</v>
      </c>
      <c r="F62">
        <v>10020018</v>
      </c>
      <c r="G62">
        <v>0</v>
      </c>
    </row>
    <row r="63" spans="1:7" x14ac:dyDescent="0.25">
      <c r="A63" s="226">
        <v>10020035</v>
      </c>
      <c r="B63" s="92">
        <v>0</v>
      </c>
      <c r="F63">
        <v>10020020</v>
      </c>
      <c r="G63">
        <v>0</v>
      </c>
    </row>
    <row r="64" spans="1:7" x14ac:dyDescent="0.25">
      <c r="A64" s="226">
        <v>10020038</v>
      </c>
      <c r="B64" s="92">
        <v>0</v>
      </c>
      <c r="F64">
        <v>10020021</v>
      </c>
      <c r="G64">
        <v>0</v>
      </c>
    </row>
    <row r="65" spans="1:7" x14ac:dyDescent="0.25">
      <c r="A65" s="226">
        <v>10020041</v>
      </c>
      <c r="B65" s="92">
        <v>2000</v>
      </c>
      <c r="F65">
        <v>10020023</v>
      </c>
      <c r="G65">
        <v>0</v>
      </c>
    </row>
    <row r="66" spans="1:7" x14ac:dyDescent="0.25">
      <c r="A66" s="226">
        <v>10020042</v>
      </c>
      <c r="B66" s="92">
        <v>0</v>
      </c>
      <c r="F66">
        <v>10020024</v>
      </c>
      <c r="G66">
        <v>0</v>
      </c>
    </row>
    <row r="67" spans="1:7" x14ac:dyDescent="0.25">
      <c r="A67" s="226">
        <v>10020043</v>
      </c>
      <c r="B67" s="92">
        <v>0</v>
      </c>
      <c r="F67">
        <v>10020025</v>
      </c>
      <c r="G67">
        <v>0</v>
      </c>
    </row>
    <row r="68" spans="1:7" x14ac:dyDescent="0.25">
      <c r="A68" s="226">
        <v>10020044</v>
      </c>
      <c r="B68" s="92">
        <v>0</v>
      </c>
      <c r="F68">
        <v>10020026</v>
      </c>
      <c r="G68">
        <v>0</v>
      </c>
    </row>
    <row r="69" spans="1:7" x14ac:dyDescent="0.25">
      <c r="A69" s="226">
        <v>10020047</v>
      </c>
      <c r="B69" s="92">
        <v>0</v>
      </c>
      <c r="F69">
        <v>10020027</v>
      </c>
      <c r="G69">
        <v>0</v>
      </c>
    </row>
    <row r="70" spans="1:7" x14ac:dyDescent="0.25">
      <c r="A70" s="226">
        <v>10020050</v>
      </c>
      <c r="B70" s="92">
        <v>0</v>
      </c>
      <c r="F70">
        <v>10020029</v>
      </c>
      <c r="G70">
        <v>0</v>
      </c>
    </row>
    <row r="71" spans="1:7" x14ac:dyDescent="0.25">
      <c r="A71" s="226">
        <v>10020054</v>
      </c>
      <c r="B71" s="92">
        <v>0</v>
      </c>
      <c r="F71">
        <v>10020032</v>
      </c>
      <c r="G71">
        <v>0</v>
      </c>
    </row>
    <row r="72" spans="1:7" x14ac:dyDescent="0.25">
      <c r="A72" s="226">
        <v>10020056</v>
      </c>
      <c r="B72" s="92">
        <v>0</v>
      </c>
      <c r="F72">
        <v>10020034</v>
      </c>
      <c r="G72">
        <v>0</v>
      </c>
    </row>
    <row r="73" spans="1:7" x14ac:dyDescent="0.25">
      <c r="A73" s="226">
        <v>10020057</v>
      </c>
      <c r="B73" s="92">
        <v>0</v>
      </c>
      <c r="F73">
        <v>10020035</v>
      </c>
      <c r="G73">
        <v>0</v>
      </c>
    </row>
    <row r="74" spans="1:7" x14ac:dyDescent="0.25">
      <c r="A74" s="226">
        <v>10020058</v>
      </c>
      <c r="B74" s="92">
        <v>0</v>
      </c>
      <c r="F74">
        <v>10020038</v>
      </c>
      <c r="G74">
        <v>1000</v>
      </c>
    </row>
    <row r="75" spans="1:7" x14ac:dyDescent="0.25">
      <c r="A75" s="226">
        <v>10020059</v>
      </c>
      <c r="B75" s="92">
        <v>0</v>
      </c>
      <c r="F75">
        <v>10020041</v>
      </c>
      <c r="G75">
        <v>1000</v>
      </c>
    </row>
    <row r="76" spans="1:7" x14ac:dyDescent="0.25">
      <c r="A76" s="226">
        <v>10020062</v>
      </c>
      <c r="B76" s="92">
        <v>0</v>
      </c>
      <c r="F76">
        <v>10020042</v>
      </c>
      <c r="G76">
        <v>1000</v>
      </c>
    </row>
    <row r="77" spans="1:7" x14ac:dyDescent="0.25">
      <c r="A77" s="226">
        <v>10020063</v>
      </c>
      <c r="B77" s="92">
        <v>0</v>
      </c>
      <c r="F77">
        <v>10020043</v>
      </c>
      <c r="G77">
        <v>0</v>
      </c>
    </row>
    <row r="78" spans="1:7" x14ac:dyDescent="0.25">
      <c r="A78" s="226">
        <v>10020064</v>
      </c>
      <c r="B78" s="92">
        <v>0</v>
      </c>
      <c r="F78">
        <v>10020044</v>
      </c>
      <c r="G78">
        <v>0</v>
      </c>
    </row>
    <row r="79" spans="1:7" x14ac:dyDescent="0.25">
      <c r="A79" s="226">
        <v>10020067</v>
      </c>
      <c r="B79" s="92">
        <v>0</v>
      </c>
      <c r="F79">
        <v>10020047</v>
      </c>
      <c r="G79">
        <v>0</v>
      </c>
    </row>
    <row r="80" spans="1:7" x14ac:dyDescent="0.25">
      <c r="A80" s="226">
        <v>10020068</v>
      </c>
      <c r="B80" s="92">
        <v>0</v>
      </c>
      <c r="F80">
        <v>10020050</v>
      </c>
      <c r="G80">
        <v>0</v>
      </c>
    </row>
    <row r="81" spans="1:7" x14ac:dyDescent="0.25">
      <c r="A81" s="226">
        <v>10020069</v>
      </c>
      <c r="B81" s="92">
        <v>2000</v>
      </c>
      <c r="F81">
        <v>10020051</v>
      </c>
      <c r="G81">
        <v>0</v>
      </c>
    </row>
    <row r="82" spans="1:7" x14ac:dyDescent="0.25">
      <c r="A82" s="226">
        <v>10020070</v>
      </c>
      <c r="B82" s="92">
        <v>0</v>
      </c>
      <c r="F82">
        <v>10020054</v>
      </c>
      <c r="G82">
        <v>0</v>
      </c>
    </row>
    <row r="83" spans="1:7" x14ac:dyDescent="0.25">
      <c r="A83" s="226">
        <v>10020073</v>
      </c>
      <c r="B83" s="92">
        <v>0</v>
      </c>
      <c r="F83">
        <v>10020056</v>
      </c>
      <c r="G83">
        <v>0</v>
      </c>
    </row>
    <row r="84" spans="1:7" x14ac:dyDescent="0.25">
      <c r="A84" s="226">
        <v>10020075</v>
      </c>
      <c r="B84" s="92">
        <v>0</v>
      </c>
      <c r="F84">
        <v>10020057</v>
      </c>
      <c r="G84">
        <v>0</v>
      </c>
    </row>
    <row r="85" spans="1:7" x14ac:dyDescent="0.25">
      <c r="A85" s="226">
        <v>10020077</v>
      </c>
      <c r="B85" s="92">
        <v>2000</v>
      </c>
      <c r="F85">
        <v>10020058</v>
      </c>
      <c r="G85">
        <v>0</v>
      </c>
    </row>
    <row r="86" spans="1:7" x14ac:dyDescent="0.25">
      <c r="A86" s="226">
        <v>10020078</v>
      </c>
      <c r="B86" s="92">
        <v>0</v>
      </c>
      <c r="F86">
        <v>10020059</v>
      </c>
      <c r="G86">
        <v>0</v>
      </c>
    </row>
    <row r="87" spans="1:7" x14ac:dyDescent="0.25">
      <c r="A87" s="226">
        <v>10020079</v>
      </c>
      <c r="B87" s="92">
        <v>2000</v>
      </c>
      <c r="F87">
        <v>10020062</v>
      </c>
      <c r="G87">
        <v>1000</v>
      </c>
    </row>
    <row r="88" spans="1:7" x14ac:dyDescent="0.25">
      <c r="A88" s="226">
        <v>10020081</v>
      </c>
      <c r="B88" s="92">
        <v>0</v>
      </c>
      <c r="F88">
        <v>10020063</v>
      </c>
      <c r="G88">
        <v>0</v>
      </c>
    </row>
    <row r="89" spans="1:7" x14ac:dyDescent="0.25">
      <c r="A89" s="226">
        <v>10020082</v>
      </c>
      <c r="B89" s="92">
        <v>0</v>
      </c>
      <c r="F89">
        <v>10020064</v>
      </c>
      <c r="G89">
        <v>0</v>
      </c>
    </row>
    <row r="90" spans="1:7" x14ac:dyDescent="0.25">
      <c r="A90" s="226">
        <v>10020083</v>
      </c>
      <c r="B90" s="92">
        <v>0</v>
      </c>
      <c r="F90">
        <v>10020067</v>
      </c>
      <c r="G90">
        <v>0</v>
      </c>
    </row>
    <row r="91" spans="1:7" x14ac:dyDescent="0.25">
      <c r="A91" s="226">
        <v>10020084</v>
      </c>
      <c r="B91" s="92">
        <v>0</v>
      </c>
      <c r="F91">
        <v>10020068</v>
      </c>
      <c r="G91">
        <v>0</v>
      </c>
    </row>
    <row r="92" spans="1:7" x14ac:dyDescent="0.25">
      <c r="A92" s="226">
        <v>10030002</v>
      </c>
      <c r="B92" s="92">
        <v>0</v>
      </c>
      <c r="F92">
        <v>10020069</v>
      </c>
      <c r="G92">
        <v>0</v>
      </c>
    </row>
    <row r="93" spans="1:7" x14ac:dyDescent="0.25">
      <c r="A93" s="226">
        <v>10030003</v>
      </c>
      <c r="B93" s="92">
        <v>0</v>
      </c>
      <c r="F93">
        <v>10020070</v>
      </c>
      <c r="G93">
        <v>0</v>
      </c>
    </row>
    <row r="94" spans="1:7" x14ac:dyDescent="0.25">
      <c r="A94" s="226">
        <v>10030007</v>
      </c>
      <c r="B94" s="92">
        <v>0</v>
      </c>
      <c r="F94">
        <v>10020073</v>
      </c>
      <c r="G94">
        <v>0</v>
      </c>
    </row>
    <row r="95" spans="1:7" x14ac:dyDescent="0.25">
      <c r="A95" s="226">
        <v>10030009</v>
      </c>
      <c r="B95" s="92">
        <v>0</v>
      </c>
      <c r="F95">
        <v>10020075</v>
      </c>
      <c r="G95">
        <v>0</v>
      </c>
    </row>
    <row r="96" spans="1:7" x14ac:dyDescent="0.25">
      <c r="A96" s="226">
        <v>10030010</v>
      </c>
      <c r="B96" s="92">
        <v>0</v>
      </c>
      <c r="F96">
        <v>10020076</v>
      </c>
      <c r="G96">
        <v>1000</v>
      </c>
    </row>
    <row r="97" spans="1:7" x14ac:dyDescent="0.25">
      <c r="A97" s="226">
        <v>10030011</v>
      </c>
      <c r="B97" s="92">
        <v>0</v>
      </c>
      <c r="F97">
        <v>10020077</v>
      </c>
      <c r="G97">
        <v>0</v>
      </c>
    </row>
    <row r="98" spans="1:7" x14ac:dyDescent="0.25">
      <c r="A98" s="226">
        <v>10030012</v>
      </c>
      <c r="B98" s="92">
        <v>0</v>
      </c>
      <c r="F98">
        <v>10020078</v>
      </c>
      <c r="G98">
        <v>0</v>
      </c>
    </row>
    <row r="99" spans="1:7" x14ac:dyDescent="0.25">
      <c r="A99" s="226">
        <v>10030013</v>
      </c>
      <c r="B99" s="92">
        <v>0</v>
      </c>
      <c r="F99">
        <v>10020079</v>
      </c>
      <c r="G99">
        <v>0</v>
      </c>
    </row>
    <row r="100" spans="1:7" x14ac:dyDescent="0.25">
      <c r="A100" s="226">
        <v>10030015</v>
      </c>
      <c r="B100" s="92">
        <v>0</v>
      </c>
      <c r="F100">
        <v>10020080</v>
      </c>
      <c r="G100">
        <v>1000</v>
      </c>
    </row>
    <row r="101" spans="1:7" x14ac:dyDescent="0.25">
      <c r="A101" s="226">
        <v>10030016</v>
      </c>
      <c r="B101" s="92">
        <v>0</v>
      </c>
      <c r="F101">
        <v>10020081</v>
      </c>
      <c r="G101">
        <v>0</v>
      </c>
    </row>
    <row r="102" spans="1:7" x14ac:dyDescent="0.25">
      <c r="A102" s="226">
        <v>10030017</v>
      </c>
      <c r="B102" s="92">
        <v>0</v>
      </c>
      <c r="F102">
        <v>10020082</v>
      </c>
      <c r="G102">
        <v>0</v>
      </c>
    </row>
    <row r="103" spans="1:7" x14ac:dyDescent="0.25">
      <c r="A103" s="226">
        <v>10030018</v>
      </c>
      <c r="B103" s="92">
        <v>0</v>
      </c>
      <c r="F103">
        <v>10020083</v>
      </c>
      <c r="G103">
        <v>0</v>
      </c>
    </row>
    <row r="104" spans="1:7" x14ac:dyDescent="0.25">
      <c r="A104" s="226">
        <v>10030019</v>
      </c>
      <c r="B104" s="92">
        <v>0</v>
      </c>
      <c r="F104">
        <v>10020084</v>
      </c>
      <c r="G104">
        <v>0</v>
      </c>
    </row>
    <row r="105" spans="1:7" x14ac:dyDescent="0.25">
      <c r="A105" s="226">
        <v>10030021</v>
      </c>
      <c r="B105" s="92">
        <v>0</v>
      </c>
      <c r="F105">
        <v>10030002</v>
      </c>
      <c r="G105">
        <v>0</v>
      </c>
    </row>
    <row r="106" spans="1:7" x14ac:dyDescent="0.25">
      <c r="A106" s="226">
        <v>10030022</v>
      </c>
      <c r="B106" s="92">
        <v>0</v>
      </c>
      <c r="F106">
        <v>10030003</v>
      </c>
      <c r="G106">
        <v>0</v>
      </c>
    </row>
    <row r="107" spans="1:7" x14ac:dyDescent="0.25">
      <c r="A107" s="226">
        <v>10030023</v>
      </c>
      <c r="B107" s="92">
        <v>0</v>
      </c>
      <c r="F107">
        <v>10030007</v>
      </c>
      <c r="G107">
        <v>0</v>
      </c>
    </row>
    <row r="108" spans="1:7" x14ac:dyDescent="0.25">
      <c r="A108" s="226">
        <v>10030025</v>
      </c>
      <c r="B108" s="92">
        <v>0</v>
      </c>
      <c r="F108">
        <v>10030008</v>
      </c>
      <c r="G108">
        <v>0</v>
      </c>
    </row>
    <row r="109" spans="1:7" x14ac:dyDescent="0.25">
      <c r="A109" s="226">
        <v>10030026</v>
      </c>
      <c r="B109" s="92">
        <v>0</v>
      </c>
      <c r="F109">
        <v>10030009</v>
      </c>
      <c r="G109">
        <v>0</v>
      </c>
    </row>
    <row r="110" spans="1:7" x14ac:dyDescent="0.25">
      <c r="A110" s="226">
        <v>10030027</v>
      </c>
      <c r="B110" s="92">
        <v>0</v>
      </c>
      <c r="F110">
        <v>10030010</v>
      </c>
      <c r="G110">
        <v>1000</v>
      </c>
    </row>
    <row r="111" spans="1:7" x14ac:dyDescent="0.25">
      <c r="A111" s="226">
        <v>10030028</v>
      </c>
      <c r="B111" s="92">
        <v>0</v>
      </c>
      <c r="F111">
        <v>10030011</v>
      </c>
      <c r="G111">
        <v>0</v>
      </c>
    </row>
    <row r="112" spans="1:7" x14ac:dyDescent="0.25">
      <c r="A112" s="226">
        <v>10030031</v>
      </c>
      <c r="B112" s="92">
        <v>0</v>
      </c>
      <c r="F112">
        <v>10030012</v>
      </c>
      <c r="G112">
        <v>0</v>
      </c>
    </row>
    <row r="113" spans="1:7" x14ac:dyDescent="0.25">
      <c r="A113" s="226">
        <v>10030032</v>
      </c>
      <c r="B113" s="92">
        <v>0</v>
      </c>
      <c r="F113">
        <v>10030013</v>
      </c>
      <c r="G113">
        <v>0</v>
      </c>
    </row>
    <row r="114" spans="1:7" x14ac:dyDescent="0.25">
      <c r="A114" s="226">
        <v>10030034</v>
      </c>
      <c r="B114" s="92">
        <v>0</v>
      </c>
      <c r="F114">
        <v>10030015</v>
      </c>
      <c r="G114">
        <v>0</v>
      </c>
    </row>
    <row r="115" spans="1:7" x14ac:dyDescent="0.25">
      <c r="A115" s="226">
        <v>10030035</v>
      </c>
      <c r="B115" s="92">
        <v>0</v>
      </c>
      <c r="F115">
        <v>10030016</v>
      </c>
      <c r="G115">
        <v>0</v>
      </c>
    </row>
    <row r="116" spans="1:7" x14ac:dyDescent="0.25">
      <c r="A116" s="226">
        <v>10030037</v>
      </c>
      <c r="B116" s="92">
        <v>0</v>
      </c>
      <c r="F116">
        <v>10030017</v>
      </c>
      <c r="G116">
        <v>0</v>
      </c>
    </row>
    <row r="117" spans="1:7" x14ac:dyDescent="0.25">
      <c r="A117" s="226">
        <v>10030038</v>
      </c>
      <c r="B117" s="92">
        <v>0</v>
      </c>
      <c r="F117">
        <v>10030018</v>
      </c>
      <c r="G117">
        <v>0</v>
      </c>
    </row>
    <row r="118" spans="1:7" x14ac:dyDescent="0.25">
      <c r="A118" s="226">
        <v>10030040</v>
      </c>
      <c r="B118" s="92">
        <v>0</v>
      </c>
      <c r="F118">
        <v>10030019</v>
      </c>
      <c r="G118">
        <v>0</v>
      </c>
    </row>
    <row r="119" spans="1:7" x14ac:dyDescent="0.25">
      <c r="A119" s="226">
        <v>10030041</v>
      </c>
      <c r="B119" s="92">
        <v>0</v>
      </c>
      <c r="F119">
        <v>10030021</v>
      </c>
      <c r="G119">
        <v>0</v>
      </c>
    </row>
    <row r="120" spans="1:7" x14ac:dyDescent="0.25">
      <c r="A120" s="226">
        <v>10030042</v>
      </c>
      <c r="B120" s="92">
        <v>0</v>
      </c>
      <c r="F120">
        <v>10030022</v>
      </c>
      <c r="G120">
        <v>0</v>
      </c>
    </row>
    <row r="121" spans="1:7" x14ac:dyDescent="0.25">
      <c r="A121" s="226">
        <v>10030043</v>
      </c>
      <c r="B121" s="92">
        <v>0</v>
      </c>
      <c r="F121">
        <v>10030023</v>
      </c>
      <c r="G121">
        <v>0</v>
      </c>
    </row>
    <row r="122" spans="1:7" x14ac:dyDescent="0.25">
      <c r="A122" s="226">
        <v>10030044</v>
      </c>
      <c r="B122" s="92">
        <v>0</v>
      </c>
      <c r="F122">
        <v>10030025</v>
      </c>
      <c r="G122">
        <v>0</v>
      </c>
    </row>
    <row r="123" spans="1:7" x14ac:dyDescent="0.25">
      <c r="A123" s="226">
        <v>10030045</v>
      </c>
      <c r="B123" s="92">
        <v>0</v>
      </c>
      <c r="F123">
        <v>10030026</v>
      </c>
      <c r="G123">
        <v>0</v>
      </c>
    </row>
    <row r="124" spans="1:7" x14ac:dyDescent="0.25">
      <c r="A124" s="226">
        <v>10030046</v>
      </c>
      <c r="B124" s="92">
        <v>0</v>
      </c>
      <c r="F124">
        <v>10030027</v>
      </c>
      <c r="G124">
        <v>0</v>
      </c>
    </row>
    <row r="125" spans="1:7" x14ac:dyDescent="0.25">
      <c r="A125" s="226">
        <v>10030047</v>
      </c>
      <c r="B125" s="92">
        <v>0</v>
      </c>
      <c r="F125">
        <v>10030028</v>
      </c>
      <c r="G125">
        <v>0</v>
      </c>
    </row>
    <row r="126" spans="1:7" x14ac:dyDescent="0.25">
      <c r="A126" s="226">
        <v>10030048</v>
      </c>
      <c r="B126" s="92">
        <v>0</v>
      </c>
      <c r="F126">
        <v>10030031</v>
      </c>
      <c r="G126">
        <v>0</v>
      </c>
    </row>
    <row r="127" spans="1:7" x14ac:dyDescent="0.25">
      <c r="A127" s="226">
        <v>10030050</v>
      </c>
      <c r="B127" s="92">
        <v>0</v>
      </c>
      <c r="F127">
        <v>10030032</v>
      </c>
      <c r="G127">
        <v>0</v>
      </c>
    </row>
    <row r="128" spans="1:7" x14ac:dyDescent="0.25">
      <c r="A128" s="226">
        <v>10030051</v>
      </c>
      <c r="B128" s="92">
        <v>0</v>
      </c>
      <c r="F128">
        <v>10030034</v>
      </c>
      <c r="G128">
        <v>0</v>
      </c>
    </row>
    <row r="129" spans="1:7" x14ac:dyDescent="0.25">
      <c r="A129" s="226">
        <v>10030053</v>
      </c>
      <c r="B129" s="92">
        <v>0</v>
      </c>
      <c r="F129">
        <v>10030035</v>
      </c>
      <c r="G129">
        <v>0</v>
      </c>
    </row>
    <row r="130" spans="1:7" x14ac:dyDescent="0.25">
      <c r="A130" s="226">
        <v>10030055</v>
      </c>
      <c r="B130" s="92">
        <v>0</v>
      </c>
      <c r="F130">
        <v>10030037</v>
      </c>
      <c r="G130">
        <v>0</v>
      </c>
    </row>
    <row r="131" spans="1:7" x14ac:dyDescent="0.25">
      <c r="A131" s="226">
        <v>10030056</v>
      </c>
      <c r="B131" s="92">
        <v>1500</v>
      </c>
      <c r="F131">
        <v>10030038</v>
      </c>
      <c r="G131">
        <v>0</v>
      </c>
    </row>
    <row r="132" spans="1:7" x14ac:dyDescent="0.25">
      <c r="A132" s="226">
        <v>10030059</v>
      </c>
      <c r="B132" s="92">
        <v>0</v>
      </c>
      <c r="F132">
        <v>10030040</v>
      </c>
      <c r="G132">
        <v>0</v>
      </c>
    </row>
    <row r="133" spans="1:7" x14ac:dyDescent="0.25">
      <c r="A133" s="226">
        <v>10030060</v>
      </c>
      <c r="B133" s="92">
        <v>0</v>
      </c>
      <c r="F133">
        <v>10030041</v>
      </c>
      <c r="G133">
        <v>0</v>
      </c>
    </row>
    <row r="134" spans="1:7" x14ac:dyDescent="0.25">
      <c r="A134" s="226">
        <v>10030061</v>
      </c>
      <c r="B134" s="92">
        <v>0</v>
      </c>
      <c r="F134">
        <v>10030042</v>
      </c>
      <c r="G134">
        <v>0</v>
      </c>
    </row>
    <row r="135" spans="1:7" x14ac:dyDescent="0.25">
      <c r="A135" s="226">
        <v>10030063</v>
      </c>
      <c r="B135" s="92">
        <v>0</v>
      </c>
      <c r="F135">
        <v>10030043</v>
      </c>
      <c r="G135">
        <v>0</v>
      </c>
    </row>
    <row r="136" spans="1:7" x14ac:dyDescent="0.25">
      <c r="A136" s="226">
        <v>10030064</v>
      </c>
      <c r="B136" s="92">
        <v>0</v>
      </c>
      <c r="F136">
        <v>10030044</v>
      </c>
      <c r="G136">
        <v>0</v>
      </c>
    </row>
    <row r="137" spans="1:7" x14ac:dyDescent="0.25">
      <c r="A137" s="226">
        <v>10030065</v>
      </c>
      <c r="B137" s="92">
        <v>2000</v>
      </c>
      <c r="F137">
        <v>10030045</v>
      </c>
      <c r="G137">
        <v>0</v>
      </c>
    </row>
    <row r="138" spans="1:7" x14ac:dyDescent="0.25">
      <c r="A138" s="226">
        <v>10030066</v>
      </c>
      <c r="B138" s="92">
        <v>0</v>
      </c>
      <c r="F138">
        <v>10030046</v>
      </c>
      <c r="G138">
        <v>0</v>
      </c>
    </row>
    <row r="139" spans="1:7" x14ac:dyDescent="0.25">
      <c r="A139" s="226">
        <v>10030068</v>
      </c>
      <c r="B139" s="92">
        <v>0</v>
      </c>
      <c r="F139">
        <v>10030047</v>
      </c>
      <c r="G139">
        <v>0</v>
      </c>
    </row>
    <row r="140" spans="1:7" x14ac:dyDescent="0.25">
      <c r="A140" s="226">
        <v>10030069</v>
      </c>
      <c r="B140" s="92">
        <v>0</v>
      </c>
      <c r="F140">
        <v>10030048</v>
      </c>
      <c r="G140">
        <v>0</v>
      </c>
    </row>
    <row r="141" spans="1:7" x14ac:dyDescent="0.25">
      <c r="A141" s="226">
        <v>10030070</v>
      </c>
      <c r="B141" s="92">
        <v>0</v>
      </c>
      <c r="F141">
        <v>10030049</v>
      </c>
      <c r="G141">
        <v>0</v>
      </c>
    </row>
    <row r="142" spans="1:7" x14ac:dyDescent="0.25">
      <c r="A142" s="226">
        <v>10030071</v>
      </c>
      <c r="B142" s="92">
        <v>1500</v>
      </c>
      <c r="F142">
        <v>10030050</v>
      </c>
      <c r="G142">
        <v>0</v>
      </c>
    </row>
    <row r="143" spans="1:7" x14ac:dyDescent="0.25">
      <c r="A143" s="226">
        <v>10030072</v>
      </c>
      <c r="B143" s="92">
        <v>0</v>
      </c>
      <c r="F143">
        <v>10030051</v>
      </c>
      <c r="G143">
        <v>0</v>
      </c>
    </row>
    <row r="144" spans="1:7" x14ac:dyDescent="0.25">
      <c r="A144" s="226">
        <v>10030074</v>
      </c>
      <c r="B144" s="92">
        <v>0</v>
      </c>
      <c r="F144">
        <v>10030053</v>
      </c>
      <c r="G144">
        <v>0</v>
      </c>
    </row>
    <row r="145" spans="1:7" x14ac:dyDescent="0.25">
      <c r="A145" s="226">
        <v>10030075</v>
      </c>
      <c r="B145" s="92">
        <v>0</v>
      </c>
      <c r="F145">
        <v>10030055</v>
      </c>
      <c r="G145">
        <v>1000</v>
      </c>
    </row>
    <row r="146" spans="1:7" x14ac:dyDescent="0.25">
      <c r="A146" s="226">
        <v>10030077</v>
      </c>
      <c r="B146" s="92">
        <v>0</v>
      </c>
      <c r="F146">
        <v>10030056</v>
      </c>
      <c r="G146">
        <v>1000</v>
      </c>
    </row>
    <row r="147" spans="1:7" x14ac:dyDescent="0.25">
      <c r="A147" s="226">
        <v>10030078</v>
      </c>
      <c r="B147" s="92">
        <v>0</v>
      </c>
      <c r="F147">
        <v>10030059</v>
      </c>
      <c r="G147">
        <v>0</v>
      </c>
    </row>
    <row r="148" spans="1:7" x14ac:dyDescent="0.25">
      <c r="A148" s="226">
        <v>10030080</v>
      </c>
      <c r="B148" s="92">
        <v>0</v>
      </c>
      <c r="F148">
        <v>10030060</v>
      </c>
      <c r="G148">
        <v>0</v>
      </c>
    </row>
    <row r="149" spans="1:7" x14ac:dyDescent="0.25">
      <c r="A149" s="226">
        <v>10030082</v>
      </c>
      <c r="B149" s="92">
        <v>0</v>
      </c>
      <c r="F149">
        <v>10030061</v>
      </c>
      <c r="G149">
        <v>0</v>
      </c>
    </row>
    <row r="150" spans="1:7" x14ac:dyDescent="0.25">
      <c r="A150" s="226">
        <v>10030084</v>
      </c>
      <c r="B150" s="92">
        <v>0</v>
      </c>
      <c r="F150">
        <v>10030063</v>
      </c>
      <c r="G150">
        <v>0</v>
      </c>
    </row>
    <row r="151" spans="1:7" x14ac:dyDescent="0.25">
      <c r="A151" s="226">
        <v>10030085</v>
      </c>
      <c r="B151" s="92">
        <v>0</v>
      </c>
      <c r="F151">
        <v>10030064</v>
      </c>
      <c r="G151">
        <v>0</v>
      </c>
    </row>
    <row r="152" spans="1:7" x14ac:dyDescent="0.25">
      <c r="A152" s="226">
        <v>10060002</v>
      </c>
      <c r="B152" s="92">
        <v>0</v>
      </c>
      <c r="F152">
        <v>10030065</v>
      </c>
      <c r="G152">
        <v>1000</v>
      </c>
    </row>
    <row r="153" spans="1:7" x14ac:dyDescent="0.25">
      <c r="A153" s="226">
        <v>10060003</v>
      </c>
      <c r="B153" s="92">
        <v>0</v>
      </c>
      <c r="F153">
        <v>10030066</v>
      </c>
      <c r="G153">
        <v>0</v>
      </c>
    </row>
    <row r="154" spans="1:7" x14ac:dyDescent="0.25">
      <c r="A154" s="226">
        <v>10060004</v>
      </c>
      <c r="B154" s="92">
        <v>0</v>
      </c>
      <c r="F154">
        <v>10030068</v>
      </c>
      <c r="G154">
        <v>0</v>
      </c>
    </row>
    <row r="155" spans="1:7" x14ac:dyDescent="0.25">
      <c r="A155" s="226">
        <v>10060005</v>
      </c>
      <c r="B155" s="92">
        <v>0</v>
      </c>
      <c r="F155">
        <v>10030069</v>
      </c>
      <c r="G155">
        <v>0</v>
      </c>
    </row>
    <row r="156" spans="1:7" x14ac:dyDescent="0.25">
      <c r="A156" s="226">
        <v>10060007</v>
      </c>
      <c r="B156" s="92">
        <v>0</v>
      </c>
      <c r="F156">
        <v>10030070</v>
      </c>
      <c r="G156">
        <v>0</v>
      </c>
    </row>
    <row r="157" spans="1:7" x14ac:dyDescent="0.25">
      <c r="A157" s="226">
        <v>10060008</v>
      </c>
      <c r="B157" s="92">
        <v>0</v>
      </c>
      <c r="F157">
        <v>10030071</v>
      </c>
      <c r="G157">
        <v>1000</v>
      </c>
    </row>
    <row r="158" spans="1:7" x14ac:dyDescent="0.25">
      <c r="A158" s="226">
        <v>10060009</v>
      </c>
      <c r="B158" s="92">
        <v>0</v>
      </c>
      <c r="F158">
        <v>10030072</v>
      </c>
      <c r="G158">
        <v>0</v>
      </c>
    </row>
    <row r="159" spans="1:7" x14ac:dyDescent="0.25">
      <c r="A159" s="226">
        <v>10060010</v>
      </c>
      <c r="B159" s="92">
        <v>0</v>
      </c>
      <c r="F159">
        <v>10030074</v>
      </c>
      <c r="G159">
        <v>0</v>
      </c>
    </row>
    <row r="160" spans="1:7" x14ac:dyDescent="0.25">
      <c r="A160" s="226">
        <v>10060011</v>
      </c>
      <c r="B160" s="92">
        <v>0</v>
      </c>
      <c r="F160">
        <v>10030075</v>
      </c>
      <c r="G160">
        <v>1000</v>
      </c>
    </row>
    <row r="161" spans="1:7" x14ac:dyDescent="0.25">
      <c r="A161" s="226">
        <v>10060014</v>
      </c>
      <c r="B161" s="92">
        <v>0</v>
      </c>
      <c r="F161">
        <v>10030077</v>
      </c>
      <c r="G161">
        <v>0</v>
      </c>
    </row>
    <row r="162" spans="1:7" x14ac:dyDescent="0.25">
      <c r="A162" s="226">
        <v>10060015</v>
      </c>
      <c r="B162" s="92">
        <v>0</v>
      </c>
      <c r="F162">
        <v>10030078</v>
      </c>
      <c r="G162">
        <v>0</v>
      </c>
    </row>
    <row r="163" spans="1:7" x14ac:dyDescent="0.25">
      <c r="A163" s="226">
        <v>10060020</v>
      </c>
      <c r="B163" s="92">
        <v>0</v>
      </c>
      <c r="F163">
        <v>10030079</v>
      </c>
      <c r="G163">
        <v>0</v>
      </c>
    </row>
    <row r="164" spans="1:7" x14ac:dyDescent="0.25">
      <c r="A164" s="226">
        <v>10060021</v>
      </c>
      <c r="B164" s="92">
        <v>0</v>
      </c>
      <c r="F164">
        <v>10030080</v>
      </c>
      <c r="G164">
        <v>0</v>
      </c>
    </row>
    <row r="165" spans="1:7" x14ac:dyDescent="0.25">
      <c r="A165" s="226">
        <v>10060022</v>
      </c>
      <c r="B165" s="92">
        <v>0</v>
      </c>
      <c r="F165">
        <v>10030081</v>
      </c>
      <c r="G165">
        <v>0</v>
      </c>
    </row>
    <row r="166" spans="1:7" x14ac:dyDescent="0.25">
      <c r="A166" s="226">
        <v>10060023</v>
      </c>
      <c r="B166" s="92">
        <v>0</v>
      </c>
      <c r="F166">
        <v>10030082</v>
      </c>
      <c r="G166">
        <v>0</v>
      </c>
    </row>
    <row r="167" spans="1:7" x14ac:dyDescent="0.25">
      <c r="A167" s="226">
        <v>10060026</v>
      </c>
      <c r="B167" s="92">
        <v>0</v>
      </c>
      <c r="F167">
        <v>10030084</v>
      </c>
      <c r="G167">
        <v>0</v>
      </c>
    </row>
    <row r="168" spans="1:7" x14ac:dyDescent="0.25">
      <c r="A168" s="226">
        <v>10060027</v>
      </c>
      <c r="B168" s="92">
        <v>0</v>
      </c>
      <c r="F168">
        <v>10030085</v>
      </c>
      <c r="G168">
        <v>0</v>
      </c>
    </row>
    <row r="169" spans="1:7" x14ac:dyDescent="0.25">
      <c r="A169" s="226">
        <v>10060028</v>
      </c>
      <c r="B169" s="92">
        <v>0</v>
      </c>
      <c r="F169">
        <v>10040001</v>
      </c>
      <c r="G169">
        <v>0</v>
      </c>
    </row>
    <row r="170" spans="1:7" x14ac:dyDescent="0.25">
      <c r="A170" s="226">
        <v>10060029</v>
      </c>
      <c r="B170" s="92">
        <v>0</v>
      </c>
      <c r="F170">
        <v>10060002</v>
      </c>
      <c r="G170">
        <v>0</v>
      </c>
    </row>
    <row r="171" spans="1:7" x14ac:dyDescent="0.25">
      <c r="A171" s="226">
        <v>10060031</v>
      </c>
      <c r="B171" s="92">
        <v>0</v>
      </c>
      <c r="F171">
        <v>10060003</v>
      </c>
      <c r="G171">
        <v>0</v>
      </c>
    </row>
    <row r="172" spans="1:7" x14ac:dyDescent="0.25">
      <c r="A172" s="226">
        <v>10060032</v>
      </c>
      <c r="B172" s="92">
        <v>0</v>
      </c>
      <c r="F172">
        <v>10060004</v>
      </c>
      <c r="G172">
        <v>0</v>
      </c>
    </row>
    <row r="173" spans="1:7" x14ac:dyDescent="0.25">
      <c r="A173" s="226">
        <v>10060041</v>
      </c>
      <c r="B173" s="92">
        <v>0</v>
      </c>
      <c r="F173">
        <v>10060005</v>
      </c>
      <c r="G173">
        <v>0</v>
      </c>
    </row>
    <row r="174" spans="1:7" x14ac:dyDescent="0.25">
      <c r="A174" s="226">
        <v>10060049</v>
      </c>
      <c r="B174" s="92">
        <v>0</v>
      </c>
      <c r="F174">
        <v>10060007</v>
      </c>
      <c r="G174">
        <v>0</v>
      </c>
    </row>
    <row r="175" spans="1:7" x14ac:dyDescent="0.25">
      <c r="A175" s="226">
        <v>10060050</v>
      </c>
      <c r="B175" s="92">
        <v>0</v>
      </c>
      <c r="F175">
        <v>10060008</v>
      </c>
      <c r="G175">
        <v>0</v>
      </c>
    </row>
    <row r="176" spans="1:7" x14ac:dyDescent="0.25">
      <c r="A176" s="226">
        <v>10060051</v>
      </c>
      <c r="B176" s="92">
        <v>0</v>
      </c>
      <c r="F176">
        <v>10060009</v>
      </c>
      <c r="G176">
        <v>0</v>
      </c>
    </row>
    <row r="177" spans="1:7" x14ac:dyDescent="0.25">
      <c r="A177" s="226">
        <v>10060052</v>
      </c>
      <c r="B177" s="92">
        <v>0</v>
      </c>
      <c r="F177">
        <v>10060010</v>
      </c>
      <c r="G177">
        <v>0</v>
      </c>
    </row>
    <row r="178" spans="1:7" x14ac:dyDescent="0.25">
      <c r="A178" s="226">
        <v>10060055</v>
      </c>
      <c r="B178" s="92">
        <v>0</v>
      </c>
      <c r="F178">
        <v>10060011</v>
      </c>
      <c r="G178">
        <v>0</v>
      </c>
    </row>
    <row r="179" spans="1:7" x14ac:dyDescent="0.25">
      <c r="A179" s="226">
        <v>10060058</v>
      </c>
      <c r="B179" s="92">
        <v>0</v>
      </c>
      <c r="F179">
        <v>10060013</v>
      </c>
      <c r="G179">
        <v>0</v>
      </c>
    </row>
    <row r="180" spans="1:7" x14ac:dyDescent="0.25">
      <c r="A180" s="226">
        <v>10060061</v>
      </c>
      <c r="B180" s="92">
        <v>0</v>
      </c>
      <c r="F180">
        <v>10060014</v>
      </c>
      <c r="G180">
        <v>0</v>
      </c>
    </row>
    <row r="181" spans="1:7" x14ac:dyDescent="0.25">
      <c r="A181" s="226">
        <v>10060062</v>
      </c>
      <c r="B181" s="92">
        <v>0</v>
      </c>
      <c r="F181">
        <v>10060015</v>
      </c>
      <c r="G181">
        <v>0</v>
      </c>
    </row>
    <row r="182" spans="1:7" x14ac:dyDescent="0.25">
      <c r="A182" s="226">
        <v>10060069</v>
      </c>
      <c r="B182" s="92">
        <v>0</v>
      </c>
      <c r="F182">
        <v>10060020</v>
      </c>
      <c r="G182">
        <v>0</v>
      </c>
    </row>
    <row r="183" spans="1:7" x14ac:dyDescent="0.25">
      <c r="A183" s="226">
        <v>10060074</v>
      </c>
      <c r="B183" s="92">
        <v>0</v>
      </c>
      <c r="F183">
        <v>10060021</v>
      </c>
      <c r="G183">
        <v>0</v>
      </c>
    </row>
    <row r="184" spans="1:7" x14ac:dyDescent="0.25">
      <c r="A184" s="226">
        <v>10060077</v>
      </c>
      <c r="B184" s="92">
        <v>0</v>
      </c>
      <c r="F184">
        <v>10060022</v>
      </c>
      <c r="G184">
        <v>0</v>
      </c>
    </row>
    <row r="185" spans="1:7" x14ac:dyDescent="0.25">
      <c r="A185" s="226">
        <v>10060083</v>
      </c>
      <c r="B185" s="92">
        <v>0</v>
      </c>
      <c r="F185">
        <v>10060023</v>
      </c>
      <c r="G185">
        <v>0</v>
      </c>
    </row>
    <row r="186" spans="1:7" x14ac:dyDescent="0.25">
      <c r="A186" s="226">
        <v>10060090</v>
      </c>
      <c r="B186" s="92">
        <v>0</v>
      </c>
      <c r="F186">
        <v>10060026</v>
      </c>
      <c r="G186">
        <v>0</v>
      </c>
    </row>
    <row r="187" spans="1:7" x14ac:dyDescent="0.25">
      <c r="A187" s="226">
        <v>10060096</v>
      </c>
      <c r="B187" s="92">
        <v>0</v>
      </c>
      <c r="F187">
        <v>10060027</v>
      </c>
      <c r="G187">
        <v>0</v>
      </c>
    </row>
    <row r="188" spans="1:7" x14ac:dyDescent="0.25">
      <c r="A188" s="226">
        <v>10060097</v>
      </c>
      <c r="B188" s="92">
        <v>0</v>
      </c>
      <c r="F188">
        <v>10060028</v>
      </c>
      <c r="G188">
        <v>0</v>
      </c>
    </row>
    <row r="189" spans="1:7" x14ac:dyDescent="0.25">
      <c r="A189" s="226">
        <v>10060098</v>
      </c>
      <c r="B189" s="92">
        <v>0</v>
      </c>
      <c r="F189">
        <v>10060029</v>
      </c>
      <c r="G189">
        <v>0</v>
      </c>
    </row>
    <row r="190" spans="1:7" x14ac:dyDescent="0.25">
      <c r="A190" s="226">
        <v>10060104</v>
      </c>
      <c r="B190" s="92">
        <v>0</v>
      </c>
      <c r="F190">
        <v>10060031</v>
      </c>
      <c r="G190">
        <v>0</v>
      </c>
    </row>
    <row r="191" spans="1:7" x14ac:dyDescent="0.25">
      <c r="A191" s="226">
        <v>10060106</v>
      </c>
      <c r="B191" s="92">
        <v>0</v>
      </c>
      <c r="F191">
        <v>10060032</v>
      </c>
      <c r="G191">
        <v>0</v>
      </c>
    </row>
    <row r="192" spans="1:7" x14ac:dyDescent="0.25">
      <c r="A192" s="226">
        <v>10060107</v>
      </c>
      <c r="B192" s="92">
        <v>0</v>
      </c>
      <c r="F192">
        <v>10060033</v>
      </c>
      <c r="G192">
        <v>0</v>
      </c>
    </row>
    <row r="193" spans="1:7" x14ac:dyDescent="0.25">
      <c r="A193" s="226">
        <v>10060110</v>
      </c>
      <c r="B193" s="92">
        <v>2000</v>
      </c>
      <c r="F193">
        <v>10060037</v>
      </c>
      <c r="G193">
        <v>0</v>
      </c>
    </row>
    <row r="194" spans="1:7" x14ac:dyDescent="0.25">
      <c r="A194" s="226">
        <v>10060111</v>
      </c>
      <c r="B194" s="92">
        <v>0</v>
      </c>
      <c r="F194">
        <v>10060041</v>
      </c>
      <c r="G194">
        <v>0</v>
      </c>
    </row>
    <row r="195" spans="1:7" x14ac:dyDescent="0.25">
      <c r="A195" s="226">
        <v>10060113</v>
      </c>
      <c r="B195" s="92">
        <v>0</v>
      </c>
      <c r="F195">
        <v>10060044</v>
      </c>
      <c r="G195">
        <v>0</v>
      </c>
    </row>
    <row r="196" spans="1:7" x14ac:dyDescent="0.25">
      <c r="A196" s="226">
        <v>10060114</v>
      </c>
      <c r="B196" s="92">
        <v>0</v>
      </c>
      <c r="F196">
        <v>10060049</v>
      </c>
      <c r="G196">
        <v>0</v>
      </c>
    </row>
    <row r="197" spans="1:7" x14ac:dyDescent="0.25">
      <c r="A197" s="226">
        <v>10060115</v>
      </c>
      <c r="B197" s="92">
        <v>2000</v>
      </c>
      <c r="F197">
        <v>10060050</v>
      </c>
      <c r="G197">
        <v>0</v>
      </c>
    </row>
    <row r="198" spans="1:7" x14ac:dyDescent="0.25">
      <c r="A198" s="226">
        <v>10060116</v>
      </c>
      <c r="B198" s="92">
        <v>0</v>
      </c>
      <c r="F198">
        <v>10060051</v>
      </c>
      <c r="G198">
        <v>0</v>
      </c>
    </row>
    <row r="199" spans="1:7" x14ac:dyDescent="0.25">
      <c r="A199" s="226">
        <v>10060117</v>
      </c>
      <c r="B199" s="92">
        <v>0</v>
      </c>
      <c r="F199">
        <v>10060052</v>
      </c>
      <c r="G199">
        <v>0</v>
      </c>
    </row>
    <row r="200" spans="1:7" x14ac:dyDescent="0.25">
      <c r="A200" s="226">
        <v>10060118</v>
      </c>
      <c r="B200" s="92">
        <v>0</v>
      </c>
      <c r="F200">
        <v>10060055</v>
      </c>
      <c r="G200">
        <v>0</v>
      </c>
    </row>
    <row r="201" spans="1:7" x14ac:dyDescent="0.25">
      <c r="A201" s="226">
        <v>10060122</v>
      </c>
      <c r="B201" s="92">
        <v>0</v>
      </c>
      <c r="F201">
        <v>10060058</v>
      </c>
      <c r="G201">
        <v>0</v>
      </c>
    </row>
    <row r="202" spans="1:7" x14ac:dyDescent="0.25">
      <c r="A202" s="226">
        <v>10060125</v>
      </c>
      <c r="B202" s="92">
        <v>0</v>
      </c>
      <c r="F202">
        <v>10060061</v>
      </c>
      <c r="G202">
        <v>0</v>
      </c>
    </row>
    <row r="203" spans="1:7" x14ac:dyDescent="0.25">
      <c r="A203" s="226">
        <v>10060126</v>
      </c>
      <c r="B203" s="92">
        <v>0</v>
      </c>
      <c r="F203">
        <v>10060062</v>
      </c>
      <c r="G203">
        <v>0</v>
      </c>
    </row>
    <row r="204" spans="1:7" x14ac:dyDescent="0.25">
      <c r="A204" s="226">
        <v>10060129</v>
      </c>
      <c r="B204" s="92">
        <v>0</v>
      </c>
      <c r="F204">
        <v>10060069</v>
      </c>
      <c r="G204">
        <v>500</v>
      </c>
    </row>
    <row r="205" spans="1:7" x14ac:dyDescent="0.25">
      <c r="A205" s="226">
        <v>10060130</v>
      </c>
      <c r="B205" s="92">
        <v>0</v>
      </c>
      <c r="F205">
        <v>10060074</v>
      </c>
      <c r="G205">
        <v>0</v>
      </c>
    </row>
    <row r="206" spans="1:7" x14ac:dyDescent="0.25">
      <c r="A206" s="226">
        <v>10060133</v>
      </c>
      <c r="B206" s="92">
        <v>0</v>
      </c>
      <c r="F206">
        <v>10060077</v>
      </c>
      <c r="G206">
        <v>0</v>
      </c>
    </row>
    <row r="207" spans="1:7" x14ac:dyDescent="0.25">
      <c r="A207" s="226">
        <v>10070002</v>
      </c>
      <c r="B207" s="92">
        <v>0</v>
      </c>
      <c r="F207">
        <v>10060083</v>
      </c>
      <c r="G207">
        <v>0</v>
      </c>
    </row>
    <row r="208" spans="1:7" x14ac:dyDescent="0.25">
      <c r="A208" s="226">
        <v>10070003</v>
      </c>
      <c r="B208" s="92">
        <v>0</v>
      </c>
      <c r="F208">
        <v>10060085</v>
      </c>
      <c r="G208">
        <v>0</v>
      </c>
    </row>
    <row r="209" spans="1:7" x14ac:dyDescent="0.25">
      <c r="A209" s="226">
        <v>10070004</v>
      </c>
      <c r="B209" s="92">
        <v>0</v>
      </c>
      <c r="F209">
        <v>10060090</v>
      </c>
      <c r="G209">
        <v>0</v>
      </c>
    </row>
    <row r="210" spans="1:7" x14ac:dyDescent="0.25">
      <c r="A210" s="226">
        <v>10070008</v>
      </c>
      <c r="B210" s="92">
        <v>0</v>
      </c>
      <c r="F210">
        <v>10060096</v>
      </c>
      <c r="G210">
        <v>0</v>
      </c>
    </row>
    <row r="211" spans="1:7" x14ac:dyDescent="0.25">
      <c r="A211" s="226">
        <v>10070013</v>
      </c>
      <c r="B211" s="92">
        <v>0</v>
      </c>
      <c r="F211">
        <v>10060097</v>
      </c>
      <c r="G211">
        <v>0</v>
      </c>
    </row>
    <row r="212" spans="1:7" x14ac:dyDescent="0.25">
      <c r="A212" s="226">
        <v>10070016</v>
      </c>
      <c r="B212" s="92">
        <v>0</v>
      </c>
      <c r="F212">
        <v>10060098</v>
      </c>
      <c r="G212">
        <v>0</v>
      </c>
    </row>
    <row r="213" spans="1:7" x14ac:dyDescent="0.25">
      <c r="A213" s="226">
        <v>10070018</v>
      </c>
      <c r="B213" s="92">
        <v>0</v>
      </c>
      <c r="F213">
        <v>10060104</v>
      </c>
      <c r="G213">
        <v>0</v>
      </c>
    </row>
    <row r="214" spans="1:7" x14ac:dyDescent="0.25">
      <c r="A214" s="226">
        <v>10070019</v>
      </c>
      <c r="B214" s="92">
        <v>0</v>
      </c>
      <c r="F214">
        <v>10060106</v>
      </c>
      <c r="G214">
        <v>0</v>
      </c>
    </row>
    <row r="215" spans="1:7" x14ac:dyDescent="0.25">
      <c r="A215" s="226">
        <v>10070020</v>
      </c>
      <c r="B215" s="92">
        <v>0</v>
      </c>
      <c r="F215">
        <v>10060107</v>
      </c>
      <c r="G215">
        <v>0</v>
      </c>
    </row>
    <row r="216" spans="1:7" x14ac:dyDescent="0.25">
      <c r="A216" s="226">
        <v>10070024</v>
      </c>
      <c r="B216" s="92">
        <v>0</v>
      </c>
      <c r="F216">
        <v>10060109</v>
      </c>
      <c r="G216">
        <v>0</v>
      </c>
    </row>
    <row r="217" spans="1:7" x14ac:dyDescent="0.25">
      <c r="A217" s="226">
        <v>10070026</v>
      </c>
      <c r="B217" s="92">
        <v>0</v>
      </c>
      <c r="F217">
        <v>10060110</v>
      </c>
      <c r="G217">
        <v>0</v>
      </c>
    </row>
    <row r="218" spans="1:7" x14ac:dyDescent="0.25">
      <c r="A218" s="226">
        <v>10070033</v>
      </c>
      <c r="B218" s="92">
        <v>0</v>
      </c>
      <c r="F218">
        <v>10060111</v>
      </c>
      <c r="G218">
        <v>0</v>
      </c>
    </row>
    <row r="219" spans="1:7" x14ac:dyDescent="0.25">
      <c r="A219" s="226">
        <v>10070039</v>
      </c>
      <c r="B219" s="92">
        <v>0</v>
      </c>
      <c r="F219">
        <v>10060113</v>
      </c>
      <c r="G219">
        <v>0</v>
      </c>
    </row>
    <row r="220" spans="1:7" x14ac:dyDescent="0.25">
      <c r="A220" s="226">
        <v>10070042</v>
      </c>
      <c r="B220" s="92">
        <v>0</v>
      </c>
      <c r="F220">
        <v>10060114</v>
      </c>
      <c r="G220">
        <v>0</v>
      </c>
    </row>
    <row r="221" spans="1:7" x14ac:dyDescent="0.25">
      <c r="A221" s="226">
        <v>10070043</v>
      </c>
      <c r="B221" s="92">
        <v>0</v>
      </c>
      <c r="F221">
        <v>10060115</v>
      </c>
      <c r="G221">
        <v>0</v>
      </c>
    </row>
    <row r="222" spans="1:7" x14ac:dyDescent="0.25">
      <c r="A222" s="226">
        <v>10070045</v>
      </c>
      <c r="B222" s="92">
        <v>0</v>
      </c>
      <c r="F222">
        <v>10060116</v>
      </c>
      <c r="G222">
        <v>1000</v>
      </c>
    </row>
    <row r="223" spans="1:7" x14ac:dyDescent="0.25">
      <c r="A223" s="226">
        <v>10070046</v>
      </c>
      <c r="B223" s="92">
        <v>0</v>
      </c>
      <c r="F223">
        <v>10060117</v>
      </c>
      <c r="G223">
        <v>0</v>
      </c>
    </row>
    <row r="224" spans="1:7" x14ac:dyDescent="0.25">
      <c r="A224" s="226">
        <v>10070048</v>
      </c>
      <c r="B224" s="92">
        <v>0</v>
      </c>
      <c r="F224">
        <v>10060118</v>
      </c>
      <c r="G224">
        <v>0</v>
      </c>
    </row>
    <row r="225" spans="1:7" x14ac:dyDescent="0.25">
      <c r="A225" s="226">
        <v>10070053</v>
      </c>
      <c r="B225" s="92">
        <v>0</v>
      </c>
      <c r="F225">
        <v>10060120</v>
      </c>
      <c r="G225">
        <v>0</v>
      </c>
    </row>
    <row r="226" spans="1:7" x14ac:dyDescent="0.25">
      <c r="A226" s="226">
        <v>10070056</v>
      </c>
      <c r="B226" s="92">
        <v>0</v>
      </c>
      <c r="F226">
        <v>10060121</v>
      </c>
      <c r="G226">
        <v>0</v>
      </c>
    </row>
    <row r="227" spans="1:7" x14ac:dyDescent="0.25">
      <c r="A227" s="226">
        <v>10070058</v>
      </c>
      <c r="B227" s="92">
        <v>0</v>
      </c>
      <c r="F227">
        <v>10060122</v>
      </c>
      <c r="G227">
        <v>0</v>
      </c>
    </row>
    <row r="228" spans="1:7" x14ac:dyDescent="0.25">
      <c r="A228" s="226">
        <v>10070059</v>
      </c>
      <c r="B228" s="92">
        <v>0</v>
      </c>
      <c r="F228">
        <v>10060124</v>
      </c>
      <c r="G228">
        <v>0</v>
      </c>
    </row>
    <row r="229" spans="1:7" x14ac:dyDescent="0.25">
      <c r="A229" s="226">
        <v>10070060</v>
      </c>
      <c r="B229" s="92">
        <v>0</v>
      </c>
      <c r="F229">
        <v>10060125</v>
      </c>
      <c r="G229">
        <v>0</v>
      </c>
    </row>
    <row r="230" spans="1:7" x14ac:dyDescent="0.25">
      <c r="A230" s="226">
        <v>10070061</v>
      </c>
      <c r="B230" s="92">
        <v>0</v>
      </c>
      <c r="F230">
        <v>10060126</v>
      </c>
      <c r="G230">
        <v>0</v>
      </c>
    </row>
    <row r="231" spans="1:7" x14ac:dyDescent="0.25">
      <c r="A231" s="226">
        <v>10070063</v>
      </c>
      <c r="B231" s="92">
        <v>0</v>
      </c>
      <c r="F231">
        <v>10060127</v>
      </c>
      <c r="G231">
        <v>0</v>
      </c>
    </row>
    <row r="232" spans="1:7" x14ac:dyDescent="0.25">
      <c r="A232" s="226">
        <v>10070064</v>
      </c>
      <c r="B232" s="92">
        <v>0</v>
      </c>
      <c r="F232">
        <v>10060129</v>
      </c>
      <c r="G232">
        <v>0</v>
      </c>
    </row>
    <row r="233" spans="1:7" x14ac:dyDescent="0.25">
      <c r="A233" s="226">
        <v>10070074</v>
      </c>
      <c r="B233" s="92">
        <v>0</v>
      </c>
      <c r="F233">
        <v>10060130</v>
      </c>
      <c r="G233">
        <v>0</v>
      </c>
    </row>
    <row r="234" spans="1:7" x14ac:dyDescent="0.25">
      <c r="A234" s="226">
        <v>10070077</v>
      </c>
      <c r="B234" s="92">
        <v>2000</v>
      </c>
      <c r="F234">
        <v>10060132</v>
      </c>
      <c r="G234">
        <v>0</v>
      </c>
    </row>
    <row r="235" spans="1:7" x14ac:dyDescent="0.25">
      <c r="A235" s="226">
        <v>10070078</v>
      </c>
      <c r="B235" s="92">
        <v>0</v>
      </c>
      <c r="F235">
        <v>10060133</v>
      </c>
      <c r="G235">
        <v>0</v>
      </c>
    </row>
    <row r="236" spans="1:7" x14ac:dyDescent="0.25">
      <c r="A236" s="226">
        <v>10080001</v>
      </c>
      <c r="B236" s="92">
        <v>0</v>
      </c>
      <c r="F236">
        <v>10070002</v>
      </c>
      <c r="G236">
        <v>0</v>
      </c>
    </row>
    <row r="237" spans="1:7" x14ac:dyDescent="0.25">
      <c r="A237" s="226">
        <v>10080002</v>
      </c>
      <c r="B237" s="92">
        <v>0</v>
      </c>
      <c r="F237">
        <v>10070003</v>
      </c>
      <c r="G237">
        <v>0</v>
      </c>
    </row>
    <row r="238" spans="1:7" x14ac:dyDescent="0.25">
      <c r="A238" s="226">
        <v>10080003</v>
      </c>
      <c r="B238" s="92">
        <v>0</v>
      </c>
      <c r="F238">
        <v>10070004</v>
      </c>
      <c r="G238">
        <v>0</v>
      </c>
    </row>
    <row r="239" spans="1:7" x14ac:dyDescent="0.25">
      <c r="A239" s="226">
        <v>10080004</v>
      </c>
      <c r="B239" s="92">
        <v>0</v>
      </c>
      <c r="F239">
        <v>10070008</v>
      </c>
      <c r="G239">
        <v>0</v>
      </c>
    </row>
    <row r="240" spans="1:7" x14ac:dyDescent="0.25">
      <c r="A240" s="226">
        <v>10080006</v>
      </c>
      <c r="B240" s="92">
        <v>0</v>
      </c>
      <c r="F240">
        <v>10070013</v>
      </c>
      <c r="G240">
        <v>1000</v>
      </c>
    </row>
    <row r="241" spans="1:7" x14ac:dyDescent="0.25">
      <c r="A241" s="226">
        <v>10080007</v>
      </c>
      <c r="B241" s="92">
        <v>0</v>
      </c>
      <c r="F241">
        <v>10070016</v>
      </c>
      <c r="G241">
        <v>1000</v>
      </c>
    </row>
    <row r="242" spans="1:7" x14ac:dyDescent="0.25">
      <c r="A242" s="226">
        <v>10080012</v>
      </c>
      <c r="B242" s="92">
        <v>0</v>
      </c>
      <c r="F242">
        <v>10070018</v>
      </c>
      <c r="G242">
        <v>0</v>
      </c>
    </row>
    <row r="243" spans="1:7" x14ac:dyDescent="0.25">
      <c r="A243" s="226">
        <v>10080013</v>
      </c>
      <c r="B243" s="92">
        <v>0</v>
      </c>
      <c r="F243">
        <v>10070019</v>
      </c>
      <c r="G243">
        <v>0</v>
      </c>
    </row>
    <row r="244" spans="1:7" x14ac:dyDescent="0.25">
      <c r="A244" s="226">
        <v>10080014</v>
      </c>
      <c r="B244" s="92">
        <v>0</v>
      </c>
      <c r="F244">
        <v>10070020</v>
      </c>
      <c r="G244">
        <v>0</v>
      </c>
    </row>
    <row r="245" spans="1:7" x14ac:dyDescent="0.25">
      <c r="A245" s="226">
        <v>10080015</v>
      </c>
      <c r="B245" s="92">
        <v>0</v>
      </c>
      <c r="F245">
        <v>10070024</v>
      </c>
      <c r="G245">
        <v>0</v>
      </c>
    </row>
    <row r="246" spans="1:7" x14ac:dyDescent="0.25">
      <c r="A246" s="226">
        <v>10080016</v>
      </c>
      <c r="B246" s="92">
        <v>2000</v>
      </c>
      <c r="F246">
        <v>10070026</v>
      </c>
      <c r="G246">
        <v>0</v>
      </c>
    </row>
    <row r="247" spans="1:7" x14ac:dyDescent="0.25">
      <c r="A247" s="226">
        <v>10080022</v>
      </c>
      <c r="B247" s="92">
        <v>0</v>
      </c>
      <c r="F247">
        <v>10070031</v>
      </c>
      <c r="G247">
        <v>0</v>
      </c>
    </row>
    <row r="248" spans="1:7" x14ac:dyDescent="0.25">
      <c r="A248" s="226">
        <v>10080024</v>
      </c>
      <c r="B248" s="92">
        <v>0</v>
      </c>
      <c r="F248">
        <v>10070033</v>
      </c>
      <c r="G248">
        <v>0</v>
      </c>
    </row>
    <row r="249" spans="1:7" x14ac:dyDescent="0.25">
      <c r="A249" s="226">
        <v>10080025</v>
      </c>
      <c r="B249" s="92">
        <v>0</v>
      </c>
      <c r="F249">
        <v>10070039</v>
      </c>
      <c r="G249">
        <v>0</v>
      </c>
    </row>
    <row r="250" spans="1:7" x14ac:dyDescent="0.25">
      <c r="A250" s="226">
        <v>10080032</v>
      </c>
      <c r="B250" s="92">
        <v>0</v>
      </c>
      <c r="F250">
        <v>10070042</v>
      </c>
      <c r="G250">
        <v>0</v>
      </c>
    </row>
    <row r="251" spans="1:7" x14ac:dyDescent="0.25">
      <c r="A251" s="226">
        <v>10080039</v>
      </c>
      <c r="B251" s="92">
        <v>0</v>
      </c>
      <c r="F251">
        <v>10070043</v>
      </c>
      <c r="G251">
        <v>0</v>
      </c>
    </row>
    <row r="252" spans="1:7" x14ac:dyDescent="0.25">
      <c r="A252" s="226">
        <v>10080040</v>
      </c>
      <c r="B252" s="92">
        <v>0</v>
      </c>
      <c r="F252">
        <v>10070045</v>
      </c>
      <c r="G252">
        <v>0</v>
      </c>
    </row>
    <row r="253" spans="1:7" x14ac:dyDescent="0.25">
      <c r="A253" s="226">
        <v>10080041</v>
      </c>
      <c r="B253" s="92">
        <v>0</v>
      </c>
      <c r="F253">
        <v>10070046</v>
      </c>
      <c r="G253">
        <v>0</v>
      </c>
    </row>
    <row r="254" spans="1:7" x14ac:dyDescent="0.25">
      <c r="A254" s="226">
        <v>10080048</v>
      </c>
      <c r="B254" s="92">
        <v>2000</v>
      </c>
      <c r="F254">
        <v>10070047</v>
      </c>
      <c r="G254">
        <v>0</v>
      </c>
    </row>
    <row r="255" spans="1:7" x14ac:dyDescent="0.25">
      <c r="A255" s="226">
        <v>10080052</v>
      </c>
      <c r="B255" s="92">
        <v>0</v>
      </c>
      <c r="F255">
        <v>10070048</v>
      </c>
      <c r="G255">
        <v>0</v>
      </c>
    </row>
    <row r="256" spans="1:7" x14ac:dyDescent="0.25">
      <c r="A256" s="226">
        <v>10080053</v>
      </c>
      <c r="B256" s="92">
        <v>0</v>
      </c>
      <c r="F256">
        <v>10070053</v>
      </c>
      <c r="G256">
        <v>0</v>
      </c>
    </row>
    <row r="257" spans="1:7" x14ac:dyDescent="0.25">
      <c r="A257" s="226">
        <v>10080054</v>
      </c>
      <c r="B257" s="92">
        <v>0</v>
      </c>
      <c r="F257">
        <v>10070056</v>
      </c>
      <c r="G257">
        <v>0</v>
      </c>
    </row>
    <row r="258" spans="1:7" x14ac:dyDescent="0.25">
      <c r="A258" s="226">
        <v>10080055</v>
      </c>
      <c r="B258" s="92">
        <v>0</v>
      </c>
      <c r="F258">
        <v>10070058</v>
      </c>
      <c r="G258">
        <v>0</v>
      </c>
    </row>
    <row r="259" spans="1:7" x14ac:dyDescent="0.25">
      <c r="A259" s="226">
        <v>10080061</v>
      </c>
      <c r="B259" s="92">
        <v>0</v>
      </c>
      <c r="F259">
        <v>10070059</v>
      </c>
      <c r="G259">
        <v>0</v>
      </c>
    </row>
    <row r="260" spans="1:7" x14ac:dyDescent="0.25">
      <c r="A260" s="226">
        <v>10080065</v>
      </c>
      <c r="B260" s="92">
        <v>2000</v>
      </c>
      <c r="F260">
        <v>10070060</v>
      </c>
      <c r="G260">
        <v>0</v>
      </c>
    </row>
    <row r="261" spans="1:7" x14ac:dyDescent="0.25">
      <c r="A261" s="226">
        <v>10080067</v>
      </c>
      <c r="B261" s="92">
        <v>2000</v>
      </c>
      <c r="F261">
        <v>10070061</v>
      </c>
      <c r="G261">
        <v>0</v>
      </c>
    </row>
    <row r="262" spans="1:7" x14ac:dyDescent="0.25">
      <c r="A262" s="226">
        <v>10080076</v>
      </c>
      <c r="B262" s="92">
        <v>0</v>
      </c>
      <c r="F262">
        <v>10070063</v>
      </c>
      <c r="G262">
        <v>0</v>
      </c>
    </row>
    <row r="263" spans="1:7" x14ac:dyDescent="0.25">
      <c r="A263" s="226">
        <v>10080077</v>
      </c>
      <c r="B263" s="92">
        <v>0</v>
      </c>
      <c r="F263">
        <v>10070064</v>
      </c>
      <c r="G263">
        <v>0</v>
      </c>
    </row>
    <row r="264" spans="1:7" x14ac:dyDescent="0.25">
      <c r="A264" s="226">
        <v>10080078</v>
      </c>
      <c r="B264" s="92">
        <v>0</v>
      </c>
      <c r="F264">
        <v>10070065</v>
      </c>
      <c r="G264">
        <v>0</v>
      </c>
    </row>
    <row r="265" spans="1:7" x14ac:dyDescent="0.25">
      <c r="A265" s="226">
        <v>10080079</v>
      </c>
      <c r="B265" s="92">
        <v>500</v>
      </c>
      <c r="F265">
        <v>10070074</v>
      </c>
      <c r="G265">
        <v>0</v>
      </c>
    </row>
    <row r="266" spans="1:7" x14ac:dyDescent="0.25">
      <c r="A266" s="226">
        <v>10080080</v>
      </c>
      <c r="B266" s="92">
        <v>0</v>
      </c>
      <c r="F266">
        <v>10070076</v>
      </c>
      <c r="G266">
        <v>0</v>
      </c>
    </row>
    <row r="267" spans="1:7" x14ac:dyDescent="0.25">
      <c r="A267" s="226">
        <v>10080082</v>
      </c>
      <c r="B267" s="92">
        <v>0</v>
      </c>
      <c r="F267">
        <v>10070077</v>
      </c>
      <c r="G267">
        <v>0</v>
      </c>
    </row>
    <row r="268" spans="1:7" x14ac:dyDescent="0.25">
      <c r="A268" s="226">
        <v>10080083</v>
      </c>
      <c r="B268" s="92">
        <v>0</v>
      </c>
      <c r="F268">
        <v>10070078</v>
      </c>
      <c r="G268">
        <v>0</v>
      </c>
    </row>
    <row r="269" spans="1:7" x14ac:dyDescent="0.25">
      <c r="A269" s="226">
        <v>10080086</v>
      </c>
      <c r="B269" s="92">
        <v>2000</v>
      </c>
      <c r="F269">
        <v>10080001</v>
      </c>
      <c r="G269">
        <v>0</v>
      </c>
    </row>
    <row r="270" spans="1:7" x14ac:dyDescent="0.25">
      <c r="A270" s="226">
        <v>10080087</v>
      </c>
      <c r="B270" s="92">
        <v>0</v>
      </c>
      <c r="F270">
        <v>10080002</v>
      </c>
      <c r="G270">
        <v>0</v>
      </c>
    </row>
    <row r="271" spans="1:7" x14ac:dyDescent="0.25">
      <c r="A271" s="226">
        <v>10080088</v>
      </c>
      <c r="B271" s="92">
        <v>0</v>
      </c>
      <c r="F271">
        <v>10080003</v>
      </c>
      <c r="G271">
        <v>0</v>
      </c>
    </row>
    <row r="272" spans="1:7" x14ac:dyDescent="0.25">
      <c r="A272" s="226">
        <v>10080089</v>
      </c>
      <c r="B272" s="92">
        <v>0</v>
      </c>
      <c r="F272">
        <v>10080004</v>
      </c>
      <c r="G272">
        <v>0</v>
      </c>
    </row>
    <row r="273" spans="1:7" x14ac:dyDescent="0.25">
      <c r="A273" s="226">
        <v>10080090</v>
      </c>
      <c r="B273" s="92">
        <v>0</v>
      </c>
      <c r="F273">
        <v>10080006</v>
      </c>
      <c r="G273">
        <v>0</v>
      </c>
    </row>
    <row r="274" spans="1:7" x14ac:dyDescent="0.25">
      <c r="A274" s="226">
        <v>10080093</v>
      </c>
      <c r="B274" s="92">
        <v>0</v>
      </c>
      <c r="F274">
        <v>10080007</v>
      </c>
      <c r="G274">
        <v>0</v>
      </c>
    </row>
    <row r="275" spans="1:7" x14ac:dyDescent="0.25">
      <c r="A275" s="226">
        <v>10080095</v>
      </c>
      <c r="B275" s="92">
        <v>500</v>
      </c>
      <c r="F275">
        <v>10080012</v>
      </c>
      <c r="G275">
        <v>0</v>
      </c>
    </row>
    <row r="276" spans="1:7" x14ac:dyDescent="0.25">
      <c r="A276" s="226">
        <v>10080097</v>
      </c>
      <c r="B276" s="92">
        <v>0</v>
      </c>
      <c r="F276">
        <v>10080013</v>
      </c>
      <c r="G276">
        <v>0</v>
      </c>
    </row>
    <row r="277" spans="1:7" x14ac:dyDescent="0.25">
      <c r="A277" s="226">
        <v>10080099</v>
      </c>
      <c r="B277" s="92">
        <v>0</v>
      </c>
      <c r="F277">
        <v>10080014</v>
      </c>
      <c r="G277">
        <v>0</v>
      </c>
    </row>
    <row r="278" spans="1:7" x14ac:dyDescent="0.25">
      <c r="A278" s="226">
        <v>10080100</v>
      </c>
      <c r="B278" s="92">
        <v>1500</v>
      </c>
      <c r="F278">
        <v>10080015</v>
      </c>
      <c r="G278">
        <v>0</v>
      </c>
    </row>
    <row r="279" spans="1:7" x14ac:dyDescent="0.25">
      <c r="A279" s="226">
        <v>10080107</v>
      </c>
      <c r="B279" s="92">
        <v>0</v>
      </c>
      <c r="F279">
        <v>10080016</v>
      </c>
      <c r="G279">
        <v>1000</v>
      </c>
    </row>
    <row r="280" spans="1:7" x14ac:dyDescent="0.25">
      <c r="A280" s="226">
        <v>10080112</v>
      </c>
      <c r="B280" s="92">
        <v>0</v>
      </c>
      <c r="F280">
        <v>10080022</v>
      </c>
      <c r="G280">
        <v>500</v>
      </c>
    </row>
    <row r="281" spans="1:7" x14ac:dyDescent="0.25">
      <c r="A281" s="226">
        <v>10080113</v>
      </c>
      <c r="B281" s="92">
        <v>0</v>
      </c>
      <c r="F281">
        <v>10080024</v>
      </c>
      <c r="G281">
        <v>0</v>
      </c>
    </row>
    <row r="282" spans="1:7" x14ac:dyDescent="0.25">
      <c r="A282" s="226">
        <v>10080115</v>
      </c>
      <c r="B282" s="92">
        <v>0</v>
      </c>
      <c r="F282">
        <v>10080025</v>
      </c>
      <c r="G282">
        <v>0</v>
      </c>
    </row>
    <row r="283" spans="1:7" x14ac:dyDescent="0.25">
      <c r="A283" s="226">
        <v>10080119</v>
      </c>
      <c r="B283" s="92">
        <v>0</v>
      </c>
      <c r="F283">
        <v>10080032</v>
      </c>
      <c r="G283">
        <v>0</v>
      </c>
    </row>
    <row r="284" spans="1:7" x14ac:dyDescent="0.25">
      <c r="A284" s="226">
        <v>10080120</v>
      </c>
      <c r="B284" s="92">
        <v>0</v>
      </c>
      <c r="F284">
        <v>10080039</v>
      </c>
      <c r="G284">
        <v>0</v>
      </c>
    </row>
    <row r="285" spans="1:7" x14ac:dyDescent="0.25">
      <c r="A285" s="226">
        <v>10080122</v>
      </c>
      <c r="B285" s="92">
        <v>0</v>
      </c>
      <c r="F285">
        <v>10080040</v>
      </c>
      <c r="G285">
        <v>0</v>
      </c>
    </row>
    <row r="286" spans="1:7" x14ac:dyDescent="0.25">
      <c r="A286" s="226">
        <v>10080124</v>
      </c>
      <c r="B286" s="92">
        <v>0</v>
      </c>
      <c r="F286">
        <v>10080041</v>
      </c>
      <c r="G286">
        <v>0</v>
      </c>
    </row>
    <row r="287" spans="1:7" x14ac:dyDescent="0.25">
      <c r="A287" s="226">
        <v>10080126</v>
      </c>
      <c r="B287" s="92">
        <v>0</v>
      </c>
      <c r="F287">
        <v>10080043</v>
      </c>
      <c r="G287">
        <v>0</v>
      </c>
    </row>
    <row r="288" spans="1:7" x14ac:dyDescent="0.25">
      <c r="A288" s="226">
        <v>10090001</v>
      </c>
      <c r="B288" s="92">
        <v>0</v>
      </c>
      <c r="F288">
        <v>10080048</v>
      </c>
      <c r="G288">
        <v>0</v>
      </c>
    </row>
    <row r="289" spans="1:7" x14ac:dyDescent="0.25">
      <c r="A289" s="226">
        <v>10090002</v>
      </c>
      <c r="B289" s="92">
        <v>0</v>
      </c>
      <c r="F289">
        <v>10080052</v>
      </c>
      <c r="G289">
        <v>0</v>
      </c>
    </row>
    <row r="290" spans="1:7" x14ac:dyDescent="0.25">
      <c r="A290" s="226">
        <v>10090003</v>
      </c>
      <c r="B290" s="92">
        <v>0</v>
      </c>
      <c r="F290">
        <v>10080053</v>
      </c>
      <c r="G290">
        <v>0</v>
      </c>
    </row>
    <row r="291" spans="1:7" x14ac:dyDescent="0.25">
      <c r="A291" s="226">
        <v>10090005</v>
      </c>
      <c r="B291" s="92">
        <v>0</v>
      </c>
      <c r="F291">
        <v>10080054</v>
      </c>
      <c r="G291">
        <v>0</v>
      </c>
    </row>
    <row r="292" spans="1:7" x14ac:dyDescent="0.25">
      <c r="A292" s="226">
        <v>10090006</v>
      </c>
      <c r="B292" s="92">
        <v>0</v>
      </c>
      <c r="F292">
        <v>10080055</v>
      </c>
      <c r="G292">
        <v>0</v>
      </c>
    </row>
    <row r="293" spans="1:7" x14ac:dyDescent="0.25">
      <c r="A293" s="226">
        <v>10090007</v>
      </c>
      <c r="B293" s="92">
        <v>0</v>
      </c>
      <c r="F293">
        <v>10080061</v>
      </c>
      <c r="G293">
        <v>0</v>
      </c>
    </row>
    <row r="294" spans="1:7" x14ac:dyDescent="0.25">
      <c r="A294" s="226">
        <v>10090008</v>
      </c>
      <c r="B294" s="92">
        <v>0</v>
      </c>
      <c r="F294">
        <v>10080062</v>
      </c>
      <c r="G294">
        <v>1000</v>
      </c>
    </row>
    <row r="295" spans="1:7" x14ac:dyDescent="0.25">
      <c r="A295" s="226">
        <v>10090009</v>
      </c>
      <c r="B295" s="92">
        <v>0</v>
      </c>
      <c r="F295">
        <v>10080065</v>
      </c>
      <c r="G295">
        <v>1000</v>
      </c>
    </row>
    <row r="296" spans="1:7" x14ac:dyDescent="0.25">
      <c r="A296" s="226">
        <v>10090011</v>
      </c>
      <c r="B296" s="92">
        <v>0</v>
      </c>
      <c r="F296">
        <v>10080067</v>
      </c>
      <c r="G296">
        <v>0</v>
      </c>
    </row>
    <row r="297" spans="1:7" x14ac:dyDescent="0.25">
      <c r="A297" s="226">
        <v>10090012</v>
      </c>
      <c r="B297" s="92">
        <v>0</v>
      </c>
      <c r="F297">
        <v>10080072</v>
      </c>
      <c r="G297">
        <v>1000</v>
      </c>
    </row>
    <row r="298" spans="1:7" x14ac:dyDescent="0.25">
      <c r="A298" s="226">
        <v>10090014</v>
      </c>
      <c r="B298" s="92">
        <v>0</v>
      </c>
      <c r="F298">
        <v>10080076</v>
      </c>
      <c r="G298">
        <v>0</v>
      </c>
    </row>
    <row r="299" spans="1:7" x14ac:dyDescent="0.25">
      <c r="A299" s="226">
        <v>10090015</v>
      </c>
      <c r="B299" s="92">
        <v>0</v>
      </c>
      <c r="F299">
        <v>10080077</v>
      </c>
      <c r="G299">
        <v>0</v>
      </c>
    </row>
    <row r="300" spans="1:7" x14ac:dyDescent="0.25">
      <c r="A300" s="226">
        <v>10090017</v>
      </c>
      <c r="B300" s="92">
        <v>0</v>
      </c>
      <c r="F300">
        <v>10080078</v>
      </c>
      <c r="G300">
        <v>0</v>
      </c>
    </row>
    <row r="301" spans="1:7" x14ac:dyDescent="0.25">
      <c r="A301" s="226">
        <v>10090018</v>
      </c>
      <c r="B301" s="92">
        <v>0</v>
      </c>
      <c r="F301">
        <v>10080079</v>
      </c>
      <c r="G301">
        <v>1000</v>
      </c>
    </row>
    <row r="302" spans="1:7" x14ac:dyDescent="0.25">
      <c r="A302" s="226">
        <v>10090021</v>
      </c>
      <c r="B302" s="92">
        <v>0</v>
      </c>
      <c r="F302">
        <v>10080080</v>
      </c>
      <c r="G302">
        <v>0</v>
      </c>
    </row>
    <row r="303" spans="1:7" x14ac:dyDescent="0.25">
      <c r="A303" s="226">
        <v>10090022</v>
      </c>
      <c r="B303" s="92">
        <v>0</v>
      </c>
      <c r="F303">
        <v>10080082</v>
      </c>
      <c r="G303">
        <v>0</v>
      </c>
    </row>
    <row r="304" spans="1:7" x14ac:dyDescent="0.25">
      <c r="A304" s="226">
        <v>10090024</v>
      </c>
      <c r="B304" s="92">
        <v>0</v>
      </c>
      <c r="F304">
        <v>10080083</v>
      </c>
      <c r="G304">
        <v>0</v>
      </c>
    </row>
    <row r="305" spans="1:7" x14ac:dyDescent="0.25">
      <c r="A305" s="226">
        <v>10090025</v>
      </c>
      <c r="B305" s="92">
        <v>0</v>
      </c>
      <c r="F305">
        <v>10080086</v>
      </c>
      <c r="G305">
        <v>0</v>
      </c>
    </row>
    <row r="306" spans="1:7" x14ac:dyDescent="0.25">
      <c r="A306" s="226">
        <v>10090027</v>
      </c>
      <c r="B306" s="92">
        <v>0</v>
      </c>
      <c r="F306">
        <v>10080087</v>
      </c>
      <c r="G306">
        <v>1000</v>
      </c>
    </row>
    <row r="307" spans="1:7" x14ac:dyDescent="0.25">
      <c r="A307" s="226">
        <v>10090029</v>
      </c>
      <c r="B307" s="92">
        <v>0</v>
      </c>
      <c r="F307">
        <v>10080088</v>
      </c>
      <c r="G307">
        <v>0</v>
      </c>
    </row>
    <row r="308" spans="1:7" x14ac:dyDescent="0.25">
      <c r="A308" s="226">
        <v>10090033</v>
      </c>
      <c r="B308" s="92">
        <v>0</v>
      </c>
      <c r="F308">
        <v>10080089</v>
      </c>
      <c r="G308">
        <v>0</v>
      </c>
    </row>
    <row r="309" spans="1:7" x14ac:dyDescent="0.25">
      <c r="A309" s="226">
        <v>10090036</v>
      </c>
      <c r="B309" s="92">
        <v>0</v>
      </c>
      <c r="F309">
        <v>10080090</v>
      </c>
      <c r="G309">
        <v>0</v>
      </c>
    </row>
    <row r="310" spans="1:7" x14ac:dyDescent="0.25">
      <c r="A310" s="226">
        <v>10090037</v>
      </c>
      <c r="B310" s="92">
        <v>0</v>
      </c>
      <c r="F310">
        <v>10080093</v>
      </c>
      <c r="G310">
        <v>0</v>
      </c>
    </row>
    <row r="311" spans="1:7" x14ac:dyDescent="0.25">
      <c r="A311" s="226">
        <v>10090041</v>
      </c>
      <c r="B311" s="92">
        <v>0</v>
      </c>
      <c r="F311">
        <v>10080095</v>
      </c>
      <c r="G311">
        <v>1000</v>
      </c>
    </row>
    <row r="312" spans="1:7" x14ac:dyDescent="0.25">
      <c r="A312" s="226">
        <v>10090042</v>
      </c>
      <c r="B312" s="92">
        <v>0</v>
      </c>
      <c r="F312">
        <v>10080097</v>
      </c>
      <c r="G312">
        <v>0</v>
      </c>
    </row>
    <row r="313" spans="1:7" x14ac:dyDescent="0.25">
      <c r="A313" s="226">
        <v>10090045</v>
      </c>
      <c r="B313" s="92">
        <v>0</v>
      </c>
      <c r="F313">
        <v>10080099</v>
      </c>
      <c r="G313">
        <v>0</v>
      </c>
    </row>
    <row r="314" spans="1:7" x14ac:dyDescent="0.25">
      <c r="A314" s="226">
        <v>10090046</v>
      </c>
      <c r="B314" s="92">
        <v>0</v>
      </c>
      <c r="F314">
        <v>10080100</v>
      </c>
      <c r="G314">
        <v>0</v>
      </c>
    </row>
    <row r="315" spans="1:7" x14ac:dyDescent="0.25">
      <c r="A315" s="226">
        <v>10090047</v>
      </c>
      <c r="B315" s="92">
        <v>0</v>
      </c>
      <c r="F315">
        <v>10080107</v>
      </c>
      <c r="G315">
        <v>0</v>
      </c>
    </row>
    <row r="316" spans="1:7" x14ac:dyDescent="0.25">
      <c r="A316" s="226">
        <v>10090049</v>
      </c>
      <c r="B316" s="92">
        <v>0</v>
      </c>
      <c r="F316">
        <v>10080110</v>
      </c>
      <c r="G316">
        <v>0</v>
      </c>
    </row>
    <row r="317" spans="1:7" x14ac:dyDescent="0.25">
      <c r="A317" s="226">
        <v>10090055</v>
      </c>
      <c r="B317" s="92">
        <v>0</v>
      </c>
      <c r="F317">
        <v>10080112</v>
      </c>
      <c r="G317">
        <v>0</v>
      </c>
    </row>
    <row r="318" spans="1:7" x14ac:dyDescent="0.25">
      <c r="A318" s="226">
        <v>10090056</v>
      </c>
      <c r="B318" s="92">
        <v>0</v>
      </c>
      <c r="F318">
        <v>10080113</v>
      </c>
      <c r="G318">
        <v>0</v>
      </c>
    </row>
    <row r="319" spans="1:7" x14ac:dyDescent="0.25">
      <c r="A319" s="226">
        <v>10090058</v>
      </c>
      <c r="B319" s="92">
        <v>0</v>
      </c>
      <c r="F319">
        <v>10080115</v>
      </c>
      <c r="G319">
        <v>0</v>
      </c>
    </row>
    <row r="320" spans="1:7" x14ac:dyDescent="0.25">
      <c r="A320" s="226">
        <v>10090059</v>
      </c>
      <c r="B320" s="92">
        <v>0</v>
      </c>
      <c r="F320">
        <v>10080117</v>
      </c>
      <c r="G320">
        <v>0</v>
      </c>
    </row>
    <row r="321" spans="1:7" x14ac:dyDescent="0.25">
      <c r="A321" s="226">
        <v>10090060</v>
      </c>
      <c r="B321" s="92">
        <v>2000</v>
      </c>
      <c r="F321">
        <v>10080119</v>
      </c>
      <c r="G321">
        <v>0</v>
      </c>
    </row>
    <row r="322" spans="1:7" x14ac:dyDescent="0.25">
      <c r="A322" s="226">
        <v>10090061</v>
      </c>
      <c r="B322" s="92">
        <v>2000</v>
      </c>
      <c r="F322">
        <v>10080120</v>
      </c>
      <c r="G322">
        <v>0</v>
      </c>
    </row>
    <row r="323" spans="1:7" x14ac:dyDescent="0.25">
      <c r="A323" s="226">
        <v>10090063</v>
      </c>
      <c r="B323" s="92">
        <v>2000</v>
      </c>
      <c r="F323">
        <v>10080121</v>
      </c>
      <c r="G323">
        <v>0</v>
      </c>
    </row>
    <row r="324" spans="1:7" x14ac:dyDescent="0.25">
      <c r="A324" s="226">
        <v>10090064</v>
      </c>
      <c r="B324" s="92">
        <v>0</v>
      </c>
      <c r="F324">
        <v>10080122</v>
      </c>
      <c r="G324">
        <v>0</v>
      </c>
    </row>
    <row r="325" spans="1:7" x14ac:dyDescent="0.25">
      <c r="A325" s="226">
        <v>10090065</v>
      </c>
      <c r="B325" s="92">
        <v>0</v>
      </c>
      <c r="F325">
        <v>10080124</v>
      </c>
      <c r="G325">
        <v>0</v>
      </c>
    </row>
    <row r="326" spans="1:7" x14ac:dyDescent="0.25">
      <c r="A326" s="226">
        <v>10090072</v>
      </c>
      <c r="B326" s="92">
        <v>0</v>
      </c>
      <c r="F326">
        <v>10080126</v>
      </c>
      <c r="G326">
        <v>0</v>
      </c>
    </row>
    <row r="327" spans="1:7" x14ac:dyDescent="0.25">
      <c r="A327" s="226">
        <v>10090074</v>
      </c>
      <c r="B327" s="92">
        <v>0</v>
      </c>
      <c r="F327">
        <v>10090001</v>
      </c>
      <c r="G327">
        <v>0</v>
      </c>
    </row>
    <row r="328" spans="1:7" x14ac:dyDescent="0.25">
      <c r="A328" s="226">
        <v>10090075</v>
      </c>
      <c r="B328" s="92">
        <v>0</v>
      </c>
      <c r="F328">
        <v>10090002</v>
      </c>
      <c r="G328">
        <v>0</v>
      </c>
    </row>
    <row r="329" spans="1:7" x14ac:dyDescent="0.25">
      <c r="A329" s="226">
        <v>10090076</v>
      </c>
      <c r="B329" s="92">
        <v>0</v>
      </c>
      <c r="F329">
        <v>10090003</v>
      </c>
      <c r="G329">
        <v>0</v>
      </c>
    </row>
    <row r="330" spans="1:7" x14ac:dyDescent="0.25">
      <c r="A330" s="226">
        <v>10090077</v>
      </c>
      <c r="B330" s="92">
        <v>0</v>
      </c>
      <c r="F330">
        <v>10090005</v>
      </c>
      <c r="G330">
        <v>0</v>
      </c>
    </row>
    <row r="331" spans="1:7" x14ac:dyDescent="0.25">
      <c r="A331" s="226">
        <v>10090078</v>
      </c>
      <c r="B331" s="92">
        <v>0</v>
      </c>
      <c r="F331">
        <v>10090006</v>
      </c>
      <c r="G331">
        <v>0</v>
      </c>
    </row>
    <row r="332" spans="1:7" x14ac:dyDescent="0.25">
      <c r="A332" s="226">
        <v>10090079</v>
      </c>
      <c r="B332" s="92">
        <v>0</v>
      </c>
      <c r="F332">
        <v>10090007</v>
      </c>
      <c r="G332">
        <v>0</v>
      </c>
    </row>
    <row r="333" spans="1:7" x14ac:dyDescent="0.25">
      <c r="A333" s="226">
        <v>10100001</v>
      </c>
      <c r="B333" s="92">
        <v>0</v>
      </c>
      <c r="F333">
        <v>10090008</v>
      </c>
      <c r="G333">
        <v>0</v>
      </c>
    </row>
    <row r="334" spans="1:7" x14ac:dyDescent="0.25">
      <c r="A334" s="226">
        <v>10100003</v>
      </c>
      <c r="B334" s="92">
        <v>0</v>
      </c>
      <c r="F334">
        <v>10090009</v>
      </c>
      <c r="G334">
        <v>0</v>
      </c>
    </row>
    <row r="335" spans="1:7" x14ac:dyDescent="0.25">
      <c r="A335" s="226">
        <v>10100004</v>
      </c>
      <c r="B335" s="92">
        <v>0</v>
      </c>
      <c r="F335">
        <v>10090011</v>
      </c>
      <c r="G335">
        <v>0</v>
      </c>
    </row>
    <row r="336" spans="1:7" x14ac:dyDescent="0.25">
      <c r="A336" s="226">
        <v>10100009</v>
      </c>
      <c r="B336" s="92">
        <v>0</v>
      </c>
      <c r="F336">
        <v>10090012</v>
      </c>
      <c r="G336">
        <v>0</v>
      </c>
    </row>
    <row r="337" spans="1:7" x14ac:dyDescent="0.25">
      <c r="A337" s="226">
        <v>10100014</v>
      </c>
      <c r="B337" s="92">
        <v>0</v>
      </c>
      <c r="F337">
        <v>10090014</v>
      </c>
      <c r="G337">
        <v>0</v>
      </c>
    </row>
    <row r="338" spans="1:7" x14ac:dyDescent="0.25">
      <c r="A338" s="226">
        <v>10100016</v>
      </c>
      <c r="B338" s="92">
        <v>0</v>
      </c>
      <c r="F338">
        <v>10090015</v>
      </c>
      <c r="G338">
        <v>0</v>
      </c>
    </row>
    <row r="339" spans="1:7" x14ac:dyDescent="0.25">
      <c r="A339" s="226">
        <v>10100021</v>
      </c>
      <c r="B339" s="92">
        <v>0</v>
      </c>
      <c r="F339">
        <v>10090017</v>
      </c>
      <c r="G339">
        <v>0</v>
      </c>
    </row>
    <row r="340" spans="1:7" x14ac:dyDescent="0.25">
      <c r="A340" s="226">
        <v>10100026</v>
      </c>
      <c r="B340" s="92">
        <v>0</v>
      </c>
      <c r="F340">
        <v>10090018</v>
      </c>
      <c r="G340">
        <v>0</v>
      </c>
    </row>
    <row r="341" spans="1:7" x14ac:dyDescent="0.25">
      <c r="A341" s="226">
        <v>10100033</v>
      </c>
      <c r="B341" s="92">
        <v>0</v>
      </c>
      <c r="F341">
        <v>10090021</v>
      </c>
      <c r="G341">
        <v>0</v>
      </c>
    </row>
    <row r="342" spans="1:7" x14ac:dyDescent="0.25">
      <c r="A342" s="226">
        <v>10100035</v>
      </c>
      <c r="B342" s="92">
        <v>1500</v>
      </c>
      <c r="F342">
        <v>10090022</v>
      </c>
      <c r="G342">
        <v>0</v>
      </c>
    </row>
    <row r="343" spans="1:7" x14ac:dyDescent="0.25">
      <c r="A343" s="226">
        <v>10100037</v>
      </c>
      <c r="B343" s="92">
        <v>2000</v>
      </c>
      <c r="F343">
        <v>10090024</v>
      </c>
      <c r="G343">
        <v>0</v>
      </c>
    </row>
    <row r="344" spans="1:7" x14ac:dyDescent="0.25">
      <c r="A344" s="226">
        <v>10100044</v>
      </c>
      <c r="B344" s="92">
        <v>0</v>
      </c>
      <c r="F344">
        <v>10090025</v>
      </c>
      <c r="G344">
        <v>0</v>
      </c>
    </row>
    <row r="345" spans="1:7" x14ac:dyDescent="0.25">
      <c r="A345" s="226">
        <v>10100045</v>
      </c>
      <c r="B345" s="92">
        <v>0</v>
      </c>
      <c r="F345">
        <v>10090027</v>
      </c>
      <c r="G345">
        <v>0</v>
      </c>
    </row>
    <row r="346" spans="1:7" x14ac:dyDescent="0.25">
      <c r="A346" s="226">
        <v>10100049</v>
      </c>
      <c r="B346" s="92">
        <v>0</v>
      </c>
      <c r="F346">
        <v>10090029</v>
      </c>
      <c r="G346">
        <v>0</v>
      </c>
    </row>
    <row r="347" spans="1:7" x14ac:dyDescent="0.25">
      <c r="A347" s="226">
        <v>10100051</v>
      </c>
      <c r="B347" s="92">
        <v>0</v>
      </c>
      <c r="F347">
        <v>10090033</v>
      </c>
      <c r="G347">
        <v>0</v>
      </c>
    </row>
    <row r="348" spans="1:7" x14ac:dyDescent="0.25">
      <c r="A348" s="226">
        <v>10100054</v>
      </c>
      <c r="B348" s="92">
        <v>0</v>
      </c>
      <c r="F348">
        <v>10090034</v>
      </c>
      <c r="G348">
        <v>0</v>
      </c>
    </row>
    <row r="349" spans="1:7" x14ac:dyDescent="0.25">
      <c r="A349" s="226">
        <v>10100059</v>
      </c>
      <c r="B349" s="92">
        <v>0</v>
      </c>
      <c r="F349">
        <v>10090036</v>
      </c>
      <c r="G349">
        <v>0</v>
      </c>
    </row>
    <row r="350" spans="1:7" x14ac:dyDescent="0.25">
      <c r="A350" s="226">
        <v>10100060</v>
      </c>
      <c r="B350" s="92">
        <v>0</v>
      </c>
      <c r="F350">
        <v>10090037</v>
      </c>
      <c r="G350">
        <v>0</v>
      </c>
    </row>
    <row r="351" spans="1:7" x14ac:dyDescent="0.25">
      <c r="A351" s="226">
        <v>10100062</v>
      </c>
      <c r="B351" s="92">
        <v>0</v>
      </c>
      <c r="F351">
        <v>10090040</v>
      </c>
      <c r="G351">
        <v>0</v>
      </c>
    </row>
    <row r="352" spans="1:7" x14ac:dyDescent="0.25">
      <c r="A352" s="226">
        <v>10100065</v>
      </c>
      <c r="B352" s="92">
        <v>0</v>
      </c>
      <c r="F352">
        <v>10090041</v>
      </c>
      <c r="G352">
        <v>0</v>
      </c>
    </row>
    <row r="353" spans="1:7" x14ac:dyDescent="0.25">
      <c r="A353" s="226">
        <v>10100069</v>
      </c>
      <c r="B353" s="92">
        <v>0</v>
      </c>
      <c r="F353">
        <v>10090042</v>
      </c>
      <c r="G353">
        <v>0</v>
      </c>
    </row>
    <row r="354" spans="1:7" x14ac:dyDescent="0.25">
      <c r="A354" s="226">
        <v>10100070</v>
      </c>
      <c r="B354" s="92">
        <v>0</v>
      </c>
      <c r="F354">
        <v>10090043</v>
      </c>
      <c r="G354">
        <v>1000</v>
      </c>
    </row>
    <row r="355" spans="1:7" x14ac:dyDescent="0.25">
      <c r="A355" s="226">
        <v>10110001</v>
      </c>
      <c r="B355" s="92">
        <v>0</v>
      </c>
      <c r="F355">
        <v>10090045</v>
      </c>
      <c r="G355">
        <v>1000</v>
      </c>
    </row>
    <row r="356" spans="1:7" x14ac:dyDescent="0.25">
      <c r="A356" s="226">
        <v>10110002</v>
      </c>
      <c r="B356" s="92">
        <v>0</v>
      </c>
      <c r="F356">
        <v>10090046</v>
      </c>
      <c r="G356">
        <v>0</v>
      </c>
    </row>
    <row r="357" spans="1:7" x14ac:dyDescent="0.25">
      <c r="A357" s="226">
        <v>10110004</v>
      </c>
      <c r="B357" s="92">
        <v>0</v>
      </c>
      <c r="F357">
        <v>10090047</v>
      </c>
      <c r="G357">
        <v>0</v>
      </c>
    </row>
    <row r="358" spans="1:7" x14ac:dyDescent="0.25">
      <c r="A358" s="226">
        <v>10110005</v>
      </c>
      <c r="B358" s="92">
        <v>0</v>
      </c>
      <c r="F358">
        <v>10090049</v>
      </c>
      <c r="G358">
        <v>0</v>
      </c>
    </row>
    <row r="359" spans="1:7" x14ac:dyDescent="0.25">
      <c r="A359" s="226">
        <v>10110007</v>
      </c>
      <c r="B359" s="92">
        <v>0</v>
      </c>
      <c r="F359">
        <v>10090052</v>
      </c>
      <c r="G359">
        <v>0</v>
      </c>
    </row>
    <row r="360" spans="1:7" x14ac:dyDescent="0.25">
      <c r="A360" s="226">
        <v>10110008</v>
      </c>
      <c r="B360" s="92">
        <v>0</v>
      </c>
      <c r="F360">
        <v>10090055</v>
      </c>
      <c r="G360">
        <v>0</v>
      </c>
    </row>
    <row r="361" spans="1:7" x14ac:dyDescent="0.25">
      <c r="A361" s="226">
        <v>10110013</v>
      </c>
      <c r="B361" s="92">
        <v>0</v>
      </c>
      <c r="F361">
        <v>10090056</v>
      </c>
      <c r="G361">
        <v>0</v>
      </c>
    </row>
    <row r="362" spans="1:7" x14ac:dyDescent="0.25">
      <c r="A362" s="226">
        <v>10110014</v>
      </c>
      <c r="B362" s="92">
        <v>0</v>
      </c>
      <c r="F362">
        <v>10090058</v>
      </c>
      <c r="G362">
        <v>0</v>
      </c>
    </row>
    <row r="363" spans="1:7" x14ac:dyDescent="0.25">
      <c r="A363" s="226">
        <v>10110015</v>
      </c>
      <c r="B363" s="92">
        <v>0</v>
      </c>
      <c r="F363">
        <v>10090059</v>
      </c>
      <c r="G363">
        <v>0</v>
      </c>
    </row>
    <row r="364" spans="1:7" x14ac:dyDescent="0.25">
      <c r="A364" s="226">
        <v>10110016</v>
      </c>
      <c r="B364" s="92">
        <v>0</v>
      </c>
      <c r="F364">
        <v>10090060</v>
      </c>
      <c r="G364">
        <v>1000</v>
      </c>
    </row>
    <row r="365" spans="1:7" x14ac:dyDescent="0.25">
      <c r="A365" s="226">
        <v>10110021</v>
      </c>
      <c r="B365" s="92">
        <v>0</v>
      </c>
      <c r="F365">
        <v>10090061</v>
      </c>
      <c r="G365">
        <v>1000</v>
      </c>
    </row>
    <row r="366" spans="1:7" x14ac:dyDescent="0.25">
      <c r="A366" s="226">
        <v>10110032</v>
      </c>
      <c r="B366" s="92">
        <v>2000</v>
      </c>
      <c r="F366">
        <v>10090063</v>
      </c>
      <c r="G366">
        <v>1000</v>
      </c>
    </row>
    <row r="367" spans="1:7" x14ac:dyDescent="0.25">
      <c r="A367" s="226">
        <v>10110042</v>
      </c>
      <c r="B367" s="92">
        <v>0</v>
      </c>
      <c r="F367">
        <v>10090064</v>
      </c>
      <c r="G367">
        <v>0</v>
      </c>
    </row>
    <row r="368" spans="1:7" x14ac:dyDescent="0.25">
      <c r="A368" s="226">
        <v>10110043</v>
      </c>
      <c r="B368" s="92">
        <v>0</v>
      </c>
      <c r="F368">
        <v>10090065</v>
      </c>
      <c r="G368">
        <v>0</v>
      </c>
    </row>
    <row r="369" spans="1:7" x14ac:dyDescent="0.25">
      <c r="A369" s="226">
        <v>10110049</v>
      </c>
      <c r="B369" s="92">
        <v>0</v>
      </c>
      <c r="F369">
        <v>10090066</v>
      </c>
      <c r="G369">
        <v>0</v>
      </c>
    </row>
    <row r="370" spans="1:7" x14ac:dyDescent="0.25">
      <c r="A370" s="226">
        <v>10110050</v>
      </c>
      <c r="B370" s="92">
        <v>0</v>
      </c>
      <c r="F370">
        <v>10090072</v>
      </c>
      <c r="G370">
        <v>0</v>
      </c>
    </row>
    <row r="371" spans="1:7" x14ac:dyDescent="0.25">
      <c r="A371" s="226">
        <v>10110053</v>
      </c>
      <c r="B371" s="92">
        <v>2000</v>
      </c>
      <c r="F371">
        <v>10090074</v>
      </c>
      <c r="G371">
        <v>0</v>
      </c>
    </row>
    <row r="372" spans="1:7" x14ac:dyDescent="0.25">
      <c r="A372" s="226">
        <v>10110055</v>
      </c>
      <c r="B372" s="92">
        <v>0</v>
      </c>
      <c r="F372">
        <v>10090075</v>
      </c>
      <c r="G372">
        <v>0</v>
      </c>
    </row>
    <row r="373" spans="1:7" x14ac:dyDescent="0.25">
      <c r="A373" s="226">
        <v>10110057</v>
      </c>
      <c r="B373" s="92">
        <v>0</v>
      </c>
      <c r="F373">
        <v>10090076</v>
      </c>
      <c r="G373">
        <v>0</v>
      </c>
    </row>
    <row r="374" spans="1:7" x14ac:dyDescent="0.25">
      <c r="A374" s="226">
        <v>10110065</v>
      </c>
      <c r="B374" s="92">
        <v>0</v>
      </c>
      <c r="F374">
        <v>10090077</v>
      </c>
      <c r="G374">
        <v>0</v>
      </c>
    </row>
    <row r="375" spans="1:7" x14ac:dyDescent="0.25">
      <c r="A375" s="226">
        <v>10110066</v>
      </c>
      <c r="B375" s="92">
        <v>0</v>
      </c>
      <c r="F375">
        <v>10090078</v>
      </c>
      <c r="G375">
        <v>0</v>
      </c>
    </row>
    <row r="376" spans="1:7" x14ac:dyDescent="0.25">
      <c r="A376" s="226">
        <v>10110071</v>
      </c>
      <c r="B376" s="92">
        <v>2000</v>
      </c>
      <c r="F376">
        <v>10090079</v>
      </c>
      <c r="G376">
        <v>0</v>
      </c>
    </row>
    <row r="377" spans="1:7" x14ac:dyDescent="0.25">
      <c r="A377" s="226">
        <v>10110073</v>
      </c>
      <c r="B377" s="92">
        <v>2000</v>
      </c>
      <c r="F377">
        <v>10090081</v>
      </c>
      <c r="G377">
        <v>0</v>
      </c>
    </row>
    <row r="378" spans="1:7" x14ac:dyDescent="0.25">
      <c r="A378" s="226">
        <v>10110076</v>
      </c>
      <c r="B378" s="92">
        <v>0</v>
      </c>
      <c r="F378">
        <v>10100001</v>
      </c>
      <c r="G378">
        <v>0</v>
      </c>
    </row>
    <row r="379" spans="1:7" x14ac:dyDescent="0.25">
      <c r="A379" s="226">
        <v>10110078</v>
      </c>
      <c r="B379" s="92">
        <v>0</v>
      </c>
      <c r="F379">
        <v>10100003</v>
      </c>
      <c r="G379">
        <v>0</v>
      </c>
    </row>
    <row r="380" spans="1:7" x14ac:dyDescent="0.25">
      <c r="A380" s="226">
        <v>10110083</v>
      </c>
      <c r="B380" s="92">
        <v>0</v>
      </c>
      <c r="F380">
        <v>10100004</v>
      </c>
      <c r="G380">
        <v>0</v>
      </c>
    </row>
    <row r="381" spans="1:7" x14ac:dyDescent="0.25">
      <c r="A381" s="226">
        <v>10110086</v>
      </c>
      <c r="B381" s="92">
        <v>0</v>
      </c>
      <c r="F381">
        <v>10100009</v>
      </c>
      <c r="G381">
        <v>0</v>
      </c>
    </row>
    <row r="382" spans="1:7" x14ac:dyDescent="0.25">
      <c r="A382" s="226">
        <v>10110093</v>
      </c>
      <c r="B382" s="92">
        <v>0</v>
      </c>
      <c r="F382">
        <v>10100014</v>
      </c>
      <c r="G382">
        <v>1000</v>
      </c>
    </row>
    <row r="383" spans="1:7" x14ac:dyDescent="0.25">
      <c r="A383" s="226">
        <v>10110094</v>
      </c>
      <c r="B383" s="92">
        <v>0</v>
      </c>
      <c r="F383">
        <v>10100015</v>
      </c>
      <c r="G383">
        <v>0</v>
      </c>
    </row>
    <row r="384" spans="1:7" x14ac:dyDescent="0.25">
      <c r="A384" s="226">
        <v>10110095</v>
      </c>
      <c r="B384" s="92">
        <v>0</v>
      </c>
      <c r="F384">
        <v>10100016</v>
      </c>
      <c r="G384">
        <v>0</v>
      </c>
    </row>
    <row r="385" spans="1:7" x14ac:dyDescent="0.25">
      <c r="A385" s="226">
        <v>10110098</v>
      </c>
      <c r="B385" s="92">
        <v>1364</v>
      </c>
      <c r="F385">
        <v>10100021</v>
      </c>
      <c r="G385">
        <v>0</v>
      </c>
    </row>
    <row r="386" spans="1:7" x14ac:dyDescent="0.25">
      <c r="A386" s="226">
        <v>10110100</v>
      </c>
      <c r="B386" s="92">
        <v>0</v>
      </c>
      <c r="F386">
        <v>10100026</v>
      </c>
      <c r="G386">
        <v>0</v>
      </c>
    </row>
    <row r="387" spans="1:7" x14ac:dyDescent="0.25">
      <c r="A387" s="226">
        <v>10110101</v>
      </c>
      <c r="B387" s="92">
        <v>0</v>
      </c>
      <c r="F387">
        <v>10100033</v>
      </c>
      <c r="G387">
        <v>0</v>
      </c>
    </row>
    <row r="388" spans="1:7" x14ac:dyDescent="0.25">
      <c r="A388" s="226">
        <v>10110106</v>
      </c>
      <c r="B388" s="92">
        <v>0</v>
      </c>
      <c r="F388">
        <v>10100035</v>
      </c>
      <c r="G388">
        <v>1000</v>
      </c>
    </row>
    <row r="389" spans="1:7" x14ac:dyDescent="0.25">
      <c r="A389" s="226">
        <v>10110109</v>
      </c>
      <c r="B389" s="92">
        <v>0</v>
      </c>
      <c r="F389">
        <v>10100037</v>
      </c>
      <c r="G389">
        <v>0</v>
      </c>
    </row>
    <row r="390" spans="1:7" x14ac:dyDescent="0.25">
      <c r="A390" s="226">
        <v>10110110</v>
      </c>
      <c r="B390" s="92">
        <v>2000</v>
      </c>
      <c r="F390">
        <v>10100044</v>
      </c>
      <c r="G390">
        <v>0</v>
      </c>
    </row>
    <row r="391" spans="1:7" x14ac:dyDescent="0.25">
      <c r="A391" s="226">
        <v>10110111</v>
      </c>
      <c r="B391" s="92">
        <v>0</v>
      </c>
      <c r="F391">
        <v>10100045</v>
      </c>
      <c r="G391">
        <v>0</v>
      </c>
    </row>
    <row r="392" spans="1:7" x14ac:dyDescent="0.25">
      <c r="A392" s="226">
        <v>10110112</v>
      </c>
      <c r="B392" s="92">
        <v>1500</v>
      </c>
      <c r="F392">
        <v>10100049</v>
      </c>
      <c r="G392">
        <v>0</v>
      </c>
    </row>
    <row r="393" spans="1:7" x14ac:dyDescent="0.25">
      <c r="A393" s="226">
        <v>10110114</v>
      </c>
      <c r="B393" s="92">
        <v>0</v>
      </c>
      <c r="F393">
        <v>10100051</v>
      </c>
      <c r="G393">
        <v>0</v>
      </c>
    </row>
    <row r="394" spans="1:7" x14ac:dyDescent="0.25">
      <c r="A394" s="226">
        <v>10110116</v>
      </c>
      <c r="B394" s="92">
        <v>0</v>
      </c>
      <c r="F394">
        <v>10100053</v>
      </c>
      <c r="G394">
        <v>0</v>
      </c>
    </row>
    <row r="395" spans="1:7" x14ac:dyDescent="0.25">
      <c r="A395" s="226">
        <v>10110118</v>
      </c>
      <c r="B395" s="92">
        <v>0</v>
      </c>
      <c r="F395">
        <v>10100054</v>
      </c>
      <c r="G395">
        <v>0</v>
      </c>
    </row>
    <row r="396" spans="1:7" x14ac:dyDescent="0.25">
      <c r="A396" s="226">
        <v>10110119</v>
      </c>
      <c r="B396" s="92">
        <v>0</v>
      </c>
      <c r="F396">
        <v>10100059</v>
      </c>
      <c r="G396">
        <v>0</v>
      </c>
    </row>
    <row r="397" spans="1:7" x14ac:dyDescent="0.25">
      <c r="A397" s="226">
        <v>10110120</v>
      </c>
      <c r="B397" s="92">
        <v>0</v>
      </c>
      <c r="F397">
        <v>10100060</v>
      </c>
      <c r="G397">
        <v>0</v>
      </c>
    </row>
    <row r="398" spans="1:7" x14ac:dyDescent="0.25">
      <c r="A398" s="226">
        <v>10110121</v>
      </c>
      <c r="B398" s="92">
        <v>0</v>
      </c>
      <c r="F398">
        <v>10100061</v>
      </c>
      <c r="G398">
        <v>0</v>
      </c>
    </row>
    <row r="399" spans="1:7" x14ac:dyDescent="0.25">
      <c r="A399" s="226">
        <v>10110123</v>
      </c>
      <c r="B399" s="92">
        <v>0</v>
      </c>
      <c r="F399">
        <v>10100062</v>
      </c>
      <c r="G399">
        <v>0</v>
      </c>
    </row>
    <row r="400" spans="1:7" x14ac:dyDescent="0.25">
      <c r="A400" s="226">
        <v>10110124</v>
      </c>
      <c r="B400" s="92">
        <v>0</v>
      </c>
      <c r="F400">
        <v>10100065</v>
      </c>
      <c r="G400">
        <v>0</v>
      </c>
    </row>
    <row r="401" spans="1:7" x14ac:dyDescent="0.25">
      <c r="A401" s="226">
        <v>10110128</v>
      </c>
      <c r="B401" s="92">
        <v>0</v>
      </c>
      <c r="F401">
        <v>10100067</v>
      </c>
      <c r="G401">
        <v>0</v>
      </c>
    </row>
    <row r="402" spans="1:7" x14ac:dyDescent="0.25">
      <c r="A402" s="226">
        <v>10110129</v>
      </c>
      <c r="B402" s="92">
        <v>0</v>
      </c>
      <c r="F402">
        <v>10100069</v>
      </c>
      <c r="G402">
        <v>0</v>
      </c>
    </row>
    <row r="403" spans="1:7" x14ac:dyDescent="0.25">
      <c r="A403" s="226">
        <v>10110132</v>
      </c>
      <c r="B403" s="92">
        <v>2000</v>
      </c>
      <c r="F403">
        <v>10100070</v>
      </c>
      <c r="G403">
        <v>0</v>
      </c>
    </row>
    <row r="404" spans="1:7" x14ac:dyDescent="0.25">
      <c r="A404" s="226">
        <v>10110133</v>
      </c>
      <c r="B404" s="92">
        <v>0</v>
      </c>
      <c r="F404">
        <v>10110001</v>
      </c>
      <c r="G404">
        <v>0</v>
      </c>
    </row>
    <row r="405" spans="1:7" x14ac:dyDescent="0.25">
      <c r="A405" s="226">
        <v>10110134</v>
      </c>
      <c r="B405" s="92">
        <v>0</v>
      </c>
      <c r="F405">
        <v>10110002</v>
      </c>
      <c r="G405">
        <v>1000</v>
      </c>
    </row>
    <row r="406" spans="1:7" x14ac:dyDescent="0.25">
      <c r="A406" s="226">
        <v>10110135</v>
      </c>
      <c r="B406" s="92">
        <v>0</v>
      </c>
      <c r="F406">
        <v>10110004</v>
      </c>
      <c r="G406">
        <v>0</v>
      </c>
    </row>
    <row r="407" spans="1:7" x14ac:dyDescent="0.25">
      <c r="A407" s="226">
        <v>10110140</v>
      </c>
      <c r="B407" s="92">
        <v>0</v>
      </c>
      <c r="F407">
        <v>10110005</v>
      </c>
      <c r="G407">
        <v>0</v>
      </c>
    </row>
    <row r="408" spans="1:7" x14ac:dyDescent="0.25">
      <c r="A408" s="226">
        <v>10110141</v>
      </c>
      <c r="B408" s="92">
        <v>0</v>
      </c>
      <c r="F408">
        <v>10110007</v>
      </c>
      <c r="G408">
        <v>0</v>
      </c>
    </row>
    <row r="409" spans="1:7" x14ac:dyDescent="0.25">
      <c r="A409" s="226">
        <v>10110143</v>
      </c>
      <c r="B409" s="92">
        <v>0</v>
      </c>
      <c r="F409">
        <v>10110008</v>
      </c>
      <c r="G409">
        <v>0</v>
      </c>
    </row>
    <row r="410" spans="1:7" x14ac:dyDescent="0.25">
      <c r="A410" s="226">
        <v>10110144</v>
      </c>
      <c r="B410" s="92">
        <v>0</v>
      </c>
      <c r="F410">
        <v>10110013</v>
      </c>
      <c r="G410">
        <v>0</v>
      </c>
    </row>
    <row r="411" spans="1:7" x14ac:dyDescent="0.25">
      <c r="A411" s="226">
        <v>10110146</v>
      </c>
      <c r="B411" s="92">
        <v>0</v>
      </c>
      <c r="F411">
        <v>10110014</v>
      </c>
      <c r="G411">
        <v>0</v>
      </c>
    </row>
    <row r="412" spans="1:7" x14ac:dyDescent="0.25">
      <c r="A412" s="226">
        <v>10110148</v>
      </c>
      <c r="B412" s="92">
        <v>1000</v>
      </c>
      <c r="F412">
        <v>10110015</v>
      </c>
      <c r="G412">
        <v>0</v>
      </c>
    </row>
    <row r="413" spans="1:7" x14ac:dyDescent="0.25">
      <c r="A413" s="226">
        <v>10110149</v>
      </c>
      <c r="B413" s="92">
        <v>0</v>
      </c>
      <c r="F413">
        <v>10110016</v>
      </c>
      <c r="G413">
        <v>0</v>
      </c>
    </row>
    <row r="414" spans="1:7" x14ac:dyDescent="0.25">
      <c r="A414" s="226">
        <v>10110153</v>
      </c>
      <c r="B414" s="92">
        <v>0</v>
      </c>
      <c r="F414">
        <v>10110019</v>
      </c>
      <c r="G414">
        <v>0</v>
      </c>
    </row>
    <row r="415" spans="1:7" x14ac:dyDescent="0.25">
      <c r="A415" s="226">
        <v>10110155</v>
      </c>
      <c r="B415" s="92">
        <v>0</v>
      </c>
      <c r="F415">
        <v>10110021</v>
      </c>
      <c r="G415">
        <v>0</v>
      </c>
    </row>
    <row r="416" spans="1:7" x14ac:dyDescent="0.25">
      <c r="A416" s="226">
        <v>10110158</v>
      </c>
      <c r="B416" s="92">
        <v>0</v>
      </c>
      <c r="F416">
        <v>10110032</v>
      </c>
      <c r="G416">
        <v>0</v>
      </c>
    </row>
    <row r="417" spans="1:7" x14ac:dyDescent="0.25">
      <c r="A417" s="226">
        <v>10110159</v>
      </c>
      <c r="B417" s="92">
        <v>0</v>
      </c>
      <c r="F417">
        <v>10110042</v>
      </c>
      <c r="G417">
        <v>0</v>
      </c>
    </row>
    <row r="418" spans="1:7" x14ac:dyDescent="0.25">
      <c r="A418" s="226">
        <v>10110160</v>
      </c>
      <c r="B418" s="92">
        <v>0</v>
      </c>
      <c r="F418">
        <v>10110043</v>
      </c>
      <c r="G418">
        <v>0</v>
      </c>
    </row>
    <row r="419" spans="1:7" x14ac:dyDescent="0.25">
      <c r="A419" s="226">
        <v>10110161</v>
      </c>
      <c r="B419" s="92">
        <v>0</v>
      </c>
      <c r="F419">
        <v>10110049</v>
      </c>
      <c r="G419">
        <v>0</v>
      </c>
    </row>
    <row r="420" spans="1:7" x14ac:dyDescent="0.25">
      <c r="A420" s="226">
        <v>10110164</v>
      </c>
      <c r="B420" s="92">
        <v>0</v>
      </c>
      <c r="F420">
        <v>10110050</v>
      </c>
      <c r="G420">
        <v>0</v>
      </c>
    </row>
    <row r="421" spans="1:7" x14ac:dyDescent="0.25">
      <c r="A421" s="226">
        <v>10110166</v>
      </c>
      <c r="B421" s="92">
        <v>0</v>
      </c>
      <c r="F421">
        <v>10110053</v>
      </c>
      <c r="G421">
        <v>0</v>
      </c>
    </row>
    <row r="422" spans="1:7" x14ac:dyDescent="0.25">
      <c r="A422" s="226">
        <v>10110168</v>
      </c>
      <c r="B422" s="92">
        <v>0</v>
      </c>
      <c r="F422">
        <v>10110055</v>
      </c>
      <c r="G422">
        <v>0</v>
      </c>
    </row>
    <row r="423" spans="1:7" x14ac:dyDescent="0.25">
      <c r="A423" s="226">
        <v>10110172</v>
      </c>
      <c r="B423" s="92">
        <v>0</v>
      </c>
      <c r="F423">
        <v>10110057</v>
      </c>
      <c r="G423">
        <v>0</v>
      </c>
    </row>
    <row r="424" spans="1:7" x14ac:dyDescent="0.25">
      <c r="A424" s="226">
        <v>10110173</v>
      </c>
      <c r="B424" s="92">
        <v>0</v>
      </c>
      <c r="F424">
        <v>10110065</v>
      </c>
      <c r="G424">
        <v>0</v>
      </c>
    </row>
    <row r="425" spans="1:7" x14ac:dyDescent="0.25">
      <c r="A425" s="226">
        <v>10110176</v>
      </c>
      <c r="B425" s="92">
        <v>0</v>
      </c>
      <c r="F425">
        <v>10110066</v>
      </c>
      <c r="G425">
        <v>0</v>
      </c>
    </row>
    <row r="426" spans="1:7" x14ac:dyDescent="0.25">
      <c r="A426" s="226">
        <v>10110177</v>
      </c>
      <c r="B426" s="92">
        <v>0</v>
      </c>
      <c r="F426">
        <v>10110071</v>
      </c>
      <c r="G426">
        <v>500</v>
      </c>
    </row>
    <row r="427" spans="1:7" x14ac:dyDescent="0.25">
      <c r="A427" s="226">
        <v>10110178</v>
      </c>
      <c r="B427" s="92">
        <v>0</v>
      </c>
      <c r="F427">
        <v>10110073</v>
      </c>
      <c r="G427">
        <v>500</v>
      </c>
    </row>
    <row r="428" spans="1:7" x14ac:dyDescent="0.25">
      <c r="A428" s="226">
        <v>10110179</v>
      </c>
      <c r="B428" s="92">
        <v>0</v>
      </c>
      <c r="F428">
        <v>10110076</v>
      </c>
      <c r="G428">
        <v>0</v>
      </c>
    </row>
    <row r="429" spans="1:7" x14ac:dyDescent="0.25">
      <c r="A429" s="226">
        <v>10110183</v>
      </c>
      <c r="B429" s="92">
        <v>0</v>
      </c>
      <c r="F429">
        <v>10110078</v>
      </c>
      <c r="G429">
        <v>1000</v>
      </c>
    </row>
    <row r="430" spans="1:7" x14ac:dyDescent="0.25">
      <c r="A430" s="226">
        <v>10110184</v>
      </c>
      <c r="B430" s="92">
        <v>0</v>
      </c>
      <c r="F430">
        <v>10110083</v>
      </c>
      <c r="G430">
        <v>0</v>
      </c>
    </row>
    <row r="431" spans="1:7" x14ac:dyDescent="0.25">
      <c r="A431" s="226">
        <v>10110185</v>
      </c>
      <c r="B431" s="92">
        <v>0</v>
      </c>
      <c r="F431">
        <v>10110086</v>
      </c>
      <c r="G431">
        <v>500</v>
      </c>
    </row>
    <row r="432" spans="1:7" x14ac:dyDescent="0.25">
      <c r="A432" s="226">
        <v>10110187</v>
      </c>
      <c r="B432" s="92">
        <v>0</v>
      </c>
      <c r="F432">
        <v>10110091</v>
      </c>
      <c r="G432">
        <v>0</v>
      </c>
    </row>
    <row r="433" spans="1:7" x14ac:dyDescent="0.25">
      <c r="A433" s="226">
        <v>10110188</v>
      </c>
      <c r="B433" s="92">
        <v>0</v>
      </c>
      <c r="F433">
        <v>10110093</v>
      </c>
      <c r="G433">
        <v>0</v>
      </c>
    </row>
    <row r="434" spans="1:7" x14ac:dyDescent="0.25">
      <c r="A434" s="226">
        <v>10120001</v>
      </c>
      <c r="B434" s="92">
        <v>0</v>
      </c>
      <c r="F434">
        <v>10110094</v>
      </c>
      <c r="G434">
        <v>0</v>
      </c>
    </row>
    <row r="435" spans="1:7" x14ac:dyDescent="0.25">
      <c r="A435" s="226">
        <v>10120002</v>
      </c>
      <c r="B435" s="92">
        <v>0</v>
      </c>
      <c r="F435">
        <v>10110095</v>
      </c>
      <c r="G435">
        <v>0</v>
      </c>
    </row>
    <row r="436" spans="1:7" x14ac:dyDescent="0.25">
      <c r="A436" s="226">
        <v>10120005</v>
      </c>
      <c r="B436" s="92">
        <v>0</v>
      </c>
      <c r="F436">
        <v>10110097</v>
      </c>
      <c r="G436">
        <v>1000</v>
      </c>
    </row>
    <row r="437" spans="1:7" x14ac:dyDescent="0.25">
      <c r="A437" s="226">
        <v>10120006</v>
      </c>
      <c r="B437" s="92">
        <v>0</v>
      </c>
      <c r="F437">
        <v>10110098</v>
      </c>
      <c r="G437">
        <v>1000</v>
      </c>
    </row>
    <row r="438" spans="1:7" x14ac:dyDescent="0.25">
      <c r="A438" s="226">
        <v>10120007</v>
      </c>
      <c r="B438" s="92">
        <v>0</v>
      </c>
      <c r="F438">
        <v>10110100</v>
      </c>
      <c r="G438">
        <v>0</v>
      </c>
    </row>
    <row r="439" spans="1:7" x14ac:dyDescent="0.25">
      <c r="A439" s="226">
        <v>10120008</v>
      </c>
      <c r="B439" s="92">
        <v>0</v>
      </c>
      <c r="F439">
        <v>10110101</v>
      </c>
      <c r="G439">
        <v>0</v>
      </c>
    </row>
    <row r="440" spans="1:7" x14ac:dyDescent="0.25">
      <c r="A440" s="226">
        <v>10120010</v>
      </c>
      <c r="B440" s="92">
        <v>0</v>
      </c>
      <c r="F440">
        <v>10110105</v>
      </c>
      <c r="G440">
        <v>0</v>
      </c>
    </row>
    <row r="441" spans="1:7" x14ac:dyDescent="0.25">
      <c r="A441" s="226">
        <v>10120011</v>
      </c>
      <c r="B441" s="92">
        <v>0</v>
      </c>
      <c r="F441">
        <v>10110106</v>
      </c>
      <c r="G441">
        <v>0</v>
      </c>
    </row>
    <row r="442" spans="1:7" x14ac:dyDescent="0.25">
      <c r="A442" s="226">
        <v>10120012</v>
      </c>
      <c r="B442" s="92">
        <v>0</v>
      </c>
      <c r="F442">
        <v>10110109</v>
      </c>
      <c r="G442">
        <v>0</v>
      </c>
    </row>
    <row r="443" spans="1:7" x14ac:dyDescent="0.25">
      <c r="A443" s="226">
        <v>10120013</v>
      </c>
      <c r="B443" s="92">
        <v>0</v>
      </c>
      <c r="F443">
        <v>10110110</v>
      </c>
      <c r="G443">
        <v>1000</v>
      </c>
    </row>
    <row r="444" spans="1:7" x14ac:dyDescent="0.25">
      <c r="A444" s="226">
        <v>10120014</v>
      </c>
      <c r="B444" s="92">
        <v>0</v>
      </c>
      <c r="F444">
        <v>10110111</v>
      </c>
      <c r="G444">
        <v>0</v>
      </c>
    </row>
    <row r="445" spans="1:7" x14ac:dyDescent="0.25">
      <c r="A445" s="226">
        <v>10120015</v>
      </c>
      <c r="B445" s="92">
        <v>0</v>
      </c>
      <c r="F445">
        <v>10110112</v>
      </c>
      <c r="G445">
        <v>0</v>
      </c>
    </row>
    <row r="446" spans="1:7" x14ac:dyDescent="0.25">
      <c r="A446" s="226">
        <v>10120016</v>
      </c>
      <c r="B446" s="92">
        <v>0</v>
      </c>
      <c r="F446">
        <v>10110114</v>
      </c>
      <c r="G446">
        <v>0</v>
      </c>
    </row>
    <row r="447" spans="1:7" x14ac:dyDescent="0.25">
      <c r="A447" s="226">
        <v>10120017</v>
      </c>
      <c r="B447" s="92">
        <v>0</v>
      </c>
      <c r="F447">
        <v>10110116</v>
      </c>
      <c r="G447">
        <v>0</v>
      </c>
    </row>
    <row r="448" spans="1:7" x14ac:dyDescent="0.25">
      <c r="A448" s="226">
        <v>10120018</v>
      </c>
      <c r="B448" s="92">
        <v>0</v>
      </c>
      <c r="F448">
        <v>10110118</v>
      </c>
      <c r="G448">
        <v>0</v>
      </c>
    </row>
    <row r="449" spans="1:7" x14ac:dyDescent="0.25">
      <c r="A449" s="226">
        <v>10120019</v>
      </c>
      <c r="B449" s="92">
        <v>0</v>
      </c>
      <c r="F449">
        <v>10110119</v>
      </c>
      <c r="G449">
        <v>0</v>
      </c>
    </row>
    <row r="450" spans="1:7" x14ac:dyDescent="0.25">
      <c r="A450" s="226">
        <v>10120022</v>
      </c>
      <c r="B450" s="92">
        <v>0</v>
      </c>
      <c r="F450">
        <v>10110120</v>
      </c>
      <c r="G450">
        <v>0</v>
      </c>
    </row>
    <row r="451" spans="1:7" x14ac:dyDescent="0.25">
      <c r="A451" s="226">
        <v>10120023</v>
      </c>
      <c r="B451" s="92">
        <v>0</v>
      </c>
      <c r="F451">
        <v>10110121</v>
      </c>
      <c r="G451">
        <v>1000</v>
      </c>
    </row>
    <row r="452" spans="1:7" x14ac:dyDescent="0.25">
      <c r="A452" s="226">
        <v>10120024</v>
      </c>
      <c r="B452" s="92">
        <v>0</v>
      </c>
      <c r="F452">
        <v>10110123</v>
      </c>
      <c r="G452">
        <v>0</v>
      </c>
    </row>
    <row r="453" spans="1:7" x14ac:dyDescent="0.25">
      <c r="A453" s="226">
        <v>10120025</v>
      </c>
      <c r="B453" s="92">
        <v>0</v>
      </c>
      <c r="F453">
        <v>10110124</v>
      </c>
      <c r="G453">
        <v>0</v>
      </c>
    </row>
    <row r="454" spans="1:7" x14ac:dyDescent="0.25">
      <c r="A454" s="226">
        <v>10120026</v>
      </c>
      <c r="B454" s="92">
        <v>0</v>
      </c>
      <c r="F454">
        <v>10110128</v>
      </c>
      <c r="G454">
        <v>0</v>
      </c>
    </row>
    <row r="455" spans="1:7" x14ac:dyDescent="0.25">
      <c r="A455" s="226">
        <v>10120029</v>
      </c>
      <c r="B455" s="92">
        <v>0</v>
      </c>
      <c r="F455">
        <v>10110129</v>
      </c>
      <c r="G455">
        <v>0</v>
      </c>
    </row>
    <row r="456" spans="1:7" x14ac:dyDescent="0.25">
      <c r="A456" s="226">
        <v>10120031</v>
      </c>
      <c r="B456" s="92">
        <v>0</v>
      </c>
      <c r="F456">
        <v>10110132</v>
      </c>
      <c r="G456">
        <v>0</v>
      </c>
    </row>
    <row r="457" spans="1:7" x14ac:dyDescent="0.25">
      <c r="A457" s="226">
        <v>10120034</v>
      </c>
      <c r="B457" s="92">
        <v>0</v>
      </c>
      <c r="F457">
        <v>10110133</v>
      </c>
      <c r="G457">
        <v>0</v>
      </c>
    </row>
    <row r="458" spans="1:7" x14ac:dyDescent="0.25">
      <c r="A458" s="226">
        <v>10120035</v>
      </c>
      <c r="B458" s="92">
        <v>0</v>
      </c>
      <c r="F458">
        <v>10110134</v>
      </c>
      <c r="G458">
        <v>1000</v>
      </c>
    </row>
    <row r="459" spans="1:7" x14ac:dyDescent="0.25">
      <c r="A459" s="226">
        <v>10120043</v>
      </c>
      <c r="B459" s="92">
        <v>2000</v>
      </c>
      <c r="F459">
        <v>10110135</v>
      </c>
      <c r="G459">
        <v>0</v>
      </c>
    </row>
    <row r="460" spans="1:7" x14ac:dyDescent="0.25">
      <c r="A460" s="226">
        <v>10120046</v>
      </c>
      <c r="B460" s="92">
        <v>0</v>
      </c>
      <c r="F460">
        <v>10110138</v>
      </c>
      <c r="G460">
        <v>0</v>
      </c>
    </row>
    <row r="461" spans="1:7" x14ac:dyDescent="0.25">
      <c r="A461" s="226">
        <v>10120049</v>
      </c>
      <c r="B461" s="92">
        <v>0</v>
      </c>
      <c r="F461">
        <v>10110140</v>
      </c>
      <c r="G461">
        <v>0</v>
      </c>
    </row>
    <row r="462" spans="1:7" x14ac:dyDescent="0.25">
      <c r="A462" s="226">
        <v>10120050</v>
      </c>
      <c r="B462" s="92">
        <v>0</v>
      </c>
      <c r="F462">
        <v>10110141</v>
      </c>
      <c r="G462">
        <v>0</v>
      </c>
    </row>
    <row r="463" spans="1:7" x14ac:dyDescent="0.25">
      <c r="A463" s="226">
        <v>10120051</v>
      </c>
      <c r="B463" s="92">
        <v>0</v>
      </c>
      <c r="F463">
        <v>10110143</v>
      </c>
      <c r="G463">
        <v>0</v>
      </c>
    </row>
    <row r="464" spans="1:7" x14ac:dyDescent="0.25">
      <c r="A464" s="226">
        <v>10120052</v>
      </c>
      <c r="B464" s="92">
        <v>0</v>
      </c>
      <c r="F464">
        <v>10110144</v>
      </c>
      <c r="G464">
        <v>0</v>
      </c>
    </row>
    <row r="465" spans="1:7" x14ac:dyDescent="0.25">
      <c r="A465" s="226">
        <v>10120053</v>
      </c>
      <c r="B465" s="92">
        <v>0</v>
      </c>
      <c r="F465">
        <v>10110145</v>
      </c>
      <c r="G465">
        <v>0</v>
      </c>
    </row>
    <row r="466" spans="1:7" x14ac:dyDescent="0.25">
      <c r="A466" s="226">
        <v>10120060</v>
      </c>
      <c r="B466" s="92">
        <v>0</v>
      </c>
      <c r="F466">
        <v>10110146</v>
      </c>
      <c r="G466">
        <v>0</v>
      </c>
    </row>
    <row r="467" spans="1:7" x14ac:dyDescent="0.25">
      <c r="A467" s="226">
        <v>10120066</v>
      </c>
      <c r="B467" s="92">
        <v>0</v>
      </c>
      <c r="F467">
        <v>10110148</v>
      </c>
      <c r="G467">
        <v>0</v>
      </c>
    </row>
    <row r="468" spans="1:7" x14ac:dyDescent="0.25">
      <c r="A468" s="226">
        <v>10120067</v>
      </c>
      <c r="B468" s="92">
        <v>0</v>
      </c>
      <c r="F468">
        <v>10110149</v>
      </c>
      <c r="G468">
        <v>0</v>
      </c>
    </row>
    <row r="469" spans="1:7" x14ac:dyDescent="0.25">
      <c r="A469" s="226">
        <v>10120071</v>
      </c>
      <c r="B469" s="92">
        <v>0</v>
      </c>
      <c r="F469">
        <v>10110153</v>
      </c>
      <c r="G469">
        <v>0</v>
      </c>
    </row>
    <row r="470" spans="1:7" x14ac:dyDescent="0.25">
      <c r="A470" s="226">
        <v>10120083</v>
      </c>
      <c r="B470" s="92">
        <v>0</v>
      </c>
      <c r="F470">
        <v>10110155</v>
      </c>
      <c r="G470">
        <v>0</v>
      </c>
    </row>
    <row r="471" spans="1:7" x14ac:dyDescent="0.25">
      <c r="A471" s="226">
        <v>10120084</v>
      </c>
      <c r="B471" s="92">
        <v>0</v>
      </c>
      <c r="F471">
        <v>10110158</v>
      </c>
      <c r="G471">
        <v>0</v>
      </c>
    </row>
    <row r="472" spans="1:7" x14ac:dyDescent="0.25">
      <c r="A472" s="226">
        <v>10120086</v>
      </c>
      <c r="B472" s="92">
        <v>0</v>
      </c>
      <c r="F472">
        <v>10110159</v>
      </c>
      <c r="G472">
        <v>0</v>
      </c>
    </row>
    <row r="473" spans="1:7" x14ac:dyDescent="0.25">
      <c r="A473" s="226">
        <v>10120088</v>
      </c>
      <c r="B473" s="92">
        <v>0</v>
      </c>
      <c r="F473">
        <v>10110160</v>
      </c>
      <c r="G473">
        <v>0</v>
      </c>
    </row>
    <row r="474" spans="1:7" x14ac:dyDescent="0.25">
      <c r="A474" s="226">
        <v>10120089</v>
      </c>
      <c r="B474" s="92">
        <v>0</v>
      </c>
      <c r="F474">
        <v>10110161</v>
      </c>
      <c r="G474">
        <v>0</v>
      </c>
    </row>
    <row r="475" spans="1:7" x14ac:dyDescent="0.25">
      <c r="A475" s="226">
        <v>10120091</v>
      </c>
      <c r="B475" s="92">
        <v>0</v>
      </c>
      <c r="F475">
        <v>10110164</v>
      </c>
      <c r="G475">
        <v>1000</v>
      </c>
    </row>
    <row r="476" spans="1:7" x14ac:dyDescent="0.25">
      <c r="A476" s="226">
        <v>10120094</v>
      </c>
      <c r="B476" s="92">
        <v>0</v>
      </c>
      <c r="F476">
        <v>10110166</v>
      </c>
      <c r="G476">
        <v>0</v>
      </c>
    </row>
    <row r="477" spans="1:7" x14ac:dyDescent="0.25">
      <c r="A477" s="226">
        <v>10120095</v>
      </c>
      <c r="B477" s="92">
        <v>2000</v>
      </c>
      <c r="F477">
        <v>10110167</v>
      </c>
      <c r="G477">
        <v>0</v>
      </c>
    </row>
    <row r="478" spans="1:7" x14ac:dyDescent="0.25">
      <c r="A478" s="226">
        <v>10120096</v>
      </c>
      <c r="B478" s="92">
        <v>0</v>
      </c>
      <c r="F478">
        <v>10110168</v>
      </c>
      <c r="G478">
        <v>0</v>
      </c>
    </row>
    <row r="479" spans="1:7" x14ac:dyDescent="0.25">
      <c r="A479" s="226">
        <v>10120099</v>
      </c>
      <c r="B479" s="92">
        <v>0</v>
      </c>
      <c r="F479">
        <v>10110171</v>
      </c>
      <c r="G479">
        <v>0</v>
      </c>
    </row>
    <row r="480" spans="1:7" x14ac:dyDescent="0.25">
      <c r="A480" s="226">
        <v>10120103</v>
      </c>
      <c r="B480" s="92">
        <v>0</v>
      </c>
      <c r="F480">
        <v>10110172</v>
      </c>
      <c r="G480">
        <v>0</v>
      </c>
    </row>
    <row r="481" spans="1:7" x14ac:dyDescent="0.25">
      <c r="A481" s="226">
        <v>10120104</v>
      </c>
      <c r="B481" s="92">
        <v>0</v>
      </c>
      <c r="F481">
        <v>10110173</v>
      </c>
      <c r="G481">
        <v>0</v>
      </c>
    </row>
    <row r="482" spans="1:7" x14ac:dyDescent="0.25">
      <c r="A482" s="226">
        <v>10120106</v>
      </c>
      <c r="B482" s="92">
        <v>0</v>
      </c>
      <c r="F482">
        <v>10110176</v>
      </c>
      <c r="G482">
        <v>0</v>
      </c>
    </row>
    <row r="483" spans="1:7" x14ac:dyDescent="0.25">
      <c r="A483" s="226">
        <v>10120107</v>
      </c>
      <c r="B483" s="92">
        <v>0</v>
      </c>
      <c r="F483">
        <v>10110177</v>
      </c>
      <c r="G483">
        <v>0</v>
      </c>
    </row>
    <row r="484" spans="1:7" x14ac:dyDescent="0.25">
      <c r="A484" s="226">
        <v>10120108</v>
      </c>
      <c r="B484" s="92">
        <v>0</v>
      </c>
      <c r="F484">
        <v>10110178</v>
      </c>
      <c r="G484">
        <v>0</v>
      </c>
    </row>
    <row r="485" spans="1:7" x14ac:dyDescent="0.25">
      <c r="A485" s="226">
        <v>10120109</v>
      </c>
      <c r="B485" s="92">
        <v>0</v>
      </c>
      <c r="F485">
        <v>10110179</v>
      </c>
      <c r="G485">
        <v>0</v>
      </c>
    </row>
    <row r="486" spans="1:7" x14ac:dyDescent="0.25">
      <c r="A486" s="226">
        <v>10120111</v>
      </c>
      <c r="B486" s="92">
        <v>0</v>
      </c>
      <c r="F486">
        <v>10110181</v>
      </c>
      <c r="G486">
        <v>0</v>
      </c>
    </row>
    <row r="487" spans="1:7" x14ac:dyDescent="0.25">
      <c r="A487" s="226">
        <v>10120113</v>
      </c>
      <c r="B487" s="92">
        <v>1948</v>
      </c>
      <c r="F487">
        <v>10110183</v>
      </c>
      <c r="G487">
        <v>0</v>
      </c>
    </row>
    <row r="488" spans="1:7" x14ac:dyDescent="0.25">
      <c r="A488" s="226">
        <v>10120114</v>
      </c>
      <c r="B488" s="92">
        <v>2000</v>
      </c>
      <c r="F488">
        <v>10110184</v>
      </c>
      <c r="G488">
        <v>0</v>
      </c>
    </row>
    <row r="489" spans="1:7" x14ac:dyDescent="0.25">
      <c r="A489" s="226">
        <v>10120115</v>
      </c>
      <c r="B489" s="92">
        <v>0</v>
      </c>
      <c r="F489">
        <v>10110185</v>
      </c>
      <c r="G489">
        <v>0</v>
      </c>
    </row>
    <row r="490" spans="1:7" x14ac:dyDescent="0.25">
      <c r="A490" s="226">
        <v>10120116</v>
      </c>
      <c r="B490" s="92">
        <v>0</v>
      </c>
      <c r="F490">
        <v>10110186</v>
      </c>
      <c r="G490">
        <v>0</v>
      </c>
    </row>
    <row r="491" spans="1:7" x14ac:dyDescent="0.25">
      <c r="A491" s="226">
        <v>10120119</v>
      </c>
      <c r="B491" s="92">
        <v>0</v>
      </c>
      <c r="F491">
        <v>10110187</v>
      </c>
      <c r="G491">
        <v>0</v>
      </c>
    </row>
    <row r="492" spans="1:7" x14ac:dyDescent="0.25">
      <c r="A492" s="226">
        <v>10120120</v>
      </c>
      <c r="B492" s="92">
        <v>0</v>
      </c>
      <c r="F492">
        <v>10110188</v>
      </c>
      <c r="G492">
        <v>0</v>
      </c>
    </row>
    <row r="493" spans="1:7" x14ac:dyDescent="0.25">
      <c r="A493" s="226">
        <v>10120122</v>
      </c>
      <c r="B493" s="92">
        <v>0</v>
      </c>
      <c r="F493">
        <v>10120001</v>
      </c>
      <c r="G493">
        <v>0</v>
      </c>
    </row>
    <row r="494" spans="1:7" x14ac:dyDescent="0.25">
      <c r="A494" s="226">
        <v>10120123</v>
      </c>
      <c r="B494" s="92">
        <v>0</v>
      </c>
      <c r="F494">
        <v>10120002</v>
      </c>
      <c r="G494">
        <v>0</v>
      </c>
    </row>
    <row r="495" spans="1:7" x14ac:dyDescent="0.25">
      <c r="A495" s="226">
        <v>10130001</v>
      </c>
      <c r="B495" s="92">
        <v>0</v>
      </c>
      <c r="F495">
        <v>10120004</v>
      </c>
      <c r="G495">
        <v>0</v>
      </c>
    </row>
    <row r="496" spans="1:7" x14ac:dyDescent="0.25">
      <c r="A496" s="226">
        <v>10130002</v>
      </c>
      <c r="B496" s="92">
        <v>0</v>
      </c>
      <c r="F496">
        <v>10120005</v>
      </c>
      <c r="G496">
        <v>0</v>
      </c>
    </row>
    <row r="497" spans="1:7" x14ac:dyDescent="0.25">
      <c r="A497" s="226">
        <v>10130003</v>
      </c>
      <c r="B497" s="92">
        <v>0</v>
      </c>
      <c r="F497">
        <v>10120006</v>
      </c>
      <c r="G497">
        <v>0</v>
      </c>
    </row>
    <row r="498" spans="1:7" x14ac:dyDescent="0.25">
      <c r="A498" s="226">
        <v>10130005</v>
      </c>
      <c r="B498" s="92">
        <v>0</v>
      </c>
      <c r="F498">
        <v>10120007</v>
      </c>
      <c r="G498">
        <v>0</v>
      </c>
    </row>
    <row r="499" spans="1:7" x14ac:dyDescent="0.25">
      <c r="A499" s="226">
        <v>10130006</v>
      </c>
      <c r="B499" s="92">
        <v>0</v>
      </c>
      <c r="F499">
        <v>10120008</v>
      </c>
      <c r="G499">
        <v>0</v>
      </c>
    </row>
    <row r="500" spans="1:7" x14ac:dyDescent="0.25">
      <c r="A500" s="226">
        <v>10130008</v>
      </c>
      <c r="B500" s="92">
        <v>0</v>
      </c>
      <c r="F500">
        <v>10120010</v>
      </c>
      <c r="G500">
        <v>0</v>
      </c>
    </row>
    <row r="501" spans="1:7" x14ac:dyDescent="0.25">
      <c r="A501" s="226">
        <v>10130012</v>
      </c>
      <c r="B501" s="92">
        <v>0</v>
      </c>
      <c r="F501">
        <v>10120011</v>
      </c>
      <c r="G501">
        <v>0</v>
      </c>
    </row>
    <row r="502" spans="1:7" x14ac:dyDescent="0.25">
      <c r="A502" s="226">
        <v>10130015</v>
      </c>
      <c r="B502" s="92">
        <v>0</v>
      </c>
      <c r="F502">
        <v>10120012</v>
      </c>
      <c r="G502">
        <v>0</v>
      </c>
    </row>
    <row r="503" spans="1:7" x14ac:dyDescent="0.25">
      <c r="A503" s="226">
        <v>10130016</v>
      </c>
      <c r="B503" s="92">
        <v>0</v>
      </c>
      <c r="F503">
        <v>10120013</v>
      </c>
      <c r="G503">
        <v>0</v>
      </c>
    </row>
    <row r="504" spans="1:7" x14ac:dyDescent="0.25">
      <c r="A504" s="226">
        <v>10130018</v>
      </c>
      <c r="B504" s="92">
        <v>0</v>
      </c>
      <c r="F504">
        <v>10120014</v>
      </c>
      <c r="G504">
        <v>0</v>
      </c>
    </row>
    <row r="505" spans="1:7" x14ac:dyDescent="0.25">
      <c r="A505" s="226">
        <v>10130020</v>
      </c>
      <c r="B505" s="92">
        <v>0</v>
      </c>
      <c r="F505">
        <v>10120015</v>
      </c>
      <c r="G505">
        <v>0</v>
      </c>
    </row>
    <row r="506" spans="1:7" x14ac:dyDescent="0.25">
      <c r="A506" s="226">
        <v>10130025</v>
      </c>
      <c r="B506" s="92">
        <v>0</v>
      </c>
      <c r="F506">
        <v>10120016</v>
      </c>
      <c r="G506">
        <v>1000</v>
      </c>
    </row>
    <row r="507" spans="1:7" x14ac:dyDescent="0.25">
      <c r="A507" s="226">
        <v>10130026</v>
      </c>
      <c r="B507" s="92">
        <v>2000</v>
      </c>
      <c r="F507">
        <v>10120017</v>
      </c>
      <c r="G507">
        <v>0</v>
      </c>
    </row>
    <row r="508" spans="1:7" x14ac:dyDescent="0.25">
      <c r="A508" s="226">
        <v>10130027</v>
      </c>
      <c r="B508" s="92">
        <v>0</v>
      </c>
      <c r="F508">
        <v>10120018</v>
      </c>
      <c r="G508">
        <v>0</v>
      </c>
    </row>
    <row r="509" spans="1:7" x14ac:dyDescent="0.25">
      <c r="A509" s="226">
        <v>10130030</v>
      </c>
      <c r="B509" s="92">
        <v>0</v>
      </c>
      <c r="F509">
        <v>10120019</v>
      </c>
      <c r="G509">
        <v>0</v>
      </c>
    </row>
    <row r="510" spans="1:7" x14ac:dyDescent="0.25">
      <c r="A510" s="226">
        <v>10130031</v>
      </c>
      <c r="B510" s="92">
        <v>0</v>
      </c>
      <c r="F510">
        <v>10120022</v>
      </c>
      <c r="G510">
        <v>0</v>
      </c>
    </row>
    <row r="511" spans="1:7" x14ac:dyDescent="0.25">
      <c r="A511" s="226">
        <v>10130032</v>
      </c>
      <c r="B511" s="92">
        <v>1500</v>
      </c>
      <c r="F511">
        <v>10120023</v>
      </c>
      <c r="G511">
        <v>0</v>
      </c>
    </row>
    <row r="512" spans="1:7" x14ac:dyDescent="0.25">
      <c r="A512" s="226">
        <v>10130040</v>
      </c>
      <c r="B512" s="92">
        <v>0</v>
      </c>
      <c r="F512">
        <v>10120024</v>
      </c>
      <c r="G512">
        <v>0</v>
      </c>
    </row>
    <row r="513" spans="1:7" x14ac:dyDescent="0.25">
      <c r="A513" s="226">
        <v>10130041</v>
      </c>
      <c r="B513" s="92">
        <v>0</v>
      </c>
      <c r="F513">
        <v>10120025</v>
      </c>
      <c r="G513">
        <v>0</v>
      </c>
    </row>
    <row r="514" spans="1:7" x14ac:dyDescent="0.25">
      <c r="A514" s="226">
        <v>10130042</v>
      </c>
      <c r="B514" s="92">
        <v>0</v>
      </c>
      <c r="F514">
        <v>10120026</v>
      </c>
      <c r="G514">
        <v>0</v>
      </c>
    </row>
    <row r="515" spans="1:7" x14ac:dyDescent="0.25">
      <c r="A515" s="226">
        <v>10130044</v>
      </c>
      <c r="B515" s="92">
        <v>0</v>
      </c>
      <c r="F515">
        <v>10120028</v>
      </c>
      <c r="G515">
        <v>0</v>
      </c>
    </row>
    <row r="516" spans="1:7" x14ac:dyDescent="0.25">
      <c r="A516" s="226">
        <v>10130046</v>
      </c>
      <c r="B516" s="92">
        <v>0</v>
      </c>
      <c r="F516">
        <v>10120029</v>
      </c>
      <c r="G516">
        <v>0</v>
      </c>
    </row>
    <row r="517" spans="1:7" x14ac:dyDescent="0.25">
      <c r="A517" s="226">
        <v>10130047</v>
      </c>
      <c r="B517" s="92">
        <v>0</v>
      </c>
      <c r="F517">
        <v>10120030</v>
      </c>
      <c r="G517">
        <v>825</v>
      </c>
    </row>
    <row r="518" spans="1:7" x14ac:dyDescent="0.25">
      <c r="A518" s="226">
        <v>10130052</v>
      </c>
      <c r="B518" s="92">
        <v>0</v>
      </c>
      <c r="F518">
        <v>10120031</v>
      </c>
      <c r="G518">
        <v>0</v>
      </c>
    </row>
    <row r="519" spans="1:7" x14ac:dyDescent="0.25">
      <c r="A519" s="226">
        <v>10130054</v>
      </c>
      <c r="B519" s="92">
        <v>0</v>
      </c>
      <c r="F519">
        <v>10120034</v>
      </c>
      <c r="G519">
        <v>1000</v>
      </c>
    </row>
    <row r="520" spans="1:7" x14ac:dyDescent="0.25">
      <c r="A520" s="226">
        <v>10130058</v>
      </c>
      <c r="B520" s="92">
        <v>0</v>
      </c>
      <c r="F520">
        <v>10120035</v>
      </c>
      <c r="G520">
        <v>0</v>
      </c>
    </row>
    <row r="521" spans="1:7" x14ac:dyDescent="0.25">
      <c r="A521" s="226">
        <v>10130065</v>
      </c>
      <c r="B521" s="92">
        <v>0</v>
      </c>
      <c r="F521">
        <v>10120043</v>
      </c>
      <c r="G521">
        <v>1000</v>
      </c>
    </row>
    <row r="522" spans="1:7" x14ac:dyDescent="0.25">
      <c r="A522" s="226">
        <v>10130073</v>
      </c>
      <c r="B522" s="92">
        <v>500</v>
      </c>
      <c r="F522">
        <v>10120046</v>
      </c>
      <c r="G522">
        <v>0</v>
      </c>
    </row>
    <row r="523" spans="1:7" x14ac:dyDescent="0.25">
      <c r="A523" s="226">
        <v>10130074</v>
      </c>
      <c r="B523" s="92">
        <v>0</v>
      </c>
      <c r="F523">
        <v>10120047</v>
      </c>
      <c r="G523">
        <v>0</v>
      </c>
    </row>
    <row r="524" spans="1:7" x14ac:dyDescent="0.25">
      <c r="A524" s="226">
        <v>10130077</v>
      </c>
      <c r="B524" s="92">
        <v>2000</v>
      </c>
      <c r="F524">
        <v>10120049</v>
      </c>
      <c r="G524">
        <v>0</v>
      </c>
    </row>
    <row r="525" spans="1:7" x14ac:dyDescent="0.25">
      <c r="A525" s="226">
        <v>10130080</v>
      </c>
      <c r="B525" s="92">
        <v>0</v>
      </c>
      <c r="F525">
        <v>10120050</v>
      </c>
      <c r="G525">
        <v>0</v>
      </c>
    </row>
    <row r="526" spans="1:7" x14ac:dyDescent="0.25">
      <c r="A526" s="226">
        <v>10130081</v>
      </c>
      <c r="B526" s="92">
        <v>0</v>
      </c>
      <c r="F526">
        <v>10120051</v>
      </c>
      <c r="G526">
        <v>0</v>
      </c>
    </row>
    <row r="527" spans="1:7" x14ac:dyDescent="0.25">
      <c r="A527" s="226">
        <v>10130083</v>
      </c>
      <c r="B527" s="92">
        <v>0</v>
      </c>
      <c r="F527">
        <v>10120052</v>
      </c>
      <c r="G527">
        <v>0</v>
      </c>
    </row>
    <row r="528" spans="1:7" x14ac:dyDescent="0.25">
      <c r="A528" s="226">
        <v>10130088</v>
      </c>
      <c r="B528" s="92">
        <v>0</v>
      </c>
      <c r="F528">
        <v>10120053</v>
      </c>
      <c r="G528">
        <v>0</v>
      </c>
    </row>
    <row r="529" spans="1:7" x14ac:dyDescent="0.25">
      <c r="A529" s="226">
        <v>10130093</v>
      </c>
      <c r="B529" s="92">
        <v>0</v>
      </c>
      <c r="F529">
        <v>10120056</v>
      </c>
      <c r="G529">
        <v>0</v>
      </c>
    </row>
    <row r="530" spans="1:7" x14ac:dyDescent="0.25">
      <c r="A530" s="226">
        <v>10130097</v>
      </c>
      <c r="B530" s="92">
        <v>2000</v>
      </c>
      <c r="F530">
        <v>10120060</v>
      </c>
      <c r="G530">
        <v>0</v>
      </c>
    </row>
    <row r="531" spans="1:7" x14ac:dyDescent="0.25">
      <c r="A531" s="226">
        <v>10130098</v>
      </c>
      <c r="B531" s="92">
        <v>0</v>
      </c>
      <c r="F531">
        <v>10120066</v>
      </c>
      <c r="G531">
        <v>0</v>
      </c>
    </row>
    <row r="532" spans="1:7" x14ac:dyDescent="0.25">
      <c r="A532" s="226">
        <v>10130100</v>
      </c>
      <c r="B532" s="92">
        <v>2000</v>
      </c>
      <c r="F532">
        <v>10120067</v>
      </c>
      <c r="G532">
        <v>0</v>
      </c>
    </row>
    <row r="533" spans="1:7" x14ac:dyDescent="0.25">
      <c r="A533" s="226">
        <v>10130101</v>
      </c>
      <c r="B533" s="92">
        <v>0</v>
      </c>
      <c r="F533">
        <v>10120070</v>
      </c>
      <c r="G533">
        <v>0</v>
      </c>
    </row>
    <row r="534" spans="1:7" x14ac:dyDescent="0.25">
      <c r="A534" s="226">
        <v>10130102</v>
      </c>
      <c r="B534" s="92">
        <v>0</v>
      </c>
      <c r="F534">
        <v>10120071</v>
      </c>
      <c r="G534">
        <v>0</v>
      </c>
    </row>
    <row r="535" spans="1:7" x14ac:dyDescent="0.25">
      <c r="A535" s="226">
        <v>10130103</v>
      </c>
      <c r="B535" s="92">
        <v>0</v>
      </c>
      <c r="F535">
        <v>10120075</v>
      </c>
      <c r="G535">
        <v>0</v>
      </c>
    </row>
    <row r="536" spans="1:7" x14ac:dyDescent="0.25">
      <c r="A536" s="226">
        <v>10130107</v>
      </c>
      <c r="B536" s="92">
        <v>0</v>
      </c>
      <c r="F536">
        <v>10120080</v>
      </c>
      <c r="G536">
        <v>1000</v>
      </c>
    </row>
    <row r="537" spans="1:7" x14ac:dyDescent="0.25">
      <c r="A537" s="226">
        <v>10130111</v>
      </c>
      <c r="B537" s="92">
        <v>0</v>
      </c>
      <c r="F537">
        <v>10120083</v>
      </c>
      <c r="G537">
        <v>0</v>
      </c>
    </row>
    <row r="538" spans="1:7" x14ac:dyDescent="0.25">
      <c r="A538" s="226">
        <v>10130113</v>
      </c>
      <c r="B538" s="92">
        <v>0</v>
      </c>
      <c r="F538">
        <v>10120084</v>
      </c>
      <c r="G538">
        <v>0</v>
      </c>
    </row>
    <row r="539" spans="1:7" x14ac:dyDescent="0.25">
      <c r="A539" s="226">
        <v>10130114</v>
      </c>
      <c r="B539" s="92">
        <v>0</v>
      </c>
      <c r="F539">
        <v>10120086</v>
      </c>
      <c r="G539">
        <v>0</v>
      </c>
    </row>
    <row r="540" spans="1:7" x14ac:dyDescent="0.25">
      <c r="A540" s="226">
        <v>10130115</v>
      </c>
      <c r="B540" s="92">
        <v>0</v>
      </c>
      <c r="F540">
        <v>10120087</v>
      </c>
      <c r="G540">
        <v>0</v>
      </c>
    </row>
    <row r="541" spans="1:7" x14ac:dyDescent="0.25">
      <c r="A541" s="226">
        <v>10130117</v>
      </c>
      <c r="B541" s="92">
        <v>0</v>
      </c>
      <c r="F541">
        <v>10120088</v>
      </c>
      <c r="G541">
        <v>0</v>
      </c>
    </row>
    <row r="542" spans="1:7" x14ac:dyDescent="0.25">
      <c r="A542" s="226">
        <v>10130118</v>
      </c>
      <c r="B542" s="92">
        <v>0</v>
      </c>
      <c r="F542">
        <v>10120089</v>
      </c>
      <c r="G542">
        <v>0</v>
      </c>
    </row>
    <row r="543" spans="1:7" x14ac:dyDescent="0.25">
      <c r="A543" s="226">
        <v>10130119</v>
      </c>
      <c r="B543" s="92">
        <v>0</v>
      </c>
      <c r="F543">
        <v>10120091</v>
      </c>
      <c r="G543">
        <v>0</v>
      </c>
    </row>
    <row r="544" spans="1:7" x14ac:dyDescent="0.25">
      <c r="A544" s="226">
        <v>10140001</v>
      </c>
      <c r="B544" s="92">
        <v>0</v>
      </c>
      <c r="F544">
        <v>10120092</v>
      </c>
      <c r="G544">
        <v>0</v>
      </c>
    </row>
    <row r="545" spans="1:7" x14ac:dyDescent="0.25">
      <c r="A545" s="226">
        <v>10140002</v>
      </c>
      <c r="B545" s="92">
        <v>0</v>
      </c>
      <c r="F545">
        <v>10120094</v>
      </c>
      <c r="G545">
        <v>0</v>
      </c>
    </row>
    <row r="546" spans="1:7" x14ac:dyDescent="0.25">
      <c r="A546" s="226">
        <v>10140003</v>
      </c>
      <c r="B546" s="92">
        <v>0</v>
      </c>
      <c r="F546">
        <v>10120095</v>
      </c>
      <c r="G546">
        <v>1000</v>
      </c>
    </row>
    <row r="547" spans="1:7" x14ac:dyDescent="0.25">
      <c r="A547" s="226">
        <v>10140007</v>
      </c>
      <c r="B547" s="92">
        <v>0</v>
      </c>
      <c r="F547">
        <v>10120096</v>
      </c>
      <c r="G547">
        <v>0</v>
      </c>
    </row>
    <row r="548" spans="1:7" x14ac:dyDescent="0.25">
      <c r="A548" s="226">
        <v>10140008</v>
      </c>
      <c r="B548" s="92">
        <v>0</v>
      </c>
      <c r="F548">
        <v>10120099</v>
      </c>
      <c r="G548">
        <v>0</v>
      </c>
    </row>
    <row r="549" spans="1:7" x14ac:dyDescent="0.25">
      <c r="A549" s="226">
        <v>10140009</v>
      </c>
      <c r="B549" s="92">
        <v>0</v>
      </c>
      <c r="F549">
        <v>10120103</v>
      </c>
      <c r="G549">
        <v>0</v>
      </c>
    </row>
    <row r="550" spans="1:7" x14ac:dyDescent="0.25">
      <c r="A550" s="226">
        <v>10140012</v>
      </c>
      <c r="B550" s="92">
        <v>0</v>
      </c>
      <c r="F550">
        <v>10120104</v>
      </c>
      <c r="G550">
        <v>0</v>
      </c>
    </row>
    <row r="551" spans="1:7" x14ac:dyDescent="0.25">
      <c r="A551" s="226">
        <v>10140013</v>
      </c>
      <c r="B551" s="92">
        <v>0</v>
      </c>
      <c r="F551">
        <v>10120105</v>
      </c>
      <c r="G551">
        <v>0</v>
      </c>
    </row>
    <row r="552" spans="1:7" x14ac:dyDescent="0.25">
      <c r="A552" s="226">
        <v>10140018</v>
      </c>
      <c r="B552" s="92">
        <v>0</v>
      </c>
      <c r="F552">
        <v>10120106</v>
      </c>
      <c r="G552">
        <v>0</v>
      </c>
    </row>
    <row r="553" spans="1:7" x14ac:dyDescent="0.25">
      <c r="A553" s="226">
        <v>10140020</v>
      </c>
      <c r="B553" s="92">
        <v>1500</v>
      </c>
      <c r="F553">
        <v>10120107</v>
      </c>
      <c r="G553">
        <v>0</v>
      </c>
    </row>
    <row r="554" spans="1:7" x14ac:dyDescent="0.25">
      <c r="A554" s="226">
        <v>10140022</v>
      </c>
      <c r="B554" s="92">
        <v>0</v>
      </c>
      <c r="F554">
        <v>10120108</v>
      </c>
      <c r="G554">
        <v>0</v>
      </c>
    </row>
    <row r="555" spans="1:7" x14ac:dyDescent="0.25">
      <c r="A555" s="226">
        <v>10140032</v>
      </c>
      <c r="B555" s="92">
        <v>2000</v>
      </c>
      <c r="F555">
        <v>10120109</v>
      </c>
      <c r="G555">
        <v>0</v>
      </c>
    </row>
    <row r="556" spans="1:7" x14ac:dyDescent="0.25">
      <c r="A556" s="226">
        <v>10140033</v>
      </c>
      <c r="B556" s="92">
        <v>0</v>
      </c>
      <c r="F556">
        <v>10120110</v>
      </c>
      <c r="G556">
        <v>0</v>
      </c>
    </row>
    <row r="557" spans="1:7" x14ac:dyDescent="0.25">
      <c r="A557" s="226">
        <v>10140034</v>
      </c>
      <c r="B557" s="92">
        <v>0</v>
      </c>
      <c r="F557">
        <v>10120111</v>
      </c>
      <c r="G557">
        <v>0</v>
      </c>
    </row>
    <row r="558" spans="1:7" x14ac:dyDescent="0.25">
      <c r="A558" s="226">
        <v>10140039</v>
      </c>
      <c r="B558" s="92">
        <v>0</v>
      </c>
      <c r="F558">
        <v>10120113</v>
      </c>
      <c r="G558">
        <v>0</v>
      </c>
    </row>
    <row r="559" spans="1:7" x14ac:dyDescent="0.25">
      <c r="A559" s="226">
        <v>10140041</v>
      </c>
      <c r="B559" s="92">
        <v>2000</v>
      </c>
      <c r="F559">
        <v>10120114</v>
      </c>
      <c r="G559">
        <v>0</v>
      </c>
    </row>
    <row r="560" spans="1:7" x14ac:dyDescent="0.25">
      <c r="A560" s="226">
        <v>10140043</v>
      </c>
      <c r="B560" s="92">
        <v>2000</v>
      </c>
      <c r="F560">
        <v>10120115</v>
      </c>
      <c r="G560">
        <v>0</v>
      </c>
    </row>
    <row r="561" spans="1:7" x14ac:dyDescent="0.25">
      <c r="A561" s="226">
        <v>10140045</v>
      </c>
      <c r="B561" s="92">
        <v>0</v>
      </c>
      <c r="F561">
        <v>10120116</v>
      </c>
      <c r="G561">
        <v>0</v>
      </c>
    </row>
    <row r="562" spans="1:7" x14ac:dyDescent="0.25">
      <c r="A562" s="226">
        <v>10140047</v>
      </c>
      <c r="B562" s="92">
        <v>0</v>
      </c>
      <c r="F562">
        <v>10120117</v>
      </c>
      <c r="G562">
        <v>0</v>
      </c>
    </row>
    <row r="563" spans="1:7" x14ac:dyDescent="0.25">
      <c r="A563" s="226">
        <v>10140048</v>
      </c>
      <c r="B563" s="92">
        <v>0</v>
      </c>
      <c r="F563">
        <v>10120118</v>
      </c>
      <c r="G563">
        <v>0</v>
      </c>
    </row>
    <row r="564" spans="1:7" x14ac:dyDescent="0.25">
      <c r="A564" s="226">
        <v>10140054</v>
      </c>
      <c r="B564" s="92">
        <v>0</v>
      </c>
      <c r="F564">
        <v>10120119</v>
      </c>
      <c r="G564">
        <v>0</v>
      </c>
    </row>
    <row r="565" spans="1:7" x14ac:dyDescent="0.25">
      <c r="A565" s="226">
        <v>10140055</v>
      </c>
      <c r="B565" s="92">
        <v>0</v>
      </c>
      <c r="F565">
        <v>10120120</v>
      </c>
      <c r="G565">
        <v>0</v>
      </c>
    </row>
    <row r="566" spans="1:7" x14ac:dyDescent="0.25">
      <c r="A566" s="226">
        <v>10140066</v>
      </c>
      <c r="B566" s="92">
        <v>2000</v>
      </c>
      <c r="F566">
        <v>10120122</v>
      </c>
      <c r="G566">
        <v>0</v>
      </c>
    </row>
    <row r="567" spans="1:7" x14ac:dyDescent="0.25">
      <c r="A567" s="226">
        <v>10140068</v>
      </c>
      <c r="B567" s="92">
        <v>0</v>
      </c>
      <c r="F567">
        <v>10120123</v>
      </c>
      <c r="G567">
        <v>0</v>
      </c>
    </row>
    <row r="568" spans="1:7" x14ac:dyDescent="0.25">
      <c r="A568" s="226">
        <v>10140069</v>
      </c>
      <c r="B568" s="92">
        <v>0</v>
      </c>
      <c r="F568">
        <v>10130001</v>
      </c>
      <c r="G568">
        <v>0</v>
      </c>
    </row>
    <row r="569" spans="1:7" x14ac:dyDescent="0.25">
      <c r="A569" s="226">
        <v>10140071</v>
      </c>
      <c r="B569" s="92">
        <v>0</v>
      </c>
      <c r="F569">
        <v>10130002</v>
      </c>
      <c r="G569">
        <v>0</v>
      </c>
    </row>
    <row r="570" spans="1:7" x14ac:dyDescent="0.25">
      <c r="A570" s="226">
        <v>10140083</v>
      </c>
      <c r="B570" s="92">
        <v>0</v>
      </c>
      <c r="F570">
        <v>10130003</v>
      </c>
      <c r="G570">
        <v>0</v>
      </c>
    </row>
    <row r="571" spans="1:7" x14ac:dyDescent="0.25">
      <c r="A571" s="226">
        <v>10140087</v>
      </c>
      <c r="B571" s="92">
        <v>0</v>
      </c>
      <c r="F571">
        <v>10130005</v>
      </c>
      <c r="G571">
        <v>0</v>
      </c>
    </row>
    <row r="572" spans="1:7" x14ac:dyDescent="0.25">
      <c r="A572" s="226">
        <v>10140095</v>
      </c>
      <c r="B572" s="92">
        <v>1226</v>
      </c>
      <c r="F572">
        <v>10130006</v>
      </c>
      <c r="G572">
        <v>0</v>
      </c>
    </row>
    <row r="573" spans="1:7" x14ac:dyDescent="0.25">
      <c r="A573" s="226">
        <v>10140098</v>
      </c>
      <c r="B573" s="92">
        <v>0</v>
      </c>
      <c r="F573">
        <v>10130008</v>
      </c>
      <c r="G573">
        <v>0</v>
      </c>
    </row>
    <row r="574" spans="1:7" x14ac:dyDescent="0.25">
      <c r="A574" s="226">
        <v>10140099</v>
      </c>
      <c r="B574" s="92">
        <v>0</v>
      </c>
      <c r="F574">
        <v>10130012</v>
      </c>
      <c r="G574">
        <v>0</v>
      </c>
    </row>
    <row r="575" spans="1:7" x14ac:dyDescent="0.25">
      <c r="A575" s="226">
        <v>10140109</v>
      </c>
      <c r="B575" s="92">
        <v>0</v>
      </c>
      <c r="F575">
        <v>10130015</v>
      </c>
      <c r="G575">
        <v>0</v>
      </c>
    </row>
    <row r="576" spans="1:7" x14ac:dyDescent="0.25">
      <c r="A576" s="226">
        <v>10140120</v>
      </c>
      <c r="B576" s="92">
        <v>0</v>
      </c>
      <c r="F576">
        <v>10130016</v>
      </c>
      <c r="G576">
        <v>0</v>
      </c>
    </row>
    <row r="577" spans="1:7" x14ac:dyDescent="0.25">
      <c r="A577" s="226">
        <v>10140126</v>
      </c>
      <c r="B577" s="92">
        <v>0</v>
      </c>
      <c r="F577">
        <v>10130018</v>
      </c>
      <c r="G577">
        <v>0</v>
      </c>
    </row>
    <row r="578" spans="1:7" x14ac:dyDescent="0.25">
      <c r="A578" s="226">
        <v>10140129</v>
      </c>
      <c r="B578" s="92">
        <v>2000</v>
      </c>
      <c r="F578">
        <v>10130020</v>
      </c>
      <c r="G578">
        <v>0</v>
      </c>
    </row>
    <row r="579" spans="1:7" x14ac:dyDescent="0.25">
      <c r="A579" s="226">
        <v>10140131</v>
      </c>
      <c r="B579" s="92">
        <v>0</v>
      </c>
      <c r="F579">
        <v>10130025</v>
      </c>
      <c r="G579">
        <v>0</v>
      </c>
    </row>
    <row r="580" spans="1:7" x14ac:dyDescent="0.25">
      <c r="A580" s="226">
        <v>10140132</v>
      </c>
      <c r="B580" s="92">
        <v>0</v>
      </c>
      <c r="F580">
        <v>10130026</v>
      </c>
      <c r="G580">
        <v>0</v>
      </c>
    </row>
    <row r="581" spans="1:7" x14ac:dyDescent="0.25">
      <c r="A581" s="226">
        <v>10140135</v>
      </c>
      <c r="B581" s="92">
        <v>0</v>
      </c>
      <c r="F581">
        <v>10130027</v>
      </c>
      <c r="G581">
        <v>0</v>
      </c>
    </row>
    <row r="582" spans="1:7" x14ac:dyDescent="0.25">
      <c r="A582" s="226">
        <v>10140137</v>
      </c>
      <c r="B582" s="92">
        <v>0</v>
      </c>
      <c r="F582">
        <v>10130030</v>
      </c>
      <c r="G582">
        <v>0</v>
      </c>
    </row>
    <row r="583" spans="1:7" x14ac:dyDescent="0.25">
      <c r="A583" s="226">
        <v>10140139</v>
      </c>
      <c r="B583" s="92">
        <v>2000</v>
      </c>
      <c r="F583">
        <v>10130031</v>
      </c>
      <c r="G583">
        <v>0</v>
      </c>
    </row>
    <row r="584" spans="1:7" x14ac:dyDescent="0.25">
      <c r="A584" s="226">
        <v>10140147</v>
      </c>
      <c r="B584" s="92">
        <v>0</v>
      </c>
      <c r="F584">
        <v>10130032</v>
      </c>
      <c r="G584">
        <v>1000</v>
      </c>
    </row>
    <row r="585" spans="1:7" x14ac:dyDescent="0.25">
      <c r="A585" s="226">
        <v>10140153</v>
      </c>
      <c r="B585" s="92">
        <v>2000</v>
      </c>
      <c r="F585">
        <v>10130036</v>
      </c>
      <c r="G585">
        <v>0</v>
      </c>
    </row>
    <row r="586" spans="1:7" x14ac:dyDescent="0.25">
      <c r="A586" s="226">
        <v>10140156</v>
      </c>
      <c r="B586" s="92">
        <v>0</v>
      </c>
      <c r="F586">
        <v>10130040</v>
      </c>
      <c r="G586">
        <v>0</v>
      </c>
    </row>
    <row r="587" spans="1:7" x14ac:dyDescent="0.25">
      <c r="A587" s="226">
        <v>10140157</v>
      </c>
      <c r="B587" s="92">
        <v>0</v>
      </c>
      <c r="F587">
        <v>10130041</v>
      </c>
      <c r="G587">
        <v>0</v>
      </c>
    </row>
    <row r="588" spans="1:7" x14ac:dyDescent="0.25">
      <c r="A588" s="226">
        <v>10140166</v>
      </c>
      <c r="B588" s="92">
        <v>0</v>
      </c>
      <c r="F588">
        <v>10130042</v>
      </c>
      <c r="G588">
        <v>0</v>
      </c>
    </row>
    <row r="589" spans="1:7" x14ac:dyDescent="0.25">
      <c r="A589" s="226">
        <v>10140167</v>
      </c>
      <c r="B589" s="92">
        <v>0</v>
      </c>
      <c r="F589">
        <v>10130044</v>
      </c>
      <c r="G589">
        <v>0</v>
      </c>
    </row>
    <row r="590" spans="1:7" x14ac:dyDescent="0.25">
      <c r="A590" s="226">
        <v>10140170</v>
      </c>
      <c r="B590" s="92">
        <v>0</v>
      </c>
      <c r="F590">
        <v>10130046</v>
      </c>
      <c r="G590">
        <v>0</v>
      </c>
    </row>
    <row r="591" spans="1:7" x14ac:dyDescent="0.25">
      <c r="A591" s="226">
        <v>10140173</v>
      </c>
      <c r="B591" s="92">
        <v>0</v>
      </c>
      <c r="F591">
        <v>10130047</v>
      </c>
      <c r="G591">
        <v>0</v>
      </c>
    </row>
    <row r="592" spans="1:7" x14ac:dyDescent="0.25">
      <c r="A592" s="226">
        <v>10140176</v>
      </c>
      <c r="B592" s="92">
        <v>0</v>
      </c>
      <c r="F592">
        <v>10130052</v>
      </c>
      <c r="G592">
        <v>0</v>
      </c>
    </row>
    <row r="593" spans="1:7" x14ac:dyDescent="0.25">
      <c r="A593" s="226">
        <v>10140179</v>
      </c>
      <c r="B593" s="92">
        <v>0</v>
      </c>
      <c r="F593">
        <v>10130054</v>
      </c>
      <c r="G593">
        <v>0</v>
      </c>
    </row>
    <row r="594" spans="1:7" x14ac:dyDescent="0.25">
      <c r="A594" s="226">
        <v>10140180</v>
      </c>
      <c r="B594" s="92">
        <v>0</v>
      </c>
      <c r="F594">
        <v>10130058</v>
      </c>
      <c r="G594">
        <v>0</v>
      </c>
    </row>
    <row r="595" spans="1:7" x14ac:dyDescent="0.25">
      <c r="A595" s="226">
        <v>10140185</v>
      </c>
      <c r="B595" s="92">
        <v>0</v>
      </c>
      <c r="F595">
        <v>10130063</v>
      </c>
      <c r="G595">
        <v>0</v>
      </c>
    </row>
    <row r="596" spans="1:7" x14ac:dyDescent="0.25">
      <c r="A596" s="226">
        <v>10140194</v>
      </c>
      <c r="B596" s="92">
        <v>0</v>
      </c>
      <c r="F596">
        <v>10130065</v>
      </c>
      <c r="G596">
        <v>0</v>
      </c>
    </row>
    <row r="597" spans="1:7" x14ac:dyDescent="0.25">
      <c r="A597" s="226">
        <v>10140196</v>
      </c>
      <c r="B597" s="92">
        <v>0</v>
      </c>
      <c r="F597">
        <v>10130070</v>
      </c>
      <c r="G597">
        <v>0</v>
      </c>
    </row>
    <row r="598" spans="1:7" x14ac:dyDescent="0.25">
      <c r="A598" s="226">
        <v>10140197</v>
      </c>
      <c r="B598" s="92">
        <v>0</v>
      </c>
      <c r="F598">
        <v>10130073</v>
      </c>
      <c r="G598">
        <v>0</v>
      </c>
    </row>
    <row r="599" spans="1:7" x14ac:dyDescent="0.25">
      <c r="A599" s="226">
        <v>10140198</v>
      </c>
      <c r="B599" s="92">
        <v>0</v>
      </c>
      <c r="F599">
        <v>10130074</v>
      </c>
      <c r="G599">
        <v>0</v>
      </c>
    </row>
    <row r="600" spans="1:7" x14ac:dyDescent="0.25">
      <c r="A600" s="226">
        <v>10140201</v>
      </c>
      <c r="B600" s="92">
        <v>0</v>
      </c>
      <c r="F600">
        <v>10130077</v>
      </c>
      <c r="G600">
        <v>0</v>
      </c>
    </row>
    <row r="601" spans="1:7" x14ac:dyDescent="0.25">
      <c r="A601" s="226">
        <v>10140203</v>
      </c>
      <c r="B601" s="92">
        <v>0</v>
      </c>
      <c r="F601">
        <v>10130080</v>
      </c>
      <c r="G601">
        <v>0</v>
      </c>
    </row>
    <row r="602" spans="1:7" x14ac:dyDescent="0.25">
      <c r="A602" s="226">
        <v>10140204</v>
      </c>
      <c r="B602" s="92">
        <v>0</v>
      </c>
      <c r="F602">
        <v>10130081</v>
      </c>
      <c r="G602">
        <v>0</v>
      </c>
    </row>
    <row r="603" spans="1:7" x14ac:dyDescent="0.25">
      <c r="A603" s="226">
        <v>10140206</v>
      </c>
      <c r="B603" s="92">
        <v>0</v>
      </c>
      <c r="F603">
        <v>10130083</v>
      </c>
      <c r="G603">
        <v>0</v>
      </c>
    </row>
    <row r="604" spans="1:7" x14ac:dyDescent="0.25">
      <c r="A604" s="226">
        <v>10180001</v>
      </c>
      <c r="B604" s="92">
        <v>0</v>
      </c>
      <c r="F604">
        <v>10130085</v>
      </c>
      <c r="G604">
        <v>0</v>
      </c>
    </row>
    <row r="605" spans="1:7" x14ac:dyDescent="0.25">
      <c r="A605" s="226">
        <v>10240001</v>
      </c>
      <c r="B605" s="92">
        <v>0</v>
      </c>
      <c r="F605">
        <v>10130087</v>
      </c>
      <c r="G605">
        <v>0</v>
      </c>
    </row>
    <row r="606" spans="1:7" x14ac:dyDescent="0.25">
      <c r="A606" s="226">
        <v>10250001</v>
      </c>
      <c r="B606" s="92">
        <v>0</v>
      </c>
      <c r="F606">
        <v>10130088</v>
      </c>
      <c r="G606">
        <v>0</v>
      </c>
    </row>
    <row r="607" spans="1:7" x14ac:dyDescent="0.25">
      <c r="A607" s="226">
        <v>10260001</v>
      </c>
      <c r="B607" s="92">
        <v>0</v>
      </c>
      <c r="F607">
        <v>10130091</v>
      </c>
      <c r="G607">
        <v>0</v>
      </c>
    </row>
    <row r="608" spans="1:7" x14ac:dyDescent="0.25">
      <c r="A608" s="226">
        <v>10290001</v>
      </c>
      <c r="B608" s="92">
        <v>0</v>
      </c>
      <c r="F608">
        <v>10130093</v>
      </c>
      <c r="G608">
        <v>0</v>
      </c>
    </row>
    <row r="609" spans="1:7" x14ac:dyDescent="0.25">
      <c r="A609" s="226">
        <v>10300001</v>
      </c>
      <c r="B609" s="92">
        <v>0</v>
      </c>
      <c r="F609">
        <v>10130094</v>
      </c>
      <c r="G609">
        <v>1000</v>
      </c>
    </row>
    <row r="610" spans="1:7" x14ac:dyDescent="0.25">
      <c r="A610" s="226">
        <v>10310001</v>
      </c>
      <c r="B610" s="92">
        <v>0</v>
      </c>
      <c r="F610">
        <v>10130097</v>
      </c>
      <c r="G610">
        <v>0</v>
      </c>
    </row>
    <row r="611" spans="1:7" x14ac:dyDescent="0.25">
      <c r="A611" s="226">
        <v>10320001</v>
      </c>
      <c r="B611" s="92">
        <v>0</v>
      </c>
      <c r="F611">
        <v>10130098</v>
      </c>
      <c r="G611">
        <v>0</v>
      </c>
    </row>
    <row r="612" spans="1:7" x14ac:dyDescent="0.25">
      <c r="A612" s="226">
        <v>10330001</v>
      </c>
      <c r="B612" s="92">
        <v>0</v>
      </c>
      <c r="F612">
        <v>10130100</v>
      </c>
      <c r="G612">
        <v>1000</v>
      </c>
    </row>
    <row r="613" spans="1:7" x14ac:dyDescent="0.25">
      <c r="A613" s="226">
        <v>10340001</v>
      </c>
      <c r="B613" s="92">
        <v>0</v>
      </c>
      <c r="F613">
        <v>10130101</v>
      </c>
      <c r="G613">
        <v>0</v>
      </c>
    </row>
    <row r="614" spans="1:7" x14ac:dyDescent="0.25">
      <c r="A614" s="226">
        <v>10350001</v>
      </c>
      <c r="B614" s="92">
        <v>0</v>
      </c>
      <c r="F614">
        <v>10130102</v>
      </c>
      <c r="G614">
        <v>500</v>
      </c>
    </row>
    <row r="615" spans="1:7" x14ac:dyDescent="0.25">
      <c r="A615" s="226">
        <v>10360001</v>
      </c>
      <c r="B615" s="92">
        <v>0</v>
      </c>
      <c r="F615">
        <v>10130103</v>
      </c>
      <c r="G615">
        <v>0</v>
      </c>
    </row>
    <row r="616" spans="1:7" x14ac:dyDescent="0.25">
      <c r="A616" s="226">
        <v>10380001</v>
      </c>
      <c r="B616" s="92">
        <v>0</v>
      </c>
      <c r="F616">
        <v>10130105</v>
      </c>
      <c r="G616">
        <v>0</v>
      </c>
    </row>
    <row r="617" spans="1:7" x14ac:dyDescent="0.25">
      <c r="A617" s="226">
        <v>10390001</v>
      </c>
      <c r="B617" s="92">
        <v>0</v>
      </c>
      <c r="F617">
        <v>10130106</v>
      </c>
      <c r="G617">
        <v>0</v>
      </c>
    </row>
    <row r="618" spans="1:7" x14ac:dyDescent="0.25">
      <c r="A618" s="226">
        <v>10400001</v>
      </c>
      <c r="B618" s="92">
        <v>0</v>
      </c>
      <c r="F618">
        <v>10130107</v>
      </c>
      <c r="G618">
        <v>0</v>
      </c>
    </row>
    <row r="619" spans="1:7" x14ac:dyDescent="0.25">
      <c r="A619" s="226">
        <v>10410001</v>
      </c>
      <c r="B619" s="92">
        <v>0</v>
      </c>
      <c r="F619">
        <v>10130110</v>
      </c>
      <c r="G619">
        <v>0</v>
      </c>
    </row>
    <row r="620" spans="1:7" x14ac:dyDescent="0.25">
      <c r="A620" s="226">
        <v>10430001</v>
      </c>
      <c r="B620" s="92">
        <v>0</v>
      </c>
      <c r="F620">
        <v>10130111</v>
      </c>
      <c r="G620">
        <v>0</v>
      </c>
    </row>
    <row r="621" spans="1:7" x14ac:dyDescent="0.25">
      <c r="A621" s="226">
        <v>10440001</v>
      </c>
      <c r="B621" s="92">
        <v>0</v>
      </c>
      <c r="F621">
        <v>10130112</v>
      </c>
      <c r="G621">
        <v>0</v>
      </c>
    </row>
    <row r="622" spans="1:7" x14ac:dyDescent="0.25">
      <c r="A622" s="226">
        <v>10460001</v>
      </c>
      <c r="B622" s="92">
        <v>0</v>
      </c>
      <c r="F622">
        <v>10130113</v>
      </c>
      <c r="G622">
        <v>0</v>
      </c>
    </row>
    <row r="623" spans="1:7" x14ac:dyDescent="0.25">
      <c r="A623" s="226">
        <v>10460002</v>
      </c>
      <c r="B623" s="92">
        <v>0</v>
      </c>
      <c r="F623">
        <v>10130114</v>
      </c>
      <c r="G623">
        <v>0</v>
      </c>
    </row>
    <row r="624" spans="1:7" x14ac:dyDescent="0.25">
      <c r="A624" s="226">
        <v>10480001</v>
      </c>
      <c r="B624" s="92">
        <v>0</v>
      </c>
      <c r="F624">
        <v>10130115</v>
      </c>
      <c r="G624">
        <v>0</v>
      </c>
    </row>
    <row r="625" spans="1:7" x14ac:dyDescent="0.25">
      <c r="A625" s="226">
        <v>10480002</v>
      </c>
      <c r="B625" s="92">
        <v>0</v>
      </c>
      <c r="F625">
        <v>10130116</v>
      </c>
      <c r="G625">
        <v>0</v>
      </c>
    </row>
    <row r="626" spans="1:7" x14ac:dyDescent="0.25">
      <c r="A626" s="226">
        <v>10480003</v>
      </c>
      <c r="B626" s="92">
        <v>0</v>
      </c>
      <c r="F626">
        <v>10130117</v>
      </c>
      <c r="G626">
        <v>0</v>
      </c>
    </row>
    <row r="627" spans="1:7" x14ac:dyDescent="0.25">
      <c r="A627" s="226">
        <v>10480005</v>
      </c>
      <c r="B627" s="92">
        <v>0</v>
      </c>
      <c r="F627">
        <v>10130118</v>
      </c>
      <c r="G627">
        <v>0</v>
      </c>
    </row>
    <row r="628" spans="1:7" x14ac:dyDescent="0.25">
      <c r="A628" s="226">
        <v>10480008</v>
      </c>
      <c r="B628" s="92">
        <v>0</v>
      </c>
      <c r="F628">
        <v>10130119</v>
      </c>
      <c r="G628">
        <v>0</v>
      </c>
    </row>
    <row r="629" spans="1:7" x14ac:dyDescent="0.25">
      <c r="A629" s="226">
        <v>10480022</v>
      </c>
      <c r="B629" s="92">
        <v>0</v>
      </c>
      <c r="F629">
        <v>10140001</v>
      </c>
      <c r="G629">
        <v>0</v>
      </c>
    </row>
    <row r="630" spans="1:7" x14ac:dyDescent="0.25">
      <c r="A630" s="226">
        <v>10480023</v>
      </c>
      <c r="B630" s="92">
        <v>0</v>
      </c>
      <c r="F630">
        <v>10140002</v>
      </c>
      <c r="G630">
        <v>0</v>
      </c>
    </row>
    <row r="631" spans="1:7" x14ac:dyDescent="0.25">
      <c r="A631" s="226">
        <v>10480028</v>
      </c>
      <c r="B631" s="92">
        <v>0</v>
      </c>
      <c r="F631">
        <v>10140003</v>
      </c>
      <c r="G631">
        <v>0</v>
      </c>
    </row>
    <row r="632" spans="1:7" x14ac:dyDescent="0.25">
      <c r="A632" s="226">
        <v>10480033</v>
      </c>
      <c r="B632" s="92">
        <v>0</v>
      </c>
      <c r="F632">
        <v>10140007</v>
      </c>
      <c r="G632">
        <v>0</v>
      </c>
    </row>
    <row r="633" spans="1:7" x14ac:dyDescent="0.25">
      <c r="A633" s="226">
        <v>10480034</v>
      </c>
      <c r="B633" s="92">
        <v>0</v>
      </c>
      <c r="F633">
        <v>10140008</v>
      </c>
      <c r="G633">
        <v>0</v>
      </c>
    </row>
    <row r="634" spans="1:7" x14ac:dyDescent="0.25">
      <c r="A634" s="226">
        <v>10500001</v>
      </c>
      <c r="B634" s="92">
        <v>0</v>
      </c>
      <c r="F634">
        <v>10140009</v>
      </c>
      <c r="G634">
        <v>0</v>
      </c>
    </row>
    <row r="635" spans="1:7" x14ac:dyDescent="0.25">
      <c r="A635" s="226">
        <v>10510001</v>
      </c>
      <c r="B635" s="92">
        <v>0</v>
      </c>
      <c r="F635">
        <v>10140012</v>
      </c>
      <c r="G635">
        <v>0</v>
      </c>
    </row>
    <row r="636" spans="1:7" x14ac:dyDescent="0.25">
      <c r="A636" s="226">
        <v>10510002</v>
      </c>
      <c r="B636" s="92">
        <v>0</v>
      </c>
      <c r="F636">
        <v>10140013</v>
      </c>
      <c r="G636">
        <v>0</v>
      </c>
    </row>
    <row r="637" spans="1:7" x14ac:dyDescent="0.25">
      <c r="A637" s="226">
        <v>10510004</v>
      </c>
      <c r="B637" s="92">
        <v>0</v>
      </c>
      <c r="F637">
        <v>10140018</v>
      </c>
      <c r="G637">
        <v>0</v>
      </c>
    </row>
    <row r="638" spans="1:7" x14ac:dyDescent="0.25">
      <c r="A638" s="226">
        <v>10520006</v>
      </c>
      <c r="B638" s="92">
        <v>0</v>
      </c>
      <c r="F638">
        <v>10140020</v>
      </c>
      <c r="G638">
        <v>0</v>
      </c>
    </row>
    <row r="639" spans="1:7" x14ac:dyDescent="0.25">
      <c r="A639" s="226">
        <v>10520010</v>
      </c>
      <c r="B639" s="92">
        <v>0</v>
      </c>
      <c r="F639">
        <v>10140022</v>
      </c>
      <c r="G639">
        <v>0</v>
      </c>
    </row>
    <row r="640" spans="1:7" x14ac:dyDescent="0.25">
      <c r="A640" s="226">
        <v>10520011</v>
      </c>
      <c r="B640" s="92">
        <v>0</v>
      </c>
      <c r="F640">
        <v>10140032</v>
      </c>
      <c r="G640">
        <v>1000</v>
      </c>
    </row>
    <row r="641" spans="1:7" x14ac:dyDescent="0.25">
      <c r="A641" s="226">
        <v>10530001</v>
      </c>
      <c r="B641" s="92">
        <v>0</v>
      </c>
      <c r="F641">
        <v>10140033</v>
      </c>
      <c r="G641">
        <v>1000</v>
      </c>
    </row>
    <row r="642" spans="1:7" x14ac:dyDescent="0.25">
      <c r="A642" s="226">
        <v>10530002</v>
      </c>
      <c r="B642" s="92">
        <v>0</v>
      </c>
      <c r="F642">
        <v>10140034</v>
      </c>
      <c r="G642">
        <v>0</v>
      </c>
    </row>
    <row r="643" spans="1:7" x14ac:dyDescent="0.25">
      <c r="A643" s="226">
        <v>10530003</v>
      </c>
      <c r="B643" s="92">
        <v>0</v>
      </c>
      <c r="F643">
        <v>10140039</v>
      </c>
      <c r="G643">
        <v>0</v>
      </c>
    </row>
    <row r="644" spans="1:7" x14ac:dyDescent="0.25">
      <c r="A644" s="226">
        <v>10530005</v>
      </c>
      <c r="B644" s="92">
        <v>0</v>
      </c>
      <c r="F644">
        <v>10140041</v>
      </c>
      <c r="G644">
        <v>0</v>
      </c>
    </row>
    <row r="645" spans="1:7" x14ac:dyDescent="0.25">
      <c r="A645" s="226">
        <v>10530006</v>
      </c>
      <c r="B645" s="92">
        <v>0</v>
      </c>
      <c r="F645">
        <v>10140043</v>
      </c>
      <c r="G645">
        <v>1000</v>
      </c>
    </row>
    <row r="646" spans="1:7" x14ac:dyDescent="0.25">
      <c r="A646" s="226">
        <v>10530007</v>
      </c>
      <c r="B646" s="92">
        <v>0</v>
      </c>
      <c r="F646">
        <v>10140045</v>
      </c>
      <c r="G646">
        <v>0</v>
      </c>
    </row>
    <row r="647" spans="1:7" x14ac:dyDescent="0.25">
      <c r="A647" s="226">
        <v>10530008</v>
      </c>
      <c r="B647" s="92">
        <v>0</v>
      </c>
      <c r="F647">
        <v>10140047</v>
      </c>
      <c r="G647">
        <v>1000</v>
      </c>
    </row>
    <row r="648" spans="1:7" x14ac:dyDescent="0.25">
      <c r="A648" s="226">
        <v>10530009</v>
      </c>
      <c r="B648" s="92">
        <v>0</v>
      </c>
      <c r="F648">
        <v>10140048</v>
      </c>
      <c r="G648">
        <v>1000</v>
      </c>
    </row>
    <row r="649" spans="1:7" x14ac:dyDescent="0.25">
      <c r="A649" s="226">
        <v>10530010</v>
      </c>
      <c r="B649" s="92">
        <v>0</v>
      </c>
      <c r="F649">
        <v>10140054</v>
      </c>
      <c r="G649">
        <v>0</v>
      </c>
    </row>
    <row r="650" spans="1:7" x14ac:dyDescent="0.25">
      <c r="A650" s="226">
        <v>10530014</v>
      </c>
      <c r="B650" s="92">
        <v>0</v>
      </c>
      <c r="F650">
        <v>10140055</v>
      </c>
      <c r="G650">
        <v>0</v>
      </c>
    </row>
    <row r="651" spans="1:7" x14ac:dyDescent="0.25">
      <c r="A651" s="226">
        <v>10530015</v>
      </c>
      <c r="B651" s="92">
        <v>0</v>
      </c>
      <c r="F651">
        <v>10140066</v>
      </c>
      <c r="G651">
        <v>0</v>
      </c>
    </row>
    <row r="652" spans="1:7" x14ac:dyDescent="0.25">
      <c r="A652" s="226">
        <v>10530016</v>
      </c>
      <c r="B652" s="92">
        <v>0</v>
      </c>
      <c r="F652">
        <v>10140068</v>
      </c>
      <c r="G652">
        <v>0</v>
      </c>
    </row>
    <row r="653" spans="1:7" x14ac:dyDescent="0.25">
      <c r="A653" s="226">
        <v>10530017</v>
      </c>
      <c r="B653" s="92">
        <v>0</v>
      </c>
      <c r="F653">
        <v>10140069</v>
      </c>
      <c r="G653">
        <v>0</v>
      </c>
    </row>
    <row r="654" spans="1:7" x14ac:dyDescent="0.25">
      <c r="A654" s="226">
        <v>10530018</v>
      </c>
      <c r="B654" s="92">
        <v>0</v>
      </c>
      <c r="F654">
        <v>10140071</v>
      </c>
      <c r="G654">
        <v>0</v>
      </c>
    </row>
    <row r="655" spans="1:7" x14ac:dyDescent="0.25">
      <c r="A655" s="226">
        <v>10530019</v>
      </c>
      <c r="B655" s="92">
        <v>0</v>
      </c>
      <c r="F655">
        <v>10140083</v>
      </c>
      <c r="G655">
        <v>500</v>
      </c>
    </row>
    <row r="656" spans="1:7" x14ac:dyDescent="0.25">
      <c r="A656" s="226">
        <v>10530025</v>
      </c>
      <c r="B656" s="92">
        <v>0</v>
      </c>
      <c r="F656">
        <v>10140087</v>
      </c>
      <c r="G656">
        <v>0</v>
      </c>
    </row>
    <row r="657" spans="1:7" x14ac:dyDescent="0.25">
      <c r="A657" s="226">
        <v>10530029</v>
      </c>
      <c r="B657" s="92">
        <v>0</v>
      </c>
      <c r="F657">
        <v>10140095</v>
      </c>
      <c r="G657">
        <v>1000</v>
      </c>
    </row>
    <row r="658" spans="1:7" x14ac:dyDescent="0.25">
      <c r="A658" s="226">
        <v>10530030</v>
      </c>
      <c r="B658" s="92">
        <v>0</v>
      </c>
      <c r="F658">
        <v>10140098</v>
      </c>
      <c r="G658">
        <v>0</v>
      </c>
    </row>
    <row r="659" spans="1:7" x14ac:dyDescent="0.25">
      <c r="A659" s="226">
        <v>10530031</v>
      </c>
      <c r="B659" s="92">
        <v>0</v>
      </c>
      <c r="F659">
        <v>10140099</v>
      </c>
      <c r="G659">
        <v>1000</v>
      </c>
    </row>
    <row r="660" spans="1:7" x14ac:dyDescent="0.25">
      <c r="A660" s="226">
        <v>10530032</v>
      </c>
      <c r="B660" s="92">
        <v>0</v>
      </c>
      <c r="F660">
        <v>10140107</v>
      </c>
      <c r="G660">
        <v>0</v>
      </c>
    </row>
    <row r="661" spans="1:7" x14ac:dyDescent="0.25">
      <c r="A661" s="226">
        <v>10530033</v>
      </c>
      <c r="B661" s="92">
        <v>0</v>
      </c>
      <c r="F661">
        <v>10140109</v>
      </c>
      <c r="G661">
        <v>0</v>
      </c>
    </row>
    <row r="662" spans="1:7" x14ac:dyDescent="0.25">
      <c r="A662" s="226">
        <v>10530034</v>
      </c>
      <c r="B662" s="92">
        <v>0</v>
      </c>
      <c r="F662">
        <v>10140119</v>
      </c>
      <c r="G662">
        <v>0</v>
      </c>
    </row>
    <row r="663" spans="1:7" x14ac:dyDescent="0.25">
      <c r="A663" s="226">
        <v>10530035</v>
      </c>
      <c r="B663" s="92">
        <v>0</v>
      </c>
      <c r="F663">
        <v>10140120</v>
      </c>
      <c r="G663">
        <v>1000</v>
      </c>
    </row>
    <row r="664" spans="1:7" x14ac:dyDescent="0.25">
      <c r="A664" s="226">
        <v>10530038</v>
      </c>
      <c r="B664" s="92">
        <v>0</v>
      </c>
      <c r="F664">
        <v>10140126</v>
      </c>
      <c r="G664">
        <v>0</v>
      </c>
    </row>
    <row r="665" spans="1:7" x14ac:dyDescent="0.25">
      <c r="A665" s="226">
        <v>10530040</v>
      </c>
      <c r="B665" s="92">
        <v>0</v>
      </c>
      <c r="F665">
        <v>10140129</v>
      </c>
      <c r="G665">
        <v>0</v>
      </c>
    </row>
    <row r="666" spans="1:7" x14ac:dyDescent="0.25">
      <c r="A666" s="226">
        <v>10530044</v>
      </c>
      <c r="B666" s="92">
        <v>0</v>
      </c>
      <c r="F666">
        <v>10140131</v>
      </c>
      <c r="G666">
        <v>0</v>
      </c>
    </row>
    <row r="667" spans="1:7" x14ac:dyDescent="0.25">
      <c r="A667" s="226">
        <v>10530046</v>
      </c>
      <c r="B667" s="92">
        <v>0</v>
      </c>
      <c r="F667">
        <v>10140132</v>
      </c>
      <c r="G667">
        <v>0</v>
      </c>
    </row>
    <row r="668" spans="1:7" x14ac:dyDescent="0.25">
      <c r="A668" s="226">
        <v>10530047</v>
      </c>
      <c r="B668" s="92">
        <v>0</v>
      </c>
      <c r="F668">
        <v>10140135</v>
      </c>
      <c r="G668">
        <v>0</v>
      </c>
    </row>
    <row r="669" spans="1:7" x14ac:dyDescent="0.25">
      <c r="A669" s="226">
        <v>10530048</v>
      </c>
      <c r="B669" s="92">
        <v>0</v>
      </c>
      <c r="F669">
        <v>10140137</v>
      </c>
      <c r="G669">
        <v>0</v>
      </c>
    </row>
    <row r="670" spans="1:7" x14ac:dyDescent="0.25">
      <c r="A670" s="226">
        <v>10530049</v>
      </c>
      <c r="B670" s="92">
        <v>0</v>
      </c>
      <c r="F670">
        <v>10140139</v>
      </c>
      <c r="G670">
        <v>535</v>
      </c>
    </row>
    <row r="671" spans="1:7" x14ac:dyDescent="0.25">
      <c r="A671" s="226">
        <v>10530050</v>
      </c>
      <c r="B671" s="92">
        <v>0</v>
      </c>
      <c r="F671">
        <v>10140141</v>
      </c>
      <c r="G671">
        <v>0</v>
      </c>
    </row>
    <row r="672" spans="1:7" x14ac:dyDescent="0.25">
      <c r="A672" s="226">
        <v>10530053</v>
      </c>
      <c r="B672" s="92">
        <v>0</v>
      </c>
      <c r="F672">
        <v>10140147</v>
      </c>
      <c r="G672">
        <v>0</v>
      </c>
    </row>
    <row r="673" spans="1:7" x14ac:dyDescent="0.25">
      <c r="A673" s="226">
        <v>10530054</v>
      </c>
      <c r="B673" s="92">
        <v>0</v>
      </c>
      <c r="F673">
        <v>10140148</v>
      </c>
      <c r="G673">
        <v>0</v>
      </c>
    </row>
    <row r="674" spans="1:7" x14ac:dyDescent="0.25">
      <c r="A674" s="226">
        <v>10530055</v>
      </c>
      <c r="B674" s="92">
        <v>0</v>
      </c>
      <c r="F674">
        <v>10140152</v>
      </c>
      <c r="G674">
        <v>1000</v>
      </c>
    </row>
    <row r="675" spans="1:7" x14ac:dyDescent="0.25">
      <c r="A675" s="226">
        <v>10530057</v>
      </c>
      <c r="B675" s="92">
        <v>0</v>
      </c>
      <c r="F675">
        <v>10140153</v>
      </c>
      <c r="G675">
        <v>1000</v>
      </c>
    </row>
    <row r="676" spans="1:7" x14ac:dyDescent="0.25">
      <c r="A676" s="226">
        <v>10530058</v>
      </c>
      <c r="B676" s="92">
        <v>2000</v>
      </c>
      <c r="F676">
        <v>10140156</v>
      </c>
      <c r="G676">
        <v>0</v>
      </c>
    </row>
    <row r="677" spans="1:7" x14ac:dyDescent="0.25">
      <c r="A677" s="226">
        <v>10530059</v>
      </c>
      <c r="B677" s="92">
        <v>0</v>
      </c>
      <c r="F677">
        <v>10140157</v>
      </c>
      <c r="G677">
        <v>0</v>
      </c>
    </row>
    <row r="678" spans="1:7" x14ac:dyDescent="0.25">
      <c r="A678" s="226">
        <v>10530060</v>
      </c>
      <c r="B678" s="92">
        <v>0</v>
      </c>
      <c r="F678">
        <v>10140166</v>
      </c>
      <c r="G678">
        <v>1000</v>
      </c>
    </row>
    <row r="679" spans="1:7" x14ac:dyDescent="0.25">
      <c r="A679" s="226">
        <v>10530062</v>
      </c>
      <c r="B679" s="92">
        <v>0</v>
      </c>
      <c r="F679">
        <v>10140167</v>
      </c>
      <c r="G679">
        <v>0</v>
      </c>
    </row>
    <row r="680" spans="1:7" x14ac:dyDescent="0.25">
      <c r="A680" s="226">
        <v>10530063</v>
      </c>
      <c r="B680" s="92">
        <v>0</v>
      </c>
      <c r="F680">
        <v>10140170</v>
      </c>
      <c r="G680">
        <v>0</v>
      </c>
    </row>
    <row r="681" spans="1:7" x14ac:dyDescent="0.25">
      <c r="A681" s="226">
        <v>10530064</v>
      </c>
      <c r="B681" s="92">
        <v>0</v>
      </c>
      <c r="F681">
        <v>10140173</v>
      </c>
      <c r="G681">
        <v>0</v>
      </c>
    </row>
    <row r="682" spans="1:7" x14ac:dyDescent="0.25">
      <c r="A682" s="226">
        <v>10530065</v>
      </c>
      <c r="B682" s="92">
        <v>0</v>
      </c>
      <c r="F682">
        <v>10140174</v>
      </c>
      <c r="G682">
        <v>1000</v>
      </c>
    </row>
    <row r="683" spans="1:7" x14ac:dyDescent="0.25">
      <c r="A683" s="226">
        <v>10530067</v>
      </c>
      <c r="B683" s="92">
        <v>0</v>
      </c>
      <c r="F683">
        <v>10140176</v>
      </c>
      <c r="G683">
        <v>0</v>
      </c>
    </row>
    <row r="684" spans="1:7" x14ac:dyDescent="0.25">
      <c r="A684" s="226">
        <v>10530069</v>
      </c>
      <c r="B684" s="92">
        <v>0</v>
      </c>
      <c r="F684">
        <v>10140179</v>
      </c>
      <c r="G684">
        <v>0</v>
      </c>
    </row>
    <row r="685" spans="1:7" x14ac:dyDescent="0.25">
      <c r="A685" s="226">
        <v>10530070</v>
      </c>
      <c r="B685" s="92">
        <v>2000</v>
      </c>
      <c r="F685">
        <v>10140180</v>
      </c>
      <c r="G685">
        <v>0</v>
      </c>
    </row>
    <row r="686" spans="1:7" x14ac:dyDescent="0.25">
      <c r="A686" s="226">
        <v>10530071</v>
      </c>
      <c r="B686" s="92">
        <v>0</v>
      </c>
      <c r="F686">
        <v>10140181</v>
      </c>
      <c r="G686">
        <v>0</v>
      </c>
    </row>
    <row r="687" spans="1:7" x14ac:dyDescent="0.25">
      <c r="A687" s="226">
        <v>10530072</v>
      </c>
      <c r="B687" s="92">
        <v>0</v>
      </c>
      <c r="F687">
        <v>10140183</v>
      </c>
      <c r="G687">
        <v>0</v>
      </c>
    </row>
    <row r="688" spans="1:7" x14ac:dyDescent="0.25">
      <c r="A688" s="226">
        <v>10530074</v>
      </c>
      <c r="B688" s="92">
        <v>0</v>
      </c>
      <c r="F688">
        <v>10140185</v>
      </c>
      <c r="G688">
        <v>0</v>
      </c>
    </row>
    <row r="689" spans="1:7" x14ac:dyDescent="0.25">
      <c r="A689" s="226">
        <v>10530075</v>
      </c>
      <c r="B689" s="92">
        <v>0</v>
      </c>
      <c r="F689">
        <v>10140193</v>
      </c>
      <c r="G689">
        <v>0</v>
      </c>
    </row>
    <row r="690" spans="1:7" x14ac:dyDescent="0.25">
      <c r="A690" s="226">
        <v>10530076</v>
      </c>
      <c r="B690" s="92">
        <v>0</v>
      </c>
      <c r="F690">
        <v>10140194</v>
      </c>
      <c r="G690">
        <v>0</v>
      </c>
    </row>
    <row r="691" spans="1:7" x14ac:dyDescent="0.25">
      <c r="A691" s="226">
        <v>10530077</v>
      </c>
      <c r="B691" s="92">
        <v>0</v>
      </c>
      <c r="F691">
        <v>10140196</v>
      </c>
      <c r="G691">
        <v>0</v>
      </c>
    </row>
    <row r="692" spans="1:7" x14ac:dyDescent="0.25">
      <c r="A692" s="226">
        <v>10530078</v>
      </c>
      <c r="B692" s="92">
        <v>0</v>
      </c>
      <c r="F692">
        <v>10140197</v>
      </c>
      <c r="G692">
        <v>0</v>
      </c>
    </row>
    <row r="693" spans="1:7" x14ac:dyDescent="0.25">
      <c r="A693" s="226">
        <v>10530079</v>
      </c>
      <c r="B693" s="92">
        <v>0</v>
      </c>
      <c r="F693">
        <v>10140198</v>
      </c>
      <c r="G693">
        <v>0</v>
      </c>
    </row>
    <row r="694" spans="1:7" x14ac:dyDescent="0.25">
      <c r="A694" s="226">
        <v>10530080</v>
      </c>
      <c r="B694" s="92">
        <v>0</v>
      </c>
      <c r="F694">
        <v>10140201</v>
      </c>
      <c r="G694">
        <v>0</v>
      </c>
    </row>
    <row r="695" spans="1:7" x14ac:dyDescent="0.25">
      <c r="A695" s="226">
        <v>10530081</v>
      </c>
      <c r="B695" s="92">
        <v>0</v>
      </c>
      <c r="F695">
        <v>10140203</v>
      </c>
      <c r="G695">
        <v>0</v>
      </c>
    </row>
    <row r="696" spans="1:7" x14ac:dyDescent="0.25">
      <c r="A696" s="226">
        <v>10530082</v>
      </c>
      <c r="B696" s="92">
        <v>0</v>
      </c>
      <c r="F696">
        <v>10140204</v>
      </c>
      <c r="G696">
        <v>0</v>
      </c>
    </row>
    <row r="697" spans="1:7" x14ac:dyDescent="0.25">
      <c r="A697" s="226">
        <v>10530084</v>
      </c>
      <c r="B697" s="92">
        <v>0</v>
      </c>
      <c r="F697">
        <v>10140205</v>
      </c>
      <c r="G697">
        <v>0</v>
      </c>
    </row>
    <row r="698" spans="1:7" x14ac:dyDescent="0.25">
      <c r="A698" s="226">
        <v>10530085</v>
      </c>
      <c r="B698" s="92">
        <v>0</v>
      </c>
      <c r="F698">
        <v>10140206</v>
      </c>
      <c r="G698">
        <v>0</v>
      </c>
    </row>
    <row r="699" spans="1:7" x14ac:dyDescent="0.25">
      <c r="A699" s="226">
        <v>10530090</v>
      </c>
      <c r="B699" s="92">
        <v>0</v>
      </c>
      <c r="F699">
        <v>10180001</v>
      </c>
      <c r="G699">
        <v>0</v>
      </c>
    </row>
    <row r="700" spans="1:7" x14ac:dyDescent="0.25">
      <c r="A700" s="226">
        <v>10530091</v>
      </c>
      <c r="B700" s="92">
        <v>0</v>
      </c>
      <c r="F700">
        <v>10220001</v>
      </c>
      <c r="G700">
        <v>0</v>
      </c>
    </row>
    <row r="701" spans="1:7" x14ac:dyDescent="0.25">
      <c r="A701" s="226">
        <v>10530092</v>
      </c>
      <c r="B701" s="92">
        <v>0</v>
      </c>
      <c r="F701">
        <v>10230001</v>
      </c>
      <c r="G701">
        <v>0</v>
      </c>
    </row>
    <row r="702" spans="1:7" x14ac:dyDescent="0.25">
      <c r="A702" s="226">
        <v>10530093</v>
      </c>
      <c r="B702" s="92">
        <v>0</v>
      </c>
      <c r="F702">
        <v>10240001</v>
      </c>
      <c r="G702">
        <v>0</v>
      </c>
    </row>
    <row r="703" spans="1:7" x14ac:dyDescent="0.25">
      <c r="A703" s="226">
        <v>10530094</v>
      </c>
      <c r="B703" s="92">
        <v>0</v>
      </c>
      <c r="F703">
        <v>10250001</v>
      </c>
      <c r="G703">
        <v>0</v>
      </c>
    </row>
    <row r="704" spans="1:7" x14ac:dyDescent="0.25">
      <c r="A704" s="226">
        <v>10530096</v>
      </c>
      <c r="B704" s="92">
        <v>0</v>
      </c>
      <c r="F704">
        <v>10260001</v>
      </c>
      <c r="G704">
        <v>0</v>
      </c>
    </row>
    <row r="705" spans="1:7" x14ac:dyDescent="0.25">
      <c r="A705" s="226">
        <v>10530097</v>
      </c>
      <c r="B705" s="92">
        <v>0</v>
      </c>
      <c r="F705">
        <v>10290001</v>
      </c>
      <c r="G705">
        <v>0</v>
      </c>
    </row>
    <row r="706" spans="1:7" x14ac:dyDescent="0.25">
      <c r="A706" s="226">
        <v>10530100</v>
      </c>
      <c r="B706" s="92">
        <v>0</v>
      </c>
      <c r="F706">
        <v>10300001</v>
      </c>
      <c r="G706">
        <v>0</v>
      </c>
    </row>
    <row r="707" spans="1:7" x14ac:dyDescent="0.25">
      <c r="A707" s="226">
        <v>10530101</v>
      </c>
      <c r="B707" s="92">
        <v>0</v>
      </c>
      <c r="F707">
        <v>10310001</v>
      </c>
      <c r="G707">
        <v>0</v>
      </c>
    </row>
    <row r="708" spans="1:7" x14ac:dyDescent="0.25">
      <c r="A708" s="226">
        <v>10530102</v>
      </c>
      <c r="B708" s="92">
        <v>2000</v>
      </c>
      <c r="F708">
        <v>10320001</v>
      </c>
      <c r="G708">
        <v>0</v>
      </c>
    </row>
    <row r="709" spans="1:7" x14ac:dyDescent="0.25">
      <c r="A709" s="226">
        <v>10530103</v>
      </c>
      <c r="B709" s="92">
        <v>0</v>
      </c>
      <c r="F709">
        <v>10330001</v>
      </c>
      <c r="G709">
        <v>0</v>
      </c>
    </row>
    <row r="710" spans="1:7" x14ac:dyDescent="0.25">
      <c r="A710" s="226">
        <v>10530104</v>
      </c>
      <c r="B710" s="92">
        <v>0</v>
      </c>
      <c r="F710">
        <v>10340001</v>
      </c>
      <c r="G710">
        <v>0</v>
      </c>
    </row>
    <row r="711" spans="1:7" x14ac:dyDescent="0.25">
      <c r="A711" s="226">
        <v>10530106</v>
      </c>
      <c r="B711" s="92">
        <v>0</v>
      </c>
      <c r="F711">
        <v>10350001</v>
      </c>
      <c r="G711">
        <v>0</v>
      </c>
    </row>
    <row r="712" spans="1:7" x14ac:dyDescent="0.25">
      <c r="A712" s="226">
        <v>10530107</v>
      </c>
      <c r="B712" s="92">
        <v>0</v>
      </c>
      <c r="F712">
        <v>10360001</v>
      </c>
      <c r="G712">
        <v>0</v>
      </c>
    </row>
    <row r="713" spans="1:7" x14ac:dyDescent="0.25">
      <c r="A713" s="226">
        <v>10530108</v>
      </c>
      <c r="B713" s="92">
        <v>0</v>
      </c>
      <c r="F713">
        <v>10370001</v>
      </c>
      <c r="G713">
        <v>0</v>
      </c>
    </row>
    <row r="714" spans="1:7" x14ac:dyDescent="0.25">
      <c r="A714" s="226">
        <v>10530109</v>
      </c>
      <c r="B714" s="92">
        <v>0</v>
      </c>
      <c r="F714">
        <v>10380001</v>
      </c>
      <c r="G714">
        <v>0</v>
      </c>
    </row>
    <row r="715" spans="1:7" x14ac:dyDescent="0.25">
      <c r="A715" s="226">
        <v>10530110</v>
      </c>
      <c r="B715" s="92">
        <v>0</v>
      </c>
      <c r="F715">
        <v>10390001</v>
      </c>
      <c r="G715">
        <v>0</v>
      </c>
    </row>
    <row r="716" spans="1:7" x14ac:dyDescent="0.25">
      <c r="A716" s="226">
        <v>10530111</v>
      </c>
      <c r="B716" s="92">
        <v>0</v>
      </c>
      <c r="F716">
        <v>10400001</v>
      </c>
      <c r="G716">
        <v>0</v>
      </c>
    </row>
    <row r="717" spans="1:7" x14ac:dyDescent="0.25">
      <c r="A717" s="226">
        <v>10530112</v>
      </c>
      <c r="B717" s="92">
        <v>0</v>
      </c>
      <c r="F717">
        <v>10410001</v>
      </c>
      <c r="G717">
        <v>0</v>
      </c>
    </row>
    <row r="718" spans="1:7" x14ac:dyDescent="0.25">
      <c r="A718" s="226">
        <v>10530113</v>
      </c>
      <c r="B718" s="92">
        <v>0</v>
      </c>
      <c r="F718">
        <v>10430001</v>
      </c>
      <c r="G718">
        <v>0</v>
      </c>
    </row>
    <row r="719" spans="1:7" x14ac:dyDescent="0.25">
      <c r="A719" s="226">
        <v>10540003</v>
      </c>
      <c r="B719" s="92">
        <v>0</v>
      </c>
      <c r="F719">
        <v>10440001</v>
      </c>
      <c r="G719">
        <v>0</v>
      </c>
    </row>
    <row r="720" spans="1:7" x14ac:dyDescent="0.25">
      <c r="A720" s="226">
        <v>10540005</v>
      </c>
      <c r="B720" s="92">
        <v>0</v>
      </c>
      <c r="F720">
        <v>10460001</v>
      </c>
      <c r="G720">
        <v>0</v>
      </c>
    </row>
    <row r="721" spans="1:7" x14ac:dyDescent="0.25">
      <c r="A721" s="226">
        <v>10540008</v>
      </c>
      <c r="B721" s="92">
        <v>1500</v>
      </c>
      <c r="F721">
        <v>10460002</v>
      </c>
      <c r="G721">
        <v>0</v>
      </c>
    </row>
    <row r="722" spans="1:7" x14ac:dyDescent="0.25">
      <c r="A722" s="226">
        <v>10540009</v>
      </c>
      <c r="B722" s="92">
        <v>0</v>
      </c>
      <c r="F722">
        <v>10480001</v>
      </c>
      <c r="G722">
        <v>0</v>
      </c>
    </row>
    <row r="723" spans="1:7" x14ac:dyDescent="0.25">
      <c r="A723" s="226">
        <v>10540010</v>
      </c>
      <c r="B723" s="92">
        <v>0</v>
      </c>
      <c r="F723">
        <v>10480002</v>
      </c>
      <c r="G723">
        <v>0</v>
      </c>
    </row>
    <row r="724" spans="1:7" x14ac:dyDescent="0.25">
      <c r="A724" s="226">
        <v>10540012</v>
      </c>
      <c r="B724" s="92">
        <v>0</v>
      </c>
      <c r="F724">
        <v>10480003</v>
      </c>
      <c r="G724">
        <v>0</v>
      </c>
    </row>
    <row r="725" spans="1:7" x14ac:dyDescent="0.25">
      <c r="A725" s="226">
        <v>10540014</v>
      </c>
      <c r="B725" s="92">
        <v>0</v>
      </c>
      <c r="F725">
        <v>10480005</v>
      </c>
      <c r="G725">
        <v>716</v>
      </c>
    </row>
    <row r="726" spans="1:7" x14ac:dyDescent="0.25">
      <c r="A726" s="226">
        <v>10540016</v>
      </c>
      <c r="B726" s="92">
        <v>0</v>
      </c>
      <c r="F726">
        <v>10480008</v>
      </c>
      <c r="G726">
        <v>0</v>
      </c>
    </row>
    <row r="727" spans="1:7" x14ac:dyDescent="0.25">
      <c r="A727" s="226">
        <v>10540017</v>
      </c>
      <c r="B727" s="92">
        <v>0</v>
      </c>
      <c r="F727">
        <v>10480012</v>
      </c>
      <c r="G727">
        <v>0</v>
      </c>
    </row>
    <row r="728" spans="1:7" x14ac:dyDescent="0.25">
      <c r="A728" s="226">
        <v>10540018</v>
      </c>
      <c r="B728" s="92">
        <v>2000</v>
      </c>
      <c r="F728">
        <v>10480016</v>
      </c>
      <c r="G728">
        <v>1000</v>
      </c>
    </row>
    <row r="729" spans="1:7" x14ac:dyDescent="0.25">
      <c r="A729" s="226">
        <v>10540019</v>
      </c>
      <c r="B729" s="92">
        <v>2000</v>
      </c>
      <c r="F729">
        <v>10480022</v>
      </c>
      <c r="G729">
        <v>1000</v>
      </c>
    </row>
    <row r="730" spans="1:7" x14ac:dyDescent="0.25">
      <c r="A730" s="226">
        <v>10540020</v>
      </c>
      <c r="B730" s="92">
        <v>1150</v>
      </c>
      <c r="F730">
        <v>10480023</v>
      </c>
      <c r="G730">
        <v>0</v>
      </c>
    </row>
    <row r="731" spans="1:7" x14ac:dyDescent="0.25">
      <c r="A731" s="226">
        <v>10540021</v>
      </c>
      <c r="B731" s="92">
        <v>0</v>
      </c>
      <c r="F731">
        <v>10480028</v>
      </c>
      <c r="G731">
        <v>0</v>
      </c>
    </row>
    <row r="732" spans="1:7" x14ac:dyDescent="0.25">
      <c r="A732" s="226">
        <v>10540026</v>
      </c>
      <c r="B732" s="92">
        <v>0</v>
      </c>
      <c r="F732">
        <v>10480033</v>
      </c>
      <c r="G732">
        <v>0</v>
      </c>
    </row>
    <row r="733" spans="1:7" x14ac:dyDescent="0.25">
      <c r="A733" s="226">
        <v>10540027</v>
      </c>
      <c r="B733" s="92">
        <v>0</v>
      </c>
      <c r="F733">
        <v>10480034</v>
      </c>
      <c r="G733">
        <v>0</v>
      </c>
    </row>
    <row r="734" spans="1:7" x14ac:dyDescent="0.25">
      <c r="A734" s="226">
        <v>10540032</v>
      </c>
      <c r="B734" s="92">
        <v>2000</v>
      </c>
      <c r="F734">
        <v>10480036</v>
      </c>
      <c r="G734">
        <v>0</v>
      </c>
    </row>
    <row r="735" spans="1:7" x14ac:dyDescent="0.25">
      <c r="A735" s="226">
        <v>10540036</v>
      </c>
      <c r="B735" s="92">
        <v>0</v>
      </c>
      <c r="F735">
        <v>10500001</v>
      </c>
      <c r="G735">
        <v>0</v>
      </c>
    </row>
    <row r="736" spans="1:7" x14ac:dyDescent="0.25">
      <c r="A736" s="226">
        <v>10540039</v>
      </c>
      <c r="B736" s="92">
        <v>0</v>
      </c>
      <c r="F736">
        <v>10510001</v>
      </c>
      <c r="G736">
        <v>0</v>
      </c>
    </row>
    <row r="737" spans="1:7" x14ac:dyDescent="0.25">
      <c r="A737" s="226">
        <v>10540040</v>
      </c>
      <c r="B737" s="92">
        <v>0</v>
      </c>
      <c r="F737">
        <v>10510002</v>
      </c>
      <c r="G737">
        <v>0</v>
      </c>
    </row>
    <row r="738" spans="1:7" x14ac:dyDescent="0.25">
      <c r="A738" s="226">
        <v>10540041</v>
      </c>
      <c r="B738" s="92">
        <v>0</v>
      </c>
      <c r="F738">
        <v>10510004</v>
      </c>
      <c r="G738">
        <v>0</v>
      </c>
    </row>
    <row r="739" spans="1:7" x14ac:dyDescent="0.25">
      <c r="A739" s="226">
        <v>10540042</v>
      </c>
      <c r="B739" s="92">
        <v>0</v>
      </c>
      <c r="F739">
        <v>10520006</v>
      </c>
      <c r="G739">
        <v>0</v>
      </c>
    </row>
    <row r="740" spans="1:7" x14ac:dyDescent="0.25">
      <c r="A740" s="226">
        <v>10540044</v>
      </c>
      <c r="B740" s="92">
        <v>0</v>
      </c>
      <c r="F740">
        <v>10520010</v>
      </c>
      <c r="G740">
        <v>0</v>
      </c>
    </row>
    <row r="741" spans="1:7" x14ac:dyDescent="0.25">
      <c r="A741" s="226">
        <v>10540045</v>
      </c>
      <c r="B741" s="92">
        <v>0</v>
      </c>
      <c r="F741">
        <v>10520011</v>
      </c>
      <c r="G741">
        <v>0</v>
      </c>
    </row>
    <row r="742" spans="1:7" x14ac:dyDescent="0.25">
      <c r="A742" s="226">
        <v>10540046</v>
      </c>
      <c r="B742" s="92">
        <v>0</v>
      </c>
      <c r="F742">
        <v>10530001</v>
      </c>
      <c r="G742">
        <v>0</v>
      </c>
    </row>
    <row r="743" spans="1:7" x14ac:dyDescent="0.25">
      <c r="A743" s="226">
        <v>10540048</v>
      </c>
      <c r="B743" s="92">
        <v>0</v>
      </c>
      <c r="F743">
        <v>10530002</v>
      </c>
      <c r="G743">
        <v>0</v>
      </c>
    </row>
    <row r="744" spans="1:7" x14ac:dyDescent="0.25">
      <c r="A744" s="226">
        <v>10540049</v>
      </c>
      <c r="B744" s="92">
        <v>0</v>
      </c>
      <c r="F744">
        <v>10530003</v>
      </c>
      <c r="G744">
        <v>0</v>
      </c>
    </row>
    <row r="745" spans="1:7" x14ac:dyDescent="0.25">
      <c r="A745" s="226">
        <v>10550001</v>
      </c>
      <c r="B745" s="92">
        <v>0</v>
      </c>
      <c r="F745">
        <v>10530005</v>
      </c>
      <c r="G745">
        <v>0</v>
      </c>
    </row>
    <row r="746" spans="1:7" x14ac:dyDescent="0.25">
      <c r="A746" s="226">
        <v>10550002</v>
      </c>
      <c r="B746" s="92">
        <v>0</v>
      </c>
      <c r="F746">
        <v>10530006</v>
      </c>
      <c r="G746">
        <v>0</v>
      </c>
    </row>
    <row r="747" spans="1:7" x14ac:dyDescent="0.25">
      <c r="A747" s="226">
        <v>10550005</v>
      </c>
      <c r="B747" s="92">
        <v>0</v>
      </c>
      <c r="F747">
        <v>10530007</v>
      </c>
      <c r="G747">
        <v>0</v>
      </c>
    </row>
    <row r="748" spans="1:7" x14ac:dyDescent="0.25">
      <c r="A748" s="226">
        <v>10550007</v>
      </c>
      <c r="B748" s="92">
        <v>0</v>
      </c>
      <c r="F748">
        <v>10530008</v>
      </c>
      <c r="G748">
        <v>0</v>
      </c>
    </row>
    <row r="749" spans="1:7" x14ac:dyDescent="0.25">
      <c r="A749" s="226">
        <v>10550008</v>
      </c>
      <c r="B749" s="92">
        <v>0</v>
      </c>
      <c r="F749">
        <v>10530009</v>
      </c>
      <c r="G749">
        <v>0</v>
      </c>
    </row>
    <row r="750" spans="1:7" x14ac:dyDescent="0.25">
      <c r="A750" s="226">
        <v>10550009</v>
      </c>
      <c r="B750" s="92">
        <v>0</v>
      </c>
      <c r="F750">
        <v>10530010</v>
      </c>
      <c r="G750">
        <v>0</v>
      </c>
    </row>
    <row r="751" spans="1:7" x14ac:dyDescent="0.25">
      <c r="A751" s="226">
        <v>10560001</v>
      </c>
      <c r="B751" s="92">
        <v>0</v>
      </c>
      <c r="F751">
        <v>10530011</v>
      </c>
      <c r="G751">
        <v>0</v>
      </c>
    </row>
    <row r="752" spans="1:7" x14ac:dyDescent="0.25">
      <c r="A752" s="226">
        <v>10560002</v>
      </c>
      <c r="B752" s="92">
        <v>0</v>
      </c>
      <c r="F752">
        <v>10530012</v>
      </c>
      <c r="G752">
        <v>0</v>
      </c>
    </row>
    <row r="753" spans="1:7" x14ac:dyDescent="0.25">
      <c r="A753" s="226">
        <v>10560004</v>
      </c>
      <c r="B753" s="92">
        <v>0</v>
      </c>
      <c r="F753">
        <v>10530013</v>
      </c>
      <c r="G753">
        <v>0</v>
      </c>
    </row>
    <row r="754" spans="1:7" x14ac:dyDescent="0.25">
      <c r="A754" s="226">
        <v>10560005</v>
      </c>
      <c r="B754" s="92">
        <v>0</v>
      </c>
      <c r="F754">
        <v>10530014</v>
      </c>
      <c r="G754">
        <v>0</v>
      </c>
    </row>
    <row r="755" spans="1:7" x14ac:dyDescent="0.25">
      <c r="A755" s="226">
        <v>10560007</v>
      </c>
      <c r="B755" s="92">
        <v>2000</v>
      </c>
      <c r="F755">
        <v>10530015</v>
      </c>
      <c r="G755">
        <v>0</v>
      </c>
    </row>
    <row r="756" spans="1:7" x14ac:dyDescent="0.25">
      <c r="A756" s="226">
        <v>10560011</v>
      </c>
      <c r="B756" s="92">
        <v>0</v>
      </c>
      <c r="F756">
        <v>10530016</v>
      </c>
      <c r="G756">
        <v>0</v>
      </c>
    </row>
    <row r="757" spans="1:7" x14ac:dyDescent="0.25">
      <c r="A757" s="226">
        <v>10560012</v>
      </c>
      <c r="B757" s="92">
        <v>0</v>
      </c>
      <c r="F757">
        <v>10530017</v>
      </c>
      <c r="G757">
        <v>0</v>
      </c>
    </row>
    <row r="758" spans="1:7" x14ac:dyDescent="0.25">
      <c r="A758" s="226">
        <v>10560015</v>
      </c>
      <c r="B758" s="92">
        <v>0</v>
      </c>
      <c r="F758">
        <v>10530018</v>
      </c>
      <c r="G758">
        <v>0</v>
      </c>
    </row>
    <row r="759" spans="1:7" x14ac:dyDescent="0.25">
      <c r="A759" s="226">
        <v>10560016</v>
      </c>
      <c r="B759" s="92">
        <v>0</v>
      </c>
      <c r="F759">
        <v>10530019</v>
      </c>
      <c r="G759">
        <v>0</v>
      </c>
    </row>
    <row r="760" spans="1:7" x14ac:dyDescent="0.25">
      <c r="A760" s="226">
        <v>10560017</v>
      </c>
      <c r="B760" s="92">
        <v>0</v>
      </c>
      <c r="F760">
        <v>10530021</v>
      </c>
      <c r="G760">
        <v>0</v>
      </c>
    </row>
    <row r="761" spans="1:7" x14ac:dyDescent="0.25">
      <c r="A761" s="226">
        <v>10560019</v>
      </c>
      <c r="B761" s="92">
        <v>0</v>
      </c>
      <c r="F761">
        <v>10530025</v>
      </c>
      <c r="G761">
        <v>0</v>
      </c>
    </row>
    <row r="762" spans="1:7" x14ac:dyDescent="0.25">
      <c r="A762" s="226">
        <v>10560022</v>
      </c>
      <c r="B762" s="92">
        <v>0</v>
      </c>
      <c r="F762">
        <v>10530026</v>
      </c>
      <c r="G762">
        <v>0</v>
      </c>
    </row>
    <row r="763" spans="1:7" x14ac:dyDescent="0.25">
      <c r="A763" s="226">
        <v>10560025</v>
      </c>
      <c r="B763" s="92">
        <v>0</v>
      </c>
      <c r="F763">
        <v>10530027</v>
      </c>
      <c r="G763">
        <v>730</v>
      </c>
    </row>
    <row r="764" spans="1:7" x14ac:dyDescent="0.25">
      <c r="A764" s="226">
        <v>10560026</v>
      </c>
      <c r="B764" s="92">
        <v>0</v>
      </c>
      <c r="F764">
        <v>10530029</v>
      </c>
      <c r="G764">
        <v>0</v>
      </c>
    </row>
    <row r="765" spans="1:7" x14ac:dyDescent="0.25">
      <c r="A765" s="226">
        <v>10560028</v>
      </c>
      <c r="B765" s="92">
        <v>0</v>
      </c>
      <c r="F765">
        <v>10530030</v>
      </c>
      <c r="G765">
        <v>0</v>
      </c>
    </row>
    <row r="766" spans="1:7" x14ac:dyDescent="0.25">
      <c r="A766" s="226">
        <v>10560031</v>
      </c>
      <c r="B766" s="92">
        <v>0</v>
      </c>
      <c r="F766">
        <v>10530031</v>
      </c>
      <c r="G766">
        <v>0</v>
      </c>
    </row>
    <row r="767" spans="1:7" x14ac:dyDescent="0.25">
      <c r="A767" s="226">
        <v>10560033</v>
      </c>
      <c r="B767" s="92">
        <v>0</v>
      </c>
      <c r="F767">
        <v>10530032</v>
      </c>
      <c r="G767">
        <v>0</v>
      </c>
    </row>
    <row r="768" spans="1:7" x14ac:dyDescent="0.25">
      <c r="A768" s="226">
        <v>10560034</v>
      </c>
      <c r="B768" s="92">
        <v>0</v>
      </c>
      <c r="F768">
        <v>10530033</v>
      </c>
      <c r="G768">
        <v>0</v>
      </c>
    </row>
    <row r="769" spans="1:7" x14ac:dyDescent="0.25">
      <c r="A769" s="226">
        <v>10560035</v>
      </c>
      <c r="B769" s="92">
        <v>0</v>
      </c>
      <c r="F769">
        <v>10530034</v>
      </c>
      <c r="G769">
        <v>0</v>
      </c>
    </row>
    <row r="770" spans="1:7" x14ac:dyDescent="0.25">
      <c r="A770" s="226">
        <v>10560036</v>
      </c>
      <c r="B770" s="92">
        <v>0</v>
      </c>
      <c r="F770">
        <v>10530035</v>
      </c>
      <c r="G770">
        <v>0</v>
      </c>
    </row>
    <row r="771" spans="1:7" x14ac:dyDescent="0.25">
      <c r="A771" s="226">
        <v>10560037</v>
      </c>
      <c r="B771" s="92">
        <v>0</v>
      </c>
      <c r="F771">
        <v>10530038</v>
      </c>
      <c r="G771">
        <v>0</v>
      </c>
    </row>
    <row r="772" spans="1:7" x14ac:dyDescent="0.25">
      <c r="A772" s="226">
        <v>10570001</v>
      </c>
      <c r="B772" s="92">
        <v>2000</v>
      </c>
      <c r="F772">
        <v>10530040</v>
      </c>
      <c r="G772">
        <v>0</v>
      </c>
    </row>
    <row r="773" spans="1:7" x14ac:dyDescent="0.25">
      <c r="A773" s="226">
        <v>10570003</v>
      </c>
      <c r="B773" s="92">
        <v>2000</v>
      </c>
      <c r="F773">
        <v>10530041</v>
      </c>
      <c r="G773">
        <v>0</v>
      </c>
    </row>
    <row r="774" spans="1:7" x14ac:dyDescent="0.25">
      <c r="A774" s="226">
        <v>10570007</v>
      </c>
      <c r="B774" s="92">
        <v>0</v>
      </c>
      <c r="F774">
        <v>10530042</v>
      </c>
      <c r="G774">
        <v>0</v>
      </c>
    </row>
    <row r="775" spans="1:7" x14ac:dyDescent="0.25">
      <c r="A775" s="226">
        <v>10570008</v>
      </c>
      <c r="B775" s="92">
        <v>0</v>
      </c>
      <c r="F775">
        <v>10530044</v>
      </c>
      <c r="G775">
        <v>0</v>
      </c>
    </row>
    <row r="776" spans="1:7" x14ac:dyDescent="0.25">
      <c r="A776" s="226">
        <v>10570009</v>
      </c>
      <c r="B776" s="92">
        <v>0</v>
      </c>
      <c r="F776">
        <v>10530046</v>
      </c>
      <c r="G776">
        <v>0</v>
      </c>
    </row>
    <row r="777" spans="1:7" x14ac:dyDescent="0.25">
      <c r="A777" s="226">
        <v>10570010</v>
      </c>
      <c r="B777" s="92">
        <v>0</v>
      </c>
      <c r="F777">
        <v>10530047</v>
      </c>
      <c r="G777">
        <v>0</v>
      </c>
    </row>
    <row r="778" spans="1:7" x14ac:dyDescent="0.25">
      <c r="A778" s="226">
        <v>10570013</v>
      </c>
      <c r="B778" s="92">
        <v>0</v>
      </c>
      <c r="F778">
        <v>10530048</v>
      </c>
      <c r="G778">
        <v>0</v>
      </c>
    </row>
    <row r="779" spans="1:7" x14ac:dyDescent="0.25">
      <c r="A779" s="226">
        <v>10570017</v>
      </c>
      <c r="B779" s="92">
        <v>2000</v>
      </c>
      <c r="F779">
        <v>10530049</v>
      </c>
      <c r="G779">
        <v>0</v>
      </c>
    </row>
    <row r="780" spans="1:7" x14ac:dyDescent="0.25">
      <c r="A780" s="226">
        <v>10570018</v>
      </c>
      <c r="B780" s="92">
        <v>0</v>
      </c>
      <c r="F780">
        <v>10530050</v>
      </c>
      <c r="G780">
        <v>0</v>
      </c>
    </row>
    <row r="781" spans="1:7" x14ac:dyDescent="0.25">
      <c r="A781" s="226">
        <v>10570019</v>
      </c>
      <c r="B781" s="92">
        <v>0</v>
      </c>
      <c r="F781">
        <v>10530052</v>
      </c>
      <c r="G781">
        <v>0</v>
      </c>
    </row>
    <row r="782" spans="1:7" x14ac:dyDescent="0.25">
      <c r="A782" s="226">
        <v>10570020</v>
      </c>
      <c r="B782" s="92">
        <v>0</v>
      </c>
      <c r="F782">
        <v>10530053</v>
      </c>
      <c r="G782">
        <v>0</v>
      </c>
    </row>
    <row r="783" spans="1:7" x14ac:dyDescent="0.25">
      <c r="A783" s="226">
        <v>10570021</v>
      </c>
      <c r="B783" s="92">
        <v>0</v>
      </c>
      <c r="F783">
        <v>10530054</v>
      </c>
      <c r="G783">
        <v>0</v>
      </c>
    </row>
    <row r="784" spans="1:7" x14ac:dyDescent="0.25">
      <c r="A784" s="226">
        <v>10570022</v>
      </c>
      <c r="B784" s="92">
        <v>0</v>
      </c>
      <c r="F784">
        <v>10530055</v>
      </c>
      <c r="G784">
        <v>0</v>
      </c>
    </row>
    <row r="785" spans="1:7" x14ac:dyDescent="0.25">
      <c r="A785" s="226">
        <v>10570024</v>
      </c>
      <c r="B785" s="92">
        <v>0</v>
      </c>
      <c r="F785">
        <v>10530056</v>
      </c>
      <c r="G785">
        <v>0</v>
      </c>
    </row>
    <row r="786" spans="1:7" x14ac:dyDescent="0.25">
      <c r="A786" s="226">
        <v>10570025</v>
      </c>
      <c r="B786" s="92">
        <v>0</v>
      </c>
      <c r="F786">
        <v>10530057</v>
      </c>
      <c r="G786">
        <v>0</v>
      </c>
    </row>
    <row r="787" spans="1:7" x14ac:dyDescent="0.25">
      <c r="A787" s="226">
        <v>10570028</v>
      </c>
      <c r="B787" s="92">
        <v>0</v>
      </c>
      <c r="F787">
        <v>10530058</v>
      </c>
      <c r="G787">
        <v>653</v>
      </c>
    </row>
    <row r="788" spans="1:7" x14ac:dyDescent="0.25">
      <c r="A788" s="226">
        <v>10570029</v>
      </c>
      <c r="B788" s="92">
        <v>0</v>
      </c>
      <c r="F788">
        <v>10530059</v>
      </c>
      <c r="G788">
        <v>0</v>
      </c>
    </row>
    <row r="789" spans="1:7" x14ac:dyDescent="0.25">
      <c r="A789" s="226">
        <v>10570030</v>
      </c>
      <c r="B789" s="92">
        <v>0</v>
      </c>
      <c r="F789">
        <v>10530060</v>
      </c>
      <c r="G789">
        <v>0</v>
      </c>
    </row>
    <row r="790" spans="1:7" x14ac:dyDescent="0.25">
      <c r="A790" s="226">
        <v>10570031</v>
      </c>
      <c r="B790" s="92">
        <v>1500</v>
      </c>
      <c r="F790">
        <v>10530062</v>
      </c>
      <c r="G790">
        <v>0</v>
      </c>
    </row>
    <row r="791" spans="1:7" x14ac:dyDescent="0.25">
      <c r="A791" s="226">
        <v>10570036</v>
      </c>
      <c r="B791" s="92">
        <v>0</v>
      </c>
      <c r="F791">
        <v>10530063</v>
      </c>
      <c r="G791">
        <v>0</v>
      </c>
    </row>
    <row r="792" spans="1:7" x14ac:dyDescent="0.25">
      <c r="A792" s="226">
        <v>10570037</v>
      </c>
      <c r="B792" s="92">
        <v>0</v>
      </c>
      <c r="F792">
        <v>10530064</v>
      </c>
      <c r="G792">
        <v>0</v>
      </c>
    </row>
    <row r="793" spans="1:7" x14ac:dyDescent="0.25">
      <c r="A793" s="226">
        <v>10570038</v>
      </c>
      <c r="B793" s="92">
        <v>0</v>
      </c>
      <c r="F793">
        <v>10530065</v>
      </c>
      <c r="G793">
        <v>0</v>
      </c>
    </row>
    <row r="794" spans="1:7" x14ac:dyDescent="0.25">
      <c r="A794" s="226">
        <v>10570042</v>
      </c>
      <c r="B794" s="92">
        <v>0</v>
      </c>
      <c r="F794">
        <v>10530067</v>
      </c>
      <c r="G794">
        <v>0</v>
      </c>
    </row>
    <row r="795" spans="1:7" x14ac:dyDescent="0.25">
      <c r="A795" s="226">
        <v>10570044</v>
      </c>
      <c r="B795" s="92">
        <v>0</v>
      </c>
      <c r="F795">
        <v>10530068</v>
      </c>
      <c r="G795">
        <v>0</v>
      </c>
    </row>
    <row r="796" spans="1:7" x14ac:dyDescent="0.25">
      <c r="A796" s="226">
        <v>10570045</v>
      </c>
      <c r="B796" s="92">
        <v>0</v>
      </c>
      <c r="F796">
        <v>10530069</v>
      </c>
      <c r="G796">
        <v>0</v>
      </c>
    </row>
    <row r="797" spans="1:7" x14ac:dyDescent="0.25">
      <c r="A797" s="226">
        <v>10570046</v>
      </c>
      <c r="B797" s="92">
        <v>0</v>
      </c>
      <c r="F797">
        <v>10530070</v>
      </c>
      <c r="G797">
        <v>0</v>
      </c>
    </row>
    <row r="798" spans="1:7" x14ac:dyDescent="0.25">
      <c r="A798" s="226">
        <v>10570047</v>
      </c>
      <c r="B798" s="92">
        <v>0</v>
      </c>
      <c r="F798">
        <v>10530071</v>
      </c>
      <c r="G798">
        <v>0</v>
      </c>
    </row>
    <row r="799" spans="1:7" x14ac:dyDescent="0.25">
      <c r="A799" s="226">
        <v>10570049</v>
      </c>
      <c r="B799" s="92">
        <v>0</v>
      </c>
      <c r="F799">
        <v>10530072</v>
      </c>
      <c r="G799">
        <v>0</v>
      </c>
    </row>
    <row r="800" spans="1:7" x14ac:dyDescent="0.25">
      <c r="A800" s="226">
        <v>10570053</v>
      </c>
      <c r="B800" s="92">
        <v>0</v>
      </c>
      <c r="F800">
        <v>10530073</v>
      </c>
      <c r="G800">
        <v>0</v>
      </c>
    </row>
    <row r="801" spans="1:7" x14ac:dyDescent="0.25">
      <c r="A801" s="226">
        <v>10570055</v>
      </c>
      <c r="B801" s="92">
        <v>0</v>
      </c>
      <c r="F801">
        <v>10530074</v>
      </c>
      <c r="G801">
        <v>0</v>
      </c>
    </row>
    <row r="802" spans="1:7" x14ac:dyDescent="0.25">
      <c r="A802" s="226">
        <v>10570058</v>
      </c>
      <c r="B802" s="92">
        <v>0</v>
      </c>
      <c r="F802">
        <v>10530075</v>
      </c>
      <c r="G802">
        <v>0</v>
      </c>
    </row>
    <row r="803" spans="1:7" x14ac:dyDescent="0.25">
      <c r="A803" s="226">
        <v>10570059</v>
      </c>
      <c r="B803" s="92">
        <v>0</v>
      </c>
      <c r="F803">
        <v>10530076</v>
      </c>
      <c r="G803">
        <v>0</v>
      </c>
    </row>
    <row r="804" spans="1:7" x14ac:dyDescent="0.25">
      <c r="A804" s="226">
        <v>10570060</v>
      </c>
      <c r="B804" s="92">
        <v>0</v>
      </c>
      <c r="F804">
        <v>10530077</v>
      </c>
      <c r="G804">
        <v>0</v>
      </c>
    </row>
    <row r="805" spans="1:7" x14ac:dyDescent="0.25">
      <c r="A805" s="226">
        <v>10580001</v>
      </c>
      <c r="B805" s="92">
        <v>0</v>
      </c>
      <c r="F805">
        <v>10530078</v>
      </c>
      <c r="G805">
        <v>0</v>
      </c>
    </row>
    <row r="806" spans="1:7" x14ac:dyDescent="0.25">
      <c r="A806" s="226">
        <v>10580002</v>
      </c>
      <c r="B806" s="92">
        <v>0</v>
      </c>
      <c r="F806">
        <v>10530079</v>
      </c>
      <c r="G806">
        <v>0</v>
      </c>
    </row>
    <row r="807" spans="1:7" x14ac:dyDescent="0.25">
      <c r="A807" s="226">
        <v>10580004</v>
      </c>
      <c r="B807" s="92">
        <v>0</v>
      </c>
      <c r="F807">
        <v>10530080</v>
      </c>
      <c r="G807">
        <v>0</v>
      </c>
    </row>
    <row r="808" spans="1:7" x14ac:dyDescent="0.25">
      <c r="A808" s="226">
        <v>10580005</v>
      </c>
      <c r="B808" s="92">
        <v>0</v>
      </c>
      <c r="F808">
        <v>10530081</v>
      </c>
      <c r="G808">
        <v>0</v>
      </c>
    </row>
    <row r="809" spans="1:7" x14ac:dyDescent="0.25">
      <c r="A809" s="226">
        <v>10580010</v>
      </c>
      <c r="B809" s="92">
        <v>0</v>
      </c>
      <c r="F809">
        <v>10530082</v>
      </c>
      <c r="G809">
        <v>0</v>
      </c>
    </row>
    <row r="810" spans="1:7" x14ac:dyDescent="0.25">
      <c r="A810" s="226">
        <v>10580012</v>
      </c>
      <c r="B810" s="92">
        <v>2000</v>
      </c>
      <c r="F810">
        <v>10530084</v>
      </c>
      <c r="G810">
        <v>0</v>
      </c>
    </row>
    <row r="811" spans="1:7" x14ac:dyDescent="0.25">
      <c r="A811" s="226">
        <v>10580015</v>
      </c>
      <c r="B811" s="92">
        <v>0</v>
      </c>
      <c r="F811">
        <v>10530085</v>
      </c>
      <c r="G811">
        <v>0</v>
      </c>
    </row>
    <row r="812" spans="1:7" x14ac:dyDescent="0.25">
      <c r="A812" s="226">
        <v>10580017</v>
      </c>
      <c r="B812" s="92">
        <v>0</v>
      </c>
      <c r="F812">
        <v>10530089</v>
      </c>
      <c r="G812">
        <v>0</v>
      </c>
    </row>
    <row r="813" spans="1:7" x14ac:dyDescent="0.25">
      <c r="A813" s="226">
        <v>10580018</v>
      </c>
      <c r="B813" s="92">
        <v>1500</v>
      </c>
      <c r="F813">
        <v>10530090</v>
      </c>
      <c r="G813">
        <v>0</v>
      </c>
    </row>
    <row r="814" spans="1:7" x14ac:dyDescent="0.25">
      <c r="A814" s="226">
        <v>10580022</v>
      </c>
      <c r="B814" s="92">
        <v>0</v>
      </c>
      <c r="F814">
        <v>10530091</v>
      </c>
      <c r="G814">
        <v>0</v>
      </c>
    </row>
    <row r="815" spans="1:7" x14ac:dyDescent="0.25">
      <c r="A815" s="226">
        <v>10580023</v>
      </c>
      <c r="B815" s="92">
        <v>0</v>
      </c>
      <c r="F815">
        <v>10530092</v>
      </c>
      <c r="G815">
        <v>0</v>
      </c>
    </row>
    <row r="816" spans="1:7" x14ac:dyDescent="0.25">
      <c r="A816" s="226">
        <v>10580024</v>
      </c>
      <c r="B816" s="92">
        <v>0</v>
      </c>
      <c r="F816">
        <v>10530093</v>
      </c>
      <c r="G816">
        <v>0</v>
      </c>
    </row>
    <row r="817" spans="1:7" x14ac:dyDescent="0.25">
      <c r="A817" s="226">
        <v>10580025</v>
      </c>
      <c r="B817" s="92">
        <v>0</v>
      </c>
      <c r="F817">
        <v>10530094</v>
      </c>
      <c r="G817">
        <v>0</v>
      </c>
    </row>
    <row r="818" spans="1:7" x14ac:dyDescent="0.25">
      <c r="A818" s="226">
        <v>10580026</v>
      </c>
      <c r="B818" s="92">
        <v>0</v>
      </c>
      <c r="F818">
        <v>10530096</v>
      </c>
      <c r="G818">
        <v>0</v>
      </c>
    </row>
    <row r="819" spans="1:7" x14ac:dyDescent="0.25">
      <c r="A819" s="226">
        <v>10580027</v>
      </c>
      <c r="B819" s="92">
        <v>0</v>
      </c>
      <c r="F819">
        <v>10530097</v>
      </c>
      <c r="G819">
        <v>0</v>
      </c>
    </row>
    <row r="820" spans="1:7" x14ac:dyDescent="0.25">
      <c r="A820" s="226">
        <v>10580028</v>
      </c>
      <c r="B820" s="92">
        <v>0</v>
      </c>
      <c r="F820">
        <v>10530099</v>
      </c>
      <c r="G820">
        <v>0</v>
      </c>
    </row>
    <row r="821" spans="1:7" x14ac:dyDescent="0.25">
      <c r="A821" s="226">
        <v>10580029</v>
      </c>
      <c r="B821" s="92">
        <v>0</v>
      </c>
      <c r="F821">
        <v>10530100</v>
      </c>
      <c r="G821">
        <v>0</v>
      </c>
    </row>
    <row r="822" spans="1:7" x14ac:dyDescent="0.25">
      <c r="A822" s="226">
        <v>10580030</v>
      </c>
      <c r="B822" s="92">
        <v>0</v>
      </c>
      <c r="F822">
        <v>10530101</v>
      </c>
      <c r="G822">
        <v>0</v>
      </c>
    </row>
    <row r="823" spans="1:7" x14ac:dyDescent="0.25">
      <c r="A823" s="226">
        <v>10590001</v>
      </c>
      <c r="B823" s="92">
        <v>0</v>
      </c>
      <c r="F823">
        <v>10530102</v>
      </c>
      <c r="G823">
        <v>0</v>
      </c>
    </row>
    <row r="824" spans="1:7" x14ac:dyDescent="0.25">
      <c r="A824" s="226">
        <v>10590002</v>
      </c>
      <c r="B824" s="92">
        <v>2000</v>
      </c>
      <c r="F824">
        <v>10530103</v>
      </c>
      <c r="G824">
        <v>0</v>
      </c>
    </row>
    <row r="825" spans="1:7" x14ac:dyDescent="0.25">
      <c r="A825" s="226">
        <v>10590004</v>
      </c>
      <c r="B825" s="92">
        <v>0</v>
      </c>
      <c r="F825">
        <v>10530104</v>
      </c>
      <c r="G825">
        <v>0</v>
      </c>
    </row>
    <row r="826" spans="1:7" x14ac:dyDescent="0.25">
      <c r="A826" s="226">
        <v>10590006</v>
      </c>
      <c r="B826" s="92">
        <v>0</v>
      </c>
      <c r="F826">
        <v>10530105</v>
      </c>
      <c r="G826">
        <v>0</v>
      </c>
    </row>
    <row r="827" spans="1:7" x14ac:dyDescent="0.25">
      <c r="A827" s="226">
        <v>10590007</v>
      </c>
      <c r="B827" s="92">
        <v>0</v>
      </c>
      <c r="F827">
        <v>10530106</v>
      </c>
      <c r="G827">
        <v>0</v>
      </c>
    </row>
    <row r="828" spans="1:7" x14ac:dyDescent="0.25">
      <c r="A828" s="226">
        <v>10590008</v>
      </c>
      <c r="B828" s="92">
        <v>0</v>
      </c>
      <c r="F828">
        <v>10530107</v>
      </c>
      <c r="G828">
        <v>0</v>
      </c>
    </row>
    <row r="829" spans="1:7" x14ac:dyDescent="0.25">
      <c r="A829" s="226">
        <v>10590009</v>
      </c>
      <c r="B829" s="92">
        <v>0</v>
      </c>
      <c r="F829">
        <v>10530108</v>
      </c>
      <c r="G829">
        <v>0</v>
      </c>
    </row>
    <row r="830" spans="1:7" x14ac:dyDescent="0.25">
      <c r="A830" s="226">
        <v>10590010</v>
      </c>
      <c r="B830" s="92">
        <v>0</v>
      </c>
      <c r="F830">
        <v>10530109</v>
      </c>
      <c r="G830">
        <v>0</v>
      </c>
    </row>
    <row r="831" spans="1:7" x14ac:dyDescent="0.25">
      <c r="A831" s="226">
        <v>10590011</v>
      </c>
      <c r="B831" s="92">
        <v>0</v>
      </c>
      <c r="F831">
        <v>10530110</v>
      </c>
      <c r="G831">
        <v>0</v>
      </c>
    </row>
    <row r="832" spans="1:7" x14ac:dyDescent="0.25">
      <c r="A832" s="226">
        <v>10590012</v>
      </c>
      <c r="B832" s="92">
        <v>0</v>
      </c>
      <c r="F832">
        <v>10530111</v>
      </c>
      <c r="G832">
        <v>0</v>
      </c>
    </row>
    <row r="833" spans="1:7" x14ac:dyDescent="0.25">
      <c r="A833" s="226">
        <v>10590013</v>
      </c>
      <c r="B833" s="92">
        <v>0</v>
      </c>
      <c r="F833">
        <v>10530112</v>
      </c>
      <c r="G833">
        <v>0</v>
      </c>
    </row>
    <row r="834" spans="1:7" x14ac:dyDescent="0.25">
      <c r="A834" s="226">
        <v>10590014</v>
      </c>
      <c r="B834" s="92">
        <v>0</v>
      </c>
      <c r="F834">
        <v>10530113</v>
      </c>
      <c r="G834">
        <v>0</v>
      </c>
    </row>
    <row r="835" spans="1:7" x14ac:dyDescent="0.25">
      <c r="A835" s="226">
        <v>10590016</v>
      </c>
      <c r="B835" s="92">
        <v>0</v>
      </c>
      <c r="F835">
        <v>10530115</v>
      </c>
      <c r="G835">
        <v>0</v>
      </c>
    </row>
    <row r="836" spans="1:7" x14ac:dyDescent="0.25">
      <c r="A836" s="226">
        <v>10600001</v>
      </c>
      <c r="B836" s="92">
        <v>0</v>
      </c>
      <c r="F836">
        <v>10540003</v>
      </c>
      <c r="G836">
        <v>0</v>
      </c>
    </row>
    <row r="837" spans="1:7" x14ac:dyDescent="0.25">
      <c r="A837" s="226">
        <v>10600002</v>
      </c>
      <c r="B837" s="92">
        <v>0</v>
      </c>
      <c r="F837">
        <v>10540005</v>
      </c>
      <c r="G837">
        <v>0</v>
      </c>
    </row>
    <row r="838" spans="1:7" x14ac:dyDescent="0.25">
      <c r="A838" s="226">
        <v>10600004</v>
      </c>
      <c r="B838" s="92">
        <v>0</v>
      </c>
      <c r="F838">
        <v>10540008</v>
      </c>
      <c r="G838">
        <v>1000</v>
      </c>
    </row>
    <row r="839" spans="1:7" x14ac:dyDescent="0.25">
      <c r="A839" s="226">
        <v>10600005</v>
      </c>
      <c r="B839" s="92">
        <v>0</v>
      </c>
      <c r="F839">
        <v>10540009</v>
      </c>
      <c r="G839">
        <v>0</v>
      </c>
    </row>
    <row r="840" spans="1:7" x14ac:dyDescent="0.25">
      <c r="A840" s="226">
        <v>10600006</v>
      </c>
      <c r="B840" s="92">
        <v>0</v>
      </c>
      <c r="F840">
        <v>10540010</v>
      </c>
      <c r="G840">
        <v>0</v>
      </c>
    </row>
    <row r="841" spans="1:7" x14ac:dyDescent="0.25">
      <c r="A841" s="226">
        <v>10600008</v>
      </c>
      <c r="B841" s="92">
        <v>2000</v>
      </c>
      <c r="F841">
        <v>10540012</v>
      </c>
      <c r="G841">
        <v>0</v>
      </c>
    </row>
    <row r="842" spans="1:7" x14ac:dyDescent="0.25">
      <c r="A842" s="226">
        <v>10600009</v>
      </c>
      <c r="B842" s="92">
        <v>0</v>
      </c>
      <c r="F842">
        <v>10540014</v>
      </c>
      <c r="G842">
        <v>0</v>
      </c>
    </row>
    <row r="843" spans="1:7" x14ac:dyDescent="0.25">
      <c r="A843" s="226">
        <v>10600012</v>
      </c>
      <c r="B843" s="92">
        <v>0</v>
      </c>
      <c r="F843">
        <v>10540015</v>
      </c>
      <c r="G843">
        <v>0</v>
      </c>
    </row>
    <row r="844" spans="1:7" x14ac:dyDescent="0.25">
      <c r="A844" s="226">
        <v>10610001</v>
      </c>
      <c r="B844" s="92">
        <v>0</v>
      </c>
      <c r="F844">
        <v>10540016</v>
      </c>
      <c r="G844">
        <v>0</v>
      </c>
    </row>
    <row r="845" spans="1:7" x14ac:dyDescent="0.25">
      <c r="A845" s="226">
        <v>10610002</v>
      </c>
      <c r="B845" s="92">
        <v>0</v>
      </c>
      <c r="F845">
        <v>10540017</v>
      </c>
      <c r="G845">
        <v>0</v>
      </c>
    </row>
    <row r="846" spans="1:7" x14ac:dyDescent="0.25">
      <c r="A846" s="226">
        <v>10610003</v>
      </c>
      <c r="B846" s="92">
        <v>0</v>
      </c>
      <c r="F846">
        <v>10540018</v>
      </c>
      <c r="G846">
        <v>1000</v>
      </c>
    </row>
    <row r="847" spans="1:7" x14ac:dyDescent="0.25">
      <c r="A847" s="226">
        <v>10610004</v>
      </c>
      <c r="B847" s="92">
        <v>0</v>
      </c>
      <c r="F847">
        <v>10540019</v>
      </c>
      <c r="G847">
        <v>1000</v>
      </c>
    </row>
    <row r="848" spans="1:7" x14ac:dyDescent="0.25">
      <c r="A848" s="226">
        <v>10610005</v>
      </c>
      <c r="B848" s="92">
        <v>0</v>
      </c>
      <c r="F848">
        <v>10540020</v>
      </c>
      <c r="G848">
        <v>500</v>
      </c>
    </row>
    <row r="849" spans="1:7" x14ac:dyDescent="0.25">
      <c r="A849" s="226">
        <v>10610006</v>
      </c>
      <c r="B849" s="92">
        <v>0</v>
      </c>
      <c r="F849">
        <v>10540021</v>
      </c>
      <c r="G849">
        <v>0</v>
      </c>
    </row>
    <row r="850" spans="1:7" x14ac:dyDescent="0.25">
      <c r="A850" s="226">
        <v>10610008</v>
      </c>
      <c r="B850" s="92">
        <v>0</v>
      </c>
      <c r="F850">
        <v>10540026</v>
      </c>
      <c r="G850">
        <v>0</v>
      </c>
    </row>
    <row r="851" spans="1:7" x14ac:dyDescent="0.25">
      <c r="A851" s="226">
        <v>10610009</v>
      </c>
      <c r="B851" s="92">
        <v>0</v>
      </c>
      <c r="F851">
        <v>10540027</v>
      </c>
      <c r="G851">
        <v>0</v>
      </c>
    </row>
    <row r="852" spans="1:7" x14ac:dyDescent="0.25">
      <c r="A852" s="226">
        <v>10610010</v>
      </c>
      <c r="B852" s="92">
        <v>0</v>
      </c>
      <c r="F852">
        <v>10540028</v>
      </c>
      <c r="G852">
        <v>0</v>
      </c>
    </row>
    <row r="853" spans="1:7" x14ac:dyDescent="0.25">
      <c r="A853" s="226">
        <v>10610011</v>
      </c>
      <c r="B853" s="92">
        <v>0</v>
      </c>
      <c r="F853">
        <v>10540029</v>
      </c>
      <c r="G853">
        <v>0</v>
      </c>
    </row>
    <row r="854" spans="1:7" x14ac:dyDescent="0.25">
      <c r="A854" s="226">
        <v>10610013</v>
      </c>
      <c r="B854" s="92">
        <v>0</v>
      </c>
      <c r="F854">
        <v>10540032</v>
      </c>
      <c r="G854">
        <v>0</v>
      </c>
    </row>
    <row r="855" spans="1:7" x14ac:dyDescent="0.25">
      <c r="A855" s="226">
        <v>10610017</v>
      </c>
      <c r="B855" s="92">
        <v>0</v>
      </c>
      <c r="F855">
        <v>10540034</v>
      </c>
      <c r="G855">
        <v>0</v>
      </c>
    </row>
    <row r="856" spans="1:7" x14ac:dyDescent="0.25">
      <c r="A856" s="226">
        <v>10610018</v>
      </c>
      <c r="B856" s="92">
        <v>0</v>
      </c>
      <c r="F856">
        <v>10540036</v>
      </c>
      <c r="G856">
        <v>0</v>
      </c>
    </row>
    <row r="857" spans="1:7" x14ac:dyDescent="0.25">
      <c r="A857" s="226">
        <v>10610019</v>
      </c>
      <c r="B857" s="92">
        <v>0</v>
      </c>
      <c r="F857">
        <v>10540039</v>
      </c>
      <c r="G857">
        <v>0</v>
      </c>
    </row>
    <row r="858" spans="1:7" x14ac:dyDescent="0.25">
      <c r="A858" s="226">
        <v>10610020</v>
      </c>
      <c r="B858" s="92">
        <v>0</v>
      </c>
      <c r="F858">
        <v>10540040</v>
      </c>
      <c r="G858">
        <v>0</v>
      </c>
    </row>
    <row r="859" spans="1:7" x14ac:dyDescent="0.25">
      <c r="A859" s="226">
        <v>10610022</v>
      </c>
      <c r="B859" s="92">
        <v>0</v>
      </c>
      <c r="F859">
        <v>10540041</v>
      </c>
      <c r="G859">
        <v>0</v>
      </c>
    </row>
    <row r="860" spans="1:7" x14ac:dyDescent="0.25">
      <c r="A860" s="226">
        <v>10610024</v>
      </c>
      <c r="B860" s="92">
        <v>0</v>
      </c>
      <c r="F860">
        <v>10540042</v>
      </c>
      <c r="G860">
        <v>0</v>
      </c>
    </row>
    <row r="861" spans="1:7" x14ac:dyDescent="0.25">
      <c r="A861" s="226">
        <v>10610025</v>
      </c>
      <c r="B861" s="92">
        <v>0</v>
      </c>
      <c r="F861">
        <v>10540044</v>
      </c>
      <c r="G861">
        <v>0</v>
      </c>
    </row>
    <row r="862" spans="1:7" x14ac:dyDescent="0.25">
      <c r="A862" s="226">
        <v>10610026</v>
      </c>
      <c r="B862" s="92">
        <v>0</v>
      </c>
      <c r="F862">
        <v>10540045</v>
      </c>
      <c r="G862">
        <v>0</v>
      </c>
    </row>
    <row r="863" spans="1:7" x14ac:dyDescent="0.25">
      <c r="A863" s="226">
        <v>10610027</v>
      </c>
      <c r="B863" s="92">
        <v>0</v>
      </c>
      <c r="F863">
        <v>10540046</v>
      </c>
      <c r="G863">
        <v>0</v>
      </c>
    </row>
    <row r="864" spans="1:7" x14ac:dyDescent="0.25">
      <c r="A864" s="226">
        <v>10610028</v>
      </c>
      <c r="B864" s="92">
        <v>0</v>
      </c>
      <c r="F864">
        <v>10540048</v>
      </c>
      <c r="G864">
        <v>0</v>
      </c>
    </row>
    <row r="865" spans="1:7" x14ac:dyDescent="0.25">
      <c r="A865" s="226">
        <v>10610031</v>
      </c>
      <c r="B865" s="92">
        <v>0</v>
      </c>
      <c r="F865">
        <v>10540049</v>
      </c>
      <c r="G865">
        <v>0</v>
      </c>
    </row>
    <row r="866" spans="1:7" x14ac:dyDescent="0.25">
      <c r="A866" s="226">
        <v>10610032</v>
      </c>
      <c r="B866" s="92">
        <v>0</v>
      </c>
      <c r="F866">
        <v>10550001</v>
      </c>
      <c r="G866">
        <v>0</v>
      </c>
    </row>
    <row r="867" spans="1:7" x14ac:dyDescent="0.25">
      <c r="A867" s="226">
        <v>10610034</v>
      </c>
      <c r="B867" s="92">
        <v>0</v>
      </c>
      <c r="F867">
        <v>10550002</v>
      </c>
      <c r="G867">
        <v>0</v>
      </c>
    </row>
    <row r="868" spans="1:7" x14ac:dyDescent="0.25">
      <c r="A868" s="226">
        <v>10610035</v>
      </c>
      <c r="B868" s="92">
        <v>0</v>
      </c>
      <c r="F868">
        <v>10550005</v>
      </c>
      <c r="G868">
        <v>0</v>
      </c>
    </row>
    <row r="869" spans="1:7" x14ac:dyDescent="0.25">
      <c r="A869" s="226">
        <v>10610036</v>
      </c>
      <c r="B869" s="92">
        <v>0</v>
      </c>
      <c r="F869">
        <v>10550007</v>
      </c>
      <c r="G869">
        <v>0</v>
      </c>
    </row>
    <row r="870" spans="1:7" x14ac:dyDescent="0.25">
      <c r="A870" s="226">
        <v>10610038</v>
      </c>
      <c r="B870" s="92">
        <v>0</v>
      </c>
      <c r="F870">
        <v>10550008</v>
      </c>
      <c r="G870">
        <v>0</v>
      </c>
    </row>
    <row r="871" spans="1:7" x14ac:dyDescent="0.25">
      <c r="A871" s="226">
        <v>10610039</v>
      </c>
      <c r="B871" s="92">
        <v>0</v>
      </c>
      <c r="F871">
        <v>10550009</v>
      </c>
      <c r="G871">
        <v>0</v>
      </c>
    </row>
    <row r="872" spans="1:7" x14ac:dyDescent="0.25">
      <c r="A872" s="226">
        <v>10610045</v>
      </c>
      <c r="B872" s="92">
        <v>0</v>
      </c>
      <c r="F872">
        <v>10560001</v>
      </c>
      <c r="G872">
        <v>0</v>
      </c>
    </row>
    <row r="873" spans="1:7" x14ac:dyDescent="0.25">
      <c r="A873" s="226">
        <v>10610046</v>
      </c>
      <c r="B873" s="92">
        <v>0</v>
      </c>
      <c r="F873">
        <v>10560002</v>
      </c>
      <c r="G873">
        <v>0</v>
      </c>
    </row>
    <row r="874" spans="1:7" x14ac:dyDescent="0.25">
      <c r="A874" s="226">
        <v>10610047</v>
      </c>
      <c r="B874" s="92">
        <v>0</v>
      </c>
      <c r="F874">
        <v>10560004</v>
      </c>
      <c r="G874">
        <v>0</v>
      </c>
    </row>
    <row r="875" spans="1:7" x14ac:dyDescent="0.25">
      <c r="A875" s="226">
        <v>10610048</v>
      </c>
      <c r="B875" s="92">
        <v>0</v>
      </c>
      <c r="F875">
        <v>10560005</v>
      </c>
      <c r="G875">
        <v>0</v>
      </c>
    </row>
    <row r="876" spans="1:7" x14ac:dyDescent="0.25">
      <c r="A876" s="226">
        <v>10610050</v>
      </c>
      <c r="B876" s="92">
        <v>0</v>
      </c>
      <c r="F876">
        <v>10560006</v>
      </c>
      <c r="G876">
        <v>1000</v>
      </c>
    </row>
    <row r="877" spans="1:7" x14ac:dyDescent="0.25">
      <c r="A877" s="226">
        <v>10610051</v>
      </c>
      <c r="B877" s="92">
        <v>0</v>
      </c>
      <c r="F877">
        <v>10560007</v>
      </c>
      <c r="G877">
        <v>1000</v>
      </c>
    </row>
    <row r="878" spans="1:7" x14ac:dyDescent="0.25">
      <c r="A878" s="226">
        <v>10610052</v>
      </c>
      <c r="B878" s="92">
        <v>0</v>
      </c>
      <c r="F878">
        <v>10560011</v>
      </c>
      <c r="G878">
        <v>0</v>
      </c>
    </row>
    <row r="879" spans="1:7" x14ac:dyDescent="0.25">
      <c r="A879" s="226">
        <v>10630002</v>
      </c>
      <c r="B879" s="92">
        <v>0</v>
      </c>
      <c r="F879">
        <v>10560012</v>
      </c>
      <c r="G879">
        <v>0</v>
      </c>
    </row>
    <row r="880" spans="1:7" x14ac:dyDescent="0.25">
      <c r="A880" s="226">
        <v>10630003</v>
      </c>
      <c r="B880" s="92">
        <v>0</v>
      </c>
      <c r="F880">
        <v>10560015</v>
      </c>
      <c r="G880">
        <v>0</v>
      </c>
    </row>
    <row r="881" spans="1:7" x14ac:dyDescent="0.25">
      <c r="A881" s="226">
        <v>10630004</v>
      </c>
      <c r="B881" s="92">
        <v>0</v>
      </c>
      <c r="F881">
        <v>10560016</v>
      </c>
      <c r="G881">
        <v>0</v>
      </c>
    </row>
    <row r="882" spans="1:7" x14ac:dyDescent="0.25">
      <c r="A882" s="226">
        <v>10630008</v>
      </c>
      <c r="B882" s="92">
        <v>0</v>
      </c>
      <c r="F882">
        <v>10560017</v>
      </c>
      <c r="G882">
        <v>0</v>
      </c>
    </row>
    <row r="883" spans="1:7" x14ac:dyDescent="0.25">
      <c r="A883" s="226">
        <v>10630009</v>
      </c>
      <c r="B883" s="92">
        <v>0</v>
      </c>
      <c r="F883">
        <v>10560019</v>
      </c>
      <c r="G883">
        <v>0</v>
      </c>
    </row>
    <row r="884" spans="1:7" x14ac:dyDescent="0.25">
      <c r="A884" s="226">
        <v>10630010</v>
      </c>
      <c r="B884" s="92">
        <v>0</v>
      </c>
      <c r="F884">
        <v>10560022</v>
      </c>
      <c r="G884">
        <v>0</v>
      </c>
    </row>
    <row r="885" spans="1:7" x14ac:dyDescent="0.25">
      <c r="A885" s="226">
        <v>10630011</v>
      </c>
      <c r="B885" s="92">
        <v>0</v>
      </c>
      <c r="F885">
        <v>10560025</v>
      </c>
      <c r="G885">
        <v>0</v>
      </c>
    </row>
    <row r="886" spans="1:7" x14ac:dyDescent="0.25">
      <c r="A886" s="226">
        <v>10630012</v>
      </c>
      <c r="B886" s="92">
        <v>0</v>
      </c>
      <c r="F886">
        <v>10560026</v>
      </c>
      <c r="G886">
        <v>0</v>
      </c>
    </row>
    <row r="887" spans="1:7" x14ac:dyDescent="0.25">
      <c r="A887" s="226">
        <v>10630014</v>
      </c>
      <c r="B887" s="92">
        <v>0</v>
      </c>
      <c r="F887">
        <v>10560027</v>
      </c>
      <c r="G887">
        <v>0</v>
      </c>
    </row>
    <row r="888" spans="1:7" x14ac:dyDescent="0.25">
      <c r="A888" s="226">
        <v>10630016</v>
      </c>
      <c r="B888" s="92">
        <v>0</v>
      </c>
      <c r="F888">
        <v>10560028</v>
      </c>
      <c r="G888">
        <v>0</v>
      </c>
    </row>
    <row r="889" spans="1:7" x14ac:dyDescent="0.25">
      <c r="A889" s="226">
        <v>10630017</v>
      </c>
      <c r="B889" s="92">
        <v>0</v>
      </c>
      <c r="F889">
        <v>10560029</v>
      </c>
      <c r="G889">
        <v>0</v>
      </c>
    </row>
    <row r="890" spans="1:7" x14ac:dyDescent="0.25">
      <c r="A890" s="226">
        <v>10630018</v>
      </c>
      <c r="B890" s="92">
        <v>0</v>
      </c>
      <c r="F890">
        <v>10560031</v>
      </c>
      <c r="G890">
        <v>0</v>
      </c>
    </row>
    <row r="891" spans="1:7" x14ac:dyDescent="0.25">
      <c r="A891" s="226">
        <v>10630019</v>
      </c>
      <c r="B891" s="92">
        <v>0</v>
      </c>
      <c r="F891">
        <v>10560032</v>
      </c>
      <c r="G891">
        <v>0</v>
      </c>
    </row>
    <row r="892" spans="1:7" x14ac:dyDescent="0.25">
      <c r="A892" s="226">
        <v>10640001</v>
      </c>
      <c r="B892" s="92">
        <v>0</v>
      </c>
      <c r="F892">
        <v>10560033</v>
      </c>
      <c r="G892">
        <v>0</v>
      </c>
    </row>
    <row r="893" spans="1:7" x14ac:dyDescent="0.25">
      <c r="A893" s="226">
        <v>10640003</v>
      </c>
      <c r="B893" s="92">
        <v>0</v>
      </c>
      <c r="F893">
        <v>10560034</v>
      </c>
      <c r="G893">
        <v>0</v>
      </c>
    </row>
    <row r="894" spans="1:7" x14ac:dyDescent="0.25">
      <c r="A894" s="226">
        <v>10640005</v>
      </c>
      <c r="B894" s="92">
        <v>0</v>
      </c>
      <c r="F894">
        <v>10560035</v>
      </c>
      <c r="G894">
        <v>0</v>
      </c>
    </row>
    <row r="895" spans="1:7" x14ac:dyDescent="0.25">
      <c r="A895" s="226">
        <v>10640006</v>
      </c>
      <c r="B895" s="92">
        <v>0</v>
      </c>
      <c r="F895">
        <v>10560036</v>
      </c>
      <c r="G895">
        <v>0</v>
      </c>
    </row>
    <row r="896" spans="1:7" x14ac:dyDescent="0.25">
      <c r="A896" s="226">
        <v>10640007</v>
      </c>
      <c r="B896" s="92">
        <v>0</v>
      </c>
      <c r="F896">
        <v>10560037</v>
      </c>
      <c r="G896">
        <v>0</v>
      </c>
    </row>
    <row r="897" spans="1:7" x14ac:dyDescent="0.25">
      <c r="A897" s="226">
        <v>10640009</v>
      </c>
      <c r="B897" s="92">
        <v>0</v>
      </c>
      <c r="F897">
        <v>10570001</v>
      </c>
      <c r="G897">
        <v>0</v>
      </c>
    </row>
    <row r="898" spans="1:7" x14ac:dyDescent="0.25">
      <c r="A898" s="226">
        <v>10640010</v>
      </c>
      <c r="B898" s="92">
        <v>0</v>
      </c>
      <c r="F898">
        <v>10570003</v>
      </c>
      <c r="G898">
        <v>0</v>
      </c>
    </row>
    <row r="899" spans="1:7" x14ac:dyDescent="0.25">
      <c r="A899" s="226">
        <v>10640011</v>
      </c>
      <c r="B899" s="92">
        <v>0</v>
      </c>
      <c r="F899">
        <v>10570006</v>
      </c>
      <c r="G899">
        <v>0</v>
      </c>
    </row>
    <row r="900" spans="1:7" x14ac:dyDescent="0.25">
      <c r="A900" s="226">
        <v>10650001</v>
      </c>
      <c r="B900" s="92">
        <v>0</v>
      </c>
      <c r="F900">
        <v>10570007</v>
      </c>
      <c r="G900">
        <v>0</v>
      </c>
    </row>
    <row r="901" spans="1:7" x14ac:dyDescent="0.25">
      <c r="A901" s="226">
        <v>10650003</v>
      </c>
      <c r="B901" s="92">
        <v>0</v>
      </c>
      <c r="F901">
        <v>10570008</v>
      </c>
      <c r="G901">
        <v>0</v>
      </c>
    </row>
    <row r="902" spans="1:7" x14ac:dyDescent="0.25">
      <c r="A902" s="226">
        <v>10650004</v>
      </c>
      <c r="B902" s="92">
        <v>0</v>
      </c>
      <c r="F902">
        <v>10570009</v>
      </c>
      <c r="G902">
        <v>0</v>
      </c>
    </row>
    <row r="903" spans="1:7" x14ac:dyDescent="0.25">
      <c r="A903" s="226">
        <v>10650008</v>
      </c>
      <c r="B903" s="92">
        <v>0</v>
      </c>
      <c r="F903">
        <v>10570010</v>
      </c>
      <c r="G903">
        <v>0</v>
      </c>
    </row>
    <row r="904" spans="1:7" x14ac:dyDescent="0.25">
      <c r="A904" s="226">
        <v>10650011</v>
      </c>
      <c r="B904" s="92">
        <v>0</v>
      </c>
      <c r="F904">
        <v>10570013</v>
      </c>
      <c r="G904">
        <v>0</v>
      </c>
    </row>
    <row r="905" spans="1:7" x14ac:dyDescent="0.25">
      <c r="A905" s="226">
        <v>10020052</v>
      </c>
      <c r="B905" s="92">
        <v>0</v>
      </c>
      <c r="F905">
        <v>10570015</v>
      </c>
      <c r="G905">
        <v>0</v>
      </c>
    </row>
    <row r="906" spans="1:7" x14ac:dyDescent="0.25">
      <c r="A906" s="226">
        <v>10020087</v>
      </c>
      <c r="B906" s="92">
        <v>0</v>
      </c>
      <c r="F906">
        <v>10570016</v>
      </c>
      <c r="G906">
        <v>0</v>
      </c>
    </row>
    <row r="907" spans="1:7" x14ac:dyDescent="0.25">
      <c r="A907" s="226">
        <v>10020088</v>
      </c>
      <c r="B907" s="92">
        <v>0</v>
      </c>
      <c r="F907">
        <v>10570017</v>
      </c>
      <c r="G907">
        <v>0</v>
      </c>
    </row>
    <row r="908" spans="1:7" x14ac:dyDescent="0.25">
      <c r="A908" s="226">
        <v>10030087</v>
      </c>
      <c r="B908" s="92">
        <v>0</v>
      </c>
      <c r="F908">
        <v>10570018</v>
      </c>
      <c r="G908">
        <v>0</v>
      </c>
    </row>
    <row r="909" spans="1:7" x14ac:dyDescent="0.25">
      <c r="A909" s="226">
        <v>10030088</v>
      </c>
      <c r="B909" s="92">
        <v>0</v>
      </c>
      <c r="F909">
        <v>10570019</v>
      </c>
      <c r="G909">
        <v>0</v>
      </c>
    </row>
    <row r="910" spans="1:7" x14ac:dyDescent="0.25">
      <c r="A910" s="226">
        <v>10030089</v>
      </c>
      <c r="B910" s="92">
        <v>0</v>
      </c>
      <c r="F910">
        <v>10570020</v>
      </c>
      <c r="G910">
        <v>0</v>
      </c>
    </row>
    <row r="911" spans="1:7" x14ac:dyDescent="0.25">
      <c r="A911" s="226">
        <v>10030090</v>
      </c>
      <c r="B911" s="92">
        <v>0</v>
      </c>
      <c r="F911">
        <v>10570021</v>
      </c>
      <c r="G911">
        <v>0</v>
      </c>
    </row>
    <row r="912" spans="1:7" x14ac:dyDescent="0.25">
      <c r="A912" s="226">
        <v>10060036</v>
      </c>
      <c r="B912" s="92">
        <v>0</v>
      </c>
      <c r="F912">
        <v>10570022</v>
      </c>
      <c r="G912">
        <v>0</v>
      </c>
    </row>
    <row r="913" spans="1:7" x14ac:dyDescent="0.25">
      <c r="A913" s="226">
        <v>10060076</v>
      </c>
      <c r="B913" s="92">
        <v>0</v>
      </c>
      <c r="F913">
        <v>10570024</v>
      </c>
      <c r="G913">
        <v>0</v>
      </c>
    </row>
    <row r="914" spans="1:7" x14ac:dyDescent="0.25">
      <c r="A914" s="226">
        <v>10060089</v>
      </c>
      <c r="B914" s="92">
        <v>0</v>
      </c>
      <c r="F914">
        <v>10570025</v>
      </c>
      <c r="G914">
        <v>0</v>
      </c>
    </row>
    <row r="915" spans="1:7" x14ac:dyDescent="0.25">
      <c r="A915" s="226">
        <v>10060136</v>
      </c>
      <c r="B915" s="92">
        <v>0</v>
      </c>
      <c r="F915">
        <v>10570026</v>
      </c>
      <c r="G915">
        <v>0</v>
      </c>
    </row>
    <row r="916" spans="1:7" x14ac:dyDescent="0.25">
      <c r="A916" s="226">
        <v>10070067</v>
      </c>
      <c r="B916" s="92">
        <v>0</v>
      </c>
      <c r="F916">
        <v>10570028</v>
      </c>
      <c r="G916">
        <v>0</v>
      </c>
    </row>
    <row r="917" spans="1:7" x14ac:dyDescent="0.25">
      <c r="A917" s="226">
        <v>10070079</v>
      </c>
      <c r="B917" s="92">
        <v>0</v>
      </c>
      <c r="F917">
        <v>10570029</v>
      </c>
      <c r="G917">
        <v>0</v>
      </c>
    </row>
    <row r="918" spans="1:7" x14ac:dyDescent="0.25">
      <c r="A918" s="226">
        <v>10080037</v>
      </c>
      <c r="B918" s="92">
        <v>0</v>
      </c>
      <c r="F918">
        <v>10570030</v>
      </c>
      <c r="G918">
        <v>0</v>
      </c>
    </row>
    <row r="919" spans="1:7" x14ac:dyDescent="0.25">
      <c r="A919" s="226">
        <v>10080073</v>
      </c>
      <c r="B919" s="92">
        <v>0</v>
      </c>
      <c r="F919">
        <v>10570031</v>
      </c>
      <c r="G919">
        <v>0</v>
      </c>
    </row>
    <row r="920" spans="1:7" x14ac:dyDescent="0.25">
      <c r="A920" s="226">
        <v>10080128</v>
      </c>
      <c r="B920" s="92">
        <v>0</v>
      </c>
      <c r="F920">
        <v>10570033</v>
      </c>
      <c r="G920">
        <v>0</v>
      </c>
    </row>
    <row r="921" spans="1:7" x14ac:dyDescent="0.25">
      <c r="A921" s="226">
        <v>10090039</v>
      </c>
      <c r="B921" s="92">
        <v>0</v>
      </c>
      <c r="F921">
        <v>10570035</v>
      </c>
      <c r="G921">
        <v>0</v>
      </c>
    </row>
    <row r="922" spans="1:7" x14ac:dyDescent="0.25">
      <c r="A922" s="226">
        <v>10090069</v>
      </c>
      <c r="B922" s="92">
        <v>0</v>
      </c>
      <c r="F922">
        <v>10570036</v>
      </c>
      <c r="G922">
        <v>0</v>
      </c>
    </row>
    <row r="923" spans="1:7" x14ac:dyDescent="0.25">
      <c r="A923" s="226">
        <v>10090080</v>
      </c>
      <c r="B923" s="92">
        <v>0</v>
      </c>
      <c r="F923">
        <v>10570037</v>
      </c>
      <c r="G923">
        <v>0</v>
      </c>
    </row>
    <row r="924" spans="1:7" x14ac:dyDescent="0.25">
      <c r="A924" s="226">
        <v>10100028</v>
      </c>
      <c r="B924" s="92">
        <v>0</v>
      </c>
      <c r="F924">
        <v>10570038</v>
      </c>
      <c r="G924">
        <v>0</v>
      </c>
    </row>
    <row r="925" spans="1:7" x14ac:dyDescent="0.25">
      <c r="A925" s="226">
        <v>10100071</v>
      </c>
      <c r="B925" s="92">
        <v>0</v>
      </c>
      <c r="F925">
        <v>10570042</v>
      </c>
      <c r="G925">
        <v>0</v>
      </c>
    </row>
    <row r="926" spans="1:7" x14ac:dyDescent="0.25">
      <c r="A926" s="226">
        <v>10110079</v>
      </c>
      <c r="B926" s="92">
        <v>0</v>
      </c>
      <c r="F926">
        <v>10570044</v>
      </c>
      <c r="G926">
        <v>0</v>
      </c>
    </row>
    <row r="927" spans="1:7" x14ac:dyDescent="0.25">
      <c r="A927" s="226">
        <v>10110190</v>
      </c>
      <c r="B927" s="92">
        <v>0</v>
      </c>
      <c r="F927">
        <v>10570045</v>
      </c>
      <c r="G927">
        <v>0</v>
      </c>
    </row>
    <row r="928" spans="1:7" x14ac:dyDescent="0.25">
      <c r="A928" s="226">
        <v>10120124</v>
      </c>
      <c r="B928" s="92">
        <v>0</v>
      </c>
      <c r="F928">
        <v>10570046</v>
      </c>
      <c r="G928">
        <v>0</v>
      </c>
    </row>
    <row r="929" spans="1:7" x14ac:dyDescent="0.25">
      <c r="A929" s="226">
        <v>10130061</v>
      </c>
      <c r="B929" s="92">
        <v>0</v>
      </c>
      <c r="F929">
        <v>10570047</v>
      </c>
      <c r="G929">
        <v>0</v>
      </c>
    </row>
    <row r="930" spans="1:7" x14ac:dyDescent="0.25">
      <c r="A930" s="226">
        <v>10130120</v>
      </c>
      <c r="B930" s="92">
        <v>0</v>
      </c>
      <c r="F930">
        <v>10570049</v>
      </c>
      <c r="G930">
        <v>0</v>
      </c>
    </row>
    <row r="931" spans="1:7" x14ac:dyDescent="0.25">
      <c r="A931" s="226">
        <v>10130122</v>
      </c>
      <c r="B931" s="92">
        <v>0</v>
      </c>
      <c r="F931">
        <v>10570053</v>
      </c>
      <c r="G931">
        <v>0</v>
      </c>
    </row>
    <row r="932" spans="1:7" x14ac:dyDescent="0.25">
      <c r="A932" s="226">
        <v>10140011</v>
      </c>
      <c r="B932" s="92">
        <v>0</v>
      </c>
      <c r="F932">
        <v>10570054</v>
      </c>
      <c r="G932">
        <v>0</v>
      </c>
    </row>
    <row r="933" spans="1:7" x14ac:dyDescent="0.25">
      <c r="A933" s="226">
        <v>10140191</v>
      </c>
      <c r="B933" s="92">
        <v>0</v>
      </c>
      <c r="F933">
        <v>10570055</v>
      </c>
      <c r="G933">
        <v>0</v>
      </c>
    </row>
    <row r="934" spans="1:7" x14ac:dyDescent="0.25">
      <c r="A934" s="226">
        <v>10140207</v>
      </c>
      <c r="B934" s="92">
        <v>0</v>
      </c>
      <c r="F934">
        <v>10570056</v>
      </c>
      <c r="G934">
        <v>0</v>
      </c>
    </row>
    <row r="935" spans="1:7" x14ac:dyDescent="0.25">
      <c r="A935" s="226">
        <v>10140208</v>
      </c>
      <c r="B935" s="92">
        <v>0</v>
      </c>
      <c r="F935">
        <v>10570057</v>
      </c>
      <c r="G935">
        <v>0</v>
      </c>
    </row>
    <row r="936" spans="1:7" x14ac:dyDescent="0.25">
      <c r="A936" s="226">
        <v>10140209</v>
      </c>
      <c r="B936" s="92">
        <v>0</v>
      </c>
      <c r="F936">
        <v>10570058</v>
      </c>
      <c r="G936">
        <v>0</v>
      </c>
    </row>
    <row r="937" spans="1:7" x14ac:dyDescent="0.25">
      <c r="A937" s="226">
        <v>10530088</v>
      </c>
      <c r="B937" s="92">
        <v>0</v>
      </c>
      <c r="F937">
        <v>10570059</v>
      </c>
      <c r="G937">
        <v>0</v>
      </c>
    </row>
    <row r="938" spans="1:7" x14ac:dyDescent="0.25">
      <c r="A938" s="226">
        <v>10530114</v>
      </c>
      <c r="B938" s="92">
        <v>0</v>
      </c>
      <c r="F938">
        <v>10570060</v>
      </c>
      <c r="G938">
        <v>0</v>
      </c>
    </row>
    <row r="939" spans="1:7" x14ac:dyDescent="0.25">
      <c r="A939" s="226">
        <v>10530116</v>
      </c>
      <c r="B939" s="92">
        <v>0</v>
      </c>
      <c r="F939">
        <v>10580001</v>
      </c>
      <c r="G939">
        <v>0</v>
      </c>
    </row>
    <row r="940" spans="1:7" x14ac:dyDescent="0.25">
      <c r="A940" s="226">
        <v>10540043</v>
      </c>
      <c r="B940" s="92">
        <v>0</v>
      </c>
      <c r="F940">
        <v>10580002</v>
      </c>
      <c r="G940">
        <v>0</v>
      </c>
    </row>
    <row r="941" spans="1:7" x14ac:dyDescent="0.25">
      <c r="A941" s="226">
        <v>10540047</v>
      </c>
      <c r="B941" s="92">
        <v>0</v>
      </c>
      <c r="F941">
        <v>10580004</v>
      </c>
      <c r="G941">
        <v>0</v>
      </c>
    </row>
    <row r="942" spans="1:7" x14ac:dyDescent="0.25">
      <c r="A942" s="226">
        <v>10540050</v>
      </c>
      <c r="B942" s="92">
        <v>0</v>
      </c>
      <c r="F942">
        <v>10580005</v>
      </c>
      <c r="G942">
        <v>0</v>
      </c>
    </row>
    <row r="943" spans="1:7" x14ac:dyDescent="0.25">
      <c r="A943" s="226">
        <v>10540051</v>
      </c>
      <c r="B943" s="92">
        <v>0</v>
      </c>
      <c r="F943">
        <v>10580007</v>
      </c>
      <c r="G943">
        <v>0</v>
      </c>
    </row>
    <row r="944" spans="1:7" x14ac:dyDescent="0.25">
      <c r="A944" s="226">
        <v>10550010</v>
      </c>
      <c r="B944" s="92">
        <v>0</v>
      </c>
      <c r="F944">
        <v>10580009</v>
      </c>
      <c r="G944">
        <v>0</v>
      </c>
    </row>
    <row r="945" spans="1:7" x14ac:dyDescent="0.25">
      <c r="A945" s="226">
        <v>10550011</v>
      </c>
      <c r="B945" s="92">
        <v>0</v>
      </c>
      <c r="F945">
        <v>10580010</v>
      </c>
      <c r="G945">
        <v>0</v>
      </c>
    </row>
    <row r="946" spans="1:7" x14ac:dyDescent="0.25">
      <c r="A946" s="226">
        <v>10560039</v>
      </c>
      <c r="B946" s="92">
        <v>0</v>
      </c>
      <c r="F946">
        <v>10580012</v>
      </c>
      <c r="G946">
        <v>0</v>
      </c>
    </row>
    <row r="947" spans="1:7" x14ac:dyDescent="0.25">
      <c r="A947" s="226">
        <v>10560040</v>
      </c>
      <c r="B947" s="92">
        <v>0</v>
      </c>
      <c r="F947">
        <v>10580014</v>
      </c>
      <c r="G947">
        <v>0</v>
      </c>
    </row>
    <row r="948" spans="1:7" x14ac:dyDescent="0.25">
      <c r="A948" s="226">
        <v>10570032</v>
      </c>
      <c r="B948" s="92">
        <v>0</v>
      </c>
      <c r="F948">
        <v>10580015</v>
      </c>
      <c r="G948">
        <v>0</v>
      </c>
    </row>
    <row r="949" spans="1:7" x14ac:dyDescent="0.25">
      <c r="A949" s="226">
        <v>10570051</v>
      </c>
      <c r="B949" s="92">
        <v>0</v>
      </c>
      <c r="F949">
        <v>10580017</v>
      </c>
      <c r="G949">
        <v>0</v>
      </c>
    </row>
    <row r="950" spans="1:7" x14ac:dyDescent="0.25">
      <c r="A950" s="226">
        <v>10570062</v>
      </c>
      <c r="B950" s="92">
        <v>0</v>
      </c>
      <c r="F950">
        <v>10580018</v>
      </c>
      <c r="G950">
        <v>0</v>
      </c>
    </row>
    <row r="951" spans="1:7" x14ac:dyDescent="0.25">
      <c r="A951" s="226">
        <v>10570065</v>
      </c>
      <c r="B951" s="92">
        <v>0</v>
      </c>
      <c r="F951">
        <v>10580019</v>
      </c>
      <c r="G951">
        <v>0</v>
      </c>
    </row>
    <row r="952" spans="1:7" x14ac:dyDescent="0.25">
      <c r="A952" s="226">
        <v>10570066</v>
      </c>
      <c r="B952" s="92">
        <v>0</v>
      </c>
      <c r="F952">
        <v>10580020</v>
      </c>
      <c r="G952">
        <v>0</v>
      </c>
    </row>
    <row r="953" spans="1:7" x14ac:dyDescent="0.25">
      <c r="A953" s="226">
        <v>10570067</v>
      </c>
      <c r="B953" s="92">
        <v>0</v>
      </c>
      <c r="F953">
        <v>10580022</v>
      </c>
      <c r="G953">
        <v>0</v>
      </c>
    </row>
    <row r="954" spans="1:7" x14ac:dyDescent="0.25">
      <c r="A954" s="226">
        <v>10570068</v>
      </c>
      <c r="B954" s="92">
        <v>0</v>
      </c>
      <c r="F954">
        <v>10580023</v>
      </c>
      <c r="G954">
        <v>0</v>
      </c>
    </row>
    <row r="955" spans="1:7" x14ac:dyDescent="0.25">
      <c r="A955" s="226">
        <v>10570069</v>
      </c>
      <c r="B955" s="92">
        <v>0</v>
      </c>
      <c r="F955">
        <v>10580024</v>
      </c>
      <c r="G955">
        <v>0</v>
      </c>
    </row>
    <row r="956" spans="1:7" x14ac:dyDescent="0.25">
      <c r="A956" s="226">
        <v>10570070</v>
      </c>
      <c r="B956" s="92">
        <v>0</v>
      </c>
      <c r="F956">
        <v>10580025</v>
      </c>
      <c r="G956">
        <v>0</v>
      </c>
    </row>
    <row r="957" spans="1:7" x14ac:dyDescent="0.25">
      <c r="A957" s="226">
        <v>10570071</v>
      </c>
      <c r="B957" s="92">
        <v>0</v>
      </c>
      <c r="F957">
        <v>10580026</v>
      </c>
      <c r="G957">
        <v>0</v>
      </c>
    </row>
    <row r="958" spans="1:7" x14ac:dyDescent="0.25">
      <c r="A958" s="226">
        <v>10580013</v>
      </c>
      <c r="B958" s="92">
        <v>0</v>
      </c>
      <c r="F958">
        <v>10580027</v>
      </c>
      <c r="G958">
        <v>0</v>
      </c>
    </row>
    <row r="959" spans="1:7" x14ac:dyDescent="0.25">
      <c r="A959" s="226">
        <v>10610041</v>
      </c>
      <c r="B959" s="92">
        <v>0</v>
      </c>
      <c r="F959">
        <v>10580028</v>
      </c>
      <c r="G959">
        <v>0</v>
      </c>
    </row>
    <row r="960" spans="1:7" x14ac:dyDescent="0.25">
      <c r="A960" s="226">
        <v>10610054</v>
      </c>
      <c r="B960" s="92">
        <v>0</v>
      </c>
      <c r="F960">
        <v>10580029</v>
      </c>
      <c r="G960">
        <v>0</v>
      </c>
    </row>
    <row r="961" spans="1:7" x14ac:dyDescent="0.25">
      <c r="A961" s="226">
        <v>10610055</v>
      </c>
      <c r="B961" s="92">
        <v>0</v>
      </c>
      <c r="F961">
        <v>10580030</v>
      </c>
      <c r="G961">
        <v>0</v>
      </c>
    </row>
    <row r="962" spans="1:7" x14ac:dyDescent="0.25">
      <c r="A962" s="226">
        <v>10610056</v>
      </c>
      <c r="B962" s="92">
        <v>0</v>
      </c>
      <c r="F962">
        <v>10580031</v>
      </c>
      <c r="G962">
        <v>0</v>
      </c>
    </row>
    <row r="963" spans="1:7" x14ac:dyDescent="0.25">
      <c r="A963" s="226">
        <v>10610059</v>
      </c>
      <c r="B963" s="92">
        <v>0</v>
      </c>
      <c r="F963">
        <v>10580032</v>
      </c>
      <c r="G963">
        <v>0</v>
      </c>
    </row>
    <row r="964" spans="1:7" x14ac:dyDescent="0.25">
      <c r="A964" s="226">
        <v>10610060</v>
      </c>
      <c r="B964" s="92">
        <v>0</v>
      </c>
      <c r="F964">
        <v>10580033</v>
      </c>
      <c r="G964">
        <v>0</v>
      </c>
    </row>
    <row r="965" spans="1:7" x14ac:dyDescent="0.25">
      <c r="A965" s="226">
        <v>10610064</v>
      </c>
      <c r="B965" s="92">
        <v>0</v>
      </c>
      <c r="F965">
        <v>10580034</v>
      </c>
      <c r="G965">
        <v>0</v>
      </c>
    </row>
    <row r="966" spans="1:7" x14ac:dyDescent="0.25">
      <c r="A966" s="226">
        <v>10630022</v>
      </c>
      <c r="B966" s="92">
        <v>0</v>
      </c>
      <c r="F966">
        <v>10590001</v>
      </c>
      <c r="G966">
        <v>0</v>
      </c>
    </row>
    <row r="967" spans="1:7" x14ac:dyDescent="0.25">
      <c r="A967" s="226">
        <v>10630025</v>
      </c>
      <c r="B967" s="92">
        <v>0</v>
      </c>
      <c r="F967">
        <v>10590002</v>
      </c>
      <c r="G967">
        <v>0</v>
      </c>
    </row>
    <row r="968" spans="1:7" x14ac:dyDescent="0.25">
      <c r="A968" s="226">
        <v>10630026</v>
      </c>
      <c r="B968" s="92">
        <v>0</v>
      </c>
      <c r="F968">
        <v>10590004</v>
      </c>
      <c r="G968">
        <v>0</v>
      </c>
    </row>
    <row r="969" spans="1:7" x14ac:dyDescent="0.25">
      <c r="A969" s="226">
        <v>10630028</v>
      </c>
      <c r="B969" s="92">
        <v>0</v>
      </c>
      <c r="F969">
        <v>10590006</v>
      </c>
      <c r="G969">
        <v>0</v>
      </c>
    </row>
    <row r="970" spans="1:7" x14ac:dyDescent="0.25">
      <c r="A970" s="226">
        <v>10630030</v>
      </c>
      <c r="B970" s="92">
        <v>0</v>
      </c>
      <c r="F970">
        <v>10590007</v>
      </c>
      <c r="G970">
        <v>0</v>
      </c>
    </row>
    <row r="971" spans="1:7" x14ac:dyDescent="0.25">
      <c r="A971" s="226">
        <v>10630032</v>
      </c>
      <c r="B971" s="92">
        <v>0</v>
      </c>
      <c r="F971">
        <v>10590008</v>
      </c>
      <c r="G971">
        <v>0</v>
      </c>
    </row>
    <row r="972" spans="1:7" x14ac:dyDescent="0.25">
      <c r="A972" s="226">
        <v>10630034</v>
      </c>
      <c r="B972" s="92">
        <v>0</v>
      </c>
      <c r="F972">
        <v>10590009</v>
      </c>
      <c r="G972">
        <v>0</v>
      </c>
    </row>
    <row r="973" spans="1:7" x14ac:dyDescent="0.25">
      <c r="A973" s="226">
        <v>10630035</v>
      </c>
      <c r="B973" s="92">
        <v>0</v>
      </c>
      <c r="F973">
        <v>10590010</v>
      </c>
      <c r="G973">
        <v>0</v>
      </c>
    </row>
    <row r="974" spans="1:7" x14ac:dyDescent="0.25">
      <c r="A974" s="226">
        <v>10630036</v>
      </c>
      <c r="B974" s="92">
        <v>0</v>
      </c>
      <c r="F974">
        <v>10590011</v>
      </c>
      <c r="G974">
        <v>0</v>
      </c>
    </row>
    <row r="975" spans="1:7" x14ac:dyDescent="0.25">
      <c r="A975" s="226">
        <v>10630037</v>
      </c>
      <c r="B975" s="92">
        <v>0</v>
      </c>
      <c r="F975">
        <v>10590012</v>
      </c>
      <c r="G975">
        <v>0</v>
      </c>
    </row>
    <row r="976" spans="1:7" x14ac:dyDescent="0.25">
      <c r="A976" s="226">
        <v>10640008</v>
      </c>
      <c r="B976" s="92">
        <v>0</v>
      </c>
      <c r="F976">
        <v>10590013</v>
      </c>
      <c r="G976">
        <v>0</v>
      </c>
    </row>
    <row r="977" spans="1:7" x14ac:dyDescent="0.25">
      <c r="A977" s="226">
        <v>10650013</v>
      </c>
      <c r="B977" s="92">
        <v>0</v>
      </c>
      <c r="F977">
        <v>10590014</v>
      </c>
      <c r="G977">
        <v>0</v>
      </c>
    </row>
    <row r="978" spans="1:7" x14ac:dyDescent="0.25">
      <c r="A978" s="226">
        <v>10650015</v>
      </c>
      <c r="B978" s="92">
        <v>0</v>
      </c>
      <c r="F978">
        <v>10590015</v>
      </c>
      <c r="G978">
        <v>0</v>
      </c>
    </row>
    <row r="979" spans="1:7" x14ac:dyDescent="0.25">
      <c r="A979" s="226">
        <v>10650016</v>
      </c>
      <c r="B979" s="92">
        <v>0</v>
      </c>
      <c r="F979">
        <v>10590016</v>
      </c>
      <c r="G979">
        <v>0</v>
      </c>
    </row>
    <row r="980" spans="1:7" x14ac:dyDescent="0.25">
      <c r="A980" s="226">
        <v>10650018</v>
      </c>
      <c r="B980" s="92">
        <v>0</v>
      </c>
      <c r="F980">
        <v>10600001</v>
      </c>
      <c r="G980">
        <v>0</v>
      </c>
    </row>
    <row r="981" spans="1:7" x14ac:dyDescent="0.25">
      <c r="A981" s="226">
        <v>10660001</v>
      </c>
      <c r="B981" s="92">
        <v>0</v>
      </c>
      <c r="F981">
        <v>10600002</v>
      </c>
      <c r="G981">
        <v>0</v>
      </c>
    </row>
    <row r="982" spans="1:7" x14ac:dyDescent="0.25">
      <c r="A982" s="226">
        <v>10660002</v>
      </c>
      <c r="B982" s="92">
        <v>0</v>
      </c>
      <c r="F982">
        <v>10600004</v>
      </c>
      <c r="G982">
        <v>0</v>
      </c>
    </row>
    <row r="983" spans="1:7" x14ac:dyDescent="0.25">
      <c r="A983" s="226">
        <v>10660004</v>
      </c>
      <c r="B983" s="92">
        <v>0</v>
      </c>
      <c r="F983">
        <v>10600005</v>
      </c>
      <c r="G983">
        <v>0</v>
      </c>
    </row>
    <row r="984" spans="1:7" x14ac:dyDescent="0.25">
      <c r="A984" s="226">
        <v>10660005</v>
      </c>
      <c r="B984" s="92">
        <v>0</v>
      </c>
      <c r="F984">
        <v>10600006</v>
      </c>
      <c r="G984">
        <v>0</v>
      </c>
    </row>
    <row r="985" spans="1:7" x14ac:dyDescent="0.25">
      <c r="A985" s="226">
        <v>10660006</v>
      </c>
      <c r="B985" s="92">
        <v>0</v>
      </c>
      <c r="F985">
        <v>10600007</v>
      </c>
      <c r="G985">
        <v>0</v>
      </c>
    </row>
    <row r="986" spans="1:7" x14ac:dyDescent="0.25">
      <c r="A986" s="226">
        <v>10660007</v>
      </c>
      <c r="B986" s="92">
        <v>0</v>
      </c>
      <c r="F986">
        <v>10600008</v>
      </c>
      <c r="G986">
        <v>0</v>
      </c>
    </row>
    <row r="987" spans="1:7" x14ac:dyDescent="0.25">
      <c r="A987" s="226">
        <v>10660010</v>
      </c>
      <c r="B987" s="92">
        <v>0</v>
      </c>
      <c r="F987">
        <v>10600009</v>
      </c>
      <c r="G987">
        <v>0</v>
      </c>
    </row>
    <row r="988" spans="1:7" x14ac:dyDescent="0.25">
      <c r="A988" s="226">
        <v>10660011</v>
      </c>
      <c r="B988" s="92">
        <v>0</v>
      </c>
      <c r="F988">
        <v>10600010</v>
      </c>
      <c r="G988">
        <v>0</v>
      </c>
    </row>
    <row r="989" spans="1:7" x14ac:dyDescent="0.25">
      <c r="A989" s="226">
        <v>10660012</v>
      </c>
      <c r="B989" s="92">
        <v>0</v>
      </c>
      <c r="F989">
        <v>10600012</v>
      </c>
      <c r="G989">
        <v>0</v>
      </c>
    </row>
    <row r="990" spans="1:7" x14ac:dyDescent="0.25">
      <c r="A990" s="226">
        <v>10660013</v>
      </c>
      <c r="B990" s="92">
        <v>0</v>
      </c>
      <c r="F990">
        <v>10600013</v>
      </c>
      <c r="G990">
        <v>0</v>
      </c>
    </row>
    <row r="991" spans="1:7" x14ac:dyDescent="0.25">
      <c r="A991" s="226">
        <v>10660015</v>
      </c>
      <c r="B991" s="92">
        <v>0</v>
      </c>
      <c r="F991">
        <v>10610001</v>
      </c>
      <c r="G991">
        <v>0</v>
      </c>
    </row>
    <row r="992" spans="1:7" x14ac:dyDescent="0.25">
      <c r="A992" s="226">
        <v>10660016</v>
      </c>
      <c r="B992" s="92">
        <v>0</v>
      </c>
      <c r="F992">
        <v>10610002</v>
      </c>
      <c r="G992">
        <v>0</v>
      </c>
    </row>
    <row r="993" spans="1:7" x14ac:dyDescent="0.25">
      <c r="A993" s="226">
        <v>10660017</v>
      </c>
      <c r="B993" s="92">
        <v>0</v>
      </c>
      <c r="F993">
        <v>10610003</v>
      </c>
      <c r="G993">
        <v>0</v>
      </c>
    </row>
    <row r="994" spans="1:7" x14ac:dyDescent="0.25">
      <c r="A994" s="226">
        <v>10660019</v>
      </c>
      <c r="B994" s="92">
        <v>0</v>
      </c>
      <c r="F994">
        <v>10610004</v>
      </c>
      <c r="G994">
        <v>0</v>
      </c>
    </row>
    <row r="995" spans="1:7" x14ac:dyDescent="0.25">
      <c r="A995" s="226">
        <v>10660021</v>
      </c>
      <c r="B995" s="92">
        <v>0</v>
      </c>
      <c r="F995">
        <v>10610005</v>
      </c>
      <c r="G995">
        <v>0</v>
      </c>
    </row>
    <row r="996" spans="1:7" x14ac:dyDescent="0.25">
      <c r="A996" s="226">
        <v>10660023</v>
      </c>
      <c r="B996" s="92">
        <v>0</v>
      </c>
      <c r="F996">
        <v>10610006</v>
      </c>
      <c r="G996">
        <v>0</v>
      </c>
    </row>
    <row r="997" spans="1:7" x14ac:dyDescent="0.25">
      <c r="A997" s="226">
        <v>10660024</v>
      </c>
      <c r="B997" s="92">
        <v>0</v>
      </c>
      <c r="F997">
        <v>10610007</v>
      </c>
      <c r="G997">
        <v>0</v>
      </c>
    </row>
    <row r="998" spans="1:7" x14ac:dyDescent="0.25">
      <c r="A998" s="226">
        <v>10660028</v>
      </c>
      <c r="B998" s="92">
        <v>0</v>
      </c>
      <c r="F998">
        <v>10610008</v>
      </c>
      <c r="G998">
        <v>0</v>
      </c>
    </row>
    <row r="999" spans="1:7" x14ac:dyDescent="0.25">
      <c r="A999" s="226">
        <v>10660032</v>
      </c>
      <c r="B999" s="92">
        <v>0</v>
      </c>
      <c r="F999">
        <v>10610009</v>
      </c>
      <c r="G999">
        <v>0</v>
      </c>
    </row>
    <row r="1000" spans="1:7" x14ac:dyDescent="0.25">
      <c r="A1000" s="226">
        <v>10030030</v>
      </c>
      <c r="B1000" s="92">
        <v>0</v>
      </c>
      <c r="F1000">
        <v>10610010</v>
      </c>
      <c r="G1000">
        <v>0</v>
      </c>
    </row>
    <row r="1001" spans="1:7" x14ac:dyDescent="0.25">
      <c r="A1001" s="226">
        <v>10060045</v>
      </c>
      <c r="B1001" s="92">
        <v>0</v>
      </c>
      <c r="F1001">
        <v>10610011</v>
      </c>
      <c r="G1001">
        <v>0</v>
      </c>
    </row>
    <row r="1002" spans="1:7" x14ac:dyDescent="0.25">
      <c r="A1002" s="226">
        <v>10060135</v>
      </c>
      <c r="B1002" s="92">
        <v>0</v>
      </c>
      <c r="F1002">
        <v>10610013</v>
      </c>
      <c r="G1002">
        <v>0</v>
      </c>
    </row>
    <row r="1003" spans="1:7" x14ac:dyDescent="0.25">
      <c r="A1003" s="226">
        <v>10070036</v>
      </c>
      <c r="B1003" s="92">
        <v>0</v>
      </c>
      <c r="F1003">
        <v>10610014</v>
      </c>
      <c r="G1003">
        <v>0</v>
      </c>
    </row>
    <row r="1004" spans="1:7" x14ac:dyDescent="0.25">
      <c r="A1004" s="226">
        <v>10130090</v>
      </c>
      <c r="B1004" s="92">
        <v>0</v>
      </c>
      <c r="F1004">
        <v>10610015</v>
      </c>
      <c r="G1004">
        <v>0</v>
      </c>
    </row>
    <row r="1005" spans="1:7" x14ac:dyDescent="0.25">
      <c r="A1005" s="226">
        <v>10140117</v>
      </c>
      <c r="B1005" s="92">
        <v>0</v>
      </c>
      <c r="F1005">
        <v>10610017</v>
      </c>
      <c r="G1005">
        <v>0</v>
      </c>
    </row>
    <row r="1006" spans="1:7" x14ac:dyDescent="0.25">
      <c r="A1006" s="226">
        <v>10200001</v>
      </c>
      <c r="B1006" s="92">
        <v>0</v>
      </c>
      <c r="F1006">
        <v>10610018</v>
      </c>
      <c r="G1006">
        <v>0</v>
      </c>
    </row>
    <row r="1007" spans="1:7" x14ac:dyDescent="0.25">
      <c r="A1007" s="226">
        <v>10530117</v>
      </c>
      <c r="B1007" s="92">
        <v>0</v>
      </c>
      <c r="F1007">
        <v>10610019</v>
      </c>
      <c r="G1007">
        <v>0</v>
      </c>
    </row>
    <row r="1008" spans="1:7" x14ac:dyDescent="0.25">
      <c r="A1008" s="226">
        <v>10540007</v>
      </c>
      <c r="B1008" s="92">
        <v>0</v>
      </c>
      <c r="F1008">
        <v>10610020</v>
      </c>
      <c r="G1008">
        <v>0</v>
      </c>
    </row>
    <row r="1009" spans="1:7" x14ac:dyDescent="0.25">
      <c r="A1009" s="226">
        <v>10610071</v>
      </c>
      <c r="B1009" s="92">
        <v>0</v>
      </c>
      <c r="F1009">
        <v>10610021</v>
      </c>
      <c r="G1009">
        <v>0</v>
      </c>
    </row>
    <row r="1010" spans="1:7" x14ac:dyDescent="0.25">
      <c r="A1010" s="226">
        <v>10610072</v>
      </c>
      <c r="B1010" s="92">
        <v>0</v>
      </c>
      <c r="F1010">
        <v>10610022</v>
      </c>
      <c r="G1010">
        <v>0</v>
      </c>
    </row>
    <row r="1011" spans="1:7" x14ac:dyDescent="0.25">
      <c r="A1011" s="226">
        <v>10610073</v>
      </c>
      <c r="B1011" s="92">
        <v>0</v>
      </c>
      <c r="F1011">
        <v>10610023</v>
      </c>
      <c r="G1011">
        <v>0</v>
      </c>
    </row>
    <row r="1012" spans="1:7" x14ac:dyDescent="0.25">
      <c r="A1012" s="226">
        <v>10610074</v>
      </c>
      <c r="B1012" s="92">
        <v>0</v>
      </c>
      <c r="F1012">
        <v>10610024</v>
      </c>
      <c r="G1012">
        <v>0</v>
      </c>
    </row>
    <row r="1013" spans="1:7" x14ac:dyDescent="0.25">
      <c r="A1013" s="226">
        <v>10630023</v>
      </c>
      <c r="B1013" s="92">
        <v>0</v>
      </c>
      <c r="F1013">
        <v>10610025</v>
      </c>
      <c r="G1013">
        <v>0</v>
      </c>
    </row>
    <row r="1014" spans="1:7" x14ac:dyDescent="0.25">
      <c r="A1014" s="226">
        <v>10630024</v>
      </c>
      <c r="B1014" s="92">
        <v>0</v>
      </c>
      <c r="F1014">
        <v>10610026</v>
      </c>
      <c r="G1014">
        <v>0</v>
      </c>
    </row>
    <row r="1015" spans="1:7" x14ac:dyDescent="0.25">
      <c r="A1015" s="226">
        <v>10630033</v>
      </c>
      <c r="B1015" s="92">
        <v>0</v>
      </c>
      <c r="F1015">
        <v>10610027</v>
      </c>
      <c r="G1015">
        <v>0</v>
      </c>
    </row>
    <row r="1016" spans="1:7" x14ac:dyDescent="0.25">
      <c r="A1016" s="226">
        <v>10630038</v>
      </c>
      <c r="B1016" s="92">
        <v>0</v>
      </c>
      <c r="F1016">
        <v>10610028</v>
      </c>
      <c r="G1016">
        <v>0</v>
      </c>
    </row>
    <row r="1017" spans="1:7" x14ac:dyDescent="0.25">
      <c r="A1017" s="226">
        <v>10630039</v>
      </c>
      <c r="B1017" s="92">
        <v>0</v>
      </c>
      <c r="F1017">
        <v>10610030</v>
      </c>
      <c r="G1017">
        <v>0</v>
      </c>
    </row>
    <row r="1018" spans="1:7" x14ac:dyDescent="0.25">
      <c r="A1018" s="226">
        <v>10630040</v>
      </c>
      <c r="B1018" s="92">
        <v>0</v>
      </c>
      <c r="F1018">
        <v>10610031</v>
      </c>
      <c r="G1018">
        <v>0</v>
      </c>
    </row>
    <row r="1019" spans="1:7" x14ac:dyDescent="0.25">
      <c r="A1019" s="226">
        <v>10630041</v>
      </c>
      <c r="B1019" s="92">
        <v>0</v>
      </c>
      <c r="F1019">
        <v>10610032</v>
      </c>
      <c r="G1019">
        <v>0</v>
      </c>
    </row>
    <row r="1020" spans="1:7" x14ac:dyDescent="0.25">
      <c r="A1020" s="226">
        <v>10630042</v>
      </c>
      <c r="B1020" s="92">
        <v>0</v>
      </c>
      <c r="F1020">
        <v>10610034</v>
      </c>
      <c r="G1020">
        <v>0</v>
      </c>
    </row>
    <row r="1021" spans="1:7" x14ac:dyDescent="0.25">
      <c r="A1021" s="226">
        <v>10630043</v>
      </c>
      <c r="B1021" s="92">
        <v>0</v>
      </c>
      <c r="F1021">
        <v>10610035</v>
      </c>
      <c r="G1021">
        <v>0</v>
      </c>
    </row>
    <row r="1022" spans="1:7" x14ac:dyDescent="0.25">
      <c r="A1022" s="226">
        <v>10650014</v>
      </c>
      <c r="B1022" s="92">
        <v>0</v>
      </c>
      <c r="F1022">
        <v>10610036</v>
      </c>
      <c r="G1022">
        <v>0</v>
      </c>
    </row>
    <row r="1023" spans="1:7" x14ac:dyDescent="0.25">
      <c r="A1023" s="226">
        <v>10660022</v>
      </c>
      <c r="B1023" s="92">
        <v>0</v>
      </c>
      <c r="F1023">
        <v>10610038</v>
      </c>
      <c r="G1023">
        <v>0</v>
      </c>
    </row>
    <row r="1024" spans="1:7" x14ac:dyDescent="0.25">
      <c r="A1024" s="226">
        <v>10660026</v>
      </c>
      <c r="B1024" s="92">
        <v>0</v>
      </c>
      <c r="F1024">
        <v>10610039</v>
      </c>
      <c r="G1024">
        <v>0</v>
      </c>
    </row>
    <row r="1025" spans="1:7" x14ac:dyDescent="0.25">
      <c r="A1025" s="226">
        <v>10660027</v>
      </c>
      <c r="B1025" s="92">
        <v>0</v>
      </c>
      <c r="F1025">
        <v>10610040</v>
      </c>
      <c r="G1025">
        <v>0</v>
      </c>
    </row>
    <row r="1026" spans="1:7" x14ac:dyDescent="0.25">
      <c r="A1026" s="226">
        <v>10660029</v>
      </c>
      <c r="B1026" s="92">
        <v>0</v>
      </c>
      <c r="F1026">
        <v>10610042</v>
      </c>
      <c r="G1026">
        <v>0</v>
      </c>
    </row>
    <row r="1027" spans="1:7" x14ac:dyDescent="0.25">
      <c r="A1027" s="226">
        <v>10100047</v>
      </c>
      <c r="B1027" s="92">
        <v>0</v>
      </c>
      <c r="F1027">
        <v>10610043</v>
      </c>
      <c r="G1027">
        <v>0</v>
      </c>
    </row>
    <row r="1028" spans="1:7" x14ac:dyDescent="0.25">
      <c r="A1028" s="226">
        <v>10100058</v>
      </c>
      <c r="B1028" s="92">
        <v>0</v>
      </c>
      <c r="F1028">
        <v>10610044</v>
      </c>
      <c r="G1028">
        <v>0</v>
      </c>
    </row>
    <row r="1029" spans="1:7" x14ac:dyDescent="0.25">
      <c r="A1029" s="226">
        <v>10100066</v>
      </c>
      <c r="B1029" s="92">
        <v>0</v>
      </c>
      <c r="F1029">
        <v>10610045</v>
      </c>
      <c r="G1029">
        <v>0</v>
      </c>
    </row>
    <row r="1030" spans="1:7" x14ac:dyDescent="0.25">
      <c r="A1030" s="226">
        <v>10140058</v>
      </c>
      <c r="B1030" s="92">
        <v>0</v>
      </c>
      <c r="F1030">
        <v>10610046</v>
      </c>
      <c r="G1030">
        <v>0</v>
      </c>
    </row>
    <row r="1031" spans="1:7" x14ac:dyDescent="0.25">
      <c r="A1031" s="226">
        <v>10610076</v>
      </c>
      <c r="B1031" s="92">
        <v>0</v>
      </c>
      <c r="F1031">
        <v>10610047</v>
      </c>
      <c r="G1031">
        <v>0</v>
      </c>
    </row>
    <row r="1032" spans="1:7" x14ac:dyDescent="0.25">
      <c r="A1032" s="226">
        <v>10610077</v>
      </c>
      <c r="B1032" s="92">
        <v>0</v>
      </c>
      <c r="F1032">
        <v>10610048</v>
      </c>
      <c r="G1032">
        <v>0</v>
      </c>
    </row>
    <row r="1033" spans="1:7" x14ac:dyDescent="0.25">
      <c r="A1033" s="226">
        <v>10660014</v>
      </c>
      <c r="B1033" s="92">
        <v>0</v>
      </c>
      <c r="F1033">
        <v>10610049</v>
      </c>
      <c r="G1033">
        <v>0</v>
      </c>
    </row>
    <row r="1034" spans="1:7" x14ac:dyDescent="0.25">
      <c r="A1034" s="226">
        <v>10660025</v>
      </c>
      <c r="B1034" s="92">
        <v>0</v>
      </c>
      <c r="F1034">
        <v>10610050</v>
      </c>
      <c r="G1034">
        <v>0</v>
      </c>
    </row>
    <row r="1035" spans="1:7" x14ac:dyDescent="0.25">
      <c r="A1035" s="226">
        <v>10660030</v>
      </c>
      <c r="B1035" s="92">
        <v>0</v>
      </c>
      <c r="F1035">
        <v>10610051</v>
      </c>
      <c r="G1035">
        <v>0</v>
      </c>
    </row>
    <row r="1036" spans="1:7" x14ac:dyDescent="0.25">
      <c r="A1036" s="226">
        <v>10660034</v>
      </c>
      <c r="B1036" s="92">
        <v>0</v>
      </c>
      <c r="F1036">
        <v>10610052</v>
      </c>
      <c r="G1036">
        <v>0</v>
      </c>
    </row>
    <row r="1037" spans="1:7" x14ac:dyDescent="0.25">
      <c r="A1037" s="226">
        <v>10660038</v>
      </c>
      <c r="B1037" s="92">
        <v>0</v>
      </c>
      <c r="F1037">
        <v>10630001</v>
      </c>
      <c r="G1037">
        <v>0</v>
      </c>
    </row>
    <row r="1038" spans="1:7" x14ac:dyDescent="0.25">
      <c r="A1038" s="226">
        <v>10010151</v>
      </c>
      <c r="B1038" s="92">
        <v>0</v>
      </c>
      <c r="F1038">
        <v>10630002</v>
      </c>
      <c r="G1038">
        <v>0</v>
      </c>
    </row>
    <row r="1039" spans="1:7" x14ac:dyDescent="0.25">
      <c r="A1039" s="226">
        <v>10060081</v>
      </c>
      <c r="B1039" s="92">
        <v>0</v>
      </c>
      <c r="F1039">
        <v>10630003</v>
      </c>
      <c r="G1039">
        <v>0</v>
      </c>
    </row>
    <row r="1040" spans="1:7" x14ac:dyDescent="0.25">
      <c r="A1040" s="226">
        <v>10060138</v>
      </c>
      <c r="B1040" s="92">
        <v>0</v>
      </c>
      <c r="F1040">
        <v>10630004</v>
      </c>
      <c r="G1040">
        <v>0</v>
      </c>
    </row>
    <row r="1041" spans="1:7" x14ac:dyDescent="0.25">
      <c r="A1041" s="226">
        <v>10070072</v>
      </c>
      <c r="B1041" s="92">
        <v>0</v>
      </c>
      <c r="F1041">
        <v>10630007</v>
      </c>
      <c r="G1041">
        <v>0</v>
      </c>
    </row>
    <row r="1042" spans="1:7" x14ac:dyDescent="0.25">
      <c r="A1042" s="226">
        <v>10070080</v>
      </c>
      <c r="B1042" s="92">
        <v>0</v>
      </c>
      <c r="F1042">
        <v>10630008</v>
      </c>
      <c r="G1042">
        <v>0</v>
      </c>
    </row>
    <row r="1043" spans="1:7" x14ac:dyDescent="0.25">
      <c r="A1043" s="226">
        <v>10090026</v>
      </c>
      <c r="B1043" s="92">
        <v>0</v>
      </c>
      <c r="F1043">
        <v>10630009</v>
      </c>
      <c r="G1043">
        <v>0</v>
      </c>
    </row>
    <row r="1044" spans="1:7" x14ac:dyDescent="0.25">
      <c r="A1044" s="226">
        <v>10110036</v>
      </c>
      <c r="B1044" s="92">
        <v>0</v>
      </c>
      <c r="F1044">
        <v>10630010</v>
      </c>
      <c r="G1044">
        <v>0</v>
      </c>
    </row>
    <row r="1045" spans="1:7" x14ac:dyDescent="0.25">
      <c r="A1045" s="226">
        <v>10540060</v>
      </c>
      <c r="B1045" s="92">
        <v>0</v>
      </c>
      <c r="F1045">
        <v>10630011</v>
      </c>
      <c r="G1045">
        <v>0</v>
      </c>
    </row>
    <row r="1046" spans="1:7" x14ac:dyDescent="0.25">
      <c r="A1046" s="226">
        <v>10550012</v>
      </c>
      <c r="B1046" s="92">
        <v>0</v>
      </c>
      <c r="F1046">
        <v>10630012</v>
      </c>
      <c r="G1046">
        <v>0</v>
      </c>
    </row>
    <row r="1047" spans="1:7" x14ac:dyDescent="0.25">
      <c r="A1047" s="226">
        <v>10560041</v>
      </c>
      <c r="B1047" s="92">
        <v>0</v>
      </c>
      <c r="F1047">
        <v>10630013</v>
      </c>
      <c r="G1047">
        <v>0</v>
      </c>
    </row>
    <row r="1048" spans="1:7" x14ac:dyDescent="0.25">
      <c r="A1048" s="226">
        <v>10560042</v>
      </c>
      <c r="B1048" s="92">
        <v>0</v>
      </c>
      <c r="F1048">
        <v>10630014</v>
      </c>
      <c r="G1048">
        <v>0</v>
      </c>
    </row>
    <row r="1049" spans="1:7" x14ac:dyDescent="0.25">
      <c r="A1049" s="226">
        <v>10560043</v>
      </c>
      <c r="B1049" s="92">
        <v>0</v>
      </c>
      <c r="F1049">
        <v>10630015</v>
      </c>
      <c r="G1049">
        <v>0</v>
      </c>
    </row>
    <row r="1050" spans="1:7" x14ac:dyDescent="0.25">
      <c r="A1050" s="226">
        <v>10560044</v>
      </c>
      <c r="B1050" s="92">
        <v>0</v>
      </c>
      <c r="F1050">
        <v>10630016</v>
      </c>
      <c r="G1050">
        <v>0</v>
      </c>
    </row>
    <row r="1051" spans="1:7" x14ac:dyDescent="0.25">
      <c r="A1051" s="226">
        <v>10570023</v>
      </c>
      <c r="B1051" s="92">
        <v>0</v>
      </c>
      <c r="F1051">
        <v>10630017</v>
      </c>
      <c r="G1051">
        <v>0</v>
      </c>
    </row>
    <row r="1052" spans="1:7" x14ac:dyDescent="0.25">
      <c r="A1052" s="226">
        <v>10570073</v>
      </c>
      <c r="B1052" s="92">
        <v>0</v>
      </c>
      <c r="F1052">
        <v>10630018</v>
      </c>
      <c r="G1052">
        <v>0</v>
      </c>
    </row>
    <row r="1053" spans="1:7" x14ac:dyDescent="0.25">
      <c r="A1053" s="226">
        <v>10570074</v>
      </c>
      <c r="B1053" s="92">
        <v>0</v>
      </c>
      <c r="F1053">
        <v>10630019</v>
      </c>
      <c r="G1053">
        <v>0</v>
      </c>
    </row>
    <row r="1054" spans="1:7" x14ac:dyDescent="0.25">
      <c r="A1054" s="226">
        <v>10580036</v>
      </c>
      <c r="B1054" s="92">
        <v>0</v>
      </c>
      <c r="F1054">
        <v>10630020</v>
      </c>
      <c r="G1054">
        <v>0</v>
      </c>
    </row>
    <row r="1055" spans="1:7" x14ac:dyDescent="0.25">
      <c r="A1055" s="226">
        <v>10610075</v>
      </c>
      <c r="B1055" s="92">
        <v>0</v>
      </c>
      <c r="F1055">
        <v>10640001</v>
      </c>
      <c r="G1055">
        <v>0</v>
      </c>
    </row>
    <row r="1056" spans="1:7" x14ac:dyDescent="0.25">
      <c r="A1056" s="226">
        <v>10650029</v>
      </c>
      <c r="B1056" s="92">
        <v>0</v>
      </c>
      <c r="F1056">
        <v>10640002</v>
      </c>
      <c r="G1056">
        <v>0</v>
      </c>
    </row>
    <row r="1057" spans="1:7" x14ac:dyDescent="0.25">
      <c r="A1057" s="226">
        <v>10660037</v>
      </c>
      <c r="B1057" s="92">
        <v>0</v>
      </c>
      <c r="F1057">
        <v>10640003</v>
      </c>
      <c r="G1057">
        <v>0</v>
      </c>
    </row>
    <row r="1058" spans="1:7" x14ac:dyDescent="0.25">
      <c r="A1058" s="226" t="s">
        <v>76</v>
      </c>
      <c r="B1058" s="92">
        <v>130688</v>
      </c>
      <c r="F1058">
        <v>10640004</v>
      </c>
      <c r="G1058">
        <v>0</v>
      </c>
    </row>
    <row r="1059" spans="1:7" x14ac:dyDescent="0.25">
      <c r="F1059">
        <v>10640005</v>
      </c>
      <c r="G1059">
        <v>0</v>
      </c>
    </row>
    <row r="1060" spans="1:7" x14ac:dyDescent="0.25">
      <c r="F1060">
        <v>10640006</v>
      </c>
      <c r="G1060">
        <v>0</v>
      </c>
    </row>
    <row r="1061" spans="1:7" x14ac:dyDescent="0.25">
      <c r="F1061">
        <v>10640007</v>
      </c>
      <c r="G1061">
        <v>0</v>
      </c>
    </row>
    <row r="1062" spans="1:7" x14ac:dyDescent="0.25">
      <c r="F1062">
        <v>10640009</v>
      </c>
      <c r="G1062">
        <v>0</v>
      </c>
    </row>
    <row r="1063" spans="1:7" x14ac:dyDescent="0.25">
      <c r="F1063">
        <v>10640010</v>
      </c>
      <c r="G1063">
        <v>0</v>
      </c>
    </row>
    <row r="1064" spans="1:7" x14ac:dyDescent="0.25">
      <c r="F1064">
        <v>10640011</v>
      </c>
      <c r="G1064">
        <v>0</v>
      </c>
    </row>
    <row r="1065" spans="1:7" x14ac:dyDescent="0.25">
      <c r="F1065">
        <v>10650001</v>
      </c>
      <c r="G1065">
        <v>0</v>
      </c>
    </row>
    <row r="1066" spans="1:7" x14ac:dyDescent="0.25">
      <c r="F1066">
        <v>10650003</v>
      </c>
      <c r="G1066">
        <v>0</v>
      </c>
    </row>
    <row r="1067" spans="1:7" x14ac:dyDescent="0.25">
      <c r="F1067">
        <v>10650004</v>
      </c>
      <c r="G1067">
        <v>0</v>
      </c>
    </row>
    <row r="1068" spans="1:7" x14ac:dyDescent="0.25">
      <c r="F1068">
        <v>10650006</v>
      </c>
      <c r="G1068">
        <v>0</v>
      </c>
    </row>
    <row r="1069" spans="1:7" x14ac:dyDescent="0.25">
      <c r="F1069">
        <v>10650007</v>
      </c>
      <c r="G1069">
        <v>0</v>
      </c>
    </row>
    <row r="1070" spans="1:7" x14ac:dyDescent="0.25">
      <c r="F1070">
        <v>10650008</v>
      </c>
      <c r="G1070">
        <v>0</v>
      </c>
    </row>
    <row r="1071" spans="1:7" x14ac:dyDescent="0.25">
      <c r="F1071">
        <v>10650010</v>
      </c>
      <c r="G1071">
        <v>0</v>
      </c>
    </row>
    <row r="1072" spans="1:7" x14ac:dyDescent="0.25">
      <c r="F1072">
        <v>10650011</v>
      </c>
      <c r="G1072">
        <v>0</v>
      </c>
    </row>
    <row r="1073" spans="6:7" x14ac:dyDescent="0.25">
      <c r="F1073">
        <v>10650012</v>
      </c>
      <c r="G1073">
        <v>0</v>
      </c>
    </row>
    <row r="1074" spans="6:7" x14ac:dyDescent="0.25">
      <c r="F1074" t="s">
        <v>76</v>
      </c>
      <c r="G1074">
        <v>74459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3984"/>
  <sheetViews>
    <sheetView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" sqref="B3"/>
    </sheetView>
  </sheetViews>
  <sheetFormatPr defaultColWidth="9.28515625" defaultRowHeight="15" x14ac:dyDescent="0.25"/>
  <cols>
    <col min="1" max="1" width="10.5703125" bestFit="1" customWidth="1"/>
    <col min="2" max="2" width="14.28515625" bestFit="1" customWidth="1"/>
    <col min="3" max="3" width="10.5703125" bestFit="1" customWidth="1"/>
    <col min="4" max="4" width="17.28515625" bestFit="1" customWidth="1"/>
    <col min="5" max="5" width="11.140625" style="13" bestFit="1" customWidth="1"/>
    <col min="6" max="6" width="28.7109375" customWidth="1"/>
    <col min="7" max="7" width="9.140625" customWidth="1"/>
    <col min="8" max="10" width="11.5703125" customWidth="1"/>
    <col min="11" max="11" width="13.42578125" customWidth="1"/>
    <col min="12" max="12" width="10.5703125" customWidth="1"/>
    <col min="13" max="13" width="11.5703125" customWidth="1"/>
    <col min="14" max="14" width="11.7109375" customWidth="1"/>
    <col min="15" max="15" width="12.5703125" customWidth="1"/>
    <col min="16" max="16" width="13.42578125" customWidth="1"/>
    <col min="17" max="18" width="12" customWidth="1"/>
    <col min="19" max="19" width="11.7109375" customWidth="1"/>
    <col min="20" max="20" width="12" customWidth="1"/>
    <col min="21" max="21" width="13.28515625" customWidth="1"/>
    <col min="22" max="22" width="12" customWidth="1"/>
    <col min="23" max="23" width="12.28515625" style="98" customWidth="1"/>
    <col min="24" max="24" width="12" style="98" customWidth="1"/>
    <col min="25" max="25" width="13.5703125" style="98" customWidth="1"/>
    <col min="26" max="26" width="12" style="98" customWidth="1"/>
    <col min="27" max="27" width="12" customWidth="1"/>
    <col min="28" max="28" width="11.28515625" customWidth="1"/>
    <col min="29" max="29" width="11.28515625" style="98" customWidth="1"/>
    <col min="30" max="31" width="10.5703125" customWidth="1"/>
    <col min="34" max="34" width="16.7109375" customWidth="1"/>
  </cols>
  <sheetData>
    <row r="1" spans="1:39" x14ac:dyDescent="0.25">
      <c r="I1" s="248" t="s">
        <v>37</v>
      </c>
      <c r="J1" s="249"/>
      <c r="K1" s="246" t="s">
        <v>38</v>
      </c>
      <c r="L1" s="247"/>
      <c r="M1" s="246" t="s">
        <v>39</v>
      </c>
      <c r="N1" s="247"/>
      <c r="O1" s="246" t="s">
        <v>40</v>
      </c>
      <c r="P1" s="247"/>
      <c r="Q1" s="6"/>
      <c r="R1" s="6"/>
      <c r="S1" s="6"/>
      <c r="T1" s="6"/>
      <c r="U1" s="6"/>
      <c r="V1" s="6"/>
      <c r="W1" s="10"/>
      <c r="X1" s="10"/>
      <c r="Y1" s="10"/>
      <c r="Z1" s="40"/>
      <c r="AA1" s="14"/>
      <c r="AB1" s="15"/>
      <c r="AC1" s="10"/>
      <c r="AD1" s="16"/>
      <c r="AE1" s="16"/>
      <c r="AF1" s="16"/>
    </row>
    <row r="2" spans="1:39" s="3" customFormat="1" ht="45" x14ac:dyDescent="0.25">
      <c r="A2" s="38" t="s">
        <v>35</v>
      </c>
      <c r="B2" s="38" t="s">
        <v>18</v>
      </c>
      <c r="C2" s="8" t="s">
        <v>2</v>
      </c>
      <c r="D2" s="8" t="s">
        <v>70</v>
      </c>
      <c r="E2" s="8" t="s">
        <v>0</v>
      </c>
      <c r="F2" s="78" t="s">
        <v>1</v>
      </c>
      <c r="G2" s="8" t="s">
        <v>20</v>
      </c>
      <c r="H2" s="8" t="s">
        <v>19</v>
      </c>
      <c r="I2" s="9" t="s">
        <v>4</v>
      </c>
      <c r="J2" s="9" t="s">
        <v>5</v>
      </c>
      <c r="K2" s="79" t="s">
        <v>41</v>
      </c>
      <c r="L2" s="79" t="s">
        <v>42</v>
      </c>
      <c r="M2" s="79" t="s">
        <v>41</v>
      </c>
      <c r="N2" s="79" t="s">
        <v>42</v>
      </c>
      <c r="O2" s="79" t="s">
        <v>41</v>
      </c>
      <c r="P2" s="79" t="s">
        <v>42</v>
      </c>
      <c r="Q2" s="79" t="s">
        <v>21</v>
      </c>
      <c r="R2" s="79" t="s">
        <v>71</v>
      </c>
      <c r="S2" s="79" t="s">
        <v>22</v>
      </c>
      <c r="T2" s="79" t="s">
        <v>23</v>
      </c>
      <c r="U2" s="79" t="s">
        <v>24</v>
      </c>
      <c r="V2" s="79" t="s">
        <v>25</v>
      </c>
      <c r="W2" s="79" t="s">
        <v>72</v>
      </c>
      <c r="X2" s="8" t="s">
        <v>26</v>
      </c>
      <c r="Y2" s="8" t="s">
        <v>50</v>
      </c>
      <c r="Z2" s="8" t="s">
        <v>27</v>
      </c>
      <c r="AA2" s="34" t="s">
        <v>51</v>
      </c>
      <c r="AB2" s="80" t="s">
        <v>44</v>
      </c>
      <c r="AC2" s="83" t="s">
        <v>29</v>
      </c>
      <c r="AD2" s="84" t="s">
        <v>41</v>
      </c>
      <c r="AE2" s="217" t="s">
        <v>1462</v>
      </c>
      <c r="AF2" s="217" t="s">
        <v>1456</v>
      </c>
      <c r="AJ2" s="97" t="s">
        <v>443</v>
      </c>
      <c r="AK2" s="97" t="s">
        <v>451</v>
      </c>
      <c r="AL2" s="97" t="s">
        <v>444</v>
      </c>
      <c r="AM2" s="97" t="s">
        <v>445</v>
      </c>
    </row>
    <row r="3" spans="1:39" x14ac:dyDescent="0.25">
      <c r="A3" s="37" t="s">
        <v>62</v>
      </c>
      <c r="B3" s="66" t="s">
        <v>1596</v>
      </c>
      <c r="C3" s="47">
        <v>1001</v>
      </c>
      <c r="D3" s="47" t="s">
        <v>91</v>
      </c>
      <c r="E3" s="47">
        <v>10010013</v>
      </c>
      <c r="F3" s="46" t="s">
        <v>94</v>
      </c>
      <c r="G3" s="48" t="s">
        <v>92</v>
      </c>
      <c r="H3" s="48" t="s">
        <v>93</v>
      </c>
      <c r="I3" s="49">
        <v>612.4</v>
      </c>
      <c r="J3" s="49">
        <v>22833.279999999999</v>
      </c>
      <c r="K3" s="65">
        <v>623.03</v>
      </c>
      <c r="L3" s="65">
        <v>24057.63</v>
      </c>
      <c r="M3" s="65">
        <v>2.13</v>
      </c>
      <c r="N3" s="65">
        <v>82.850000000000009</v>
      </c>
      <c r="O3" s="65">
        <v>625.16</v>
      </c>
      <c r="P3" s="65">
        <v>24140.48</v>
      </c>
      <c r="Q3" s="50">
        <v>22833.279999999999</v>
      </c>
      <c r="R3" s="65">
        <v>0</v>
      </c>
      <c r="S3" s="65">
        <v>82.850000000000009</v>
      </c>
      <c r="T3" s="65">
        <v>1307.2000000000007</v>
      </c>
      <c r="U3" s="65">
        <v>0</v>
      </c>
      <c r="V3" s="65">
        <v>0</v>
      </c>
      <c r="W3" s="65">
        <v>0</v>
      </c>
      <c r="X3" s="65">
        <v>22750</v>
      </c>
      <c r="Y3" s="65">
        <v>0</v>
      </c>
      <c r="Z3" s="65">
        <v>0</v>
      </c>
      <c r="AA3" s="51">
        <v>0</v>
      </c>
      <c r="AB3" s="102" t="s">
        <v>1598</v>
      </c>
      <c r="AC3" s="81">
        <f t="shared" ref="AC3" si="0">((IF(AD3=0,0,100-AD3))*7*(J3/I3))*2%</f>
        <v>65.323165512736793</v>
      </c>
      <c r="AD3" s="82">
        <f t="shared" ref="AD3" si="1">IF((I3/7)&gt;100,0,(I3/7))</f>
        <v>87.48571428571428</v>
      </c>
      <c r="AE3" s="218">
        <v>-5.7249768758583994E-2</v>
      </c>
      <c r="AF3" s="11">
        <v>16</v>
      </c>
      <c r="AH3" t="str">
        <f>TEXT(D3,"0000")</f>
        <v>Majhaul</v>
      </c>
      <c r="AJ3" s="72">
        <v>0</v>
      </c>
      <c r="AK3" s="72"/>
      <c r="AL3" s="72"/>
      <c r="AM3" s="72"/>
    </row>
    <row r="4" spans="1:39" x14ac:dyDescent="0.25">
      <c r="A4" s="37" t="s">
        <v>62</v>
      </c>
      <c r="B4" s="66" t="s">
        <v>1596</v>
      </c>
      <c r="C4" s="47">
        <v>1001</v>
      </c>
      <c r="D4" s="47" t="s">
        <v>91</v>
      </c>
      <c r="E4" s="47">
        <v>10010019</v>
      </c>
      <c r="F4" s="46" t="s">
        <v>96</v>
      </c>
      <c r="G4" s="48" t="s">
        <v>92</v>
      </c>
      <c r="H4" s="48" t="s">
        <v>93</v>
      </c>
      <c r="I4" s="49">
        <v>918.90000000000009</v>
      </c>
      <c r="J4" s="49">
        <v>34565.64</v>
      </c>
      <c r="K4" s="65">
        <v>906.7399999999999</v>
      </c>
      <c r="L4" s="65">
        <v>34574.94</v>
      </c>
      <c r="M4" s="65">
        <v>12.940000000000001</v>
      </c>
      <c r="N4" s="65">
        <v>476.37</v>
      </c>
      <c r="O4" s="65">
        <v>919.68</v>
      </c>
      <c r="P4" s="65">
        <v>35051.310000000005</v>
      </c>
      <c r="Q4" s="50">
        <v>34565.64</v>
      </c>
      <c r="R4" s="65">
        <v>0</v>
      </c>
      <c r="S4" s="65">
        <v>476.37</v>
      </c>
      <c r="T4" s="65">
        <v>485.67000000000553</v>
      </c>
      <c r="U4" s="65">
        <v>0</v>
      </c>
      <c r="V4" s="65">
        <v>0</v>
      </c>
      <c r="W4" s="65">
        <v>0</v>
      </c>
      <c r="X4" s="65">
        <v>34089</v>
      </c>
      <c r="Y4" s="65">
        <v>0</v>
      </c>
      <c r="Z4" s="65">
        <v>0</v>
      </c>
      <c r="AA4" s="51">
        <v>0</v>
      </c>
      <c r="AB4" s="102" t="s">
        <v>1598</v>
      </c>
      <c r="AC4" s="81">
        <f t="shared" ref="AC4:AC67" si="2">((IF(AD4=0,0,100-AD4))*7*(J4/I4))*2%</f>
        <v>0</v>
      </c>
      <c r="AD4" s="82">
        <f t="shared" ref="AD4:AD67" si="3">IF((I4/7)&gt;100,0,(I4/7))</f>
        <v>0</v>
      </c>
      <c r="AE4" s="218">
        <v>-1.4050658399497465E-2</v>
      </c>
      <c r="AF4">
        <v>11</v>
      </c>
      <c r="AH4" t="str">
        <f t="shared" ref="AH4:AH66" si="4">TEXT(D4,"0000")</f>
        <v>Majhaul</v>
      </c>
      <c r="AJ4" s="72">
        <v>0</v>
      </c>
      <c r="AK4" s="72"/>
      <c r="AL4" s="72"/>
      <c r="AM4" s="72"/>
    </row>
    <row r="5" spans="1:39" x14ac:dyDescent="0.25">
      <c r="A5" s="37" t="s">
        <v>62</v>
      </c>
      <c r="B5" s="66" t="s">
        <v>1596</v>
      </c>
      <c r="C5" s="47">
        <v>1058</v>
      </c>
      <c r="D5" s="47" t="s">
        <v>1296</v>
      </c>
      <c r="E5" s="41">
        <v>10010038</v>
      </c>
      <c r="F5" s="46" t="s">
        <v>97</v>
      </c>
      <c r="G5" s="39" t="s">
        <v>92</v>
      </c>
      <c r="H5" s="48" t="s">
        <v>93</v>
      </c>
      <c r="I5" s="52">
        <v>944.4</v>
      </c>
      <c r="J5" s="49">
        <v>37536.829999999994</v>
      </c>
      <c r="K5" s="65">
        <v>789.30000000000018</v>
      </c>
      <c r="L5" s="65">
        <v>31479.510000000002</v>
      </c>
      <c r="M5" s="65">
        <v>162.20000000000002</v>
      </c>
      <c r="N5" s="65">
        <v>6342.8900000000012</v>
      </c>
      <c r="O5" s="65">
        <v>951.50000000000023</v>
      </c>
      <c r="P5" s="65">
        <v>37822.400000000001</v>
      </c>
      <c r="Q5" s="50">
        <v>37536.829999999994</v>
      </c>
      <c r="R5" s="65">
        <v>0</v>
      </c>
      <c r="S5" s="65">
        <v>356.72</v>
      </c>
      <c r="T5" s="65">
        <v>285.57000000000698</v>
      </c>
      <c r="U5" s="65">
        <v>0</v>
      </c>
      <c r="V5" s="65">
        <v>0</v>
      </c>
      <c r="W5" s="65">
        <v>0</v>
      </c>
      <c r="X5" s="65">
        <v>31194</v>
      </c>
      <c r="Y5" s="65">
        <v>5986</v>
      </c>
      <c r="Z5" s="65">
        <v>0</v>
      </c>
      <c r="AA5" s="51">
        <v>0</v>
      </c>
      <c r="AB5" s="102">
        <v>0</v>
      </c>
      <c r="AC5" s="81">
        <f t="shared" si="2"/>
        <v>0</v>
      </c>
      <c r="AD5" s="82">
        <f t="shared" si="3"/>
        <v>0</v>
      </c>
      <c r="AE5" s="218">
        <v>-7.6077281965474183E-3</v>
      </c>
      <c r="AF5">
        <v>19</v>
      </c>
      <c r="AH5" t="str">
        <f t="shared" si="4"/>
        <v>Hasanpur</v>
      </c>
      <c r="AJ5" s="72">
        <v>0</v>
      </c>
      <c r="AK5" s="72"/>
      <c r="AL5" s="72"/>
      <c r="AM5" s="72"/>
    </row>
    <row r="6" spans="1:39" x14ac:dyDescent="0.25">
      <c r="A6" s="37" t="s">
        <v>62</v>
      </c>
      <c r="B6" s="66" t="s">
        <v>1596</v>
      </c>
      <c r="C6" s="47">
        <v>1058</v>
      </c>
      <c r="D6" s="47" t="s">
        <v>1296</v>
      </c>
      <c r="E6" s="41">
        <v>10010044</v>
      </c>
      <c r="F6" s="46" t="s">
        <v>1534</v>
      </c>
      <c r="G6" s="39" t="s">
        <v>92</v>
      </c>
      <c r="H6" s="48" t="s">
        <v>93</v>
      </c>
      <c r="I6" s="52">
        <v>302.93</v>
      </c>
      <c r="J6" s="49">
        <v>11743.84</v>
      </c>
      <c r="K6" s="65">
        <v>265.60000000000002</v>
      </c>
      <c r="L6" s="65">
        <v>10437.82</v>
      </c>
      <c r="M6" s="65">
        <v>29.5</v>
      </c>
      <c r="N6" s="65">
        <v>1145.6200000000001</v>
      </c>
      <c r="O6" s="65">
        <v>295.10000000000002</v>
      </c>
      <c r="P6" s="65">
        <v>11583.44</v>
      </c>
      <c r="Q6" s="50">
        <v>11583.44</v>
      </c>
      <c r="R6" s="65">
        <v>0</v>
      </c>
      <c r="S6" s="65">
        <v>156.74</v>
      </c>
      <c r="T6" s="65">
        <v>0</v>
      </c>
      <c r="U6" s="65">
        <v>0</v>
      </c>
      <c r="V6" s="65">
        <v>0</v>
      </c>
      <c r="W6" s="65">
        <v>0</v>
      </c>
      <c r="X6" s="65">
        <v>10438</v>
      </c>
      <c r="Y6" s="65">
        <v>988</v>
      </c>
      <c r="Z6" s="65">
        <v>0</v>
      </c>
      <c r="AA6" s="51">
        <v>161</v>
      </c>
      <c r="AB6" s="102">
        <v>0</v>
      </c>
      <c r="AC6" s="81">
        <f t="shared" si="2"/>
        <v>307.86825661373911</v>
      </c>
      <c r="AD6" s="82">
        <f t="shared" si="3"/>
        <v>43.275714285714287</v>
      </c>
      <c r="AE6" s="218">
        <v>1.3658224226488068E-2</v>
      </c>
      <c r="AF6">
        <v>11</v>
      </c>
      <c r="AH6" t="str">
        <f t="shared" si="4"/>
        <v>Hasanpur</v>
      </c>
      <c r="AJ6" s="72">
        <v>0</v>
      </c>
      <c r="AK6" s="72"/>
      <c r="AL6" s="72"/>
      <c r="AM6" s="72"/>
    </row>
    <row r="7" spans="1:39" x14ac:dyDescent="0.25">
      <c r="A7" s="37" t="s">
        <v>62</v>
      </c>
      <c r="B7" s="66" t="s">
        <v>1596</v>
      </c>
      <c r="C7" s="47">
        <v>1001</v>
      </c>
      <c r="D7" s="47" t="s">
        <v>91</v>
      </c>
      <c r="E7" s="41">
        <v>10010047</v>
      </c>
      <c r="F7" s="46" t="s">
        <v>815</v>
      </c>
      <c r="G7" s="39" t="s">
        <v>617</v>
      </c>
      <c r="H7" s="48" t="s">
        <v>98</v>
      </c>
      <c r="I7" s="52">
        <v>81</v>
      </c>
      <c r="J7" s="49">
        <v>3231.08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50">
        <v>3231.08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v>3231.08</v>
      </c>
      <c r="AA7" s="51">
        <v>0</v>
      </c>
      <c r="AB7" s="102">
        <v>0</v>
      </c>
      <c r="AC7" s="81">
        <f t="shared" si="2"/>
        <v>493.83667160493826</v>
      </c>
      <c r="AD7" s="82">
        <f t="shared" si="3"/>
        <v>11.571428571428571</v>
      </c>
      <c r="AE7" s="218">
        <v>0</v>
      </c>
      <c r="AF7">
        <v>0</v>
      </c>
      <c r="AH7" t="str">
        <f t="shared" si="4"/>
        <v>Majhaul</v>
      </c>
      <c r="AJ7" s="72">
        <v>0</v>
      </c>
      <c r="AK7" s="72"/>
      <c r="AL7" s="72"/>
      <c r="AM7" s="72"/>
    </row>
    <row r="8" spans="1:39" x14ac:dyDescent="0.25">
      <c r="A8" s="37" t="s">
        <v>62</v>
      </c>
      <c r="B8" s="66" t="s">
        <v>1596</v>
      </c>
      <c r="C8" s="47">
        <v>1058</v>
      </c>
      <c r="D8" s="47" t="s">
        <v>1296</v>
      </c>
      <c r="E8" s="41">
        <v>10010050</v>
      </c>
      <c r="F8" s="46" t="s">
        <v>99</v>
      </c>
      <c r="G8" s="39" t="s">
        <v>617</v>
      </c>
      <c r="H8" s="48" t="s">
        <v>98</v>
      </c>
      <c r="I8" s="52">
        <v>1160.6399999999999</v>
      </c>
      <c r="J8" s="49">
        <v>49533.67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50">
        <v>49533.67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49533.67</v>
      </c>
      <c r="AA8" s="51">
        <v>0</v>
      </c>
      <c r="AB8" s="102">
        <v>0</v>
      </c>
      <c r="AC8" s="81">
        <f t="shared" si="2"/>
        <v>0</v>
      </c>
      <c r="AD8" s="82">
        <f t="shared" si="3"/>
        <v>0</v>
      </c>
      <c r="AE8" s="218">
        <v>0</v>
      </c>
      <c r="AF8">
        <v>0</v>
      </c>
      <c r="AH8" t="str">
        <f t="shared" si="4"/>
        <v>Hasanpur</v>
      </c>
      <c r="AJ8" s="72">
        <v>0</v>
      </c>
      <c r="AK8" s="72"/>
      <c r="AL8" s="72"/>
      <c r="AM8" s="72"/>
    </row>
    <row r="9" spans="1:39" x14ac:dyDescent="0.25">
      <c r="A9" s="37" t="s">
        <v>62</v>
      </c>
      <c r="B9" s="66" t="s">
        <v>1596</v>
      </c>
      <c r="C9" s="47">
        <v>1001</v>
      </c>
      <c r="D9" s="47" t="s">
        <v>91</v>
      </c>
      <c r="E9" s="41">
        <v>10010055</v>
      </c>
      <c r="F9" s="46" t="s">
        <v>101</v>
      </c>
      <c r="G9" s="39" t="s">
        <v>92</v>
      </c>
      <c r="H9" s="48" t="s">
        <v>93</v>
      </c>
      <c r="I9" s="52">
        <v>107.20000000000002</v>
      </c>
      <c r="J9" s="49">
        <v>4448.5100000000011</v>
      </c>
      <c r="K9" s="65">
        <v>106.9</v>
      </c>
      <c r="L9" s="65">
        <v>4429.8600000000006</v>
      </c>
      <c r="M9" s="65">
        <v>0</v>
      </c>
      <c r="N9" s="65">
        <v>0</v>
      </c>
      <c r="O9" s="65">
        <v>106.9</v>
      </c>
      <c r="P9" s="65">
        <v>4429.8600000000006</v>
      </c>
      <c r="Q9" s="50">
        <v>4429.8600000000006</v>
      </c>
      <c r="R9" s="65">
        <v>0</v>
      </c>
      <c r="S9" s="65">
        <v>0</v>
      </c>
      <c r="T9" s="65">
        <v>0</v>
      </c>
      <c r="U9" s="65">
        <v>0</v>
      </c>
      <c r="V9" s="65">
        <v>500</v>
      </c>
      <c r="W9" s="65">
        <v>0</v>
      </c>
      <c r="X9" s="65">
        <v>3930</v>
      </c>
      <c r="Y9" s="65">
        <v>0</v>
      </c>
      <c r="Z9" s="65">
        <v>0</v>
      </c>
      <c r="AA9" s="51">
        <v>19</v>
      </c>
      <c r="AB9" s="102">
        <v>0</v>
      </c>
      <c r="AC9" s="81">
        <f t="shared" si="2"/>
        <v>491.99192686567164</v>
      </c>
      <c r="AD9" s="82">
        <f t="shared" si="3"/>
        <v>15.314285714285717</v>
      </c>
      <c r="AE9" s="218">
        <v>4.1924149883894929E-3</v>
      </c>
      <c r="AF9">
        <v>2</v>
      </c>
      <c r="AH9" t="str">
        <f t="shared" si="4"/>
        <v>Majhaul</v>
      </c>
      <c r="AJ9" s="72">
        <v>500</v>
      </c>
      <c r="AK9" s="72"/>
      <c r="AL9" s="72"/>
      <c r="AM9" s="72"/>
    </row>
    <row r="10" spans="1:39" x14ac:dyDescent="0.25">
      <c r="A10" s="37" t="s">
        <v>62</v>
      </c>
      <c r="B10" s="66" t="s">
        <v>1596</v>
      </c>
      <c r="C10" s="47">
        <v>1001</v>
      </c>
      <c r="D10" s="47" t="s">
        <v>91</v>
      </c>
      <c r="E10" s="41">
        <v>10010057</v>
      </c>
      <c r="F10" s="46" t="s">
        <v>416</v>
      </c>
      <c r="G10" s="39" t="s">
        <v>617</v>
      </c>
      <c r="H10" s="48" t="s">
        <v>98</v>
      </c>
      <c r="I10" s="52">
        <v>7234</v>
      </c>
      <c r="J10" s="49">
        <v>269129.39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50">
        <v>269129.39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0</v>
      </c>
      <c r="Y10" s="65">
        <v>0</v>
      </c>
      <c r="Z10" s="65">
        <v>269129.39</v>
      </c>
      <c r="AA10" s="51">
        <v>0</v>
      </c>
      <c r="AB10" s="102">
        <v>0</v>
      </c>
      <c r="AC10" s="81">
        <f t="shared" si="2"/>
        <v>0</v>
      </c>
      <c r="AD10" s="82">
        <f t="shared" si="3"/>
        <v>0</v>
      </c>
      <c r="AE10" s="218">
        <v>0</v>
      </c>
      <c r="AF10">
        <v>0</v>
      </c>
      <c r="AH10" t="str">
        <f t="shared" si="4"/>
        <v>Majhaul</v>
      </c>
      <c r="AJ10" s="72">
        <v>0</v>
      </c>
      <c r="AK10" s="72"/>
      <c r="AL10" s="72"/>
      <c r="AM10" s="72"/>
    </row>
    <row r="11" spans="1:39" x14ac:dyDescent="0.25">
      <c r="A11" s="37" t="s">
        <v>62</v>
      </c>
      <c r="B11" s="66" t="s">
        <v>1596</v>
      </c>
      <c r="C11" s="47">
        <v>1001</v>
      </c>
      <c r="D11" s="47" t="s">
        <v>91</v>
      </c>
      <c r="E11" s="41">
        <v>10010076</v>
      </c>
      <c r="F11" s="46" t="s">
        <v>422</v>
      </c>
      <c r="G11" s="39" t="s">
        <v>92</v>
      </c>
      <c r="H11" s="48" t="s">
        <v>93</v>
      </c>
      <c r="I11" s="52">
        <v>580.9</v>
      </c>
      <c r="J11" s="49">
        <v>23920.039999999997</v>
      </c>
      <c r="K11" s="65">
        <v>156.47</v>
      </c>
      <c r="L11" s="65">
        <v>7053.4199999999983</v>
      </c>
      <c r="M11" s="65">
        <v>395.2700000000001</v>
      </c>
      <c r="N11" s="65">
        <v>17409.490000000002</v>
      </c>
      <c r="O11" s="65">
        <v>551.74000000000012</v>
      </c>
      <c r="P11" s="65">
        <v>24462.91</v>
      </c>
      <c r="Q11" s="50">
        <v>23920.039999999997</v>
      </c>
      <c r="R11" s="65">
        <v>0</v>
      </c>
      <c r="S11" s="65">
        <v>0</v>
      </c>
      <c r="T11" s="65">
        <v>542.87000000000262</v>
      </c>
      <c r="U11" s="65">
        <v>0</v>
      </c>
      <c r="V11" s="65">
        <v>0</v>
      </c>
      <c r="W11" s="65">
        <v>0</v>
      </c>
      <c r="X11" s="65">
        <v>6511</v>
      </c>
      <c r="Y11" s="65">
        <v>17409</v>
      </c>
      <c r="Z11" s="65">
        <v>0</v>
      </c>
      <c r="AA11" s="51">
        <v>0</v>
      </c>
      <c r="AB11" s="102">
        <v>0</v>
      </c>
      <c r="AC11" s="81">
        <f t="shared" si="2"/>
        <v>98.084929041143084</v>
      </c>
      <c r="AD11" s="82">
        <f t="shared" si="3"/>
        <v>82.98571428571428</v>
      </c>
      <c r="AE11" s="218">
        <v>-2.2695196161879441E-2</v>
      </c>
      <c r="AF11">
        <v>14</v>
      </c>
      <c r="AH11" t="str">
        <f t="shared" si="4"/>
        <v>Majhaul</v>
      </c>
      <c r="AJ11" s="72">
        <v>0</v>
      </c>
      <c r="AK11" s="72"/>
      <c r="AL11" s="72"/>
      <c r="AM11" s="72"/>
    </row>
    <row r="12" spans="1:39" x14ac:dyDescent="0.25">
      <c r="A12" s="37" t="s">
        <v>62</v>
      </c>
      <c r="B12" s="66" t="s">
        <v>1596</v>
      </c>
      <c r="C12" s="47">
        <v>1001</v>
      </c>
      <c r="D12" s="47" t="s">
        <v>91</v>
      </c>
      <c r="E12" s="41">
        <v>10010082</v>
      </c>
      <c r="F12" s="46" t="s">
        <v>446</v>
      </c>
      <c r="G12" s="39" t="s">
        <v>92</v>
      </c>
      <c r="H12" s="48" t="s">
        <v>93</v>
      </c>
      <c r="I12" s="52">
        <v>1078.5</v>
      </c>
      <c r="J12" s="49">
        <v>41530.25</v>
      </c>
      <c r="K12" s="65">
        <v>1127.8399999999999</v>
      </c>
      <c r="L12" s="65">
        <v>43201.63</v>
      </c>
      <c r="M12" s="65">
        <v>26.42</v>
      </c>
      <c r="N12" s="65">
        <v>992.33999999999992</v>
      </c>
      <c r="O12" s="65">
        <v>1154.26</v>
      </c>
      <c r="P12" s="65">
        <v>44193.969999999994</v>
      </c>
      <c r="Q12" s="50">
        <v>41530.25</v>
      </c>
      <c r="R12" s="65">
        <v>0</v>
      </c>
      <c r="S12" s="65">
        <v>0</v>
      </c>
      <c r="T12" s="65">
        <v>2663.7199999999939</v>
      </c>
      <c r="U12" s="65">
        <v>0</v>
      </c>
      <c r="V12" s="65">
        <v>0</v>
      </c>
      <c r="W12" s="65">
        <v>0</v>
      </c>
      <c r="X12" s="65">
        <v>40538</v>
      </c>
      <c r="Y12" s="65">
        <v>992</v>
      </c>
      <c r="Z12" s="65">
        <v>0</v>
      </c>
      <c r="AA12" s="51">
        <v>0</v>
      </c>
      <c r="AB12" s="102" t="s">
        <v>1598</v>
      </c>
      <c r="AC12" s="81">
        <f t="shared" si="2"/>
        <v>0</v>
      </c>
      <c r="AD12" s="82">
        <f t="shared" si="3"/>
        <v>0</v>
      </c>
      <c r="AE12" s="218">
        <v>-6.4139271976450751E-2</v>
      </c>
      <c r="AF12">
        <v>7</v>
      </c>
      <c r="AH12" t="str">
        <f t="shared" si="4"/>
        <v>Majhaul</v>
      </c>
      <c r="AJ12" s="72">
        <v>0</v>
      </c>
      <c r="AK12" s="72"/>
      <c r="AL12" s="72"/>
      <c r="AM12" s="72"/>
    </row>
    <row r="13" spans="1:39" x14ac:dyDescent="0.25">
      <c r="A13" s="37" t="s">
        <v>62</v>
      </c>
      <c r="B13" s="66" t="s">
        <v>1596</v>
      </c>
      <c r="C13" s="47">
        <v>1001</v>
      </c>
      <c r="D13" s="47" t="s">
        <v>91</v>
      </c>
      <c r="E13" s="41">
        <v>10010084</v>
      </c>
      <c r="F13" s="46" t="s">
        <v>447</v>
      </c>
      <c r="G13" s="39" t="s">
        <v>617</v>
      </c>
      <c r="H13" s="48" t="s">
        <v>98</v>
      </c>
      <c r="I13" s="52">
        <v>297.3</v>
      </c>
      <c r="J13" s="49">
        <v>9672.8599999999969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50">
        <v>9672.8599999999969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9672.8599999999969</v>
      </c>
      <c r="AA13" s="51">
        <v>0</v>
      </c>
      <c r="AB13" s="102">
        <v>0</v>
      </c>
      <c r="AC13" s="81">
        <f t="shared" si="2"/>
        <v>262.04243000336351</v>
      </c>
      <c r="AD13" s="82">
        <f t="shared" si="3"/>
        <v>42.471428571428575</v>
      </c>
      <c r="AE13" s="218">
        <v>0</v>
      </c>
      <c r="AF13">
        <v>0</v>
      </c>
      <c r="AH13" t="str">
        <f t="shared" si="4"/>
        <v>Majhaul</v>
      </c>
      <c r="AJ13" s="72">
        <v>0</v>
      </c>
      <c r="AK13" s="72"/>
      <c r="AL13" s="72"/>
      <c r="AM13" s="72"/>
    </row>
    <row r="14" spans="1:39" x14ac:dyDescent="0.25">
      <c r="A14" s="37" t="s">
        <v>62</v>
      </c>
      <c r="B14" s="66" t="s">
        <v>1596</v>
      </c>
      <c r="C14" s="47">
        <v>1058</v>
      </c>
      <c r="D14" s="47" t="s">
        <v>1296</v>
      </c>
      <c r="E14" s="41">
        <v>10010086</v>
      </c>
      <c r="F14" s="46" t="s">
        <v>468</v>
      </c>
      <c r="G14" s="39" t="s">
        <v>92</v>
      </c>
      <c r="H14" s="48" t="s">
        <v>93</v>
      </c>
      <c r="I14" s="52">
        <v>80.36</v>
      </c>
      <c r="J14" s="49">
        <v>4057.98</v>
      </c>
      <c r="K14" s="65">
        <v>84.64</v>
      </c>
      <c r="L14" s="65">
        <v>4477.97</v>
      </c>
      <c r="M14" s="65">
        <v>2.2899999999999996</v>
      </c>
      <c r="N14" s="65">
        <v>112.51</v>
      </c>
      <c r="O14" s="65">
        <v>86.93</v>
      </c>
      <c r="P14" s="65">
        <v>4590.4800000000005</v>
      </c>
      <c r="Q14" s="50">
        <v>4057.98</v>
      </c>
      <c r="R14" s="65">
        <v>0</v>
      </c>
      <c r="S14" s="65">
        <v>112.51</v>
      </c>
      <c r="T14" s="65">
        <v>532.50000000000045</v>
      </c>
      <c r="U14" s="65">
        <v>0</v>
      </c>
      <c r="V14" s="65">
        <v>500</v>
      </c>
      <c r="W14" s="65">
        <v>0</v>
      </c>
      <c r="X14" s="65">
        <v>3445</v>
      </c>
      <c r="Y14" s="65">
        <v>0</v>
      </c>
      <c r="Z14" s="65">
        <v>0</v>
      </c>
      <c r="AA14" s="51">
        <v>0</v>
      </c>
      <c r="AB14" s="102" t="s">
        <v>1598</v>
      </c>
      <c r="AC14" s="81">
        <f t="shared" si="2"/>
        <v>625.80555679442512</v>
      </c>
      <c r="AD14" s="82">
        <f t="shared" si="3"/>
        <v>11.48</v>
      </c>
      <c r="AE14" s="218">
        <v>-0.13122292372066902</v>
      </c>
      <c r="AF14">
        <v>7</v>
      </c>
      <c r="AH14" t="str">
        <f t="shared" si="4"/>
        <v>Hasanpur</v>
      </c>
      <c r="AJ14" s="72">
        <v>500</v>
      </c>
      <c r="AK14" s="72"/>
      <c r="AL14" s="72"/>
      <c r="AM14" s="72"/>
    </row>
    <row r="15" spans="1:39" x14ac:dyDescent="0.25">
      <c r="A15" s="37" t="s">
        <v>62</v>
      </c>
      <c r="B15" s="66" t="s">
        <v>1596</v>
      </c>
      <c r="C15" s="47">
        <v>1058</v>
      </c>
      <c r="D15" s="47" t="s">
        <v>1296</v>
      </c>
      <c r="E15" s="41">
        <v>10010087</v>
      </c>
      <c r="F15" s="46" t="s">
        <v>460</v>
      </c>
      <c r="G15" s="39" t="s">
        <v>617</v>
      </c>
      <c r="H15" s="48" t="s">
        <v>98</v>
      </c>
      <c r="I15" s="52">
        <v>133.74</v>
      </c>
      <c r="J15" s="49">
        <v>4762.38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50">
        <v>4762.38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4762.38</v>
      </c>
      <c r="AA15" s="51">
        <v>0</v>
      </c>
      <c r="AB15" s="102">
        <v>0</v>
      </c>
      <c r="AC15" s="81">
        <f t="shared" si="2"/>
        <v>403.28178537460741</v>
      </c>
      <c r="AD15" s="82">
        <f t="shared" si="3"/>
        <v>19.105714285714289</v>
      </c>
      <c r="AE15" s="218">
        <v>0</v>
      </c>
      <c r="AF15">
        <v>0</v>
      </c>
      <c r="AH15" t="str">
        <f t="shared" si="4"/>
        <v>Hasanpur</v>
      </c>
      <c r="AJ15" s="72">
        <v>0</v>
      </c>
      <c r="AK15" s="72"/>
      <c r="AL15" s="72"/>
      <c r="AM15" s="72"/>
    </row>
    <row r="16" spans="1:39" x14ac:dyDescent="0.25">
      <c r="A16" s="37" t="s">
        <v>62</v>
      </c>
      <c r="B16" s="66" t="s">
        <v>1596</v>
      </c>
      <c r="C16" s="47">
        <v>1058</v>
      </c>
      <c r="D16" s="47" t="s">
        <v>1296</v>
      </c>
      <c r="E16" s="41">
        <v>10010089</v>
      </c>
      <c r="F16" s="46" t="s">
        <v>469</v>
      </c>
      <c r="G16" s="39" t="s">
        <v>92</v>
      </c>
      <c r="H16" s="48" t="s">
        <v>93</v>
      </c>
      <c r="I16" s="52">
        <v>453.54</v>
      </c>
      <c r="J16" s="49">
        <v>19513.920000000006</v>
      </c>
      <c r="K16" s="65">
        <v>244.48000000000002</v>
      </c>
      <c r="L16" s="65">
        <v>10717.43</v>
      </c>
      <c r="M16" s="65">
        <v>212.00000000000003</v>
      </c>
      <c r="N16" s="65">
        <v>9301.15</v>
      </c>
      <c r="O16" s="65">
        <v>456.48</v>
      </c>
      <c r="P16" s="65">
        <v>20018.580000000002</v>
      </c>
      <c r="Q16" s="50">
        <v>19513.920000000006</v>
      </c>
      <c r="R16" s="65">
        <v>0</v>
      </c>
      <c r="S16" s="65">
        <v>300.19999999999993</v>
      </c>
      <c r="T16" s="65">
        <v>504.65999999999622</v>
      </c>
      <c r="U16" s="65">
        <v>0</v>
      </c>
      <c r="V16" s="65">
        <v>0</v>
      </c>
      <c r="W16" s="65">
        <v>0</v>
      </c>
      <c r="X16" s="65">
        <v>10213</v>
      </c>
      <c r="Y16" s="65">
        <v>9001</v>
      </c>
      <c r="Z16" s="65">
        <v>0</v>
      </c>
      <c r="AA16" s="51">
        <v>0</v>
      </c>
      <c r="AB16" s="102">
        <v>0</v>
      </c>
      <c r="AC16" s="81">
        <f t="shared" si="2"/>
        <v>212.08275888345025</v>
      </c>
      <c r="AD16" s="82">
        <f t="shared" si="3"/>
        <v>64.791428571428568</v>
      </c>
      <c r="AE16" s="218">
        <v>-2.5861538839966346E-2</v>
      </c>
      <c r="AF16">
        <v>17</v>
      </c>
      <c r="AH16" t="str">
        <f t="shared" si="4"/>
        <v>Hasanpur</v>
      </c>
      <c r="AJ16" s="72">
        <v>0</v>
      </c>
      <c r="AK16" s="72"/>
      <c r="AL16" s="72"/>
      <c r="AM16" s="72"/>
    </row>
    <row r="17" spans="1:39" x14ac:dyDescent="0.25">
      <c r="A17" s="37" t="s">
        <v>62</v>
      </c>
      <c r="B17" s="66" t="s">
        <v>1596</v>
      </c>
      <c r="C17" s="47">
        <v>1001</v>
      </c>
      <c r="D17" s="47" t="s">
        <v>91</v>
      </c>
      <c r="E17" s="41">
        <v>10010092</v>
      </c>
      <c r="F17" s="46" t="s">
        <v>516</v>
      </c>
      <c r="G17" s="39" t="s">
        <v>617</v>
      </c>
      <c r="H17" s="48" t="s">
        <v>98</v>
      </c>
      <c r="I17" s="52">
        <v>553</v>
      </c>
      <c r="J17" s="49">
        <v>17414.170000000002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50">
        <v>17414.170000000002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17414.170000000002</v>
      </c>
      <c r="AA17" s="51">
        <v>0</v>
      </c>
      <c r="AB17" s="102">
        <v>0</v>
      </c>
      <c r="AC17" s="81">
        <f t="shared" si="2"/>
        <v>92.58166329113925</v>
      </c>
      <c r="AD17" s="82">
        <f t="shared" si="3"/>
        <v>79</v>
      </c>
      <c r="AE17" s="218">
        <v>0</v>
      </c>
      <c r="AF17">
        <v>0</v>
      </c>
      <c r="AH17" t="str">
        <f t="shared" si="4"/>
        <v>Majhaul</v>
      </c>
      <c r="AJ17" s="72">
        <v>0</v>
      </c>
      <c r="AK17" s="72"/>
      <c r="AL17" s="72"/>
      <c r="AM17" s="72"/>
    </row>
    <row r="18" spans="1:39" x14ac:dyDescent="0.25">
      <c r="A18" s="37" t="s">
        <v>62</v>
      </c>
      <c r="B18" s="66" t="s">
        <v>1596</v>
      </c>
      <c r="C18" s="47">
        <v>1058</v>
      </c>
      <c r="D18" s="47" t="s">
        <v>1296</v>
      </c>
      <c r="E18" s="41">
        <v>10010095</v>
      </c>
      <c r="F18" s="46" t="s">
        <v>517</v>
      </c>
      <c r="G18" s="39" t="s">
        <v>92</v>
      </c>
      <c r="H18" s="48" t="s">
        <v>93</v>
      </c>
      <c r="I18" s="52">
        <v>263.74</v>
      </c>
      <c r="J18" s="49">
        <v>10688.859999999999</v>
      </c>
      <c r="K18" s="65">
        <v>259.60000000000002</v>
      </c>
      <c r="L18" s="65">
        <v>10510.580000000002</v>
      </c>
      <c r="M18" s="65">
        <v>4</v>
      </c>
      <c r="N18" s="65">
        <v>176.24</v>
      </c>
      <c r="O18" s="65">
        <v>263.60000000000002</v>
      </c>
      <c r="P18" s="65">
        <v>10686.820000000002</v>
      </c>
      <c r="Q18" s="50">
        <v>10686.820000000002</v>
      </c>
      <c r="R18" s="65">
        <v>0</v>
      </c>
      <c r="S18" s="65">
        <v>176.24</v>
      </c>
      <c r="T18" s="65">
        <v>0</v>
      </c>
      <c r="U18" s="65">
        <v>0</v>
      </c>
      <c r="V18" s="65">
        <v>0</v>
      </c>
      <c r="W18" s="65">
        <v>0</v>
      </c>
      <c r="X18" s="65">
        <v>10511</v>
      </c>
      <c r="Y18" s="65">
        <v>0</v>
      </c>
      <c r="Z18" s="65">
        <v>0</v>
      </c>
      <c r="AA18" s="51">
        <v>2</v>
      </c>
      <c r="AB18" s="102">
        <v>0</v>
      </c>
      <c r="AC18" s="81">
        <f t="shared" si="2"/>
        <v>353.61508027602935</v>
      </c>
      <c r="AD18" s="82">
        <f t="shared" si="3"/>
        <v>37.677142857142861</v>
      </c>
      <c r="AE18" s="218">
        <v>1.9085290667079889E-4</v>
      </c>
      <c r="AF18">
        <v>3</v>
      </c>
      <c r="AH18" t="str">
        <f t="shared" si="4"/>
        <v>Hasanpur</v>
      </c>
      <c r="AJ18" s="72">
        <v>0</v>
      </c>
      <c r="AK18" s="72"/>
      <c r="AL18" s="72"/>
      <c r="AM18" s="72"/>
    </row>
    <row r="19" spans="1:39" x14ac:dyDescent="0.25">
      <c r="A19" s="37" t="s">
        <v>62</v>
      </c>
      <c r="B19" s="66" t="s">
        <v>1596</v>
      </c>
      <c r="C19" s="47">
        <v>1001</v>
      </c>
      <c r="D19" s="47" t="s">
        <v>91</v>
      </c>
      <c r="E19" s="41">
        <v>10010097</v>
      </c>
      <c r="F19" s="46" t="s">
        <v>519</v>
      </c>
      <c r="G19" s="39" t="s">
        <v>92</v>
      </c>
      <c r="H19" s="48" t="s">
        <v>93</v>
      </c>
      <c r="I19" s="52">
        <v>1056.5999999999999</v>
      </c>
      <c r="J19" s="49">
        <v>40392.589999999997</v>
      </c>
      <c r="K19" s="65">
        <v>1076.7499999999998</v>
      </c>
      <c r="L19" s="65">
        <v>46081.490000000005</v>
      </c>
      <c r="M19" s="65">
        <v>2.4500000000000002</v>
      </c>
      <c r="N19" s="65">
        <v>102.57999999999997</v>
      </c>
      <c r="O19" s="65">
        <v>1079.1999999999998</v>
      </c>
      <c r="P19" s="65">
        <v>46184.070000000007</v>
      </c>
      <c r="Q19" s="50">
        <v>40392.589999999997</v>
      </c>
      <c r="R19" s="65">
        <v>0</v>
      </c>
      <c r="S19" s="65">
        <v>102.57999999999997</v>
      </c>
      <c r="T19" s="65">
        <v>5791.4800000000105</v>
      </c>
      <c r="U19" s="65">
        <v>0</v>
      </c>
      <c r="V19" s="65">
        <v>0</v>
      </c>
      <c r="W19" s="65">
        <v>0</v>
      </c>
      <c r="X19" s="65">
        <v>40290</v>
      </c>
      <c r="Y19" s="65">
        <v>0</v>
      </c>
      <c r="Z19" s="65">
        <v>0</v>
      </c>
      <c r="AA19" s="51">
        <v>0</v>
      </c>
      <c r="AB19" s="102">
        <v>0</v>
      </c>
      <c r="AC19" s="81">
        <f t="shared" si="2"/>
        <v>0</v>
      </c>
      <c r="AD19" s="82">
        <f t="shared" si="3"/>
        <v>0</v>
      </c>
      <c r="AE19" s="218">
        <v>-0.14337976346651726</v>
      </c>
      <c r="AF19">
        <v>11</v>
      </c>
      <c r="AH19" t="str">
        <f t="shared" si="4"/>
        <v>Majhaul</v>
      </c>
      <c r="AJ19" s="72">
        <v>0</v>
      </c>
      <c r="AK19" s="72"/>
      <c r="AL19" s="72"/>
      <c r="AM19" s="72"/>
    </row>
    <row r="20" spans="1:39" x14ac:dyDescent="0.25">
      <c r="A20" s="37" t="s">
        <v>62</v>
      </c>
      <c r="B20" s="66" t="s">
        <v>1596</v>
      </c>
      <c r="C20" s="47">
        <v>1058</v>
      </c>
      <c r="D20" s="47" t="s">
        <v>1296</v>
      </c>
      <c r="E20" s="41">
        <v>10010099</v>
      </c>
      <c r="F20" s="46" t="s">
        <v>553</v>
      </c>
      <c r="G20" s="39" t="s">
        <v>92</v>
      </c>
      <c r="H20" s="48" t="s">
        <v>93</v>
      </c>
      <c r="I20" s="52">
        <v>244.14</v>
      </c>
      <c r="J20" s="49">
        <v>10899.2</v>
      </c>
      <c r="K20" s="65">
        <v>238.10000000000002</v>
      </c>
      <c r="L20" s="65">
        <v>10216.339999999998</v>
      </c>
      <c r="M20" s="65">
        <v>5</v>
      </c>
      <c r="N20" s="65">
        <v>201.55</v>
      </c>
      <c r="O20" s="65">
        <v>243.10000000000002</v>
      </c>
      <c r="P20" s="65">
        <v>10417.889999999998</v>
      </c>
      <c r="Q20" s="50">
        <v>10417.889999999998</v>
      </c>
      <c r="R20" s="65">
        <v>0</v>
      </c>
      <c r="S20" s="65">
        <v>201.55</v>
      </c>
      <c r="T20" s="65">
        <v>0</v>
      </c>
      <c r="U20" s="65">
        <v>1350</v>
      </c>
      <c r="V20" s="65">
        <v>500</v>
      </c>
      <c r="W20" s="65">
        <v>0</v>
      </c>
      <c r="X20" s="65">
        <v>8366</v>
      </c>
      <c r="Y20" s="65">
        <v>0</v>
      </c>
      <c r="Z20" s="65">
        <v>0</v>
      </c>
      <c r="AA20" s="51">
        <v>482</v>
      </c>
      <c r="AB20" s="102" t="s">
        <v>1598</v>
      </c>
      <c r="AC20" s="81">
        <f t="shared" si="2"/>
        <v>407.02132481363157</v>
      </c>
      <c r="AD20" s="82">
        <f t="shared" si="3"/>
        <v>34.877142857142857</v>
      </c>
      <c r="AE20" s="218">
        <v>4.4160121843805335E-2</v>
      </c>
      <c r="AF20">
        <v>3</v>
      </c>
      <c r="AH20" t="str">
        <f t="shared" si="4"/>
        <v>Hasanpur</v>
      </c>
      <c r="AJ20" s="72">
        <v>500</v>
      </c>
      <c r="AK20" s="72"/>
      <c r="AL20" s="72"/>
      <c r="AM20" s="72"/>
    </row>
    <row r="21" spans="1:39" x14ac:dyDescent="0.25">
      <c r="A21" s="37" t="s">
        <v>62</v>
      </c>
      <c r="B21" s="66" t="s">
        <v>1596</v>
      </c>
      <c r="C21" s="47">
        <v>1001</v>
      </c>
      <c r="D21" s="47" t="s">
        <v>91</v>
      </c>
      <c r="E21" s="41">
        <v>10010108</v>
      </c>
      <c r="F21" s="46" t="s">
        <v>628</v>
      </c>
      <c r="G21" s="39" t="s">
        <v>92</v>
      </c>
      <c r="H21" s="48" t="s">
        <v>93</v>
      </c>
      <c r="I21" s="52">
        <v>261.40000000000003</v>
      </c>
      <c r="J21" s="49">
        <v>9163.74</v>
      </c>
      <c r="K21" s="65">
        <v>262.73999999999995</v>
      </c>
      <c r="L21" s="65">
        <v>9254.1399999999976</v>
      </c>
      <c r="M21" s="65">
        <v>0.5</v>
      </c>
      <c r="N21" s="65">
        <v>16.920000000000002</v>
      </c>
      <c r="O21" s="65">
        <v>263.23999999999995</v>
      </c>
      <c r="P21" s="65">
        <v>9271.0599999999977</v>
      </c>
      <c r="Q21" s="50">
        <v>9163.74</v>
      </c>
      <c r="R21" s="65">
        <v>0</v>
      </c>
      <c r="S21" s="65">
        <v>16.920000000000002</v>
      </c>
      <c r="T21" s="65">
        <v>107.31999999999789</v>
      </c>
      <c r="U21" s="65">
        <v>0</v>
      </c>
      <c r="V21" s="65">
        <v>0</v>
      </c>
      <c r="W21" s="65">
        <v>0</v>
      </c>
      <c r="X21" s="65">
        <v>9147</v>
      </c>
      <c r="Y21" s="65">
        <v>0</v>
      </c>
      <c r="Z21" s="65">
        <v>0</v>
      </c>
      <c r="AA21" s="51">
        <v>0</v>
      </c>
      <c r="AB21" s="102" t="s">
        <v>1366</v>
      </c>
      <c r="AC21" s="81">
        <f t="shared" si="2"/>
        <v>307.51464146901299</v>
      </c>
      <c r="AD21" s="82">
        <f t="shared" si="3"/>
        <v>37.342857142857149</v>
      </c>
      <c r="AE21" s="218">
        <v>-1.17113754864278E-2</v>
      </c>
      <c r="AF21">
        <v>2</v>
      </c>
      <c r="AH21" t="str">
        <f t="shared" si="4"/>
        <v>Majhaul</v>
      </c>
      <c r="AJ21" s="72">
        <v>0</v>
      </c>
      <c r="AK21" s="72"/>
      <c r="AL21" s="72"/>
      <c r="AM21" s="72"/>
    </row>
    <row r="22" spans="1:39" x14ac:dyDescent="0.25">
      <c r="A22" s="37" t="s">
        <v>62</v>
      </c>
      <c r="B22" s="66" t="s">
        <v>1596</v>
      </c>
      <c r="C22" s="47">
        <v>1001</v>
      </c>
      <c r="D22" s="47" t="s">
        <v>91</v>
      </c>
      <c r="E22" s="41">
        <v>10010109</v>
      </c>
      <c r="F22" s="46" t="s">
        <v>629</v>
      </c>
      <c r="G22" s="39" t="s">
        <v>617</v>
      </c>
      <c r="H22" s="48" t="s">
        <v>98</v>
      </c>
      <c r="I22" s="52">
        <v>285.99999999999994</v>
      </c>
      <c r="J22" s="49">
        <v>9451.27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50">
        <v>9451.27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0</v>
      </c>
      <c r="Y22" s="65">
        <v>0</v>
      </c>
      <c r="Z22" s="65">
        <v>9451.27</v>
      </c>
      <c r="AA22" s="51">
        <v>0</v>
      </c>
      <c r="AB22" s="102">
        <v>0</v>
      </c>
      <c r="AC22" s="81">
        <f t="shared" si="2"/>
        <v>273.62418041958051</v>
      </c>
      <c r="AD22" s="82">
        <f t="shared" si="3"/>
        <v>40.857142857142847</v>
      </c>
      <c r="AE22" s="218">
        <v>0</v>
      </c>
      <c r="AF22">
        <v>0</v>
      </c>
      <c r="AH22" t="str">
        <f t="shared" si="4"/>
        <v>Majhaul</v>
      </c>
      <c r="AJ22" s="72">
        <v>0</v>
      </c>
      <c r="AK22" s="72"/>
      <c r="AL22" s="72"/>
      <c r="AM22" s="72"/>
    </row>
    <row r="23" spans="1:39" x14ac:dyDescent="0.25">
      <c r="A23" s="37" t="s">
        <v>62</v>
      </c>
      <c r="B23" s="66" t="s">
        <v>1596</v>
      </c>
      <c r="C23" s="47">
        <v>1001</v>
      </c>
      <c r="D23" s="47" t="s">
        <v>91</v>
      </c>
      <c r="E23" s="41">
        <v>10010113</v>
      </c>
      <c r="F23" s="46" t="s">
        <v>804</v>
      </c>
      <c r="G23" s="39" t="s">
        <v>92</v>
      </c>
      <c r="H23" s="48" t="s">
        <v>93</v>
      </c>
      <c r="I23" s="52">
        <v>895.19999999999993</v>
      </c>
      <c r="J23" s="49">
        <v>36332.189999999995</v>
      </c>
      <c r="K23" s="65">
        <v>885.92000000000007</v>
      </c>
      <c r="L23" s="65">
        <v>39126.89</v>
      </c>
      <c r="M23" s="65">
        <v>2.93</v>
      </c>
      <c r="N23" s="65">
        <v>115.94</v>
      </c>
      <c r="O23" s="65">
        <v>888.85</v>
      </c>
      <c r="P23" s="65">
        <v>39242.83</v>
      </c>
      <c r="Q23" s="50">
        <v>36332.189999999995</v>
      </c>
      <c r="R23" s="65">
        <v>0</v>
      </c>
      <c r="S23" s="65">
        <v>115.94</v>
      </c>
      <c r="T23" s="65">
        <v>2910.6400000000067</v>
      </c>
      <c r="U23" s="65">
        <v>0</v>
      </c>
      <c r="V23" s="65">
        <v>0</v>
      </c>
      <c r="W23" s="65">
        <v>0</v>
      </c>
      <c r="X23" s="65">
        <v>36216</v>
      </c>
      <c r="Y23" s="65">
        <v>0</v>
      </c>
      <c r="Z23" s="65">
        <v>0</v>
      </c>
      <c r="AA23" s="51">
        <v>0</v>
      </c>
      <c r="AB23" s="102">
        <v>0</v>
      </c>
      <c r="AC23" s="81">
        <f t="shared" si="2"/>
        <v>0</v>
      </c>
      <c r="AD23" s="82">
        <f t="shared" si="3"/>
        <v>0</v>
      </c>
      <c r="AE23" s="218">
        <v>-8.0111878749946186E-2</v>
      </c>
      <c r="AF23">
        <v>30</v>
      </c>
      <c r="AH23" t="str">
        <f t="shared" si="4"/>
        <v>Majhaul</v>
      </c>
      <c r="AJ23" s="72">
        <v>0</v>
      </c>
      <c r="AK23" s="72"/>
      <c r="AL23" s="72"/>
      <c r="AM23" s="72"/>
    </row>
    <row r="24" spans="1:39" x14ac:dyDescent="0.25">
      <c r="A24" s="37" t="s">
        <v>62</v>
      </c>
      <c r="B24" s="66" t="s">
        <v>1596</v>
      </c>
      <c r="C24" s="47">
        <v>1001</v>
      </c>
      <c r="D24" s="47" t="s">
        <v>91</v>
      </c>
      <c r="E24" s="41">
        <v>10010121</v>
      </c>
      <c r="F24" s="46" t="s">
        <v>1116</v>
      </c>
      <c r="G24" s="39" t="s">
        <v>92</v>
      </c>
      <c r="H24" s="48" t="s">
        <v>93</v>
      </c>
      <c r="I24" s="52">
        <v>1474.4999999999998</v>
      </c>
      <c r="J24" s="49">
        <v>56034.749999999993</v>
      </c>
      <c r="K24" s="65">
        <v>1460.2599999999991</v>
      </c>
      <c r="L24" s="65">
        <v>55521.180000000037</v>
      </c>
      <c r="M24" s="65">
        <v>2.23</v>
      </c>
      <c r="N24" s="65">
        <v>80.86</v>
      </c>
      <c r="O24" s="65">
        <v>1462.4899999999991</v>
      </c>
      <c r="P24" s="65">
        <v>55602.040000000037</v>
      </c>
      <c r="Q24" s="50">
        <v>55602.040000000037</v>
      </c>
      <c r="R24" s="65">
        <v>0</v>
      </c>
      <c r="S24" s="65">
        <v>80.86</v>
      </c>
      <c r="T24" s="65">
        <v>0</v>
      </c>
      <c r="U24" s="65">
        <v>0</v>
      </c>
      <c r="V24" s="65">
        <v>0</v>
      </c>
      <c r="W24" s="65">
        <v>0</v>
      </c>
      <c r="X24" s="65">
        <v>55516</v>
      </c>
      <c r="Y24" s="65">
        <v>0</v>
      </c>
      <c r="Z24" s="65">
        <v>0</v>
      </c>
      <c r="AA24" s="51">
        <v>438</v>
      </c>
      <c r="AB24" s="102">
        <v>0</v>
      </c>
      <c r="AC24" s="81">
        <f t="shared" si="2"/>
        <v>0</v>
      </c>
      <c r="AD24" s="82">
        <f t="shared" si="3"/>
        <v>0</v>
      </c>
      <c r="AE24" s="218">
        <v>7.7221724019462127E-3</v>
      </c>
      <c r="AF24">
        <v>25</v>
      </c>
      <c r="AH24" t="str">
        <f t="shared" si="4"/>
        <v>Majhaul</v>
      </c>
      <c r="AJ24" s="72">
        <v>0</v>
      </c>
      <c r="AK24" s="72"/>
      <c r="AL24" s="72"/>
      <c r="AM24" s="72"/>
    </row>
    <row r="25" spans="1:39" x14ac:dyDescent="0.25">
      <c r="A25" s="37" t="s">
        <v>62</v>
      </c>
      <c r="B25" s="66" t="s">
        <v>1596</v>
      </c>
      <c r="C25" s="47">
        <v>1001</v>
      </c>
      <c r="D25" s="47" t="s">
        <v>91</v>
      </c>
      <c r="E25" s="41">
        <v>10010125</v>
      </c>
      <c r="F25" s="46" t="s">
        <v>1126</v>
      </c>
      <c r="G25" s="39" t="s">
        <v>617</v>
      </c>
      <c r="H25" s="48" t="s">
        <v>98</v>
      </c>
      <c r="I25" s="52">
        <v>109.3</v>
      </c>
      <c r="J25" s="49">
        <v>4045.9700000000003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50">
        <v>4045.9700000000003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4045.9700000000003</v>
      </c>
      <c r="AA25" s="51">
        <v>0</v>
      </c>
      <c r="AB25" s="102">
        <v>0</v>
      </c>
      <c r="AC25" s="81">
        <f t="shared" si="2"/>
        <v>437.32012424519678</v>
      </c>
      <c r="AD25" s="82">
        <f t="shared" si="3"/>
        <v>15.614285714285714</v>
      </c>
      <c r="AE25" s="218">
        <v>0</v>
      </c>
      <c r="AF25">
        <v>0</v>
      </c>
      <c r="AH25" t="str">
        <f t="shared" si="4"/>
        <v>Majhaul</v>
      </c>
      <c r="AJ25" s="72">
        <v>0</v>
      </c>
      <c r="AK25" s="72"/>
      <c r="AL25" s="72"/>
      <c r="AM25" s="72"/>
    </row>
    <row r="26" spans="1:39" x14ac:dyDescent="0.25">
      <c r="A26" s="37" t="s">
        <v>62</v>
      </c>
      <c r="B26" s="66" t="s">
        <v>1596</v>
      </c>
      <c r="C26" s="47">
        <v>1001</v>
      </c>
      <c r="D26" s="47" t="s">
        <v>91</v>
      </c>
      <c r="E26" s="41">
        <v>10010128</v>
      </c>
      <c r="F26" s="46" t="s">
        <v>1127</v>
      </c>
      <c r="G26" s="39" t="s">
        <v>92</v>
      </c>
      <c r="H26" s="48" t="s">
        <v>93</v>
      </c>
      <c r="I26" s="52">
        <v>1075.3</v>
      </c>
      <c r="J26" s="49">
        <v>45149.3</v>
      </c>
      <c r="K26" s="65">
        <v>1281.7200000000003</v>
      </c>
      <c r="L26" s="65">
        <v>54017.229999999996</v>
      </c>
      <c r="M26" s="65">
        <v>0</v>
      </c>
      <c r="N26" s="65">
        <v>0</v>
      </c>
      <c r="O26" s="65">
        <v>1281.7200000000003</v>
      </c>
      <c r="P26" s="65">
        <v>54017.229999999996</v>
      </c>
      <c r="Q26" s="50">
        <v>45149.3</v>
      </c>
      <c r="R26" s="65">
        <v>0</v>
      </c>
      <c r="S26" s="65">
        <v>0</v>
      </c>
      <c r="T26" s="65">
        <v>8867.929999999993</v>
      </c>
      <c r="U26" s="65">
        <v>2700</v>
      </c>
      <c r="V26" s="65">
        <v>0</v>
      </c>
      <c r="W26" s="65">
        <v>0</v>
      </c>
      <c r="X26" s="65">
        <v>42449</v>
      </c>
      <c r="Y26" s="65">
        <v>0</v>
      </c>
      <c r="Z26" s="65">
        <v>0</v>
      </c>
      <c r="AA26" s="51">
        <v>0</v>
      </c>
      <c r="AB26" s="102">
        <v>0</v>
      </c>
      <c r="AC26" s="81">
        <f t="shared" si="2"/>
        <v>0</v>
      </c>
      <c r="AD26" s="82">
        <f t="shared" si="3"/>
        <v>0</v>
      </c>
      <c r="AE26" s="218">
        <v>-0.19641345491513695</v>
      </c>
      <c r="AF26">
        <v>18</v>
      </c>
      <c r="AH26" t="str">
        <f t="shared" si="4"/>
        <v>Majhaul</v>
      </c>
      <c r="AJ26" s="72">
        <v>0</v>
      </c>
      <c r="AK26" s="72"/>
      <c r="AL26" s="72"/>
      <c r="AM26" s="72"/>
    </row>
    <row r="27" spans="1:39" x14ac:dyDescent="0.25">
      <c r="A27" s="37" t="s">
        <v>62</v>
      </c>
      <c r="B27" s="66" t="s">
        <v>1596</v>
      </c>
      <c r="C27" s="47">
        <v>1001</v>
      </c>
      <c r="D27" s="47" t="s">
        <v>91</v>
      </c>
      <c r="E27" s="41">
        <v>10010129</v>
      </c>
      <c r="F27" s="46" t="s">
        <v>1128</v>
      </c>
      <c r="G27" s="39" t="s">
        <v>617</v>
      </c>
      <c r="H27" s="48" t="s">
        <v>98</v>
      </c>
      <c r="I27" s="52">
        <v>761.40000000000009</v>
      </c>
      <c r="J27" s="49">
        <v>31370.889999999996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50">
        <v>31370.889999999996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31370.889999999996</v>
      </c>
      <c r="AA27" s="51">
        <v>0</v>
      </c>
      <c r="AB27" s="102">
        <v>0</v>
      </c>
      <c r="AC27" s="81">
        <f t="shared" si="2"/>
        <v>0</v>
      </c>
      <c r="AD27" s="82">
        <f t="shared" si="3"/>
        <v>0</v>
      </c>
      <c r="AE27" s="218">
        <v>0</v>
      </c>
      <c r="AF27">
        <v>0</v>
      </c>
      <c r="AH27" t="str">
        <f t="shared" si="4"/>
        <v>Majhaul</v>
      </c>
      <c r="AJ27" s="72">
        <v>0</v>
      </c>
      <c r="AK27" s="72"/>
      <c r="AL27" s="72"/>
      <c r="AM27" s="72"/>
    </row>
    <row r="28" spans="1:39" x14ac:dyDescent="0.25">
      <c r="A28" s="37" t="s">
        <v>62</v>
      </c>
      <c r="B28" s="66" t="s">
        <v>1596</v>
      </c>
      <c r="C28" s="47">
        <v>1001</v>
      </c>
      <c r="D28" s="47" t="s">
        <v>91</v>
      </c>
      <c r="E28" s="41">
        <v>10010130</v>
      </c>
      <c r="F28" s="46" t="s">
        <v>1150</v>
      </c>
      <c r="G28" s="39" t="s">
        <v>617</v>
      </c>
      <c r="H28" s="48" t="s">
        <v>98</v>
      </c>
      <c r="I28" s="52">
        <v>457.4</v>
      </c>
      <c r="J28" s="49">
        <v>17292.940000000002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50">
        <v>17292.940000000002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65">
        <v>17292.940000000002</v>
      </c>
      <c r="AA28" s="51">
        <v>0</v>
      </c>
      <c r="AB28" s="102">
        <v>0</v>
      </c>
      <c r="AC28" s="81">
        <f t="shared" si="2"/>
        <v>183.4397570616529</v>
      </c>
      <c r="AD28" s="82">
        <f t="shared" si="3"/>
        <v>65.342857142857142</v>
      </c>
      <c r="AE28" s="218">
        <v>0</v>
      </c>
      <c r="AF28">
        <v>0</v>
      </c>
      <c r="AH28" t="str">
        <f t="shared" si="4"/>
        <v>Majhaul</v>
      </c>
      <c r="AJ28" s="72">
        <v>0</v>
      </c>
      <c r="AK28" s="72"/>
      <c r="AL28" s="72"/>
      <c r="AM28" s="72"/>
    </row>
    <row r="29" spans="1:39" x14ac:dyDescent="0.25">
      <c r="A29" s="37" t="s">
        <v>62</v>
      </c>
      <c r="B29" s="66" t="s">
        <v>1596</v>
      </c>
      <c r="C29" s="47">
        <v>1001</v>
      </c>
      <c r="D29" s="47" t="s">
        <v>91</v>
      </c>
      <c r="E29" s="41">
        <v>10010131</v>
      </c>
      <c r="F29" s="46" t="s">
        <v>1151</v>
      </c>
      <c r="G29" s="39" t="s">
        <v>617</v>
      </c>
      <c r="H29" s="48" t="s">
        <v>98</v>
      </c>
      <c r="I29" s="52">
        <v>520.9</v>
      </c>
      <c r="J29" s="49">
        <v>20390.09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50">
        <v>20390.09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20390.09</v>
      </c>
      <c r="AA29" s="51">
        <v>0</v>
      </c>
      <c r="AB29" s="102">
        <v>0</v>
      </c>
      <c r="AC29" s="81">
        <f t="shared" si="2"/>
        <v>140.21367321942796</v>
      </c>
      <c r="AD29" s="82">
        <f t="shared" si="3"/>
        <v>74.414285714285711</v>
      </c>
      <c r="AE29" s="218">
        <v>0</v>
      </c>
      <c r="AF29">
        <v>0</v>
      </c>
      <c r="AH29" t="str">
        <f t="shared" si="4"/>
        <v>Majhaul</v>
      </c>
      <c r="AJ29" s="72">
        <v>0</v>
      </c>
      <c r="AK29" s="72"/>
      <c r="AL29" s="72"/>
      <c r="AM29" s="72"/>
    </row>
    <row r="30" spans="1:39" x14ac:dyDescent="0.25">
      <c r="A30" s="37" t="s">
        <v>62</v>
      </c>
      <c r="B30" s="66" t="s">
        <v>1596</v>
      </c>
      <c r="C30" s="47">
        <v>1001</v>
      </c>
      <c r="D30" s="47" t="s">
        <v>91</v>
      </c>
      <c r="E30" s="41">
        <v>10010140</v>
      </c>
      <c r="F30" s="46" t="s">
        <v>1246</v>
      </c>
      <c r="G30" s="39" t="s">
        <v>92</v>
      </c>
      <c r="H30" s="48" t="s">
        <v>93</v>
      </c>
      <c r="I30" s="52">
        <v>268.8</v>
      </c>
      <c r="J30" s="49">
        <v>11447.569999999998</v>
      </c>
      <c r="K30" s="65">
        <v>306.93</v>
      </c>
      <c r="L30" s="65">
        <v>13605.720000000001</v>
      </c>
      <c r="M30" s="65">
        <v>0</v>
      </c>
      <c r="N30" s="65">
        <v>0</v>
      </c>
      <c r="O30" s="65">
        <v>306.93</v>
      </c>
      <c r="P30" s="65">
        <v>13605.720000000001</v>
      </c>
      <c r="Q30" s="50">
        <v>11447.569999999998</v>
      </c>
      <c r="R30" s="65">
        <v>0</v>
      </c>
      <c r="S30" s="65">
        <v>0</v>
      </c>
      <c r="T30" s="65">
        <v>2158.1500000000033</v>
      </c>
      <c r="U30" s="65">
        <v>0</v>
      </c>
      <c r="V30" s="65">
        <v>0</v>
      </c>
      <c r="W30" s="65">
        <v>0</v>
      </c>
      <c r="X30" s="65">
        <v>11448</v>
      </c>
      <c r="Y30" s="65">
        <v>0</v>
      </c>
      <c r="Z30" s="65">
        <v>0</v>
      </c>
      <c r="AA30" s="51">
        <v>0</v>
      </c>
      <c r="AB30" s="102" t="s">
        <v>1598</v>
      </c>
      <c r="AC30" s="81">
        <f t="shared" si="2"/>
        <v>367.27620416666656</v>
      </c>
      <c r="AD30" s="82">
        <f t="shared" si="3"/>
        <v>38.4</v>
      </c>
      <c r="AE30" s="218">
        <v>-0.18852472620826985</v>
      </c>
      <c r="AF30">
        <v>5</v>
      </c>
      <c r="AH30" t="str">
        <f t="shared" si="4"/>
        <v>Majhaul</v>
      </c>
      <c r="AJ30" s="72">
        <v>0</v>
      </c>
      <c r="AK30" s="72"/>
      <c r="AL30" s="72"/>
      <c r="AM30" s="72"/>
    </row>
    <row r="31" spans="1:39" x14ac:dyDescent="0.25">
      <c r="A31" s="37" t="s">
        <v>62</v>
      </c>
      <c r="B31" s="66" t="s">
        <v>1596</v>
      </c>
      <c r="C31" s="47">
        <v>1001</v>
      </c>
      <c r="D31" s="47" t="s">
        <v>91</v>
      </c>
      <c r="E31" s="41">
        <v>10010141</v>
      </c>
      <c r="F31" s="46" t="s">
        <v>1298</v>
      </c>
      <c r="G31" s="39" t="s">
        <v>92</v>
      </c>
      <c r="H31" s="48" t="s">
        <v>93</v>
      </c>
      <c r="I31" s="52">
        <v>193.89999999999998</v>
      </c>
      <c r="J31" s="49">
        <v>7683.17</v>
      </c>
      <c r="K31" s="65">
        <v>201.03000000000003</v>
      </c>
      <c r="L31" s="65">
        <v>7654.53</v>
      </c>
      <c r="M31" s="65">
        <v>0</v>
      </c>
      <c r="N31" s="65">
        <v>0</v>
      </c>
      <c r="O31" s="65">
        <v>201.03000000000003</v>
      </c>
      <c r="P31" s="65">
        <v>7654.53</v>
      </c>
      <c r="Q31" s="50">
        <v>7654.53</v>
      </c>
      <c r="R31" s="65">
        <v>0</v>
      </c>
      <c r="S31" s="65">
        <v>0</v>
      </c>
      <c r="T31" s="65">
        <v>0</v>
      </c>
      <c r="U31" s="65">
        <v>0</v>
      </c>
      <c r="V31" s="65">
        <v>500</v>
      </c>
      <c r="W31" s="65">
        <v>0</v>
      </c>
      <c r="X31" s="65">
        <v>7155</v>
      </c>
      <c r="Y31" s="65">
        <v>0</v>
      </c>
      <c r="Z31" s="65">
        <v>0</v>
      </c>
      <c r="AA31" s="51">
        <v>28</v>
      </c>
      <c r="AB31" s="102">
        <v>0</v>
      </c>
      <c r="AC31" s="81">
        <f t="shared" si="2"/>
        <v>401.07811624548748</v>
      </c>
      <c r="AD31" s="82">
        <f t="shared" si="3"/>
        <v>27.699999999999996</v>
      </c>
      <c r="AE31" s="218">
        <v>3.7276280493598771E-3</v>
      </c>
      <c r="AF31">
        <v>6</v>
      </c>
      <c r="AH31" t="str">
        <f t="shared" si="4"/>
        <v>Majhaul</v>
      </c>
      <c r="AJ31" s="72">
        <v>500</v>
      </c>
      <c r="AK31" s="72"/>
      <c r="AL31" s="72"/>
      <c r="AM31" s="72"/>
    </row>
    <row r="32" spans="1:39" x14ac:dyDescent="0.25">
      <c r="A32" s="37" t="s">
        <v>62</v>
      </c>
      <c r="B32" s="66" t="s">
        <v>1596</v>
      </c>
      <c r="C32" s="47">
        <v>1001</v>
      </c>
      <c r="D32" s="47" t="s">
        <v>91</v>
      </c>
      <c r="E32" s="41">
        <v>10010143</v>
      </c>
      <c r="F32" s="46" t="s">
        <v>479</v>
      </c>
      <c r="G32" s="39" t="s">
        <v>92</v>
      </c>
      <c r="H32" s="48" t="s">
        <v>93</v>
      </c>
      <c r="I32" s="52">
        <v>211.4</v>
      </c>
      <c r="J32" s="49">
        <v>6580.329999999999</v>
      </c>
      <c r="K32" s="65">
        <v>209.29999999999998</v>
      </c>
      <c r="L32" s="65">
        <v>6568.6499999999978</v>
      </c>
      <c r="M32" s="65">
        <v>0</v>
      </c>
      <c r="N32" s="65">
        <v>0</v>
      </c>
      <c r="O32" s="65">
        <v>209.29999999999998</v>
      </c>
      <c r="P32" s="65">
        <v>6568.6499999999978</v>
      </c>
      <c r="Q32" s="50">
        <v>6568.6499999999978</v>
      </c>
      <c r="R32" s="65">
        <v>0</v>
      </c>
      <c r="S32" s="65">
        <v>0</v>
      </c>
      <c r="T32" s="65">
        <v>0</v>
      </c>
      <c r="U32" s="65">
        <v>1350</v>
      </c>
      <c r="V32" s="65">
        <v>0</v>
      </c>
      <c r="W32" s="65">
        <v>0</v>
      </c>
      <c r="X32" s="65">
        <v>5216</v>
      </c>
      <c r="Y32" s="65">
        <v>0</v>
      </c>
      <c r="Z32" s="65">
        <v>0</v>
      </c>
      <c r="AA32" s="51">
        <v>14</v>
      </c>
      <c r="AB32" s="102">
        <v>0</v>
      </c>
      <c r="AC32" s="81">
        <f t="shared" si="2"/>
        <v>304.17684370860923</v>
      </c>
      <c r="AD32" s="82">
        <f t="shared" si="3"/>
        <v>30.2</v>
      </c>
      <c r="AE32" s="218">
        <v>1.7749869687388325E-3</v>
      </c>
      <c r="AF32">
        <v>7</v>
      </c>
      <c r="AH32" t="str">
        <f t="shared" si="4"/>
        <v>Majhaul</v>
      </c>
      <c r="AJ32" s="72">
        <v>0</v>
      </c>
      <c r="AK32" s="72"/>
      <c r="AL32" s="72"/>
      <c r="AM32" s="72"/>
    </row>
    <row r="33" spans="1:39" x14ac:dyDescent="0.25">
      <c r="A33" s="37" t="s">
        <v>62</v>
      </c>
      <c r="B33" s="66" t="s">
        <v>1596</v>
      </c>
      <c r="C33" s="47">
        <v>1001</v>
      </c>
      <c r="D33" s="47" t="s">
        <v>91</v>
      </c>
      <c r="E33" s="41">
        <v>10010144</v>
      </c>
      <c r="F33" s="46" t="s">
        <v>1418</v>
      </c>
      <c r="G33" s="39" t="s">
        <v>92</v>
      </c>
      <c r="H33" s="48" t="s">
        <v>93</v>
      </c>
      <c r="I33" s="52">
        <v>101.1</v>
      </c>
      <c r="J33" s="49">
        <v>3596.9300000000007</v>
      </c>
      <c r="K33" s="65">
        <v>101.47</v>
      </c>
      <c r="L33" s="65">
        <v>3385.6899999999996</v>
      </c>
      <c r="M33" s="65">
        <v>0</v>
      </c>
      <c r="N33" s="65">
        <v>0</v>
      </c>
      <c r="O33" s="65">
        <v>101.47</v>
      </c>
      <c r="P33" s="65">
        <v>3385.6899999999996</v>
      </c>
      <c r="Q33" s="50">
        <v>3385.6899999999996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3385</v>
      </c>
      <c r="Y33" s="65">
        <v>0</v>
      </c>
      <c r="Z33" s="65">
        <v>0</v>
      </c>
      <c r="AA33" s="51">
        <v>212</v>
      </c>
      <c r="AB33" s="102">
        <v>0</v>
      </c>
      <c r="AC33" s="81">
        <f t="shared" si="2"/>
        <v>426.15259683481725</v>
      </c>
      <c r="AD33" s="82">
        <f t="shared" si="3"/>
        <v>14.442857142857141</v>
      </c>
      <c r="AE33" s="218">
        <v>5.8727859591374061E-2</v>
      </c>
      <c r="AF33">
        <v>4</v>
      </c>
      <c r="AH33" t="str">
        <f t="shared" si="4"/>
        <v>Majhaul</v>
      </c>
      <c r="AJ33" s="72">
        <v>0</v>
      </c>
      <c r="AK33" s="72"/>
      <c r="AL33" s="72"/>
      <c r="AM33" s="72"/>
    </row>
    <row r="34" spans="1:39" x14ac:dyDescent="0.25">
      <c r="A34" s="37" t="s">
        <v>62</v>
      </c>
      <c r="B34" s="66" t="s">
        <v>1596</v>
      </c>
      <c r="C34" s="47">
        <v>1001</v>
      </c>
      <c r="D34" s="47" t="s">
        <v>91</v>
      </c>
      <c r="E34" s="41">
        <v>10010145</v>
      </c>
      <c r="F34" s="46" t="s">
        <v>499</v>
      </c>
      <c r="G34" s="39" t="s">
        <v>92</v>
      </c>
      <c r="H34" s="48" t="s">
        <v>93</v>
      </c>
      <c r="I34" s="52">
        <v>174.39999999999998</v>
      </c>
      <c r="J34" s="49">
        <v>6757.9999999999991</v>
      </c>
      <c r="K34" s="65">
        <v>178.9</v>
      </c>
      <c r="L34" s="65">
        <v>7235.1299999999992</v>
      </c>
      <c r="M34" s="65">
        <v>2.2299999999999995</v>
      </c>
      <c r="N34" s="65">
        <v>85.16</v>
      </c>
      <c r="O34" s="65">
        <v>181.13</v>
      </c>
      <c r="P34" s="65">
        <v>7320.2899999999991</v>
      </c>
      <c r="Q34" s="50">
        <v>6757.9999999999991</v>
      </c>
      <c r="R34" s="65">
        <v>0</v>
      </c>
      <c r="S34" s="65">
        <v>85.16</v>
      </c>
      <c r="T34" s="65">
        <v>562.29</v>
      </c>
      <c r="U34" s="65">
        <v>0</v>
      </c>
      <c r="V34" s="65">
        <v>0</v>
      </c>
      <c r="W34" s="65">
        <v>0</v>
      </c>
      <c r="X34" s="65">
        <v>6673</v>
      </c>
      <c r="Y34" s="65">
        <v>0</v>
      </c>
      <c r="Z34" s="65">
        <v>0</v>
      </c>
      <c r="AA34" s="51">
        <v>0</v>
      </c>
      <c r="AB34" s="102">
        <v>0</v>
      </c>
      <c r="AC34" s="81">
        <f t="shared" si="2"/>
        <v>407.34000000000003</v>
      </c>
      <c r="AD34" s="82">
        <f t="shared" si="3"/>
        <v>24.914285714285711</v>
      </c>
      <c r="AE34" s="218">
        <v>-8.3203610535661443E-2</v>
      </c>
      <c r="AF34">
        <v>7</v>
      </c>
      <c r="AH34" t="str">
        <f t="shared" si="4"/>
        <v>Majhaul</v>
      </c>
      <c r="AJ34" s="72">
        <v>0</v>
      </c>
      <c r="AK34" s="72"/>
      <c r="AL34" s="72"/>
      <c r="AM34" s="72"/>
    </row>
    <row r="35" spans="1:39" x14ac:dyDescent="0.25">
      <c r="A35" s="37" t="s">
        <v>62</v>
      </c>
      <c r="B35" s="66" t="s">
        <v>1596</v>
      </c>
      <c r="C35" s="47">
        <v>1001</v>
      </c>
      <c r="D35" s="47" t="s">
        <v>91</v>
      </c>
      <c r="E35" s="41">
        <v>10010146</v>
      </c>
      <c r="F35" s="46" t="s">
        <v>1419</v>
      </c>
      <c r="G35" s="39" t="s">
        <v>92</v>
      </c>
      <c r="H35" s="48" t="s">
        <v>93</v>
      </c>
      <c r="I35" s="52">
        <v>153.4</v>
      </c>
      <c r="J35" s="49">
        <v>6207.66</v>
      </c>
      <c r="K35" s="65">
        <v>153.57999999999998</v>
      </c>
      <c r="L35" s="65">
        <v>6368.48</v>
      </c>
      <c r="M35" s="65">
        <v>0</v>
      </c>
      <c r="N35" s="65">
        <v>0</v>
      </c>
      <c r="O35" s="65">
        <v>153.57999999999998</v>
      </c>
      <c r="P35" s="65">
        <v>6368.48</v>
      </c>
      <c r="Q35" s="50">
        <v>6207.66</v>
      </c>
      <c r="R35" s="65">
        <v>0</v>
      </c>
      <c r="S35" s="65">
        <v>0</v>
      </c>
      <c r="T35" s="65">
        <v>160.81999999999971</v>
      </c>
      <c r="U35" s="65">
        <v>1350</v>
      </c>
      <c r="V35" s="65">
        <v>0</v>
      </c>
      <c r="W35" s="65">
        <v>0</v>
      </c>
      <c r="X35" s="65">
        <v>4858</v>
      </c>
      <c r="Y35" s="65">
        <v>0</v>
      </c>
      <c r="Z35" s="65">
        <v>0</v>
      </c>
      <c r="AA35" s="51">
        <v>0</v>
      </c>
      <c r="AB35" s="102">
        <v>0</v>
      </c>
      <c r="AC35" s="81">
        <f t="shared" si="2"/>
        <v>442.38682607561935</v>
      </c>
      <c r="AD35" s="82">
        <f t="shared" si="3"/>
        <v>21.914285714285715</v>
      </c>
      <c r="AE35" s="218">
        <v>-2.5906702364498008E-2</v>
      </c>
      <c r="AF35">
        <v>3</v>
      </c>
      <c r="AH35" t="str">
        <f t="shared" si="4"/>
        <v>Majhaul</v>
      </c>
      <c r="AJ35" s="72">
        <v>0</v>
      </c>
      <c r="AK35" s="72"/>
      <c r="AL35" s="72"/>
      <c r="AM35" s="72"/>
    </row>
    <row r="36" spans="1:39" x14ac:dyDescent="0.25">
      <c r="A36" s="37" t="s">
        <v>62</v>
      </c>
      <c r="B36" s="66" t="s">
        <v>1596</v>
      </c>
      <c r="C36" s="47">
        <v>1001</v>
      </c>
      <c r="D36" s="47" t="s">
        <v>91</v>
      </c>
      <c r="E36" s="41">
        <v>10010147</v>
      </c>
      <c r="F36" s="46" t="s">
        <v>1420</v>
      </c>
      <c r="G36" s="39" t="s">
        <v>617</v>
      </c>
      <c r="H36" s="48" t="s">
        <v>98</v>
      </c>
      <c r="I36" s="52">
        <v>192.5</v>
      </c>
      <c r="J36" s="49">
        <v>7621.6</v>
      </c>
      <c r="K36" s="65">
        <v>0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50">
        <v>7621.6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0</v>
      </c>
      <c r="Z36" s="65">
        <v>7621.6</v>
      </c>
      <c r="AA36" s="51">
        <v>0</v>
      </c>
      <c r="AB36" s="102">
        <v>0</v>
      </c>
      <c r="AC36" s="81">
        <f t="shared" si="2"/>
        <v>401.86618181818181</v>
      </c>
      <c r="AD36" s="82">
        <f t="shared" si="3"/>
        <v>27.5</v>
      </c>
      <c r="AE36" s="218">
        <v>0</v>
      </c>
      <c r="AF36">
        <v>0</v>
      </c>
      <c r="AH36" t="str">
        <f t="shared" si="4"/>
        <v>Majhaul</v>
      </c>
      <c r="AJ36" s="72">
        <v>0</v>
      </c>
      <c r="AK36" s="72"/>
      <c r="AL36" s="72"/>
      <c r="AM36" s="72"/>
    </row>
    <row r="37" spans="1:39" x14ac:dyDescent="0.25">
      <c r="A37" s="37" t="s">
        <v>62</v>
      </c>
      <c r="B37" s="66" t="s">
        <v>1596</v>
      </c>
      <c r="C37" s="47">
        <v>1001</v>
      </c>
      <c r="D37" s="47" t="s">
        <v>91</v>
      </c>
      <c r="E37" s="41">
        <v>10010148</v>
      </c>
      <c r="F37" s="46" t="s">
        <v>1421</v>
      </c>
      <c r="G37" s="39" t="s">
        <v>92</v>
      </c>
      <c r="H37" s="48" t="s">
        <v>93</v>
      </c>
      <c r="I37" s="52">
        <v>368.8</v>
      </c>
      <c r="J37" s="49">
        <v>15616.59</v>
      </c>
      <c r="K37" s="65">
        <v>362.87</v>
      </c>
      <c r="L37" s="65">
        <v>15967.5</v>
      </c>
      <c r="M37" s="65">
        <v>6.87</v>
      </c>
      <c r="N37" s="65">
        <v>293.71999999999997</v>
      </c>
      <c r="O37" s="65">
        <v>369.74</v>
      </c>
      <c r="P37" s="65">
        <v>16261.22</v>
      </c>
      <c r="Q37" s="50">
        <v>15616.59</v>
      </c>
      <c r="R37" s="65">
        <v>0</v>
      </c>
      <c r="S37" s="65">
        <v>293.71999999999997</v>
      </c>
      <c r="T37" s="65">
        <v>644.6299999999992</v>
      </c>
      <c r="U37" s="65">
        <v>0</v>
      </c>
      <c r="V37" s="65">
        <v>0</v>
      </c>
      <c r="W37" s="65">
        <v>0</v>
      </c>
      <c r="X37" s="65">
        <v>15323</v>
      </c>
      <c r="Y37" s="65">
        <v>0</v>
      </c>
      <c r="Z37" s="65">
        <v>0</v>
      </c>
      <c r="AA37" s="51">
        <v>0</v>
      </c>
      <c r="AB37" s="102">
        <v>0</v>
      </c>
      <c r="AC37" s="81">
        <f t="shared" si="2"/>
        <v>280.48886160520607</v>
      </c>
      <c r="AD37" s="82">
        <f t="shared" si="3"/>
        <v>52.68571428571429</v>
      </c>
      <c r="AE37" s="218">
        <v>-4.1278537760163977E-2</v>
      </c>
      <c r="AF37">
        <v>7</v>
      </c>
      <c r="AH37" t="str">
        <f t="shared" si="4"/>
        <v>Majhaul</v>
      </c>
      <c r="AJ37" s="72">
        <v>0</v>
      </c>
      <c r="AK37" s="72"/>
      <c r="AL37" s="72"/>
      <c r="AM37" s="72"/>
    </row>
    <row r="38" spans="1:39" x14ac:dyDescent="0.25">
      <c r="A38" s="37" t="s">
        <v>62</v>
      </c>
      <c r="B38" s="66" t="s">
        <v>1596</v>
      </c>
      <c r="C38" s="47">
        <v>1001</v>
      </c>
      <c r="D38" s="47" t="s">
        <v>91</v>
      </c>
      <c r="E38" s="41">
        <v>10010149</v>
      </c>
      <c r="F38" s="46" t="s">
        <v>1422</v>
      </c>
      <c r="G38" s="39" t="s">
        <v>92</v>
      </c>
      <c r="H38" s="48" t="s">
        <v>93</v>
      </c>
      <c r="I38" s="52">
        <v>270.60000000000002</v>
      </c>
      <c r="J38" s="49">
        <v>10306.619999999997</v>
      </c>
      <c r="K38" s="65">
        <v>258.90000000000009</v>
      </c>
      <c r="L38" s="65">
        <v>9873.2499999999982</v>
      </c>
      <c r="M38" s="65">
        <v>0</v>
      </c>
      <c r="N38" s="65">
        <v>0</v>
      </c>
      <c r="O38" s="65">
        <v>258.90000000000009</v>
      </c>
      <c r="P38" s="65">
        <v>9873.2499999999982</v>
      </c>
      <c r="Q38" s="50">
        <v>9873.2499999999982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9871</v>
      </c>
      <c r="Y38" s="65">
        <v>0</v>
      </c>
      <c r="Z38" s="65">
        <v>0</v>
      </c>
      <c r="AA38" s="51">
        <v>436</v>
      </c>
      <c r="AB38" s="102">
        <v>0</v>
      </c>
      <c r="AC38" s="81">
        <f t="shared" si="2"/>
        <v>327.09997250554306</v>
      </c>
      <c r="AD38" s="82">
        <f t="shared" si="3"/>
        <v>38.657142857142858</v>
      </c>
      <c r="AE38" s="218">
        <v>4.2047732428283871E-2</v>
      </c>
      <c r="AF38">
        <v>6</v>
      </c>
      <c r="AH38" t="str">
        <f t="shared" si="4"/>
        <v>Majhaul</v>
      </c>
      <c r="AJ38" s="72">
        <v>0</v>
      </c>
      <c r="AK38" s="72"/>
      <c r="AL38" s="72"/>
      <c r="AM38" s="72"/>
    </row>
    <row r="39" spans="1:39" x14ac:dyDescent="0.25">
      <c r="A39" s="37" t="s">
        <v>62</v>
      </c>
      <c r="B39" s="66" t="s">
        <v>1596</v>
      </c>
      <c r="C39" s="47">
        <v>1002</v>
      </c>
      <c r="D39" s="47" t="s">
        <v>103</v>
      </c>
      <c r="E39" s="41">
        <v>10020002</v>
      </c>
      <c r="F39" s="46" t="s">
        <v>104</v>
      </c>
      <c r="G39" s="39" t="s">
        <v>92</v>
      </c>
      <c r="H39" s="48" t="s">
        <v>93</v>
      </c>
      <c r="I39" s="52">
        <v>2206.5</v>
      </c>
      <c r="J39" s="49">
        <v>102770.63</v>
      </c>
      <c r="K39" s="65">
        <v>1385.2000000000003</v>
      </c>
      <c r="L39" s="65">
        <v>65187.880000000005</v>
      </c>
      <c r="M39" s="65">
        <v>812.6</v>
      </c>
      <c r="N39" s="65">
        <v>38078.380000000005</v>
      </c>
      <c r="O39" s="65">
        <v>2197.8000000000002</v>
      </c>
      <c r="P39" s="65">
        <v>103266.26000000001</v>
      </c>
      <c r="Q39" s="50">
        <v>102770.63</v>
      </c>
      <c r="R39" s="65">
        <v>0</v>
      </c>
      <c r="S39" s="65">
        <v>1034.46</v>
      </c>
      <c r="T39" s="65">
        <v>495.63000000000466</v>
      </c>
      <c r="U39" s="65">
        <v>0</v>
      </c>
      <c r="V39" s="65">
        <v>0</v>
      </c>
      <c r="W39" s="65">
        <v>0</v>
      </c>
      <c r="X39" s="65">
        <v>64693</v>
      </c>
      <c r="Y39" s="65">
        <v>37043</v>
      </c>
      <c r="Z39" s="65">
        <v>0</v>
      </c>
      <c r="AA39" s="51">
        <v>0</v>
      </c>
      <c r="AB39" s="102">
        <v>0</v>
      </c>
      <c r="AC39" s="81">
        <f t="shared" si="2"/>
        <v>0</v>
      </c>
      <c r="AD39" s="82">
        <f t="shared" si="3"/>
        <v>0</v>
      </c>
      <c r="AE39" s="218">
        <v>-4.8226813438820475E-3</v>
      </c>
      <c r="AF39">
        <v>14</v>
      </c>
      <c r="AH39" t="str">
        <f t="shared" si="4"/>
        <v>Laldiyara</v>
      </c>
      <c r="AJ39" s="72">
        <v>0</v>
      </c>
      <c r="AK39" s="72"/>
      <c r="AL39" s="72"/>
      <c r="AM39" s="72"/>
    </row>
    <row r="40" spans="1:39" x14ac:dyDescent="0.25">
      <c r="A40" s="37" t="s">
        <v>62</v>
      </c>
      <c r="B40" s="66" t="s">
        <v>1596</v>
      </c>
      <c r="C40" s="47">
        <v>1002</v>
      </c>
      <c r="D40" s="47" t="s">
        <v>103</v>
      </c>
      <c r="E40" s="41">
        <v>10020004</v>
      </c>
      <c r="F40" s="46" t="s">
        <v>105</v>
      </c>
      <c r="G40" s="39" t="s">
        <v>92</v>
      </c>
      <c r="H40" s="48" t="s">
        <v>93</v>
      </c>
      <c r="I40" s="52">
        <v>539.6</v>
      </c>
      <c r="J40" s="49">
        <v>21633.18</v>
      </c>
      <c r="K40" s="65">
        <v>539.59999999999991</v>
      </c>
      <c r="L40" s="65">
        <v>21607.1</v>
      </c>
      <c r="M40" s="65">
        <v>0</v>
      </c>
      <c r="N40" s="65">
        <v>0</v>
      </c>
      <c r="O40" s="65">
        <v>539.59999999999991</v>
      </c>
      <c r="P40" s="65">
        <v>21607.1</v>
      </c>
      <c r="Q40" s="50">
        <v>21607.1</v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5">
        <v>21607</v>
      </c>
      <c r="Y40" s="65">
        <v>0</v>
      </c>
      <c r="Z40" s="65">
        <v>0</v>
      </c>
      <c r="AA40" s="51">
        <v>26</v>
      </c>
      <c r="AB40" s="102">
        <v>0</v>
      </c>
      <c r="AC40" s="81">
        <f t="shared" si="2"/>
        <v>128.61238220904372</v>
      </c>
      <c r="AD40" s="82">
        <f t="shared" si="3"/>
        <v>77.085714285714289</v>
      </c>
      <c r="AE40" s="218">
        <v>1.2055555401472066E-3</v>
      </c>
      <c r="AF40">
        <v>1</v>
      </c>
      <c r="AH40" t="str">
        <f t="shared" si="4"/>
        <v>Laldiyara</v>
      </c>
      <c r="AJ40" s="72">
        <v>0</v>
      </c>
      <c r="AK40" s="72"/>
      <c r="AL40" s="72"/>
      <c r="AM40" s="72"/>
    </row>
    <row r="41" spans="1:39" x14ac:dyDescent="0.25">
      <c r="A41" s="37" t="s">
        <v>62</v>
      </c>
      <c r="B41" s="66" t="s">
        <v>1596</v>
      </c>
      <c r="C41" s="47">
        <v>1002</v>
      </c>
      <c r="D41" s="47" t="s">
        <v>103</v>
      </c>
      <c r="E41" s="41">
        <v>10020006</v>
      </c>
      <c r="F41" s="46" t="s">
        <v>107</v>
      </c>
      <c r="G41" s="39" t="s">
        <v>617</v>
      </c>
      <c r="H41" s="48" t="s">
        <v>98</v>
      </c>
      <c r="I41" s="52">
        <v>184.20000000000002</v>
      </c>
      <c r="J41" s="49">
        <v>7444</v>
      </c>
      <c r="K41" s="65">
        <v>0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50">
        <v>7444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7444</v>
      </c>
      <c r="AA41" s="51">
        <v>0</v>
      </c>
      <c r="AB41" s="102">
        <v>0</v>
      </c>
      <c r="AC41" s="81">
        <f t="shared" si="2"/>
        <v>416.89633007600423</v>
      </c>
      <c r="AD41" s="82">
        <f t="shared" si="3"/>
        <v>26.314285714285717</v>
      </c>
      <c r="AE41" s="218">
        <v>0</v>
      </c>
      <c r="AF41">
        <v>0</v>
      </c>
      <c r="AH41" t="str">
        <f t="shared" si="4"/>
        <v>Laldiyara</v>
      </c>
      <c r="AJ41" s="72">
        <v>0</v>
      </c>
      <c r="AK41" s="72"/>
      <c r="AL41" s="72"/>
      <c r="AM41" s="72"/>
    </row>
    <row r="42" spans="1:39" x14ac:dyDescent="0.25">
      <c r="A42" s="37" t="s">
        <v>62</v>
      </c>
      <c r="B42" s="66" t="s">
        <v>1596</v>
      </c>
      <c r="C42" s="47">
        <v>1002</v>
      </c>
      <c r="D42" s="47" t="s">
        <v>103</v>
      </c>
      <c r="E42" s="41">
        <v>10020007</v>
      </c>
      <c r="F42" s="46" t="s">
        <v>108</v>
      </c>
      <c r="G42" s="39" t="s">
        <v>617</v>
      </c>
      <c r="H42" s="48" t="s">
        <v>98</v>
      </c>
      <c r="I42" s="52">
        <v>89.399999999999991</v>
      </c>
      <c r="J42" s="49">
        <v>3296.14</v>
      </c>
      <c r="K42" s="65">
        <v>0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50">
        <v>3296.14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0</v>
      </c>
      <c r="X42" s="65">
        <v>0</v>
      </c>
      <c r="Y42" s="65">
        <v>0</v>
      </c>
      <c r="Z42" s="65">
        <v>3296.14</v>
      </c>
      <c r="AA42" s="51">
        <v>0</v>
      </c>
      <c r="AB42" s="102">
        <v>0</v>
      </c>
      <c r="AC42" s="81">
        <f t="shared" si="2"/>
        <v>450.25124921700228</v>
      </c>
      <c r="AD42" s="82">
        <f t="shared" si="3"/>
        <v>12.77142857142857</v>
      </c>
      <c r="AE42" s="218">
        <v>0</v>
      </c>
      <c r="AF42">
        <v>0</v>
      </c>
      <c r="AH42" t="str">
        <f t="shared" si="4"/>
        <v>Laldiyara</v>
      </c>
      <c r="AJ42" s="72">
        <v>0</v>
      </c>
      <c r="AK42" s="72"/>
      <c r="AL42" s="72"/>
      <c r="AM42" s="72"/>
    </row>
    <row r="43" spans="1:39" x14ac:dyDescent="0.25">
      <c r="A43" s="37" t="s">
        <v>62</v>
      </c>
      <c r="B43" s="66" t="s">
        <v>1596</v>
      </c>
      <c r="C43" s="47">
        <v>1002</v>
      </c>
      <c r="D43" s="47" t="s">
        <v>103</v>
      </c>
      <c r="E43" s="41">
        <v>10020008</v>
      </c>
      <c r="F43" s="46" t="s">
        <v>109</v>
      </c>
      <c r="G43" s="39" t="s">
        <v>617</v>
      </c>
      <c r="H43" s="48" t="s">
        <v>98</v>
      </c>
      <c r="I43" s="52">
        <v>823.10000000000014</v>
      </c>
      <c r="J43" s="49">
        <v>35471.24</v>
      </c>
      <c r="K43" s="65">
        <v>0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50">
        <v>35471.24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0</v>
      </c>
      <c r="Y43" s="65">
        <v>0</v>
      </c>
      <c r="Z43" s="65">
        <v>35471.24</v>
      </c>
      <c r="AA43" s="51">
        <v>0</v>
      </c>
      <c r="AB43" s="102">
        <v>0</v>
      </c>
      <c r="AC43" s="81">
        <f t="shared" si="2"/>
        <v>0</v>
      </c>
      <c r="AD43" s="82">
        <f t="shared" si="3"/>
        <v>0</v>
      </c>
      <c r="AE43" s="218">
        <v>0</v>
      </c>
      <c r="AF43">
        <v>0</v>
      </c>
      <c r="AH43" t="str">
        <f t="shared" si="4"/>
        <v>Laldiyara</v>
      </c>
      <c r="AJ43" s="72">
        <v>0</v>
      </c>
      <c r="AK43" s="72"/>
      <c r="AL43" s="72"/>
      <c r="AM43" s="72"/>
    </row>
    <row r="44" spans="1:39" x14ac:dyDescent="0.25">
      <c r="A44" s="37" t="s">
        <v>62</v>
      </c>
      <c r="B44" s="66" t="s">
        <v>1596</v>
      </c>
      <c r="C44" s="47">
        <v>1002</v>
      </c>
      <c r="D44" s="47" t="s">
        <v>103</v>
      </c>
      <c r="E44" s="41">
        <v>10020010</v>
      </c>
      <c r="F44" s="46" t="s">
        <v>1206</v>
      </c>
      <c r="G44" s="39" t="s">
        <v>92</v>
      </c>
      <c r="H44" s="48" t="s">
        <v>93</v>
      </c>
      <c r="I44" s="52">
        <v>77</v>
      </c>
      <c r="J44" s="49">
        <v>3015.7000000000003</v>
      </c>
      <c r="K44" s="65">
        <v>130.39999999999998</v>
      </c>
      <c r="L44" s="65">
        <v>5126.8899999999994</v>
      </c>
      <c r="M44" s="65">
        <v>0.5</v>
      </c>
      <c r="N44" s="65">
        <v>19.46</v>
      </c>
      <c r="O44" s="65">
        <v>130.89999999999998</v>
      </c>
      <c r="P44" s="65">
        <v>5146.3499999999995</v>
      </c>
      <c r="Q44" s="50">
        <v>3015.7000000000003</v>
      </c>
      <c r="R44" s="65">
        <v>0</v>
      </c>
      <c r="S44" s="65">
        <v>19.46</v>
      </c>
      <c r="T44" s="65">
        <v>2130.6499999999992</v>
      </c>
      <c r="U44" s="65">
        <v>0</v>
      </c>
      <c r="V44" s="65">
        <v>0</v>
      </c>
      <c r="W44" s="65">
        <v>0</v>
      </c>
      <c r="X44" s="65">
        <v>2996</v>
      </c>
      <c r="Y44" s="65">
        <v>0</v>
      </c>
      <c r="Z44" s="65">
        <v>0</v>
      </c>
      <c r="AA44" s="51">
        <v>0</v>
      </c>
      <c r="AB44" s="102" t="s">
        <v>1366</v>
      </c>
      <c r="AC44" s="81">
        <f t="shared" si="2"/>
        <v>487.99509090909095</v>
      </c>
      <c r="AD44" s="82">
        <f t="shared" si="3"/>
        <v>11</v>
      </c>
      <c r="AE44" s="218">
        <v>-0.7065192161023971</v>
      </c>
      <c r="AF44">
        <v>3</v>
      </c>
      <c r="AH44" t="str">
        <f t="shared" si="4"/>
        <v>Laldiyara</v>
      </c>
      <c r="AJ44" s="72">
        <v>0</v>
      </c>
      <c r="AK44" s="72"/>
      <c r="AL44" s="72"/>
      <c r="AM44" s="72"/>
    </row>
    <row r="45" spans="1:39" x14ac:dyDescent="0.25">
      <c r="A45" s="37" t="s">
        <v>62</v>
      </c>
      <c r="B45" s="66" t="s">
        <v>1596</v>
      </c>
      <c r="C45" s="47">
        <v>1002</v>
      </c>
      <c r="D45" s="47" t="s">
        <v>103</v>
      </c>
      <c r="E45" s="41">
        <v>10020013</v>
      </c>
      <c r="F45" s="46" t="s">
        <v>597</v>
      </c>
      <c r="G45" s="39" t="s">
        <v>617</v>
      </c>
      <c r="H45" s="48" t="s">
        <v>98</v>
      </c>
      <c r="I45" s="52">
        <v>1933.1</v>
      </c>
      <c r="J45" s="49">
        <v>77786.86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50">
        <v>77786.86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77786.86</v>
      </c>
      <c r="AA45" s="51">
        <v>0</v>
      </c>
      <c r="AB45" s="102">
        <v>0</v>
      </c>
      <c r="AC45" s="81">
        <f t="shared" si="2"/>
        <v>0</v>
      </c>
      <c r="AD45" s="82">
        <f t="shared" si="3"/>
        <v>0</v>
      </c>
      <c r="AE45" s="218">
        <v>0</v>
      </c>
      <c r="AF45">
        <v>0</v>
      </c>
      <c r="AH45" t="str">
        <f t="shared" si="4"/>
        <v>Laldiyara</v>
      </c>
      <c r="AJ45" s="72">
        <v>0</v>
      </c>
      <c r="AK45" s="72"/>
      <c r="AL45" s="72"/>
      <c r="AM45" s="72"/>
    </row>
    <row r="46" spans="1:39" x14ac:dyDescent="0.25">
      <c r="A46" s="37" t="s">
        <v>62</v>
      </c>
      <c r="B46" s="66" t="s">
        <v>1596</v>
      </c>
      <c r="C46" s="47">
        <v>1002</v>
      </c>
      <c r="D46" s="47" t="s">
        <v>103</v>
      </c>
      <c r="E46" s="41">
        <v>10020015</v>
      </c>
      <c r="F46" s="46" t="s">
        <v>110</v>
      </c>
      <c r="G46" s="39" t="s">
        <v>617</v>
      </c>
      <c r="H46" s="48" t="s">
        <v>98</v>
      </c>
      <c r="I46" s="52">
        <v>31678.300000000003</v>
      </c>
      <c r="J46" s="49">
        <v>1281280.17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50">
        <v>1281280.17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1281280.17</v>
      </c>
      <c r="AA46" s="51">
        <v>0</v>
      </c>
      <c r="AB46" s="102">
        <v>0</v>
      </c>
      <c r="AC46" s="81">
        <f t="shared" si="2"/>
        <v>0</v>
      </c>
      <c r="AD46" s="82">
        <f t="shared" si="3"/>
        <v>0</v>
      </c>
      <c r="AE46" s="218">
        <v>0</v>
      </c>
      <c r="AF46">
        <v>0</v>
      </c>
      <c r="AH46" t="str">
        <f t="shared" si="4"/>
        <v>Laldiyara</v>
      </c>
      <c r="AJ46" s="72">
        <v>0</v>
      </c>
      <c r="AK46" s="72"/>
      <c r="AL46" s="72"/>
      <c r="AM46" s="72"/>
    </row>
    <row r="47" spans="1:39" x14ac:dyDescent="0.25">
      <c r="A47" s="37" t="s">
        <v>62</v>
      </c>
      <c r="B47" s="66" t="s">
        <v>1596</v>
      </c>
      <c r="C47" s="47">
        <v>1002</v>
      </c>
      <c r="D47" s="47" t="s">
        <v>103</v>
      </c>
      <c r="E47" s="41">
        <v>10020016</v>
      </c>
      <c r="F47" s="46" t="s">
        <v>111</v>
      </c>
      <c r="G47" s="39" t="s">
        <v>617</v>
      </c>
      <c r="H47" s="48" t="s">
        <v>98</v>
      </c>
      <c r="I47" s="52">
        <v>31749.500000000004</v>
      </c>
      <c r="J47" s="49">
        <v>1285317.5299999996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50">
        <v>1285317.5299999996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1285317.5299999996</v>
      </c>
      <c r="AA47" s="51">
        <v>0</v>
      </c>
      <c r="AB47" s="102">
        <v>0</v>
      </c>
      <c r="AC47" s="81">
        <f t="shared" si="2"/>
        <v>0</v>
      </c>
      <c r="AD47" s="82">
        <f t="shared" si="3"/>
        <v>0</v>
      </c>
      <c r="AE47" s="218">
        <v>0</v>
      </c>
      <c r="AF47">
        <v>0</v>
      </c>
      <c r="AH47" t="str">
        <f t="shared" si="4"/>
        <v>Laldiyara</v>
      </c>
      <c r="AJ47" s="72">
        <v>0</v>
      </c>
      <c r="AK47" s="72"/>
      <c r="AL47" s="72"/>
      <c r="AM47" s="72"/>
    </row>
    <row r="48" spans="1:39" x14ac:dyDescent="0.25">
      <c r="A48" s="37" t="s">
        <v>62</v>
      </c>
      <c r="B48" s="66" t="s">
        <v>1596</v>
      </c>
      <c r="C48" s="47">
        <v>1002</v>
      </c>
      <c r="D48" s="47" t="s">
        <v>103</v>
      </c>
      <c r="E48" s="41">
        <v>10020017</v>
      </c>
      <c r="F48" s="46" t="s">
        <v>112</v>
      </c>
      <c r="G48" s="39" t="s">
        <v>92</v>
      </c>
      <c r="H48" s="48" t="s">
        <v>93</v>
      </c>
      <c r="I48" s="52">
        <v>3253.0999999999995</v>
      </c>
      <c r="J48" s="49">
        <v>138944.31</v>
      </c>
      <c r="K48" s="65">
        <v>3323.1000000000004</v>
      </c>
      <c r="L48" s="65">
        <v>137942.15000000002</v>
      </c>
      <c r="M48" s="65">
        <v>32.9</v>
      </c>
      <c r="N48" s="65">
        <v>1509.1199999999997</v>
      </c>
      <c r="O48" s="65">
        <v>3356.0000000000005</v>
      </c>
      <c r="P48" s="65">
        <v>139451.27000000002</v>
      </c>
      <c r="Q48" s="50">
        <v>138944.31</v>
      </c>
      <c r="R48" s="65">
        <v>0</v>
      </c>
      <c r="S48" s="65">
        <v>1509.1199999999997</v>
      </c>
      <c r="T48" s="65">
        <v>506.96000000002095</v>
      </c>
      <c r="U48" s="65">
        <v>0</v>
      </c>
      <c r="V48" s="65">
        <v>0</v>
      </c>
      <c r="W48" s="65">
        <v>0</v>
      </c>
      <c r="X48" s="65">
        <v>137435</v>
      </c>
      <c r="Y48" s="65">
        <v>0</v>
      </c>
      <c r="Z48" s="65">
        <v>0</v>
      </c>
      <c r="AA48" s="51">
        <v>0</v>
      </c>
      <c r="AB48" s="102">
        <v>0</v>
      </c>
      <c r="AC48" s="81">
        <f t="shared" si="2"/>
        <v>0</v>
      </c>
      <c r="AD48" s="82">
        <f t="shared" si="3"/>
        <v>0</v>
      </c>
      <c r="AE48" s="218">
        <v>-3.6486560694714374E-3</v>
      </c>
      <c r="AF48">
        <v>62</v>
      </c>
      <c r="AH48" t="str">
        <f t="shared" si="4"/>
        <v>Laldiyara</v>
      </c>
      <c r="AJ48" s="72">
        <v>0</v>
      </c>
      <c r="AK48" s="72"/>
      <c r="AL48" s="72"/>
      <c r="AM48" s="72"/>
    </row>
    <row r="49" spans="1:39" x14ac:dyDescent="0.25">
      <c r="A49" s="37" t="s">
        <v>62</v>
      </c>
      <c r="B49" s="66" t="s">
        <v>1596</v>
      </c>
      <c r="C49" s="47">
        <v>1002</v>
      </c>
      <c r="D49" s="47" t="s">
        <v>103</v>
      </c>
      <c r="E49" s="41">
        <v>10020021</v>
      </c>
      <c r="F49" s="46" t="s">
        <v>113</v>
      </c>
      <c r="G49" s="39" t="s">
        <v>92</v>
      </c>
      <c r="H49" s="48" t="s">
        <v>93</v>
      </c>
      <c r="I49" s="52">
        <v>4474.6000000000004</v>
      </c>
      <c r="J49" s="49">
        <v>199134.44999999998</v>
      </c>
      <c r="K49" s="65">
        <v>4095.0000000000005</v>
      </c>
      <c r="L49" s="65">
        <v>182548.08999999997</v>
      </c>
      <c r="M49" s="65">
        <v>412.49999999999994</v>
      </c>
      <c r="N49" s="65">
        <v>16990.610000000004</v>
      </c>
      <c r="O49" s="65">
        <v>4507.5</v>
      </c>
      <c r="P49" s="65">
        <v>199538.69999999998</v>
      </c>
      <c r="Q49" s="50">
        <v>199134.44999999998</v>
      </c>
      <c r="R49" s="65">
        <v>0</v>
      </c>
      <c r="S49" s="65">
        <v>1735.9</v>
      </c>
      <c r="T49" s="65">
        <v>404.25</v>
      </c>
      <c r="U49" s="65">
        <v>0</v>
      </c>
      <c r="V49" s="65">
        <v>0</v>
      </c>
      <c r="W49" s="65">
        <v>0</v>
      </c>
      <c r="X49" s="65">
        <v>182143</v>
      </c>
      <c r="Y49" s="65">
        <v>15256</v>
      </c>
      <c r="Z49" s="65">
        <v>0</v>
      </c>
      <c r="AA49" s="51">
        <v>0</v>
      </c>
      <c r="AB49" s="102">
        <v>0</v>
      </c>
      <c r="AC49" s="81">
        <f t="shared" si="2"/>
        <v>0</v>
      </c>
      <c r="AD49" s="82">
        <f t="shared" si="3"/>
        <v>0</v>
      </c>
      <c r="AE49" s="218">
        <v>-2.0300354860748608E-3</v>
      </c>
      <c r="AF49">
        <v>30</v>
      </c>
      <c r="AH49" t="str">
        <f t="shared" si="4"/>
        <v>Laldiyara</v>
      </c>
      <c r="AJ49" s="72">
        <v>0</v>
      </c>
      <c r="AK49" s="72"/>
      <c r="AL49" s="72"/>
      <c r="AM49" s="72"/>
    </row>
    <row r="50" spans="1:39" x14ac:dyDescent="0.25">
      <c r="A50" s="37" t="s">
        <v>62</v>
      </c>
      <c r="B50" s="66" t="s">
        <v>1596</v>
      </c>
      <c r="C50" s="47">
        <v>1002</v>
      </c>
      <c r="D50" s="47" t="s">
        <v>103</v>
      </c>
      <c r="E50" s="41">
        <v>10020023</v>
      </c>
      <c r="F50" s="46" t="s">
        <v>115</v>
      </c>
      <c r="G50" s="39" t="s">
        <v>92</v>
      </c>
      <c r="H50" s="48" t="s">
        <v>93</v>
      </c>
      <c r="I50" s="52">
        <v>804.49999999999989</v>
      </c>
      <c r="J50" s="49">
        <v>32129.270000000004</v>
      </c>
      <c r="K50" s="65">
        <v>788.8</v>
      </c>
      <c r="L50" s="65">
        <v>30426.129999999994</v>
      </c>
      <c r="M50" s="65">
        <v>10.199999999999999</v>
      </c>
      <c r="N50" s="65">
        <v>386.62</v>
      </c>
      <c r="O50" s="65">
        <v>799</v>
      </c>
      <c r="P50" s="65">
        <v>30812.749999999993</v>
      </c>
      <c r="Q50" s="50">
        <v>30812.749999999993</v>
      </c>
      <c r="R50" s="65">
        <v>0</v>
      </c>
      <c r="S50" s="65">
        <v>386.62</v>
      </c>
      <c r="T50" s="65">
        <v>0</v>
      </c>
      <c r="U50" s="65">
        <v>0</v>
      </c>
      <c r="V50" s="65">
        <v>0</v>
      </c>
      <c r="W50" s="65">
        <v>0</v>
      </c>
      <c r="X50" s="65">
        <v>30427</v>
      </c>
      <c r="Y50" s="65">
        <v>0</v>
      </c>
      <c r="Z50" s="65">
        <v>0</v>
      </c>
      <c r="AA50" s="51">
        <v>1316</v>
      </c>
      <c r="AB50" s="102">
        <v>0</v>
      </c>
      <c r="AC50" s="81">
        <f t="shared" si="2"/>
        <v>0</v>
      </c>
      <c r="AD50" s="82">
        <f t="shared" si="3"/>
        <v>0</v>
      </c>
      <c r="AE50" s="218">
        <v>4.0975720892507402E-2</v>
      </c>
      <c r="AF50">
        <v>25</v>
      </c>
      <c r="AH50" t="str">
        <f t="shared" si="4"/>
        <v>Laldiyara</v>
      </c>
      <c r="AJ50" s="72">
        <v>0</v>
      </c>
      <c r="AK50" s="72"/>
      <c r="AL50" s="72"/>
      <c r="AM50" s="72"/>
    </row>
    <row r="51" spans="1:39" x14ac:dyDescent="0.25">
      <c r="A51" s="37" t="s">
        <v>62</v>
      </c>
      <c r="B51" s="66" t="s">
        <v>1596</v>
      </c>
      <c r="C51" s="47">
        <v>1002</v>
      </c>
      <c r="D51" s="47" t="s">
        <v>103</v>
      </c>
      <c r="E51" s="41">
        <v>10020024</v>
      </c>
      <c r="F51" s="46" t="s">
        <v>116</v>
      </c>
      <c r="G51" s="39" t="s">
        <v>92</v>
      </c>
      <c r="H51" s="48" t="s">
        <v>93</v>
      </c>
      <c r="I51" s="52">
        <v>2481.4000000000005</v>
      </c>
      <c r="J51" s="49">
        <v>102646.50000000001</v>
      </c>
      <c r="K51" s="65">
        <v>2464.3799999999997</v>
      </c>
      <c r="L51" s="65">
        <v>102173.75999999999</v>
      </c>
      <c r="M51" s="65">
        <v>0</v>
      </c>
      <c r="N51" s="65">
        <v>0</v>
      </c>
      <c r="O51" s="65">
        <v>2464.3799999999997</v>
      </c>
      <c r="P51" s="65">
        <v>102173.75999999999</v>
      </c>
      <c r="Q51" s="50">
        <v>102173.75999999999</v>
      </c>
      <c r="R51" s="65">
        <v>0</v>
      </c>
      <c r="S51" s="65">
        <v>0</v>
      </c>
      <c r="T51" s="65">
        <v>0</v>
      </c>
      <c r="U51" s="65">
        <v>3000</v>
      </c>
      <c r="V51" s="65">
        <v>0</v>
      </c>
      <c r="W51" s="65">
        <v>0</v>
      </c>
      <c r="X51" s="65">
        <v>99171</v>
      </c>
      <c r="Y51" s="65">
        <v>0</v>
      </c>
      <c r="Z51" s="65">
        <v>0</v>
      </c>
      <c r="AA51" s="51">
        <v>476</v>
      </c>
      <c r="AB51" s="102" t="s">
        <v>68</v>
      </c>
      <c r="AC51" s="81">
        <f t="shared" si="2"/>
        <v>0</v>
      </c>
      <c r="AD51" s="82">
        <f t="shared" si="3"/>
        <v>0</v>
      </c>
      <c r="AE51" s="218">
        <v>4.6055150443514367E-3</v>
      </c>
      <c r="AF51">
        <v>64</v>
      </c>
      <c r="AH51" t="str">
        <f t="shared" si="4"/>
        <v>Laldiyara</v>
      </c>
      <c r="AJ51" s="72">
        <v>0</v>
      </c>
      <c r="AK51" s="72"/>
      <c r="AL51" s="72"/>
      <c r="AM51" s="72"/>
    </row>
    <row r="52" spans="1:39" x14ac:dyDescent="0.25">
      <c r="A52" s="37" t="s">
        <v>62</v>
      </c>
      <c r="B52" s="66" t="s">
        <v>1596</v>
      </c>
      <c r="C52" s="47">
        <v>1002</v>
      </c>
      <c r="D52" s="47" t="s">
        <v>103</v>
      </c>
      <c r="E52" s="41">
        <v>10020025</v>
      </c>
      <c r="F52" s="46" t="s">
        <v>117</v>
      </c>
      <c r="G52" s="39" t="s">
        <v>92</v>
      </c>
      <c r="H52" s="48" t="s">
        <v>93</v>
      </c>
      <c r="I52" s="52">
        <v>799.8</v>
      </c>
      <c r="J52" s="49">
        <v>31963.480000000003</v>
      </c>
      <c r="K52" s="65">
        <v>782.59999999999991</v>
      </c>
      <c r="L52" s="65">
        <v>32306.370000000003</v>
      </c>
      <c r="M52" s="65">
        <v>9.6599999999999984</v>
      </c>
      <c r="N52" s="65">
        <v>404.53000000000003</v>
      </c>
      <c r="O52" s="65">
        <v>792.25999999999988</v>
      </c>
      <c r="P52" s="65">
        <v>32710.9</v>
      </c>
      <c r="Q52" s="50">
        <v>31963.480000000003</v>
      </c>
      <c r="R52" s="65">
        <v>0</v>
      </c>
      <c r="S52" s="65">
        <v>404.53000000000003</v>
      </c>
      <c r="T52" s="65">
        <v>747.41999999999825</v>
      </c>
      <c r="U52" s="65">
        <v>0</v>
      </c>
      <c r="V52" s="65">
        <v>0</v>
      </c>
      <c r="W52" s="65">
        <v>0</v>
      </c>
      <c r="X52" s="65">
        <v>31559</v>
      </c>
      <c r="Y52" s="65">
        <v>0</v>
      </c>
      <c r="Z52" s="65">
        <v>0</v>
      </c>
      <c r="AA52" s="51">
        <v>0</v>
      </c>
      <c r="AB52" s="102">
        <v>0</v>
      </c>
      <c r="AC52" s="81">
        <f t="shared" si="2"/>
        <v>0</v>
      </c>
      <c r="AD52" s="82">
        <f t="shared" si="3"/>
        <v>0</v>
      </c>
      <c r="AE52" s="218">
        <v>-2.3383561489549891E-2</v>
      </c>
      <c r="AF52">
        <v>19</v>
      </c>
      <c r="AH52" t="str">
        <f t="shared" si="4"/>
        <v>Laldiyara</v>
      </c>
      <c r="AJ52" s="72">
        <v>0</v>
      </c>
      <c r="AK52" s="72"/>
      <c r="AL52" s="72"/>
      <c r="AM52" s="72"/>
    </row>
    <row r="53" spans="1:39" x14ac:dyDescent="0.25">
      <c r="A53" s="37" t="s">
        <v>62</v>
      </c>
      <c r="B53" s="66" t="s">
        <v>1596</v>
      </c>
      <c r="C53" s="47">
        <v>1002</v>
      </c>
      <c r="D53" s="47" t="s">
        <v>103</v>
      </c>
      <c r="E53" s="41">
        <v>10020026</v>
      </c>
      <c r="F53" s="46" t="s">
        <v>118</v>
      </c>
      <c r="G53" s="39" t="s">
        <v>92</v>
      </c>
      <c r="H53" s="48" t="s">
        <v>93</v>
      </c>
      <c r="I53" s="52">
        <v>502.80000000000007</v>
      </c>
      <c r="J53" s="49">
        <v>20638.04</v>
      </c>
      <c r="K53" s="65">
        <v>502.15000000000003</v>
      </c>
      <c r="L53" s="65">
        <v>20630.580000000002</v>
      </c>
      <c r="M53" s="65">
        <v>1.1000000000000001</v>
      </c>
      <c r="N53" s="65">
        <v>43.47</v>
      </c>
      <c r="O53" s="65">
        <v>503.25000000000006</v>
      </c>
      <c r="P53" s="65">
        <v>20674.050000000003</v>
      </c>
      <c r="Q53" s="50">
        <v>20638.04</v>
      </c>
      <c r="R53" s="65">
        <v>0</v>
      </c>
      <c r="S53" s="65">
        <v>43.47</v>
      </c>
      <c r="T53" s="65">
        <v>36.010000000002037</v>
      </c>
      <c r="U53" s="65">
        <v>0</v>
      </c>
      <c r="V53" s="65">
        <v>0</v>
      </c>
      <c r="W53" s="65">
        <v>0</v>
      </c>
      <c r="X53" s="65">
        <v>20595</v>
      </c>
      <c r="Y53" s="65">
        <v>0</v>
      </c>
      <c r="Z53" s="65">
        <v>0</v>
      </c>
      <c r="AA53" s="51">
        <v>0</v>
      </c>
      <c r="AB53" s="102">
        <v>0</v>
      </c>
      <c r="AC53" s="81">
        <f t="shared" si="2"/>
        <v>161.88629626093868</v>
      </c>
      <c r="AD53" s="82">
        <f t="shared" si="3"/>
        <v>71.828571428571436</v>
      </c>
      <c r="AE53" s="218">
        <v>-1.7448362344487187E-3</v>
      </c>
      <c r="AF53">
        <v>6</v>
      </c>
      <c r="AH53" t="str">
        <f t="shared" si="4"/>
        <v>Laldiyara</v>
      </c>
      <c r="AJ53" s="72">
        <v>0</v>
      </c>
      <c r="AK53" s="72"/>
      <c r="AL53" s="72"/>
      <c r="AM53" s="72"/>
    </row>
    <row r="54" spans="1:39" x14ac:dyDescent="0.25">
      <c r="A54" s="37" t="s">
        <v>62</v>
      </c>
      <c r="B54" s="66" t="s">
        <v>1596</v>
      </c>
      <c r="C54" s="47">
        <v>1002</v>
      </c>
      <c r="D54" s="47" t="s">
        <v>103</v>
      </c>
      <c r="E54" s="41">
        <v>10020027</v>
      </c>
      <c r="F54" s="46" t="s">
        <v>119</v>
      </c>
      <c r="G54" s="39" t="s">
        <v>92</v>
      </c>
      <c r="H54" s="48" t="s">
        <v>93</v>
      </c>
      <c r="I54" s="52">
        <v>685.19999999999993</v>
      </c>
      <c r="J54" s="49">
        <v>28422.31</v>
      </c>
      <c r="K54" s="65">
        <v>675.19999999999993</v>
      </c>
      <c r="L54" s="65">
        <v>28252.219999999998</v>
      </c>
      <c r="M54" s="65">
        <v>0</v>
      </c>
      <c r="N54" s="65">
        <v>0</v>
      </c>
      <c r="O54" s="65">
        <v>675.19999999999993</v>
      </c>
      <c r="P54" s="65">
        <v>28252.219999999998</v>
      </c>
      <c r="Q54" s="50">
        <v>28252.219999999998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28252</v>
      </c>
      <c r="Y54" s="65">
        <v>0</v>
      </c>
      <c r="Z54" s="65">
        <v>0</v>
      </c>
      <c r="AA54" s="51">
        <v>170</v>
      </c>
      <c r="AB54" s="102">
        <v>0</v>
      </c>
      <c r="AC54" s="81">
        <f t="shared" si="2"/>
        <v>12.27817244600125</v>
      </c>
      <c r="AD54" s="82">
        <f t="shared" si="3"/>
        <v>97.885714285714272</v>
      </c>
      <c r="AE54" s="218">
        <v>5.9843833945940278E-3</v>
      </c>
      <c r="AF54">
        <v>1</v>
      </c>
      <c r="AH54" t="str">
        <f t="shared" si="4"/>
        <v>Laldiyara</v>
      </c>
      <c r="AJ54" s="72">
        <v>0</v>
      </c>
      <c r="AK54" s="72"/>
      <c r="AL54" s="72"/>
      <c r="AM54" s="72"/>
    </row>
    <row r="55" spans="1:39" x14ac:dyDescent="0.25">
      <c r="A55" s="37" t="s">
        <v>62</v>
      </c>
      <c r="B55" s="66" t="s">
        <v>1596</v>
      </c>
      <c r="C55" s="47">
        <v>1002</v>
      </c>
      <c r="D55" s="47" t="s">
        <v>103</v>
      </c>
      <c r="E55" s="41">
        <v>10020029</v>
      </c>
      <c r="F55" s="46" t="s">
        <v>120</v>
      </c>
      <c r="G55" s="39" t="s">
        <v>92</v>
      </c>
      <c r="H55" s="48" t="s">
        <v>93</v>
      </c>
      <c r="I55" s="52">
        <v>364.6</v>
      </c>
      <c r="J55" s="49">
        <v>14767.66</v>
      </c>
      <c r="K55" s="65">
        <v>336.57000000000005</v>
      </c>
      <c r="L55" s="65">
        <v>14713.699999999999</v>
      </c>
      <c r="M55" s="65">
        <v>1.2600000000000002</v>
      </c>
      <c r="N55" s="65">
        <v>53.180000000000007</v>
      </c>
      <c r="O55" s="65">
        <v>337.83000000000004</v>
      </c>
      <c r="P55" s="65">
        <v>14766.88</v>
      </c>
      <c r="Q55" s="50">
        <v>14766.88</v>
      </c>
      <c r="R55" s="65">
        <v>0</v>
      </c>
      <c r="S55" s="65">
        <v>53.180000000000007</v>
      </c>
      <c r="T55" s="65">
        <v>0</v>
      </c>
      <c r="U55" s="65">
        <v>0</v>
      </c>
      <c r="V55" s="65">
        <v>0</v>
      </c>
      <c r="W55" s="65">
        <v>0</v>
      </c>
      <c r="X55" s="65">
        <v>14714</v>
      </c>
      <c r="Y55" s="65">
        <v>0</v>
      </c>
      <c r="Z55" s="65">
        <v>0</v>
      </c>
      <c r="AA55" s="51">
        <v>0</v>
      </c>
      <c r="AB55" s="102">
        <v>0</v>
      </c>
      <c r="AC55" s="81">
        <f t="shared" si="2"/>
        <v>271.6990216127262</v>
      </c>
      <c r="AD55" s="82">
        <f t="shared" si="3"/>
        <v>52.085714285714289</v>
      </c>
      <c r="AE55" s="218">
        <v>5.2818117426908178E-5</v>
      </c>
      <c r="AF55">
        <v>5</v>
      </c>
      <c r="AH55" t="str">
        <f t="shared" si="4"/>
        <v>Laldiyara</v>
      </c>
      <c r="AJ55" s="72">
        <v>0</v>
      </c>
      <c r="AK55" s="72"/>
      <c r="AL55" s="72"/>
      <c r="AM55" s="72"/>
    </row>
    <row r="56" spans="1:39" x14ac:dyDescent="0.25">
      <c r="A56" s="37" t="s">
        <v>62</v>
      </c>
      <c r="B56" s="66" t="s">
        <v>1596</v>
      </c>
      <c r="C56" s="47">
        <v>1002</v>
      </c>
      <c r="D56" s="47" t="s">
        <v>103</v>
      </c>
      <c r="E56" s="41">
        <v>10020032</v>
      </c>
      <c r="F56" s="46" t="s">
        <v>121</v>
      </c>
      <c r="G56" s="39" t="s">
        <v>92</v>
      </c>
      <c r="H56" s="48" t="s">
        <v>93</v>
      </c>
      <c r="I56" s="52">
        <v>1265.5999999999999</v>
      </c>
      <c r="J56" s="49">
        <v>55756.209999999992</v>
      </c>
      <c r="K56" s="65">
        <v>1253.8600000000004</v>
      </c>
      <c r="L56" s="65">
        <v>55253.409999999996</v>
      </c>
      <c r="M56" s="65">
        <v>13.149999999999999</v>
      </c>
      <c r="N56" s="65">
        <v>584.15000000000009</v>
      </c>
      <c r="O56" s="65">
        <v>1267.0100000000004</v>
      </c>
      <c r="P56" s="65">
        <v>55837.56</v>
      </c>
      <c r="Q56" s="50">
        <v>55756.209999999992</v>
      </c>
      <c r="R56" s="65">
        <v>0</v>
      </c>
      <c r="S56" s="65">
        <v>584.15000000000009</v>
      </c>
      <c r="T56" s="65">
        <v>81.350000000005821</v>
      </c>
      <c r="U56" s="65">
        <v>0</v>
      </c>
      <c r="V56" s="65">
        <v>0</v>
      </c>
      <c r="W56" s="65">
        <v>0</v>
      </c>
      <c r="X56" s="65">
        <v>55172</v>
      </c>
      <c r="Y56" s="65">
        <v>0</v>
      </c>
      <c r="Z56" s="65">
        <v>0</v>
      </c>
      <c r="AA56" s="51">
        <v>0</v>
      </c>
      <c r="AB56" s="102">
        <v>0</v>
      </c>
      <c r="AC56" s="81">
        <f t="shared" si="2"/>
        <v>0</v>
      </c>
      <c r="AD56" s="82">
        <f t="shared" si="3"/>
        <v>0</v>
      </c>
      <c r="AE56" s="218">
        <v>-1.4590303035304198E-3</v>
      </c>
      <c r="AF56">
        <v>20</v>
      </c>
      <c r="AH56" t="str">
        <f t="shared" si="4"/>
        <v>Laldiyara</v>
      </c>
      <c r="AJ56" s="72">
        <v>0</v>
      </c>
      <c r="AK56" s="72"/>
      <c r="AL56" s="72"/>
      <c r="AM56" s="72"/>
    </row>
    <row r="57" spans="1:39" x14ac:dyDescent="0.25">
      <c r="A57" s="37" t="s">
        <v>62</v>
      </c>
      <c r="B57" s="66" t="s">
        <v>1596</v>
      </c>
      <c r="C57" s="47">
        <v>1002</v>
      </c>
      <c r="D57" s="47" t="s">
        <v>103</v>
      </c>
      <c r="E57" s="41">
        <v>10020034</v>
      </c>
      <c r="F57" s="46" t="s">
        <v>122</v>
      </c>
      <c r="G57" s="39" t="s">
        <v>92</v>
      </c>
      <c r="H57" s="48" t="s">
        <v>93</v>
      </c>
      <c r="I57" s="52">
        <v>942.70000000000016</v>
      </c>
      <c r="J57" s="49">
        <v>41438.740000000005</v>
      </c>
      <c r="K57" s="65">
        <v>929.9799999999999</v>
      </c>
      <c r="L57" s="65">
        <v>39006.25</v>
      </c>
      <c r="M57" s="65">
        <v>9.84</v>
      </c>
      <c r="N57" s="65">
        <v>377.62</v>
      </c>
      <c r="O57" s="65">
        <v>939.81999999999994</v>
      </c>
      <c r="P57" s="65">
        <v>39383.870000000003</v>
      </c>
      <c r="Q57" s="50">
        <v>39383.870000000003</v>
      </c>
      <c r="R57" s="65">
        <v>0</v>
      </c>
      <c r="S57" s="65">
        <v>377.62</v>
      </c>
      <c r="T57" s="65">
        <v>0</v>
      </c>
      <c r="U57" s="65">
        <v>0</v>
      </c>
      <c r="V57" s="65">
        <v>0</v>
      </c>
      <c r="W57" s="65">
        <v>0</v>
      </c>
      <c r="X57" s="65">
        <v>39007</v>
      </c>
      <c r="Y57" s="65">
        <v>0</v>
      </c>
      <c r="Z57" s="65">
        <v>0</v>
      </c>
      <c r="AA57" s="51">
        <v>2054</v>
      </c>
      <c r="AB57" s="102">
        <v>0</v>
      </c>
      <c r="AC57" s="81">
        <f t="shared" si="2"/>
        <v>0</v>
      </c>
      <c r="AD57" s="82">
        <f t="shared" si="3"/>
        <v>0</v>
      </c>
      <c r="AE57" s="218">
        <v>4.9588139021601585E-2</v>
      </c>
      <c r="AF57">
        <v>24</v>
      </c>
      <c r="AH57" t="str">
        <f t="shared" si="4"/>
        <v>Laldiyara</v>
      </c>
      <c r="AJ57" s="72">
        <v>0</v>
      </c>
      <c r="AK57" s="72"/>
      <c r="AL57" s="72"/>
      <c r="AM57" s="72"/>
    </row>
    <row r="58" spans="1:39" x14ac:dyDescent="0.25">
      <c r="A58" s="37" t="s">
        <v>62</v>
      </c>
      <c r="B58" s="66" t="s">
        <v>1596</v>
      </c>
      <c r="C58" s="47">
        <v>1002</v>
      </c>
      <c r="D58" s="47" t="s">
        <v>103</v>
      </c>
      <c r="E58" s="41">
        <v>10020035</v>
      </c>
      <c r="F58" s="46" t="s">
        <v>123</v>
      </c>
      <c r="G58" s="39" t="s">
        <v>92</v>
      </c>
      <c r="H58" s="48" t="s">
        <v>93</v>
      </c>
      <c r="I58" s="52">
        <v>1272.5999999999999</v>
      </c>
      <c r="J58" s="49">
        <v>54693.400000000023</v>
      </c>
      <c r="K58" s="65">
        <v>1305.7</v>
      </c>
      <c r="L58" s="65">
        <v>55678.37000000001</v>
      </c>
      <c r="M58" s="65">
        <v>32</v>
      </c>
      <c r="N58" s="65">
        <v>1482.01</v>
      </c>
      <c r="O58" s="65">
        <v>1337.7</v>
      </c>
      <c r="P58" s="65">
        <v>57160.380000000012</v>
      </c>
      <c r="Q58" s="50">
        <v>54693.400000000023</v>
      </c>
      <c r="R58" s="65">
        <v>0</v>
      </c>
      <c r="S58" s="65">
        <v>1023.2</v>
      </c>
      <c r="T58" s="65">
        <v>2466.9799999999886</v>
      </c>
      <c r="U58" s="65">
        <v>0</v>
      </c>
      <c r="V58" s="65">
        <v>0</v>
      </c>
      <c r="W58" s="65">
        <v>0</v>
      </c>
      <c r="X58" s="65">
        <v>53211</v>
      </c>
      <c r="Y58" s="65">
        <v>459</v>
      </c>
      <c r="Z58" s="65">
        <v>0</v>
      </c>
      <c r="AA58" s="51">
        <v>0</v>
      </c>
      <c r="AB58" s="102">
        <v>0</v>
      </c>
      <c r="AC58" s="81">
        <f t="shared" si="2"/>
        <v>0</v>
      </c>
      <c r="AD58" s="82">
        <f t="shared" si="3"/>
        <v>0</v>
      </c>
      <c r="AE58" s="218">
        <v>-4.5105625175980789E-2</v>
      </c>
      <c r="AF58">
        <v>9</v>
      </c>
      <c r="AH58" t="str">
        <f t="shared" si="4"/>
        <v>Laldiyara</v>
      </c>
      <c r="AJ58" s="72">
        <v>0</v>
      </c>
      <c r="AK58" s="72"/>
      <c r="AL58" s="72"/>
      <c r="AM58" s="72"/>
    </row>
    <row r="59" spans="1:39" x14ac:dyDescent="0.25">
      <c r="A59" s="37" t="s">
        <v>62</v>
      </c>
      <c r="B59" s="66" t="s">
        <v>1596</v>
      </c>
      <c r="C59" s="47">
        <v>1002</v>
      </c>
      <c r="D59" s="47" t="s">
        <v>103</v>
      </c>
      <c r="E59" s="41">
        <v>10020038</v>
      </c>
      <c r="F59" s="46" t="s">
        <v>124</v>
      </c>
      <c r="G59" s="39" t="s">
        <v>92</v>
      </c>
      <c r="H59" s="48" t="s">
        <v>93</v>
      </c>
      <c r="I59" s="52">
        <v>582.90000000000009</v>
      </c>
      <c r="J59" s="49">
        <v>24899.939999999995</v>
      </c>
      <c r="K59" s="65">
        <v>583.92000000000007</v>
      </c>
      <c r="L59" s="65">
        <v>24393.470000000005</v>
      </c>
      <c r="M59" s="65">
        <v>5.7099999999999991</v>
      </c>
      <c r="N59" s="65">
        <v>238.39</v>
      </c>
      <c r="O59" s="65">
        <v>589.63000000000011</v>
      </c>
      <c r="P59" s="65">
        <v>24631.860000000004</v>
      </c>
      <c r="Q59" s="50">
        <v>24631.860000000004</v>
      </c>
      <c r="R59" s="65">
        <v>0</v>
      </c>
      <c r="S59" s="65">
        <v>238.39</v>
      </c>
      <c r="T59" s="65">
        <v>0</v>
      </c>
      <c r="U59" s="65">
        <v>0</v>
      </c>
      <c r="V59" s="65">
        <v>0</v>
      </c>
      <c r="W59" s="65">
        <v>0</v>
      </c>
      <c r="X59" s="65">
        <v>24393</v>
      </c>
      <c r="Y59" s="65">
        <v>0</v>
      </c>
      <c r="Z59" s="65">
        <v>0</v>
      </c>
      <c r="AA59" s="51">
        <v>269</v>
      </c>
      <c r="AB59" s="102">
        <v>0</v>
      </c>
      <c r="AC59" s="81">
        <f t="shared" si="2"/>
        <v>100.04402038085422</v>
      </c>
      <c r="AD59" s="82">
        <f t="shared" si="3"/>
        <v>83.271428571428586</v>
      </c>
      <c r="AE59" s="218">
        <v>1.0766291003110485E-2</v>
      </c>
      <c r="AF59">
        <v>14</v>
      </c>
      <c r="AH59" t="str">
        <f t="shared" si="4"/>
        <v>Laldiyara</v>
      </c>
      <c r="AJ59" s="72">
        <v>0</v>
      </c>
      <c r="AK59" s="72"/>
      <c r="AL59" s="72"/>
      <c r="AM59" s="72"/>
    </row>
    <row r="60" spans="1:39" x14ac:dyDescent="0.25">
      <c r="A60" s="37" t="s">
        <v>62</v>
      </c>
      <c r="B60" s="66" t="s">
        <v>1596</v>
      </c>
      <c r="C60" s="47">
        <v>1002</v>
      </c>
      <c r="D60" s="47" t="s">
        <v>103</v>
      </c>
      <c r="E60" s="41">
        <v>10020041</v>
      </c>
      <c r="F60" s="46" t="s">
        <v>125</v>
      </c>
      <c r="G60" s="39" t="s">
        <v>92</v>
      </c>
      <c r="H60" s="48" t="s">
        <v>93</v>
      </c>
      <c r="I60" s="52">
        <v>233.6</v>
      </c>
      <c r="J60" s="49">
        <v>10908.339999999998</v>
      </c>
      <c r="K60" s="65">
        <v>235.2</v>
      </c>
      <c r="L60" s="65">
        <v>10897.470000000001</v>
      </c>
      <c r="M60" s="65">
        <v>0</v>
      </c>
      <c r="N60" s="65">
        <v>0</v>
      </c>
      <c r="O60" s="65">
        <v>235.2</v>
      </c>
      <c r="P60" s="65">
        <v>10897.470000000001</v>
      </c>
      <c r="Q60" s="50">
        <v>10897.470000000001</v>
      </c>
      <c r="R60" s="65">
        <v>0</v>
      </c>
      <c r="S60" s="65">
        <v>0</v>
      </c>
      <c r="T60" s="65">
        <v>0</v>
      </c>
      <c r="U60" s="65">
        <v>0</v>
      </c>
      <c r="V60" s="65">
        <v>500</v>
      </c>
      <c r="W60" s="65">
        <v>0</v>
      </c>
      <c r="X60" s="65">
        <v>10398</v>
      </c>
      <c r="Y60" s="65">
        <v>0</v>
      </c>
      <c r="Z60" s="65">
        <v>0</v>
      </c>
      <c r="AA60" s="51">
        <v>10</v>
      </c>
      <c r="AB60" s="102">
        <v>0</v>
      </c>
      <c r="AC60" s="81">
        <f t="shared" si="2"/>
        <v>435.58645342465752</v>
      </c>
      <c r="AD60" s="82">
        <f t="shared" si="3"/>
        <v>33.371428571428574</v>
      </c>
      <c r="AE60" s="218">
        <v>9.9648525806833718E-4</v>
      </c>
      <c r="AF60">
        <v>7</v>
      </c>
      <c r="AH60" t="str">
        <f t="shared" si="4"/>
        <v>Laldiyara</v>
      </c>
      <c r="AJ60" s="72">
        <v>500</v>
      </c>
      <c r="AK60" s="72"/>
      <c r="AL60" s="72"/>
      <c r="AM60" s="72"/>
    </row>
    <row r="61" spans="1:39" x14ac:dyDescent="0.25">
      <c r="A61" s="37" t="s">
        <v>62</v>
      </c>
      <c r="B61" s="66" t="s">
        <v>1596</v>
      </c>
      <c r="C61" s="47">
        <v>1002</v>
      </c>
      <c r="D61" s="47" t="s">
        <v>103</v>
      </c>
      <c r="E61" s="41">
        <v>10020042</v>
      </c>
      <c r="F61" s="46" t="s">
        <v>126</v>
      </c>
      <c r="G61" s="39" t="s">
        <v>92</v>
      </c>
      <c r="H61" s="48" t="s">
        <v>93</v>
      </c>
      <c r="I61" s="52">
        <v>786.40000000000009</v>
      </c>
      <c r="J61" s="49">
        <v>29721.140000000003</v>
      </c>
      <c r="K61" s="65">
        <v>796.40000000000009</v>
      </c>
      <c r="L61" s="65">
        <v>29576.329999999998</v>
      </c>
      <c r="M61" s="65">
        <v>0</v>
      </c>
      <c r="N61" s="65">
        <v>0</v>
      </c>
      <c r="O61" s="65">
        <v>796.40000000000009</v>
      </c>
      <c r="P61" s="65">
        <v>29576.329999999998</v>
      </c>
      <c r="Q61" s="50">
        <v>29576.329999999998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29576</v>
      </c>
      <c r="Y61" s="65">
        <v>0</v>
      </c>
      <c r="Z61" s="65">
        <v>0</v>
      </c>
      <c r="AA61" s="51">
        <v>145</v>
      </c>
      <c r="AB61" s="102">
        <v>0</v>
      </c>
      <c r="AC61" s="81">
        <f t="shared" si="2"/>
        <v>0</v>
      </c>
      <c r="AD61" s="82">
        <f t="shared" si="3"/>
        <v>0</v>
      </c>
      <c r="AE61" s="218">
        <v>4.8722895555151965E-3</v>
      </c>
      <c r="AF61">
        <v>1</v>
      </c>
      <c r="AH61" t="str">
        <f t="shared" si="4"/>
        <v>Laldiyara</v>
      </c>
      <c r="AJ61" s="72">
        <v>0</v>
      </c>
      <c r="AK61" s="72"/>
      <c r="AL61" s="72"/>
      <c r="AM61" s="72"/>
    </row>
    <row r="62" spans="1:39" x14ac:dyDescent="0.25">
      <c r="A62" s="37" t="s">
        <v>62</v>
      </c>
      <c r="B62" s="66" t="s">
        <v>1596</v>
      </c>
      <c r="C62" s="47">
        <v>1002</v>
      </c>
      <c r="D62" s="47" t="s">
        <v>103</v>
      </c>
      <c r="E62" s="41">
        <v>10020043</v>
      </c>
      <c r="F62" s="46" t="s">
        <v>598</v>
      </c>
      <c r="G62" s="39" t="s">
        <v>92</v>
      </c>
      <c r="H62" s="48" t="s">
        <v>93</v>
      </c>
      <c r="I62" s="52">
        <v>973.2</v>
      </c>
      <c r="J62" s="49">
        <v>43442.700000000004</v>
      </c>
      <c r="K62" s="65">
        <v>997.06</v>
      </c>
      <c r="L62" s="65">
        <v>44647.219999999994</v>
      </c>
      <c r="M62" s="65">
        <v>11.08</v>
      </c>
      <c r="N62" s="65">
        <v>482.75</v>
      </c>
      <c r="O62" s="65">
        <v>1008.14</v>
      </c>
      <c r="P62" s="65">
        <v>45129.969999999994</v>
      </c>
      <c r="Q62" s="50">
        <v>43442.700000000004</v>
      </c>
      <c r="R62" s="65">
        <v>0</v>
      </c>
      <c r="S62" s="65">
        <v>482.75</v>
      </c>
      <c r="T62" s="65">
        <v>1687.2699999999895</v>
      </c>
      <c r="U62" s="65">
        <v>0</v>
      </c>
      <c r="V62" s="65">
        <v>0</v>
      </c>
      <c r="W62" s="65">
        <v>0</v>
      </c>
      <c r="X62" s="65">
        <v>42960</v>
      </c>
      <c r="Y62" s="65">
        <v>0</v>
      </c>
      <c r="Z62" s="65">
        <v>0</v>
      </c>
      <c r="AA62" s="51">
        <v>0</v>
      </c>
      <c r="AB62" s="102">
        <v>0</v>
      </c>
      <c r="AC62" s="81">
        <f t="shared" si="2"/>
        <v>0</v>
      </c>
      <c r="AD62" s="82">
        <f t="shared" si="3"/>
        <v>0</v>
      </c>
      <c r="AE62" s="218">
        <v>-3.8838976398796334E-2</v>
      </c>
      <c r="AF62">
        <v>8</v>
      </c>
      <c r="AH62" t="str">
        <f t="shared" si="4"/>
        <v>Laldiyara</v>
      </c>
      <c r="AJ62" s="72">
        <v>0</v>
      </c>
      <c r="AK62" s="72"/>
      <c r="AL62" s="72"/>
      <c r="AM62" s="72"/>
    </row>
    <row r="63" spans="1:39" x14ac:dyDescent="0.25">
      <c r="A63" s="37" t="s">
        <v>62</v>
      </c>
      <c r="B63" s="66" t="s">
        <v>1596</v>
      </c>
      <c r="C63" s="47">
        <v>1002</v>
      </c>
      <c r="D63" s="47" t="s">
        <v>103</v>
      </c>
      <c r="E63" s="41">
        <v>10020044</v>
      </c>
      <c r="F63" s="46" t="s">
        <v>127</v>
      </c>
      <c r="G63" s="39" t="s">
        <v>92</v>
      </c>
      <c r="H63" s="48" t="s">
        <v>93</v>
      </c>
      <c r="I63" s="52">
        <v>1268.0999999999997</v>
      </c>
      <c r="J63" s="49">
        <v>55661.06</v>
      </c>
      <c r="K63" s="65">
        <v>1296.3200000000002</v>
      </c>
      <c r="L63" s="65">
        <v>57260.229999999996</v>
      </c>
      <c r="M63" s="65">
        <v>7.74</v>
      </c>
      <c r="N63" s="65">
        <v>348.81999999999994</v>
      </c>
      <c r="O63" s="65">
        <v>1304.0600000000002</v>
      </c>
      <c r="P63" s="65">
        <v>57609.049999999996</v>
      </c>
      <c r="Q63" s="50">
        <v>55661.06</v>
      </c>
      <c r="R63" s="65">
        <v>0</v>
      </c>
      <c r="S63" s="65">
        <v>348.81999999999994</v>
      </c>
      <c r="T63" s="65">
        <v>1947.989999999998</v>
      </c>
      <c r="U63" s="65">
        <v>0</v>
      </c>
      <c r="V63" s="65">
        <v>0</v>
      </c>
      <c r="W63" s="65">
        <v>0</v>
      </c>
      <c r="X63" s="65">
        <v>55312</v>
      </c>
      <c r="Y63" s="65">
        <v>0</v>
      </c>
      <c r="Z63" s="65">
        <v>0</v>
      </c>
      <c r="AA63" s="51">
        <v>0</v>
      </c>
      <c r="AB63" s="102" t="s">
        <v>1366</v>
      </c>
      <c r="AC63" s="81">
        <f t="shared" si="2"/>
        <v>0</v>
      </c>
      <c r="AD63" s="82">
        <f t="shared" si="3"/>
        <v>0</v>
      </c>
      <c r="AE63" s="218">
        <v>-3.4997357218852783E-2</v>
      </c>
      <c r="AF63">
        <v>22</v>
      </c>
      <c r="AH63" t="str">
        <f t="shared" si="4"/>
        <v>Laldiyara</v>
      </c>
      <c r="AJ63" s="72">
        <v>0</v>
      </c>
      <c r="AK63" s="72"/>
      <c r="AL63" s="72"/>
      <c r="AM63" s="72"/>
    </row>
    <row r="64" spans="1:39" x14ac:dyDescent="0.25">
      <c r="A64" s="37" t="s">
        <v>62</v>
      </c>
      <c r="B64" s="66" t="s">
        <v>1596</v>
      </c>
      <c r="C64" s="47">
        <v>1002</v>
      </c>
      <c r="D64" s="47" t="s">
        <v>103</v>
      </c>
      <c r="E64" s="41">
        <v>10020047</v>
      </c>
      <c r="F64" s="46" t="s">
        <v>426</v>
      </c>
      <c r="G64" s="39" t="s">
        <v>617</v>
      </c>
      <c r="H64" s="48" t="s">
        <v>98</v>
      </c>
      <c r="I64" s="52">
        <v>2682.2000000000003</v>
      </c>
      <c r="J64" s="49">
        <v>114290.47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50">
        <v>114290.47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114290.47</v>
      </c>
      <c r="AA64" s="51">
        <v>0</v>
      </c>
      <c r="AB64" s="102">
        <v>0</v>
      </c>
      <c r="AC64" s="81">
        <f t="shared" si="2"/>
        <v>0</v>
      </c>
      <c r="AD64" s="82">
        <f t="shared" si="3"/>
        <v>0</v>
      </c>
      <c r="AE64" s="218">
        <v>0</v>
      </c>
      <c r="AF64">
        <v>0</v>
      </c>
      <c r="AH64" t="str">
        <f t="shared" si="4"/>
        <v>Laldiyara</v>
      </c>
      <c r="AJ64" s="72">
        <v>0</v>
      </c>
      <c r="AK64" s="72"/>
      <c r="AL64" s="72"/>
      <c r="AM64" s="72"/>
    </row>
    <row r="65" spans="1:39" x14ac:dyDescent="0.25">
      <c r="A65" s="37" t="s">
        <v>62</v>
      </c>
      <c r="B65" s="66" t="s">
        <v>1596</v>
      </c>
      <c r="C65" s="47">
        <v>1002</v>
      </c>
      <c r="D65" s="47" t="s">
        <v>103</v>
      </c>
      <c r="E65" s="41">
        <v>10020050</v>
      </c>
      <c r="F65" s="46" t="s">
        <v>128</v>
      </c>
      <c r="G65" s="39" t="s">
        <v>92</v>
      </c>
      <c r="H65" s="48" t="s">
        <v>93</v>
      </c>
      <c r="I65" s="52">
        <v>1458.5999999999997</v>
      </c>
      <c r="J65" s="49">
        <v>66330.179999999993</v>
      </c>
      <c r="K65" s="65">
        <v>1448.4</v>
      </c>
      <c r="L65" s="65">
        <v>65265.510000000017</v>
      </c>
      <c r="M65" s="65">
        <v>5.88</v>
      </c>
      <c r="N65" s="65">
        <v>246.92000000000002</v>
      </c>
      <c r="O65" s="65">
        <v>1454.2800000000002</v>
      </c>
      <c r="P65" s="65">
        <v>65512.430000000015</v>
      </c>
      <c r="Q65" s="50">
        <v>65512.430000000015</v>
      </c>
      <c r="R65" s="65">
        <v>0</v>
      </c>
      <c r="S65" s="65">
        <v>246.92000000000002</v>
      </c>
      <c r="T65" s="65">
        <v>0</v>
      </c>
      <c r="U65" s="65">
        <v>0</v>
      </c>
      <c r="V65" s="65">
        <v>0</v>
      </c>
      <c r="W65" s="65">
        <v>0</v>
      </c>
      <c r="X65" s="65">
        <v>65265</v>
      </c>
      <c r="Y65" s="65">
        <v>0</v>
      </c>
      <c r="Z65" s="65">
        <v>0</v>
      </c>
      <c r="AA65" s="51">
        <v>818</v>
      </c>
      <c r="AB65" s="102">
        <v>0</v>
      </c>
      <c r="AC65" s="81">
        <f t="shared" si="2"/>
        <v>0</v>
      </c>
      <c r="AD65" s="82">
        <f t="shared" si="3"/>
        <v>0</v>
      </c>
      <c r="AE65" s="218">
        <v>1.2328475514463828E-2</v>
      </c>
      <c r="AF65">
        <v>11</v>
      </c>
      <c r="AH65" t="str">
        <f t="shared" si="4"/>
        <v>Laldiyara</v>
      </c>
      <c r="AJ65" s="72">
        <v>0</v>
      </c>
      <c r="AK65" s="72"/>
      <c r="AL65" s="72"/>
      <c r="AM65" s="72"/>
    </row>
    <row r="66" spans="1:39" x14ac:dyDescent="0.25">
      <c r="A66" s="37" t="s">
        <v>62</v>
      </c>
      <c r="B66" s="66" t="s">
        <v>1596</v>
      </c>
      <c r="C66" s="47">
        <v>1002</v>
      </c>
      <c r="D66" s="47" t="s">
        <v>103</v>
      </c>
      <c r="E66" s="41">
        <v>10020052</v>
      </c>
      <c r="F66" s="46" t="s">
        <v>1497</v>
      </c>
      <c r="G66" s="39" t="s">
        <v>617</v>
      </c>
      <c r="H66" s="48" t="s">
        <v>98</v>
      </c>
      <c r="I66" s="52">
        <v>245.79999999999995</v>
      </c>
      <c r="J66" s="49">
        <v>14606.21</v>
      </c>
      <c r="K66" s="65">
        <v>0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50">
        <v>14606.21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14606.21</v>
      </c>
      <c r="AA66" s="51">
        <v>0</v>
      </c>
      <c r="AB66" s="102">
        <v>0</v>
      </c>
      <c r="AC66" s="81">
        <f t="shared" si="2"/>
        <v>539.79988462164386</v>
      </c>
      <c r="AD66" s="82">
        <f t="shared" si="3"/>
        <v>35.114285714285707</v>
      </c>
      <c r="AE66" s="218">
        <v>0</v>
      </c>
      <c r="AF66">
        <v>0</v>
      </c>
      <c r="AH66" t="str">
        <f t="shared" si="4"/>
        <v>Laldiyara</v>
      </c>
      <c r="AJ66" s="72">
        <v>0</v>
      </c>
      <c r="AK66" s="72"/>
      <c r="AL66" s="72"/>
      <c r="AM66" s="72"/>
    </row>
    <row r="67" spans="1:39" x14ac:dyDescent="0.25">
      <c r="A67" s="37" t="s">
        <v>62</v>
      </c>
      <c r="B67" s="66" t="s">
        <v>1596</v>
      </c>
      <c r="C67" s="47">
        <v>1002</v>
      </c>
      <c r="D67" s="47" t="s">
        <v>103</v>
      </c>
      <c r="E67" s="41">
        <v>10020054</v>
      </c>
      <c r="F67" s="46" t="s">
        <v>129</v>
      </c>
      <c r="G67" s="39" t="s">
        <v>617</v>
      </c>
      <c r="H67" s="48" t="s">
        <v>98</v>
      </c>
      <c r="I67" s="52">
        <v>1523.3</v>
      </c>
      <c r="J67" s="49">
        <v>63328.53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50">
        <v>63328.53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63328.53</v>
      </c>
      <c r="AA67" s="51">
        <v>0</v>
      </c>
      <c r="AB67" s="102">
        <v>0</v>
      </c>
      <c r="AC67" s="81">
        <f t="shared" si="2"/>
        <v>0</v>
      </c>
      <c r="AD67" s="82">
        <f t="shared" si="3"/>
        <v>0</v>
      </c>
      <c r="AE67" s="218">
        <v>0</v>
      </c>
      <c r="AF67">
        <v>0</v>
      </c>
      <c r="AH67" t="str">
        <f t="shared" ref="AH67:AH130" si="5">TEXT(D67,"0000")</f>
        <v>Laldiyara</v>
      </c>
      <c r="AJ67" s="72">
        <v>0</v>
      </c>
      <c r="AK67" s="72"/>
      <c r="AL67" s="72"/>
      <c r="AM67" s="72"/>
    </row>
    <row r="68" spans="1:39" x14ac:dyDescent="0.25">
      <c r="A68" s="37" t="s">
        <v>62</v>
      </c>
      <c r="B68" s="66" t="s">
        <v>1596</v>
      </c>
      <c r="C68" s="47">
        <v>1002</v>
      </c>
      <c r="D68" s="47" t="s">
        <v>103</v>
      </c>
      <c r="E68" s="41">
        <v>10020057</v>
      </c>
      <c r="F68" s="46" t="s">
        <v>130</v>
      </c>
      <c r="G68" s="39" t="s">
        <v>92</v>
      </c>
      <c r="H68" s="48" t="s">
        <v>93</v>
      </c>
      <c r="I68" s="52">
        <v>2486.3999999999992</v>
      </c>
      <c r="J68" s="49">
        <v>116817.45</v>
      </c>
      <c r="K68" s="65">
        <v>2277.5700000000006</v>
      </c>
      <c r="L68" s="65">
        <v>108308.52</v>
      </c>
      <c r="M68" s="65">
        <v>203.85000000000002</v>
      </c>
      <c r="N68" s="65">
        <v>9017.98</v>
      </c>
      <c r="O68" s="65">
        <v>2481.4200000000005</v>
      </c>
      <c r="P68" s="65">
        <v>117326.5</v>
      </c>
      <c r="Q68" s="50">
        <v>116817.45</v>
      </c>
      <c r="R68" s="65">
        <v>0</v>
      </c>
      <c r="S68" s="65">
        <v>1636.71</v>
      </c>
      <c r="T68" s="65">
        <v>509.05000000000291</v>
      </c>
      <c r="U68" s="65">
        <v>0</v>
      </c>
      <c r="V68" s="65">
        <v>0</v>
      </c>
      <c r="W68" s="65">
        <v>0</v>
      </c>
      <c r="X68" s="65">
        <v>107800</v>
      </c>
      <c r="Y68" s="65">
        <v>7381</v>
      </c>
      <c r="Z68" s="65">
        <v>0</v>
      </c>
      <c r="AA68" s="51">
        <v>0</v>
      </c>
      <c r="AB68" s="102">
        <v>0</v>
      </c>
      <c r="AC68" s="81">
        <f t="shared" ref="AC68:AC131" si="6">((IF(AD68=0,0,100-AD68))*7*(J68/I68))*2%</f>
        <v>0</v>
      </c>
      <c r="AD68" s="82">
        <f t="shared" ref="AD68:AD131" si="7">IF((I68/7)&gt;100,0,(I68/7))</f>
        <v>0</v>
      </c>
      <c r="AE68" s="218">
        <v>-4.3576537580644241E-3</v>
      </c>
      <c r="AF68">
        <v>13</v>
      </c>
      <c r="AH68" t="str">
        <f t="shared" si="5"/>
        <v>Laldiyara</v>
      </c>
      <c r="AJ68" s="72">
        <v>0</v>
      </c>
      <c r="AK68" s="72"/>
      <c r="AL68" s="72"/>
      <c r="AM68" s="72"/>
    </row>
    <row r="69" spans="1:39" x14ac:dyDescent="0.25">
      <c r="A69" s="37" t="s">
        <v>62</v>
      </c>
      <c r="B69" s="66" t="s">
        <v>1596</v>
      </c>
      <c r="C69" s="47">
        <v>1002</v>
      </c>
      <c r="D69" s="47" t="s">
        <v>103</v>
      </c>
      <c r="E69" s="41">
        <v>10020058</v>
      </c>
      <c r="F69" s="46" t="s">
        <v>131</v>
      </c>
      <c r="G69" s="39" t="s">
        <v>92</v>
      </c>
      <c r="H69" s="48" t="s">
        <v>93</v>
      </c>
      <c r="I69" s="52">
        <v>652.4</v>
      </c>
      <c r="J69" s="49">
        <v>27738.07</v>
      </c>
      <c r="K69" s="65">
        <v>446.87</v>
      </c>
      <c r="L69" s="65">
        <v>19984.469999999998</v>
      </c>
      <c r="M69" s="65">
        <v>212.65</v>
      </c>
      <c r="N69" s="65">
        <v>8311.8599999999988</v>
      </c>
      <c r="O69" s="65">
        <v>659.52</v>
      </c>
      <c r="P69" s="65">
        <v>28296.329999999994</v>
      </c>
      <c r="Q69" s="50">
        <v>27738.07</v>
      </c>
      <c r="R69" s="65">
        <v>0</v>
      </c>
      <c r="S69" s="65">
        <v>381.85999999999996</v>
      </c>
      <c r="T69" s="65">
        <v>558.25999999999476</v>
      </c>
      <c r="U69" s="65">
        <v>0</v>
      </c>
      <c r="V69" s="65">
        <v>0</v>
      </c>
      <c r="W69" s="65">
        <v>0</v>
      </c>
      <c r="X69" s="65">
        <v>19426</v>
      </c>
      <c r="Y69" s="65">
        <v>7930</v>
      </c>
      <c r="Z69" s="65">
        <v>0</v>
      </c>
      <c r="AA69" s="51">
        <v>0</v>
      </c>
      <c r="AB69" s="102">
        <v>0</v>
      </c>
      <c r="AC69" s="81">
        <f t="shared" si="6"/>
        <v>40.47615364806866</v>
      </c>
      <c r="AD69" s="82">
        <f t="shared" si="7"/>
        <v>93.2</v>
      </c>
      <c r="AE69" s="218">
        <v>-2.0126129900169504E-2</v>
      </c>
      <c r="AF69">
        <v>9</v>
      </c>
      <c r="AH69" t="str">
        <f t="shared" si="5"/>
        <v>Laldiyara</v>
      </c>
      <c r="AJ69" s="72">
        <v>0</v>
      </c>
      <c r="AK69" s="72"/>
      <c r="AL69" s="72"/>
      <c r="AM69" s="72"/>
    </row>
    <row r="70" spans="1:39" x14ac:dyDescent="0.25">
      <c r="A70" s="37" t="s">
        <v>62</v>
      </c>
      <c r="B70" s="66" t="s">
        <v>1596</v>
      </c>
      <c r="C70" s="47">
        <v>1002</v>
      </c>
      <c r="D70" s="47" t="s">
        <v>103</v>
      </c>
      <c r="E70" s="41">
        <v>10020059</v>
      </c>
      <c r="F70" s="46" t="s">
        <v>132</v>
      </c>
      <c r="G70" s="39" t="s">
        <v>92</v>
      </c>
      <c r="H70" s="48" t="s">
        <v>93</v>
      </c>
      <c r="I70" s="52">
        <v>1254.5</v>
      </c>
      <c r="J70" s="49">
        <v>54742.81</v>
      </c>
      <c r="K70" s="65">
        <v>786.28</v>
      </c>
      <c r="L70" s="65">
        <v>32216.33</v>
      </c>
      <c r="M70" s="65">
        <v>481</v>
      </c>
      <c r="N70" s="65">
        <v>22221.47</v>
      </c>
      <c r="O70" s="65">
        <v>1267.28</v>
      </c>
      <c r="P70" s="65">
        <v>54437.8</v>
      </c>
      <c r="Q70" s="50">
        <v>54437.8</v>
      </c>
      <c r="R70" s="65">
        <v>0</v>
      </c>
      <c r="S70" s="65">
        <v>463.92000000000007</v>
      </c>
      <c r="T70" s="65">
        <v>0</v>
      </c>
      <c r="U70" s="65">
        <v>0</v>
      </c>
      <c r="V70" s="65">
        <v>0</v>
      </c>
      <c r="W70" s="65">
        <v>0</v>
      </c>
      <c r="X70" s="65">
        <v>32216</v>
      </c>
      <c r="Y70" s="65">
        <v>21758</v>
      </c>
      <c r="Z70" s="65">
        <v>0</v>
      </c>
      <c r="AA70" s="51">
        <v>305</v>
      </c>
      <c r="AB70" s="102">
        <v>0</v>
      </c>
      <c r="AC70" s="81">
        <f t="shared" si="6"/>
        <v>0</v>
      </c>
      <c r="AD70" s="82">
        <f t="shared" si="7"/>
        <v>0</v>
      </c>
      <c r="AE70" s="218">
        <v>5.5716906019255275E-3</v>
      </c>
      <c r="AF70">
        <v>10</v>
      </c>
      <c r="AH70" t="str">
        <f t="shared" si="5"/>
        <v>Laldiyara</v>
      </c>
      <c r="AJ70" s="72">
        <v>0</v>
      </c>
      <c r="AK70" s="72"/>
      <c r="AL70" s="72"/>
      <c r="AM70" s="72"/>
    </row>
    <row r="71" spans="1:39" x14ac:dyDescent="0.25">
      <c r="A71" s="37" t="s">
        <v>62</v>
      </c>
      <c r="B71" s="66" t="s">
        <v>1596</v>
      </c>
      <c r="C71" s="47">
        <v>1002</v>
      </c>
      <c r="D71" s="47" t="s">
        <v>103</v>
      </c>
      <c r="E71" s="41">
        <v>10020062</v>
      </c>
      <c r="F71" s="46" t="s">
        <v>133</v>
      </c>
      <c r="G71" s="39" t="s">
        <v>92</v>
      </c>
      <c r="H71" s="48" t="s">
        <v>93</v>
      </c>
      <c r="I71" s="52">
        <v>151.1</v>
      </c>
      <c r="J71" s="49">
        <v>6702.2999999999993</v>
      </c>
      <c r="K71" s="65">
        <v>150.91999999999999</v>
      </c>
      <c r="L71" s="65">
        <v>6789.38</v>
      </c>
      <c r="M71" s="65">
        <v>2.7399999999999998</v>
      </c>
      <c r="N71" s="65">
        <v>117.38</v>
      </c>
      <c r="O71" s="65">
        <v>153.66</v>
      </c>
      <c r="P71" s="65">
        <v>6906.76</v>
      </c>
      <c r="Q71" s="50">
        <v>6702.2999999999993</v>
      </c>
      <c r="R71" s="65">
        <v>0</v>
      </c>
      <c r="S71" s="65">
        <v>117.38</v>
      </c>
      <c r="T71" s="65">
        <v>204.46000000000095</v>
      </c>
      <c r="U71" s="65">
        <v>0</v>
      </c>
      <c r="V71" s="65">
        <v>0</v>
      </c>
      <c r="W71" s="65">
        <v>0</v>
      </c>
      <c r="X71" s="65">
        <v>6585</v>
      </c>
      <c r="Y71" s="65">
        <v>0</v>
      </c>
      <c r="Z71" s="65">
        <v>0</v>
      </c>
      <c r="AA71" s="51">
        <v>0</v>
      </c>
      <c r="AB71" s="102">
        <v>0</v>
      </c>
      <c r="AC71" s="81">
        <f t="shared" si="6"/>
        <v>486.94804367968226</v>
      </c>
      <c r="AD71" s="82">
        <f t="shared" si="7"/>
        <v>21.585714285714285</v>
      </c>
      <c r="AE71" s="218">
        <v>-3.0505945720126073E-2</v>
      </c>
      <c r="AF71">
        <v>13</v>
      </c>
      <c r="AH71" t="str">
        <f t="shared" si="5"/>
        <v>Laldiyara</v>
      </c>
      <c r="AJ71" s="72">
        <v>0</v>
      </c>
      <c r="AK71" s="72"/>
      <c r="AL71" s="72"/>
      <c r="AM71" s="72"/>
    </row>
    <row r="72" spans="1:39" x14ac:dyDescent="0.25">
      <c r="A72" s="37" t="s">
        <v>62</v>
      </c>
      <c r="B72" s="66" t="s">
        <v>1596</v>
      </c>
      <c r="C72" s="47">
        <v>1002</v>
      </c>
      <c r="D72" s="47" t="s">
        <v>103</v>
      </c>
      <c r="E72" s="41">
        <v>10020063</v>
      </c>
      <c r="F72" s="46" t="s">
        <v>134</v>
      </c>
      <c r="G72" s="39" t="s">
        <v>92</v>
      </c>
      <c r="H72" s="48" t="s">
        <v>93</v>
      </c>
      <c r="I72" s="52">
        <v>1040.5</v>
      </c>
      <c r="J72" s="49">
        <v>46412.260000000009</v>
      </c>
      <c r="K72" s="65">
        <v>514.65</v>
      </c>
      <c r="L72" s="65">
        <v>25456.800000000003</v>
      </c>
      <c r="M72" s="65">
        <v>528.59999999999991</v>
      </c>
      <c r="N72" s="65">
        <v>22517.449999999997</v>
      </c>
      <c r="O72" s="65">
        <v>1043.25</v>
      </c>
      <c r="P72" s="65">
        <v>47974.25</v>
      </c>
      <c r="Q72" s="50">
        <v>46412.260000000009</v>
      </c>
      <c r="R72" s="65">
        <v>0</v>
      </c>
      <c r="S72" s="65">
        <v>498.08</v>
      </c>
      <c r="T72" s="65">
        <v>1561.9899999999907</v>
      </c>
      <c r="U72" s="65">
        <v>0</v>
      </c>
      <c r="V72" s="65">
        <v>0</v>
      </c>
      <c r="W72" s="65">
        <v>0</v>
      </c>
      <c r="X72" s="65">
        <v>23895</v>
      </c>
      <c r="Y72" s="65">
        <v>22019</v>
      </c>
      <c r="Z72" s="65">
        <v>0</v>
      </c>
      <c r="AA72" s="51">
        <v>0</v>
      </c>
      <c r="AB72" s="102">
        <v>0</v>
      </c>
      <c r="AC72" s="81">
        <f t="shared" si="6"/>
        <v>0</v>
      </c>
      <c r="AD72" s="82">
        <f t="shared" si="7"/>
        <v>0</v>
      </c>
      <c r="AE72" s="218">
        <v>-3.3654685206020787E-2</v>
      </c>
      <c r="AF72">
        <v>11</v>
      </c>
      <c r="AH72" t="str">
        <f t="shared" si="5"/>
        <v>Laldiyara</v>
      </c>
      <c r="AJ72" s="72">
        <v>0</v>
      </c>
      <c r="AK72" s="72"/>
      <c r="AL72" s="72"/>
      <c r="AM72" s="72"/>
    </row>
    <row r="73" spans="1:39" x14ac:dyDescent="0.25">
      <c r="A73" s="37" t="s">
        <v>62</v>
      </c>
      <c r="B73" s="66" t="s">
        <v>1596</v>
      </c>
      <c r="C73" s="47">
        <v>1002</v>
      </c>
      <c r="D73" s="47" t="s">
        <v>103</v>
      </c>
      <c r="E73" s="41">
        <v>10020064</v>
      </c>
      <c r="F73" s="46" t="s">
        <v>135</v>
      </c>
      <c r="G73" s="39" t="s">
        <v>617</v>
      </c>
      <c r="H73" s="48" t="s">
        <v>98</v>
      </c>
      <c r="I73" s="52">
        <v>789.8</v>
      </c>
      <c r="J73" s="49">
        <v>32763.789999999997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50">
        <v>32763.789999999997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32763.789999999997</v>
      </c>
      <c r="AA73" s="51">
        <v>0</v>
      </c>
      <c r="AB73" s="102">
        <v>0</v>
      </c>
      <c r="AC73" s="81">
        <f t="shared" si="6"/>
        <v>0</v>
      </c>
      <c r="AD73" s="82">
        <f t="shared" si="7"/>
        <v>0</v>
      </c>
      <c r="AE73" s="218">
        <v>0</v>
      </c>
      <c r="AF73">
        <v>0</v>
      </c>
      <c r="AH73" t="str">
        <f t="shared" si="5"/>
        <v>Laldiyara</v>
      </c>
      <c r="AJ73" s="72">
        <v>0</v>
      </c>
      <c r="AK73" s="72"/>
      <c r="AL73" s="72"/>
      <c r="AM73" s="72"/>
    </row>
    <row r="74" spans="1:39" x14ac:dyDescent="0.25">
      <c r="A74" s="37" t="s">
        <v>62</v>
      </c>
      <c r="B74" s="66" t="s">
        <v>1596</v>
      </c>
      <c r="C74" s="47">
        <v>1002</v>
      </c>
      <c r="D74" s="47" t="s">
        <v>103</v>
      </c>
      <c r="E74" s="41">
        <v>10020067</v>
      </c>
      <c r="F74" s="46" t="s">
        <v>136</v>
      </c>
      <c r="G74" s="39" t="s">
        <v>617</v>
      </c>
      <c r="H74" s="48" t="s">
        <v>98</v>
      </c>
      <c r="I74" s="52">
        <v>1272.4000000000001</v>
      </c>
      <c r="J74" s="49">
        <v>52069.209999999992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50">
        <v>52069.209999999992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52069.209999999992</v>
      </c>
      <c r="AA74" s="51">
        <v>0</v>
      </c>
      <c r="AB74" s="102">
        <v>0</v>
      </c>
      <c r="AC74" s="81">
        <f t="shared" si="6"/>
        <v>0</v>
      </c>
      <c r="AD74" s="82">
        <f t="shared" si="7"/>
        <v>0</v>
      </c>
      <c r="AE74" s="218">
        <v>0</v>
      </c>
      <c r="AF74">
        <v>0</v>
      </c>
      <c r="AH74" t="str">
        <f t="shared" si="5"/>
        <v>Laldiyara</v>
      </c>
      <c r="AJ74" s="72">
        <v>0</v>
      </c>
      <c r="AK74" s="72"/>
      <c r="AL74" s="72"/>
      <c r="AM74" s="72"/>
    </row>
    <row r="75" spans="1:39" x14ac:dyDescent="0.25">
      <c r="A75" s="37" t="s">
        <v>62</v>
      </c>
      <c r="B75" s="66" t="s">
        <v>1596</v>
      </c>
      <c r="C75" s="47">
        <v>1002</v>
      </c>
      <c r="D75" s="47" t="s">
        <v>103</v>
      </c>
      <c r="E75" s="41">
        <v>10020068</v>
      </c>
      <c r="F75" s="46" t="s">
        <v>106</v>
      </c>
      <c r="G75" s="39" t="s">
        <v>92</v>
      </c>
      <c r="H75" s="48" t="s">
        <v>93</v>
      </c>
      <c r="I75" s="52">
        <v>1470.5</v>
      </c>
      <c r="J75" s="49">
        <v>62552.040000000008</v>
      </c>
      <c r="K75" s="65">
        <v>1596.2999999999997</v>
      </c>
      <c r="L75" s="65">
        <v>69597.250000000015</v>
      </c>
      <c r="M75" s="65">
        <v>0</v>
      </c>
      <c r="N75" s="65">
        <v>0</v>
      </c>
      <c r="O75" s="65">
        <v>1596.2999999999997</v>
      </c>
      <c r="P75" s="65">
        <v>69597.250000000015</v>
      </c>
      <c r="Q75" s="50">
        <v>62552.040000000008</v>
      </c>
      <c r="R75" s="65">
        <v>0</v>
      </c>
      <c r="S75" s="65">
        <v>0</v>
      </c>
      <c r="T75" s="65">
        <v>7045.2100000000064</v>
      </c>
      <c r="U75" s="65">
        <v>0</v>
      </c>
      <c r="V75" s="65">
        <v>0</v>
      </c>
      <c r="W75" s="65">
        <v>0</v>
      </c>
      <c r="X75" s="65">
        <v>62552</v>
      </c>
      <c r="Y75" s="65">
        <v>0</v>
      </c>
      <c r="Z75" s="65">
        <v>0</v>
      </c>
      <c r="AA75" s="51">
        <v>0</v>
      </c>
      <c r="AB75" s="102">
        <v>0</v>
      </c>
      <c r="AC75" s="81">
        <f t="shared" si="6"/>
        <v>0</v>
      </c>
      <c r="AD75" s="82">
        <f t="shared" si="7"/>
        <v>0</v>
      </c>
      <c r="AE75" s="218">
        <v>-0.11262958010642028</v>
      </c>
      <c r="AF75">
        <v>36</v>
      </c>
      <c r="AH75" t="str">
        <f t="shared" si="5"/>
        <v>Laldiyara</v>
      </c>
      <c r="AJ75" s="72">
        <v>0</v>
      </c>
      <c r="AK75" s="72"/>
      <c r="AL75" s="72"/>
      <c r="AM75" s="72"/>
    </row>
    <row r="76" spans="1:39" x14ac:dyDescent="0.25">
      <c r="A76" s="37" t="s">
        <v>62</v>
      </c>
      <c r="B76" s="66" t="s">
        <v>1596</v>
      </c>
      <c r="C76" s="47">
        <v>1002</v>
      </c>
      <c r="D76" s="47" t="s">
        <v>103</v>
      </c>
      <c r="E76" s="41">
        <v>10020069</v>
      </c>
      <c r="F76" s="46" t="s">
        <v>448</v>
      </c>
      <c r="G76" s="39" t="s">
        <v>92</v>
      </c>
      <c r="H76" s="48" t="s">
        <v>93</v>
      </c>
      <c r="I76" s="52">
        <v>169.5</v>
      </c>
      <c r="J76" s="49">
        <v>7778.3300000000017</v>
      </c>
      <c r="K76" s="65">
        <v>185.01</v>
      </c>
      <c r="L76" s="65">
        <v>8398.11</v>
      </c>
      <c r="M76" s="65">
        <v>0.45999999999999991</v>
      </c>
      <c r="N76" s="65">
        <v>20.73</v>
      </c>
      <c r="O76" s="65">
        <v>185.47</v>
      </c>
      <c r="P76" s="65">
        <v>8418.84</v>
      </c>
      <c r="Q76" s="50">
        <v>7778.3300000000017</v>
      </c>
      <c r="R76" s="65">
        <v>0</v>
      </c>
      <c r="S76" s="65">
        <v>20.73</v>
      </c>
      <c r="T76" s="65">
        <v>640.5099999999984</v>
      </c>
      <c r="U76" s="65">
        <v>0</v>
      </c>
      <c r="V76" s="65">
        <v>500</v>
      </c>
      <c r="W76" s="65">
        <v>0</v>
      </c>
      <c r="X76" s="65">
        <v>7258</v>
      </c>
      <c r="Y76" s="65">
        <v>0</v>
      </c>
      <c r="Z76" s="65">
        <v>0</v>
      </c>
      <c r="AA76" s="51">
        <v>0</v>
      </c>
      <c r="AB76" s="102">
        <v>0</v>
      </c>
      <c r="AC76" s="81">
        <f t="shared" si="6"/>
        <v>486.89133510324496</v>
      </c>
      <c r="AD76" s="82">
        <f t="shared" si="7"/>
        <v>24.214285714285715</v>
      </c>
      <c r="AE76" s="218">
        <v>-8.2345439188103137E-2</v>
      </c>
      <c r="AF76">
        <v>3</v>
      </c>
      <c r="AH76" t="str">
        <f t="shared" si="5"/>
        <v>Laldiyara</v>
      </c>
      <c r="AJ76" s="72">
        <v>500</v>
      </c>
      <c r="AK76" s="72"/>
      <c r="AL76" s="72"/>
      <c r="AM76" s="72"/>
    </row>
    <row r="77" spans="1:39" x14ac:dyDescent="0.25">
      <c r="A77" s="37" t="s">
        <v>62</v>
      </c>
      <c r="B77" s="66" t="s">
        <v>1596</v>
      </c>
      <c r="C77" s="47">
        <v>1002</v>
      </c>
      <c r="D77" s="47" t="s">
        <v>103</v>
      </c>
      <c r="E77" s="41">
        <v>10020070</v>
      </c>
      <c r="F77" s="46" t="s">
        <v>466</v>
      </c>
      <c r="G77" s="39" t="s">
        <v>92</v>
      </c>
      <c r="H77" s="48" t="s">
        <v>93</v>
      </c>
      <c r="I77" s="52">
        <v>784.3</v>
      </c>
      <c r="J77" s="49">
        <v>31051.140000000003</v>
      </c>
      <c r="K77" s="65">
        <v>788.9</v>
      </c>
      <c r="L77" s="65">
        <v>36781.78</v>
      </c>
      <c r="M77" s="65">
        <v>0</v>
      </c>
      <c r="N77" s="65">
        <v>0</v>
      </c>
      <c r="O77" s="65">
        <v>788.9</v>
      </c>
      <c r="P77" s="65">
        <v>36781.78</v>
      </c>
      <c r="Q77" s="50">
        <v>31051.140000000003</v>
      </c>
      <c r="R77" s="65">
        <v>0</v>
      </c>
      <c r="S77" s="65">
        <v>0</v>
      </c>
      <c r="T77" s="65">
        <v>5730.6399999999958</v>
      </c>
      <c r="U77" s="65">
        <v>0</v>
      </c>
      <c r="V77" s="65">
        <v>0</v>
      </c>
      <c r="W77" s="65">
        <v>0</v>
      </c>
      <c r="X77" s="65">
        <v>31051</v>
      </c>
      <c r="Y77" s="65">
        <v>0</v>
      </c>
      <c r="Z77" s="65">
        <v>0</v>
      </c>
      <c r="AA77" s="51">
        <v>0</v>
      </c>
      <c r="AB77" s="102" t="s">
        <v>1366</v>
      </c>
      <c r="AC77" s="81">
        <f t="shared" si="6"/>
        <v>0</v>
      </c>
      <c r="AD77" s="82">
        <f t="shared" si="7"/>
        <v>0</v>
      </c>
      <c r="AE77" s="218">
        <v>-0.18455489878954509</v>
      </c>
      <c r="AF77">
        <v>9</v>
      </c>
      <c r="AH77" t="str">
        <f t="shared" si="5"/>
        <v>Laldiyara</v>
      </c>
      <c r="AJ77" s="72">
        <v>0</v>
      </c>
      <c r="AK77" s="72"/>
      <c r="AL77" s="72"/>
      <c r="AM77" s="72"/>
    </row>
    <row r="78" spans="1:39" x14ac:dyDescent="0.25">
      <c r="A78" s="37" t="s">
        <v>62</v>
      </c>
      <c r="B78" s="66" t="s">
        <v>1596</v>
      </c>
      <c r="C78" s="47">
        <v>1002</v>
      </c>
      <c r="D78" s="47" t="s">
        <v>103</v>
      </c>
      <c r="E78" s="41">
        <v>10020073</v>
      </c>
      <c r="F78" s="46" t="s">
        <v>483</v>
      </c>
      <c r="G78" s="39" t="s">
        <v>617</v>
      </c>
      <c r="H78" s="48" t="s">
        <v>98</v>
      </c>
      <c r="I78" s="52">
        <v>842.90000000000009</v>
      </c>
      <c r="J78" s="49">
        <v>34044.129999999997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50">
        <v>34044.129999999997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34044.129999999997</v>
      </c>
      <c r="AA78" s="51">
        <v>0</v>
      </c>
      <c r="AB78" s="102">
        <v>0</v>
      </c>
      <c r="AC78" s="81">
        <f t="shared" si="6"/>
        <v>0</v>
      </c>
      <c r="AD78" s="82">
        <f t="shared" si="7"/>
        <v>0</v>
      </c>
      <c r="AE78" s="218">
        <v>0</v>
      </c>
      <c r="AF78">
        <v>0</v>
      </c>
      <c r="AH78" t="str">
        <f t="shared" si="5"/>
        <v>Laldiyara</v>
      </c>
      <c r="AJ78" s="72">
        <v>0</v>
      </c>
      <c r="AK78" s="72"/>
      <c r="AL78" s="72"/>
      <c r="AM78" s="72"/>
    </row>
    <row r="79" spans="1:39" x14ac:dyDescent="0.25">
      <c r="A79" s="37" t="s">
        <v>62</v>
      </c>
      <c r="B79" s="66" t="s">
        <v>1596</v>
      </c>
      <c r="C79" s="47">
        <v>1002</v>
      </c>
      <c r="D79" s="47" t="s">
        <v>103</v>
      </c>
      <c r="E79" s="41">
        <v>10020075</v>
      </c>
      <c r="F79" s="46" t="s">
        <v>262</v>
      </c>
      <c r="G79" s="39" t="s">
        <v>92</v>
      </c>
      <c r="H79" s="48" t="s">
        <v>93</v>
      </c>
      <c r="I79" s="52">
        <v>242.60000000000002</v>
      </c>
      <c r="J79" s="49">
        <v>10787.51</v>
      </c>
      <c r="K79" s="65">
        <v>235.57</v>
      </c>
      <c r="L79" s="65">
        <v>10787.18</v>
      </c>
      <c r="M79" s="65">
        <v>0</v>
      </c>
      <c r="N79" s="65">
        <v>0</v>
      </c>
      <c r="O79" s="65">
        <v>235.57</v>
      </c>
      <c r="P79" s="65">
        <v>10787.18</v>
      </c>
      <c r="Q79" s="50">
        <v>10787.18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10788</v>
      </c>
      <c r="Y79" s="65">
        <v>0</v>
      </c>
      <c r="Z79" s="65">
        <v>0</v>
      </c>
      <c r="AA79" s="51">
        <v>0</v>
      </c>
      <c r="AB79" s="102">
        <v>0</v>
      </c>
      <c r="AC79" s="81">
        <f t="shared" si="6"/>
        <v>406.77717015663643</v>
      </c>
      <c r="AD79" s="82">
        <f t="shared" si="7"/>
        <v>34.657142857142858</v>
      </c>
      <c r="AE79" s="218">
        <v>3.0590933403531235E-5</v>
      </c>
      <c r="AF79">
        <v>6</v>
      </c>
      <c r="AH79" t="str">
        <f t="shared" si="5"/>
        <v>Laldiyara</v>
      </c>
      <c r="AJ79" s="72">
        <v>0</v>
      </c>
      <c r="AK79" s="72"/>
      <c r="AL79" s="72"/>
      <c r="AM79" s="72"/>
    </row>
    <row r="80" spans="1:39" x14ac:dyDescent="0.25">
      <c r="A80" s="37" t="s">
        <v>62</v>
      </c>
      <c r="B80" s="66" t="s">
        <v>1596</v>
      </c>
      <c r="C80" s="47">
        <v>1002</v>
      </c>
      <c r="D80" s="47" t="s">
        <v>103</v>
      </c>
      <c r="E80" s="41">
        <v>10020077</v>
      </c>
      <c r="F80" s="46" t="s">
        <v>1129</v>
      </c>
      <c r="G80" s="39" t="s">
        <v>92</v>
      </c>
      <c r="H80" s="48" t="s">
        <v>93</v>
      </c>
      <c r="I80" s="52">
        <v>245.9</v>
      </c>
      <c r="J80" s="49">
        <v>11795.800000000001</v>
      </c>
      <c r="K80" s="65">
        <v>245.89999999999998</v>
      </c>
      <c r="L80" s="65">
        <v>11844.78</v>
      </c>
      <c r="M80" s="65">
        <v>0</v>
      </c>
      <c r="N80" s="65">
        <v>0</v>
      </c>
      <c r="O80" s="65">
        <v>245.89999999999998</v>
      </c>
      <c r="P80" s="65">
        <v>11844.78</v>
      </c>
      <c r="Q80" s="50">
        <v>11795.800000000001</v>
      </c>
      <c r="R80" s="65">
        <v>0</v>
      </c>
      <c r="S80" s="65">
        <v>0</v>
      </c>
      <c r="T80" s="65">
        <v>48.979999999999563</v>
      </c>
      <c r="U80" s="65">
        <v>0</v>
      </c>
      <c r="V80" s="65">
        <v>500</v>
      </c>
      <c r="W80" s="65">
        <v>0</v>
      </c>
      <c r="X80" s="65">
        <v>11296</v>
      </c>
      <c r="Y80" s="65">
        <v>0</v>
      </c>
      <c r="Z80" s="65">
        <v>0</v>
      </c>
      <c r="AA80" s="51">
        <v>0</v>
      </c>
      <c r="AB80" s="102">
        <v>0</v>
      </c>
      <c r="AC80" s="81">
        <f t="shared" si="6"/>
        <v>435.66269052460353</v>
      </c>
      <c r="AD80" s="82">
        <f t="shared" si="7"/>
        <v>35.128571428571426</v>
      </c>
      <c r="AE80" s="218">
        <v>-4.1523254039573035E-3</v>
      </c>
      <c r="AF80">
        <v>1</v>
      </c>
      <c r="AH80" t="str">
        <f t="shared" si="5"/>
        <v>Laldiyara</v>
      </c>
      <c r="AJ80" s="72">
        <v>500</v>
      </c>
      <c r="AK80" s="72"/>
      <c r="AL80" s="72"/>
      <c r="AM80" s="72"/>
    </row>
    <row r="81" spans="1:39" x14ac:dyDescent="0.25">
      <c r="A81" s="37" t="s">
        <v>62</v>
      </c>
      <c r="B81" s="66" t="s">
        <v>1596</v>
      </c>
      <c r="C81" s="47">
        <v>1002</v>
      </c>
      <c r="D81" s="47" t="s">
        <v>103</v>
      </c>
      <c r="E81" s="41">
        <v>10020078</v>
      </c>
      <c r="F81" s="46" t="s">
        <v>1130</v>
      </c>
      <c r="G81" s="39" t="s">
        <v>92</v>
      </c>
      <c r="H81" s="48" t="s">
        <v>93</v>
      </c>
      <c r="I81" s="52">
        <v>495.59999999999997</v>
      </c>
      <c r="J81" s="49">
        <v>21319.550000000003</v>
      </c>
      <c r="K81" s="65">
        <v>493.68999999999994</v>
      </c>
      <c r="L81" s="65">
        <v>25865.07</v>
      </c>
      <c r="M81" s="65">
        <v>0</v>
      </c>
      <c r="N81" s="65">
        <v>0</v>
      </c>
      <c r="O81" s="65">
        <v>493.68999999999994</v>
      </c>
      <c r="P81" s="65">
        <v>25865.07</v>
      </c>
      <c r="Q81" s="50">
        <v>21319.550000000003</v>
      </c>
      <c r="R81" s="65">
        <v>0</v>
      </c>
      <c r="S81" s="65">
        <v>0</v>
      </c>
      <c r="T81" s="65">
        <v>4545.5199999999968</v>
      </c>
      <c r="U81" s="65">
        <v>0</v>
      </c>
      <c r="V81" s="65">
        <v>0</v>
      </c>
      <c r="W81" s="65">
        <v>0</v>
      </c>
      <c r="X81" s="65">
        <v>21320</v>
      </c>
      <c r="Y81" s="65">
        <v>0</v>
      </c>
      <c r="Z81" s="65">
        <v>0</v>
      </c>
      <c r="AA81" s="51">
        <v>0</v>
      </c>
      <c r="AB81" s="102">
        <v>0</v>
      </c>
      <c r="AC81" s="81">
        <f t="shared" si="6"/>
        <v>175.856175141243</v>
      </c>
      <c r="AD81" s="82">
        <f t="shared" si="7"/>
        <v>70.8</v>
      </c>
      <c r="AE81" s="218">
        <v>-0.21320900300428461</v>
      </c>
      <c r="AF81">
        <v>2</v>
      </c>
      <c r="AH81" t="str">
        <f t="shared" si="5"/>
        <v>Laldiyara</v>
      </c>
      <c r="AJ81" s="72">
        <v>0</v>
      </c>
      <c r="AK81" s="72"/>
      <c r="AL81" s="72"/>
      <c r="AM81" s="72"/>
    </row>
    <row r="82" spans="1:39" x14ac:dyDescent="0.25">
      <c r="A82" s="37" t="s">
        <v>62</v>
      </c>
      <c r="B82" s="66" t="s">
        <v>1596</v>
      </c>
      <c r="C82" s="47">
        <v>1002</v>
      </c>
      <c r="D82" s="47" t="s">
        <v>103</v>
      </c>
      <c r="E82" s="41">
        <v>10020079</v>
      </c>
      <c r="F82" s="46" t="s">
        <v>1131</v>
      </c>
      <c r="G82" s="39" t="s">
        <v>92</v>
      </c>
      <c r="H82" s="48" t="s">
        <v>93</v>
      </c>
      <c r="I82" s="52">
        <v>159.80000000000001</v>
      </c>
      <c r="J82" s="49">
        <v>7188.98</v>
      </c>
      <c r="K82" s="65">
        <v>158.51</v>
      </c>
      <c r="L82" s="65">
        <v>7848.2699999999995</v>
      </c>
      <c r="M82" s="65">
        <v>0</v>
      </c>
      <c r="N82" s="65">
        <v>0</v>
      </c>
      <c r="O82" s="65">
        <v>158.51</v>
      </c>
      <c r="P82" s="65">
        <v>7848.2699999999995</v>
      </c>
      <c r="Q82" s="50">
        <v>7188.98</v>
      </c>
      <c r="R82" s="65">
        <v>0</v>
      </c>
      <c r="S82" s="65">
        <v>0</v>
      </c>
      <c r="T82" s="65">
        <v>659.29</v>
      </c>
      <c r="U82" s="65">
        <v>0</v>
      </c>
      <c r="V82" s="65">
        <v>500</v>
      </c>
      <c r="W82" s="65">
        <v>0</v>
      </c>
      <c r="X82" s="65">
        <v>6689</v>
      </c>
      <c r="Y82" s="65">
        <v>0</v>
      </c>
      <c r="Z82" s="65">
        <v>0</v>
      </c>
      <c r="AA82" s="51">
        <v>0</v>
      </c>
      <c r="AB82" s="102">
        <v>0</v>
      </c>
      <c r="AC82" s="81">
        <f t="shared" si="6"/>
        <v>486.04342878598248</v>
      </c>
      <c r="AD82" s="82">
        <f t="shared" si="7"/>
        <v>22.828571428571429</v>
      </c>
      <c r="AE82" s="218">
        <v>-9.1708420387871442E-2</v>
      </c>
      <c r="AF82">
        <v>3</v>
      </c>
      <c r="AH82" t="str">
        <f t="shared" si="5"/>
        <v>Laldiyara</v>
      </c>
      <c r="AJ82" s="72">
        <v>500</v>
      </c>
      <c r="AK82" s="72"/>
      <c r="AL82" s="72"/>
      <c r="AM82" s="72"/>
    </row>
    <row r="83" spans="1:39" x14ac:dyDescent="0.25">
      <c r="A83" s="37" t="s">
        <v>62</v>
      </c>
      <c r="B83" s="66" t="s">
        <v>1596</v>
      </c>
      <c r="C83" s="47">
        <v>1002</v>
      </c>
      <c r="D83" s="47" t="s">
        <v>103</v>
      </c>
      <c r="E83" s="41">
        <v>10020081</v>
      </c>
      <c r="F83" s="46" t="s">
        <v>1169</v>
      </c>
      <c r="G83" s="39" t="s">
        <v>617</v>
      </c>
      <c r="H83" s="48" t="s">
        <v>98</v>
      </c>
      <c r="I83" s="52">
        <v>1966.3</v>
      </c>
      <c r="J83" s="49">
        <v>82625.850000000006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50">
        <v>82625.850000000006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82625.850000000006</v>
      </c>
      <c r="AA83" s="51">
        <v>0</v>
      </c>
      <c r="AB83" s="102">
        <v>0</v>
      </c>
      <c r="AC83" s="81">
        <f t="shared" si="6"/>
        <v>0</v>
      </c>
      <c r="AD83" s="82">
        <f t="shared" si="7"/>
        <v>0</v>
      </c>
      <c r="AE83" s="218">
        <v>0</v>
      </c>
      <c r="AF83">
        <v>0</v>
      </c>
      <c r="AH83" t="str">
        <f t="shared" si="5"/>
        <v>Laldiyara</v>
      </c>
      <c r="AJ83" s="72">
        <v>0</v>
      </c>
      <c r="AK83" s="72"/>
      <c r="AL83" s="72"/>
      <c r="AM83" s="72"/>
    </row>
    <row r="84" spans="1:39" x14ac:dyDescent="0.25">
      <c r="A84" s="37" t="s">
        <v>62</v>
      </c>
      <c r="B84" s="66" t="s">
        <v>1596</v>
      </c>
      <c r="C84" s="47">
        <v>1002</v>
      </c>
      <c r="D84" s="47" t="s">
        <v>103</v>
      </c>
      <c r="E84" s="41">
        <v>10020082</v>
      </c>
      <c r="F84" s="46" t="s">
        <v>1170</v>
      </c>
      <c r="G84" s="39" t="s">
        <v>617</v>
      </c>
      <c r="H84" s="48" t="s">
        <v>98</v>
      </c>
      <c r="I84" s="52">
        <v>1494.9999999999998</v>
      </c>
      <c r="J84" s="49">
        <v>64055.67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50">
        <v>64055.67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64055.67</v>
      </c>
      <c r="AA84" s="51">
        <v>0</v>
      </c>
      <c r="AB84" s="102">
        <v>0</v>
      </c>
      <c r="AC84" s="81">
        <f t="shared" si="6"/>
        <v>0</v>
      </c>
      <c r="AD84" s="82">
        <f t="shared" si="7"/>
        <v>0</v>
      </c>
      <c r="AE84" s="218">
        <v>0</v>
      </c>
      <c r="AF84">
        <v>0</v>
      </c>
      <c r="AH84" t="str">
        <f t="shared" si="5"/>
        <v>Laldiyara</v>
      </c>
      <c r="AJ84" s="72">
        <v>0</v>
      </c>
      <c r="AK84" s="72"/>
      <c r="AL84" s="72"/>
      <c r="AM84" s="72"/>
    </row>
    <row r="85" spans="1:39" x14ac:dyDescent="0.25">
      <c r="A85" s="37" t="s">
        <v>62</v>
      </c>
      <c r="B85" s="66" t="s">
        <v>1596</v>
      </c>
      <c r="C85" s="47">
        <v>1002</v>
      </c>
      <c r="D85" s="47" t="s">
        <v>103</v>
      </c>
      <c r="E85" s="41">
        <v>10020083</v>
      </c>
      <c r="F85" s="46" t="s">
        <v>1225</v>
      </c>
      <c r="G85" s="39" t="s">
        <v>92</v>
      </c>
      <c r="H85" s="48" t="s">
        <v>93</v>
      </c>
      <c r="I85" s="52">
        <v>647</v>
      </c>
      <c r="J85" s="49">
        <v>25106.41</v>
      </c>
      <c r="K85" s="65">
        <v>645.69999999999993</v>
      </c>
      <c r="L85" s="65">
        <v>26593.7</v>
      </c>
      <c r="M85" s="65">
        <v>0</v>
      </c>
      <c r="N85" s="65">
        <v>0</v>
      </c>
      <c r="O85" s="65">
        <v>645.69999999999993</v>
      </c>
      <c r="P85" s="65">
        <v>26593.7</v>
      </c>
      <c r="Q85" s="50">
        <v>25106.41</v>
      </c>
      <c r="R85" s="65">
        <v>0</v>
      </c>
      <c r="S85" s="65">
        <v>0</v>
      </c>
      <c r="T85" s="65">
        <v>1487.2900000000009</v>
      </c>
      <c r="U85" s="65">
        <v>0</v>
      </c>
      <c r="V85" s="65">
        <v>0</v>
      </c>
      <c r="W85" s="65">
        <v>0</v>
      </c>
      <c r="X85" s="65">
        <v>25106</v>
      </c>
      <c r="Y85" s="65">
        <v>0</v>
      </c>
      <c r="Z85" s="65">
        <v>0</v>
      </c>
      <c r="AA85" s="51">
        <v>0</v>
      </c>
      <c r="AB85" s="102">
        <v>0</v>
      </c>
      <c r="AC85" s="81">
        <f t="shared" si="6"/>
        <v>41.132603709428125</v>
      </c>
      <c r="AD85" s="82">
        <f t="shared" si="7"/>
        <v>92.428571428571431</v>
      </c>
      <c r="AE85" s="218">
        <v>-5.923945319143601E-2</v>
      </c>
      <c r="AF85">
        <v>2</v>
      </c>
      <c r="AH85" t="str">
        <f t="shared" si="5"/>
        <v>Laldiyara</v>
      </c>
      <c r="AJ85" s="72">
        <v>0</v>
      </c>
      <c r="AK85" s="72"/>
      <c r="AL85" s="72"/>
      <c r="AM85" s="72"/>
    </row>
    <row r="86" spans="1:39" x14ac:dyDescent="0.25">
      <c r="A86" s="37" t="s">
        <v>62</v>
      </c>
      <c r="B86" s="66" t="s">
        <v>1596</v>
      </c>
      <c r="C86" s="47">
        <v>1002</v>
      </c>
      <c r="D86" s="47" t="s">
        <v>103</v>
      </c>
      <c r="E86" s="41">
        <v>10020084</v>
      </c>
      <c r="F86" s="46" t="s">
        <v>1217</v>
      </c>
      <c r="G86" s="39" t="s">
        <v>92</v>
      </c>
      <c r="H86" s="48" t="s">
        <v>93</v>
      </c>
      <c r="I86" s="52">
        <v>608.6</v>
      </c>
      <c r="J86" s="49">
        <v>25594.86</v>
      </c>
      <c r="K86" s="65">
        <v>146.26999999999998</v>
      </c>
      <c r="L86" s="65">
        <v>5916.38</v>
      </c>
      <c r="M86" s="65">
        <v>466.53999999999996</v>
      </c>
      <c r="N86" s="65">
        <v>18780.28</v>
      </c>
      <c r="O86" s="65">
        <v>612.80999999999995</v>
      </c>
      <c r="P86" s="65">
        <v>24696.66</v>
      </c>
      <c r="Q86" s="50">
        <v>24696.66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5916</v>
      </c>
      <c r="Y86" s="65">
        <v>18778</v>
      </c>
      <c r="Z86" s="65">
        <v>0</v>
      </c>
      <c r="AA86" s="51">
        <v>901</v>
      </c>
      <c r="AB86" s="102">
        <v>0</v>
      </c>
      <c r="AC86" s="81">
        <f t="shared" si="6"/>
        <v>76.877101675977613</v>
      </c>
      <c r="AD86" s="82">
        <f t="shared" si="7"/>
        <v>86.94285714285715</v>
      </c>
      <c r="AE86" s="218">
        <v>3.5092983513096018E-2</v>
      </c>
      <c r="AF86">
        <v>23</v>
      </c>
      <c r="AH86" t="str">
        <f t="shared" si="5"/>
        <v>Laldiyara</v>
      </c>
      <c r="AJ86" s="72">
        <v>0</v>
      </c>
      <c r="AK86" s="72"/>
      <c r="AL86" s="72"/>
      <c r="AM86" s="72"/>
    </row>
    <row r="87" spans="1:39" x14ac:dyDescent="0.25">
      <c r="A87" s="37" t="s">
        <v>62</v>
      </c>
      <c r="B87" s="66" t="s">
        <v>1596</v>
      </c>
      <c r="C87" s="47">
        <v>1002</v>
      </c>
      <c r="D87" s="47" t="s">
        <v>103</v>
      </c>
      <c r="E87" s="41">
        <v>10020087</v>
      </c>
      <c r="F87" s="46" t="s">
        <v>1498</v>
      </c>
      <c r="G87" s="39" t="s">
        <v>92</v>
      </c>
      <c r="H87" s="48" t="s">
        <v>93</v>
      </c>
      <c r="I87" s="52">
        <v>625.50000000000011</v>
      </c>
      <c r="J87" s="49">
        <v>25776.29</v>
      </c>
      <c r="K87" s="65">
        <v>632.84999999999991</v>
      </c>
      <c r="L87" s="65">
        <v>26393.94</v>
      </c>
      <c r="M87" s="65">
        <v>0</v>
      </c>
      <c r="N87" s="65">
        <v>0</v>
      </c>
      <c r="O87" s="65">
        <v>632.84999999999991</v>
      </c>
      <c r="P87" s="65">
        <v>26393.94</v>
      </c>
      <c r="Q87" s="50">
        <v>25776.29</v>
      </c>
      <c r="R87" s="65">
        <v>0</v>
      </c>
      <c r="S87" s="65">
        <v>0</v>
      </c>
      <c r="T87" s="65">
        <v>617.64999999999782</v>
      </c>
      <c r="U87" s="65">
        <v>0</v>
      </c>
      <c r="V87" s="65">
        <v>0</v>
      </c>
      <c r="W87" s="65">
        <v>0</v>
      </c>
      <c r="X87" s="65">
        <v>25776</v>
      </c>
      <c r="Y87" s="65">
        <v>0</v>
      </c>
      <c r="Z87" s="65">
        <v>0</v>
      </c>
      <c r="AA87" s="51">
        <v>0</v>
      </c>
      <c r="AB87" s="102">
        <v>0</v>
      </c>
      <c r="AC87" s="81">
        <f t="shared" si="6"/>
        <v>61.401554116706521</v>
      </c>
      <c r="AD87" s="82">
        <f t="shared" si="7"/>
        <v>89.357142857142875</v>
      </c>
      <c r="AE87" s="218">
        <v>-2.3961943320780367E-2</v>
      </c>
      <c r="AF87">
        <v>3</v>
      </c>
      <c r="AH87" t="str">
        <f t="shared" si="5"/>
        <v>Laldiyara</v>
      </c>
      <c r="AJ87" s="72">
        <v>0</v>
      </c>
      <c r="AK87" s="72"/>
      <c r="AL87" s="72"/>
      <c r="AM87" s="72"/>
    </row>
    <row r="88" spans="1:39" x14ac:dyDescent="0.25">
      <c r="A88" s="37" t="s">
        <v>62</v>
      </c>
      <c r="B88" s="66" t="s">
        <v>1596</v>
      </c>
      <c r="C88" s="47">
        <v>1002</v>
      </c>
      <c r="D88" s="47" t="s">
        <v>103</v>
      </c>
      <c r="E88" s="41">
        <v>10020088</v>
      </c>
      <c r="F88" s="46" t="s">
        <v>1535</v>
      </c>
      <c r="G88" s="39" t="s">
        <v>92</v>
      </c>
      <c r="H88" s="48" t="s">
        <v>93</v>
      </c>
      <c r="I88" s="52">
        <v>216.4</v>
      </c>
      <c r="J88" s="49">
        <v>8332.48</v>
      </c>
      <c r="K88" s="65">
        <v>213</v>
      </c>
      <c r="L88" s="65">
        <v>8268.1600000000017</v>
      </c>
      <c r="M88" s="65">
        <v>0</v>
      </c>
      <c r="N88" s="65">
        <v>0</v>
      </c>
      <c r="O88" s="65">
        <v>213</v>
      </c>
      <c r="P88" s="65">
        <v>8268.1600000000017</v>
      </c>
      <c r="Q88" s="50">
        <v>8268.1600000000017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8268</v>
      </c>
      <c r="Y88" s="65">
        <v>0</v>
      </c>
      <c r="Z88" s="65">
        <v>0</v>
      </c>
      <c r="AA88" s="51">
        <v>64</v>
      </c>
      <c r="AB88" s="102">
        <v>0</v>
      </c>
      <c r="AC88" s="81">
        <f t="shared" si="6"/>
        <v>372.42027060998151</v>
      </c>
      <c r="AD88" s="82">
        <f t="shared" si="7"/>
        <v>30.914285714285715</v>
      </c>
      <c r="AE88" s="218">
        <v>7.7191904451013255E-3</v>
      </c>
      <c r="AF88">
        <v>2</v>
      </c>
      <c r="AH88" t="str">
        <f t="shared" si="5"/>
        <v>Laldiyara</v>
      </c>
      <c r="AJ88" s="72">
        <v>0</v>
      </c>
      <c r="AK88" s="72"/>
      <c r="AL88" s="72"/>
      <c r="AM88" s="72"/>
    </row>
    <row r="89" spans="1:39" x14ac:dyDescent="0.25">
      <c r="A89" s="37" t="s">
        <v>62</v>
      </c>
      <c r="B89" s="66" t="s">
        <v>1596</v>
      </c>
      <c r="C89" s="47">
        <v>1003</v>
      </c>
      <c r="D89" s="47" t="s">
        <v>137</v>
      </c>
      <c r="E89" s="41">
        <v>10030002</v>
      </c>
      <c r="F89" s="46" t="s">
        <v>113</v>
      </c>
      <c r="G89" s="39" t="s">
        <v>617</v>
      </c>
      <c r="H89" s="48" t="s">
        <v>98</v>
      </c>
      <c r="I89" s="52">
        <v>557.15000000000009</v>
      </c>
      <c r="J89" s="49">
        <v>23989.989999999998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50">
        <v>23989.989999999998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0</v>
      </c>
      <c r="Z89" s="65">
        <v>23989.989999999998</v>
      </c>
      <c r="AA89" s="51">
        <v>0</v>
      </c>
      <c r="AB89" s="102">
        <v>0</v>
      </c>
      <c r="AC89" s="81">
        <f t="shared" si="6"/>
        <v>123.01786131203437</v>
      </c>
      <c r="AD89" s="82">
        <f t="shared" si="7"/>
        <v>79.592857142857156</v>
      </c>
      <c r="AE89" s="218">
        <v>0</v>
      </c>
      <c r="AF89">
        <v>0</v>
      </c>
      <c r="AH89" t="str">
        <f t="shared" si="5"/>
        <v>Asarganj</v>
      </c>
      <c r="AJ89" s="72">
        <v>0</v>
      </c>
      <c r="AK89" s="72"/>
      <c r="AL89" s="72"/>
      <c r="AM89" s="72"/>
    </row>
    <row r="90" spans="1:39" x14ac:dyDescent="0.25">
      <c r="A90" s="37" t="s">
        <v>62</v>
      </c>
      <c r="B90" s="66" t="s">
        <v>1596</v>
      </c>
      <c r="C90" s="47">
        <v>1003</v>
      </c>
      <c r="D90" s="47" t="s">
        <v>137</v>
      </c>
      <c r="E90" s="41">
        <v>10030003</v>
      </c>
      <c r="F90" s="46" t="s">
        <v>138</v>
      </c>
      <c r="G90" s="39" t="s">
        <v>92</v>
      </c>
      <c r="H90" s="48" t="s">
        <v>93</v>
      </c>
      <c r="I90" s="52">
        <v>1884.7499999999998</v>
      </c>
      <c r="J90" s="49">
        <v>89851.299999999988</v>
      </c>
      <c r="K90" s="65">
        <v>1849.3099999999997</v>
      </c>
      <c r="L90" s="65">
        <v>88321.190000000017</v>
      </c>
      <c r="M90" s="65">
        <v>26.200000000000006</v>
      </c>
      <c r="N90" s="65">
        <v>1825.5299999999997</v>
      </c>
      <c r="O90" s="65">
        <v>1875.5099999999998</v>
      </c>
      <c r="P90" s="65">
        <v>90146.720000000016</v>
      </c>
      <c r="Q90" s="50">
        <v>89851.299999999988</v>
      </c>
      <c r="R90" s="65">
        <v>0</v>
      </c>
      <c r="S90" s="65">
        <v>1825.5299999999997</v>
      </c>
      <c r="T90" s="65">
        <v>295.42000000002736</v>
      </c>
      <c r="U90" s="65">
        <v>0</v>
      </c>
      <c r="V90" s="65">
        <v>0</v>
      </c>
      <c r="W90" s="65">
        <v>0</v>
      </c>
      <c r="X90" s="65">
        <v>88026</v>
      </c>
      <c r="Y90" s="65">
        <v>0</v>
      </c>
      <c r="Z90" s="65">
        <v>0</v>
      </c>
      <c r="AA90" s="51">
        <v>0</v>
      </c>
      <c r="AB90" s="102" t="s">
        <v>1366</v>
      </c>
      <c r="AC90" s="81">
        <f t="shared" si="6"/>
        <v>0</v>
      </c>
      <c r="AD90" s="82">
        <f t="shared" si="7"/>
        <v>0</v>
      </c>
      <c r="AE90" s="218">
        <v>-3.2878767474708477E-3</v>
      </c>
      <c r="AF90">
        <v>67</v>
      </c>
      <c r="AH90" t="str">
        <f t="shared" si="5"/>
        <v>Asarganj</v>
      </c>
      <c r="AJ90" s="72">
        <v>0</v>
      </c>
      <c r="AK90" s="72"/>
      <c r="AL90" s="72"/>
      <c r="AM90" s="72"/>
    </row>
    <row r="91" spans="1:39" x14ac:dyDescent="0.25">
      <c r="A91" s="37" t="s">
        <v>62</v>
      </c>
      <c r="B91" s="66" t="s">
        <v>1596</v>
      </c>
      <c r="C91" s="47">
        <v>1003</v>
      </c>
      <c r="D91" s="47" t="s">
        <v>137</v>
      </c>
      <c r="E91" s="41">
        <v>10030007</v>
      </c>
      <c r="F91" s="46" t="s">
        <v>139</v>
      </c>
      <c r="G91" s="39" t="s">
        <v>617</v>
      </c>
      <c r="H91" s="48" t="s">
        <v>98</v>
      </c>
      <c r="I91" s="52">
        <v>813.75000000000011</v>
      </c>
      <c r="J91" s="49">
        <v>25753.88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50">
        <v>25753.88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0</v>
      </c>
      <c r="Z91" s="65">
        <v>25753.88</v>
      </c>
      <c r="AA91" s="51">
        <v>0</v>
      </c>
      <c r="AB91" s="102">
        <v>0</v>
      </c>
      <c r="AC91" s="81">
        <f t="shared" si="6"/>
        <v>0</v>
      </c>
      <c r="AD91" s="82">
        <f t="shared" si="7"/>
        <v>0</v>
      </c>
      <c r="AE91" s="218">
        <v>0</v>
      </c>
      <c r="AF91">
        <v>0</v>
      </c>
      <c r="AH91" t="str">
        <f t="shared" si="5"/>
        <v>Asarganj</v>
      </c>
      <c r="AJ91" s="72">
        <v>0</v>
      </c>
      <c r="AK91" s="72"/>
      <c r="AL91" s="72"/>
      <c r="AM91" s="72"/>
    </row>
    <row r="92" spans="1:39" x14ac:dyDescent="0.25">
      <c r="A92" s="37" t="s">
        <v>62</v>
      </c>
      <c r="B92" s="66" t="s">
        <v>1596</v>
      </c>
      <c r="C92" s="47">
        <v>1003</v>
      </c>
      <c r="D92" s="47" t="s">
        <v>137</v>
      </c>
      <c r="E92" s="41">
        <v>10030009</v>
      </c>
      <c r="F92" s="46" t="s">
        <v>140</v>
      </c>
      <c r="G92" s="39" t="s">
        <v>617</v>
      </c>
      <c r="H92" s="48" t="s">
        <v>98</v>
      </c>
      <c r="I92" s="52">
        <v>7653.1</v>
      </c>
      <c r="J92" s="49">
        <v>306405.48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50">
        <v>306405.48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0</v>
      </c>
      <c r="Z92" s="65">
        <v>306405.48</v>
      </c>
      <c r="AA92" s="51">
        <v>0</v>
      </c>
      <c r="AB92" s="102">
        <v>0</v>
      </c>
      <c r="AC92" s="81">
        <f t="shared" si="6"/>
        <v>0</v>
      </c>
      <c r="AD92" s="82">
        <f t="shared" si="7"/>
        <v>0</v>
      </c>
      <c r="AE92" s="218">
        <v>0</v>
      </c>
      <c r="AF92">
        <v>0</v>
      </c>
      <c r="AH92" t="str">
        <f t="shared" si="5"/>
        <v>Asarganj</v>
      </c>
      <c r="AJ92" s="72">
        <v>0</v>
      </c>
      <c r="AK92" s="72"/>
      <c r="AL92" s="72"/>
      <c r="AM92" s="72"/>
    </row>
    <row r="93" spans="1:39" x14ac:dyDescent="0.25">
      <c r="A93" s="37" t="s">
        <v>62</v>
      </c>
      <c r="B93" s="66" t="s">
        <v>1596</v>
      </c>
      <c r="C93" s="47">
        <v>1003</v>
      </c>
      <c r="D93" s="47" t="s">
        <v>137</v>
      </c>
      <c r="E93" s="41">
        <v>10030010</v>
      </c>
      <c r="F93" s="46" t="s">
        <v>141</v>
      </c>
      <c r="G93" s="39" t="s">
        <v>92</v>
      </c>
      <c r="H93" s="48" t="s">
        <v>93</v>
      </c>
      <c r="I93" s="52">
        <v>263.3</v>
      </c>
      <c r="J93" s="49">
        <v>9477.35</v>
      </c>
      <c r="K93" s="65">
        <v>321.11</v>
      </c>
      <c r="L93" s="65">
        <v>13509.97</v>
      </c>
      <c r="M93" s="65">
        <v>0</v>
      </c>
      <c r="N93" s="65">
        <v>0</v>
      </c>
      <c r="O93" s="65">
        <v>321.11</v>
      </c>
      <c r="P93" s="65">
        <v>13509.97</v>
      </c>
      <c r="Q93" s="50">
        <v>9477.35</v>
      </c>
      <c r="R93" s="65">
        <v>0</v>
      </c>
      <c r="S93" s="65">
        <v>0</v>
      </c>
      <c r="T93" s="65">
        <v>4032.619999999999</v>
      </c>
      <c r="U93" s="65">
        <v>0</v>
      </c>
      <c r="V93" s="65">
        <v>0</v>
      </c>
      <c r="W93" s="65">
        <v>0</v>
      </c>
      <c r="X93" s="65">
        <v>9477</v>
      </c>
      <c r="Y93" s="65">
        <v>0</v>
      </c>
      <c r="Z93" s="65">
        <v>0</v>
      </c>
      <c r="AA93" s="51">
        <v>0</v>
      </c>
      <c r="AB93" s="102">
        <v>0</v>
      </c>
      <c r="AC93" s="81">
        <f t="shared" si="6"/>
        <v>314.37590163311813</v>
      </c>
      <c r="AD93" s="82">
        <f t="shared" si="7"/>
        <v>37.614285714285714</v>
      </c>
      <c r="AE93" s="218">
        <v>-0.42550079927405854</v>
      </c>
      <c r="AF93">
        <v>2</v>
      </c>
      <c r="AH93" t="str">
        <f t="shared" si="5"/>
        <v>Asarganj</v>
      </c>
      <c r="AJ93" s="72">
        <v>0</v>
      </c>
      <c r="AK93" s="72"/>
      <c r="AL93" s="72"/>
      <c r="AM93" s="72"/>
    </row>
    <row r="94" spans="1:39" x14ac:dyDescent="0.25">
      <c r="A94" s="37" t="s">
        <v>62</v>
      </c>
      <c r="B94" s="66" t="s">
        <v>1596</v>
      </c>
      <c r="C94" s="47">
        <v>1003</v>
      </c>
      <c r="D94" s="47" t="s">
        <v>137</v>
      </c>
      <c r="E94" s="41">
        <v>10030011</v>
      </c>
      <c r="F94" s="46" t="s">
        <v>142</v>
      </c>
      <c r="G94" s="39" t="s">
        <v>92</v>
      </c>
      <c r="H94" s="48" t="s">
        <v>93</v>
      </c>
      <c r="I94" s="52">
        <v>1593.85</v>
      </c>
      <c r="J94" s="49">
        <v>66970.36</v>
      </c>
      <c r="K94" s="65">
        <v>1586.4</v>
      </c>
      <c r="L94" s="65">
        <v>66656.63</v>
      </c>
      <c r="M94" s="65">
        <v>6.9</v>
      </c>
      <c r="N94" s="65">
        <v>292.5</v>
      </c>
      <c r="O94" s="65">
        <v>1593.3000000000002</v>
      </c>
      <c r="P94" s="65">
        <v>66949.13</v>
      </c>
      <c r="Q94" s="50">
        <v>66949.13</v>
      </c>
      <c r="R94" s="65">
        <v>0</v>
      </c>
      <c r="S94" s="65">
        <v>292.5</v>
      </c>
      <c r="T94" s="65">
        <v>0</v>
      </c>
      <c r="U94" s="65">
        <v>0</v>
      </c>
      <c r="V94" s="65">
        <v>0</v>
      </c>
      <c r="W94" s="65">
        <v>0</v>
      </c>
      <c r="X94" s="65">
        <v>66659</v>
      </c>
      <c r="Y94" s="65">
        <v>0</v>
      </c>
      <c r="Z94" s="65">
        <v>0</v>
      </c>
      <c r="AA94" s="51">
        <v>19</v>
      </c>
      <c r="AB94" s="102">
        <v>0</v>
      </c>
      <c r="AC94" s="81">
        <f t="shared" si="6"/>
        <v>0</v>
      </c>
      <c r="AD94" s="82">
        <f t="shared" si="7"/>
        <v>0</v>
      </c>
      <c r="AE94" s="218">
        <v>3.1700591127173161E-4</v>
      </c>
      <c r="AF94">
        <v>20</v>
      </c>
      <c r="AH94" t="str">
        <f t="shared" si="5"/>
        <v>Asarganj</v>
      </c>
      <c r="AJ94" s="72">
        <v>0</v>
      </c>
      <c r="AK94" s="72"/>
      <c r="AL94" s="72"/>
      <c r="AM94" s="72"/>
    </row>
    <row r="95" spans="1:39" x14ac:dyDescent="0.25">
      <c r="A95" s="37" t="s">
        <v>62</v>
      </c>
      <c r="B95" s="66" t="s">
        <v>1596</v>
      </c>
      <c r="C95" s="47">
        <v>1003</v>
      </c>
      <c r="D95" s="47" t="s">
        <v>137</v>
      </c>
      <c r="E95" s="41">
        <v>10030012</v>
      </c>
      <c r="F95" s="46" t="s">
        <v>467</v>
      </c>
      <c r="G95" s="39" t="s">
        <v>617</v>
      </c>
      <c r="H95" s="48" t="s">
        <v>98</v>
      </c>
      <c r="I95" s="52">
        <v>1057.25</v>
      </c>
      <c r="J95" s="49">
        <v>35114.319999999992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50">
        <v>35114.319999999992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0</v>
      </c>
      <c r="X95" s="65">
        <v>0</v>
      </c>
      <c r="Y95" s="65">
        <v>0</v>
      </c>
      <c r="Z95" s="65">
        <v>35114.319999999992</v>
      </c>
      <c r="AA95" s="51">
        <v>0</v>
      </c>
      <c r="AB95" s="102">
        <v>0</v>
      </c>
      <c r="AC95" s="81">
        <f t="shared" si="6"/>
        <v>0</v>
      </c>
      <c r="AD95" s="82">
        <f t="shared" si="7"/>
        <v>0</v>
      </c>
      <c r="AE95" s="218">
        <v>0</v>
      </c>
      <c r="AF95">
        <v>0</v>
      </c>
      <c r="AH95" t="str">
        <f t="shared" si="5"/>
        <v>Asarganj</v>
      </c>
      <c r="AJ95" s="72">
        <v>0</v>
      </c>
      <c r="AK95" s="72"/>
      <c r="AL95" s="72"/>
      <c r="AM95" s="72"/>
    </row>
    <row r="96" spans="1:39" x14ac:dyDescent="0.25">
      <c r="A96" s="37" t="s">
        <v>62</v>
      </c>
      <c r="B96" s="66" t="s">
        <v>1596</v>
      </c>
      <c r="C96" s="47">
        <v>1003</v>
      </c>
      <c r="D96" s="47" t="s">
        <v>137</v>
      </c>
      <c r="E96" s="41">
        <v>10030013</v>
      </c>
      <c r="F96" s="46" t="s">
        <v>143</v>
      </c>
      <c r="G96" s="39" t="s">
        <v>92</v>
      </c>
      <c r="H96" s="48" t="s">
        <v>93</v>
      </c>
      <c r="I96" s="52">
        <v>671.75</v>
      </c>
      <c r="J96" s="49">
        <v>36881.920000000013</v>
      </c>
      <c r="K96" s="65">
        <v>644.06000000000006</v>
      </c>
      <c r="L96" s="65">
        <v>39014.400000000001</v>
      </c>
      <c r="M96" s="65">
        <v>18.520000000000003</v>
      </c>
      <c r="N96" s="65">
        <v>1006.6599999999999</v>
      </c>
      <c r="O96" s="65">
        <v>662.58</v>
      </c>
      <c r="P96" s="65">
        <v>40021.06</v>
      </c>
      <c r="Q96" s="50">
        <v>36881.920000000013</v>
      </c>
      <c r="R96" s="65">
        <v>0</v>
      </c>
      <c r="S96" s="65">
        <v>1006.6599999999999</v>
      </c>
      <c r="T96" s="65">
        <v>3139.1399999999849</v>
      </c>
      <c r="U96" s="65">
        <v>0</v>
      </c>
      <c r="V96" s="65">
        <v>0</v>
      </c>
      <c r="W96" s="65">
        <v>0</v>
      </c>
      <c r="X96" s="65">
        <v>35875</v>
      </c>
      <c r="Y96" s="65">
        <v>0</v>
      </c>
      <c r="Z96" s="65">
        <v>0</v>
      </c>
      <c r="AA96" s="51">
        <v>0</v>
      </c>
      <c r="AB96" s="102" t="s">
        <v>1366</v>
      </c>
      <c r="AC96" s="81">
        <f t="shared" si="6"/>
        <v>31.020892891700843</v>
      </c>
      <c r="AD96" s="82">
        <f t="shared" si="7"/>
        <v>95.964285714285708</v>
      </c>
      <c r="AE96" s="218">
        <v>-8.5113247900325789E-2</v>
      </c>
      <c r="AF96">
        <v>12</v>
      </c>
      <c r="AH96" t="str">
        <f t="shared" si="5"/>
        <v>Asarganj</v>
      </c>
      <c r="AJ96" s="72">
        <v>0</v>
      </c>
      <c r="AK96" s="72"/>
      <c r="AL96" s="72"/>
      <c r="AM96" s="72"/>
    </row>
    <row r="97" spans="1:39" x14ac:dyDescent="0.25">
      <c r="A97" s="37" t="s">
        <v>62</v>
      </c>
      <c r="B97" s="66" t="s">
        <v>1596</v>
      </c>
      <c r="C97" s="47">
        <v>1003</v>
      </c>
      <c r="D97" s="47" t="s">
        <v>137</v>
      </c>
      <c r="E97" s="41">
        <v>10030015</v>
      </c>
      <c r="F97" s="46" t="s">
        <v>144</v>
      </c>
      <c r="G97" s="39" t="s">
        <v>92</v>
      </c>
      <c r="H97" s="48" t="s">
        <v>93</v>
      </c>
      <c r="I97" s="52">
        <v>256.89999999999998</v>
      </c>
      <c r="J97" s="49">
        <v>10513.32</v>
      </c>
      <c r="K97" s="65">
        <v>256.79999999999995</v>
      </c>
      <c r="L97" s="65">
        <v>10435.150000000001</v>
      </c>
      <c r="M97" s="65">
        <v>0</v>
      </c>
      <c r="N97" s="65">
        <v>0</v>
      </c>
      <c r="O97" s="65">
        <v>256.79999999999995</v>
      </c>
      <c r="P97" s="65">
        <v>10435.150000000001</v>
      </c>
      <c r="Q97" s="50">
        <v>10435.150000000001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10435</v>
      </c>
      <c r="Y97" s="65">
        <v>0</v>
      </c>
      <c r="Z97" s="65">
        <v>0</v>
      </c>
      <c r="AA97" s="51">
        <v>78</v>
      </c>
      <c r="AB97" s="102">
        <v>0</v>
      </c>
      <c r="AC97" s="81">
        <f t="shared" si="6"/>
        <v>362.66657002724804</v>
      </c>
      <c r="AD97" s="82">
        <f t="shared" si="7"/>
        <v>36.699999999999996</v>
      </c>
      <c r="AE97" s="218">
        <v>7.4353296579955956E-3</v>
      </c>
      <c r="AF97">
        <v>1</v>
      </c>
      <c r="AH97" t="str">
        <f t="shared" si="5"/>
        <v>Asarganj</v>
      </c>
      <c r="AJ97" s="72">
        <v>0</v>
      </c>
      <c r="AK97" s="72"/>
      <c r="AL97" s="72"/>
      <c r="AM97" s="72"/>
    </row>
    <row r="98" spans="1:39" x14ac:dyDescent="0.25">
      <c r="A98" s="37" t="s">
        <v>62</v>
      </c>
      <c r="B98" s="66" t="s">
        <v>1596</v>
      </c>
      <c r="C98" s="47">
        <v>1003</v>
      </c>
      <c r="D98" s="47" t="s">
        <v>137</v>
      </c>
      <c r="E98" s="41">
        <v>10030016</v>
      </c>
      <c r="F98" s="46" t="s">
        <v>145</v>
      </c>
      <c r="G98" s="39" t="s">
        <v>92</v>
      </c>
      <c r="H98" s="48" t="s">
        <v>93</v>
      </c>
      <c r="I98" s="52">
        <v>1278.5</v>
      </c>
      <c r="J98" s="49">
        <v>54354.200000000004</v>
      </c>
      <c r="K98" s="65">
        <v>171.08</v>
      </c>
      <c r="L98" s="65">
        <v>8695.3499999999985</v>
      </c>
      <c r="M98" s="65">
        <v>1103</v>
      </c>
      <c r="N98" s="65">
        <v>46792.189999999995</v>
      </c>
      <c r="O98" s="65">
        <v>1274.08</v>
      </c>
      <c r="P98" s="65">
        <v>55487.539999999994</v>
      </c>
      <c r="Q98" s="50">
        <v>54354.200000000004</v>
      </c>
      <c r="R98" s="65">
        <v>0</v>
      </c>
      <c r="S98" s="65">
        <v>359.63000000000005</v>
      </c>
      <c r="T98" s="65">
        <v>1133.3399999999892</v>
      </c>
      <c r="U98" s="65">
        <v>250</v>
      </c>
      <c r="V98" s="65">
        <v>0</v>
      </c>
      <c r="W98" s="65">
        <v>0</v>
      </c>
      <c r="X98" s="65">
        <v>7312</v>
      </c>
      <c r="Y98" s="65">
        <v>46433</v>
      </c>
      <c r="Z98" s="65">
        <v>0</v>
      </c>
      <c r="AA98" s="51">
        <v>0</v>
      </c>
      <c r="AB98" s="102">
        <v>0</v>
      </c>
      <c r="AC98" s="81">
        <f t="shared" si="6"/>
        <v>0</v>
      </c>
      <c r="AD98" s="82">
        <f t="shared" si="7"/>
        <v>0</v>
      </c>
      <c r="AE98" s="218">
        <v>-2.0851010593477399E-2</v>
      </c>
      <c r="AF98">
        <v>13</v>
      </c>
      <c r="AH98" t="str">
        <f t="shared" si="5"/>
        <v>Asarganj</v>
      </c>
      <c r="AJ98" s="72">
        <v>0</v>
      </c>
      <c r="AK98" s="72"/>
      <c r="AL98" s="72"/>
      <c r="AM98" s="72"/>
    </row>
    <row r="99" spans="1:39" x14ac:dyDescent="0.25">
      <c r="A99" s="37" t="s">
        <v>62</v>
      </c>
      <c r="B99" s="66" t="s">
        <v>1596</v>
      </c>
      <c r="C99" s="47">
        <v>1003</v>
      </c>
      <c r="D99" s="47" t="s">
        <v>137</v>
      </c>
      <c r="E99" s="41">
        <v>10030017</v>
      </c>
      <c r="F99" s="46" t="s">
        <v>146</v>
      </c>
      <c r="G99" s="39" t="s">
        <v>92</v>
      </c>
      <c r="H99" s="48" t="s">
        <v>93</v>
      </c>
      <c r="I99" s="52">
        <v>1385</v>
      </c>
      <c r="J99" s="49">
        <v>71747.25</v>
      </c>
      <c r="K99" s="65">
        <v>1356.4699999999998</v>
      </c>
      <c r="L99" s="65">
        <v>69856.479999999981</v>
      </c>
      <c r="M99" s="65">
        <v>39.29</v>
      </c>
      <c r="N99" s="65">
        <v>2052.21</v>
      </c>
      <c r="O99" s="65">
        <v>1395.7599999999998</v>
      </c>
      <c r="P99" s="65">
        <v>71908.689999999988</v>
      </c>
      <c r="Q99" s="50">
        <v>71747.25</v>
      </c>
      <c r="R99" s="65">
        <v>0</v>
      </c>
      <c r="S99" s="65">
        <v>2052.21</v>
      </c>
      <c r="T99" s="65">
        <v>161.43999999998778</v>
      </c>
      <c r="U99" s="65">
        <v>0</v>
      </c>
      <c r="V99" s="65">
        <v>0</v>
      </c>
      <c r="W99" s="65">
        <v>0</v>
      </c>
      <c r="X99" s="65">
        <v>69695</v>
      </c>
      <c r="Y99" s="65">
        <v>0</v>
      </c>
      <c r="Z99" s="65">
        <v>0</v>
      </c>
      <c r="AA99" s="51">
        <v>0</v>
      </c>
      <c r="AB99" s="102">
        <v>0</v>
      </c>
      <c r="AC99" s="81">
        <f t="shared" si="6"/>
        <v>0</v>
      </c>
      <c r="AD99" s="82">
        <f t="shared" si="7"/>
        <v>0</v>
      </c>
      <c r="AE99" s="218">
        <v>-2.2501210847800826E-3</v>
      </c>
      <c r="AF99">
        <v>37</v>
      </c>
      <c r="AH99" t="str">
        <f t="shared" si="5"/>
        <v>Asarganj</v>
      </c>
      <c r="AJ99" s="72">
        <v>0</v>
      </c>
      <c r="AK99" s="72"/>
      <c r="AL99" s="72"/>
      <c r="AM99" s="72"/>
    </row>
    <row r="100" spans="1:39" x14ac:dyDescent="0.25">
      <c r="A100" s="37" t="s">
        <v>62</v>
      </c>
      <c r="B100" s="66" t="s">
        <v>1596</v>
      </c>
      <c r="C100" s="47">
        <v>1003</v>
      </c>
      <c r="D100" s="47" t="s">
        <v>137</v>
      </c>
      <c r="E100" s="41">
        <v>10030018</v>
      </c>
      <c r="F100" s="46" t="s">
        <v>147</v>
      </c>
      <c r="G100" s="39" t="s">
        <v>92</v>
      </c>
      <c r="H100" s="48" t="s">
        <v>93</v>
      </c>
      <c r="I100" s="52">
        <v>609.19999999999993</v>
      </c>
      <c r="J100" s="49">
        <v>25462.350000000002</v>
      </c>
      <c r="K100" s="65">
        <v>590.21</v>
      </c>
      <c r="L100" s="65">
        <v>26157.160000000003</v>
      </c>
      <c r="M100" s="65">
        <v>19.3</v>
      </c>
      <c r="N100" s="65">
        <v>837.69999999999982</v>
      </c>
      <c r="O100" s="65">
        <v>609.51</v>
      </c>
      <c r="P100" s="65">
        <v>26994.860000000004</v>
      </c>
      <c r="Q100" s="50">
        <v>25462.350000000002</v>
      </c>
      <c r="R100" s="65">
        <v>0</v>
      </c>
      <c r="S100" s="65">
        <v>837.69999999999982</v>
      </c>
      <c r="T100" s="65">
        <v>1532.510000000002</v>
      </c>
      <c r="U100" s="65">
        <v>0</v>
      </c>
      <c r="V100" s="65">
        <v>0</v>
      </c>
      <c r="W100" s="65">
        <v>0</v>
      </c>
      <c r="X100" s="65">
        <v>24625</v>
      </c>
      <c r="Y100" s="65">
        <v>0</v>
      </c>
      <c r="Z100" s="65">
        <v>0</v>
      </c>
      <c r="AA100" s="51">
        <v>0</v>
      </c>
      <c r="AB100" s="102" t="s">
        <v>1366</v>
      </c>
      <c r="AC100" s="81">
        <f t="shared" si="6"/>
        <v>75.902212081418298</v>
      </c>
      <c r="AD100" s="82">
        <f t="shared" si="7"/>
        <v>87.028571428571425</v>
      </c>
      <c r="AE100" s="218">
        <v>-6.0187296145092731E-2</v>
      </c>
      <c r="AF100">
        <v>23</v>
      </c>
      <c r="AH100" t="str">
        <f t="shared" si="5"/>
        <v>Asarganj</v>
      </c>
      <c r="AJ100" s="72">
        <v>0</v>
      </c>
      <c r="AK100" s="72"/>
      <c r="AL100" s="72"/>
      <c r="AM100" s="72"/>
    </row>
    <row r="101" spans="1:39" x14ac:dyDescent="0.25">
      <c r="A101" s="37" t="s">
        <v>62</v>
      </c>
      <c r="B101" s="66" t="s">
        <v>1596</v>
      </c>
      <c r="C101" s="47">
        <v>1003</v>
      </c>
      <c r="D101" s="47" t="s">
        <v>137</v>
      </c>
      <c r="E101" s="41">
        <v>10030019</v>
      </c>
      <c r="F101" s="46" t="s">
        <v>148</v>
      </c>
      <c r="G101" s="39" t="s">
        <v>92</v>
      </c>
      <c r="H101" s="48" t="s">
        <v>93</v>
      </c>
      <c r="I101" s="52">
        <v>417.3</v>
      </c>
      <c r="J101" s="49">
        <v>18021.93</v>
      </c>
      <c r="K101" s="65">
        <v>390.87</v>
      </c>
      <c r="L101" s="65">
        <v>17307.810000000001</v>
      </c>
      <c r="M101" s="65">
        <v>18.32</v>
      </c>
      <c r="N101" s="65">
        <v>1085.18</v>
      </c>
      <c r="O101" s="65">
        <v>409.19</v>
      </c>
      <c r="P101" s="65">
        <v>18392.990000000002</v>
      </c>
      <c r="Q101" s="50">
        <v>18021.93</v>
      </c>
      <c r="R101" s="65">
        <v>0</v>
      </c>
      <c r="S101" s="65">
        <v>1085.18</v>
      </c>
      <c r="T101" s="65">
        <v>371.06000000000131</v>
      </c>
      <c r="U101" s="65">
        <v>0</v>
      </c>
      <c r="V101" s="65">
        <v>0</v>
      </c>
      <c r="W101" s="65">
        <v>0</v>
      </c>
      <c r="X101" s="65">
        <v>16937</v>
      </c>
      <c r="Y101" s="65">
        <v>0</v>
      </c>
      <c r="Z101" s="65">
        <v>0</v>
      </c>
      <c r="AA101" s="51">
        <v>0</v>
      </c>
      <c r="AB101" s="102">
        <v>0</v>
      </c>
      <c r="AC101" s="81">
        <f t="shared" si="6"/>
        <v>244.17922890007191</v>
      </c>
      <c r="AD101" s="82">
        <f t="shared" si="7"/>
        <v>59.614285714285714</v>
      </c>
      <c r="AE101" s="218">
        <v>-2.0589359741159871E-2</v>
      </c>
      <c r="AF101">
        <v>7</v>
      </c>
      <c r="AH101" t="str">
        <f t="shared" si="5"/>
        <v>Asarganj</v>
      </c>
      <c r="AJ101" s="72">
        <v>0</v>
      </c>
      <c r="AK101" s="72"/>
      <c r="AL101" s="72"/>
      <c r="AM101" s="72"/>
    </row>
    <row r="102" spans="1:39" x14ac:dyDescent="0.25">
      <c r="A102" s="37" t="s">
        <v>62</v>
      </c>
      <c r="B102" s="66" t="s">
        <v>1596</v>
      </c>
      <c r="C102" s="47">
        <v>1003</v>
      </c>
      <c r="D102" s="47" t="s">
        <v>137</v>
      </c>
      <c r="E102" s="41">
        <v>10030021</v>
      </c>
      <c r="F102" s="46" t="s">
        <v>149</v>
      </c>
      <c r="G102" s="39" t="s">
        <v>92</v>
      </c>
      <c r="H102" s="48" t="s">
        <v>93</v>
      </c>
      <c r="I102" s="52">
        <v>619.79999999999995</v>
      </c>
      <c r="J102" s="49">
        <v>25464.719999999998</v>
      </c>
      <c r="K102" s="65">
        <v>609.87999999999988</v>
      </c>
      <c r="L102" s="65">
        <v>26367.520000000004</v>
      </c>
      <c r="M102" s="65">
        <v>25.53</v>
      </c>
      <c r="N102" s="65">
        <v>1076.5999999999999</v>
      </c>
      <c r="O102" s="65">
        <v>635.40999999999985</v>
      </c>
      <c r="P102" s="65">
        <v>27444.120000000003</v>
      </c>
      <c r="Q102" s="50">
        <v>25464.719999999998</v>
      </c>
      <c r="R102" s="65">
        <v>0</v>
      </c>
      <c r="S102" s="65">
        <v>1076.5999999999999</v>
      </c>
      <c r="T102" s="65">
        <v>1979.4000000000051</v>
      </c>
      <c r="U102" s="65">
        <v>0</v>
      </c>
      <c r="V102" s="65">
        <v>0</v>
      </c>
      <c r="W102" s="65">
        <v>0</v>
      </c>
      <c r="X102" s="65">
        <v>24388</v>
      </c>
      <c r="Y102" s="65">
        <v>0</v>
      </c>
      <c r="Z102" s="65">
        <v>0</v>
      </c>
      <c r="AA102" s="51">
        <v>0</v>
      </c>
      <c r="AB102" s="102">
        <v>0</v>
      </c>
      <c r="AC102" s="81">
        <f t="shared" si="6"/>
        <v>65.900953339787108</v>
      </c>
      <c r="AD102" s="82">
        <f t="shared" si="7"/>
        <v>88.54285714285713</v>
      </c>
      <c r="AE102" s="218">
        <v>-7.7731072636966173E-2</v>
      </c>
      <c r="AF102">
        <v>9</v>
      </c>
      <c r="AH102" t="str">
        <f t="shared" si="5"/>
        <v>Asarganj</v>
      </c>
      <c r="AJ102" s="72">
        <v>0</v>
      </c>
      <c r="AK102" s="72"/>
      <c r="AL102" s="72"/>
      <c r="AM102" s="72"/>
    </row>
    <row r="103" spans="1:39" x14ac:dyDescent="0.25">
      <c r="A103" s="37" t="s">
        <v>62</v>
      </c>
      <c r="B103" s="66" t="s">
        <v>1596</v>
      </c>
      <c r="C103" s="47">
        <v>1003</v>
      </c>
      <c r="D103" s="47" t="s">
        <v>137</v>
      </c>
      <c r="E103" s="41">
        <v>10030022</v>
      </c>
      <c r="F103" s="46" t="s">
        <v>150</v>
      </c>
      <c r="G103" s="39" t="s">
        <v>92</v>
      </c>
      <c r="H103" s="48" t="s">
        <v>93</v>
      </c>
      <c r="I103" s="52">
        <v>1682.7999999999997</v>
      </c>
      <c r="J103" s="49">
        <v>69141.77</v>
      </c>
      <c r="K103" s="65">
        <v>1482.6799999999998</v>
      </c>
      <c r="L103" s="65">
        <v>61981.729999999996</v>
      </c>
      <c r="M103" s="65">
        <v>216.06</v>
      </c>
      <c r="N103" s="65">
        <v>8657.25</v>
      </c>
      <c r="O103" s="65">
        <v>1698.7399999999998</v>
      </c>
      <c r="P103" s="65">
        <v>70638.98</v>
      </c>
      <c r="Q103" s="50">
        <v>69141.77</v>
      </c>
      <c r="R103" s="65">
        <v>0</v>
      </c>
      <c r="S103" s="65">
        <v>729.02</v>
      </c>
      <c r="T103" s="65">
        <v>1497.2099999999919</v>
      </c>
      <c r="U103" s="65">
        <v>0</v>
      </c>
      <c r="V103" s="65">
        <v>0</v>
      </c>
      <c r="W103" s="65">
        <v>0</v>
      </c>
      <c r="X103" s="65">
        <v>60485</v>
      </c>
      <c r="Y103" s="65">
        <v>7928</v>
      </c>
      <c r="Z103" s="65">
        <v>0</v>
      </c>
      <c r="AA103" s="51">
        <v>0</v>
      </c>
      <c r="AB103" s="102">
        <v>0</v>
      </c>
      <c r="AC103" s="81">
        <f t="shared" si="6"/>
        <v>0</v>
      </c>
      <c r="AD103" s="82">
        <f t="shared" si="7"/>
        <v>0</v>
      </c>
      <c r="AE103" s="218">
        <v>-2.1654204108457042E-2</v>
      </c>
      <c r="AF103">
        <v>26</v>
      </c>
      <c r="AH103" t="str">
        <f t="shared" si="5"/>
        <v>Asarganj</v>
      </c>
      <c r="AJ103" s="72">
        <v>0</v>
      </c>
      <c r="AK103" s="72"/>
      <c r="AL103" s="72"/>
      <c r="AM103" s="72"/>
    </row>
    <row r="104" spans="1:39" x14ac:dyDescent="0.25">
      <c r="A104" s="37" t="s">
        <v>62</v>
      </c>
      <c r="B104" s="66" t="s">
        <v>1596</v>
      </c>
      <c r="C104" s="47">
        <v>1003</v>
      </c>
      <c r="D104" s="47" t="s">
        <v>137</v>
      </c>
      <c r="E104" s="41">
        <v>10030023</v>
      </c>
      <c r="F104" s="46" t="s">
        <v>151</v>
      </c>
      <c r="G104" s="39" t="s">
        <v>92</v>
      </c>
      <c r="H104" s="48" t="s">
        <v>93</v>
      </c>
      <c r="I104" s="52">
        <v>386.74999999999994</v>
      </c>
      <c r="J104" s="49">
        <v>16279.34</v>
      </c>
      <c r="K104" s="65">
        <v>376.22</v>
      </c>
      <c r="L104" s="65">
        <v>16132.16</v>
      </c>
      <c r="M104" s="65">
        <v>10.73</v>
      </c>
      <c r="N104" s="65">
        <v>467.57</v>
      </c>
      <c r="O104" s="65">
        <v>386.95000000000005</v>
      </c>
      <c r="P104" s="65">
        <v>16599.73</v>
      </c>
      <c r="Q104" s="50">
        <v>16279.34</v>
      </c>
      <c r="R104" s="65">
        <v>0</v>
      </c>
      <c r="S104" s="65">
        <v>467.57</v>
      </c>
      <c r="T104" s="65">
        <v>320.38999999999942</v>
      </c>
      <c r="U104" s="65">
        <v>0</v>
      </c>
      <c r="V104" s="65">
        <v>0</v>
      </c>
      <c r="W104" s="65">
        <v>0</v>
      </c>
      <c r="X104" s="65">
        <v>15812</v>
      </c>
      <c r="Y104" s="65">
        <v>0</v>
      </c>
      <c r="Z104" s="65">
        <v>0</v>
      </c>
      <c r="AA104" s="51">
        <v>0</v>
      </c>
      <c r="AB104" s="102">
        <v>0</v>
      </c>
      <c r="AC104" s="81">
        <f t="shared" si="6"/>
        <v>263.71057556561095</v>
      </c>
      <c r="AD104" s="82">
        <f t="shared" si="7"/>
        <v>55.249999999999993</v>
      </c>
      <c r="AE104" s="218">
        <v>-1.9680773299163196E-2</v>
      </c>
      <c r="AF104">
        <v>14</v>
      </c>
      <c r="AH104" t="str">
        <f t="shared" si="5"/>
        <v>Asarganj</v>
      </c>
      <c r="AJ104" s="72">
        <v>0</v>
      </c>
      <c r="AK104" s="72"/>
      <c r="AL104" s="72"/>
      <c r="AM104" s="72"/>
    </row>
    <row r="105" spans="1:39" x14ac:dyDescent="0.25">
      <c r="A105" s="37" t="s">
        <v>62</v>
      </c>
      <c r="B105" s="66" t="s">
        <v>1596</v>
      </c>
      <c r="C105" s="47">
        <v>1003</v>
      </c>
      <c r="D105" s="47" t="s">
        <v>137</v>
      </c>
      <c r="E105" s="41">
        <v>10030025</v>
      </c>
      <c r="F105" s="46" t="s">
        <v>152</v>
      </c>
      <c r="G105" s="39" t="s">
        <v>92</v>
      </c>
      <c r="H105" s="48" t="s">
        <v>93</v>
      </c>
      <c r="I105" s="52">
        <v>815.50000000000011</v>
      </c>
      <c r="J105" s="49">
        <v>32948.159999999996</v>
      </c>
      <c r="K105" s="65">
        <v>810.04000000000008</v>
      </c>
      <c r="L105" s="65">
        <v>32589.949999999997</v>
      </c>
      <c r="M105" s="65">
        <v>8.39</v>
      </c>
      <c r="N105" s="65">
        <v>337.56</v>
      </c>
      <c r="O105" s="65">
        <v>818.43000000000006</v>
      </c>
      <c r="P105" s="65">
        <v>32927.509999999995</v>
      </c>
      <c r="Q105" s="50">
        <v>32927.509999999995</v>
      </c>
      <c r="R105" s="65">
        <v>0</v>
      </c>
      <c r="S105" s="65">
        <v>337.56</v>
      </c>
      <c r="T105" s="65">
        <v>0</v>
      </c>
      <c r="U105" s="65">
        <v>0</v>
      </c>
      <c r="V105" s="65">
        <v>0</v>
      </c>
      <c r="W105" s="65">
        <v>0</v>
      </c>
      <c r="X105" s="65">
        <v>32591</v>
      </c>
      <c r="Y105" s="65">
        <v>0</v>
      </c>
      <c r="Z105" s="65">
        <v>0</v>
      </c>
      <c r="AA105" s="51">
        <v>20</v>
      </c>
      <c r="AB105" s="102">
        <v>0</v>
      </c>
      <c r="AC105" s="81">
        <f t="shared" si="6"/>
        <v>0</v>
      </c>
      <c r="AD105" s="82">
        <f t="shared" si="7"/>
        <v>0</v>
      </c>
      <c r="AE105" s="218">
        <v>6.2674213066834258E-4</v>
      </c>
      <c r="AF105">
        <v>7</v>
      </c>
      <c r="AH105" t="str">
        <f t="shared" si="5"/>
        <v>Asarganj</v>
      </c>
      <c r="AJ105" s="72">
        <v>0</v>
      </c>
      <c r="AK105" s="72"/>
      <c r="AL105" s="72"/>
      <c r="AM105" s="72"/>
    </row>
    <row r="106" spans="1:39" x14ac:dyDescent="0.25">
      <c r="A106" s="37" t="s">
        <v>62</v>
      </c>
      <c r="B106" s="66" t="s">
        <v>1596</v>
      </c>
      <c r="C106" s="47">
        <v>1003</v>
      </c>
      <c r="D106" s="47" t="s">
        <v>137</v>
      </c>
      <c r="E106" s="41">
        <v>10030026</v>
      </c>
      <c r="F106" s="46" t="s">
        <v>153</v>
      </c>
      <c r="G106" s="39" t="s">
        <v>92</v>
      </c>
      <c r="H106" s="48" t="s">
        <v>93</v>
      </c>
      <c r="I106" s="52">
        <v>1484.3500000000001</v>
      </c>
      <c r="J106" s="49">
        <v>59778.55</v>
      </c>
      <c r="K106" s="65">
        <v>1463.6000000000001</v>
      </c>
      <c r="L106" s="65">
        <v>60826.030000000006</v>
      </c>
      <c r="M106" s="65">
        <v>18.489999999999998</v>
      </c>
      <c r="N106" s="65">
        <v>1256.22</v>
      </c>
      <c r="O106" s="65">
        <v>1482.0900000000001</v>
      </c>
      <c r="P106" s="65">
        <v>62082.250000000007</v>
      </c>
      <c r="Q106" s="50">
        <v>59778.55</v>
      </c>
      <c r="R106" s="65">
        <v>0</v>
      </c>
      <c r="S106" s="65">
        <v>1256.22</v>
      </c>
      <c r="T106" s="65">
        <v>2303.7000000000044</v>
      </c>
      <c r="U106" s="65">
        <v>0</v>
      </c>
      <c r="V106" s="65">
        <v>0</v>
      </c>
      <c r="W106" s="65">
        <v>0</v>
      </c>
      <c r="X106" s="65">
        <v>58522</v>
      </c>
      <c r="Y106" s="65">
        <v>0</v>
      </c>
      <c r="Z106" s="65">
        <v>0</v>
      </c>
      <c r="AA106" s="51">
        <v>0</v>
      </c>
      <c r="AB106" s="102" t="s">
        <v>1366</v>
      </c>
      <c r="AC106" s="81">
        <f t="shared" si="6"/>
        <v>0</v>
      </c>
      <c r="AD106" s="82">
        <f t="shared" si="7"/>
        <v>0</v>
      </c>
      <c r="AE106" s="218">
        <v>-3.8537234509702964E-2</v>
      </c>
      <c r="AF106">
        <v>42</v>
      </c>
      <c r="AH106" t="str">
        <f t="shared" si="5"/>
        <v>Asarganj</v>
      </c>
      <c r="AJ106" s="72">
        <v>0</v>
      </c>
      <c r="AK106" s="72"/>
      <c r="AL106" s="72"/>
      <c r="AM106" s="72"/>
    </row>
    <row r="107" spans="1:39" x14ac:dyDescent="0.25">
      <c r="A107" s="37" t="s">
        <v>62</v>
      </c>
      <c r="B107" s="66" t="s">
        <v>1596</v>
      </c>
      <c r="C107" s="47">
        <v>1003</v>
      </c>
      <c r="D107" s="47" t="s">
        <v>137</v>
      </c>
      <c r="E107" s="41">
        <v>10030027</v>
      </c>
      <c r="F107" s="46" t="s">
        <v>154</v>
      </c>
      <c r="G107" s="39" t="s">
        <v>92</v>
      </c>
      <c r="H107" s="48" t="s">
        <v>93</v>
      </c>
      <c r="I107" s="52">
        <v>1135.4999999999998</v>
      </c>
      <c r="J107" s="49">
        <v>44437.409999999989</v>
      </c>
      <c r="K107" s="65">
        <v>1086.8</v>
      </c>
      <c r="L107" s="65">
        <v>42692.52</v>
      </c>
      <c r="M107" s="65">
        <v>28.400000000000002</v>
      </c>
      <c r="N107" s="65">
        <v>1174.5</v>
      </c>
      <c r="O107" s="65">
        <v>1115.2</v>
      </c>
      <c r="P107" s="65">
        <v>43867.02</v>
      </c>
      <c r="Q107" s="50">
        <v>43867.02</v>
      </c>
      <c r="R107" s="65">
        <v>0</v>
      </c>
      <c r="S107" s="65">
        <v>1174.5</v>
      </c>
      <c r="T107" s="65">
        <v>0</v>
      </c>
      <c r="U107" s="65">
        <v>0</v>
      </c>
      <c r="V107" s="65">
        <v>0</v>
      </c>
      <c r="W107" s="65">
        <v>0</v>
      </c>
      <c r="X107" s="65">
        <v>42689</v>
      </c>
      <c r="Y107" s="65">
        <v>0</v>
      </c>
      <c r="Z107" s="65">
        <v>0</v>
      </c>
      <c r="AA107" s="51">
        <v>574</v>
      </c>
      <c r="AB107" s="102">
        <v>0</v>
      </c>
      <c r="AC107" s="81">
        <f t="shared" si="6"/>
        <v>0</v>
      </c>
      <c r="AD107" s="82">
        <f t="shared" si="7"/>
        <v>0</v>
      </c>
      <c r="AE107" s="218">
        <v>1.2835806587287429E-2</v>
      </c>
      <c r="AF107">
        <v>43</v>
      </c>
      <c r="AH107" t="str">
        <f t="shared" si="5"/>
        <v>Asarganj</v>
      </c>
      <c r="AJ107" s="72">
        <v>0</v>
      </c>
      <c r="AK107" s="72"/>
      <c r="AL107" s="72"/>
      <c r="AM107" s="72"/>
    </row>
    <row r="108" spans="1:39" x14ac:dyDescent="0.25">
      <c r="A108" s="37" t="s">
        <v>62</v>
      </c>
      <c r="B108" s="66" t="s">
        <v>1596</v>
      </c>
      <c r="C108" s="47">
        <v>1003</v>
      </c>
      <c r="D108" s="47" t="s">
        <v>137</v>
      </c>
      <c r="E108" s="43">
        <v>10030028</v>
      </c>
      <c r="F108" s="46" t="s">
        <v>155</v>
      </c>
      <c r="G108" s="39" t="s">
        <v>92</v>
      </c>
      <c r="H108" s="48" t="s">
        <v>93</v>
      </c>
      <c r="I108" s="52">
        <v>1263.8499999999999</v>
      </c>
      <c r="J108" s="49">
        <v>52172</v>
      </c>
      <c r="K108" s="65">
        <v>1234.1999999999996</v>
      </c>
      <c r="L108" s="65">
        <v>52646.2</v>
      </c>
      <c r="M108" s="65">
        <v>23.400000000000002</v>
      </c>
      <c r="N108" s="65">
        <v>912.27</v>
      </c>
      <c r="O108" s="65">
        <v>1257.5999999999997</v>
      </c>
      <c r="P108" s="65">
        <v>53558.469999999994</v>
      </c>
      <c r="Q108" s="50">
        <v>52172</v>
      </c>
      <c r="R108" s="65">
        <v>0</v>
      </c>
      <c r="S108" s="65">
        <v>912.27</v>
      </c>
      <c r="T108" s="65">
        <v>1386.4699999999939</v>
      </c>
      <c r="U108" s="65">
        <v>0</v>
      </c>
      <c r="V108" s="65">
        <v>0</v>
      </c>
      <c r="W108" s="65">
        <v>0</v>
      </c>
      <c r="X108" s="65">
        <v>51260</v>
      </c>
      <c r="Y108" s="65">
        <v>0</v>
      </c>
      <c r="Z108" s="65">
        <v>0</v>
      </c>
      <c r="AA108" s="51">
        <v>0</v>
      </c>
      <c r="AB108" s="102">
        <v>0</v>
      </c>
      <c r="AC108" s="81">
        <f t="shared" si="6"/>
        <v>0</v>
      </c>
      <c r="AD108" s="82">
        <f t="shared" si="7"/>
        <v>0</v>
      </c>
      <c r="AE108" s="218">
        <v>-2.657498274936736E-2</v>
      </c>
      <c r="AF108">
        <v>49</v>
      </c>
      <c r="AH108" t="str">
        <f t="shared" si="5"/>
        <v>Asarganj</v>
      </c>
      <c r="AJ108" s="72">
        <v>0</v>
      </c>
      <c r="AK108" s="72"/>
      <c r="AL108" s="72"/>
      <c r="AM108" s="72"/>
    </row>
    <row r="109" spans="1:39" x14ac:dyDescent="0.25">
      <c r="A109" s="37" t="s">
        <v>62</v>
      </c>
      <c r="B109" s="66" t="s">
        <v>1596</v>
      </c>
      <c r="C109" s="47">
        <v>1003</v>
      </c>
      <c r="D109" s="47" t="s">
        <v>137</v>
      </c>
      <c r="E109" s="41">
        <v>10030031</v>
      </c>
      <c r="F109" s="46" t="s">
        <v>156</v>
      </c>
      <c r="G109" s="39" t="s">
        <v>92</v>
      </c>
      <c r="H109" s="48" t="s">
        <v>93</v>
      </c>
      <c r="I109" s="52">
        <v>864.2</v>
      </c>
      <c r="J109" s="49">
        <v>33912.060000000005</v>
      </c>
      <c r="K109" s="65">
        <v>878.41</v>
      </c>
      <c r="L109" s="65">
        <v>34083.019999999997</v>
      </c>
      <c r="M109" s="65">
        <v>0</v>
      </c>
      <c r="N109" s="65">
        <v>0</v>
      </c>
      <c r="O109" s="65">
        <v>878.41</v>
      </c>
      <c r="P109" s="65">
        <v>34083.019999999997</v>
      </c>
      <c r="Q109" s="50">
        <v>33912.060000000005</v>
      </c>
      <c r="R109" s="65">
        <v>0</v>
      </c>
      <c r="S109" s="65">
        <v>0</v>
      </c>
      <c r="T109" s="65">
        <v>170.95999999999185</v>
      </c>
      <c r="U109" s="65">
        <v>0</v>
      </c>
      <c r="V109" s="65">
        <v>0</v>
      </c>
      <c r="W109" s="65">
        <v>0</v>
      </c>
      <c r="X109" s="65">
        <v>33912</v>
      </c>
      <c r="Y109" s="65">
        <v>0</v>
      </c>
      <c r="Z109" s="65">
        <v>0</v>
      </c>
      <c r="AA109" s="51">
        <v>0</v>
      </c>
      <c r="AB109" s="102">
        <v>0</v>
      </c>
      <c r="AC109" s="81">
        <f t="shared" si="6"/>
        <v>0</v>
      </c>
      <c r="AD109" s="82">
        <f t="shared" si="7"/>
        <v>0</v>
      </c>
      <c r="AE109" s="218">
        <v>-5.0412744020856244E-3</v>
      </c>
      <c r="AF109">
        <v>26</v>
      </c>
      <c r="AH109" t="str">
        <f t="shared" si="5"/>
        <v>Asarganj</v>
      </c>
      <c r="AJ109" s="72">
        <v>0</v>
      </c>
      <c r="AK109" s="72"/>
      <c r="AL109" s="72"/>
      <c r="AM109" s="72"/>
    </row>
    <row r="110" spans="1:39" x14ac:dyDescent="0.25">
      <c r="A110" s="37" t="s">
        <v>62</v>
      </c>
      <c r="B110" s="66" t="s">
        <v>1596</v>
      </c>
      <c r="C110" s="47">
        <v>1003</v>
      </c>
      <c r="D110" s="47" t="s">
        <v>137</v>
      </c>
      <c r="E110" s="41">
        <v>10030032</v>
      </c>
      <c r="F110" s="46" t="s">
        <v>157</v>
      </c>
      <c r="G110" s="39" t="s">
        <v>92</v>
      </c>
      <c r="H110" s="48" t="s">
        <v>93</v>
      </c>
      <c r="I110" s="52">
        <v>1270.5500000000002</v>
      </c>
      <c r="J110" s="49">
        <v>49208.560000000005</v>
      </c>
      <c r="K110" s="65">
        <v>1261.5999999999999</v>
      </c>
      <c r="L110" s="65">
        <v>48474.64</v>
      </c>
      <c r="M110" s="65">
        <v>16.8</v>
      </c>
      <c r="N110" s="65">
        <v>654.33000000000004</v>
      </c>
      <c r="O110" s="65">
        <v>1278.3999999999999</v>
      </c>
      <c r="P110" s="65">
        <v>49128.97</v>
      </c>
      <c r="Q110" s="50">
        <v>49128.97</v>
      </c>
      <c r="R110" s="65">
        <v>0</v>
      </c>
      <c r="S110" s="65">
        <v>654.33000000000004</v>
      </c>
      <c r="T110" s="65">
        <v>0</v>
      </c>
      <c r="U110" s="65">
        <v>0</v>
      </c>
      <c r="V110" s="65">
        <v>0</v>
      </c>
      <c r="W110" s="65">
        <v>0</v>
      </c>
      <c r="X110" s="65">
        <v>48474</v>
      </c>
      <c r="Y110" s="65">
        <v>0</v>
      </c>
      <c r="Z110" s="65">
        <v>0</v>
      </c>
      <c r="AA110" s="51">
        <v>80</v>
      </c>
      <c r="AB110" s="102">
        <v>0</v>
      </c>
      <c r="AC110" s="81">
        <f t="shared" si="6"/>
        <v>0</v>
      </c>
      <c r="AD110" s="82">
        <f t="shared" si="7"/>
        <v>0</v>
      </c>
      <c r="AE110" s="218">
        <v>1.617401525263161E-3</v>
      </c>
      <c r="AF110">
        <v>19</v>
      </c>
      <c r="AH110" t="str">
        <f t="shared" si="5"/>
        <v>Asarganj</v>
      </c>
      <c r="AJ110" s="72">
        <v>0</v>
      </c>
      <c r="AK110" s="72"/>
      <c r="AL110" s="72"/>
      <c r="AM110" s="72"/>
    </row>
    <row r="111" spans="1:39" x14ac:dyDescent="0.25">
      <c r="A111" s="37" t="s">
        <v>62</v>
      </c>
      <c r="B111" s="66" t="s">
        <v>1596</v>
      </c>
      <c r="C111" s="47">
        <v>1003</v>
      </c>
      <c r="D111" s="47" t="s">
        <v>137</v>
      </c>
      <c r="E111" s="41">
        <v>10030034</v>
      </c>
      <c r="F111" s="46" t="s">
        <v>158</v>
      </c>
      <c r="G111" s="39" t="s">
        <v>92</v>
      </c>
      <c r="H111" s="48" t="s">
        <v>93</v>
      </c>
      <c r="I111" s="52">
        <v>1316.8500000000004</v>
      </c>
      <c r="J111" s="49">
        <v>56084.689999999988</v>
      </c>
      <c r="K111" s="65">
        <v>1311.8</v>
      </c>
      <c r="L111" s="65">
        <v>54526.110000000008</v>
      </c>
      <c r="M111" s="65">
        <v>0</v>
      </c>
      <c r="N111" s="65">
        <v>0</v>
      </c>
      <c r="O111" s="65">
        <v>1311.8</v>
      </c>
      <c r="P111" s="65">
        <v>54526.110000000008</v>
      </c>
      <c r="Q111" s="50">
        <v>54526.110000000008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54527</v>
      </c>
      <c r="Y111" s="65">
        <v>0</v>
      </c>
      <c r="Z111" s="65">
        <v>0</v>
      </c>
      <c r="AA111" s="51">
        <v>1558</v>
      </c>
      <c r="AB111" s="102">
        <v>0</v>
      </c>
      <c r="AC111" s="81">
        <f t="shared" si="6"/>
        <v>0</v>
      </c>
      <c r="AD111" s="82">
        <f t="shared" si="7"/>
        <v>0</v>
      </c>
      <c r="AE111" s="218">
        <v>2.7789758666758795E-2</v>
      </c>
      <c r="AF111">
        <v>38</v>
      </c>
      <c r="AH111" t="str">
        <f t="shared" si="5"/>
        <v>Asarganj</v>
      </c>
      <c r="AJ111" s="72">
        <v>0</v>
      </c>
      <c r="AK111" s="72"/>
      <c r="AL111" s="72"/>
      <c r="AM111" s="72"/>
    </row>
    <row r="112" spans="1:39" x14ac:dyDescent="0.25">
      <c r="A112" s="37" t="s">
        <v>62</v>
      </c>
      <c r="B112" s="66" t="s">
        <v>1596</v>
      </c>
      <c r="C112" s="47">
        <v>1003</v>
      </c>
      <c r="D112" s="47" t="s">
        <v>137</v>
      </c>
      <c r="E112" s="41">
        <v>10030035</v>
      </c>
      <c r="F112" s="46" t="s">
        <v>159</v>
      </c>
      <c r="G112" s="39" t="s">
        <v>92</v>
      </c>
      <c r="H112" s="48" t="s">
        <v>93</v>
      </c>
      <c r="I112" s="52">
        <v>714.25</v>
      </c>
      <c r="J112" s="49">
        <v>28992.389999999996</v>
      </c>
      <c r="K112" s="65">
        <v>710.16</v>
      </c>
      <c r="L112" s="65">
        <v>28826.89</v>
      </c>
      <c r="M112" s="65">
        <v>3.15</v>
      </c>
      <c r="N112" s="65">
        <v>132.49</v>
      </c>
      <c r="O112" s="65">
        <v>713.31</v>
      </c>
      <c r="P112" s="65">
        <v>28959.38</v>
      </c>
      <c r="Q112" s="50">
        <v>28959.38</v>
      </c>
      <c r="R112" s="65">
        <v>0</v>
      </c>
      <c r="S112" s="65">
        <v>132.49</v>
      </c>
      <c r="T112" s="65">
        <v>0</v>
      </c>
      <c r="U112" s="65">
        <v>0</v>
      </c>
      <c r="V112" s="65">
        <v>0</v>
      </c>
      <c r="W112" s="65">
        <v>0</v>
      </c>
      <c r="X112" s="65">
        <v>28828</v>
      </c>
      <c r="Y112" s="65">
        <v>0</v>
      </c>
      <c r="Z112" s="65">
        <v>0</v>
      </c>
      <c r="AA112" s="51">
        <v>32</v>
      </c>
      <c r="AB112" s="102">
        <v>0</v>
      </c>
      <c r="AC112" s="81">
        <f t="shared" si="6"/>
        <v>0</v>
      </c>
      <c r="AD112" s="82">
        <f t="shared" si="7"/>
        <v>0</v>
      </c>
      <c r="AE112" s="218">
        <v>1.1385746397587356E-3</v>
      </c>
      <c r="AF112">
        <v>8</v>
      </c>
      <c r="AH112" t="str">
        <f t="shared" si="5"/>
        <v>Asarganj</v>
      </c>
      <c r="AJ112" s="72">
        <v>0</v>
      </c>
      <c r="AK112" s="72"/>
      <c r="AL112" s="72"/>
      <c r="AM112" s="72"/>
    </row>
    <row r="113" spans="1:39" x14ac:dyDescent="0.25">
      <c r="A113" s="37" t="s">
        <v>62</v>
      </c>
      <c r="B113" s="66" t="s">
        <v>1596</v>
      </c>
      <c r="C113" s="47">
        <v>1003</v>
      </c>
      <c r="D113" s="47" t="s">
        <v>137</v>
      </c>
      <c r="E113" s="41">
        <v>10030037</v>
      </c>
      <c r="F113" s="46" t="s">
        <v>160</v>
      </c>
      <c r="G113" s="39" t="s">
        <v>92</v>
      </c>
      <c r="H113" s="48" t="s">
        <v>93</v>
      </c>
      <c r="I113" s="52">
        <v>1342</v>
      </c>
      <c r="J113" s="49">
        <v>50700.79</v>
      </c>
      <c r="K113" s="65">
        <v>1350.52</v>
      </c>
      <c r="L113" s="65">
        <v>51433.700000000004</v>
      </c>
      <c r="M113" s="65">
        <v>16.34</v>
      </c>
      <c r="N113" s="65">
        <v>642.47</v>
      </c>
      <c r="O113" s="65">
        <v>1366.86</v>
      </c>
      <c r="P113" s="65">
        <v>52076.170000000006</v>
      </c>
      <c r="Q113" s="50">
        <v>50700.79</v>
      </c>
      <c r="R113" s="65">
        <v>0</v>
      </c>
      <c r="S113" s="65">
        <v>642.47</v>
      </c>
      <c r="T113" s="65">
        <v>1375.3800000000047</v>
      </c>
      <c r="U113" s="65">
        <v>0</v>
      </c>
      <c r="V113" s="65">
        <v>0</v>
      </c>
      <c r="W113" s="65">
        <v>0</v>
      </c>
      <c r="X113" s="65">
        <v>50058</v>
      </c>
      <c r="Y113" s="65">
        <v>0</v>
      </c>
      <c r="Z113" s="65">
        <v>0</v>
      </c>
      <c r="AA113" s="51">
        <v>0</v>
      </c>
      <c r="AB113" s="102">
        <v>0</v>
      </c>
      <c r="AC113" s="81">
        <f t="shared" si="6"/>
        <v>0</v>
      </c>
      <c r="AD113" s="82">
        <f t="shared" si="7"/>
        <v>0</v>
      </c>
      <c r="AE113" s="218">
        <v>-2.7127387955887958E-2</v>
      </c>
      <c r="AF113">
        <v>16</v>
      </c>
      <c r="AH113" t="str">
        <f t="shared" si="5"/>
        <v>Asarganj</v>
      </c>
      <c r="AJ113" s="72">
        <v>0</v>
      </c>
      <c r="AK113" s="72"/>
      <c r="AL113" s="72"/>
      <c r="AM113" s="72"/>
    </row>
    <row r="114" spans="1:39" x14ac:dyDescent="0.25">
      <c r="A114" s="37" t="s">
        <v>62</v>
      </c>
      <c r="B114" s="66" t="s">
        <v>1596</v>
      </c>
      <c r="C114" s="47">
        <v>1003</v>
      </c>
      <c r="D114" s="47" t="s">
        <v>137</v>
      </c>
      <c r="E114" s="41">
        <v>10030038</v>
      </c>
      <c r="F114" s="46" t="s">
        <v>161</v>
      </c>
      <c r="G114" s="39" t="s">
        <v>92</v>
      </c>
      <c r="H114" s="48" t="s">
        <v>93</v>
      </c>
      <c r="I114" s="52">
        <v>610.29999999999995</v>
      </c>
      <c r="J114" s="49">
        <v>25564.979999999996</v>
      </c>
      <c r="K114" s="65">
        <v>628.3399999999998</v>
      </c>
      <c r="L114" s="65">
        <v>30702.09</v>
      </c>
      <c r="M114" s="65">
        <v>0</v>
      </c>
      <c r="N114" s="65">
        <v>0</v>
      </c>
      <c r="O114" s="65">
        <v>628.3399999999998</v>
      </c>
      <c r="P114" s="65">
        <v>30702.09</v>
      </c>
      <c r="Q114" s="50">
        <v>25564.979999999996</v>
      </c>
      <c r="R114" s="65">
        <v>0</v>
      </c>
      <c r="S114" s="65">
        <v>0</v>
      </c>
      <c r="T114" s="65">
        <v>5137.1100000000042</v>
      </c>
      <c r="U114" s="65">
        <v>0</v>
      </c>
      <c r="V114" s="65">
        <v>0</v>
      </c>
      <c r="W114" s="65">
        <v>0</v>
      </c>
      <c r="X114" s="65">
        <v>25565</v>
      </c>
      <c r="Y114" s="65">
        <v>0</v>
      </c>
      <c r="Z114" s="65">
        <v>0</v>
      </c>
      <c r="AA114" s="51">
        <v>0</v>
      </c>
      <c r="AB114" s="102">
        <v>0</v>
      </c>
      <c r="AC114" s="81">
        <f t="shared" si="6"/>
        <v>75.149228445027035</v>
      </c>
      <c r="AD114" s="82">
        <f t="shared" si="7"/>
        <v>87.185714285714283</v>
      </c>
      <c r="AE114" s="218">
        <v>-0.20094324345256695</v>
      </c>
      <c r="AF114">
        <v>18</v>
      </c>
      <c r="AH114" t="str">
        <f t="shared" si="5"/>
        <v>Asarganj</v>
      </c>
      <c r="AJ114" s="72">
        <v>0</v>
      </c>
      <c r="AK114" s="72"/>
      <c r="AL114" s="72"/>
      <c r="AM114" s="72"/>
    </row>
    <row r="115" spans="1:39" x14ac:dyDescent="0.25">
      <c r="A115" s="37" t="s">
        <v>62</v>
      </c>
      <c r="B115" s="66" t="s">
        <v>1596</v>
      </c>
      <c r="C115" s="47">
        <v>1003</v>
      </c>
      <c r="D115" s="47" t="s">
        <v>137</v>
      </c>
      <c r="E115" s="41">
        <v>10030040</v>
      </c>
      <c r="F115" s="46" t="s">
        <v>162</v>
      </c>
      <c r="G115" s="39" t="s">
        <v>617</v>
      </c>
      <c r="H115" s="48" t="s">
        <v>98</v>
      </c>
      <c r="I115" s="52">
        <v>361.05</v>
      </c>
      <c r="J115" s="49">
        <v>16298.600000000002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50">
        <v>16298.600000000002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0</v>
      </c>
      <c r="Z115" s="65">
        <v>16298.600000000002</v>
      </c>
      <c r="AA115" s="51">
        <v>0</v>
      </c>
      <c r="AB115" s="102">
        <v>0</v>
      </c>
      <c r="AC115" s="81">
        <f t="shared" si="6"/>
        <v>306.01913696163967</v>
      </c>
      <c r="AD115" s="82">
        <f t="shared" si="7"/>
        <v>51.578571428571429</v>
      </c>
      <c r="AE115" s="218">
        <v>0</v>
      </c>
      <c r="AF115">
        <v>0</v>
      </c>
      <c r="AH115" t="str">
        <f t="shared" si="5"/>
        <v>Asarganj</v>
      </c>
      <c r="AJ115" s="72">
        <v>0</v>
      </c>
      <c r="AK115" s="72"/>
      <c r="AL115" s="72"/>
      <c r="AM115" s="72"/>
    </row>
    <row r="116" spans="1:39" x14ac:dyDescent="0.25">
      <c r="A116" s="37" t="s">
        <v>62</v>
      </c>
      <c r="B116" s="66" t="s">
        <v>1596</v>
      </c>
      <c r="C116" s="47">
        <v>1003</v>
      </c>
      <c r="D116" s="47" t="s">
        <v>137</v>
      </c>
      <c r="E116" s="41">
        <v>10030041</v>
      </c>
      <c r="F116" s="46" t="s">
        <v>163</v>
      </c>
      <c r="G116" s="39" t="s">
        <v>617</v>
      </c>
      <c r="H116" s="48" t="s">
        <v>98</v>
      </c>
      <c r="I116" s="52">
        <v>1133.3000000000002</v>
      </c>
      <c r="J116" s="49">
        <v>45078.51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50">
        <v>45078.51</v>
      </c>
      <c r="R116" s="65">
        <v>0</v>
      </c>
      <c r="S116" s="65">
        <v>0</v>
      </c>
      <c r="T116" s="65">
        <v>0</v>
      </c>
      <c r="U116" s="65">
        <v>0</v>
      </c>
      <c r="V116" s="65">
        <v>0</v>
      </c>
      <c r="W116" s="65">
        <v>0</v>
      </c>
      <c r="X116" s="65">
        <v>0</v>
      </c>
      <c r="Y116" s="65">
        <v>0</v>
      </c>
      <c r="Z116" s="65">
        <v>45078.51</v>
      </c>
      <c r="AA116" s="51">
        <v>0</v>
      </c>
      <c r="AB116" s="102">
        <v>0</v>
      </c>
      <c r="AC116" s="81">
        <f t="shared" si="6"/>
        <v>0</v>
      </c>
      <c r="AD116" s="82">
        <f t="shared" si="7"/>
        <v>0</v>
      </c>
      <c r="AE116" s="218">
        <v>0</v>
      </c>
      <c r="AF116">
        <v>0</v>
      </c>
      <c r="AH116" t="str">
        <f t="shared" si="5"/>
        <v>Asarganj</v>
      </c>
      <c r="AJ116" s="72">
        <v>0</v>
      </c>
      <c r="AK116" s="72"/>
      <c r="AL116" s="72"/>
      <c r="AM116" s="72"/>
    </row>
    <row r="117" spans="1:39" x14ac:dyDescent="0.25">
      <c r="A117" s="37" t="s">
        <v>62</v>
      </c>
      <c r="B117" s="66" t="s">
        <v>1596</v>
      </c>
      <c r="C117" s="47">
        <v>1003</v>
      </c>
      <c r="D117" s="47" t="s">
        <v>137</v>
      </c>
      <c r="E117" s="41">
        <v>10030043</v>
      </c>
      <c r="F117" s="46" t="s">
        <v>165</v>
      </c>
      <c r="G117" s="39" t="s">
        <v>617</v>
      </c>
      <c r="H117" s="48" t="s">
        <v>98</v>
      </c>
      <c r="I117" s="52">
        <v>7653.1</v>
      </c>
      <c r="J117" s="49">
        <v>306405.48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50">
        <v>306405.48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306405.48</v>
      </c>
      <c r="AA117" s="51">
        <v>0</v>
      </c>
      <c r="AB117" s="102">
        <v>0</v>
      </c>
      <c r="AC117" s="81">
        <f t="shared" si="6"/>
        <v>0</v>
      </c>
      <c r="AD117" s="82">
        <f t="shared" si="7"/>
        <v>0</v>
      </c>
      <c r="AE117" s="218">
        <v>0</v>
      </c>
      <c r="AF117">
        <v>0</v>
      </c>
      <c r="AH117" t="str">
        <f t="shared" si="5"/>
        <v>Asarganj</v>
      </c>
      <c r="AJ117" s="72">
        <v>0</v>
      </c>
      <c r="AK117" s="72"/>
      <c r="AL117" s="72"/>
      <c r="AM117" s="72"/>
    </row>
    <row r="118" spans="1:39" x14ac:dyDescent="0.25">
      <c r="A118" s="37" t="s">
        <v>62</v>
      </c>
      <c r="B118" s="66" t="s">
        <v>1596</v>
      </c>
      <c r="C118" s="47">
        <v>1003</v>
      </c>
      <c r="D118" s="47" t="s">
        <v>137</v>
      </c>
      <c r="E118" s="41">
        <v>10030044</v>
      </c>
      <c r="F118" s="46" t="s">
        <v>166</v>
      </c>
      <c r="G118" s="39" t="s">
        <v>617</v>
      </c>
      <c r="H118" s="48" t="s">
        <v>98</v>
      </c>
      <c r="I118" s="52">
        <v>7112.6</v>
      </c>
      <c r="J118" s="49">
        <v>285066.53999999998</v>
      </c>
      <c r="K118" s="65">
        <v>0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50">
        <v>285066.53999999998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0</v>
      </c>
      <c r="X118" s="65">
        <v>0</v>
      </c>
      <c r="Y118" s="65">
        <v>0</v>
      </c>
      <c r="Z118" s="65">
        <v>285066.53999999998</v>
      </c>
      <c r="AA118" s="51">
        <v>0</v>
      </c>
      <c r="AB118" s="102">
        <v>0</v>
      </c>
      <c r="AC118" s="81">
        <f t="shared" si="6"/>
        <v>0</v>
      </c>
      <c r="AD118" s="82">
        <f t="shared" si="7"/>
        <v>0</v>
      </c>
      <c r="AE118" s="218">
        <v>0</v>
      </c>
      <c r="AF118">
        <v>0</v>
      </c>
      <c r="AH118" t="str">
        <f t="shared" si="5"/>
        <v>Asarganj</v>
      </c>
      <c r="AJ118" s="72">
        <v>0</v>
      </c>
      <c r="AK118" s="72"/>
      <c r="AL118" s="72"/>
      <c r="AM118" s="72"/>
    </row>
    <row r="119" spans="1:39" x14ac:dyDescent="0.25">
      <c r="A119" s="37" t="s">
        <v>62</v>
      </c>
      <c r="B119" s="66" t="s">
        <v>1596</v>
      </c>
      <c r="C119" s="47">
        <v>1003</v>
      </c>
      <c r="D119" s="47" t="s">
        <v>137</v>
      </c>
      <c r="E119" s="41">
        <v>10030045</v>
      </c>
      <c r="F119" s="46" t="s">
        <v>167</v>
      </c>
      <c r="G119" s="39" t="s">
        <v>617</v>
      </c>
      <c r="H119" s="48" t="s">
        <v>98</v>
      </c>
      <c r="I119" s="52">
        <v>230.9</v>
      </c>
      <c r="J119" s="49">
        <v>9137.58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50">
        <v>9137.58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0</v>
      </c>
      <c r="Z119" s="65">
        <v>9137.58</v>
      </c>
      <c r="AA119" s="51">
        <v>0</v>
      </c>
      <c r="AB119" s="102">
        <v>0</v>
      </c>
      <c r="AC119" s="81">
        <f t="shared" si="6"/>
        <v>371.28096821134687</v>
      </c>
      <c r="AD119" s="82">
        <f t="shared" si="7"/>
        <v>32.985714285714288</v>
      </c>
      <c r="AE119" s="218">
        <v>0</v>
      </c>
      <c r="AF119">
        <v>0</v>
      </c>
      <c r="AH119" t="str">
        <f t="shared" si="5"/>
        <v>Asarganj</v>
      </c>
      <c r="AJ119" s="72">
        <v>0</v>
      </c>
      <c r="AK119" s="72"/>
      <c r="AL119" s="72"/>
      <c r="AM119" s="72"/>
    </row>
    <row r="120" spans="1:39" x14ac:dyDescent="0.25">
      <c r="A120" s="37" t="s">
        <v>62</v>
      </c>
      <c r="B120" s="66" t="s">
        <v>1596</v>
      </c>
      <c r="C120" s="47">
        <v>1003</v>
      </c>
      <c r="D120" s="47" t="s">
        <v>137</v>
      </c>
      <c r="E120" s="41">
        <v>10030046</v>
      </c>
      <c r="F120" s="46" t="s">
        <v>168</v>
      </c>
      <c r="G120" s="39" t="s">
        <v>617</v>
      </c>
      <c r="H120" s="48" t="s">
        <v>98</v>
      </c>
      <c r="I120" s="52">
        <v>118.05</v>
      </c>
      <c r="J120" s="49">
        <v>4791.6499999999996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50">
        <v>4791.6499999999996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4791.6499999999996</v>
      </c>
      <c r="AA120" s="51">
        <v>0</v>
      </c>
      <c r="AB120" s="102">
        <v>0</v>
      </c>
      <c r="AC120" s="81">
        <f t="shared" si="6"/>
        <v>472.42705929690811</v>
      </c>
      <c r="AD120" s="82">
        <f t="shared" si="7"/>
        <v>16.864285714285714</v>
      </c>
      <c r="AE120" s="218">
        <v>0</v>
      </c>
      <c r="AF120">
        <v>0</v>
      </c>
      <c r="AH120" t="str">
        <f t="shared" si="5"/>
        <v>Asarganj</v>
      </c>
      <c r="AJ120" s="72">
        <v>0</v>
      </c>
      <c r="AK120" s="72"/>
      <c r="AL120" s="72"/>
      <c r="AM120" s="72"/>
    </row>
    <row r="121" spans="1:39" x14ac:dyDescent="0.25">
      <c r="A121" s="37" t="s">
        <v>62</v>
      </c>
      <c r="B121" s="66" t="s">
        <v>1596</v>
      </c>
      <c r="C121" s="47">
        <v>1003</v>
      </c>
      <c r="D121" s="47" t="s">
        <v>137</v>
      </c>
      <c r="E121" s="41">
        <v>10030050</v>
      </c>
      <c r="F121" s="46" t="s">
        <v>171</v>
      </c>
      <c r="G121" s="39" t="s">
        <v>92</v>
      </c>
      <c r="H121" s="48" t="s">
        <v>93</v>
      </c>
      <c r="I121" s="52">
        <v>663.65</v>
      </c>
      <c r="J121" s="49">
        <v>24049.260000000006</v>
      </c>
      <c r="K121" s="65">
        <v>691.0200000000001</v>
      </c>
      <c r="L121" s="65">
        <v>28888.569999999996</v>
      </c>
      <c r="M121" s="65">
        <v>2.5600000000000005</v>
      </c>
      <c r="N121" s="65">
        <v>99.78</v>
      </c>
      <c r="O121" s="65">
        <v>693.58</v>
      </c>
      <c r="P121" s="65">
        <v>28988.349999999995</v>
      </c>
      <c r="Q121" s="50">
        <v>24049.260000000006</v>
      </c>
      <c r="R121" s="65">
        <v>0</v>
      </c>
      <c r="S121" s="65">
        <v>99.78</v>
      </c>
      <c r="T121" s="65">
        <v>4939.0899999999892</v>
      </c>
      <c r="U121" s="65">
        <v>0</v>
      </c>
      <c r="V121" s="65">
        <v>0</v>
      </c>
      <c r="W121" s="65">
        <v>0</v>
      </c>
      <c r="X121" s="65">
        <v>23949</v>
      </c>
      <c r="Y121" s="65">
        <v>0</v>
      </c>
      <c r="Z121" s="65">
        <v>0</v>
      </c>
      <c r="AA121" s="51">
        <v>0</v>
      </c>
      <c r="AB121" s="102">
        <v>0</v>
      </c>
      <c r="AC121" s="81">
        <f t="shared" si="6"/>
        <v>26.344928832969231</v>
      </c>
      <c r="AD121" s="82">
        <f t="shared" si="7"/>
        <v>94.80714285714285</v>
      </c>
      <c r="AE121" s="218">
        <v>-0.20537388676408289</v>
      </c>
      <c r="AF121">
        <v>10</v>
      </c>
      <c r="AH121" t="str">
        <f t="shared" si="5"/>
        <v>Asarganj</v>
      </c>
      <c r="AJ121" s="72">
        <v>0</v>
      </c>
      <c r="AK121" s="72"/>
      <c r="AL121" s="72"/>
      <c r="AM121" s="72"/>
    </row>
    <row r="122" spans="1:39" x14ac:dyDescent="0.25">
      <c r="A122" s="37" t="s">
        <v>62</v>
      </c>
      <c r="B122" s="66" t="s">
        <v>1596</v>
      </c>
      <c r="C122" s="47">
        <v>1003</v>
      </c>
      <c r="D122" s="47" t="s">
        <v>137</v>
      </c>
      <c r="E122" s="41">
        <v>10030051</v>
      </c>
      <c r="F122" s="46" t="s">
        <v>172</v>
      </c>
      <c r="G122" s="39" t="s">
        <v>92</v>
      </c>
      <c r="H122" s="48" t="s">
        <v>93</v>
      </c>
      <c r="I122" s="52">
        <v>3699.4</v>
      </c>
      <c r="J122" s="49">
        <v>136394.77000000002</v>
      </c>
      <c r="K122" s="65">
        <v>3552.7200000000003</v>
      </c>
      <c r="L122" s="65">
        <v>134502.26999999999</v>
      </c>
      <c r="M122" s="65">
        <v>53.980000000000004</v>
      </c>
      <c r="N122" s="65">
        <v>1991.7299999999998</v>
      </c>
      <c r="O122" s="65">
        <v>3606.7000000000003</v>
      </c>
      <c r="P122" s="65">
        <v>136494</v>
      </c>
      <c r="Q122" s="50">
        <v>136394.77000000002</v>
      </c>
      <c r="R122" s="65">
        <v>0</v>
      </c>
      <c r="S122" s="65">
        <v>1991.7299999999998</v>
      </c>
      <c r="T122" s="65">
        <v>99.229999999981374</v>
      </c>
      <c r="U122" s="65">
        <v>0</v>
      </c>
      <c r="V122" s="65">
        <v>0</v>
      </c>
      <c r="W122" s="65">
        <v>0</v>
      </c>
      <c r="X122" s="65">
        <v>134403</v>
      </c>
      <c r="Y122" s="65">
        <v>0</v>
      </c>
      <c r="Z122" s="65">
        <v>0</v>
      </c>
      <c r="AA122" s="51">
        <v>0</v>
      </c>
      <c r="AB122" s="102">
        <v>0</v>
      </c>
      <c r="AC122" s="81">
        <f t="shared" si="6"/>
        <v>0</v>
      </c>
      <c r="AD122" s="82">
        <f t="shared" si="7"/>
        <v>0</v>
      </c>
      <c r="AE122" s="218">
        <v>-7.2752056402148972E-4</v>
      </c>
      <c r="AF122">
        <v>7</v>
      </c>
      <c r="AH122" t="str">
        <f t="shared" si="5"/>
        <v>Asarganj</v>
      </c>
      <c r="AJ122" s="72">
        <v>0</v>
      </c>
      <c r="AK122" s="72"/>
      <c r="AL122" s="72"/>
      <c r="AM122" s="72"/>
    </row>
    <row r="123" spans="1:39" x14ac:dyDescent="0.25">
      <c r="A123" s="37" t="s">
        <v>62</v>
      </c>
      <c r="B123" s="66" t="s">
        <v>1596</v>
      </c>
      <c r="C123" s="47">
        <v>1003</v>
      </c>
      <c r="D123" s="47" t="s">
        <v>137</v>
      </c>
      <c r="E123" s="41">
        <v>10030053</v>
      </c>
      <c r="F123" s="46" t="s">
        <v>173</v>
      </c>
      <c r="G123" s="39" t="s">
        <v>92</v>
      </c>
      <c r="H123" s="48" t="s">
        <v>93</v>
      </c>
      <c r="I123" s="52">
        <v>288.5</v>
      </c>
      <c r="J123" s="49">
        <v>11361.8</v>
      </c>
      <c r="K123" s="65">
        <v>286.39999999999998</v>
      </c>
      <c r="L123" s="65">
        <v>10651.74</v>
      </c>
      <c r="M123" s="65">
        <v>3.25</v>
      </c>
      <c r="N123" s="65">
        <v>121.96999999999998</v>
      </c>
      <c r="O123" s="65">
        <v>289.64999999999998</v>
      </c>
      <c r="P123" s="65">
        <v>10773.71</v>
      </c>
      <c r="Q123" s="50">
        <v>10773.71</v>
      </c>
      <c r="R123" s="65">
        <v>0</v>
      </c>
      <c r="S123" s="65">
        <v>121.96999999999998</v>
      </c>
      <c r="T123" s="65">
        <v>0</v>
      </c>
      <c r="U123" s="65">
        <v>0</v>
      </c>
      <c r="V123" s="65">
        <v>0</v>
      </c>
      <c r="W123" s="65">
        <v>0</v>
      </c>
      <c r="X123" s="65">
        <v>10652</v>
      </c>
      <c r="Y123" s="65">
        <v>0</v>
      </c>
      <c r="Z123" s="65">
        <v>0</v>
      </c>
      <c r="AA123" s="51">
        <v>588</v>
      </c>
      <c r="AB123" s="102">
        <v>0</v>
      </c>
      <c r="AC123" s="81">
        <f t="shared" si="6"/>
        <v>324.1165129982669</v>
      </c>
      <c r="AD123" s="82">
        <f t="shared" si="7"/>
        <v>41.214285714285715</v>
      </c>
      <c r="AE123" s="218">
        <v>5.1760284461969071E-2</v>
      </c>
      <c r="AF123">
        <v>8</v>
      </c>
      <c r="AH123" t="str">
        <f t="shared" si="5"/>
        <v>Asarganj</v>
      </c>
      <c r="AJ123" s="72">
        <v>0</v>
      </c>
      <c r="AK123" s="72"/>
      <c r="AL123" s="72"/>
      <c r="AM123" s="72"/>
    </row>
    <row r="124" spans="1:39" x14ac:dyDescent="0.25">
      <c r="A124" s="37" t="s">
        <v>62</v>
      </c>
      <c r="B124" s="66" t="s">
        <v>1596</v>
      </c>
      <c r="C124" s="47">
        <v>1003</v>
      </c>
      <c r="D124" s="47" t="s">
        <v>137</v>
      </c>
      <c r="E124" s="41">
        <v>10030055</v>
      </c>
      <c r="F124" s="46" t="s">
        <v>174</v>
      </c>
      <c r="G124" s="39" t="s">
        <v>92</v>
      </c>
      <c r="H124" s="48" t="s">
        <v>93</v>
      </c>
      <c r="I124" s="52">
        <v>238.45000000000002</v>
      </c>
      <c r="J124" s="49">
        <v>9890.1299999999992</v>
      </c>
      <c r="K124" s="65">
        <v>242.08999999999995</v>
      </c>
      <c r="L124" s="65">
        <v>10345.450000000001</v>
      </c>
      <c r="M124" s="65">
        <v>0.7</v>
      </c>
      <c r="N124" s="65">
        <v>30.379999999999995</v>
      </c>
      <c r="O124" s="65">
        <v>242.78999999999994</v>
      </c>
      <c r="P124" s="65">
        <v>10375.83</v>
      </c>
      <c r="Q124" s="50">
        <v>9890.1299999999992</v>
      </c>
      <c r="R124" s="65">
        <v>0</v>
      </c>
      <c r="S124" s="65">
        <v>30.379999999999995</v>
      </c>
      <c r="T124" s="65">
        <v>485.70000000000073</v>
      </c>
      <c r="U124" s="65">
        <v>0</v>
      </c>
      <c r="V124" s="65">
        <v>0</v>
      </c>
      <c r="W124" s="65">
        <v>0</v>
      </c>
      <c r="X124" s="65">
        <v>9860</v>
      </c>
      <c r="Y124" s="65">
        <v>0</v>
      </c>
      <c r="Z124" s="65">
        <v>0</v>
      </c>
      <c r="AA124" s="51">
        <v>0</v>
      </c>
      <c r="AB124" s="102" t="s">
        <v>1366</v>
      </c>
      <c r="AC124" s="81">
        <f t="shared" si="6"/>
        <v>382.87183908576219</v>
      </c>
      <c r="AD124" s="82">
        <f t="shared" si="7"/>
        <v>34.064285714285717</v>
      </c>
      <c r="AE124" s="218">
        <v>-4.910956681054756E-2</v>
      </c>
      <c r="AF124">
        <v>5</v>
      </c>
      <c r="AH124" t="str">
        <f t="shared" si="5"/>
        <v>Asarganj</v>
      </c>
      <c r="AJ124" s="72">
        <v>0</v>
      </c>
      <c r="AK124" s="72"/>
      <c r="AL124" s="72"/>
      <c r="AM124" s="72"/>
    </row>
    <row r="125" spans="1:39" x14ac:dyDescent="0.25">
      <c r="A125" s="37" t="s">
        <v>62</v>
      </c>
      <c r="B125" s="66" t="s">
        <v>1596</v>
      </c>
      <c r="C125" s="47">
        <v>1003</v>
      </c>
      <c r="D125" s="47" t="s">
        <v>137</v>
      </c>
      <c r="E125" s="41">
        <v>10030056</v>
      </c>
      <c r="F125" s="46" t="s">
        <v>175</v>
      </c>
      <c r="G125" s="39" t="s">
        <v>92</v>
      </c>
      <c r="H125" s="48" t="s">
        <v>93</v>
      </c>
      <c r="I125" s="52">
        <v>152.59999999999997</v>
      </c>
      <c r="J125" s="49">
        <v>5413.7300000000005</v>
      </c>
      <c r="K125" s="65">
        <v>240</v>
      </c>
      <c r="L125" s="65">
        <v>13541.2</v>
      </c>
      <c r="M125" s="65">
        <v>0</v>
      </c>
      <c r="N125" s="65">
        <v>0</v>
      </c>
      <c r="O125" s="65">
        <v>240</v>
      </c>
      <c r="P125" s="65">
        <v>13541.2</v>
      </c>
      <c r="Q125" s="50">
        <v>5413.7300000000005</v>
      </c>
      <c r="R125" s="65">
        <v>0</v>
      </c>
      <c r="S125" s="65">
        <v>0</v>
      </c>
      <c r="T125" s="65">
        <v>8127.47</v>
      </c>
      <c r="U125" s="65">
        <v>0</v>
      </c>
      <c r="V125" s="65">
        <v>0</v>
      </c>
      <c r="W125" s="65">
        <v>0</v>
      </c>
      <c r="X125" s="65">
        <v>5414</v>
      </c>
      <c r="Y125" s="65">
        <v>0</v>
      </c>
      <c r="Z125" s="65">
        <v>0</v>
      </c>
      <c r="AA125" s="51">
        <v>0</v>
      </c>
      <c r="AB125" s="102" t="s">
        <v>1366</v>
      </c>
      <c r="AC125" s="81">
        <f t="shared" si="6"/>
        <v>388.39787706422032</v>
      </c>
      <c r="AD125" s="82">
        <f t="shared" si="7"/>
        <v>21.799999999999994</v>
      </c>
      <c r="AE125" s="218">
        <v>-1.5012699192608423</v>
      </c>
      <c r="AF125">
        <v>2</v>
      </c>
      <c r="AH125" t="str">
        <f t="shared" si="5"/>
        <v>Asarganj</v>
      </c>
      <c r="AJ125" s="72">
        <v>0</v>
      </c>
      <c r="AK125" s="72"/>
      <c r="AL125" s="72"/>
      <c r="AM125" s="72"/>
    </row>
    <row r="126" spans="1:39" x14ac:dyDescent="0.25">
      <c r="A126" s="37" t="s">
        <v>62</v>
      </c>
      <c r="B126" s="66" t="s">
        <v>1596</v>
      </c>
      <c r="C126" s="47">
        <v>1003</v>
      </c>
      <c r="D126" s="47" t="s">
        <v>137</v>
      </c>
      <c r="E126" s="41">
        <v>10030059</v>
      </c>
      <c r="F126" s="46" t="s">
        <v>176</v>
      </c>
      <c r="G126" s="39" t="s">
        <v>92</v>
      </c>
      <c r="H126" s="48" t="s">
        <v>93</v>
      </c>
      <c r="I126" s="52">
        <v>675.25</v>
      </c>
      <c r="J126" s="49">
        <v>29796.170000000002</v>
      </c>
      <c r="K126" s="65">
        <v>665.18</v>
      </c>
      <c r="L126" s="65">
        <v>32106</v>
      </c>
      <c r="M126" s="65">
        <v>0</v>
      </c>
      <c r="N126" s="65">
        <v>0</v>
      </c>
      <c r="O126" s="65">
        <v>665.18</v>
      </c>
      <c r="P126" s="65">
        <v>32106</v>
      </c>
      <c r="Q126" s="50">
        <v>29796.170000000002</v>
      </c>
      <c r="R126" s="65">
        <v>0</v>
      </c>
      <c r="S126" s="65">
        <v>0</v>
      </c>
      <c r="T126" s="65">
        <v>2309.8299999999981</v>
      </c>
      <c r="U126" s="65">
        <v>0</v>
      </c>
      <c r="V126" s="65">
        <v>0</v>
      </c>
      <c r="W126" s="65">
        <v>0</v>
      </c>
      <c r="X126" s="65">
        <v>29796</v>
      </c>
      <c r="Y126" s="65">
        <v>0</v>
      </c>
      <c r="Z126" s="65">
        <v>0</v>
      </c>
      <c r="AA126" s="51">
        <v>0</v>
      </c>
      <c r="AB126" s="102">
        <v>0</v>
      </c>
      <c r="AC126" s="81">
        <f t="shared" si="6"/>
        <v>21.8424348759719</v>
      </c>
      <c r="AD126" s="82">
        <f t="shared" si="7"/>
        <v>96.464285714285708</v>
      </c>
      <c r="AE126" s="218">
        <v>-7.7521037099734569E-2</v>
      </c>
      <c r="AF126">
        <v>11</v>
      </c>
      <c r="AH126" t="str">
        <f t="shared" si="5"/>
        <v>Asarganj</v>
      </c>
      <c r="AJ126" s="72">
        <v>0</v>
      </c>
      <c r="AK126" s="72"/>
      <c r="AL126" s="72"/>
      <c r="AM126" s="72"/>
    </row>
    <row r="127" spans="1:39" x14ac:dyDescent="0.25">
      <c r="A127" s="37" t="s">
        <v>62</v>
      </c>
      <c r="B127" s="66" t="s">
        <v>1596</v>
      </c>
      <c r="C127" s="47">
        <v>1003</v>
      </c>
      <c r="D127" s="47" t="s">
        <v>137</v>
      </c>
      <c r="E127" s="41">
        <v>10030060</v>
      </c>
      <c r="F127" s="46" t="s">
        <v>177</v>
      </c>
      <c r="G127" s="39" t="s">
        <v>92</v>
      </c>
      <c r="H127" s="48" t="s">
        <v>93</v>
      </c>
      <c r="I127" s="52">
        <v>700.6</v>
      </c>
      <c r="J127" s="49">
        <v>25663.790000000005</v>
      </c>
      <c r="K127" s="65">
        <v>700.5</v>
      </c>
      <c r="L127" s="65">
        <v>25660.130000000005</v>
      </c>
      <c r="M127" s="65">
        <v>7</v>
      </c>
      <c r="N127" s="65">
        <v>256.99</v>
      </c>
      <c r="O127" s="65">
        <v>707.5</v>
      </c>
      <c r="P127" s="65">
        <v>25917.120000000006</v>
      </c>
      <c r="Q127" s="50">
        <v>25663.790000000005</v>
      </c>
      <c r="R127" s="65">
        <v>0</v>
      </c>
      <c r="S127" s="65">
        <v>256.99</v>
      </c>
      <c r="T127" s="65">
        <v>253.33000000000175</v>
      </c>
      <c r="U127" s="65">
        <v>0</v>
      </c>
      <c r="V127" s="65">
        <v>0</v>
      </c>
      <c r="W127" s="65">
        <v>0</v>
      </c>
      <c r="X127" s="65">
        <v>25407</v>
      </c>
      <c r="Y127" s="65">
        <v>0</v>
      </c>
      <c r="Z127" s="65">
        <v>0</v>
      </c>
      <c r="AA127" s="51">
        <v>0</v>
      </c>
      <c r="AB127" s="102">
        <v>0</v>
      </c>
      <c r="AC127" s="81">
        <f t="shared" si="6"/>
        <v>0</v>
      </c>
      <c r="AD127" s="82">
        <f t="shared" si="7"/>
        <v>0</v>
      </c>
      <c r="AE127" s="218">
        <v>-9.8711063330864882E-3</v>
      </c>
      <c r="AF127">
        <v>2</v>
      </c>
      <c r="AH127" t="str">
        <f t="shared" si="5"/>
        <v>Asarganj</v>
      </c>
      <c r="AJ127" s="72">
        <v>0</v>
      </c>
      <c r="AK127" s="72"/>
      <c r="AL127" s="72"/>
      <c r="AM127" s="72"/>
    </row>
    <row r="128" spans="1:39" x14ac:dyDescent="0.25">
      <c r="A128" s="37" t="s">
        <v>62</v>
      </c>
      <c r="B128" s="66" t="s">
        <v>1596</v>
      </c>
      <c r="C128" s="47">
        <v>1003</v>
      </c>
      <c r="D128" s="47" t="s">
        <v>137</v>
      </c>
      <c r="E128" s="41">
        <v>10030061</v>
      </c>
      <c r="F128" s="46" t="s">
        <v>178</v>
      </c>
      <c r="G128" s="39" t="s">
        <v>92</v>
      </c>
      <c r="H128" s="48" t="s">
        <v>93</v>
      </c>
      <c r="I128" s="52">
        <v>375.44999999999993</v>
      </c>
      <c r="J128" s="49">
        <v>14025.57</v>
      </c>
      <c r="K128" s="65">
        <v>367.06</v>
      </c>
      <c r="L128" s="65">
        <v>13618.78</v>
      </c>
      <c r="M128" s="65">
        <v>10.08</v>
      </c>
      <c r="N128" s="65">
        <v>377.19</v>
      </c>
      <c r="O128" s="65">
        <v>377.14</v>
      </c>
      <c r="P128" s="65">
        <v>13995.970000000001</v>
      </c>
      <c r="Q128" s="50">
        <v>13995.970000000001</v>
      </c>
      <c r="R128" s="65">
        <v>0</v>
      </c>
      <c r="S128" s="65">
        <v>377.19</v>
      </c>
      <c r="T128" s="65">
        <v>0</v>
      </c>
      <c r="U128" s="65">
        <v>0</v>
      </c>
      <c r="V128" s="65">
        <v>0</v>
      </c>
      <c r="W128" s="65">
        <v>0</v>
      </c>
      <c r="X128" s="65">
        <v>13620</v>
      </c>
      <c r="Y128" s="65">
        <v>0</v>
      </c>
      <c r="Z128" s="65">
        <v>0</v>
      </c>
      <c r="AA128" s="51">
        <v>28</v>
      </c>
      <c r="AB128" s="102">
        <v>0</v>
      </c>
      <c r="AC128" s="81">
        <f t="shared" si="6"/>
        <v>242.48228757491023</v>
      </c>
      <c r="AD128" s="82">
        <f t="shared" si="7"/>
        <v>53.635714285714279</v>
      </c>
      <c r="AE128" s="218">
        <v>2.1104311625123645E-3</v>
      </c>
      <c r="AF128">
        <v>9</v>
      </c>
      <c r="AH128" t="str">
        <f t="shared" si="5"/>
        <v>Asarganj</v>
      </c>
      <c r="AJ128" s="72">
        <v>0</v>
      </c>
      <c r="AK128" s="72"/>
      <c r="AL128" s="72"/>
      <c r="AM128" s="72"/>
    </row>
    <row r="129" spans="1:39" x14ac:dyDescent="0.25">
      <c r="A129" s="37" t="s">
        <v>62</v>
      </c>
      <c r="B129" s="66" t="s">
        <v>1596</v>
      </c>
      <c r="C129" s="47">
        <v>1003</v>
      </c>
      <c r="D129" s="47" t="s">
        <v>137</v>
      </c>
      <c r="E129" s="41">
        <v>10030063</v>
      </c>
      <c r="F129" s="46" t="s">
        <v>437</v>
      </c>
      <c r="G129" s="39" t="s">
        <v>92</v>
      </c>
      <c r="H129" s="48" t="s">
        <v>93</v>
      </c>
      <c r="I129" s="52">
        <v>1819.7500000000002</v>
      </c>
      <c r="J129" s="49">
        <v>73980.62000000001</v>
      </c>
      <c r="K129" s="65">
        <v>1788.7</v>
      </c>
      <c r="L129" s="65">
        <v>73175.320000000007</v>
      </c>
      <c r="M129" s="65">
        <v>8.9200000000000017</v>
      </c>
      <c r="N129" s="65">
        <v>351.06</v>
      </c>
      <c r="O129" s="65">
        <v>1797.6200000000001</v>
      </c>
      <c r="P129" s="65">
        <v>73526.38</v>
      </c>
      <c r="Q129" s="50">
        <v>73526.38</v>
      </c>
      <c r="R129" s="65">
        <v>0</v>
      </c>
      <c r="S129" s="65">
        <v>351.06</v>
      </c>
      <c r="T129" s="65">
        <v>0</v>
      </c>
      <c r="U129" s="65">
        <v>1000</v>
      </c>
      <c r="V129" s="65">
        <v>0</v>
      </c>
      <c r="W129" s="65">
        <v>0</v>
      </c>
      <c r="X129" s="65">
        <v>72175</v>
      </c>
      <c r="Y129" s="65">
        <v>0</v>
      </c>
      <c r="Z129" s="65">
        <v>0</v>
      </c>
      <c r="AA129" s="51">
        <v>455</v>
      </c>
      <c r="AB129" s="102">
        <v>0</v>
      </c>
      <c r="AC129" s="81">
        <f t="shared" si="6"/>
        <v>0</v>
      </c>
      <c r="AD129" s="82">
        <f t="shared" si="7"/>
        <v>0</v>
      </c>
      <c r="AE129" s="218">
        <v>6.1399863910305856E-3</v>
      </c>
      <c r="AF129">
        <v>8</v>
      </c>
      <c r="AH129" t="str">
        <f t="shared" si="5"/>
        <v>Asarganj</v>
      </c>
      <c r="AJ129" s="72">
        <v>0</v>
      </c>
      <c r="AK129" s="72"/>
      <c r="AL129" s="72"/>
      <c r="AM129" s="72"/>
    </row>
    <row r="130" spans="1:39" x14ac:dyDescent="0.25">
      <c r="A130" s="37" t="s">
        <v>62</v>
      </c>
      <c r="B130" s="66" t="s">
        <v>1596</v>
      </c>
      <c r="C130" s="47">
        <v>1003</v>
      </c>
      <c r="D130" s="47" t="s">
        <v>137</v>
      </c>
      <c r="E130" s="41">
        <v>10030064</v>
      </c>
      <c r="F130" s="46" t="s">
        <v>427</v>
      </c>
      <c r="G130" s="39" t="s">
        <v>92</v>
      </c>
      <c r="H130" s="48" t="s">
        <v>93</v>
      </c>
      <c r="I130" s="52">
        <v>1061.6499999999999</v>
      </c>
      <c r="J130" s="49">
        <v>42188.329999999994</v>
      </c>
      <c r="K130" s="65">
        <v>1082.5</v>
      </c>
      <c r="L130" s="65">
        <v>46870.889999999992</v>
      </c>
      <c r="M130" s="65">
        <v>0</v>
      </c>
      <c r="N130" s="65">
        <v>0</v>
      </c>
      <c r="O130" s="65">
        <v>1082.5</v>
      </c>
      <c r="P130" s="65">
        <v>46870.889999999992</v>
      </c>
      <c r="Q130" s="50">
        <v>42188.329999999994</v>
      </c>
      <c r="R130" s="65">
        <v>0</v>
      </c>
      <c r="S130" s="65">
        <v>0</v>
      </c>
      <c r="T130" s="65">
        <v>4682.5599999999977</v>
      </c>
      <c r="U130" s="65">
        <v>0</v>
      </c>
      <c r="V130" s="65">
        <v>0</v>
      </c>
      <c r="W130" s="65">
        <v>0</v>
      </c>
      <c r="X130" s="65">
        <v>42188</v>
      </c>
      <c r="Y130" s="65">
        <v>0</v>
      </c>
      <c r="Z130" s="65">
        <v>0</v>
      </c>
      <c r="AA130" s="51">
        <v>0</v>
      </c>
      <c r="AB130" s="102">
        <v>0</v>
      </c>
      <c r="AC130" s="81">
        <f t="shared" si="6"/>
        <v>0</v>
      </c>
      <c r="AD130" s="82">
        <f t="shared" si="7"/>
        <v>0</v>
      </c>
      <c r="AE130" s="218">
        <v>-0.11099183115330705</v>
      </c>
      <c r="AF130">
        <v>3</v>
      </c>
      <c r="AH130" t="str">
        <f t="shared" si="5"/>
        <v>Asarganj</v>
      </c>
      <c r="AJ130" s="72">
        <v>0</v>
      </c>
      <c r="AK130" s="72"/>
      <c r="AL130" s="72"/>
      <c r="AM130" s="72"/>
    </row>
    <row r="131" spans="1:39" x14ac:dyDescent="0.25">
      <c r="A131" s="37" t="s">
        <v>62</v>
      </c>
      <c r="B131" s="66" t="s">
        <v>1596</v>
      </c>
      <c r="C131" s="47">
        <v>1003</v>
      </c>
      <c r="D131" s="47" t="s">
        <v>137</v>
      </c>
      <c r="E131" s="41">
        <v>10030065</v>
      </c>
      <c r="F131" s="46" t="s">
        <v>470</v>
      </c>
      <c r="G131" s="39" t="s">
        <v>92</v>
      </c>
      <c r="H131" s="48" t="s">
        <v>93</v>
      </c>
      <c r="I131" s="52">
        <v>300.15000000000003</v>
      </c>
      <c r="J131" s="49">
        <v>11159.050000000001</v>
      </c>
      <c r="K131" s="65">
        <v>310.60000000000002</v>
      </c>
      <c r="L131" s="65">
        <v>10984.17</v>
      </c>
      <c r="M131" s="65">
        <v>4.379999999999999</v>
      </c>
      <c r="N131" s="65">
        <v>157.09000000000003</v>
      </c>
      <c r="O131" s="65">
        <v>314.98</v>
      </c>
      <c r="P131" s="65">
        <v>11141.26</v>
      </c>
      <c r="Q131" s="50">
        <v>11141.26</v>
      </c>
      <c r="R131" s="65">
        <v>0</v>
      </c>
      <c r="S131" s="65">
        <v>157.09000000000003</v>
      </c>
      <c r="T131" s="65">
        <v>0</v>
      </c>
      <c r="U131" s="103">
        <v>0</v>
      </c>
      <c r="V131" s="65">
        <v>500</v>
      </c>
      <c r="W131" s="65">
        <v>0</v>
      </c>
      <c r="X131" s="65">
        <v>10484</v>
      </c>
      <c r="Y131" s="65">
        <v>0</v>
      </c>
      <c r="Z131" s="65">
        <v>0</v>
      </c>
      <c r="AA131" s="51">
        <v>18</v>
      </c>
      <c r="AB131" s="102">
        <v>0</v>
      </c>
      <c r="AC131" s="81">
        <f t="shared" si="6"/>
        <v>297.31441895718808</v>
      </c>
      <c r="AD131" s="82">
        <f t="shared" si="7"/>
        <v>42.878571428571433</v>
      </c>
      <c r="AE131" s="218">
        <v>1.5942217303445071E-3</v>
      </c>
      <c r="AF131">
        <v>5</v>
      </c>
      <c r="AH131" t="str">
        <f t="shared" ref="AH131:AH194" si="8">TEXT(D131,"0000")</f>
        <v>Asarganj</v>
      </c>
      <c r="AJ131" s="72">
        <v>500</v>
      </c>
      <c r="AK131" s="72"/>
      <c r="AL131" s="72"/>
      <c r="AM131" s="72"/>
    </row>
    <row r="132" spans="1:39" x14ac:dyDescent="0.25">
      <c r="A132" s="37" t="s">
        <v>62</v>
      </c>
      <c r="B132" s="66" t="s">
        <v>1596</v>
      </c>
      <c r="C132" s="47">
        <v>1003</v>
      </c>
      <c r="D132" s="47" t="s">
        <v>137</v>
      </c>
      <c r="E132" s="41">
        <v>10030066</v>
      </c>
      <c r="F132" s="46" t="s">
        <v>471</v>
      </c>
      <c r="G132" s="39" t="s">
        <v>92</v>
      </c>
      <c r="H132" s="48" t="s">
        <v>93</v>
      </c>
      <c r="I132" s="52">
        <v>2978.15</v>
      </c>
      <c r="J132" s="49">
        <v>127932.04000000001</v>
      </c>
      <c r="K132" s="65">
        <v>2151.64</v>
      </c>
      <c r="L132" s="65">
        <v>94326.3</v>
      </c>
      <c r="M132" s="65">
        <v>853.33999999999992</v>
      </c>
      <c r="N132" s="65">
        <v>34889.300000000003</v>
      </c>
      <c r="O132" s="65">
        <v>3004.9799999999996</v>
      </c>
      <c r="P132" s="65">
        <v>129215.6</v>
      </c>
      <c r="Q132" s="50">
        <v>127932.04000000001</v>
      </c>
      <c r="R132" s="65">
        <v>0</v>
      </c>
      <c r="S132" s="65">
        <v>948.9</v>
      </c>
      <c r="T132" s="65">
        <v>1283.5599999999977</v>
      </c>
      <c r="U132" s="65">
        <v>0</v>
      </c>
      <c r="V132" s="65">
        <v>0</v>
      </c>
      <c r="W132" s="65">
        <v>0</v>
      </c>
      <c r="X132" s="65">
        <v>93043</v>
      </c>
      <c r="Y132" s="65">
        <v>33940</v>
      </c>
      <c r="Z132" s="65">
        <v>0</v>
      </c>
      <c r="AA132" s="51">
        <v>0</v>
      </c>
      <c r="AB132" s="102">
        <v>0</v>
      </c>
      <c r="AC132" s="81">
        <f t="shared" ref="AC132:AC195" si="9">((IF(AD132=0,0,100-AD132))*7*(J132/I132))*2%</f>
        <v>0</v>
      </c>
      <c r="AD132" s="82">
        <f t="shared" ref="AD132:AD195" si="10">IF((I132/7)&gt;100,0,(I132/7))</f>
        <v>0</v>
      </c>
      <c r="AE132" s="218">
        <v>-1.0033139469987327E-2</v>
      </c>
      <c r="AF132">
        <v>19</v>
      </c>
      <c r="AH132" t="str">
        <f t="shared" si="8"/>
        <v>Asarganj</v>
      </c>
      <c r="AJ132" s="72">
        <v>0</v>
      </c>
      <c r="AK132" s="72"/>
      <c r="AL132" s="72"/>
      <c r="AM132" s="72"/>
    </row>
    <row r="133" spans="1:39" x14ac:dyDescent="0.25">
      <c r="A133" s="37" t="s">
        <v>62</v>
      </c>
      <c r="B133" s="66" t="s">
        <v>1596</v>
      </c>
      <c r="C133" s="47">
        <v>1003</v>
      </c>
      <c r="D133" s="47" t="s">
        <v>137</v>
      </c>
      <c r="E133" s="41">
        <v>10030068</v>
      </c>
      <c r="F133" s="46" t="s">
        <v>1230</v>
      </c>
      <c r="G133" s="39" t="s">
        <v>92</v>
      </c>
      <c r="H133" s="48" t="s">
        <v>93</v>
      </c>
      <c r="I133" s="52">
        <v>1080.6499999999999</v>
      </c>
      <c r="J133" s="49">
        <v>38557.029999999992</v>
      </c>
      <c r="K133" s="65">
        <v>1199.8800000000001</v>
      </c>
      <c r="L133" s="65">
        <v>51328.839999999989</v>
      </c>
      <c r="M133" s="65">
        <v>43.269999999999996</v>
      </c>
      <c r="N133" s="65">
        <v>2093.38</v>
      </c>
      <c r="O133" s="65">
        <v>1243.1500000000001</v>
      </c>
      <c r="P133" s="65">
        <v>53422.219999999987</v>
      </c>
      <c r="Q133" s="50">
        <v>38557.029999999992</v>
      </c>
      <c r="R133" s="65">
        <v>0</v>
      </c>
      <c r="S133" s="65">
        <v>2093.38</v>
      </c>
      <c r="T133" s="65">
        <v>14865.189999999995</v>
      </c>
      <c r="U133" s="65">
        <v>0</v>
      </c>
      <c r="V133" s="65">
        <v>0</v>
      </c>
      <c r="W133" s="65">
        <v>0</v>
      </c>
      <c r="X133" s="65">
        <v>36464</v>
      </c>
      <c r="Y133" s="65">
        <v>0</v>
      </c>
      <c r="Z133" s="65">
        <v>0</v>
      </c>
      <c r="AA133" s="51">
        <v>0</v>
      </c>
      <c r="AB133" s="102">
        <v>0</v>
      </c>
      <c r="AC133" s="81">
        <f t="shared" si="9"/>
        <v>0</v>
      </c>
      <c r="AD133" s="82">
        <f t="shared" si="10"/>
        <v>0</v>
      </c>
      <c r="AE133" s="218">
        <v>-0.3855377346232321</v>
      </c>
      <c r="AF133">
        <v>9</v>
      </c>
      <c r="AH133" t="str">
        <f t="shared" si="8"/>
        <v>Asarganj</v>
      </c>
      <c r="AJ133" s="72">
        <v>0</v>
      </c>
      <c r="AK133" s="72"/>
      <c r="AL133" s="72"/>
      <c r="AM133" s="72"/>
    </row>
    <row r="134" spans="1:39" x14ac:dyDescent="0.25">
      <c r="A134" s="37" t="s">
        <v>62</v>
      </c>
      <c r="B134" s="66" t="s">
        <v>1596</v>
      </c>
      <c r="C134" s="47">
        <v>1003</v>
      </c>
      <c r="D134" s="47" t="s">
        <v>137</v>
      </c>
      <c r="E134" s="41">
        <v>10030069</v>
      </c>
      <c r="F134" s="46" t="s">
        <v>512</v>
      </c>
      <c r="G134" s="39" t="s">
        <v>617</v>
      </c>
      <c r="H134" s="48" t="s">
        <v>98</v>
      </c>
      <c r="I134" s="52">
        <v>1077.75</v>
      </c>
      <c r="J134" s="49">
        <v>37533.269999999997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50">
        <v>37533.269999999997</v>
      </c>
      <c r="R134" s="65">
        <v>0</v>
      </c>
      <c r="S134" s="65">
        <v>0</v>
      </c>
      <c r="T134" s="65">
        <v>0</v>
      </c>
      <c r="U134" s="65">
        <v>0</v>
      </c>
      <c r="V134" s="65">
        <v>0</v>
      </c>
      <c r="W134" s="65">
        <v>0</v>
      </c>
      <c r="X134" s="65">
        <v>0</v>
      </c>
      <c r="Y134" s="65">
        <v>0</v>
      </c>
      <c r="Z134" s="65">
        <v>37533.269999999997</v>
      </c>
      <c r="AA134" s="51">
        <v>0</v>
      </c>
      <c r="AB134" s="102">
        <v>0</v>
      </c>
      <c r="AC134" s="81">
        <f t="shared" si="9"/>
        <v>0</v>
      </c>
      <c r="AD134" s="82">
        <f t="shared" si="10"/>
        <v>0</v>
      </c>
      <c r="AE134" s="218">
        <v>0</v>
      </c>
      <c r="AF134">
        <v>0</v>
      </c>
      <c r="AH134" t="str">
        <f t="shared" si="8"/>
        <v>Asarganj</v>
      </c>
      <c r="AJ134" s="72">
        <v>0</v>
      </c>
      <c r="AK134" s="72"/>
      <c r="AL134" s="72"/>
      <c r="AM134" s="72"/>
    </row>
    <row r="135" spans="1:39" x14ac:dyDescent="0.25">
      <c r="A135" s="37" t="s">
        <v>62</v>
      </c>
      <c r="B135" s="66" t="s">
        <v>1596</v>
      </c>
      <c r="C135" s="47">
        <v>1003</v>
      </c>
      <c r="D135" s="47" t="s">
        <v>137</v>
      </c>
      <c r="E135" s="41">
        <v>10030070</v>
      </c>
      <c r="F135" s="46" t="s">
        <v>554</v>
      </c>
      <c r="G135" s="39" t="s">
        <v>92</v>
      </c>
      <c r="H135" s="48" t="s">
        <v>93</v>
      </c>
      <c r="I135" s="52">
        <v>799.15000000000009</v>
      </c>
      <c r="J135" s="49">
        <v>34091.399999999994</v>
      </c>
      <c r="K135" s="65">
        <v>795.80000000000007</v>
      </c>
      <c r="L135" s="65">
        <v>35134.65</v>
      </c>
      <c r="M135" s="65">
        <v>18.600000000000001</v>
      </c>
      <c r="N135" s="65">
        <v>829.92000000000007</v>
      </c>
      <c r="O135" s="65">
        <v>814.40000000000009</v>
      </c>
      <c r="P135" s="65">
        <v>35964.57</v>
      </c>
      <c r="Q135" s="50">
        <v>34091.399999999994</v>
      </c>
      <c r="R135" s="65">
        <v>0</v>
      </c>
      <c r="S135" s="65">
        <v>653.33000000000004</v>
      </c>
      <c r="T135" s="65">
        <v>1873.1700000000055</v>
      </c>
      <c r="U135" s="65">
        <v>0</v>
      </c>
      <c r="V135" s="65">
        <v>0</v>
      </c>
      <c r="W135" s="65">
        <v>0</v>
      </c>
      <c r="X135" s="65">
        <v>33261</v>
      </c>
      <c r="Y135" s="65">
        <v>177</v>
      </c>
      <c r="Z135" s="65">
        <v>0</v>
      </c>
      <c r="AA135" s="51">
        <v>0</v>
      </c>
      <c r="AB135" s="102">
        <v>0</v>
      </c>
      <c r="AC135" s="81">
        <f t="shared" si="9"/>
        <v>0</v>
      </c>
      <c r="AD135" s="82">
        <f t="shared" si="10"/>
        <v>0</v>
      </c>
      <c r="AE135" s="218">
        <v>-5.4945528784385675E-2</v>
      </c>
      <c r="AF135">
        <v>6</v>
      </c>
      <c r="AH135" t="str">
        <f t="shared" si="8"/>
        <v>Asarganj</v>
      </c>
      <c r="AJ135" s="72">
        <v>0</v>
      </c>
      <c r="AK135" s="72"/>
      <c r="AL135" s="72"/>
      <c r="AM135" s="72"/>
    </row>
    <row r="136" spans="1:39" x14ac:dyDescent="0.25">
      <c r="A136" s="37" t="s">
        <v>62</v>
      </c>
      <c r="B136" s="66" t="s">
        <v>1596</v>
      </c>
      <c r="C136" s="47">
        <v>1003</v>
      </c>
      <c r="D136" s="47" t="s">
        <v>137</v>
      </c>
      <c r="E136" s="41">
        <v>10030071</v>
      </c>
      <c r="F136" s="46" t="s">
        <v>555</v>
      </c>
      <c r="G136" s="39" t="s">
        <v>92</v>
      </c>
      <c r="H136" s="48" t="s">
        <v>93</v>
      </c>
      <c r="I136" s="52">
        <v>241</v>
      </c>
      <c r="J136" s="49">
        <v>10499.039999999999</v>
      </c>
      <c r="K136" s="65">
        <v>240.71999999999994</v>
      </c>
      <c r="L136" s="65">
        <v>11140.13</v>
      </c>
      <c r="M136" s="65">
        <v>0</v>
      </c>
      <c r="N136" s="65">
        <v>0</v>
      </c>
      <c r="O136" s="65">
        <v>240.71999999999994</v>
      </c>
      <c r="P136" s="65">
        <v>11140.13</v>
      </c>
      <c r="Q136" s="50">
        <v>10499.039999999999</v>
      </c>
      <c r="R136" s="65">
        <v>0</v>
      </c>
      <c r="S136" s="65">
        <v>0</v>
      </c>
      <c r="T136" s="65">
        <v>641.09000000000015</v>
      </c>
      <c r="U136" s="65">
        <v>0</v>
      </c>
      <c r="V136" s="65">
        <v>0</v>
      </c>
      <c r="W136" s="65">
        <v>0</v>
      </c>
      <c r="X136" s="65">
        <v>10499</v>
      </c>
      <c r="Y136" s="65">
        <v>0</v>
      </c>
      <c r="Z136" s="65">
        <v>0</v>
      </c>
      <c r="AA136" s="51">
        <v>0</v>
      </c>
      <c r="AB136" s="102" t="s">
        <v>1366</v>
      </c>
      <c r="AC136" s="81">
        <f t="shared" si="9"/>
        <v>399.92193858921155</v>
      </c>
      <c r="AD136" s="82">
        <f t="shared" si="10"/>
        <v>34.428571428571431</v>
      </c>
      <c r="AE136" s="218">
        <v>-6.1061773266889184E-2</v>
      </c>
      <c r="AF136">
        <v>5</v>
      </c>
      <c r="AH136" t="str">
        <f t="shared" si="8"/>
        <v>Asarganj</v>
      </c>
      <c r="AJ136" s="72">
        <v>0</v>
      </c>
      <c r="AK136" s="72"/>
      <c r="AL136" s="72"/>
      <c r="AM136" s="72"/>
    </row>
    <row r="137" spans="1:39" x14ac:dyDescent="0.25">
      <c r="A137" s="37" t="s">
        <v>62</v>
      </c>
      <c r="B137" s="66" t="s">
        <v>1596</v>
      </c>
      <c r="C137" s="47">
        <v>1003</v>
      </c>
      <c r="D137" s="47" t="s">
        <v>137</v>
      </c>
      <c r="E137" s="41">
        <v>10030072</v>
      </c>
      <c r="F137" s="46" t="s">
        <v>1102</v>
      </c>
      <c r="G137" s="39" t="s">
        <v>92</v>
      </c>
      <c r="H137" s="48" t="s">
        <v>93</v>
      </c>
      <c r="I137" s="52">
        <v>1141.6499999999999</v>
      </c>
      <c r="J137" s="49">
        <v>47084.689999999995</v>
      </c>
      <c r="K137" s="65">
        <v>1117.5399999999997</v>
      </c>
      <c r="L137" s="65">
        <v>46830.590000000004</v>
      </c>
      <c r="M137" s="65">
        <v>9.33</v>
      </c>
      <c r="N137" s="65">
        <v>390.81000000000006</v>
      </c>
      <c r="O137" s="65">
        <v>1126.8699999999997</v>
      </c>
      <c r="P137" s="65">
        <v>47221.4</v>
      </c>
      <c r="Q137" s="50">
        <v>47084.689999999995</v>
      </c>
      <c r="R137" s="65">
        <v>0</v>
      </c>
      <c r="S137" s="65">
        <v>390.81000000000006</v>
      </c>
      <c r="T137" s="65">
        <v>136.7100000000064</v>
      </c>
      <c r="U137" s="65">
        <v>0</v>
      </c>
      <c r="V137" s="65">
        <v>0</v>
      </c>
      <c r="W137" s="65">
        <v>0</v>
      </c>
      <c r="X137" s="65">
        <v>46694</v>
      </c>
      <c r="Y137" s="65">
        <v>0</v>
      </c>
      <c r="Z137" s="65">
        <v>0</v>
      </c>
      <c r="AA137" s="51">
        <v>0</v>
      </c>
      <c r="AB137" s="102">
        <v>0</v>
      </c>
      <c r="AC137" s="81">
        <f t="shared" si="9"/>
        <v>0</v>
      </c>
      <c r="AD137" s="82">
        <f t="shared" si="10"/>
        <v>0</v>
      </c>
      <c r="AE137" s="218">
        <v>-2.9034915595707736E-3</v>
      </c>
      <c r="AF137">
        <v>25</v>
      </c>
      <c r="AH137" t="str">
        <f t="shared" si="8"/>
        <v>Asarganj</v>
      </c>
      <c r="AJ137" s="72">
        <v>0</v>
      </c>
      <c r="AK137" s="72"/>
      <c r="AL137" s="72"/>
      <c r="AM137" s="72"/>
    </row>
    <row r="138" spans="1:39" x14ac:dyDescent="0.25">
      <c r="A138" s="37" t="s">
        <v>62</v>
      </c>
      <c r="B138" s="66" t="s">
        <v>1596</v>
      </c>
      <c r="C138" s="47">
        <v>1003</v>
      </c>
      <c r="D138" s="47" t="s">
        <v>137</v>
      </c>
      <c r="E138" s="41">
        <v>10030074</v>
      </c>
      <c r="F138" s="46" t="s">
        <v>1162</v>
      </c>
      <c r="G138" s="39" t="s">
        <v>92</v>
      </c>
      <c r="H138" s="48" t="s">
        <v>93</v>
      </c>
      <c r="I138" s="52">
        <v>1811.5</v>
      </c>
      <c r="J138" s="49">
        <v>75646.73</v>
      </c>
      <c r="K138" s="65">
        <v>1892.67</v>
      </c>
      <c r="L138" s="65">
        <v>80849.91</v>
      </c>
      <c r="M138" s="65">
        <v>3.46</v>
      </c>
      <c r="N138" s="65">
        <v>136.07999999999998</v>
      </c>
      <c r="O138" s="65">
        <v>1896.13</v>
      </c>
      <c r="P138" s="65">
        <v>80985.990000000005</v>
      </c>
      <c r="Q138" s="50">
        <v>75646.73</v>
      </c>
      <c r="R138" s="65">
        <v>0</v>
      </c>
      <c r="S138" s="65">
        <v>136.07999999999998</v>
      </c>
      <c r="T138" s="65">
        <v>5339.2600000000093</v>
      </c>
      <c r="U138" s="65">
        <v>0</v>
      </c>
      <c r="V138" s="65">
        <v>0</v>
      </c>
      <c r="W138" s="65">
        <v>0</v>
      </c>
      <c r="X138" s="65">
        <v>75511</v>
      </c>
      <c r="Y138" s="65">
        <v>0</v>
      </c>
      <c r="Z138" s="65">
        <v>0</v>
      </c>
      <c r="AA138" s="51">
        <v>0</v>
      </c>
      <c r="AB138" s="102">
        <v>0</v>
      </c>
      <c r="AC138" s="81">
        <f t="shared" si="9"/>
        <v>0</v>
      </c>
      <c r="AD138" s="82">
        <f t="shared" si="10"/>
        <v>0</v>
      </c>
      <c r="AE138" s="218">
        <v>-7.0581504316181404E-2</v>
      </c>
      <c r="AF138">
        <v>5</v>
      </c>
      <c r="AH138" t="str">
        <f t="shared" si="8"/>
        <v>Asarganj</v>
      </c>
      <c r="AJ138" s="72">
        <v>0</v>
      </c>
      <c r="AK138" s="72"/>
      <c r="AL138" s="72"/>
      <c r="AM138" s="72"/>
    </row>
    <row r="139" spans="1:39" x14ac:dyDescent="0.25">
      <c r="A139" s="37" t="s">
        <v>62</v>
      </c>
      <c r="B139" s="66" t="s">
        <v>1596</v>
      </c>
      <c r="C139" s="47">
        <v>1003</v>
      </c>
      <c r="D139" s="47" t="s">
        <v>137</v>
      </c>
      <c r="E139" s="41">
        <v>10030075</v>
      </c>
      <c r="F139" s="46" t="s">
        <v>1132</v>
      </c>
      <c r="G139" s="39" t="s">
        <v>92</v>
      </c>
      <c r="H139" s="48" t="s">
        <v>93</v>
      </c>
      <c r="I139" s="52">
        <v>490.59999999999997</v>
      </c>
      <c r="J139" s="49">
        <v>21006.890000000003</v>
      </c>
      <c r="K139" s="65">
        <v>639.87</v>
      </c>
      <c r="L139" s="65">
        <v>30146.440000000006</v>
      </c>
      <c r="M139" s="65">
        <v>0</v>
      </c>
      <c r="N139" s="65">
        <v>0</v>
      </c>
      <c r="O139" s="65">
        <v>639.87</v>
      </c>
      <c r="P139" s="65">
        <v>30146.440000000006</v>
      </c>
      <c r="Q139" s="50">
        <v>21006.890000000003</v>
      </c>
      <c r="R139" s="65">
        <v>0</v>
      </c>
      <c r="S139" s="65">
        <v>0</v>
      </c>
      <c r="T139" s="65">
        <v>9139.5500000000029</v>
      </c>
      <c r="U139" s="65">
        <v>7500</v>
      </c>
      <c r="V139" s="65">
        <v>0</v>
      </c>
      <c r="W139" s="65">
        <v>0</v>
      </c>
      <c r="X139" s="65">
        <v>13507</v>
      </c>
      <c r="Y139" s="65">
        <v>0</v>
      </c>
      <c r="Z139" s="65">
        <v>0</v>
      </c>
      <c r="AA139" s="51">
        <v>0</v>
      </c>
      <c r="AB139" s="102" t="s">
        <v>68</v>
      </c>
      <c r="AC139" s="81">
        <f t="shared" si="9"/>
        <v>179.3250210354669</v>
      </c>
      <c r="AD139" s="82">
        <f t="shared" si="10"/>
        <v>70.085714285714275</v>
      </c>
      <c r="AE139" s="218">
        <v>-0.43507392098497216</v>
      </c>
      <c r="AF139">
        <v>7</v>
      </c>
      <c r="AH139" t="str">
        <f t="shared" si="8"/>
        <v>Asarganj</v>
      </c>
      <c r="AJ139" s="72">
        <v>0</v>
      </c>
      <c r="AK139" s="72"/>
      <c r="AL139" s="72"/>
      <c r="AM139" s="72"/>
    </row>
    <row r="140" spans="1:39" x14ac:dyDescent="0.25">
      <c r="A140" s="37" t="s">
        <v>62</v>
      </c>
      <c r="B140" s="66" t="s">
        <v>1596</v>
      </c>
      <c r="C140" s="47">
        <v>1003</v>
      </c>
      <c r="D140" s="47" t="s">
        <v>137</v>
      </c>
      <c r="E140" s="41">
        <v>10030077</v>
      </c>
      <c r="F140" s="46" t="s">
        <v>1171</v>
      </c>
      <c r="G140" s="39" t="s">
        <v>617</v>
      </c>
      <c r="H140" s="48" t="s">
        <v>98</v>
      </c>
      <c r="I140" s="52">
        <v>153.75</v>
      </c>
      <c r="J140" s="49">
        <v>5699.37</v>
      </c>
      <c r="K140" s="65">
        <v>0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50">
        <v>5699.37</v>
      </c>
      <c r="R140" s="65">
        <v>0</v>
      </c>
      <c r="S140" s="65">
        <v>0</v>
      </c>
      <c r="T140" s="65">
        <v>0</v>
      </c>
      <c r="U140" s="65">
        <v>0</v>
      </c>
      <c r="V140" s="65">
        <v>0</v>
      </c>
      <c r="W140" s="65">
        <v>0</v>
      </c>
      <c r="X140" s="65">
        <v>0</v>
      </c>
      <c r="Y140" s="65">
        <v>0</v>
      </c>
      <c r="Z140" s="65">
        <v>5699.37</v>
      </c>
      <c r="AA140" s="51">
        <v>0</v>
      </c>
      <c r="AB140" s="102">
        <v>0</v>
      </c>
      <c r="AC140" s="81">
        <f t="shared" si="9"/>
        <v>404.97962439024394</v>
      </c>
      <c r="AD140" s="82">
        <f t="shared" si="10"/>
        <v>21.964285714285715</v>
      </c>
      <c r="AE140" s="218">
        <v>0</v>
      </c>
      <c r="AF140">
        <v>0</v>
      </c>
      <c r="AH140" t="str">
        <f t="shared" si="8"/>
        <v>Asarganj</v>
      </c>
      <c r="AJ140" s="72">
        <v>0</v>
      </c>
      <c r="AK140" s="72"/>
      <c r="AL140" s="72"/>
      <c r="AM140" s="72"/>
    </row>
    <row r="141" spans="1:39" x14ac:dyDescent="0.25">
      <c r="A141" s="37" t="s">
        <v>62</v>
      </c>
      <c r="B141" s="66" t="s">
        <v>1596</v>
      </c>
      <c r="C141" s="47">
        <v>1003</v>
      </c>
      <c r="D141" s="47" t="s">
        <v>137</v>
      </c>
      <c r="E141" s="41">
        <v>10030078</v>
      </c>
      <c r="F141" s="46" t="s">
        <v>1218</v>
      </c>
      <c r="G141" s="39" t="s">
        <v>92</v>
      </c>
      <c r="H141" s="48" t="s">
        <v>93</v>
      </c>
      <c r="I141" s="52">
        <v>697.45000000000016</v>
      </c>
      <c r="J141" s="49">
        <v>31581.839999999997</v>
      </c>
      <c r="K141" s="65">
        <v>703.45</v>
      </c>
      <c r="L141" s="65">
        <v>34568.07</v>
      </c>
      <c r="M141" s="65">
        <v>0</v>
      </c>
      <c r="N141" s="65">
        <v>0</v>
      </c>
      <c r="O141" s="65">
        <v>703.45</v>
      </c>
      <c r="P141" s="65">
        <v>34568.07</v>
      </c>
      <c r="Q141" s="50">
        <v>31581.839999999997</v>
      </c>
      <c r="R141" s="65">
        <v>0</v>
      </c>
      <c r="S141" s="65">
        <v>0</v>
      </c>
      <c r="T141" s="65">
        <v>2986.2300000000032</v>
      </c>
      <c r="U141" s="65">
        <v>0</v>
      </c>
      <c r="V141" s="65">
        <v>0</v>
      </c>
      <c r="W141" s="65">
        <v>0</v>
      </c>
      <c r="X141" s="65">
        <v>31582</v>
      </c>
      <c r="Y141" s="65">
        <v>0</v>
      </c>
      <c r="Z141" s="65">
        <v>0</v>
      </c>
      <c r="AA141" s="51">
        <v>0</v>
      </c>
      <c r="AB141" s="102">
        <v>0</v>
      </c>
      <c r="AC141" s="81">
        <f t="shared" si="9"/>
        <v>2.3093753530717214</v>
      </c>
      <c r="AD141" s="82">
        <f t="shared" si="10"/>
        <v>99.635714285714315</v>
      </c>
      <c r="AE141" s="218">
        <v>-9.455528873555194E-2</v>
      </c>
      <c r="AF141">
        <v>5</v>
      </c>
      <c r="AH141" t="str">
        <f t="shared" si="8"/>
        <v>Asarganj</v>
      </c>
      <c r="AJ141" s="72">
        <v>0</v>
      </c>
      <c r="AK141" s="72"/>
      <c r="AL141" s="72"/>
      <c r="AM141" s="72"/>
    </row>
    <row r="142" spans="1:39" x14ac:dyDescent="0.25">
      <c r="A142" s="37" t="s">
        <v>62</v>
      </c>
      <c r="B142" s="66" t="s">
        <v>1596</v>
      </c>
      <c r="C142" s="47">
        <v>1003</v>
      </c>
      <c r="D142" s="47" t="s">
        <v>137</v>
      </c>
      <c r="E142" s="41">
        <v>10030080</v>
      </c>
      <c r="F142" s="46" t="s">
        <v>1226</v>
      </c>
      <c r="G142" s="39" t="s">
        <v>92</v>
      </c>
      <c r="H142" s="48" t="s">
        <v>93</v>
      </c>
      <c r="I142" s="52">
        <v>979.54999999999984</v>
      </c>
      <c r="J142" s="49">
        <v>40238.93</v>
      </c>
      <c r="K142" s="65">
        <v>979.78000000000031</v>
      </c>
      <c r="L142" s="65">
        <v>37521.730000000003</v>
      </c>
      <c r="M142" s="65">
        <v>0</v>
      </c>
      <c r="N142" s="65">
        <v>0</v>
      </c>
      <c r="O142" s="65">
        <v>979.78000000000031</v>
      </c>
      <c r="P142" s="65">
        <v>37521.730000000003</v>
      </c>
      <c r="Q142" s="50">
        <v>37521.730000000003</v>
      </c>
      <c r="R142" s="65">
        <v>0</v>
      </c>
      <c r="S142" s="65">
        <v>0</v>
      </c>
      <c r="T142" s="65">
        <v>0</v>
      </c>
      <c r="U142" s="65">
        <v>0</v>
      </c>
      <c r="V142" s="65">
        <v>0</v>
      </c>
      <c r="W142" s="65">
        <v>0</v>
      </c>
      <c r="X142" s="65">
        <v>37523</v>
      </c>
      <c r="Y142" s="65">
        <v>0</v>
      </c>
      <c r="Z142" s="65">
        <v>0</v>
      </c>
      <c r="AA142" s="51">
        <v>2716</v>
      </c>
      <c r="AB142" s="102">
        <v>0</v>
      </c>
      <c r="AC142" s="81">
        <f t="shared" si="9"/>
        <v>0</v>
      </c>
      <c r="AD142" s="82">
        <f t="shared" si="10"/>
        <v>0</v>
      </c>
      <c r="AE142" s="218">
        <v>6.752664645903847E-2</v>
      </c>
      <c r="AF142">
        <v>26</v>
      </c>
      <c r="AH142" t="str">
        <f t="shared" si="8"/>
        <v>Asarganj</v>
      </c>
      <c r="AJ142" s="72">
        <v>0</v>
      </c>
      <c r="AK142" s="72"/>
      <c r="AL142" s="72"/>
      <c r="AM142" s="72"/>
    </row>
    <row r="143" spans="1:39" x14ac:dyDescent="0.25">
      <c r="A143" s="37" t="s">
        <v>62</v>
      </c>
      <c r="B143" s="66" t="s">
        <v>1596</v>
      </c>
      <c r="C143" s="47">
        <v>1003</v>
      </c>
      <c r="D143" s="47" t="s">
        <v>137</v>
      </c>
      <c r="E143" s="41">
        <v>10030082</v>
      </c>
      <c r="F143" s="46" t="s">
        <v>1278</v>
      </c>
      <c r="G143" s="39" t="s">
        <v>92</v>
      </c>
      <c r="H143" s="48" t="s">
        <v>93</v>
      </c>
      <c r="I143" s="52">
        <v>817.25</v>
      </c>
      <c r="J143" s="49">
        <v>32219.82</v>
      </c>
      <c r="K143" s="65">
        <v>801.93999999999994</v>
      </c>
      <c r="L143" s="65">
        <v>32487</v>
      </c>
      <c r="M143" s="65">
        <v>0</v>
      </c>
      <c r="N143" s="65">
        <v>0</v>
      </c>
      <c r="O143" s="65">
        <v>801.93999999999994</v>
      </c>
      <c r="P143" s="65">
        <v>32487</v>
      </c>
      <c r="Q143" s="50">
        <v>32219.82</v>
      </c>
      <c r="R143" s="65">
        <v>0</v>
      </c>
      <c r="S143" s="65">
        <v>0</v>
      </c>
      <c r="T143" s="65">
        <v>267.18000000000029</v>
      </c>
      <c r="U143" s="65">
        <v>0</v>
      </c>
      <c r="V143" s="65">
        <v>0</v>
      </c>
      <c r="W143" s="65">
        <v>0</v>
      </c>
      <c r="X143" s="65">
        <v>32220</v>
      </c>
      <c r="Y143" s="65">
        <v>0</v>
      </c>
      <c r="Z143" s="65">
        <v>0</v>
      </c>
      <c r="AA143" s="51">
        <v>0</v>
      </c>
      <c r="AB143" s="102">
        <v>0</v>
      </c>
      <c r="AC143" s="81">
        <f t="shared" si="9"/>
        <v>0</v>
      </c>
      <c r="AD143" s="82">
        <f t="shared" si="10"/>
        <v>0</v>
      </c>
      <c r="AE143" s="218">
        <v>-8.2924113170092292E-3</v>
      </c>
      <c r="AF143">
        <v>2</v>
      </c>
      <c r="AH143" t="str">
        <f t="shared" si="8"/>
        <v>Asarganj</v>
      </c>
      <c r="AJ143" s="72">
        <v>0</v>
      </c>
      <c r="AK143" s="72"/>
      <c r="AL143" s="72"/>
      <c r="AM143" s="72"/>
    </row>
    <row r="144" spans="1:39" x14ac:dyDescent="0.25">
      <c r="A144" s="37" t="s">
        <v>62</v>
      </c>
      <c r="B144" s="66" t="s">
        <v>1596</v>
      </c>
      <c r="C144" s="47">
        <v>1003</v>
      </c>
      <c r="D144" s="47" t="s">
        <v>137</v>
      </c>
      <c r="E144" s="41">
        <v>10030084</v>
      </c>
      <c r="F144" s="46" t="s">
        <v>1285</v>
      </c>
      <c r="G144" s="39" t="s">
        <v>92</v>
      </c>
      <c r="H144" s="48" t="s">
        <v>93</v>
      </c>
      <c r="I144" s="52">
        <v>258.59999999999997</v>
      </c>
      <c r="J144" s="49">
        <v>10618.929999999998</v>
      </c>
      <c r="K144" s="65">
        <v>250.26</v>
      </c>
      <c r="L144" s="65">
        <v>10705.060000000001</v>
      </c>
      <c r="M144" s="65">
        <v>0</v>
      </c>
      <c r="N144" s="65">
        <v>0</v>
      </c>
      <c r="O144" s="65">
        <v>250.26</v>
      </c>
      <c r="P144" s="65">
        <v>10705.060000000001</v>
      </c>
      <c r="Q144" s="50">
        <v>10618.929999999998</v>
      </c>
      <c r="R144" s="65">
        <v>0</v>
      </c>
      <c r="S144" s="65">
        <v>0</v>
      </c>
      <c r="T144" s="65">
        <v>86.130000000002838</v>
      </c>
      <c r="U144" s="65">
        <v>0</v>
      </c>
      <c r="V144" s="65">
        <v>0</v>
      </c>
      <c r="W144" s="65">
        <v>0</v>
      </c>
      <c r="X144" s="65">
        <v>10619</v>
      </c>
      <c r="Y144" s="65">
        <v>0</v>
      </c>
      <c r="Z144" s="65">
        <v>0</v>
      </c>
      <c r="AA144" s="51">
        <v>0</v>
      </c>
      <c r="AB144" s="102">
        <v>0</v>
      </c>
      <c r="AC144" s="81">
        <f t="shared" si="9"/>
        <v>362.50546805877809</v>
      </c>
      <c r="AD144" s="82">
        <f t="shared" si="10"/>
        <v>36.942857142857136</v>
      </c>
      <c r="AE144" s="218">
        <v>-8.1109867001668574E-3</v>
      </c>
      <c r="AF144">
        <v>1</v>
      </c>
      <c r="AH144" t="str">
        <f t="shared" si="8"/>
        <v>Asarganj</v>
      </c>
      <c r="AJ144" s="72">
        <v>0</v>
      </c>
      <c r="AK144" s="72"/>
      <c r="AL144" s="72"/>
      <c r="AM144" s="72"/>
    </row>
    <row r="145" spans="1:39" x14ac:dyDescent="0.25">
      <c r="A145" s="37" t="s">
        <v>62</v>
      </c>
      <c r="B145" s="66" t="s">
        <v>1596</v>
      </c>
      <c r="C145" s="47">
        <v>1003</v>
      </c>
      <c r="D145" s="47" t="s">
        <v>137</v>
      </c>
      <c r="E145" s="41">
        <v>10030085</v>
      </c>
      <c r="F145" s="46" t="s">
        <v>1286</v>
      </c>
      <c r="G145" s="39" t="s">
        <v>92</v>
      </c>
      <c r="H145" s="48" t="s">
        <v>93</v>
      </c>
      <c r="I145" s="52">
        <v>1116.1000000000001</v>
      </c>
      <c r="J145" s="49">
        <v>52167.469999999994</v>
      </c>
      <c r="K145" s="65">
        <v>1107.2</v>
      </c>
      <c r="L145" s="65">
        <v>54914.34</v>
      </c>
      <c r="M145" s="65">
        <v>0</v>
      </c>
      <c r="N145" s="65">
        <v>0</v>
      </c>
      <c r="O145" s="65">
        <v>1107.2</v>
      </c>
      <c r="P145" s="65">
        <v>54914.34</v>
      </c>
      <c r="Q145" s="50">
        <v>52167.469999999994</v>
      </c>
      <c r="R145" s="65">
        <v>0</v>
      </c>
      <c r="S145" s="65">
        <v>0</v>
      </c>
      <c r="T145" s="65">
        <v>2746.8700000000026</v>
      </c>
      <c r="U145" s="65">
        <v>0</v>
      </c>
      <c r="V145" s="65">
        <v>0</v>
      </c>
      <c r="W145" s="65">
        <v>0</v>
      </c>
      <c r="X145" s="65">
        <v>52167</v>
      </c>
      <c r="Y145" s="65">
        <v>0</v>
      </c>
      <c r="Z145" s="65">
        <v>0</v>
      </c>
      <c r="AA145" s="51">
        <v>0</v>
      </c>
      <c r="AB145" s="102">
        <v>0</v>
      </c>
      <c r="AC145" s="81">
        <f t="shared" si="9"/>
        <v>0</v>
      </c>
      <c r="AD145" s="82">
        <f t="shared" si="10"/>
        <v>0</v>
      </c>
      <c r="AE145" s="218">
        <v>-5.2654844101122845E-2</v>
      </c>
      <c r="AF145">
        <v>1</v>
      </c>
      <c r="AH145" t="str">
        <f t="shared" si="8"/>
        <v>Asarganj</v>
      </c>
      <c r="AJ145" s="72">
        <v>0</v>
      </c>
      <c r="AK145" s="72"/>
      <c r="AL145" s="72"/>
      <c r="AM145" s="72"/>
    </row>
    <row r="146" spans="1:39" x14ac:dyDescent="0.25">
      <c r="A146" s="37" t="s">
        <v>62</v>
      </c>
      <c r="B146" s="66" t="s">
        <v>1596</v>
      </c>
      <c r="C146" s="47">
        <v>1003</v>
      </c>
      <c r="D146" s="47" t="s">
        <v>137</v>
      </c>
      <c r="E146" s="41">
        <v>10030087</v>
      </c>
      <c r="F146" s="46" t="s">
        <v>1489</v>
      </c>
      <c r="G146" s="39" t="s">
        <v>92</v>
      </c>
      <c r="H146" s="48" t="s">
        <v>93</v>
      </c>
      <c r="I146" s="52">
        <v>355.7</v>
      </c>
      <c r="J146" s="49">
        <v>18044.29</v>
      </c>
      <c r="K146" s="65">
        <v>352.60999999999996</v>
      </c>
      <c r="L146" s="65">
        <v>18902.93</v>
      </c>
      <c r="M146" s="65">
        <v>0</v>
      </c>
      <c r="N146" s="65">
        <v>0</v>
      </c>
      <c r="O146" s="65">
        <v>352.60999999999996</v>
      </c>
      <c r="P146" s="65">
        <v>18902.93</v>
      </c>
      <c r="Q146" s="50">
        <v>18044.29</v>
      </c>
      <c r="R146" s="65">
        <v>0</v>
      </c>
      <c r="S146" s="65">
        <v>0</v>
      </c>
      <c r="T146" s="65">
        <v>858.63999999999942</v>
      </c>
      <c r="U146" s="65">
        <v>0</v>
      </c>
      <c r="V146" s="65">
        <v>0</v>
      </c>
      <c r="W146" s="65">
        <v>0</v>
      </c>
      <c r="X146" s="65">
        <v>18044</v>
      </c>
      <c r="Y146" s="65">
        <v>0</v>
      </c>
      <c r="Z146" s="65">
        <v>0</v>
      </c>
      <c r="AA146" s="51">
        <v>0</v>
      </c>
      <c r="AB146" s="102">
        <v>0</v>
      </c>
      <c r="AC146" s="81">
        <f t="shared" si="9"/>
        <v>349.31959780714089</v>
      </c>
      <c r="AD146" s="82">
        <f t="shared" si="10"/>
        <v>50.81428571428571</v>
      </c>
      <c r="AE146" s="218">
        <v>-4.7585136350612817E-2</v>
      </c>
      <c r="AF146">
        <v>1</v>
      </c>
      <c r="AH146" t="str">
        <f t="shared" si="8"/>
        <v>Asarganj</v>
      </c>
      <c r="AJ146" s="72">
        <v>0</v>
      </c>
      <c r="AK146" s="72"/>
      <c r="AL146" s="72"/>
      <c r="AM146" s="72"/>
    </row>
    <row r="147" spans="1:39" x14ac:dyDescent="0.25">
      <c r="A147" s="37" t="s">
        <v>62</v>
      </c>
      <c r="B147" s="66" t="s">
        <v>1596</v>
      </c>
      <c r="C147" s="47">
        <v>1003</v>
      </c>
      <c r="D147" s="47" t="s">
        <v>137</v>
      </c>
      <c r="E147" s="41">
        <v>10030088</v>
      </c>
      <c r="F147" s="46" t="s">
        <v>1490</v>
      </c>
      <c r="G147" s="39" t="s">
        <v>92</v>
      </c>
      <c r="H147" s="48" t="s">
        <v>93</v>
      </c>
      <c r="I147" s="52">
        <v>458.6</v>
      </c>
      <c r="J147" s="49">
        <v>17377.64</v>
      </c>
      <c r="K147" s="65">
        <v>461.8</v>
      </c>
      <c r="L147" s="65">
        <v>17523.54</v>
      </c>
      <c r="M147" s="65">
        <v>0</v>
      </c>
      <c r="N147" s="65">
        <v>0</v>
      </c>
      <c r="O147" s="65">
        <v>461.8</v>
      </c>
      <c r="P147" s="65">
        <v>17523.54</v>
      </c>
      <c r="Q147" s="50">
        <v>17377.64</v>
      </c>
      <c r="R147" s="65">
        <v>0</v>
      </c>
      <c r="S147" s="65">
        <v>0</v>
      </c>
      <c r="T147" s="65">
        <v>145.90000000000146</v>
      </c>
      <c r="U147" s="65">
        <v>0</v>
      </c>
      <c r="V147" s="65">
        <v>0</v>
      </c>
      <c r="W147" s="65">
        <v>0</v>
      </c>
      <c r="X147" s="65">
        <v>17378</v>
      </c>
      <c r="Y147" s="65">
        <v>0</v>
      </c>
      <c r="Z147" s="65">
        <v>0</v>
      </c>
      <c r="AA147" s="51">
        <v>0</v>
      </c>
      <c r="AB147" s="102">
        <v>0</v>
      </c>
      <c r="AC147" s="81">
        <f t="shared" si="9"/>
        <v>182.94645861317051</v>
      </c>
      <c r="AD147" s="82">
        <f t="shared" si="10"/>
        <v>65.51428571428572</v>
      </c>
      <c r="AE147" s="218">
        <v>-8.3958466166868147E-3</v>
      </c>
      <c r="AF147">
        <v>1</v>
      </c>
      <c r="AH147" t="str">
        <f t="shared" si="8"/>
        <v>Asarganj</v>
      </c>
      <c r="AJ147" s="72">
        <v>0</v>
      </c>
      <c r="AK147" s="72"/>
      <c r="AL147" s="72"/>
      <c r="AM147" s="72"/>
    </row>
    <row r="148" spans="1:39" x14ac:dyDescent="0.25">
      <c r="A148" s="37" t="s">
        <v>62</v>
      </c>
      <c r="B148" s="66" t="s">
        <v>1596</v>
      </c>
      <c r="C148" s="47">
        <v>1003</v>
      </c>
      <c r="D148" s="47" t="s">
        <v>137</v>
      </c>
      <c r="E148" s="41">
        <v>10030089</v>
      </c>
      <c r="F148" s="46" t="s">
        <v>1491</v>
      </c>
      <c r="G148" s="39" t="s">
        <v>92</v>
      </c>
      <c r="H148" s="48" t="s">
        <v>93</v>
      </c>
      <c r="I148" s="52">
        <v>760.9</v>
      </c>
      <c r="J148" s="49">
        <v>40104.5</v>
      </c>
      <c r="K148" s="65">
        <v>814.11</v>
      </c>
      <c r="L148" s="65">
        <v>43368.42</v>
      </c>
      <c r="M148" s="65">
        <v>0</v>
      </c>
      <c r="N148" s="65">
        <v>0</v>
      </c>
      <c r="O148" s="65">
        <v>814.11</v>
      </c>
      <c r="P148" s="65">
        <v>43368.42</v>
      </c>
      <c r="Q148" s="50">
        <v>40104.5</v>
      </c>
      <c r="R148" s="65">
        <v>0</v>
      </c>
      <c r="S148" s="65">
        <v>0</v>
      </c>
      <c r="T148" s="65">
        <v>3263.9199999999983</v>
      </c>
      <c r="U148" s="65">
        <v>0</v>
      </c>
      <c r="V148" s="65">
        <v>0</v>
      </c>
      <c r="W148" s="65">
        <v>0</v>
      </c>
      <c r="X148" s="65">
        <v>40104</v>
      </c>
      <c r="Y148" s="65">
        <v>0</v>
      </c>
      <c r="Z148" s="65">
        <v>0</v>
      </c>
      <c r="AA148" s="51">
        <v>1</v>
      </c>
      <c r="AB148" s="102">
        <v>0</v>
      </c>
      <c r="AC148" s="81">
        <f t="shared" si="9"/>
        <v>0</v>
      </c>
      <c r="AD148" s="82">
        <f t="shared" si="10"/>
        <v>0</v>
      </c>
      <c r="AE148" s="218">
        <v>-8.1385380692939657E-2</v>
      </c>
      <c r="AF148">
        <v>2</v>
      </c>
      <c r="AH148" t="str">
        <f t="shared" si="8"/>
        <v>Asarganj</v>
      </c>
      <c r="AJ148" s="72">
        <v>0</v>
      </c>
      <c r="AK148" s="72"/>
      <c r="AL148" s="72"/>
      <c r="AM148" s="72"/>
    </row>
    <row r="149" spans="1:39" x14ac:dyDescent="0.25">
      <c r="A149" s="37" t="s">
        <v>62</v>
      </c>
      <c r="B149" s="66" t="s">
        <v>1596</v>
      </c>
      <c r="C149" s="47">
        <v>1003</v>
      </c>
      <c r="D149" s="47" t="s">
        <v>137</v>
      </c>
      <c r="E149" s="41">
        <v>10030090</v>
      </c>
      <c r="F149" s="46" t="s">
        <v>1492</v>
      </c>
      <c r="G149" s="39" t="s">
        <v>92</v>
      </c>
      <c r="H149" s="48" t="s">
        <v>93</v>
      </c>
      <c r="I149" s="52">
        <v>541.44999999999993</v>
      </c>
      <c r="J149" s="49">
        <v>22627.1</v>
      </c>
      <c r="K149" s="65">
        <v>532.16</v>
      </c>
      <c r="L149" s="65">
        <v>23345.720000000005</v>
      </c>
      <c r="M149" s="65">
        <v>0</v>
      </c>
      <c r="N149" s="65">
        <v>0</v>
      </c>
      <c r="O149" s="65">
        <v>532.16</v>
      </c>
      <c r="P149" s="65">
        <v>23345.720000000005</v>
      </c>
      <c r="Q149" s="50">
        <v>22627.1</v>
      </c>
      <c r="R149" s="65">
        <v>0</v>
      </c>
      <c r="S149" s="65">
        <v>0</v>
      </c>
      <c r="T149" s="65">
        <v>718.62000000000626</v>
      </c>
      <c r="U149" s="65">
        <v>0</v>
      </c>
      <c r="V149" s="65">
        <v>0</v>
      </c>
      <c r="W149" s="65">
        <v>0</v>
      </c>
      <c r="X149" s="65">
        <v>22627</v>
      </c>
      <c r="Y149" s="65">
        <v>0</v>
      </c>
      <c r="Z149" s="65">
        <v>0</v>
      </c>
      <c r="AA149" s="51">
        <v>0</v>
      </c>
      <c r="AB149" s="102">
        <v>0</v>
      </c>
      <c r="AC149" s="81">
        <f t="shared" si="9"/>
        <v>132.51553070458957</v>
      </c>
      <c r="AD149" s="82">
        <f t="shared" si="10"/>
        <v>77.349999999999994</v>
      </c>
      <c r="AE149" s="218">
        <v>-3.1759262123736857E-2</v>
      </c>
      <c r="AF149">
        <v>1</v>
      </c>
      <c r="AH149" t="str">
        <f t="shared" si="8"/>
        <v>Asarganj</v>
      </c>
      <c r="AJ149" s="72">
        <v>0</v>
      </c>
      <c r="AK149" s="72"/>
      <c r="AL149" s="72"/>
      <c r="AM149" s="72"/>
    </row>
    <row r="150" spans="1:39" x14ac:dyDescent="0.25">
      <c r="A150" s="37" t="s">
        <v>62</v>
      </c>
      <c r="B150" s="66" t="s">
        <v>1596</v>
      </c>
      <c r="C150" s="47">
        <v>1006</v>
      </c>
      <c r="D150" s="47" t="s">
        <v>179</v>
      </c>
      <c r="E150" s="41">
        <v>10060002</v>
      </c>
      <c r="F150" s="46" t="s">
        <v>805</v>
      </c>
      <c r="G150" s="39" t="s">
        <v>617</v>
      </c>
      <c r="H150" s="48" t="s">
        <v>98</v>
      </c>
      <c r="I150" s="52">
        <v>1252.5999999999999</v>
      </c>
      <c r="J150" s="49">
        <v>52026.999999999993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50">
        <v>52026.999999999993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52026.999999999993</v>
      </c>
      <c r="AA150" s="51">
        <v>0</v>
      </c>
      <c r="AB150" s="102">
        <v>0</v>
      </c>
      <c r="AC150" s="81">
        <f t="shared" si="9"/>
        <v>0</v>
      </c>
      <c r="AD150" s="82">
        <f t="shared" si="10"/>
        <v>0</v>
      </c>
      <c r="AE150" s="218">
        <v>0</v>
      </c>
      <c r="AF150">
        <v>0</v>
      </c>
      <c r="AH150" t="str">
        <f t="shared" si="8"/>
        <v>Sonvarsha</v>
      </c>
      <c r="AJ150" s="72">
        <v>0</v>
      </c>
      <c r="AK150" s="72"/>
      <c r="AL150" s="72"/>
      <c r="AM150" s="72"/>
    </row>
    <row r="151" spans="1:39" x14ac:dyDescent="0.25">
      <c r="A151" s="37" t="s">
        <v>62</v>
      </c>
      <c r="B151" s="66" t="s">
        <v>1596</v>
      </c>
      <c r="C151" s="47">
        <v>1006</v>
      </c>
      <c r="D151" s="47" t="s">
        <v>179</v>
      </c>
      <c r="E151" s="41">
        <v>10060003</v>
      </c>
      <c r="F151" s="46" t="s">
        <v>180</v>
      </c>
      <c r="G151" s="39" t="s">
        <v>617</v>
      </c>
      <c r="H151" s="48" t="s">
        <v>98</v>
      </c>
      <c r="I151" s="52">
        <v>1918.2</v>
      </c>
      <c r="J151" s="49">
        <v>77201.69</v>
      </c>
      <c r="K151" s="65">
        <v>0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50">
        <v>77201.69</v>
      </c>
      <c r="R151" s="65">
        <v>0</v>
      </c>
      <c r="S151" s="65">
        <v>0</v>
      </c>
      <c r="T151" s="65">
        <v>0</v>
      </c>
      <c r="U151" s="65">
        <v>0</v>
      </c>
      <c r="V151" s="65">
        <v>0</v>
      </c>
      <c r="W151" s="65">
        <v>0</v>
      </c>
      <c r="X151" s="65">
        <v>0</v>
      </c>
      <c r="Y151" s="65">
        <v>0</v>
      </c>
      <c r="Z151" s="65">
        <v>77201.69</v>
      </c>
      <c r="AA151" s="51">
        <v>0</v>
      </c>
      <c r="AB151" s="102">
        <v>0</v>
      </c>
      <c r="AC151" s="81">
        <f t="shared" si="9"/>
        <v>0</v>
      </c>
      <c r="AD151" s="82">
        <f t="shared" si="10"/>
        <v>0</v>
      </c>
      <c r="AE151" s="218">
        <v>0</v>
      </c>
      <c r="AF151">
        <v>0</v>
      </c>
      <c r="AH151" t="str">
        <f t="shared" si="8"/>
        <v>Sonvarsha</v>
      </c>
      <c r="AJ151" s="72">
        <v>0</v>
      </c>
      <c r="AK151" s="72"/>
      <c r="AL151" s="72"/>
      <c r="AM151" s="72"/>
    </row>
    <row r="152" spans="1:39" x14ac:dyDescent="0.25">
      <c r="A152" s="37" t="s">
        <v>62</v>
      </c>
      <c r="B152" s="66" t="s">
        <v>1596</v>
      </c>
      <c r="C152" s="47">
        <v>1006</v>
      </c>
      <c r="D152" s="47" t="s">
        <v>179</v>
      </c>
      <c r="E152" s="41">
        <v>10060004</v>
      </c>
      <c r="F152" s="46" t="s">
        <v>181</v>
      </c>
      <c r="G152" s="39" t="s">
        <v>617</v>
      </c>
      <c r="H152" s="48" t="s">
        <v>98</v>
      </c>
      <c r="I152" s="52">
        <v>2710.2000000000007</v>
      </c>
      <c r="J152" s="49">
        <v>108295.19000000002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50">
        <v>108295.19000000002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108295.19000000002</v>
      </c>
      <c r="AA152" s="51">
        <v>0</v>
      </c>
      <c r="AB152" s="102">
        <v>0</v>
      </c>
      <c r="AC152" s="81">
        <f t="shared" si="9"/>
        <v>0</v>
      </c>
      <c r="AD152" s="82">
        <f t="shared" si="10"/>
        <v>0</v>
      </c>
      <c r="AE152" s="218">
        <v>0</v>
      </c>
      <c r="AF152">
        <v>0</v>
      </c>
      <c r="AH152" t="str">
        <f t="shared" si="8"/>
        <v>Sonvarsha</v>
      </c>
      <c r="AJ152" s="72">
        <v>0</v>
      </c>
      <c r="AK152" s="72"/>
      <c r="AL152" s="72"/>
      <c r="AM152" s="72"/>
    </row>
    <row r="153" spans="1:39" x14ac:dyDescent="0.25">
      <c r="A153" s="37" t="s">
        <v>62</v>
      </c>
      <c r="B153" s="66" t="s">
        <v>1596</v>
      </c>
      <c r="C153" s="47">
        <v>1006</v>
      </c>
      <c r="D153" s="47" t="s">
        <v>179</v>
      </c>
      <c r="E153" s="41">
        <v>10060005</v>
      </c>
      <c r="F153" s="46" t="s">
        <v>182</v>
      </c>
      <c r="G153" s="39" t="s">
        <v>617</v>
      </c>
      <c r="H153" s="48" t="s">
        <v>98</v>
      </c>
      <c r="I153" s="52">
        <v>866.6</v>
      </c>
      <c r="J153" s="49">
        <v>36134.079999999994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50">
        <v>36134.079999999994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36134.079999999994</v>
      </c>
      <c r="AA153" s="51">
        <v>0</v>
      </c>
      <c r="AB153" s="102">
        <v>0</v>
      </c>
      <c r="AC153" s="81">
        <f t="shared" si="9"/>
        <v>0</v>
      </c>
      <c r="AD153" s="82">
        <f t="shared" si="10"/>
        <v>0</v>
      </c>
      <c r="AE153" s="218">
        <v>0</v>
      </c>
      <c r="AF153">
        <v>0</v>
      </c>
      <c r="AH153" t="str">
        <f t="shared" si="8"/>
        <v>Sonvarsha</v>
      </c>
      <c r="AJ153" s="72">
        <v>0</v>
      </c>
      <c r="AK153" s="72"/>
      <c r="AL153" s="72"/>
      <c r="AM153" s="72"/>
    </row>
    <row r="154" spans="1:39" x14ac:dyDescent="0.25">
      <c r="A154" s="37" t="s">
        <v>62</v>
      </c>
      <c r="B154" s="66" t="s">
        <v>1596</v>
      </c>
      <c r="C154" s="47">
        <v>1006</v>
      </c>
      <c r="D154" s="47" t="s">
        <v>179</v>
      </c>
      <c r="E154" s="41">
        <v>10060007</v>
      </c>
      <c r="F154" s="46" t="s">
        <v>183</v>
      </c>
      <c r="G154" s="39" t="s">
        <v>617</v>
      </c>
      <c r="H154" s="48" t="s">
        <v>98</v>
      </c>
      <c r="I154" s="52">
        <v>712.10000000000014</v>
      </c>
      <c r="J154" s="49">
        <v>26352.18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50">
        <v>26352.18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26352.18</v>
      </c>
      <c r="AA154" s="51">
        <v>0</v>
      </c>
      <c r="AB154" s="102">
        <v>0</v>
      </c>
      <c r="AC154" s="81">
        <f t="shared" si="9"/>
        <v>0</v>
      </c>
      <c r="AD154" s="82">
        <f t="shared" si="10"/>
        <v>0</v>
      </c>
      <c r="AE154" s="218">
        <v>0</v>
      </c>
      <c r="AF154">
        <v>0</v>
      </c>
      <c r="AH154" t="str">
        <f t="shared" si="8"/>
        <v>Sonvarsha</v>
      </c>
      <c r="AJ154" s="72">
        <v>0</v>
      </c>
      <c r="AK154" s="72"/>
      <c r="AL154" s="72"/>
      <c r="AM154" s="72"/>
    </row>
    <row r="155" spans="1:39" x14ac:dyDescent="0.25">
      <c r="A155" s="37" t="s">
        <v>62</v>
      </c>
      <c r="B155" s="66" t="s">
        <v>1596</v>
      </c>
      <c r="C155" s="47">
        <v>1006</v>
      </c>
      <c r="D155" s="47" t="s">
        <v>179</v>
      </c>
      <c r="E155" s="41">
        <v>10060008</v>
      </c>
      <c r="F155" s="46" t="s">
        <v>184</v>
      </c>
      <c r="G155" s="39" t="s">
        <v>617</v>
      </c>
      <c r="H155" s="48" t="s">
        <v>98</v>
      </c>
      <c r="I155" s="52">
        <v>399.70000000000005</v>
      </c>
      <c r="J155" s="49">
        <v>16128.550000000001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50">
        <v>16128.550000000001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16128.550000000001</v>
      </c>
      <c r="AA155" s="51">
        <v>0</v>
      </c>
      <c r="AB155" s="102">
        <v>0</v>
      </c>
      <c r="AC155" s="81">
        <f t="shared" si="9"/>
        <v>242.35194220665494</v>
      </c>
      <c r="AD155" s="82">
        <f t="shared" si="10"/>
        <v>57.100000000000009</v>
      </c>
      <c r="AE155" s="218">
        <v>0</v>
      </c>
      <c r="AF155">
        <v>0</v>
      </c>
      <c r="AH155" t="str">
        <f t="shared" si="8"/>
        <v>Sonvarsha</v>
      </c>
      <c r="AJ155" s="72">
        <v>0</v>
      </c>
      <c r="AK155" s="72"/>
      <c r="AL155" s="72"/>
      <c r="AM155" s="72"/>
    </row>
    <row r="156" spans="1:39" x14ac:dyDescent="0.25">
      <c r="A156" s="37" t="s">
        <v>62</v>
      </c>
      <c r="B156" s="66" t="s">
        <v>1596</v>
      </c>
      <c r="C156" s="47">
        <v>1006</v>
      </c>
      <c r="D156" s="47" t="s">
        <v>179</v>
      </c>
      <c r="E156" s="41">
        <v>10060009</v>
      </c>
      <c r="F156" s="46" t="s">
        <v>185</v>
      </c>
      <c r="G156" s="39" t="s">
        <v>617</v>
      </c>
      <c r="H156" s="48" t="s">
        <v>98</v>
      </c>
      <c r="I156" s="52">
        <v>1450.8</v>
      </c>
      <c r="J156" s="49">
        <v>63595.310000000012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50">
        <v>63595.310000000012</v>
      </c>
      <c r="R156" s="65">
        <v>0</v>
      </c>
      <c r="S156" s="65">
        <v>0</v>
      </c>
      <c r="T156" s="65">
        <v>0</v>
      </c>
      <c r="U156" s="65">
        <v>24000</v>
      </c>
      <c r="V156" s="65">
        <v>0</v>
      </c>
      <c r="W156" s="65">
        <v>0</v>
      </c>
      <c r="X156" s="65">
        <v>0</v>
      </c>
      <c r="Y156" s="65">
        <v>0</v>
      </c>
      <c r="Z156" s="65">
        <v>39595.310000000012</v>
      </c>
      <c r="AA156" s="51">
        <v>0</v>
      </c>
      <c r="AB156" s="102">
        <v>0</v>
      </c>
      <c r="AC156" s="81">
        <f t="shared" si="9"/>
        <v>0</v>
      </c>
      <c r="AD156" s="82">
        <f t="shared" si="10"/>
        <v>0</v>
      </c>
      <c r="AE156" s="218">
        <v>0</v>
      </c>
      <c r="AF156">
        <v>0</v>
      </c>
      <c r="AH156" t="str">
        <f t="shared" si="8"/>
        <v>Sonvarsha</v>
      </c>
      <c r="AJ156" s="72">
        <v>0</v>
      </c>
      <c r="AK156" s="72"/>
      <c r="AL156" s="72"/>
      <c r="AM156" s="72"/>
    </row>
    <row r="157" spans="1:39" x14ac:dyDescent="0.25">
      <c r="A157" s="37" t="s">
        <v>62</v>
      </c>
      <c r="B157" s="66" t="s">
        <v>1596</v>
      </c>
      <c r="C157" s="47">
        <v>1006</v>
      </c>
      <c r="D157" s="47" t="s">
        <v>179</v>
      </c>
      <c r="E157" s="41">
        <v>10060010</v>
      </c>
      <c r="F157" s="46" t="s">
        <v>186</v>
      </c>
      <c r="G157" s="39" t="s">
        <v>617</v>
      </c>
      <c r="H157" s="48" t="s">
        <v>98</v>
      </c>
      <c r="I157" s="52">
        <v>2086.0000000000005</v>
      </c>
      <c r="J157" s="49">
        <v>88981.950000000012</v>
      </c>
      <c r="K157" s="65">
        <v>0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50">
        <v>88981.950000000012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0</v>
      </c>
      <c r="Z157" s="65">
        <v>88981.950000000012</v>
      </c>
      <c r="AA157" s="51">
        <v>0</v>
      </c>
      <c r="AB157" s="102">
        <v>0</v>
      </c>
      <c r="AC157" s="81">
        <f t="shared" si="9"/>
        <v>0</v>
      </c>
      <c r="AD157" s="82">
        <f t="shared" si="10"/>
        <v>0</v>
      </c>
      <c r="AE157" s="218">
        <v>0</v>
      </c>
      <c r="AF157">
        <v>0</v>
      </c>
      <c r="AH157" t="str">
        <f t="shared" si="8"/>
        <v>Sonvarsha</v>
      </c>
      <c r="AJ157" s="72">
        <v>0</v>
      </c>
      <c r="AK157" s="72"/>
      <c r="AL157" s="72"/>
      <c r="AM157" s="72"/>
    </row>
    <row r="158" spans="1:39" x14ac:dyDescent="0.25">
      <c r="A158" s="37" t="s">
        <v>62</v>
      </c>
      <c r="B158" s="66" t="s">
        <v>1596</v>
      </c>
      <c r="C158" s="47">
        <v>1059</v>
      </c>
      <c r="D158" s="47" t="s">
        <v>1299</v>
      </c>
      <c r="E158" s="41">
        <v>10060011</v>
      </c>
      <c r="F158" s="46" t="s">
        <v>187</v>
      </c>
      <c r="G158" s="39" t="s">
        <v>92</v>
      </c>
      <c r="H158" s="48" t="s">
        <v>93</v>
      </c>
      <c r="I158" s="52">
        <v>564.5</v>
      </c>
      <c r="J158" s="49">
        <v>28156.95</v>
      </c>
      <c r="K158" s="65">
        <v>557.7299999999999</v>
      </c>
      <c r="L158" s="65">
        <v>27749.01</v>
      </c>
      <c r="M158" s="65">
        <v>10.74</v>
      </c>
      <c r="N158" s="65">
        <v>508.94999999999993</v>
      </c>
      <c r="O158" s="65">
        <v>568.46999999999991</v>
      </c>
      <c r="P158" s="65">
        <v>28257.96</v>
      </c>
      <c r="Q158" s="50">
        <v>28156.95</v>
      </c>
      <c r="R158" s="65">
        <v>0</v>
      </c>
      <c r="S158" s="65">
        <v>508.94999999999993</v>
      </c>
      <c r="T158" s="65">
        <v>101.0099999999984</v>
      </c>
      <c r="U158" s="65">
        <v>0</v>
      </c>
      <c r="V158" s="65">
        <v>0</v>
      </c>
      <c r="W158" s="65">
        <v>0</v>
      </c>
      <c r="X158" s="65">
        <v>27648</v>
      </c>
      <c r="Y158" s="65">
        <v>0</v>
      </c>
      <c r="Z158" s="65">
        <v>0</v>
      </c>
      <c r="AA158" s="51">
        <v>0</v>
      </c>
      <c r="AB158" s="102">
        <v>0</v>
      </c>
      <c r="AC158" s="81">
        <f t="shared" si="9"/>
        <v>135.17331178033663</v>
      </c>
      <c r="AD158" s="82">
        <f t="shared" si="10"/>
        <v>80.642857142857139</v>
      </c>
      <c r="AE158" s="218">
        <v>-3.5873913900475157E-3</v>
      </c>
      <c r="AF158">
        <v>24</v>
      </c>
      <c r="AH158" t="str">
        <f t="shared" si="8"/>
        <v>Gopalpur Bmc</v>
      </c>
      <c r="AJ158" s="72">
        <v>0</v>
      </c>
      <c r="AK158" s="72"/>
      <c r="AL158" s="72"/>
      <c r="AM158" s="72"/>
    </row>
    <row r="159" spans="1:39" x14ac:dyDescent="0.25">
      <c r="A159" s="37" t="s">
        <v>62</v>
      </c>
      <c r="B159" s="66" t="s">
        <v>1596</v>
      </c>
      <c r="C159" s="47">
        <v>1006</v>
      </c>
      <c r="D159" s="47" t="s">
        <v>179</v>
      </c>
      <c r="E159" s="41">
        <v>10060014</v>
      </c>
      <c r="F159" s="46" t="s">
        <v>188</v>
      </c>
      <c r="G159" s="39" t="s">
        <v>617</v>
      </c>
      <c r="H159" s="48" t="s">
        <v>98</v>
      </c>
      <c r="I159" s="52">
        <v>34.700000000000003</v>
      </c>
      <c r="J159" s="49">
        <v>1205.83</v>
      </c>
      <c r="K159" s="65">
        <v>0</v>
      </c>
      <c r="L159" s="65">
        <v>0</v>
      </c>
      <c r="M159" s="65">
        <v>0</v>
      </c>
      <c r="N159" s="65">
        <v>0</v>
      </c>
      <c r="O159" s="65">
        <v>0</v>
      </c>
      <c r="P159" s="65">
        <v>0</v>
      </c>
      <c r="Q159" s="50">
        <v>1205.83</v>
      </c>
      <c r="R159" s="65">
        <v>0</v>
      </c>
      <c r="S159" s="65">
        <v>0</v>
      </c>
      <c r="T159" s="65">
        <v>0</v>
      </c>
      <c r="U159" s="65">
        <v>0</v>
      </c>
      <c r="V159" s="65">
        <v>0</v>
      </c>
      <c r="W159" s="65">
        <v>0</v>
      </c>
      <c r="X159" s="65">
        <v>0</v>
      </c>
      <c r="Y159" s="65">
        <v>0</v>
      </c>
      <c r="Z159" s="65">
        <v>1205.83</v>
      </c>
      <c r="AA159" s="51">
        <v>0</v>
      </c>
      <c r="AB159" s="102">
        <v>0</v>
      </c>
      <c r="AC159" s="81">
        <f t="shared" si="9"/>
        <v>462.38541729106618</v>
      </c>
      <c r="AD159" s="82">
        <f t="shared" si="10"/>
        <v>4.9571428571428573</v>
      </c>
      <c r="AE159" s="218">
        <v>0</v>
      </c>
      <c r="AF159">
        <v>0</v>
      </c>
      <c r="AH159" t="str">
        <f t="shared" si="8"/>
        <v>Sonvarsha</v>
      </c>
      <c r="AJ159" s="72">
        <v>0</v>
      </c>
      <c r="AK159" s="72"/>
      <c r="AL159" s="72"/>
      <c r="AM159" s="72"/>
    </row>
    <row r="160" spans="1:39" x14ac:dyDescent="0.25">
      <c r="A160" s="37" t="s">
        <v>62</v>
      </c>
      <c r="B160" s="66" t="s">
        <v>1596</v>
      </c>
      <c r="C160" s="47">
        <v>1006</v>
      </c>
      <c r="D160" s="47" t="s">
        <v>179</v>
      </c>
      <c r="E160" s="41">
        <v>10060015</v>
      </c>
      <c r="F160" s="46" t="s">
        <v>189</v>
      </c>
      <c r="G160" s="39" t="s">
        <v>617</v>
      </c>
      <c r="H160" s="48" t="s">
        <v>98</v>
      </c>
      <c r="I160" s="52">
        <v>132.29999999999998</v>
      </c>
      <c r="J160" s="49">
        <v>5893.1900000000005</v>
      </c>
      <c r="K160" s="65">
        <v>0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50">
        <v>5893.1900000000005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0</v>
      </c>
      <c r="Z160" s="65">
        <v>5893.1900000000005</v>
      </c>
      <c r="AA160" s="51">
        <v>0</v>
      </c>
      <c r="AB160" s="102">
        <v>0</v>
      </c>
      <c r="AC160" s="81">
        <f t="shared" si="9"/>
        <v>505.75418941798949</v>
      </c>
      <c r="AD160" s="82">
        <f t="shared" si="10"/>
        <v>18.899999999999999</v>
      </c>
      <c r="AE160" s="218">
        <v>0</v>
      </c>
      <c r="AF160">
        <v>0</v>
      </c>
      <c r="AH160" t="str">
        <f t="shared" si="8"/>
        <v>Sonvarsha</v>
      </c>
      <c r="AJ160" s="72">
        <v>0</v>
      </c>
      <c r="AK160" s="72"/>
      <c r="AL160" s="72"/>
      <c r="AM160" s="72"/>
    </row>
    <row r="161" spans="1:39" x14ac:dyDescent="0.25">
      <c r="A161" s="37" t="s">
        <v>62</v>
      </c>
      <c r="B161" s="66" t="s">
        <v>1596</v>
      </c>
      <c r="C161" s="47">
        <v>1006</v>
      </c>
      <c r="D161" s="47" t="s">
        <v>179</v>
      </c>
      <c r="E161" s="41">
        <v>10060020</v>
      </c>
      <c r="F161" s="46" t="s">
        <v>190</v>
      </c>
      <c r="G161" s="39" t="s">
        <v>617</v>
      </c>
      <c r="H161" s="48" t="s">
        <v>98</v>
      </c>
      <c r="I161" s="52">
        <v>1112.2</v>
      </c>
      <c r="J161" s="49">
        <v>41877.49</v>
      </c>
      <c r="K161" s="65">
        <v>0</v>
      </c>
      <c r="L161" s="65">
        <v>0</v>
      </c>
      <c r="M161" s="65">
        <v>0</v>
      </c>
      <c r="N161" s="65">
        <v>0</v>
      </c>
      <c r="O161" s="65">
        <v>0</v>
      </c>
      <c r="P161" s="65">
        <v>0</v>
      </c>
      <c r="Q161" s="50">
        <v>41877.49</v>
      </c>
      <c r="R161" s="65">
        <v>0</v>
      </c>
      <c r="S161" s="65">
        <v>0</v>
      </c>
      <c r="T161" s="65">
        <v>0</v>
      </c>
      <c r="U161" s="65">
        <v>0</v>
      </c>
      <c r="V161" s="65">
        <v>0</v>
      </c>
      <c r="W161" s="65">
        <v>0</v>
      </c>
      <c r="X161" s="65">
        <v>0</v>
      </c>
      <c r="Y161" s="65">
        <v>0</v>
      </c>
      <c r="Z161" s="65">
        <v>41877.49</v>
      </c>
      <c r="AA161" s="51">
        <v>0</v>
      </c>
      <c r="AB161" s="102">
        <v>0</v>
      </c>
      <c r="AC161" s="81">
        <f t="shared" si="9"/>
        <v>0</v>
      </c>
      <c r="AD161" s="82">
        <f t="shared" si="10"/>
        <v>0</v>
      </c>
      <c r="AE161" s="218">
        <v>0</v>
      </c>
      <c r="AF161">
        <v>0</v>
      </c>
      <c r="AH161" t="str">
        <f t="shared" si="8"/>
        <v>Sonvarsha</v>
      </c>
      <c r="AJ161" s="72">
        <v>0</v>
      </c>
      <c r="AK161" s="72"/>
      <c r="AL161" s="72"/>
      <c r="AM161" s="72"/>
    </row>
    <row r="162" spans="1:39" x14ac:dyDescent="0.25">
      <c r="A162" s="37" t="s">
        <v>62</v>
      </c>
      <c r="B162" s="66" t="s">
        <v>1596</v>
      </c>
      <c r="C162" s="47">
        <v>1006</v>
      </c>
      <c r="D162" s="47" t="s">
        <v>179</v>
      </c>
      <c r="E162" s="41">
        <v>10060021</v>
      </c>
      <c r="F162" s="46" t="s">
        <v>191</v>
      </c>
      <c r="G162" s="39" t="s">
        <v>617</v>
      </c>
      <c r="H162" s="48" t="s">
        <v>98</v>
      </c>
      <c r="I162" s="52">
        <v>1930.3000000000002</v>
      </c>
      <c r="J162" s="49">
        <v>77909.98000000001</v>
      </c>
      <c r="K162" s="65">
        <v>0</v>
      </c>
      <c r="L162" s="65">
        <v>0</v>
      </c>
      <c r="M162" s="65">
        <v>0</v>
      </c>
      <c r="N162" s="65">
        <v>0</v>
      </c>
      <c r="O162" s="65">
        <v>0</v>
      </c>
      <c r="P162" s="65">
        <v>0</v>
      </c>
      <c r="Q162" s="50">
        <v>77909.98000000001</v>
      </c>
      <c r="R162" s="65">
        <v>0</v>
      </c>
      <c r="S162" s="65">
        <v>0</v>
      </c>
      <c r="T162" s="65">
        <v>0</v>
      </c>
      <c r="U162" s="65">
        <v>20250</v>
      </c>
      <c r="V162" s="65">
        <v>0</v>
      </c>
      <c r="W162" s="65">
        <v>0</v>
      </c>
      <c r="X162" s="65">
        <v>0</v>
      </c>
      <c r="Y162" s="65">
        <v>0</v>
      </c>
      <c r="Z162" s="65">
        <v>57659.98000000001</v>
      </c>
      <c r="AA162" s="51">
        <v>0</v>
      </c>
      <c r="AB162" s="102">
        <v>0</v>
      </c>
      <c r="AC162" s="81">
        <f t="shared" si="9"/>
        <v>0</v>
      </c>
      <c r="AD162" s="82">
        <f t="shared" si="10"/>
        <v>0</v>
      </c>
      <c r="AE162" s="218">
        <v>0</v>
      </c>
      <c r="AF162">
        <v>0</v>
      </c>
      <c r="AH162" t="str">
        <f t="shared" si="8"/>
        <v>Sonvarsha</v>
      </c>
      <c r="AJ162" s="72">
        <v>0</v>
      </c>
      <c r="AK162" s="72"/>
      <c r="AL162" s="72"/>
      <c r="AM162" s="72"/>
    </row>
    <row r="163" spans="1:39" x14ac:dyDescent="0.25">
      <c r="A163" s="37" t="s">
        <v>62</v>
      </c>
      <c r="B163" s="66" t="s">
        <v>1596</v>
      </c>
      <c r="C163" s="47">
        <v>1006</v>
      </c>
      <c r="D163" s="47" t="s">
        <v>179</v>
      </c>
      <c r="E163" s="41">
        <v>10060022</v>
      </c>
      <c r="F163" s="46" t="s">
        <v>599</v>
      </c>
      <c r="G163" s="39" t="s">
        <v>92</v>
      </c>
      <c r="H163" s="48" t="s">
        <v>93</v>
      </c>
      <c r="I163" s="52">
        <v>769.69999999999993</v>
      </c>
      <c r="J163" s="49">
        <v>29413.059999999998</v>
      </c>
      <c r="K163" s="65">
        <v>412.6</v>
      </c>
      <c r="L163" s="65">
        <v>16367.900000000001</v>
      </c>
      <c r="M163" s="65">
        <v>338.4</v>
      </c>
      <c r="N163" s="65">
        <v>13366.279999999999</v>
      </c>
      <c r="O163" s="65">
        <v>751</v>
      </c>
      <c r="P163" s="65">
        <v>29734.18</v>
      </c>
      <c r="Q163" s="50">
        <v>29413.059999999998</v>
      </c>
      <c r="R163" s="65">
        <v>0</v>
      </c>
      <c r="S163" s="65">
        <v>500.9</v>
      </c>
      <c r="T163" s="65">
        <v>321.12000000000262</v>
      </c>
      <c r="U163" s="65">
        <v>28912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51">
        <v>0</v>
      </c>
      <c r="AB163" s="102" t="s">
        <v>68</v>
      </c>
      <c r="AC163" s="81">
        <f t="shared" si="9"/>
        <v>0</v>
      </c>
      <c r="AD163" s="82">
        <f t="shared" si="10"/>
        <v>0</v>
      </c>
      <c r="AE163" s="218">
        <v>-1.0917599188931809E-2</v>
      </c>
      <c r="AF163">
        <v>24</v>
      </c>
      <c r="AH163" t="str">
        <f t="shared" si="8"/>
        <v>Sonvarsha</v>
      </c>
      <c r="AJ163" s="72">
        <v>0</v>
      </c>
      <c r="AK163" s="72"/>
      <c r="AL163" s="72"/>
      <c r="AM163" s="72"/>
    </row>
    <row r="164" spans="1:39" x14ac:dyDescent="0.25">
      <c r="A164" s="37" t="s">
        <v>62</v>
      </c>
      <c r="B164" s="66" t="s">
        <v>1596</v>
      </c>
      <c r="C164" s="47">
        <v>1006</v>
      </c>
      <c r="D164" s="47" t="s">
        <v>179</v>
      </c>
      <c r="E164" s="41">
        <v>10060023</v>
      </c>
      <c r="F164" s="46" t="s">
        <v>192</v>
      </c>
      <c r="G164" s="39" t="s">
        <v>617</v>
      </c>
      <c r="H164" s="48" t="s">
        <v>98</v>
      </c>
      <c r="I164" s="52">
        <v>152.30000000000001</v>
      </c>
      <c r="J164" s="49">
        <v>6625.35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50">
        <v>6625.35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6625.35</v>
      </c>
      <c r="AA164" s="51">
        <v>0</v>
      </c>
      <c r="AB164" s="102">
        <v>0</v>
      </c>
      <c r="AC164" s="81">
        <f t="shared" si="9"/>
        <v>476.52057715036108</v>
      </c>
      <c r="AD164" s="82">
        <f t="shared" si="10"/>
        <v>21.75714285714286</v>
      </c>
      <c r="AE164" s="218">
        <v>0</v>
      </c>
      <c r="AF164">
        <v>0</v>
      </c>
      <c r="AH164" t="str">
        <f t="shared" si="8"/>
        <v>Sonvarsha</v>
      </c>
      <c r="AJ164" s="72">
        <v>0</v>
      </c>
      <c r="AK164" s="72"/>
      <c r="AL164" s="72"/>
      <c r="AM164" s="72"/>
    </row>
    <row r="165" spans="1:39" x14ac:dyDescent="0.25">
      <c r="A165" s="37" t="s">
        <v>62</v>
      </c>
      <c r="B165" s="66" t="s">
        <v>1596</v>
      </c>
      <c r="C165" s="47">
        <v>1006</v>
      </c>
      <c r="D165" s="47" t="s">
        <v>179</v>
      </c>
      <c r="E165" s="41">
        <v>10060026</v>
      </c>
      <c r="F165" s="46" t="s">
        <v>193</v>
      </c>
      <c r="G165" s="39" t="s">
        <v>92</v>
      </c>
      <c r="H165" s="48" t="s">
        <v>93</v>
      </c>
      <c r="I165" s="52">
        <v>757.39999999999986</v>
      </c>
      <c r="J165" s="49">
        <v>40149.710000000006</v>
      </c>
      <c r="K165" s="65">
        <v>552.79999999999995</v>
      </c>
      <c r="L165" s="65">
        <v>29811.299999999996</v>
      </c>
      <c r="M165" s="65">
        <v>207.70000000000002</v>
      </c>
      <c r="N165" s="65">
        <v>10986.27</v>
      </c>
      <c r="O165" s="65">
        <v>760.5</v>
      </c>
      <c r="P165" s="65">
        <v>40797.569999999992</v>
      </c>
      <c r="Q165" s="50">
        <v>40149.710000000006</v>
      </c>
      <c r="R165" s="65">
        <v>0</v>
      </c>
      <c r="S165" s="65">
        <v>0</v>
      </c>
      <c r="T165" s="65">
        <v>647.85999999998603</v>
      </c>
      <c r="U165" s="65">
        <v>0</v>
      </c>
      <c r="V165" s="65">
        <v>0</v>
      </c>
      <c r="W165" s="65">
        <v>0</v>
      </c>
      <c r="X165" s="65">
        <v>29164</v>
      </c>
      <c r="Y165" s="65">
        <v>10986</v>
      </c>
      <c r="Z165" s="65">
        <v>0</v>
      </c>
      <c r="AA165" s="51">
        <v>0</v>
      </c>
      <c r="AB165" s="102">
        <v>0</v>
      </c>
      <c r="AC165" s="81">
        <f t="shared" si="9"/>
        <v>0</v>
      </c>
      <c r="AD165" s="82">
        <f t="shared" si="10"/>
        <v>0</v>
      </c>
      <c r="AE165" s="218">
        <v>-1.6136106587070889E-2</v>
      </c>
      <c r="AF165">
        <v>11</v>
      </c>
      <c r="AH165" t="str">
        <f t="shared" si="8"/>
        <v>Sonvarsha</v>
      </c>
      <c r="AJ165" s="72">
        <v>0</v>
      </c>
      <c r="AK165" s="72"/>
      <c r="AL165" s="72"/>
      <c r="AM165" s="72"/>
    </row>
    <row r="166" spans="1:39" x14ac:dyDescent="0.25">
      <c r="A166" s="37" t="s">
        <v>62</v>
      </c>
      <c r="B166" s="66" t="s">
        <v>1596</v>
      </c>
      <c r="C166" s="47">
        <v>1059</v>
      </c>
      <c r="D166" s="47" t="s">
        <v>1299</v>
      </c>
      <c r="E166" s="41">
        <v>10060027</v>
      </c>
      <c r="F166" s="46" t="s">
        <v>194</v>
      </c>
      <c r="G166" s="39" t="s">
        <v>92</v>
      </c>
      <c r="H166" s="48" t="s">
        <v>93</v>
      </c>
      <c r="I166" s="52">
        <v>1768.3999999999999</v>
      </c>
      <c r="J166" s="49">
        <v>79784.329999999987</v>
      </c>
      <c r="K166" s="65">
        <v>1760.14</v>
      </c>
      <c r="L166" s="65">
        <v>79732.570000000007</v>
      </c>
      <c r="M166" s="65">
        <v>19.600000000000001</v>
      </c>
      <c r="N166" s="65">
        <v>880.33</v>
      </c>
      <c r="O166" s="65">
        <v>1779.74</v>
      </c>
      <c r="P166" s="65">
        <v>80612.900000000009</v>
      </c>
      <c r="Q166" s="50">
        <v>79784.329999999987</v>
      </c>
      <c r="R166" s="65">
        <v>0</v>
      </c>
      <c r="S166" s="65">
        <v>880.33</v>
      </c>
      <c r="T166" s="65">
        <v>828.57000000002154</v>
      </c>
      <c r="U166" s="65">
        <v>0</v>
      </c>
      <c r="V166" s="65">
        <v>0</v>
      </c>
      <c r="W166" s="65">
        <v>0</v>
      </c>
      <c r="X166" s="65">
        <v>78904</v>
      </c>
      <c r="Y166" s="65">
        <v>0</v>
      </c>
      <c r="Z166" s="65">
        <v>0</v>
      </c>
      <c r="AA166" s="51">
        <v>0</v>
      </c>
      <c r="AB166" s="102">
        <v>0</v>
      </c>
      <c r="AC166" s="81">
        <f t="shared" si="9"/>
        <v>0</v>
      </c>
      <c r="AD166" s="82">
        <f t="shared" si="10"/>
        <v>0</v>
      </c>
      <c r="AE166" s="218">
        <v>-1.0385121990747075E-2</v>
      </c>
      <c r="AF166">
        <v>79</v>
      </c>
      <c r="AH166" t="str">
        <f t="shared" si="8"/>
        <v>Gopalpur Bmc</v>
      </c>
      <c r="AJ166" s="72">
        <v>0</v>
      </c>
      <c r="AK166" s="72"/>
      <c r="AL166" s="72"/>
      <c r="AM166" s="72"/>
    </row>
    <row r="167" spans="1:39" x14ac:dyDescent="0.25">
      <c r="A167" s="37" t="s">
        <v>62</v>
      </c>
      <c r="B167" s="66" t="s">
        <v>1596</v>
      </c>
      <c r="C167" s="47">
        <v>1006</v>
      </c>
      <c r="D167" s="47" t="s">
        <v>179</v>
      </c>
      <c r="E167" s="41">
        <v>10060028</v>
      </c>
      <c r="F167" s="46" t="s">
        <v>195</v>
      </c>
      <c r="G167" s="39" t="s">
        <v>617</v>
      </c>
      <c r="H167" s="48" t="s">
        <v>98</v>
      </c>
      <c r="I167" s="52">
        <v>396.90000000000003</v>
      </c>
      <c r="J167" s="49">
        <v>15129.240000000002</v>
      </c>
      <c r="K167" s="65">
        <v>0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50">
        <v>15129.240000000002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0</v>
      </c>
      <c r="Z167" s="65">
        <v>15129.240000000002</v>
      </c>
      <c r="AA167" s="51">
        <v>0</v>
      </c>
      <c r="AB167" s="102">
        <v>0</v>
      </c>
      <c r="AC167" s="81">
        <f t="shared" si="9"/>
        <v>231.07445925925924</v>
      </c>
      <c r="AD167" s="82">
        <f t="shared" si="10"/>
        <v>56.7</v>
      </c>
      <c r="AE167" s="218">
        <v>0</v>
      </c>
      <c r="AF167">
        <v>0</v>
      </c>
      <c r="AH167" t="str">
        <f t="shared" si="8"/>
        <v>Sonvarsha</v>
      </c>
      <c r="AJ167" s="72">
        <v>0</v>
      </c>
      <c r="AK167" s="72"/>
      <c r="AL167" s="72"/>
      <c r="AM167" s="72"/>
    </row>
    <row r="168" spans="1:39" x14ac:dyDescent="0.25">
      <c r="A168" s="37" t="s">
        <v>62</v>
      </c>
      <c r="B168" s="66" t="s">
        <v>1596</v>
      </c>
      <c r="C168" s="47">
        <v>1006</v>
      </c>
      <c r="D168" s="47" t="s">
        <v>179</v>
      </c>
      <c r="E168" s="41">
        <v>10060029</v>
      </c>
      <c r="F168" s="46" t="s">
        <v>196</v>
      </c>
      <c r="G168" s="39" t="s">
        <v>92</v>
      </c>
      <c r="H168" s="48" t="s">
        <v>93</v>
      </c>
      <c r="I168" s="52">
        <v>2093.5000000000005</v>
      </c>
      <c r="J168" s="49">
        <v>102597.69</v>
      </c>
      <c r="K168" s="65">
        <v>1751.64</v>
      </c>
      <c r="L168" s="65">
        <v>85807.07</v>
      </c>
      <c r="M168" s="65">
        <v>357.38</v>
      </c>
      <c r="N168" s="65">
        <v>17243</v>
      </c>
      <c r="O168" s="65">
        <v>2109.02</v>
      </c>
      <c r="P168" s="65">
        <v>103050.07</v>
      </c>
      <c r="Q168" s="50">
        <v>102597.69</v>
      </c>
      <c r="R168" s="65">
        <v>0</v>
      </c>
      <c r="S168" s="65">
        <v>1065.0100000000002</v>
      </c>
      <c r="T168" s="65">
        <v>452.38000000000466</v>
      </c>
      <c r="U168" s="65">
        <v>0</v>
      </c>
      <c r="V168" s="65">
        <v>0</v>
      </c>
      <c r="W168" s="65">
        <v>0</v>
      </c>
      <c r="X168" s="65">
        <v>85355</v>
      </c>
      <c r="Y168" s="65">
        <v>16178</v>
      </c>
      <c r="Z168" s="65">
        <v>0</v>
      </c>
      <c r="AA168" s="51">
        <v>0</v>
      </c>
      <c r="AB168" s="102">
        <v>0</v>
      </c>
      <c r="AC168" s="81">
        <f t="shared" si="9"/>
        <v>0</v>
      </c>
      <c r="AD168" s="82">
        <f t="shared" si="10"/>
        <v>0</v>
      </c>
      <c r="AE168" s="218">
        <v>-4.4092610662092354E-3</v>
      </c>
      <c r="AF168">
        <v>37</v>
      </c>
      <c r="AH168" t="str">
        <f t="shared" si="8"/>
        <v>Sonvarsha</v>
      </c>
      <c r="AJ168" s="72">
        <v>0</v>
      </c>
      <c r="AK168" s="72"/>
      <c r="AL168" s="72"/>
      <c r="AM168" s="72"/>
    </row>
    <row r="169" spans="1:39" x14ac:dyDescent="0.25">
      <c r="A169" s="37" t="s">
        <v>62</v>
      </c>
      <c r="B169" s="66" t="s">
        <v>1596</v>
      </c>
      <c r="C169" s="47">
        <v>1006</v>
      </c>
      <c r="D169" s="47" t="s">
        <v>179</v>
      </c>
      <c r="E169" s="41">
        <v>10060031</v>
      </c>
      <c r="F169" s="46" t="s">
        <v>197</v>
      </c>
      <c r="G169" s="39" t="s">
        <v>92</v>
      </c>
      <c r="H169" s="48" t="s">
        <v>93</v>
      </c>
      <c r="I169" s="52">
        <v>497</v>
      </c>
      <c r="J169" s="49">
        <v>20313.7</v>
      </c>
      <c r="K169" s="65">
        <v>478.22000000000008</v>
      </c>
      <c r="L169" s="65">
        <v>22261.97</v>
      </c>
      <c r="M169" s="65">
        <v>0</v>
      </c>
      <c r="N169" s="65">
        <v>0</v>
      </c>
      <c r="O169" s="65">
        <v>478.22000000000008</v>
      </c>
      <c r="P169" s="65">
        <v>22261.97</v>
      </c>
      <c r="Q169" s="50">
        <v>20313.7</v>
      </c>
      <c r="R169" s="65">
        <v>0</v>
      </c>
      <c r="S169" s="65">
        <v>0</v>
      </c>
      <c r="T169" s="65">
        <v>1948.2700000000004</v>
      </c>
      <c r="U169" s="65">
        <v>0</v>
      </c>
      <c r="V169" s="65">
        <v>0</v>
      </c>
      <c r="W169" s="65">
        <v>0</v>
      </c>
      <c r="X169" s="65">
        <v>20314</v>
      </c>
      <c r="Y169" s="65">
        <v>0</v>
      </c>
      <c r="Z169" s="65">
        <v>0</v>
      </c>
      <c r="AA169" s="51">
        <v>0</v>
      </c>
      <c r="AB169" s="102">
        <v>0</v>
      </c>
      <c r="AC169" s="81">
        <f t="shared" si="9"/>
        <v>165.94290140845072</v>
      </c>
      <c r="AD169" s="82">
        <f t="shared" si="10"/>
        <v>71</v>
      </c>
      <c r="AE169" s="218">
        <v>-9.5909164750882431E-2</v>
      </c>
      <c r="AF169">
        <v>11</v>
      </c>
      <c r="AH169" t="str">
        <f t="shared" si="8"/>
        <v>Sonvarsha</v>
      </c>
      <c r="AJ169" s="72">
        <v>0</v>
      </c>
      <c r="AK169" s="72"/>
      <c r="AL169" s="72"/>
      <c r="AM169" s="72"/>
    </row>
    <row r="170" spans="1:39" x14ac:dyDescent="0.25">
      <c r="A170" s="37" t="s">
        <v>62</v>
      </c>
      <c r="B170" s="66" t="s">
        <v>1596</v>
      </c>
      <c r="C170" s="47">
        <v>1059</v>
      </c>
      <c r="D170" s="47" t="s">
        <v>1299</v>
      </c>
      <c r="E170" s="41">
        <v>10060032</v>
      </c>
      <c r="F170" s="46" t="s">
        <v>198</v>
      </c>
      <c r="G170" s="39" t="s">
        <v>92</v>
      </c>
      <c r="H170" s="48" t="s">
        <v>93</v>
      </c>
      <c r="I170" s="52">
        <v>3657.0000000000005</v>
      </c>
      <c r="J170" s="49">
        <v>193574.91999999995</v>
      </c>
      <c r="K170" s="65">
        <v>3732.2699999999995</v>
      </c>
      <c r="L170" s="65">
        <v>194550.28999999995</v>
      </c>
      <c r="M170" s="65">
        <v>35.99</v>
      </c>
      <c r="N170" s="65">
        <v>2306.85</v>
      </c>
      <c r="O170" s="65">
        <v>3768.2599999999993</v>
      </c>
      <c r="P170" s="65">
        <v>196857.13999999996</v>
      </c>
      <c r="Q170" s="50">
        <v>193574.91999999995</v>
      </c>
      <c r="R170" s="65">
        <v>0</v>
      </c>
      <c r="S170" s="65">
        <v>2306.85</v>
      </c>
      <c r="T170" s="65">
        <v>3282.2200000000012</v>
      </c>
      <c r="U170" s="65">
        <v>15000</v>
      </c>
      <c r="V170" s="65">
        <v>0</v>
      </c>
      <c r="W170" s="65">
        <v>0</v>
      </c>
      <c r="X170" s="65">
        <v>176268</v>
      </c>
      <c r="Y170" s="65">
        <v>0</v>
      </c>
      <c r="Z170" s="65">
        <v>0</v>
      </c>
      <c r="AA170" s="51">
        <v>0</v>
      </c>
      <c r="AB170" s="102">
        <v>0</v>
      </c>
      <c r="AC170" s="81">
        <f t="shared" si="9"/>
        <v>0</v>
      </c>
      <c r="AD170" s="82">
        <f t="shared" si="10"/>
        <v>0</v>
      </c>
      <c r="AE170" s="218">
        <v>-1.6955812250884578E-2</v>
      </c>
      <c r="AF170">
        <v>58</v>
      </c>
      <c r="AH170" t="str">
        <f t="shared" si="8"/>
        <v>Gopalpur Bmc</v>
      </c>
      <c r="AJ170" s="72">
        <v>0</v>
      </c>
      <c r="AK170" s="72"/>
      <c r="AL170" s="72"/>
      <c r="AM170" s="72"/>
    </row>
    <row r="171" spans="1:39" x14ac:dyDescent="0.25">
      <c r="A171" s="37" t="s">
        <v>62</v>
      </c>
      <c r="B171" s="66" t="s">
        <v>1596</v>
      </c>
      <c r="C171" s="47">
        <v>1006</v>
      </c>
      <c r="D171" s="47" t="s">
        <v>179</v>
      </c>
      <c r="E171" s="41">
        <v>10060036</v>
      </c>
      <c r="F171" s="46" t="s">
        <v>1521</v>
      </c>
      <c r="G171" s="39" t="s">
        <v>92</v>
      </c>
      <c r="H171" s="48" t="s">
        <v>93</v>
      </c>
      <c r="I171" s="52">
        <v>2233.9</v>
      </c>
      <c r="J171" s="49">
        <v>115135.2</v>
      </c>
      <c r="K171" s="65">
        <v>768.80000000000007</v>
      </c>
      <c r="L171" s="65">
        <v>41631.850000000013</v>
      </c>
      <c r="M171" s="65">
        <v>2084.2599999999998</v>
      </c>
      <c r="N171" s="65">
        <v>115133.31</v>
      </c>
      <c r="O171" s="65">
        <v>2853.06</v>
      </c>
      <c r="P171" s="65">
        <v>156765.16</v>
      </c>
      <c r="Q171" s="50">
        <v>115135.2</v>
      </c>
      <c r="R171" s="65">
        <v>0</v>
      </c>
      <c r="S171" s="65">
        <v>51.65</v>
      </c>
      <c r="T171" s="65">
        <v>41629.960000000006</v>
      </c>
      <c r="U171" s="65">
        <v>0</v>
      </c>
      <c r="V171" s="65">
        <v>0</v>
      </c>
      <c r="W171" s="65">
        <v>0</v>
      </c>
      <c r="X171" s="65">
        <v>2</v>
      </c>
      <c r="Y171" s="65">
        <v>115082</v>
      </c>
      <c r="Z171" s="65">
        <v>0</v>
      </c>
      <c r="AA171" s="51">
        <v>0</v>
      </c>
      <c r="AB171" s="102">
        <v>0</v>
      </c>
      <c r="AC171" s="81">
        <f t="shared" si="9"/>
        <v>0</v>
      </c>
      <c r="AD171" s="82">
        <f t="shared" si="10"/>
        <v>0</v>
      </c>
      <c r="AE171" s="218">
        <v>-0.36157456624907075</v>
      </c>
      <c r="AF171">
        <v>13</v>
      </c>
      <c r="AH171" t="str">
        <f t="shared" si="8"/>
        <v>Sonvarsha</v>
      </c>
      <c r="AJ171" s="72">
        <v>0</v>
      </c>
      <c r="AK171" s="72"/>
      <c r="AL171" s="72"/>
      <c r="AM171" s="72"/>
    </row>
    <row r="172" spans="1:39" x14ac:dyDescent="0.25">
      <c r="A172" s="37" t="s">
        <v>62</v>
      </c>
      <c r="B172" s="66" t="s">
        <v>1596</v>
      </c>
      <c r="C172" s="47">
        <v>1006</v>
      </c>
      <c r="D172" s="47" t="s">
        <v>179</v>
      </c>
      <c r="E172" s="41">
        <v>10060041</v>
      </c>
      <c r="F172" s="46" t="s">
        <v>199</v>
      </c>
      <c r="G172" s="39" t="s">
        <v>617</v>
      </c>
      <c r="H172" s="48" t="s">
        <v>98</v>
      </c>
      <c r="I172" s="52">
        <v>150.5</v>
      </c>
      <c r="J172" s="49">
        <v>5962.27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50">
        <v>5962.27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5962.27</v>
      </c>
      <c r="AA172" s="51">
        <v>0</v>
      </c>
      <c r="AB172" s="102">
        <v>0</v>
      </c>
      <c r="AC172" s="81">
        <f t="shared" si="9"/>
        <v>435.38436744186055</v>
      </c>
      <c r="AD172" s="82">
        <f t="shared" si="10"/>
        <v>21.5</v>
      </c>
      <c r="AE172" s="218">
        <v>0</v>
      </c>
      <c r="AF172">
        <v>0</v>
      </c>
      <c r="AH172" t="str">
        <f t="shared" si="8"/>
        <v>Sonvarsha</v>
      </c>
      <c r="AJ172" s="72">
        <v>0</v>
      </c>
      <c r="AK172" s="72"/>
      <c r="AL172" s="72"/>
      <c r="AM172" s="72"/>
    </row>
    <row r="173" spans="1:39" x14ac:dyDescent="0.25">
      <c r="A173" s="37" t="s">
        <v>62</v>
      </c>
      <c r="B173" s="66" t="s">
        <v>1596</v>
      </c>
      <c r="C173" s="47">
        <v>1059</v>
      </c>
      <c r="D173" s="47" t="s">
        <v>1299</v>
      </c>
      <c r="E173" s="41">
        <v>10060049</v>
      </c>
      <c r="F173" s="46" t="s">
        <v>200</v>
      </c>
      <c r="G173" s="39" t="s">
        <v>92</v>
      </c>
      <c r="H173" s="48" t="s">
        <v>93</v>
      </c>
      <c r="I173" s="52">
        <v>756.3</v>
      </c>
      <c r="J173" s="49">
        <v>36330.450000000004</v>
      </c>
      <c r="K173" s="65">
        <v>739.09</v>
      </c>
      <c r="L173" s="65">
        <v>36368.110000000008</v>
      </c>
      <c r="M173" s="65">
        <v>8.4</v>
      </c>
      <c r="N173" s="65">
        <v>467.66</v>
      </c>
      <c r="O173" s="65">
        <v>747.49</v>
      </c>
      <c r="P173" s="65">
        <v>36835.770000000011</v>
      </c>
      <c r="Q173" s="50">
        <v>36330.450000000004</v>
      </c>
      <c r="R173" s="65">
        <v>0</v>
      </c>
      <c r="S173" s="65">
        <v>467.66</v>
      </c>
      <c r="T173" s="65">
        <v>505.32000000000698</v>
      </c>
      <c r="U173" s="65">
        <v>0</v>
      </c>
      <c r="V173" s="65">
        <v>0</v>
      </c>
      <c r="W173" s="65">
        <v>0</v>
      </c>
      <c r="X173" s="65">
        <v>35863</v>
      </c>
      <c r="Y173" s="65">
        <v>0</v>
      </c>
      <c r="Z173" s="65">
        <v>0</v>
      </c>
      <c r="AA173" s="51">
        <v>0</v>
      </c>
      <c r="AB173" s="102">
        <v>0</v>
      </c>
      <c r="AC173" s="81">
        <f t="shared" si="9"/>
        <v>0</v>
      </c>
      <c r="AD173" s="82">
        <f t="shared" si="10"/>
        <v>0</v>
      </c>
      <c r="AE173" s="218">
        <v>-1.3908993695371429E-2</v>
      </c>
      <c r="AF173">
        <v>31</v>
      </c>
      <c r="AH173" t="str">
        <f t="shared" si="8"/>
        <v>Gopalpur Bmc</v>
      </c>
      <c r="AJ173" s="72">
        <v>0</v>
      </c>
      <c r="AK173" s="72"/>
      <c r="AL173" s="72"/>
      <c r="AM173" s="72"/>
    </row>
    <row r="174" spans="1:39" x14ac:dyDescent="0.25">
      <c r="A174" s="37" t="s">
        <v>62</v>
      </c>
      <c r="B174" s="66" t="s">
        <v>1596</v>
      </c>
      <c r="C174" s="47">
        <v>1059</v>
      </c>
      <c r="D174" s="47" t="s">
        <v>1299</v>
      </c>
      <c r="E174" s="41">
        <v>10060050</v>
      </c>
      <c r="F174" s="46" t="s">
        <v>201</v>
      </c>
      <c r="G174" s="39" t="s">
        <v>92</v>
      </c>
      <c r="H174" s="48" t="s">
        <v>93</v>
      </c>
      <c r="I174" s="52">
        <v>878.5</v>
      </c>
      <c r="J174" s="49">
        <v>40986.890000000007</v>
      </c>
      <c r="K174" s="65">
        <v>887.5100000000001</v>
      </c>
      <c r="L174" s="65">
        <v>40861.310000000012</v>
      </c>
      <c r="M174" s="65">
        <v>10.85</v>
      </c>
      <c r="N174" s="65">
        <v>487.9</v>
      </c>
      <c r="O174" s="65">
        <v>898.36000000000013</v>
      </c>
      <c r="P174" s="65">
        <v>41349.210000000014</v>
      </c>
      <c r="Q174" s="50">
        <v>40986.890000000007</v>
      </c>
      <c r="R174" s="65">
        <v>0</v>
      </c>
      <c r="S174" s="65">
        <v>487.9</v>
      </c>
      <c r="T174" s="65">
        <v>362.32000000000698</v>
      </c>
      <c r="U174" s="65">
        <v>0</v>
      </c>
      <c r="V174" s="65">
        <v>0</v>
      </c>
      <c r="W174" s="65">
        <v>0</v>
      </c>
      <c r="X174" s="65">
        <v>40499</v>
      </c>
      <c r="Y174" s="65">
        <v>0</v>
      </c>
      <c r="Z174" s="65">
        <v>0</v>
      </c>
      <c r="AA174" s="51">
        <v>0</v>
      </c>
      <c r="AB174" s="102">
        <v>0</v>
      </c>
      <c r="AC174" s="81">
        <f t="shared" si="9"/>
        <v>0</v>
      </c>
      <c r="AD174" s="82">
        <f t="shared" si="10"/>
        <v>0</v>
      </c>
      <c r="AE174" s="218">
        <v>-8.8398997825891879E-3</v>
      </c>
      <c r="AF174">
        <v>21</v>
      </c>
      <c r="AH174" t="str">
        <f t="shared" si="8"/>
        <v>Gopalpur Bmc</v>
      </c>
      <c r="AJ174" s="72">
        <v>0</v>
      </c>
      <c r="AK174" s="72"/>
      <c r="AL174" s="72"/>
      <c r="AM174" s="72"/>
    </row>
    <row r="175" spans="1:39" x14ac:dyDescent="0.25">
      <c r="A175" s="37" t="s">
        <v>62</v>
      </c>
      <c r="B175" s="66" t="s">
        <v>1596</v>
      </c>
      <c r="C175" s="47">
        <v>1006</v>
      </c>
      <c r="D175" s="47" t="s">
        <v>179</v>
      </c>
      <c r="E175" s="41">
        <v>10060051</v>
      </c>
      <c r="F175" s="46" t="s">
        <v>1361</v>
      </c>
      <c r="G175" s="39" t="s">
        <v>617</v>
      </c>
      <c r="H175" s="48" t="s">
        <v>98</v>
      </c>
      <c r="I175" s="52">
        <v>98.6</v>
      </c>
      <c r="J175" s="49">
        <v>3482.3</v>
      </c>
      <c r="K175" s="65">
        <v>0</v>
      </c>
      <c r="L175" s="65">
        <v>0</v>
      </c>
      <c r="M175" s="65">
        <v>0</v>
      </c>
      <c r="N175" s="65">
        <v>0</v>
      </c>
      <c r="O175" s="65">
        <v>0</v>
      </c>
      <c r="P175" s="65">
        <v>0</v>
      </c>
      <c r="Q175" s="50">
        <v>3482.3</v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0</v>
      </c>
      <c r="Y175" s="65">
        <v>0</v>
      </c>
      <c r="Z175" s="65">
        <v>3482.3</v>
      </c>
      <c r="AA175" s="51">
        <v>0</v>
      </c>
      <c r="AB175" s="102">
        <v>0</v>
      </c>
      <c r="AC175" s="81">
        <f t="shared" si="9"/>
        <v>424.79821906693718</v>
      </c>
      <c r="AD175" s="82">
        <f t="shared" si="10"/>
        <v>14.085714285714285</v>
      </c>
      <c r="AE175" s="218">
        <v>0</v>
      </c>
      <c r="AF175">
        <v>0</v>
      </c>
      <c r="AH175" t="str">
        <f t="shared" si="8"/>
        <v>Sonvarsha</v>
      </c>
      <c r="AJ175" s="72">
        <v>0</v>
      </c>
      <c r="AK175" s="72"/>
      <c r="AL175" s="72"/>
      <c r="AM175" s="72"/>
    </row>
    <row r="176" spans="1:39" x14ac:dyDescent="0.25">
      <c r="A176" s="37" t="s">
        <v>62</v>
      </c>
      <c r="B176" s="66" t="s">
        <v>1596</v>
      </c>
      <c r="C176" s="47">
        <v>1006</v>
      </c>
      <c r="D176" s="47" t="s">
        <v>179</v>
      </c>
      <c r="E176" s="41">
        <v>10060055</v>
      </c>
      <c r="F176" s="46" t="s">
        <v>1373</v>
      </c>
      <c r="G176" s="39" t="s">
        <v>617</v>
      </c>
      <c r="H176" s="48" t="s">
        <v>98</v>
      </c>
      <c r="I176" s="52">
        <v>47.7</v>
      </c>
      <c r="J176" s="49">
        <v>1766.27</v>
      </c>
      <c r="K176" s="65">
        <v>0</v>
      </c>
      <c r="L176" s="65">
        <v>0</v>
      </c>
      <c r="M176" s="65">
        <v>0</v>
      </c>
      <c r="N176" s="65">
        <v>0</v>
      </c>
      <c r="O176" s="65">
        <v>0</v>
      </c>
      <c r="P176" s="65">
        <v>0</v>
      </c>
      <c r="Q176" s="50">
        <v>1766.27</v>
      </c>
      <c r="R176" s="65">
        <v>0</v>
      </c>
      <c r="S176" s="65"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0</v>
      </c>
      <c r="Y176" s="65">
        <v>0</v>
      </c>
      <c r="Z176" s="65">
        <v>1766.27</v>
      </c>
      <c r="AA176" s="51">
        <v>0</v>
      </c>
      <c r="AB176" s="102">
        <v>0</v>
      </c>
      <c r="AC176" s="81">
        <f t="shared" si="9"/>
        <v>483.07669643605863</v>
      </c>
      <c r="AD176" s="82">
        <f t="shared" si="10"/>
        <v>6.8142857142857149</v>
      </c>
      <c r="AE176" s="218">
        <v>0</v>
      </c>
      <c r="AF176">
        <v>0</v>
      </c>
      <c r="AH176" t="str">
        <f t="shared" si="8"/>
        <v>Sonvarsha</v>
      </c>
      <c r="AJ176" s="72">
        <v>0</v>
      </c>
      <c r="AK176" s="72"/>
      <c r="AL176" s="72"/>
      <c r="AM176" s="72"/>
    </row>
    <row r="177" spans="1:39" x14ac:dyDescent="0.25">
      <c r="A177" s="37" t="s">
        <v>62</v>
      </c>
      <c r="B177" s="66" t="s">
        <v>1596</v>
      </c>
      <c r="C177" s="47">
        <v>1006</v>
      </c>
      <c r="D177" s="47" t="s">
        <v>179</v>
      </c>
      <c r="E177" s="41">
        <v>10060058</v>
      </c>
      <c r="F177" s="46" t="s">
        <v>202</v>
      </c>
      <c r="G177" s="39" t="s">
        <v>92</v>
      </c>
      <c r="H177" s="48" t="s">
        <v>93</v>
      </c>
      <c r="I177" s="52">
        <v>477.6</v>
      </c>
      <c r="J177" s="49">
        <v>19128.93</v>
      </c>
      <c r="K177" s="65">
        <v>301.93</v>
      </c>
      <c r="L177" s="65">
        <v>12322.92</v>
      </c>
      <c r="M177" s="65">
        <v>166.31</v>
      </c>
      <c r="N177" s="65">
        <v>6931.55</v>
      </c>
      <c r="O177" s="65">
        <v>468.24</v>
      </c>
      <c r="P177" s="65">
        <v>19254.47</v>
      </c>
      <c r="Q177" s="50">
        <v>19128.93</v>
      </c>
      <c r="R177" s="65">
        <v>0</v>
      </c>
      <c r="S177" s="65">
        <v>149.66999999999999</v>
      </c>
      <c r="T177" s="65">
        <v>125.54000000000087</v>
      </c>
      <c r="U177" s="65">
        <v>0</v>
      </c>
      <c r="V177" s="65">
        <v>0</v>
      </c>
      <c r="W177" s="65">
        <v>0</v>
      </c>
      <c r="X177" s="65">
        <v>12197</v>
      </c>
      <c r="Y177" s="65">
        <v>6782</v>
      </c>
      <c r="Z177" s="65">
        <v>0</v>
      </c>
      <c r="AA177" s="51">
        <v>0</v>
      </c>
      <c r="AB177" s="102">
        <v>0</v>
      </c>
      <c r="AC177" s="81">
        <f t="shared" si="9"/>
        <v>178.15217889447234</v>
      </c>
      <c r="AD177" s="82">
        <f t="shared" si="10"/>
        <v>68.228571428571428</v>
      </c>
      <c r="AE177" s="218">
        <v>-6.5628344084065794E-3</v>
      </c>
      <c r="AF177">
        <v>6</v>
      </c>
      <c r="AH177" t="str">
        <f t="shared" si="8"/>
        <v>Sonvarsha</v>
      </c>
      <c r="AJ177" s="72">
        <v>0</v>
      </c>
      <c r="AK177" s="72"/>
      <c r="AL177" s="72"/>
      <c r="AM177" s="72"/>
    </row>
    <row r="178" spans="1:39" x14ac:dyDescent="0.25">
      <c r="A178" s="37" t="s">
        <v>62</v>
      </c>
      <c r="B178" s="66" t="s">
        <v>1596</v>
      </c>
      <c r="C178" s="47">
        <v>1006</v>
      </c>
      <c r="D178" s="47" t="s">
        <v>179</v>
      </c>
      <c r="E178" s="41">
        <v>10060061</v>
      </c>
      <c r="F178" s="46" t="s">
        <v>1387</v>
      </c>
      <c r="G178" s="39" t="s">
        <v>617</v>
      </c>
      <c r="H178" s="48" t="s">
        <v>98</v>
      </c>
      <c r="I178" s="52">
        <v>161.60000000000002</v>
      </c>
      <c r="J178" s="49">
        <v>5910.23</v>
      </c>
      <c r="K178" s="65">
        <v>0</v>
      </c>
      <c r="L178" s="65">
        <v>0</v>
      </c>
      <c r="M178" s="65">
        <v>0</v>
      </c>
      <c r="N178" s="65">
        <v>0</v>
      </c>
      <c r="O178" s="65">
        <v>0</v>
      </c>
      <c r="P178" s="65">
        <v>0</v>
      </c>
      <c r="Q178" s="50">
        <v>5910.23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0</v>
      </c>
      <c r="Z178" s="65">
        <v>5910.23</v>
      </c>
      <c r="AA178" s="51">
        <v>0</v>
      </c>
      <c r="AB178" s="102">
        <v>0</v>
      </c>
      <c r="AC178" s="81">
        <f t="shared" si="9"/>
        <v>393.8202762376236</v>
      </c>
      <c r="AD178" s="82">
        <f t="shared" si="10"/>
        <v>23.085714285714289</v>
      </c>
      <c r="AE178" s="218">
        <v>0</v>
      </c>
      <c r="AF178">
        <v>0</v>
      </c>
      <c r="AH178" t="str">
        <f t="shared" si="8"/>
        <v>Sonvarsha</v>
      </c>
      <c r="AJ178" s="72">
        <v>0</v>
      </c>
      <c r="AK178" s="72"/>
      <c r="AL178" s="72"/>
      <c r="AM178" s="72"/>
    </row>
    <row r="179" spans="1:39" x14ac:dyDescent="0.25">
      <c r="A179" s="37" t="s">
        <v>62</v>
      </c>
      <c r="B179" s="66" t="s">
        <v>1596</v>
      </c>
      <c r="C179" s="47">
        <v>1006</v>
      </c>
      <c r="D179" s="47" t="s">
        <v>179</v>
      </c>
      <c r="E179" s="41">
        <v>10060062</v>
      </c>
      <c r="F179" s="46" t="s">
        <v>472</v>
      </c>
      <c r="G179" s="39" t="s">
        <v>617</v>
      </c>
      <c r="H179" s="48" t="s">
        <v>98</v>
      </c>
      <c r="I179" s="52">
        <v>348.59999999999997</v>
      </c>
      <c r="J179" s="49">
        <v>14725.539999999999</v>
      </c>
      <c r="K179" s="65">
        <v>0</v>
      </c>
      <c r="L179" s="65">
        <v>0</v>
      </c>
      <c r="M179" s="65">
        <v>0</v>
      </c>
      <c r="N179" s="65">
        <v>0</v>
      </c>
      <c r="O179" s="65">
        <v>0</v>
      </c>
      <c r="P179" s="65">
        <v>0</v>
      </c>
      <c r="Q179" s="50">
        <v>14725.539999999999</v>
      </c>
      <c r="R179" s="65">
        <v>0</v>
      </c>
      <c r="S179" s="65">
        <v>0</v>
      </c>
      <c r="T179" s="65">
        <v>0</v>
      </c>
      <c r="U179" s="65">
        <v>0</v>
      </c>
      <c r="V179" s="65">
        <v>0</v>
      </c>
      <c r="W179" s="65">
        <v>0</v>
      </c>
      <c r="X179" s="65">
        <v>0</v>
      </c>
      <c r="Y179" s="65">
        <v>0</v>
      </c>
      <c r="Z179" s="65">
        <v>14725.539999999999</v>
      </c>
      <c r="AA179" s="51">
        <v>0</v>
      </c>
      <c r="AB179" s="102">
        <v>0</v>
      </c>
      <c r="AC179" s="81">
        <f t="shared" si="9"/>
        <v>296.87634859437759</v>
      </c>
      <c r="AD179" s="82">
        <f t="shared" si="10"/>
        <v>49.8</v>
      </c>
      <c r="AE179" s="218">
        <v>0</v>
      </c>
      <c r="AF179">
        <v>0</v>
      </c>
      <c r="AH179" t="str">
        <f t="shared" si="8"/>
        <v>Sonvarsha</v>
      </c>
      <c r="AJ179" s="72">
        <v>0</v>
      </c>
      <c r="AK179" s="72"/>
      <c r="AL179" s="72"/>
      <c r="AM179" s="72"/>
    </row>
    <row r="180" spans="1:39" x14ac:dyDescent="0.25">
      <c r="A180" s="37" t="s">
        <v>62</v>
      </c>
      <c r="B180" s="66" t="s">
        <v>1596</v>
      </c>
      <c r="C180" s="47">
        <v>1059</v>
      </c>
      <c r="D180" s="47" t="s">
        <v>1299</v>
      </c>
      <c r="E180" s="41">
        <v>10060069</v>
      </c>
      <c r="F180" s="46" t="s">
        <v>439</v>
      </c>
      <c r="G180" s="39" t="s">
        <v>92</v>
      </c>
      <c r="H180" s="48" t="s">
        <v>93</v>
      </c>
      <c r="I180" s="52">
        <v>277</v>
      </c>
      <c r="J180" s="49">
        <v>12980.53</v>
      </c>
      <c r="K180" s="65">
        <v>277</v>
      </c>
      <c r="L180" s="65">
        <v>12965.98</v>
      </c>
      <c r="M180" s="65">
        <v>0</v>
      </c>
      <c r="N180" s="65">
        <v>0</v>
      </c>
      <c r="O180" s="65">
        <v>277</v>
      </c>
      <c r="P180" s="65">
        <v>12965.98</v>
      </c>
      <c r="Q180" s="50">
        <v>12965.98</v>
      </c>
      <c r="R180" s="65">
        <v>0</v>
      </c>
      <c r="S180" s="65">
        <v>0</v>
      </c>
      <c r="T180" s="65">
        <v>0</v>
      </c>
      <c r="U180" s="65">
        <v>0</v>
      </c>
      <c r="V180" s="65">
        <v>0</v>
      </c>
      <c r="W180" s="65">
        <v>0</v>
      </c>
      <c r="X180" s="65">
        <v>12966</v>
      </c>
      <c r="Y180" s="65">
        <v>0</v>
      </c>
      <c r="Z180" s="65">
        <v>0</v>
      </c>
      <c r="AA180" s="51">
        <v>15</v>
      </c>
      <c r="AB180" s="102">
        <v>0</v>
      </c>
      <c r="AC180" s="81">
        <f t="shared" si="9"/>
        <v>396.4450678700361</v>
      </c>
      <c r="AD180" s="82">
        <f t="shared" si="10"/>
        <v>39.571428571428569</v>
      </c>
      <c r="AE180" s="218">
        <v>1.1209095468367695E-3</v>
      </c>
      <c r="AF180">
        <v>1</v>
      </c>
      <c r="AH180" t="str">
        <f t="shared" si="8"/>
        <v>Gopalpur Bmc</v>
      </c>
      <c r="AJ180" s="72">
        <v>0</v>
      </c>
      <c r="AK180" s="72"/>
      <c r="AL180" s="72"/>
      <c r="AM180" s="72"/>
    </row>
    <row r="181" spans="1:39" x14ac:dyDescent="0.25">
      <c r="A181" s="37" t="s">
        <v>62</v>
      </c>
      <c r="B181" s="66" t="s">
        <v>1596</v>
      </c>
      <c r="C181" s="47">
        <v>1059</v>
      </c>
      <c r="D181" s="47" t="s">
        <v>1299</v>
      </c>
      <c r="E181" s="41">
        <v>10060074</v>
      </c>
      <c r="F181" s="46" t="s">
        <v>473</v>
      </c>
      <c r="G181" s="39" t="s">
        <v>92</v>
      </c>
      <c r="H181" s="48" t="s">
        <v>93</v>
      </c>
      <c r="I181" s="52">
        <v>347.01000000000005</v>
      </c>
      <c r="J181" s="49">
        <v>15744.250000000004</v>
      </c>
      <c r="K181" s="65">
        <v>335.21999999999997</v>
      </c>
      <c r="L181" s="65">
        <v>15760.18</v>
      </c>
      <c r="M181" s="65">
        <v>6.1300000000000008</v>
      </c>
      <c r="N181" s="65">
        <v>279.24000000000007</v>
      </c>
      <c r="O181" s="65">
        <v>341.34999999999997</v>
      </c>
      <c r="P181" s="65">
        <v>16039.42</v>
      </c>
      <c r="Q181" s="50">
        <v>15744.250000000004</v>
      </c>
      <c r="R181" s="65">
        <v>0</v>
      </c>
      <c r="S181" s="65">
        <v>279.24000000000007</v>
      </c>
      <c r="T181" s="65">
        <v>295.16999999999643</v>
      </c>
      <c r="U181" s="65">
        <v>3000</v>
      </c>
      <c r="V181" s="65">
        <v>0</v>
      </c>
      <c r="W181" s="65">
        <v>0</v>
      </c>
      <c r="X181" s="65">
        <v>12465</v>
      </c>
      <c r="Y181" s="65">
        <v>0</v>
      </c>
      <c r="Z181" s="65">
        <v>0</v>
      </c>
      <c r="AA181" s="51">
        <v>0</v>
      </c>
      <c r="AB181" s="102" t="s">
        <v>68</v>
      </c>
      <c r="AC181" s="81">
        <f t="shared" si="9"/>
        <v>320.31139203481166</v>
      </c>
      <c r="AD181" s="82">
        <f t="shared" si="10"/>
        <v>49.572857142857153</v>
      </c>
      <c r="AE181" s="218">
        <v>-1.8747796814709901E-2</v>
      </c>
      <c r="AF181">
        <v>9</v>
      </c>
      <c r="AH181" t="str">
        <f t="shared" si="8"/>
        <v>Gopalpur Bmc</v>
      </c>
      <c r="AJ181" s="72">
        <v>0</v>
      </c>
      <c r="AK181" s="72"/>
      <c r="AL181" s="72"/>
      <c r="AM181" s="72"/>
    </row>
    <row r="182" spans="1:39" x14ac:dyDescent="0.25">
      <c r="A182" s="37" t="s">
        <v>62</v>
      </c>
      <c r="B182" s="66" t="s">
        <v>1596</v>
      </c>
      <c r="C182" s="47">
        <v>1006</v>
      </c>
      <c r="D182" s="47" t="s">
        <v>179</v>
      </c>
      <c r="E182" s="41">
        <v>10060076</v>
      </c>
      <c r="F182" s="46" t="s">
        <v>505</v>
      </c>
      <c r="G182" s="39" t="s">
        <v>92</v>
      </c>
      <c r="H182" s="48" t="s">
        <v>93</v>
      </c>
      <c r="I182" s="52">
        <v>368.3</v>
      </c>
      <c r="J182" s="49">
        <v>15144.220000000001</v>
      </c>
      <c r="K182" s="65">
        <v>367.6</v>
      </c>
      <c r="L182" s="65">
        <v>15198.76</v>
      </c>
      <c r="M182" s="65">
        <v>0</v>
      </c>
      <c r="N182" s="65">
        <v>0</v>
      </c>
      <c r="O182" s="65">
        <v>367.6</v>
      </c>
      <c r="P182" s="65">
        <v>15198.76</v>
      </c>
      <c r="Q182" s="50">
        <v>15144.220000000001</v>
      </c>
      <c r="R182" s="65">
        <v>0</v>
      </c>
      <c r="S182" s="65">
        <v>0</v>
      </c>
      <c r="T182" s="65">
        <v>54.539999999999054</v>
      </c>
      <c r="U182" s="65">
        <v>0</v>
      </c>
      <c r="V182" s="65">
        <v>0</v>
      </c>
      <c r="W182" s="65">
        <v>0</v>
      </c>
      <c r="X182" s="65">
        <v>15144</v>
      </c>
      <c r="Y182" s="65">
        <v>0</v>
      </c>
      <c r="Z182" s="65">
        <v>0</v>
      </c>
      <c r="AA182" s="51">
        <v>0</v>
      </c>
      <c r="AB182" s="102">
        <v>0</v>
      </c>
      <c r="AC182" s="81">
        <f t="shared" si="9"/>
        <v>272.78510855281019</v>
      </c>
      <c r="AD182" s="82">
        <f t="shared" si="10"/>
        <v>52.614285714285714</v>
      </c>
      <c r="AE182" s="218">
        <v>-3.6013739895484251E-3</v>
      </c>
      <c r="AF182">
        <v>1</v>
      </c>
      <c r="AH182" t="str">
        <f t="shared" si="8"/>
        <v>Sonvarsha</v>
      </c>
      <c r="AJ182" s="72">
        <v>0</v>
      </c>
      <c r="AK182" s="72"/>
      <c r="AL182" s="72"/>
      <c r="AM182" s="72"/>
    </row>
    <row r="183" spans="1:39" x14ac:dyDescent="0.25">
      <c r="A183" s="37" t="s">
        <v>62</v>
      </c>
      <c r="B183" s="66" t="s">
        <v>1596</v>
      </c>
      <c r="C183" s="47">
        <v>1006</v>
      </c>
      <c r="D183" s="47" t="s">
        <v>179</v>
      </c>
      <c r="E183" s="41">
        <v>10060077</v>
      </c>
      <c r="F183" s="46" t="s">
        <v>494</v>
      </c>
      <c r="G183" s="39" t="s">
        <v>92</v>
      </c>
      <c r="H183" s="48" t="s">
        <v>93</v>
      </c>
      <c r="I183" s="52">
        <v>1484.9999999999995</v>
      </c>
      <c r="J183" s="49">
        <v>63612.890000000021</v>
      </c>
      <c r="K183" s="65">
        <v>1343.12</v>
      </c>
      <c r="L183" s="65">
        <v>54917.369999999995</v>
      </c>
      <c r="M183" s="65">
        <v>187.44</v>
      </c>
      <c r="N183" s="65">
        <v>8765.5800000000017</v>
      </c>
      <c r="O183" s="65">
        <v>1530.56</v>
      </c>
      <c r="P183" s="65">
        <v>63682.95</v>
      </c>
      <c r="Q183" s="50">
        <v>63612.890000000021</v>
      </c>
      <c r="R183" s="65">
        <v>0</v>
      </c>
      <c r="S183" s="65">
        <v>818.26</v>
      </c>
      <c r="T183" s="65">
        <v>70.059999999975844</v>
      </c>
      <c r="U183" s="65">
        <v>0</v>
      </c>
      <c r="V183" s="65">
        <v>0</v>
      </c>
      <c r="W183" s="65">
        <v>0</v>
      </c>
      <c r="X183" s="65">
        <v>54848</v>
      </c>
      <c r="Y183" s="65">
        <v>7947</v>
      </c>
      <c r="Z183" s="65">
        <v>0</v>
      </c>
      <c r="AA183" s="51">
        <v>0</v>
      </c>
      <c r="AB183" s="102">
        <v>0</v>
      </c>
      <c r="AC183" s="81">
        <f t="shared" si="9"/>
        <v>0</v>
      </c>
      <c r="AD183" s="82">
        <f t="shared" si="10"/>
        <v>0</v>
      </c>
      <c r="AE183" s="218">
        <v>-1.1013491133632794E-3</v>
      </c>
      <c r="AF183">
        <v>37</v>
      </c>
      <c r="AH183" t="str">
        <f t="shared" si="8"/>
        <v>Sonvarsha</v>
      </c>
      <c r="AJ183" s="72">
        <v>0</v>
      </c>
      <c r="AK183" s="72"/>
      <c r="AL183" s="72"/>
      <c r="AM183" s="72"/>
    </row>
    <row r="184" spans="1:39" x14ac:dyDescent="0.25">
      <c r="A184" s="37" t="s">
        <v>62</v>
      </c>
      <c r="B184" s="66" t="s">
        <v>1596</v>
      </c>
      <c r="C184" s="47">
        <v>1006</v>
      </c>
      <c r="D184" s="47" t="s">
        <v>179</v>
      </c>
      <c r="E184" s="41">
        <v>10060083</v>
      </c>
      <c r="F184" s="46" t="s">
        <v>490</v>
      </c>
      <c r="G184" s="39" t="s">
        <v>617</v>
      </c>
      <c r="H184" s="48" t="s">
        <v>98</v>
      </c>
      <c r="I184" s="52">
        <v>249</v>
      </c>
      <c r="J184" s="49">
        <v>9924.16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50">
        <v>9924.16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9924.16</v>
      </c>
      <c r="AA184" s="51">
        <v>0</v>
      </c>
      <c r="AB184" s="102">
        <v>0</v>
      </c>
      <c r="AC184" s="81">
        <f t="shared" si="9"/>
        <v>359.50169959839354</v>
      </c>
      <c r="AD184" s="82">
        <f t="shared" si="10"/>
        <v>35.571428571428569</v>
      </c>
      <c r="AE184" s="218">
        <v>0</v>
      </c>
      <c r="AF184">
        <v>0</v>
      </c>
      <c r="AH184" t="str">
        <f t="shared" si="8"/>
        <v>Sonvarsha</v>
      </c>
      <c r="AJ184" s="72">
        <v>0</v>
      </c>
      <c r="AK184" s="72"/>
      <c r="AL184" s="72"/>
      <c r="AM184" s="72"/>
    </row>
    <row r="185" spans="1:39" x14ac:dyDescent="0.25">
      <c r="A185" s="37" t="s">
        <v>62</v>
      </c>
      <c r="B185" s="66" t="s">
        <v>1596</v>
      </c>
      <c r="C185" s="47">
        <v>1006</v>
      </c>
      <c r="D185" s="47" t="s">
        <v>179</v>
      </c>
      <c r="E185" s="41">
        <v>10060089</v>
      </c>
      <c r="F185" s="46" t="s">
        <v>1522</v>
      </c>
      <c r="G185" s="39" t="s">
        <v>617</v>
      </c>
      <c r="H185" s="48" t="s">
        <v>98</v>
      </c>
      <c r="I185" s="52">
        <v>518.80000000000007</v>
      </c>
      <c r="J185" s="49">
        <v>17305.009999999998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50">
        <v>17305.009999999998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17305.009999999998</v>
      </c>
      <c r="AA185" s="51">
        <v>0</v>
      </c>
      <c r="AB185" s="102">
        <v>0</v>
      </c>
      <c r="AC185" s="81">
        <f t="shared" si="9"/>
        <v>120.88156561295287</v>
      </c>
      <c r="AD185" s="82">
        <f t="shared" si="10"/>
        <v>74.114285714285728</v>
      </c>
      <c r="AE185" s="218">
        <v>0</v>
      </c>
      <c r="AF185">
        <v>0</v>
      </c>
      <c r="AH185" t="str">
        <f t="shared" si="8"/>
        <v>Sonvarsha</v>
      </c>
      <c r="AJ185" s="72">
        <v>0</v>
      </c>
      <c r="AK185" s="72"/>
      <c r="AL185" s="72"/>
      <c r="AM185" s="72"/>
    </row>
    <row r="186" spans="1:39" x14ac:dyDescent="0.25">
      <c r="A186" s="37" t="s">
        <v>62</v>
      </c>
      <c r="B186" s="66" t="s">
        <v>1596</v>
      </c>
      <c r="C186" s="47">
        <v>1059</v>
      </c>
      <c r="D186" s="47" t="s">
        <v>1299</v>
      </c>
      <c r="E186" s="41">
        <v>10060090</v>
      </c>
      <c r="F186" s="46" t="s">
        <v>520</v>
      </c>
      <c r="G186" s="39" t="s">
        <v>92</v>
      </c>
      <c r="H186" s="48" t="s">
        <v>93</v>
      </c>
      <c r="I186" s="52">
        <v>684.09999999999991</v>
      </c>
      <c r="J186" s="49">
        <v>34045.43</v>
      </c>
      <c r="K186" s="65">
        <v>684.1</v>
      </c>
      <c r="L186" s="65">
        <v>34045.43</v>
      </c>
      <c r="M186" s="65">
        <v>0</v>
      </c>
      <c r="N186" s="65">
        <v>0</v>
      </c>
      <c r="O186" s="65">
        <v>684.1</v>
      </c>
      <c r="P186" s="65">
        <v>34045.43</v>
      </c>
      <c r="Q186" s="50">
        <v>34045.43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34045</v>
      </c>
      <c r="Y186" s="65">
        <v>0</v>
      </c>
      <c r="Z186" s="65">
        <v>0</v>
      </c>
      <c r="AA186" s="51">
        <v>0</v>
      </c>
      <c r="AB186" s="102">
        <v>0</v>
      </c>
      <c r="AC186" s="81">
        <f t="shared" si="9"/>
        <v>15.825824791697228</v>
      </c>
      <c r="AD186" s="82">
        <f t="shared" si="10"/>
        <v>97.728571428571414</v>
      </c>
      <c r="AE186" s="218">
        <v>0</v>
      </c>
      <c r="AF186">
        <v>3</v>
      </c>
      <c r="AH186" t="str">
        <f t="shared" si="8"/>
        <v>Gopalpur Bmc</v>
      </c>
      <c r="AJ186" s="72">
        <v>0</v>
      </c>
      <c r="AK186" s="72"/>
      <c r="AL186" s="72"/>
      <c r="AM186" s="72"/>
    </row>
    <row r="187" spans="1:39" x14ac:dyDescent="0.25">
      <c r="A187" s="37" t="s">
        <v>62</v>
      </c>
      <c r="B187" s="66" t="s">
        <v>1596</v>
      </c>
      <c r="C187" s="47">
        <v>1006</v>
      </c>
      <c r="D187" s="47" t="s">
        <v>179</v>
      </c>
      <c r="E187" s="41">
        <v>10060096</v>
      </c>
      <c r="F187" s="46" t="s">
        <v>521</v>
      </c>
      <c r="G187" s="39" t="s">
        <v>617</v>
      </c>
      <c r="H187" s="48" t="s">
        <v>98</v>
      </c>
      <c r="I187" s="52">
        <v>30.2</v>
      </c>
      <c r="J187" s="49">
        <v>1297.43</v>
      </c>
      <c r="K187" s="65">
        <v>0</v>
      </c>
      <c r="L187" s="65">
        <v>0</v>
      </c>
      <c r="M187" s="65">
        <v>0</v>
      </c>
      <c r="N187" s="65">
        <v>0</v>
      </c>
      <c r="O187" s="65">
        <v>0</v>
      </c>
      <c r="P187" s="65">
        <v>0</v>
      </c>
      <c r="Q187" s="50">
        <v>1297.43</v>
      </c>
      <c r="R187" s="65">
        <v>0</v>
      </c>
      <c r="S187" s="65">
        <v>0</v>
      </c>
      <c r="T187" s="65">
        <v>0</v>
      </c>
      <c r="U187" s="65">
        <v>0</v>
      </c>
      <c r="V187" s="65">
        <v>0</v>
      </c>
      <c r="W187" s="65">
        <v>0</v>
      </c>
      <c r="X187" s="65">
        <v>0</v>
      </c>
      <c r="Y187" s="65">
        <v>0</v>
      </c>
      <c r="Z187" s="65">
        <v>1297.43</v>
      </c>
      <c r="AA187" s="51">
        <v>0</v>
      </c>
      <c r="AB187" s="102">
        <v>0</v>
      </c>
      <c r="AC187" s="81">
        <f t="shared" si="9"/>
        <v>575.50901589403975</v>
      </c>
      <c r="AD187" s="82">
        <f t="shared" si="10"/>
        <v>4.3142857142857141</v>
      </c>
      <c r="AE187" s="218">
        <v>0</v>
      </c>
      <c r="AF187">
        <v>0</v>
      </c>
      <c r="AH187" t="str">
        <f t="shared" si="8"/>
        <v>Sonvarsha</v>
      </c>
      <c r="AJ187" s="72">
        <v>0</v>
      </c>
      <c r="AK187" s="72"/>
      <c r="AL187" s="72"/>
      <c r="AM187" s="72"/>
    </row>
    <row r="188" spans="1:39" x14ac:dyDescent="0.25">
      <c r="A188" s="37" t="s">
        <v>62</v>
      </c>
      <c r="B188" s="66" t="s">
        <v>1596</v>
      </c>
      <c r="C188" s="47">
        <v>1006</v>
      </c>
      <c r="D188" s="47" t="s">
        <v>179</v>
      </c>
      <c r="E188" s="41">
        <v>10060098</v>
      </c>
      <c r="F188" s="46" t="s">
        <v>645</v>
      </c>
      <c r="G188" s="39" t="s">
        <v>92</v>
      </c>
      <c r="H188" s="48" t="s">
        <v>93</v>
      </c>
      <c r="I188" s="52">
        <v>1291.3999999999999</v>
      </c>
      <c r="J188" s="49">
        <v>57091.360000000001</v>
      </c>
      <c r="K188" s="65">
        <v>576.73</v>
      </c>
      <c r="L188" s="65">
        <v>27280.2</v>
      </c>
      <c r="M188" s="65">
        <v>717.31</v>
      </c>
      <c r="N188" s="65">
        <v>29769.05</v>
      </c>
      <c r="O188" s="65">
        <v>1294.04</v>
      </c>
      <c r="P188" s="65">
        <v>57049.25</v>
      </c>
      <c r="Q188" s="50">
        <v>57049.25</v>
      </c>
      <c r="R188" s="65">
        <v>0</v>
      </c>
      <c r="S188" s="65">
        <v>406.01</v>
      </c>
      <c r="T188" s="65">
        <v>0</v>
      </c>
      <c r="U188" s="65">
        <v>0</v>
      </c>
      <c r="V188" s="65">
        <v>0</v>
      </c>
      <c r="W188" s="65">
        <v>0</v>
      </c>
      <c r="X188" s="65">
        <v>27280</v>
      </c>
      <c r="Y188" s="65">
        <v>29363</v>
      </c>
      <c r="Z188" s="65">
        <v>0</v>
      </c>
      <c r="AA188" s="51">
        <v>42</v>
      </c>
      <c r="AB188" s="102">
        <v>0</v>
      </c>
      <c r="AC188" s="81">
        <f t="shared" si="9"/>
        <v>0</v>
      </c>
      <c r="AD188" s="82">
        <f t="shared" si="10"/>
        <v>0</v>
      </c>
      <c r="AE188" s="218">
        <v>7.3758971585193597E-4</v>
      </c>
      <c r="AF188">
        <v>16</v>
      </c>
      <c r="AH188" t="str">
        <f t="shared" si="8"/>
        <v>Sonvarsha</v>
      </c>
      <c r="AJ188" s="72">
        <v>0</v>
      </c>
      <c r="AK188" s="72"/>
      <c r="AL188" s="72"/>
      <c r="AM188" s="72"/>
    </row>
    <row r="189" spans="1:39" x14ac:dyDescent="0.25">
      <c r="A189" s="37" t="s">
        <v>62</v>
      </c>
      <c r="B189" s="66" t="s">
        <v>1596</v>
      </c>
      <c r="C189" s="47">
        <v>1006</v>
      </c>
      <c r="D189" s="47" t="s">
        <v>179</v>
      </c>
      <c r="E189" s="41">
        <v>10060104</v>
      </c>
      <c r="F189" s="46" t="s">
        <v>650</v>
      </c>
      <c r="G189" s="39" t="s">
        <v>617</v>
      </c>
      <c r="H189" s="48" t="s">
        <v>98</v>
      </c>
      <c r="I189" s="52">
        <v>1669</v>
      </c>
      <c r="J189" s="49">
        <v>61182.19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50">
        <v>61182.19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61182.19</v>
      </c>
      <c r="AA189" s="51">
        <v>0</v>
      </c>
      <c r="AB189" s="102">
        <v>0</v>
      </c>
      <c r="AC189" s="81">
        <f t="shared" si="9"/>
        <v>0</v>
      </c>
      <c r="AD189" s="82">
        <f t="shared" si="10"/>
        <v>0</v>
      </c>
      <c r="AE189" s="218">
        <v>0</v>
      </c>
      <c r="AF189">
        <v>0</v>
      </c>
      <c r="AH189" t="str">
        <f t="shared" si="8"/>
        <v>Sonvarsha</v>
      </c>
      <c r="AJ189" s="72">
        <v>0</v>
      </c>
      <c r="AK189" s="72"/>
      <c r="AL189" s="72"/>
      <c r="AM189" s="72"/>
    </row>
    <row r="190" spans="1:39" x14ac:dyDescent="0.25">
      <c r="A190" s="37" t="s">
        <v>62</v>
      </c>
      <c r="B190" s="66" t="s">
        <v>1596</v>
      </c>
      <c r="C190" s="47">
        <v>1006</v>
      </c>
      <c r="D190" s="47" t="s">
        <v>179</v>
      </c>
      <c r="E190" s="41">
        <v>10060106</v>
      </c>
      <c r="F190" s="46" t="s">
        <v>678</v>
      </c>
      <c r="G190" s="39" t="s">
        <v>92</v>
      </c>
      <c r="H190" s="48" t="s">
        <v>93</v>
      </c>
      <c r="I190" s="52">
        <v>656</v>
      </c>
      <c r="J190" s="49">
        <v>32486.400000000001</v>
      </c>
      <c r="K190" s="65">
        <v>647.4</v>
      </c>
      <c r="L190" s="65">
        <v>33851.859999999993</v>
      </c>
      <c r="M190" s="65">
        <v>36.729999999999997</v>
      </c>
      <c r="N190" s="65">
        <v>1598.3899999999999</v>
      </c>
      <c r="O190" s="65">
        <v>684.13</v>
      </c>
      <c r="P190" s="65">
        <v>35450.249999999993</v>
      </c>
      <c r="Q190" s="50">
        <v>32486.400000000001</v>
      </c>
      <c r="R190" s="65">
        <v>0</v>
      </c>
      <c r="S190" s="65">
        <v>1598.3899999999999</v>
      </c>
      <c r="T190" s="65">
        <v>2963.8499999999913</v>
      </c>
      <c r="U190" s="65">
        <v>0</v>
      </c>
      <c r="V190" s="65">
        <v>0</v>
      </c>
      <c r="W190" s="65">
        <v>0</v>
      </c>
      <c r="X190" s="65">
        <v>30888</v>
      </c>
      <c r="Y190" s="65">
        <v>0</v>
      </c>
      <c r="Z190" s="65">
        <v>0</v>
      </c>
      <c r="AA190" s="51">
        <v>0</v>
      </c>
      <c r="AB190" s="102">
        <v>0</v>
      </c>
      <c r="AC190" s="81">
        <f t="shared" si="9"/>
        <v>43.579317073170778</v>
      </c>
      <c r="AD190" s="82">
        <f t="shared" si="10"/>
        <v>93.714285714285708</v>
      </c>
      <c r="AE190" s="218">
        <v>-9.1233562352245584E-2</v>
      </c>
      <c r="AF190">
        <v>11</v>
      </c>
      <c r="AH190" t="str">
        <f t="shared" si="8"/>
        <v>Sonvarsha</v>
      </c>
      <c r="AJ190" s="72">
        <v>0</v>
      </c>
      <c r="AK190" s="72"/>
      <c r="AL190" s="72"/>
      <c r="AM190" s="72"/>
    </row>
    <row r="191" spans="1:39" x14ac:dyDescent="0.25">
      <c r="A191" s="37" t="s">
        <v>62</v>
      </c>
      <c r="B191" s="66" t="s">
        <v>1596</v>
      </c>
      <c r="C191" s="47">
        <v>1006</v>
      </c>
      <c r="D191" s="47" t="s">
        <v>179</v>
      </c>
      <c r="E191" s="41">
        <v>10060107</v>
      </c>
      <c r="F191" s="46" t="s">
        <v>642</v>
      </c>
      <c r="G191" s="39" t="s">
        <v>617</v>
      </c>
      <c r="H191" s="48" t="s">
        <v>98</v>
      </c>
      <c r="I191" s="52">
        <v>938.3</v>
      </c>
      <c r="J191" s="49">
        <v>37824.269999999997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50">
        <v>37824.269999999997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37824.269999999997</v>
      </c>
      <c r="AA191" s="51">
        <v>0</v>
      </c>
      <c r="AB191" s="102">
        <v>0</v>
      </c>
      <c r="AC191" s="81">
        <f t="shared" si="9"/>
        <v>0</v>
      </c>
      <c r="AD191" s="82">
        <f t="shared" si="10"/>
        <v>0</v>
      </c>
      <c r="AE191" s="218">
        <v>0</v>
      </c>
      <c r="AF191">
        <v>0</v>
      </c>
      <c r="AH191" t="str">
        <f t="shared" si="8"/>
        <v>Sonvarsha</v>
      </c>
      <c r="AJ191" s="72">
        <v>0</v>
      </c>
      <c r="AK191" s="72"/>
      <c r="AL191" s="72"/>
      <c r="AM191" s="72"/>
    </row>
    <row r="192" spans="1:39" x14ac:dyDescent="0.25">
      <c r="A192" s="37" t="s">
        <v>62</v>
      </c>
      <c r="B192" s="66" t="s">
        <v>1596</v>
      </c>
      <c r="C192" s="47">
        <v>1006</v>
      </c>
      <c r="D192" s="47" t="s">
        <v>179</v>
      </c>
      <c r="E192" s="41">
        <v>10060110</v>
      </c>
      <c r="F192" s="46" t="s">
        <v>823</v>
      </c>
      <c r="G192" s="39" t="s">
        <v>92</v>
      </c>
      <c r="H192" s="48" t="s">
        <v>93</v>
      </c>
      <c r="I192" s="52">
        <v>485.20000000000005</v>
      </c>
      <c r="J192" s="49">
        <v>20343.490000000002</v>
      </c>
      <c r="K192" s="65">
        <v>434.39999999999992</v>
      </c>
      <c r="L192" s="65">
        <v>17935.669999999998</v>
      </c>
      <c r="M192" s="65">
        <v>45.400000000000006</v>
      </c>
      <c r="N192" s="65">
        <v>1901.07</v>
      </c>
      <c r="O192" s="65">
        <v>479.79999999999995</v>
      </c>
      <c r="P192" s="65">
        <v>19836.739999999998</v>
      </c>
      <c r="Q192" s="50">
        <v>19836.739999999998</v>
      </c>
      <c r="R192" s="65">
        <v>0</v>
      </c>
      <c r="S192" s="65">
        <v>112.69</v>
      </c>
      <c r="T192" s="65">
        <v>0</v>
      </c>
      <c r="U192" s="65">
        <v>6750</v>
      </c>
      <c r="V192" s="65">
        <v>500</v>
      </c>
      <c r="W192" s="65">
        <v>0</v>
      </c>
      <c r="X192" s="65">
        <v>10686</v>
      </c>
      <c r="Y192" s="65">
        <v>1788</v>
      </c>
      <c r="Z192" s="65">
        <v>0</v>
      </c>
      <c r="AA192" s="51">
        <v>507</v>
      </c>
      <c r="AB192" s="102" t="s">
        <v>68</v>
      </c>
      <c r="AC192" s="81">
        <f t="shared" si="9"/>
        <v>180.1229040395713</v>
      </c>
      <c r="AD192" s="82">
        <f t="shared" si="10"/>
        <v>69.314285714285717</v>
      </c>
      <c r="AE192" s="218">
        <v>2.4909688553930696E-2</v>
      </c>
      <c r="AF192">
        <v>7</v>
      </c>
      <c r="AH192" t="str">
        <f t="shared" si="8"/>
        <v>Sonvarsha</v>
      </c>
      <c r="AJ192" s="72">
        <v>500</v>
      </c>
      <c r="AK192" s="72"/>
      <c r="AL192" s="72"/>
      <c r="AM192" s="72"/>
    </row>
    <row r="193" spans="1:39" x14ac:dyDescent="0.25">
      <c r="A193" s="37" t="s">
        <v>62</v>
      </c>
      <c r="B193" s="66" t="s">
        <v>1596</v>
      </c>
      <c r="C193" s="47">
        <v>1006</v>
      </c>
      <c r="D193" s="47" t="s">
        <v>179</v>
      </c>
      <c r="E193" s="41">
        <v>10060111</v>
      </c>
      <c r="F193" s="46" t="s">
        <v>824</v>
      </c>
      <c r="G193" s="39" t="s">
        <v>92</v>
      </c>
      <c r="H193" s="48" t="s">
        <v>93</v>
      </c>
      <c r="I193" s="52">
        <v>403</v>
      </c>
      <c r="J193" s="49">
        <v>17622.100000000002</v>
      </c>
      <c r="K193" s="65">
        <v>377.46000000000004</v>
      </c>
      <c r="L193" s="65">
        <v>21374.22</v>
      </c>
      <c r="M193" s="65">
        <v>0</v>
      </c>
      <c r="N193" s="65">
        <v>0</v>
      </c>
      <c r="O193" s="65">
        <v>377.46000000000004</v>
      </c>
      <c r="P193" s="65">
        <v>21374.22</v>
      </c>
      <c r="Q193" s="50">
        <v>17622.100000000002</v>
      </c>
      <c r="R193" s="65">
        <v>0</v>
      </c>
      <c r="S193" s="65">
        <v>0</v>
      </c>
      <c r="T193" s="65">
        <v>3752.119999999999</v>
      </c>
      <c r="U193" s="65">
        <v>0</v>
      </c>
      <c r="V193" s="65">
        <v>0</v>
      </c>
      <c r="W193" s="65">
        <v>0</v>
      </c>
      <c r="X193" s="65">
        <v>17622</v>
      </c>
      <c r="Y193" s="65">
        <v>0</v>
      </c>
      <c r="Z193" s="65">
        <v>0</v>
      </c>
      <c r="AA193" s="51">
        <v>0</v>
      </c>
      <c r="AB193" s="102" t="s">
        <v>1366</v>
      </c>
      <c r="AC193" s="81">
        <f t="shared" si="9"/>
        <v>259.74013399503724</v>
      </c>
      <c r="AD193" s="82">
        <f t="shared" si="10"/>
        <v>57.571428571428569</v>
      </c>
      <c r="AE193" s="218">
        <v>-0.21292127498992733</v>
      </c>
      <c r="AF193">
        <v>3</v>
      </c>
      <c r="AH193" t="str">
        <f t="shared" si="8"/>
        <v>Sonvarsha</v>
      </c>
      <c r="AJ193" s="72">
        <v>0</v>
      </c>
      <c r="AK193" s="72"/>
      <c r="AL193" s="72"/>
      <c r="AM193" s="72"/>
    </row>
    <row r="194" spans="1:39" x14ac:dyDescent="0.25">
      <c r="A194" s="37" t="s">
        <v>62</v>
      </c>
      <c r="B194" s="66" t="s">
        <v>1596</v>
      </c>
      <c r="C194" s="47">
        <v>1006</v>
      </c>
      <c r="D194" s="47" t="s">
        <v>179</v>
      </c>
      <c r="E194" s="41">
        <v>10060113</v>
      </c>
      <c r="F194" s="46" t="s">
        <v>825</v>
      </c>
      <c r="G194" s="39" t="s">
        <v>617</v>
      </c>
      <c r="H194" s="48" t="s">
        <v>98</v>
      </c>
      <c r="I194" s="52">
        <v>894.5</v>
      </c>
      <c r="J194" s="49">
        <v>35846.100000000006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50">
        <v>35846.100000000006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0</v>
      </c>
      <c r="Z194" s="65">
        <v>35846.100000000006</v>
      </c>
      <c r="AA194" s="51">
        <v>0</v>
      </c>
      <c r="AB194" s="102">
        <v>0</v>
      </c>
      <c r="AC194" s="81">
        <f t="shared" si="9"/>
        <v>0</v>
      </c>
      <c r="AD194" s="82">
        <f t="shared" si="10"/>
        <v>0</v>
      </c>
      <c r="AE194" s="218">
        <v>0</v>
      </c>
      <c r="AF194">
        <v>0</v>
      </c>
      <c r="AH194" t="str">
        <f t="shared" si="8"/>
        <v>Sonvarsha</v>
      </c>
      <c r="AJ194" s="72">
        <v>0</v>
      </c>
      <c r="AK194" s="72"/>
      <c r="AL194" s="72"/>
      <c r="AM194" s="72"/>
    </row>
    <row r="195" spans="1:39" x14ac:dyDescent="0.25">
      <c r="A195" s="37" t="s">
        <v>62</v>
      </c>
      <c r="B195" s="66" t="s">
        <v>1596</v>
      </c>
      <c r="C195" s="47">
        <v>1006</v>
      </c>
      <c r="D195" s="47" t="s">
        <v>179</v>
      </c>
      <c r="E195" s="41">
        <v>10060114</v>
      </c>
      <c r="F195" s="46" t="s">
        <v>1106</v>
      </c>
      <c r="G195" s="39" t="s">
        <v>92</v>
      </c>
      <c r="H195" s="48" t="s">
        <v>93</v>
      </c>
      <c r="I195" s="52">
        <v>256.2</v>
      </c>
      <c r="J195" s="49">
        <v>11375.87</v>
      </c>
      <c r="K195" s="65">
        <v>258.59999999999997</v>
      </c>
      <c r="L195" s="65">
        <v>11389.08</v>
      </c>
      <c r="M195" s="65">
        <v>0</v>
      </c>
      <c r="N195" s="65">
        <v>0</v>
      </c>
      <c r="O195" s="65">
        <v>258.59999999999997</v>
      </c>
      <c r="P195" s="65">
        <v>11389.08</v>
      </c>
      <c r="Q195" s="50">
        <v>11375.87</v>
      </c>
      <c r="R195" s="65">
        <v>0</v>
      </c>
      <c r="S195" s="65">
        <v>0</v>
      </c>
      <c r="T195" s="65">
        <v>13.209999999999127</v>
      </c>
      <c r="U195" s="65">
        <v>0</v>
      </c>
      <c r="V195" s="65">
        <v>0</v>
      </c>
      <c r="W195" s="65">
        <v>0</v>
      </c>
      <c r="X195" s="65">
        <v>11376</v>
      </c>
      <c r="Y195" s="65">
        <v>0</v>
      </c>
      <c r="Z195" s="65">
        <v>0</v>
      </c>
      <c r="AA195" s="51">
        <v>0</v>
      </c>
      <c r="AB195" s="102">
        <v>0</v>
      </c>
      <c r="AC195" s="81">
        <f t="shared" si="9"/>
        <v>394.11484043715848</v>
      </c>
      <c r="AD195" s="82">
        <f t="shared" si="10"/>
        <v>36.6</v>
      </c>
      <c r="AE195" s="218">
        <v>-1.1612298663749784E-3</v>
      </c>
      <c r="AF195">
        <v>1</v>
      </c>
      <c r="AH195" t="str">
        <f t="shared" ref="AH195:AH258" si="11">TEXT(D195,"0000")</f>
        <v>Sonvarsha</v>
      </c>
      <c r="AJ195" s="72">
        <v>0</v>
      </c>
      <c r="AK195" s="72"/>
      <c r="AL195" s="72"/>
      <c r="AM195" s="72"/>
    </row>
    <row r="196" spans="1:39" x14ac:dyDescent="0.25">
      <c r="A196" s="37" t="s">
        <v>62</v>
      </c>
      <c r="B196" s="66" t="s">
        <v>1596</v>
      </c>
      <c r="C196" s="47">
        <v>1006</v>
      </c>
      <c r="D196" s="47" t="s">
        <v>179</v>
      </c>
      <c r="E196" s="41">
        <v>10060115</v>
      </c>
      <c r="F196" s="46" t="s">
        <v>1536</v>
      </c>
      <c r="G196" s="39" t="s">
        <v>92</v>
      </c>
      <c r="H196" s="48" t="s">
        <v>93</v>
      </c>
      <c r="I196" s="52">
        <v>547.6</v>
      </c>
      <c r="J196" s="49">
        <v>28908.710000000006</v>
      </c>
      <c r="K196" s="65">
        <v>590.78000000000009</v>
      </c>
      <c r="L196" s="65">
        <v>31580.640000000003</v>
      </c>
      <c r="M196" s="65">
        <v>0</v>
      </c>
      <c r="N196" s="65">
        <v>0</v>
      </c>
      <c r="O196" s="65">
        <v>590.78000000000009</v>
      </c>
      <c r="P196" s="65">
        <v>31580.640000000003</v>
      </c>
      <c r="Q196" s="50">
        <v>28908.710000000006</v>
      </c>
      <c r="R196" s="65">
        <v>0</v>
      </c>
      <c r="S196" s="65">
        <v>0</v>
      </c>
      <c r="T196" s="65">
        <v>2671.9299999999967</v>
      </c>
      <c r="U196" s="65">
        <v>0</v>
      </c>
      <c r="V196" s="65">
        <v>500</v>
      </c>
      <c r="W196" s="65">
        <v>0</v>
      </c>
      <c r="X196" s="65">
        <v>28409</v>
      </c>
      <c r="Y196" s="65">
        <v>0</v>
      </c>
      <c r="Z196" s="65">
        <v>0</v>
      </c>
      <c r="AA196" s="51">
        <v>0</v>
      </c>
      <c r="AB196" s="102">
        <v>0</v>
      </c>
      <c r="AC196" s="81">
        <f t="shared" ref="AC196:AC259" si="12">((IF(AD196=0,0,100-AD196))*7*(J196/I196))*2%</f>
        <v>160.90896289262238</v>
      </c>
      <c r="AD196" s="82">
        <f t="shared" ref="AD196:AD259" si="13">IF((I196/7)&gt;100,0,(I196/7))</f>
        <v>78.228571428571428</v>
      </c>
      <c r="AE196" s="218">
        <v>-9.242646939278841E-2</v>
      </c>
      <c r="AF196">
        <v>3</v>
      </c>
      <c r="AH196" t="str">
        <f t="shared" si="11"/>
        <v>Sonvarsha</v>
      </c>
      <c r="AJ196" s="72">
        <v>500</v>
      </c>
      <c r="AK196" s="72"/>
      <c r="AL196" s="72"/>
      <c r="AM196" s="72"/>
    </row>
    <row r="197" spans="1:39" x14ac:dyDescent="0.25">
      <c r="A197" s="37" t="s">
        <v>62</v>
      </c>
      <c r="B197" s="66" t="s">
        <v>1596</v>
      </c>
      <c r="C197" s="47">
        <v>1006</v>
      </c>
      <c r="D197" s="47" t="s">
        <v>179</v>
      </c>
      <c r="E197" s="41">
        <v>10060116</v>
      </c>
      <c r="F197" s="46" t="s">
        <v>1163</v>
      </c>
      <c r="G197" s="39" t="s">
        <v>92</v>
      </c>
      <c r="H197" s="48" t="s">
        <v>93</v>
      </c>
      <c r="I197" s="52">
        <v>130</v>
      </c>
      <c r="J197" s="49">
        <v>4787.9600000000009</v>
      </c>
      <c r="K197" s="65">
        <v>129.30000000000001</v>
      </c>
      <c r="L197" s="65">
        <v>4822.53</v>
      </c>
      <c r="M197" s="65">
        <v>0.79999999999999993</v>
      </c>
      <c r="N197" s="65">
        <v>30.05</v>
      </c>
      <c r="O197" s="65">
        <v>130.10000000000002</v>
      </c>
      <c r="P197" s="65">
        <v>4852.58</v>
      </c>
      <c r="Q197" s="50">
        <v>4787.9600000000009</v>
      </c>
      <c r="R197" s="65">
        <v>0</v>
      </c>
      <c r="S197" s="65">
        <v>30.05</v>
      </c>
      <c r="T197" s="65">
        <v>64.619999999998981</v>
      </c>
      <c r="U197" s="65">
        <v>0</v>
      </c>
      <c r="V197" s="65">
        <v>0</v>
      </c>
      <c r="W197" s="65">
        <v>0</v>
      </c>
      <c r="X197" s="65">
        <v>4758</v>
      </c>
      <c r="Y197" s="65">
        <v>0</v>
      </c>
      <c r="Z197" s="65">
        <v>0</v>
      </c>
      <c r="AA197" s="51">
        <v>0</v>
      </c>
      <c r="AB197" s="102">
        <v>0</v>
      </c>
      <c r="AC197" s="81">
        <f t="shared" si="12"/>
        <v>419.86726153846166</v>
      </c>
      <c r="AD197" s="82">
        <f t="shared" si="13"/>
        <v>18.571428571428573</v>
      </c>
      <c r="AE197" s="218">
        <v>-1.3496353352993543E-2</v>
      </c>
      <c r="AF197">
        <v>2</v>
      </c>
      <c r="AH197" t="str">
        <f t="shared" si="11"/>
        <v>Sonvarsha</v>
      </c>
      <c r="AJ197" s="72">
        <v>0</v>
      </c>
      <c r="AK197" s="72"/>
      <c r="AL197" s="72"/>
      <c r="AM197" s="72"/>
    </row>
    <row r="198" spans="1:39" x14ac:dyDescent="0.25">
      <c r="A198" s="37" t="s">
        <v>62</v>
      </c>
      <c r="B198" s="66" t="s">
        <v>1596</v>
      </c>
      <c r="C198" s="47">
        <v>1006</v>
      </c>
      <c r="D198" s="47" t="s">
        <v>179</v>
      </c>
      <c r="E198" s="41">
        <v>10060118</v>
      </c>
      <c r="F198" s="46" t="s">
        <v>1167</v>
      </c>
      <c r="G198" s="39" t="s">
        <v>92</v>
      </c>
      <c r="H198" s="48" t="s">
        <v>93</v>
      </c>
      <c r="I198" s="52">
        <v>236</v>
      </c>
      <c r="J198" s="49">
        <v>14260.779999999999</v>
      </c>
      <c r="K198" s="65">
        <v>0</v>
      </c>
      <c r="L198" s="65">
        <v>0</v>
      </c>
      <c r="M198" s="65">
        <v>224.16</v>
      </c>
      <c r="N198" s="65">
        <v>14269.630000000001</v>
      </c>
      <c r="O198" s="65">
        <v>224.16</v>
      </c>
      <c r="P198" s="65">
        <v>14269.630000000001</v>
      </c>
      <c r="Q198" s="50">
        <v>14260.779999999999</v>
      </c>
      <c r="R198" s="65">
        <v>0</v>
      </c>
      <c r="S198" s="65">
        <v>0</v>
      </c>
      <c r="T198" s="65">
        <v>8.8500000000021828</v>
      </c>
      <c r="U198" s="65">
        <v>0</v>
      </c>
      <c r="V198" s="65">
        <v>0</v>
      </c>
      <c r="W198" s="65">
        <v>0</v>
      </c>
      <c r="X198" s="65">
        <v>0</v>
      </c>
      <c r="Y198" s="65">
        <v>14261</v>
      </c>
      <c r="Z198" s="65">
        <v>0</v>
      </c>
      <c r="AA198" s="51">
        <v>0</v>
      </c>
      <c r="AB198" s="102" t="s">
        <v>1366</v>
      </c>
      <c r="AC198" s="81">
        <f t="shared" si="12"/>
        <v>560.76287457627109</v>
      </c>
      <c r="AD198" s="82">
        <f t="shared" si="13"/>
        <v>33.714285714285715</v>
      </c>
      <c r="AE198" s="218">
        <v>-6.205831658578411E-4</v>
      </c>
      <c r="AF198">
        <v>3</v>
      </c>
      <c r="AH198" t="str">
        <f t="shared" si="11"/>
        <v>Sonvarsha</v>
      </c>
      <c r="AJ198" s="72">
        <v>0</v>
      </c>
      <c r="AK198" s="72"/>
      <c r="AL198" s="72"/>
      <c r="AM198" s="72"/>
    </row>
    <row r="199" spans="1:39" x14ac:dyDescent="0.25">
      <c r="A199" s="37" t="s">
        <v>62</v>
      </c>
      <c r="B199" s="66" t="s">
        <v>1596</v>
      </c>
      <c r="C199" s="47">
        <v>1006</v>
      </c>
      <c r="D199" s="47" t="s">
        <v>179</v>
      </c>
      <c r="E199" s="41">
        <v>10060122</v>
      </c>
      <c r="F199" s="46" t="s">
        <v>1186</v>
      </c>
      <c r="G199" s="39" t="s">
        <v>617</v>
      </c>
      <c r="H199" s="48" t="s">
        <v>98</v>
      </c>
      <c r="I199" s="52">
        <v>84</v>
      </c>
      <c r="J199" s="49">
        <v>2842.9399999999996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50">
        <v>2842.9399999999996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2842.9399999999996</v>
      </c>
      <c r="AA199" s="51">
        <v>0</v>
      </c>
      <c r="AB199" s="102">
        <v>0</v>
      </c>
      <c r="AC199" s="81">
        <f t="shared" si="12"/>
        <v>416.96453333333329</v>
      </c>
      <c r="AD199" s="82">
        <f t="shared" si="13"/>
        <v>12</v>
      </c>
      <c r="AE199" s="218">
        <v>0</v>
      </c>
      <c r="AF199">
        <v>0</v>
      </c>
      <c r="AH199" t="str">
        <f t="shared" si="11"/>
        <v>Sonvarsha</v>
      </c>
      <c r="AJ199" s="72">
        <v>0</v>
      </c>
      <c r="AK199" s="72"/>
      <c r="AL199" s="72"/>
      <c r="AM199" s="72"/>
    </row>
    <row r="200" spans="1:39" x14ac:dyDescent="0.25">
      <c r="A200" s="37" t="s">
        <v>62</v>
      </c>
      <c r="B200" s="66" t="s">
        <v>1596</v>
      </c>
      <c r="C200" s="47">
        <v>1006</v>
      </c>
      <c r="D200" s="47" t="s">
        <v>179</v>
      </c>
      <c r="E200" s="41">
        <v>10060125</v>
      </c>
      <c r="F200" s="46" t="s">
        <v>1267</v>
      </c>
      <c r="G200" s="39" t="s">
        <v>617</v>
      </c>
      <c r="H200" s="48" t="s">
        <v>98</v>
      </c>
      <c r="I200" s="52">
        <v>129.69999999999999</v>
      </c>
      <c r="J200" s="49">
        <v>5281.81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50">
        <v>5281.81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5281.81</v>
      </c>
      <c r="AA200" s="51">
        <v>0</v>
      </c>
      <c r="AB200" s="102">
        <v>0</v>
      </c>
      <c r="AC200" s="81">
        <f t="shared" si="12"/>
        <v>464.48978303777966</v>
      </c>
      <c r="AD200" s="82">
        <f t="shared" si="13"/>
        <v>18.528571428571428</v>
      </c>
      <c r="AE200" s="218">
        <v>0</v>
      </c>
      <c r="AF200">
        <v>0</v>
      </c>
      <c r="AH200" t="str">
        <f t="shared" si="11"/>
        <v>Sonvarsha</v>
      </c>
      <c r="AJ200" s="72">
        <v>0</v>
      </c>
      <c r="AK200" s="72"/>
      <c r="AL200" s="72"/>
      <c r="AM200" s="72"/>
    </row>
    <row r="201" spans="1:39" x14ac:dyDescent="0.25">
      <c r="A201" s="37" t="s">
        <v>62</v>
      </c>
      <c r="B201" s="66" t="s">
        <v>1596</v>
      </c>
      <c r="C201" s="47">
        <v>1006</v>
      </c>
      <c r="D201" s="47" t="s">
        <v>179</v>
      </c>
      <c r="E201" s="41">
        <v>10060126</v>
      </c>
      <c r="F201" s="46" t="s">
        <v>1268</v>
      </c>
      <c r="G201" s="39" t="s">
        <v>92</v>
      </c>
      <c r="H201" s="48" t="s">
        <v>93</v>
      </c>
      <c r="I201" s="52">
        <v>1215.8</v>
      </c>
      <c r="J201" s="49">
        <v>43182.189999999995</v>
      </c>
      <c r="K201" s="65">
        <v>424.5</v>
      </c>
      <c r="L201" s="65">
        <v>15073.72</v>
      </c>
      <c r="M201" s="65">
        <v>809.5</v>
      </c>
      <c r="N201" s="65">
        <v>29417.549999999996</v>
      </c>
      <c r="O201" s="65">
        <v>1234</v>
      </c>
      <c r="P201" s="65">
        <v>44491.27</v>
      </c>
      <c r="Q201" s="50">
        <v>43182.189999999995</v>
      </c>
      <c r="R201" s="65">
        <v>0</v>
      </c>
      <c r="S201" s="65">
        <v>0</v>
      </c>
      <c r="T201" s="65">
        <v>1309.0800000000017</v>
      </c>
      <c r="U201" s="65">
        <v>0</v>
      </c>
      <c r="V201" s="65">
        <v>0</v>
      </c>
      <c r="W201" s="65">
        <v>0</v>
      </c>
      <c r="X201" s="65">
        <v>13765</v>
      </c>
      <c r="Y201" s="65">
        <v>29417</v>
      </c>
      <c r="Z201" s="65">
        <v>0</v>
      </c>
      <c r="AA201" s="51">
        <v>0</v>
      </c>
      <c r="AB201" s="102">
        <v>0</v>
      </c>
      <c r="AC201" s="81">
        <f t="shared" si="12"/>
        <v>0</v>
      </c>
      <c r="AD201" s="82">
        <f t="shared" si="13"/>
        <v>0</v>
      </c>
      <c r="AE201" s="218">
        <v>-3.0315275811625162E-2</v>
      </c>
      <c r="AF201">
        <v>6</v>
      </c>
      <c r="AH201" t="str">
        <f t="shared" si="11"/>
        <v>Sonvarsha</v>
      </c>
      <c r="AJ201" s="72">
        <v>0</v>
      </c>
      <c r="AK201" s="72"/>
      <c r="AL201" s="72"/>
      <c r="AM201" s="72"/>
    </row>
    <row r="202" spans="1:39" x14ac:dyDescent="0.25">
      <c r="A202" s="37" t="s">
        <v>62</v>
      </c>
      <c r="B202" s="66" t="s">
        <v>1596</v>
      </c>
      <c r="C202" s="47">
        <v>1006</v>
      </c>
      <c r="D202" s="47" t="s">
        <v>179</v>
      </c>
      <c r="E202" s="41">
        <v>10060129</v>
      </c>
      <c r="F202" s="46" t="s">
        <v>1347</v>
      </c>
      <c r="G202" s="39" t="s">
        <v>92</v>
      </c>
      <c r="H202" s="48" t="s">
        <v>93</v>
      </c>
      <c r="I202" s="52">
        <v>567.4</v>
      </c>
      <c r="J202" s="49">
        <v>24258.089999999993</v>
      </c>
      <c r="K202" s="65">
        <v>382.30000000000007</v>
      </c>
      <c r="L202" s="65">
        <v>16496.64</v>
      </c>
      <c r="M202" s="65">
        <v>185.49999999999997</v>
      </c>
      <c r="N202" s="65">
        <v>7911.7000000000007</v>
      </c>
      <c r="O202" s="65">
        <v>567.80000000000007</v>
      </c>
      <c r="P202" s="65">
        <v>24408.34</v>
      </c>
      <c r="Q202" s="50">
        <v>24258.089999999993</v>
      </c>
      <c r="R202" s="65">
        <v>0</v>
      </c>
      <c r="S202" s="65">
        <v>152.44999999999999</v>
      </c>
      <c r="T202" s="65">
        <v>150.25000000000728</v>
      </c>
      <c r="U202" s="65">
        <v>0</v>
      </c>
      <c r="V202" s="65">
        <v>0</v>
      </c>
      <c r="W202" s="65">
        <v>0</v>
      </c>
      <c r="X202" s="65">
        <v>16347</v>
      </c>
      <c r="Y202" s="65">
        <v>7759</v>
      </c>
      <c r="Z202" s="65">
        <v>0</v>
      </c>
      <c r="AA202" s="51">
        <v>0</v>
      </c>
      <c r="AB202" s="102">
        <v>0</v>
      </c>
      <c r="AC202" s="81">
        <f t="shared" si="12"/>
        <v>113.38113267536131</v>
      </c>
      <c r="AD202" s="82">
        <f t="shared" si="13"/>
        <v>81.05714285714285</v>
      </c>
      <c r="AE202" s="218">
        <v>-6.1938099825669425E-3</v>
      </c>
      <c r="AF202">
        <v>8</v>
      </c>
      <c r="AH202" t="str">
        <f t="shared" si="11"/>
        <v>Sonvarsha</v>
      </c>
      <c r="AJ202" s="72">
        <v>0</v>
      </c>
      <c r="AK202" s="72"/>
      <c r="AL202" s="72"/>
      <c r="AM202" s="72"/>
    </row>
    <row r="203" spans="1:39" x14ac:dyDescent="0.25">
      <c r="A203" s="37" t="s">
        <v>62</v>
      </c>
      <c r="B203" s="66" t="s">
        <v>1596</v>
      </c>
      <c r="C203" s="47">
        <v>1006</v>
      </c>
      <c r="D203" s="47" t="s">
        <v>179</v>
      </c>
      <c r="E203" s="41">
        <v>10060130</v>
      </c>
      <c r="F203" s="46" t="s">
        <v>1332</v>
      </c>
      <c r="G203" s="39" t="s">
        <v>92</v>
      </c>
      <c r="H203" s="48" t="s">
        <v>93</v>
      </c>
      <c r="I203" s="52">
        <v>1835.3000000000002</v>
      </c>
      <c r="J203" s="49">
        <v>82624.469999999987</v>
      </c>
      <c r="K203" s="65">
        <v>1398.7200000000007</v>
      </c>
      <c r="L203" s="65">
        <v>65801.08</v>
      </c>
      <c r="M203" s="65">
        <v>504.96999999999997</v>
      </c>
      <c r="N203" s="65">
        <v>25369.9</v>
      </c>
      <c r="O203" s="65">
        <v>1903.6900000000007</v>
      </c>
      <c r="P203" s="65">
        <v>91170.98000000001</v>
      </c>
      <c r="Q203" s="50">
        <v>82624.469999999987</v>
      </c>
      <c r="R203" s="65">
        <v>0</v>
      </c>
      <c r="S203" s="65">
        <v>0</v>
      </c>
      <c r="T203" s="65">
        <v>8546.5100000000239</v>
      </c>
      <c r="U203" s="65">
        <v>0</v>
      </c>
      <c r="V203" s="65">
        <v>0</v>
      </c>
      <c r="W203" s="65">
        <v>0</v>
      </c>
      <c r="X203" s="65">
        <v>57255</v>
      </c>
      <c r="Y203" s="65">
        <v>25369</v>
      </c>
      <c r="Z203" s="65">
        <v>0</v>
      </c>
      <c r="AA203" s="51">
        <v>0</v>
      </c>
      <c r="AB203" s="102">
        <v>0</v>
      </c>
      <c r="AC203" s="81">
        <f t="shared" si="12"/>
        <v>0</v>
      </c>
      <c r="AD203" s="82">
        <f t="shared" si="13"/>
        <v>0</v>
      </c>
      <c r="AE203" s="218">
        <v>-0.10343800087310727</v>
      </c>
      <c r="AF203">
        <v>22</v>
      </c>
      <c r="AH203" t="str">
        <f t="shared" si="11"/>
        <v>Sonvarsha</v>
      </c>
      <c r="AJ203" s="72">
        <v>0</v>
      </c>
      <c r="AK203" s="72"/>
      <c r="AL203" s="72"/>
      <c r="AM203" s="72"/>
    </row>
    <row r="204" spans="1:39" x14ac:dyDescent="0.25">
      <c r="A204" s="37" t="s">
        <v>62</v>
      </c>
      <c r="B204" s="66" t="s">
        <v>1596</v>
      </c>
      <c r="C204" s="47">
        <v>1006</v>
      </c>
      <c r="D204" s="47" t="s">
        <v>179</v>
      </c>
      <c r="E204" s="41">
        <v>10060133</v>
      </c>
      <c r="F204" s="46" t="s">
        <v>1463</v>
      </c>
      <c r="G204" s="39" t="s">
        <v>617</v>
      </c>
      <c r="H204" s="48" t="s">
        <v>98</v>
      </c>
      <c r="I204" s="52">
        <v>118.2</v>
      </c>
      <c r="J204" s="49">
        <v>4337.76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50">
        <v>4337.76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4337.76</v>
      </c>
      <c r="AA204" s="51">
        <v>0</v>
      </c>
      <c r="AB204" s="102">
        <v>0</v>
      </c>
      <c r="AC204" s="81">
        <f t="shared" si="12"/>
        <v>427.02348020304572</v>
      </c>
      <c r="AD204" s="82">
        <f t="shared" si="13"/>
        <v>16.885714285714286</v>
      </c>
      <c r="AE204" s="218">
        <v>0</v>
      </c>
      <c r="AF204">
        <v>0</v>
      </c>
      <c r="AH204" t="str">
        <f t="shared" si="11"/>
        <v>Sonvarsha</v>
      </c>
      <c r="AJ204" s="72">
        <v>0</v>
      </c>
      <c r="AK204" s="72"/>
      <c r="AL204" s="72"/>
      <c r="AM204" s="72"/>
    </row>
    <row r="205" spans="1:39" x14ac:dyDescent="0.25">
      <c r="A205" s="37" t="s">
        <v>62</v>
      </c>
      <c r="B205" s="66" t="s">
        <v>1596</v>
      </c>
      <c r="C205" s="47">
        <v>1006</v>
      </c>
      <c r="D205" s="47" t="s">
        <v>179</v>
      </c>
      <c r="E205" s="41">
        <v>10060136</v>
      </c>
      <c r="F205" s="46" t="s">
        <v>1577</v>
      </c>
      <c r="G205" s="39" t="s">
        <v>617</v>
      </c>
      <c r="H205" s="48" t="s">
        <v>98</v>
      </c>
      <c r="I205" s="52">
        <v>470.2</v>
      </c>
      <c r="J205" s="49">
        <v>17016.27</v>
      </c>
      <c r="K205" s="65">
        <v>0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50">
        <v>17016.27</v>
      </c>
      <c r="R205" s="65">
        <v>0</v>
      </c>
      <c r="S205" s="65">
        <v>0</v>
      </c>
      <c r="T205" s="65">
        <v>0</v>
      </c>
      <c r="U205" s="65">
        <v>0</v>
      </c>
      <c r="V205" s="65">
        <v>0</v>
      </c>
      <c r="W205" s="65">
        <v>0</v>
      </c>
      <c r="X205" s="65">
        <v>0</v>
      </c>
      <c r="Y205" s="65">
        <v>0</v>
      </c>
      <c r="Z205" s="65">
        <v>17016.27</v>
      </c>
      <c r="AA205" s="51">
        <v>0</v>
      </c>
      <c r="AB205" s="102">
        <v>0</v>
      </c>
      <c r="AC205" s="81">
        <f t="shared" si="12"/>
        <v>166.32662041684395</v>
      </c>
      <c r="AD205" s="82">
        <f t="shared" si="13"/>
        <v>67.171428571428564</v>
      </c>
      <c r="AE205" s="218">
        <v>0</v>
      </c>
      <c r="AF205">
        <v>0</v>
      </c>
      <c r="AH205" t="str">
        <f t="shared" si="11"/>
        <v>Sonvarsha</v>
      </c>
      <c r="AJ205" s="72">
        <v>0</v>
      </c>
      <c r="AK205" s="72"/>
      <c r="AL205" s="72"/>
      <c r="AM205" s="72"/>
    </row>
    <row r="206" spans="1:39" x14ac:dyDescent="0.25">
      <c r="A206" s="37" t="s">
        <v>62</v>
      </c>
      <c r="B206" s="66" t="s">
        <v>1596</v>
      </c>
      <c r="C206" s="47">
        <v>1007</v>
      </c>
      <c r="D206" s="47" t="s">
        <v>203</v>
      </c>
      <c r="E206" s="41">
        <v>10070002</v>
      </c>
      <c r="F206" s="46" t="s">
        <v>204</v>
      </c>
      <c r="G206" s="39" t="s">
        <v>617</v>
      </c>
      <c r="H206" s="48" t="s">
        <v>98</v>
      </c>
      <c r="I206" s="52">
        <v>4373.0999999999995</v>
      </c>
      <c r="J206" s="49">
        <v>169899.28999999998</v>
      </c>
      <c r="K206" s="65">
        <v>0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50">
        <v>169899.28999999998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0</v>
      </c>
      <c r="Z206" s="65">
        <v>169899.28999999998</v>
      </c>
      <c r="AA206" s="51">
        <v>0</v>
      </c>
      <c r="AB206" s="102">
        <v>0</v>
      </c>
      <c r="AC206" s="81">
        <f t="shared" si="12"/>
        <v>0</v>
      </c>
      <c r="AD206" s="82">
        <f t="shared" si="13"/>
        <v>0</v>
      </c>
      <c r="AE206" s="218">
        <v>0</v>
      </c>
      <c r="AF206">
        <v>0</v>
      </c>
      <c r="AH206" t="str">
        <f t="shared" si="11"/>
        <v>Araria</v>
      </c>
      <c r="AJ206" s="72">
        <v>0</v>
      </c>
      <c r="AK206" s="72"/>
      <c r="AL206" s="72"/>
      <c r="AM206" s="72"/>
    </row>
    <row r="207" spans="1:39" x14ac:dyDescent="0.25">
      <c r="A207" s="37" t="s">
        <v>62</v>
      </c>
      <c r="B207" s="66" t="s">
        <v>1596</v>
      </c>
      <c r="C207" s="47">
        <v>1007</v>
      </c>
      <c r="D207" s="47" t="s">
        <v>203</v>
      </c>
      <c r="E207" s="41">
        <v>10070003</v>
      </c>
      <c r="F207" s="46" t="s">
        <v>205</v>
      </c>
      <c r="G207" s="39" t="s">
        <v>617</v>
      </c>
      <c r="H207" s="48" t="s">
        <v>98</v>
      </c>
      <c r="I207" s="52">
        <v>1053.7</v>
      </c>
      <c r="J207" s="49">
        <v>36392.810000000005</v>
      </c>
      <c r="K207" s="65">
        <v>0</v>
      </c>
      <c r="L207" s="65">
        <v>0</v>
      </c>
      <c r="M207" s="65">
        <v>0</v>
      </c>
      <c r="N207" s="65">
        <v>0</v>
      </c>
      <c r="O207" s="65">
        <v>0</v>
      </c>
      <c r="P207" s="65">
        <v>0</v>
      </c>
      <c r="Q207" s="50">
        <v>36392.810000000005</v>
      </c>
      <c r="R207" s="65">
        <v>0</v>
      </c>
      <c r="S207" s="65">
        <v>0</v>
      </c>
      <c r="T207" s="65">
        <v>0</v>
      </c>
      <c r="U207" s="65">
        <v>0</v>
      </c>
      <c r="V207" s="65">
        <v>0</v>
      </c>
      <c r="W207" s="65">
        <v>0</v>
      </c>
      <c r="X207" s="65">
        <v>0</v>
      </c>
      <c r="Y207" s="65">
        <v>0</v>
      </c>
      <c r="Z207" s="65">
        <v>36392.810000000005</v>
      </c>
      <c r="AA207" s="51">
        <v>0</v>
      </c>
      <c r="AB207" s="102">
        <v>0</v>
      </c>
      <c r="AC207" s="81">
        <f t="shared" si="12"/>
        <v>0</v>
      </c>
      <c r="AD207" s="82">
        <f t="shared" si="13"/>
        <v>0</v>
      </c>
      <c r="AE207" s="218">
        <v>0</v>
      </c>
      <c r="AF207">
        <v>0</v>
      </c>
      <c r="AH207" t="str">
        <f t="shared" si="11"/>
        <v>Araria</v>
      </c>
      <c r="AJ207" s="72">
        <v>0</v>
      </c>
      <c r="AK207" s="72"/>
      <c r="AL207" s="72"/>
      <c r="AM207" s="72"/>
    </row>
    <row r="208" spans="1:39" x14ac:dyDescent="0.25">
      <c r="A208" s="37" t="s">
        <v>62</v>
      </c>
      <c r="B208" s="66" t="s">
        <v>1596</v>
      </c>
      <c r="C208" s="47">
        <v>1056</v>
      </c>
      <c r="D208" s="47" t="s">
        <v>816</v>
      </c>
      <c r="E208" s="41">
        <v>10070004</v>
      </c>
      <c r="F208" s="46" t="s">
        <v>206</v>
      </c>
      <c r="G208" s="39" t="s">
        <v>617</v>
      </c>
      <c r="H208" s="48" t="s">
        <v>98</v>
      </c>
      <c r="I208" s="52">
        <v>154.70000000000002</v>
      </c>
      <c r="J208" s="49">
        <v>5283.7800000000007</v>
      </c>
      <c r="K208" s="65">
        <v>0</v>
      </c>
      <c r="L208" s="65">
        <v>0</v>
      </c>
      <c r="M208" s="65">
        <v>0</v>
      </c>
      <c r="N208" s="65">
        <v>0</v>
      </c>
      <c r="O208" s="65">
        <v>0</v>
      </c>
      <c r="P208" s="65">
        <v>0</v>
      </c>
      <c r="Q208" s="50">
        <v>5283.7800000000007</v>
      </c>
      <c r="R208" s="65">
        <v>0</v>
      </c>
      <c r="S208" s="65">
        <v>0</v>
      </c>
      <c r="T208" s="65">
        <v>0</v>
      </c>
      <c r="U208" s="65">
        <v>0</v>
      </c>
      <c r="V208" s="65">
        <v>0</v>
      </c>
      <c r="W208" s="65">
        <v>0</v>
      </c>
      <c r="X208" s="65">
        <v>0</v>
      </c>
      <c r="Y208" s="65">
        <v>0</v>
      </c>
      <c r="Z208" s="65">
        <v>5283.7800000000007</v>
      </c>
      <c r="AA208" s="51">
        <v>0</v>
      </c>
      <c r="AB208" s="102">
        <v>0</v>
      </c>
      <c r="AC208" s="81">
        <f t="shared" si="12"/>
        <v>372.4945357466064</v>
      </c>
      <c r="AD208" s="82">
        <f t="shared" si="13"/>
        <v>22.1</v>
      </c>
      <c r="AE208" s="218">
        <v>0</v>
      </c>
      <c r="AF208">
        <v>0</v>
      </c>
      <c r="AH208" t="str">
        <f t="shared" si="11"/>
        <v>Chautham</v>
      </c>
      <c r="AJ208" s="72">
        <v>0</v>
      </c>
      <c r="AK208" s="72"/>
      <c r="AL208" s="72"/>
      <c r="AM208" s="72"/>
    </row>
    <row r="209" spans="1:39" x14ac:dyDescent="0.25">
      <c r="A209" s="37" t="s">
        <v>62</v>
      </c>
      <c r="B209" s="66" t="s">
        <v>1596</v>
      </c>
      <c r="C209" s="47">
        <v>1056</v>
      </c>
      <c r="D209" s="47" t="s">
        <v>816</v>
      </c>
      <c r="E209" s="41">
        <v>10070008</v>
      </c>
      <c r="F209" s="46" t="s">
        <v>207</v>
      </c>
      <c r="G209" s="39" t="s">
        <v>617</v>
      </c>
      <c r="H209" s="48" t="s">
        <v>98</v>
      </c>
      <c r="I209" s="52">
        <v>598.4</v>
      </c>
      <c r="J209" s="49">
        <v>21506.899999999994</v>
      </c>
      <c r="K209" s="65">
        <v>0</v>
      </c>
      <c r="L209" s="65">
        <v>0</v>
      </c>
      <c r="M209" s="65">
        <v>0</v>
      </c>
      <c r="N209" s="65">
        <v>0</v>
      </c>
      <c r="O209" s="65">
        <v>0</v>
      </c>
      <c r="P209" s="65">
        <v>0</v>
      </c>
      <c r="Q209" s="50">
        <v>21506.899999999994</v>
      </c>
      <c r="R209" s="65">
        <v>0</v>
      </c>
      <c r="S209" s="65">
        <v>0</v>
      </c>
      <c r="T209" s="65">
        <v>0</v>
      </c>
      <c r="U209" s="65">
        <v>0</v>
      </c>
      <c r="V209" s="65">
        <v>0</v>
      </c>
      <c r="W209" s="65">
        <v>0</v>
      </c>
      <c r="X209" s="65">
        <v>0</v>
      </c>
      <c r="Y209" s="65">
        <v>0</v>
      </c>
      <c r="Z209" s="65">
        <v>21506.899999999994</v>
      </c>
      <c r="AA209" s="51">
        <v>0</v>
      </c>
      <c r="AB209" s="102">
        <v>0</v>
      </c>
      <c r="AC209" s="81">
        <f t="shared" si="12"/>
        <v>73.031451871657765</v>
      </c>
      <c r="AD209" s="82">
        <f t="shared" si="13"/>
        <v>85.48571428571428</v>
      </c>
      <c r="AE209" s="218">
        <v>0</v>
      </c>
      <c r="AF209">
        <v>0</v>
      </c>
      <c r="AH209" t="str">
        <f t="shared" si="11"/>
        <v>Chautham</v>
      </c>
      <c r="AJ209" s="72">
        <v>0</v>
      </c>
      <c r="AK209" s="72"/>
      <c r="AL209" s="72"/>
      <c r="AM209" s="72"/>
    </row>
    <row r="210" spans="1:39" x14ac:dyDescent="0.25">
      <c r="A210" s="37" t="s">
        <v>62</v>
      </c>
      <c r="B210" s="66" t="s">
        <v>1596</v>
      </c>
      <c r="C210" s="47">
        <v>1007</v>
      </c>
      <c r="D210" s="47" t="s">
        <v>203</v>
      </c>
      <c r="E210" s="41">
        <v>10070013</v>
      </c>
      <c r="F210" s="46" t="s">
        <v>208</v>
      </c>
      <c r="G210" s="39" t="s">
        <v>92</v>
      </c>
      <c r="H210" s="48" t="s">
        <v>93</v>
      </c>
      <c r="I210" s="52">
        <v>235</v>
      </c>
      <c r="J210" s="49">
        <v>9527.3100000000013</v>
      </c>
      <c r="K210" s="65">
        <v>212.4</v>
      </c>
      <c r="L210" s="65">
        <v>8281.9699999999993</v>
      </c>
      <c r="M210" s="65">
        <v>25.84</v>
      </c>
      <c r="N210" s="65">
        <v>1038.7900000000002</v>
      </c>
      <c r="O210" s="65">
        <v>238.24</v>
      </c>
      <c r="P210" s="65">
        <v>9320.76</v>
      </c>
      <c r="Q210" s="50">
        <v>9320.76</v>
      </c>
      <c r="R210" s="65">
        <v>0</v>
      </c>
      <c r="S210" s="65">
        <v>118.08999999999999</v>
      </c>
      <c r="T210" s="65">
        <v>0</v>
      </c>
      <c r="U210" s="65">
        <v>0</v>
      </c>
      <c r="V210" s="65">
        <v>0</v>
      </c>
      <c r="W210" s="65">
        <v>0</v>
      </c>
      <c r="X210" s="65">
        <v>8283</v>
      </c>
      <c r="Y210" s="65">
        <v>921</v>
      </c>
      <c r="Z210" s="65">
        <v>0</v>
      </c>
      <c r="AA210" s="51">
        <v>205</v>
      </c>
      <c r="AB210" s="102">
        <v>0</v>
      </c>
      <c r="AC210" s="81">
        <f t="shared" si="12"/>
        <v>377.03822553191497</v>
      </c>
      <c r="AD210" s="82">
        <f t="shared" si="13"/>
        <v>33.571428571428569</v>
      </c>
      <c r="AE210" s="218">
        <v>2.16797815962744E-2</v>
      </c>
      <c r="AF210">
        <v>10</v>
      </c>
      <c r="AH210" t="str">
        <f t="shared" si="11"/>
        <v>Araria</v>
      </c>
      <c r="AJ210" s="72">
        <v>0</v>
      </c>
      <c r="AK210" s="72"/>
      <c r="AL210" s="72"/>
      <c r="AM210" s="72"/>
    </row>
    <row r="211" spans="1:39" x14ac:dyDescent="0.25">
      <c r="A211" s="37" t="s">
        <v>62</v>
      </c>
      <c r="B211" s="66" t="s">
        <v>1596</v>
      </c>
      <c r="C211" s="47">
        <v>1007</v>
      </c>
      <c r="D211" s="47" t="s">
        <v>203</v>
      </c>
      <c r="E211" s="41">
        <v>10070016</v>
      </c>
      <c r="F211" s="46" t="s">
        <v>209</v>
      </c>
      <c r="G211" s="39" t="s">
        <v>92</v>
      </c>
      <c r="H211" s="48" t="s">
        <v>93</v>
      </c>
      <c r="I211" s="52">
        <v>207.89999999999995</v>
      </c>
      <c r="J211" s="49">
        <v>8583.4600000000009</v>
      </c>
      <c r="K211" s="65">
        <v>207.21999999999997</v>
      </c>
      <c r="L211" s="65">
        <v>8584.43</v>
      </c>
      <c r="M211" s="65">
        <v>1.5100000000000002</v>
      </c>
      <c r="N211" s="65">
        <v>63.190000000000005</v>
      </c>
      <c r="O211" s="65">
        <v>208.72999999999996</v>
      </c>
      <c r="P211" s="65">
        <v>8647.6200000000008</v>
      </c>
      <c r="Q211" s="50">
        <v>8583.4600000000009</v>
      </c>
      <c r="R211" s="65">
        <v>0</v>
      </c>
      <c r="S211" s="65">
        <v>63.190000000000005</v>
      </c>
      <c r="T211" s="65">
        <v>64.159999999999854</v>
      </c>
      <c r="U211" s="65">
        <v>0</v>
      </c>
      <c r="V211" s="65">
        <v>0</v>
      </c>
      <c r="W211" s="65">
        <v>0</v>
      </c>
      <c r="X211" s="65">
        <v>8520</v>
      </c>
      <c r="Y211" s="65">
        <v>0</v>
      </c>
      <c r="Z211" s="65">
        <v>0</v>
      </c>
      <c r="AA211" s="51">
        <v>0</v>
      </c>
      <c r="AB211" s="102" t="s">
        <v>1598</v>
      </c>
      <c r="AC211" s="81">
        <f t="shared" si="12"/>
        <v>406.34157441077463</v>
      </c>
      <c r="AD211" s="82">
        <f t="shared" si="13"/>
        <v>29.699999999999992</v>
      </c>
      <c r="AE211" s="218">
        <v>-7.4748411479752738E-3</v>
      </c>
      <c r="AF211">
        <v>5</v>
      </c>
      <c r="AH211" t="str">
        <f t="shared" si="11"/>
        <v>Araria</v>
      </c>
      <c r="AJ211" s="72">
        <v>0</v>
      </c>
      <c r="AK211" s="72"/>
      <c r="AL211" s="72"/>
      <c r="AM211" s="72"/>
    </row>
    <row r="212" spans="1:39" x14ac:dyDescent="0.25">
      <c r="A212" s="37" t="s">
        <v>62</v>
      </c>
      <c r="B212" s="66" t="s">
        <v>1596</v>
      </c>
      <c r="C212" s="47">
        <v>1007</v>
      </c>
      <c r="D212" s="47" t="s">
        <v>203</v>
      </c>
      <c r="E212" s="41">
        <v>10070018</v>
      </c>
      <c r="F212" s="46" t="s">
        <v>210</v>
      </c>
      <c r="G212" s="39" t="s">
        <v>617</v>
      </c>
      <c r="H212" s="48" t="s">
        <v>98</v>
      </c>
      <c r="I212" s="52">
        <v>12147.100000000002</v>
      </c>
      <c r="J212" s="49">
        <v>475219.13999999996</v>
      </c>
      <c r="K212" s="65">
        <v>0</v>
      </c>
      <c r="L212" s="65">
        <v>0</v>
      </c>
      <c r="M212" s="65">
        <v>0</v>
      </c>
      <c r="N212" s="65">
        <v>0</v>
      </c>
      <c r="O212" s="65">
        <v>0</v>
      </c>
      <c r="P212" s="65">
        <v>0</v>
      </c>
      <c r="Q212" s="50">
        <v>475219.13999999996</v>
      </c>
      <c r="R212" s="65">
        <v>0</v>
      </c>
      <c r="S212" s="65">
        <v>0</v>
      </c>
      <c r="T212" s="65">
        <v>0</v>
      </c>
      <c r="U212" s="65">
        <v>0</v>
      </c>
      <c r="V212" s="65">
        <v>0</v>
      </c>
      <c r="W212" s="65">
        <v>0</v>
      </c>
      <c r="X212" s="65">
        <v>0</v>
      </c>
      <c r="Y212" s="65">
        <v>0</v>
      </c>
      <c r="Z212" s="65">
        <v>475219.13999999996</v>
      </c>
      <c r="AA212" s="51">
        <v>0</v>
      </c>
      <c r="AB212" s="102">
        <v>0</v>
      </c>
      <c r="AC212" s="81">
        <f t="shared" si="12"/>
        <v>0</v>
      </c>
      <c r="AD212" s="82">
        <f t="shared" si="13"/>
        <v>0</v>
      </c>
      <c r="AE212" s="218">
        <v>0</v>
      </c>
      <c r="AF212">
        <v>0</v>
      </c>
      <c r="AH212" t="str">
        <f t="shared" si="11"/>
        <v>Araria</v>
      </c>
      <c r="AJ212" s="72">
        <v>0</v>
      </c>
      <c r="AK212" s="72"/>
      <c r="AL212" s="72"/>
      <c r="AM212" s="72"/>
    </row>
    <row r="213" spans="1:39" x14ac:dyDescent="0.25">
      <c r="A213" s="37" t="s">
        <v>62</v>
      </c>
      <c r="B213" s="66" t="s">
        <v>1596</v>
      </c>
      <c r="C213" s="47">
        <v>1007</v>
      </c>
      <c r="D213" s="47" t="s">
        <v>203</v>
      </c>
      <c r="E213" s="41">
        <v>10070019</v>
      </c>
      <c r="F213" s="46" t="s">
        <v>211</v>
      </c>
      <c r="G213" s="39" t="s">
        <v>617</v>
      </c>
      <c r="H213" s="48" t="s">
        <v>98</v>
      </c>
      <c r="I213" s="52">
        <v>7447.2</v>
      </c>
      <c r="J213" s="49">
        <v>291131.88</v>
      </c>
      <c r="K213" s="65">
        <v>0</v>
      </c>
      <c r="L213" s="65">
        <v>0</v>
      </c>
      <c r="M213" s="65">
        <v>0</v>
      </c>
      <c r="N213" s="65">
        <v>0</v>
      </c>
      <c r="O213" s="65">
        <v>0</v>
      </c>
      <c r="P213" s="65">
        <v>0</v>
      </c>
      <c r="Q213" s="50">
        <v>291131.88</v>
      </c>
      <c r="R213" s="65">
        <v>0</v>
      </c>
      <c r="S213" s="65">
        <v>0</v>
      </c>
      <c r="T213" s="65">
        <v>0</v>
      </c>
      <c r="U213" s="65">
        <v>0</v>
      </c>
      <c r="V213" s="65">
        <v>0</v>
      </c>
      <c r="W213" s="65">
        <v>0</v>
      </c>
      <c r="X213" s="65">
        <v>0</v>
      </c>
      <c r="Y213" s="65">
        <v>0</v>
      </c>
      <c r="Z213" s="65">
        <v>291131.88</v>
      </c>
      <c r="AA213" s="51">
        <v>0</v>
      </c>
      <c r="AB213" s="102">
        <v>0</v>
      </c>
      <c r="AC213" s="81">
        <f t="shared" si="12"/>
        <v>0</v>
      </c>
      <c r="AD213" s="82">
        <f t="shared" si="13"/>
        <v>0</v>
      </c>
      <c r="AE213" s="218">
        <v>0</v>
      </c>
      <c r="AF213">
        <v>0</v>
      </c>
      <c r="AH213" t="str">
        <f t="shared" si="11"/>
        <v>Araria</v>
      </c>
      <c r="AJ213" s="72">
        <v>0</v>
      </c>
      <c r="AK213" s="72"/>
      <c r="AL213" s="72"/>
      <c r="AM213" s="72"/>
    </row>
    <row r="214" spans="1:39" x14ac:dyDescent="0.25">
      <c r="A214" s="37" t="s">
        <v>62</v>
      </c>
      <c r="B214" s="66" t="s">
        <v>1596</v>
      </c>
      <c r="C214" s="47">
        <v>1007</v>
      </c>
      <c r="D214" s="47" t="s">
        <v>203</v>
      </c>
      <c r="E214" s="41">
        <v>10070020</v>
      </c>
      <c r="F214" s="46" t="s">
        <v>212</v>
      </c>
      <c r="G214" s="39" t="s">
        <v>617</v>
      </c>
      <c r="H214" s="48" t="s">
        <v>98</v>
      </c>
      <c r="I214" s="52">
        <v>5148.7</v>
      </c>
      <c r="J214" s="49">
        <v>197869.03999999998</v>
      </c>
      <c r="K214" s="65">
        <v>0</v>
      </c>
      <c r="L214" s="65">
        <v>0</v>
      </c>
      <c r="M214" s="65">
        <v>0</v>
      </c>
      <c r="N214" s="65">
        <v>0</v>
      </c>
      <c r="O214" s="65">
        <v>0</v>
      </c>
      <c r="P214" s="65">
        <v>0</v>
      </c>
      <c r="Q214" s="50">
        <v>197869.03999999998</v>
      </c>
      <c r="R214" s="65">
        <v>0</v>
      </c>
      <c r="S214" s="65">
        <v>0</v>
      </c>
      <c r="T214" s="65">
        <v>0</v>
      </c>
      <c r="U214" s="65">
        <v>0</v>
      </c>
      <c r="V214" s="65">
        <v>0</v>
      </c>
      <c r="W214" s="65">
        <v>0</v>
      </c>
      <c r="X214" s="65">
        <v>0</v>
      </c>
      <c r="Y214" s="65">
        <v>0</v>
      </c>
      <c r="Z214" s="65">
        <v>197869.03999999998</v>
      </c>
      <c r="AA214" s="51">
        <v>0</v>
      </c>
      <c r="AB214" s="102">
        <v>0</v>
      </c>
      <c r="AC214" s="81">
        <f t="shared" si="12"/>
        <v>0</v>
      </c>
      <c r="AD214" s="82">
        <f t="shared" si="13"/>
        <v>0</v>
      </c>
      <c r="AE214" s="218">
        <v>0</v>
      </c>
      <c r="AF214">
        <v>0</v>
      </c>
      <c r="AH214" t="str">
        <f t="shared" si="11"/>
        <v>Araria</v>
      </c>
      <c r="AJ214" s="72">
        <v>0</v>
      </c>
      <c r="AK214" s="72"/>
      <c r="AL214" s="72"/>
      <c r="AM214" s="72"/>
    </row>
    <row r="215" spans="1:39" x14ac:dyDescent="0.25">
      <c r="A215" s="37" t="s">
        <v>62</v>
      </c>
      <c r="B215" s="66" t="s">
        <v>1596</v>
      </c>
      <c r="C215" s="47">
        <v>1007</v>
      </c>
      <c r="D215" s="47" t="s">
        <v>203</v>
      </c>
      <c r="E215" s="41">
        <v>10070024</v>
      </c>
      <c r="F215" s="46" t="s">
        <v>213</v>
      </c>
      <c r="G215" s="39" t="s">
        <v>617</v>
      </c>
      <c r="H215" s="48" t="s">
        <v>98</v>
      </c>
      <c r="I215" s="52">
        <v>751.9</v>
      </c>
      <c r="J215" s="49">
        <v>29119.21</v>
      </c>
      <c r="K215" s="65">
        <v>0</v>
      </c>
      <c r="L215" s="65">
        <v>0</v>
      </c>
      <c r="M215" s="65">
        <v>0</v>
      </c>
      <c r="N215" s="65">
        <v>0</v>
      </c>
      <c r="O215" s="65">
        <v>0</v>
      </c>
      <c r="P215" s="65">
        <v>0</v>
      </c>
      <c r="Q215" s="50">
        <v>29119.21</v>
      </c>
      <c r="R215" s="65">
        <v>0</v>
      </c>
      <c r="S215" s="65">
        <v>0</v>
      </c>
      <c r="T215" s="65">
        <v>0</v>
      </c>
      <c r="U215" s="65">
        <v>0</v>
      </c>
      <c r="V215" s="65">
        <v>0</v>
      </c>
      <c r="W215" s="65">
        <v>0</v>
      </c>
      <c r="X215" s="65">
        <v>0</v>
      </c>
      <c r="Y215" s="65">
        <v>0</v>
      </c>
      <c r="Z215" s="65">
        <v>29119.21</v>
      </c>
      <c r="AA215" s="51">
        <v>0</v>
      </c>
      <c r="AB215" s="102">
        <v>0</v>
      </c>
      <c r="AC215" s="81">
        <f t="shared" si="12"/>
        <v>0</v>
      </c>
      <c r="AD215" s="82">
        <f t="shared" si="13"/>
        <v>0</v>
      </c>
      <c r="AE215" s="218">
        <v>0</v>
      </c>
      <c r="AF215">
        <v>0</v>
      </c>
      <c r="AH215" t="str">
        <f t="shared" si="11"/>
        <v>Araria</v>
      </c>
      <c r="AJ215" s="72">
        <v>0</v>
      </c>
      <c r="AK215" s="72"/>
      <c r="AL215" s="72"/>
      <c r="AM215" s="72"/>
    </row>
    <row r="216" spans="1:39" x14ac:dyDescent="0.25">
      <c r="A216" s="37" t="s">
        <v>62</v>
      </c>
      <c r="B216" s="66" t="s">
        <v>1596</v>
      </c>
      <c r="C216" s="47">
        <v>1007</v>
      </c>
      <c r="D216" s="47" t="s">
        <v>203</v>
      </c>
      <c r="E216" s="41">
        <v>10070026</v>
      </c>
      <c r="F216" s="46" t="s">
        <v>214</v>
      </c>
      <c r="G216" s="39" t="s">
        <v>617</v>
      </c>
      <c r="H216" s="48" t="s">
        <v>98</v>
      </c>
      <c r="I216" s="52">
        <v>4420.3</v>
      </c>
      <c r="J216" s="49">
        <v>166641.89000000001</v>
      </c>
      <c r="K216" s="65">
        <v>0</v>
      </c>
      <c r="L216" s="65">
        <v>0</v>
      </c>
      <c r="M216" s="65">
        <v>0</v>
      </c>
      <c r="N216" s="65">
        <v>0</v>
      </c>
      <c r="O216" s="65">
        <v>0</v>
      </c>
      <c r="P216" s="65">
        <v>0</v>
      </c>
      <c r="Q216" s="50">
        <v>166641.89000000001</v>
      </c>
      <c r="R216" s="65">
        <v>0</v>
      </c>
      <c r="S216" s="65">
        <v>0</v>
      </c>
      <c r="T216" s="65">
        <v>0</v>
      </c>
      <c r="U216" s="65">
        <v>0</v>
      </c>
      <c r="V216" s="65">
        <v>0</v>
      </c>
      <c r="W216" s="65">
        <v>0</v>
      </c>
      <c r="X216" s="65">
        <v>0</v>
      </c>
      <c r="Y216" s="65">
        <v>0</v>
      </c>
      <c r="Z216" s="65">
        <v>166641.89000000001</v>
      </c>
      <c r="AA216" s="51">
        <v>0</v>
      </c>
      <c r="AB216" s="102">
        <v>0</v>
      </c>
      <c r="AC216" s="81">
        <f t="shared" si="12"/>
        <v>0</v>
      </c>
      <c r="AD216" s="82">
        <f t="shared" si="13"/>
        <v>0</v>
      </c>
      <c r="AE216" s="218">
        <v>0</v>
      </c>
      <c r="AF216">
        <v>0</v>
      </c>
      <c r="AH216" t="str">
        <f t="shared" si="11"/>
        <v>Araria</v>
      </c>
      <c r="AJ216" s="72">
        <v>0</v>
      </c>
      <c r="AK216" s="72"/>
      <c r="AL216" s="72"/>
      <c r="AM216" s="72"/>
    </row>
    <row r="217" spans="1:39" x14ac:dyDescent="0.25">
      <c r="A217" s="37" t="s">
        <v>62</v>
      </c>
      <c r="B217" s="66" t="s">
        <v>1596</v>
      </c>
      <c r="C217" s="47">
        <v>1010</v>
      </c>
      <c r="D217" s="47" t="s">
        <v>1311</v>
      </c>
      <c r="E217" s="41">
        <v>10070033</v>
      </c>
      <c r="F217" s="46" t="s">
        <v>215</v>
      </c>
      <c r="G217" s="39" t="s">
        <v>92</v>
      </c>
      <c r="H217" s="48" t="s">
        <v>93</v>
      </c>
      <c r="I217" s="52">
        <v>452.9</v>
      </c>
      <c r="J217" s="49">
        <v>23928.829999999998</v>
      </c>
      <c r="K217" s="65">
        <v>452.90000000000003</v>
      </c>
      <c r="L217" s="65">
        <v>22735.510000000002</v>
      </c>
      <c r="M217" s="65">
        <v>0</v>
      </c>
      <c r="N217" s="65">
        <v>0</v>
      </c>
      <c r="O217" s="65">
        <v>452.90000000000003</v>
      </c>
      <c r="P217" s="65">
        <v>22735.510000000002</v>
      </c>
      <c r="Q217" s="50">
        <v>22735.510000000002</v>
      </c>
      <c r="R217" s="65">
        <v>0</v>
      </c>
      <c r="S217" s="65">
        <v>0</v>
      </c>
      <c r="T217" s="65">
        <v>0</v>
      </c>
      <c r="U217" s="65">
        <v>0</v>
      </c>
      <c r="V217" s="65">
        <v>0</v>
      </c>
      <c r="W217" s="65">
        <v>0</v>
      </c>
      <c r="X217" s="65">
        <v>22736</v>
      </c>
      <c r="Y217" s="65">
        <v>0</v>
      </c>
      <c r="Z217" s="65">
        <v>0</v>
      </c>
      <c r="AA217" s="51">
        <v>1193</v>
      </c>
      <c r="AB217" s="102">
        <v>0</v>
      </c>
      <c r="AC217" s="81">
        <f t="shared" si="12"/>
        <v>261.10902596599686</v>
      </c>
      <c r="AD217" s="82">
        <f t="shared" si="13"/>
        <v>64.7</v>
      </c>
      <c r="AE217" s="218">
        <v>4.9869550663362822E-2</v>
      </c>
      <c r="AF217">
        <v>1</v>
      </c>
      <c r="AH217" t="str">
        <f t="shared" si="11"/>
        <v>Parbatta</v>
      </c>
      <c r="AJ217" s="72">
        <v>0</v>
      </c>
      <c r="AK217" s="72"/>
      <c r="AL217" s="72"/>
      <c r="AM217" s="72"/>
    </row>
    <row r="218" spans="1:39" x14ac:dyDescent="0.25">
      <c r="A218" s="37" t="s">
        <v>62</v>
      </c>
      <c r="B218" s="66" t="s">
        <v>1596</v>
      </c>
      <c r="C218" s="47">
        <v>1056</v>
      </c>
      <c r="D218" s="47" t="s">
        <v>816</v>
      </c>
      <c r="E218" s="41">
        <v>10070039</v>
      </c>
      <c r="F218" s="46" t="s">
        <v>1219</v>
      </c>
      <c r="G218" s="39" t="s">
        <v>617</v>
      </c>
      <c r="H218" s="48" t="s">
        <v>98</v>
      </c>
      <c r="I218" s="52">
        <v>181.14</v>
      </c>
      <c r="J218" s="49">
        <v>6342.9</v>
      </c>
      <c r="K218" s="65">
        <v>0</v>
      </c>
      <c r="L218" s="65">
        <v>0</v>
      </c>
      <c r="M218" s="65">
        <v>0</v>
      </c>
      <c r="N218" s="65">
        <v>0</v>
      </c>
      <c r="O218" s="65">
        <v>0</v>
      </c>
      <c r="P218" s="65">
        <v>0</v>
      </c>
      <c r="Q218" s="50">
        <v>6342.9</v>
      </c>
      <c r="R218" s="65">
        <v>0</v>
      </c>
      <c r="S218" s="65">
        <v>0</v>
      </c>
      <c r="T218" s="65">
        <v>0</v>
      </c>
      <c r="U218" s="65">
        <v>0</v>
      </c>
      <c r="V218" s="65">
        <v>0</v>
      </c>
      <c r="W218" s="65">
        <v>0</v>
      </c>
      <c r="X218" s="65">
        <v>0</v>
      </c>
      <c r="Y218" s="65">
        <v>0</v>
      </c>
      <c r="Z218" s="65">
        <v>6342.9</v>
      </c>
      <c r="AA218" s="51">
        <v>0</v>
      </c>
      <c r="AB218" s="102">
        <v>0</v>
      </c>
      <c r="AC218" s="81">
        <f t="shared" si="12"/>
        <v>363.37386485591253</v>
      </c>
      <c r="AD218" s="82">
        <f t="shared" si="13"/>
        <v>25.877142857142854</v>
      </c>
      <c r="AE218" s="218">
        <v>0</v>
      </c>
      <c r="AF218">
        <v>0</v>
      </c>
      <c r="AH218" t="str">
        <f t="shared" si="11"/>
        <v>Chautham</v>
      </c>
      <c r="AJ218" s="72">
        <v>0</v>
      </c>
      <c r="AK218" s="72"/>
      <c r="AL218" s="72"/>
      <c r="AM218" s="72"/>
    </row>
    <row r="219" spans="1:39" x14ac:dyDescent="0.25">
      <c r="A219" s="37" t="s">
        <v>62</v>
      </c>
      <c r="B219" s="66" t="s">
        <v>1596</v>
      </c>
      <c r="C219" s="47">
        <v>1007</v>
      </c>
      <c r="D219" s="47" t="s">
        <v>203</v>
      </c>
      <c r="E219" s="41">
        <v>10070042</v>
      </c>
      <c r="F219" s="46" t="s">
        <v>216</v>
      </c>
      <c r="G219" s="39" t="s">
        <v>92</v>
      </c>
      <c r="H219" s="48" t="s">
        <v>93</v>
      </c>
      <c r="I219" s="52">
        <v>266.2</v>
      </c>
      <c r="J219" s="49">
        <v>10548.02</v>
      </c>
      <c r="K219" s="65">
        <v>355.88</v>
      </c>
      <c r="L219" s="65">
        <v>14563.14</v>
      </c>
      <c r="M219" s="65">
        <v>8.01</v>
      </c>
      <c r="N219" s="65">
        <v>322.67000000000007</v>
      </c>
      <c r="O219" s="65">
        <v>363.89</v>
      </c>
      <c r="P219" s="65">
        <v>14885.81</v>
      </c>
      <c r="Q219" s="50">
        <v>10548.02</v>
      </c>
      <c r="R219" s="65">
        <v>0</v>
      </c>
      <c r="S219" s="65">
        <v>322.67000000000007</v>
      </c>
      <c r="T219" s="65">
        <v>4337.7899999999991</v>
      </c>
      <c r="U219" s="65">
        <v>0</v>
      </c>
      <c r="V219" s="65">
        <v>0</v>
      </c>
      <c r="W219" s="65">
        <v>0</v>
      </c>
      <c r="X219" s="65">
        <v>10225</v>
      </c>
      <c r="Y219" s="65">
        <v>0</v>
      </c>
      <c r="Z219" s="65">
        <v>0</v>
      </c>
      <c r="AA219" s="51">
        <v>0</v>
      </c>
      <c r="AB219" s="102">
        <v>0</v>
      </c>
      <c r="AC219" s="81">
        <f t="shared" si="12"/>
        <v>343.78144823441028</v>
      </c>
      <c r="AD219" s="82">
        <f t="shared" si="13"/>
        <v>38.028571428571425</v>
      </c>
      <c r="AE219" s="218">
        <v>-0.41124210989361026</v>
      </c>
      <c r="AF219">
        <v>4</v>
      </c>
      <c r="AH219" t="str">
        <f t="shared" si="11"/>
        <v>Araria</v>
      </c>
      <c r="AJ219" s="72">
        <v>0</v>
      </c>
      <c r="AK219" s="72"/>
      <c r="AL219" s="72"/>
      <c r="AM219" s="72"/>
    </row>
    <row r="220" spans="1:39" x14ac:dyDescent="0.25">
      <c r="A220" s="37" t="s">
        <v>62</v>
      </c>
      <c r="B220" s="66" t="s">
        <v>1596</v>
      </c>
      <c r="C220" s="47">
        <v>1007</v>
      </c>
      <c r="D220" s="47" t="s">
        <v>203</v>
      </c>
      <c r="E220" s="41">
        <v>10070043</v>
      </c>
      <c r="F220" s="46" t="s">
        <v>203</v>
      </c>
      <c r="G220" s="39" t="s">
        <v>617</v>
      </c>
      <c r="H220" s="48" t="s">
        <v>98</v>
      </c>
      <c r="I220" s="52">
        <v>15825.699999999999</v>
      </c>
      <c r="J220" s="49">
        <v>627822.28999999992</v>
      </c>
      <c r="K220" s="65">
        <v>0</v>
      </c>
      <c r="L220" s="65">
        <v>0</v>
      </c>
      <c r="M220" s="65">
        <v>0</v>
      </c>
      <c r="N220" s="65">
        <v>0</v>
      </c>
      <c r="O220" s="65">
        <v>0</v>
      </c>
      <c r="P220" s="65">
        <v>0</v>
      </c>
      <c r="Q220" s="50">
        <v>627822.28999999992</v>
      </c>
      <c r="R220" s="65">
        <v>0</v>
      </c>
      <c r="S220" s="65">
        <v>0</v>
      </c>
      <c r="T220" s="65">
        <v>0</v>
      </c>
      <c r="U220" s="65">
        <v>0</v>
      </c>
      <c r="V220" s="65">
        <v>0</v>
      </c>
      <c r="W220" s="65">
        <v>0</v>
      </c>
      <c r="X220" s="65">
        <v>0</v>
      </c>
      <c r="Y220" s="65">
        <v>0</v>
      </c>
      <c r="Z220" s="65">
        <v>627822.28999999992</v>
      </c>
      <c r="AA220" s="51">
        <v>0</v>
      </c>
      <c r="AB220" s="102">
        <v>0</v>
      </c>
      <c r="AC220" s="81">
        <f t="shared" si="12"/>
        <v>0</v>
      </c>
      <c r="AD220" s="82">
        <f t="shared" si="13"/>
        <v>0</v>
      </c>
      <c r="AE220" s="218">
        <v>0</v>
      </c>
      <c r="AF220">
        <v>0</v>
      </c>
      <c r="AH220" t="str">
        <f t="shared" si="11"/>
        <v>Araria</v>
      </c>
      <c r="AJ220" s="72">
        <v>0</v>
      </c>
      <c r="AK220" s="72"/>
      <c r="AL220" s="72"/>
      <c r="AM220" s="72"/>
    </row>
    <row r="221" spans="1:39" x14ac:dyDescent="0.25">
      <c r="A221" s="37" t="s">
        <v>62</v>
      </c>
      <c r="B221" s="66" t="s">
        <v>1596</v>
      </c>
      <c r="C221" s="47">
        <v>1007</v>
      </c>
      <c r="D221" s="47" t="s">
        <v>203</v>
      </c>
      <c r="E221" s="41">
        <v>10070045</v>
      </c>
      <c r="F221" s="46" t="s">
        <v>209</v>
      </c>
      <c r="G221" s="39" t="s">
        <v>92</v>
      </c>
      <c r="H221" s="48" t="s">
        <v>93</v>
      </c>
      <c r="I221" s="52">
        <v>9.9</v>
      </c>
      <c r="J221" s="49">
        <v>394.91</v>
      </c>
      <c r="K221" s="65">
        <v>0</v>
      </c>
      <c r="L221" s="65">
        <v>0</v>
      </c>
      <c r="M221" s="65">
        <v>0</v>
      </c>
      <c r="N221" s="65">
        <v>0</v>
      </c>
      <c r="O221" s="65">
        <v>0</v>
      </c>
      <c r="P221" s="65">
        <v>0</v>
      </c>
      <c r="Q221" s="50">
        <v>0</v>
      </c>
      <c r="R221" s="65">
        <v>0</v>
      </c>
      <c r="S221" s="65">
        <v>0</v>
      </c>
      <c r="T221" s="65">
        <v>0</v>
      </c>
      <c r="U221" s="65">
        <v>0</v>
      </c>
      <c r="V221" s="65">
        <v>0</v>
      </c>
      <c r="W221" s="65">
        <v>0</v>
      </c>
      <c r="X221" s="65">
        <v>0</v>
      </c>
      <c r="Y221" s="65">
        <v>0</v>
      </c>
      <c r="Z221" s="65">
        <v>0</v>
      </c>
      <c r="AA221" s="51">
        <v>395</v>
      </c>
      <c r="AB221" s="102">
        <v>0</v>
      </c>
      <c r="AC221" s="81">
        <f t="shared" si="12"/>
        <v>550.56038585858585</v>
      </c>
      <c r="AD221" s="82">
        <f t="shared" si="13"/>
        <v>1.4142857142857144</v>
      </c>
      <c r="AE221" s="218">
        <v>1</v>
      </c>
      <c r="AF221">
        <v>0</v>
      </c>
      <c r="AH221" t="str">
        <f t="shared" si="11"/>
        <v>Araria</v>
      </c>
      <c r="AJ221" s="72">
        <v>0</v>
      </c>
      <c r="AK221" s="72"/>
      <c r="AL221" s="72"/>
      <c r="AM221" s="72"/>
    </row>
    <row r="222" spans="1:39" x14ac:dyDescent="0.25">
      <c r="A222" s="37" t="s">
        <v>62</v>
      </c>
      <c r="B222" s="66" t="s">
        <v>1596</v>
      </c>
      <c r="C222" s="47">
        <v>1056</v>
      </c>
      <c r="D222" s="47" t="s">
        <v>816</v>
      </c>
      <c r="E222" s="41">
        <v>10070046</v>
      </c>
      <c r="F222" s="46" t="s">
        <v>491</v>
      </c>
      <c r="G222" s="39" t="s">
        <v>92</v>
      </c>
      <c r="H222" s="48" t="s">
        <v>93</v>
      </c>
      <c r="I222" s="52">
        <v>1860.06</v>
      </c>
      <c r="J222" s="49">
        <v>72825.5</v>
      </c>
      <c r="K222" s="65">
        <v>1867.2699999999998</v>
      </c>
      <c r="L222" s="65">
        <v>76004.650000000009</v>
      </c>
      <c r="M222" s="65">
        <v>5.6000000000000005</v>
      </c>
      <c r="N222" s="65">
        <v>201.15000000000003</v>
      </c>
      <c r="O222" s="65">
        <v>1872.8699999999997</v>
      </c>
      <c r="P222" s="65">
        <v>76205.8</v>
      </c>
      <c r="Q222" s="50">
        <v>72825.5</v>
      </c>
      <c r="R222" s="65">
        <v>0</v>
      </c>
      <c r="S222" s="65">
        <v>201.15000000000003</v>
      </c>
      <c r="T222" s="65">
        <v>3380.3000000000029</v>
      </c>
      <c r="U222" s="65">
        <v>0</v>
      </c>
      <c r="V222" s="65">
        <v>0</v>
      </c>
      <c r="W222" s="65">
        <v>0</v>
      </c>
      <c r="X222" s="65">
        <v>72624</v>
      </c>
      <c r="Y222" s="65">
        <v>0</v>
      </c>
      <c r="Z222" s="65">
        <v>0</v>
      </c>
      <c r="AA222" s="51">
        <v>0</v>
      </c>
      <c r="AB222" s="102">
        <v>0</v>
      </c>
      <c r="AC222" s="81">
        <f t="shared" si="12"/>
        <v>0</v>
      </c>
      <c r="AD222" s="82">
        <f t="shared" si="13"/>
        <v>0</v>
      </c>
      <c r="AE222" s="218">
        <v>-4.6416433804093389E-2</v>
      </c>
      <c r="AF222">
        <v>7</v>
      </c>
      <c r="AH222" t="str">
        <f t="shared" si="11"/>
        <v>Chautham</v>
      </c>
      <c r="AJ222" s="72">
        <v>0</v>
      </c>
      <c r="AK222" s="72"/>
      <c r="AL222" s="72"/>
      <c r="AM222" s="72"/>
    </row>
    <row r="223" spans="1:39" x14ac:dyDescent="0.25">
      <c r="A223" s="37" t="s">
        <v>62</v>
      </c>
      <c r="B223" s="66" t="s">
        <v>1596</v>
      </c>
      <c r="C223" s="47">
        <v>1010</v>
      </c>
      <c r="D223" s="47" t="s">
        <v>1311</v>
      </c>
      <c r="E223" s="41">
        <v>10070048</v>
      </c>
      <c r="F223" s="46" t="s">
        <v>513</v>
      </c>
      <c r="G223" s="39" t="s">
        <v>92</v>
      </c>
      <c r="H223" s="48" t="s">
        <v>93</v>
      </c>
      <c r="I223" s="52">
        <v>1782.1000000000001</v>
      </c>
      <c r="J223" s="49">
        <v>71567.989999999991</v>
      </c>
      <c r="K223" s="65">
        <v>1794.85</v>
      </c>
      <c r="L223" s="65">
        <v>75733.87</v>
      </c>
      <c r="M223" s="65">
        <v>0</v>
      </c>
      <c r="N223" s="65">
        <v>0</v>
      </c>
      <c r="O223" s="65">
        <v>1794.85</v>
      </c>
      <c r="P223" s="65">
        <v>75733.87</v>
      </c>
      <c r="Q223" s="50">
        <v>71567.989999999991</v>
      </c>
      <c r="R223" s="65">
        <v>0</v>
      </c>
      <c r="S223" s="65">
        <v>0</v>
      </c>
      <c r="T223" s="65">
        <v>4165.8800000000047</v>
      </c>
      <c r="U223" s="65">
        <v>0</v>
      </c>
      <c r="V223" s="65">
        <v>0</v>
      </c>
      <c r="W223" s="65">
        <v>0</v>
      </c>
      <c r="X223" s="65">
        <v>71568</v>
      </c>
      <c r="Y223" s="65">
        <v>0</v>
      </c>
      <c r="Z223" s="65">
        <v>0</v>
      </c>
      <c r="AA223" s="51">
        <v>0</v>
      </c>
      <c r="AB223" s="102">
        <v>0</v>
      </c>
      <c r="AC223" s="81">
        <f t="shared" si="12"/>
        <v>0</v>
      </c>
      <c r="AD223" s="82">
        <f t="shared" si="13"/>
        <v>0</v>
      </c>
      <c r="AE223" s="218">
        <v>-5.8208704757532037E-2</v>
      </c>
      <c r="AF223">
        <v>9</v>
      </c>
      <c r="AH223" t="str">
        <f t="shared" si="11"/>
        <v>Parbatta</v>
      </c>
      <c r="AJ223" s="72">
        <v>0</v>
      </c>
      <c r="AK223" s="72"/>
      <c r="AL223" s="72"/>
      <c r="AM223" s="72"/>
    </row>
    <row r="224" spans="1:39" x14ac:dyDescent="0.25">
      <c r="A224" s="37" t="s">
        <v>62</v>
      </c>
      <c r="B224" s="66" t="s">
        <v>1596</v>
      </c>
      <c r="C224" s="47">
        <v>1056</v>
      </c>
      <c r="D224" s="47" t="s">
        <v>816</v>
      </c>
      <c r="E224" s="41">
        <v>10070053</v>
      </c>
      <c r="F224" s="46" t="s">
        <v>1262</v>
      </c>
      <c r="G224" s="39" t="s">
        <v>617</v>
      </c>
      <c r="H224" s="48" t="s">
        <v>93</v>
      </c>
      <c r="I224" s="52">
        <v>248.01999999999998</v>
      </c>
      <c r="J224" s="49">
        <v>8803.09</v>
      </c>
      <c r="K224" s="65">
        <v>336.57</v>
      </c>
      <c r="L224" s="65">
        <v>14625.439999999999</v>
      </c>
      <c r="M224" s="65">
        <v>0</v>
      </c>
      <c r="N224" s="65">
        <v>0</v>
      </c>
      <c r="O224" s="65">
        <v>336.57</v>
      </c>
      <c r="P224" s="65">
        <v>14625.439999999999</v>
      </c>
      <c r="Q224" s="50">
        <v>8803.09</v>
      </c>
      <c r="R224" s="65">
        <v>0</v>
      </c>
      <c r="S224" s="65">
        <v>0</v>
      </c>
      <c r="T224" s="65">
        <v>5822.3499999999985</v>
      </c>
      <c r="U224" s="65">
        <v>0</v>
      </c>
      <c r="V224" s="65">
        <v>0</v>
      </c>
      <c r="W224" s="65">
        <v>0</v>
      </c>
      <c r="X224" s="65">
        <v>8803</v>
      </c>
      <c r="Y224" s="65">
        <v>0</v>
      </c>
      <c r="Z224" s="65">
        <v>0</v>
      </c>
      <c r="AA224" s="51">
        <v>0</v>
      </c>
      <c r="AB224" s="102" t="s">
        <v>1366</v>
      </c>
      <c r="AC224" s="81">
        <f t="shared" si="12"/>
        <v>320.84675576163215</v>
      </c>
      <c r="AD224" s="82">
        <f t="shared" si="13"/>
        <v>35.431428571428569</v>
      </c>
      <c r="AE224" s="218">
        <v>-0.66139844077477328</v>
      </c>
      <c r="AF224">
        <v>2</v>
      </c>
      <c r="AH224" t="str">
        <f t="shared" si="11"/>
        <v>Chautham</v>
      </c>
      <c r="AJ224" s="72">
        <v>0</v>
      </c>
      <c r="AK224" s="72"/>
      <c r="AL224" s="72"/>
      <c r="AM224" s="72"/>
    </row>
    <row r="225" spans="1:39" x14ac:dyDescent="0.25">
      <c r="A225" s="37" t="s">
        <v>62</v>
      </c>
      <c r="B225" s="66" t="s">
        <v>1596</v>
      </c>
      <c r="C225" s="47">
        <v>1056</v>
      </c>
      <c r="D225" s="47" t="s">
        <v>816</v>
      </c>
      <c r="E225" s="41">
        <v>10070056</v>
      </c>
      <c r="F225" s="46" t="s">
        <v>524</v>
      </c>
      <c r="G225" s="39" t="s">
        <v>617</v>
      </c>
      <c r="H225" s="48" t="s">
        <v>98</v>
      </c>
      <c r="I225" s="52">
        <v>317.33999999999997</v>
      </c>
      <c r="J225" s="49">
        <v>13540</v>
      </c>
      <c r="K225" s="65">
        <v>0</v>
      </c>
      <c r="L225" s="65">
        <v>0</v>
      </c>
      <c r="M225" s="65">
        <v>0</v>
      </c>
      <c r="N225" s="65">
        <v>0</v>
      </c>
      <c r="O225" s="65">
        <v>0</v>
      </c>
      <c r="P225" s="65">
        <v>0</v>
      </c>
      <c r="Q225" s="50">
        <v>13540</v>
      </c>
      <c r="R225" s="65">
        <v>0</v>
      </c>
      <c r="S225" s="65">
        <v>0</v>
      </c>
      <c r="T225" s="65">
        <v>0</v>
      </c>
      <c r="U225" s="65">
        <v>6750</v>
      </c>
      <c r="V225" s="65">
        <v>0</v>
      </c>
      <c r="W225" s="65">
        <v>0</v>
      </c>
      <c r="X225" s="65">
        <v>0</v>
      </c>
      <c r="Y225" s="65">
        <v>0</v>
      </c>
      <c r="Z225" s="65">
        <v>6790</v>
      </c>
      <c r="AA225" s="51">
        <v>0</v>
      </c>
      <c r="AB225" s="102">
        <v>0</v>
      </c>
      <c r="AC225" s="81">
        <f t="shared" si="12"/>
        <v>326.54039200857136</v>
      </c>
      <c r="AD225" s="82">
        <f t="shared" si="13"/>
        <v>45.334285714285713</v>
      </c>
      <c r="AE225" s="218">
        <v>0</v>
      </c>
      <c r="AF225">
        <v>0</v>
      </c>
      <c r="AH225" t="str">
        <f t="shared" si="11"/>
        <v>Chautham</v>
      </c>
      <c r="AJ225" s="72">
        <v>0</v>
      </c>
      <c r="AK225" s="72"/>
      <c r="AL225" s="72"/>
      <c r="AM225" s="72"/>
    </row>
    <row r="226" spans="1:39" x14ac:dyDescent="0.25">
      <c r="A226" s="37" t="s">
        <v>62</v>
      </c>
      <c r="B226" s="66" t="s">
        <v>1596</v>
      </c>
      <c r="C226" s="47">
        <v>1056</v>
      </c>
      <c r="D226" s="47" t="s">
        <v>816</v>
      </c>
      <c r="E226" s="41">
        <v>10070058</v>
      </c>
      <c r="F226" s="46" t="s">
        <v>1254</v>
      </c>
      <c r="G226" s="39" t="s">
        <v>617</v>
      </c>
      <c r="H226" s="48" t="s">
        <v>98</v>
      </c>
      <c r="I226" s="52">
        <v>158.78</v>
      </c>
      <c r="J226" s="49">
        <v>5444.2000000000007</v>
      </c>
      <c r="K226" s="65">
        <v>0</v>
      </c>
      <c r="L226" s="65">
        <v>0</v>
      </c>
      <c r="M226" s="65">
        <v>0</v>
      </c>
      <c r="N226" s="65">
        <v>0</v>
      </c>
      <c r="O226" s="65">
        <v>0</v>
      </c>
      <c r="P226" s="65">
        <v>0</v>
      </c>
      <c r="Q226" s="50">
        <v>5444.2000000000007</v>
      </c>
      <c r="R226" s="65">
        <v>0</v>
      </c>
      <c r="S226" s="65">
        <v>0</v>
      </c>
      <c r="T226" s="65">
        <v>0</v>
      </c>
      <c r="U226" s="65">
        <v>0</v>
      </c>
      <c r="V226" s="65">
        <v>0</v>
      </c>
      <c r="W226" s="65">
        <v>0</v>
      </c>
      <c r="X226" s="65">
        <v>0</v>
      </c>
      <c r="Y226" s="65">
        <v>0</v>
      </c>
      <c r="Z226" s="65">
        <v>5444.2000000000007</v>
      </c>
      <c r="AA226" s="51">
        <v>0</v>
      </c>
      <c r="AB226" s="102">
        <v>0</v>
      </c>
      <c r="AC226" s="81">
        <f t="shared" si="12"/>
        <v>371.14371129865225</v>
      </c>
      <c r="AD226" s="82">
        <f t="shared" si="13"/>
        <v>22.682857142857141</v>
      </c>
      <c r="AE226" s="218">
        <v>0</v>
      </c>
      <c r="AF226">
        <v>0</v>
      </c>
      <c r="AH226" t="str">
        <f t="shared" si="11"/>
        <v>Chautham</v>
      </c>
      <c r="AJ226" s="72">
        <v>0</v>
      </c>
      <c r="AK226" s="72"/>
      <c r="AL226" s="72"/>
      <c r="AM226" s="72"/>
    </row>
    <row r="227" spans="1:39" x14ac:dyDescent="0.25">
      <c r="A227" s="37" t="s">
        <v>62</v>
      </c>
      <c r="B227" s="66" t="s">
        <v>1596</v>
      </c>
      <c r="C227" s="47">
        <v>1056</v>
      </c>
      <c r="D227" s="47" t="s">
        <v>816</v>
      </c>
      <c r="E227" s="41">
        <v>10070059</v>
      </c>
      <c r="F227" s="46" t="s">
        <v>552</v>
      </c>
      <c r="G227" s="39" t="s">
        <v>617</v>
      </c>
      <c r="H227" s="48" t="s">
        <v>98</v>
      </c>
      <c r="I227" s="52">
        <v>729.68000000000018</v>
      </c>
      <c r="J227" s="49">
        <v>29362.189999999995</v>
      </c>
      <c r="K227" s="65">
        <v>0</v>
      </c>
      <c r="L227" s="65">
        <v>0</v>
      </c>
      <c r="M227" s="65">
        <v>0</v>
      </c>
      <c r="N227" s="65">
        <v>0</v>
      </c>
      <c r="O227" s="65">
        <v>0</v>
      </c>
      <c r="P227" s="65">
        <v>0</v>
      </c>
      <c r="Q227" s="50">
        <v>29362.189999999995</v>
      </c>
      <c r="R227" s="65">
        <v>0</v>
      </c>
      <c r="S227" s="65">
        <v>0</v>
      </c>
      <c r="T227" s="65">
        <v>0</v>
      </c>
      <c r="U227" s="65">
        <v>0</v>
      </c>
      <c r="V227" s="65">
        <v>0</v>
      </c>
      <c r="W227" s="65">
        <v>0</v>
      </c>
      <c r="X227" s="65">
        <v>0</v>
      </c>
      <c r="Y227" s="65">
        <v>0</v>
      </c>
      <c r="Z227" s="65">
        <v>29362.189999999995</v>
      </c>
      <c r="AA227" s="51">
        <v>0</v>
      </c>
      <c r="AB227" s="102">
        <v>0</v>
      </c>
      <c r="AC227" s="81">
        <f t="shared" si="12"/>
        <v>0</v>
      </c>
      <c r="AD227" s="82">
        <f t="shared" si="13"/>
        <v>0</v>
      </c>
      <c r="AE227" s="218">
        <v>0</v>
      </c>
      <c r="AF227">
        <v>0</v>
      </c>
      <c r="AH227" t="str">
        <f t="shared" si="11"/>
        <v>Chautham</v>
      </c>
      <c r="AJ227" s="72">
        <v>0</v>
      </c>
      <c r="AK227" s="72"/>
      <c r="AL227" s="72"/>
      <c r="AM227" s="72"/>
    </row>
    <row r="228" spans="1:39" x14ac:dyDescent="0.25">
      <c r="A228" s="37" t="s">
        <v>62</v>
      </c>
      <c r="B228" s="66" t="s">
        <v>1596</v>
      </c>
      <c r="C228" s="47">
        <v>1056</v>
      </c>
      <c r="D228" s="47" t="s">
        <v>816</v>
      </c>
      <c r="E228" s="41">
        <v>10070060</v>
      </c>
      <c r="F228" s="46" t="s">
        <v>1300</v>
      </c>
      <c r="G228" s="39" t="s">
        <v>617</v>
      </c>
      <c r="H228" s="48" t="s">
        <v>98</v>
      </c>
      <c r="I228" s="52">
        <v>225.34</v>
      </c>
      <c r="J228" s="49">
        <v>8099.9699999999993</v>
      </c>
      <c r="K228" s="65">
        <v>0</v>
      </c>
      <c r="L228" s="65">
        <v>0</v>
      </c>
      <c r="M228" s="65">
        <v>0</v>
      </c>
      <c r="N228" s="65">
        <v>0</v>
      </c>
      <c r="O228" s="65">
        <v>0</v>
      </c>
      <c r="P228" s="65">
        <v>0</v>
      </c>
      <c r="Q228" s="50">
        <v>8099.9699999999993</v>
      </c>
      <c r="R228" s="65">
        <v>0</v>
      </c>
      <c r="S228" s="65">
        <v>0</v>
      </c>
      <c r="T228" s="65">
        <v>0</v>
      </c>
      <c r="U228" s="65">
        <v>0</v>
      </c>
      <c r="V228" s="65">
        <v>0</v>
      </c>
      <c r="W228" s="65">
        <v>0</v>
      </c>
      <c r="X228" s="65">
        <v>0</v>
      </c>
      <c r="Y228" s="65">
        <v>0</v>
      </c>
      <c r="Z228" s="65">
        <v>8099.9699999999993</v>
      </c>
      <c r="AA228" s="51">
        <v>0</v>
      </c>
      <c r="AB228" s="102">
        <v>0</v>
      </c>
      <c r="AC228" s="81">
        <f t="shared" si="12"/>
        <v>341.23828527558356</v>
      </c>
      <c r="AD228" s="82">
        <f t="shared" si="13"/>
        <v>32.191428571428574</v>
      </c>
      <c r="AE228" s="218">
        <v>0</v>
      </c>
      <c r="AF228">
        <v>0</v>
      </c>
      <c r="AH228" t="str">
        <f t="shared" si="11"/>
        <v>Chautham</v>
      </c>
      <c r="AJ228" s="72">
        <v>0</v>
      </c>
      <c r="AK228" s="72"/>
      <c r="AL228" s="72"/>
      <c r="AM228" s="72"/>
    </row>
    <row r="229" spans="1:39" x14ac:dyDescent="0.25">
      <c r="A229" s="37" t="s">
        <v>62</v>
      </c>
      <c r="B229" s="66" t="s">
        <v>1596</v>
      </c>
      <c r="C229" s="47">
        <v>1007</v>
      </c>
      <c r="D229" s="47" t="s">
        <v>203</v>
      </c>
      <c r="E229" s="41">
        <v>10070061</v>
      </c>
      <c r="F229" s="46" t="s">
        <v>557</v>
      </c>
      <c r="G229" s="39" t="s">
        <v>617</v>
      </c>
      <c r="H229" s="48" t="s">
        <v>98</v>
      </c>
      <c r="I229" s="52">
        <v>317.60000000000002</v>
      </c>
      <c r="J229" s="49">
        <v>11584.62</v>
      </c>
      <c r="K229" s="65">
        <v>0</v>
      </c>
      <c r="L229" s="65">
        <v>0</v>
      </c>
      <c r="M229" s="65">
        <v>0</v>
      </c>
      <c r="N229" s="65">
        <v>0</v>
      </c>
      <c r="O229" s="65">
        <v>0</v>
      </c>
      <c r="P229" s="65">
        <v>0</v>
      </c>
      <c r="Q229" s="50">
        <v>11584.62</v>
      </c>
      <c r="R229" s="65">
        <v>0</v>
      </c>
      <c r="S229" s="65">
        <v>0</v>
      </c>
      <c r="T229" s="65">
        <v>0</v>
      </c>
      <c r="U229" s="65">
        <v>0</v>
      </c>
      <c r="V229" s="65">
        <v>0</v>
      </c>
      <c r="W229" s="65">
        <v>0</v>
      </c>
      <c r="X229" s="65">
        <v>0</v>
      </c>
      <c r="Y229" s="65">
        <v>0</v>
      </c>
      <c r="Z229" s="65">
        <v>11584.62</v>
      </c>
      <c r="AA229" s="51">
        <v>0</v>
      </c>
      <c r="AB229" s="102">
        <v>0</v>
      </c>
      <c r="AC229" s="81">
        <f t="shared" si="12"/>
        <v>278.96465289672545</v>
      </c>
      <c r="AD229" s="82">
        <f t="shared" si="13"/>
        <v>45.371428571428574</v>
      </c>
      <c r="AE229" s="218">
        <v>0</v>
      </c>
      <c r="AF229">
        <v>0</v>
      </c>
      <c r="AH229" t="str">
        <f t="shared" si="11"/>
        <v>Araria</v>
      </c>
      <c r="AJ229" s="72">
        <v>0</v>
      </c>
      <c r="AK229" s="72"/>
      <c r="AL229" s="72"/>
      <c r="AM229" s="72"/>
    </row>
    <row r="230" spans="1:39" x14ac:dyDescent="0.25">
      <c r="A230" s="37" t="s">
        <v>62</v>
      </c>
      <c r="B230" s="66" t="s">
        <v>1596</v>
      </c>
      <c r="C230" s="47">
        <v>1010</v>
      </c>
      <c r="D230" s="47" t="s">
        <v>1311</v>
      </c>
      <c r="E230" s="41">
        <v>10070063</v>
      </c>
      <c r="F230" s="46" t="s">
        <v>623</v>
      </c>
      <c r="G230" s="39" t="s">
        <v>92</v>
      </c>
      <c r="H230" s="48" t="s">
        <v>93</v>
      </c>
      <c r="I230" s="52">
        <v>250.5</v>
      </c>
      <c r="J230" s="49">
        <v>9979.27</v>
      </c>
      <c r="K230" s="65">
        <v>250.4</v>
      </c>
      <c r="L230" s="65">
        <v>12144.86</v>
      </c>
      <c r="M230" s="65">
        <v>0</v>
      </c>
      <c r="N230" s="65">
        <v>0</v>
      </c>
      <c r="O230" s="65">
        <v>250.4</v>
      </c>
      <c r="P230" s="65">
        <v>12144.86</v>
      </c>
      <c r="Q230" s="50">
        <v>9979.27</v>
      </c>
      <c r="R230" s="65">
        <v>0</v>
      </c>
      <c r="S230" s="65">
        <v>0</v>
      </c>
      <c r="T230" s="65">
        <v>2165.59</v>
      </c>
      <c r="U230" s="65">
        <v>0</v>
      </c>
      <c r="V230" s="65">
        <v>0</v>
      </c>
      <c r="W230" s="65">
        <v>0</v>
      </c>
      <c r="X230" s="65">
        <v>9979</v>
      </c>
      <c r="Y230" s="65">
        <v>0</v>
      </c>
      <c r="Z230" s="65">
        <v>0</v>
      </c>
      <c r="AA230" s="51">
        <v>0</v>
      </c>
      <c r="AB230" s="102">
        <v>0</v>
      </c>
      <c r="AC230" s="81">
        <f t="shared" si="12"/>
        <v>358.1382726546907</v>
      </c>
      <c r="AD230" s="82">
        <f t="shared" si="13"/>
        <v>35.785714285714285</v>
      </c>
      <c r="AE230" s="218">
        <v>-0.2170088593654646</v>
      </c>
      <c r="AF230">
        <v>1</v>
      </c>
      <c r="AH230" t="str">
        <f t="shared" si="11"/>
        <v>Parbatta</v>
      </c>
      <c r="AJ230" s="72">
        <v>0</v>
      </c>
      <c r="AK230" s="72"/>
      <c r="AL230" s="72"/>
      <c r="AM230" s="72"/>
    </row>
    <row r="231" spans="1:39" x14ac:dyDescent="0.25">
      <c r="A231" s="37" t="s">
        <v>62</v>
      </c>
      <c r="B231" s="66" t="s">
        <v>1596</v>
      </c>
      <c r="C231" s="47">
        <v>1056</v>
      </c>
      <c r="D231" s="47" t="s">
        <v>816</v>
      </c>
      <c r="E231" s="41">
        <v>10070064</v>
      </c>
      <c r="F231" s="46" t="s">
        <v>624</v>
      </c>
      <c r="G231" s="39" t="s">
        <v>92</v>
      </c>
      <c r="H231" s="48" t="s">
        <v>93</v>
      </c>
      <c r="I231" s="52">
        <v>855.93999999999994</v>
      </c>
      <c r="J231" s="49">
        <v>34938.770000000004</v>
      </c>
      <c r="K231" s="65">
        <v>860.83999999999992</v>
      </c>
      <c r="L231" s="65">
        <v>35232.19</v>
      </c>
      <c r="M231" s="65">
        <v>3.63</v>
      </c>
      <c r="N231" s="65">
        <v>155.5</v>
      </c>
      <c r="O231" s="65">
        <v>864.46999999999991</v>
      </c>
      <c r="P231" s="65">
        <v>35387.69</v>
      </c>
      <c r="Q231" s="50">
        <v>34938.770000000004</v>
      </c>
      <c r="R231" s="65">
        <v>0</v>
      </c>
      <c r="S231" s="65">
        <v>155.5</v>
      </c>
      <c r="T231" s="65">
        <v>448.91999999999825</v>
      </c>
      <c r="U231" s="65">
        <v>0</v>
      </c>
      <c r="V231" s="65">
        <v>0</v>
      </c>
      <c r="W231" s="65">
        <v>0</v>
      </c>
      <c r="X231" s="65">
        <v>34783</v>
      </c>
      <c r="Y231" s="65">
        <v>0</v>
      </c>
      <c r="Z231" s="65">
        <v>0</v>
      </c>
      <c r="AA231" s="51">
        <v>0</v>
      </c>
      <c r="AB231" s="102">
        <v>0</v>
      </c>
      <c r="AC231" s="81">
        <f t="shared" si="12"/>
        <v>0</v>
      </c>
      <c r="AD231" s="82">
        <f t="shared" si="13"/>
        <v>0</v>
      </c>
      <c r="AE231" s="218">
        <v>-1.2848763708625066E-2</v>
      </c>
      <c r="AF231">
        <v>2</v>
      </c>
      <c r="AH231" t="str">
        <f t="shared" si="11"/>
        <v>Chautham</v>
      </c>
      <c r="AJ231" s="72">
        <v>0</v>
      </c>
      <c r="AK231" s="72"/>
      <c r="AL231" s="72"/>
      <c r="AM231" s="72"/>
    </row>
    <row r="232" spans="1:39" x14ac:dyDescent="0.25">
      <c r="A232" s="37" t="s">
        <v>62</v>
      </c>
      <c r="B232" s="66" t="s">
        <v>1596</v>
      </c>
      <c r="C232" s="47">
        <v>1007</v>
      </c>
      <c r="D232" s="47" t="s">
        <v>203</v>
      </c>
      <c r="E232" s="41">
        <v>10070067</v>
      </c>
      <c r="F232" s="46" t="s">
        <v>1530</v>
      </c>
      <c r="G232" s="39" t="s">
        <v>617</v>
      </c>
      <c r="H232" s="48" t="s">
        <v>98</v>
      </c>
      <c r="I232" s="52">
        <v>1473.7</v>
      </c>
      <c r="J232" s="49">
        <v>56788.93</v>
      </c>
      <c r="K232" s="65">
        <v>0</v>
      </c>
      <c r="L232" s="65">
        <v>0</v>
      </c>
      <c r="M232" s="65">
        <v>0</v>
      </c>
      <c r="N232" s="65">
        <v>0</v>
      </c>
      <c r="O232" s="65">
        <v>0</v>
      </c>
      <c r="P232" s="65">
        <v>0</v>
      </c>
      <c r="Q232" s="50">
        <v>56788.93</v>
      </c>
      <c r="R232" s="65">
        <v>0</v>
      </c>
      <c r="S232" s="65">
        <v>0</v>
      </c>
      <c r="T232" s="65">
        <v>0</v>
      </c>
      <c r="U232" s="65">
        <v>0</v>
      </c>
      <c r="V232" s="65">
        <v>0</v>
      </c>
      <c r="W232" s="65">
        <v>0</v>
      </c>
      <c r="X232" s="65">
        <v>0</v>
      </c>
      <c r="Y232" s="65">
        <v>0</v>
      </c>
      <c r="Z232" s="65">
        <v>56788.93</v>
      </c>
      <c r="AA232" s="51">
        <v>0</v>
      </c>
      <c r="AB232" s="102">
        <v>0</v>
      </c>
      <c r="AC232" s="81">
        <f t="shared" si="12"/>
        <v>0</v>
      </c>
      <c r="AD232" s="82">
        <f t="shared" si="13"/>
        <v>0</v>
      </c>
      <c r="AE232" s="218">
        <v>0</v>
      </c>
      <c r="AF232">
        <v>0</v>
      </c>
      <c r="AH232" t="str">
        <f t="shared" si="11"/>
        <v>Araria</v>
      </c>
      <c r="AJ232" s="72">
        <v>0</v>
      </c>
      <c r="AK232" s="72"/>
      <c r="AL232" s="72"/>
      <c r="AM232" s="72"/>
    </row>
    <row r="233" spans="1:39" x14ac:dyDescent="0.25">
      <c r="A233" s="37" t="s">
        <v>62</v>
      </c>
      <c r="B233" s="66" t="s">
        <v>1596</v>
      </c>
      <c r="C233" s="47">
        <v>1007</v>
      </c>
      <c r="D233" s="47" t="s">
        <v>203</v>
      </c>
      <c r="E233" s="41">
        <v>10070074</v>
      </c>
      <c r="F233" s="46" t="s">
        <v>1133</v>
      </c>
      <c r="G233" s="39" t="s">
        <v>617</v>
      </c>
      <c r="H233" s="48" t="s">
        <v>98</v>
      </c>
      <c r="I233" s="52">
        <v>392.6</v>
      </c>
      <c r="J233" s="49">
        <v>13908.26</v>
      </c>
      <c r="K233" s="65">
        <v>0</v>
      </c>
      <c r="L233" s="65">
        <v>0</v>
      </c>
      <c r="M233" s="65">
        <v>0</v>
      </c>
      <c r="N233" s="65">
        <v>0</v>
      </c>
      <c r="O233" s="65">
        <v>0</v>
      </c>
      <c r="P233" s="65">
        <v>0</v>
      </c>
      <c r="Q233" s="50">
        <v>13908.26</v>
      </c>
      <c r="R233" s="65">
        <v>0</v>
      </c>
      <c r="S233" s="65">
        <v>0</v>
      </c>
      <c r="T233" s="65">
        <v>0</v>
      </c>
      <c r="U233" s="65">
        <v>0</v>
      </c>
      <c r="V233" s="65">
        <v>0</v>
      </c>
      <c r="W233" s="65">
        <v>0</v>
      </c>
      <c r="X233" s="65">
        <v>0</v>
      </c>
      <c r="Y233" s="65">
        <v>0</v>
      </c>
      <c r="Z233" s="65">
        <v>13908.26</v>
      </c>
      <c r="AA233" s="51">
        <v>0</v>
      </c>
      <c r="AB233" s="102">
        <v>0</v>
      </c>
      <c r="AC233" s="81">
        <f t="shared" si="12"/>
        <v>217.79924218033619</v>
      </c>
      <c r="AD233" s="82">
        <f t="shared" si="13"/>
        <v>56.085714285714289</v>
      </c>
      <c r="AE233" s="218">
        <v>0</v>
      </c>
      <c r="AF233">
        <v>0</v>
      </c>
      <c r="AH233" t="str">
        <f t="shared" si="11"/>
        <v>Araria</v>
      </c>
      <c r="AJ233" s="72">
        <v>0</v>
      </c>
      <c r="AK233" s="72"/>
      <c r="AL233" s="72"/>
      <c r="AM233" s="72"/>
    </row>
    <row r="234" spans="1:39" x14ac:dyDescent="0.25">
      <c r="A234" s="37" t="s">
        <v>62</v>
      </c>
      <c r="B234" s="66" t="s">
        <v>1596</v>
      </c>
      <c r="C234" s="47">
        <v>1007</v>
      </c>
      <c r="D234" s="47" t="s">
        <v>203</v>
      </c>
      <c r="E234" s="41">
        <v>10070077</v>
      </c>
      <c r="F234" s="46" t="s">
        <v>1301</v>
      </c>
      <c r="G234" s="39" t="s">
        <v>92</v>
      </c>
      <c r="H234" s="48" t="s">
        <v>93</v>
      </c>
      <c r="I234" s="52">
        <v>297.7</v>
      </c>
      <c r="J234" s="49">
        <v>10017.300000000001</v>
      </c>
      <c r="K234" s="65">
        <v>297.7</v>
      </c>
      <c r="L234" s="65">
        <v>12861.8</v>
      </c>
      <c r="M234" s="65">
        <v>0</v>
      </c>
      <c r="N234" s="65">
        <v>0</v>
      </c>
      <c r="O234" s="65">
        <v>297.7</v>
      </c>
      <c r="P234" s="65">
        <v>12861.8</v>
      </c>
      <c r="Q234" s="50">
        <v>10017.300000000001</v>
      </c>
      <c r="R234" s="65">
        <v>0</v>
      </c>
      <c r="S234" s="65">
        <v>0</v>
      </c>
      <c r="T234" s="65">
        <v>2844.4999999999982</v>
      </c>
      <c r="U234" s="65">
        <v>0</v>
      </c>
      <c r="V234" s="65">
        <v>500</v>
      </c>
      <c r="W234" s="65">
        <v>0</v>
      </c>
      <c r="X234" s="65">
        <v>9517</v>
      </c>
      <c r="Y234" s="65">
        <v>0</v>
      </c>
      <c r="Z234" s="65">
        <v>0</v>
      </c>
      <c r="AA234" s="51">
        <v>0</v>
      </c>
      <c r="AB234" s="102">
        <v>0</v>
      </c>
      <c r="AC234" s="81">
        <f t="shared" si="12"/>
        <v>270.73965670137727</v>
      </c>
      <c r="AD234" s="82">
        <f t="shared" si="13"/>
        <v>42.528571428571425</v>
      </c>
      <c r="AE234" s="218">
        <v>-0.28395875136014675</v>
      </c>
      <c r="AF234">
        <v>1</v>
      </c>
      <c r="AH234" t="str">
        <f t="shared" si="11"/>
        <v>Araria</v>
      </c>
      <c r="AJ234" s="72">
        <v>500</v>
      </c>
      <c r="AK234" s="72"/>
      <c r="AL234" s="72"/>
      <c r="AM234" s="72"/>
    </row>
    <row r="235" spans="1:39" x14ac:dyDescent="0.25">
      <c r="A235" s="37" t="s">
        <v>62</v>
      </c>
      <c r="B235" s="66" t="s">
        <v>1596</v>
      </c>
      <c r="C235" s="47">
        <v>1007</v>
      </c>
      <c r="D235" s="47" t="s">
        <v>203</v>
      </c>
      <c r="E235" s="41">
        <v>10070078</v>
      </c>
      <c r="F235" s="46" t="s">
        <v>1302</v>
      </c>
      <c r="G235" s="39" t="s">
        <v>92</v>
      </c>
      <c r="H235" s="48" t="s">
        <v>93</v>
      </c>
      <c r="I235" s="52">
        <v>915.20000000000016</v>
      </c>
      <c r="J235" s="49">
        <v>34047.129999999997</v>
      </c>
      <c r="K235" s="65">
        <v>915.2</v>
      </c>
      <c r="L235" s="65">
        <v>39948.47</v>
      </c>
      <c r="M235" s="65">
        <v>0</v>
      </c>
      <c r="N235" s="65">
        <v>0</v>
      </c>
      <c r="O235" s="65">
        <v>915.2</v>
      </c>
      <c r="P235" s="65">
        <v>39948.47</v>
      </c>
      <c r="Q235" s="50">
        <v>34047.129999999997</v>
      </c>
      <c r="R235" s="65">
        <v>0</v>
      </c>
      <c r="S235" s="65">
        <v>0</v>
      </c>
      <c r="T235" s="65">
        <v>5901.3400000000038</v>
      </c>
      <c r="U235" s="65">
        <v>0</v>
      </c>
      <c r="V235" s="65">
        <v>0</v>
      </c>
      <c r="W235" s="65">
        <v>0</v>
      </c>
      <c r="X235" s="65">
        <v>34047</v>
      </c>
      <c r="Y235" s="65">
        <v>0</v>
      </c>
      <c r="Z235" s="65">
        <v>0</v>
      </c>
      <c r="AA235" s="51">
        <v>0</v>
      </c>
      <c r="AB235" s="102">
        <v>0</v>
      </c>
      <c r="AC235" s="81">
        <f t="shared" si="12"/>
        <v>0</v>
      </c>
      <c r="AD235" s="82">
        <f t="shared" si="13"/>
        <v>0</v>
      </c>
      <c r="AE235" s="218">
        <v>-0.17332855955847098</v>
      </c>
      <c r="AF235">
        <v>1</v>
      </c>
      <c r="AH235" t="str">
        <f t="shared" si="11"/>
        <v>Araria</v>
      </c>
      <c r="AJ235" s="72">
        <v>0</v>
      </c>
      <c r="AK235" s="72"/>
      <c r="AL235" s="72"/>
      <c r="AM235" s="72"/>
    </row>
    <row r="236" spans="1:39" x14ac:dyDescent="0.25">
      <c r="A236" s="37" t="s">
        <v>62</v>
      </c>
      <c r="B236" s="66" t="s">
        <v>1596</v>
      </c>
      <c r="C236" s="47">
        <v>1007</v>
      </c>
      <c r="D236" s="47" t="s">
        <v>203</v>
      </c>
      <c r="E236" s="41">
        <v>10070079</v>
      </c>
      <c r="F236" s="46" t="s">
        <v>1537</v>
      </c>
      <c r="G236" s="39" t="s">
        <v>617</v>
      </c>
      <c r="H236" s="48" t="s">
        <v>98</v>
      </c>
      <c r="I236" s="52">
        <v>206.2</v>
      </c>
      <c r="J236" s="49">
        <v>10022.35</v>
      </c>
      <c r="K236" s="65">
        <v>0</v>
      </c>
      <c r="L236" s="65">
        <v>0</v>
      </c>
      <c r="M236" s="65">
        <v>0</v>
      </c>
      <c r="N236" s="65">
        <v>0</v>
      </c>
      <c r="O236" s="65">
        <v>0</v>
      </c>
      <c r="P236" s="65">
        <v>0</v>
      </c>
      <c r="Q236" s="50">
        <v>10022.35</v>
      </c>
      <c r="R236" s="65">
        <v>0</v>
      </c>
      <c r="S236" s="65">
        <v>0</v>
      </c>
      <c r="T236" s="65">
        <v>0</v>
      </c>
      <c r="U236" s="65">
        <v>0</v>
      </c>
      <c r="V236" s="65">
        <v>0</v>
      </c>
      <c r="W236" s="65">
        <v>0</v>
      </c>
      <c r="X236" s="65">
        <v>0</v>
      </c>
      <c r="Y236" s="65">
        <v>0</v>
      </c>
      <c r="Z236" s="65">
        <v>10022.35</v>
      </c>
      <c r="AA236" s="51">
        <v>0</v>
      </c>
      <c r="AB236" s="102">
        <v>0</v>
      </c>
      <c r="AC236" s="81">
        <f t="shared" si="12"/>
        <v>480.02293210475278</v>
      </c>
      <c r="AD236" s="82">
        <f t="shared" si="13"/>
        <v>29.457142857142856</v>
      </c>
      <c r="AE236" s="218">
        <v>0</v>
      </c>
      <c r="AF236">
        <v>0</v>
      </c>
      <c r="AH236" t="str">
        <f t="shared" si="11"/>
        <v>Araria</v>
      </c>
      <c r="AJ236" s="72">
        <v>0</v>
      </c>
      <c r="AK236" s="72"/>
      <c r="AL236" s="72"/>
      <c r="AM236" s="72"/>
    </row>
    <row r="237" spans="1:39" x14ac:dyDescent="0.25">
      <c r="A237" s="37" t="s">
        <v>62</v>
      </c>
      <c r="B237" s="66" t="s">
        <v>1596</v>
      </c>
      <c r="C237" s="47">
        <v>1055</v>
      </c>
      <c r="D237" s="47" t="s">
        <v>1125</v>
      </c>
      <c r="E237" s="41">
        <v>10080001</v>
      </c>
      <c r="F237" s="46" t="s">
        <v>600</v>
      </c>
      <c r="G237" s="39" t="s">
        <v>617</v>
      </c>
      <c r="H237" s="48" t="s">
        <v>98</v>
      </c>
      <c r="I237" s="52">
        <v>1121.2</v>
      </c>
      <c r="J237" s="49">
        <v>43857.88</v>
      </c>
      <c r="K237" s="65">
        <v>0</v>
      </c>
      <c r="L237" s="65">
        <v>0</v>
      </c>
      <c r="M237" s="65">
        <v>0</v>
      </c>
      <c r="N237" s="65">
        <v>0</v>
      </c>
      <c r="O237" s="65">
        <v>0</v>
      </c>
      <c r="P237" s="65">
        <v>0</v>
      </c>
      <c r="Q237" s="50">
        <v>43857.88</v>
      </c>
      <c r="R237" s="65">
        <v>0</v>
      </c>
      <c r="S237" s="65">
        <v>0</v>
      </c>
      <c r="T237" s="65">
        <v>0</v>
      </c>
      <c r="U237" s="65">
        <v>0</v>
      </c>
      <c r="V237" s="65">
        <v>0</v>
      </c>
      <c r="W237" s="65">
        <v>0</v>
      </c>
      <c r="X237" s="65">
        <v>0</v>
      </c>
      <c r="Y237" s="65">
        <v>0</v>
      </c>
      <c r="Z237" s="65">
        <v>43857.88</v>
      </c>
      <c r="AA237" s="51">
        <v>0</v>
      </c>
      <c r="AB237" s="102">
        <v>0</v>
      </c>
      <c r="AC237" s="81">
        <f t="shared" si="12"/>
        <v>0</v>
      </c>
      <c r="AD237" s="82">
        <f t="shared" si="13"/>
        <v>0</v>
      </c>
      <c r="AE237" s="218">
        <v>0</v>
      </c>
      <c r="AF237">
        <v>0</v>
      </c>
      <c r="AH237" t="str">
        <f t="shared" si="11"/>
        <v>Matihani</v>
      </c>
      <c r="AJ237" s="72">
        <v>0</v>
      </c>
      <c r="AK237" s="72"/>
      <c r="AL237" s="72"/>
      <c r="AM237" s="72"/>
    </row>
    <row r="238" spans="1:39" x14ac:dyDescent="0.25">
      <c r="A238" s="37" t="s">
        <v>62</v>
      </c>
      <c r="B238" s="66" t="s">
        <v>1596</v>
      </c>
      <c r="C238" s="47">
        <v>1008</v>
      </c>
      <c r="D238" s="47" t="s">
        <v>217</v>
      </c>
      <c r="E238" s="41">
        <v>10080002</v>
      </c>
      <c r="F238" s="46" t="s">
        <v>218</v>
      </c>
      <c r="G238" s="39" t="s">
        <v>617</v>
      </c>
      <c r="H238" s="48" t="s">
        <v>98</v>
      </c>
      <c r="I238" s="52">
        <v>319.25</v>
      </c>
      <c r="J238" s="49">
        <v>11358.49</v>
      </c>
      <c r="K238" s="65">
        <v>0</v>
      </c>
      <c r="L238" s="65">
        <v>0</v>
      </c>
      <c r="M238" s="65">
        <v>0</v>
      </c>
      <c r="N238" s="65">
        <v>0</v>
      </c>
      <c r="O238" s="65">
        <v>0</v>
      </c>
      <c r="P238" s="65">
        <v>0</v>
      </c>
      <c r="Q238" s="50">
        <v>11358.49</v>
      </c>
      <c r="R238" s="65">
        <v>0</v>
      </c>
      <c r="S238" s="65">
        <v>0</v>
      </c>
      <c r="T238" s="65">
        <v>0</v>
      </c>
      <c r="U238" s="65">
        <v>0</v>
      </c>
      <c r="V238" s="65">
        <v>0</v>
      </c>
      <c r="W238" s="65">
        <v>0</v>
      </c>
      <c r="X238" s="65">
        <v>0</v>
      </c>
      <c r="Y238" s="65">
        <v>0</v>
      </c>
      <c r="Z238" s="65">
        <v>11358.49</v>
      </c>
      <c r="AA238" s="51">
        <v>0</v>
      </c>
      <c r="AB238" s="102">
        <v>0</v>
      </c>
      <c r="AC238" s="81">
        <f t="shared" si="12"/>
        <v>270.93156256851995</v>
      </c>
      <c r="AD238" s="82">
        <f t="shared" si="13"/>
        <v>45.607142857142854</v>
      </c>
      <c r="AE238" s="218">
        <v>0</v>
      </c>
      <c r="AF238">
        <v>0</v>
      </c>
      <c r="AH238" t="str">
        <f t="shared" si="11"/>
        <v>Teghra</v>
      </c>
      <c r="AJ238" s="72">
        <v>0</v>
      </c>
      <c r="AK238" s="72"/>
      <c r="AL238" s="72"/>
      <c r="AM238" s="72"/>
    </row>
    <row r="239" spans="1:39" x14ac:dyDescent="0.25">
      <c r="A239" s="37" t="s">
        <v>62</v>
      </c>
      <c r="B239" s="66" t="s">
        <v>1596</v>
      </c>
      <c r="C239" s="47">
        <v>1008</v>
      </c>
      <c r="D239" s="47" t="s">
        <v>217</v>
      </c>
      <c r="E239" s="41">
        <v>10080003</v>
      </c>
      <c r="F239" s="46" t="s">
        <v>219</v>
      </c>
      <c r="G239" s="39" t="s">
        <v>617</v>
      </c>
      <c r="H239" s="48" t="s">
        <v>98</v>
      </c>
      <c r="I239" s="52">
        <v>38.5</v>
      </c>
      <c r="J239" s="49">
        <v>1431.66</v>
      </c>
      <c r="K239" s="65">
        <v>0</v>
      </c>
      <c r="L239" s="65">
        <v>0</v>
      </c>
      <c r="M239" s="65">
        <v>0</v>
      </c>
      <c r="N239" s="65">
        <v>0</v>
      </c>
      <c r="O239" s="65">
        <v>0</v>
      </c>
      <c r="P239" s="65">
        <v>0</v>
      </c>
      <c r="Q239" s="50">
        <v>1431.66</v>
      </c>
      <c r="R239" s="65">
        <v>0</v>
      </c>
      <c r="S239" s="65">
        <v>0</v>
      </c>
      <c r="T239" s="65">
        <v>0</v>
      </c>
      <c r="U239" s="65">
        <v>0</v>
      </c>
      <c r="V239" s="65">
        <v>0</v>
      </c>
      <c r="W239" s="65">
        <v>0</v>
      </c>
      <c r="X239" s="65">
        <v>0</v>
      </c>
      <c r="Y239" s="65">
        <v>0</v>
      </c>
      <c r="Z239" s="65">
        <v>1431.66</v>
      </c>
      <c r="AA239" s="51">
        <v>0</v>
      </c>
      <c r="AB239" s="102">
        <v>0</v>
      </c>
      <c r="AC239" s="81">
        <f t="shared" si="12"/>
        <v>491.9704363636364</v>
      </c>
      <c r="AD239" s="82">
        <f t="shared" si="13"/>
        <v>5.5</v>
      </c>
      <c r="AE239" s="218">
        <v>0</v>
      </c>
      <c r="AF239">
        <v>0</v>
      </c>
      <c r="AH239" t="str">
        <f t="shared" si="11"/>
        <v>Teghra</v>
      </c>
      <c r="AJ239" s="72">
        <v>0</v>
      </c>
      <c r="AK239" s="72"/>
      <c r="AL239" s="72"/>
      <c r="AM239" s="72"/>
    </row>
    <row r="240" spans="1:39" x14ac:dyDescent="0.25">
      <c r="A240" s="37" t="s">
        <v>62</v>
      </c>
      <c r="B240" s="66" t="s">
        <v>1596</v>
      </c>
      <c r="C240" s="47">
        <v>1008</v>
      </c>
      <c r="D240" s="47" t="s">
        <v>217</v>
      </c>
      <c r="E240" s="41">
        <v>10080004</v>
      </c>
      <c r="F240" s="46" t="s">
        <v>220</v>
      </c>
      <c r="G240" s="39" t="s">
        <v>617</v>
      </c>
      <c r="H240" s="48" t="s">
        <v>98</v>
      </c>
      <c r="I240" s="52">
        <v>33.1</v>
      </c>
      <c r="J240" s="49">
        <v>1291.02</v>
      </c>
      <c r="K240" s="65">
        <v>0</v>
      </c>
      <c r="L240" s="65">
        <v>0</v>
      </c>
      <c r="M240" s="65">
        <v>0</v>
      </c>
      <c r="N240" s="65">
        <v>0</v>
      </c>
      <c r="O240" s="65">
        <v>0</v>
      </c>
      <c r="P240" s="65">
        <v>0</v>
      </c>
      <c r="Q240" s="50">
        <v>1291.02</v>
      </c>
      <c r="R240" s="65">
        <v>0</v>
      </c>
      <c r="S240" s="65">
        <v>0</v>
      </c>
      <c r="T240" s="65">
        <v>0</v>
      </c>
      <c r="U240" s="65">
        <v>0</v>
      </c>
      <c r="V240" s="65">
        <v>0</v>
      </c>
      <c r="W240" s="65">
        <v>0</v>
      </c>
      <c r="X240" s="65">
        <v>0</v>
      </c>
      <c r="Y240" s="65">
        <v>0</v>
      </c>
      <c r="Z240" s="65">
        <v>1291.02</v>
      </c>
      <c r="AA240" s="51">
        <v>0</v>
      </c>
      <c r="AB240" s="102">
        <v>0</v>
      </c>
      <c r="AC240" s="81">
        <f t="shared" si="12"/>
        <v>520.23035528700905</v>
      </c>
      <c r="AD240" s="82">
        <f t="shared" si="13"/>
        <v>4.7285714285714286</v>
      </c>
      <c r="AE240" s="218">
        <v>0</v>
      </c>
      <c r="AF240">
        <v>0</v>
      </c>
      <c r="AH240" t="str">
        <f t="shared" si="11"/>
        <v>Teghra</v>
      </c>
      <c r="AJ240" s="72">
        <v>0</v>
      </c>
      <c r="AK240" s="72"/>
      <c r="AL240" s="72"/>
      <c r="AM240" s="72"/>
    </row>
    <row r="241" spans="1:39" x14ac:dyDescent="0.25">
      <c r="A241" s="37" t="s">
        <v>62</v>
      </c>
      <c r="B241" s="66" t="s">
        <v>1596</v>
      </c>
      <c r="C241" s="47">
        <v>1008</v>
      </c>
      <c r="D241" s="47" t="s">
        <v>217</v>
      </c>
      <c r="E241" s="41">
        <v>10080006</v>
      </c>
      <c r="F241" s="46" t="s">
        <v>221</v>
      </c>
      <c r="G241" s="39" t="s">
        <v>617</v>
      </c>
      <c r="H241" s="48" t="s">
        <v>98</v>
      </c>
      <c r="I241" s="52">
        <v>355.90000000000003</v>
      </c>
      <c r="J241" s="49">
        <v>12819.760000000002</v>
      </c>
      <c r="K241" s="65">
        <v>0</v>
      </c>
      <c r="L241" s="65">
        <v>0</v>
      </c>
      <c r="M241" s="65">
        <v>0</v>
      </c>
      <c r="N241" s="65">
        <v>0</v>
      </c>
      <c r="O241" s="65">
        <v>0</v>
      </c>
      <c r="P241" s="65">
        <v>0</v>
      </c>
      <c r="Q241" s="50">
        <v>12819.760000000002</v>
      </c>
      <c r="R241" s="65">
        <v>0</v>
      </c>
      <c r="S241" s="65">
        <v>0</v>
      </c>
      <c r="T241" s="65">
        <v>0</v>
      </c>
      <c r="U241" s="65">
        <v>0</v>
      </c>
      <c r="V241" s="65">
        <v>0</v>
      </c>
      <c r="W241" s="65">
        <v>0</v>
      </c>
      <c r="X241" s="65">
        <v>0</v>
      </c>
      <c r="Y241" s="65">
        <v>0</v>
      </c>
      <c r="Z241" s="65">
        <v>12819.760000000002</v>
      </c>
      <c r="AA241" s="51">
        <v>0</v>
      </c>
      <c r="AB241" s="102">
        <v>0</v>
      </c>
      <c r="AC241" s="81">
        <f t="shared" si="12"/>
        <v>247.89431952795726</v>
      </c>
      <c r="AD241" s="82">
        <f t="shared" si="13"/>
        <v>50.842857142857149</v>
      </c>
      <c r="AE241" s="218">
        <v>0</v>
      </c>
      <c r="AF241">
        <v>0</v>
      </c>
      <c r="AH241" t="str">
        <f t="shared" si="11"/>
        <v>Teghra</v>
      </c>
      <c r="AJ241" s="72">
        <v>0</v>
      </c>
      <c r="AK241" s="72"/>
      <c r="AL241" s="72"/>
      <c r="AM241" s="72"/>
    </row>
    <row r="242" spans="1:39" x14ac:dyDescent="0.25">
      <c r="A242" s="37" t="s">
        <v>62</v>
      </c>
      <c r="B242" s="66" t="s">
        <v>1596</v>
      </c>
      <c r="C242" s="47">
        <v>1008</v>
      </c>
      <c r="D242" s="47" t="s">
        <v>217</v>
      </c>
      <c r="E242" s="41">
        <v>10080007</v>
      </c>
      <c r="F242" s="46" t="s">
        <v>222</v>
      </c>
      <c r="G242" s="39" t="s">
        <v>617</v>
      </c>
      <c r="H242" s="48" t="s">
        <v>98</v>
      </c>
      <c r="I242" s="52">
        <v>725.05</v>
      </c>
      <c r="J242" s="49">
        <v>26260.78</v>
      </c>
      <c r="K242" s="65">
        <v>0</v>
      </c>
      <c r="L242" s="65">
        <v>0</v>
      </c>
      <c r="M242" s="65">
        <v>0</v>
      </c>
      <c r="N242" s="65">
        <v>0</v>
      </c>
      <c r="O242" s="65">
        <v>0</v>
      </c>
      <c r="P242" s="65">
        <v>0</v>
      </c>
      <c r="Q242" s="50">
        <v>26260.78</v>
      </c>
      <c r="R242" s="65">
        <v>0</v>
      </c>
      <c r="S242" s="65">
        <v>0</v>
      </c>
      <c r="T242" s="65">
        <v>0</v>
      </c>
      <c r="U242" s="65">
        <v>0</v>
      </c>
      <c r="V242" s="65">
        <v>0</v>
      </c>
      <c r="W242" s="65">
        <v>0</v>
      </c>
      <c r="X242" s="65">
        <v>0</v>
      </c>
      <c r="Y242" s="65">
        <v>0</v>
      </c>
      <c r="Z242" s="65">
        <v>26260.78</v>
      </c>
      <c r="AA242" s="51">
        <v>0</v>
      </c>
      <c r="AB242" s="102">
        <v>0</v>
      </c>
      <c r="AC242" s="81">
        <f t="shared" si="12"/>
        <v>0</v>
      </c>
      <c r="AD242" s="82">
        <f t="shared" si="13"/>
        <v>0</v>
      </c>
      <c r="AE242" s="218">
        <v>0</v>
      </c>
      <c r="AF242">
        <v>0</v>
      </c>
      <c r="AH242" t="str">
        <f t="shared" si="11"/>
        <v>Teghra</v>
      </c>
      <c r="AJ242" s="72">
        <v>0</v>
      </c>
      <c r="AK242" s="72"/>
      <c r="AL242" s="72"/>
      <c r="AM242" s="72"/>
    </row>
    <row r="243" spans="1:39" x14ac:dyDescent="0.25">
      <c r="A243" s="37" t="s">
        <v>62</v>
      </c>
      <c r="B243" s="66" t="s">
        <v>1596</v>
      </c>
      <c r="C243" s="47">
        <v>1008</v>
      </c>
      <c r="D243" s="47" t="s">
        <v>217</v>
      </c>
      <c r="E243" s="41">
        <v>10080012</v>
      </c>
      <c r="F243" s="46" t="s">
        <v>1199</v>
      </c>
      <c r="G243" s="39" t="s">
        <v>617</v>
      </c>
      <c r="H243" s="48" t="s">
        <v>98</v>
      </c>
      <c r="I243" s="52">
        <v>77.25</v>
      </c>
      <c r="J243" s="49">
        <v>2995.76</v>
      </c>
      <c r="K243" s="65">
        <v>0</v>
      </c>
      <c r="L243" s="65">
        <v>0</v>
      </c>
      <c r="M243" s="65">
        <v>0</v>
      </c>
      <c r="N243" s="65">
        <v>0</v>
      </c>
      <c r="O243" s="65">
        <v>0</v>
      </c>
      <c r="P243" s="65">
        <v>0</v>
      </c>
      <c r="Q243" s="50">
        <v>2995.76</v>
      </c>
      <c r="R243" s="65">
        <v>0</v>
      </c>
      <c r="S243" s="65">
        <v>0</v>
      </c>
      <c r="T243" s="65">
        <v>0</v>
      </c>
      <c r="U243" s="65">
        <v>0</v>
      </c>
      <c r="V243" s="65">
        <v>0</v>
      </c>
      <c r="W243" s="65">
        <v>0</v>
      </c>
      <c r="X243" s="65">
        <v>0</v>
      </c>
      <c r="Y243" s="65">
        <v>0</v>
      </c>
      <c r="Z243" s="65">
        <v>2995.76</v>
      </c>
      <c r="AA243" s="51">
        <v>0</v>
      </c>
      <c r="AB243" s="102">
        <v>0</v>
      </c>
      <c r="AC243" s="81">
        <f t="shared" si="12"/>
        <v>483.00570614886738</v>
      </c>
      <c r="AD243" s="82">
        <f t="shared" si="13"/>
        <v>11.035714285714286</v>
      </c>
      <c r="AE243" s="218">
        <v>0</v>
      </c>
      <c r="AF243">
        <v>0</v>
      </c>
      <c r="AH243" t="str">
        <f t="shared" si="11"/>
        <v>Teghra</v>
      </c>
      <c r="AJ243" s="72">
        <v>0</v>
      </c>
      <c r="AK243" s="72"/>
      <c r="AL243" s="72"/>
      <c r="AM243" s="72"/>
    </row>
    <row r="244" spans="1:39" x14ac:dyDescent="0.25">
      <c r="A244" s="37" t="s">
        <v>62</v>
      </c>
      <c r="B244" s="66" t="s">
        <v>1596</v>
      </c>
      <c r="C244" s="47">
        <v>1008</v>
      </c>
      <c r="D244" s="47" t="s">
        <v>217</v>
      </c>
      <c r="E244" s="41">
        <v>10080013</v>
      </c>
      <c r="F244" s="46" t="s">
        <v>223</v>
      </c>
      <c r="G244" s="39" t="s">
        <v>617</v>
      </c>
      <c r="H244" s="48" t="s">
        <v>98</v>
      </c>
      <c r="I244" s="52">
        <v>400.75000000000006</v>
      </c>
      <c r="J244" s="49">
        <v>16134.58</v>
      </c>
      <c r="K244" s="65">
        <v>0</v>
      </c>
      <c r="L244" s="65">
        <v>0</v>
      </c>
      <c r="M244" s="65">
        <v>0</v>
      </c>
      <c r="N244" s="65">
        <v>0</v>
      </c>
      <c r="O244" s="65">
        <v>0</v>
      </c>
      <c r="P244" s="65">
        <v>0</v>
      </c>
      <c r="Q244" s="50">
        <v>16134.58</v>
      </c>
      <c r="R244" s="65">
        <v>0</v>
      </c>
      <c r="S244" s="65">
        <v>0</v>
      </c>
      <c r="T244" s="65">
        <v>0</v>
      </c>
      <c r="U244" s="65">
        <v>0</v>
      </c>
      <c r="V244" s="65">
        <v>0</v>
      </c>
      <c r="W244" s="65">
        <v>0</v>
      </c>
      <c r="X244" s="65">
        <v>0</v>
      </c>
      <c r="Y244" s="65">
        <v>0</v>
      </c>
      <c r="Z244" s="65">
        <v>16134.58</v>
      </c>
      <c r="AA244" s="51">
        <v>0</v>
      </c>
      <c r="AB244" s="102">
        <v>0</v>
      </c>
      <c r="AC244" s="81">
        <f t="shared" si="12"/>
        <v>240.96184978165931</v>
      </c>
      <c r="AD244" s="82">
        <f t="shared" si="13"/>
        <v>57.250000000000007</v>
      </c>
      <c r="AE244" s="218">
        <v>0</v>
      </c>
      <c r="AF244">
        <v>0</v>
      </c>
      <c r="AH244" t="str">
        <f t="shared" si="11"/>
        <v>Teghra</v>
      </c>
      <c r="AJ244" s="72">
        <v>0</v>
      </c>
      <c r="AK244" s="72"/>
      <c r="AL244" s="72"/>
      <c r="AM244" s="72"/>
    </row>
    <row r="245" spans="1:39" x14ac:dyDescent="0.25">
      <c r="A245" s="37" t="s">
        <v>62</v>
      </c>
      <c r="B245" s="66" t="s">
        <v>1596</v>
      </c>
      <c r="C245" s="47">
        <v>1008</v>
      </c>
      <c r="D245" s="47" t="s">
        <v>217</v>
      </c>
      <c r="E245" s="41">
        <v>10080014</v>
      </c>
      <c r="F245" s="46" t="s">
        <v>224</v>
      </c>
      <c r="G245" s="39" t="s">
        <v>617</v>
      </c>
      <c r="H245" s="48" t="s">
        <v>98</v>
      </c>
      <c r="I245" s="52">
        <v>210.45</v>
      </c>
      <c r="J245" s="49">
        <v>8561.3799999999992</v>
      </c>
      <c r="K245" s="65">
        <v>0</v>
      </c>
      <c r="L245" s="65">
        <v>0</v>
      </c>
      <c r="M245" s="65">
        <v>0</v>
      </c>
      <c r="N245" s="65">
        <v>0</v>
      </c>
      <c r="O245" s="65">
        <v>0</v>
      </c>
      <c r="P245" s="65">
        <v>0</v>
      </c>
      <c r="Q245" s="50">
        <v>8561.3799999999992</v>
      </c>
      <c r="R245" s="65">
        <v>0</v>
      </c>
      <c r="S245" s="65">
        <v>0</v>
      </c>
      <c r="T245" s="65">
        <v>0</v>
      </c>
      <c r="U245" s="65">
        <v>0</v>
      </c>
      <c r="V245" s="65">
        <v>0</v>
      </c>
      <c r="W245" s="65">
        <v>0</v>
      </c>
      <c r="X245" s="65">
        <v>0</v>
      </c>
      <c r="Y245" s="65">
        <v>0</v>
      </c>
      <c r="Z245" s="65">
        <v>8561.3799999999992</v>
      </c>
      <c r="AA245" s="51">
        <v>0</v>
      </c>
      <c r="AB245" s="102">
        <v>0</v>
      </c>
      <c r="AC245" s="81">
        <f t="shared" si="12"/>
        <v>398.31062760750763</v>
      </c>
      <c r="AD245" s="82">
        <f t="shared" si="13"/>
        <v>30.064285714285713</v>
      </c>
      <c r="AE245" s="218">
        <v>0</v>
      </c>
      <c r="AF245">
        <v>0</v>
      </c>
      <c r="AH245" t="str">
        <f t="shared" si="11"/>
        <v>Teghra</v>
      </c>
      <c r="AJ245" s="72">
        <v>0</v>
      </c>
      <c r="AK245" s="72"/>
      <c r="AL245" s="72"/>
      <c r="AM245" s="72"/>
    </row>
    <row r="246" spans="1:39" x14ac:dyDescent="0.25">
      <c r="A246" s="37" t="s">
        <v>62</v>
      </c>
      <c r="B246" s="66" t="s">
        <v>1596</v>
      </c>
      <c r="C246" s="47">
        <v>1008</v>
      </c>
      <c r="D246" s="47" t="s">
        <v>217</v>
      </c>
      <c r="E246" s="41">
        <v>10080015</v>
      </c>
      <c r="F246" s="46" t="s">
        <v>225</v>
      </c>
      <c r="G246" s="39" t="s">
        <v>92</v>
      </c>
      <c r="H246" s="48" t="s">
        <v>93</v>
      </c>
      <c r="I246" s="52">
        <v>1418.25</v>
      </c>
      <c r="J246" s="49">
        <v>50940.02</v>
      </c>
      <c r="K246" s="65">
        <v>1415.3</v>
      </c>
      <c r="L246" s="65">
        <v>52401.17</v>
      </c>
      <c r="M246" s="65">
        <v>2.6999999999999997</v>
      </c>
      <c r="N246" s="65">
        <v>94.990000000000009</v>
      </c>
      <c r="O246" s="65">
        <v>1418</v>
      </c>
      <c r="P246" s="65">
        <v>52496.159999999996</v>
      </c>
      <c r="Q246" s="50">
        <v>50940.02</v>
      </c>
      <c r="R246" s="65">
        <v>0</v>
      </c>
      <c r="S246" s="65">
        <v>94.990000000000009</v>
      </c>
      <c r="T246" s="65">
        <v>1556.1399999999994</v>
      </c>
      <c r="U246" s="65">
        <v>0</v>
      </c>
      <c r="V246" s="65">
        <v>0</v>
      </c>
      <c r="W246" s="65">
        <v>0</v>
      </c>
      <c r="X246" s="65">
        <v>50845</v>
      </c>
      <c r="Y246" s="65">
        <v>0</v>
      </c>
      <c r="Z246" s="65">
        <v>0</v>
      </c>
      <c r="AA246" s="51">
        <v>0</v>
      </c>
      <c r="AB246" s="102">
        <v>0</v>
      </c>
      <c r="AC246" s="81">
        <f t="shared" si="12"/>
        <v>0</v>
      </c>
      <c r="AD246" s="82">
        <f t="shared" si="13"/>
        <v>0</v>
      </c>
      <c r="AE246" s="218">
        <v>-3.0548476423841207E-2</v>
      </c>
      <c r="AF246">
        <v>8</v>
      </c>
      <c r="AH246" t="str">
        <f t="shared" si="11"/>
        <v>Teghra</v>
      </c>
      <c r="AJ246" s="72">
        <v>0</v>
      </c>
      <c r="AK246" s="72"/>
      <c r="AL246" s="72"/>
      <c r="AM246" s="72"/>
    </row>
    <row r="247" spans="1:39" x14ac:dyDescent="0.25">
      <c r="A247" s="37" t="s">
        <v>62</v>
      </c>
      <c r="B247" s="66" t="s">
        <v>1596</v>
      </c>
      <c r="C247" s="47">
        <v>1008</v>
      </c>
      <c r="D247" s="47" t="s">
        <v>217</v>
      </c>
      <c r="E247" s="41">
        <v>10080016</v>
      </c>
      <c r="F247" s="46" t="s">
        <v>226</v>
      </c>
      <c r="G247" s="39" t="s">
        <v>92</v>
      </c>
      <c r="H247" s="48" t="s">
        <v>93</v>
      </c>
      <c r="I247" s="52">
        <v>87.000000000000014</v>
      </c>
      <c r="J247" s="49">
        <v>3162.88</v>
      </c>
      <c r="K247" s="65">
        <v>86.699999999999989</v>
      </c>
      <c r="L247" s="65">
        <v>3157.5200000000004</v>
      </c>
      <c r="M247" s="65">
        <v>1.0999999999999999</v>
      </c>
      <c r="N247" s="65">
        <v>37.869999999999997</v>
      </c>
      <c r="O247" s="65">
        <v>87.799999999999983</v>
      </c>
      <c r="P247" s="65">
        <v>3195.3900000000003</v>
      </c>
      <c r="Q247" s="50">
        <v>3162.88</v>
      </c>
      <c r="R247" s="65">
        <v>0</v>
      </c>
      <c r="S247" s="65">
        <v>37.869999999999997</v>
      </c>
      <c r="T247" s="65">
        <v>32.510000000000218</v>
      </c>
      <c r="U247" s="65">
        <v>0</v>
      </c>
      <c r="V247" s="65">
        <v>500</v>
      </c>
      <c r="W247" s="65">
        <v>0</v>
      </c>
      <c r="X247" s="65">
        <v>2625</v>
      </c>
      <c r="Y247" s="65">
        <v>0</v>
      </c>
      <c r="Z247" s="65">
        <v>0</v>
      </c>
      <c r="AA247" s="51">
        <v>0</v>
      </c>
      <c r="AB247" s="102">
        <v>0</v>
      </c>
      <c r="AC247" s="81">
        <f t="shared" si="12"/>
        <v>445.71159540229877</v>
      </c>
      <c r="AD247" s="82">
        <f t="shared" si="13"/>
        <v>12.428571428571431</v>
      </c>
      <c r="AE247" s="218">
        <v>-1.027860683933637E-2</v>
      </c>
      <c r="AF247">
        <v>4</v>
      </c>
      <c r="AH247" t="str">
        <f t="shared" si="11"/>
        <v>Teghra</v>
      </c>
      <c r="AJ247" s="72">
        <v>500</v>
      </c>
      <c r="AK247" s="72"/>
      <c r="AL247" s="72"/>
      <c r="AM247" s="72"/>
    </row>
    <row r="248" spans="1:39" x14ac:dyDescent="0.25">
      <c r="A248" s="37" t="s">
        <v>62</v>
      </c>
      <c r="B248" s="66" t="s">
        <v>1596</v>
      </c>
      <c r="C248" s="47">
        <v>1008</v>
      </c>
      <c r="D248" s="47" t="s">
        <v>217</v>
      </c>
      <c r="E248" s="41">
        <v>10080022</v>
      </c>
      <c r="F248" s="46" t="s">
        <v>228</v>
      </c>
      <c r="G248" s="39" t="s">
        <v>92</v>
      </c>
      <c r="H248" s="48" t="s">
        <v>93</v>
      </c>
      <c r="I248" s="52">
        <v>210.95</v>
      </c>
      <c r="J248" s="49">
        <v>9396.77</v>
      </c>
      <c r="K248" s="65">
        <v>208.37</v>
      </c>
      <c r="L248" s="65">
        <v>9184.59</v>
      </c>
      <c r="M248" s="65">
        <v>3.6400000000000006</v>
      </c>
      <c r="N248" s="65">
        <v>155.69</v>
      </c>
      <c r="O248" s="65">
        <v>212.01</v>
      </c>
      <c r="P248" s="65">
        <v>9340.2800000000007</v>
      </c>
      <c r="Q248" s="50">
        <v>9340.2800000000007</v>
      </c>
      <c r="R248" s="65">
        <v>0</v>
      </c>
      <c r="S248" s="65">
        <v>155.69</v>
      </c>
      <c r="T248" s="65">
        <v>0</v>
      </c>
      <c r="U248" s="65">
        <v>0</v>
      </c>
      <c r="V248" s="65">
        <v>0</v>
      </c>
      <c r="W248" s="65">
        <v>0</v>
      </c>
      <c r="X248" s="65">
        <v>9185</v>
      </c>
      <c r="Y248" s="65">
        <v>0</v>
      </c>
      <c r="Z248" s="65">
        <v>0</v>
      </c>
      <c r="AA248" s="51">
        <v>56</v>
      </c>
      <c r="AB248" s="102">
        <v>0</v>
      </c>
      <c r="AC248" s="81">
        <f t="shared" si="12"/>
        <v>435.69474932448452</v>
      </c>
      <c r="AD248" s="82">
        <f t="shared" si="13"/>
        <v>30.135714285714283</v>
      </c>
      <c r="AE248" s="218">
        <v>6.0116401699732754E-3</v>
      </c>
      <c r="AF248">
        <v>7</v>
      </c>
      <c r="AH248" t="str">
        <f t="shared" si="11"/>
        <v>Teghra</v>
      </c>
      <c r="AJ248" s="72">
        <v>0</v>
      </c>
      <c r="AK248" s="72"/>
      <c r="AL248" s="72"/>
      <c r="AM248" s="72"/>
    </row>
    <row r="249" spans="1:39" x14ac:dyDescent="0.25">
      <c r="A249" s="37" t="s">
        <v>62</v>
      </c>
      <c r="B249" s="66" t="s">
        <v>1596</v>
      </c>
      <c r="C249" s="47">
        <v>1008</v>
      </c>
      <c r="D249" s="47" t="s">
        <v>217</v>
      </c>
      <c r="E249" s="41">
        <v>10080024</v>
      </c>
      <c r="F249" s="46" t="s">
        <v>230</v>
      </c>
      <c r="G249" s="39" t="s">
        <v>617</v>
      </c>
      <c r="H249" s="48" t="s">
        <v>98</v>
      </c>
      <c r="I249" s="52">
        <v>5295.5000000000009</v>
      </c>
      <c r="J249" s="49">
        <v>209592.41</v>
      </c>
      <c r="K249" s="65">
        <v>0</v>
      </c>
      <c r="L249" s="65">
        <v>0</v>
      </c>
      <c r="M249" s="65">
        <v>0</v>
      </c>
      <c r="N249" s="65">
        <v>0</v>
      </c>
      <c r="O249" s="65">
        <v>0</v>
      </c>
      <c r="P249" s="65">
        <v>0</v>
      </c>
      <c r="Q249" s="50">
        <v>209592.41</v>
      </c>
      <c r="R249" s="65">
        <v>0</v>
      </c>
      <c r="S249" s="65">
        <v>0</v>
      </c>
      <c r="T249" s="65">
        <v>0</v>
      </c>
      <c r="U249" s="65">
        <v>0</v>
      </c>
      <c r="V249" s="65">
        <v>0</v>
      </c>
      <c r="W249" s="65">
        <v>0</v>
      </c>
      <c r="X249" s="65">
        <v>0</v>
      </c>
      <c r="Y249" s="65">
        <v>0</v>
      </c>
      <c r="Z249" s="65">
        <v>209592.41</v>
      </c>
      <c r="AA249" s="51">
        <v>0</v>
      </c>
      <c r="AB249" s="102">
        <v>0</v>
      </c>
      <c r="AC249" s="81">
        <f t="shared" si="12"/>
        <v>0</v>
      </c>
      <c r="AD249" s="82">
        <f t="shared" si="13"/>
        <v>0</v>
      </c>
      <c r="AE249" s="218">
        <v>0</v>
      </c>
      <c r="AF249">
        <v>0</v>
      </c>
      <c r="AH249" t="str">
        <f t="shared" si="11"/>
        <v>Teghra</v>
      </c>
      <c r="AJ249" s="72">
        <v>0</v>
      </c>
      <c r="AK249" s="72"/>
      <c r="AL249" s="72"/>
      <c r="AM249" s="72"/>
    </row>
    <row r="250" spans="1:39" x14ac:dyDescent="0.25">
      <c r="A250" s="37" t="s">
        <v>62</v>
      </c>
      <c r="B250" s="66" t="s">
        <v>1596</v>
      </c>
      <c r="C250" s="47">
        <v>1008</v>
      </c>
      <c r="D250" s="47" t="s">
        <v>217</v>
      </c>
      <c r="E250" s="41">
        <v>10080025</v>
      </c>
      <c r="F250" s="46" t="s">
        <v>231</v>
      </c>
      <c r="G250" s="39" t="s">
        <v>92</v>
      </c>
      <c r="H250" s="48" t="s">
        <v>93</v>
      </c>
      <c r="I250" s="52">
        <v>816.35</v>
      </c>
      <c r="J250" s="49">
        <v>30196.01</v>
      </c>
      <c r="K250" s="65">
        <v>855.34999999999991</v>
      </c>
      <c r="L250" s="65">
        <v>32928.590000000004</v>
      </c>
      <c r="M250" s="65">
        <v>13.239999999999998</v>
      </c>
      <c r="N250" s="65">
        <v>508.42999999999995</v>
      </c>
      <c r="O250" s="65">
        <v>868.58999999999992</v>
      </c>
      <c r="P250" s="65">
        <v>33437.020000000004</v>
      </c>
      <c r="Q250" s="50">
        <v>30196.01</v>
      </c>
      <c r="R250" s="65">
        <v>0</v>
      </c>
      <c r="S250" s="65">
        <v>508.42999999999995</v>
      </c>
      <c r="T250" s="65">
        <v>3241.0100000000057</v>
      </c>
      <c r="U250" s="65">
        <v>0</v>
      </c>
      <c r="V250" s="65">
        <v>0</v>
      </c>
      <c r="W250" s="65">
        <v>0</v>
      </c>
      <c r="X250" s="65">
        <v>29688</v>
      </c>
      <c r="Y250" s="65">
        <v>0</v>
      </c>
      <c r="Z250" s="65">
        <v>0</v>
      </c>
      <c r="AA250" s="51">
        <v>0</v>
      </c>
      <c r="AB250" s="102" t="s">
        <v>1598</v>
      </c>
      <c r="AC250" s="81">
        <f t="shared" si="12"/>
        <v>0</v>
      </c>
      <c r="AD250" s="82">
        <f t="shared" si="13"/>
        <v>0</v>
      </c>
      <c r="AE250" s="218">
        <v>-0.10733239259094185</v>
      </c>
      <c r="AF250">
        <v>28</v>
      </c>
      <c r="AH250" t="str">
        <f t="shared" si="11"/>
        <v>Teghra</v>
      </c>
      <c r="AJ250" s="72">
        <v>0</v>
      </c>
      <c r="AK250" s="72"/>
      <c r="AL250" s="72"/>
      <c r="AM250" s="72"/>
    </row>
    <row r="251" spans="1:39" x14ac:dyDescent="0.25">
      <c r="A251" s="37" t="s">
        <v>62</v>
      </c>
      <c r="B251" s="66" t="s">
        <v>1596</v>
      </c>
      <c r="C251" s="47">
        <v>1008</v>
      </c>
      <c r="D251" s="47" t="s">
        <v>217</v>
      </c>
      <c r="E251" s="41">
        <v>10080032</v>
      </c>
      <c r="F251" s="46" t="s">
        <v>233</v>
      </c>
      <c r="G251" s="39" t="s">
        <v>92</v>
      </c>
      <c r="H251" s="48" t="s">
        <v>93</v>
      </c>
      <c r="I251" s="52">
        <v>194.75</v>
      </c>
      <c r="J251" s="49">
        <v>8710.59</v>
      </c>
      <c r="K251" s="65">
        <v>52.45</v>
      </c>
      <c r="L251" s="65">
        <v>2374.77</v>
      </c>
      <c r="M251" s="65">
        <v>154.46999999999997</v>
      </c>
      <c r="N251" s="65">
        <v>6925.22</v>
      </c>
      <c r="O251" s="65">
        <v>206.91999999999996</v>
      </c>
      <c r="P251" s="65">
        <v>9299.99</v>
      </c>
      <c r="Q251" s="50">
        <v>8710.59</v>
      </c>
      <c r="R251" s="65">
        <v>0</v>
      </c>
      <c r="S251" s="65">
        <v>180.17999999999998</v>
      </c>
      <c r="T251" s="65">
        <v>589.39999999999964</v>
      </c>
      <c r="U251" s="65">
        <v>0</v>
      </c>
      <c r="V251" s="65">
        <v>0</v>
      </c>
      <c r="W251" s="65">
        <v>0</v>
      </c>
      <c r="X251" s="65">
        <v>1785</v>
      </c>
      <c r="Y251" s="65">
        <v>6745</v>
      </c>
      <c r="Z251" s="65">
        <v>0</v>
      </c>
      <c r="AA251" s="51">
        <v>0</v>
      </c>
      <c r="AB251" s="102">
        <v>0</v>
      </c>
      <c r="AC251" s="81">
        <f t="shared" si="12"/>
        <v>451.966685237484</v>
      </c>
      <c r="AD251" s="82">
        <f t="shared" si="13"/>
        <v>27.821428571428573</v>
      </c>
      <c r="AE251" s="218">
        <v>-6.7664762088446323E-2</v>
      </c>
      <c r="AF251">
        <v>12</v>
      </c>
      <c r="AH251" t="str">
        <f t="shared" si="11"/>
        <v>Teghra</v>
      </c>
      <c r="AJ251" s="72">
        <v>0</v>
      </c>
      <c r="AK251" s="72"/>
      <c r="AL251" s="72"/>
      <c r="AM251" s="72"/>
    </row>
    <row r="252" spans="1:39" x14ac:dyDescent="0.25">
      <c r="A252" s="37" t="s">
        <v>62</v>
      </c>
      <c r="B252" s="66" t="s">
        <v>1596</v>
      </c>
      <c r="C252" s="47">
        <v>1008</v>
      </c>
      <c r="D252" s="47" t="s">
        <v>217</v>
      </c>
      <c r="E252" s="41">
        <v>10080037</v>
      </c>
      <c r="F252" s="46" t="s">
        <v>1546</v>
      </c>
      <c r="G252" s="39" t="s">
        <v>617</v>
      </c>
      <c r="H252" s="48" t="s">
        <v>98</v>
      </c>
      <c r="I252" s="52">
        <v>55.1</v>
      </c>
      <c r="J252" s="49">
        <v>2003.69</v>
      </c>
      <c r="K252" s="65">
        <v>0</v>
      </c>
      <c r="L252" s="65">
        <v>0</v>
      </c>
      <c r="M252" s="65">
        <v>0</v>
      </c>
      <c r="N252" s="65">
        <v>0</v>
      </c>
      <c r="O252" s="65">
        <v>0</v>
      </c>
      <c r="P252" s="65">
        <v>0</v>
      </c>
      <c r="Q252" s="50">
        <v>2003.69</v>
      </c>
      <c r="R252" s="65">
        <v>0</v>
      </c>
      <c r="S252" s="65">
        <v>0</v>
      </c>
      <c r="T252" s="65">
        <v>0</v>
      </c>
      <c r="U252" s="65">
        <v>0</v>
      </c>
      <c r="V252" s="65">
        <v>0</v>
      </c>
      <c r="W252" s="65">
        <v>0</v>
      </c>
      <c r="X252" s="65">
        <v>0</v>
      </c>
      <c r="Y252" s="65">
        <v>0</v>
      </c>
      <c r="Z252" s="65">
        <v>2003.69</v>
      </c>
      <c r="AA252" s="51">
        <v>0</v>
      </c>
      <c r="AB252" s="102">
        <v>0</v>
      </c>
      <c r="AC252" s="81">
        <f t="shared" si="12"/>
        <v>469.03073720508178</v>
      </c>
      <c r="AD252" s="82">
        <f t="shared" si="13"/>
        <v>7.8714285714285719</v>
      </c>
      <c r="AE252" s="218">
        <v>0</v>
      </c>
      <c r="AF252">
        <v>0</v>
      </c>
      <c r="AH252" t="str">
        <f t="shared" si="11"/>
        <v>Teghra</v>
      </c>
      <c r="AJ252" s="72">
        <v>0</v>
      </c>
      <c r="AK252" s="72"/>
      <c r="AL252" s="72"/>
      <c r="AM252" s="72"/>
    </row>
    <row r="253" spans="1:39" x14ac:dyDescent="0.25">
      <c r="A253" s="37" t="s">
        <v>62</v>
      </c>
      <c r="B253" s="66" t="s">
        <v>1596</v>
      </c>
      <c r="C253" s="47">
        <v>1008</v>
      </c>
      <c r="D253" s="47" t="s">
        <v>217</v>
      </c>
      <c r="E253" s="41">
        <v>10080039</v>
      </c>
      <c r="F253" s="46" t="s">
        <v>558</v>
      </c>
      <c r="G253" s="39" t="s">
        <v>617</v>
      </c>
      <c r="H253" s="48" t="s">
        <v>98</v>
      </c>
      <c r="I253" s="52">
        <v>6389.8000000000011</v>
      </c>
      <c r="J253" s="49">
        <v>231037.12999999998</v>
      </c>
      <c r="K253" s="65">
        <v>0</v>
      </c>
      <c r="L253" s="65">
        <v>0</v>
      </c>
      <c r="M253" s="65">
        <v>0</v>
      </c>
      <c r="N253" s="65">
        <v>0</v>
      </c>
      <c r="O253" s="65">
        <v>0</v>
      </c>
      <c r="P253" s="65">
        <v>0</v>
      </c>
      <c r="Q253" s="50">
        <v>231037.12999999998</v>
      </c>
      <c r="R253" s="65">
        <v>0</v>
      </c>
      <c r="S253" s="65">
        <v>0</v>
      </c>
      <c r="T253" s="65">
        <v>0</v>
      </c>
      <c r="U253" s="65">
        <v>0</v>
      </c>
      <c r="V253" s="65">
        <v>0</v>
      </c>
      <c r="W253" s="65">
        <v>0</v>
      </c>
      <c r="X253" s="65">
        <v>0</v>
      </c>
      <c r="Y253" s="65">
        <v>0</v>
      </c>
      <c r="Z253" s="65">
        <v>231037.12999999998</v>
      </c>
      <c r="AA253" s="51">
        <v>0</v>
      </c>
      <c r="AB253" s="102">
        <v>0</v>
      </c>
      <c r="AC253" s="81">
        <f t="shared" si="12"/>
        <v>0</v>
      </c>
      <c r="AD253" s="82">
        <f t="shared" si="13"/>
        <v>0</v>
      </c>
      <c r="AE253" s="218">
        <v>0</v>
      </c>
      <c r="AF253">
        <v>0</v>
      </c>
      <c r="AH253" t="str">
        <f t="shared" si="11"/>
        <v>Teghra</v>
      </c>
      <c r="AJ253" s="72">
        <v>0</v>
      </c>
      <c r="AK253" s="72"/>
      <c r="AL253" s="72"/>
      <c r="AM253" s="72"/>
    </row>
    <row r="254" spans="1:39" x14ac:dyDescent="0.25">
      <c r="A254" s="37" t="s">
        <v>62</v>
      </c>
      <c r="B254" s="66" t="s">
        <v>1596</v>
      </c>
      <c r="C254" s="47">
        <v>1008</v>
      </c>
      <c r="D254" s="47" t="s">
        <v>217</v>
      </c>
      <c r="E254" s="41">
        <v>10080040</v>
      </c>
      <c r="F254" s="46" t="s">
        <v>234</v>
      </c>
      <c r="G254" s="39" t="s">
        <v>617</v>
      </c>
      <c r="H254" s="48" t="s">
        <v>98</v>
      </c>
      <c r="I254" s="52">
        <v>775.3</v>
      </c>
      <c r="J254" s="49">
        <v>31685.369999999995</v>
      </c>
      <c r="K254" s="65">
        <v>0</v>
      </c>
      <c r="L254" s="65">
        <v>0</v>
      </c>
      <c r="M254" s="65">
        <v>0</v>
      </c>
      <c r="N254" s="65">
        <v>0</v>
      </c>
      <c r="O254" s="65">
        <v>0</v>
      </c>
      <c r="P254" s="65">
        <v>0</v>
      </c>
      <c r="Q254" s="50">
        <v>31685.369999999995</v>
      </c>
      <c r="R254" s="65">
        <v>0</v>
      </c>
      <c r="S254" s="65">
        <v>0</v>
      </c>
      <c r="T254" s="65">
        <v>0</v>
      </c>
      <c r="U254" s="65">
        <v>0</v>
      </c>
      <c r="V254" s="65">
        <v>0</v>
      </c>
      <c r="W254" s="65">
        <v>0</v>
      </c>
      <c r="X254" s="65">
        <v>0</v>
      </c>
      <c r="Y254" s="65">
        <v>0</v>
      </c>
      <c r="Z254" s="65">
        <v>31685.369999999995</v>
      </c>
      <c r="AA254" s="51">
        <v>0</v>
      </c>
      <c r="AB254" s="102">
        <v>0</v>
      </c>
      <c r="AC254" s="81">
        <f t="shared" si="12"/>
        <v>0</v>
      </c>
      <c r="AD254" s="82">
        <f t="shared" si="13"/>
        <v>0</v>
      </c>
      <c r="AE254" s="218">
        <v>0</v>
      </c>
      <c r="AF254">
        <v>0</v>
      </c>
      <c r="AH254" t="str">
        <f t="shared" si="11"/>
        <v>Teghra</v>
      </c>
      <c r="AJ254" s="72">
        <v>0</v>
      </c>
      <c r="AK254" s="72"/>
      <c r="AL254" s="72"/>
      <c r="AM254" s="72"/>
    </row>
    <row r="255" spans="1:39" x14ac:dyDescent="0.25">
      <c r="A255" s="37" t="s">
        <v>62</v>
      </c>
      <c r="B255" s="66" t="s">
        <v>1596</v>
      </c>
      <c r="C255" s="47">
        <v>1008</v>
      </c>
      <c r="D255" s="47" t="s">
        <v>217</v>
      </c>
      <c r="E255" s="41">
        <v>10080041</v>
      </c>
      <c r="F255" s="46" t="s">
        <v>1538</v>
      </c>
      <c r="G255" s="39" t="s">
        <v>617</v>
      </c>
      <c r="H255" s="48" t="s">
        <v>98</v>
      </c>
      <c r="I255" s="52">
        <v>292.5</v>
      </c>
      <c r="J255" s="49">
        <v>12185.050000000003</v>
      </c>
      <c r="K255" s="65">
        <v>0</v>
      </c>
      <c r="L255" s="65">
        <v>0</v>
      </c>
      <c r="M255" s="65">
        <v>0</v>
      </c>
      <c r="N255" s="65">
        <v>0</v>
      </c>
      <c r="O255" s="65">
        <v>0</v>
      </c>
      <c r="P255" s="65">
        <v>0</v>
      </c>
      <c r="Q255" s="50">
        <v>12185.050000000003</v>
      </c>
      <c r="R255" s="65">
        <v>0</v>
      </c>
      <c r="S255" s="65">
        <v>0</v>
      </c>
      <c r="T255" s="65">
        <v>0</v>
      </c>
      <c r="U255" s="65">
        <v>0</v>
      </c>
      <c r="V255" s="65">
        <v>0</v>
      </c>
      <c r="W255" s="65">
        <v>0</v>
      </c>
      <c r="X255" s="65">
        <v>0</v>
      </c>
      <c r="Y255" s="65">
        <v>0</v>
      </c>
      <c r="Z255" s="65">
        <v>12185.050000000003</v>
      </c>
      <c r="AA255" s="51">
        <v>0</v>
      </c>
      <c r="AB255" s="102">
        <v>0</v>
      </c>
      <c r="AC255" s="81">
        <f t="shared" si="12"/>
        <v>339.51506837606843</v>
      </c>
      <c r="AD255" s="82">
        <f t="shared" si="13"/>
        <v>41.785714285714285</v>
      </c>
      <c r="AE255" s="218">
        <v>0</v>
      </c>
      <c r="AF255">
        <v>0</v>
      </c>
      <c r="AH255" t="str">
        <f t="shared" si="11"/>
        <v>Teghra</v>
      </c>
      <c r="AJ255" s="72">
        <v>0</v>
      </c>
      <c r="AK255" s="72"/>
      <c r="AL255" s="72"/>
      <c r="AM255" s="72"/>
    </row>
    <row r="256" spans="1:39" x14ac:dyDescent="0.25">
      <c r="A256" s="37" t="s">
        <v>62</v>
      </c>
      <c r="B256" s="66" t="s">
        <v>1596</v>
      </c>
      <c r="C256" s="47">
        <v>1008</v>
      </c>
      <c r="D256" s="47" t="s">
        <v>217</v>
      </c>
      <c r="E256" s="41">
        <v>10080048</v>
      </c>
      <c r="F256" s="46" t="s">
        <v>235</v>
      </c>
      <c r="G256" s="39" t="s">
        <v>92</v>
      </c>
      <c r="H256" s="48" t="s">
        <v>93</v>
      </c>
      <c r="I256" s="52">
        <v>460.9</v>
      </c>
      <c r="J256" s="49">
        <v>20976.639999999996</v>
      </c>
      <c r="K256" s="65">
        <v>393.36999999999995</v>
      </c>
      <c r="L256" s="65">
        <v>17969.22</v>
      </c>
      <c r="M256" s="65">
        <v>82.28</v>
      </c>
      <c r="N256" s="65">
        <v>3211.14</v>
      </c>
      <c r="O256" s="65">
        <v>475.65</v>
      </c>
      <c r="P256" s="65">
        <v>21180.36</v>
      </c>
      <c r="Q256" s="50">
        <v>20976.639999999996</v>
      </c>
      <c r="R256" s="65">
        <v>0</v>
      </c>
      <c r="S256" s="65">
        <v>117.27</v>
      </c>
      <c r="T256" s="65">
        <v>203.7200000000048</v>
      </c>
      <c r="U256" s="65">
        <v>0</v>
      </c>
      <c r="V256" s="65">
        <v>500</v>
      </c>
      <c r="W256" s="65">
        <v>0</v>
      </c>
      <c r="X256" s="65">
        <v>17266</v>
      </c>
      <c r="Y256" s="65">
        <v>3093</v>
      </c>
      <c r="Z256" s="65">
        <v>0</v>
      </c>
      <c r="AA256" s="51">
        <v>0</v>
      </c>
      <c r="AB256" s="102">
        <v>0</v>
      </c>
      <c r="AC256" s="81">
        <f t="shared" si="12"/>
        <v>217.64003575612932</v>
      </c>
      <c r="AD256" s="82">
        <f t="shared" si="13"/>
        <v>65.842857142857142</v>
      </c>
      <c r="AE256" s="218">
        <v>-9.711755552843775E-3</v>
      </c>
      <c r="AF256">
        <v>9</v>
      </c>
      <c r="AH256" t="str">
        <f t="shared" si="11"/>
        <v>Teghra</v>
      </c>
      <c r="AJ256" s="72">
        <v>500</v>
      </c>
      <c r="AK256" s="72"/>
      <c r="AL256" s="72"/>
      <c r="AM256" s="72"/>
    </row>
    <row r="257" spans="1:39" x14ac:dyDescent="0.25">
      <c r="A257" s="37" t="s">
        <v>62</v>
      </c>
      <c r="B257" s="66" t="s">
        <v>1596</v>
      </c>
      <c r="C257" s="47">
        <v>1008</v>
      </c>
      <c r="D257" s="47" t="s">
        <v>217</v>
      </c>
      <c r="E257" s="41">
        <v>10080052</v>
      </c>
      <c r="F257" s="46" t="s">
        <v>237</v>
      </c>
      <c r="G257" s="39" t="s">
        <v>92</v>
      </c>
      <c r="H257" s="48" t="s">
        <v>93</v>
      </c>
      <c r="I257" s="52">
        <v>505.25</v>
      </c>
      <c r="J257" s="49">
        <v>19615.32</v>
      </c>
      <c r="K257" s="65">
        <v>510.28</v>
      </c>
      <c r="L257" s="65">
        <v>20296.349999999999</v>
      </c>
      <c r="M257" s="65">
        <v>1.5200000000000002</v>
      </c>
      <c r="N257" s="65">
        <v>60.480000000000004</v>
      </c>
      <c r="O257" s="65">
        <v>511.79999999999995</v>
      </c>
      <c r="P257" s="65">
        <v>20356.829999999998</v>
      </c>
      <c r="Q257" s="50">
        <v>19615.32</v>
      </c>
      <c r="R257" s="65">
        <v>0</v>
      </c>
      <c r="S257" s="65">
        <v>60.480000000000004</v>
      </c>
      <c r="T257" s="65">
        <v>741.5099999999984</v>
      </c>
      <c r="U257" s="65">
        <v>0</v>
      </c>
      <c r="V257" s="65">
        <v>0</v>
      </c>
      <c r="W257" s="65">
        <v>0</v>
      </c>
      <c r="X257" s="65">
        <v>19555</v>
      </c>
      <c r="Y257" s="65">
        <v>0</v>
      </c>
      <c r="Z257" s="65">
        <v>0</v>
      </c>
      <c r="AA257" s="51">
        <v>0</v>
      </c>
      <c r="AB257" s="102">
        <v>0</v>
      </c>
      <c r="AC257" s="81">
        <f t="shared" si="12"/>
        <v>151.2155792182088</v>
      </c>
      <c r="AD257" s="82">
        <f t="shared" si="13"/>
        <v>72.178571428571431</v>
      </c>
      <c r="AE257" s="218">
        <v>-3.7802595114430883E-2</v>
      </c>
      <c r="AF257">
        <v>4</v>
      </c>
      <c r="AH257" t="str">
        <f t="shared" si="11"/>
        <v>Teghra</v>
      </c>
      <c r="AJ257" s="72">
        <v>0</v>
      </c>
      <c r="AK257" s="72"/>
      <c r="AL257" s="72"/>
      <c r="AM257" s="72"/>
    </row>
    <row r="258" spans="1:39" x14ac:dyDescent="0.25">
      <c r="A258" s="37" t="s">
        <v>62</v>
      </c>
      <c r="B258" s="66" t="s">
        <v>1596</v>
      </c>
      <c r="C258" s="47">
        <v>1008</v>
      </c>
      <c r="D258" s="47" t="s">
        <v>217</v>
      </c>
      <c r="E258" s="41">
        <v>10080053</v>
      </c>
      <c r="F258" s="46" t="s">
        <v>238</v>
      </c>
      <c r="G258" s="39" t="s">
        <v>92</v>
      </c>
      <c r="H258" s="48" t="s">
        <v>93</v>
      </c>
      <c r="I258" s="52">
        <v>179.95</v>
      </c>
      <c r="J258" s="49">
        <v>6848.9500000000007</v>
      </c>
      <c r="K258" s="65">
        <v>301.03999999999996</v>
      </c>
      <c r="L258" s="65">
        <v>11877</v>
      </c>
      <c r="M258" s="65">
        <v>0</v>
      </c>
      <c r="N258" s="65">
        <v>0</v>
      </c>
      <c r="O258" s="65">
        <v>301.03999999999996</v>
      </c>
      <c r="P258" s="65">
        <v>11877</v>
      </c>
      <c r="Q258" s="50">
        <v>6848.9500000000007</v>
      </c>
      <c r="R258" s="65">
        <v>0</v>
      </c>
      <c r="S258" s="65">
        <v>0</v>
      </c>
      <c r="T258" s="65">
        <v>5028.0499999999993</v>
      </c>
      <c r="U258" s="65">
        <v>0</v>
      </c>
      <c r="V258" s="65">
        <v>0</v>
      </c>
      <c r="W258" s="65">
        <v>0</v>
      </c>
      <c r="X258" s="65">
        <v>6849</v>
      </c>
      <c r="Y258" s="65">
        <v>0</v>
      </c>
      <c r="Z258" s="65">
        <v>0</v>
      </c>
      <c r="AA258" s="51">
        <v>0</v>
      </c>
      <c r="AB258" s="102">
        <v>0</v>
      </c>
      <c r="AC258" s="81">
        <f t="shared" si="12"/>
        <v>395.86512336760217</v>
      </c>
      <c r="AD258" s="82">
        <f t="shared" si="13"/>
        <v>25.707142857142856</v>
      </c>
      <c r="AE258" s="218">
        <v>-0.734134429365085</v>
      </c>
      <c r="AF258">
        <v>4</v>
      </c>
      <c r="AH258" t="str">
        <f t="shared" si="11"/>
        <v>Teghra</v>
      </c>
      <c r="AJ258" s="72">
        <v>0</v>
      </c>
      <c r="AK258" s="72"/>
      <c r="AL258" s="72"/>
      <c r="AM258" s="72"/>
    </row>
    <row r="259" spans="1:39" x14ac:dyDescent="0.25">
      <c r="A259" s="37" t="s">
        <v>62</v>
      </c>
      <c r="B259" s="66" t="s">
        <v>1596</v>
      </c>
      <c r="C259" s="47">
        <v>1008</v>
      </c>
      <c r="D259" s="47" t="s">
        <v>217</v>
      </c>
      <c r="E259" s="41">
        <v>10080054</v>
      </c>
      <c r="F259" s="46" t="s">
        <v>239</v>
      </c>
      <c r="G259" s="39" t="s">
        <v>617</v>
      </c>
      <c r="H259" s="48" t="s">
        <v>98</v>
      </c>
      <c r="I259" s="52">
        <v>1010.35</v>
      </c>
      <c r="J259" s="49">
        <v>36561.199999999997</v>
      </c>
      <c r="K259" s="65">
        <v>0</v>
      </c>
      <c r="L259" s="65">
        <v>0</v>
      </c>
      <c r="M259" s="65">
        <v>0</v>
      </c>
      <c r="N259" s="65">
        <v>0</v>
      </c>
      <c r="O259" s="65">
        <v>0</v>
      </c>
      <c r="P259" s="65">
        <v>0</v>
      </c>
      <c r="Q259" s="50">
        <v>36561.199999999997</v>
      </c>
      <c r="R259" s="65">
        <v>0</v>
      </c>
      <c r="S259" s="65">
        <v>0</v>
      </c>
      <c r="T259" s="65">
        <v>0</v>
      </c>
      <c r="U259" s="65">
        <v>0</v>
      </c>
      <c r="V259" s="65">
        <v>0</v>
      </c>
      <c r="W259" s="65">
        <v>0</v>
      </c>
      <c r="X259" s="65">
        <v>0</v>
      </c>
      <c r="Y259" s="65">
        <v>0</v>
      </c>
      <c r="Z259" s="65">
        <v>36561.199999999997</v>
      </c>
      <c r="AA259" s="51">
        <v>0</v>
      </c>
      <c r="AB259" s="102">
        <v>0</v>
      </c>
      <c r="AC259" s="81">
        <f t="shared" si="12"/>
        <v>0</v>
      </c>
      <c r="AD259" s="82">
        <f t="shared" si="13"/>
        <v>0</v>
      </c>
      <c r="AE259" s="218">
        <v>0</v>
      </c>
      <c r="AF259">
        <v>0</v>
      </c>
      <c r="AH259" t="str">
        <f t="shared" ref="AH259:AH322" si="14">TEXT(D259,"0000")</f>
        <v>Teghra</v>
      </c>
      <c r="AJ259" s="72">
        <v>0</v>
      </c>
      <c r="AK259" s="72"/>
      <c r="AL259" s="72"/>
      <c r="AM259" s="72"/>
    </row>
    <row r="260" spans="1:39" x14ac:dyDescent="0.25">
      <c r="A260" s="37" t="s">
        <v>62</v>
      </c>
      <c r="B260" s="66" t="s">
        <v>1596</v>
      </c>
      <c r="C260" s="47">
        <v>1008</v>
      </c>
      <c r="D260" s="47" t="s">
        <v>217</v>
      </c>
      <c r="E260" s="41">
        <v>10080055</v>
      </c>
      <c r="F260" s="46" t="s">
        <v>240</v>
      </c>
      <c r="G260" s="39" t="s">
        <v>92</v>
      </c>
      <c r="H260" s="48" t="s">
        <v>93</v>
      </c>
      <c r="I260" s="52">
        <v>528.65</v>
      </c>
      <c r="J260" s="49">
        <v>19702.59</v>
      </c>
      <c r="K260" s="65">
        <v>334.43</v>
      </c>
      <c r="L260" s="65">
        <v>14214.070000000002</v>
      </c>
      <c r="M260" s="65">
        <v>203.69</v>
      </c>
      <c r="N260" s="65">
        <v>8660.5400000000009</v>
      </c>
      <c r="O260" s="65">
        <v>538.12</v>
      </c>
      <c r="P260" s="65">
        <v>22874.61</v>
      </c>
      <c r="Q260" s="50">
        <v>19702.59</v>
      </c>
      <c r="R260" s="65">
        <v>0</v>
      </c>
      <c r="S260" s="65">
        <v>0</v>
      </c>
      <c r="T260" s="65">
        <v>3172.0200000000004</v>
      </c>
      <c r="U260" s="65">
        <v>0</v>
      </c>
      <c r="V260" s="65">
        <v>0</v>
      </c>
      <c r="W260" s="65">
        <v>0</v>
      </c>
      <c r="X260" s="65">
        <v>11043</v>
      </c>
      <c r="Y260" s="65">
        <v>8660</v>
      </c>
      <c r="Z260" s="65">
        <v>0</v>
      </c>
      <c r="AA260" s="51">
        <v>0</v>
      </c>
      <c r="AB260" s="102">
        <v>0</v>
      </c>
      <c r="AC260" s="81">
        <f t="shared" ref="AC260:AC323" si="15">((IF(AD260=0,0,100-AD260))*7*(J260/I260))*2%</f>
        <v>127.72302266149627</v>
      </c>
      <c r="AD260" s="82">
        <f t="shared" ref="AD260:AD323" si="16">IF((I260/7)&gt;100,0,(I260/7))</f>
        <v>75.521428571428572</v>
      </c>
      <c r="AE260" s="218">
        <v>-0.16099507729694423</v>
      </c>
      <c r="AF260">
        <v>12</v>
      </c>
      <c r="AH260" t="str">
        <f t="shared" si="14"/>
        <v>Teghra</v>
      </c>
      <c r="AJ260" s="72">
        <v>0</v>
      </c>
      <c r="AK260" s="72"/>
      <c r="AL260" s="72"/>
      <c r="AM260" s="72"/>
    </row>
    <row r="261" spans="1:39" x14ac:dyDescent="0.25">
      <c r="A261" s="37" t="s">
        <v>62</v>
      </c>
      <c r="B261" s="66" t="s">
        <v>1596</v>
      </c>
      <c r="C261" s="47">
        <v>1008</v>
      </c>
      <c r="D261" s="47" t="s">
        <v>217</v>
      </c>
      <c r="E261" s="41">
        <v>10080061</v>
      </c>
      <c r="F261" s="46" t="s">
        <v>241</v>
      </c>
      <c r="G261" s="39" t="s">
        <v>92</v>
      </c>
      <c r="H261" s="48" t="s">
        <v>93</v>
      </c>
      <c r="I261" s="52">
        <v>239.6</v>
      </c>
      <c r="J261" s="49">
        <v>8102.89</v>
      </c>
      <c r="K261" s="65">
        <v>239.4</v>
      </c>
      <c r="L261" s="65">
        <v>8095.8600000000015</v>
      </c>
      <c r="M261" s="65">
        <v>0</v>
      </c>
      <c r="N261" s="65">
        <v>0</v>
      </c>
      <c r="O261" s="65">
        <v>239.4</v>
      </c>
      <c r="P261" s="65">
        <v>8095.8600000000015</v>
      </c>
      <c r="Q261" s="50">
        <v>8095.8600000000015</v>
      </c>
      <c r="R261" s="65">
        <v>0</v>
      </c>
      <c r="S261" s="65">
        <v>0</v>
      </c>
      <c r="T261" s="65">
        <v>0</v>
      </c>
      <c r="U261" s="65">
        <v>0</v>
      </c>
      <c r="V261" s="65">
        <v>0</v>
      </c>
      <c r="W261" s="65">
        <v>0</v>
      </c>
      <c r="X261" s="65">
        <v>8096</v>
      </c>
      <c r="Y261" s="65">
        <v>0</v>
      </c>
      <c r="Z261" s="65">
        <v>0</v>
      </c>
      <c r="AA261" s="51">
        <v>7</v>
      </c>
      <c r="AB261" s="102">
        <v>0</v>
      </c>
      <c r="AC261" s="81">
        <f t="shared" si="15"/>
        <v>311.39987946577628</v>
      </c>
      <c r="AD261" s="82">
        <f t="shared" si="16"/>
        <v>34.228571428571428</v>
      </c>
      <c r="AE261" s="218">
        <v>8.675916864228486E-4</v>
      </c>
      <c r="AF261">
        <v>1</v>
      </c>
      <c r="AH261" t="str">
        <f t="shared" si="14"/>
        <v>Teghra</v>
      </c>
      <c r="AJ261" s="72">
        <v>0</v>
      </c>
      <c r="AK261" s="72"/>
      <c r="AL261" s="72"/>
      <c r="AM261" s="72"/>
    </row>
    <row r="262" spans="1:39" x14ac:dyDescent="0.25">
      <c r="A262" s="37" t="s">
        <v>62</v>
      </c>
      <c r="B262" s="66" t="s">
        <v>1596</v>
      </c>
      <c r="C262" s="47">
        <v>1008</v>
      </c>
      <c r="D262" s="47" t="s">
        <v>217</v>
      </c>
      <c r="E262" s="41">
        <v>10080065</v>
      </c>
      <c r="F262" s="46" t="s">
        <v>242</v>
      </c>
      <c r="G262" s="39" t="s">
        <v>92</v>
      </c>
      <c r="H262" s="48" t="s">
        <v>93</v>
      </c>
      <c r="I262" s="52">
        <v>295.65000000000003</v>
      </c>
      <c r="J262" s="49">
        <v>11541.67</v>
      </c>
      <c r="K262" s="65">
        <v>301.05999999999995</v>
      </c>
      <c r="L262" s="65">
        <v>11799.150000000001</v>
      </c>
      <c r="M262" s="65">
        <v>0.7300000000000002</v>
      </c>
      <c r="N262" s="65">
        <v>28.71</v>
      </c>
      <c r="O262" s="65">
        <v>301.78999999999996</v>
      </c>
      <c r="P262" s="65">
        <v>11827.86</v>
      </c>
      <c r="Q262" s="50">
        <v>11541.67</v>
      </c>
      <c r="R262" s="65">
        <v>0</v>
      </c>
      <c r="S262" s="65">
        <v>28.71</v>
      </c>
      <c r="T262" s="65">
        <v>286.19000000000051</v>
      </c>
      <c r="U262" s="65">
        <v>0</v>
      </c>
      <c r="V262" s="65">
        <v>500</v>
      </c>
      <c r="W262" s="65">
        <v>0</v>
      </c>
      <c r="X262" s="65">
        <v>11013</v>
      </c>
      <c r="Y262" s="65">
        <v>0</v>
      </c>
      <c r="Z262" s="65">
        <v>0</v>
      </c>
      <c r="AA262" s="51">
        <v>0</v>
      </c>
      <c r="AB262" s="102">
        <v>0</v>
      </c>
      <c r="AC262" s="81">
        <f t="shared" si="15"/>
        <v>315.70263923558252</v>
      </c>
      <c r="AD262" s="82">
        <f t="shared" si="16"/>
        <v>42.235714285714288</v>
      </c>
      <c r="AE262" s="218">
        <v>-2.4796238325996197E-2</v>
      </c>
      <c r="AF262">
        <v>2</v>
      </c>
      <c r="AH262" t="str">
        <f t="shared" si="14"/>
        <v>Teghra</v>
      </c>
      <c r="AJ262" s="72">
        <v>500</v>
      </c>
      <c r="AK262" s="72"/>
      <c r="AL262" s="72"/>
      <c r="AM262" s="72"/>
    </row>
    <row r="263" spans="1:39" x14ac:dyDescent="0.25">
      <c r="A263" s="37" t="s">
        <v>62</v>
      </c>
      <c r="B263" s="66" t="s">
        <v>1596</v>
      </c>
      <c r="C263" s="47">
        <v>1008</v>
      </c>
      <c r="D263" s="47" t="s">
        <v>217</v>
      </c>
      <c r="E263" s="41">
        <v>10080067</v>
      </c>
      <c r="F263" s="46" t="s">
        <v>243</v>
      </c>
      <c r="G263" s="39" t="s">
        <v>92</v>
      </c>
      <c r="H263" s="48" t="s">
        <v>93</v>
      </c>
      <c r="I263" s="52">
        <v>93.149999999999991</v>
      </c>
      <c r="J263" s="49">
        <v>4225.1200000000008</v>
      </c>
      <c r="K263" s="65">
        <v>88.17</v>
      </c>
      <c r="L263" s="65">
        <v>3895.71</v>
      </c>
      <c r="M263" s="65">
        <v>0</v>
      </c>
      <c r="N263" s="65">
        <v>0</v>
      </c>
      <c r="O263" s="65">
        <v>88.17</v>
      </c>
      <c r="P263" s="65">
        <v>3895.71</v>
      </c>
      <c r="Q263" s="50">
        <v>3895.71</v>
      </c>
      <c r="R263" s="65">
        <v>0</v>
      </c>
      <c r="S263" s="65">
        <v>0</v>
      </c>
      <c r="T263" s="65">
        <v>0</v>
      </c>
      <c r="U263" s="65">
        <v>0</v>
      </c>
      <c r="V263" s="65">
        <v>500</v>
      </c>
      <c r="W263" s="65">
        <v>0</v>
      </c>
      <c r="X263" s="65">
        <v>3396</v>
      </c>
      <c r="Y263" s="65">
        <v>0</v>
      </c>
      <c r="Z263" s="65">
        <v>0</v>
      </c>
      <c r="AA263" s="51">
        <v>329</v>
      </c>
      <c r="AB263" s="102" t="s">
        <v>1598</v>
      </c>
      <c r="AC263" s="81">
        <f t="shared" si="15"/>
        <v>550.51295158346772</v>
      </c>
      <c r="AD263" s="82">
        <f t="shared" si="16"/>
        <v>13.307142857142855</v>
      </c>
      <c r="AE263" s="218">
        <v>7.7964649524747395E-2</v>
      </c>
      <c r="AF263">
        <v>3</v>
      </c>
      <c r="AH263" t="str">
        <f t="shared" si="14"/>
        <v>Teghra</v>
      </c>
      <c r="AJ263" s="72">
        <v>500</v>
      </c>
      <c r="AK263" s="72"/>
      <c r="AL263" s="72"/>
      <c r="AM263" s="72"/>
    </row>
    <row r="264" spans="1:39" x14ac:dyDescent="0.25">
      <c r="A264" s="37" t="s">
        <v>62</v>
      </c>
      <c r="B264" s="66" t="s">
        <v>1596</v>
      </c>
      <c r="C264" s="47">
        <v>1008</v>
      </c>
      <c r="D264" s="47" t="s">
        <v>217</v>
      </c>
      <c r="E264" s="41">
        <v>10080073</v>
      </c>
      <c r="F264" s="46" t="s">
        <v>1523</v>
      </c>
      <c r="G264" s="39" t="s">
        <v>617</v>
      </c>
      <c r="H264" s="48" t="s">
        <v>98</v>
      </c>
      <c r="I264" s="52">
        <v>1224.0000000000002</v>
      </c>
      <c r="J264" s="49">
        <v>48036.009999999995</v>
      </c>
      <c r="K264" s="65">
        <v>0</v>
      </c>
      <c r="L264" s="65">
        <v>0</v>
      </c>
      <c r="M264" s="65">
        <v>0</v>
      </c>
      <c r="N264" s="65">
        <v>0</v>
      </c>
      <c r="O264" s="65">
        <v>0</v>
      </c>
      <c r="P264" s="65">
        <v>0</v>
      </c>
      <c r="Q264" s="50">
        <v>48036.009999999995</v>
      </c>
      <c r="R264" s="65">
        <v>0</v>
      </c>
      <c r="S264" s="65">
        <v>0</v>
      </c>
      <c r="T264" s="65">
        <v>0</v>
      </c>
      <c r="U264" s="65">
        <v>0</v>
      </c>
      <c r="V264" s="65">
        <v>0</v>
      </c>
      <c r="W264" s="65">
        <v>0</v>
      </c>
      <c r="X264" s="65">
        <v>0</v>
      </c>
      <c r="Y264" s="65">
        <v>0</v>
      </c>
      <c r="Z264" s="65">
        <v>48036.009999999995</v>
      </c>
      <c r="AA264" s="51">
        <v>0</v>
      </c>
      <c r="AB264" s="102">
        <v>0</v>
      </c>
      <c r="AC264" s="81">
        <f t="shared" si="15"/>
        <v>0</v>
      </c>
      <c r="AD264" s="82">
        <f t="shared" si="16"/>
        <v>0</v>
      </c>
      <c r="AE264" s="218">
        <v>0</v>
      </c>
      <c r="AF264">
        <v>0</v>
      </c>
      <c r="AH264" t="str">
        <f t="shared" si="14"/>
        <v>Teghra</v>
      </c>
      <c r="AJ264" s="72">
        <v>0</v>
      </c>
      <c r="AK264" s="72"/>
      <c r="AL264" s="72"/>
      <c r="AM264" s="72"/>
    </row>
    <row r="265" spans="1:39" x14ac:dyDescent="0.25">
      <c r="A265" s="37" t="s">
        <v>62</v>
      </c>
      <c r="B265" s="66" t="s">
        <v>1596</v>
      </c>
      <c r="C265" s="47">
        <v>1008</v>
      </c>
      <c r="D265" s="47" t="s">
        <v>217</v>
      </c>
      <c r="E265" s="41">
        <v>10080076</v>
      </c>
      <c r="F265" s="46" t="s">
        <v>461</v>
      </c>
      <c r="G265" s="39" t="s">
        <v>617</v>
      </c>
      <c r="H265" s="48" t="s">
        <v>98</v>
      </c>
      <c r="I265" s="52">
        <v>331.84999999999997</v>
      </c>
      <c r="J265" s="49">
        <v>12610.12</v>
      </c>
      <c r="K265" s="65">
        <v>0</v>
      </c>
      <c r="L265" s="65">
        <v>0</v>
      </c>
      <c r="M265" s="65">
        <v>0</v>
      </c>
      <c r="N265" s="65">
        <v>0</v>
      </c>
      <c r="O265" s="65">
        <v>0</v>
      </c>
      <c r="P265" s="65">
        <v>0</v>
      </c>
      <c r="Q265" s="50">
        <v>12610.12</v>
      </c>
      <c r="R265" s="65">
        <v>0</v>
      </c>
      <c r="S265" s="65">
        <v>0</v>
      </c>
      <c r="T265" s="65">
        <v>0</v>
      </c>
      <c r="U265" s="65">
        <v>0</v>
      </c>
      <c r="V265" s="65">
        <v>0</v>
      </c>
      <c r="W265" s="65">
        <v>0</v>
      </c>
      <c r="X265" s="65">
        <v>0</v>
      </c>
      <c r="Y265" s="65">
        <v>0</v>
      </c>
      <c r="Z265" s="65">
        <v>12610.12</v>
      </c>
      <c r="AA265" s="51">
        <v>0</v>
      </c>
      <c r="AB265" s="102">
        <v>0</v>
      </c>
      <c r="AC265" s="81">
        <f t="shared" si="15"/>
        <v>279.790006207624</v>
      </c>
      <c r="AD265" s="82">
        <f t="shared" si="16"/>
        <v>47.407142857142851</v>
      </c>
      <c r="AE265" s="218">
        <v>0</v>
      </c>
      <c r="AF265">
        <v>0</v>
      </c>
      <c r="AH265" t="str">
        <f t="shared" si="14"/>
        <v>Teghra</v>
      </c>
      <c r="AJ265" s="72">
        <v>0</v>
      </c>
      <c r="AK265" s="72"/>
      <c r="AL265" s="72"/>
      <c r="AM265" s="72"/>
    </row>
    <row r="266" spans="1:39" x14ac:dyDescent="0.25">
      <c r="A266" s="37" t="s">
        <v>62</v>
      </c>
      <c r="B266" s="66" t="s">
        <v>1596</v>
      </c>
      <c r="C266" s="47">
        <v>1008</v>
      </c>
      <c r="D266" s="47" t="s">
        <v>217</v>
      </c>
      <c r="E266" s="41">
        <v>10080077</v>
      </c>
      <c r="F266" s="46" t="s">
        <v>463</v>
      </c>
      <c r="G266" s="39" t="s">
        <v>92</v>
      </c>
      <c r="H266" s="48" t="s">
        <v>93</v>
      </c>
      <c r="I266" s="52">
        <v>404.7</v>
      </c>
      <c r="J266" s="49">
        <v>15085.289999999999</v>
      </c>
      <c r="K266" s="65">
        <v>420.12999999999994</v>
      </c>
      <c r="L266" s="65">
        <v>14811.52</v>
      </c>
      <c r="M266" s="65">
        <v>1.18</v>
      </c>
      <c r="N266" s="65">
        <v>43.730000000000004</v>
      </c>
      <c r="O266" s="65">
        <v>421.30999999999995</v>
      </c>
      <c r="P266" s="65">
        <v>14855.25</v>
      </c>
      <c r="Q266" s="50">
        <v>14855.25</v>
      </c>
      <c r="R266" s="65">
        <v>0</v>
      </c>
      <c r="S266" s="65">
        <v>43.730000000000004</v>
      </c>
      <c r="T266" s="65">
        <v>0</v>
      </c>
      <c r="U266" s="65">
        <v>0</v>
      </c>
      <c r="V266" s="65">
        <v>0</v>
      </c>
      <c r="W266" s="65">
        <v>0</v>
      </c>
      <c r="X266" s="65">
        <v>14812</v>
      </c>
      <c r="Y266" s="65">
        <v>0</v>
      </c>
      <c r="Z266" s="65">
        <v>0</v>
      </c>
      <c r="AA266" s="51">
        <v>230</v>
      </c>
      <c r="AB266" s="102">
        <v>0</v>
      </c>
      <c r="AC266" s="81">
        <f t="shared" si="15"/>
        <v>220.14757286879168</v>
      </c>
      <c r="AD266" s="82">
        <f t="shared" si="16"/>
        <v>57.81428571428571</v>
      </c>
      <c r="AE266" s="218">
        <v>1.5249292522715776E-2</v>
      </c>
      <c r="AF266">
        <v>6</v>
      </c>
      <c r="AH266" t="str">
        <f t="shared" si="14"/>
        <v>Teghra</v>
      </c>
      <c r="AJ266" s="72">
        <v>0</v>
      </c>
      <c r="AK266" s="72"/>
      <c r="AL266" s="72"/>
      <c r="AM266" s="72"/>
    </row>
    <row r="267" spans="1:39" x14ac:dyDescent="0.25">
      <c r="A267" s="37" t="s">
        <v>62</v>
      </c>
      <c r="B267" s="66" t="s">
        <v>1596</v>
      </c>
      <c r="C267" s="47">
        <v>1008</v>
      </c>
      <c r="D267" s="47" t="s">
        <v>217</v>
      </c>
      <c r="E267" s="41">
        <v>10080078</v>
      </c>
      <c r="F267" s="46" t="s">
        <v>601</v>
      </c>
      <c r="G267" s="39" t="s">
        <v>617</v>
      </c>
      <c r="H267" s="48" t="s">
        <v>98</v>
      </c>
      <c r="I267" s="52">
        <v>39.65</v>
      </c>
      <c r="J267" s="49">
        <v>1517.53</v>
      </c>
      <c r="K267" s="65">
        <v>0</v>
      </c>
      <c r="L267" s="65">
        <v>0</v>
      </c>
      <c r="M267" s="65">
        <v>0</v>
      </c>
      <c r="N267" s="65">
        <v>0</v>
      </c>
      <c r="O267" s="65">
        <v>0</v>
      </c>
      <c r="P267" s="65">
        <v>0</v>
      </c>
      <c r="Q267" s="50">
        <v>1517.53</v>
      </c>
      <c r="R267" s="65">
        <v>0</v>
      </c>
      <c r="S267" s="65">
        <v>0</v>
      </c>
      <c r="T267" s="65">
        <v>0</v>
      </c>
      <c r="U267" s="65">
        <v>0</v>
      </c>
      <c r="V267" s="65">
        <v>0</v>
      </c>
      <c r="W267" s="65">
        <v>0</v>
      </c>
      <c r="X267" s="65">
        <v>0</v>
      </c>
      <c r="Y267" s="65">
        <v>0</v>
      </c>
      <c r="Z267" s="65">
        <v>1517.53</v>
      </c>
      <c r="AA267" s="51">
        <v>0</v>
      </c>
      <c r="AB267" s="102">
        <v>0</v>
      </c>
      <c r="AC267" s="81">
        <f t="shared" si="15"/>
        <v>505.47335964691047</v>
      </c>
      <c r="AD267" s="82">
        <f t="shared" si="16"/>
        <v>5.6642857142857137</v>
      </c>
      <c r="AE267" s="218">
        <v>0</v>
      </c>
      <c r="AF267">
        <v>0</v>
      </c>
      <c r="AH267" t="str">
        <f t="shared" si="14"/>
        <v>Teghra</v>
      </c>
      <c r="AJ267" s="72">
        <v>0</v>
      </c>
      <c r="AK267" s="72"/>
      <c r="AL267" s="72"/>
      <c r="AM267" s="72"/>
    </row>
    <row r="268" spans="1:39" x14ac:dyDescent="0.25">
      <c r="A268" s="37" t="s">
        <v>62</v>
      </c>
      <c r="B268" s="66" t="s">
        <v>1596</v>
      </c>
      <c r="C268" s="47">
        <v>1008</v>
      </c>
      <c r="D268" s="47" t="s">
        <v>217</v>
      </c>
      <c r="E268" s="41">
        <v>10080079</v>
      </c>
      <c r="F268" s="46" t="s">
        <v>474</v>
      </c>
      <c r="G268" s="39" t="s">
        <v>92</v>
      </c>
      <c r="H268" s="48" t="s">
        <v>93</v>
      </c>
      <c r="I268" s="52">
        <v>89.75</v>
      </c>
      <c r="J268" s="49">
        <v>3704.17</v>
      </c>
      <c r="K268" s="65">
        <v>106.1</v>
      </c>
      <c r="L268" s="65">
        <v>4351.16</v>
      </c>
      <c r="M268" s="65">
        <v>0</v>
      </c>
      <c r="N268" s="65">
        <v>0</v>
      </c>
      <c r="O268" s="65">
        <v>106.1</v>
      </c>
      <c r="P268" s="65">
        <v>4351.16</v>
      </c>
      <c r="Q268" s="50">
        <v>3704.17</v>
      </c>
      <c r="R268" s="65">
        <v>0</v>
      </c>
      <c r="S268" s="65">
        <v>0</v>
      </c>
      <c r="T268" s="65">
        <v>646.98999999999978</v>
      </c>
      <c r="U268" s="65">
        <v>0</v>
      </c>
      <c r="V268" s="65">
        <v>500</v>
      </c>
      <c r="W268" s="65">
        <v>0</v>
      </c>
      <c r="X268" s="65">
        <v>3204</v>
      </c>
      <c r="Y268" s="65">
        <v>0</v>
      </c>
      <c r="Z268" s="65">
        <v>0</v>
      </c>
      <c r="AA268" s="51">
        <v>0</v>
      </c>
      <c r="AB268" s="102">
        <v>0</v>
      </c>
      <c r="AC268" s="81">
        <f t="shared" si="15"/>
        <v>503.72584791086354</v>
      </c>
      <c r="AD268" s="82">
        <f t="shared" si="16"/>
        <v>12.821428571428571</v>
      </c>
      <c r="AE268" s="218">
        <v>-0.17466530963751659</v>
      </c>
      <c r="AF268">
        <v>1</v>
      </c>
      <c r="AH268" t="str">
        <f t="shared" si="14"/>
        <v>Teghra</v>
      </c>
      <c r="AJ268" s="72">
        <v>500</v>
      </c>
      <c r="AK268" s="72"/>
      <c r="AL268" s="72"/>
      <c r="AM268" s="72"/>
    </row>
    <row r="269" spans="1:39" x14ac:dyDescent="0.25">
      <c r="A269" s="37" t="s">
        <v>62</v>
      </c>
      <c r="B269" s="66" t="s">
        <v>1596</v>
      </c>
      <c r="C269" s="47">
        <v>1008</v>
      </c>
      <c r="D269" s="47" t="s">
        <v>217</v>
      </c>
      <c r="E269" s="41">
        <v>10080080</v>
      </c>
      <c r="F269" s="46" t="s">
        <v>485</v>
      </c>
      <c r="G269" s="39" t="s">
        <v>617</v>
      </c>
      <c r="H269" s="48" t="s">
        <v>98</v>
      </c>
      <c r="I269" s="52">
        <v>365.59999999999991</v>
      </c>
      <c r="J269" s="49">
        <v>13836.350000000002</v>
      </c>
      <c r="K269" s="65">
        <v>0</v>
      </c>
      <c r="L269" s="65">
        <v>0</v>
      </c>
      <c r="M269" s="65">
        <v>0</v>
      </c>
      <c r="N269" s="65">
        <v>0</v>
      </c>
      <c r="O269" s="65">
        <v>0</v>
      </c>
      <c r="P269" s="65">
        <v>0</v>
      </c>
      <c r="Q269" s="50">
        <v>13836.350000000002</v>
      </c>
      <c r="R269" s="65">
        <v>0</v>
      </c>
      <c r="S269" s="65">
        <v>0</v>
      </c>
      <c r="T269" s="65">
        <v>0</v>
      </c>
      <c r="U269" s="65">
        <v>0</v>
      </c>
      <c r="V269" s="65">
        <v>0</v>
      </c>
      <c r="W269" s="65">
        <v>0</v>
      </c>
      <c r="X269" s="65">
        <v>0</v>
      </c>
      <c r="Y269" s="65">
        <v>0</v>
      </c>
      <c r="Z269" s="65">
        <v>13836.350000000002</v>
      </c>
      <c r="AA269" s="51">
        <v>0</v>
      </c>
      <c r="AB269" s="102">
        <v>0</v>
      </c>
      <c r="AC269" s="81">
        <f t="shared" si="15"/>
        <v>253.11134792122553</v>
      </c>
      <c r="AD269" s="82">
        <f t="shared" si="16"/>
        <v>52.228571428571414</v>
      </c>
      <c r="AE269" s="218">
        <v>0</v>
      </c>
      <c r="AF269">
        <v>0</v>
      </c>
      <c r="AH269" t="str">
        <f t="shared" si="14"/>
        <v>Teghra</v>
      </c>
      <c r="AJ269" s="72">
        <v>0</v>
      </c>
      <c r="AK269" s="72"/>
      <c r="AL269" s="72"/>
      <c r="AM269" s="72"/>
    </row>
    <row r="270" spans="1:39" x14ac:dyDescent="0.25">
      <c r="A270" s="37" t="s">
        <v>62</v>
      </c>
      <c r="B270" s="66" t="s">
        <v>1596</v>
      </c>
      <c r="C270" s="47">
        <v>1008</v>
      </c>
      <c r="D270" s="47" t="s">
        <v>217</v>
      </c>
      <c r="E270" s="41">
        <v>10080083</v>
      </c>
      <c r="F270" s="46" t="s">
        <v>487</v>
      </c>
      <c r="G270" s="39" t="s">
        <v>617</v>
      </c>
      <c r="H270" s="48" t="s">
        <v>98</v>
      </c>
      <c r="I270" s="52">
        <v>323.89999999999992</v>
      </c>
      <c r="J270" s="49">
        <v>11791.9</v>
      </c>
      <c r="K270" s="65">
        <v>0</v>
      </c>
      <c r="L270" s="65">
        <v>0</v>
      </c>
      <c r="M270" s="65">
        <v>0</v>
      </c>
      <c r="N270" s="65">
        <v>0</v>
      </c>
      <c r="O270" s="65">
        <v>0</v>
      </c>
      <c r="P270" s="65">
        <v>0</v>
      </c>
      <c r="Q270" s="50">
        <v>11791.9</v>
      </c>
      <c r="R270" s="65">
        <v>0</v>
      </c>
      <c r="S270" s="65">
        <v>0</v>
      </c>
      <c r="T270" s="65">
        <v>0</v>
      </c>
      <c r="U270" s="65">
        <v>0</v>
      </c>
      <c r="V270" s="65">
        <v>0</v>
      </c>
      <c r="W270" s="65">
        <v>0</v>
      </c>
      <c r="X270" s="65">
        <v>0</v>
      </c>
      <c r="Y270" s="65">
        <v>0</v>
      </c>
      <c r="Z270" s="65">
        <v>11791.9</v>
      </c>
      <c r="AA270" s="51">
        <v>0</v>
      </c>
      <c r="AB270" s="102">
        <v>0</v>
      </c>
      <c r="AC270" s="81">
        <f t="shared" si="15"/>
        <v>273.84585304106218</v>
      </c>
      <c r="AD270" s="82">
        <f t="shared" si="16"/>
        <v>46.271428571428558</v>
      </c>
      <c r="AE270" s="218">
        <v>0</v>
      </c>
      <c r="AF270">
        <v>0</v>
      </c>
      <c r="AH270" t="str">
        <f t="shared" si="14"/>
        <v>Teghra</v>
      </c>
      <c r="AJ270" s="72">
        <v>0</v>
      </c>
      <c r="AK270" s="72"/>
      <c r="AL270" s="72"/>
      <c r="AM270" s="72"/>
    </row>
    <row r="271" spans="1:39" x14ac:dyDescent="0.25">
      <c r="A271" s="37" t="s">
        <v>62</v>
      </c>
      <c r="B271" s="66" t="s">
        <v>1596</v>
      </c>
      <c r="C271" s="47">
        <v>1008</v>
      </c>
      <c r="D271" s="47" t="s">
        <v>217</v>
      </c>
      <c r="E271" s="41">
        <v>10080086</v>
      </c>
      <c r="F271" s="46" t="s">
        <v>547</v>
      </c>
      <c r="G271" s="39" t="s">
        <v>92</v>
      </c>
      <c r="H271" s="48" t="s">
        <v>93</v>
      </c>
      <c r="I271" s="52">
        <v>93.6</v>
      </c>
      <c r="J271" s="49">
        <v>3798.7200000000003</v>
      </c>
      <c r="K271" s="65">
        <v>93.8</v>
      </c>
      <c r="L271" s="65">
        <v>3806.39</v>
      </c>
      <c r="M271" s="65">
        <v>3.5</v>
      </c>
      <c r="N271" s="65">
        <v>142.99</v>
      </c>
      <c r="O271" s="65">
        <v>97.3</v>
      </c>
      <c r="P271" s="65">
        <v>3949.38</v>
      </c>
      <c r="Q271" s="50">
        <v>3798.7200000000003</v>
      </c>
      <c r="R271" s="65">
        <v>0</v>
      </c>
      <c r="S271" s="65">
        <v>142.99</v>
      </c>
      <c r="T271" s="65">
        <v>150.65999999999985</v>
      </c>
      <c r="U271" s="65">
        <v>0</v>
      </c>
      <c r="V271" s="65">
        <v>500</v>
      </c>
      <c r="W271" s="65">
        <v>0</v>
      </c>
      <c r="X271" s="65">
        <v>3156</v>
      </c>
      <c r="Y271" s="65">
        <v>0</v>
      </c>
      <c r="Z271" s="65">
        <v>0</v>
      </c>
      <c r="AA271" s="51">
        <v>0</v>
      </c>
      <c r="AB271" s="102">
        <v>0</v>
      </c>
      <c r="AC271" s="81">
        <f t="shared" si="15"/>
        <v>492.21021538461554</v>
      </c>
      <c r="AD271" s="82">
        <f t="shared" si="16"/>
        <v>13.37142857142857</v>
      </c>
      <c r="AE271" s="218">
        <v>-3.9660727824109135E-2</v>
      </c>
      <c r="AF271">
        <v>2</v>
      </c>
      <c r="AH271" t="str">
        <f t="shared" si="14"/>
        <v>Teghra</v>
      </c>
      <c r="AJ271" s="72">
        <v>500</v>
      </c>
      <c r="AK271" s="72"/>
      <c r="AL271" s="72"/>
      <c r="AM271" s="72"/>
    </row>
    <row r="272" spans="1:39" x14ac:dyDescent="0.25">
      <c r="A272" s="37" t="s">
        <v>62</v>
      </c>
      <c r="B272" s="66" t="s">
        <v>1596</v>
      </c>
      <c r="C272" s="47">
        <v>1008</v>
      </c>
      <c r="D272" s="47" t="s">
        <v>217</v>
      </c>
      <c r="E272" s="41">
        <v>10080087</v>
      </c>
      <c r="F272" s="46" t="s">
        <v>568</v>
      </c>
      <c r="G272" s="39" t="s">
        <v>92</v>
      </c>
      <c r="H272" s="48" t="s">
        <v>93</v>
      </c>
      <c r="I272" s="52">
        <v>671</v>
      </c>
      <c r="J272" s="49">
        <v>26963.56</v>
      </c>
      <c r="K272" s="65">
        <v>680.19</v>
      </c>
      <c r="L272" s="65">
        <v>27137.539999999997</v>
      </c>
      <c r="M272" s="65">
        <v>0.76000000000000023</v>
      </c>
      <c r="N272" s="65">
        <v>30.42</v>
      </c>
      <c r="O272" s="65">
        <v>680.95</v>
      </c>
      <c r="P272" s="65">
        <v>27167.959999999995</v>
      </c>
      <c r="Q272" s="50">
        <v>26963.56</v>
      </c>
      <c r="R272" s="65">
        <v>0</v>
      </c>
      <c r="S272" s="65">
        <v>30.42</v>
      </c>
      <c r="T272" s="65">
        <v>204.39999999999418</v>
      </c>
      <c r="U272" s="65">
        <v>0</v>
      </c>
      <c r="V272" s="65">
        <v>0</v>
      </c>
      <c r="W272" s="65">
        <v>0</v>
      </c>
      <c r="X272" s="65">
        <v>26933</v>
      </c>
      <c r="Y272" s="65">
        <v>0</v>
      </c>
      <c r="Z272" s="65">
        <v>0</v>
      </c>
      <c r="AA272" s="51">
        <v>0</v>
      </c>
      <c r="AB272" s="102">
        <v>0</v>
      </c>
      <c r="AC272" s="81">
        <f t="shared" si="15"/>
        <v>23.306802980625914</v>
      </c>
      <c r="AD272" s="82">
        <f t="shared" si="16"/>
        <v>95.857142857142861</v>
      </c>
      <c r="AE272" s="218">
        <v>-7.5806013745957201E-3</v>
      </c>
      <c r="AF272">
        <v>3</v>
      </c>
      <c r="AH272" t="str">
        <f t="shared" si="14"/>
        <v>Teghra</v>
      </c>
      <c r="AJ272" s="72">
        <v>0</v>
      </c>
      <c r="AK272" s="72"/>
      <c r="AL272" s="72"/>
      <c r="AM272" s="72"/>
    </row>
    <row r="273" spans="1:39" x14ac:dyDescent="0.25">
      <c r="A273" s="37" t="s">
        <v>62</v>
      </c>
      <c r="B273" s="66" t="s">
        <v>1596</v>
      </c>
      <c r="C273" s="47">
        <v>1008</v>
      </c>
      <c r="D273" s="47" t="s">
        <v>217</v>
      </c>
      <c r="E273" s="41">
        <v>10080088</v>
      </c>
      <c r="F273" s="46" t="s">
        <v>569</v>
      </c>
      <c r="G273" s="39" t="s">
        <v>92</v>
      </c>
      <c r="H273" s="48" t="s">
        <v>93</v>
      </c>
      <c r="I273" s="52">
        <v>886</v>
      </c>
      <c r="J273" s="49">
        <v>31067.619999999995</v>
      </c>
      <c r="K273" s="65">
        <v>891.9</v>
      </c>
      <c r="L273" s="65">
        <v>30235.93</v>
      </c>
      <c r="M273" s="65">
        <v>2</v>
      </c>
      <c r="N273" s="65">
        <v>69.820000000000007</v>
      </c>
      <c r="O273" s="65">
        <v>893.9</v>
      </c>
      <c r="P273" s="65">
        <v>30305.75</v>
      </c>
      <c r="Q273" s="50">
        <v>30305.75</v>
      </c>
      <c r="R273" s="65">
        <v>0</v>
      </c>
      <c r="S273" s="65">
        <v>69.820000000000007</v>
      </c>
      <c r="T273" s="65">
        <v>0</v>
      </c>
      <c r="U273" s="65">
        <v>0</v>
      </c>
      <c r="V273" s="65">
        <v>0</v>
      </c>
      <c r="W273" s="65">
        <v>0</v>
      </c>
      <c r="X273" s="65">
        <v>30235</v>
      </c>
      <c r="Y273" s="65">
        <v>0</v>
      </c>
      <c r="Z273" s="65">
        <v>0</v>
      </c>
      <c r="AA273" s="51">
        <v>763</v>
      </c>
      <c r="AB273" s="102">
        <v>0</v>
      </c>
      <c r="AC273" s="81">
        <f t="shared" si="15"/>
        <v>0</v>
      </c>
      <c r="AD273" s="82">
        <f t="shared" si="16"/>
        <v>0</v>
      </c>
      <c r="AE273" s="218">
        <v>2.452295991775345E-2</v>
      </c>
      <c r="AF273">
        <v>7</v>
      </c>
      <c r="AH273" t="str">
        <f t="shared" si="14"/>
        <v>Teghra</v>
      </c>
      <c r="AJ273" s="72">
        <v>0</v>
      </c>
      <c r="AK273" s="72"/>
      <c r="AL273" s="72"/>
      <c r="AM273" s="72"/>
    </row>
    <row r="274" spans="1:39" x14ac:dyDescent="0.25">
      <c r="A274" s="37" t="s">
        <v>62</v>
      </c>
      <c r="B274" s="66" t="s">
        <v>1596</v>
      </c>
      <c r="C274" s="47">
        <v>1008</v>
      </c>
      <c r="D274" s="47" t="s">
        <v>217</v>
      </c>
      <c r="E274" s="41">
        <v>10080090</v>
      </c>
      <c r="F274" s="46" t="s">
        <v>630</v>
      </c>
      <c r="G274" s="39" t="s">
        <v>617</v>
      </c>
      <c r="H274" s="48" t="s">
        <v>98</v>
      </c>
      <c r="I274" s="52">
        <v>122.64999999999998</v>
      </c>
      <c r="J274" s="49">
        <v>4595.46</v>
      </c>
      <c r="K274" s="65">
        <v>0</v>
      </c>
      <c r="L274" s="65">
        <v>0</v>
      </c>
      <c r="M274" s="65">
        <v>0</v>
      </c>
      <c r="N274" s="65">
        <v>0</v>
      </c>
      <c r="O274" s="65">
        <v>0</v>
      </c>
      <c r="P274" s="65">
        <v>0</v>
      </c>
      <c r="Q274" s="50">
        <v>4595.46</v>
      </c>
      <c r="R274" s="65">
        <v>0</v>
      </c>
      <c r="S274" s="65">
        <v>0</v>
      </c>
      <c r="T274" s="65">
        <v>0</v>
      </c>
      <c r="U274" s="65">
        <v>0</v>
      </c>
      <c r="V274" s="65">
        <v>0</v>
      </c>
      <c r="W274" s="65">
        <v>0</v>
      </c>
      <c r="X274" s="65">
        <v>0</v>
      </c>
      <c r="Y274" s="65">
        <v>0</v>
      </c>
      <c r="Z274" s="65">
        <v>4595.46</v>
      </c>
      <c r="AA274" s="51">
        <v>0</v>
      </c>
      <c r="AB274" s="102">
        <v>0</v>
      </c>
      <c r="AC274" s="81">
        <f t="shared" si="15"/>
        <v>432.64391863024872</v>
      </c>
      <c r="AD274" s="82">
        <f t="shared" si="16"/>
        <v>17.521428571428569</v>
      </c>
      <c r="AE274" s="218">
        <v>0</v>
      </c>
      <c r="AF274">
        <v>0</v>
      </c>
      <c r="AH274" t="str">
        <f t="shared" si="14"/>
        <v>Teghra</v>
      </c>
      <c r="AJ274" s="72">
        <v>0</v>
      </c>
      <c r="AK274" s="72"/>
      <c r="AL274" s="72"/>
      <c r="AM274" s="72"/>
    </row>
    <row r="275" spans="1:39" x14ac:dyDescent="0.25">
      <c r="A275" s="37" t="s">
        <v>62</v>
      </c>
      <c r="B275" s="66" t="s">
        <v>1596</v>
      </c>
      <c r="C275" s="47">
        <v>1008</v>
      </c>
      <c r="D275" s="47" t="s">
        <v>217</v>
      </c>
      <c r="E275" s="41">
        <v>10080093</v>
      </c>
      <c r="F275" s="46" t="s">
        <v>806</v>
      </c>
      <c r="G275" s="39" t="s">
        <v>92</v>
      </c>
      <c r="H275" s="48" t="s">
        <v>93</v>
      </c>
      <c r="I275" s="52">
        <v>382.2</v>
      </c>
      <c r="J275" s="49">
        <v>13734.460000000003</v>
      </c>
      <c r="K275" s="65">
        <v>381.7</v>
      </c>
      <c r="L275" s="65">
        <v>13374.77</v>
      </c>
      <c r="M275" s="65">
        <v>0</v>
      </c>
      <c r="N275" s="65">
        <v>0</v>
      </c>
      <c r="O275" s="65">
        <v>381.7</v>
      </c>
      <c r="P275" s="65">
        <v>13374.77</v>
      </c>
      <c r="Q275" s="50">
        <v>13374.77</v>
      </c>
      <c r="R275" s="65">
        <v>0</v>
      </c>
      <c r="S275" s="65">
        <v>0</v>
      </c>
      <c r="T275" s="65">
        <v>0</v>
      </c>
      <c r="U275" s="65">
        <v>0</v>
      </c>
      <c r="V275" s="65">
        <v>0</v>
      </c>
      <c r="W275" s="65">
        <v>0</v>
      </c>
      <c r="X275" s="65">
        <v>13375</v>
      </c>
      <c r="Y275" s="65">
        <v>0</v>
      </c>
      <c r="Z275" s="65">
        <v>0</v>
      </c>
      <c r="AA275" s="51">
        <v>359</v>
      </c>
      <c r="AB275" s="102">
        <v>0</v>
      </c>
      <c r="AC275" s="81">
        <f t="shared" si="15"/>
        <v>228.40457289377298</v>
      </c>
      <c r="AD275" s="82">
        <f t="shared" si="16"/>
        <v>54.6</v>
      </c>
      <c r="AE275" s="218">
        <v>2.6188870913017494E-2</v>
      </c>
      <c r="AF275">
        <v>1</v>
      </c>
      <c r="AH275" t="str">
        <f t="shared" si="14"/>
        <v>Teghra</v>
      </c>
      <c r="AJ275" s="72">
        <v>0</v>
      </c>
      <c r="AK275" s="72"/>
      <c r="AL275" s="72"/>
      <c r="AM275" s="72"/>
    </row>
    <row r="276" spans="1:39" x14ac:dyDescent="0.25">
      <c r="A276" s="37" t="s">
        <v>62</v>
      </c>
      <c r="B276" s="66" t="s">
        <v>1596</v>
      </c>
      <c r="C276" s="47">
        <v>1008</v>
      </c>
      <c r="D276" s="47" t="s">
        <v>217</v>
      </c>
      <c r="E276" s="41">
        <v>10080095</v>
      </c>
      <c r="F276" s="46" t="s">
        <v>681</v>
      </c>
      <c r="G276" s="39" t="s">
        <v>92</v>
      </c>
      <c r="H276" s="48" t="s">
        <v>93</v>
      </c>
      <c r="I276" s="52">
        <v>20.399999999999999</v>
      </c>
      <c r="J276" s="49">
        <v>724.95</v>
      </c>
      <c r="K276" s="65">
        <v>20</v>
      </c>
      <c r="L276" s="65">
        <v>695.6</v>
      </c>
      <c r="M276" s="65">
        <v>0</v>
      </c>
      <c r="N276" s="65">
        <v>0</v>
      </c>
      <c r="O276" s="65">
        <v>20</v>
      </c>
      <c r="P276" s="65">
        <v>695.6</v>
      </c>
      <c r="Q276" s="50">
        <v>695.6</v>
      </c>
      <c r="R276" s="65">
        <v>0</v>
      </c>
      <c r="S276" s="65">
        <v>0</v>
      </c>
      <c r="T276" s="65">
        <v>0</v>
      </c>
      <c r="U276" s="65">
        <v>0</v>
      </c>
      <c r="V276" s="65">
        <v>500</v>
      </c>
      <c r="W276" s="65">
        <v>0</v>
      </c>
      <c r="X276" s="65">
        <v>196</v>
      </c>
      <c r="Y276" s="65">
        <v>0</v>
      </c>
      <c r="Z276" s="65">
        <v>0</v>
      </c>
      <c r="AA276" s="51">
        <v>29</v>
      </c>
      <c r="AB276" s="102" t="s">
        <v>1598</v>
      </c>
      <c r="AC276" s="81">
        <f t="shared" si="15"/>
        <v>483.01570588235302</v>
      </c>
      <c r="AD276" s="82">
        <f t="shared" si="16"/>
        <v>2.9142857142857141</v>
      </c>
      <c r="AE276" s="218">
        <v>4.0485550727636418E-2</v>
      </c>
      <c r="AF276">
        <v>1</v>
      </c>
      <c r="AH276" t="str">
        <f t="shared" si="14"/>
        <v>Teghra</v>
      </c>
      <c r="AJ276" s="72">
        <v>500</v>
      </c>
      <c r="AK276" s="72"/>
      <c r="AL276" s="72"/>
      <c r="AM276" s="72"/>
    </row>
    <row r="277" spans="1:39" x14ac:dyDescent="0.25">
      <c r="A277" s="37" t="s">
        <v>62</v>
      </c>
      <c r="B277" s="66" t="s">
        <v>1596</v>
      </c>
      <c r="C277" s="47">
        <v>1008</v>
      </c>
      <c r="D277" s="47" t="s">
        <v>217</v>
      </c>
      <c r="E277" s="41">
        <v>10080097</v>
      </c>
      <c r="F277" s="46" t="s">
        <v>643</v>
      </c>
      <c r="G277" s="39" t="s">
        <v>617</v>
      </c>
      <c r="H277" s="48" t="s">
        <v>98</v>
      </c>
      <c r="I277" s="52">
        <v>529.35</v>
      </c>
      <c r="J277" s="49">
        <v>21845.93</v>
      </c>
      <c r="K277" s="65">
        <v>0</v>
      </c>
      <c r="L277" s="65">
        <v>0</v>
      </c>
      <c r="M277" s="65">
        <v>0</v>
      </c>
      <c r="N277" s="65">
        <v>0</v>
      </c>
      <c r="O277" s="65">
        <v>0</v>
      </c>
      <c r="P277" s="65">
        <v>0</v>
      </c>
      <c r="Q277" s="50">
        <v>21845.93</v>
      </c>
      <c r="R277" s="65">
        <v>0</v>
      </c>
      <c r="S277" s="65">
        <v>0</v>
      </c>
      <c r="T277" s="65">
        <v>0</v>
      </c>
      <c r="U277" s="65">
        <v>0</v>
      </c>
      <c r="V277" s="65">
        <v>0</v>
      </c>
      <c r="W277" s="65">
        <v>0</v>
      </c>
      <c r="X277" s="65">
        <v>0</v>
      </c>
      <c r="Y277" s="65">
        <v>0</v>
      </c>
      <c r="Z277" s="65">
        <v>21845.93</v>
      </c>
      <c r="AA277" s="51">
        <v>0</v>
      </c>
      <c r="AB277" s="102">
        <v>0</v>
      </c>
      <c r="AC277" s="81">
        <f t="shared" si="15"/>
        <v>140.85228882591852</v>
      </c>
      <c r="AD277" s="82">
        <f t="shared" si="16"/>
        <v>75.621428571428581</v>
      </c>
      <c r="AE277" s="218">
        <v>0</v>
      </c>
      <c r="AF277">
        <v>0</v>
      </c>
      <c r="AH277" t="str">
        <f t="shared" si="14"/>
        <v>Teghra</v>
      </c>
      <c r="AJ277" s="72">
        <v>0</v>
      </c>
      <c r="AK277" s="72"/>
      <c r="AL277" s="72"/>
      <c r="AM277" s="72"/>
    </row>
    <row r="278" spans="1:39" x14ac:dyDescent="0.25">
      <c r="A278" s="37" t="s">
        <v>62</v>
      </c>
      <c r="B278" s="66" t="s">
        <v>1596</v>
      </c>
      <c r="C278" s="47">
        <v>1008</v>
      </c>
      <c r="D278" s="47" t="s">
        <v>217</v>
      </c>
      <c r="E278" s="41">
        <v>10080099</v>
      </c>
      <c r="F278" s="46" t="s">
        <v>807</v>
      </c>
      <c r="G278" s="39" t="s">
        <v>92</v>
      </c>
      <c r="H278" s="48" t="s">
        <v>93</v>
      </c>
      <c r="I278" s="52">
        <v>503.8</v>
      </c>
      <c r="J278" s="49">
        <v>17679.349999999999</v>
      </c>
      <c r="K278" s="65">
        <v>503.69999999999993</v>
      </c>
      <c r="L278" s="65">
        <v>17675.830000000002</v>
      </c>
      <c r="M278" s="65">
        <v>0</v>
      </c>
      <c r="N278" s="65">
        <v>0</v>
      </c>
      <c r="O278" s="65">
        <v>503.69999999999993</v>
      </c>
      <c r="P278" s="65">
        <v>17675.830000000002</v>
      </c>
      <c r="Q278" s="50">
        <v>17675.830000000002</v>
      </c>
      <c r="R278" s="65">
        <v>0</v>
      </c>
      <c r="S278" s="65">
        <v>0</v>
      </c>
      <c r="T278" s="65">
        <v>0</v>
      </c>
      <c r="U278" s="65">
        <v>0</v>
      </c>
      <c r="V278" s="65">
        <v>0</v>
      </c>
      <c r="W278" s="65">
        <v>0</v>
      </c>
      <c r="X278" s="65">
        <v>17676</v>
      </c>
      <c r="Y278" s="65">
        <v>0</v>
      </c>
      <c r="Z278" s="65">
        <v>0</v>
      </c>
      <c r="AA278" s="51">
        <v>3</v>
      </c>
      <c r="AB278" s="102">
        <v>0</v>
      </c>
      <c r="AC278" s="81">
        <f t="shared" si="15"/>
        <v>137.70101111552202</v>
      </c>
      <c r="AD278" s="82">
        <f t="shared" si="16"/>
        <v>71.971428571428575</v>
      </c>
      <c r="AE278" s="218">
        <v>1.9910234256331814E-4</v>
      </c>
      <c r="AF278">
        <v>2</v>
      </c>
      <c r="AH278" t="str">
        <f t="shared" si="14"/>
        <v>Teghra</v>
      </c>
      <c r="AJ278" s="72">
        <v>0</v>
      </c>
      <c r="AK278" s="72"/>
      <c r="AL278" s="72"/>
      <c r="AM278" s="72"/>
    </row>
    <row r="279" spans="1:39" x14ac:dyDescent="0.25">
      <c r="A279" s="37" t="s">
        <v>62</v>
      </c>
      <c r="B279" s="66" t="s">
        <v>1596</v>
      </c>
      <c r="C279" s="47">
        <v>1008</v>
      </c>
      <c r="D279" s="47" t="s">
        <v>217</v>
      </c>
      <c r="E279" s="41">
        <v>10080100</v>
      </c>
      <c r="F279" s="46" t="s">
        <v>1117</v>
      </c>
      <c r="G279" s="39" t="s">
        <v>92</v>
      </c>
      <c r="H279" s="48" t="s">
        <v>93</v>
      </c>
      <c r="I279" s="52">
        <v>393.95</v>
      </c>
      <c r="J279" s="49">
        <v>13679.87</v>
      </c>
      <c r="K279" s="65">
        <v>258.18</v>
      </c>
      <c r="L279" s="65">
        <v>9505.75</v>
      </c>
      <c r="M279" s="65">
        <v>197.84</v>
      </c>
      <c r="N279" s="65">
        <v>7143.16</v>
      </c>
      <c r="O279" s="65">
        <v>456.02</v>
      </c>
      <c r="P279" s="65">
        <v>16648.91</v>
      </c>
      <c r="Q279" s="50">
        <v>13679.87</v>
      </c>
      <c r="R279" s="65">
        <v>0</v>
      </c>
      <c r="S279" s="65">
        <v>0</v>
      </c>
      <c r="T279" s="65">
        <v>2969.0399999999991</v>
      </c>
      <c r="U279" s="65">
        <v>0</v>
      </c>
      <c r="V279" s="65">
        <v>500</v>
      </c>
      <c r="W279" s="65">
        <v>0</v>
      </c>
      <c r="X279" s="65">
        <v>6037</v>
      </c>
      <c r="Y279" s="65">
        <v>7143</v>
      </c>
      <c r="Z279" s="65">
        <v>0</v>
      </c>
      <c r="AA279" s="51">
        <v>0</v>
      </c>
      <c r="AB279" s="102">
        <v>0</v>
      </c>
      <c r="AC279" s="81">
        <f t="shared" si="15"/>
        <v>212.55104523416679</v>
      </c>
      <c r="AD279" s="82">
        <f t="shared" si="16"/>
        <v>56.278571428571425</v>
      </c>
      <c r="AE279" s="218">
        <v>-0.21703715020683667</v>
      </c>
      <c r="AF279">
        <v>2</v>
      </c>
      <c r="AH279" t="str">
        <f t="shared" si="14"/>
        <v>Teghra</v>
      </c>
      <c r="AJ279" s="72">
        <v>500</v>
      </c>
      <c r="AK279" s="72"/>
      <c r="AL279" s="72"/>
      <c r="AM279" s="72"/>
    </row>
    <row r="280" spans="1:39" x14ac:dyDescent="0.25">
      <c r="A280" s="37" t="s">
        <v>62</v>
      </c>
      <c r="B280" s="66" t="s">
        <v>1596</v>
      </c>
      <c r="C280" s="47">
        <v>1008</v>
      </c>
      <c r="D280" s="47" t="s">
        <v>217</v>
      </c>
      <c r="E280" s="41">
        <v>10080107</v>
      </c>
      <c r="F280" s="46" t="s">
        <v>317</v>
      </c>
      <c r="G280" s="39" t="s">
        <v>617</v>
      </c>
      <c r="H280" s="48" t="s">
        <v>98</v>
      </c>
      <c r="I280" s="52">
        <v>710.75</v>
      </c>
      <c r="J280" s="49">
        <v>26712.920000000002</v>
      </c>
      <c r="K280" s="65">
        <v>0</v>
      </c>
      <c r="L280" s="65">
        <v>0</v>
      </c>
      <c r="M280" s="65">
        <v>0</v>
      </c>
      <c r="N280" s="65">
        <v>0</v>
      </c>
      <c r="O280" s="65">
        <v>0</v>
      </c>
      <c r="P280" s="65">
        <v>0</v>
      </c>
      <c r="Q280" s="50">
        <v>26712.920000000002</v>
      </c>
      <c r="R280" s="65">
        <v>0</v>
      </c>
      <c r="S280" s="65">
        <v>0</v>
      </c>
      <c r="T280" s="65">
        <v>0</v>
      </c>
      <c r="U280" s="65">
        <v>0</v>
      </c>
      <c r="V280" s="65">
        <v>0</v>
      </c>
      <c r="W280" s="65">
        <v>0</v>
      </c>
      <c r="X280" s="65">
        <v>0</v>
      </c>
      <c r="Y280" s="65">
        <v>0</v>
      </c>
      <c r="Z280" s="65">
        <v>26712.920000000002</v>
      </c>
      <c r="AA280" s="51">
        <v>0</v>
      </c>
      <c r="AB280" s="102">
        <v>0</v>
      </c>
      <c r="AC280" s="81">
        <f t="shared" si="15"/>
        <v>0</v>
      </c>
      <c r="AD280" s="82">
        <f t="shared" si="16"/>
        <v>0</v>
      </c>
      <c r="AE280" s="218">
        <v>0</v>
      </c>
      <c r="AF280">
        <v>0</v>
      </c>
      <c r="AH280" t="str">
        <f t="shared" si="14"/>
        <v>Teghra</v>
      </c>
      <c r="AJ280" s="72">
        <v>0</v>
      </c>
      <c r="AK280" s="72"/>
      <c r="AL280" s="72"/>
      <c r="AM280" s="72"/>
    </row>
    <row r="281" spans="1:39" x14ac:dyDescent="0.25">
      <c r="A281" s="37" t="s">
        <v>62</v>
      </c>
      <c r="B281" s="66" t="s">
        <v>1596</v>
      </c>
      <c r="C281" s="47">
        <v>1065</v>
      </c>
      <c r="D281" s="47" t="s">
        <v>1407</v>
      </c>
      <c r="E281" s="41">
        <v>10080112</v>
      </c>
      <c r="F281" s="46" t="s">
        <v>1190</v>
      </c>
      <c r="G281" s="39" t="s">
        <v>617</v>
      </c>
      <c r="H281" s="48" t="s">
        <v>98</v>
      </c>
      <c r="I281" s="52">
        <v>1116.8</v>
      </c>
      <c r="J281" s="49">
        <v>45833.270000000004</v>
      </c>
      <c r="K281" s="65">
        <v>0</v>
      </c>
      <c r="L281" s="65">
        <v>0</v>
      </c>
      <c r="M281" s="65">
        <v>0</v>
      </c>
      <c r="N281" s="65">
        <v>0</v>
      </c>
      <c r="O281" s="65">
        <v>0</v>
      </c>
      <c r="P281" s="65">
        <v>0</v>
      </c>
      <c r="Q281" s="50">
        <v>45833.270000000004</v>
      </c>
      <c r="R281" s="65">
        <v>0</v>
      </c>
      <c r="S281" s="65">
        <v>0</v>
      </c>
      <c r="T281" s="65">
        <v>0</v>
      </c>
      <c r="U281" s="65">
        <v>0</v>
      </c>
      <c r="V281" s="65">
        <v>0</v>
      </c>
      <c r="W281" s="65">
        <v>0</v>
      </c>
      <c r="X281" s="65">
        <v>0</v>
      </c>
      <c r="Y281" s="65">
        <v>0</v>
      </c>
      <c r="Z281" s="65">
        <v>45833.270000000004</v>
      </c>
      <c r="AA281" s="51">
        <v>0</v>
      </c>
      <c r="AB281" s="102">
        <v>0</v>
      </c>
      <c r="AC281" s="81">
        <f t="shared" si="15"/>
        <v>0</v>
      </c>
      <c r="AD281" s="82">
        <f t="shared" si="16"/>
        <v>0</v>
      </c>
      <c r="AE281" s="218">
        <v>0</v>
      </c>
      <c r="AF281">
        <v>0</v>
      </c>
      <c r="AH281" t="str">
        <f t="shared" si="14"/>
        <v>Bachhwara BMC</v>
      </c>
      <c r="AJ281" s="72">
        <v>0</v>
      </c>
      <c r="AK281" s="72"/>
      <c r="AL281" s="72"/>
      <c r="AM281" s="72"/>
    </row>
    <row r="282" spans="1:39" x14ac:dyDescent="0.25">
      <c r="A282" s="37" t="s">
        <v>62</v>
      </c>
      <c r="B282" s="66" t="s">
        <v>1596</v>
      </c>
      <c r="C282" s="47">
        <v>1008</v>
      </c>
      <c r="D282" s="47" t="s">
        <v>217</v>
      </c>
      <c r="E282" s="41">
        <v>10080113</v>
      </c>
      <c r="F282" s="46" t="s">
        <v>1191</v>
      </c>
      <c r="G282" s="39" t="s">
        <v>617</v>
      </c>
      <c r="H282" s="48" t="s">
        <v>98</v>
      </c>
      <c r="I282" s="52">
        <v>328.65000000000003</v>
      </c>
      <c r="J282" s="49">
        <v>12087.16</v>
      </c>
      <c r="K282" s="65">
        <v>0</v>
      </c>
      <c r="L282" s="65">
        <v>0</v>
      </c>
      <c r="M282" s="65">
        <v>0</v>
      </c>
      <c r="N282" s="65">
        <v>0</v>
      </c>
      <c r="O282" s="65">
        <v>0</v>
      </c>
      <c r="P282" s="65">
        <v>0</v>
      </c>
      <c r="Q282" s="50">
        <v>12087.16</v>
      </c>
      <c r="R282" s="65">
        <v>0</v>
      </c>
      <c r="S282" s="65">
        <v>0</v>
      </c>
      <c r="T282" s="65">
        <v>0</v>
      </c>
      <c r="U282" s="65">
        <v>0</v>
      </c>
      <c r="V282" s="65">
        <v>0</v>
      </c>
      <c r="W282" s="65">
        <v>0</v>
      </c>
      <c r="X282" s="65">
        <v>0</v>
      </c>
      <c r="Y282" s="65">
        <v>0</v>
      </c>
      <c r="Z282" s="65">
        <v>12087.16</v>
      </c>
      <c r="AA282" s="51">
        <v>0</v>
      </c>
      <c r="AB282" s="102">
        <v>0</v>
      </c>
      <c r="AC282" s="81">
        <f t="shared" si="15"/>
        <v>273.15179467518635</v>
      </c>
      <c r="AD282" s="82">
        <f t="shared" si="16"/>
        <v>46.95</v>
      </c>
      <c r="AE282" s="218">
        <v>0</v>
      </c>
      <c r="AF282">
        <v>0</v>
      </c>
      <c r="AH282" t="str">
        <f t="shared" si="14"/>
        <v>Teghra</v>
      </c>
      <c r="AJ282" s="72">
        <v>0</v>
      </c>
      <c r="AK282" s="72"/>
      <c r="AL282" s="72"/>
      <c r="AM282" s="72"/>
    </row>
    <row r="283" spans="1:39" x14ac:dyDescent="0.25">
      <c r="A283" s="37" t="s">
        <v>62</v>
      </c>
      <c r="B283" s="66" t="s">
        <v>1596</v>
      </c>
      <c r="C283" s="47">
        <v>1008</v>
      </c>
      <c r="D283" s="47" t="s">
        <v>217</v>
      </c>
      <c r="E283" s="41">
        <v>10080115</v>
      </c>
      <c r="F283" s="46" t="s">
        <v>1231</v>
      </c>
      <c r="G283" s="39" t="s">
        <v>92</v>
      </c>
      <c r="H283" s="48" t="s">
        <v>93</v>
      </c>
      <c r="I283" s="52">
        <v>279</v>
      </c>
      <c r="J283" s="49">
        <v>10555.330000000002</v>
      </c>
      <c r="K283" s="65">
        <v>278.7</v>
      </c>
      <c r="L283" s="65">
        <v>10459.61</v>
      </c>
      <c r="M283" s="65">
        <v>0</v>
      </c>
      <c r="N283" s="65">
        <v>0</v>
      </c>
      <c r="O283" s="65">
        <v>278.7</v>
      </c>
      <c r="P283" s="65">
        <v>10459.61</v>
      </c>
      <c r="Q283" s="50">
        <v>10459.61</v>
      </c>
      <c r="R283" s="65">
        <v>0</v>
      </c>
      <c r="S283" s="65">
        <v>0</v>
      </c>
      <c r="T283" s="65">
        <v>0</v>
      </c>
      <c r="U283" s="65">
        <v>0</v>
      </c>
      <c r="V283" s="65">
        <v>0</v>
      </c>
      <c r="W283" s="65">
        <v>0</v>
      </c>
      <c r="X283" s="65">
        <v>10460</v>
      </c>
      <c r="Y283" s="65">
        <v>0</v>
      </c>
      <c r="Z283" s="65">
        <v>0</v>
      </c>
      <c r="AA283" s="51">
        <v>95</v>
      </c>
      <c r="AB283" s="102">
        <v>0</v>
      </c>
      <c r="AC283" s="81">
        <f t="shared" si="15"/>
        <v>318.5515362007169</v>
      </c>
      <c r="AD283" s="82">
        <f t="shared" si="16"/>
        <v>39.857142857142854</v>
      </c>
      <c r="AE283" s="218">
        <v>9.0684043037973366E-3</v>
      </c>
      <c r="AF283">
        <v>1</v>
      </c>
      <c r="AH283" t="str">
        <f t="shared" si="14"/>
        <v>Teghra</v>
      </c>
      <c r="AJ283" s="72">
        <v>0</v>
      </c>
      <c r="AK283" s="72"/>
      <c r="AL283" s="72"/>
      <c r="AM283" s="72"/>
    </row>
    <row r="284" spans="1:39" x14ac:dyDescent="0.25">
      <c r="A284" s="37" t="s">
        <v>62</v>
      </c>
      <c r="B284" s="66" t="s">
        <v>1596</v>
      </c>
      <c r="C284" s="47">
        <v>1008</v>
      </c>
      <c r="D284" s="47" t="s">
        <v>217</v>
      </c>
      <c r="E284" s="41">
        <v>10080119</v>
      </c>
      <c r="F284" s="46" t="s">
        <v>1279</v>
      </c>
      <c r="G284" s="39" t="s">
        <v>92</v>
      </c>
      <c r="H284" s="48" t="s">
        <v>93</v>
      </c>
      <c r="I284" s="52">
        <v>161.75</v>
      </c>
      <c r="J284" s="49">
        <v>5875.91</v>
      </c>
      <c r="K284" s="65">
        <v>161.31</v>
      </c>
      <c r="L284" s="65">
        <v>6277.5900000000011</v>
      </c>
      <c r="M284" s="65">
        <v>0</v>
      </c>
      <c r="N284" s="65">
        <v>0</v>
      </c>
      <c r="O284" s="65">
        <v>161.31</v>
      </c>
      <c r="P284" s="65">
        <v>6277.5900000000011</v>
      </c>
      <c r="Q284" s="50">
        <v>5875.91</v>
      </c>
      <c r="R284" s="65">
        <v>0</v>
      </c>
      <c r="S284" s="65">
        <v>0</v>
      </c>
      <c r="T284" s="65">
        <v>401.6800000000012</v>
      </c>
      <c r="U284" s="65">
        <v>0</v>
      </c>
      <c r="V284" s="65">
        <v>0</v>
      </c>
      <c r="W284" s="65">
        <v>0</v>
      </c>
      <c r="X284" s="65">
        <v>5876</v>
      </c>
      <c r="Y284" s="65">
        <v>0</v>
      </c>
      <c r="Z284" s="65">
        <v>0</v>
      </c>
      <c r="AA284" s="51">
        <v>0</v>
      </c>
      <c r="AB284" s="102">
        <v>0</v>
      </c>
      <c r="AC284" s="81">
        <f t="shared" si="15"/>
        <v>391.06133632148379</v>
      </c>
      <c r="AD284" s="82">
        <f t="shared" si="16"/>
        <v>23.107142857142858</v>
      </c>
      <c r="AE284" s="218">
        <v>-6.8360475228518E-2</v>
      </c>
      <c r="AF284">
        <v>1</v>
      </c>
      <c r="AH284" t="str">
        <f t="shared" si="14"/>
        <v>Teghra</v>
      </c>
      <c r="AJ284" s="72">
        <v>0</v>
      </c>
      <c r="AK284" s="72"/>
      <c r="AL284" s="72"/>
      <c r="AM284" s="72"/>
    </row>
    <row r="285" spans="1:39" x14ac:dyDescent="0.25">
      <c r="A285" s="37" t="s">
        <v>62</v>
      </c>
      <c r="B285" s="66" t="s">
        <v>1596</v>
      </c>
      <c r="C285" s="47">
        <v>1008</v>
      </c>
      <c r="D285" s="47" t="s">
        <v>217</v>
      </c>
      <c r="E285" s="41">
        <v>10080120</v>
      </c>
      <c r="F285" s="46" t="s">
        <v>1336</v>
      </c>
      <c r="G285" s="39" t="s">
        <v>92</v>
      </c>
      <c r="H285" s="48" t="s">
        <v>93</v>
      </c>
      <c r="I285" s="52">
        <v>527.85</v>
      </c>
      <c r="J285" s="49">
        <v>20349.660000000003</v>
      </c>
      <c r="K285" s="65">
        <v>497.86</v>
      </c>
      <c r="L285" s="65">
        <v>19159.090000000004</v>
      </c>
      <c r="M285" s="65">
        <v>31.99</v>
      </c>
      <c r="N285" s="65">
        <v>1169.48</v>
      </c>
      <c r="O285" s="65">
        <v>529.85</v>
      </c>
      <c r="P285" s="65">
        <v>20328.570000000003</v>
      </c>
      <c r="Q285" s="50">
        <v>20328.570000000003</v>
      </c>
      <c r="R285" s="65">
        <v>0</v>
      </c>
      <c r="S285" s="65">
        <v>0</v>
      </c>
      <c r="T285" s="65">
        <v>0</v>
      </c>
      <c r="U285" s="65">
        <v>0</v>
      </c>
      <c r="V285" s="65">
        <v>0</v>
      </c>
      <c r="W285" s="65">
        <v>0</v>
      </c>
      <c r="X285" s="65">
        <v>19160</v>
      </c>
      <c r="Y285" s="65">
        <v>1170</v>
      </c>
      <c r="Z285" s="65">
        <v>0</v>
      </c>
      <c r="AA285" s="51">
        <v>20</v>
      </c>
      <c r="AB285" s="102">
        <v>0</v>
      </c>
      <c r="AC285" s="81">
        <f t="shared" si="15"/>
        <v>132.73444990053994</v>
      </c>
      <c r="AD285" s="82">
        <f t="shared" si="16"/>
        <v>75.407142857142858</v>
      </c>
      <c r="AE285" s="218">
        <v>1.0363809518193494E-3</v>
      </c>
      <c r="AF285">
        <v>12</v>
      </c>
      <c r="AH285" t="str">
        <f t="shared" si="14"/>
        <v>Teghra</v>
      </c>
      <c r="AJ285" s="72">
        <v>0</v>
      </c>
      <c r="AK285" s="72"/>
      <c r="AL285" s="72"/>
      <c r="AM285" s="72"/>
    </row>
    <row r="286" spans="1:39" x14ac:dyDescent="0.25">
      <c r="A286" s="37" t="s">
        <v>62</v>
      </c>
      <c r="B286" s="66" t="s">
        <v>1596</v>
      </c>
      <c r="C286" s="47">
        <v>1008</v>
      </c>
      <c r="D286" s="47" t="s">
        <v>217</v>
      </c>
      <c r="E286" s="41">
        <v>10080122</v>
      </c>
      <c r="F286" s="46" t="s">
        <v>1348</v>
      </c>
      <c r="G286" s="39" t="s">
        <v>92</v>
      </c>
      <c r="H286" s="48" t="s">
        <v>93</v>
      </c>
      <c r="I286" s="52">
        <v>644.75</v>
      </c>
      <c r="J286" s="49">
        <v>24993.21</v>
      </c>
      <c r="K286" s="65">
        <v>644.4</v>
      </c>
      <c r="L286" s="65">
        <v>24979.65</v>
      </c>
      <c r="M286" s="65">
        <v>0</v>
      </c>
      <c r="N286" s="65">
        <v>0</v>
      </c>
      <c r="O286" s="65">
        <v>644.4</v>
      </c>
      <c r="P286" s="65">
        <v>24979.65</v>
      </c>
      <c r="Q286" s="50">
        <v>24979.65</v>
      </c>
      <c r="R286" s="65">
        <v>0</v>
      </c>
      <c r="S286" s="65">
        <v>0</v>
      </c>
      <c r="T286" s="65">
        <v>0</v>
      </c>
      <c r="U286" s="65">
        <v>0</v>
      </c>
      <c r="V286" s="65">
        <v>0</v>
      </c>
      <c r="W286" s="65">
        <v>0</v>
      </c>
      <c r="X286" s="65">
        <v>24980</v>
      </c>
      <c r="Y286" s="65">
        <v>0</v>
      </c>
      <c r="Z286" s="65">
        <v>0</v>
      </c>
      <c r="AA286" s="51">
        <v>13</v>
      </c>
      <c r="AB286" s="102">
        <v>0</v>
      </c>
      <c r="AC286" s="81">
        <f t="shared" si="15"/>
        <v>42.834427374951503</v>
      </c>
      <c r="AD286" s="82">
        <f t="shared" si="16"/>
        <v>92.107142857142861</v>
      </c>
      <c r="AE286" s="218">
        <v>5.4254735586175889E-4</v>
      </c>
      <c r="AF286">
        <v>1</v>
      </c>
      <c r="AH286" t="str">
        <f t="shared" si="14"/>
        <v>Teghra</v>
      </c>
      <c r="AJ286" s="72">
        <v>0</v>
      </c>
      <c r="AK286" s="72"/>
      <c r="AL286" s="72"/>
      <c r="AM286" s="72"/>
    </row>
    <row r="287" spans="1:39" x14ac:dyDescent="0.25">
      <c r="A287" s="37" t="s">
        <v>62</v>
      </c>
      <c r="B287" s="66" t="s">
        <v>1596</v>
      </c>
      <c r="C287" s="47">
        <v>1008</v>
      </c>
      <c r="D287" s="47" t="s">
        <v>217</v>
      </c>
      <c r="E287" s="41">
        <v>10080124</v>
      </c>
      <c r="F287" s="46" t="s">
        <v>1362</v>
      </c>
      <c r="G287" s="39" t="s">
        <v>92</v>
      </c>
      <c r="H287" s="48" t="s">
        <v>93</v>
      </c>
      <c r="I287" s="52">
        <v>273.35000000000002</v>
      </c>
      <c r="J287" s="49">
        <v>10961.41</v>
      </c>
      <c r="K287" s="65">
        <v>273</v>
      </c>
      <c r="L287" s="65">
        <v>10889.97</v>
      </c>
      <c r="M287" s="65">
        <v>0</v>
      </c>
      <c r="N287" s="65">
        <v>0</v>
      </c>
      <c r="O287" s="65">
        <v>273</v>
      </c>
      <c r="P287" s="65">
        <v>10889.97</v>
      </c>
      <c r="Q287" s="50">
        <v>10889.97</v>
      </c>
      <c r="R287" s="65">
        <v>0</v>
      </c>
      <c r="S287" s="65">
        <v>0</v>
      </c>
      <c r="T287" s="65">
        <v>0</v>
      </c>
      <c r="U287" s="65">
        <v>0</v>
      </c>
      <c r="V287" s="65">
        <v>0</v>
      </c>
      <c r="W287" s="65">
        <v>0</v>
      </c>
      <c r="X287" s="65">
        <v>10890</v>
      </c>
      <c r="Y287" s="65">
        <v>0</v>
      </c>
      <c r="Z287" s="65">
        <v>0</v>
      </c>
      <c r="AA287" s="51">
        <v>71</v>
      </c>
      <c r="AB287" s="102">
        <v>0</v>
      </c>
      <c r="AC287" s="81">
        <f t="shared" si="15"/>
        <v>342.17564122919327</v>
      </c>
      <c r="AD287" s="82">
        <f t="shared" si="16"/>
        <v>39.050000000000004</v>
      </c>
      <c r="AE287" s="218">
        <v>6.517409712801593E-3</v>
      </c>
      <c r="AF287">
        <v>1</v>
      </c>
      <c r="AH287" t="str">
        <f t="shared" si="14"/>
        <v>Teghra</v>
      </c>
      <c r="AJ287" s="72">
        <v>0</v>
      </c>
      <c r="AK287" s="72"/>
      <c r="AL287" s="72"/>
      <c r="AM287" s="72"/>
    </row>
    <row r="288" spans="1:39" x14ac:dyDescent="0.25">
      <c r="A288" s="37" t="s">
        <v>62</v>
      </c>
      <c r="B288" s="66" t="s">
        <v>1596</v>
      </c>
      <c r="C288" s="47">
        <v>1008</v>
      </c>
      <c r="D288" s="47" t="s">
        <v>217</v>
      </c>
      <c r="E288" s="41">
        <v>10080126</v>
      </c>
      <c r="F288" s="46" t="s">
        <v>1423</v>
      </c>
      <c r="G288" s="39" t="s">
        <v>92</v>
      </c>
      <c r="H288" s="48" t="s">
        <v>93</v>
      </c>
      <c r="I288" s="52">
        <v>204.85000000000002</v>
      </c>
      <c r="J288" s="49">
        <v>7152.8500000000013</v>
      </c>
      <c r="K288" s="65">
        <v>204.39999999999998</v>
      </c>
      <c r="L288" s="65">
        <v>7137.32</v>
      </c>
      <c r="M288" s="65">
        <v>0</v>
      </c>
      <c r="N288" s="65">
        <v>0</v>
      </c>
      <c r="O288" s="65">
        <v>204.39999999999998</v>
      </c>
      <c r="P288" s="65">
        <v>7137.32</v>
      </c>
      <c r="Q288" s="50">
        <v>7137.32</v>
      </c>
      <c r="R288" s="65">
        <v>0</v>
      </c>
      <c r="S288" s="65">
        <v>0</v>
      </c>
      <c r="T288" s="65">
        <v>0</v>
      </c>
      <c r="U288" s="65">
        <v>0</v>
      </c>
      <c r="V288" s="65">
        <v>0</v>
      </c>
      <c r="W288" s="65">
        <v>0</v>
      </c>
      <c r="X288" s="65">
        <v>7137</v>
      </c>
      <c r="Y288" s="65">
        <v>0</v>
      </c>
      <c r="Z288" s="65">
        <v>0</v>
      </c>
      <c r="AA288" s="51">
        <v>16</v>
      </c>
      <c r="AB288" s="102">
        <v>0</v>
      </c>
      <c r="AC288" s="81">
        <f t="shared" si="15"/>
        <v>345.78800854283617</v>
      </c>
      <c r="AD288" s="82">
        <f t="shared" si="16"/>
        <v>29.264285714285716</v>
      </c>
      <c r="AE288" s="218">
        <v>2.17116254360172E-3</v>
      </c>
      <c r="AF288">
        <v>1</v>
      </c>
      <c r="AH288" t="str">
        <f t="shared" si="14"/>
        <v>Teghra</v>
      </c>
      <c r="AJ288" s="72">
        <v>0</v>
      </c>
      <c r="AK288" s="72"/>
      <c r="AL288" s="72"/>
      <c r="AM288" s="72"/>
    </row>
    <row r="289" spans="1:39" x14ac:dyDescent="0.25">
      <c r="A289" s="37" t="s">
        <v>62</v>
      </c>
      <c r="B289" s="66" t="s">
        <v>1596</v>
      </c>
      <c r="C289" s="47">
        <v>1008</v>
      </c>
      <c r="D289" s="47" t="s">
        <v>217</v>
      </c>
      <c r="E289" s="41">
        <v>10080128</v>
      </c>
      <c r="F289" s="46" t="s">
        <v>1599</v>
      </c>
      <c r="G289" s="39" t="s">
        <v>617</v>
      </c>
      <c r="H289" s="48" t="s">
        <v>98</v>
      </c>
      <c r="I289" s="52">
        <v>131.29999999999998</v>
      </c>
      <c r="J289" s="49">
        <v>5316.25</v>
      </c>
      <c r="K289" s="65">
        <v>0</v>
      </c>
      <c r="L289" s="65">
        <v>0</v>
      </c>
      <c r="M289" s="65">
        <v>0</v>
      </c>
      <c r="N289" s="65">
        <v>0</v>
      </c>
      <c r="O289" s="65">
        <v>0</v>
      </c>
      <c r="P289" s="65">
        <v>0</v>
      </c>
      <c r="Q289" s="50">
        <v>5316.25</v>
      </c>
      <c r="R289" s="65">
        <v>0</v>
      </c>
      <c r="S289" s="65">
        <v>0</v>
      </c>
      <c r="T289" s="65">
        <v>0</v>
      </c>
      <c r="U289" s="65">
        <v>0</v>
      </c>
      <c r="V289" s="65">
        <v>0</v>
      </c>
      <c r="W289" s="65">
        <v>0</v>
      </c>
      <c r="X289" s="65">
        <v>0</v>
      </c>
      <c r="Y289" s="65">
        <v>0</v>
      </c>
      <c r="Z289" s="65">
        <v>5316.25</v>
      </c>
      <c r="AA289" s="51">
        <v>0</v>
      </c>
      <c r="AB289" s="102">
        <v>0</v>
      </c>
      <c r="AC289" s="81">
        <f t="shared" si="15"/>
        <v>460.52572353389195</v>
      </c>
      <c r="AD289" s="82">
        <f t="shared" si="16"/>
        <v>18.757142857142856</v>
      </c>
      <c r="AE289" s="218">
        <v>0</v>
      </c>
      <c r="AF289">
        <v>0</v>
      </c>
      <c r="AH289" t="str">
        <f t="shared" si="14"/>
        <v>Teghra</v>
      </c>
      <c r="AJ289" s="72">
        <v>0</v>
      </c>
      <c r="AK289" s="72"/>
      <c r="AL289" s="72"/>
      <c r="AM289" s="72"/>
    </row>
    <row r="290" spans="1:39" x14ac:dyDescent="0.25">
      <c r="A290" s="37" t="s">
        <v>62</v>
      </c>
      <c r="B290" s="66" t="s">
        <v>1596</v>
      </c>
      <c r="C290" s="47">
        <v>1009</v>
      </c>
      <c r="D290" s="47" t="s">
        <v>244</v>
      </c>
      <c r="E290" s="41">
        <v>10090001</v>
      </c>
      <c r="F290" s="46" t="s">
        <v>245</v>
      </c>
      <c r="G290" s="39" t="s">
        <v>617</v>
      </c>
      <c r="H290" s="48" t="s">
        <v>98</v>
      </c>
      <c r="I290" s="52">
        <v>654.29999999999995</v>
      </c>
      <c r="J290" s="49">
        <v>28168.01</v>
      </c>
      <c r="K290" s="65">
        <v>0</v>
      </c>
      <c r="L290" s="65">
        <v>0</v>
      </c>
      <c r="M290" s="65">
        <v>0</v>
      </c>
      <c r="N290" s="65">
        <v>0</v>
      </c>
      <c r="O290" s="65">
        <v>0</v>
      </c>
      <c r="P290" s="65">
        <v>0</v>
      </c>
      <c r="Q290" s="50">
        <v>28168.01</v>
      </c>
      <c r="R290" s="65">
        <v>0</v>
      </c>
      <c r="S290" s="65">
        <v>0</v>
      </c>
      <c r="T290" s="65">
        <v>0</v>
      </c>
      <c r="U290" s="65">
        <v>0</v>
      </c>
      <c r="V290" s="65">
        <v>0</v>
      </c>
      <c r="W290" s="65">
        <v>0</v>
      </c>
      <c r="X290" s="65">
        <v>0</v>
      </c>
      <c r="Y290" s="65">
        <v>0</v>
      </c>
      <c r="Z290" s="65">
        <v>28168.01</v>
      </c>
      <c r="AA290" s="51">
        <v>0</v>
      </c>
      <c r="AB290" s="102">
        <v>0</v>
      </c>
      <c r="AC290" s="81">
        <f t="shared" si="15"/>
        <v>39.348251780528869</v>
      </c>
      <c r="AD290" s="82">
        <f t="shared" si="16"/>
        <v>93.471428571428561</v>
      </c>
      <c r="AE290" s="218">
        <v>0</v>
      </c>
      <c r="AF290">
        <v>0</v>
      </c>
      <c r="AH290" t="str">
        <f t="shared" si="14"/>
        <v>Halsi</v>
      </c>
      <c r="AJ290" s="72">
        <v>0</v>
      </c>
      <c r="AK290" s="72"/>
      <c r="AL290" s="72"/>
      <c r="AM290" s="72"/>
    </row>
    <row r="291" spans="1:39" x14ac:dyDescent="0.25">
      <c r="A291" s="37" t="s">
        <v>62</v>
      </c>
      <c r="B291" s="66" t="s">
        <v>1596</v>
      </c>
      <c r="C291" s="47">
        <v>1009</v>
      </c>
      <c r="D291" s="47" t="s">
        <v>244</v>
      </c>
      <c r="E291" s="41">
        <v>10090002</v>
      </c>
      <c r="F291" s="46" t="s">
        <v>246</v>
      </c>
      <c r="G291" s="39" t="s">
        <v>92</v>
      </c>
      <c r="H291" s="48" t="s">
        <v>93</v>
      </c>
      <c r="I291" s="52">
        <v>1706.2999999999997</v>
      </c>
      <c r="J291" s="49">
        <v>75052.310000000012</v>
      </c>
      <c r="K291" s="65">
        <v>1317.24</v>
      </c>
      <c r="L291" s="65">
        <v>57646.39</v>
      </c>
      <c r="M291" s="65">
        <v>390.06000000000006</v>
      </c>
      <c r="N291" s="65">
        <v>16645.16</v>
      </c>
      <c r="O291" s="65">
        <v>1707.3000000000002</v>
      </c>
      <c r="P291" s="65">
        <v>74291.55</v>
      </c>
      <c r="Q291" s="50">
        <v>74291.55</v>
      </c>
      <c r="R291" s="65">
        <v>0</v>
      </c>
      <c r="S291" s="65">
        <v>550.13</v>
      </c>
      <c r="T291" s="65">
        <v>0</v>
      </c>
      <c r="U291" s="65">
        <v>0</v>
      </c>
      <c r="V291" s="65">
        <v>0</v>
      </c>
      <c r="W291" s="65">
        <v>0</v>
      </c>
      <c r="X291" s="65">
        <v>57647</v>
      </c>
      <c r="Y291" s="65">
        <v>16096</v>
      </c>
      <c r="Z291" s="65">
        <v>0</v>
      </c>
      <c r="AA291" s="51">
        <v>759</v>
      </c>
      <c r="AB291" s="102">
        <v>0</v>
      </c>
      <c r="AC291" s="81">
        <f t="shared" si="15"/>
        <v>0</v>
      </c>
      <c r="AD291" s="82">
        <f t="shared" si="16"/>
        <v>0</v>
      </c>
      <c r="AE291" s="218">
        <v>1.0136396867731443E-2</v>
      </c>
      <c r="AF291">
        <v>14</v>
      </c>
      <c r="AH291" t="str">
        <f t="shared" si="14"/>
        <v>Halsi</v>
      </c>
      <c r="AJ291" s="72">
        <v>0</v>
      </c>
      <c r="AK291" s="72"/>
      <c r="AL291" s="72"/>
      <c r="AM291" s="72"/>
    </row>
    <row r="292" spans="1:39" x14ac:dyDescent="0.25">
      <c r="A292" s="37" t="s">
        <v>62</v>
      </c>
      <c r="B292" s="66" t="s">
        <v>1596</v>
      </c>
      <c r="C292" s="47">
        <v>1009</v>
      </c>
      <c r="D292" s="47" t="s">
        <v>244</v>
      </c>
      <c r="E292" s="41">
        <v>10090003</v>
      </c>
      <c r="F292" s="46" t="s">
        <v>247</v>
      </c>
      <c r="G292" s="39" t="s">
        <v>92</v>
      </c>
      <c r="H292" s="48" t="s">
        <v>93</v>
      </c>
      <c r="I292" s="52">
        <v>74.7</v>
      </c>
      <c r="J292" s="49">
        <v>2668.9399999999996</v>
      </c>
      <c r="K292" s="65">
        <v>74</v>
      </c>
      <c r="L292" s="65">
        <v>2658.13</v>
      </c>
      <c r="M292" s="65">
        <v>0.30000000000000004</v>
      </c>
      <c r="N292" s="65">
        <v>10.98</v>
      </c>
      <c r="O292" s="65">
        <v>74.3</v>
      </c>
      <c r="P292" s="65">
        <v>2669.11</v>
      </c>
      <c r="Q292" s="50">
        <v>2668.9399999999996</v>
      </c>
      <c r="R292" s="65">
        <v>0</v>
      </c>
      <c r="S292" s="65">
        <v>10.98</v>
      </c>
      <c r="T292" s="65">
        <v>0.17000000000052751</v>
      </c>
      <c r="U292" s="65">
        <v>0</v>
      </c>
      <c r="V292" s="65">
        <v>0</v>
      </c>
      <c r="W292" s="65">
        <v>0</v>
      </c>
      <c r="X292" s="65">
        <v>2658</v>
      </c>
      <c r="Y292" s="65">
        <v>0</v>
      </c>
      <c r="Z292" s="65">
        <v>0</v>
      </c>
      <c r="AA292" s="51">
        <v>0</v>
      </c>
      <c r="AB292" s="102">
        <v>0</v>
      </c>
      <c r="AC292" s="81">
        <f t="shared" si="15"/>
        <v>446.82414511378835</v>
      </c>
      <c r="AD292" s="82">
        <f t="shared" si="16"/>
        <v>10.671428571428573</v>
      </c>
      <c r="AE292" s="218">
        <v>-6.3695699416445312E-5</v>
      </c>
      <c r="AF292">
        <v>3</v>
      </c>
      <c r="AH292" t="str">
        <f t="shared" si="14"/>
        <v>Halsi</v>
      </c>
      <c r="AJ292" s="72">
        <v>0</v>
      </c>
      <c r="AK292" s="72"/>
      <c r="AL292" s="72"/>
      <c r="AM292" s="72"/>
    </row>
    <row r="293" spans="1:39" x14ac:dyDescent="0.25">
      <c r="A293" s="37" t="s">
        <v>62</v>
      </c>
      <c r="B293" s="66" t="s">
        <v>1596</v>
      </c>
      <c r="C293" s="47">
        <v>1009</v>
      </c>
      <c r="D293" s="47" t="s">
        <v>244</v>
      </c>
      <c r="E293" s="41">
        <v>10090005</v>
      </c>
      <c r="F293" s="46" t="s">
        <v>248</v>
      </c>
      <c r="G293" s="39" t="s">
        <v>617</v>
      </c>
      <c r="H293" s="48" t="s">
        <v>98</v>
      </c>
      <c r="I293" s="52">
        <v>211</v>
      </c>
      <c r="J293" s="49">
        <v>9517.6899999999987</v>
      </c>
      <c r="K293" s="65">
        <v>0</v>
      </c>
      <c r="L293" s="65">
        <v>0</v>
      </c>
      <c r="M293" s="65">
        <v>0</v>
      </c>
      <c r="N293" s="65">
        <v>0</v>
      </c>
      <c r="O293" s="65">
        <v>0</v>
      </c>
      <c r="P293" s="65">
        <v>0</v>
      </c>
      <c r="Q293" s="50">
        <v>9517.6899999999987</v>
      </c>
      <c r="R293" s="65">
        <v>0</v>
      </c>
      <c r="S293" s="65">
        <v>0</v>
      </c>
      <c r="T293" s="65">
        <v>0</v>
      </c>
      <c r="U293" s="65">
        <v>0</v>
      </c>
      <c r="V293" s="65">
        <v>0</v>
      </c>
      <c r="W293" s="65">
        <v>0</v>
      </c>
      <c r="X293" s="65">
        <v>0</v>
      </c>
      <c r="Y293" s="65">
        <v>0</v>
      </c>
      <c r="Z293" s="65">
        <v>9517.6899999999987</v>
      </c>
      <c r="AA293" s="51">
        <v>0</v>
      </c>
      <c r="AB293" s="102">
        <v>0</v>
      </c>
      <c r="AC293" s="81">
        <f t="shared" si="15"/>
        <v>441.15169763033168</v>
      </c>
      <c r="AD293" s="82">
        <f t="shared" si="16"/>
        <v>30.142857142857142</v>
      </c>
      <c r="AE293" s="218">
        <v>0</v>
      </c>
      <c r="AF293">
        <v>0</v>
      </c>
      <c r="AH293" t="str">
        <f t="shared" si="14"/>
        <v>Halsi</v>
      </c>
      <c r="AJ293" s="72">
        <v>0</v>
      </c>
      <c r="AK293" s="72"/>
      <c r="AL293" s="72"/>
      <c r="AM293" s="72"/>
    </row>
    <row r="294" spans="1:39" x14ac:dyDescent="0.25">
      <c r="A294" s="37" t="s">
        <v>62</v>
      </c>
      <c r="B294" s="66" t="s">
        <v>1596</v>
      </c>
      <c r="C294" s="47">
        <v>1009</v>
      </c>
      <c r="D294" s="47" t="s">
        <v>244</v>
      </c>
      <c r="E294" s="41">
        <v>10090006</v>
      </c>
      <c r="F294" s="104" t="s">
        <v>249</v>
      </c>
      <c r="G294" s="105" t="s">
        <v>92</v>
      </c>
      <c r="H294" s="48" t="s">
        <v>93</v>
      </c>
      <c r="I294" s="106">
        <v>1295.8</v>
      </c>
      <c r="J294" s="49">
        <v>56553</v>
      </c>
      <c r="K294" s="107">
        <v>1269.0999999999997</v>
      </c>
      <c r="L294" s="107">
        <v>59454.1</v>
      </c>
      <c r="M294" s="107">
        <v>2.5</v>
      </c>
      <c r="N294" s="107">
        <v>184.05</v>
      </c>
      <c r="O294" s="107">
        <v>1271.5999999999997</v>
      </c>
      <c r="P294" s="107">
        <v>59638.15</v>
      </c>
      <c r="Q294" s="108">
        <v>56553</v>
      </c>
      <c r="R294" s="65">
        <v>0</v>
      </c>
      <c r="S294" s="65">
        <v>184.05</v>
      </c>
      <c r="T294" s="107">
        <v>3085.1500000000015</v>
      </c>
      <c r="U294" s="65">
        <v>0</v>
      </c>
      <c r="V294" s="65">
        <v>0</v>
      </c>
      <c r="W294" s="65">
        <v>0</v>
      </c>
      <c r="X294" s="65">
        <v>56369</v>
      </c>
      <c r="Y294" s="65">
        <v>0</v>
      </c>
      <c r="Z294" s="65">
        <v>0</v>
      </c>
      <c r="AA294" s="51">
        <v>0</v>
      </c>
      <c r="AB294" s="102">
        <v>0</v>
      </c>
      <c r="AC294" s="81">
        <f t="shared" si="15"/>
        <v>0</v>
      </c>
      <c r="AD294" s="82">
        <f t="shared" si="16"/>
        <v>0</v>
      </c>
      <c r="AE294" s="218">
        <v>-5.4553250932753372E-2</v>
      </c>
      <c r="AF294">
        <v>12</v>
      </c>
      <c r="AH294" t="str">
        <f t="shared" si="14"/>
        <v>Halsi</v>
      </c>
      <c r="AJ294" s="72">
        <v>0</v>
      </c>
      <c r="AK294" s="72"/>
      <c r="AL294" s="72"/>
      <c r="AM294" s="72"/>
    </row>
    <row r="295" spans="1:39" x14ac:dyDescent="0.25">
      <c r="A295" s="37" t="s">
        <v>62</v>
      </c>
      <c r="B295" s="66" t="s">
        <v>1596</v>
      </c>
      <c r="C295" s="47">
        <v>1009</v>
      </c>
      <c r="D295" s="47" t="s">
        <v>244</v>
      </c>
      <c r="E295" s="41">
        <v>10090007</v>
      </c>
      <c r="F295" s="46" t="s">
        <v>250</v>
      </c>
      <c r="G295" s="39" t="s">
        <v>92</v>
      </c>
      <c r="H295" s="48" t="s">
        <v>93</v>
      </c>
      <c r="I295" s="52">
        <v>587.29999999999995</v>
      </c>
      <c r="J295" s="49">
        <v>22168.079999999994</v>
      </c>
      <c r="K295" s="65">
        <v>644.30000000000007</v>
      </c>
      <c r="L295" s="65">
        <v>25641.88</v>
      </c>
      <c r="M295" s="65">
        <v>2.0000000000000004</v>
      </c>
      <c r="N295" s="65">
        <v>75.820000000000007</v>
      </c>
      <c r="O295" s="65">
        <v>646.30000000000007</v>
      </c>
      <c r="P295" s="65">
        <v>25717.7</v>
      </c>
      <c r="Q295" s="50">
        <v>22168.079999999994</v>
      </c>
      <c r="R295" s="65">
        <v>0</v>
      </c>
      <c r="S295" s="65">
        <v>75.820000000000007</v>
      </c>
      <c r="T295" s="65">
        <v>3549.6200000000063</v>
      </c>
      <c r="U295" s="65">
        <v>0</v>
      </c>
      <c r="V295" s="65">
        <v>0</v>
      </c>
      <c r="W295" s="65">
        <v>0</v>
      </c>
      <c r="X295" s="65">
        <v>22092</v>
      </c>
      <c r="Y295" s="65">
        <v>0</v>
      </c>
      <c r="Z295" s="65">
        <v>0</v>
      </c>
      <c r="AA295" s="51">
        <v>0</v>
      </c>
      <c r="AB295" s="102">
        <v>0</v>
      </c>
      <c r="AC295" s="81">
        <f t="shared" si="15"/>
        <v>85.078924433849849</v>
      </c>
      <c r="AD295" s="82">
        <f t="shared" si="16"/>
        <v>83.899999999999991</v>
      </c>
      <c r="AE295" s="218">
        <v>-0.16012302373502835</v>
      </c>
      <c r="AF295">
        <v>5</v>
      </c>
      <c r="AH295" t="str">
        <f t="shared" si="14"/>
        <v>Halsi</v>
      </c>
      <c r="AJ295" s="72">
        <v>0</v>
      </c>
      <c r="AK295" s="72"/>
      <c r="AL295" s="72"/>
      <c r="AM295" s="72"/>
    </row>
    <row r="296" spans="1:39" x14ac:dyDescent="0.25">
      <c r="A296" s="37" t="s">
        <v>62</v>
      </c>
      <c r="B296" s="66" t="s">
        <v>1596</v>
      </c>
      <c r="C296" s="47">
        <v>1009</v>
      </c>
      <c r="D296" s="47" t="s">
        <v>244</v>
      </c>
      <c r="E296" s="41">
        <v>10090008</v>
      </c>
      <c r="F296" s="46" t="s">
        <v>251</v>
      </c>
      <c r="G296" s="39" t="s">
        <v>92</v>
      </c>
      <c r="H296" s="48" t="s">
        <v>93</v>
      </c>
      <c r="I296" s="52">
        <v>891.1</v>
      </c>
      <c r="J296" s="49">
        <v>36057.480000000003</v>
      </c>
      <c r="K296" s="65">
        <v>896.89999999999986</v>
      </c>
      <c r="L296" s="65">
        <v>35173.50999999998</v>
      </c>
      <c r="M296" s="65">
        <v>12.800000000000002</v>
      </c>
      <c r="N296" s="65">
        <v>499.28999999999996</v>
      </c>
      <c r="O296" s="65">
        <v>909.69999999999982</v>
      </c>
      <c r="P296" s="65">
        <v>35672.799999999981</v>
      </c>
      <c r="Q296" s="50">
        <v>35672.799999999981</v>
      </c>
      <c r="R296" s="65">
        <v>0</v>
      </c>
      <c r="S296" s="65">
        <v>499.28999999999996</v>
      </c>
      <c r="T296" s="65">
        <v>0</v>
      </c>
      <c r="U296" s="65">
        <v>0</v>
      </c>
      <c r="V296" s="65">
        <v>0</v>
      </c>
      <c r="W296" s="65">
        <v>0</v>
      </c>
      <c r="X296" s="65">
        <v>35174</v>
      </c>
      <c r="Y296" s="65">
        <v>0</v>
      </c>
      <c r="Z296" s="65">
        <v>0</v>
      </c>
      <c r="AA296" s="51">
        <v>384</v>
      </c>
      <c r="AB296" s="102">
        <v>0</v>
      </c>
      <c r="AC296" s="81">
        <f t="shared" si="15"/>
        <v>0</v>
      </c>
      <c r="AD296" s="82">
        <f t="shared" si="16"/>
        <v>0</v>
      </c>
      <c r="AE296" s="218">
        <v>1.0668521482921771E-2</v>
      </c>
      <c r="AF296">
        <v>30</v>
      </c>
      <c r="AH296" t="str">
        <f t="shared" si="14"/>
        <v>Halsi</v>
      </c>
      <c r="AJ296" s="72">
        <v>0</v>
      </c>
      <c r="AK296" s="72"/>
      <c r="AL296" s="72"/>
      <c r="AM296" s="72"/>
    </row>
    <row r="297" spans="1:39" x14ac:dyDescent="0.25">
      <c r="A297" s="37" t="s">
        <v>62</v>
      </c>
      <c r="B297" s="66" t="s">
        <v>1596</v>
      </c>
      <c r="C297" s="47">
        <v>1009</v>
      </c>
      <c r="D297" s="47" t="s">
        <v>244</v>
      </c>
      <c r="E297" s="41">
        <v>10090009</v>
      </c>
      <c r="F297" s="46" t="s">
        <v>252</v>
      </c>
      <c r="G297" s="39" t="s">
        <v>92</v>
      </c>
      <c r="H297" s="48" t="s">
        <v>93</v>
      </c>
      <c r="I297" s="52">
        <v>730.19999999999982</v>
      </c>
      <c r="J297" s="49">
        <v>29128.149999999998</v>
      </c>
      <c r="K297" s="65">
        <v>733.8</v>
      </c>
      <c r="L297" s="65">
        <v>28924.49</v>
      </c>
      <c r="M297" s="65">
        <v>4.9000000000000004</v>
      </c>
      <c r="N297" s="65">
        <v>202.46</v>
      </c>
      <c r="O297" s="65">
        <v>738.69999999999993</v>
      </c>
      <c r="P297" s="65">
        <v>29126.95</v>
      </c>
      <c r="Q297" s="50">
        <v>29126.95</v>
      </c>
      <c r="R297" s="65">
        <v>0</v>
      </c>
      <c r="S297" s="65">
        <v>202.46</v>
      </c>
      <c r="T297" s="65">
        <v>0</v>
      </c>
      <c r="U297" s="65">
        <v>0</v>
      </c>
      <c r="V297" s="65">
        <v>0</v>
      </c>
      <c r="W297" s="65">
        <v>0</v>
      </c>
      <c r="X297" s="65">
        <v>28924</v>
      </c>
      <c r="Y297" s="65">
        <v>0</v>
      </c>
      <c r="Z297" s="65">
        <v>0</v>
      </c>
      <c r="AA297" s="51">
        <v>2</v>
      </c>
      <c r="AB297" s="102">
        <v>0</v>
      </c>
      <c r="AC297" s="81">
        <f t="shared" si="15"/>
        <v>0</v>
      </c>
      <c r="AD297" s="82">
        <f t="shared" si="16"/>
        <v>0</v>
      </c>
      <c r="AE297" s="218">
        <v>4.1197261068660029E-5</v>
      </c>
      <c r="AF297">
        <v>11</v>
      </c>
      <c r="AH297" t="str">
        <f t="shared" si="14"/>
        <v>Halsi</v>
      </c>
      <c r="AJ297" s="72">
        <v>0</v>
      </c>
      <c r="AK297" s="72"/>
      <c r="AL297" s="72"/>
      <c r="AM297" s="72"/>
    </row>
    <row r="298" spans="1:39" x14ac:dyDescent="0.25">
      <c r="A298" s="37" t="s">
        <v>62</v>
      </c>
      <c r="B298" s="66" t="s">
        <v>1596</v>
      </c>
      <c r="C298" s="47">
        <v>1009</v>
      </c>
      <c r="D298" s="47" t="s">
        <v>244</v>
      </c>
      <c r="E298" s="41">
        <v>10090011</v>
      </c>
      <c r="F298" s="104" t="s">
        <v>253</v>
      </c>
      <c r="G298" s="105" t="s">
        <v>617</v>
      </c>
      <c r="H298" s="48" t="s">
        <v>98</v>
      </c>
      <c r="I298" s="106">
        <v>850.30000000000007</v>
      </c>
      <c r="J298" s="49">
        <v>32893.199999999997</v>
      </c>
      <c r="K298" s="107">
        <v>0</v>
      </c>
      <c r="L298" s="107">
        <v>0</v>
      </c>
      <c r="M298" s="107">
        <v>0</v>
      </c>
      <c r="N298" s="107">
        <v>0</v>
      </c>
      <c r="O298" s="107">
        <v>0</v>
      </c>
      <c r="P298" s="107">
        <v>0</v>
      </c>
      <c r="Q298" s="108">
        <v>32893.199999999997</v>
      </c>
      <c r="R298" s="65">
        <v>0</v>
      </c>
      <c r="S298" s="65">
        <v>0</v>
      </c>
      <c r="T298" s="107">
        <v>0</v>
      </c>
      <c r="U298" s="65">
        <v>0</v>
      </c>
      <c r="V298" s="65">
        <v>0</v>
      </c>
      <c r="W298" s="65">
        <v>0</v>
      </c>
      <c r="X298" s="65">
        <v>0</v>
      </c>
      <c r="Y298" s="65">
        <v>0</v>
      </c>
      <c r="Z298" s="65">
        <v>32893.199999999997</v>
      </c>
      <c r="AA298" s="51">
        <v>0</v>
      </c>
      <c r="AB298" s="102">
        <v>0</v>
      </c>
      <c r="AC298" s="81">
        <f t="shared" si="15"/>
        <v>0</v>
      </c>
      <c r="AD298" s="82">
        <f t="shared" si="16"/>
        <v>0</v>
      </c>
      <c r="AE298" s="218">
        <v>0</v>
      </c>
      <c r="AF298">
        <v>0</v>
      </c>
      <c r="AH298" t="str">
        <f t="shared" si="14"/>
        <v>Halsi</v>
      </c>
      <c r="AJ298" s="72">
        <v>0</v>
      </c>
      <c r="AK298" s="72"/>
      <c r="AL298" s="72"/>
      <c r="AM298" s="72"/>
    </row>
    <row r="299" spans="1:39" x14ac:dyDescent="0.25">
      <c r="A299" s="37" t="s">
        <v>62</v>
      </c>
      <c r="B299" s="66" t="s">
        <v>1596</v>
      </c>
      <c r="C299" s="47">
        <v>1009</v>
      </c>
      <c r="D299" s="47" t="s">
        <v>244</v>
      </c>
      <c r="E299" s="41">
        <v>10090012</v>
      </c>
      <c r="F299" s="46" t="s">
        <v>254</v>
      </c>
      <c r="G299" s="39" t="s">
        <v>617</v>
      </c>
      <c r="H299" s="48" t="s">
        <v>98</v>
      </c>
      <c r="I299" s="52">
        <v>1050.3000000000002</v>
      </c>
      <c r="J299" s="49">
        <v>40712.200000000004</v>
      </c>
      <c r="K299" s="65">
        <v>0</v>
      </c>
      <c r="L299" s="65">
        <v>0</v>
      </c>
      <c r="M299" s="65">
        <v>0</v>
      </c>
      <c r="N299" s="65">
        <v>0</v>
      </c>
      <c r="O299" s="65">
        <v>0</v>
      </c>
      <c r="P299" s="65">
        <v>0</v>
      </c>
      <c r="Q299" s="50">
        <v>40712.200000000004</v>
      </c>
      <c r="R299" s="65">
        <v>0</v>
      </c>
      <c r="S299" s="65">
        <v>0</v>
      </c>
      <c r="T299" s="65">
        <v>0</v>
      </c>
      <c r="U299" s="65">
        <v>0</v>
      </c>
      <c r="V299" s="65">
        <v>0</v>
      </c>
      <c r="W299" s="65">
        <v>0</v>
      </c>
      <c r="X299" s="65">
        <v>0</v>
      </c>
      <c r="Y299" s="65">
        <v>0</v>
      </c>
      <c r="Z299" s="65">
        <v>40712.200000000004</v>
      </c>
      <c r="AA299" s="51">
        <v>0</v>
      </c>
      <c r="AB299" s="102">
        <v>0</v>
      </c>
      <c r="AC299" s="81">
        <f t="shared" si="15"/>
        <v>0</v>
      </c>
      <c r="AD299" s="82">
        <f t="shared" si="16"/>
        <v>0</v>
      </c>
      <c r="AE299" s="218">
        <v>0</v>
      </c>
      <c r="AF299">
        <v>0</v>
      </c>
      <c r="AH299" t="str">
        <f t="shared" si="14"/>
        <v>Halsi</v>
      </c>
      <c r="AJ299" s="72">
        <v>0</v>
      </c>
      <c r="AK299" s="72"/>
      <c r="AL299" s="72"/>
      <c r="AM299" s="72"/>
    </row>
    <row r="300" spans="1:39" x14ac:dyDescent="0.25">
      <c r="A300" s="37" t="s">
        <v>62</v>
      </c>
      <c r="B300" s="66" t="s">
        <v>1596</v>
      </c>
      <c r="C300" s="47">
        <v>1009</v>
      </c>
      <c r="D300" s="47" t="s">
        <v>244</v>
      </c>
      <c r="E300" s="41">
        <v>10090014</v>
      </c>
      <c r="F300" s="46" t="s">
        <v>255</v>
      </c>
      <c r="G300" s="39" t="s">
        <v>617</v>
      </c>
      <c r="H300" s="48" t="s">
        <v>98</v>
      </c>
      <c r="I300" s="52">
        <v>717.1</v>
      </c>
      <c r="J300" s="49">
        <v>30321.18</v>
      </c>
      <c r="K300" s="65">
        <v>0</v>
      </c>
      <c r="L300" s="65">
        <v>0</v>
      </c>
      <c r="M300" s="65">
        <v>0</v>
      </c>
      <c r="N300" s="65">
        <v>0</v>
      </c>
      <c r="O300" s="65">
        <v>0</v>
      </c>
      <c r="P300" s="65">
        <v>0</v>
      </c>
      <c r="Q300" s="50">
        <v>30321.18</v>
      </c>
      <c r="R300" s="65">
        <v>0</v>
      </c>
      <c r="S300" s="65">
        <v>0</v>
      </c>
      <c r="T300" s="65">
        <v>0</v>
      </c>
      <c r="U300" s="65">
        <v>0</v>
      </c>
      <c r="V300" s="65">
        <v>0</v>
      </c>
      <c r="W300" s="65">
        <v>0</v>
      </c>
      <c r="X300" s="65">
        <v>0</v>
      </c>
      <c r="Y300" s="65">
        <v>0</v>
      </c>
      <c r="Z300" s="65">
        <v>30321.18</v>
      </c>
      <c r="AA300" s="51">
        <v>0</v>
      </c>
      <c r="AB300" s="102">
        <v>0</v>
      </c>
      <c r="AC300" s="81">
        <f t="shared" si="15"/>
        <v>0</v>
      </c>
      <c r="AD300" s="82">
        <f t="shared" si="16"/>
        <v>0</v>
      </c>
      <c r="AE300" s="218">
        <v>0</v>
      </c>
      <c r="AF300">
        <v>0</v>
      </c>
      <c r="AH300" t="str">
        <f t="shared" si="14"/>
        <v>Halsi</v>
      </c>
      <c r="AJ300" s="72">
        <v>0</v>
      </c>
      <c r="AK300" s="72"/>
      <c r="AL300" s="72"/>
      <c r="AM300" s="72"/>
    </row>
    <row r="301" spans="1:39" x14ac:dyDescent="0.25">
      <c r="A301" s="37" t="s">
        <v>62</v>
      </c>
      <c r="B301" s="66" t="s">
        <v>1596</v>
      </c>
      <c r="C301" s="47">
        <v>1009</v>
      </c>
      <c r="D301" s="47" t="s">
        <v>244</v>
      </c>
      <c r="E301" s="41">
        <v>10090015</v>
      </c>
      <c r="F301" s="104" t="s">
        <v>256</v>
      </c>
      <c r="G301" s="105" t="s">
        <v>617</v>
      </c>
      <c r="H301" s="48" t="s">
        <v>98</v>
      </c>
      <c r="I301" s="106">
        <v>599.5</v>
      </c>
      <c r="J301" s="49">
        <v>27069.89</v>
      </c>
      <c r="K301" s="107">
        <v>0</v>
      </c>
      <c r="L301" s="107">
        <v>0</v>
      </c>
      <c r="M301" s="107">
        <v>0</v>
      </c>
      <c r="N301" s="107">
        <v>0</v>
      </c>
      <c r="O301" s="107">
        <v>0</v>
      </c>
      <c r="P301" s="107">
        <v>0</v>
      </c>
      <c r="Q301" s="108">
        <v>27069.89</v>
      </c>
      <c r="R301" s="65">
        <v>0</v>
      </c>
      <c r="S301" s="65">
        <v>0</v>
      </c>
      <c r="T301" s="107">
        <v>0</v>
      </c>
      <c r="U301" s="65">
        <v>0</v>
      </c>
      <c r="V301" s="65">
        <v>0</v>
      </c>
      <c r="W301" s="65">
        <v>0</v>
      </c>
      <c r="X301" s="65">
        <v>0</v>
      </c>
      <c r="Y301" s="65">
        <v>0</v>
      </c>
      <c r="Z301" s="65">
        <v>27069.89</v>
      </c>
      <c r="AA301" s="51">
        <v>0</v>
      </c>
      <c r="AB301" s="102">
        <v>0</v>
      </c>
      <c r="AC301" s="81">
        <f t="shared" si="15"/>
        <v>90.759764637197691</v>
      </c>
      <c r="AD301" s="82">
        <f t="shared" si="16"/>
        <v>85.642857142857139</v>
      </c>
      <c r="AE301" s="218">
        <v>0</v>
      </c>
      <c r="AF301">
        <v>0</v>
      </c>
      <c r="AH301" t="str">
        <f t="shared" si="14"/>
        <v>Halsi</v>
      </c>
      <c r="AJ301" s="72">
        <v>0</v>
      </c>
      <c r="AK301" s="72"/>
      <c r="AL301" s="72"/>
      <c r="AM301" s="72"/>
    </row>
    <row r="302" spans="1:39" x14ac:dyDescent="0.25">
      <c r="A302" s="37" t="s">
        <v>62</v>
      </c>
      <c r="B302" s="66" t="s">
        <v>1596</v>
      </c>
      <c r="C302" s="47">
        <v>1009</v>
      </c>
      <c r="D302" s="47" t="s">
        <v>244</v>
      </c>
      <c r="E302" s="41">
        <v>10090017</v>
      </c>
      <c r="F302" s="46" t="s">
        <v>257</v>
      </c>
      <c r="G302" s="39" t="s">
        <v>617</v>
      </c>
      <c r="H302" s="48" t="s">
        <v>98</v>
      </c>
      <c r="I302" s="52">
        <v>5198.7000000000007</v>
      </c>
      <c r="J302" s="49">
        <v>193520.19</v>
      </c>
      <c r="K302" s="65">
        <v>0</v>
      </c>
      <c r="L302" s="65">
        <v>0</v>
      </c>
      <c r="M302" s="65">
        <v>0</v>
      </c>
      <c r="N302" s="65">
        <v>0</v>
      </c>
      <c r="O302" s="65">
        <v>0</v>
      </c>
      <c r="P302" s="65">
        <v>0</v>
      </c>
      <c r="Q302" s="50">
        <v>193520.19</v>
      </c>
      <c r="R302" s="65">
        <v>0</v>
      </c>
      <c r="S302" s="65">
        <v>0</v>
      </c>
      <c r="T302" s="65">
        <v>0</v>
      </c>
      <c r="U302" s="65">
        <v>0</v>
      </c>
      <c r="V302" s="65">
        <v>0</v>
      </c>
      <c r="W302" s="65">
        <v>0</v>
      </c>
      <c r="X302" s="65">
        <v>0</v>
      </c>
      <c r="Y302" s="65">
        <v>0</v>
      </c>
      <c r="Z302" s="65">
        <v>193520.19</v>
      </c>
      <c r="AA302" s="51">
        <v>0</v>
      </c>
      <c r="AB302" s="102">
        <v>0</v>
      </c>
      <c r="AC302" s="81">
        <f t="shared" si="15"/>
        <v>0</v>
      </c>
      <c r="AD302" s="82">
        <f t="shared" si="16"/>
        <v>0</v>
      </c>
      <c r="AE302" s="218">
        <v>0</v>
      </c>
      <c r="AF302">
        <v>0</v>
      </c>
      <c r="AH302" t="str">
        <f t="shared" si="14"/>
        <v>Halsi</v>
      </c>
      <c r="AJ302" s="72">
        <v>0</v>
      </c>
      <c r="AK302" s="72"/>
      <c r="AL302" s="72"/>
      <c r="AM302" s="72"/>
    </row>
    <row r="303" spans="1:39" x14ac:dyDescent="0.25">
      <c r="A303" s="37" t="s">
        <v>62</v>
      </c>
      <c r="B303" s="66" t="s">
        <v>1596</v>
      </c>
      <c r="C303" s="47">
        <v>1009</v>
      </c>
      <c r="D303" s="47" t="s">
        <v>244</v>
      </c>
      <c r="E303" s="41">
        <v>10090018</v>
      </c>
      <c r="F303" s="46" t="s">
        <v>1172</v>
      </c>
      <c r="G303" s="39" t="s">
        <v>617</v>
      </c>
      <c r="H303" s="48" t="s">
        <v>98</v>
      </c>
      <c r="I303" s="52">
        <v>663.19999999999993</v>
      </c>
      <c r="J303" s="49">
        <v>27044.41</v>
      </c>
      <c r="K303" s="65">
        <v>0</v>
      </c>
      <c r="L303" s="65">
        <v>0</v>
      </c>
      <c r="M303" s="65">
        <v>0</v>
      </c>
      <c r="N303" s="65">
        <v>0</v>
      </c>
      <c r="O303" s="65">
        <v>0</v>
      </c>
      <c r="P303" s="65">
        <v>0</v>
      </c>
      <c r="Q303" s="50">
        <v>27044.41</v>
      </c>
      <c r="R303" s="65">
        <v>0</v>
      </c>
      <c r="S303" s="65">
        <v>0</v>
      </c>
      <c r="T303" s="65">
        <v>0</v>
      </c>
      <c r="U303" s="65">
        <v>0</v>
      </c>
      <c r="V303" s="65">
        <v>0</v>
      </c>
      <c r="W303" s="65">
        <v>0</v>
      </c>
      <c r="X303" s="65">
        <v>0</v>
      </c>
      <c r="Y303" s="65">
        <v>0</v>
      </c>
      <c r="Z303" s="65">
        <v>27044.41</v>
      </c>
      <c r="AA303" s="51">
        <v>0</v>
      </c>
      <c r="AB303" s="102">
        <v>0</v>
      </c>
      <c r="AC303" s="81">
        <f t="shared" si="15"/>
        <v>30.013096743063993</v>
      </c>
      <c r="AD303" s="82">
        <f t="shared" si="16"/>
        <v>94.742857142857133</v>
      </c>
      <c r="AE303" s="218">
        <v>0</v>
      </c>
      <c r="AF303">
        <v>0</v>
      </c>
      <c r="AH303" t="str">
        <f t="shared" si="14"/>
        <v>Halsi</v>
      </c>
      <c r="AJ303" s="72">
        <v>0</v>
      </c>
      <c r="AK303" s="72"/>
      <c r="AL303" s="72"/>
      <c r="AM303" s="72"/>
    </row>
    <row r="304" spans="1:39" x14ac:dyDescent="0.25">
      <c r="A304" s="37" t="s">
        <v>62</v>
      </c>
      <c r="B304" s="66" t="s">
        <v>1596</v>
      </c>
      <c r="C304" s="47">
        <v>1009</v>
      </c>
      <c r="D304" s="47" t="s">
        <v>244</v>
      </c>
      <c r="E304" s="41">
        <v>10090021</v>
      </c>
      <c r="F304" s="46" t="s">
        <v>258</v>
      </c>
      <c r="G304" s="39" t="s">
        <v>92</v>
      </c>
      <c r="H304" s="48" t="s">
        <v>93</v>
      </c>
      <c r="I304" s="52">
        <v>1252.0999999999997</v>
      </c>
      <c r="J304" s="49">
        <v>56997.01</v>
      </c>
      <c r="K304" s="65">
        <v>1156.7</v>
      </c>
      <c r="L304" s="65">
        <v>55439.44</v>
      </c>
      <c r="M304" s="65">
        <v>1.9999999999999998</v>
      </c>
      <c r="N304" s="65">
        <v>90.12</v>
      </c>
      <c r="O304" s="65">
        <v>1158.7</v>
      </c>
      <c r="P304" s="65">
        <v>55529.560000000005</v>
      </c>
      <c r="Q304" s="50">
        <v>55529.560000000005</v>
      </c>
      <c r="R304" s="65">
        <v>0</v>
      </c>
      <c r="S304" s="65">
        <v>90.12</v>
      </c>
      <c r="T304" s="65">
        <v>0</v>
      </c>
      <c r="U304" s="65">
        <v>0</v>
      </c>
      <c r="V304" s="65">
        <v>0</v>
      </c>
      <c r="W304" s="65">
        <v>0</v>
      </c>
      <c r="X304" s="65">
        <v>55440</v>
      </c>
      <c r="Y304" s="65">
        <v>0</v>
      </c>
      <c r="Z304" s="65">
        <v>0</v>
      </c>
      <c r="AA304" s="51">
        <v>1467</v>
      </c>
      <c r="AB304" s="102">
        <v>0</v>
      </c>
      <c r="AC304" s="81">
        <f t="shared" si="15"/>
        <v>0</v>
      </c>
      <c r="AD304" s="82">
        <f t="shared" si="16"/>
        <v>0</v>
      </c>
      <c r="AE304" s="218">
        <v>2.5746087382478432E-2</v>
      </c>
      <c r="AF304">
        <v>8</v>
      </c>
      <c r="AH304" t="str">
        <f t="shared" si="14"/>
        <v>Halsi</v>
      </c>
      <c r="AJ304" s="72">
        <v>0</v>
      </c>
      <c r="AK304" s="72"/>
      <c r="AL304" s="72"/>
      <c r="AM304" s="72"/>
    </row>
    <row r="305" spans="1:39" x14ac:dyDescent="0.25">
      <c r="A305" s="37" t="s">
        <v>62</v>
      </c>
      <c r="B305" s="66" t="s">
        <v>1596</v>
      </c>
      <c r="C305" s="47">
        <v>1009</v>
      </c>
      <c r="D305" s="47" t="s">
        <v>244</v>
      </c>
      <c r="E305" s="41">
        <v>10090022</v>
      </c>
      <c r="F305" s="46" t="s">
        <v>259</v>
      </c>
      <c r="G305" s="39" t="s">
        <v>617</v>
      </c>
      <c r="H305" s="48" t="s">
        <v>98</v>
      </c>
      <c r="I305" s="52">
        <v>406.8</v>
      </c>
      <c r="J305" s="49">
        <v>16275.619999999999</v>
      </c>
      <c r="K305" s="65">
        <v>0</v>
      </c>
      <c r="L305" s="65">
        <v>0</v>
      </c>
      <c r="M305" s="65">
        <v>0</v>
      </c>
      <c r="N305" s="65">
        <v>0</v>
      </c>
      <c r="O305" s="65">
        <v>0</v>
      </c>
      <c r="P305" s="65">
        <v>0</v>
      </c>
      <c r="Q305" s="50">
        <v>16275.619999999999</v>
      </c>
      <c r="R305" s="65">
        <v>0</v>
      </c>
      <c r="S305" s="65">
        <v>0</v>
      </c>
      <c r="T305" s="65">
        <v>0</v>
      </c>
      <c r="U305" s="65">
        <v>0</v>
      </c>
      <c r="V305" s="65">
        <v>0</v>
      </c>
      <c r="W305" s="65">
        <v>0</v>
      </c>
      <c r="X305" s="65">
        <v>0</v>
      </c>
      <c r="Y305" s="65">
        <v>0</v>
      </c>
      <c r="Z305" s="65">
        <v>16275.619999999999</v>
      </c>
      <c r="AA305" s="51">
        <v>0</v>
      </c>
      <c r="AB305" s="102">
        <v>0</v>
      </c>
      <c r="AC305" s="81">
        <f t="shared" si="15"/>
        <v>234.61218210422808</v>
      </c>
      <c r="AD305" s="82">
        <f t="shared" si="16"/>
        <v>58.114285714285714</v>
      </c>
      <c r="AE305" s="218">
        <v>0</v>
      </c>
      <c r="AF305">
        <v>0</v>
      </c>
      <c r="AH305" t="str">
        <f t="shared" si="14"/>
        <v>Halsi</v>
      </c>
      <c r="AJ305" s="72">
        <v>0</v>
      </c>
      <c r="AK305" s="72"/>
      <c r="AL305" s="72"/>
      <c r="AM305" s="72"/>
    </row>
    <row r="306" spans="1:39" x14ac:dyDescent="0.25">
      <c r="A306" s="37" t="s">
        <v>62</v>
      </c>
      <c r="B306" s="66" t="s">
        <v>1596</v>
      </c>
      <c r="C306" s="47">
        <v>1009</v>
      </c>
      <c r="D306" s="47" t="s">
        <v>244</v>
      </c>
      <c r="E306" s="41">
        <v>10090024</v>
      </c>
      <c r="F306" s="46" t="s">
        <v>260</v>
      </c>
      <c r="G306" s="39" t="s">
        <v>617</v>
      </c>
      <c r="H306" s="48" t="s">
        <v>98</v>
      </c>
      <c r="I306" s="52">
        <v>173.00000000000003</v>
      </c>
      <c r="J306" s="49">
        <v>6810.2199999999984</v>
      </c>
      <c r="K306" s="65">
        <v>0</v>
      </c>
      <c r="L306" s="65">
        <v>0</v>
      </c>
      <c r="M306" s="65">
        <v>0</v>
      </c>
      <c r="N306" s="65">
        <v>0</v>
      </c>
      <c r="O306" s="65">
        <v>0</v>
      </c>
      <c r="P306" s="65">
        <v>0</v>
      </c>
      <c r="Q306" s="50">
        <v>6810.2199999999984</v>
      </c>
      <c r="R306" s="65">
        <v>0</v>
      </c>
      <c r="S306" s="65">
        <v>0</v>
      </c>
      <c r="T306" s="65">
        <v>0</v>
      </c>
      <c r="U306" s="65">
        <v>0</v>
      </c>
      <c r="V306" s="65">
        <v>0</v>
      </c>
      <c r="W306" s="65">
        <v>0</v>
      </c>
      <c r="X306" s="65">
        <v>0</v>
      </c>
      <c r="Y306" s="65">
        <v>0</v>
      </c>
      <c r="Z306" s="65">
        <v>6810.2199999999984</v>
      </c>
      <c r="AA306" s="51">
        <v>0</v>
      </c>
      <c r="AB306" s="102">
        <v>0</v>
      </c>
      <c r="AC306" s="81">
        <f t="shared" si="15"/>
        <v>414.91166936416164</v>
      </c>
      <c r="AD306" s="82">
        <f t="shared" si="16"/>
        <v>24.714285714285719</v>
      </c>
      <c r="AE306" s="218">
        <v>0</v>
      </c>
      <c r="AF306">
        <v>0</v>
      </c>
      <c r="AH306" t="str">
        <f t="shared" si="14"/>
        <v>Halsi</v>
      </c>
      <c r="AJ306" s="72">
        <v>0</v>
      </c>
      <c r="AK306" s="72"/>
      <c r="AL306" s="72"/>
      <c r="AM306" s="72"/>
    </row>
    <row r="307" spans="1:39" x14ac:dyDescent="0.25">
      <c r="A307" s="37" t="s">
        <v>62</v>
      </c>
      <c r="B307" s="66" t="s">
        <v>1596</v>
      </c>
      <c r="C307" s="47">
        <v>1009</v>
      </c>
      <c r="D307" s="47" t="s">
        <v>244</v>
      </c>
      <c r="E307" s="41">
        <v>10090025</v>
      </c>
      <c r="F307" s="46" t="s">
        <v>484</v>
      </c>
      <c r="G307" s="39" t="s">
        <v>617</v>
      </c>
      <c r="H307" s="48" t="s">
        <v>98</v>
      </c>
      <c r="I307" s="52">
        <v>459</v>
      </c>
      <c r="J307" s="49">
        <v>18561.489999999998</v>
      </c>
      <c r="K307" s="65">
        <v>0</v>
      </c>
      <c r="L307" s="65">
        <v>0</v>
      </c>
      <c r="M307" s="65">
        <v>0</v>
      </c>
      <c r="N307" s="65">
        <v>0</v>
      </c>
      <c r="O307" s="65">
        <v>0</v>
      </c>
      <c r="P307" s="65">
        <v>0</v>
      </c>
      <c r="Q307" s="50">
        <v>18561.489999999998</v>
      </c>
      <c r="R307" s="65">
        <v>0</v>
      </c>
      <c r="S307" s="65">
        <v>0</v>
      </c>
      <c r="T307" s="65">
        <v>0</v>
      </c>
      <c r="U307" s="65">
        <v>0</v>
      </c>
      <c r="V307" s="65">
        <v>0</v>
      </c>
      <c r="W307" s="65">
        <v>0</v>
      </c>
      <c r="X307" s="65">
        <v>0</v>
      </c>
      <c r="Y307" s="65">
        <v>0</v>
      </c>
      <c r="Z307" s="65">
        <v>18561.489999999998</v>
      </c>
      <c r="AA307" s="51">
        <v>0</v>
      </c>
      <c r="AB307" s="102">
        <v>0</v>
      </c>
      <c r="AC307" s="81">
        <f t="shared" si="15"/>
        <v>194.91586448801743</v>
      </c>
      <c r="AD307" s="82">
        <f t="shared" si="16"/>
        <v>65.571428571428569</v>
      </c>
      <c r="AE307" s="218">
        <v>0</v>
      </c>
      <c r="AF307">
        <v>0</v>
      </c>
      <c r="AH307" t="str">
        <f t="shared" si="14"/>
        <v>Halsi</v>
      </c>
      <c r="AJ307" s="72">
        <v>0</v>
      </c>
      <c r="AK307" s="72"/>
      <c r="AL307" s="72"/>
      <c r="AM307" s="72"/>
    </row>
    <row r="308" spans="1:39" x14ac:dyDescent="0.25">
      <c r="A308" s="37" t="s">
        <v>62</v>
      </c>
      <c r="B308" s="66" t="s">
        <v>1596</v>
      </c>
      <c r="C308" s="47">
        <v>1009</v>
      </c>
      <c r="D308" s="47" t="s">
        <v>244</v>
      </c>
      <c r="E308" s="41">
        <v>10090027</v>
      </c>
      <c r="F308" s="46" t="s">
        <v>261</v>
      </c>
      <c r="G308" s="39" t="s">
        <v>617</v>
      </c>
      <c r="H308" s="48" t="s">
        <v>98</v>
      </c>
      <c r="I308" s="52">
        <v>2038.6000000000004</v>
      </c>
      <c r="J308" s="49">
        <v>89810.36</v>
      </c>
      <c r="K308" s="65">
        <v>0</v>
      </c>
      <c r="L308" s="65">
        <v>0</v>
      </c>
      <c r="M308" s="65">
        <v>0</v>
      </c>
      <c r="N308" s="65">
        <v>0</v>
      </c>
      <c r="O308" s="65">
        <v>0</v>
      </c>
      <c r="P308" s="65">
        <v>0</v>
      </c>
      <c r="Q308" s="50">
        <v>89810.36</v>
      </c>
      <c r="R308" s="65">
        <v>0</v>
      </c>
      <c r="S308" s="65">
        <v>0</v>
      </c>
      <c r="T308" s="65">
        <v>0</v>
      </c>
      <c r="U308" s="65">
        <v>0</v>
      </c>
      <c r="V308" s="65">
        <v>0</v>
      </c>
      <c r="W308" s="65">
        <v>0</v>
      </c>
      <c r="X308" s="65">
        <v>0</v>
      </c>
      <c r="Y308" s="65">
        <v>0</v>
      </c>
      <c r="Z308" s="65">
        <v>89810.36</v>
      </c>
      <c r="AA308" s="51">
        <v>0</v>
      </c>
      <c r="AB308" s="102">
        <v>0</v>
      </c>
      <c r="AC308" s="81">
        <f t="shared" si="15"/>
        <v>0</v>
      </c>
      <c r="AD308" s="82">
        <f t="shared" si="16"/>
        <v>0</v>
      </c>
      <c r="AE308" s="218">
        <v>0</v>
      </c>
      <c r="AF308">
        <v>0</v>
      </c>
      <c r="AH308" t="str">
        <f t="shared" si="14"/>
        <v>Halsi</v>
      </c>
      <c r="AJ308" s="72">
        <v>0</v>
      </c>
      <c r="AK308" s="72"/>
      <c r="AL308" s="72"/>
      <c r="AM308" s="72"/>
    </row>
    <row r="309" spans="1:39" x14ac:dyDescent="0.25">
      <c r="A309" s="37" t="s">
        <v>62</v>
      </c>
      <c r="B309" s="66" t="s">
        <v>1596</v>
      </c>
      <c r="C309" s="47">
        <v>1009</v>
      </c>
      <c r="D309" s="47" t="s">
        <v>244</v>
      </c>
      <c r="E309" s="41">
        <v>10090029</v>
      </c>
      <c r="F309" s="46" t="s">
        <v>262</v>
      </c>
      <c r="G309" s="39" t="s">
        <v>92</v>
      </c>
      <c r="H309" s="48" t="s">
        <v>93</v>
      </c>
      <c r="I309" s="52">
        <v>772.20000000000016</v>
      </c>
      <c r="J309" s="49">
        <v>34539.72</v>
      </c>
      <c r="K309" s="65">
        <v>810.98</v>
      </c>
      <c r="L309" s="65">
        <v>34293.249999999993</v>
      </c>
      <c r="M309" s="65">
        <v>5.29</v>
      </c>
      <c r="N309" s="65">
        <v>252.97</v>
      </c>
      <c r="O309" s="65">
        <v>816.27</v>
      </c>
      <c r="P309" s="65">
        <v>34546.219999999994</v>
      </c>
      <c r="Q309" s="50">
        <v>34539.72</v>
      </c>
      <c r="R309" s="65">
        <v>0</v>
      </c>
      <c r="S309" s="65">
        <v>252.97</v>
      </c>
      <c r="T309" s="65">
        <v>6.499999999992724</v>
      </c>
      <c r="U309" s="65">
        <v>0</v>
      </c>
      <c r="V309" s="65">
        <v>0</v>
      </c>
      <c r="W309" s="65">
        <v>0</v>
      </c>
      <c r="X309" s="65">
        <v>34287</v>
      </c>
      <c r="Y309" s="65">
        <v>0</v>
      </c>
      <c r="Z309" s="65">
        <v>0</v>
      </c>
      <c r="AA309" s="51">
        <v>0</v>
      </c>
      <c r="AB309" s="102">
        <v>0</v>
      </c>
      <c r="AC309" s="81">
        <f t="shared" si="15"/>
        <v>0</v>
      </c>
      <c r="AD309" s="82">
        <f t="shared" si="16"/>
        <v>0</v>
      </c>
      <c r="AE309" s="218">
        <v>-1.8818913413289753E-4</v>
      </c>
      <c r="AF309">
        <v>17</v>
      </c>
      <c r="AH309" t="str">
        <f t="shared" si="14"/>
        <v>Halsi</v>
      </c>
      <c r="AJ309" s="72">
        <v>0</v>
      </c>
      <c r="AK309" s="72"/>
      <c r="AL309" s="72"/>
      <c r="AM309" s="72"/>
    </row>
    <row r="310" spans="1:39" x14ac:dyDescent="0.25">
      <c r="A310" s="37" t="s">
        <v>62</v>
      </c>
      <c r="B310" s="66" t="s">
        <v>1596</v>
      </c>
      <c r="C310" s="47">
        <v>1009</v>
      </c>
      <c r="D310" s="47" t="s">
        <v>244</v>
      </c>
      <c r="E310" s="41">
        <v>10090033</v>
      </c>
      <c r="F310" s="46" t="s">
        <v>263</v>
      </c>
      <c r="G310" s="39" t="s">
        <v>92</v>
      </c>
      <c r="H310" s="48" t="s">
        <v>93</v>
      </c>
      <c r="I310" s="52">
        <v>846.1</v>
      </c>
      <c r="J310" s="49">
        <v>39963.560000000012</v>
      </c>
      <c r="K310" s="65">
        <v>848.82999999999993</v>
      </c>
      <c r="L310" s="65">
        <v>40443.340000000004</v>
      </c>
      <c r="M310" s="65">
        <v>4.3099999999999996</v>
      </c>
      <c r="N310" s="65">
        <v>211.79</v>
      </c>
      <c r="O310" s="65">
        <v>853.13999999999987</v>
      </c>
      <c r="P310" s="65">
        <v>40655.130000000005</v>
      </c>
      <c r="Q310" s="50">
        <v>39963.560000000012</v>
      </c>
      <c r="R310" s="65">
        <v>0</v>
      </c>
      <c r="S310" s="65">
        <v>211.79</v>
      </c>
      <c r="T310" s="65">
        <v>691.56999999999243</v>
      </c>
      <c r="U310" s="65">
        <v>0</v>
      </c>
      <c r="V310" s="65">
        <v>0</v>
      </c>
      <c r="W310" s="65">
        <v>0</v>
      </c>
      <c r="X310" s="65">
        <v>39752</v>
      </c>
      <c r="Y310" s="65">
        <v>0</v>
      </c>
      <c r="Z310" s="65">
        <v>0</v>
      </c>
      <c r="AA310" s="51">
        <v>0</v>
      </c>
      <c r="AB310" s="102">
        <v>0</v>
      </c>
      <c r="AC310" s="81">
        <f t="shared" si="15"/>
        <v>0</v>
      </c>
      <c r="AD310" s="82">
        <f t="shared" si="16"/>
        <v>0</v>
      </c>
      <c r="AE310" s="218">
        <v>-1.7305014868545049E-2</v>
      </c>
      <c r="AF310">
        <v>9</v>
      </c>
      <c r="AH310" t="str">
        <f t="shared" si="14"/>
        <v>Halsi</v>
      </c>
      <c r="AJ310" s="72">
        <v>0</v>
      </c>
      <c r="AK310" s="72"/>
      <c r="AL310" s="72"/>
      <c r="AM310" s="72"/>
    </row>
    <row r="311" spans="1:39" x14ac:dyDescent="0.25">
      <c r="A311" s="37" t="s">
        <v>62</v>
      </c>
      <c r="B311" s="66" t="s">
        <v>1596</v>
      </c>
      <c r="C311" s="47">
        <v>1009</v>
      </c>
      <c r="D311" s="47" t="s">
        <v>244</v>
      </c>
      <c r="E311" s="41">
        <v>10090036</v>
      </c>
      <c r="F311" s="46" t="s">
        <v>264</v>
      </c>
      <c r="G311" s="39" t="s">
        <v>92</v>
      </c>
      <c r="H311" s="48" t="s">
        <v>93</v>
      </c>
      <c r="I311" s="52">
        <v>1554.7999999999997</v>
      </c>
      <c r="J311" s="49">
        <v>68790.439999999973</v>
      </c>
      <c r="K311" s="65">
        <v>1541.1399999999999</v>
      </c>
      <c r="L311" s="65">
        <v>67692.509999999995</v>
      </c>
      <c r="M311" s="65">
        <v>15.240000000000002</v>
      </c>
      <c r="N311" s="65">
        <v>675.95</v>
      </c>
      <c r="O311" s="65">
        <v>1556.3799999999999</v>
      </c>
      <c r="P311" s="65">
        <v>68368.459999999992</v>
      </c>
      <c r="Q311" s="50">
        <v>68368.459999999992</v>
      </c>
      <c r="R311" s="65">
        <v>0</v>
      </c>
      <c r="S311" s="65">
        <v>675.95</v>
      </c>
      <c r="T311" s="65">
        <v>0</v>
      </c>
      <c r="U311" s="65">
        <v>0</v>
      </c>
      <c r="V311" s="65">
        <v>0</v>
      </c>
      <c r="W311" s="65">
        <v>0</v>
      </c>
      <c r="X311" s="65">
        <v>67691</v>
      </c>
      <c r="Y311" s="65">
        <v>0</v>
      </c>
      <c r="Z311" s="65">
        <v>0</v>
      </c>
      <c r="AA311" s="51">
        <v>423</v>
      </c>
      <c r="AB311" s="102">
        <v>0</v>
      </c>
      <c r="AC311" s="81">
        <f t="shared" si="15"/>
        <v>0</v>
      </c>
      <c r="AD311" s="82">
        <f t="shared" si="16"/>
        <v>0</v>
      </c>
      <c r="AE311" s="218">
        <v>6.134282612525542E-3</v>
      </c>
      <c r="AF311">
        <v>34</v>
      </c>
      <c r="AH311" t="str">
        <f t="shared" si="14"/>
        <v>Halsi</v>
      </c>
      <c r="AJ311" s="72">
        <v>0</v>
      </c>
      <c r="AK311" s="72"/>
      <c r="AL311" s="72"/>
      <c r="AM311" s="72"/>
    </row>
    <row r="312" spans="1:39" x14ac:dyDescent="0.25">
      <c r="A312" s="37" t="s">
        <v>62</v>
      </c>
      <c r="B312" s="66" t="s">
        <v>1596</v>
      </c>
      <c r="C312" s="47">
        <v>1009</v>
      </c>
      <c r="D312" s="47" t="s">
        <v>244</v>
      </c>
      <c r="E312" s="41">
        <v>10090037</v>
      </c>
      <c r="F312" s="46" t="s">
        <v>265</v>
      </c>
      <c r="G312" s="39" t="s">
        <v>92</v>
      </c>
      <c r="H312" s="48" t="s">
        <v>93</v>
      </c>
      <c r="I312" s="52">
        <v>663.7</v>
      </c>
      <c r="J312" s="49">
        <v>34404.67</v>
      </c>
      <c r="K312" s="65">
        <v>612.9</v>
      </c>
      <c r="L312" s="65">
        <v>32755.09</v>
      </c>
      <c r="M312" s="65">
        <v>53.510000000000005</v>
      </c>
      <c r="N312" s="65">
        <v>2980.4400000000005</v>
      </c>
      <c r="O312" s="65">
        <v>666.41</v>
      </c>
      <c r="P312" s="65">
        <v>35735.53</v>
      </c>
      <c r="Q312" s="50">
        <v>34404.67</v>
      </c>
      <c r="R312" s="65">
        <v>0</v>
      </c>
      <c r="S312" s="65">
        <v>287.16999999999996</v>
      </c>
      <c r="T312" s="65">
        <v>1330.8600000000006</v>
      </c>
      <c r="U312" s="65">
        <v>0</v>
      </c>
      <c r="V312" s="65">
        <v>0</v>
      </c>
      <c r="W312" s="65">
        <v>0</v>
      </c>
      <c r="X312" s="65">
        <v>31424</v>
      </c>
      <c r="Y312" s="65">
        <v>2693</v>
      </c>
      <c r="Z312" s="65">
        <v>0</v>
      </c>
      <c r="AA312" s="51">
        <v>1</v>
      </c>
      <c r="AB312" s="102">
        <v>0</v>
      </c>
      <c r="AC312" s="81">
        <f t="shared" si="15"/>
        <v>37.634157631459978</v>
      </c>
      <c r="AD312" s="82">
        <f t="shared" si="16"/>
        <v>94.814285714285717</v>
      </c>
      <c r="AE312" s="218">
        <v>-3.8682539318063529E-2</v>
      </c>
      <c r="AF312">
        <v>10</v>
      </c>
      <c r="AH312" t="str">
        <f t="shared" si="14"/>
        <v>Halsi</v>
      </c>
      <c r="AJ312" s="72">
        <v>0</v>
      </c>
      <c r="AK312" s="72"/>
      <c r="AL312" s="72"/>
      <c r="AM312" s="72"/>
    </row>
    <row r="313" spans="1:39" x14ac:dyDescent="0.25">
      <c r="A313" s="37" t="s">
        <v>62</v>
      </c>
      <c r="B313" s="66" t="s">
        <v>1596</v>
      </c>
      <c r="C313" s="47">
        <v>1009</v>
      </c>
      <c r="D313" s="47" t="s">
        <v>244</v>
      </c>
      <c r="E313" s="41">
        <v>10090039</v>
      </c>
      <c r="F313" s="46" t="s">
        <v>1578</v>
      </c>
      <c r="G313" s="39" t="s">
        <v>92</v>
      </c>
      <c r="H313" s="48" t="s">
        <v>93</v>
      </c>
      <c r="I313" s="52">
        <v>108.80000000000003</v>
      </c>
      <c r="J313" s="49">
        <v>4364.6499999999996</v>
      </c>
      <c r="K313" s="65">
        <v>108.80000000000001</v>
      </c>
      <c r="L313" s="65">
        <v>4361.04</v>
      </c>
      <c r="M313" s="65">
        <v>0</v>
      </c>
      <c r="N313" s="65">
        <v>0</v>
      </c>
      <c r="O313" s="65">
        <v>108.80000000000001</v>
      </c>
      <c r="P313" s="65">
        <v>4361.04</v>
      </c>
      <c r="Q313" s="50">
        <v>4361.04</v>
      </c>
      <c r="R313" s="65">
        <v>0</v>
      </c>
      <c r="S313" s="65">
        <v>0</v>
      </c>
      <c r="T313" s="65">
        <v>0</v>
      </c>
      <c r="U313" s="65">
        <v>0</v>
      </c>
      <c r="V313" s="65">
        <v>0</v>
      </c>
      <c r="W313" s="65">
        <v>0</v>
      </c>
      <c r="X313" s="65">
        <v>4361</v>
      </c>
      <c r="Y313" s="65">
        <v>0</v>
      </c>
      <c r="Z313" s="65">
        <v>0</v>
      </c>
      <c r="AA313" s="51">
        <v>4</v>
      </c>
      <c r="AB313" s="102">
        <v>0</v>
      </c>
      <c r="AC313" s="81">
        <f t="shared" si="15"/>
        <v>474.3347573529411</v>
      </c>
      <c r="AD313" s="82">
        <f t="shared" si="16"/>
        <v>15.542857142857146</v>
      </c>
      <c r="AE313" s="218">
        <v>8.270995383363323E-4</v>
      </c>
      <c r="AF313">
        <v>1</v>
      </c>
      <c r="AH313" t="str">
        <f t="shared" si="14"/>
        <v>Halsi</v>
      </c>
      <c r="AJ313" s="72">
        <v>0</v>
      </c>
      <c r="AK313" s="72"/>
      <c r="AL313" s="72"/>
      <c r="AM313" s="72"/>
    </row>
    <row r="314" spans="1:39" x14ac:dyDescent="0.25">
      <c r="A314" s="37" t="s">
        <v>62</v>
      </c>
      <c r="B314" s="66" t="s">
        <v>1596</v>
      </c>
      <c r="C314" s="47">
        <v>1009</v>
      </c>
      <c r="D314" s="47" t="s">
        <v>244</v>
      </c>
      <c r="E314" s="41">
        <v>10090041</v>
      </c>
      <c r="F314" s="46" t="s">
        <v>266</v>
      </c>
      <c r="G314" s="39" t="s">
        <v>617</v>
      </c>
      <c r="H314" s="48" t="s">
        <v>98</v>
      </c>
      <c r="I314" s="52">
        <v>379.4</v>
      </c>
      <c r="J314" s="49">
        <v>11737.21</v>
      </c>
      <c r="K314" s="65">
        <v>0</v>
      </c>
      <c r="L314" s="65">
        <v>0</v>
      </c>
      <c r="M314" s="65">
        <v>0</v>
      </c>
      <c r="N314" s="65">
        <v>0</v>
      </c>
      <c r="O314" s="65">
        <v>0</v>
      </c>
      <c r="P314" s="65">
        <v>0</v>
      </c>
      <c r="Q314" s="50">
        <v>11737.21</v>
      </c>
      <c r="R314" s="65">
        <v>0</v>
      </c>
      <c r="S314" s="65">
        <v>0</v>
      </c>
      <c r="T314" s="65">
        <v>0</v>
      </c>
      <c r="U314" s="65">
        <v>0</v>
      </c>
      <c r="V314" s="65">
        <v>0</v>
      </c>
      <c r="W314" s="65">
        <v>0</v>
      </c>
      <c r="X314" s="65">
        <v>0</v>
      </c>
      <c r="Y314" s="65">
        <v>0</v>
      </c>
      <c r="Z314" s="65">
        <v>11737.21</v>
      </c>
      <c r="AA314" s="51">
        <v>0</v>
      </c>
      <c r="AB314" s="102">
        <v>0</v>
      </c>
      <c r="AC314" s="81">
        <f t="shared" si="15"/>
        <v>198.36318007380078</v>
      </c>
      <c r="AD314" s="82">
        <f t="shared" si="16"/>
        <v>54.199999999999996</v>
      </c>
      <c r="AE314" s="218">
        <v>0</v>
      </c>
      <c r="AF314">
        <v>0</v>
      </c>
      <c r="AH314" t="str">
        <f t="shared" si="14"/>
        <v>Halsi</v>
      </c>
      <c r="AJ314" s="72">
        <v>0</v>
      </c>
      <c r="AK314" s="72"/>
      <c r="AL314" s="72"/>
      <c r="AM314" s="72"/>
    </row>
    <row r="315" spans="1:39" x14ac:dyDescent="0.25">
      <c r="A315" s="37" t="s">
        <v>62</v>
      </c>
      <c r="B315" s="66" t="s">
        <v>1596</v>
      </c>
      <c r="C315" s="47">
        <v>1009</v>
      </c>
      <c r="D315" s="47" t="s">
        <v>244</v>
      </c>
      <c r="E315" s="41">
        <v>10090042</v>
      </c>
      <c r="F315" s="46" t="s">
        <v>267</v>
      </c>
      <c r="G315" s="39" t="s">
        <v>92</v>
      </c>
      <c r="H315" s="48" t="s">
        <v>93</v>
      </c>
      <c r="I315" s="52">
        <v>869.4</v>
      </c>
      <c r="J315" s="49">
        <v>38335.25</v>
      </c>
      <c r="K315" s="65">
        <v>883.68</v>
      </c>
      <c r="L315" s="65">
        <v>39634.259999999995</v>
      </c>
      <c r="M315" s="65">
        <v>2.59</v>
      </c>
      <c r="N315" s="65">
        <v>122.23000000000002</v>
      </c>
      <c r="O315" s="65">
        <v>886.27</v>
      </c>
      <c r="P315" s="65">
        <v>39756.49</v>
      </c>
      <c r="Q315" s="50">
        <v>38335.25</v>
      </c>
      <c r="R315" s="65">
        <v>0</v>
      </c>
      <c r="S315" s="65">
        <v>122.23000000000002</v>
      </c>
      <c r="T315" s="65">
        <v>1421.239999999998</v>
      </c>
      <c r="U315" s="65">
        <v>0</v>
      </c>
      <c r="V315" s="65">
        <v>0</v>
      </c>
      <c r="W315" s="65">
        <v>0</v>
      </c>
      <c r="X315" s="65">
        <v>38213</v>
      </c>
      <c r="Y315" s="65">
        <v>0</v>
      </c>
      <c r="Z315" s="65">
        <v>0</v>
      </c>
      <c r="AA315" s="51">
        <v>0</v>
      </c>
      <c r="AB315" s="102">
        <v>0</v>
      </c>
      <c r="AC315" s="81">
        <f t="shared" si="15"/>
        <v>0</v>
      </c>
      <c r="AD315" s="82">
        <f t="shared" si="16"/>
        <v>0</v>
      </c>
      <c r="AE315" s="218">
        <v>-3.7073972388337054E-2</v>
      </c>
      <c r="AF315">
        <v>5</v>
      </c>
      <c r="AH315" t="str">
        <f t="shared" si="14"/>
        <v>Halsi</v>
      </c>
      <c r="AJ315" s="72">
        <v>0</v>
      </c>
      <c r="AK315" s="72"/>
      <c r="AL315" s="72"/>
      <c r="AM315" s="72"/>
    </row>
    <row r="316" spans="1:39" x14ac:dyDescent="0.25">
      <c r="A316" s="37" t="s">
        <v>62</v>
      </c>
      <c r="B316" s="66" t="s">
        <v>1596</v>
      </c>
      <c r="C316" s="47">
        <v>1009</v>
      </c>
      <c r="D316" s="47" t="s">
        <v>244</v>
      </c>
      <c r="E316" s="41">
        <v>10090045</v>
      </c>
      <c r="F316" s="46" t="s">
        <v>1269</v>
      </c>
      <c r="G316" s="39" t="s">
        <v>92</v>
      </c>
      <c r="H316" s="48" t="s">
        <v>93</v>
      </c>
      <c r="I316" s="52">
        <v>87.499999999999986</v>
      </c>
      <c r="J316" s="49">
        <v>3634.93</v>
      </c>
      <c r="K316" s="65">
        <v>87.7</v>
      </c>
      <c r="L316" s="65">
        <v>3643.36</v>
      </c>
      <c r="M316" s="65">
        <v>0</v>
      </c>
      <c r="N316" s="65">
        <v>0</v>
      </c>
      <c r="O316" s="65">
        <v>87.7</v>
      </c>
      <c r="P316" s="65">
        <v>3643.36</v>
      </c>
      <c r="Q316" s="50">
        <v>3634.93</v>
      </c>
      <c r="R316" s="65">
        <v>0</v>
      </c>
      <c r="S316" s="65">
        <v>0</v>
      </c>
      <c r="T316" s="65">
        <v>8.430000000000291</v>
      </c>
      <c r="U316" s="65">
        <v>0</v>
      </c>
      <c r="V316" s="65">
        <v>0</v>
      </c>
      <c r="W316" s="65">
        <v>0</v>
      </c>
      <c r="X316" s="65">
        <v>3635</v>
      </c>
      <c r="Y316" s="65">
        <v>0</v>
      </c>
      <c r="Z316" s="65">
        <v>0</v>
      </c>
      <c r="AA316" s="51">
        <v>0</v>
      </c>
      <c r="AB316" s="102">
        <v>0</v>
      </c>
      <c r="AC316" s="81">
        <f t="shared" si="15"/>
        <v>508.89020000000005</v>
      </c>
      <c r="AD316" s="82">
        <f t="shared" si="16"/>
        <v>12.499999999999998</v>
      </c>
      <c r="AE316" s="218">
        <v>-2.3191643305373946E-3</v>
      </c>
      <c r="AF316">
        <v>1</v>
      </c>
      <c r="AH316" t="str">
        <f t="shared" si="14"/>
        <v>Halsi</v>
      </c>
      <c r="AJ316" s="72">
        <v>0</v>
      </c>
      <c r="AK316" s="72"/>
      <c r="AL316" s="72"/>
      <c r="AM316" s="72"/>
    </row>
    <row r="317" spans="1:39" x14ac:dyDescent="0.25">
      <c r="A317" s="37" t="s">
        <v>62</v>
      </c>
      <c r="B317" s="66" t="s">
        <v>1596</v>
      </c>
      <c r="C317" s="47">
        <v>1009</v>
      </c>
      <c r="D317" s="47" t="s">
        <v>244</v>
      </c>
      <c r="E317" s="41">
        <v>10090046</v>
      </c>
      <c r="F317" s="46" t="s">
        <v>268</v>
      </c>
      <c r="G317" s="39" t="s">
        <v>92</v>
      </c>
      <c r="H317" s="48" t="s">
        <v>93</v>
      </c>
      <c r="I317" s="52">
        <v>487</v>
      </c>
      <c r="J317" s="49">
        <v>23458.930000000004</v>
      </c>
      <c r="K317" s="65">
        <v>494.44999999999987</v>
      </c>
      <c r="L317" s="65">
        <v>24061.660000000003</v>
      </c>
      <c r="M317" s="65">
        <v>0</v>
      </c>
      <c r="N317" s="65">
        <v>0</v>
      </c>
      <c r="O317" s="65">
        <v>494.44999999999987</v>
      </c>
      <c r="P317" s="65">
        <v>24061.660000000003</v>
      </c>
      <c r="Q317" s="50">
        <v>23458.930000000004</v>
      </c>
      <c r="R317" s="65">
        <v>0</v>
      </c>
      <c r="S317" s="65">
        <v>0</v>
      </c>
      <c r="T317" s="65">
        <v>602.72999999999956</v>
      </c>
      <c r="U317" s="65">
        <v>0</v>
      </c>
      <c r="V317" s="65">
        <v>0</v>
      </c>
      <c r="W317" s="65">
        <v>0</v>
      </c>
      <c r="X317" s="65">
        <v>23459</v>
      </c>
      <c r="Y317" s="65">
        <v>0</v>
      </c>
      <c r="Z317" s="65">
        <v>0</v>
      </c>
      <c r="AA317" s="51">
        <v>0</v>
      </c>
      <c r="AB317" s="102">
        <v>0</v>
      </c>
      <c r="AC317" s="81">
        <f t="shared" si="15"/>
        <v>205.20542464065716</v>
      </c>
      <c r="AD317" s="82">
        <f t="shared" si="16"/>
        <v>69.571428571428569</v>
      </c>
      <c r="AE317" s="218">
        <v>-2.5692987702337636E-2</v>
      </c>
      <c r="AF317">
        <v>4</v>
      </c>
      <c r="AH317" t="str">
        <f t="shared" si="14"/>
        <v>Halsi</v>
      </c>
      <c r="AJ317" s="72">
        <v>0</v>
      </c>
      <c r="AK317" s="72"/>
      <c r="AL317" s="72"/>
      <c r="AM317" s="72"/>
    </row>
    <row r="318" spans="1:39" x14ac:dyDescent="0.25">
      <c r="A318" s="37" t="s">
        <v>62</v>
      </c>
      <c r="B318" s="66" t="s">
        <v>1596</v>
      </c>
      <c r="C318" s="47">
        <v>1009</v>
      </c>
      <c r="D318" s="47" t="s">
        <v>244</v>
      </c>
      <c r="E318" s="41">
        <v>10090047</v>
      </c>
      <c r="F318" s="46" t="s">
        <v>269</v>
      </c>
      <c r="G318" s="39" t="s">
        <v>92</v>
      </c>
      <c r="H318" s="48" t="s">
        <v>93</v>
      </c>
      <c r="I318" s="52">
        <v>285.99999999999994</v>
      </c>
      <c r="J318" s="49">
        <v>13008.58</v>
      </c>
      <c r="K318" s="65">
        <v>286.05</v>
      </c>
      <c r="L318" s="65">
        <v>13023.15</v>
      </c>
      <c r="M318" s="65">
        <v>7.9499999999999993</v>
      </c>
      <c r="N318" s="65">
        <v>359.59</v>
      </c>
      <c r="O318" s="65">
        <v>294</v>
      </c>
      <c r="P318" s="65">
        <v>13382.74</v>
      </c>
      <c r="Q318" s="50">
        <v>13008.58</v>
      </c>
      <c r="R318" s="65">
        <v>0</v>
      </c>
      <c r="S318" s="65">
        <v>359.59</v>
      </c>
      <c r="T318" s="65">
        <v>374.15999999999985</v>
      </c>
      <c r="U318" s="65">
        <v>0</v>
      </c>
      <c r="V318" s="65">
        <v>0</v>
      </c>
      <c r="W318" s="65">
        <v>0</v>
      </c>
      <c r="X318" s="65">
        <v>12649</v>
      </c>
      <c r="Y318" s="65">
        <v>0</v>
      </c>
      <c r="Z318" s="65">
        <v>0</v>
      </c>
      <c r="AA318" s="51">
        <v>0</v>
      </c>
      <c r="AB318" s="102">
        <v>0</v>
      </c>
      <c r="AC318" s="81">
        <f t="shared" si="15"/>
        <v>376.61203636363649</v>
      </c>
      <c r="AD318" s="82">
        <f t="shared" si="16"/>
        <v>40.857142857142847</v>
      </c>
      <c r="AE318" s="218">
        <v>-2.876255517512287E-2</v>
      </c>
      <c r="AF318">
        <v>15</v>
      </c>
      <c r="AH318" t="str">
        <f t="shared" si="14"/>
        <v>Halsi</v>
      </c>
      <c r="AJ318" s="72">
        <v>0</v>
      </c>
      <c r="AK318" s="72"/>
      <c r="AL318" s="72"/>
      <c r="AM318" s="72"/>
    </row>
    <row r="319" spans="1:39" x14ac:dyDescent="0.25">
      <c r="A319" s="37" t="s">
        <v>62</v>
      </c>
      <c r="B319" s="66" t="s">
        <v>1596</v>
      </c>
      <c r="C319" s="47">
        <v>1009</v>
      </c>
      <c r="D319" s="47" t="s">
        <v>244</v>
      </c>
      <c r="E319" s="41">
        <v>10090049</v>
      </c>
      <c r="F319" s="46" t="s">
        <v>270</v>
      </c>
      <c r="G319" s="39" t="s">
        <v>92</v>
      </c>
      <c r="H319" s="48" t="s">
        <v>93</v>
      </c>
      <c r="I319" s="52">
        <v>722.5</v>
      </c>
      <c r="J319" s="49">
        <v>39151.499999999993</v>
      </c>
      <c r="K319" s="65">
        <v>725.88</v>
      </c>
      <c r="L319" s="65">
        <v>41264.39</v>
      </c>
      <c r="M319" s="65">
        <v>6.62</v>
      </c>
      <c r="N319" s="65">
        <v>385.31000000000006</v>
      </c>
      <c r="O319" s="65">
        <v>732.5</v>
      </c>
      <c r="P319" s="65">
        <v>41649.699999999997</v>
      </c>
      <c r="Q319" s="50">
        <v>39151.499999999993</v>
      </c>
      <c r="R319" s="65">
        <v>0</v>
      </c>
      <c r="S319" s="65">
        <v>385.31000000000006</v>
      </c>
      <c r="T319" s="65">
        <v>2498.2000000000044</v>
      </c>
      <c r="U319" s="65">
        <v>0</v>
      </c>
      <c r="V319" s="65">
        <v>0</v>
      </c>
      <c r="W319" s="65">
        <v>0</v>
      </c>
      <c r="X319" s="65">
        <v>38766</v>
      </c>
      <c r="Y319" s="65">
        <v>0</v>
      </c>
      <c r="Z319" s="65">
        <v>0</v>
      </c>
      <c r="AA319" s="51">
        <v>0</v>
      </c>
      <c r="AB319" s="102">
        <v>0</v>
      </c>
      <c r="AC319" s="81">
        <f t="shared" si="15"/>
        <v>0</v>
      </c>
      <c r="AD319" s="82">
        <f t="shared" si="16"/>
        <v>0</v>
      </c>
      <c r="AE319" s="218">
        <v>-6.3808538625595573E-2</v>
      </c>
      <c r="AF319">
        <v>12</v>
      </c>
      <c r="AH319" t="str">
        <f t="shared" si="14"/>
        <v>Halsi</v>
      </c>
      <c r="AJ319" s="72">
        <v>0</v>
      </c>
      <c r="AK319" s="72"/>
      <c r="AL319" s="72"/>
      <c r="AM319" s="72"/>
    </row>
    <row r="320" spans="1:39" x14ac:dyDescent="0.25">
      <c r="A320" s="37" t="s">
        <v>62</v>
      </c>
      <c r="B320" s="66" t="s">
        <v>1596</v>
      </c>
      <c r="C320" s="47">
        <v>1009</v>
      </c>
      <c r="D320" s="47" t="s">
        <v>244</v>
      </c>
      <c r="E320" s="41">
        <v>10090055</v>
      </c>
      <c r="F320" s="46" t="s">
        <v>453</v>
      </c>
      <c r="G320" s="39" t="s">
        <v>617</v>
      </c>
      <c r="H320" s="48" t="s">
        <v>98</v>
      </c>
      <c r="I320" s="52">
        <v>358.70000000000005</v>
      </c>
      <c r="J320" s="49">
        <v>13769.619999999999</v>
      </c>
      <c r="K320" s="65">
        <v>0</v>
      </c>
      <c r="L320" s="65">
        <v>0</v>
      </c>
      <c r="M320" s="65">
        <v>0</v>
      </c>
      <c r="N320" s="65">
        <v>0</v>
      </c>
      <c r="O320" s="65">
        <v>0</v>
      </c>
      <c r="P320" s="65">
        <v>0</v>
      </c>
      <c r="Q320" s="50">
        <v>13769.619999999999</v>
      </c>
      <c r="R320" s="65">
        <v>0</v>
      </c>
      <c r="S320" s="65">
        <v>0</v>
      </c>
      <c r="T320" s="65">
        <v>0</v>
      </c>
      <c r="U320" s="65">
        <v>0</v>
      </c>
      <c r="V320" s="65">
        <v>0</v>
      </c>
      <c r="W320" s="65">
        <v>0</v>
      </c>
      <c r="X320" s="65">
        <v>0</v>
      </c>
      <c r="Y320" s="65">
        <v>0</v>
      </c>
      <c r="Z320" s="65">
        <v>13769.619999999999</v>
      </c>
      <c r="AA320" s="51">
        <v>0</v>
      </c>
      <c r="AB320" s="102">
        <v>0</v>
      </c>
      <c r="AC320" s="81">
        <f t="shared" si="15"/>
        <v>262.03352695846104</v>
      </c>
      <c r="AD320" s="82">
        <f t="shared" si="16"/>
        <v>51.242857142857147</v>
      </c>
      <c r="AE320" s="218">
        <v>0</v>
      </c>
      <c r="AF320">
        <v>0</v>
      </c>
      <c r="AH320" t="str">
        <f t="shared" si="14"/>
        <v>Halsi</v>
      </c>
      <c r="AJ320" s="72">
        <v>0</v>
      </c>
      <c r="AK320" s="72"/>
      <c r="AL320" s="72"/>
      <c r="AM320" s="72"/>
    </row>
    <row r="321" spans="1:39" x14ac:dyDescent="0.25">
      <c r="A321" s="37" t="s">
        <v>62</v>
      </c>
      <c r="B321" s="66" t="s">
        <v>1596</v>
      </c>
      <c r="C321" s="47">
        <v>1009</v>
      </c>
      <c r="D321" s="47" t="s">
        <v>244</v>
      </c>
      <c r="E321" s="41">
        <v>10090056</v>
      </c>
      <c r="F321" s="46" t="s">
        <v>464</v>
      </c>
      <c r="G321" s="39" t="s">
        <v>92</v>
      </c>
      <c r="H321" s="48" t="s">
        <v>93</v>
      </c>
      <c r="I321" s="52">
        <v>342.09999999999997</v>
      </c>
      <c r="J321" s="49">
        <v>14959.68</v>
      </c>
      <c r="K321" s="65">
        <v>388.14000000000004</v>
      </c>
      <c r="L321" s="65">
        <v>16616.96</v>
      </c>
      <c r="M321" s="65">
        <v>1.5400000000000003</v>
      </c>
      <c r="N321" s="65">
        <v>70.209999999999994</v>
      </c>
      <c r="O321" s="65">
        <v>389.68000000000006</v>
      </c>
      <c r="P321" s="65">
        <v>16687.169999999998</v>
      </c>
      <c r="Q321" s="50">
        <v>14959.68</v>
      </c>
      <c r="R321" s="65">
        <v>0</v>
      </c>
      <c r="S321" s="65">
        <v>70.209999999999994</v>
      </c>
      <c r="T321" s="65">
        <v>1727.489999999998</v>
      </c>
      <c r="U321" s="65">
        <v>0</v>
      </c>
      <c r="V321" s="65">
        <v>0</v>
      </c>
      <c r="W321" s="65">
        <v>0</v>
      </c>
      <c r="X321" s="65">
        <v>14889</v>
      </c>
      <c r="Y321" s="65">
        <v>0</v>
      </c>
      <c r="Z321" s="65">
        <v>0</v>
      </c>
      <c r="AA321" s="51">
        <v>0</v>
      </c>
      <c r="AB321" s="102">
        <v>0</v>
      </c>
      <c r="AC321" s="81">
        <f t="shared" si="15"/>
        <v>313.01195393159901</v>
      </c>
      <c r="AD321" s="82">
        <f t="shared" si="16"/>
        <v>48.871428571428567</v>
      </c>
      <c r="AE321" s="218">
        <v>-0.11547640056471782</v>
      </c>
      <c r="AF321">
        <v>4</v>
      </c>
      <c r="AH321" t="str">
        <f t="shared" si="14"/>
        <v>Halsi</v>
      </c>
      <c r="AJ321" s="72">
        <v>0</v>
      </c>
      <c r="AK321" s="72"/>
      <c r="AL321" s="72"/>
      <c r="AM321" s="72"/>
    </row>
    <row r="322" spans="1:39" x14ac:dyDescent="0.25">
      <c r="A322" s="37" t="s">
        <v>62</v>
      </c>
      <c r="B322" s="66" t="s">
        <v>1596</v>
      </c>
      <c r="C322" s="47">
        <v>1009</v>
      </c>
      <c r="D322" s="47" t="s">
        <v>244</v>
      </c>
      <c r="E322" s="41">
        <v>10090058</v>
      </c>
      <c r="F322" s="46" t="s">
        <v>514</v>
      </c>
      <c r="G322" s="39" t="s">
        <v>92</v>
      </c>
      <c r="H322" s="48" t="s">
        <v>93</v>
      </c>
      <c r="I322" s="52">
        <v>751.6</v>
      </c>
      <c r="J322" s="49">
        <v>33915.75</v>
      </c>
      <c r="K322" s="65">
        <v>752.7399999999999</v>
      </c>
      <c r="L322" s="65">
        <v>36308.989999999991</v>
      </c>
      <c r="M322" s="65">
        <v>0</v>
      </c>
      <c r="N322" s="65">
        <v>0</v>
      </c>
      <c r="O322" s="65">
        <v>752.7399999999999</v>
      </c>
      <c r="P322" s="65">
        <v>36308.989999999991</v>
      </c>
      <c r="Q322" s="50">
        <v>33915.75</v>
      </c>
      <c r="R322" s="65">
        <v>0</v>
      </c>
      <c r="S322" s="65">
        <v>0</v>
      </c>
      <c r="T322" s="65">
        <v>2393.2399999999907</v>
      </c>
      <c r="U322" s="65">
        <v>0</v>
      </c>
      <c r="V322" s="65">
        <v>0</v>
      </c>
      <c r="W322" s="65">
        <v>0</v>
      </c>
      <c r="X322" s="65">
        <v>33916</v>
      </c>
      <c r="Y322" s="65">
        <v>0</v>
      </c>
      <c r="Z322" s="65">
        <v>0</v>
      </c>
      <c r="AA322" s="51">
        <v>0</v>
      </c>
      <c r="AB322" s="102">
        <v>0</v>
      </c>
      <c r="AC322" s="81">
        <f t="shared" si="15"/>
        <v>0</v>
      </c>
      <c r="AD322" s="82">
        <f t="shared" si="16"/>
        <v>0</v>
      </c>
      <c r="AE322" s="218">
        <v>-7.0564265864679121E-2</v>
      </c>
      <c r="AF322">
        <v>3</v>
      </c>
      <c r="AH322" t="str">
        <f t="shared" si="14"/>
        <v>Halsi</v>
      </c>
      <c r="AJ322" s="72">
        <v>0</v>
      </c>
      <c r="AK322" s="72"/>
      <c r="AL322" s="72"/>
      <c r="AM322" s="72"/>
    </row>
    <row r="323" spans="1:39" x14ac:dyDescent="0.25">
      <c r="A323" s="37" t="s">
        <v>62</v>
      </c>
      <c r="B323" s="66" t="s">
        <v>1596</v>
      </c>
      <c r="C323" s="47">
        <v>1009</v>
      </c>
      <c r="D323" s="47" t="s">
        <v>244</v>
      </c>
      <c r="E323" s="41">
        <v>10090059</v>
      </c>
      <c r="F323" s="46" t="s">
        <v>1197</v>
      </c>
      <c r="G323" s="39" t="s">
        <v>92</v>
      </c>
      <c r="H323" s="48" t="s">
        <v>93</v>
      </c>
      <c r="I323" s="52">
        <v>350.90000000000003</v>
      </c>
      <c r="J323" s="49">
        <v>16954.71</v>
      </c>
      <c r="K323" s="65">
        <v>974.78000000000009</v>
      </c>
      <c r="L323" s="65">
        <v>73963.66</v>
      </c>
      <c r="M323" s="65">
        <v>0</v>
      </c>
      <c r="N323" s="65">
        <v>0</v>
      </c>
      <c r="O323" s="65">
        <v>974.78000000000009</v>
      </c>
      <c r="P323" s="65">
        <v>73963.66</v>
      </c>
      <c r="Q323" s="50">
        <v>16954.71</v>
      </c>
      <c r="R323" s="65">
        <v>0</v>
      </c>
      <c r="S323" s="65">
        <v>0</v>
      </c>
      <c r="T323" s="65">
        <v>57008.950000000004</v>
      </c>
      <c r="U323" s="65">
        <v>0</v>
      </c>
      <c r="V323" s="65">
        <v>0</v>
      </c>
      <c r="W323" s="65">
        <v>0</v>
      </c>
      <c r="X323" s="65">
        <v>16955</v>
      </c>
      <c r="Y323" s="65">
        <v>0</v>
      </c>
      <c r="Z323" s="65">
        <v>0</v>
      </c>
      <c r="AA323" s="51">
        <v>0</v>
      </c>
      <c r="AB323" s="102" t="s">
        <v>1600</v>
      </c>
      <c r="AC323" s="81">
        <f t="shared" si="15"/>
        <v>337.35475981761181</v>
      </c>
      <c r="AD323" s="82">
        <f t="shared" si="16"/>
        <v>50.128571428571433</v>
      </c>
      <c r="AE323" s="218">
        <v>-3.3624255442882838</v>
      </c>
      <c r="AF323">
        <v>8</v>
      </c>
      <c r="AH323" t="str">
        <f t="shared" ref="AH323:AH386" si="17">TEXT(D323,"0000")</f>
        <v>Halsi</v>
      </c>
      <c r="AJ323" s="72">
        <v>0</v>
      </c>
      <c r="AK323" s="72"/>
      <c r="AL323" s="72"/>
      <c r="AM323" s="72"/>
    </row>
    <row r="324" spans="1:39" x14ac:dyDescent="0.25">
      <c r="A324" s="37" t="s">
        <v>62</v>
      </c>
      <c r="B324" s="66" t="s">
        <v>1596</v>
      </c>
      <c r="C324" s="47">
        <v>1009</v>
      </c>
      <c r="D324" s="47" t="s">
        <v>244</v>
      </c>
      <c r="E324" s="41">
        <v>10090060</v>
      </c>
      <c r="F324" s="46" t="s">
        <v>522</v>
      </c>
      <c r="G324" s="39" t="s">
        <v>92</v>
      </c>
      <c r="H324" s="48" t="s">
        <v>93</v>
      </c>
      <c r="I324" s="52">
        <v>240.29999999999995</v>
      </c>
      <c r="J324" s="49">
        <v>11495.099999999999</v>
      </c>
      <c r="K324" s="65">
        <v>240.3</v>
      </c>
      <c r="L324" s="65">
        <v>11606.18</v>
      </c>
      <c r="M324" s="65">
        <v>0</v>
      </c>
      <c r="N324" s="65">
        <v>0</v>
      </c>
      <c r="O324" s="65">
        <v>240.3</v>
      </c>
      <c r="P324" s="65">
        <v>11606.18</v>
      </c>
      <c r="Q324" s="50">
        <v>11495.099999999999</v>
      </c>
      <c r="R324" s="65">
        <v>0</v>
      </c>
      <c r="S324" s="65">
        <v>0</v>
      </c>
      <c r="T324" s="65">
        <v>111.08000000000175</v>
      </c>
      <c r="U324" s="65">
        <v>0</v>
      </c>
      <c r="V324" s="65">
        <v>500</v>
      </c>
      <c r="W324" s="65">
        <v>0</v>
      </c>
      <c r="X324" s="65">
        <v>10995</v>
      </c>
      <c r="Y324" s="65">
        <v>0</v>
      </c>
      <c r="Z324" s="65">
        <v>0</v>
      </c>
      <c r="AA324" s="51">
        <v>0</v>
      </c>
      <c r="AB324" s="102">
        <v>0</v>
      </c>
      <c r="AC324" s="81">
        <f t="shared" ref="AC324:AC387" si="18">((IF(AD324=0,0,100-AD324))*7*(J324/I324))*2%</f>
        <v>439.80836204744077</v>
      </c>
      <c r="AD324" s="82">
        <f t="shared" ref="AD324:AD387" si="19">IF((I324/7)&gt;100,0,(I324/7))</f>
        <v>34.328571428571422</v>
      </c>
      <c r="AE324" s="218">
        <v>-9.6632478186359193E-3</v>
      </c>
      <c r="AF324">
        <v>1</v>
      </c>
      <c r="AH324" t="str">
        <f t="shared" si="17"/>
        <v>Halsi</v>
      </c>
      <c r="AJ324" s="72">
        <v>500</v>
      </c>
      <c r="AK324" s="72"/>
      <c r="AL324" s="72"/>
      <c r="AM324" s="72"/>
    </row>
    <row r="325" spans="1:39" x14ac:dyDescent="0.25">
      <c r="A325" s="37" t="s">
        <v>62</v>
      </c>
      <c r="B325" s="66" t="s">
        <v>1596</v>
      </c>
      <c r="C325" s="47">
        <v>1009</v>
      </c>
      <c r="D325" s="47" t="s">
        <v>244</v>
      </c>
      <c r="E325" s="41">
        <v>10090061</v>
      </c>
      <c r="F325" s="46" t="s">
        <v>548</v>
      </c>
      <c r="G325" s="39" t="s">
        <v>92</v>
      </c>
      <c r="H325" s="48" t="s">
        <v>93</v>
      </c>
      <c r="I325" s="52">
        <v>215.2</v>
      </c>
      <c r="J325" s="49">
        <v>10426.129999999999</v>
      </c>
      <c r="K325" s="65">
        <v>244.19999999999996</v>
      </c>
      <c r="L325" s="65">
        <v>12504.859999999999</v>
      </c>
      <c r="M325" s="65">
        <v>0</v>
      </c>
      <c r="N325" s="65">
        <v>0</v>
      </c>
      <c r="O325" s="65">
        <v>244.19999999999996</v>
      </c>
      <c r="P325" s="65">
        <v>12504.859999999999</v>
      </c>
      <c r="Q325" s="50">
        <v>10426.129999999999</v>
      </c>
      <c r="R325" s="65">
        <v>0</v>
      </c>
      <c r="S325" s="65">
        <v>0</v>
      </c>
      <c r="T325" s="65">
        <v>2078.7299999999996</v>
      </c>
      <c r="U325" s="65">
        <v>0</v>
      </c>
      <c r="V325" s="65">
        <v>500</v>
      </c>
      <c r="W325" s="65">
        <v>0</v>
      </c>
      <c r="X325" s="65">
        <v>9926</v>
      </c>
      <c r="Y325" s="65">
        <v>0</v>
      </c>
      <c r="Z325" s="65">
        <v>0</v>
      </c>
      <c r="AA325" s="51">
        <v>0</v>
      </c>
      <c r="AB325" s="102">
        <v>0</v>
      </c>
      <c r="AC325" s="81">
        <f t="shared" si="18"/>
        <v>469.75723271375472</v>
      </c>
      <c r="AD325" s="82">
        <f t="shared" si="19"/>
        <v>30.74285714285714</v>
      </c>
      <c r="AE325" s="218">
        <v>-0.19937695002843814</v>
      </c>
      <c r="AF325">
        <v>2</v>
      </c>
      <c r="AH325" t="str">
        <f t="shared" si="17"/>
        <v>Halsi</v>
      </c>
      <c r="AJ325" s="72">
        <v>500</v>
      </c>
      <c r="AK325" s="72"/>
      <c r="AL325" s="72"/>
      <c r="AM325" s="72"/>
    </row>
    <row r="326" spans="1:39" x14ac:dyDescent="0.25">
      <c r="A326" s="37" t="s">
        <v>62</v>
      </c>
      <c r="B326" s="66" t="s">
        <v>1596</v>
      </c>
      <c r="C326" s="47">
        <v>1009</v>
      </c>
      <c r="D326" s="47" t="s">
        <v>244</v>
      </c>
      <c r="E326" s="41">
        <v>10090063</v>
      </c>
      <c r="F326" s="46" t="s">
        <v>570</v>
      </c>
      <c r="G326" s="39" t="s">
        <v>92</v>
      </c>
      <c r="H326" s="48" t="s">
        <v>93</v>
      </c>
      <c r="I326" s="52">
        <v>183.6</v>
      </c>
      <c r="J326" s="49">
        <v>9687.7300000000014</v>
      </c>
      <c r="K326" s="65">
        <v>183.6</v>
      </c>
      <c r="L326" s="65">
        <v>9712.48</v>
      </c>
      <c r="M326" s="65">
        <v>0</v>
      </c>
      <c r="N326" s="65">
        <v>0</v>
      </c>
      <c r="O326" s="65">
        <v>183.6</v>
      </c>
      <c r="P326" s="65">
        <v>9712.48</v>
      </c>
      <c r="Q326" s="50">
        <v>9687.7300000000014</v>
      </c>
      <c r="R326" s="65">
        <v>0</v>
      </c>
      <c r="S326" s="65">
        <v>0</v>
      </c>
      <c r="T326" s="65">
        <v>24.749999999998181</v>
      </c>
      <c r="U326" s="65">
        <v>0</v>
      </c>
      <c r="V326" s="65">
        <v>500</v>
      </c>
      <c r="W326" s="65">
        <v>0</v>
      </c>
      <c r="X326" s="65">
        <v>9188</v>
      </c>
      <c r="Y326" s="65">
        <v>0</v>
      </c>
      <c r="Z326" s="65">
        <v>0</v>
      </c>
      <c r="AA326" s="51">
        <v>0</v>
      </c>
      <c r="AB326" s="102">
        <v>0</v>
      </c>
      <c r="AC326" s="81">
        <f t="shared" si="18"/>
        <v>544.96119520697175</v>
      </c>
      <c r="AD326" s="82">
        <f t="shared" si="19"/>
        <v>26.228571428571428</v>
      </c>
      <c r="AE326" s="218">
        <v>-2.5547780543014906E-3</v>
      </c>
      <c r="AF326">
        <v>1</v>
      </c>
      <c r="AH326" t="str">
        <f t="shared" si="17"/>
        <v>Halsi</v>
      </c>
      <c r="AJ326" s="72">
        <v>500</v>
      </c>
      <c r="AK326" s="72"/>
      <c r="AL326" s="72"/>
      <c r="AM326" s="72"/>
    </row>
    <row r="327" spans="1:39" x14ac:dyDescent="0.25">
      <c r="A327" s="37" t="s">
        <v>62</v>
      </c>
      <c r="B327" s="66" t="s">
        <v>1596</v>
      </c>
      <c r="C327" s="47">
        <v>1009</v>
      </c>
      <c r="D327" s="47" t="s">
        <v>244</v>
      </c>
      <c r="E327" s="41">
        <v>10090064</v>
      </c>
      <c r="F327" s="46" t="s">
        <v>571</v>
      </c>
      <c r="G327" s="39" t="s">
        <v>92</v>
      </c>
      <c r="H327" s="48" t="s">
        <v>93</v>
      </c>
      <c r="I327" s="52">
        <v>361.90000000000003</v>
      </c>
      <c r="J327" s="49">
        <v>16789.21</v>
      </c>
      <c r="K327" s="65">
        <v>373.15000000000003</v>
      </c>
      <c r="L327" s="65">
        <v>17392.209999999995</v>
      </c>
      <c r="M327" s="65">
        <v>0</v>
      </c>
      <c r="N327" s="65">
        <v>0</v>
      </c>
      <c r="O327" s="65">
        <v>373.15000000000003</v>
      </c>
      <c r="P327" s="65">
        <v>17392.209999999995</v>
      </c>
      <c r="Q327" s="50">
        <v>16789.21</v>
      </c>
      <c r="R327" s="65">
        <v>0</v>
      </c>
      <c r="S327" s="65">
        <v>0</v>
      </c>
      <c r="T327" s="65">
        <v>602.99999999999636</v>
      </c>
      <c r="U327" s="65">
        <v>0</v>
      </c>
      <c r="V327" s="65">
        <v>0</v>
      </c>
      <c r="W327" s="65">
        <v>0</v>
      </c>
      <c r="X327" s="65">
        <v>16789</v>
      </c>
      <c r="Y327" s="65">
        <v>0</v>
      </c>
      <c r="Z327" s="65">
        <v>0</v>
      </c>
      <c r="AA327" s="51">
        <v>0</v>
      </c>
      <c r="AB327" s="102">
        <v>0</v>
      </c>
      <c r="AC327" s="81">
        <f t="shared" si="18"/>
        <v>313.70168007736942</v>
      </c>
      <c r="AD327" s="82">
        <f t="shared" si="19"/>
        <v>51.7</v>
      </c>
      <c r="AE327" s="218">
        <v>-3.591592457298446E-2</v>
      </c>
      <c r="AF327">
        <v>1</v>
      </c>
      <c r="AH327" t="str">
        <f t="shared" si="17"/>
        <v>Halsi</v>
      </c>
      <c r="AJ327" s="72">
        <v>0</v>
      </c>
      <c r="AK327" s="72"/>
      <c r="AL327" s="72"/>
      <c r="AM327" s="72"/>
    </row>
    <row r="328" spans="1:39" x14ac:dyDescent="0.25">
      <c r="A328" s="37" t="s">
        <v>62</v>
      </c>
      <c r="B328" s="66" t="s">
        <v>1596</v>
      </c>
      <c r="C328" s="47">
        <v>1009</v>
      </c>
      <c r="D328" s="47" t="s">
        <v>244</v>
      </c>
      <c r="E328" s="41">
        <v>10090065</v>
      </c>
      <c r="F328" s="46" t="s">
        <v>647</v>
      </c>
      <c r="G328" s="39" t="s">
        <v>92</v>
      </c>
      <c r="H328" s="48" t="s">
        <v>93</v>
      </c>
      <c r="I328" s="52">
        <v>597.79999999999995</v>
      </c>
      <c r="J328" s="49">
        <v>26009.090000000004</v>
      </c>
      <c r="K328" s="65">
        <v>602.57000000000005</v>
      </c>
      <c r="L328" s="65">
        <v>27535.65</v>
      </c>
      <c r="M328" s="65">
        <v>0</v>
      </c>
      <c r="N328" s="65">
        <v>0</v>
      </c>
      <c r="O328" s="65">
        <v>602.57000000000005</v>
      </c>
      <c r="P328" s="65">
        <v>27535.65</v>
      </c>
      <c r="Q328" s="50">
        <v>26009.090000000004</v>
      </c>
      <c r="R328" s="65">
        <v>0</v>
      </c>
      <c r="S328" s="65">
        <v>0</v>
      </c>
      <c r="T328" s="65">
        <v>1526.5599999999977</v>
      </c>
      <c r="U328" s="65">
        <v>0</v>
      </c>
      <c r="V328" s="65">
        <v>0</v>
      </c>
      <c r="W328" s="65">
        <v>0</v>
      </c>
      <c r="X328" s="65">
        <v>26009</v>
      </c>
      <c r="Y328" s="65">
        <v>0</v>
      </c>
      <c r="Z328" s="65">
        <v>0</v>
      </c>
      <c r="AA328" s="51">
        <v>0</v>
      </c>
      <c r="AB328" s="102">
        <v>0</v>
      </c>
      <c r="AC328" s="81">
        <f t="shared" si="18"/>
        <v>88.930377985948539</v>
      </c>
      <c r="AD328" s="82">
        <f t="shared" si="19"/>
        <v>85.399999999999991</v>
      </c>
      <c r="AE328" s="218">
        <v>-5.8693326064079808E-2</v>
      </c>
      <c r="AF328">
        <v>2</v>
      </c>
      <c r="AH328" t="str">
        <f t="shared" si="17"/>
        <v>Halsi</v>
      </c>
      <c r="AJ328" s="72">
        <v>0</v>
      </c>
      <c r="AK328" s="72"/>
      <c r="AL328" s="72"/>
      <c r="AM328" s="72"/>
    </row>
    <row r="329" spans="1:39" x14ac:dyDescent="0.25">
      <c r="A329" s="37" t="s">
        <v>62</v>
      </c>
      <c r="B329" s="66" t="s">
        <v>1596</v>
      </c>
      <c r="C329" s="47">
        <v>1009</v>
      </c>
      <c r="D329" s="47" t="s">
        <v>244</v>
      </c>
      <c r="E329" s="41">
        <v>10090069</v>
      </c>
      <c r="F329" s="46" t="s">
        <v>1559</v>
      </c>
      <c r="G329" s="39" t="s">
        <v>617</v>
      </c>
      <c r="H329" s="48" t="s">
        <v>98</v>
      </c>
      <c r="I329" s="52">
        <v>950.5999999999998</v>
      </c>
      <c r="J329" s="49">
        <v>42330.5</v>
      </c>
      <c r="K329" s="65">
        <v>0</v>
      </c>
      <c r="L329" s="65">
        <v>0</v>
      </c>
      <c r="M329" s="65">
        <v>0</v>
      </c>
      <c r="N329" s="65">
        <v>0</v>
      </c>
      <c r="O329" s="65">
        <v>0</v>
      </c>
      <c r="P329" s="65">
        <v>0</v>
      </c>
      <c r="Q329" s="50">
        <v>42330.5</v>
      </c>
      <c r="R329" s="65">
        <v>0</v>
      </c>
      <c r="S329" s="65">
        <v>0</v>
      </c>
      <c r="T329" s="65">
        <v>0</v>
      </c>
      <c r="U329" s="65">
        <v>0</v>
      </c>
      <c r="V329" s="65">
        <v>0</v>
      </c>
      <c r="W329" s="65">
        <v>0</v>
      </c>
      <c r="X329" s="65">
        <v>0</v>
      </c>
      <c r="Y329" s="65">
        <v>0</v>
      </c>
      <c r="Z329" s="65">
        <v>42330.5</v>
      </c>
      <c r="AA329" s="51">
        <v>0</v>
      </c>
      <c r="AB329" s="102">
        <v>0</v>
      </c>
      <c r="AC329" s="81">
        <f t="shared" si="18"/>
        <v>0</v>
      </c>
      <c r="AD329" s="82">
        <f t="shared" si="19"/>
        <v>0</v>
      </c>
      <c r="AE329" s="218">
        <v>0</v>
      </c>
      <c r="AF329">
        <v>0</v>
      </c>
      <c r="AH329" t="str">
        <f t="shared" si="17"/>
        <v>Halsi</v>
      </c>
      <c r="AJ329" s="72">
        <v>0</v>
      </c>
      <c r="AK329" s="72"/>
      <c r="AL329" s="72"/>
      <c r="AM329" s="72"/>
    </row>
    <row r="330" spans="1:39" x14ac:dyDescent="0.25">
      <c r="A330" s="37" t="s">
        <v>62</v>
      </c>
      <c r="B330" s="66" t="s">
        <v>1596</v>
      </c>
      <c r="C330" s="47">
        <v>1009</v>
      </c>
      <c r="D330" s="47" t="s">
        <v>244</v>
      </c>
      <c r="E330" s="41">
        <v>10090072</v>
      </c>
      <c r="F330" s="46" t="s">
        <v>1255</v>
      </c>
      <c r="G330" s="39" t="s">
        <v>92</v>
      </c>
      <c r="H330" s="48" t="s">
        <v>93</v>
      </c>
      <c r="I330" s="52">
        <v>404.99999999999994</v>
      </c>
      <c r="J330" s="49">
        <v>16383.21</v>
      </c>
      <c r="K330" s="65">
        <v>429.1099999999999</v>
      </c>
      <c r="L330" s="65">
        <v>18429.97</v>
      </c>
      <c r="M330" s="65">
        <v>0</v>
      </c>
      <c r="N330" s="65">
        <v>0</v>
      </c>
      <c r="O330" s="65">
        <v>429.1099999999999</v>
      </c>
      <c r="P330" s="65">
        <v>18429.97</v>
      </c>
      <c r="Q330" s="50">
        <v>16383.21</v>
      </c>
      <c r="R330" s="65">
        <v>0</v>
      </c>
      <c r="S330" s="65">
        <v>0</v>
      </c>
      <c r="T330" s="65">
        <v>2046.760000000002</v>
      </c>
      <c r="U330" s="65">
        <v>0</v>
      </c>
      <c r="V330" s="65">
        <v>0</v>
      </c>
      <c r="W330" s="65">
        <v>0</v>
      </c>
      <c r="X330" s="65">
        <v>16383</v>
      </c>
      <c r="Y330" s="65">
        <v>0</v>
      </c>
      <c r="Z330" s="65">
        <v>0</v>
      </c>
      <c r="AA330" s="51">
        <v>0</v>
      </c>
      <c r="AB330" s="102">
        <v>0</v>
      </c>
      <c r="AC330" s="81">
        <f t="shared" si="18"/>
        <v>238.66898518518528</v>
      </c>
      <c r="AD330" s="82">
        <f t="shared" si="19"/>
        <v>57.857142857142847</v>
      </c>
      <c r="AE330" s="218">
        <v>-0.12493034026909269</v>
      </c>
      <c r="AF330">
        <v>1</v>
      </c>
      <c r="AH330" t="str">
        <f t="shared" si="17"/>
        <v>Halsi</v>
      </c>
      <c r="AJ330" s="72">
        <v>0</v>
      </c>
      <c r="AK330" s="72"/>
      <c r="AL330" s="72"/>
      <c r="AM330" s="72"/>
    </row>
    <row r="331" spans="1:39" x14ac:dyDescent="0.25">
      <c r="A331" s="37" t="s">
        <v>62</v>
      </c>
      <c r="B331" s="66" t="s">
        <v>1596</v>
      </c>
      <c r="C331" s="47">
        <v>1009</v>
      </c>
      <c r="D331" s="47" t="s">
        <v>244</v>
      </c>
      <c r="E331" s="41">
        <v>10090074</v>
      </c>
      <c r="F331" s="46" t="s">
        <v>1270</v>
      </c>
      <c r="G331" s="39" t="s">
        <v>92</v>
      </c>
      <c r="H331" s="48" t="s">
        <v>93</v>
      </c>
      <c r="I331" s="52">
        <v>420.2</v>
      </c>
      <c r="J331" s="49">
        <v>17964.560000000001</v>
      </c>
      <c r="K331" s="65">
        <v>463.65</v>
      </c>
      <c r="L331" s="65">
        <v>19982.660000000003</v>
      </c>
      <c r="M331" s="65">
        <v>0</v>
      </c>
      <c r="N331" s="65">
        <v>0</v>
      </c>
      <c r="O331" s="65">
        <v>463.65</v>
      </c>
      <c r="P331" s="65">
        <v>19982.660000000003</v>
      </c>
      <c r="Q331" s="50">
        <v>17964.560000000001</v>
      </c>
      <c r="R331" s="65">
        <v>0</v>
      </c>
      <c r="S331" s="65">
        <v>0</v>
      </c>
      <c r="T331" s="65">
        <v>2018.1000000000022</v>
      </c>
      <c r="U331" s="65">
        <v>0</v>
      </c>
      <c r="V331" s="65">
        <v>0</v>
      </c>
      <c r="W331" s="65">
        <v>0</v>
      </c>
      <c r="X331" s="65">
        <v>17965</v>
      </c>
      <c r="Y331" s="65">
        <v>0</v>
      </c>
      <c r="Z331" s="65">
        <v>0</v>
      </c>
      <c r="AA331" s="51">
        <v>0</v>
      </c>
      <c r="AB331" s="102">
        <v>0</v>
      </c>
      <c r="AC331" s="81">
        <f t="shared" si="18"/>
        <v>239.2424506425512</v>
      </c>
      <c r="AD331" s="82">
        <f t="shared" si="19"/>
        <v>60.028571428571425</v>
      </c>
      <c r="AE331" s="218">
        <v>-0.1123378474062266</v>
      </c>
      <c r="AF331">
        <v>3</v>
      </c>
      <c r="AH331" t="str">
        <f t="shared" si="17"/>
        <v>Halsi</v>
      </c>
      <c r="AJ331" s="72">
        <v>0</v>
      </c>
      <c r="AK331" s="72"/>
      <c r="AL331" s="72"/>
      <c r="AM331" s="72"/>
    </row>
    <row r="332" spans="1:39" x14ac:dyDescent="0.25">
      <c r="A332" s="37" t="s">
        <v>62</v>
      </c>
      <c r="B332" s="66" t="s">
        <v>1596</v>
      </c>
      <c r="C332" s="47">
        <v>1009</v>
      </c>
      <c r="D332" s="47" t="s">
        <v>244</v>
      </c>
      <c r="E332" s="41">
        <v>10090075</v>
      </c>
      <c r="F332" s="46" t="s">
        <v>1280</v>
      </c>
      <c r="G332" s="39" t="s">
        <v>92</v>
      </c>
      <c r="H332" s="48" t="s">
        <v>93</v>
      </c>
      <c r="I332" s="52">
        <v>532.90000000000009</v>
      </c>
      <c r="J332" s="49">
        <v>21434.63</v>
      </c>
      <c r="K332" s="65">
        <v>573.7700000000001</v>
      </c>
      <c r="L332" s="65">
        <v>25335.410000000003</v>
      </c>
      <c r="M332" s="65">
        <v>0</v>
      </c>
      <c r="N332" s="65">
        <v>0</v>
      </c>
      <c r="O332" s="65">
        <v>573.7700000000001</v>
      </c>
      <c r="P332" s="65">
        <v>25335.410000000003</v>
      </c>
      <c r="Q332" s="50">
        <v>21434.63</v>
      </c>
      <c r="R332" s="65">
        <v>0</v>
      </c>
      <c r="S332" s="65">
        <v>0</v>
      </c>
      <c r="T332" s="65">
        <v>3900.7800000000025</v>
      </c>
      <c r="U332" s="65">
        <v>0</v>
      </c>
      <c r="V332" s="65">
        <v>0</v>
      </c>
      <c r="W332" s="65">
        <v>0</v>
      </c>
      <c r="X332" s="65">
        <v>21435</v>
      </c>
      <c r="Y332" s="65">
        <v>0</v>
      </c>
      <c r="Z332" s="65">
        <v>0</v>
      </c>
      <c r="AA332" s="51">
        <v>0</v>
      </c>
      <c r="AB332" s="102">
        <v>0</v>
      </c>
      <c r="AC332" s="81">
        <f t="shared" si="18"/>
        <v>134.42396971289159</v>
      </c>
      <c r="AD332" s="82">
        <f t="shared" si="19"/>
        <v>76.128571428571448</v>
      </c>
      <c r="AE332" s="218">
        <v>-0.18198494678937785</v>
      </c>
      <c r="AF332">
        <v>1</v>
      </c>
      <c r="AH332" t="str">
        <f t="shared" si="17"/>
        <v>Halsi</v>
      </c>
      <c r="AJ332" s="72">
        <v>0</v>
      </c>
      <c r="AK332" s="72"/>
      <c r="AL332" s="72"/>
      <c r="AM332" s="72"/>
    </row>
    <row r="333" spans="1:39" x14ac:dyDescent="0.25">
      <c r="A333" s="37" t="s">
        <v>62</v>
      </c>
      <c r="B333" s="66" t="s">
        <v>1596</v>
      </c>
      <c r="C333" s="47">
        <v>1009</v>
      </c>
      <c r="D333" s="47" t="s">
        <v>244</v>
      </c>
      <c r="E333" s="41">
        <v>10090076</v>
      </c>
      <c r="F333" s="46" t="s">
        <v>1287</v>
      </c>
      <c r="G333" s="39" t="s">
        <v>617</v>
      </c>
      <c r="H333" s="48" t="s">
        <v>98</v>
      </c>
      <c r="I333" s="52">
        <v>10000</v>
      </c>
      <c r="J333" s="49">
        <v>409860</v>
      </c>
      <c r="K333" s="65">
        <v>0</v>
      </c>
      <c r="L333" s="65">
        <v>0</v>
      </c>
      <c r="M333" s="65">
        <v>0</v>
      </c>
      <c r="N333" s="65">
        <v>0</v>
      </c>
      <c r="O333" s="65">
        <v>0</v>
      </c>
      <c r="P333" s="65">
        <v>0</v>
      </c>
      <c r="Q333" s="50">
        <v>409860</v>
      </c>
      <c r="R333" s="65">
        <v>0</v>
      </c>
      <c r="S333" s="65">
        <v>0</v>
      </c>
      <c r="T333" s="65">
        <v>0</v>
      </c>
      <c r="U333" s="65">
        <v>0</v>
      </c>
      <c r="V333" s="65">
        <v>0</v>
      </c>
      <c r="W333" s="65">
        <v>0</v>
      </c>
      <c r="X333" s="65">
        <v>0</v>
      </c>
      <c r="Y333" s="65">
        <v>0</v>
      </c>
      <c r="Z333" s="65">
        <v>409860</v>
      </c>
      <c r="AA333" s="51">
        <v>0</v>
      </c>
      <c r="AB333" s="102">
        <v>0</v>
      </c>
      <c r="AC333" s="81">
        <f t="shared" si="18"/>
        <v>0</v>
      </c>
      <c r="AD333" s="82">
        <f t="shared" si="19"/>
        <v>0</v>
      </c>
      <c r="AE333" s="218">
        <v>0</v>
      </c>
      <c r="AF333">
        <v>0</v>
      </c>
      <c r="AH333" t="str">
        <f t="shared" si="17"/>
        <v>Halsi</v>
      </c>
      <c r="AJ333" s="72">
        <v>0</v>
      </c>
      <c r="AK333" s="72"/>
      <c r="AL333" s="72"/>
      <c r="AM333" s="72"/>
    </row>
    <row r="334" spans="1:39" x14ac:dyDescent="0.25">
      <c r="A334" s="37" t="s">
        <v>62</v>
      </c>
      <c r="B334" s="66" t="s">
        <v>1596</v>
      </c>
      <c r="C334" s="47">
        <v>1009</v>
      </c>
      <c r="D334" s="47" t="s">
        <v>244</v>
      </c>
      <c r="E334" s="41">
        <v>10090077</v>
      </c>
      <c r="F334" s="46" t="s">
        <v>1288</v>
      </c>
      <c r="G334" s="39" t="s">
        <v>617</v>
      </c>
      <c r="H334" s="48" t="s">
        <v>98</v>
      </c>
      <c r="I334" s="52">
        <v>11000</v>
      </c>
      <c r="J334" s="49">
        <v>453300</v>
      </c>
      <c r="K334" s="65">
        <v>0</v>
      </c>
      <c r="L334" s="65">
        <v>0</v>
      </c>
      <c r="M334" s="65">
        <v>0</v>
      </c>
      <c r="N334" s="65">
        <v>0</v>
      </c>
      <c r="O334" s="65">
        <v>0</v>
      </c>
      <c r="P334" s="65">
        <v>0</v>
      </c>
      <c r="Q334" s="50">
        <v>453300</v>
      </c>
      <c r="R334" s="65">
        <v>0</v>
      </c>
      <c r="S334" s="65">
        <v>0</v>
      </c>
      <c r="T334" s="65">
        <v>0</v>
      </c>
      <c r="U334" s="65">
        <v>0</v>
      </c>
      <c r="V334" s="65">
        <v>0</v>
      </c>
      <c r="W334" s="65">
        <v>0</v>
      </c>
      <c r="X334" s="65">
        <v>0</v>
      </c>
      <c r="Y334" s="65">
        <v>0</v>
      </c>
      <c r="Z334" s="65">
        <v>453300</v>
      </c>
      <c r="AA334" s="51">
        <v>0</v>
      </c>
      <c r="AB334" s="102">
        <v>0</v>
      </c>
      <c r="AC334" s="81">
        <f t="shared" si="18"/>
        <v>0</v>
      </c>
      <c r="AD334" s="82">
        <f t="shared" si="19"/>
        <v>0</v>
      </c>
      <c r="AE334" s="218">
        <v>0</v>
      </c>
      <c r="AF334">
        <v>0</v>
      </c>
      <c r="AH334" t="str">
        <f t="shared" si="17"/>
        <v>Halsi</v>
      </c>
      <c r="AJ334" s="72">
        <v>0</v>
      </c>
      <c r="AK334" s="72"/>
      <c r="AL334" s="72"/>
      <c r="AM334" s="72"/>
    </row>
    <row r="335" spans="1:39" x14ac:dyDescent="0.25">
      <c r="A335" s="37" t="s">
        <v>62</v>
      </c>
      <c r="B335" s="66" t="s">
        <v>1596</v>
      </c>
      <c r="C335" s="47">
        <v>1009</v>
      </c>
      <c r="D335" s="47" t="s">
        <v>244</v>
      </c>
      <c r="E335" s="41">
        <v>10090078</v>
      </c>
      <c r="F335" s="46" t="s">
        <v>1317</v>
      </c>
      <c r="G335" s="39" t="s">
        <v>92</v>
      </c>
      <c r="H335" s="48" t="s">
        <v>93</v>
      </c>
      <c r="I335" s="52">
        <v>238.89999999999998</v>
      </c>
      <c r="J335" s="49">
        <v>8612.9600000000028</v>
      </c>
      <c r="K335" s="65">
        <v>253.8</v>
      </c>
      <c r="L335" s="65">
        <v>9266.4</v>
      </c>
      <c r="M335" s="65">
        <v>0</v>
      </c>
      <c r="N335" s="65">
        <v>0</v>
      </c>
      <c r="O335" s="65">
        <v>253.8</v>
      </c>
      <c r="P335" s="65">
        <v>9266.4</v>
      </c>
      <c r="Q335" s="50">
        <v>8612.9600000000028</v>
      </c>
      <c r="R335" s="65">
        <v>0</v>
      </c>
      <c r="S335" s="65">
        <v>0</v>
      </c>
      <c r="T335" s="65">
        <v>653.43999999999687</v>
      </c>
      <c r="U335" s="65">
        <v>0</v>
      </c>
      <c r="V335" s="65">
        <v>0</v>
      </c>
      <c r="W335" s="65">
        <v>0</v>
      </c>
      <c r="X335" s="65">
        <v>8613</v>
      </c>
      <c r="Y335" s="65">
        <v>0</v>
      </c>
      <c r="Z335" s="65">
        <v>0</v>
      </c>
      <c r="AA335" s="51">
        <v>0</v>
      </c>
      <c r="AB335" s="102">
        <v>0</v>
      </c>
      <c r="AC335" s="81">
        <f t="shared" si="18"/>
        <v>332.47684018417755</v>
      </c>
      <c r="AD335" s="82">
        <f t="shared" si="19"/>
        <v>34.128571428571426</v>
      </c>
      <c r="AE335" s="218">
        <v>-7.5867065445560725E-2</v>
      </c>
      <c r="AF335">
        <v>1</v>
      </c>
      <c r="AH335" t="str">
        <f t="shared" si="17"/>
        <v>Halsi</v>
      </c>
      <c r="AJ335" s="72">
        <v>0</v>
      </c>
      <c r="AK335" s="72"/>
      <c r="AL335" s="72"/>
      <c r="AM335" s="72"/>
    </row>
    <row r="336" spans="1:39" x14ac:dyDescent="0.25">
      <c r="A336" s="37" t="s">
        <v>62</v>
      </c>
      <c r="B336" s="66" t="s">
        <v>1596</v>
      </c>
      <c r="C336" s="47">
        <v>1009</v>
      </c>
      <c r="D336" s="47" t="s">
        <v>244</v>
      </c>
      <c r="E336" s="41">
        <v>10090079</v>
      </c>
      <c r="F336" s="46" t="s">
        <v>1424</v>
      </c>
      <c r="G336" s="39" t="s">
        <v>92</v>
      </c>
      <c r="H336" s="48" t="s">
        <v>93</v>
      </c>
      <c r="I336" s="52">
        <v>295.5</v>
      </c>
      <c r="J336" s="49">
        <v>12046.460000000003</v>
      </c>
      <c r="K336" s="65">
        <v>295.5</v>
      </c>
      <c r="L336" s="65">
        <v>12035.130000000001</v>
      </c>
      <c r="M336" s="65">
        <v>0</v>
      </c>
      <c r="N336" s="65">
        <v>0</v>
      </c>
      <c r="O336" s="65">
        <v>295.5</v>
      </c>
      <c r="P336" s="65">
        <v>12035.130000000001</v>
      </c>
      <c r="Q336" s="50">
        <v>12035.130000000001</v>
      </c>
      <c r="R336" s="65">
        <v>0</v>
      </c>
      <c r="S336" s="65">
        <v>0</v>
      </c>
      <c r="T336" s="65">
        <v>0</v>
      </c>
      <c r="U336" s="65">
        <v>0</v>
      </c>
      <c r="V336" s="65">
        <v>0</v>
      </c>
      <c r="W336" s="65">
        <v>0</v>
      </c>
      <c r="X336" s="65">
        <v>12035</v>
      </c>
      <c r="Y336" s="65">
        <v>0</v>
      </c>
      <c r="Z336" s="65">
        <v>0</v>
      </c>
      <c r="AA336" s="51">
        <v>11</v>
      </c>
      <c r="AB336" s="102">
        <v>0</v>
      </c>
      <c r="AC336" s="81">
        <f t="shared" si="18"/>
        <v>329.79986937394256</v>
      </c>
      <c r="AD336" s="82">
        <f t="shared" si="19"/>
        <v>42.214285714285715</v>
      </c>
      <c r="AE336" s="218">
        <v>9.4052526634395026E-4</v>
      </c>
      <c r="AF336">
        <v>1</v>
      </c>
      <c r="AH336" t="str">
        <f t="shared" si="17"/>
        <v>Halsi</v>
      </c>
      <c r="AJ336" s="72">
        <v>0</v>
      </c>
      <c r="AK336" s="72"/>
      <c r="AL336" s="72"/>
      <c r="AM336" s="72"/>
    </row>
    <row r="337" spans="1:39" x14ac:dyDescent="0.25">
      <c r="A337" s="37" t="s">
        <v>62</v>
      </c>
      <c r="B337" s="66" t="s">
        <v>1596</v>
      </c>
      <c r="C337" s="47">
        <v>1009</v>
      </c>
      <c r="D337" s="47" t="s">
        <v>244</v>
      </c>
      <c r="E337" s="41">
        <v>10090080</v>
      </c>
      <c r="F337" s="46" t="s">
        <v>1493</v>
      </c>
      <c r="G337" s="39" t="s">
        <v>92</v>
      </c>
      <c r="H337" s="48" t="s">
        <v>93</v>
      </c>
      <c r="I337" s="52">
        <v>529.29999999999995</v>
      </c>
      <c r="J337" s="49">
        <v>26406.93</v>
      </c>
      <c r="K337" s="65">
        <v>449.2</v>
      </c>
      <c r="L337" s="65">
        <v>22751.489999999998</v>
      </c>
      <c r="M337" s="65">
        <v>79.900000000000006</v>
      </c>
      <c r="N337" s="65">
        <v>3642.99</v>
      </c>
      <c r="O337" s="65">
        <v>529.1</v>
      </c>
      <c r="P337" s="65">
        <v>26394.479999999996</v>
      </c>
      <c r="Q337" s="50">
        <v>26394.479999999996</v>
      </c>
      <c r="R337" s="65">
        <v>0</v>
      </c>
      <c r="S337" s="65">
        <v>0</v>
      </c>
      <c r="T337" s="65">
        <v>0</v>
      </c>
      <c r="U337" s="65">
        <v>0</v>
      </c>
      <c r="V337" s="65">
        <v>0</v>
      </c>
      <c r="W337" s="65">
        <v>0</v>
      </c>
      <c r="X337" s="65">
        <v>22752</v>
      </c>
      <c r="Y337" s="65">
        <v>3643</v>
      </c>
      <c r="Z337" s="65">
        <v>0</v>
      </c>
      <c r="AA337" s="51">
        <v>12</v>
      </c>
      <c r="AB337" s="102">
        <v>0</v>
      </c>
      <c r="AC337" s="81">
        <f t="shared" si="18"/>
        <v>170.32544685433592</v>
      </c>
      <c r="AD337" s="82">
        <f t="shared" si="19"/>
        <v>75.614285714285714</v>
      </c>
      <c r="AE337" s="218">
        <v>4.7146714896447128E-4</v>
      </c>
      <c r="AF337">
        <v>3</v>
      </c>
      <c r="AH337" t="str">
        <f t="shared" si="17"/>
        <v>Halsi</v>
      </c>
      <c r="AJ337" s="72">
        <v>0</v>
      </c>
      <c r="AK337" s="72"/>
      <c r="AL337" s="72"/>
      <c r="AM337" s="72"/>
    </row>
    <row r="338" spans="1:39" x14ac:dyDescent="0.25">
      <c r="A338" s="37" t="s">
        <v>62</v>
      </c>
      <c r="B338" s="66" t="s">
        <v>1596</v>
      </c>
      <c r="C338" s="47">
        <v>1010</v>
      </c>
      <c r="D338" s="47" t="s">
        <v>1311</v>
      </c>
      <c r="E338" s="41">
        <v>10100001</v>
      </c>
      <c r="F338" s="46" t="s">
        <v>602</v>
      </c>
      <c r="G338" s="39" t="s">
        <v>92</v>
      </c>
      <c r="H338" s="48" t="s">
        <v>93</v>
      </c>
      <c r="I338" s="52">
        <v>784.7</v>
      </c>
      <c r="J338" s="49">
        <v>30847.510000000002</v>
      </c>
      <c r="K338" s="65">
        <v>780.0100000000001</v>
      </c>
      <c r="L338" s="65">
        <v>32333.38</v>
      </c>
      <c r="M338" s="65">
        <v>4.1899999999999995</v>
      </c>
      <c r="N338" s="65">
        <v>172.89</v>
      </c>
      <c r="O338" s="65">
        <v>784.20000000000016</v>
      </c>
      <c r="P338" s="65">
        <v>32506.27</v>
      </c>
      <c r="Q338" s="50">
        <v>30847.510000000002</v>
      </c>
      <c r="R338" s="65">
        <v>0</v>
      </c>
      <c r="S338" s="65">
        <v>172.89</v>
      </c>
      <c r="T338" s="65">
        <v>1658.7599999999984</v>
      </c>
      <c r="U338" s="65">
        <v>0</v>
      </c>
      <c r="V338" s="65">
        <v>0</v>
      </c>
      <c r="W338" s="65">
        <v>0</v>
      </c>
      <c r="X338" s="65">
        <v>30675</v>
      </c>
      <c r="Y338" s="65">
        <v>0</v>
      </c>
      <c r="Z338" s="65">
        <v>0</v>
      </c>
      <c r="AA338" s="51">
        <v>0</v>
      </c>
      <c r="AB338" s="102" t="s">
        <v>1598</v>
      </c>
      <c r="AC338" s="81">
        <f t="shared" si="18"/>
        <v>0</v>
      </c>
      <c r="AD338" s="82">
        <f t="shared" si="19"/>
        <v>0</v>
      </c>
      <c r="AE338" s="218">
        <v>-5.377289771524503E-2</v>
      </c>
      <c r="AF338">
        <v>10</v>
      </c>
      <c r="AH338" t="str">
        <f t="shared" si="17"/>
        <v>Parbatta</v>
      </c>
      <c r="AJ338" s="72">
        <v>0</v>
      </c>
      <c r="AK338" s="72"/>
      <c r="AL338" s="72"/>
      <c r="AM338" s="72"/>
    </row>
    <row r="339" spans="1:39" x14ac:dyDescent="0.25">
      <c r="A339" s="37" t="s">
        <v>62</v>
      </c>
      <c r="B339" s="66" t="s">
        <v>1596</v>
      </c>
      <c r="C339" s="47">
        <v>1010</v>
      </c>
      <c r="D339" s="47" t="s">
        <v>1311</v>
      </c>
      <c r="E339" s="41">
        <v>10100003</v>
      </c>
      <c r="F339" s="46" t="s">
        <v>271</v>
      </c>
      <c r="G339" s="39" t="s">
        <v>92</v>
      </c>
      <c r="H339" s="48" t="s">
        <v>93</v>
      </c>
      <c r="I339" s="52">
        <v>1686.7999999999997</v>
      </c>
      <c r="J339" s="49">
        <v>70034.95</v>
      </c>
      <c r="K339" s="65">
        <v>2901.9</v>
      </c>
      <c r="L339" s="65">
        <v>140897.57</v>
      </c>
      <c r="M339" s="65">
        <v>6.5</v>
      </c>
      <c r="N339" s="65">
        <v>316.28999999999991</v>
      </c>
      <c r="O339" s="65">
        <v>2908.4</v>
      </c>
      <c r="P339" s="65">
        <v>141213.86000000002</v>
      </c>
      <c r="Q339" s="50">
        <v>70034.95</v>
      </c>
      <c r="R339" s="65">
        <v>0</v>
      </c>
      <c r="S339" s="65">
        <v>316.28999999999991</v>
      </c>
      <c r="T339" s="65">
        <v>71178.910000000018</v>
      </c>
      <c r="U339" s="65">
        <v>0</v>
      </c>
      <c r="V339" s="65">
        <v>0</v>
      </c>
      <c r="W339" s="65">
        <v>0</v>
      </c>
      <c r="X339" s="65">
        <v>69719</v>
      </c>
      <c r="Y339" s="65">
        <v>0</v>
      </c>
      <c r="Z339" s="65">
        <v>0</v>
      </c>
      <c r="AA339" s="51">
        <v>0</v>
      </c>
      <c r="AB339" s="102">
        <v>0</v>
      </c>
      <c r="AC339" s="81">
        <f t="shared" si="18"/>
        <v>0</v>
      </c>
      <c r="AD339" s="82">
        <f t="shared" si="19"/>
        <v>0</v>
      </c>
      <c r="AE339" s="218">
        <v>-1.0163341303163638</v>
      </c>
      <c r="AF339">
        <v>5</v>
      </c>
      <c r="AH339" t="str">
        <f t="shared" si="17"/>
        <v>Parbatta</v>
      </c>
      <c r="AJ339" s="72">
        <v>0</v>
      </c>
      <c r="AK339" s="72"/>
      <c r="AL339" s="72"/>
      <c r="AM339" s="72"/>
    </row>
    <row r="340" spans="1:39" x14ac:dyDescent="0.25">
      <c r="A340" s="37" t="s">
        <v>62</v>
      </c>
      <c r="B340" s="66" t="s">
        <v>1596</v>
      </c>
      <c r="C340" s="47">
        <v>1010</v>
      </c>
      <c r="D340" s="47" t="s">
        <v>1311</v>
      </c>
      <c r="E340" s="41">
        <v>10100004</v>
      </c>
      <c r="F340" s="46" t="s">
        <v>272</v>
      </c>
      <c r="G340" s="39" t="s">
        <v>617</v>
      </c>
      <c r="H340" s="48" t="s">
        <v>98</v>
      </c>
      <c r="I340" s="52">
        <v>127</v>
      </c>
      <c r="J340" s="49">
        <v>4830.41</v>
      </c>
      <c r="K340" s="65">
        <v>0</v>
      </c>
      <c r="L340" s="65">
        <v>0</v>
      </c>
      <c r="M340" s="65">
        <v>0</v>
      </c>
      <c r="N340" s="65">
        <v>0</v>
      </c>
      <c r="O340" s="65">
        <v>0</v>
      </c>
      <c r="P340" s="65">
        <v>0</v>
      </c>
      <c r="Q340" s="50">
        <v>4830.41</v>
      </c>
      <c r="R340" s="65">
        <v>0</v>
      </c>
      <c r="S340" s="65">
        <v>0</v>
      </c>
      <c r="T340" s="65">
        <v>0</v>
      </c>
      <c r="U340" s="65">
        <v>0</v>
      </c>
      <c r="V340" s="65">
        <v>0</v>
      </c>
      <c r="W340" s="65">
        <v>0</v>
      </c>
      <c r="X340" s="65">
        <v>0</v>
      </c>
      <c r="Y340" s="65">
        <v>0</v>
      </c>
      <c r="Z340" s="65">
        <v>4830.41</v>
      </c>
      <c r="AA340" s="51">
        <v>0</v>
      </c>
      <c r="AB340" s="102">
        <v>0</v>
      </c>
      <c r="AC340" s="81">
        <f t="shared" si="18"/>
        <v>435.87794173228349</v>
      </c>
      <c r="AD340" s="82">
        <f t="shared" si="19"/>
        <v>18.142857142857142</v>
      </c>
      <c r="AE340" s="218">
        <v>0</v>
      </c>
      <c r="AF340">
        <v>0</v>
      </c>
      <c r="AH340" t="str">
        <f t="shared" si="17"/>
        <v>Parbatta</v>
      </c>
      <c r="AJ340" s="72">
        <v>0</v>
      </c>
      <c r="AK340" s="72"/>
      <c r="AL340" s="72"/>
      <c r="AM340" s="72"/>
    </row>
    <row r="341" spans="1:39" x14ac:dyDescent="0.25">
      <c r="A341" s="37" t="s">
        <v>62</v>
      </c>
      <c r="B341" s="66" t="s">
        <v>1596</v>
      </c>
      <c r="C341" s="47">
        <v>1010</v>
      </c>
      <c r="D341" s="47" t="s">
        <v>1311</v>
      </c>
      <c r="E341" s="41">
        <v>10100009</v>
      </c>
      <c r="F341" s="46" t="s">
        <v>274</v>
      </c>
      <c r="G341" s="39" t="s">
        <v>92</v>
      </c>
      <c r="H341" s="48" t="s">
        <v>93</v>
      </c>
      <c r="I341" s="52">
        <v>1329.6</v>
      </c>
      <c r="J341" s="49">
        <v>51922.530000000006</v>
      </c>
      <c r="K341" s="65">
        <v>1369.79</v>
      </c>
      <c r="L341" s="65">
        <v>58163.94</v>
      </c>
      <c r="M341" s="65">
        <v>0</v>
      </c>
      <c r="N341" s="65">
        <v>0</v>
      </c>
      <c r="O341" s="65">
        <v>1369.79</v>
      </c>
      <c r="P341" s="65">
        <v>58163.94</v>
      </c>
      <c r="Q341" s="50">
        <v>51922.530000000006</v>
      </c>
      <c r="R341" s="65">
        <v>0</v>
      </c>
      <c r="S341" s="65">
        <v>0</v>
      </c>
      <c r="T341" s="65">
        <v>6241.4099999999962</v>
      </c>
      <c r="U341" s="65">
        <v>0</v>
      </c>
      <c r="V341" s="65">
        <v>0</v>
      </c>
      <c r="W341" s="65">
        <v>0</v>
      </c>
      <c r="X341" s="65">
        <v>51923</v>
      </c>
      <c r="Y341" s="65">
        <v>0</v>
      </c>
      <c r="Z341" s="65">
        <v>0</v>
      </c>
      <c r="AA341" s="51">
        <v>0</v>
      </c>
      <c r="AB341" s="102">
        <v>0</v>
      </c>
      <c r="AC341" s="81">
        <f t="shared" si="18"/>
        <v>0</v>
      </c>
      <c r="AD341" s="82">
        <f t="shared" si="19"/>
        <v>0</v>
      </c>
      <c r="AE341" s="218">
        <v>-0.12020619950530137</v>
      </c>
      <c r="AF341">
        <v>3</v>
      </c>
      <c r="AH341" t="str">
        <f t="shared" si="17"/>
        <v>Parbatta</v>
      </c>
      <c r="AJ341" s="72">
        <v>0</v>
      </c>
      <c r="AK341" s="72"/>
      <c r="AL341" s="72"/>
      <c r="AM341" s="72"/>
    </row>
    <row r="342" spans="1:39" x14ac:dyDescent="0.25">
      <c r="A342" s="37" t="s">
        <v>62</v>
      </c>
      <c r="B342" s="66" t="s">
        <v>1596</v>
      </c>
      <c r="C342" s="47">
        <v>1010</v>
      </c>
      <c r="D342" s="47" t="s">
        <v>1311</v>
      </c>
      <c r="E342" s="41">
        <v>10100014</v>
      </c>
      <c r="F342" s="46" t="s">
        <v>1207</v>
      </c>
      <c r="G342" s="39" t="s">
        <v>92</v>
      </c>
      <c r="H342" s="48" t="s">
        <v>93</v>
      </c>
      <c r="I342" s="52">
        <v>416.7</v>
      </c>
      <c r="J342" s="49">
        <v>17370.439999999999</v>
      </c>
      <c r="K342" s="65">
        <v>416.53000000000003</v>
      </c>
      <c r="L342" s="65">
        <v>17130.95</v>
      </c>
      <c r="M342" s="65">
        <v>0</v>
      </c>
      <c r="N342" s="65">
        <v>0</v>
      </c>
      <c r="O342" s="65">
        <v>416.53000000000003</v>
      </c>
      <c r="P342" s="65">
        <v>17130.95</v>
      </c>
      <c r="Q342" s="50">
        <v>17130.95</v>
      </c>
      <c r="R342" s="65">
        <v>0</v>
      </c>
      <c r="S342" s="65">
        <v>0</v>
      </c>
      <c r="T342" s="65">
        <v>0</v>
      </c>
      <c r="U342" s="65">
        <v>0</v>
      </c>
      <c r="V342" s="65">
        <v>0</v>
      </c>
      <c r="W342" s="65">
        <v>0</v>
      </c>
      <c r="X342" s="65">
        <v>17130</v>
      </c>
      <c r="Y342" s="65">
        <v>0</v>
      </c>
      <c r="Z342" s="65">
        <v>0</v>
      </c>
      <c r="AA342" s="51">
        <v>240</v>
      </c>
      <c r="AB342" s="102">
        <v>0</v>
      </c>
      <c r="AC342" s="81">
        <f t="shared" si="18"/>
        <v>236.19129599232065</v>
      </c>
      <c r="AD342" s="82">
        <f t="shared" si="19"/>
        <v>59.528571428571425</v>
      </c>
      <c r="AE342" s="218">
        <v>1.3787215522462181E-2</v>
      </c>
      <c r="AF342">
        <v>5</v>
      </c>
      <c r="AH342" t="str">
        <f t="shared" si="17"/>
        <v>Parbatta</v>
      </c>
      <c r="AJ342" s="72">
        <v>0</v>
      </c>
      <c r="AK342" s="72"/>
      <c r="AL342" s="72"/>
      <c r="AM342" s="72"/>
    </row>
    <row r="343" spans="1:39" x14ac:dyDescent="0.25">
      <c r="A343" s="37" t="s">
        <v>62</v>
      </c>
      <c r="B343" s="66" t="s">
        <v>1596</v>
      </c>
      <c r="C343" s="47">
        <v>1010</v>
      </c>
      <c r="D343" s="47" t="s">
        <v>1311</v>
      </c>
      <c r="E343" s="41">
        <v>10100016</v>
      </c>
      <c r="F343" s="46" t="s">
        <v>1248</v>
      </c>
      <c r="G343" s="39" t="s">
        <v>92</v>
      </c>
      <c r="H343" s="48" t="s">
        <v>93</v>
      </c>
      <c r="I343" s="52">
        <v>299.3</v>
      </c>
      <c r="J343" s="49">
        <v>12655.5</v>
      </c>
      <c r="K343" s="65">
        <v>299.89999999999998</v>
      </c>
      <c r="L343" s="65">
        <v>12726.18</v>
      </c>
      <c r="M343" s="65">
        <v>0</v>
      </c>
      <c r="N343" s="65">
        <v>0</v>
      </c>
      <c r="O343" s="65">
        <v>299.89999999999998</v>
      </c>
      <c r="P343" s="65">
        <v>12726.18</v>
      </c>
      <c r="Q343" s="50">
        <v>12655.5</v>
      </c>
      <c r="R343" s="65">
        <v>0</v>
      </c>
      <c r="S343" s="65">
        <v>0</v>
      </c>
      <c r="T343" s="65">
        <v>70.680000000000291</v>
      </c>
      <c r="U343" s="65">
        <v>0</v>
      </c>
      <c r="V343" s="65">
        <v>0</v>
      </c>
      <c r="W343" s="65">
        <v>0</v>
      </c>
      <c r="X343" s="65">
        <v>12655</v>
      </c>
      <c r="Y343" s="65">
        <v>0</v>
      </c>
      <c r="Z343" s="65">
        <v>0</v>
      </c>
      <c r="AA343" s="51">
        <v>1</v>
      </c>
      <c r="AB343" s="102">
        <v>0</v>
      </c>
      <c r="AC343" s="81">
        <f t="shared" si="18"/>
        <v>338.86126628800531</v>
      </c>
      <c r="AD343" s="82">
        <f t="shared" si="19"/>
        <v>42.75714285714286</v>
      </c>
      <c r="AE343" s="218">
        <v>-5.5849235510252691E-3</v>
      </c>
      <c r="AF343">
        <v>2</v>
      </c>
      <c r="AH343" t="str">
        <f t="shared" si="17"/>
        <v>Parbatta</v>
      </c>
      <c r="AJ343" s="72">
        <v>0</v>
      </c>
      <c r="AK343" s="72"/>
      <c r="AL343" s="72"/>
      <c r="AM343" s="72"/>
    </row>
    <row r="344" spans="1:39" x14ac:dyDescent="0.25">
      <c r="A344" s="37" t="s">
        <v>62</v>
      </c>
      <c r="B344" s="66" t="s">
        <v>1596</v>
      </c>
      <c r="C344" s="47">
        <v>1010</v>
      </c>
      <c r="D344" s="47" t="s">
        <v>1311</v>
      </c>
      <c r="E344" s="41">
        <v>10100021</v>
      </c>
      <c r="F344" s="46" t="s">
        <v>276</v>
      </c>
      <c r="G344" s="39" t="s">
        <v>92</v>
      </c>
      <c r="H344" s="48" t="s">
        <v>93</v>
      </c>
      <c r="I344" s="52">
        <v>552.89999999999986</v>
      </c>
      <c r="J344" s="49">
        <v>22841.15</v>
      </c>
      <c r="K344" s="65">
        <v>584.70000000000005</v>
      </c>
      <c r="L344" s="65">
        <v>24190.21</v>
      </c>
      <c r="M344" s="65">
        <v>1.4000000000000001</v>
      </c>
      <c r="N344" s="65">
        <v>58.53</v>
      </c>
      <c r="O344" s="65">
        <v>586.1</v>
      </c>
      <c r="P344" s="65">
        <v>24248.739999999998</v>
      </c>
      <c r="Q344" s="50">
        <v>22841.15</v>
      </c>
      <c r="R344" s="65">
        <v>0</v>
      </c>
      <c r="S344" s="65">
        <v>58.53</v>
      </c>
      <c r="T344" s="65">
        <v>1407.5899999999965</v>
      </c>
      <c r="U344" s="65">
        <v>0</v>
      </c>
      <c r="V344" s="65">
        <v>0</v>
      </c>
      <c r="W344" s="65">
        <v>0</v>
      </c>
      <c r="X344" s="65">
        <v>22783</v>
      </c>
      <c r="Y344" s="65">
        <v>0</v>
      </c>
      <c r="Z344" s="65">
        <v>0</v>
      </c>
      <c r="AA344" s="51">
        <v>0</v>
      </c>
      <c r="AB344" s="102" t="s">
        <v>1598</v>
      </c>
      <c r="AC344" s="81">
        <f t="shared" si="18"/>
        <v>121.53854820039805</v>
      </c>
      <c r="AD344" s="82">
        <f t="shared" si="19"/>
        <v>78.985714285714266</v>
      </c>
      <c r="AE344" s="218">
        <v>-6.1625180868738937E-2</v>
      </c>
      <c r="AF344">
        <v>4</v>
      </c>
      <c r="AH344" t="str">
        <f t="shared" si="17"/>
        <v>Parbatta</v>
      </c>
      <c r="AJ344" s="72">
        <v>0</v>
      </c>
      <c r="AK344" s="72"/>
      <c r="AL344" s="72"/>
      <c r="AM344" s="72"/>
    </row>
    <row r="345" spans="1:39" x14ac:dyDescent="0.25">
      <c r="A345" s="37" t="s">
        <v>62</v>
      </c>
      <c r="B345" s="66" t="s">
        <v>1596</v>
      </c>
      <c r="C345" s="47">
        <v>1010</v>
      </c>
      <c r="D345" s="47" t="s">
        <v>1311</v>
      </c>
      <c r="E345" s="41">
        <v>10100026</v>
      </c>
      <c r="F345" s="46" t="s">
        <v>1312</v>
      </c>
      <c r="G345" s="39" t="s">
        <v>617</v>
      </c>
      <c r="H345" s="48" t="s">
        <v>98</v>
      </c>
      <c r="I345" s="52">
        <v>818.9</v>
      </c>
      <c r="J345" s="49">
        <v>35911.519999999997</v>
      </c>
      <c r="K345" s="65">
        <v>0</v>
      </c>
      <c r="L345" s="65">
        <v>0</v>
      </c>
      <c r="M345" s="65">
        <v>0</v>
      </c>
      <c r="N345" s="65">
        <v>0</v>
      </c>
      <c r="O345" s="65">
        <v>0</v>
      </c>
      <c r="P345" s="65">
        <v>0</v>
      </c>
      <c r="Q345" s="50">
        <v>35911.519999999997</v>
      </c>
      <c r="R345" s="65">
        <v>0</v>
      </c>
      <c r="S345" s="65">
        <v>0</v>
      </c>
      <c r="T345" s="65">
        <v>0</v>
      </c>
      <c r="U345" s="65">
        <v>0</v>
      </c>
      <c r="V345" s="65">
        <v>0</v>
      </c>
      <c r="W345" s="65">
        <v>0</v>
      </c>
      <c r="X345" s="65">
        <v>0</v>
      </c>
      <c r="Y345" s="65">
        <v>0</v>
      </c>
      <c r="Z345" s="65">
        <v>35911.519999999997</v>
      </c>
      <c r="AA345" s="51">
        <v>0</v>
      </c>
      <c r="AB345" s="102">
        <v>0</v>
      </c>
      <c r="AC345" s="81">
        <f t="shared" si="18"/>
        <v>0</v>
      </c>
      <c r="AD345" s="82">
        <f t="shared" si="19"/>
        <v>0</v>
      </c>
      <c r="AE345" s="218">
        <v>0</v>
      </c>
      <c r="AF345">
        <v>0</v>
      </c>
      <c r="AH345" t="str">
        <f t="shared" si="17"/>
        <v>Parbatta</v>
      </c>
      <c r="AJ345" s="72">
        <v>0</v>
      </c>
      <c r="AK345" s="72"/>
      <c r="AL345" s="72"/>
      <c r="AM345" s="72"/>
    </row>
    <row r="346" spans="1:39" x14ac:dyDescent="0.25">
      <c r="A346" s="37" t="s">
        <v>62</v>
      </c>
      <c r="B346" s="66" t="s">
        <v>1596</v>
      </c>
      <c r="C346" s="47">
        <v>1010</v>
      </c>
      <c r="D346" s="47" t="s">
        <v>1311</v>
      </c>
      <c r="E346" s="41">
        <v>10100028</v>
      </c>
      <c r="F346" s="46" t="s">
        <v>1499</v>
      </c>
      <c r="G346" s="39" t="s">
        <v>617</v>
      </c>
      <c r="H346" s="48" t="s">
        <v>98</v>
      </c>
      <c r="I346" s="52">
        <v>344.4</v>
      </c>
      <c r="J346" s="49">
        <v>11829.65</v>
      </c>
      <c r="K346" s="65">
        <v>0</v>
      </c>
      <c r="L346" s="65">
        <v>0</v>
      </c>
      <c r="M346" s="65">
        <v>0</v>
      </c>
      <c r="N346" s="65">
        <v>0</v>
      </c>
      <c r="O346" s="65">
        <v>0</v>
      </c>
      <c r="P346" s="65">
        <v>0</v>
      </c>
      <c r="Q346" s="50">
        <v>11829.65</v>
      </c>
      <c r="R346" s="65">
        <v>0</v>
      </c>
      <c r="S346" s="65">
        <v>0</v>
      </c>
      <c r="T346" s="65">
        <v>0</v>
      </c>
      <c r="U346" s="65">
        <v>0</v>
      </c>
      <c r="V346" s="65">
        <v>0</v>
      </c>
      <c r="W346" s="65">
        <v>0</v>
      </c>
      <c r="X346" s="65">
        <v>0</v>
      </c>
      <c r="Y346" s="65">
        <v>0</v>
      </c>
      <c r="Z346" s="65">
        <v>11829.65</v>
      </c>
      <c r="AA346" s="51">
        <v>0</v>
      </c>
      <c r="AB346" s="102">
        <v>0</v>
      </c>
      <c r="AC346" s="81">
        <f t="shared" si="18"/>
        <v>244.28708130081304</v>
      </c>
      <c r="AD346" s="82">
        <f t="shared" si="19"/>
        <v>49.199999999999996</v>
      </c>
      <c r="AE346" s="218">
        <v>0</v>
      </c>
      <c r="AF346">
        <v>0</v>
      </c>
      <c r="AH346" t="str">
        <f t="shared" si="17"/>
        <v>Parbatta</v>
      </c>
      <c r="AJ346" s="72">
        <v>0</v>
      </c>
      <c r="AK346" s="72"/>
      <c r="AL346" s="72"/>
      <c r="AM346" s="72"/>
    </row>
    <row r="347" spans="1:39" x14ac:dyDescent="0.25">
      <c r="A347" s="37" t="s">
        <v>62</v>
      </c>
      <c r="B347" s="66" t="s">
        <v>1596</v>
      </c>
      <c r="C347" s="47">
        <v>1007</v>
      </c>
      <c r="D347" s="47" t="s">
        <v>203</v>
      </c>
      <c r="E347" s="41">
        <v>10100033</v>
      </c>
      <c r="F347" s="46" t="s">
        <v>278</v>
      </c>
      <c r="G347" s="39" t="s">
        <v>617</v>
      </c>
      <c r="H347" s="48" t="s">
        <v>98</v>
      </c>
      <c r="I347" s="52">
        <v>68.7</v>
      </c>
      <c r="J347" s="49">
        <v>2790.87</v>
      </c>
      <c r="K347" s="65">
        <v>0</v>
      </c>
      <c r="L347" s="65">
        <v>0</v>
      </c>
      <c r="M347" s="65">
        <v>0</v>
      </c>
      <c r="N347" s="65">
        <v>0</v>
      </c>
      <c r="O347" s="65">
        <v>0</v>
      </c>
      <c r="P347" s="65">
        <v>0</v>
      </c>
      <c r="Q347" s="50">
        <v>2790.87</v>
      </c>
      <c r="R347" s="65">
        <v>0</v>
      </c>
      <c r="S347" s="65">
        <v>0</v>
      </c>
      <c r="T347" s="65">
        <v>0</v>
      </c>
      <c r="U347" s="65">
        <v>0</v>
      </c>
      <c r="V347" s="65">
        <v>0</v>
      </c>
      <c r="W347" s="65">
        <v>0</v>
      </c>
      <c r="X347" s="65">
        <v>0</v>
      </c>
      <c r="Y347" s="65">
        <v>0</v>
      </c>
      <c r="Z347" s="65">
        <v>2790.87</v>
      </c>
      <c r="AA347" s="51">
        <v>0</v>
      </c>
      <c r="AB347" s="102">
        <v>0</v>
      </c>
      <c r="AC347" s="81">
        <f t="shared" si="18"/>
        <v>512.91884454148465</v>
      </c>
      <c r="AD347" s="82">
        <f t="shared" si="19"/>
        <v>9.8142857142857149</v>
      </c>
      <c r="AE347" s="218">
        <v>0</v>
      </c>
      <c r="AF347">
        <v>0</v>
      </c>
      <c r="AH347" t="str">
        <f t="shared" si="17"/>
        <v>Araria</v>
      </c>
      <c r="AJ347" s="72">
        <v>0</v>
      </c>
      <c r="AK347" s="72"/>
      <c r="AL347" s="72"/>
      <c r="AM347" s="72"/>
    </row>
    <row r="348" spans="1:39" x14ac:dyDescent="0.25">
      <c r="A348" s="37" t="s">
        <v>62</v>
      </c>
      <c r="B348" s="66" t="s">
        <v>1596</v>
      </c>
      <c r="C348" s="47">
        <v>1007</v>
      </c>
      <c r="D348" s="47" t="s">
        <v>203</v>
      </c>
      <c r="E348" s="41">
        <v>10100035</v>
      </c>
      <c r="F348" s="46" t="s">
        <v>279</v>
      </c>
      <c r="G348" s="39" t="s">
        <v>92</v>
      </c>
      <c r="H348" s="48" t="s">
        <v>93</v>
      </c>
      <c r="I348" s="52">
        <v>677.5</v>
      </c>
      <c r="J348" s="49">
        <v>31613.499999999996</v>
      </c>
      <c r="K348" s="65">
        <v>677.5</v>
      </c>
      <c r="L348" s="65">
        <v>31705.840000000004</v>
      </c>
      <c r="M348" s="65">
        <v>0</v>
      </c>
      <c r="N348" s="65">
        <v>0</v>
      </c>
      <c r="O348" s="65">
        <v>677.5</v>
      </c>
      <c r="P348" s="65">
        <v>31705.840000000004</v>
      </c>
      <c r="Q348" s="50">
        <v>31613.499999999996</v>
      </c>
      <c r="R348" s="65">
        <v>0</v>
      </c>
      <c r="S348" s="65">
        <v>0</v>
      </c>
      <c r="T348" s="65">
        <v>92.340000000007421</v>
      </c>
      <c r="U348" s="65">
        <v>0</v>
      </c>
      <c r="V348" s="65">
        <v>0</v>
      </c>
      <c r="W348" s="65">
        <v>0</v>
      </c>
      <c r="X348" s="65">
        <v>31613</v>
      </c>
      <c r="Y348" s="65">
        <v>0</v>
      </c>
      <c r="Z348" s="65">
        <v>0</v>
      </c>
      <c r="AA348" s="51">
        <v>0</v>
      </c>
      <c r="AB348" s="102">
        <v>0</v>
      </c>
      <c r="AC348" s="81">
        <f t="shared" si="18"/>
        <v>20.99789667896675</v>
      </c>
      <c r="AD348" s="82">
        <f t="shared" si="19"/>
        <v>96.785714285714292</v>
      </c>
      <c r="AE348" s="218">
        <v>-2.920904044158585E-3</v>
      </c>
      <c r="AF348">
        <v>2</v>
      </c>
      <c r="AH348" t="str">
        <f t="shared" si="17"/>
        <v>Araria</v>
      </c>
      <c r="AJ348" s="72">
        <v>0</v>
      </c>
      <c r="AK348" s="72"/>
      <c r="AL348" s="72"/>
      <c r="AM348" s="72"/>
    </row>
    <row r="349" spans="1:39" x14ac:dyDescent="0.25">
      <c r="A349" s="37" t="s">
        <v>62</v>
      </c>
      <c r="B349" s="66" t="s">
        <v>1596</v>
      </c>
      <c r="C349" s="47">
        <v>1010</v>
      </c>
      <c r="D349" s="47" t="s">
        <v>1311</v>
      </c>
      <c r="E349" s="41">
        <v>10100037</v>
      </c>
      <c r="F349" s="46" t="s">
        <v>280</v>
      </c>
      <c r="G349" s="39" t="s">
        <v>92</v>
      </c>
      <c r="H349" s="48" t="s">
        <v>93</v>
      </c>
      <c r="I349" s="52">
        <v>240.7</v>
      </c>
      <c r="J349" s="49">
        <v>11390.31</v>
      </c>
      <c r="K349" s="65">
        <v>258.20000000000005</v>
      </c>
      <c r="L349" s="65">
        <v>12081.310000000001</v>
      </c>
      <c r="M349" s="65">
        <v>0</v>
      </c>
      <c r="N349" s="65">
        <v>0</v>
      </c>
      <c r="O349" s="65">
        <v>258.20000000000005</v>
      </c>
      <c r="P349" s="65">
        <v>12081.310000000001</v>
      </c>
      <c r="Q349" s="50">
        <v>11390.31</v>
      </c>
      <c r="R349" s="65">
        <v>0</v>
      </c>
      <c r="S349" s="65">
        <v>0</v>
      </c>
      <c r="T349" s="65">
        <v>691.00000000000182</v>
      </c>
      <c r="U349" s="65">
        <v>0</v>
      </c>
      <c r="V349" s="65">
        <v>500</v>
      </c>
      <c r="W349" s="65">
        <v>0</v>
      </c>
      <c r="X349" s="65">
        <v>10890</v>
      </c>
      <c r="Y349" s="65">
        <v>0</v>
      </c>
      <c r="Z349" s="65">
        <v>0</v>
      </c>
      <c r="AA349" s="51">
        <v>0</v>
      </c>
      <c r="AB349" s="102">
        <v>0</v>
      </c>
      <c r="AC349" s="81">
        <f t="shared" si="18"/>
        <v>434.69625118404656</v>
      </c>
      <c r="AD349" s="82">
        <f t="shared" si="19"/>
        <v>34.385714285714286</v>
      </c>
      <c r="AE349" s="218">
        <v>-6.0665600848440637E-2</v>
      </c>
      <c r="AF349">
        <v>2</v>
      </c>
      <c r="AH349" t="str">
        <f t="shared" si="17"/>
        <v>Parbatta</v>
      </c>
      <c r="AJ349" s="72">
        <v>500</v>
      </c>
      <c r="AK349" s="72"/>
      <c r="AL349" s="72"/>
      <c r="AM349" s="72"/>
    </row>
    <row r="350" spans="1:39" x14ac:dyDescent="0.25">
      <c r="A350" s="37" t="s">
        <v>62</v>
      </c>
      <c r="B350" s="66" t="s">
        <v>1596</v>
      </c>
      <c r="C350" s="47">
        <v>1007</v>
      </c>
      <c r="D350" s="47" t="s">
        <v>203</v>
      </c>
      <c r="E350" s="41">
        <v>10100044</v>
      </c>
      <c r="F350" s="46" t="s">
        <v>1249</v>
      </c>
      <c r="G350" s="39" t="s">
        <v>617</v>
      </c>
      <c r="H350" s="48" t="s">
        <v>98</v>
      </c>
      <c r="I350" s="52">
        <v>1245.3</v>
      </c>
      <c r="J350" s="49">
        <v>47582.34</v>
      </c>
      <c r="K350" s="65">
        <v>0</v>
      </c>
      <c r="L350" s="65">
        <v>0</v>
      </c>
      <c r="M350" s="65">
        <v>0</v>
      </c>
      <c r="N350" s="65">
        <v>0</v>
      </c>
      <c r="O350" s="65">
        <v>0</v>
      </c>
      <c r="P350" s="65">
        <v>0</v>
      </c>
      <c r="Q350" s="50">
        <v>47582.34</v>
      </c>
      <c r="R350" s="65">
        <v>0</v>
      </c>
      <c r="S350" s="65">
        <v>0</v>
      </c>
      <c r="T350" s="65">
        <v>0</v>
      </c>
      <c r="U350" s="65">
        <v>0</v>
      </c>
      <c r="V350" s="65">
        <v>0</v>
      </c>
      <c r="W350" s="65">
        <v>0</v>
      </c>
      <c r="X350" s="65">
        <v>0</v>
      </c>
      <c r="Y350" s="65">
        <v>0</v>
      </c>
      <c r="Z350" s="65">
        <v>47582.34</v>
      </c>
      <c r="AA350" s="51">
        <v>0</v>
      </c>
      <c r="AB350" s="102">
        <v>0</v>
      </c>
      <c r="AC350" s="81">
        <f t="shared" si="18"/>
        <v>0</v>
      </c>
      <c r="AD350" s="82">
        <f t="shared" si="19"/>
        <v>0</v>
      </c>
      <c r="AE350" s="218">
        <v>0</v>
      </c>
      <c r="AF350">
        <v>0</v>
      </c>
      <c r="AH350" t="str">
        <f t="shared" si="17"/>
        <v>Araria</v>
      </c>
      <c r="AJ350" s="72">
        <v>0</v>
      </c>
      <c r="AK350" s="72"/>
      <c r="AL350" s="72"/>
      <c r="AM350" s="72"/>
    </row>
    <row r="351" spans="1:39" x14ac:dyDescent="0.25">
      <c r="A351" s="37" t="s">
        <v>62</v>
      </c>
      <c r="B351" s="66" t="s">
        <v>1596</v>
      </c>
      <c r="C351" s="47">
        <v>1010</v>
      </c>
      <c r="D351" s="47" t="s">
        <v>1311</v>
      </c>
      <c r="E351" s="41">
        <v>10100045</v>
      </c>
      <c r="F351" s="46" t="s">
        <v>423</v>
      </c>
      <c r="G351" s="39" t="s">
        <v>92</v>
      </c>
      <c r="H351" s="48" t="s">
        <v>93</v>
      </c>
      <c r="I351" s="52">
        <v>1115.0999999999999</v>
      </c>
      <c r="J351" s="49">
        <v>42324.659999999996</v>
      </c>
      <c r="K351" s="65">
        <v>1587.8099999999997</v>
      </c>
      <c r="L351" s="65">
        <v>67693.339999999982</v>
      </c>
      <c r="M351" s="65">
        <v>4.32</v>
      </c>
      <c r="N351" s="65">
        <v>165.86</v>
      </c>
      <c r="O351" s="65">
        <v>1592.1299999999997</v>
      </c>
      <c r="P351" s="65">
        <v>67859.199999999983</v>
      </c>
      <c r="Q351" s="50">
        <v>42324.659999999996</v>
      </c>
      <c r="R351" s="65">
        <v>0</v>
      </c>
      <c r="S351" s="65">
        <v>165.86</v>
      </c>
      <c r="T351" s="65">
        <v>25534.539999999986</v>
      </c>
      <c r="U351" s="65">
        <v>0</v>
      </c>
      <c r="V351" s="65">
        <v>0</v>
      </c>
      <c r="W351" s="65">
        <v>0</v>
      </c>
      <c r="X351" s="65">
        <v>42159</v>
      </c>
      <c r="Y351" s="65">
        <v>0</v>
      </c>
      <c r="Z351" s="65">
        <v>0</v>
      </c>
      <c r="AA351" s="51">
        <v>0</v>
      </c>
      <c r="AB351" s="102">
        <v>0</v>
      </c>
      <c r="AC351" s="81">
        <f t="shared" si="18"/>
        <v>0</v>
      </c>
      <c r="AD351" s="82">
        <f t="shared" si="19"/>
        <v>0</v>
      </c>
      <c r="AE351" s="218">
        <v>-0.60330171583185754</v>
      </c>
      <c r="AF351">
        <v>4</v>
      </c>
      <c r="AH351" t="str">
        <f t="shared" si="17"/>
        <v>Parbatta</v>
      </c>
      <c r="AJ351" s="72">
        <v>0</v>
      </c>
      <c r="AK351" s="72"/>
      <c r="AL351" s="72"/>
      <c r="AM351" s="72"/>
    </row>
    <row r="352" spans="1:39" x14ac:dyDescent="0.25">
      <c r="A352" s="37" t="s">
        <v>62</v>
      </c>
      <c r="B352" s="66" t="s">
        <v>1596</v>
      </c>
      <c r="C352" s="47">
        <v>1007</v>
      </c>
      <c r="D352" s="47" t="s">
        <v>203</v>
      </c>
      <c r="E352" s="41">
        <v>10100049</v>
      </c>
      <c r="F352" s="46" t="s">
        <v>603</v>
      </c>
      <c r="G352" s="39" t="s">
        <v>92</v>
      </c>
      <c r="H352" s="48" t="s">
        <v>93</v>
      </c>
      <c r="I352" s="52">
        <v>1191.9999999999998</v>
      </c>
      <c r="J352" s="49">
        <v>47309.429999999993</v>
      </c>
      <c r="K352" s="65">
        <v>1192</v>
      </c>
      <c r="L352" s="65">
        <v>51029.520000000004</v>
      </c>
      <c r="M352" s="65">
        <v>0</v>
      </c>
      <c r="N352" s="65">
        <v>0</v>
      </c>
      <c r="O352" s="65">
        <v>1192</v>
      </c>
      <c r="P352" s="65">
        <v>51029.520000000004</v>
      </c>
      <c r="Q352" s="50">
        <v>47309.429999999993</v>
      </c>
      <c r="R352" s="65">
        <v>0</v>
      </c>
      <c r="S352" s="65">
        <v>0</v>
      </c>
      <c r="T352" s="65">
        <v>3720.0900000000111</v>
      </c>
      <c r="U352" s="65">
        <v>0</v>
      </c>
      <c r="V352" s="65">
        <v>0</v>
      </c>
      <c r="W352" s="65">
        <v>0</v>
      </c>
      <c r="X352" s="65">
        <v>47309</v>
      </c>
      <c r="Y352" s="65">
        <v>0</v>
      </c>
      <c r="Z352" s="65">
        <v>0</v>
      </c>
      <c r="AA352" s="51">
        <v>0</v>
      </c>
      <c r="AB352" s="102">
        <v>0</v>
      </c>
      <c r="AC352" s="81">
        <f t="shared" si="18"/>
        <v>0</v>
      </c>
      <c r="AD352" s="82">
        <f t="shared" si="19"/>
        <v>0</v>
      </c>
      <c r="AE352" s="218">
        <v>-7.8633160450252981E-2</v>
      </c>
      <c r="AF352">
        <v>1</v>
      </c>
      <c r="AH352" t="str">
        <f t="shared" si="17"/>
        <v>Araria</v>
      </c>
      <c r="AJ352" s="72">
        <v>0</v>
      </c>
      <c r="AK352" s="72"/>
      <c r="AL352" s="72"/>
      <c r="AM352" s="72"/>
    </row>
    <row r="353" spans="1:39" x14ac:dyDescent="0.25">
      <c r="A353" s="37" t="s">
        <v>62</v>
      </c>
      <c r="B353" s="66" t="s">
        <v>1596</v>
      </c>
      <c r="C353" s="47">
        <v>1007</v>
      </c>
      <c r="D353" s="47" t="s">
        <v>203</v>
      </c>
      <c r="E353" s="41">
        <v>10100051</v>
      </c>
      <c r="F353" s="46" t="s">
        <v>440</v>
      </c>
      <c r="G353" s="39" t="s">
        <v>92</v>
      </c>
      <c r="H353" s="48" t="s">
        <v>93</v>
      </c>
      <c r="I353" s="52">
        <v>2099.1999999999998</v>
      </c>
      <c r="J353" s="49">
        <v>80746.390000000014</v>
      </c>
      <c r="K353" s="65">
        <v>2116</v>
      </c>
      <c r="L353" s="65">
        <v>81791.73</v>
      </c>
      <c r="M353" s="65">
        <v>0</v>
      </c>
      <c r="N353" s="65">
        <v>0</v>
      </c>
      <c r="O353" s="65">
        <v>2116</v>
      </c>
      <c r="P353" s="65">
        <v>81791.73</v>
      </c>
      <c r="Q353" s="50">
        <v>80746.390000000014</v>
      </c>
      <c r="R353" s="65">
        <v>0</v>
      </c>
      <c r="S353" s="65">
        <v>0</v>
      </c>
      <c r="T353" s="65">
        <v>1045.339999999982</v>
      </c>
      <c r="U353" s="65">
        <v>0</v>
      </c>
      <c r="V353" s="65">
        <v>0</v>
      </c>
      <c r="W353" s="65">
        <v>0</v>
      </c>
      <c r="X353" s="65">
        <v>80746</v>
      </c>
      <c r="Y353" s="65">
        <v>0</v>
      </c>
      <c r="Z353" s="65">
        <v>0</v>
      </c>
      <c r="AA353" s="51">
        <v>0</v>
      </c>
      <c r="AB353" s="102">
        <v>0</v>
      </c>
      <c r="AC353" s="81">
        <f t="shared" si="18"/>
        <v>0</v>
      </c>
      <c r="AD353" s="82">
        <f t="shared" si="19"/>
        <v>0</v>
      </c>
      <c r="AE353" s="218">
        <v>-1.2945965757725908E-2</v>
      </c>
      <c r="AF353">
        <v>3</v>
      </c>
      <c r="AH353" t="str">
        <f t="shared" si="17"/>
        <v>Araria</v>
      </c>
      <c r="AJ353" s="72">
        <v>0</v>
      </c>
      <c r="AK353" s="72"/>
      <c r="AL353" s="72"/>
      <c r="AM353" s="72"/>
    </row>
    <row r="354" spans="1:39" x14ac:dyDescent="0.25">
      <c r="A354" s="37" t="s">
        <v>62</v>
      </c>
      <c r="B354" s="66" t="s">
        <v>1596</v>
      </c>
      <c r="C354" s="47">
        <v>1010</v>
      </c>
      <c r="D354" s="47" t="s">
        <v>1311</v>
      </c>
      <c r="E354" s="41">
        <v>10100054</v>
      </c>
      <c r="F354" s="46" t="s">
        <v>495</v>
      </c>
      <c r="G354" s="39" t="s">
        <v>92</v>
      </c>
      <c r="H354" s="48" t="s">
        <v>93</v>
      </c>
      <c r="I354" s="52">
        <v>361.90000000000003</v>
      </c>
      <c r="J354" s="49">
        <v>15813.609999999999</v>
      </c>
      <c r="K354" s="65">
        <v>553.54000000000008</v>
      </c>
      <c r="L354" s="65">
        <v>22855.62</v>
      </c>
      <c r="M354" s="65">
        <v>3.29</v>
      </c>
      <c r="N354" s="65">
        <v>138.49999999999997</v>
      </c>
      <c r="O354" s="65">
        <v>556.83000000000004</v>
      </c>
      <c r="P354" s="65">
        <v>22994.12</v>
      </c>
      <c r="Q354" s="50">
        <v>15813.609999999999</v>
      </c>
      <c r="R354" s="65">
        <v>0</v>
      </c>
      <c r="S354" s="65">
        <v>138.49999999999997</v>
      </c>
      <c r="T354" s="65">
        <v>7180.51</v>
      </c>
      <c r="U354" s="65">
        <v>0</v>
      </c>
      <c r="V354" s="65">
        <v>0</v>
      </c>
      <c r="W354" s="65">
        <v>0</v>
      </c>
      <c r="X354" s="65">
        <v>15675</v>
      </c>
      <c r="Y354" s="65">
        <v>0</v>
      </c>
      <c r="Z354" s="65">
        <v>0</v>
      </c>
      <c r="AA354" s="51">
        <v>0</v>
      </c>
      <c r="AB354" s="102">
        <v>0</v>
      </c>
      <c r="AC354" s="81">
        <f t="shared" si="18"/>
        <v>295.47286769825911</v>
      </c>
      <c r="AD354" s="82">
        <f t="shared" si="19"/>
        <v>51.7</v>
      </c>
      <c r="AE354" s="218">
        <v>-0.45407152446531823</v>
      </c>
      <c r="AF354">
        <v>5</v>
      </c>
      <c r="AH354" t="str">
        <f t="shared" si="17"/>
        <v>Parbatta</v>
      </c>
      <c r="AJ354" s="72">
        <v>0</v>
      </c>
      <c r="AK354" s="72"/>
      <c r="AL354" s="72"/>
      <c r="AM354" s="72"/>
    </row>
    <row r="355" spans="1:39" x14ac:dyDescent="0.25">
      <c r="A355" s="37" t="s">
        <v>62</v>
      </c>
      <c r="B355" s="66" t="s">
        <v>1596</v>
      </c>
      <c r="C355" s="47">
        <v>1007</v>
      </c>
      <c r="D355" s="47" t="s">
        <v>203</v>
      </c>
      <c r="E355" s="41">
        <v>10100060</v>
      </c>
      <c r="F355" s="46" t="s">
        <v>496</v>
      </c>
      <c r="G355" s="39" t="s">
        <v>92</v>
      </c>
      <c r="H355" s="48" t="s">
        <v>93</v>
      </c>
      <c r="I355" s="52">
        <v>247.6</v>
      </c>
      <c r="J355" s="49">
        <v>9510.5800000000017</v>
      </c>
      <c r="K355" s="65">
        <v>339.6</v>
      </c>
      <c r="L355" s="65">
        <v>14505.650000000001</v>
      </c>
      <c r="M355" s="65">
        <v>0.89999999999999991</v>
      </c>
      <c r="N355" s="65">
        <v>34.800000000000004</v>
      </c>
      <c r="O355" s="65">
        <v>340.5</v>
      </c>
      <c r="P355" s="65">
        <v>14540.45</v>
      </c>
      <c r="Q355" s="50">
        <v>9510.5800000000017</v>
      </c>
      <c r="R355" s="65">
        <v>0</v>
      </c>
      <c r="S355" s="65">
        <v>34.800000000000004</v>
      </c>
      <c r="T355" s="65">
        <v>5029.869999999999</v>
      </c>
      <c r="U355" s="65">
        <v>0</v>
      </c>
      <c r="V355" s="65">
        <v>0</v>
      </c>
      <c r="W355" s="65">
        <v>0</v>
      </c>
      <c r="X355" s="65">
        <v>9476</v>
      </c>
      <c r="Y355" s="65">
        <v>0</v>
      </c>
      <c r="Z355" s="65">
        <v>0</v>
      </c>
      <c r="AA355" s="51">
        <v>0</v>
      </c>
      <c r="AB355" s="102">
        <v>0</v>
      </c>
      <c r="AC355" s="81">
        <f t="shared" si="18"/>
        <v>347.54332730210024</v>
      </c>
      <c r="AD355" s="82">
        <f t="shared" si="19"/>
        <v>35.371428571428574</v>
      </c>
      <c r="AE355" s="218">
        <v>-0.52887100471264614</v>
      </c>
      <c r="AF355">
        <v>5</v>
      </c>
      <c r="AH355" t="str">
        <f t="shared" si="17"/>
        <v>Araria</v>
      </c>
      <c r="AJ355" s="72">
        <v>0</v>
      </c>
      <c r="AK355" s="72"/>
      <c r="AL355" s="72"/>
      <c r="AM355" s="72"/>
    </row>
    <row r="356" spans="1:39" x14ac:dyDescent="0.25">
      <c r="A356" s="37" t="s">
        <v>62</v>
      </c>
      <c r="B356" s="66" t="s">
        <v>1596</v>
      </c>
      <c r="C356" s="47">
        <v>1010</v>
      </c>
      <c r="D356" s="47" t="s">
        <v>1311</v>
      </c>
      <c r="E356" s="41">
        <v>10100062</v>
      </c>
      <c r="F356" s="46" t="s">
        <v>1313</v>
      </c>
      <c r="G356" s="39" t="s">
        <v>617</v>
      </c>
      <c r="H356" s="48" t="s">
        <v>98</v>
      </c>
      <c r="I356" s="52">
        <v>9685.4</v>
      </c>
      <c r="J356" s="49">
        <v>402315.76999999996</v>
      </c>
      <c r="K356" s="65">
        <v>0</v>
      </c>
      <c r="L356" s="65">
        <v>0</v>
      </c>
      <c r="M356" s="65">
        <v>0</v>
      </c>
      <c r="N356" s="65">
        <v>0</v>
      </c>
      <c r="O356" s="65">
        <v>0</v>
      </c>
      <c r="P356" s="65">
        <v>0</v>
      </c>
      <c r="Q356" s="50">
        <v>402315.76999999996</v>
      </c>
      <c r="R356" s="65">
        <v>0</v>
      </c>
      <c r="S356" s="65">
        <v>0</v>
      </c>
      <c r="T356" s="65">
        <v>0</v>
      </c>
      <c r="U356" s="65">
        <v>0</v>
      </c>
      <c r="V356" s="65">
        <v>0</v>
      </c>
      <c r="W356" s="65">
        <v>0</v>
      </c>
      <c r="X356" s="65">
        <v>0</v>
      </c>
      <c r="Y356" s="65">
        <v>0</v>
      </c>
      <c r="Z356" s="65">
        <v>402315.76999999996</v>
      </c>
      <c r="AA356" s="51">
        <v>0</v>
      </c>
      <c r="AB356" s="102">
        <v>0</v>
      </c>
      <c r="AC356" s="81">
        <f t="shared" si="18"/>
        <v>0</v>
      </c>
      <c r="AD356" s="82">
        <f t="shared" si="19"/>
        <v>0</v>
      </c>
      <c r="AE356" s="218">
        <v>0</v>
      </c>
      <c r="AF356">
        <v>0</v>
      </c>
      <c r="AH356" t="str">
        <f t="shared" si="17"/>
        <v>Parbatta</v>
      </c>
      <c r="AJ356" s="72">
        <v>0</v>
      </c>
      <c r="AK356" s="72"/>
      <c r="AL356" s="72"/>
      <c r="AM356" s="72"/>
    </row>
    <row r="357" spans="1:39" x14ac:dyDescent="0.25">
      <c r="A357" s="37" t="s">
        <v>62</v>
      </c>
      <c r="B357" s="66" t="s">
        <v>1596</v>
      </c>
      <c r="C357" s="47">
        <v>1010</v>
      </c>
      <c r="D357" s="47" t="s">
        <v>1311</v>
      </c>
      <c r="E357" s="41">
        <v>10100065</v>
      </c>
      <c r="F357" s="46" t="s">
        <v>1333</v>
      </c>
      <c r="G357" s="39" t="s">
        <v>617</v>
      </c>
      <c r="H357" s="48" t="s">
        <v>98</v>
      </c>
      <c r="I357" s="52">
        <v>990.49999999999977</v>
      </c>
      <c r="J357" s="49">
        <v>37040.120000000003</v>
      </c>
      <c r="K357" s="65">
        <v>0</v>
      </c>
      <c r="L357" s="65">
        <v>0</v>
      </c>
      <c r="M357" s="65">
        <v>0</v>
      </c>
      <c r="N357" s="65">
        <v>0</v>
      </c>
      <c r="O357" s="65">
        <v>0</v>
      </c>
      <c r="P357" s="65">
        <v>0</v>
      </c>
      <c r="Q357" s="50">
        <v>37040.120000000003</v>
      </c>
      <c r="R357" s="65">
        <v>0</v>
      </c>
      <c r="S357" s="65">
        <v>0</v>
      </c>
      <c r="T357" s="65">
        <v>0</v>
      </c>
      <c r="U357" s="65">
        <v>0</v>
      </c>
      <c r="V357" s="65">
        <v>0</v>
      </c>
      <c r="W357" s="65">
        <v>0</v>
      </c>
      <c r="X357" s="65">
        <v>0</v>
      </c>
      <c r="Y357" s="65">
        <v>0</v>
      </c>
      <c r="Z357" s="65">
        <v>37040.120000000003</v>
      </c>
      <c r="AA357" s="51">
        <v>0</v>
      </c>
      <c r="AB357" s="102">
        <v>0</v>
      </c>
      <c r="AC357" s="81">
        <f t="shared" si="18"/>
        <v>0</v>
      </c>
      <c r="AD357" s="82">
        <f t="shared" si="19"/>
        <v>0</v>
      </c>
      <c r="AE357" s="218">
        <v>0</v>
      </c>
      <c r="AF357">
        <v>0</v>
      </c>
      <c r="AH357" t="str">
        <f t="shared" si="17"/>
        <v>Parbatta</v>
      </c>
      <c r="AJ357" s="72">
        <v>0</v>
      </c>
      <c r="AK357" s="72"/>
      <c r="AL357" s="72"/>
      <c r="AM357" s="72"/>
    </row>
    <row r="358" spans="1:39" x14ac:dyDescent="0.25">
      <c r="A358" s="37" t="s">
        <v>62</v>
      </c>
      <c r="B358" s="66" t="s">
        <v>1596</v>
      </c>
      <c r="C358" s="47">
        <v>1010</v>
      </c>
      <c r="D358" s="47" t="s">
        <v>1311</v>
      </c>
      <c r="E358" s="41">
        <v>10100069</v>
      </c>
      <c r="F358" s="46" t="s">
        <v>1425</v>
      </c>
      <c r="G358" s="39" t="s">
        <v>617</v>
      </c>
      <c r="H358" s="48" t="s">
        <v>98</v>
      </c>
      <c r="I358" s="52">
        <v>99.1</v>
      </c>
      <c r="J358" s="49">
        <v>5543.96</v>
      </c>
      <c r="K358" s="65">
        <v>0</v>
      </c>
      <c r="L358" s="65">
        <v>0</v>
      </c>
      <c r="M358" s="65">
        <v>0</v>
      </c>
      <c r="N358" s="65">
        <v>0</v>
      </c>
      <c r="O358" s="65">
        <v>0</v>
      </c>
      <c r="P358" s="65">
        <v>0</v>
      </c>
      <c r="Q358" s="50">
        <v>5543.96</v>
      </c>
      <c r="R358" s="65">
        <v>0</v>
      </c>
      <c r="S358" s="65">
        <v>0</v>
      </c>
      <c r="T358" s="65">
        <v>0</v>
      </c>
      <c r="U358" s="65">
        <v>0</v>
      </c>
      <c r="V358" s="65">
        <v>0</v>
      </c>
      <c r="W358" s="65">
        <v>0</v>
      </c>
      <c r="X358" s="65">
        <v>0</v>
      </c>
      <c r="Y358" s="65">
        <v>0</v>
      </c>
      <c r="Z358" s="65">
        <v>5543.96</v>
      </c>
      <c r="AA358" s="51">
        <v>0</v>
      </c>
      <c r="AB358" s="102">
        <v>0</v>
      </c>
      <c r="AC358" s="81">
        <f t="shared" si="18"/>
        <v>672.32402906155403</v>
      </c>
      <c r="AD358" s="82">
        <f t="shared" si="19"/>
        <v>14.157142857142857</v>
      </c>
      <c r="AE358" s="218">
        <v>0</v>
      </c>
      <c r="AF358">
        <v>0</v>
      </c>
      <c r="AH358" t="str">
        <f t="shared" si="17"/>
        <v>Parbatta</v>
      </c>
      <c r="AJ358" s="72">
        <v>0</v>
      </c>
      <c r="AK358" s="72"/>
      <c r="AL358" s="72"/>
      <c r="AM358" s="72"/>
    </row>
    <row r="359" spans="1:39" x14ac:dyDescent="0.25">
      <c r="A359" s="37" t="s">
        <v>62</v>
      </c>
      <c r="B359" s="66" t="s">
        <v>1596</v>
      </c>
      <c r="C359" s="47">
        <v>1010</v>
      </c>
      <c r="D359" s="47" t="s">
        <v>1311</v>
      </c>
      <c r="E359" s="41">
        <v>10100070</v>
      </c>
      <c r="F359" s="46" t="s">
        <v>1426</v>
      </c>
      <c r="G359" s="39" t="s">
        <v>617</v>
      </c>
      <c r="H359" s="48" t="s">
        <v>98</v>
      </c>
      <c r="I359" s="52">
        <v>2455.6999999999998</v>
      </c>
      <c r="J359" s="49">
        <v>121242.37000000001</v>
      </c>
      <c r="K359" s="65">
        <v>0</v>
      </c>
      <c r="L359" s="65">
        <v>0</v>
      </c>
      <c r="M359" s="65">
        <v>0</v>
      </c>
      <c r="N359" s="65">
        <v>0</v>
      </c>
      <c r="O359" s="65">
        <v>0</v>
      </c>
      <c r="P359" s="65">
        <v>0</v>
      </c>
      <c r="Q359" s="50">
        <v>121242.37000000001</v>
      </c>
      <c r="R359" s="65">
        <v>0</v>
      </c>
      <c r="S359" s="65">
        <v>0</v>
      </c>
      <c r="T359" s="65">
        <v>0</v>
      </c>
      <c r="U359" s="65">
        <v>0</v>
      </c>
      <c r="V359" s="65">
        <v>0</v>
      </c>
      <c r="W359" s="65">
        <v>0</v>
      </c>
      <c r="X359" s="65">
        <v>0</v>
      </c>
      <c r="Y359" s="65">
        <v>0</v>
      </c>
      <c r="Z359" s="65">
        <v>121242.37000000001</v>
      </c>
      <c r="AA359" s="51">
        <v>0</v>
      </c>
      <c r="AB359" s="102">
        <v>0</v>
      </c>
      <c r="AC359" s="81">
        <f t="shared" si="18"/>
        <v>0</v>
      </c>
      <c r="AD359" s="82">
        <f t="shared" si="19"/>
        <v>0</v>
      </c>
      <c r="AE359" s="218">
        <v>0</v>
      </c>
      <c r="AF359">
        <v>0</v>
      </c>
      <c r="AH359" t="str">
        <f t="shared" si="17"/>
        <v>Parbatta</v>
      </c>
      <c r="AJ359" s="72">
        <v>0</v>
      </c>
      <c r="AK359" s="72"/>
      <c r="AL359" s="72"/>
      <c r="AM359" s="72"/>
    </row>
    <row r="360" spans="1:39" x14ac:dyDescent="0.25">
      <c r="A360" s="37" t="s">
        <v>62</v>
      </c>
      <c r="B360" s="66" t="s">
        <v>1596</v>
      </c>
      <c r="C360" s="47">
        <v>1010</v>
      </c>
      <c r="D360" s="47" t="s">
        <v>1311</v>
      </c>
      <c r="E360" s="41">
        <v>10100071</v>
      </c>
      <c r="F360" s="46" t="s">
        <v>1524</v>
      </c>
      <c r="G360" s="39" t="s">
        <v>617</v>
      </c>
      <c r="H360" s="48" t="s">
        <v>98</v>
      </c>
      <c r="I360" s="52">
        <v>3407.3</v>
      </c>
      <c r="J360" s="49">
        <v>179652.24</v>
      </c>
      <c r="K360" s="65">
        <v>0</v>
      </c>
      <c r="L360" s="65">
        <v>0</v>
      </c>
      <c r="M360" s="65">
        <v>0</v>
      </c>
      <c r="N360" s="65">
        <v>0</v>
      </c>
      <c r="O360" s="65">
        <v>0</v>
      </c>
      <c r="P360" s="65">
        <v>0</v>
      </c>
      <c r="Q360" s="50">
        <v>179652.24</v>
      </c>
      <c r="R360" s="65">
        <v>0</v>
      </c>
      <c r="S360" s="65">
        <v>0</v>
      </c>
      <c r="T360" s="65">
        <v>0</v>
      </c>
      <c r="U360" s="65">
        <v>0</v>
      </c>
      <c r="V360" s="65">
        <v>0</v>
      </c>
      <c r="W360" s="65">
        <v>0</v>
      </c>
      <c r="X360" s="65">
        <v>0</v>
      </c>
      <c r="Y360" s="65">
        <v>0</v>
      </c>
      <c r="Z360" s="65">
        <v>179652.24</v>
      </c>
      <c r="AA360" s="51">
        <v>0</v>
      </c>
      <c r="AB360" s="102">
        <v>0</v>
      </c>
      <c r="AC360" s="81">
        <f t="shared" si="18"/>
        <v>0</v>
      </c>
      <c r="AD360" s="82">
        <f t="shared" si="19"/>
        <v>0</v>
      </c>
      <c r="AE360" s="218">
        <v>0</v>
      </c>
      <c r="AF360">
        <v>0</v>
      </c>
      <c r="AH360" t="str">
        <f t="shared" si="17"/>
        <v>Parbatta</v>
      </c>
      <c r="AJ360" s="72">
        <v>0</v>
      </c>
      <c r="AK360" s="72"/>
      <c r="AL360" s="72"/>
      <c r="AM360" s="72"/>
    </row>
    <row r="361" spans="1:39" x14ac:dyDescent="0.25">
      <c r="A361" s="37" t="s">
        <v>62</v>
      </c>
      <c r="B361" s="66" t="s">
        <v>1596</v>
      </c>
      <c r="C361" s="47">
        <v>1055</v>
      </c>
      <c r="D361" s="47" t="s">
        <v>1125</v>
      </c>
      <c r="E361" s="41">
        <v>10110001</v>
      </c>
      <c r="F361" s="46" t="s">
        <v>282</v>
      </c>
      <c r="G361" s="39" t="s">
        <v>92</v>
      </c>
      <c r="H361" s="48" t="s">
        <v>93</v>
      </c>
      <c r="I361" s="52">
        <v>1537.2</v>
      </c>
      <c r="J361" s="49">
        <v>63826.86</v>
      </c>
      <c r="K361" s="65">
        <v>1554</v>
      </c>
      <c r="L361" s="65">
        <v>67101.5</v>
      </c>
      <c r="M361" s="65">
        <v>30</v>
      </c>
      <c r="N361" s="65">
        <v>1312.3200000000004</v>
      </c>
      <c r="O361" s="65">
        <v>1584</v>
      </c>
      <c r="P361" s="65">
        <v>68413.820000000007</v>
      </c>
      <c r="Q361" s="50">
        <v>63826.86</v>
      </c>
      <c r="R361" s="65">
        <v>0</v>
      </c>
      <c r="S361" s="65">
        <v>1312.3200000000004</v>
      </c>
      <c r="T361" s="65">
        <v>4586.9600000000064</v>
      </c>
      <c r="U361" s="65">
        <v>0</v>
      </c>
      <c r="V361" s="65">
        <v>0</v>
      </c>
      <c r="W361" s="65">
        <v>0</v>
      </c>
      <c r="X361" s="65">
        <v>62515</v>
      </c>
      <c r="Y361" s="65">
        <v>0</v>
      </c>
      <c r="Z361" s="65">
        <v>0</v>
      </c>
      <c r="AA361" s="51">
        <v>0</v>
      </c>
      <c r="AB361" s="102">
        <v>0</v>
      </c>
      <c r="AC361" s="81">
        <f t="shared" si="18"/>
        <v>0</v>
      </c>
      <c r="AD361" s="82">
        <f t="shared" si="19"/>
        <v>0</v>
      </c>
      <c r="AE361" s="218">
        <v>-7.1865669092918028E-2</v>
      </c>
      <c r="AF361">
        <v>15</v>
      </c>
      <c r="AH361" t="str">
        <f t="shared" si="17"/>
        <v>Matihani</v>
      </c>
      <c r="AJ361" s="72">
        <v>0</v>
      </c>
      <c r="AK361" s="72"/>
      <c r="AL361" s="72"/>
      <c r="AM361" s="72"/>
    </row>
    <row r="362" spans="1:39" x14ac:dyDescent="0.25">
      <c r="A362" s="37" t="s">
        <v>62</v>
      </c>
      <c r="B362" s="66" t="s">
        <v>1596</v>
      </c>
      <c r="C362" s="47">
        <v>1055</v>
      </c>
      <c r="D362" s="47" t="s">
        <v>1125</v>
      </c>
      <c r="E362" s="41">
        <v>10110002</v>
      </c>
      <c r="F362" s="46" t="s">
        <v>283</v>
      </c>
      <c r="G362" s="39" t="s">
        <v>92</v>
      </c>
      <c r="H362" s="48" t="s">
        <v>93</v>
      </c>
      <c r="I362" s="52">
        <v>724.6</v>
      </c>
      <c r="J362" s="49">
        <v>27793.34</v>
      </c>
      <c r="K362" s="65">
        <v>724.69999999999993</v>
      </c>
      <c r="L362" s="65">
        <v>27861.279999999999</v>
      </c>
      <c r="M362" s="65">
        <v>0</v>
      </c>
      <c r="N362" s="65">
        <v>0</v>
      </c>
      <c r="O362" s="65">
        <v>724.69999999999993</v>
      </c>
      <c r="P362" s="65">
        <v>27861.279999999999</v>
      </c>
      <c r="Q362" s="50">
        <v>27793.34</v>
      </c>
      <c r="R362" s="65">
        <v>0</v>
      </c>
      <c r="S362" s="65">
        <v>0</v>
      </c>
      <c r="T362" s="65">
        <v>67.93999999999869</v>
      </c>
      <c r="U362" s="65">
        <v>0</v>
      </c>
      <c r="V362" s="65">
        <v>0</v>
      </c>
      <c r="W362" s="65">
        <v>0</v>
      </c>
      <c r="X362" s="65">
        <v>27793</v>
      </c>
      <c r="Y362" s="65">
        <v>0</v>
      </c>
      <c r="Z362" s="65">
        <v>0</v>
      </c>
      <c r="AA362" s="51">
        <v>0</v>
      </c>
      <c r="AB362" s="102">
        <v>0</v>
      </c>
      <c r="AC362" s="81">
        <f t="shared" si="18"/>
        <v>0</v>
      </c>
      <c r="AD362" s="82">
        <f t="shared" si="19"/>
        <v>0</v>
      </c>
      <c r="AE362" s="218">
        <v>-2.4444705098415191E-3</v>
      </c>
      <c r="AF362">
        <v>2</v>
      </c>
      <c r="AH362" t="str">
        <f t="shared" si="17"/>
        <v>Matihani</v>
      </c>
      <c r="AJ362" s="72">
        <v>0</v>
      </c>
      <c r="AK362" s="72"/>
      <c r="AL362" s="72"/>
      <c r="AM362" s="72"/>
    </row>
    <row r="363" spans="1:39" x14ac:dyDescent="0.25">
      <c r="A363" s="37" t="s">
        <v>62</v>
      </c>
      <c r="B363" s="66" t="s">
        <v>1596</v>
      </c>
      <c r="C363" s="47">
        <v>1011</v>
      </c>
      <c r="D363" s="47" t="s">
        <v>281</v>
      </c>
      <c r="E363" s="41">
        <v>10110004</v>
      </c>
      <c r="F363" s="46" t="s">
        <v>284</v>
      </c>
      <c r="G363" s="39" t="s">
        <v>92</v>
      </c>
      <c r="H363" s="48" t="s">
        <v>93</v>
      </c>
      <c r="I363" s="52">
        <v>510.50000000000006</v>
      </c>
      <c r="J363" s="49">
        <v>19758.52</v>
      </c>
      <c r="K363" s="65">
        <v>941</v>
      </c>
      <c r="L363" s="65">
        <v>36074.229999999996</v>
      </c>
      <c r="M363" s="65">
        <v>0.6</v>
      </c>
      <c r="N363" s="65">
        <v>22.96</v>
      </c>
      <c r="O363" s="65">
        <v>941.6</v>
      </c>
      <c r="P363" s="65">
        <v>36097.189999999995</v>
      </c>
      <c r="Q363" s="50">
        <v>19758.52</v>
      </c>
      <c r="R363" s="65">
        <v>0</v>
      </c>
      <c r="S363" s="65">
        <v>22.96</v>
      </c>
      <c r="T363" s="65">
        <v>16338.669999999995</v>
      </c>
      <c r="U363" s="65">
        <v>0</v>
      </c>
      <c r="V363" s="65">
        <v>0</v>
      </c>
      <c r="W363" s="65">
        <v>0</v>
      </c>
      <c r="X363" s="65">
        <v>19736</v>
      </c>
      <c r="Y363" s="65">
        <v>0</v>
      </c>
      <c r="Z363" s="65">
        <v>0</v>
      </c>
      <c r="AA363" s="51">
        <v>0</v>
      </c>
      <c r="AB363" s="102">
        <v>0</v>
      </c>
      <c r="AC363" s="81">
        <f t="shared" si="18"/>
        <v>146.68911028403525</v>
      </c>
      <c r="AD363" s="82">
        <f t="shared" si="19"/>
        <v>72.928571428571431</v>
      </c>
      <c r="AE363" s="218">
        <v>-0.82691770436247225</v>
      </c>
      <c r="AF363">
        <v>3</v>
      </c>
      <c r="AH363" t="str">
        <f t="shared" si="17"/>
        <v>Sahibpur Kamal</v>
      </c>
      <c r="AJ363" s="72">
        <v>0</v>
      </c>
      <c r="AK363" s="72"/>
      <c r="AL363" s="72"/>
      <c r="AM363" s="72"/>
    </row>
    <row r="364" spans="1:39" x14ac:dyDescent="0.25">
      <c r="A364" s="37" t="s">
        <v>62</v>
      </c>
      <c r="B364" s="66" t="s">
        <v>1596</v>
      </c>
      <c r="C364" s="47">
        <v>1055</v>
      </c>
      <c r="D364" s="47" t="s">
        <v>1125</v>
      </c>
      <c r="E364" s="41">
        <v>10110005</v>
      </c>
      <c r="F364" s="46" t="s">
        <v>285</v>
      </c>
      <c r="G364" s="39" t="s">
        <v>92</v>
      </c>
      <c r="H364" s="48" t="s">
        <v>93</v>
      </c>
      <c r="I364" s="52">
        <v>3945.9000000000005</v>
      </c>
      <c r="J364" s="49">
        <v>168703.28999999998</v>
      </c>
      <c r="K364" s="65">
        <v>3908.8100000000009</v>
      </c>
      <c r="L364" s="65">
        <v>165888.10999999996</v>
      </c>
      <c r="M364" s="65">
        <v>33.04</v>
      </c>
      <c r="N364" s="65">
        <v>2154.15</v>
      </c>
      <c r="O364" s="65">
        <v>3941.8500000000008</v>
      </c>
      <c r="P364" s="65">
        <v>168042.25999999995</v>
      </c>
      <c r="Q364" s="50">
        <v>168042.25999999995</v>
      </c>
      <c r="R364" s="65">
        <v>0</v>
      </c>
      <c r="S364" s="65">
        <v>2154.15</v>
      </c>
      <c r="T364" s="65">
        <v>0</v>
      </c>
      <c r="U364" s="65">
        <v>0</v>
      </c>
      <c r="V364" s="65">
        <v>0</v>
      </c>
      <c r="W364" s="65">
        <v>0</v>
      </c>
      <c r="X364" s="65">
        <v>165887</v>
      </c>
      <c r="Y364" s="65">
        <v>0</v>
      </c>
      <c r="Z364" s="65">
        <v>0</v>
      </c>
      <c r="AA364" s="51">
        <v>662</v>
      </c>
      <c r="AB364" s="102">
        <v>0</v>
      </c>
      <c r="AC364" s="81">
        <f t="shared" si="18"/>
        <v>0</v>
      </c>
      <c r="AD364" s="82">
        <f t="shared" si="19"/>
        <v>0</v>
      </c>
      <c r="AE364" s="218">
        <v>3.9182994000889256E-3</v>
      </c>
      <c r="AF364">
        <v>34</v>
      </c>
      <c r="AH364" t="str">
        <f t="shared" si="17"/>
        <v>Matihani</v>
      </c>
      <c r="AJ364" s="72">
        <v>0</v>
      </c>
      <c r="AK364" s="72"/>
      <c r="AL364" s="72"/>
      <c r="AM364" s="72"/>
    </row>
    <row r="365" spans="1:39" x14ac:dyDescent="0.25">
      <c r="A365" s="37" t="s">
        <v>62</v>
      </c>
      <c r="B365" s="66" t="s">
        <v>1596</v>
      </c>
      <c r="C365" s="47">
        <v>1011</v>
      </c>
      <c r="D365" s="47" t="s">
        <v>281</v>
      </c>
      <c r="E365" s="41">
        <v>10110007</v>
      </c>
      <c r="F365" s="46" t="s">
        <v>286</v>
      </c>
      <c r="G365" s="39" t="s">
        <v>92</v>
      </c>
      <c r="H365" s="48" t="s">
        <v>93</v>
      </c>
      <c r="I365" s="52">
        <v>320.60000000000002</v>
      </c>
      <c r="J365" s="49">
        <v>11764.02</v>
      </c>
      <c r="K365" s="65">
        <v>316.89999999999998</v>
      </c>
      <c r="L365" s="65">
        <v>11903.26</v>
      </c>
      <c r="M365" s="65">
        <v>2.8000000000000003</v>
      </c>
      <c r="N365" s="65">
        <v>111.24000000000002</v>
      </c>
      <c r="O365" s="65">
        <v>319.7</v>
      </c>
      <c r="P365" s="65">
        <v>12014.5</v>
      </c>
      <c r="Q365" s="50">
        <v>11764.02</v>
      </c>
      <c r="R365" s="65">
        <v>0</v>
      </c>
      <c r="S365" s="65">
        <v>111.24000000000002</v>
      </c>
      <c r="T365" s="65">
        <v>250.47999999999956</v>
      </c>
      <c r="U365" s="65">
        <v>0</v>
      </c>
      <c r="V365" s="65">
        <v>0</v>
      </c>
      <c r="W365" s="65">
        <v>0</v>
      </c>
      <c r="X365" s="65">
        <v>11653</v>
      </c>
      <c r="Y365" s="65">
        <v>0</v>
      </c>
      <c r="Z365" s="65">
        <v>0</v>
      </c>
      <c r="AA365" s="51">
        <v>0</v>
      </c>
      <c r="AB365" s="102">
        <v>0</v>
      </c>
      <c r="AC365" s="81">
        <f t="shared" si="18"/>
        <v>278.43226375545851</v>
      </c>
      <c r="AD365" s="82">
        <f t="shared" si="19"/>
        <v>45.800000000000004</v>
      </c>
      <c r="AE365" s="218">
        <v>-2.1292041326009269E-2</v>
      </c>
      <c r="AF365">
        <v>5</v>
      </c>
      <c r="AH365" t="str">
        <f t="shared" si="17"/>
        <v>Sahibpur Kamal</v>
      </c>
      <c r="AJ365" s="72">
        <v>0</v>
      </c>
      <c r="AK365" s="72"/>
      <c r="AL365" s="72"/>
      <c r="AM365" s="72"/>
    </row>
    <row r="366" spans="1:39" x14ac:dyDescent="0.25">
      <c r="A366" s="37" t="s">
        <v>62</v>
      </c>
      <c r="B366" s="66" t="s">
        <v>1596</v>
      </c>
      <c r="C366" s="47">
        <v>1011</v>
      </c>
      <c r="D366" s="47" t="s">
        <v>281</v>
      </c>
      <c r="E366" s="41">
        <v>10110008</v>
      </c>
      <c r="F366" s="46" t="s">
        <v>604</v>
      </c>
      <c r="G366" s="39" t="s">
        <v>617</v>
      </c>
      <c r="H366" s="48" t="s">
        <v>98</v>
      </c>
      <c r="I366" s="52">
        <v>5698.8</v>
      </c>
      <c r="J366" s="49">
        <v>227029.83</v>
      </c>
      <c r="K366" s="65">
        <v>0</v>
      </c>
      <c r="L366" s="65">
        <v>0</v>
      </c>
      <c r="M366" s="65">
        <v>0</v>
      </c>
      <c r="N366" s="65">
        <v>0</v>
      </c>
      <c r="O366" s="65">
        <v>0</v>
      </c>
      <c r="P366" s="65">
        <v>0</v>
      </c>
      <c r="Q366" s="50">
        <v>227029.83</v>
      </c>
      <c r="R366" s="65">
        <v>0</v>
      </c>
      <c r="S366" s="65">
        <v>0</v>
      </c>
      <c r="T366" s="65">
        <v>0</v>
      </c>
      <c r="U366" s="65">
        <v>0</v>
      </c>
      <c r="V366" s="65">
        <v>0</v>
      </c>
      <c r="W366" s="65">
        <v>0</v>
      </c>
      <c r="X366" s="65">
        <v>0</v>
      </c>
      <c r="Y366" s="65">
        <v>0</v>
      </c>
      <c r="Z366" s="65">
        <v>227029.83</v>
      </c>
      <c r="AA366" s="51">
        <v>0</v>
      </c>
      <c r="AB366" s="102">
        <v>0</v>
      </c>
      <c r="AC366" s="81">
        <f t="shared" si="18"/>
        <v>0</v>
      </c>
      <c r="AD366" s="82">
        <f t="shared" si="19"/>
        <v>0</v>
      </c>
      <c r="AE366" s="218">
        <v>0</v>
      </c>
      <c r="AF366">
        <v>0</v>
      </c>
      <c r="AH366" t="str">
        <f t="shared" si="17"/>
        <v>Sahibpur Kamal</v>
      </c>
      <c r="AJ366" s="72">
        <v>0</v>
      </c>
      <c r="AK366" s="72"/>
      <c r="AL366" s="72"/>
      <c r="AM366" s="72"/>
    </row>
    <row r="367" spans="1:39" x14ac:dyDescent="0.25">
      <c r="A367" s="37" t="s">
        <v>62</v>
      </c>
      <c r="B367" s="66" t="s">
        <v>1596</v>
      </c>
      <c r="C367" s="47">
        <v>1011</v>
      </c>
      <c r="D367" s="47" t="s">
        <v>281</v>
      </c>
      <c r="E367" s="41">
        <v>10110013</v>
      </c>
      <c r="F367" s="46" t="s">
        <v>287</v>
      </c>
      <c r="G367" s="39" t="s">
        <v>92</v>
      </c>
      <c r="H367" s="48" t="s">
        <v>93</v>
      </c>
      <c r="I367" s="52">
        <v>846.30000000000007</v>
      </c>
      <c r="J367" s="49">
        <v>31924.409999999996</v>
      </c>
      <c r="K367" s="65">
        <v>848</v>
      </c>
      <c r="L367" s="65">
        <v>32879.57</v>
      </c>
      <c r="M367" s="65">
        <v>1.6</v>
      </c>
      <c r="N367" s="65">
        <v>61.49</v>
      </c>
      <c r="O367" s="65">
        <v>849.6</v>
      </c>
      <c r="P367" s="65">
        <v>32941.06</v>
      </c>
      <c r="Q367" s="50">
        <v>31924.409999999996</v>
      </c>
      <c r="R367" s="65">
        <v>0</v>
      </c>
      <c r="S367" s="65">
        <v>61.49</v>
      </c>
      <c r="T367" s="65">
        <v>1016.6500000000015</v>
      </c>
      <c r="U367" s="65">
        <v>1350</v>
      </c>
      <c r="V367" s="65">
        <v>0</v>
      </c>
      <c r="W367" s="65">
        <v>0</v>
      </c>
      <c r="X367" s="65">
        <v>30513</v>
      </c>
      <c r="Y367" s="65">
        <v>0</v>
      </c>
      <c r="Z367" s="65">
        <v>0</v>
      </c>
      <c r="AA367" s="51">
        <v>0</v>
      </c>
      <c r="AB367" s="102">
        <v>0</v>
      </c>
      <c r="AC367" s="81">
        <f t="shared" si="18"/>
        <v>0</v>
      </c>
      <c r="AD367" s="82">
        <f t="shared" si="19"/>
        <v>0</v>
      </c>
      <c r="AE367" s="218">
        <v>-3.1845537630922592E-2</v>
      </c>
      <c r="AF367">
        <v>6</v>
      </c>
      <c r="AH367" t="str">
        <f t="shared" si="17"/>
        <v>Sahibpur Kamal</v>
      </c>
      <c r="AJ367" s="72">
        <v>0</v>
      </c>
      <c r="AK367" s="72"/>
      <c r="AL367" s="72"/>
      <c r="AM367" s="72"/>
    </row>
    <row r="368" spans="1:39" x14ac:dyDescent="0.25">
      <c r="A368" s="37" t="s">
        <v>62</v>
      </c>
      <c r="B368" s="66" t="s">
        <v>1596</v>
      </c>
      <c r="C368" s="47">
        <v>1011</v>
      </c>
      <c r="D368" s="47" t="s">
        <v>281</v>
      </c>
      <c r="E368" s="41">
        <v>10110014</v>
      </c>
      <c r="F368" s="46" t="s">
        <v>288</v>
      </c>
      <c r="G368" s="39" t="s">
        <v>92</v>
      </c>
      <c r="H368" s="48" t="s">
        <v>93</v>
      </c>
      <c r="I368" s="52">
        <v>1140.2</v>
      </c>
      <c r="J368" s="49">
        <v>50356.649999999994</v>
      </c>
      <c r="K368" s="65">
        <v>1140.6999999999998</v>
      </c>
      <c r="L368" s="65">
        <v>49708.27</v>
      </c>
      <c r="M368" s="65">
        <v>18.999999999999996</v>
      </c>
      <c r="N368" s="65">
        <v>833.69</v>
      </c>
      <c r="O368" s="65">
        <v>1159.6999999999998</v>
      </c>
      <c r="P368" s="65">
        <v>50541.96</v>
      </c>
      <c r="Q368" s="50">
        <v>50356.649999999994</v>
      </c>
      <c r="R368" s="65">
        <v>0</v>
      </c>
      <c r="S368" s="65">
        <v>833.69</v>
      </c>
      <c r="T368" s="65">
        <v>185.31000000000495</v>
      </c>
      <c r="U368" s="65">
        <v>6750</v>
      </c>
      <c r="V368" s="65">
        <v>0</v>
      </c>
      <c r="W368" s="65">
        <v>0</v>
      </c>
      <c r="X368" s="65">
        <v>42773</v>
      </c>
      <c r="Y368" s="65">
        <v>0</v>
      </c>
      <c r="Z368" s="65">
        <v>0</v>
      </c>
      <c r="AA368" s="51">
        <v>0</v>
      </c>
      <c r="AB368" s="102">
        <v>0</v>
      </c>
      <c r="AC368" s="81">
        <f t="shared" si="18"/>
        <v>0</v>
      </c>
      <c r="AD368" s="82">
        <f t="shared" si="19"/>
        <v>0</v>
      </c>
      <c r="AE368" s="218">
        <v>-3.6799509101579429E-3</v>
      </c>
      <c r="AF368">
        <v>38</v>
      </c>
      <c r="AH368" t="str">
        <f t="shared" si="17"/>
        <v>Sahibpur Kamal</v>
      </c>
      <c r="AJ368" s="72">
        <v>0</v>
      </c>
      <c r="AK368" s="72"/>
      <c r="AL368" s="72"/>
      <c r="AM368" s="72"/>
    </row>
    <row r="369" spans="1:39" x14ac:dyDescent="0.25">
      <c r="A369" s="37" t="s">
        <v>62</v>
      </c>
      <c r="B369" s="66" t="s">
        <v>1596</v>
      </c>
      <c r="C369" s="47">
        <v>1055</v>
      </c>
      <c r="D369" s="47" t="s">
        <v>1125</v>
      </c>
      <c r="E369" s="43">
        <v>10110015</v>
      </c>
      <c r="F369" s="46" t="s">
        <v>289</v>
      </c>
      <c r="G369" s="39" t="s">
        <v>92</v>
      </c>
      <c r="H369" s="48" t="s">
        <v>93</v>
      </c>
      <c r="I369" s="52">
        <v>629.59999999999991</v>
      </c>
      <c r="J369" s="49">
        <v>27623.430000000004</v>
      </c>
      <c r="K369" s="65">
        <v>635.09</v>
      </c>
      <c r="L369" s="65">
        <v>27447.7</v>
      </c>
      <c r="M369" s="65">
        <v>0</v>
      </c>
      <c r="N369" s="65">
        <v>0</v>
      </c>
      <c r="O369" s="65">
        <v>635.09</v>
      </c>
      <c r="P369" s="65">
        <v>27447.7</v>
      </c>
      <c r="Q369" s="50">
        <v>27447.7</v>
      </c>
      <c r="R369" s="65">
        <v>0</v>
      </c>
      <c r="S369" s="65">
        <v>0</v>
      </c>
      <c r="T369" s="65">
        <v>0</v>
      </c>
      <c r="U369" s="65">
        <v>0</v>
      </c>
      <c r="V369" s="65">
        <v>0</v>
      </c>
      <c r="W369" s="65">
        <v>0</v>
      </c>
      <c r="X369" s="65">
        <v>27448</v>
      </c>
      <c r="Y369" s="65">
        <v>0</v>
      </c>
      <c r="Z369" s="65">
        <v>0</v>
      </c>
      <c r="AA369" s="51">
        <v>175</v>
      </c>
      <c r="AB369" s="102">
        <v>0</v>
      </c>
      <c r="AC369" s="81">
        <f t="shared" si="18"/>
        <v>61.775396188055964</v>
      </c>
      <c r="AD369" s="82">
        <f t="shared" si="19"/>
        <v>89.942857142857136</v>
      </c>
      <c r="AE369" s="218">
        <v>6.3616285160822961E-3</v>
      </c>
      <c r="AF369">
        <v>7</v>
      </c>
      <c r="AH369" t="str">
        <f t="shared" si="17"/>
        <v>Matihani</v>
      </c>
      <c r="AJ369" s="72">
        <v>0</v>
      </c>
      <c r="AK369" s="72"/>
      <c r="AL369" s="72"/>
      <c r="AM369" s="72"/>
    </row>
    <row r="370" spans="1:39" x14ac:dyDescent="0.25">
      <c r="A370" s="37" t="s">
        <v>62</v>
      </c>
      <c r="B370" s="66" t="s">
        <v>1596</v>
      </c>
      <c r="C370" s="47">
        <v>1055</v>
      </c>
      <c r="D370" s="47" t="s">
        <v>1125</v>
      </c>
      <c r="E370" s="43">
        <v>10110016</v>
      </c>
      <c r="F370" s="46" t="s">
        <v>290</v>
      </c>
      <c r="G370" s="39" t="s">
        <v>92</v>
      </c>
      <c r="H370" s="48" t="s">
        <v>93</v>
      </c>
      <c r="I370" s="52">
        <v>534.6</v>
      </c>
      <c r="J370" s="49">
        <v>22317.339999999997</v>
      </c>
      <c r="K370" s="65">
        <v>585.20000000000005</v>
      </c>
      <c r="L370" s="65">
        <v>24733.31</v>
      </c>
      <c r="M370" s="65">
        <v>3.35</v>
      </c>
      <c r="N370" s="65">
        <v>143.26</v>
      </c>
      <c r="O370" s="65">
        <v>588.55000000000007</v>
      </c>
      <c r="P370" s="65">
        <v>24876.57</v>
      </c>
      <c r="Q370" s="50">
        <v>22317.339999999997</v>
      </c>
      <c r="R370" s="65">
        <v>0</v>
      </c>
      <c r="S370" s="65">
        <v>143.26</v>
      </c>
      <c r="T370" s="65">
        <v>2559.2300000000032</v>
      </c>
      <c r="U370" s="65">
        <v>0</v>
      </c>
      <c r="V370" s="65">
        <v>0</v>
      </c>
      <c r="W370" s="65">
        <v>0</v>
      </c>
      <c r="X370" s="65">
        <v>22174</v>
      </c>
      <c r="Y370" s="65">
        <v>0</v>
      </c>
      <c r="Z370" s="65">
        <v>0</v>
      </c>
      <c r="AA370" s="51">
        <v>0</v>
      </c>
      <c r="AB370" s="102">
        <v>0</v>
      </c>
      <c r="AC370" s="81">
        <f t="shared" si="18"/>
        <v>138.09532495323597</v>
      </c>
      <c r="AD370" s="82">
        <f t="shared" si="19"/>
        <v>76.371428571428581</v>
      </c>
      <c r="AE370" s="218">
        <v>-0.11467450870040979</v>
      </c>
      <c r="AF370">
        <v>6</v>
      </c>
      <c r="AH370" t="str">
        <f t="shared" si="17"/>
        <v>Matihani</v>
      </c>
      <c r="AJ370" s="72">
        <v>0</v>
      </c>
      <c r="AK370" s="72"/>
      <c r="AL370" s="72"/>
      <c r="AM370" s="72"/>
    </row>
    <row r="371" spans="1:39" x14ac:dyDescent="0.25">
      <c r="A371" s="37" t="s">
        <v>62</v>
      </c>
      <c r="B371" s="66" t="s">
        <v>1596</v>
      </c>
      <c r="C371" s="47">
        <v>1011</v>
      </c>
      <c r="D371" s="47" t="s">
        <v>281</v>
      </c>
      <c r="E371" s="41">
        <v>10110021</v>
      </c>
      <c r="F371" s="46" t="s">
        <v>291</v>
      </c>
      <c r="G371" s="39" t="s">
        <v>92</v>
      </c>
      <c r="H371" s="48" t="s">
        <v>93</v>
      </c>
      <c r="I371" s="52">
        <v>79</v>
      </c>
      <c r="J371" s="49">
        <v>3253.87</v>
      </c>
      <c r="K371" s="65">
        <v>85.22</v>
      </c>
      <c r="L371" s="65">
        <v>3535.62</v>
      </c>
      <c r="M371" s="65">
        <v>1.05</v>
      </c>
      <c r="N371" s="65">
        <v>41.81</v>
      </c>
      <c r="O371" s="65">
        <v>86.27</v>
      </c>
      <c r="P371" s="65">
        <v>3577.43</v>
      </c>
      <c r="Q371" s="50">
        <v>3253.87</v>
      </c>
      <c r="R371" s="65">
        <v>0</v>
      </c>
      <c r="S371" s="65">
        <v>41.81</v>
      </c>
      <c r="T371" s="65">
        <v>323.55999999999995</v>
      </c>
      <c r="U371" s="65">
        <v>0</v>
      </c>
      <c r="V371" s="65">
        <v>0</v>
      </c>
      <c r="W371" s="65">
        <v>0</v>
      </c>
      <c r="X371" s="65">
        <v>3212</v>
      </c>
      <c r="Y371" s="65">
        <v>0</v>
      </c>
      <c r="Z371" s="65">
        <v>0</v>
      </c>
      <c r="AA371" s="51">
        <v>0</v>
      </c>
      <c r="AB371" s="102" t="s">
        <v>1598</v>
      </c>
      <c r="AC371" s="81">
        <f t="shared" si="18"/>
        <v>511.55778987341773</v>
      </c>
      <c r="AD371" s="82">
        <f t="shared" si="19"/>
        <v>11.285714285714286</v>
      </c>
      <c r="AE371" s="218">
        <v>-9.9438514753201562E-2</v>
      </c>
      <c r="AF371">
        <v>4</v>
      </c>
      <c r="AH371" t="str">
        <f t="shared" si="17"/>
        <v>Sahibpur Kamal</v>
      </c>
      <c r="AJ371" s="72">
        <v>0</v>
      </c>
      <c r="AK371" s="72"/>
      <c r="AL371" s="72"/>
      <c r="AM371" s="72"/>
    </row>
    <row r="372" spans="1:39" x14ac:dyDescent="0.25">
      <c r="A372" s="37" t="s">
        <v>62</v>
      </c>
      <c r="B372" s="66" t="s">
        <v>1596</v>
      </c>
      <c r="C372" s="47">
        <v>1011</v>
      </c>
      <c r="D372" s="47" t="s">
        <v>281</v>
      </c>
      <c r="E372" s="43">
        <v>10110032</v>
      </c>
      <c r="F372" s="46" t="s">
        <v>1232</v>
      </c>
      <c r="G372" s="39" t="s">
        <v>92</v>
      </c>
      <c r="H372" s="48" t="s">
        <v>93</v>
      </c>
      <c r="I372" s="52">
        <v>175.79999999999998</v>
      </c>
      <c r="J372" s="49">
        <v>6734.0499999999993</v>
      </c>
      <c r="K372" s="65">
        <v>174.6</v>
      </c>
      <c r="L372" s="65">
        <v>6747.65</v>
      </c>
      <c r="M372" s="65">
        <v>1.2</v>
      </c>
      <c r="N372" s="65">
        <v>46.440000000000005</v>
      </c>
      <c r="O372" s="65">
        <v>175.79999999999998</v>
      </c>
      <c r="P372" s="65">
        <v>6794.0899999999992</v>
      </c>
      <c r="Q372" s="50">
        <v>6734.0499999999993</v>
      </c>
      <c r="R372" s="65">
        <v>0</v>
      </c>
      <c r="S372" s="65">
        <v>46.440000000000005</v>
      </c>
      <c r="T372" s="65">
        <v>60.039999999999964</v>
      </c>
      <c r="U372" s="65">
        <v>0</v>
      </c>
      <c r="V372" s="65">
        <v>500</v>
      </c>
      <c r="W372" s="65">
        <v>0</v>
      </c>
      <c r="X372" s="65">
        <v>6188</v>
      </c>
      <c r="Y372" s="65">
        <v>0</v>
      </c>
      <c r="Z372" s="65">
        <v>0</v>
      </c>
      <c r="AA372" s="51">
        <v>0</v>
      </c>
      <c r="AB372" s="102">
        <v>0</v>
      </c>
      <c r="AC372" s="81">
        <f t="shared" si="18"/>
        <v>401.5914687144483</v>
      </c>
      <c r="AD372" s="82">
        <f t="shared" si="19"/>
        <v>25.11428571428571</v>
      </c>
      <c r="AE372" s="218">
        <v>-8.9158827154535488E-3</v>
      </c>
      <c r="AF372">
        <v>2</v>
      </c>
      <c r="AH372" t="str">
        <f t="shared" si="17"/>
        <v>Sahibpur Kamal</v>
      </c>
      <c r="AJ372" s="72">
        <v>500</v>
      </c>
      <c r="AK372" s="72"/>
      <c r="AL372" s="72"/>
      <c r="AM372" s="72"/>
    </row>
    <row r="373" spans="1:39" x14ac:dyDescent="0.25">
      <c r="A373" s="37" t="s">
        <v>62</v>
      </c>
      <c r="B373" s="66" t="s">
        <v>1596</v>
      </c>
      <c r="C373" s="47">
        <v>1055</v>
      </c>
      <c r="D373" s="47" t="s">
        <v>1125</v>
      </c>
      <c r="E373" s="41">
        <v>10110042</v>
      </c>
      <c r="F373" s="46" t="s">
        <v>293</v>
      </c>
      <c r="G373" s="39" t="s">
        <v>617</v>
      </c>
      <c r="H373" s="48" t="s">
        <v>98</v>
      </c>
      <c r="I373" s="52">
        <v>537</v>
      </c>
      <c r="J373" s="49">
        <v>21086.12</v>
      </c>
      <c r="K373" s="65">
        <v>0</v>
      </c>
      <c r="L373" s="65">
        <v>0</v>
      </c>
      <c r="M373" s="65">
        <v>0</v>
      </c>
      <c r="N373" s="65">
        <v>0</v>
      </c>
      <c r="O373" s="65">
        <v>0</v>
      </c>
      <c r="P373" s="65">
        <v>0</v>
      </c>
      <c r="Q373" s="50">
        <v>21086.12</v>
      </c>
      <c r="R373" s="65">
        <v>0</v>
      </c>
      <c r="S373" s="65">
        <v>0</v>
      </c>
      <c r="T373" s="65">
        <v>0</v>
      </c>
      <c r="U373" s="65">
        <v>0</v>
      </c>
      <c r="V373" s="65">
        <v>0</v>
      </c>
      <c r="W373" s="65">
        <v>0</v>
      </c>
      <c r="X373" s="65">
        <v>0</v>
      </c>
      <c r="Y373" s="65">
        <v>0</v>
      </c>
      <c r="Z373" s="65">
        <v>21086.12</v>
      </c>
      <c r="AA373" s="51">
        <v>0</v>
      </c>
      <c r="AB373" s="102">
        <v>0</v>
      </c>
      <c r="AC373" s="81">
        <f t="shared" si="18"/>
        <v>128.0088476722533</v>
      </c>
      <c r="AD373" s="82">
        <f t="shared" si="19"/>
        <v>76.714285714285708</v>
      </c>
      <c r="AE373" s="218">
        <v>0</v>
      </c>
      <c r="AF373">
        <v>0</v>
      </c>
      <c r="AH373" t="str">
        <f t="shared" si="17"/>
        <v>Matihani</v>
      </c>
      <c r="AJ373" s="72">
        <v>0</v>
      </c>
      <c r="AK373" s="72"/>
      <c r="AL373" s="72"/>
      <c r="AM373" s="72"/>
    </row>
    <row r="374" spans="1:39" x14ac:dyDescent="0.25">
      <c r="A374" s="37" t="s">
        <v>62</v>
      </c>
      <c r="B374" s="66" t="s">
        <v>1596</v>
      </c>
      <c r="C374" s="47">
        <v>1011</v>
      </c>
      <c r="D374" s="47" t="s">
        <v>281</v>
      </c>
      <c r="E374" s="43">
        <v>10110043</v>
      </c>
      <c r="F374" s="46" t="s">
        <v>294</v>
      </c>
      <c r="G374" s="39" t="s">
        <v>92</v>
      </c>
      <c r="H374" s="48" t="s">
        <v>98</v>
      </c>
      <c r="I374" s="52">
        <v>804.6</v>
      </c>
      <c r="J374" s="49">
        <v>34795.910000000003</v>
      </c>
      <c r="K374" s="65">
        <v>0</v>
      </c>
      <c r="L374" s="65">
        <v>0</v>
      </c>
      <c r="M374" s="65">
        <v>0</v>
      </c>
      <c r="N374" s="65">
        <v>0</v>
      </c>
      <c r="O374" s="65">
        <v>0</v>
      </c>
      <c r="P374" s="65">
        <v>0</v>
      </c>
      <c r="Q374" s="50">
        <v>34795.910000000003</v>
      </c>
      <c r="R374" s="65">
        <v>0</v>
      </c>
      <c r="S374" s="65">
        <v>0</v>
      </c>
      <c r="T374" s="65">
        <v>0</v>
      </c>
      <c r="U374" s="65">
        <v>0</v>
      </c>
      <c r="V374" s="65">
        <v>0</v>
      </c>
      <c r="W374" s="65">
        <v>0</v>
      </c>
      <c r="X374" s="65">
        <v>0</v>
      </c>
      <c r="Y374" s="65">
        <v>0</v>
      </c>
      <c r="Z374" s="65">
        <v>34795.910000000003</v>
      </c>
      <c r="AA374" s="51">
        <v>0</v>
      </c>
      <c r="AB374" s="102">
        <v>0</v>
      </c>
      <c r="AC374" s="81">
        <f t="shared" si="18"/>
        <v>0</v>
      </c>
      <c r="AD374" s="82">
        <f t="shared" si="19"/>
        <v>0</v>
      </c>
      <c r="AE374" s="218">
        <v>0</v>
      </c>
      <c r="AF374">
        <v>0</v>
      </c>
      <c r="AH374" t="str">
        <f t="shared" si="17"/>
        <v>Sahibpur Kamal</v>
      </c>
      <c r="AJ374" s="72">
        <v>0</v>
      </c>
      <c r="AK374" s="72"/>
      <c r="AL374" s="72"/>
      <c r="AM374" s="72"/>
    </row>
    <row r="375" spans="1:39" x14ac:dyDescent="0.25">
      <c r="A375" s="37" t="s">
        <v>62</v>
      </c>
      <c r="B375" s="66" t="s">
        <v>1596</v>
      </c>
      <c r="C375" s="47">
        <v>1011</v>
      </c>
      <c r="D375" s="47" t="s">
        <v>281</v>
      </c>
      <c r="E375" s="43">
        <v>10110049</v>
      </c>
      <c r="F375" s="46" t="s">
        <v>1318</v>
      </c>
      <c r="G375" s="39" t="s">
        <v>92</v>
      </c>
      <c r="H375" s="48" t="s">
        <v>93</v>
      </c>
      <c r="I375" s="52">
        <v>775.69999999999993</v>
      </c>
      <c r="J375" s="49">
        <v>30211.38</v>
      </c>
      <c r="K375" s="65">
        <v>784.7</v>
      </c>
      <c r="L375" s="65">
        <v>31479.49</v>
      </c>
      <c r="M375" s="65">
        <v>3.6999999999999993</v>
      </c>
      <c r="N375" s="65">
        <v>149.09000000000003</v>
      </c>
      <c r="O375" s="65">
        <v>788.40000000000009</v>
      </c>
      <c r="P375" s="65">
        <v>31628.58</v>
      </c>
      <c r="Q375" s="50">
        <v>30211.38</v>
      </c>
      <c r="R375" s="65">
        <v>0</v>
      </c>
      <c r="S375" s="65">
        <v>149.09000000000003</v>
      </c>
      <c r="T375" s="65">
        <v>1417.2000000000007</v>
      </c>
      <c r="U375" s="65">
        <v>0</v>
      </c>
      <c r="V375" s="65">
        <v>0</v>
      </c>
      <c r="W375" s="65">
        <v>0</v>
      </c>
      <c r="X375" s="65">
        <v>30062</v>
      </c>
      <c r="Y375" s="65">
        <v>0</v>
      </c>
      <c r="Z375" s="65">
        <v>0</v>
      </c>
      <c r="AA375" s="51">
        <v>0</v>
      </c>
      <c r="AB375" s="102">
        <v>0</v>
      </c>
      <c r="AC375" s="81">
        <f t="shared" si="18"/>
        <v>0</v>
      </c>
      <c r="AD375" s="82">
        <f t="shared" si="19"/>
        <v>0</v>
      </c>
      <c r="AE375" s="218">
        <v>-4.6909475833278744E-2</v>
      </c>
      <c r="AF375">
        <v>5</v>
      </c>
      <c r="AH375" t="str">
        <f t="shared" si="17"/>
        <v>Sahibpur Kamal</v>
      </c>
      <c r="AJ375" s="72">
        <v>0</v>
      </c>
      <c r="AK375" s="72"/>
      <c r="AL375" s="72"/>
      <c r="AM375" s="72"/>
    </row>
    <row r="376" spans="1:39" x14ac:dyDescent="0.25">
      <c r="A376" s="37" t="s">
        <v>62</v>
      </c>
      <c r="B376" s="66" t="s">
        <v>1596</v>
      </c>
      <c r="C376" s="47">
        <v>1011</v>
      </c>
      <c r="D376" s="47" t="s">
        <v>281</v>
      </c>
      <c r="E376" s="43">
        <v>10110050</v>
      </c>
      <c r="F376" s="46" t="s">
        <v>296</v>
      </c>
      <c r="G376" s="39" t="s">
        <v>92</v>
      </c>
      <c r="H376" s="48" t="s">
        <v>93</v>
      </c>
      <c r="I376" s="52">
        <v>1006.1000000000001</v>
      </c>
      <c r="J376" s="49">
        <v>45017.930000000008</v>
      </c>
      <c r="K376" s="65">
        <v>1038</v>
      </c>
      <c r="L376" s="65">
        <v>44607.98</v>
      </c>
      <c r="M376" s="65">
        <v>0</v>
      </c>
      <c r="N376" s="65">
        <v>0</v>
      </c>
      <c r="O376" s="65">
        <v>1038</v>
      </c>
      <c r="P376" s="65">
        <v>44607.98</v>
      </c>
      <c r="Q376" s="50">
        <v>44607.98</v>
      </c>
      <c r="R376" s="65">
        <v>0</v>
      </c>
      <c r="S376" s="65">
        <v>0</v>
      </c>
      <c r="T376" s="65">
        <v>0</v>
      </c>
      <c r="U376" s="65">
        <v>0</v>
      </c>
      <c r="V376" s="65">
        <v>0</v>
      </c>
      <c r="W376" s="65">
        <v>0</v>
      </c>
      <c r="X376" s="65">
        <v>44608</v>
      </c>
      <c r="Y376" s="65">
        <v>0</v>
      </c>
      <c r="Z376" s="65">
        <v>0</v>
      </c>
      <c r="AA376" s="51">
        <v>410</v>
      </c>
      <c r="AB376" s="102">
        <v>0</v>
      </c>
      <c r="AC376" s="81">
        <f t="shared" si="18"/>
        <v>0</v>
      </c>
      <c r="AD376" s="82">
        <f t="shared" si="19"/>
        <v>0</v>
      </c>
      <c r="AE376" s="218">
        <v>9.1063716168203277E-3</v>
      </c>
      <c r="AF376">
        <v>2</v>
      </c>
      <c r="AH376" t="str">
        <f t="shared" si="17"/>
        <v>Sahibpur Kamal</v>
      </c>
      <c r="AJ376" s="72">
        <v>0</v>
      </c>
      <c r="AK376" s="72"/>
      <c r="AL376" s="72"/>
      <c r="AM376" s="72"/>
    </row>
    <row r="377" spans="1:39" x14ac:dyDescent="0.25">
      <c r="A377" s="37" t="s">
        <v>62</v>
      </c>
      <c r="B377" s="66" t="s">
        <v>1596</v>
      </c>
      <c r="C377" s="47">
        <v>1011</v>
      </c>
      <c r="D377" s="47" t="s">
        <v>281</v>
      </c>
      <c r="E377" s="43">
        <v>10110053</v>
      </c>
      <c r="F377" s="46" t="s">
        <v>297</v>
      </c>
      <c r="G377" s="39" t="s">
        <v>92</v>
      </c>
      <c r="H377" s="48" t="s">
        <v>93</v>
      </c>
      <c r="I377" s="52">
        <v>336.5</v>
      </c>
      <c r="J377" s="49">
        <v>14107.560000000001</v>
      </c>
      <c r="K377" s="65">
        <v>334.40000000000003</v>
      </c>
      <c r="L377" s="65">
        <v>14043.79</v>
      </c>
      <c r="M377" s="65">
        <v>2.3000000000000003</v>
      </c>
      <c r="N377" s="65">
        <v>99.34</v>
      </c>
      <c r="O377" s="65">
        <v>336.70000000000005</v>
      </c>
      <c r="P377" s="65">
        <v>14143.130000000001</v>
      </c>
      <c r="Q377" s="50">
        <v>14107.560000000001</v>
      </c>
      <c r="R377" s="65">
        <v>0</v>
      </c>
      <c r="S377" s="65">
        <v>99.34</v>
      </c>
      <c r="T377" s="65">
        <v>35.569999999999709</v>
      </c>
      <c r="U377" s="65">
        <v>0</v>
      </c>
      <c r="V377" s="65">
        <v>500</v>
      </c>
      <c r="W377" s="65">
        <v>0</v>
      </c>
      <c r="X377" s="65">
        <v>13508</v>
      </c>
      <c r="Y377" s="65">
        <v>0</v>
      </c>
      <c r="Z377" s="65">
        <v>0</v>
      </c>
      <c r="AA377" s="51">
        <v>0</v>
      </c>
      <c r="AB377" s="102">
        <v>0</v>
      </c>
      <c r="AC377" s="81">
        <f t="shared" si="18"/>
        <v>304.79037503714716</v>
      </c>
      <c r="AD377" s="82">
        <f t="shared" si="19"/>
        <v>48.071428571428569</v>
      </c>
      <c r="AE377" s="218">
        <v>-2.5213431663590091E-3</v>
      </c>
      <c r="AF377">
        <v>2</v>
      </c>
      <c r="AH377" t="str">
        <f t="shared" si="17"/>
        <v>Sahibpur Kamal</v>
      </c>
      <c r="AJ377" s="72">
        <v>500</v>
      </c>
      <c r="AK377" s="72"/>
      <c r="AL377" s="72"/>
      <c r="AM377" s="72"/>
    </row>
    <row r="378" spans="1:39" x14ac:dyDescent="0.25">
      <c r="A378" s="37" t="s">
        <v>62</v>
      </c>
      <c r="B378" s="66" t="s">
        <v>1596</v>
      </c>
      <c r="C378" s="47">
        <v>1011</v>
      </c>
      <c r="D378" s="47" t="s">
        <v>281</v>
      </c>
      <c r="E378" s="41">
        <v>10110055</v>
      </c>
      <c r="F378" s="46" t="s">
        <v>298</v>
      </c>
      <c r="G378" s="39" t="s">
        <v>92</v>
      </c>
      <c r="H378" s="48" t="s">
        <v>93</v>
      </c>
      <c r="I378" s="52">
        <v>1020.1999999999999</v>
      </c>
      <c r="J378" s="49">
        <v>44312.729999999996</v>
      </c>
      <c r="K378" s="65">
        <v>847</v>
      </c>
      <c r="L378" s="65">
        <v>37123.43</v>
      </c>
      <c r="M378" s="65">
        <v>214.8</v>
      </c>
      <c r="N378" s="65">
        <v>9508.89</v>
      </c>
      <c r="O378" s="65">
        <v>1061.8</v>
      </c>
      <c r="P378" s="65">
        <v>46632.32</v>
      </c>
      <c r="Q378" s="50">
        <v>44312.729999999996</v>
      </c>
      <c r="R378" s="65">
        <v>0</v>
      </c>
      <c r="S378" s="65">
        <v>0</v>
      </c>
      <c r="T378" s="65">
        <v>2319.5900000000038</v>
      </c>
      <c r="U378" s="65">
        <v>0</v>
      </c>
      <c r="V378" s="65">
        <v>0</v>
      </c>
      <c r="W378" s="65">
        <v>0</v>
      </c>
      <c r="X378" s="65">
        <v>34804</v>
      </c>
      <c r="Y378" s="65">
        <v>9509</v>
      </c>
      <c r="Z378" s="65">
        <v>0</v>
      </c>
      <c r="AA378" s="51">
        <v>0</v>
      </c>
      <c r="AB378" s="102">
        <v>0</v>
      </c>
      <c r="AC378" s="81">
        <f t="shared" si="18"/>
        <v>0</v>
      </c>
      <c r="AD378" s="82">
        <f t="shared" si="19"/>
        <v>0</v>
      </c>
      <c r="AE378" s="218">
        <v>-5.2345906018428652E-2</v>
      </c>
      <c r="AF378">
        <v>5</v>
      </c>
      <c r="AH378" t="str">
        <f t="shared" si="17"/>
        <v>Sahibpur Kamal</v>
      </c>
      <c r="AJ378" s="72">
        <v>0</v>
      </c>
      <c r="AK378" s="72"/>
      <c r="AL378" s="72"/>
      <c r="AM378" s="72"/>
    </row>
    <row r="379" spans="1:39" x14ac:dyDescent="0.25">
      <c r="A379" s="37" t="s">
        <v>62</v>
      </c>
      <c r="B379" s="66" t="s">
        <v>1596</v>
      </c>
      <c r="C379" s="47">
        <v>1011</v>
      </c>
      <c r="D379" s="47" t="s">
        <v>281</v>
      </c>
      <c r="E379" s="41">
        <v>10110057</v>
      </c>
      <c r="F379" s="46" t="s">
        <v>299</v>
      </c>
      <c r="G379" s="39" t="s">
        <v>92</v>
      </c>
      <c r="H379" s="48" t="s">
        <v>93</v>
      </c>
      <c r="I379" s="52">
        <v>185.6</v>
      </c>
      <c r="J379" s="49">
        <v>8095.2</v>
      </c>
      <c r="K379" s="65">
        <v>185</v>
      </c>
      <c r="L379" s="65">
        <v>8023.45</v>
      </c>
      <c r="M379" s="65">
        <v>0</v>
      </c>
      <c r="N379" s="65">
        <v>0</v>
      </c>
      <c r="O379" s="65">
        <v>185</v>
      </c>
      <c r="P379" s="65">
        <v>8023.45</v>
      </c>
      <c r="Q379" s="50">
        <v>8023.45</v>
      </c>
      <c r="R379" s="65">
        <v>0</v>
      </c>
      <c r="S379" s="65">
        <v>0</v>
      </c>
      <c r="T379" s="65">
        <v>0</v>
      </c>
      <c r="U379" s="65">
        <v>0</v>
      </c>
      <c r="V379" s="65">
        <v>0</v>
      </c>
      <c r="W379" s="65">
        <v>0</v>
      </c>
      <c r="X379" s="65">
        <v>8023</v>
      </c>
      <c r="Y379" s="65">
        <v>0</v>
      </c>
      <c r="Z379" s="65">
        <v>0</v>
      </c>
      <c r="AA379" s="51">
        <v>72</v>
      </c>
      <c r="AB379" s="102">
        <v>0</v>
      </c>
      <c r="AC379" s="81">
        <f t="shared" si="18"/>
        <v>448.72531034482768</v>
      </c>
      <c r="AD379" s="82">
        <f t="shared" si="19"/>
        <v>26.514285714285712</v>
      </c>
      <c r="AE379" s="218">
        <v>8.8632770036564876E-3</v>
      </c>
      <c r="AF379">
        <v>1</v>
      </c>
      <c r="AH379" t="str">
        <f t="shared" si="17"/>
        <v>Sahibpur Kamal</v>
      </c>
      <c r="AJ379" s="72">
        <v>0</v>
      </c>
      <c r="AK379" s="72"/>
      <c r="AL379" s="72"/>
      <c r="AM379" s="72"/>
    </row>
    <row r="380" spans="1:39" x14ac:dyDescent="0.25">
      <c r="A380" s="37" t="s">
        <v>62</v>
      </c>
      <c r="B380" s="66" t="s">
        <v>1596</v>
      </c>
      <c r="C380" s="47">
        <v>1011</v>
      </c>
      <c r="D380" s="47" t="s">
        <v>281</v>
      </c>
      <c r="E380" s="41">
        <v>10110065</v>
      </c>
      <c r="F380" s="46" t="s">
        <v>300</v>
      </c>
      <c r="G380" s="39" t="s">
        <v>92</v>
      </c>
      <c r="H380" s="48" t="s">
        <v>93</v>
      </c>
      <c r="I380" s="52">
        <v>842.69999999999993</v>
      </c>
      <c r="J380" s="49">
        <v>32926.159999999996</v>
      </c>
      <c r="K380" s="65">
        <v>841.26000000000022</v>
      </c>
      <c r="L380" s="65">
        <v>34031.54</v>
      </c>
      <c r="M380" s="65">
        <v>5.5600000000000005</v>
      </c>
      <c r="N380" s="65">
        <v>213.91000000000003</v>
      </c>
      <c r="O380" s="65">
        <v>846.82000000000016</v>
      </c>
      <c r="P380" s="65">
        <v>34245.450000000004</v>
      </c>
      <c r="Q380" s="50">
        <v>32926.159999999996</v>
      </c>
      <c r="R380" s="65">
        <v>0</v>
      </c>
      <c r="S380" s="65">
        <v>213.91000000000003</v>
      </c>
      <c r="T380" s="65">
        <v>1319.2900000000081</v>
      </c>
      <c r="U380" s="65">
        <v>3726</v>
      </c>
      <c r="V380" s="65">
        <v>0</v>
      </c>
      <c r="W380" s="65">
        <v>0</v>
      </c>
      <c r="X380" s="65">
        <v>28986</v>
      </c>
      <c r="Y380" s="65">
        <v>0</v>
      </c>
      <c r="Z380" s="65">
        <v>0</v>
      </c>
      <c r="AA380" s="51">
        <v>0</v>
      </c>
      <c r="AB380" s="102">
        <v>0</v>
      </c>
      <c r="AC380" s="81">
        <f t="shared" si="18"/>
        <v>0</v>
      </c>
      <c r="AD380" s="82">
        <f t="shared" si="19"/>
        <v>0</v>
      </c>
      <c r="AE380" s="218">
        <v>-4.0068140347978884E-2</v>
      </c>
      <c r="AF380">
        <v>18</v>
      </c>
      <c r="AH380" t="str">
        <f t="shared" si="17"/>
        <v>Sahibpur Kamal</v>
      </c>
      <c r="AJ380" s="72">
        <v>0</v>
      </c>
      <c r="AK380" s="72"/>
      <c r="AL380" s="72"/>
      <c r="AM380" s="72"/>
    </row>
    <row r="381" spans="1:39" x14ac:dyDescent="0.25">
      <c r="A381" s="37" t="s">
        <v>62</v>
      </c>
      <c r="B381" s="66" t="s">
        <v>1596</v>
      </c>
      <c r="C381" s="47">
        <v>1011</v>
      </c>
      <c r="D381" s="47" t="s">
        <v>281</v>
      </c>
      <c r="E381" s="41">
        <v>10110066</v>
      </c>
      <c r="F381" s="46" t="s">
        <v>301</v>
      </c>
      <c r="G381" s="39" t="s">
        <v>92</v>
      </c>
      <c r="H381" s="48" t="s">
        <v>93</v>
      </c>
      <c r="I381" s="52">
        <v>892.4</v>
      </c>
      <c r="J381" s="49">
        <v>37550.520000000004</v>
      </c>
      <c r="K381" s="65">
        <v>886.77999999999986</v>
      </c>
      <c r="L381" s="65">
        <v>37526.400000000001</v>
      </c>
      <c r="M381" s="65">
        <v>4.78</v>
      </c>
      <c r="N381" s="65">
        <v>195.51999999999998</v>
      </c>
      <c r="O381" s="65">
        <v>891.55999999999983</v>
      </c>
      <c r="P381" s="65">
        <v>37721.919999999998</v>
      </c>
      <c r="Q381" s="50">
        <v>37550.520000000004</v>
      </c>
      <c r="R381" s="65">
        <v>0</v>
      </c>
      <c r="S381" s="65">
        <v>195.51999999999998</v>
      </c>
      <c r="T381" s="65">
        <v>171.39999999999418</v>
      </c>
      <c r="U381" s="65">
        <v>0</v>
      </c>
      <c r="V381" s="65">
        <v>0</v>
      </c>
      <c r="W381" s="65">
        <v>0</v>
      </c>
      <c r="X381" s="65">
        <v>37355</v>
      </c>
      <c r="Y381" s="65">
        <v>0</v>
      </c>
      <c r="Z381" s="65">
        <v>0</v>
      </c>
      <c r="AA381" s="51">
        <v>0</v>
      </c>
      <c r="AB381" s="102">
        <v>0</v>
      </c>
      <c r="AC381" s="81">
        <f t="shared" si="18"/>
        <v>0</v>
      </c>
      <c r="AD381" s="82">
        <f t="shared" si="19"/>
        <v>0</v>
      </c>
      <c r="AE381" s="218">
        <v>-4.5645173488940809E-3</v>
      </c>
      <c r="AF381">
        <v>16</v>
      </c>
      <c r="AH381" t="str">
        <f t="shared" si="17"/>
        <v>Sahibpur Kamal</v>
      </c>
      <c r="AJ381" s="72">
        <v>0</v>
      </c>
      <c r="AK381" s="72"/>
      <c r="AL381" s="72"/>
      <c r="AM381" s="72"/>
    </row>
    <row r="382" spans="1:39" x14ac:dyDescent="0.25">
      <c r="A382" s="37" t="s">
        <v>62</v>
      </c>
      <c r="B382" s="66" t="s">
        <v>1596</v>
      </c>
      <c r="C382" s="47">
        <v>1011</v>
      </c>
      <c r="D382" s="47" t="s">
        <v>281</v>
      </c>
      <c r="E382" s="41">
        <v>10110071</v>
      </c>
      <c r="F382" s="46" t="s">
        <v>302</v>
      </c>
      <c r="G382" s="39" t="s">
        <v>92</v>
      </c>
      <c r="H382" s="48" t="s">
        <v>93</v>
      </c>
      <c r="I382" s="52">
        <v>183.7</v>
      </c>
      <c r="J382" s="49">
        <v>6665.5</v>
      </c>
      <c r="K382" s="65">
        <v>303</v>
      </c>
      <c r="L382" s="65">
        <v>12099.6</v>
      </c>
      <c r="M382" s="65">
        <v>0</v>
      </c>
      <c r="N382" s="65">
        <v>0</v>
      </c>
      <c r="O382" s="65">
        <v>303</v>
      </c>
      <c r="P382" s="65">
        <v>12099.6</v>
      </c>
      <c r="Q382" s="50">
        <v>6665.5</v>
      </c>
      <c r="R382" s="65">
        <v>0</v>
      </c>
      <c r="S382" s="65">
        <v>0</v>
      </c>
      <c r="T382" s="65">
        <v>5434.1</v>
      </c>
      <c r="U382" s="65">
        <v>0</v>
      </c>
      <c r="V382" s="65">
        <v>500</v>
      </c>
      <c r="W382" s="65">
        <v>0</v>
      </c>
      <c r="X382" s="65">
        <v>6165</v>
      </c>
      <c r="Y382" s="65">
        <v>0</v>
      </c>
      <c r="Z382" s="65">
        <v>0</v>
      </c>
      <c r="AA382" s="51">
        <v>1</v>
      </c>
      <c r="AB382" s="102">
        <v>0</v>
      </c>
      <c r="AC382" s="81">
        <f t="shared" si="18"/>
        <v>374.67584648884053</v>
      </c>
      <c r="AD382" s="82">
        <f t="shared" si="19"/>
        <v>26.24285714285714</v>
      </c>
      <c r="AE382" s="218">
        <v>-0.81525767009226624</v>
      </c>
      <c r="AF382">
        <v>2</v>
      </c>
      <c r="AH382" t="str">
        <f t="shared" si="17"/>
        <v>Sahibpur Kamal</v>
      </c>
      <c r="AJ382" s="72">
        <v>500</v>
      </c>
      <c r="AK382" s="72"/>
      <c r="AL382" s="72"/>
      <c r="AM382" s="72"/>
    </row>
    <row r="383" spans="1:39" x14ac:dyDescent="0.25">
      <c r="A383" s="37" t="s">
        <v>62</v>
      </c>
      <c r="B383" s="66" t="s">
        <v>1596</v>
      </c>
      <c r="C383" s="47">
        <v>1011</v>
      </c>
      <c r="D383" s="47" t="s">
        <v>281</v>
      </c>
      <c r="E383" s="109">
        <v>10110073</v>
      </c>
      <c r="F383" s="46" t="s">
        <v>605</v>
      </c>
      <c r="G383" s="110" t="s">
        <v>92</v>
      </c>
      <c r="H383" s="48" t="s">
        <v>93</v>
      </c>
      <c r="I383" s="111">
        <v>310.79999999999995</v>
      </c>
      <c r="J383" s="49">
        <v>11652.16</v>
      </c>
      <c r="K383" s="65">
        <v>317.40999999999997</v>
      </c>
      <c r="L383" s="65">
        <v>11742.53</v>
      </c>
      <c r="M383" s="65">
        <v>0</v>
      </c>
      <c r="N383" s="65">
        <v>0</v>
      </c>
      <c r="O383" s="65">
        <v>317.40999999999997</v>
      </c>
      <c r="P383" s="65">
        <v>11742.53</v>
      </c>
      <c r="Q383" s="50">
        <v>11652.16</v>
      </c>
      <c r="R383" s="65">
        <v>0</v>
      </c>
      <c r="S383" s="65">
        <v>0</v>
      </c>
      <c r="T383" s="65">
        <v>90.3700000000008</v>
      </c>
      <c r="U383" s="65">
        <v>0</v>
      </c>
      <c r="V383" s="65">
        <v>500</v>
      </c>
      <c r="W383" s="65">
        <v>0</v>
      </c>
      <c r="X383" s="65">
        <v>11152</v>
      </c>
      <c r="Y383" s="65">
        <v>0</v>
      </c>
      <c r="Z383" s="65">
        <v>0</v>
      </c>
      <c r="AA383" s="51">
        <v>0</v>
      </c>
      <c r="AB383" s="102" t="s">
        <v>1598</v>
      </c>
      <c r="AC383" s="81">
        <f t="shared" si="18"/>
        <v>291.82887207207216</v>
      </c>
      <c r="AD383" s="82">
        <f t="shared" si="19"/>
        <v>44.399999999999991</v>
      </c>
      <c r="AE383" s="218">
        <v>-7.7556435888282349E-3</v>
      </c>
      <c r="AF383">
        <v>1</v>
      </c>
      <c r="AH383" t="str">
        <f t="shared" si="17"/>
        <v>Sahibpur Kamal</v>
      </c>
      <c r="AJ383" s="72">
        <v>500</v>
      </c>
      <c r="AK383" s="72"/>
      <c r="AL383" s="72"/>
      <c r="AM383" s="72"/>
    </row>
    <row r="384" spans="1:39" x14ac:dyDescent="0.25">
      <c r="A384" s="37" t="s">
        <v>62</v>
      </c>
      <c r="B384" s="66" t="s">
        <v>1596</v>
      </c>
      <c r="C384" s="47">
        <v>1011</v>
      </c>
      <c r="D384" s="47" t="s">
        <v>281</v>
      </c>
      <c r="E384" s="41">
        <v>10110076</v>
      </c>
      <c r="F384" s="46" t="s">
        <v>303</v>
      </c>
      <c r="G384" s="39" t="s">
        <v>92</v>
      </c>
      <c r="H384" s="48" t="s">
        <v>93</v>
      </c>
      <c r="I384" s="52">
        <v>1907.3</v>
      </c>
      <c r="J384" s="49">
        <v>78742.009999999995</v>
      </c>
      <c r="K384" s="65">
        <v>1359.7800000000002</v>
      </c>
      <c r="L384" s="65">
        <v>62731.6</v>
      </c>
      <c r="M384" s="65">
        <v>591.26</v>
      </c>
      <c r="N384" s="65">
        <v>25288</v>
      </c>
      <c r="O384" s="65">
        <v>1951.0400000000002</v>
      </c>
      <c r="P384" s="65">
        <v>88019.6</v>
      </c>
      <c r="Q384" s="50">
        <v>78742.009999999995</v>
      </c>
      <c r="R384" s="65">
        <v>0</v>
      </c>
      <c r="S384" s="65">
        <v>247.47</v>
      </c>
      <c r="T384" s="65">
        <v>9277.5900000000111</v>
      </c>
      <c r="U384" s="65">
        <v>0</v>
      </c>
      <c r="V384" s="65">
        <v>0</v>
      </c>
      <c r="W384" s="65">
        <v>0</v>
      </c>
      <c r="X384" s="65">
        <v>53454</v>
      </c>
      <c r="Y384" s="65">
        <v>25041</v>
      </c>
      <c r="Z384" s="65">
        <v>0</v>
      </c>
      <c r="AA384" s="51">
        <v>0</v>
      </c>
      <c r="AB384" s="102">
        <v>0</v>
      </c>
      <c r="AC384" s="81">
        <f t="shared" si="18"/>
        <v>0</v>
      </c>
      <c r="AD384" s="82">
        <f t="shared" si="19"/>
        <v>0</v>
      </c>
      <c r="AE384" s="218">
        <v>-0.11782262098719619</v>
      </c>
      <c r="AF384">
        <v>13</v>
      </c>
      <c r="AH384" t="str">
        <f t="shared" si="17"/>
        <v>Sahibpur Kamal</v>
      </c>
      <c r="AJ384" s="72">
        <v>0</v>
      </c>
      <c r="AK384" s="72"/>
      <c r="AL384" s="72"/>
      <c r="AM384" s="72"/>
    </row>
    <row r="385" spans="1:39" x14ac:dyDescent="0.25">
      <c r="A385" s="37" t="s">
        <v>62</v>
      </c>
      <c r="B385" s="66" t="s">
        <v>1596</v>
      </c>
      <c r="C385" s="47">
        <v>1011</v>
      </c>
      <c r="D385" s="47" t="s">
        <v>281</v>
      </c>
      <c r="E385" s="47">
        <v>10110078</v>
      </c>
      <c r="F385" s="46" t="s">
        <v>304</v>
      </c>
      <c r="G385" s="48" t="s">
        <v>92</v>
      </c>
      <c r="H385" s="48" t="s">
        <v>93</v>
      </c>
      <c r="I385" s="49">
        <v>292.2</v>
      </c>
      <c r="J385" s="49">
        <v>10953.349999999999</v>
      </c>
      <c r="K385" s="65">
        <v>311.20000000000005</v>
      </c>
      <c r="L385" s="65">
        <v>11699.150000000001</v>
      </c>
      <c r="M385" s="65">
        <v>0</v>
      </c>
      <c r="N385" s="65">
        <v>0</v>
      </c>
      <c r="O385" s="65">
        <v>311.20000000000005</v>
      </c>
      <c r="P385" s="65">
        <v>11699.150000000001</v>
      </c>
      <c r="Q385" s="50">
        <v>10953.349999999999</v>
      </c>
      <c r="R385" s="65">
        <v>0</v>
      </c>
      <c r="S385" s="65">
        <v>0</v>
      </c>
      <c r="T385" s="65">
        <v>745.80000000000291</v>
      </c>
      <c r="U385" s="65">
        <v>0</v>
      </c>
      <c r="V385" s="65">
        <v>0</v>
      </c>
      <c r="W385" s="65">
        <v>0</v>
      </c>
      <c r="X385" s="65">
        <v>10953</v>
      </c>
      <c r="Y385" s="65">
        <v>0</v>
      </c>
      <c r="Z385" s="65">
        <v>0</v>
      </c>
      <c r="AA385" s="51">
        <v>0</v>
      </c>
      <c r="AB385" s="102">
        <v>0</v>
      </c>
      <c r="AC385" s="81">
        <f t="shared" si="18"/>
        <v>305.73416358658454</v>
      </c>
      <c r="AD385" s="82">
        <f t="shared" si="19"/>
        <v>41.74285714285714</v>
      </c>
      <c r="AE385" s="218">
        <v>-6.8088758233782631E-2</v>
      </c>
      <c r="AF385">
        <v>2</v>
      </c>
      <c r="AH385" t="str">
        <f t="shared" si="17"/>
        <v>Sahibpur Kamal</v>
      </c>
      <c r="AJ385" s="72">
        <v>0</v>
      </c>
      <c r="AK385" s="72"/>
      <c r="AL385" s="72"/>
      <c r="AM385" s="72"/>
    </row>
    <row r="386" spans="1:39" x14ac:dyDescent="0.25">
      <c r="A386" s="37" t="s">
        <v>62</v>
      </c>
      <c r="B386" s="66" t="s">
        <v>1596</v>
      </c>
      <c r="C386" s="47">
        <v>1011</v>
      </c>
      <c r="D386" s="47" t="s">
        <v>281</v>
      </c>
      <c r="E386" s="41">
        <v>10110079</v>
      </c>
      <c r="F386" s="46" t="s">
        <v>305</v>
      </c>
      <c r="G386" s="39" t="s">
        <v>92</v>
      </c>
      <c r="H386" s="48" t="s">
        <v>93</v>
      </c>
      <c r="I386" s="52">
        <v>39.1</v>
      </c>
      <c r="J386" s="49">
        <v>1483.85</v>
      </c>
      <c r="K386" s="65">
        <v>49</v>
      </c>
      <c r="L386" s="65">
        <v>1825.25</v>
      </c>
      <c r="M386" s="65">
        <v>0</v>
      </c>
      <c r="N386" s="65">
        <v>0</v>
      </c>
      <c r="O386" s="65">
        <v>49</v>
      </c>
      <c r="P386" s="65">
        <v>1825.25</v>
      </c>
      <c r="Q386" s="50">
        <v>1483.85</v>
      </c>
      <c r="R386" s="65">
        <v>0</v>
      </c>
      <c r="S386" s="65">
        <v>0</v>
      </c>
      <c r="T386" s="65">
        <v>341.40000000000009</v>
      </c>
      <c r="U386" s="65">
        <v>0</v>
      </c>
      <c r="V386" s="65">
        <v>0</v>
      </c>
      <c r="W386" s="65">
        <v>0</v>
      </c>
      <c r="X386" s="65">
        <v>1484</v>
      </c>
      <c r="Y386" s="65">
        <v>0</v>
      </c>
      <c r="Z386" s="65">
        <v>0</v>
      </c>
      <c r="AA386" s="51">
        <v>0</v>
      </c>
      <c r="AB386" s="102">
        <v>0</v>
      </c>
      <c r="AC386" s="81">
        <f t="shared" si="18"/>
        <v>501.62479028132987</v>
      </c>
      <c r="AD386" s="82">
        <f t="shared" si="19"/>
        <v>5.5857142857142863</v>
      </c>
      <c r="AE386" s="218">
        <v>-0.23007716413384111</v>
      </c>
      <c r="AF386">
        <v>1</v>
      </c>
      <c r="AH386" t="str">
        <f t="shared" si="17"/>
        <v>Sahibpur Kamal</v>
      </c>
      <c r="AJ386" s="72">
        <v>0</v>
      </c>
      <c r="AK386" s="72"/>
      <c r="AL386" s="72"/>
      <c r="AM386" s="72"/>
    </row>
    <row r="387" spans="1:39" x14ac:dyDescent="0.25">
      <c r="A387" s="37" t="s">
        <v>62</v>
      </c>
      <c r="B387" s="66" t="s">
        <v>1596</v>
      </c>
      <c r="C387" s="47">
        <v>1011</v>
      </c>
      <c r="D387" s="47" t="s">
        <v>281</v>
      </c>
      <c r="E387" s="41">
        <v>10110083</v>
      </c>
      <c r="F387" s="46" t="s">
        <v>424</v>
      </c>
      <c r="G387" s="39" t="s">
        <v>92</v>
      </c>
      <c r="H387" s="48" t="s">
        <v>93</v>
      </c>
      <c r="I387" s="52">
        <v>255.5</v>
      </c>
      <c r="J387" s="49">
        <v>10151.459999999999</v>
      </c>
      <c r="K387" s="65">
        <v>255</v>
      </c>
      <c r="L387" s="65">
        <v>10031.700000000001</v>
      </c>
      <c r="M387" s="65">
        <v>0</v>
      </c>
      <c r="N387" s="65">
        <v>0</v>
      </c>
      <c r="O387" s="65">
        <v>255</v>
      </c>
      <c r="P387" s="65">
        <v>10031.700000000001</v>
      </c>
      <c r="Q387" s="50">
        <v>10031.700000000001</v>
      </c>
      <c r="R387" s="65">
        <v>0</v>
      </c>
      <c r="S387" s="65">
        <v>0</v>
      </c>
      <c r="T387" s="65">
        <v>0</v>
      </c>
      <c r="U387" s="65">
        <v>0</v>
      </c>
      <c r="V387" s="65">
        <v>0</v>
      </c>
      <c r="W387" s="65">
        <v>0</v>
      </c>
      <c r="X387" s="65">
        <v>10032</v>
      </c>
      <c r="Y387" s="65">
        <v>0</v>
      </c>
      <c r="Z387" s="65">
        <v>0</v>
      </c>
      <c r="AA387" s="51">
        <v>119</v>
      </c>
      <c r="AB387" s="102">
        <v>0</v>
      </c>
      <c r="AC387" s="81">
        <f t="shared" si="18"/>
        <v>353.21518356164381</v>
      </c>
      <c r="AD387" s="82">
        <f t="shared" si="19"/>
        <v>36.5</v>
      </c>
      <c r="AE387" s="218">
        <v>1.1797317824233993E-2</v>
      </c>
      <c r="AF387">
        <v>1</v>
      </c>
      <c r="AH387" t="str">
        <f t="shared" ref="AH387:AH450" si="20">TEXT(D387,"0000")</f>
        <v>Sahibpur Kamal</v>
      </c>
      <c r="AJ387" s="72">
        <v>0</v>
      </c>
      <c r="AK387" s="72"/>
      <c r="AL387" s="72"/>
      <c r="AM387" s="72"/>
    </row>
    <row r="388" spans="1:39" x14ac:dyDescent="0.25">
      <c r="A388" s="37" t="s">
        <v>62</v>
      </c>
      <c r="B388" s="66" t="s">
        <v>1596</v>
      </c>
      <c r="C388" s="47">
        <v>1011</v>
      </c>
      <c r="D388" s="47" t="s">
        <v>281</v>
      </c>
      <c r="E388" s="41">
        <v>10110086</v>
      </c>
      <c r="F388" s="46" t="s">
        <v>428</v>
      </c>
      <c r="G388" s="39" t="s">
        <v>92</v>
      </c>
      <c r="H388" s="48" t="s">
        <v>93</v>
      </c>
      <c r="I388" s="52">
        <v>555.80000000000007</v>
      </c>
      <c r="J388" s="49">
        <v>23358.25</v>
      </c>
      <c r="K388" s="65">
        <v>619</v>
      </c>
      <c r="L388" s="65">
        <v>26114.58</v>
      </c>
      <c r="M388" s="65">
        <v>3.5999999999999992</v>
      </c>
      <c r="N388" s="65">
        <v>152.87</v>
      </c>
      <c r="O388" s="65">
        <v>622.6</v>
      </c>
      <c r="P388" s="65">
        <v>26267.45</v>
      </c>
      <c r="Q388" s="50">
        <v>23358.25</v>
      </c>
      <c r="R388" s="65">
        <v>0</v>
      </c>
      <c r="S388" s="65">
        <v>152.87</v>
      </c>
      <c r="T388" s="65">
        <v>2909.2000000000007</v>
      </c>
      <c r="U388" s="65">
        <v>8700</v>
      </c>
      <c r="V388" s="65">
        <v>0</v>
      </c>
      <c r="W388" s="65">
        <v>0</v>
      </c>
      <c r="X388" s="65">
        <v>14505</v>
      </c>
      <c r="Y388" s="65">
        <v>0</v>
      </c>
      <c r="Z388" s="65">
        <v>0</v>
      </c>
      <c r="AA388" s="51">
        <v>0</v>
      </c>
      <c r="AB388" s="102" t="s">
        <v>68</v>
      </c>
      <c r="AC388" s="81">
        <f t="shared" ref="AC388:AC451" si="21">((IF(AD388=0,0,100-AD388))*7*(J388/I388))*2%</f>
        <v>121.20401763224177</v>
      </c>
      <c r="AD388" s="82">
        <f t="shared" ref="AD388:AD451" si="22">IF((I388/7)&gt;100,0,(I388/7))</f>
        <v>79.400000000000006</v>
      </c>
      <c r="AE388" s="218">
        <v>-0.12454700159472566</v>
      </c>
      <c r="AF388">
        <v>4</v>
      </c>
      <c r="AH388" t="str">
        <f t="shared" si="20"/>
        <v>Sahibpur Kamal</v>
      </c>
      <c r="AJ388" s="72">
        <v>0</v>
      </c>
      <c r="AK388" s="72"/>
      <c r="AL388" s="72"/>
      <c r="AM388" s="72"/>
    </row>
    <row r="389" spans="1:39" x14ac:dyDescent="0.25">
      <c r="A389" s="37" t="s">
        <v>62</v>
      </c>
      <c r="B389" s="66" t="s">
        <v>1596</v>
      </c>
      <c r="C389" s="47">
        <v>1054</v>
      </c>
      <c r="D389" s="47" t="s">
        <v>808</v>
      </c>
      <c r="E389" s="41">
        <v>10110093</v>
      </c>
      <c r="F389" s="46" t="s">
        <v>475</v>
      </c>
      <c r="G389" s="39" t="s">
        <v>92</v>
      </c>
      <c r="H389" s="48" t="s">
        <v>93</v>
      </c>
      <c r="I389" s="52">
        <v>451.59999999999991</v>
      </c>
      <c r="J389" s="49">
        <v>18720.71</v>
      </c>
      <c r="K389" s="65">
        <v>459.70000000000005</v>
      </c>
      <c r="L389" s="65">
        <v>19526.659999999996</v>
      </c>
      <c r="M389" s="65">
        <v>10</v>
      </c>
      <c r="N389" s="65">
        <v>421.56</v>
      </c>
      <c r="O389" s="65">
        <v>469.70000000000005</v>
      </c>
      <c r="P389" s="65">
        <v>19948.219999999998</v>
      </c>
      <c r="Q389" s="50">
        <v>18720.71</v>
      </c>
      <c r="R389" s="65">
        <v>0</v>
      </c>
      <c r="S389" s="65">
        <v>421.56</v>
      </c>
      <c r="T389" s="65">
        <v>1227.5099999999984</v>
      </c>
      <c r="U389" s="65">
        <v>0</v>
      </c>
      <c r="V389" s="65">
        <v>0</v>
      </c>
      <c r="W389" s="65">
        <v>0</v>
      </c>
      <c r="X389" s="65">
        <v>18299</v>
      </c>
      <c r="Y389" s="65">
        <v>0</v>
      </c>
      <c r="Z389" s="65">
        <v>0</v>
      </c>
      <c r="AA389" s="51">
        <v>0</v>
      </c>
      <c r="AB389" s="102">
        <v>0</v>
      </c>
      <c r="AC389" s="81">
        <f t="shared" si="21"/>
        <v>205.94439167404792</v>
      </c>
      <c r="AD389" s="82">
        <f t="shared" si="22"/>
        <v>64.514285714285705</v>
      </c>
      <c r="AE389" s="218">
        <v>-6.5569628502337704E-2</v>
      </c>
      <c r="AF389">
        <v>2</v>
      </c>
      <c r="AH389" t="str">
        <f t="shared" si="20"/>
        <v xml:space="preserve">Alauli </v>
      </c>
      <c r="AJ389" s="72">
        <v>0</v>
      </c>
      <c r="AK389" s="72"/>
      <c r="AL389" s="72"/>
      <c r="AM389" s="72"/>
    </row>
    <row r="390" spans="1:39" x14ac:dyDescent="0.25">
      <c r="A390" s="37" t="s">
        <v>62</v>
      </c>
      <c r="B390" s="66" t="s">
        <v>1596</v>
      </c>
      <c r="C390" s="47">
        <v>1011</v>
      </c>
      <c r="D390" s="47" t="s">
        <v>281</v>
      </c>
      <c r="E390" s="41">
        <v>10110094</v>
      </c>
      <c r="F390" s="46" t="s">
        <v>476</v>
      </c>
      <c r="G390" s="39" t="s">
        <v>92</v>
      </c>
      <c r="H390" s="48" t="s">
        <v>93</v>
      </c>
      <c r="I390" s="52">
        <v>428.80000000000007</v>
      </c>
      <c r="J390" s="49">
        <v>16931.93</v>
      </c>
      <c r="K390" s="65">
        <v>431.21000000000004</v>
      </c>
      <c r="L390" s="65">
        <v>17061.460000000003</v>
      </c>
      <c r="M390" s="65">
        <v>6.4599999999999982</v>
      </c>
      <c r="N390" s="65">
        <v>252.84000000000003</v>
      </c>
      <c r="O390" s="65">
        <v>437.67</v>
      </c>
      <c r="P390" s="65">
        <v>17314.300000000003</v>
      </c>
      <c r="Q390" s="50">
        <v>16931.93</v>
      </c>
      <c r="R390" s="65">
        <v>0</v>
      </c>
      <c r="S390" s="65">
        <v>252.84000000000003</v>
      </c>
      <c r="T390" s="65">
        <v>382.37000000000262</v>
      </c>
      <c r="U390" s="65">
        <v>0</v>
      </c>
      <c r="V390" s="65">
        <v>0</v>
      </c>
      <c r="W390" s="65">
        <v>0</v>
      </c>
      <c r="X390" s="65">
        <v>16679</v>
      </c>
      <c r="Y390" s="65">
        <v>0</v>
      </c>
      <c r="Z390" s="65">
        <v>0</v>
      </c>
      <c r="AA390" s="51">
        <v>0</v>
      </c>
      <c r="AB390" s="102">
        <v>0</v>
      </c>
      <c r="AC390" s="81">
        <f t="shared" si="21"/>
        <v>214.17627873134319</v>
      </c>
      <c r="AD390" s="82">
        <f t="shared" si="22"/>
        <v>61.257142857142867</v>
      </c>
      <c r="AE390" s="218">
        <v>-2.2582777037230994E-2</v>
      </c>
      <c r="AF390">
        <v>13</v>
      </c>
      <c r="AH390" t="str">
        <f t="shared" si="20"/>
        <v>Sahibpur Kamal</v>
      </c>
      <c r="AJ390" s="72">
        <v>0</v>
      </c>
      <c r="AK390" s="72"/>
      <c r="AL390" s="72"/>
      <c r="AM390" s="72"/>
    </row>
    <row r="391" spans="1:39" x14ac:dyDescent="0.25">
      <c r="A391" s="37" t="s">
        <v>62</v>
      </c>
      <c r="B391" s="66" t="s">
        <v>1596</v>
      </c>
      <c r="C391" s="47">
        <v>1011</v>
      </c>
      <c r="D391" s="47" t="s">
        <v>281</v>
      </c>
      <c r="E391" s="41">
        <v>10110095</v>
      </c>
      <c r="F391" s="46" t="s">
        <v>477</v>
      </c>
      <c r="G391" s="39" t="s">
        <v>92</v>
      </c>
      <c r="H391" s="48" t="s">
        <v>93</v>
      </c>
      <c r="I391" s="52">
        <v>418.9</v>
      </c>
      <c r="J391" s="49">
        <v>19197.739999999998</v>
      </c>
      <c r="K391" s="65">
        <v>411.32</v>
      </c>
      <c r="L391" s="65">
        <v>19866.18</v>
      </c>
      <c r="M391" s="65">
        <v>6.58</v>
      </c>
      <c r="N391" s="65">
        <v>308.23</v>
      </c>
      <c r="O391" s="65">
        <v>417.9</v>
      </c>
      <c r="P391" s="65">
        <v>20174.41</v>
      </c>
      <c r="Q391" s="50">
        <v>19197.739999999998</v>
      </c>
      <c r="R391" s="65">
        <v>0</v>
      </c>
      <c r="S391" s="65">
        <v>308.23</v>
      </c>
      <c r="T391" s="65">
        <v>976.67000000000189</v>
      </c>
      <c r="U391" s="65">
        <v>0</v>
      </c>
      <c r="V391" s="65">
        <v>0</v>
      </c>
      <c r="W391" s="65">
        <v>0</v>
      </c>
      <c r="X391" s="65">
        <v>18890</v>
      </c>
      <c r="Y391" s="65">
        <v>0</v>
      </c>
      <c r="Z391" s="65">
        <v>0</v>
      </c>
      <c r="AA391" s="51">
        <v>0</v>
      </c>
      <c r="AB391" s="102">
        <v>0</v>
      </c>
      <c r="AC391" s="81">
        <f t="shared" si="21"/>
        <v>257.65026087371689</v>
      </c>
      <c r="AD391" s="82">
        <f t="shared" si="22"/>
        <v>59.842857142857142</v>
      </c>
      <c r="AE391" s="218">
        <v>-5.0874217486016685E-2</v>
      </c>
      <c r="AF391">
        <v>12</v>
      </c>
      <c r="AH391" t="str">
        <f t="shared" si="20"/>
        <v>Sahibpur Kamal</v>
      </c>
      <c r="AJ391" s="72">
        <v>0</v>
      </c>
      <c r="AK391" s="72"/>
      <c r="AL391" s="72"/>
      <c r="AM391" s="72"/>
    </row>
    <row r="392" spans="1:39" x14ac:dyDescent="0.25">
      <c r="A392" s="37" t="s">
        <v>62</v>
      </c>
      <c r="B392" s="66" t="s">
        <v>1596</v>
      </c>
      <c r="C392" s="47">
        <v>1054</v>
      </c>
      <c r="D392" s="47" t="s">
        <v>808</v>
      </c>
      <c r="E392" s="41">
        <v>10110098</v>
      </c>
      <c r="F392" s="46" t="s">
        <v>497</v>
      </c>
      <c r="G392" s="39" t="s">
        <v>92</v>
      </c>
      <c r="H392" s="48" t="s">
        <v>93</v>
      </c>
      <c r="I392" s="52">
        <v>155</v>
      </c>
      <c r="J392" s="49">
        <v>6010.71</v>
      </c>
      <c r="K392" s="65">
        <v>9.0500000000000007</v>
      </c>
      <c r="L392" s="65">
        <v>363.98999999999995</v>
      </c>
      <c r="M392" s="65">
        <v>150.44999999999999</v>
      </c>
      <c r="N392" s="65">
        <v>5643.34</v>
      </c>
      <c r="O392" s="65">
        <v>159.5</v>
      </c>
      <c r="P392" s="65">
        <v>6007.33</v>
      </c>
      <c r="Q392" s="50">
        <v>6007.33</v>
      </c>
      <c r="R392" s="65">
        <v>0</v>
      </c>
      <c r="S392" s="65">
        <v>0</v>
      </c>
      <c r="T392" s="65">
        <v>0</v>
      </c>
      <c r="U392" s="65">
        <v>5643</v>
      </c>
      <c r="V392" s="65">
        <v>364</v>
      </c>
      <c r="W392" s="65">
        <v>0</v>
      </c>
      <c r="X392" s="65">
        <v>0</v>
      </c>
      <c r="Y392" s="65">
        <v>0</v>
      </c>
      <c r="Z392" s="65">
        <v>0</v>
      </c>
      <c r="AA392" s="51">
        <v>4</v>
      </c>
      <c r="AB392" s="102" t="s">
        <v>1600</v>
      </c>
      <c r="AC392" s="81">
        <f t="shared" si="21"/>
        <v>422.68863870967743</v>
      </c>
      <c r="AD392" s="82">
        <f t="shared" si="22"/>
        <v>22.142857142857142</v>
      </c>
      <c r="AE392" s="218">
        <v>5.6232957504190177E-4</v>
      </c>
      <c r="AF392">
        <v>4</v>
      </c>
      <c r="AH392" t="str">
        <f t="shared" si="20"/>
        <v xml:space="preserve">Alauli </v>
      </c>
      <c r="AJ392" s="72">
        <v>364</v>
      </c>
      <c r="AK392" s="72"/>
      <c r="AL392" s="72"/>
      <c r="AM392" s="72"/>
    </row>
    <row r="393" spans="1:39" x14ac:dyDescent="0.25">
      <c r="A393" s="37" t="s">
        <v>62</v>
      </c>
      <c r="B393" s="66" t="s">
        <v>1596</v>
      </c>
      <c r="C393" s="47">
        <v>1054</v>
      </c>
      <c r="D393" s="47" t="s">
        <v>808</v>
      </c>
      <c r="E393" s="41">
        <v>10110100</v>
      </c>
      <c r="F393" s="46" t="s">
        <v>498</v>
      </c>
      <c r="G393" s="39" t="s">
        <v>92</v>
      </c>
      <c r="H393" s="48" t="s">
        <v>93</v>
      </c>
      <c r="I393" s="52">
        <v>3884.8999999999996</v>
      </c>
      <c r="J393" s="49">
        <v>158900.31</v>
      </c>
      <c r="K393" s="65">
        <v>3890.51</v>
      </c>
      <c r="L393" s="65">
        <v>159050.59</v>
      </c>
      <c r="M393" s="65">
        <v>0</v>
      </c>
      <c r="N393" s="65">
        <v>0</v>
      </c>
      <c r="O393" s="65">
        <v>3890.51</v>
      </c>
      <c r="P393" s="65">
        <v>159050.59</v>
      </c>
      <c r="Q393" s="50">
        <v>158900.31</v>
      </c>
      <c r="R393" s="65">
        <v>0</v>
      </c>
      <c r="S393" s="65">
        <v>0</v>
      </c>
      <c r="T393" s="65">
        <v>150.27999999999884</v>
      </c>
      <c r="U393" s="65">
        <v>0</v>
      </c>
      <c r="V393" s="65">
        <v>0</v>
      </c>
      <c r="W393" s="65">
        <v>0</v>
      </c>
      <c r="X393" s="65">
        <v>158900</v>
      </c>
      <c r="Y393" s="65">
        <v>0</v>
      </c>
      <c r="Z393" s="65">
        <v>0</v>
      </c>
      <c r="AA393" s="51">
        <v>0</v>
      </c>
      <c r="AB393" s="102">
        <v>0</v>
      </c>
      <c r="AC393" s="81">
        <f t="shared" si="21"/>
        <v>0</v>
      </c>
      <c r="AD393" s="82">
        <f t="shared" si="22"/>
        <v>0</v>
      </c>
      <c r="AE393" s="218">
        <v>-9.4575020023559956E-4</v>
      </c>
      <c r="AF393">
        <v>16</v>
      </c>
      <c r="AH393" t="str">
        <f t="shared" si="20"/>
        <v xml:space="preserve">Alauli </v>
      </c>
      <c r="AJ393" s="72">
        <v>0</v>
      </c>
      <c r="AK393" s="72"/>
      <c r="AL393" s="72"/>
      <c r="AM393" s="72"/>
    </row>
    <row r="394" spans="1:39" x14ac:dyDescent="0.25">
      <c r="A394" s="37" t="s">
        <v>62</v>
      </c>
      <c r="B394" s="66" t="s">
        <v>1596</v>
      </c>
      <c r="C394" s="47">
        <v>1054</v>
      </c>
      <c r="D394" s="47" t="s">
        <v>808</v>
      </c>
      <c r="E394" s="41">
        <v>10110101</v>
      </c>
      <c r="F394" s="46" t="s">
        <v>508</v>
      </c>
      <c r="G394" s="39" t="s">
        <v>92</v>
      </c>
      <c r="H394" s="48" t="s">
        <v>93</v>
      </c>
      <c r="I394" s="52">
        <v>197.30000000000004</v>
      </c>
      <c r="J394" s="49">
        <v>9814.4800000000014</v>
      </c>
      <c r="K394" s="65">
        <v>189.19</v>
      </c>
      <c r="L394" s="65">
        <v>10731.689999999999</v>
      </c>
      <c r="M394" s="65">
        <v>0</v>
      </c>
      <c r="N394" s="65">
        <v>0</v>
      </c>
      <c r="O394" s="65">
        <v>189.19</v>
      </c>
      <c r="P394" s="65">
        <v>10731.689999999999</v>
      </c>
      <c r="Q394" s="50">
        <v>9814.4800000000014</v>
      </c>
      <c r="R394" s="65">
        <v>0</v>
      </c>
      <c r="S394" s="65">
        <v>0</v>
      </c>
      <c r="T394" s="65">
        <v>917.20999999999731</v>
      </c>
      <c r="U394" s="65">
        <v>0</v>
      </c>
      <c r="V394" s="65">
        <v>0</v>
      </c>
      <c r="W394" s="65">
        <v>0</v>
      </c>
      <c r="X394" s="65">
        <v>9814</v>
      </c>
      <c r="Y394" s="65">
        <v>0</v>
      </c>
      <c r="Z394" s="65">
        <v>0</v>
      </c>
      <c r="AA394" s="51">
        <v>0</v>
      </c>
      <c r="AB394" s="102" t="s">
        <v>1598</v>
      </c>
      <c r="AC394" s="81">
        <f t="shared" si="21"/>
        <v>500.12560527116068</v>
      </c>
      <c r="AD394" s="82">
        <f t="shared" si="22"/>
        <v>28.18571428571429</v>
      </c>
      <c r="AE394" s="218">
        <v>-9.3454772947725931E-2</v>
      </c>
      <c r="AF394">
        <v>9</v>
      </c>
      <c r="AH394" t="str">
        <f t="shared" si="20"/>
        <v xml:space="preserve">Alauli </v>
      </c>
      <c r="AJ394" s="72">
        <v>0</v>
      </c>
      <c r="AK394" s="72"/>
      <c r="AL394" s="72"/>
      <c r="AM394" s="72"/>
    </row>
    <row r="395" spans="1:39" x14ac:dyDescent="0.25">
      <c r="A395" s="37" t="s">
        <v>62</v>
      </c>
      <c r="B395" s="66" t="s">
        <v>1596</v>
      </c>
      <c r="C395" s="47">
        <v>1011</v>
      </c>
      <c r="D395" s="47" t="s">
        <v>281</v>
      </c>
      <c r="E395" s="41">
        <v>10110106</v>
      </c>
      <c r="F395" s="46" t="s">
        <v>606</v>
      </c>
      <c r="G395" s="39" t="s">
        <v>92</v>
      </c>
      <c r="H395" s="48" t="s">
        <v>93</v>
      </c>
      <c r="I395" s="52">
        <v>7564.9</v>
      </c>
      <c r="J395" s="49">
        <v>306470.10000000003</v>
      </c>
      <c r="K395" s="65">
        <v>1182.4999999999998</v>
      </c>
      <c r="L395" s="65">
        <v>49659.710000000006</v>
      </c>
      <c r="M395" s="65">
        <v>6383.8600000000006</v>
      </c>
      <c r="N395" s="65">
        <v>260344.4</v>
      </c>
      <c r="O395" s="65">
        <v>7566.3600000000006</v>
      </c>
      <c r="P395" s="65">
        <v>310004.11</v>
      </c>
      <c r="Q395" s="50">
        <v>306470.10000000003</v>
      </c>
      <c r="R395" s="65">
        <v>0</v>
      </c>
      <c r="S395" s="65">
        <v>708.09</v>
      </c>
      <c r="T395" s="65">
        <v>3534.0099999999511</v>
      </c>
      <c r="U395" s="65">
        <v>290000</v>
      </c>
      <c r="V395" s="65">
        <v>0</v>
      </c>
      <c r="W395" s="65">
        <v>0</v>
      </c>
      <c r="X395" s="65">
        <v>15762</v>
      </c>
      <c r="Y395" s="65">
        <v>0</v>
      </c>
      <c r="Z395" s="65">
        <v>0</v>
      </c>
      <c r="AA395" s="51">
        <v>0</v>
      </c>
      <c r="AB395" s="102">
        <v>0</v>
      </c>
      <c r="AC395" s="81">
        <f t="shared" si="21"/>
        <v>0</v>
      </c>
      <c r="AD395" s="82">
        <f t="shared" si="22"/>
        <v>0</v>
      </c>
      <c r="AE395" s="218">
        <v>-1.1531336988502143E-2</v>
      </c>
      <c r="AF395">
        <v>22</v>
      </c>
      <c r="AH395" t="str">
        <f t="shared" si="20"/>
        <v>Sahibpur Kamal</v>
      </c>
      <c r="AJ395" s="72">
        <v>0</v>
      </c>
      <c r="AK395" s="72"/>
      <c r="AL395" s="72"/>
      <c r="AM395" s="72"/>
    </row>
    <row r="396" spans="1:39" x14ac:dyDescent="0.25">
      <c r="A396" s="37" t="s">
        <v>62</v>
      </c>
      <c r="B396" s="66" t="s">
        <v>1596</v>
      </c>
      <c r="C396" s="47">
        <v>1054</v>
      </c>
      <c r="D396" s="47" t="s">
        <v>808</v>
      </c>
      <c r="E396" s="41">
        <v>10110109</v>
      </c>
      <c r="F396" s="46" t="s">
        <v>1297</v>
      </c>
      <c r="G396" s="39" t="s">
        <v>92</v>
      </c>
      <c r="H396" s="48" t="s">
        <v>93</v>
      </c>
      <c r="I396" s="52">
        <v>612.29999999999995</v>
      </c>
      <c r="J396" s="49">
        <v>24089.5</v>
      </c>
      <c r="K396" s="65">
        <v>617.23</v>
      </c>
      <c r="L396" s="65">
        <v>24370.74</v>
      </c>
      <c r="M396" s="65">
        <v>1.3</v>
      </c>
      <c r="N396" s="65">
        <v>51.819999999999993</v>
      </c>
      <c r="O396" s="65">
        <v>618.53</v>
      </c>
      <c r="P396" s="65">
        <v>24422.560000000001</v>
      </c>
      <c r="Q396" s="50">
        <v>24089.5</v>
      </c>
      <c r="R396" s="65">
        <v>0</v>
      </c>
      <c r="S396" s="65">
        <v>51.819999999999993</v>
      </c>
      <c r="T396" s="65">
        <v>333.06000000000131</v>
      </c>
      <c r="U396" s="65">
        <v>0</v>
      </c>
      <c r="V396" s="65">
        <v>0</v>
      </c>
      <c r="W396" s="65">
        <v>0</v>
      </c>
      <c r="X396" s="65">
        <v>24038</v>
      </c>
      <c r="Y396" s="65">
        <v>0</v>
      </c>
      <c r="Z396" s="65">
        <v>0</v>
      </c>
      <c r="AA396" s="51">
        <v>0</v>
      </c>
      <c r="AB396" s="102">
        <v>0</v>
      </c>
      <c r="AC396" s="81">
        <f t="shared" si="21"/>
        <v>69.006994937122386</v>
      </c>
      <c r="AD396" s="82">
        <f t="shared" si="22"/>
        <v>87.471428571428561</v>
      </c>
      <c r="AE396" s="218">
        <v>-1.382594076257296E-2</v>
      </c>
      <c r="AF396">
        <v>4</v>
      </c>
      <c r="AH396" t="str">
        <f t="shared" si="20"/>
        <v xml:space="preserve">Alauli </v>
      </c>
      <c r="AJ396" s="72">
        <v>0</v>
      </c>
      <c r="AK396" s="72"/>
      <c r="AL396" s="72"/>
      <c r="AM396" s="72"/>
    </row>
    <row r="397" spans="1:39" x14ac:dyDescent="0.25">
      <c r="A397" s="37" t="s">
        <v>62</v>
      </c>
      <c r="B397" s="66" t="s">
        <v>1596</v>
      </c>
      <c r="C397" s="47">
        <v>1055</v>
      </c>
      <c r="D397" s="47" t="s">
        <v>1125</v>
      </c>
      <c r="E397" s="41">
        <v>10110110</v>
      </c>
      <c r="F397" s="46" t="s">
        <v>572</v>
      </c>
      <c r="G397" s="39" t="s">
        <v>92</v>
      </c>
      <c r="H397" s="48" t="s">
        <v>93</v>
      </c>
      <c r="I397" s="52">
        <v>82.699999999999989</v>
      </c>
      <c r="J397" s="49">
        <v>3760.1000000000004</v>
      </c>
      <c r="K397" s="65">
        <v>82.2</v>
      </c>
      <c r="L397" s="65">
        <v>3707.2400000000002</v>
      </c>
      <c r="M397" s="65">
        <v>0</v>
      </c>
      <c r="N397" s="65">
        <v>0</v>
      </c>
      <c r="O397" s="65">
        <v>82.2</v>
      </c>
      <c r="P397" s="65">
        <v>3707.2400000000002</v>
      </c>
      <c r="Q397" s="50">
        <v>3707.2400000000002</v>
      </c>
      <c r="R397" s="65">
        <v>0</v>
      </c>
      <c r="S397" s="65">
        <v>0</v>
      </c>
      <c r="T397" s="65">
        <v>0</v>
      </c>
      <c r="U397" s="65">
        <v>0</v>
      </c>
      <c r="V397" s="65">
        <v>500</v>
      </c>
      <c r="W397" s="65">
        <v>0</v>
      </c>
      <c r="X397" s="65">
        <v>3207</v>
      </c>
      <c r="Y397" s="65">
        <v>0</v>
      </c>
      <c r="Z397" s="65">
        <v>0</v>
      </c>
      <c r="AA397" s="51">
        <v>53</v>
      </c>
      <c r="AB397" s="102">
        <v>0</v>
      </c>
      <c r="AC397" s="81">
        <f t="shared" si="21"/>
        <v>561.33246191052012</v>
      </c>
      <c r="AD397" s="82">
        <f t="shared" si="22"/>
        <v>11.814285714285713</v>
      </c>
      <c r="AE397" s="218">
        <v>1.4058136751682168E-2</v>
      </c>
      <c r="AF397">
        <v>2</v>
      </c>
      <c r="AH397" t="str">
        <f t="shared" si="20"/>
        <v>Matihani</v>
      </c>
      <c r="AJ397" s="72">
        <v>500</v>
      </c>
      <c r="AK397" s="72"/>
      <c r="AL397" s="72"/>
      <c r="AM397" s="72"/>
    </row>
    <row r="398" spans="1:39" x14ac:dyDescent="0.25">
      <c r="A398" s="37" t="s">
        <v>62</v>
      </c>
      <c r="B398" s="66" t="s">
        <v>1596</v>
      </c>
      <c r="C398" s="47">
        <v>1055</v>
      </c>
      <c r="D398" s="47" t="s">
        <v>1125</v>
      </c>
      <c r="E398" s="41">
        <v>10110111</v>
      </c>
      <c r="F398" s="46" t="s">
        <v>549</v>
      </c>
      <c r="G398" s="39" t="s">
        <v>92</v>
      </c>
      <c r="H398" s="48" t="s">
        <v>93</v>
      </c>
      <c r="I398" s="52">
        <v>130.30000000000001</v>
      </c>
      <c r="J398" s="49">
        <v>7063.2599999999993</v>
      </c>
      <c r="K398" s="65">
        <v>130.32000000000002</v>
      </c>
      <c r="L398" s="65">
        <v>7192.1999999999989</v>
      </c>
      <c r="M398" s="65">
        <v>2.8000000000000007</v>
      </c>
      <c r="N398" s="65">
        <v>183.32</v>
      </c>
      <c r="O398" s="65">
        <v>133.12000000000003</v>
      </c>
      <c r="P398" s="65">
        <v>7375.5199999999986</v>
      </c>
      <c r="Q398" s="50">
        <v>7063.2599999999993</v>
      </c>
      <c r="R398" s="65">
        <v>0</v>
      </c>
      <c r="S398" s="65">
        <v>183.32</v>
      </c>
      <c r="T398" s="65">
        <v>312.25999999999931</v>
      </c>
      <c r="U398" s="65">
        <v>0</v>
      </c>
      <c r="V398" s="65">
        <v>0</v>
      </c>
      <c r="W398" s="65">
        <v>0</v>
      </c>
      <c r="X398" s="65">
        <v>6880</v>
      </c>
      <c r="Y398" s="65">
        <v>0</v>
      </c>
      <c r="Z398" s="65">
        <v>0</v>
      </c>
      <c r="AA398" s="51">
        <v>0</v>
      </c>
      <c r="AB398" s="102">
        <v>0</v>
      </c>
      <c r="AC398" s="81">
        <f t="shared" si="21"/>
        <v>617.64224435917106</v>
      </c>
      <c r="AD398" s="82">
        <f t="shared" si="22"/>
        <v>18.614285714285717</v>
      </c>
      <c r="AE398" s="218">
        <v>-4.4209047946698742E-2</v>
      </c>
      <c r="AF398">
        <v>4</v>
      </c>
      <c r="AH398" t="str">
        <f t="shared" si="20"/>
        <v>Matihani</v>
      </c>
      <c r="AJ398" s="72">
        <v>0</v>
      </c>
      <c r="AK398" s="72"/>
      <c r="AL398" s="72"/>
      <c r="AM398" s="72"/>
    </row>
    <row r="399" spans="1:39" x14ac:dyDescent="0.25">
      <c r="A399" s="37" t="s">
        <v>62</v>
      </c>
      <c r="B399" s="66" t="s">
        <v>1596</v>
      </c>
      <c r="C399" s="47">
        <v>1054</v>
      </c>
      <c r="D399" s="47" t="s">
        <v>808</v>
      </c>
      <c r="E399" s="41">
        <v>10110114</v>
      </c>
      <c r="F399" s="46" t="s">
        <v>573</v>
      </c>
      <c r="G399" s="39" t="s">
        <v>92</v>
      </c>
      <c r="H399" s="48" t="s">
        <v>93</v>
      </c>
      <c r="I399" s="52">
        <v>332.1</v>
      </c>
      <c r="J399" s="49">
        <v>13740.650000000001</v>
      </c>
      <c r="K399" s="65">
        <v>341.59000000000003</v>
      </c>
      <c r="L399" s="65">
        <v>13737.300000000001</v>
      </c>
      <c r="M399" s="65">
        <v>0</v>
      </c>
      <c r="N399" s="65">
        <v>0</v>
      </c>
      <c r="O399" s="65">
        <v>341.59000000000003</v>
      </c>
      <c r="P399" s="65">
        <v>13737.300000000001</v>
      </c>
      <c r="Q399" s="50">
        <v>13737.300000000001</v>
      </c>
      <c r="R399" s="65">
        <v>0</v>
      </c>
      <c r="S399" s="65">
        <v>0</v>
      </c>
      <c r="T399" s="65">
        <v>0</v>
      </c>
      <c r="U399" s="65">
        <v>0</v>
      </c>
      <c r="V399" s="65">
        <v>0</v>
      </c>
      <c r="W399" s="65">
        <v>0</v>
      </c>
      <c r="X399" s="65">
        <v>13737</v>
      </c>
      <c r="Y399" s="65">
        <v>0</v>
      </c>
      <c r="Z399" s="65">
        <v>0</v>
      </c>
      <c r="AA399" s="51">
        <v>4</v>
      </c>
      <c r="AB399" s="102">
        <v>0</v>
      </c>
      <c r="AC399" s="81">
        <f t="shared" si="21"/>
        <v>304.43752694971391</v>
      </c>
      <c r="AD399" s="82">
        <f t="shared" si="22"/>
        <v>47.442857142857143</v>
      </c>
      <c r="AE399" s="218">
        <v>2.4380214909777655E-4</v>
      </c>
      <c r="AF399">
        <v>2</v>
      </c>
      <c r="AH399" t="str">
        <f t="shared" si="20"/>
        <v xml:space="preserve">Alauli </v>
      </c>
      <c r="AJ399" s="72">
        <v>0</v>
      </c>
      <c r="AK399" s="72"/>
      <c r="AL399" s="72"/>
      <c r="AM399" s="72"/>
    </row>
    <row r="400" spans="1:39" x14ac:dyDescent="0.25">
      <c r="A400" s="37" t="s">
        <v>62</v>
      </c>
      <c r="B400" s="66" t="s">
        <v>1596</v>
      </c>
      <c r="C400" s="47">
        <v>1054</v>
      </c>
      <c r="D400" s="47" t="s">
        <v>808</v>
      </c>
      <c r="E400" s="41">
        <v>10110116</v>
      </c>
      <c r="F400" s="46" t="s">
        <v>531</v>
      </c>
      <c r="G400" s="39" t="s">
        <v>92</v>
      </c>
      <c r="H400" s="48" t="s">
        <v>93</v>
      </c>
      <c r="I400" s="52">
        <v>669.1</v>
      </c>
      <c r="J400" s="49">
        <v>25426.500000000004</v>
      </c>
      <c r="K400" s="65">
        <v>453.1</v>
      </c>
      <c r="L400" s="65">
        <v>17292.28</v>
      </c>
      <c r="M400" s="65">
        <v>216</v>
      </c>
      <c r="N400" s="65">
        <v>8220.9599999999991</v>
      </c>
      <c r="O400" s="65">
        <v>669.1</v>
      </c>
      <c r="P400" s="65">
        <v>25513.239999999998</v>
      </c>
      <c r="Q400" s="50">
        <v>25426.500000000004</v>
      </c>
      <c r="R400" s="65">
        <v>0</v>
      </c>
      <c r="S400" s="65">
        <v>0</v>
      </c>
      <c r="T400" s="65">
        <v>86.739999999994325</v>
      </c>
      <c r="U400" s="65">
        <v>0</v>
      </c>
      <c r="V400" s="65">
        <v>0</v>
      </c>
      <c r="W400" s="65">
        <v>0</v>
      </c>
      <c r="X400" s="65">
        <v>17207</v>
      </c>
      <c r="Y400" s="65">
        <v>8220</v>
      </c>
      <c r="Z400" s="65">
        <v>0</v>
      </c>
      <c r="AA400" s="51">
        <v>0</v>
      </c>
      <c r="AB400" s="102">
        <v>0</v>
      </c>
      <c r="AC400" s="81">
        <f t="shared" si="21"/>
        <v>23.484646540128516</v>
      </c>
      <c r="AD400" s="82">
        <f t="shared" si="22"/>
        <v>95.585714285714289</v>
      </c>
      <c r="AE400" s="218">
        <v>-3.4114014905706376E-3</v>
      </c>
      <c r="AF400">
        <v>10</v>
      </c>
      <c r="AH400" t="str">
        <f t="shared" si="20"/>
        <v xml:space="preserve">Alauli </v>
      </c>
      <c r="AJ400" s="72">
        <v>0</v>
      </c>
      <c r="AK400" s="72"/>
      <c r="AL400" s="72"/>
      <c r="AM400" s="72"/>
    </row>
    <row r="401" spans="1:39" x14ac:dyDescent="0.25">
      <c r="A401" s="37" t="s">
        <v>62</v>
      </c>
      <c r="B401" s="66" t="s">
        <v>1596</v>
      </c>
      <c r="C401" s="47">
        <v>1054</v>
      </c>
      <c r="D401" s="47" t="s">
        <v>808</v>
      </c>
      <c r="E401" s="41">
        <v>10110118</v>
      </c>
      <c r="F401" s="46" t="s">
        <v>575</v>
      </c>
      <c r="G401" s="39" t="s">
        <v>92</v>
      </c>
      <c r="H401" s="48" t="s">
        <v>93</v>
      </c>
      <c r="I401" s="52">
        <v>456.70000000000005</v>
      </c>
      <c r="J401" s="49">
        <v>18706.499999999996</v>
      </c>
      <c r="K401" s="65">
        <v>220.87000000000003</v>
      </c>
      <c r="L401" s="65">
        <v>9298.8700000000008</v>
      </c>
      <c r="M401" s="65">
        <v>246.62999999999997</v>
      </c>
      <c r="N401" s="65">
        <v>9420.23</v>
      </c>
      <c r="O401" s="65">
        <v>467.5</v>
      </c>
      <c r="P401" s="65">
        <v>18719.099999999999</v>
      </c>
      <c r="Q401" s="50">
        <v>18706.499999999996</v>
      </c>
      <c r="R401" s="65">
        <v>0</v>
      </c>
      <c r="S401" s="65">
        <v>497.81</v>
      </c>
      <c r="T401" s="65">
        <v>12.600000000002183</v>
      </c>
      <c r="U401" s="65">
        <v>0</v>
      </c>
      <c r="V401" s="65">
        <v>0</v>
      </c>
      <c r="W401" s="65">
        <v>0</v>
      </c>
      <c r="X401" s="65">
        <v>9287</v>
      </c>
      <c r="Y401" s="65">
        <v>8922</v>
      </c>
      <c r="Z401" s="65">
        <v>0</v>
      </c>
      <c r="AA401" s="51">
        <v>0</v>
      </c>
      <c r="AB401" s="102">
        <v>0</v>
      </c>
      <c r="AC401" s="81">
        <f t="shared" si="21"/>
        <v>199.31208451937809</v>
      </c>
      <c r="AD401" s="82">
        <f t="shared" si="22"/>
        <v>65.242857142857147</v>
      </c>
      <c r="AE401" s="218">
        <v>-6.7356266538380703E-4</v>
      </c>
      <c r="AF401">
        <v>14</v>
      </c>
      <c r="AH401" t="str">
        <f t="shared" si="20"/>
        <v xml:space="preserve">Alauli </v>
      </c>
      <c r="AJ401" s="72">
        <v>0</v>
      </c>
      <c r="AK401" s="72"/>
      <c r="AL401" s="72"/>
      <c r="AM401" s="72"/>
    </row>
    <row r="402" spans="1:39" x14ac:dyDescent="0.25">
      <c r="A402" s="37" t="s">
        <v>62</v>
      </c>
      <c r="B402" s="66" t="s">
        <v>1596</v>
      </c>
      <c r="C402" s="47">
        <v>1054</v>
      </c>
      <c r="D402" s="47" t="s">
        <v>808</v>
      </c>
      <c r="E402" s="41">
        <v>10110119</v>
      </c>
      <c r="F402" s="46" t="s">
        <v>576</v>
      </c>
      <c r="G402" s="39" t="s">
        <v>92</v>
      </c>
      <c r="H402" s="48" t="s">
        <v>93</v>
      </c>
      <c r="I402" s="52">
        <v>407.70000000000005</v>
      </c>
      <c r="J402" s="49">
        <v>15526.689999999999</v>
      </c>
      <c r="K402" s="65">
        <v>437.19</v>
      </c>
      <c r="L402" s="65">
        <v>15551.919999999998</v>
      </c>
      <c r="M402" s="65">
        <v>0</v>
      </c>
      <c r="N402" s="65">
        <v>0</v>
      </c>
      <c r="O402" s="65">
        <v>437.19</v>
      </c>
      <c r="P402" s="65">
        <v>15551.919999999998</v>
      </c>
      <c r="Q402" s="50">
        <v>15526.689999999999</v>
      </c>
      <c r="R402" s="65">
        <v>0</v>
      </c>
      <c r="S402" s="65">
        <v>0</v>
      </c>
      <c r="T402" s="65">
        <v>25.229999999999563</v>
      </c>
      <c r="U402" s="65">
        <v>0</v>
      </c>
      <c r="V402" s="65">
        <v>0</v>
      </c>
      <c r="W402" s="65">
        <v>0</v>
      </c>
      <c r="X402" s="65">
        <v>15527</v>
      </c>
      <c r="Y402" s="65">
        <v>0</v>
      </c>
      <c r="Z402" s="65">
        <v>0</v>
      </c>
      <c r="AA402" s="51">
        <v>0</v>
      </c>
      <c r="AB402" s="102">
        <v>0</v>
      </c>
      <c r="AC402" s="81">
        <f t="shared" si="21"/>
        <v>222.63681564876126</v>
      </c>
      <c r="AD402" s="82">
        <f t="shared" si="22"/>
        <v>58.242857142857147</v>
      </c>
      <c r="AE402" s="218">
        <v>-1.624943886945612E-3</v>
      </c>
      <c r="AF402">
        <v>14</v>
      </c>
      <c r="AH402" t="str">
        <f t="shared" si="20"/>
        <v xml:space="preserve">Alauli </v>
      </c>
      <c r="AJ402" s="72">
        <v>0</v>
      </c>
      <c r="AK402" s="72"/>
      <c r="AL402" s="72"/>
      <c r="AM402" s="72"/>
    </row>
    <row r="403" spans="1:39" x14ac:dyDescent="0.25">
      <c r="A403" s="37" t="s">
        <v>62</v>
      </c>
      <c r="B403" s="66" t="s">
        <v>1596</v>
      </c>
      <c r="C403" s="47">
        <v>1054</v>
      </c>
      <c r="D403" s="47" t="s">
        <v>808</v>
      </c>
      <c r="E403" s="41">
        <v>10110120</v>
      </c>
      <c r="F403" s="46" t="s">
        <v>810</v>
      </c>
      <c r="G403" s="39" t="s">
        <v>92</v>
      </c>
      <c r="H403" s="48" t="s">
        <v>93</v>
      </c>
      <c r="I403" s="52">
        <v>1196.4000000000001</v>
      </c>
      <c r="J403" s="49">
        <v>57423.890000000007</v>
      </c>
      <c r="K403" s="65">
        <v>33.400000000000006</v>
      </c>
      <c r="L403" s="65">
        <v>1594.45</v>
      </c>
      <c r="M403" s="65">
        <v>1163</v>
      </c>
      <c r="N403" s="65">
        <v>55755.86</v>
      </c>
      <c r="O403" s="65">
        <v>1196.4000000000001</v>
      </c>
      <c r="P403" s="65">
        <v>57350.31</v>
      </c>
      <c r="Q403" s="50">
        <v>57350.31</v>
      </c>
      <c r="R403" s="65">
        <v>0</v>
      </c>
      <c r="S403" s="65">
        <v>0</v>
      </c>
      <c r="T403" s="65">
        <v>0</v>
      </c>
      <c r="U403" s="65">
        <v>0</v>
      </c>
      <c r="V403" s="65">
        <v>0</v>
      </c>
      <c r="W403" s="65">
        <v>0</v>
      </c>
      <c r="X403" s="65">
        <v>1594</v>
      </c>
      <c r="Y403" s="65">
        <v>55754</v>
      </c>
      <c r="Z403" s="65">
        <v>0</v>
      </c>
      <c r="AA403" s="51">
        <v>76</v>
      </c>
      <c r="AB403" s="102">
        <v>0</v>
      </c>
      <c r="AC403" s="81">
        <f t="shared" si="21"/>
        <v>0</v>
      </c>
      <c r="AD403" s="82">
        <f t="shared" si="22"/>
        <v>0</v>
      </c>
      <c r="AE403" s="218">
        <v>1.2813482332877312E-3</v>
      </c>
      <c r="AF403">
        <v>10</v>
      </c>
      <c r="AH403" t="str">
        <f t="shared" si="20"/>
        <v xml:space="preserve">Alauli </v>
      </c>
      <c r="AJ403" s="72">
        <v>0</v>
      </c>
      <c r="AK403" s="72"/>
      <c r="AL403" s="72"/>
      <c r="AM403" s="72"/>
    </row>
    <row r="404" spans="1:39" x14ac:dyDescent="0.25">
      <c r="A404" s="37" t="s">
        <v>62</v>
      </c>
      <c r="B404" s="66" t="s">
        <v>1596</v>
      </c>
      <c r="C404" s="47">
        <v>1054</v>
      </c>
      <c r="D404" s="47" t="s">
        <v>808</v>
      </c>
      <c r="E404" s="41">
        <v>10110121</v>
      </c>
      <c r="F404" s="46" t="s">
        <v>577</v>
      </c>
      <c r="G404" s="39" t="s">
        <v>92</v>
      </c>
      <c r="H404" s="48" t="s">
        <v>93</v>
      </c>
      <c r="I404" s="52">
        <v>388.3</v>
      </c>
      <c r="J404" s="49">
        <v>15192.08</v>
      </c>
      <c r="K404" s="65">
        <v>390.04</v>
      </c>
      <c r="L404" s="65">
        <v>15160.89</v>
      </c>
      <c r="M404" s="65">
        <v>0</v>
      </c>
      <c r="N404" s="65">
        <v>0</v>
      </c>
      <c r="O404" s="65">
        <v>390.04</v>
      </c>
      <c r="P404" s="65">
        <v>15160.89</v>
      </c>
      <c r="Q404" s="50">
        <v>15160.89</v>
      </c>
      <c r="R404" s="65">
        <v>0</v>
      </c>
      <c r="S404" s="65">
        <v>0</v>
      </c>
      <c r="T404" s="65">
        <v>0</v>
      </c>
      <c r="U404" s="65">
        <v>0</v>
      </c>
      <c r="V404" s="65">
        <v>0</v>
      </c>
      <c r="W404" s="65">
        <v>0</v>
      </c>
      <c r="X404" s="65">
        <v>15161</v>
      </c>
      <c r="Y404" s="65">
        <v>0</v>
      </c>
      <c r="Z404" s="65">
        <v>0</v>
      </c>
      <c r="AA404" s="51">
        <v>31</v>
      </c>
      <c r="AB404" s="102">
        <v>0</v>
      </c>
      <c r="AC404" s="81">
        <f t="shared" si="21"/>
        <v>243.90272140097861</v>
      </c>
      <c r="AD404" s="82">
        <f t="shared" si="22"/>
        <v>55.471428571428575</v>
      </c>
      <c r="AE404" s="218">
        <v>2.0530434278914086E-3</v>
      </c>
      <c r="AF404">
        <v>1</v>
      </c>
      <c r="AH404" t="str">
        <f t="shared" si="20"/>
        <v xml:space="preserve">Alauli </v>
      </c>
      <c r="AJ404" s="72">
        <v>0</v>
      </c>
      <c r="AK404" s="72"/>
      <c r="AL404" s="72"/>
      <c r="AM404" s="72"/>
    </row>
    <row r="405" spans="1:39" x14ac:dyDescent="0.25">
      <c r="A405" s="37" t="s">
        <v>62</v>
      </c>
      <c r="B405" s="66" t="s">
        <v>1596</v>
      </c>
      <c r="C405" s="47">
        <v>1055</v>
      </c>
      <c r="D405" s="47" t="s">
        <v>1125</v>
      </c>
      <c r="E405" s="41">
        <v>10110123</v>
      </c>
      <c r="F405" s="46" t="s">
        <v>578</v>
      </c>
      <c r="G405" s="39" t="s">
        <v>92</v>
      </c>
      <c r="H405" s="48" t="s">
        <v>93</v>
      </c>
      <c r="I405" s="52">
        <v>938.1</v>
      </c>
      <c r="J405" s="49">
        <v>39362.020000000004</v>
      </c>
      <c r="K405" s="65">
        <v>952.94999999999993</v>
      </c>
      <c r="L405" s="65">
        <v>39285.570000000007</v>
      </c>
      <c r="M405" s="65">
        <v>12.6</v>
      </c>
      <c r="N405" s="65">
        <v>496.92000000000007</v>
      </c>
      <c r="O405" s="65">
        <v>965.55</v>
      </c>
      <c r="P405" s="65">
        <v>39782.490000000005</v>
      </c>
      <c r="Q405" s="50">
        <v>39362.020000000004</v>
      </c>
      <c r="R405" s="65">
        <v>0</v>
      </c>
      <c r="S405" s="65">
        <v>496.92000000000007</v>
      </c>
      <c r="T405" s="65">
        <v>420.47000000000116</v>
      </c>
      <c r="U405" s="65">
        <v>0</v>
      </c>
      <c r="V405" s="65">
        <v>0</v>
      </c>
      <c r="W405" s="65">
        <v>0</v>
      </c>
      <c r="X405" s="65">
        <v>38865</v>
      </c>
      <c r="Y405" s="65">
        <v>0</v>
      </c>
      <c r="Z405" s="65">
        <v>0</v>
      </c>
      <c r="AA405" s="51">
        <v>0</v>
      </c>
      <c r="AB405" s="102">
        <v>0</v>
      </c>
      <c r="AC405" s="81">
        <f t="shared" si="21"/>
        <v>0</v>
      </c>
      <c r="AD405" s="82">
        <f t="shared" si="22"/>
        <v>0</v>
      </c>
      <c r="AE405" s="218">
        <v>-1.0682124545437483E-2</v>
      </c>
      <c r="AF405">
        <v>15</v>
      </c>
      <c r="AH405" t="str">
        <f t="shared" si="20"/>
        <v>Matihani</v>
      </c>
      <c r="AJ405" s="72">
        <v>0</v>
      </c>
      <c r="AK405" s="72"/>
      <c r="AL405" s="72"/>
      <c r="AM405" s="72"/>
    </row>
    <row r="406" spans="1:39" x14ac:dyDescent="0.25">
      <c r="A406" s="37" t="s">
        <v>62</v>
      </c>
      <c r="B406" s="66" t="s">
        <v>1596</v>
      </c>
      <c r="C406" s="47">
        <v>1055</v>
      </c>
      <c r="D406" s="47" t="s">
        <v>1125</v>
      </c>
      <c r="E406" s="41">
        <v>10110124</v>
      </c>
      <c r="F406" s="46" t="s">
        <v>579</v>
      </c>
      <c r="G406" s="39" t="s">
        <v>92</v>
      </c>
      <c r="H406" s="48" t="s">
        <v>93</v>
      </c>
      <c r="I406" s="52">
        <v>1037.8</v>
      </c>
      <c r="J406" s="49">
        <v>44510.26</v>
      </c>
      <c r="K406" s="65">
        <v>1028.9299999999998</v>
      </c>
      <c r="L406" s="65">
        <v>43719.669999999991</v>
      </c>
      <c r="M406" s="65">
        <v>9.0800000000000018</v>
      </c>
      <c r="N406" s="65">
        <v>375.40999999999997</v>
      </c>
      <c r="O406" s="65">
        <v>1038.0099999999998</v>
      </c>
      <c r="P406" s="65">
        <v>44095.079999999994</v>
      </c>
      <c r="Q406" s="50">
        <v>44095.079999999994</v>
      </c>
      <c r="R406" s="65">
        <v>0</v>
      </c>
      <c r="S406" s="65">
        <v>375.40999999999997</v>
      </c>
      <c r="T406" s="65">
        <v>0</v>
      </c>
      <c r="U406" s="65">
        <v>0</v>
      </c>
      <c r="V406" s="65">
        <v>0</v>
      </c>
      <c r="W406" s="65">
        <v>0</v>
      </c>
      <c r="X406" s="65">
        <v>43720</v>
      </c>
      <c r="Y406" s="65">
        <v>0</v>
      </c>
      <c r="Z406" s="65">
        <v>0</v>
      </c>
      <c r="AA406" s="51">
        <v>415</v>
      </c>
      <c r="AB406" s="102">
        <v>0</v>
      </c>
      <c r="AC406" s="81">
        <f t="shared" si="21"/>
        <v>0</v>
      </c>
      <c r="AD406" s="82">
        <f t="shared" si="22"/>
        <v>0</v>
      </c>
      <c r="AE406" s="218">
        <v>9.3277370206331645E-3</v>
      </c>
      <c r="AF406">
        <v>15</v>
      </c>
      <c r="AH406" t="str">
        <f t="shared" si="20"/>
        <v>Matihani</v>
      </c>
      <c r="AJ406" s="72">
        <v>0</v>
      </c>
      <c r="AK406" s="72"/>
      <c r="AL406" s="72"/>
      <c r="AM406" s="72"/>
    </row>
    <row r="407" spans="1:39" x14ac:dyDescent="0.25">
      <c r="A407" s="37" t="s">
        <v>62</v>
      </c>
      <c r="B407" s="66" t="s">
        <v>1596</v>
      </c>
      <c r="C407" s="47">
        <v>1055</v>
      </c>
      <c r="D407" s="47" t="s">
        <v>1125</v>
      </c>
      <c r="E407" s="41">
        <v>10110128</v>
      </c>
      <c r="F407" s="46" t="s">
        <v>580</v>
      </c>
      <c r="G407" s="39" t="s">
        <v>92</v>
      </c>
      <c r="H407" s="48" t="s">
        <v>93</v>
      </c>
      <c r="I407" s="52">
        <v>480.09999999999997</v>
      </c>
      <c r="J407" s="49">
        <v>19943.189999999999</v>
      </c>
      <c r="K407" s="65">
        <v>478.57</v>
      </c>
      <c r="L407" s="65">
        <v>19697.810000000001</v>
      </c>
      <c r="M407" s="65">
        <v>2.81</v>
      </c>
      <c r="N407" s="65">
        <v>107.91</v>
      </c>
      <c r="O407" s="65">
        <v>481.38</v>
      </c>
      <c r="P407" s="65">
        <v>19805.72</v>
      </c>
      <c r="Q407" s="50">
        <v>19805.72</v>
      </c>
      <c r="R407" s="65">
        <v>0</v>
      </c>
      <c r="S407" s="65">
        <v>107.91</v>
      </c>
      <c r="T407" s="65">
        <v>0</v>
      </c>
      <c r="U407" s="65">
        <v>0</v>
      </c>
      <c r="V407" s="65">
        <v>0</v>
      </c>
      <c r="W407" s="65">
        <v>0</v>
      </c>
      <c r="X407" s="65">
        <v>19697</v>
      </c>
      <c r="Y407" s="65">
        <v>0</v>
      </c>
      <c r="Z407" s="65">
        <v>0</v>
      </c>
      <c r="AA407" s="51">
        <v>138</v>
      </c>
      <c r="AB407" s="102">
        <v>0</v>
      </c>
      <c r="AC407" s="81">
        <f t="shared" si="21"/>
        <v>182.69141766298696</v>
      </c>
      <c r="AD407" s="82">
        <f t="shared" si="22"/>
        <v>68.585714285714275</v>
      </c>
      <c r="AE407" s="218">
        <v>6.8930797931523258E-3</v>
      </c>
      <c r="AF407">
        <v>9</v>
      </c>
      <c r="AH407" t="str">
        <f t="shared" si="20"/>
        <v>Matihani</v>
      </c>
      <c r="AJ407" s="72">
        <v>0</v>
      </c>
      <c r="AK407" s="72"/>
      <c r="AL407" s="72"/>
      <c r="AM407" s="72"/>
    </row>
    <row r="408" spans="1:39" x14ac:dyDescent="0.25">
      <c r="A408" s="37" t="s">
        <v>62</v>
      </c>
      <c r="B408" s="66" t="s">
        <v>1596</v>
      </c>
      <c r="C408" s="47">
        <v>1054</v>
      </c>
      <c r="D408" s="47" t="s">
        <v>808</v>
      </c>
      <c r="E408" s="41">
        <v>10110129</v>
      </c>
      <c r="F408" s="46" t="s">
        <v>690</v>
      </c>
      <c r="G408" s="39" t="s">
        <v>92</v>
      </c>
      <c r="H408" s="48" t="s">
        <v>93</v>
      </c>
      <c r="I408" s="52">
        <v>815.9</v>
      </c>
      <c r="J408" s="49">
        <v>31371.219999999994</v>
      </c>
      <c r="K408" s="65">
        <v>831</v>
      </c>
      <c r="L408" s="65">
        <v>35024.43</v>
      </c>
      <c r="M408" s="65">
        <v>0</v>
      </c>
      <c r="N408" s="65">
        <v>0</v>
      </c>
      <c r="O408" s="65">
        <v>831</v>
      </c>
      <c r="P408" s="65">
        <v>35024.43</v>
      </c>
      <c r="Q408" s="50">
        <v>31371.219999999994</v>
      </c>
      <c r="R408" s="65">
        <v>0</v>
      </c>
      <c r="S408" s="65">
        <v>0</v>
      </c>
      <c r="T408" s="65">
        <v>3653.2100000000064</v>
      </c>
      <c r="U408" s="65">
        <v>0</v>
      </c>
      <c r="V408" s="65">
        <v>0</v>
      </c>
      <c r="W408" s="65">
        <v>0</v>
      </c>
      <c r="X408" s="65">
        <v>31371</v>
      </c>
      <c r="Y408" s="65">
        <v>0</v>
      </c>
      <c r="Z408" s="65">
        <v>0</v>
      </c>
      <c r="AA408" s="51">
        <v>0</v>
      </c>
      <c r="AB408" s="102">
        <v>0</v>
      </c>
      <c r="AC408" s="81">
        <f t="shared" si="21"/>
        <v>0</v>
      </c>
      <c r="AD408" s="82">
        <f t="shared" si="22"/>
        <v>0</v>
      </c>
      <c r="AE408" s="218">
        <v>-0.11645100190556845</v>
      </c>
      <c r="AF408">
        <v>3</v>
      </c>
      <c r="AH408" t="str">
        <f t="shared" si="20"/>
        <v xml:space="preserve">Alauli </v>
      </c>
      <c r="AJ408" s="72">
        <v>0</v>
      </c>
      <c r="AK408" s="72"/>
      <c r="AL408" s="72"/>
      <c r="AM408" s="72"/>
    </row>
    <row r="409" spans="1:39" x14ac:dyDescent="0.25">
      <c r="A409" s="37" t="s">
        <v>62</v>
      </c>
      <c r="B409" s="66" t="s">
        <v>1596</v>
      </c>
      <c r="C409" s="47">
        <v>1054</v>
      </c>
      <c r="D409" s="47" t="s">
        <v>808</v>
      </c>
      <c r="E409" s="41">
        <v>10110132</v>
      </c>
      <c r="F409" s="46" t="s">
        <v>631</v>
      </c>
      <c r="G409" s="39" t="s">
        <v>92</v>
      </c>
      <c r="H409" s="48" t="s">
        <v>93</v>
      </c>
      <c r="I409" s="52">
        <v>457.09999999999997</v>
      </c>
      <c r="J409" s="49">
        <v>18032.829999999998</v>
      </c>
      <c r="K409" s="65">
        <v>484.29999999999995</v>
      </c>
      <c r="L409" s="65">
        <v>19195.39</v>
      </c>
      <c r="M409" s="65">
        <v>0</v>
      </c>
      <c r="N409" s="65">
        <v>0</v>
      </c>
      <c r="O409" s="65">
        <v>484.29999999999995</v>
      </c>
      <c r="P409" s="65">
        <v>19195.39</v>
      </c>
      <c r="Q409" s="50">
        <v>18032.829999999998</v>
      </c>
      <c r="R409" s="65">
        <v>0</v>
      </c>
      <c r="S409" s="65">
        <v>0</v>
      </c>
      <c r="T409" s="65">
        <v>1162.5600000000013</v>
      </c>
      <c r="U409" s="65">
        <v>0</v>
      </c>
      <c r="V409" s="65">
        <v>500</v>
      </c>
      <c r="W409" s="65">
        <v>0</v>
      </c>
      <c r="X409" s="65">
        <v>17533</v>
      </c>
      <c r="Y409" s="65">
        <v>0</v>
      </c>
      <c r="Z409" s="65">
        <v>0</v>
      </c>
      <c r="AA409" s="51">
        <v>0</v>
      </c>
      <c r="AB409" s="102">
        <v>0</v>
      </c>
      <c r="AC409" s="81">
        <f t="shared" si="21"/>
        <v>191.65059754977028</v>
      </c>
      <c r="AD409" s="82">
        <f t="shared" si="22"/>
        <v>65.3</v>
      </c>
      <c r="AE409" s="218">
        <v>-6.446908222392167E-2</v>
      </c>
      <c r="AF409">
        <v>2</v>
      </c>
      <c r="AH409" t="str">
        <f t="shared" si="20"/>
        <v xml:space="preserve">Alauli </v>
      </c>
      <c r="AJ409" s="72">
        <v>500</v>
      </c>
      <c r="AK409" s="72"/>
      <c r="AL409" s="72"/>
      <c r="AM409" s="72"/>
    </row>
    <row r="410" spans="1:39" x14ac:dyDescent="0.25">
      <c r="A410" s="37" t="s">
        <v>62</v>
      </c>
      <c r="B410" s="66" t="s">
        <v>1596</v>
      </c>
      <c r="C410" s="47">
        <v>1054</v>
      </c>
      <c r="D410" s="47" t="s">
        <v>808</v>
      </c>
      <c r="E410" s="41">
        <v>10110133</v>
      </c>
      <c r="F410" s="46" t="s">
        <v>656</v>
      </c>
      <c r="G410" s="39" t="s">
        <v>92</v>
      </c>
      <c r="H410" s="48" t="s">
        <v>93</v>
      </c>
      <c r="I410" s="52">
        <v>2464.5</v>
      </c>
      <c r="J410" s="49">
        <v>98704.16</v>
      </c>
      <c r="K410" s="65">
        <v>2472.1</v>
      </c>
      <c r="L410" s="65">
        <v>98961.49</v>
      </c>
      <c r="M410" s="65">
        <v>0</v>
      </c>
      <c r="N410" s="65">
        <v>0</v>
      </c>
      <c r="O410" s="65">
        <v>2472.1</v>
      </c>
      <c r="P410" s="65">
        <v>98961.49</v>
      </c>
      <c r="Q410" s="50">
        <v>98704.16</v>
      </c>
      <c r="R410" s="65">
        <v>0</v>
      </c>
      <c r="S410" s="65">
        <v>0</v>
      </c>
      <c r="T410" s="65">
        <v>257.33000000000175</v>
      </c>
      <c r="U410" s="65">
        <v>0</v>
      </c>
      <c r="V410" s="65">
        <v>0</v>
      </c>
      <c r="W410" s="65">
        <v>0</v>
      </c>
      <c r="X410" s="65">
        <v>98704</v>
      </c>
      <c r="Y410" s="65">
        <v>0</v>
      </c>
      <c r="Z410" s="65">
        <v>0</v>
      </c>
      <c r="AA410" s="51">
        <v>0</v>
      </c>
      <c r="AB410" s="102">
        <v>0</v>
      </c>
      <c r="AC410" s="81">
        <f t="shared" si="21"/>
        <v>0</v>
      </c>
      <c r="AD410" s="82">
        <f t="shared" si="22"/>
        <v>0</v>
      </c>
      <c r="AE410" s="218">
        <v>-2.6070836325439752E-3</v>
      </c>
      <c r="AF410">
        <v>2</v>
      </c>
      <c r="AH410" t="str">
        <f t="shared" si="20"/>
        <v xml:space="preserve">Alauli </v>
      </c>
      <c r="AJ410" s="72">
        <v>0</v>
      </c>
      <c r="AK410" s="72"/>
      <c r="AL410" s="72"/>
      <c r="AM410" s="72"/>
    </row>
    <row r="411" spans="1:39" x14ac:dyDescent="0.25">
      <c r="A411" s="37" t="s">
        <v>62</v>
      </c>
      <c r="B411" s="66" t="s">
        <v>1596</v>
      </c>
      <c r="C411" s="47">
        <v>1054</v>
      </c>
      <c r="D411" s="47" t="s">
        <v>808</v>
      </c>
      <c r="E411" s="41">
        <v>10110134</v>
      </c>
      <c r="F411" s="46" t="s">
        <v>231</v>
      </c>
      <c r="G411" s="39" t="s">
        <v>92</v>
      </c>
      <c r="H411" s="48" t="s">
        <v>93</v>
      </c>
      <c r="I411" s="52">
        <v>326.10000000000002</v>
      </c>
      <c r="J411" s="49">
        <v>14066.560000000001</v>
      </c>
      <c r="K411" s="65">
        <v>338.33000000000004</v>
      </c>
      <c r="L411" s="65">
        <v>13927.500000000002</v>
      </c>
      <c r="M411" s="65">
        <v>4.71</v>
      </c>
      <c r="N411" s="65">
        <v>203.45000000000005</v>
      </c>
      <c r="O411" s="65">
        <v>343.04</v>
      </c>
      <c r="P411" s="65">
        <v>14130.950000000003</v>
      </c>
      <c r="Q411" s="50">
        <v>14066.560000000001</v>
      </c>
      <c r="R411" s="65">
        <v>0</v>
      </c>
      <c r="S411" s="65">
        <v>203.45000000000005</v>
      </c>
      <c r="T411" s="65">
        <v>64.390000000001237</v>
      </c>
      <c r="U411" s="65">
        <v>0</v>
      </c>
      <c r="V411" s="65">
        <v>0</v>
      </c>
      <c r="W411" s="65">
        <v>0</v>
      </c>
      <c r="X411" s="65">
        <v>13863</v>
      </c>
      <c r="Y411" s="65">
        <v>0</v>
      </c>
      <c r="Z411" s="65">
        <v>0</v>
      </c>
      <c r="AA411" s="51">
        <v>0</v>
      </c>
      <c r="AB411" s="102">
        <v>0</v>
      </c>
      <c r="AC411" s="81">
        <f t="shared" si="21"/>
        <v>322.56895332720023</v>
      </c>
      <c r="AD411" s="82">
        <f t="shared" si="22"/>
        <v>46.585714285714289</v>
      </c>
      <c r="AE411" s="218">
        <v>-4.5775228627326957E-3</v>
      </c>
      <c r="AF411">
        <v>8</v>
      </c>
      <c r="AH411" t="str">
        <f t="shared" si="20"/>
        <v xml:space="preserve">Alauli </v>
      </c>
      <c r="AJ411" s="72">
        <v>0</v>
      </c>
      <c r="AK411" s="72"/>
      <c r="AL411" s="72"/>
      <c r="AM411" s="72"/>
    </row>
    <row r="412" spans="1:39" x14ac:dyDescent="0.25">
      <c r="A412" s="37" t="s">
        <v>62</v>
      </c>
      <c r="B412" s="66" t="s">
        <v>1596</v>
      </c>
      <c r="C412" s="47">
        <v>1054</v>
      </c>
      <c r="D412" s="47" t="s">
        <v>808</v>
      </c>
      <c r="E412" s="41">
        <v>10110135</v>
      </c>
      <c r="F412" s="46" t="s">
        <v>625</v>
      </c>
      <c r="G412" s="39" t="s">
        <v>92</v>
      </c>
      <c r="H412" s="48" t="s">
        <v>93</v>
      </c>
      <c r="I412" s="52">
        <v>649.19999999999993</v>
      </c>
      <c r="J412" s="49">
        <v>25849.840000000004</v>
      </c>
      <c r="K412" s="65">
        <v>642.35</v>
      </c>
      <c r="L412" s="65">
        <v>24990.649999999998</v>
      </c>
      <c r="M412" s="65">
        <v>22.590000000000003</v>
      </c>
      <c r="N412" s="65">
        <v>901.78</v>
      </c>
      <c r="O412" s="65">
        <v>664.94</v>
      </c>
      <c r="P412" s="65">
        <v>25892.429999999997</v>
      </c>
      <c r="Q412" s="50">
        <v>25849.840000000004</v>
      </c>
      <c r="R412" s="65">
        <v>0</v>
      </c>
      <c r="S412" s="65">
        <v>135.18</v>
      </c>
      <c r="T412" s="65">
        <v>42.58999999999287</v>
      </c>
      <c r="U412" s="65">
        <v>0</v>
      </c>
      <c r="V412" s="65">
        <v>0</v>
      </c>
      <c r="W412" s="65">
        <v>0</v>
      </c>
      <c r="X412" s="65">
        <v>24948</v>
      </c>
      <c r="Y412" s="65">
        <v>767</v>
      </c>
      <c r="Z412" s="65">
        <v>0</v>
      </c>
      <c r="AA412" s="51">
        <v>0</v>
      </c>
      <c r="AB412" s="102">
        <v>0</v>
      </c>
      <c r="AC412" s="81">
        <f t="shared" si="21"/>
        <v>40.455079235982815</v>
      </c>
      <c r="AD412" s="82">
        <f t="shared" si="22"/>
        <v>92.742857142857133</v>
      </c>
      <c r="AE412" s="218">
        <v>-1.6475924028927398E-3</v>
      </c>
      <c r="AF412">
        <v>14</v>
      </c>
      <c r="AH412" t="str">
        <f t="shared" si="20"/>
        <v xml:space="preserve">Alauli </v>
      </c>
      <c r="AJ412" s="72">
        <v>0</v>
      </c>
      <c r="AK412" s="72"/>
      <c r="AL412" s="72"/>
      <c r="AM412" s="72"/>
    </row>
    <row r="413" spans="1:39" x14ac:dyDescent="0.25">
      <c r="A413" s="37" t="s">
        <v>62</v>
      </c>
      <c r="B413" s="66" t="s">
        <v>1596</v>
      </c>
      <c r="C413" s="47">
        <v>1054</v>
      </c>
      <c r="D413" s="47" t="s">
        <v>808</v>
      </c>
      <c r="E413" s="41">
        <v>10110140</v>
      </c>
      <c r="F413" s="46" t="s">
        <v>657</v>
      </c>
      <c r="G413" s="39" t="s">
        <v>92</v>
      </c>
      <c r="H413" s="48" t="s">
        <v>93</v>
      </c>
      <c r="I413" s="52">
        <v>152.9</v>
      </c>
      <c r="J413" s="49">
        <v>7771.9000000000005</v>
      </c>
      <c r="K413" s="65">
        <v>156.72</v>
      </c>
      <c r="L413" s="65">
        <v>7687.49</v>
      </c>
      <c r="M413" s="65">
        <v>2.09</v>
      </c>
      <c r="N413" s="65">
        <v>104.58000000000001</v>
      </c>
      <c r="O413" s="65">
        <v>158.81</v>
      </c>
      <c r="P413" s="65">
        <v>7792.07</v>
      </c>
      <c r="Q413" s="50">
        <v>7771.9000000000005</v>
      </c>
      <c r="R413" s="65">
        <v>0</v>
      </c>
      <c r="S413" s="65">
        <v>104.58000000000001</v>
      </c>
      <c r="T413" s="65">
        <v>20.169999999999163</v>
      </c>
      <c r="U413" s="65">
        <v>1415</v>
      </c>
      <c r="V413" s="65">
        <v>0</v>
      </c>
      <c r="W413" s="65">
        <v>0</v>
      </c>
      <c r="X413" s="65">
        <v>6252</v>
      </c>
      <c r="Y413" s="65">
        <v>0</v>
      </c>
      <c r="Z413" s="65">
        <v>0</v>
      </c>
      <c r="AA413" s="51">
        <v>0</v>
      </c>
      <c r="AB413" s="102" t="s">
        <v>68</v>
      </c>
      <c r="AC413" s="81">
        <f t="shared" si="21"/>
        <v>556.18135905820793</v>
      </c>
      <c r="AD413" s="82">
        <f t="shared" si="22"/>
        <v>21.842857142857145</v>
      </c>
      <c r="AE413" s="218">
        <v>-2.5952469795029738E-3</v>
      </c>
      <c r="AF413">
        <v>5</v>
      </c>
      <c r="AH413" t="str">
        <f t="shared" si="20"/>
        <v xml:space="preserve">Alauli </v>
      </c>
      <c r="AJ413" s="72">
        <v>0</v>
      </c>
      <c r="AK413" s="72"/>
      <c r="AL413" s="72"/>
      <c r="AM413" s="72"/>
    </row>
    <row r="414" spans="1:39" x14ac:dyDescent="0.25">
      <c r="A414" s="37" t="s">
        <v>62</v>
      </c>
      <c r="B414" s="66" t="s">
        <v>1596</v>
      </c>
      <c r="C414" s="47">
        <v>1054</v>
      </c>
      <c r="D414" s="47" t="s">
        <v>808</v>
      </c>
      <c r="E414" s="41">
        <v>10110141</v>
      </c>
      <c r="F414" s="46" t="s">
        <v>658</v>
      </c>
      <c r="G414" s="39" t="s">
        <v>92</v>
      </c>
      <c r="H414" s="48" t="s">
        <v>93</v>
      </c>
      <c r="I414" s="52">
        <v>740.79999999999984</v>
      </c>
      <c r="J414" s="49">
        <v>30588.860000000004</v>
      </c>
      <c r="K414" s="65">
        <v>738.00999999999988</v>
      </c>
      <c r="L414" s="65">
        <v>30219.840000000004</v>
      </c>
      <c r="M414" s="65">
        <v>9.3800000000000008</v>
      </c>
      <c r="N414" s="65">
        <v>395.42999999999995</v>
      </c>
      <c r="O414" s="65">
        <v>747.38999999999987</v>
      </c>
      <c r="P414" s="65">
        <v>30615.270000000004</v>
      </c>
      <c r="Q414" s="50">
        <v>30588.860000000004</v>
      </c>
      <c r="R414" s="65">
        <v>0</v>
      </c>
      <c r="S414" s="65">
        <v>395.42999999999995</v>
      </c>
      <c r="T414" s="65">
        <v>26.409999999999854</v>
      </c>
      <c r="U414" s="65">
        <v>0</v>
      </c>
      <c r="V414" s="65">
        <v>0</v>
      </c>
      <c r="W414" s="65">
        <v>0</v>
      </c>
      <c r="X414" s="65">
        <v>30193</v>
      </c>
      <c r="Y414" s="65">
        <v>0</v>
      </c>
      <c r="Z414" s="65">
        <v>0</v>
      </c>
      <c r="AA414" s="51">
        <v>0</v>
      </c>
      <c r="AB414" s="102">
        <v>0</v>
      </c>
      <c r="AC414" s="81">
        <f t="shared" si="21"/>
        <v>0</v>
      </c>
      <c r="AD414" s="82">
        <f t="shared" si="22"/>
        <v>0</v>
      </c>
      <c r="AE414" s="218">
        <v>-8.6338621315079579E-4</v>
      </c>
      <c r="AF414">
        <v>16</v>
      </c>
      <c r="AH414" t="str">
        <f t="shared" si="20"/>
        <v xml:space="preserve">Alauli </v>
      </c>
      <c r="AJ414" s="72">
        <v>0</v>
      </c>
      <c r="AK414" s="72"/>
      <c r="AL414" s="72"/>
      <c r="AM414" s="72"/>
    </row>
    <row r="415" spans="1:39" x14ac:dyDescent="0.25">
      <c r="A415" s="37" t="s">
        <v>62</v>
      </c>
      <c r="B415" s="66" t="s">
        <v>1596</v>
      </c>
      <c r="C415" s="47">
        <v>1054</v>
      </c>
      <c r="D415" s="47" t="s">
        <v>808</v>
      </c>
      <c r="E415" s="41">
        <v>10110143</v>
      </c>
      <c r="F415" s="46" t="s">
        <v>659</v>
      </c>
      <c r="G415" s="39" t="s">
        <v>92</v>
      </c>
      <c r="H415" s="48" t="s">
        <v>93</v>
      </c>
      <c r="I415" s="52">
        <v>737.4</v>
      </c>
      <c r="J415" s="49">
        <v>29211.369999999995</v>
      </c>
      <c r="K415" s="65">
        <v>833.96</v>
      </c>
      <c r="L415" s="65">
        <v>33357.51999999999</v>
      </c>
      <c r="M415" s="65">
        <v>0</v>
      </c>
      <c r="N415" s="65">
        <v>0</v>
      </c>
      <c r="O415" s="65">
        <v>833.96</v>
      </c>
      <c r="P415" s="65">
        <v>33357.51999999999</v>
      </c>
      <c r="Q415" s="50">
        <v>29211.369999999995</v>
      </c>
      <c r="R415" s="65">
        <v>0</v>
      </c>
      <c r="S415" s="65">
        <v>0</v>
      </c>
      <c r="T415" s="65">
        <v>4146.1499999999942</v>
      </c>
      <c r="U415" s="65">
        <v>500</v>
      </c>
      <c r="V415" s="65">
        <v>0</v>
      </c>
      <c r="W415" s="65">
        <v>0</v>
      </c>
      <c r="X415" s="65">
        <v>28711</v>
      </c>
      <c r="Y415" s="65">
        <v>0</v>
      </c>
      <c r="Z415" s="65">
        <v>0</v>
      </c>
      <c r="AA415" s="51">
        <v>0</v>
      </c>
      <c r="AB415" s="102" t="s">
        <v>68</v>
      </c>
      <c r="AC415" s="81">
        <f t="shared" si="21"/>
        <v>0</v>
      </c>
      <c r="AD415" s="82">
        <f t="shared" si="22"/>
        <v>0</v>
      </c>
      <c r="AE415" s="218">
        <v>-0.14193617074447365</v>
      </c>
      <c r="AF415">
        <v>3</v>
      </c>
      <c r="AH415" t="str">
        <f t="shared" si="20"/>
        <v xml:space="preserve">Alauli </v>
      </c>
      <c r="AJ415" s="72">
        <v>0</v>
      </c>
      <c r="AK415" s="72"/>
      <c r="AL415" s="72"/>
      <c r="AM415" s="72"/>
    </row>
    <row r="416" spans="1:39" x14ac:dyDescent="0.25">
      <c r="A416" s="37" t="s">
        <v>62</v>
      </c>
      <c r="B416" s="66" t="s">
        <v>1596</v>
      </c>
      <c r="C416" s="47">
        <v>1054</v>
      </c>
      <c r="D416" s="47" t="s">
        <v>808</v>
      </c>
      <c r="E416" s="41">
        <v>10110144</v>
      </c>
      <c r="F416" s="46" t="s">
        <v>660</v>
      </c>
      <c r="G416" s="39" t="s">
        <v>92</v>
      </c>
      <c r="H416" s="48" t="s">
        <v>93</v>
      </c>
      <c r="I416" s="52">
        <v>694.3</v>
      </c>
      <c r="J416" s="49">
        <v>27965.87</v>
      </c>
      <c r="K416" s="65">
        <v>829.84</v>
      </c>
      <c r="L416" s="65">
        <v>32195.96</v>
      </c>
      <c r="M416" s="65">
        <v>0</v>
      </c>
      <c r="N416" s="65">
        <v>0</v>
      </c>
      <c r="O416" s="65">
        <v>829.84</v>
      </c>
      <c r="P416" s="65">
        <v>32195.96</v>
      </c>
      <c r="Q416" s="50">
        <v>27965.87</v>
      </c>
      <c r="R416" s="65">
        <v>0</v>
      </c>
      <c r="S416" s="65">
        <v>0</v>
      </c>
      <c r="T416" s="65">
        <v>4230.09</v>
      </c>
      <c r="U416" s="65">
        <v>0</v>
      </c>
      <c r="V416" s="65">
        <v>0</v>
      </c>
      <c r="W416" s="65">
        <v>0</v>
      </c>
      <c r="X416" s="65">
        <v>27966</v>
      </c>
      <c r="Y416" s="65">
        <v>0</v>
      </c>
      <c r="Z416" s="65">
        <v>0</v>
      </c>
      <c r="AA416" s="51">
        <v>0</v>
      </c>
      <c r="AB416" s="102">
        <v>0</v>
      </c>
      <c r="AC416" s="81">
        <f t="shared" si="21"/>
        <v>4.5918323203226405</v>
      </c>
      <c r="AD416" s="82">
        <f t="shared" si="22"/>
        <v>99.185714285714283</v>
      </c>
      <c r="AE416" s="218">
        <v>-0.15125901679439976</v>
      </c>
      <c r="AF416">
        <v>6</v>
      </c>
      <c r="AH416" t="str">
        <f t="shared" si="20"/>
        <v xml:space="preserve">Alauli </v>
      </c>
      <c r="AJ416" s="72">
        <v>0</v>
      </c>
      <c r="AK416" s="72"/>
      <c r="AL416" s="72"/>
      <c r="AM416" s="72"/>
    </row>
    <row r="417" spans="1:39" x14ac:dyDescent="0.25">
      <c r="A417" s="37" t="s">
        <v>62</v>
      </c>
      <c r="B417" s="66" t="s">
        <v>1596</v>
      </c>
      <c r="C417" s="47">
        <v>1011</v>
      </c>
      <c r="D417" s="47" t="s">
        <v>281</v>
      </c>
      <c r="E417" s="41">
        <v>10110146</v>
      </c>
      <c r="F417" s="46" t="s">
        <v>626</v>
      </c>
      <c r="G417" s="39" t="s">
        <v>92</v>
      </c>
      <c r="H417" s="48" t="s">
        <v>93</v>
      </c>
      <c r="I417" s="52">
        <v>1899.6</v>
      </c>
      <c r="J417" s="49">
        <v>77534.5</v>
      </c>
      <c r="K417" s="65">
        <v>3701.4</v>
      </c>
      <c r="L417" s="65">
        <v>152026.31</v>
      </c>
      <c r="M417" s="65">
        <v>0</v>
      </c>
      <c r="N417" s="65">
        <v>0</v>
      </c>
      <c r="O417" s="65">
        <v>3701.4</v>
      </c>
      <c r="P417" s="65">
        <v>152026.31</v>
      </c>
      <c r="Q417" s="50">
        <v>77534.5</v>
      </c>
      <c r="R417" s="65">
        <v>0</v>
      </c>
      <c r="S417" s="65">
        <v>0</v>
      </c>
      <c r="T417" s="65">
        <v>74491.81</v>
      </c>
      <c r="U417" s="65">
        <v>0</v>
      </c>
      <c r="V417" s="65">
        <v>0</v>
      </c>
      <c r="W417" s="65">
        <v>0</v>
      </c>
      <c r="X417" s="65">
        <v>77534</v>
      </c>
      <c r="Y417" s="65">
        <v>0</v>
      </c>
      <c r="Z417" s="65">
        <v>0</v>
      </c>
      <c r="AA417" s="51">
        <v>1</v>
      </c>
      <c r="AB417" s="102" t="s">
        <v>1598</v>
      </c>
      <c r="AC417" s="81">
        <f t="shared" si="21"/>
        <v>0</v>
      </c>
      <c r="AD417" s="82">
        <f t="shared" si="22"/>
        <v>0</v>
      </c>
      <c r="AE417" s="218">
        <v>-0.96075695335624789</v>
      </c>
      <c r="AF417">
        <v>3</v>
      </c>
      <c r="AH417" t="str">
        <f t="shared" si="20"/>
        <v>Sahibpur Kamal</v>
      </c>
      <c r="AJ417" s="72">
        <v>0</v>
      </c>
      <c r="AK417" s="72"/>
      <c r="AL417" s="72"/>
      <c r="AM417" s="72"/>
    </row>
    <row r="418" spans="1:39" x14ac:dyDescent="0.25">
      <c r="A418" s="37" t="s">
        <v>62</v>
      </c>
      <c r="B418" s="66" t="s">
        <v>1596</v>
      </c>
      <c r="C418" s="47">
        <v>1054</v>
      </c>
      <c r="D418" s="47" t="s">
        <v>808</v>
      </c>
      <c r="E418" s="41">
        <v>10110149</v>
      </c>
      <c r="F418" s="46" t="s">
        <v>664</v>
      </c>
      <c r="G418" s="39" t="s">
        <v>92</v>
      </c>
      <c r="H418" s="48" t="s">
        <v>93</v>
      </c>
      <c r="I418" s="52">
        <v>597.70000000000005</v>
      </c>
      <c r="J418" s="49">
        <v>23853.750000000004</v>
      </c>
      <c r="K418" s="65">
        <v>469.09000000000003</v>
      </c>
      <c r="L418" s="65">
        <v>19297.39</v>
      </c>
      <c r="M418" s="65">
        <v>133.60999999999999</v>
      </c>
      <c r="N418" s="65">
        <v>4686.41</v>
      </c>
      <c r="O418" s="65">
        <v>602.70000000000005</v>
      </c>
      <c r="P418" s="65">
        <v>23983.8</v>
      </c>
      <c r="Q418" s="50">
        <v>23853.750000000004</v>
      </c>
      <c r="R418" s="65">
        <v>0</v>
      </c>
      <c r="S418" s="65">
        <v>0</v>
      </c>
      <c r="T418" s="65">
        <v>130.04999999999563</v>
      </c>
      <c r="U418" s="65">
        <v>0</v>
      </c>
      <c r="V418" s="65">
        <v>0</v>
      </c>
      <c r="W418" s="65">
        <v>0</v>
      </c>
      <c r="X418" s="65">
        <v>19167</v>
      </c>
      <c r="Y418" s="65">
        <v>4687</v>
      </c>
      <c r="Z418" s="65">
        <v>0</v>
      </c>
      <c r="AA418" s="51">
        <v>0</v>
      </c>
      <c r="AB418" s="102">
        <v>0</v>
      </c>
      <c r="AC418" s="81">
        <f t="shared" si="21"/>
        <v>81.654295633260844</v>
      </c>
      <c r="AD418" s="82">
        <f t="shared" si="22"/>
        <v>85.385714285714286</v>
      </c>
      <c r="AE418" s="218">
        <v>-5.4519729602261957E-3</v>
      </c>
      <c r="AF418">
        <v>4</v>
      </c>
      <c r="AH418" t="str">
        <f t="shared" si="20"/>
        <v xml:space="preserve">Alauli </v>
      </c>
      <c r="AJ418" s="72">
        <v>0</v>
      </c>
      <c r="AK418" s="72"/>
      <c r="AL418" s="72"/>
      <c r="AM418" s="72"/>
    </row>
    <row r="419" spans="1:39" x14ac:dyDescent="0.25">
      <c r="A419" s="37" t="s">
        <v>62</v>
      </c>
      <c r="B419" s="66" t="s">
        <v>1596</v>
      </c>
      <c r="C419" s="47">
        <v>1011</v>
      </c>
      <c r="D419" s="47" t="s">
        <v>281</v>
      </c>
      <c r="E419" s="41">
        <v>10110153</v>
      </c>
      <c r="F419" s="46" t="s">
        <v>812</v>
      </c>
      <c r="G419" s="39" t="s">
        <v>617</v>
      </c>
      <c r="H419" s="48" t="s">
        <v>98</v>
      </c>
      <c r="I419" s="52">
        <v>2589.3000000000002</v>
      </c>
      <c r="J419" s="49">
        <v>108112.15000000002</v>
      </c>
      <c r="K419" s="65">
        <v>0</v>
      </c>
      <c r="L419" s="65">
        <v>0</v>
      </c>
      <c r="M419" s="65">
        <v>0</v>
      </c>
      <c r="N419" s="65">
        <v>0</v>
      </c>
      <c r="O419" s="65">
        <v>0</v>
      </c>
      <c r="P419" s="65">
        <v>0</v>
      </c>
      <c r="Q419" s="50">
        <v>108112.15000000002</v>
      </c>
      <c r="R419" s="65">
        <v>0</v>
      </c>
      <c r="S419" s="65">
        <v>0</v>
      </c>
      <c r="T419" s="65">
        <v>0</v>
      </c>
      <c r="U419" s="65">
        <v>0</v>
      </c>
      <c r="V419" s="65">
        <v>0</v>
      </c>
      <c r="W419" s="65">
        <v>0</v>
      </c>
      <c r="X419" s="65">
        <v>0</v>
      </c>
      <c r="Y419" s="65">
        <v>0</v>
      </c>
      <c r="Z419" s="65">
        <v>108112.15000000002</v>
      </c>
      <c r="AA419" s="51">
        <v>0</v>
      </c>
      <c r="AB419" s="102">
        <v>0</v>
      </c>
      <c r="AC419" s="81">
        <f t="shared" si="21"/>
        <v>0</v>
      </c>
      <c r="AD419" s="82">
        <f t="shared" si="22"/>
        <v>0</v>
      </c>
      <c r="AE419" s="218">
        <v>0</v>
      </c>
      <c r="AF419">
        <v>0</v>
      </c>
      <c r="AH419" t="str">
        <f t="shared" si="20"/>
        <v>Sahibpur Kamal</v>
      </c>
      <c r="AJ419" s="72">
        <v>0</v>
      </c>
      <c r="AK419" s="72"/>
      <c r="AL419" s="72"/>
      <c r="AM419" s="72"/>
    </row>
    <row r="420" spans="1:39" x14ac:dyDescent="0.25">
      <c r="A420" s="37" t="s">
        <v>62</v>
      </c>
      <c r="B420" s="66" t="s">
        <v>1596</v>
      </c>
      <c r="C420" s="47">
        <v>1055</v>
      </c>
      <c r="D420" s="47" t="s">
        <v>1125</v>
      </c>
      <c r="E420" s="41">
        <v>10110155</v>
      </c>
      <c r="F420" s="46" t="s">
        <v>817</v>
      </c>
      <c r="G420" s="39" t="s">
        <v>617</v>
      </c>
      <c r="H420" s="48" t="s">
        <v>98</v>
      </c>
      <c r="I420" s="52">
        <v>383.79999999999995</v>
      </c>
      <c r="J420" s="49">
        <v>14822.59</v>
      </c>
      <c r="K420" s="65">
        <v>0</v>
      </c>
      <c r="L420" s="65">
        <v>0</v>
      </c>
      <c r="M420" s="65">
        <v>0</v>
      </c>
      <c r="N420" s="65">
        <v>0</v>
      </c>
      <c r="O420" s="65">
        <v>0</v>
      </c>
      <c r="P420" s="65">
        <v>0</v>
      </c>
      <c r="Q420" s="50">
        <v>14822.59</v>
      </c>
      <c r="R420" s="65">
        <v>0</v>
      </c>
      <c r="S420" s="65">
        <v>0</v>
      </c>
      <c r="T420" s="65">
        <v>0</v>
      </c>
      <c r="U420" s="65">
        <v>0</v>
      </c>
      <c r="V420" s="65">
        <v>0</v>
      </c>
      <c r="W420" s="65">
        <v>0</v>
      </c>
      <c r="X420" s="65">
        <v>0</v>
      </c>
      <c r="Y420" s="65">
        <v>0</v>
      </c>
      <c r="Z420" s="65">
        <v>14822.59</v>
      </c>
      <c r="AA420" s="51">
        <v>0</v>
      </c>
      <c r="AB420" s="102">
        <v>0</v>
      </c>
      <c r="AC420" s="81">
        <f t="shared" si="21"/>
        <v>244.23673569567492</v>
      </c>
      <c r="AD420" s="82">
        <f t="shared" si="22"/>
        <v>54.828571428571422</v>
      </c>
      <c r="AE420" s="218">
        <v>0</v>
      </c>
      <c r="AF420">
        <v>0</v>
      </c>
      <c r="AH420" t="str">
        <f t="shared" si="20"/>
        <v>Matihani</v>
      </c>
      <c r="AJ420" s="72">
        <v>0</v>
      </c>
      <c r="AK420" s="72"/>
      <c r="AL420" s="72"/>
      <c r="AM420" s="72"/>
    </row>
    <row r="421" spans="1:39" x14ac:dyDescent="0.25">
      <c r="A421" s="37" t="s">
        <v>62</v>
      </c>
      <c r="B421" s="66" t="s">
        <v>1596</v>
      </c>
      <c r="C421" s="47">
        <v>1011</v>
      </c>
      <c r="D421" s="47" t="s">
        <v>281</v>
      </c>
      <c r="E421" s="41">
        <v>10110158</v>
      </c>
      <c r="F421" s="46" t="s">
        <v>1118</v>
      </c>
      <c r="G421" s="39" t="s">
        <v>92</v>
      </c>
      <c r="H421" s="48" t="s">
        <v>93</v>
      </c>
      <c r="I421" s="52">
        <v>7133.300000000002</v>
      </c>
      <c r="J421" s="49">
        <v>274530.46999999997</v>
      </c>
      <c r="K421" s="65">
        <v>5927.4799999999987</v>
      </c>
      <c r="L421" s="65">
        <v>228550.2600000001</v>
      </c>
      <c r="M421" s="65">
        <v>1188.6200000000001</v>
      </c>
      <c r="N421" s="65">
        <v>47336.679999999993</v>
      </c>
      <c r="O421" s="65">
        <v>7116.0999999999985</v>
      </c>
      <c r="P421" s="65">
        <v>275886.94000000006</v>
      </c>
      <c r="Q421" s="50">
        <v>274530.46999999997</v>
      </c>
      <c r="R421" s="65">
        <v>0</v>
      </c>
      <c r="S421" s="65">
        <v>0</v>
      </c>
      <c r="T421" s="65">
        <v>1356.4700000000885</v>
      </c>
      <c r="U421" s="65">
        <v>0</v>
      </c>
      <c r="V421" s="65">
        <v>0</v>
      </c>
      <c r="W421" s="65">
        <v>0</v>
      </c>
      <c r="X421" s="65">
        <v>227193</v>
      </c>
      <c r="Y421" s="65">
        <v>47337</v>
      </c>
      <c r="Z421" s="65">
        <v>0</v>
      </c>
      <c r="AA421" s="51">
        <v>0</v>
      </c>
      <c r="AB421" s="102">
        <v>0</v>
      </c>
      <c r="AC421" s="81">
        <f t="shared" si="21"/>
        <v>0</v>
      </c>
      <c r="AD421" s="82">
        <f t="shared" si="22"/>
        <v>0</v>
      </c>
      <c r="AE421" s="218">
        <v>-4.9410544483462571E-3</v>
      </c>
      <c r="AF421">
        <v>38</v>
      </c>
      <c r="AH421" t="str">
        <f t="shared" si="20"/>
        <v>Sahibpur Kamal</v>
      </c>
      <c r="AJ421" s="72">
        <v>0</v>
      </c>
      <c r="AK421" s="72"/>
      <c r="AL421" s="72"/>
      <c r="AM421" s="72"/>
    </row>
    <row r="422" spans="1:39" x14ac:dyDescent="0.25">
      <c r="A422" s="37" t="s">
        <v>62</v>
      </c>
      <c r="B422" s="66" t="s">
        <v>1596</v>
      </c>
      <c r="C422" s="47">
        <v>1011</v>
      </c>
      <c r="D422" s="47" t="s">
        <v>281</v>
      </c>
      <c r="E422" s="41">
        <v>10110159</v>
      </c>
      <c r="F422" s="46" t="s">
        <v>826</v>
      </c>
      <c r="G422" s="39" t="s">
        <v>92</v>
      </c>
      <c r="H422" s="48" t="s">
        <v>93</v>
      </c>
      <c r="I422" s="52">
        <v>1659.3999999999999</v>
      </c>
      <c r="J422" s="49">
        <v>65279.12000000001</v>
      </c>
      <c r="K422" s="65">
        <v>724.9</v>
      </c>
      <c r="L422" s="65">
        <v>28627.11</v>
      </c>
      <c r="M422" s="65">
        <v>1064.1999999999998</v>
      </c>
      <c r="N422" s="65">
        <v>41973.4</v>
      </c>
      <c r="O422" s="65">
        <v>1789.1</v>
      </c>
      <c r="P422" s="65">
        <v>70600.510000000009</v>
      </c>
      <c r="Q422" s="50">
        <v>65279.12000000001</v>
      </c>
      <c r="R422" s="65">
        <v>0</v>
      </c>
      <c r="S422" s="65">
        <v>166.05000000000004</v>
      </c>
      <c r="T422" s="65">
        <v>5321.3899999999994</v>
      </c>
      <c r="U422" s="65">
        <v>0</v>
      </c>
      <c r="V422" s="65">
        <v>0</v>
      </c>
      <c r="W422" s="65">
        <v>0</v>
      </c>
      <c r="X422" s="65">
        <v>23305</v>
      </c>
      <c r="Y422" s="65">
        <v>41808</v>
      </c>
      <c r="Z422" s="65">
        <v>0</v>
      </c>
      <c r="AA422" s="51">
        <v>0</v>
      </c>
      <c r="AB422" s="102">
        <v>0</v>
      </c>
      <c r="AC422" s="81">
        <f t="shared" si="21"/>
        <v>0</v>
      </c>
      <c r="AD422" s="82">
        <f t="shared" si="22"/>
        <v>0</v>
      </c>
      <c r="AE422" s="218">
        <v>-8.1517489819102937E-2</v>
      </c>
      <c r="AF422">
        <v>10</v>
      </c>
      <c r="AH422" t="str">
        <f t="shared" si="20"/>
        <v>Sahibpur Kamal</v>
      </c>
      <c r="AJ422" s="72">
        <v>0</v>
      </c>
      <c r="AK422" s="72"/>
      <c r="AL422" s="72"/>
      <c r="AM422" s="72"/>
    </row>
    <row r="423" spans="1:39" x14ac:dyDescent="0.25">
      <c r="A423" s="37" t="s">
        <v>62</v>
      </c>
      <c r="B423" s="66" t="s">
        <v>1596</v>
      </c>
      <c r="C423" s="47">
        <v>1011</v>
      </c>
      <c r="D423" s="47" t="s">
        <v>281</v>
      </c>
      <c r="E423" s="41">
        <v>10110160</v>
      </c>
      <c r="F423" s="46" t="s">
        <v>1121</v>
      </c>
      <c r="G423" s="39" t="s">
        <v>617</v>
      </c>
      <c r="H423" s="48" t="s">
        <v>98</v>
      </c>
      <c r="I423" s="52">
        <v>487.40000000000003</v>
      </c>
      <c r="J423" s="49">
        <v>17925.57</v>
      </c>
      <c r="K423" s="65">
        <v>0</v>
      </c>
      <c r="L423" s="65">
        <v>0</v>
      </c>
      <c r="M423" s="65">
        <v>0</v>
      </c>
      <c r="N423" s="65">
        <v>0</v>
      </c>
      <c r="O423" s="65">
        <v>0</v>
      </c>
      <c r="P423" s="65">
        <v>0</v>
      </c>
      <c r="Q423" s="50">
        <v>17925.57</v>
      </c>
      <c r="R423" s="65">
        <v>0</v>
      </c>
      <c r="S423" s="65">
        <v>0</v>
      </c>
      <c r="T423" s="65">
        <v>0</v>
      </c>
      <c r="U423" s="65">
        <v>4050</v>
      </c>
      <c r="V423" s="65">
        <v>0</v>
      </c>
      <c r="W423" s="65">
        <v>0</v>
      </c>
      <c r="X423" s="65">
        <v>0</v>
      </c>
      <c r="Y423" s="65">
        <v>0</v>
      </c>
      <c r="Z423" s="65">
        <v>13875.57</v>
      </c>
      <c r="AA423" s="51">
        <v>0</v>
      </c>
      <c r="AB423" s="102">
        <v>0</v>
      </c>
      <c r="AC423" s="81">
        <f t="shared" si="21"/>
        <v>156.37981871153053</v>
      </c>
      <c r="AD423" s="82">
        <f t="shared" si="22"/>
        <v>69.628571428571433</v>
      </c>
      <c r="AE423" s="218">
        <v>0</v>
      </c>
      <c r="AF423">
        <v>0</v>
      </c>
      <c r="AH423" t="str">
        <f t="shared" si="20"/>
        <v>Sahibpur Kamal</v>
      </c>
      <c r="AJ423" s="72">
        <v>0</v>
      </c>
      <c r="AK423" s="72"/>
      <c r="AL423" s="72"/>
      <c r="AM423" s="72"/>
    </row>
    <row r="424" spans="1:39" x14ac:dyDescent="0.25">
      <c r="A424" s="37" t="s">
        <v>62</v>
      </c>
      <c r="B424" s="66" t="s">
        <v>1596</v>
      </c>
      <c r="C424" s="47">
        <v>1011</v>
      </c>
      <c r="D424" s="47" t="s">
        <v>281</v>
      </c>
      <c r="E424" s="41">
        <v>10110161</v>
      </c>
      <c r="F424" s="46" t="s">
        <v>1122</v>
      </c>
      <c r="G424" s="39" t="s">
        <v>617</v>
      </c>
      <c r="H424" s="48" t="s">
        <v>98</v>
      </c>
      <c r="I424" s="52">
        <v>898.99999999999989</v>
      </c>
      <c r="J424" s="49">
        <v>31500.190000000002</v>
      </c>
      <c r="K424" s="65">
        <v>0</v>
      </c>
      <c r="L424" s="65">
        <v>0</v>
      </c>
      <c r="M424" s="65">
        <v>0</v>
      </c>
      <c r="N424" s="65">
        <v>0</v>
      </c>
      <c r="O424" s="65">
        <v>0</v>
      </c>
      <c r="P424" s="65">
        <v>0</v>
      </c>
      <c r="Q424" s="50">
        <v>31500.190000000002</v>
      </c>
      <c r="R424" s="65">
        <v>0</v>
      </c>
      <c r="S424" s="65">
        <v>0</v>
      </c>
      <c r="T424" s="65">
        <v>0</v>
      </c>
      <c r="U424" s="65">
        <v>713.30000000000007</v>
      </c>
      <c r="V424" s="65">
        <v>0</v>
      </c>
      <c r="W424" s="65">
        <v>0</v>
      </c>
      <c r="X424" s="65">
        <v>0</v>
      </c>
      <c r="Y424" s="65">
        <v>0</v>
      </c>
      <c r="Z424" s="65">
        <v>30786.890000000003</v>
      </c>
      <c r="AA424" s="51">
        <v>0</v>
      </c>
      <c r="AB424" s="102">
        <v>0</v>
      </c>
      <c r="AC424" s="81">
        <f t="shared" si="21"/>
        <v>0</v>
      </c>
      <c r="AD424" s="82">
        <f t="shared" si="22"/>
        <v>0</v>
      </c>
      <c r="AE424" s="218">
        <v>0</v>
      </c>
      <c r="AF424">
        <v>0</v>
      </c>
      <c r="AH424" t="str">
        <f t="shared" si="20"/>
        <v>Sahibpur Kamal</v>
      </c>
      <c r="AJ424" s="72">
        <v>0</v>
      </c>
      <c r="AK424" s="72"/>
      <c r="AL424" s="72"/>
      <c r="AM424" s="72"/>
    </row>
    <row r="425" spans="1:39" x14ac:dyDescent="0.25">
      <c r="A425" s="37" t="s">
        <v>62</v>
      </c>
      <c r="B425" s="66" t="s">
        <v>1596</v>
      </c>
      <c r="C425" s="47">
        <v>1011</v>
      </c>
      <c r="D425" s="47" t="s">
        <v>281</v>
      </c>
      <c r="E425" s="41">
        <v>10110164</v>
      </c>
      <c r="F425" s="46" t="s">
        <v>1220</v>
      </c>
      <c r="G425" s="39" t="s">
        <v>92</v>
      </c>
      <c r="H425" s="48" t="s">
        <v>93</v>
      </c>
      <c r="I425" s="52">
        <v>260.90000000000003</v>
      </c>
      <c r="J425" s="49">
        <v>10967.91</v>
      </c>
      <c r="K425" s="65">
        <v>260</v>
      </c>
      <c r="L425" s="65">
        <v>10987.599999999999</v>
      </c>
      <c r="M425" s="65">
        <v>0</v>
      </c>
      <c r="N425" s="65">
        <v>0</v>
      </c>
      <c r="O425" s="65">
        <v>260</v>
      </c>
      <c r="P425" s="65">
        <v>10987.599999999999</v>
      </c>
      <c r="Q425" s="50">
        <v>10967.91</v>
      </c>
      <c r="R425" s="65">
        <v>0</v>
      </c>
      <c r="S425" s="65">
        <v>0</v>
      </c>
      <c r="T425" s="65">
        <v>19.68999999999869</v>
      </c>
      <c r="U425" s="65">
        <v>0</v>
      </c>
      <c r="V425" s="65">
        <v>0</v>
      </c>
      <c r="W425" s="65">
        <v>0</v>
      </c>
      <c r="X425" s="65">
        <v>10968</v>
      </c>
      <c r="Y425" s="65">
        <v>0</v>
      </c>
      <c r="Z425" s="65">
        <v>0</v>
      </c>
      <c r="AA425" s="51">
        <v>0</v>
      </c>
      <c r="AB425" s="102" t="s">
        <v>1598</v>
      </c>
      <c r="AC425" s="81">
        <f t="shared" si="21"/>
        <v>369.18430670755072</v>
      </c>
      <c r="AD425" s="82">
        <f t="shared" si="22"/>
        <v>37.271428571428579</v>
      </c>
      <c r="AE425" s="218">
        <v>-1.7952371965122517E-3</v>
      </c>
      <c r="AF425">
        <v>4</v>
      </c>
      <c r="AH425" t="str">
        <f t="shared" si="20"/>
        <v>Sahibpur Kamal</v>
      </c>
      <c r="AJ425" s="72">
        <v>0</v>
      </c>
      <c r="AK425" s="72"/>
      <c r="AL425" s="72"/>
      <c r="AM425" s="72"/>
    </row>
    <row r="426" spans="1:39" x14ac:dyDescent="0.25">
      <c r="A426" s="37" t="s">
        <v>62</v>
      </c>
      <c r="B426" s="66" t="s">
        <v>1596</v>
      </c>
      <c r="C426" s="47">
        <v>1011</v>
      </c>
      <c r="D426" s="47" t="s">
        <v>281</v>
      </c>
      <c r="E426" s="41">
        <v>10110166</v>
      </c>
      <c r="F426" s="46" t="s">
        <v>1601</v>
      </c>
      <c r="G426" s="39" t="s">
        <v>617</v>
      </c>
      <c r="H426" s="48" t="s">
        <v>98</v>
      </c>
      <c r="I426" s="52">
        <v>38.1</v>
      </c>
      <c r="J426" s="49">
        <v>1477.52</v>
      </c>
      <c r="K426" s="65">
        <v>0</v>
      </c>
      <c r="L426" s="65">
        <v>0</v>
      </c>
      <c r="M426" s="65">
        <v>0</v>
      </c>
      <c r="N426" s="65">
        <v>0</v>
      </c>
      <c r="O426" s="65">
        <v>0</v>
      </c>
      <c r="P426" s="65">
        <v>0</v>
      </c>
      <c r="Q426" s="50">
        <v>1477.52</v>
      </c>
      <c r="R426" s="65">
        <v>0</v>
      </c>
      <c r="S426" s="65">
        <v>0</v>
      </c>
      <c r="T426" s="65">
        <v>0</v>
      </c>
      <c r="U426" s="65">
        <v>0</v>
      </c>
      <c r="V426" s="65">
        <v>0</v>
      </c>
      <c r="W426" s="65">
        <v>0</v>
      </c>
      <c r="X426" s="65">
        <v>0</v>
      </c>
      <c r="Y426" s="65">
        <v>0</v>
      </c>
      <c r="Z426" s="65">
        <v>1477.52</v>
      </c>
      <c r="AA426" s="51">
        <v>0</v>
      </c>
      <c r="AB426" s="102">
        <v>0</v>
      </c>
      <c r="AC426" s="81">
        <f t="shared" si="21"/>
        <v>513.37033490813644</v>
      </c>
      <c r="AD426" s="82">
        <f t="shared" si="22"/>
        <v>5.4428571428571431</v>
      </c>
      <c r="AE426" s="218">
        <v>0</v>
      </c>
      <c r="AF426">
        <v>0</v>
      </c>
      <c r="AH426" t="str">
        <f t="shared" si="20"/>
        <v>Sahibpur Kamal</v>
      </c>
      <c r="AJ426" s="72">
        <v>0</v>
      </c>
      <c r="AK426" s="72"/>
      <c r="AL426" s="72"/>
      <c r="AM426" s="72"/>
    </row>
    <row r="427" spans="1:39" x14ac:dyDescent="0.25">
      <c r="A427" s="37" t="s">
        <v>62</v>
      </c>
      <c r="B427" s="66" t="s">
        <v>1596</v>
      </c>
      <c r="C427" s="47">
        <v>1011</v>
      </c>
      <c r="D427" s="47" t="s">
        <v>281</v>
      </c>
      <c r="E427" s="41">
        <v>10110168</v>
      </c>
      <c r="F427" s="46" t="s">
        <v>1221</v>
      </c>
      <c r="G427" s="39" t="s">
        <v>92</v>
      </c>
      <c r="H427" s="48" t="s">
        <v>93</v>
      </c>
      <c r="I427" s="52">
        <v>1657.9</v>
      </c>
      <c r="J427" s="49">
        <v>62401.61</v>
      </c>
      <c r="K427" s="65">
        <v>1651.3000000000002</v>
      </c>
      <c r="L427" s="65">
        <v>63787.82</v>
      </c>
      <c r="M427" s="65">
        <v>6.3</v>
      </c>
      <c r="N427" s="65">
        <v>245.33</v>
      </c>
      <c r="O427" s="65">
        <v>1657.6000000000001</v>
      </c>
      <c r="P427" s="65">
        <v>64033.15</v>
      </c>
      <c r="Q427" s="50">
        <v>62401.61</v>
      </c>
      <c r="R427" s="65">
        <v>0</v>
      </c>
      <c r="S427" s="65">
        <v>245.33</v>
      </c>
      <c r="T427" s="65">
        <v>1631.5400000000009</v>
      </c>
      <c r="U427" s="65">
        <v>0</v>
      </c>
      <c r="V427" s="65">
        <v>0</v>
      </c>
      <c r="W427" s="65">
        <v>0</v>
      </c>
      <c r="X427" s="65">
        <v>62156</v>
      </c>
      <c r="Y427" s="65">
        <v>0</v>
      </c>
      <c r="Z427" s="65">
        <v>0</v>
      </c>
      <c r="AA427" s="51">
        <v>0</v>
      </c>
      <c r="AB427" s="102">
        <v>0</v>
      </c>
      <c r="AC427" s="81">
        <f t="shared" si="21"/>
        <v>0</v>
      </c>
      <c r="AD427" s="82">
        <f t="shared" si="22"/>
        <v>0</v>
      </c>
      <c r="AE427" s="218">
        <v>-2.6145799763820209E-2</v>
      </c>
      <c r="AF427">
        <v>3</v>
      </c>
      <c r="AH427" t="str">
        <f t="shared" si="20"/>
        <v>Sahibpur Kamal</v>
      </c>
      <c r="AJ427" s="72">
        <v>0</v>
      </c>
      <c r="AK427" s="72"/>
      <c r="AL427" s="72"/>
      <c r="AM427" s="72"/>
    </row>
    <row r="428" spans="1:39" x14ac:dyDescent="0.25">
      <c r="A428" s="37" t="s">
        <v>62</v>
      </c>
      <c r="B428" s="66" t="s">
        <v>1596</v>
      </c>
      <c r="C428" s="47">
        <v>1011</v>
      </c>
      <c r="D428" s="47" t="s">
        <v>281</v>
      </c>
      <c r="E428" s="41">
        <v>10110172</v>
      </c>
      <c r="F428" s="46" t="s">
        <v>1233</v>
      </c>
      <c r="G428" s="39" t="s">
        <v>92</v>
      </c>
      <c r="H428" s="48" t="s">
        <v>93</v>
      </c>
      <c r="I428" s="52">
        <v>221.50000000000003</v>
      </c>
      <c r="J428" s="49">
        <v>8503.6999999999989</v>
      </c>
      <c r="K428" s="65">
        <v>221</v>
      </c>
      <c r="L428" s="65">
        <v>8570.3799999999992</v>
      </c>
      <c r="M428" s="65">
        <v>0</v>
      </c>
      <c r="N428" s="65">
        <v>0</v>
      </c>
      <c r="O428" s="65">
        <v>221</v>
      </c>
      <c r="P428" s="65">
        <v>8570.3799999999992</v>
      </c>
      <c r="Q428" s="50">
        <v>8503.6999999999989</v>
      </c>
      <c r="R428" s="65">
        <v>0</v>
      </c>
      <c r="S428" s="65">
        <v>0</v>
      </c>
      <c r="T428" s="65">
        <v>66.680000000000291</v>
      </c>
      <c r="U428" s="65">
        <v>0</v>
      </c>
      <c r="V428" s="65">
        <v>0</v>
      </c>
      <c r="W428" s="65">
        <v>0</v>
      </c>
      <c r="X428" s="65">
        <v>8504</v>
      </c>
      <c r="Y428" s="65">
        <v>0</v>
      </c>
      <c r="Z428" s="65">
        <v>0</v>
      </c>
      <c r="AA428" s="51">
        <v>0</v>
      </c>
      <c r="AB428" s="102" t="s">
        <v>1598</v>
      </c>
      <c r="AC428" s="81">
        <f t="shared" si="21"/>
        <v>367.40590970654625</v>
      </c>
      <c r="AD428" s="82">
        <f t="shared" si="22"/>
        <v>31.642857142857146</v>
      </c>
      <c r="AE428" s="218">
        <v>-7.8412926138034383E-3</v>
      </c>
      <c r="AF428">
        <v>1</v>
      </c>
      <c r="AH428" t="str">
        <f t="shared" si="20"/>
        <v>Sahibpur Kamal</v>
      </c>
      <c r="AJ428" s="72">
        <v>0</v>
      </c>
      <c r="AK428" s="72"/>
      <c r="AL428" s="72"/>
      <c r="AM428" s="72"/>
    </row>
    <row r="429" spans="1:39" x14ac:dyDescent="0.25">
      <c r="A429" s="37" t="s">
        <v>62</v>
      </c>
      <c r="B429" s="66" t="s">
        <v>1596</v>
      </c>
      <c r="C429" s="47">
        <v>1011</v>
      </c>
      <c r="D429" s="47" t="s">
        <v>281</v>
      </c>
      <c r="E429" s="41">
        <v>10110173</v>
      </c>
      <c r="F429" s="46" t="s">
        <v>1222</v>
      </c>
      <c r="G429" s="39" t="s">
        <v>617</v>
      </c>
      <c r="H429" s="48" t="s">
        <v>98</v>
      </c>
      <c r="I429" s="52">
        <v>1351.8999999999999</v>
      </c>
      <c r="J429" s="49">
        <v>60625.849999999991</v>
      </c>
      <c r="K429" s="65">
        <v>0</v>
      </c>
      <c r="L429" s="65">
        <v>0</v>
      </c>
      <c r="M429" s="65">
        <v>0</v>
      </c>
      <c r="N429" s="65">
        <v>0</v>
      </c>
      <c r="O429" s="65">
        <v>0</v>
      </c>
      <c r="P429" s="65">
        <v>0</v>
      </c>
      <c r="Q429" s="50">
        <v>60625.849999999991</v>
      </c>
      <c r="R429" s="65">
        <v>0</v>
      </c>
      <c r="S429" s="65">
        <v>0</v>
      </c>
      <c r="T429" s="65">
        <v>0</v>
      </c>
      <c r="U429" s="65">
        <v>0</v>
      </c>
      <c r="V429" s="65">
        <v>0</v>
      </c>
      <c r="W429" s="65">
        <v>0</v>
      </c>
      <c r="X429" s="65">
        <v>0</v>
      </c>
      <c r="Y429" s="65">
        <v>0</v>
      </c>
      <c r="Z429" s="65">
        <v>60625.849999999991</v>
      </c>
      <c r="AA429" s="51">
        <v>0</v>
      </c>
      <c r="AB429" s="102">
        <v>0</v>
      </c>
      <c r="AC429" s="81">
        <f t="shared" si="21"/>
        <v>0</v>
      </c>
      <c r="AD429" s="82">
        <f t="shared" si="22"/>
        <v>0</v>
      </c>
      <c r="AE429" s="218">
        <v>0</v>
      </c>
      <c r="AF429">
        <v>0</v>
      </c>
      <c r="AH429" t="str">
        <f t="shared" si="20"/>
        <v>Sahibpur Kamal</v>
      </c>
      <c r="AJ429" s="72">
        <v>0</v>
      </c>
      <c r="AK429" s="72"/>
      <c r="AL429" s="72"/>
      <c r="AM429" s="72"/>
    </row>
    <row r="430" spans="1:39" x14ac:dyDescent="0.25">
      <c r="A430" s="37" t="s">
        <v>62</v>
      </c>
      <c r="B430" s="66" t="s">
        <v>1596</v>
      </c>
      <c r="C430" s="47">
        <v>1011</v>
      </c>
      <c r="D430" s="47" t="s">
        <v>281</v>
      </c>
      <c r="E430" s="41">
        <v>10110176</v>
      </c>
      <c r="F430" s="46" t="s">
        <v>1250</v>
      </c>
      <c r="G430" s="39" t="s">
        <v>617</v>
      </c>
      <c r="H430" s="48" t="s">
        <v>98</v>
      </c>
      <c r="I430" s="52">
        <v>569.30000000000007</v>
      </c>
      <c r="J430" s="49">
        <v>21951.37</v>
      </c>
      <c r="K430" s="65">
        <v>0</v>
      </c>
      <c r="L430" s="65">
        <v>0</v>
      </c>
      <c r="M430" s="65">
        <v>0</v>
      </c>
      <c r="N430" s="65">
        <v>0</v>
      </c>
      <c r="O430" s="65">
        <v>0</v>
      </c>
      <c r="P430" s="65">
        <v>0</v>
      </c>
      <c r="Q430" s="50">
        <v>21951.37</v>
      </c>
      <c r="R430" s="65">
        <v>0</v>
      </c>
      <c r="S430" s="65">
        <v>0</v>
      </c>
      <c r="T430" s="65">
        <v>0</v>
      </c>
      <c r="U430" s="65">
        <v>0</v>
      </c>
      <c r="V430" s="65">
        <v>0</v>
      </c>
      <c r="W430" s="65">
        <v>0</v>
      </c>
      <c r="X430" s="65">
        <v>0</v>
      </c>
      <c r="Y430" s="65">
        <v>0</v>
      </c>
      <c r="Z430" s="65">
        <v>21951.37</v>
      </c>
      <c r="AA430" s="51">
        <v>0</v>
      </c>
      <c r="AB430" s="102">
        <v>0</v>
      </c>
      <c r="AC430" s="81">
        <f t="shared" si="21"/>
        <v>100.79199223607934</v>
      </c>
      <c r="AD430" s="82">
        <f t="shared" si="22"/>
        <v>81.328571428571436</v>
      </c>
      <c r="AE430" s="218">
        <v>0</v>
      </c>
      <c r="AF430">
        <v>0</v>
      </c>
      <c r="AH430" t="str">
        <f t="shared" si="20"/>
        <v>Sahibpur Kamal</v>
      </c>
      <c r="AJ430" s="72">
        <v>0</v>
      </c>
      <c r="AK430" s="72"/>
      <c r="AL430" s="72"/>
      <c r="AM430" s="72"/>
    </row>
    <row r="431" spans="1:39" x14ac:dyDescent="0.25">
      <c r="A431" s="37" t="s">
        <v>62</v>
      </c>
      <c r="B431" s="66" t="s">
        <v>1596</v>
      </c>
      <c r="C431" s="47">
        <v>1011</v>
      </c>
      <c r="D431" s="47" t="s">
        <v>281</v>
      </c>
      <c r="E431" s="41">
        <v>10110177</v>
      </c>
      <c r="F431" s="46" t="s">
        <v>1337</v>
      </c>
      <c r="G431" s="39" t="s">
        <v>92</v>
      </c>
      <c r="H431" s="48" t="s">
        <v>93</v>
      </c>
      <c r="I431" s="52">
        <v>640.40000000000009</v>
      </c>
      <c r="J431" s="49">
        <v>28786.460000000003</v>
      </c>
      <c r="K431" s="65">
        <v>727.26</v>
      </c>
      <c r="L431" s="65">
        <v>32542.109999999997</v>
      </c>
      <c r="M431" s="65">
        <v>2.8400000000000007</v>
      </c>
      <c r="N431" s="65">
        <v>140.66000000000003</v>
      </c>
      <c r="O431" s="65">
        <v>730.1</v>
      </c>
      <c r="P431" s="65">
        <v>32682.769999999997</v>
      </c>
      <c r="Q431" s="50">
        <v>28786.460000000003</v>
      </c>
      <c r="R431" s="65">
        <v>0</v>
      </c>
      <c r="S431" s="65">
        <v>140.66000000000003</v>
      </c>
      <c r="T431" s="65">
        <v>3896.309999999994</v>
      </c>
      <c r="U431" s="65">
        <v>0</v>
      </c>
      <c r="V431" s="65">
        <v>0</v>
      </c>
      <c r="W431" s="65">
        <v>0</v>
      </c>
      <c r="X431" s="65">
        <v>28646</v>
      </c>
      <c r="Y431" s="65">
        <v>0</v>
      </c>
      <c r="Z431" s="65">
        <v>0</v>
      </c>
      <c r="AA431" s="51">
        <v>0</v>
      </c>
      <c r="AB431" s="102">
        <v>0</v>
      </c>
      <c r="AC431" s="81">
        <f t="shared" si="21"/>
        <v>53.581293441598945</v>
      </c>
      <c r="AD431" s="82">
        <f t="shared" si="22"/>
        <v>91.485714285714295</v>
      </c>
      <c r="AE431" s="218">
        <v>-0.13535217598829427</v>
      </c>
      <c r="AF431">
        <v>3</v>
      </c>
      <c r="AH431" t="str">
        <f t="shared" si="20"/>
        <v>Sahibpur Kamal</v>
      </c>
      <c r="AJ431" s="72">
        <v>0</v>
      </c>
      <c r="AK431" s="72"/>
      <c r="AL431" s="72"/>
      <c r="AM431" s="72"/>
    </row>
    <row r="432" spans="1:39" x14ac:dyDescent="0.25">
      <c r="A432" s="37" t="s">
        <v>62</v>
      </c>
      <c r="B432" s="66" t="s">
        <v>1596</v>
      </c>
      <c r="C432" s="47">
        <v>1011</v>
      </c>
      <c r="D432" s="47" t="s">
        <v>281</v>
      </c>
      <c r="E432" s="41">
        <v>10110178</v>
      </c>
      <c r="F432" s="46" t="s">
        <v>1263</v>
      </c>
      <c r="G432" s="39" t="s">
        <v>617</v>
      </c>
      <c r="H432" s="48" t="s">
        <v>98</v>
      </c>
      <c r="I432" s="52">
        <v>8840.6999999999989</v>
      </c>
      <c r="J432" s="49">
        <v>344228.19</v>
      </c>
      <c r="K432" s="65">
        <v>0</v>
      </c>
      <c r="L432" s="65">
        <v>0</v>
      </c>
      <c r="M432" s="65">
        <v>0</v>
      </c>
      <c r="N432" s="65">
        <v>0</v>
      </c>
      <c r="O432" s="65">
        <v>0</v>
      </c>
      <c r="P432" s="65">
        <v>0</v>
      </c>
      <c r="Q432" s="50">
        <v>344228.19</v>
      </c>
      <c r="R432" s="65">
        <v>0</v>
      </c>
      <c r="S432" s="65">
        <v>0</v>
      </c>
      <c r="T432" s="65">
        <v>0</v>
      </c>
      <c r="U432" s="65">
        <v>0</v>
      </c>
      <c r="V432" s="65">
        <v>0</v>
      </c>
      <c r="W432" s="65">
        <v>0</v>
      </c>
      <c r="X432" s="65">
        <v>0</v>
      </c>
      <c r="Y432" s="65">
        <v>0</v>
      </c>
      <c r="Z432" s="65">
        <v>344228.19</v>
      </c>
      <c r="AA432" s="51">
        <v>0</v>
      </c>
      <c r="AB432" s="102">
        <v>0</v>
      </c>
      <c r="AC432" s="81">
        <f t="shared" si="21"/>
        <v>0</v>
      </c>
      <c r="AD432" s="82">
        <f t="shared" si="22"/>
        <v>0</v>
      </c>
      <c r="AE432" s="218">
        <v>0</v>
      </c>
      <c r="AF432">
        <v>0</v>
      </c>
      <c r="AH432" t="str">
        <f t="shared" si="20"/>
        <v>Sahibpur Kamal</v>
      </c>
      <c r="AJ432" s="72">
        <v>0</v>
      </c>
      <c r="AK432" s="72"/>
      <c r="AL432" s="72"/>
      <c r="AM432" s="72"/>
    </row>
    <row r="433" spans="1:39" x14ac:dyDescent="0.25">
      <c r="A433" s="37" t="s">
        <v>62</v>
      </c>
      <c r="B433" s="66" t="s">
        <v>1596</v>
      </c>
      <c r="C433" s="47">
        <v>1011</v>
      </c>
      <c r="D433" s="47" t="s">
        <v>281</v>
      </c>
      <c r="E433" s="41">
        <v>10110183</v>
      </c>
      <c r="F433" s="46" t="s">
        <v>1349</v>
      </c>
      <c r="G433" s="39" t="s">
        <v>617</v>
      </c>
      <c r="H433" s="48" t="s">
        <v>98</v>
      </c>
      <c r="I433" s="52">
        <v>3067.5</v>
      </c>
      <c r="J433" s="49">
        <v>129507.39</v>
      </c>
      <c r="K433" s="65">
        <v>0</v>
      </c>
      <c r="L433" s="65">
        <v>0</v>
      </c>
      <c r="M433" s="65">
        <v>0</v>
      </c>
      <c r="N433" s="65">
        <v>0</v>
      </c>
      <c r="O433" s="65">
        <v>0</v>
      </c>
      <c r="P433" s="65">
        <v>0</v>
      </c>
      <c r="Q433" s="50">
        <v>129507.39</v>
      </c>
      <c r="R433" s="65">
        <v>0</v>
      </c>
      <c r="S433" s="65">
        <v>0</v>
      </c>
      <c r="T433" s="65">
        <v>0</v>
      </c>
      <c r="U433" s="65">
        <v>0</v>
      </c>
      <c r="V433" s="65">
        <v>0</v>
      </c>
      <c r="W433" s="65">
        <v>0</v>
      </c>
      <c r="X433" s="65">
        <v>0</v>
      </c>
      <c r="Y433" s="65">
        <v>0</v>
      </c>
      <c r="Z433" s="65">
        <v>129507.39</v>
      </c>
      <c r="AA433" s="51">
        <v>0</v>
      </c>
      <c r="AB433" s="102">
        <v>0</v>
      </c>
      <c r="AC433" s="81">
        <f t="shared" si="21"/>
        <v>0</v>
      </c>
      <c r="AD433" s="82">
        <f t="shared" si="22"/>
        <v>0</v>
      </c>
      <c r="AE433" s="218">
        <v>0</v>
      </c>
      <c r="AF433">
        <v>0</v>
      </c>
      <c r="AH433" t="str">
        <f t="shared" si="20"/>
        <v>Sahibpur Kamal</v>
      </c>
      <c r="AJ433" s="72">
        <v>0</v>
      </c>
      <c r="AK433" s="72"/>
      <c r="AL433" s="72"/>
      <c r="AM433" s="72"/>
    </row>
    <row r="434" spans="1:39" x14ac:dyDescent="0.25">
      <c r="A434" s="37" t="s">
        <v>62</v>
      </c>
      <c r="B434" s="66" t="s">
        <v>1596</v>
      </c>
      <c r="C434" s="47">
        <v>1011</v>
      </c>
      <c r="D434" s="47" t="s">
        <v>281</v>
      </c>
      <c r="E434" s="41">
        <v>10110184</v>
      </c>
      <c r="F434" s="46" t="s">
        <v>1350</v>
      </c>
      <c r="G434" s="39" t="s">
        <v>617</v>
      </c>
      <c r="H434" s="48" t="s">
        <v>98</v>
      </c>
      <c r="I434" s="52">
        <v>636.59999999999991</v>
      </c>
      <c r="J434" s="49">
        <v>28639.19</v>
      </c>
      <c r="K434" s="65">
        <v>0</v>
      </c>
      <c r="L434" s="65">
        <v>0</v>
      </c>
      <c r="M434" s="65">
        <v>0</v>
      </c>
      <c r="N434" s="65">
        <v>0</v>
      </c>
      <c r="O434" s="65">
        <v>0</v>
      </c>
      <c r="P434" s="65">
        <v>0</v>
      </c>
      <c r="Q434" s="50">
        <v>28639.19</v>
      </c>
      <c r="R434" s="65">
        <v>0</v>
      </c>
      <c r="S434" s="65">
        <v>0</v>
      </c>
      <c r="T434" s="65">
        <v>0</v>
      </c>
      <c r="U434" s="65">
        <v>0</v>
      </c>
      <c r="V434" s="65">
        <v>0</v>
      </c>
      <c r="W434" s="65">
        <v>0</v>
      </c>
      <c r="X434" s="65">
        <v>0</v>
      </c>
      <c r="Y434" s="65">
        <v>0</v>
      </c>
      <c r="Z434" s="65">
        <v>28639.19</v>
      </c>
      <c r="AA434" s="51">
        <v>0</v>
      </c>
      <c r="AB434" s="102">
        <v>0</v>
      </c>
      <c r="AC434" s="81">
        <f t="shared" si="21"/>
        <v>57.04444379516184</v>
      </c>
      <c r="AD434" s="82">
        <f t="shared" si="22"/>
        <v>90.942857142857136</v>
      </c>
      <c r="AE434" s="218">
        <v>0</v>
      </c>
      <c r="AF434">
        <v>0</v>
      </c>
      <c r="AH434" t="str">
        <f t="shared" si="20"/>
        <v>Sahibpur Kamal</v>
      </c>
      <c r="AJ434" s="72">
        <v>0</v>
      </c>
      <c r="AK434" s="72"/>
      <c r="AL434" s="72"/>
      <c r="AM434" s="72"/>
    </row>
    <row r="435" spans="1:39" x14ac:dyDescent="0.25">
      <c r="A435" s="37" t="s">
        <v>62</v>
      </c>
      <c r="B435" s="66" t="s">
        <v>1596</v>
      </c>
      <c r="C435" s="47">
        <v>1011</v>
      </c>
      <c r="D435" s="47" t="s">
        <v>281</v>
      </c>
      <c r="E435" s="41">
        <v>10110185</v>
      </c>
      <c r="F435" s="46" t="s">
        <v>1363</v>
      </c>
      <c r="G435" s="39" t="s">
        <v>617</v>
      </c>
      <c r="H435" s="48" t="s">
        <v>98</v>
      </c>
      <c r="I435" s="52">
        <v>372.30000000000007</v>
      </c>
      <c r="J435" s="49">
        <v>15027.119999999999</v>
      </c>
      <c r="K435" s="65">
        <v>0</v>
      </c>
      <c r="L435" s="65">
        <v>0</v>
      </c>
      <c r="M435" s="65">
        <v>0</v>
      </c>
      <c r="N435" s="65">
        <v>0</v>
      </c>
      <c r="O435" s="65">
        <v>0</v>
      </c>
      <c r="P435" s="65">
        <v>0</v>
      </c>
      <c r="Q435" s="50">
        <v>15027.119999999999</v>
      </c>
      <c r="R435" s="65">
        <v>0</v>
      </c>
      <c r="S435" s="65">
        <v>0</v>
      </c>
      <c r="T435" s="65">
        <v>0</v>
      </c>
      <c r="U435" s="65">
        <v>0</v>
      </c>
      <c r="V435" s="65">
        <v>0</v>
      </c>
      <c r="W435" s="65">
        <v>0</v>
      </c>
      <c r="X435" s="65">
        <v>0</v>
      </c>
      <c r="Y435" s="65">
        <v>0</v>
      </c>
      <c r="Z435" s="65">
        <v>15027.119999999999</v>
      </c>
      <c r="AA435" s="51">
        <v>0</v>
      </c>
      <c r="AB435" s="102">
        <v>0</v>
      </c>
      <c r="AC435" s="81">
        <f t="shared" si="21"/>
        <v>264.53866365833994</v>
      </c>
      <c r="AD435" s="82">
        <f t="shared" si="22"/>
        <v>53.185714285714297</v>
      </c>
      <c r="AE435" s="218">
        <v>0</v>
      </c>
      <c r="AF435">
        <v>0</v>
      </c>
      <c r="AH435" t="str">
        <f t="shared" si="20"/>
        <v>Sahibpur Kamal</v>
      </c>
      <c r="AJ435" s="72">
        <v>0</v>
      </c>
      <c r="AK435" s="72"/>
      <c r="AL435" s="72"/>
      <c r="AM435" s="72"/>
    </row>
    <row r="436" spans="1:39" x14ac:dyDescent="0.25">
      <c r="A436" s="37" t="s">
        <v>62</v>
      </c>
      <c r="B436" s="66" t="s">
        <v>1596</v>
      </c>
      <c r="C436" s="47">
        <v>1011</v>
      </c>
      <c r="D436" s="47" t="s">
        <v>281</v>
      </c>
      <c r="E436" s="41">
        <v>10110187</v>
      </c>
      <c r="F436" s="46" t="s">
        <v>1427</v>
      </c>
      <c r="G436" s="39" t="s">
        <v>92</v>
      </c>
      <c r="H436" s="48" t="s">
        <v>93</v>
      </c>
      <c r="I436" s="52">
        <v>665.2</v>
      </c>
      <c r="J436" s="49">
        <v>24689.65</v>
      </c>
      <c r="K436" s="65">
        <v>665</v>
      </c>
      <c r="L436" s="65">
        <v>24771.25</v>
      </c>
      <c r="M436" s="65">
        <v>0</v>
      </c>
      <c r="N436" s="65">
        <v>0</v>
      </c>
      <c r="O436" s="65">
        <v>665</v>
      </c>
      <c r="P436" s="65">
        <v>24771.25</v>
      </c>
      <c r="Q436" s="50">
        <v>24689.65</v>
      </c>
      <c r="R436" s="65">
        <v>0</v>
      </c>
      <c r="S436" s="65">
        <v>0</v>
      </c>
      <c r="T436" s="65">
        <v>81.599999999998545</v>
      </c>
      <c r="U436" s="65">
        <v>0</v>
      </c>
      <c r="V436" s="65">
        <v>0</v>
      </c>
      <c r="W436" s="65">
        <v>0</v>
      </c>
      <c r="X436" s="65">
        <v>24690</v>
      </c>
      <c r="Y436" s="65">
        <v>0</v>
      </c>
      <c r="Z436" s="65">
        <v>0</v>
      </c>
      <c r="AA436" s="51">
        <v>0</v>
      </c>
      <c r="AB436" s="102">
        <v>0</v>
      </c>
      <c r="AC436" s="81">
        <f t="shared" si="21"/>
        <v>25.832826819001749</v>
      </c>
      <c r="AD436" s="82">
        <f t="shared" si="22"/>
        <v>95.028571428571439</v>
      </c>
      <c r="AE436" s="218">
        <v>-3.3050286253551E-3</v>
      </c>
      <c r="AF436">
        <v>1</v>
      </c>
      <c r="AH436" t="str">
        <f t="shared" si="20"/>
        <v>Sahibpur Kamal</v>
      </c>
      <c r="AJ436" s="72">
        <v>0</v>
      </c>
      <c r="AK436" s="72"/>
      <c r="AL436" s="72"/>
      <c r="AM436" s="72"/>
    </row>
    <row r="437" spans="1:39" x14ac:dyDescent="0.25">
      <c r="A437" s="37" t="s">
        <v>62</v>
      </c>
      <c r="B437" s="66" t="s">
        <v>1596</v>
      </c>
      <c r="C437" s="47">
        <v>1011</v>
      </c>
      <c r="D437" s="47" t="s">
        <v>281</v>
      </c>
      <c r="E437" s="41">
        <v>10110188</v>
      </c>
      <c r="F437" s="46" t="s">
        <v>1410</v>
      </c>
      <c r="G437" s="39" t="s">
        <v>617</v>
      </c>
      <c r="H437" s="48" t="s">
        <v>98</v>
      </c>
      <c r="I437" s="52">
        <v>177.3</v>
      </c>
      <c r="J437" s="49">
        <v>7226.85</v>
      </c>
      <c r="K437" s="65">
        <v>0</v>
      </c>
      <c r="L437" s="65">
        <v>0</v>
      </c>
      <c r="M437" s="65">
        <v>0</v>
      </c>
      <c r="N437" s="65">
        <v>0</v>
      </c>
      <c r="O437" s="65">
        <v>0</v>
      </c>
      <c r="P437" s="65">
        <v>0</v>
      </c>
      <c r="Q437" s="50">
        <v>7226.85</v>
      </c>
      <c r="R437" s="65">
        <v>0</v>
      </c>
      <c r="S437" s="65">
        <v>0</v>
      </c>
      <c r="T437" s="65">
        <v>0</v>
      </c>
      <c r="U437" s="65">
        <v>0</v>
      </c>
      <c r="V437" s="65">
        <v>0</v>
      </c>
      <c r="W437" s="65">
        <v>0</v>
      </c>
      <c r="X437" s="65">
        <v>0</v>
      </c>
      <c r="Y437" s="65">
        <v>0</v>
      </c>
      <c r="Z437" s="65">
        <v>7226.85</v>
      </c>
      <c r="AA437" s="51">
        <v>0</v>
      </c>
      <c r="AB437" s="102">
        <v>0</v>
      </c>
      <c r="AC437" s="81">
        <f t="shared" si="21"/>
        <v>426.11105414551611</v>
      </c>
      <c r="AD437" s="82">
        <f t="shared" si="22"/>
        <v>25.328571428571429</v>
      </c>
      <c r="AE437" s="218">
        <v>0</v>
      </c>
      <c r="AF437">
        <v>0</v>
      </c>
      <c r="AH437" t="str">
        <f t="shared" si="20"/>
        <v>Sahibpur Kamal</v>
      </c>
      <c r="AJ437" s="72">
        <v>0</v>
      </c>
      <c r="AK437" s="72"/>
      <c r="AL437" s="72"/>
      <c r="AM437" s="72"/>
    </row>
    <row r="438" spans="1:39" x14ac:dyDescent="0.25">
      <c r="A438" s="37" t="s">
        <v>62</v>
      </c>
      <c r="B438" s="66" t="s">
        <v>1596</v>
      </c>
      <c r="C438" s="47">
        <v>1011</v>
      </c>
      <c r="D438" s="47" t="s">
        <v>281</v>
      </c>
      <c r="E438" s="109">
        <v>10110190</v>
      </c>
      <c r="F438" s="46" t="s">
        <v>1579</v>
      </c>
      <c r="G438" s="110" t="s">
        <v>617</v>
      </c>
      <c r="H438" s="48" t="s">
        <v>98</v>
      </c>
      <c r="I438" s="111">
        <v>7470.4999999999991</v>
      </c>
      <c r="J438" s="49">
        <v>294440.01</v>
      </c>
      <c r="K438" s="65">
        <v>0</v>
      </c>
      <c r="L438" s="65">
        <v>0</v>
      </c>
      <c r="M438" s="65">
        <v>0</v>
      </c>
      <c r="N438" s="65">
        <v>0</v>
      </c>
      <c r="O438" s="65">
        <v>0</v>
      </c>
      <c r="P438" s="65">
        <v>0</v>
      </c>
      <c r="Q438" s="50">
        <v>294440.01</v>
      </c>
      <c r="R438" s="65">
        <v>0</v>
      </c>
      <c r="S438" s="65">
        <v>0</v>
      </c>
      <c r="T438" s="65">
        <v>0</v>
      </c>
      <c r="U438" s="65">
        <v>0</v>
      </c>
      <c r="V438" s="65">
        <v>0</v>
      </c>
      <c r="W438" s="65">
        <v>0</v>
      </c>
      <c r="X438" s="65">
        <v>0</v>
      </c>
      <c r="Y438" s="65">
        <v>0</v>
      </c>
      <c r="Z438" s="65">
        <v>294440.01</v>
      </c>
      <c r="AA438" s="51">
        <v>0</v>
      </c>
      <c r="AB438" s="102">
        <v>0</v>
      </c>
      <c r="AC438" s="81">
        <f t="shared" si="21"/>
        <v>0</v>
      </c>
      <c r="AD438" s="82">
        <f t="shared" si="22"/>
        <v>0</v>
      </c>
      <c r="AE438" s="218">
        <v>0</v>
      </c>
      <c r="AF438">
        <v>0</v>
      </c>
      <c r="AH438" t="str">
        <f t="shared" si="20"/>
        <v>Sahibpur Kamal</v>
      </c>
      <c r="AJ438" s="72">
        <v>0</v>
      </c>
      <c r="AK438" s="72"/>
      <c r="AL438" s="72"/>
      <c r="AM438" s="72"/>
    </row>
    <row r="439" spans="1:39" x14ac:dyDescent="0.25">
      <c r="A439" s="37" t="s">
        <v>62</v>
      </c>
      <c r="B439" s="66" t="s">
        <v>1596</v>
      </c>
      <c r="C439" s="47">
        <v>1012</v>
      </c>
      <c r="D439" s="47" t="s">
        <v>306</v>
      </c>
      <c r="E439" s="41">
        <v>10120001</v>
      </c>
      <c r="F439" s="46" t="s">
        <v>307</v>
      </c>
      <c r="G439" s="39" t="s">
        <v>617</v>
      </c>
      <c r="H439" s="48" t="s">
        <v>98</v>
      </c>
      <c r="I439" s="52">
        <v>265.93</v>
      </c>
      <c r="J439" s="49">
        <v>10479.09</v>
      </c>
      <c r="K439" s="65">
        <v>0</v>
      </c>
      <c r="L439" s="65">
        <v>0</v>
      </c>
      <c r="M439" s="65">
        <v>0</v>
      </c>
      <c r="N439" s="65">
        <v>0</v>
      </c>
      <c r="O439" s="65">
        <v>0</v>
      </c>
      <c r="P439" s="65">
        <v>0</v>
      </c>
      <c r="Q439" s="50">
        <v>10479.09</v>
      </c>
      <c r="R439" s="65">
        <v>0</v>
      </c>
      <c r="S439" s="65">
        <v>0</v>
      </c>
      <c r="T439" s="65">
        <v>0</v>
      </c>
      <c r="U439" s="65">
        <v>723</v>
      </c>
      <c r="V439" s="65">
        <v>0</v>
      </c>
      <c r="W439" s="65">
        <v>0</v>
      </c>
      <c r="X439" s="65">
        <v>0</v>
      </c>
      <c r="Y439" s="65">
        <v>0</v>
      </c>
      <c r="Z439" s="65">
        <v>9756.09</v>
      </c>
      <c r="AA439" s="51">
        <v>0</v>
      </c>
      <c r="AB439" s="102">
        <v>0</v>
      </c>
      <c r="AC439" s="81">
        <f t="shared" si="21"/>
        <v>342.09443058699657</v>
      </c>
      <c r="AD439" s="82">
        <f t="shared" si="22"/>
        <v>37.99</v>
      </c>
      <c r="AE439" s="218">
        <v>0</v>
      </c>
      <c r="AF439">
        <v>0</v>
      </c>
      <c r="AH439" t="str">
        <f t="shared" si="20"/>
        <v>DalsinghSarai</v>
      </c>
      <c r="AJ439" s="72">
        <v>0</v>
      </c>
      <c r="AK439" s="72"/>
      <c r="AL439" s="72"/>
      <c r="AM439" s="72"/>
    </row>
    <row r="440" spans="1:39" x14ac:dyDescent="0.25">
      <c r="A440" s="37" t="s">
        <v>62</v>
      </c>
      <c r="B440" s="66" t="s">
        <v>1596</v>
      </c>
      <c r="C440" s="47">
        <v>1012</v>
      </c>
      <c r="D440" s="47" t="s">
        <v>306</v>
      </c>
      <c r="E440" s="47">
        <v>10120002</v>
      </c>
      <c r="F440" s="46" t="s">
        <v>308</v>
      </c>
      <c r="G440" s="48" t="s">
        <v>617</v>
      </c>
      <c r="H440" s="48" t="s">
        <v>98</v>
      </c>
      <c r="I440" s="49">
        <v>436.37000000000006</v>
      </c>
      <c r="J440" s="49">
        <v>17480.71</v>
      </c>
      <c r="K440" s="65">
        <v>0</v>
      </c>
      <c r="L440" s="65">
        <v>0</v>
      </c>
      <c r="M440" s="65">
        <v>0</v>
      </c>
      <c r="N440" s="65">
        <v>0</v>
      </c>
      <c r="O440" s="65">
        <v>0</v>
      </c>
      <c r="P440" s="65">
        <v>0</v>
      </c>
      <c r="Q440" s="50">
        <v>17480.71</v>
      </c>
      <c r="R440" s="65">
        <v>0</v>
      </c>
      <c r="S440" s="65">
        <v>0</v>
      </c>
      <c r="T440" s="65">
        <v>0</v>
      </c>
      <c r="U440" s="65">
        <v>0</v>
      </c>
      <c r="V440" s="65">
        <v>0</v>
      </c>
      <c r="W440" s="65">
        <v>0</v>
      </c>
      <c r="X440" s="65">
        <v>0</v>
      </c>
      <c r="Y440" s="65">
        <v>0</v>
      </c>
      <c r="Z440" s="65">
        <v>17480.71</v>
      </c>
      <c r="AA440" s="51">
        <v>0</v>
      </c>
      <c r="AB440" s="102">
        <v>0</v>
      </c>
      <c r="AC440" s="81">
        <f t="shared" si="21"/>
        <v>211.2170670440222</v>
      </c>
      <c r="AD440" s="82">
        <f t="shared" si="22"/>
        <v>62.338571428571434</v>
      </c>
      <c r="AE440" s="218">
        <v>0</v>
      </c>
      <c r="AF440">
        <v>0</v>
      </c>
      <c r="AH440" t="str">
        <f t="shared" si="20"/>
        <v>DalsinghSarai</v>
      </c>
      <c r="AJ440" s="72">
        <v>0</v>
      </c>
      <c r="AK440" s="72"/>
      <c r="AL440" s="72"/>
      <c r="AM440" s="72"/>
    </row>
    <row r="441" spans="1:39" x14ac:dyDescent="0.25">
      <c r="A441" s="37" t="s">
        <v>62</v>
      </c>
      <c r="B441" s="66" t="s">
        <v>1596</v>
      </c>
      <c r="C441" s="47">
        <v>1012</v>
      </c>
      <c r="D441" s="47" t="s">
        <v>306</v>
      </c>
      <c r="E441" s="43">
        <v>10120005</v>
      </c>
      <c r="F441" s="46" t="s">
        <v>309</v>
      </c>
      <c r="G441" s="39" t="s">
        <v>92</v>
      </c>
      <c r="H441" s="48" t="s">
        <v>93</v>
      </c>
      <c r="I441" s="52">
        <v>439.18000000000006</v>
      </c>
      <c r="J441" s="49">
        <v>17489.07</v>
      </c>
      <c r="K441" s="65">
        <v>453.27</v>
      </c>
      <c r="L441" s="65">
        <v>17486.100000000002</v>
      </c>
      <c r="M441" s="65">
        <v>0</v>
      </c>
      <c r="N441" s="65">
        <v>0</v>
      </c>
      <c r="O441" s="65">
        <v>453.27</v>
      </c>
      <c r="P441" s="65">
        <v>17486.100000000002</v>
      </c>
      <c r="Q441" s="50">
        <v>17486.100000000002</v>
      </c>
      <c r="R441" s="65">
        <v>0</v>
      </c>
      <c r="S441" s="65">
        <v>0</v>
      </c>
      <c r="T441" s="65">
        <v>0</v>
      </c>
      <c r="U441" s="65">
        <v>0</v>
      </c>
      <c r="V441" s="65">
        <v>0</v>
      </c>
      <c r="W441" s="65">
        <v>0</v>
      </c>
      <c r="X441" s="65">
        <v>17486</v>
      </c>
      <c r="Y441" s="65">
        <v>0</v>
      </c>
      <c r="Z441" s="65">
        <v>0</v>
      </c>
      <c r="AA441" s="51">
        <v>3</v>
      </c>
      <c r="AB441" s="102">
        <v>0</v>
      </c>
      <c r="AC441" s="81">
        <f t="shared" si="21"/>
        <v>207.72800388906589</v>
      </c>
      <c r="AD441" s="82">
        <f t="shared" si="22"/>
        <v>62.740000000000009</v>
      </c>
      <c r="AE441" s="218">
        <v>1.6982035065315229E-4</v>
      </c>
      <c r="AF441">
        <v>5</v>
      </c>
      <c r="AH441" t="str">
        <f t="shared" si="20"/>
        <v>DalsinghSarai</v>
      </c>
      <c r="AJ441" s="72">
        <v>0</v>
      </c>
      <c r="AK441" s="72"/>
      <c r="AL441" s="72"/>
      <c r="AM441" s="72"/>
    </row>
    <row r="442" spans="1:39" x14ac:dyDescent="0.25">
      <c r="A442" s="37" t="s">
        <v>62</v>
      </c>
      <c r="B442" s="66" t="s">
        <v>1596</v>
      </c>
      <c r="C442" s="47">
        <v>1012</v>
      </c>
      <c r="D442" s="47" t="s">
        <v>306</v>
      </c>
      <c r="E442" s="112">
        <v>10120006</v>
      </c>
      <c r="F442" s="46" t="s">
        <v>310</v>
      </c>
      <c r="G442" s="110" t="s">
        <v>92</v>
      </c>
      <c r="H442" s="48" t="s">
        <v>93</v>
      </c>
      <c r="I442" s="111">
        <v>352.96000000000004</v>
      </c>
      <c r="J442" s="49">
        <v>13588.499999999998</v>
      </c>
      <c r="K442" s="65">
        <v>163</v>
      </c>
      <c r="L442" s="65">
        <v>6539.0899999999992</v>
      </c>
      <c r="M442" s="65">
        <v>176.7</v>
      </c>
      <c r="N442" s="65">
        <v>7048.4600000000009</v>
      </c>
      <c r="O442" s="65">
        <v>339.7</v>
      </c>
      <c r="P442" s="65">
        <v>13587.55</v>
      </c>
      <c r="Q442" s="50">
        <v>13587.55</v>
      </c>
      <c r="R442" s="65">
        <v>0</v>
      </c>
      <c r="S442" s="65">
        <v>222.23000000000002</v>
      </c>
      <c r="T442" s="65">
        <v>0</v>
      </c>
      <c r="U442" s="65">
        <v>0</v>
      </c>
      <c r="V442" s="65">
        <v>0</v>
      </c>
      <c r="W442" s="65">
        <v>0</v>
      </c>
      <c r="X442" s="65">
        <v>6540</v>
      </c>
      <c r="Y442" s="65">
        <v>6825</v>
      </c>
      <c r="Z442" s="65">
        <v>0</v>
      </c>
      <c r="AA442" s="51">
        <v>1</v>
      </c>
      <c r="AB442" s="102">
        <v>0</v>
      </c>
      <c r="AC442" s="81">
        <f t="shared" si="21"/>
        <v>267.21175430643689</v>
      </c>
      <c r="AD442" s="82">
        <f t="shared" si="22"/>
        <v>50.422857142857147</v>
      </c>
      <c r="AE442" s="218">
        <v>6.9912057990132001E-5</v>
      </c>
      <c r="AF442">
        <v>12</v>
      </c>
      <c r="AH442" t="str">
        <f t="shared" si="20"/>
        <v>DalsinghSarai</v>
      </c>
      <c r="AJ442" s="72">
        <v>0</v>
      </c>
      <c r="AK442" s="72"/>
      <c r="AL442" s="72"/>
      <c r="AM442" s="72"/>
    </row>
    <row r="443" spans="1:39" x14ac:dyDescent="0.25">
      <c r="A443" s="37" t="s">
        <v>62</v>
      </c>
      <c r="B443" s="66" t="s">
        <v>1596</v>
      </c>
      <c r="C443" s="47">
        <v>1012</v>
      </c>
      <c r="D443" s="47" t="s">
        <v>306</v>
      </c>
      <c r="E443" s="43">
        <v>10120007</v>
      </c>
      <c r="F443" s="46" t="s">
        <v>311</v>
      </c>
      <c r="G443" s="39" t="s">
        <v>92</v>
      </c>
      <c r="H443" s="48" t="s">
        <v>93</v>
      </c>
      <c r="I443" s="52">
        <v>1216.69</v>
      </c>
      <c r="J443" s="49">
        <v>50722.200000000004</v>
      </c>
      <c r="K443" s="65">
        <v>1231.45</v>
      </c>
      <c r="L443" s="65">
        <v>50099.83</v>
      </c>
      <c r="M443" s="65">
        <v>15.549999999999999</v>
      </c>
      <c r="N443" s="65">
        <v>634.61</v>
      </c>
      <c r="O443" s="65">
        <v>1247</v>
      </c>
      <c r="P443" s="65">
        <v>50734.44</v>
      </c>
      <c r="Q443" s="50">
        <v>50722.200000000004</v>
      </c>
      <c r="R443" s="65">
        <v>0</v>
      </c>
      <c r="S443" s="65">
        <v>634.61</v>
      </c>
      <c r="T443" s="65">
        <v>12.239999999997963</v>
      </c>
      <c r="U443" s="65">
        <v>9357</v>
      </c>
      <c r="V443" s="65">
        <v>0</v>
      </c>
      <c r="W443" s="65">
        <v>0</v>
      </c>
      <c r="X443" s="65">
        <v>40731</v>
      </c>
      <c r="Y443" s="65">
        <v>0</v>
      </c>
      <c r="Z443" s="65">
        <v>0</v>
      </c>
      <c r="AA443" s="51">
        <v>0</v>
      </c>
      <c r="AB443" s="102">
        <v>0</v>
      </c>
      <c r="AC443" s="81">
        <f t="shared" si="21"/>
        <v>0</v>
      </c>
      <c r="AD443" s="82">
        <f t="shared" si="22"/>
        <v>0</v>
      </c>
      <c r="AE443" s="218">
        <v>-2.4131445402600759E-4</v>
      </c>
      <c r="AF443">
        <v>35</v>
      </c>
      <c r="AH443" t="str">
        <f t="shared" si="20"/>
        <v>DalsinghSarai</v>
      </c>
      <c r="AJ443" s="72">
        <v>0</v>
      </c>
      <c r="AK443" s="72"/>
      <c r="AL443" s="72"/>
      <c r="AM443" s="72"/>
    </row>
    <row r="444" spans="1:39" x14ac:dyDescent="0.25">
      <c r="A444" s="37" t="s">
        <v>62</v>
      </c>
      <c r="B444" s="66" t="s">
        <v>1596</v>
      </c>
      <c r="C444" s="47">
        <v>1012</v>
      </c>
      <c r="D444" s="47" t="s">
        <v>306</v>
      </c>
      <c r="E444" s="113">
        <v>10120008</v>
      </c>
      <c r="F444" s="46" t="s">
        <v>312</v>
      </c>
      <c r="G444" s="48" t="s">
        <v>617</v>
      </c>
      <c r="H444" s="48" t="s">
        <v>98</v>
      </c>
      <c r="I444" s="49">
        <v>53.83</v>
      </c>
      <c r="J444" s="49">
        <v>1863.41</v>
      </c>
      <c r="K444" s="65">
        <v>0</v>
      </c>
      <c r="L444" s="65">
        <v>0</v>
      </c>
      <c r="M444" s="65">
        <v>0</v>
      </c>
      <c r="N444" s="65">
        <v>0</v>
      </c>
      <c r="O444" s="65">
        <v>0</v>
      </c>
      <c r="P444" s="65">
        <v>0</v>
      </c>
      <c r="Q444" s="50">
        <v>1863.41</v>
      </c>
      <c r="R444" s="65">
        <v>0</v>
      </c>
      <c r="S444" s="65">
        <v>0</v>
      </c>
      <c r="T444" s="65">
        <v>0</v>
      </c>
      <c r="U444" s="65">
        <v>0</v>
      </c>
      <c r="V444" s="65">
        <v>0</v>
      </c>
      <c r="W444" s="65">
        <v>0</v>
      </c>
      <c r="X444" s="65">
        <v>0</v>
      </c>
      <c r="Y444" s="65">
        <v>0</v>
      </c>
      <c r="Z444" s="65">
        <v>1863.41</v>
      </c>
      <c r="AA444" s="51">
        <v>0</v>
      </c>
      <c r="AB444" s="102">
        <v>0</v>
      </c>
      <c r="AC444" s="81">
        <f t="shared" si="21"/>
        <v>447.36378959687909</v>
      </c>
      <c r="AD444" s="82">
        <f t="shared" si="22"/>
        <v>7.6899999999999995</v>
      </c>
      <c r="AE444" s="218">
        <v>0</v>
      </c>
      <c r="AF444">
        <v>0</v>
      </c>
      <c r="AH444" t="str">
        <f t="shared" si="20"/>
        <v>DalsinghSarai</v>
      </c>
      <c r="AJ444" s="72">
        <v>0</v>
      </c>
      <c r="AK444" s="72"/>
      <c r="AL444" s="72"/>
      <c r="AM444" s="72"/>
    </row>
    <row r="445" spans="1:39" x14ac:dyDescent="0.25">
      <c r="A445" s="37" t="s">
        <v>62</v>
      </c>
      <c r="B445" s="66" t="s">
        <v>1596</v>
      </c>
      <c r="C445" s="47">
        <v>1012</v>
      </c>
      <c r="D445" s="47" t="s">
        <v>306</v>
      </c>
      <c r="E445" s="41">
        <v>10120010</v>
      </c>
      <c r="F445" s="46" t="s">
        <v>313</v>
      </c>
      <c r="G445" s="39" t="s">
        <v>617</v>
      </c>
      <c r="H445" s="48" t="s">
        <v>98</v>
      </c>
      <c r="I445" s="52">
        <v>1807.5499999999997</v>
      </c>
      <c r="J445" s="49">
        <v>76981.63</v>
      </c>
      <c r="K445" s="65">
        <v>0</v>
      </c>
      <c r="L445" s="65">
        <v>0</v>
      </c>
      <c r="M445" s="65">
        <v>0</v>
      </c>
      <c r="N445" s="65">
        <v>0</v>
      </c>
      <c r="O445" s="65">
        <v>0</v>
      </c>
      <c r="P445" s="65">
        <v>0</v>
      </c>
      <c r="Q445" s="50">
        <v>76981.63</v>
      </c>
      <c r="R445" s="65">
        <v>0</v>
      </c>
      <c r="S445" s="65">
        <v>0</v>
      </c>
      <c r="T445" s="65">
        <v>0</v>
      </c>
      <c r="U445" s="65">
        <v>0</v>
      </c>
      <c r="V445" s="65">
        <v>0</v>
      </c>
      <c r="W445" s="65">
        <v>0</v>
      </c>
      <c r="X445" s="65">
        <v>0</v>
      </c>
      <c r="Y445" s="65">
        <v>0</v>
      </c>
      <c r="Z445" s="65">
        <v>76981.63</v>
      </c>
      <c r="AA445" s="51">
        <v>0</v>
      </c>
      <c r="AB445" s="102">
        <v>0</v>
      </c>
      <c r="AC445" s="81">
        <f t="shared" si="21"/>
        <v>0</v>
      </c>
      <c r="AD445" s="82">
        <f t="shared" si="22"/>
        <v>0</v>
      </c>
      <c r="AE445" s="218">
        <v>0</v>
      </c>
      <c r="AF445">
        <v>0</v>
      </c>
      <c r="AH445" t="str">
        <f t="shared" si="20"/>
        <v>DalsinghSarai</v>
      </c>
      <c r="AJ445" s="72">
        <v>0</v>
      </c>
      <c r="AK445" s="72"/>
      <c r="AL445" s="72"/>
      <c r="AM445" s="72"/>
    </row>
    <row r="446" spans="1:39" x14ac:dyDescent="0.25">
      <c r="A446" s="37" t="s">
        <v>62</v>
      </c>
      <c r="B446" s="66" t="s">
        <v>1596</v>
      </c>
      <c r="C446" s="47">
        <v>1012</v>
      </c>
      <c r="D446" s="47" t="s">
        <v>306</v>
      </c>
      <c r="E446" s="41">
        <v>10120011</v>
      </c>
      <c r="F446" s="46" t="s">
        <v>607</v>
      </c>
      <c r="G446" s="39" t="s">
        <v>617</v>
      </c>
      <c r="H446" s="48" t="s">
        <v>98</v>
      </c>
      <c r="I446" s="52">
        <v>332.74</v>
      </c>
      <c r="J446" s="49">
        <v>13730.550000000001</v>
      </c>
      <c r="K446" s="65">
        <v>0</v>
      </c>
      <c r="L446" s="65">
        <v>0</v>
      </c>
      <c r="M446" s="65">
        <v>0</v>
      </c>
      <c r="N446" s="65">
        <v>0</v>
      </c>
      <c r="O446" s="65">
        <v>0</v>
      </c>
      <c r="P446" s="65">
        <v>0</v>
      </c>
      <c r="Q446" s="50">
        <v>13730.550000000001</v>
      </c>
      <c r="R446" s="65">
        <v>0</v>
      </c>
      <c r="S446" s="65">
        <v>0</v>
      </c>
      <c r="T446" s="65">
        <v>0</v>
      </c>
      <c r="U446" s="65">
        <v>7750</v>
      </c>
      <c r="V446" s="65">
        <v>0</v>
      </c>
      <c r="W446" s="65">
        <v>0</v>
      </c>
      <c r="X446" s="65">
        <v>0</v>
      </c>
      <c r="Y446" s="65">
        <v>0</v>
      </c>
      <c r="Z446" s="65">
        <v>5980.5500000000011</v>
      </c>
      <c r="AA446" s="51">
        <v>0</v>
      </c>
      <c r="AB446" s="102">
        <v>0</v>
      </c>
      <c r="AC446" s="81">
        <f t="shared" si="21"/>
        <v>303.10042633888321</v>
      </c>
      <c r="AD446" s="82">
        <f t="shared" si="22"/>
        <v>47.534285714285716</v>
      </c>
      <c r="AE446" s="218">
        <v>0</v>
      </c>
      <c r="AF446">
        <v>0</v>
      </c>
      <c r="AH446" t="str">
        <f t="shared" si="20"/>
        <v>DalsinghSarai</v>
      </c>
      <c r="AJ446" s="72">
        <v>0</v>
      </c>
      <c r="AK446" s="72"/>
      <c r="AL446" s="72"/>
      <c r="AM446" s="72"/>
    </row>
    <row r="447" spans="1:39" x14ac:dyDescent="0.25">
      <c r="A447" s="37" t="s">
        <v>62</v>
      </c>
      <c r="B447" s="66" t="s">
        <v>1596</v>
      </c>
      <c r="C447" s="47">
        <v>1012</v>
      </c>
      <c r="D447" s="47" t="s">
        <v>306</v>
      </c>
      <c r="E447" s="41">
        <v>10120012</v>
      </c>
      <c r="F447" s="46" t="s">
        <v>314</v>
      </c>
      <c r="G447" s="39" t="s">
        <v>92</v>
      </c>
      <c r="H447" s="48" t="s">
        <v>93</v>
      </c>
      <c r="I447" s="52">
        <v>658.2</v>
      </c>
      <c r="J447" s="49">
        <v>31466.31</v>
      </c>
      <c r="K447" s="65">
        <v>671.39999999999986</v>
      </c>
      <c r="L447" s="65">
        <v>30910.17</v>
      </c>
      <c r="M447" s="65">
        <v>12.100000000000001</v>
      </c>
      <c r="N447" s="65">
        <v>554.49999999999989</v>
      </c>
      <c r="O447" s="65">
        <v>683.49999999999989</v>
      </c>
      <c r="P447" s="65">
        <v>31464.67</v>
      </c>
      <c r="Q447" s="50">
        <v>31464.67</v>
      </c>
      <c r="R447" s="65">
        <v>0</v>
      </c>
      <c r="S447" s="65">
        <v>554.49999999999989</v>
      </c>
      <c r="T447" s="65">
        <v>0</v>
      </c>
      <c r="U447" s="65">
        <v>0</v>
      </c>
      <c r="V447" s="65">
        <v>0</v>
      </c>
      <c r="W447" s="65">
        <v>0</v>
      </c>
      <c r="X447" s="65">
        <v>30911</v>
      </c>
      <c r="Y447" s="65">
        <v>0</v>
      </c>
      <c r="Z447" s="65">
        <v>0</v>
      </c>
      <c r="AA447" s="51">
        <v>1</v>
      </c>
      <c r="AB447" s="102">
        <v>0</v>
      </c>
      <c r="AC447" s="81">
        <f t="shared" si="21"/>
        <v>39.966325068368207</v>
      </c>
      <c r="AD447" s="82">
        <f t="shared" si="22"/>
        <v>94.028571428571439</v>
      </c>
      <c r="AE447" s="218">
        <v>5.2119234826169828E-5</v>
      </c>
      <c r="AF447">
        <v>18</v>
      </c>
      <c r="AH447" t="str">
        <f t="shared" si="20"/>
        <v>DalsinghSarai</v>
      </c>
      <c r="AJ447" s="72">
        <v>0</v>
      </c>
      <c r="AK447" s="72"/>
      <c r="AL447" s="72"/>
      <c r="AM447" s="72"/>
    </row>
    <row r="448" spans="1:39" x14ac:dyDescent="0.25">
      <c r="A448" s="37" t="s">
        <v>62</v>
      </c>
      <c r="B448" s="66" t="s">
        <v>1596</v>
      </c>
      <c r="C448" s="47">
        <v>1012</v>
      </c>
      <c r="D448" s="47" t="s">
        <v>306</v>
      </c>
      <c r="E448" s="41">
        <v>10120013</v>
      </c>
      <c r="F448" s="46" t="s">
        <v>315</v>
      </c>
      <c r="G448" s="39" t="s">
        <v>617</v>
      </c>
      <c r="H448" s="48" t="s">
        <v>98</v>
      </c>
      <c r="I448" s="52">
        <v>531.55999999999995</v>
      </c>
      <c r="J448" s="49">
        <v>19045.850000000002</v>
      </c>
      <c r="K448" s="65">
        <v>0</v>
      </c>
      <c r="L448" s="65">
        <v>0</v>
      </c>
      <c r="M448" s="65">
        <v>0</v>
      </c>
      <c r="N448" s="65">
        <v>0</v>
      </c>
      <c r="O448" s="65">
        <v>0</v>
      </c>
      <c r="P448" s="65">
        <v>0</v>
      </c>
      <c r="Q448" s="50">
        <v>19045.850000000002</v>
      </c>
      <c r="R448" s="65">
        <v>0</v>
      </c>
      <c r="S448" s="65">
        <v>0</v>
      </c>
      <c r="T448" s="65">
        <v>0</v>
      </c>
      <c r="U448" s="65">
        <v>1400</v>
      </c>
      <c r="V448" s="65">
        <v>0</v>
      </c>
      <c r="W448" s="65">
        <v>0</v>
      </c>
      <c r="X448" s="65">
        <v>0</v>
      </c>
      <c r="Y448" s="65">
        <v>0</v>
      </c>
      <c r="Z448" s="65">
        <v>17645.850000000002</v>
      </c>
      <c r="AA448" s="51">
        <v>0</v>
      </c>
      <c r="AB448" s="102">
        <v>0</v>
      </c>
      <c r="AC448" s="81">
        <f t="shared" si="21"/>
        <v>120.70445383399814</v>
      </c>
      <c r="AD448" s="82">
        <f t="shared" si="22"/>
        <v>75.937142857142845</v>
      </c>
      <c r="AE448" s="218">
        <v>0</v>
      </c>
      <c r="AF448">
        <v>0</v>
      </c>
      <c r="AH448" t="str">
        <f t="shared" si="20"/>
        <v>DalsinghSarai</v>
      </c>
      <c r="AJ448" s="72">
        <v>0</v>
      </c>
      <c r="AK448" s="72"/>
      <c r="AL448" s="72"/>
      <c r="AM448" s="72"/>
    </row>
    <row r="449" spans="1:39" x14ac:dyDescent="0.25">
      <c r="A449" s="37" t="s">
        <v>62</v>
      </c>
      <c r="B449" s="66" t="s">
        <v>1596</v>
      </c>
      <c r="C449" s="47">
        <v>1012</v>
      </c>
      <c r="D449" s="47" t="s">
        <v>306</v>
      </c>
      <c r="E449" s="41">
        <v>10120014</v>
      </c>
      <c r="F449" s="46" t="s">
        <v>316</v>
      </c>
      <c r="G449" s="39" t="s">
        <v>92</v>
      </c>
      <c r="H449" s="48" t="s">
        <v>93</v>
      </c>
      <c r="I449" s="52">
        <v>1123.6000000000001</v>
      </c>
      <c r="J449" s="49">
        <v>47953.570000000007</v>
      </c>
      <c r="K449" s="65">
        <v>657.40000000000009</v>
      </c>
      <c r="L449" s="65">
        <v>29138.240000000002</v>
      </c>
      <c r="M449" s="65">
        <v>419.2000000000001</v>
      </c>
      <c r="N449" s="65">
        <v>18789.570000000003</v>
      </c>
      <c r="O449" s="65">
        <v>1076.6000000000001</v>
      </c>
      <c r="P449" s="65">
        <v>47927.810000000005</v>
      </c>
      <c r="Q449" s="50">
        <v>47927.810000000005</v>
      </c>
      <c r="R449" s="65">
        <v>0</v>
      </c>
      <c r="S449" s="65">
        <v>95.95</v>
      </c>
      <c r="T449" s="65">
        <v>0</v>
      </c>
      <c r="U449" s="65">
        <v>0</v>
      </c>
      <c r="V449" s="65">
        <v>0</v>
      </c>
      <c r="W449" s="65">
        <v>0</v>
      </c>
      <c r="X449" s="65">
        <v>29138</v>
      </c>
      <c r="Y449" s="65">
        <v>18695</v>
      </c>
      <c r="Z449" s="65">
        <v>0</v>
      </c>
      <c r="AA449" s="51">
        <v>25</v>
      </c>
      <c r="AB449" s="102">
        <v>0</v>
      </c>
      <c r="AC449" s="81">
        <f t="shared" si="21"/>
        <v>0</v>
      </c>
      <c r="AD449" s="82">
        <f t="shared" si="22"/>
        <v>0</v>
      </c>
      <c r="AE449" s="218">
        <v>5.3718628248120069E-4</v>
      </c>
      <c r="AF449">
        <v>15</v>
      </c>
      <c r="AH449" t="str">
        <f t="shared" si="20"/>
        <v>DalsinghSarai</v>
      </c>
      <c r="AJ449" s="72">
        <v>0</v>
      </c>
      <c r="AK449" s="72"/>
      <c r="AL449" s="72"/>
      <c r="AM449" s="72"/>
    </row>
    <row r="450" spans="1:39" x14ac:dyDescent="0.25">
      <c r="A450" s="37" t="s">
        <v>62</v>
      </c>
      <c r="B450" s="66" t="s">
        <v>1596</v>
      </c>
      <c r="C450" s="47">
        <v>1012</v>
      </c>
      <c r="D450" s="47" t="s">
        <v>306</v>
      </c>
      <c r="E450" s="41">
        <v>10120015</v>
      </c>
      <c r="F450" s="46" t="s">
        <v>317</v>
      </c>
      <c r="G450" s="39" t="s">
        <v>92</v>
      </c>
      <c r="H450" s="48" t="s">
        <v>93</v>
      </c>
      <c r="I450" s="52">
        <v>1192.7199999999998</v>
      </c>
      <c r="J450" s="49">
        <v>46603.19</v>
      </c>
      <c r="K450" s="65">
        <v>1040.55</v>
      </c>
      <c r="L450" s="65">
        <v>39771.679999999993</v>
      </c>
      <c r="M450" s="65">
        <v>178.18</v>
      </c>
      <c r="N450" s="65">
        <v>6831.38</v>
      </c>
      <c r="O450" s="65">
        <v>1218.73</v>
      </c>
      <c r="P450" s="65">
        <v>46603.05999999999</v>
      </c>
      <c r="Q450" s="50">
        <v>46603.05999999999</v>
      </c>
      <c r="R450" s="65">
        <v>0</v>
      </c>
      <c r="S450" s="65">
        <v>0</v>
      </c>
      <c r="T450" s="65">
        <v>0</v>
      </c>
      <c r="U450" s="65">
        <v>0</v>
      </c>
      <c r="V450" s="65">
        <v>0</v>
      </c>
      <c r="W450" s="65">
        <v>0</v>
      </c>
      <c r="X450" s="65">
        <v>39772</v>
      </c>
      <c r="Y450" s="65">
        <v>6831</v>
      </c>
      <c r="Z450" s="65">
        <v>0</v>
      </c>
      <c r="AA450" s="51">
        <v>0</v>
      </c>
      <c r="AB450" s="102">
        <v>0</v>
      </c>
      <c r="AC450" s="81">
        <f t="shared" si="21"/>
        <v>0</v>
      </c>
      <c r="AD450" s="82">
        <f t="shared" si="22"/>
        <v>0</v>
      </c>
      <c r="AE450" s="218">
        <v>2.7895086154388263E-6</v>
      </c>
      <c r="AF450">
        <v>16</v>
      </c>
      <c r="AH450" t="str">
        <f t="shared" si="20"/>
        <v>DalsinghSarai</v>
      </c>
      <c r="AJ450" s="72">
        <v>0</v>
      </c>
      <c r="AK450" s="72"/>
      <c r="AL450" s="72"/>
      <c r="AM450" s="72"/>
    </row>
    <row r="451" spans="1:39" x14ac:dyDescent="0.25">
      <c r="A451" s="37" t="s">
        <v>62</v>
      </c>
      <c r="B451" s="66" t="s">
        <v>1596</v>
      </c>
      <c r="C451" s="47">
        <v>1012</v>
      </c>
      <c r="D451" s="47" t="s">
        <v>306</v>
      </c>
      <c r="E451" s="41">
        <v>10120016</v>
      </c>
      <c r="F451" s="46" t="s">
        <v>318</v>
      </c>
      <c r="G451" s="39" t="s">
        <v>92</v>
      </c>
      <c r="H451" s="48" t="s">
        <v>93</v>
      </c>
      <c r="I451" s="52">
        <v>201.06000000000003</v>
      </c>
      <c r="J451" s="49">
        <v>6857.95</v>
      </c>
      <c r="K451" s="65">
        <v>193.82</v>
      </c>
      <c r="L451" s="65">
        <v>6709.43</v>
      </c>
      <c r="M451" s="65">
        <v>4.1899999999999995</v>
      </c>
      <c r="N451" s="65">
        <v>148.36000000000001</v>
      </c>
      <c r="O451" s="65">
        <v>198.01</v>
      </c>
      <c r="P451" s="65">
        <v>6857.79</v>
      </c>
      <c r="Q451" s="50">
        <v>6857.79</v>
      </c>
      <c r="R451" s="65">
        <v>0</v>
      </c>
      <c r="S451" s="65">
        <v>148.36000000000001</v>
      </c>
      <c r="T451" s="65">
        <v>0</v>
      </c>
      <c r="U451" s="65">
        <v>1370</v>
      </c>
      <c r="V451" s="65">
        <v>0</v>
      </c>
      <c r="W451" s="65">
        <v>0</v>
      </c>
      <c r="X451" s="65">
        <v>5339</v>
      </c>
      <c r="Y451" s="65">
        <v>0</v>
      </c>
      <c r="Z451" s="65">
        <v>0</v>
      </c>
      <c r="AA451" s="51">
        <v>1</v>
      </c>
      <c r="AB451" s="102" t="s">
        <v>68</v>
      </c>
      <c r="AC451" s="81">
        <f t="shared" si="21"/>
        <v>340.36661424450409</v>
      </c>
      <c r="AD451" s="82">
        <f t="shared" si="22"/>
        <v>28.722857142857148</v>
      </c>
      <c r="AE451" s="218">
        <v>2.3330587128785496E-5</v>
      </c>
      <c r="AF451">
        <v>5</v>
      </c>
      <c r="AH451" t="str">
        <f t="shared" ref="AH451:AH514" si="23">TEXT(D451,"0000")</f>
        <v>DalsinghSarai</v>
      </c>
      <c r="AJ451" s="72">
        <v>0</v>
      </c>
      <c r="AK451" s="72"/>
      <c r="AL451" s="72"/>
      <c r="AM451" s="72"/>
    </row>
    <row r="452" spans="1:39" x14ac:dyDescent="0.25">
      <c r="A452" s="37" t="s">
        <v>62</v>
      </c>
      <c r="B452" s="66" t="s">
        <v>1596</v>
      </c>
      <c r="C452" s="47">
        <v>1012</v>
      </c>
      <c r="D452" s="47" t="s">
        <v>306</v>
      </c>
      <c r="E452" s="41">
        <v>10120017</v>
      </c>
      <c r="F452" s="46" t="s">
        <v>319</v>
      </c>
      <c r="G452" s="39" t="s">
        <v>92</v>
      </c>
      <c r="H452" s="48" t="s">
        <v>93</v>
      </c>
      <c r="I452" s="52">
        <v>398.22999999999996</v>
      </c>
      <c r="J452" s="49">
        <v>15979.75</v>
      </c>
      <c r="K452" s="65">
        <v>389.29999999999995</v>
      </c>
      <c r="L452" s="65">
        <v>15766.859999999997</v>
      </c>
      <c r="M452" s="65">
        <v>5</v>
      </c>
      <c r="N452" s="65">
        <v>197.4</v>
      </c>
      <c r="O452" s="65">
        <v>394.29999999999995</v>
      </c>
      <c r="P452" s="65">
        <v>15964.259999999997</v>
      </c>
      <c r="Q452" s="50">
        <v>15964.259999999997</v>
      </c>
      <c r="R452" s="65">
        <v>0</v>
      </c>
      <c r="S452" s="65">
        <v>0</v>
      </c>
      <c r="T452" s="65">
        <v>0</v>
      </c>
      <c r="U452" s="65">
        <v>2060</v>
      </c>
      <c r="V452" s="65">
        <v>0</v>
      </c>
      <c r="W452" s="65">
        <v>0</v>
      </c>
      <c r="X452" s="65">
        <v>13707</v>
      </c>
      <c r="Y452" s="65">
        <v>197</v>
      </c>
      <c r="Z452" s="65">
        <v>0</v>
      </c>
      <c r="AA452" s="51">
        <v>16</v>
      </c>
      <c r="AB452" s="102">
        <v>0</v>
      </c>
      <c r="AC452" s="81">
        <f t="shared" ref="AC452:AC515" si="24">((IF(AD452=0,0,100-AD452))*7*(J452/I452))*2%</f>
        <v>242.18211372824757</v>
      </c>
      <c r="AD452" s="82">
        <f t="shared" ref="AD452:AD515" si="25">IF((I452/7)&gt;100,0,(I452/7))</f>
        <v>56.889999999999993</v>
      </c>
      <c r="AE452" s="218">
        <v>9.693518359175469E-4</v>
      </c>
      <c r="AF452">
        <v>4</v>
      </c>
      <c r="AH452" t="str">
        <f t="shared" si="23"/>
        <v>DalsinghSarai</v>
      </c>
      <c r="AJ452" s="72">
        <v>0</v>
      </c>
      <c r="AK452" s="72"/>
      <c r="AL452" s="72"/>
      <c r="AM452" s="72"/>
    </row>
    <row r="453" spans="1:39" x14ac:dyDescent="0.25">
      <c r="A453" s="37" t="s">
        <v>62</v>
      </c>
      <c r="B453" s="66" t="s">
        <v>1596</v>
      </c>
      <c r="C453" s="47">
        <v>1012</v>
      </c>
      <c r="D453" s="47" t="s">
        <v>306</v>
      </c>
      <c r="E453" s="41">
        <v>10120018</v>
      </c>
      <c r="F453" s="46" t="s">
        <v>320</v>
      </c>
      <c r="G453" s="39" t="s">
        <v>92</v>
      </c>
      <c r="H453" s="48" t="s">
        <v>93</v>
      </c>
      <c r="I453" s="52">
        <v>406.99</v>
      </c>
      <c r="J453" s="49">
        <v>16930.040000000005</v>
      </c>
      <c r="K453" s="65">
        <v>371.53999999999996</v>
      </c>
      <c r="L453" s="65">
        <v>16217.720000000001</v>
      </c>
      <c r="M453" s="65">
        <v>16.500000000000007</v>
      </c>
      <c r="N453" s="65">
        <v>711.9100000000002</v>
      </c>
      <c r="O453" s="65">
        <v>388.03999999999996</v>
      </c>
      <c r="P453" s="65">
        <v>16929.63</v>
      </c>
      <c r="Q453" s="50">
        <v>16929.63</v>
      </c>
      <c r="R453" s="65">
        <v>0</v>
      </c>
      <c r="S453" s="65">
        <v>261.89999999999998</v>
      </c>
      <c r="T453" s="65">
        <v>0</v>
      </c>
      <c r="U453" s="65">
        <v>0</v>
      </c>
      <c r="V453" s="65">
        <v>0</v>
      </c>
      <c r="W453" s="65">
        <v>0</v>
      </c>
      <c r="X453" s="65">
        <v>16216</v>
      </c>
      <c r="Y453" s="65">
        <v>452</v>
      </c>
      <c r="Z453" s="65">
        <v>0</v>
      </c>
      <c r="AA453" s="51">
        <v>0</v>
      </c>
      <c r="AB453" s="102">
        <v>0</v>
      </c>
      <c r="AC453" s="81">
        <f t="shared" si="24"/>
        <v>243.77360723359303</v>
      </c>
      <c r="AD453" s="82">
        <f t="shared" si="25"/>
        <v>58.14142857142857</v>
      </c>
      <c r="AE453" s="218">
        <v>2.4217308405856831E-5</v>
      </c>
      <c r="AF453">
        <v>9</v>
      </c>
      <c r="AH453" t="str">
        <f t="shared" si="23"/>
        <v>DalsinghSarai</v>
      </c>
      <c r="AJ453" s="72">
        <v>0</v>
      </c>
      <c r="AK453" s="72"/>
      <c r="AL453" s="72"/>
      <c r="AM453" s="72"/>
    </row>
    <row r="454" spans="1:39" x14ac:dyDescent="0.25">
      <c r="A454" s="37" t="s">
        <v>62</v>
      </c>
      <c r="B454" s="66" t="s">
        <v>1596</v>
      </c>
      <c r="C454" s="47">
        <v>1012</v>
      </c>
      <c r="D454" s="47" t="s">
        <v>306</v>
      </c>
      <c r="E454" s="41">
        <v>10120019</v>
      </c>
      <c r="F454" s="46" t="s">
        <v>321</v>
      </c>
      <c r="G454" s="39" t="s">
        <v>92</v>
      </c>
      <c r="H454" s="48" t="s">
        <v>93</v>
      </c>
      <c r="I454" s="52">
        <v>211.88000000000002</v>
      </c>
      <c r="J454" s="49">
        <v>8792.2899999999991</v>
      </c>
      <c r="K454" s="65">
        <v>127.99</v>
      </c>
      <c r="L454" s="65">
        <v>5184.32</v>
      </c>
      <c r="M454" s="65">
        <v>88.87</v>
      </c>
      <c r="N454" s="65">
        <v>3607.75</v>
      </c>
      <c r="O454" s="65">
        <v>216.86</v>
      </c>
      <c r="P454" s="65">
        <v>8792.07</v>
      </c>
      <c r="Q454" s="50">
        <v>8792.07</v>
      </c>
      <c r="R454" s="65">
        <v>0</v>
      </c>
      <c r="S454" s="65">
        <v>134.07000000000002</v>
      </c>
      <c r="T454" s="65">
        <v>0</v>
      </c>
      <c r="U454" s="65">
        <v>0</v>
      </c>
      <c r="V454" s="65">
        <v>0</v>
      </c>
      <c r="W454" s="65">
        <v>0</v>
      </c>
      <c r="X454" s="65">
        <v>5184</v>
      </c>
      <c r="Y454" s="65">
        <v>3474</v>
      </c>
      <c r="Z454" s="65">
        <v>0</v>
      </c>
      <c r="AA454" s="51">
        <v>0</v>
      </c>
      <c r="AB454" s="102">
        <v>0</v>
      </c>
      <c r="AC454" s="81">
        <f t="shared" si="24"/>
        <v>405.1059651500849</v>
      </c>
      <c r="AD454" s="82">
        <f t="shared" si="25"/>
        <v>30.26857142857143</v>
      </c>
      <c r="AE454" s="218">
        <v>2.5021922616217752E-5</v>
      </c>
      <c r="AF454">
        <v>6</v>
      </c>
      <c r="AH454" t="str">
        <f t="shared" si="23"/>
        <v>DalsinghSarai</v>
      </c>
      <c r="AJ454" s="72">
        <v>0</v>
      </c>
      <c r="AK454" s="72"/>
      <c r="AL454" s="72"/>
      <c r="AM454" s="72"/>
    </row>
    <row r="455" spans="1:39" x14ac:dyDescent="0.25">
      <c r="A455" s="37" t="s">
        <v>62</v>
      </c>
      <c r="B455" s="66" t="s">
        <v>1596</v>
      </c>
      <c r="C455" s="47">
        <v>1012</v>
      </c>
      <c r="D455" s="47" t="s">
        <v>306</v>
      </c>
      <c r="E455" s="41">
        <v>10120022</v>
      </c>
      <c r="F455" s="46" t="s">
        <v>322</v>
      </c>
      <c r="G455" s="39" t="s">
        <v>617</v>
      </c>
      <c r="H455" s="48" t="s">
        <v>98</v>
      </c>
      <c r="I455" s="52">
        <v>48.25</v>
      </c>
      <c r="J455" s="49">
        <v>2284.0700000000002</v>
      </c>
      <c r="K455" s="65">
        <v>0</v>
      </c>
      <c r="L455" s="65">
        <v>0</v>
      </c>
      <c r="M455" s="65">
        <v>0</v>
      </c>
      <c r="N455" s="65">
        <v>0</v>
      </c>
      <c r="O455" s="65">
        <v>0</v>
      </c>
      <c r="P455" s="65">
        <v>0</v>
      </c>
      <c r="Q455" s="50">
        <v>2284.0700000000002</v>
      </c>
      <c r="R455" s="65">
        <v>0</v>
      </c>
      <c r="S455" s="65">
        <v>0</v>
      </c>
      <c r="T455" s="65">
        <v>0</v>
      </c>
      <c r="U455" s="65">
        <v>1400</v>
      </c>
      <c r="V455" s="65">
        <v>0</v>
      </c>
      <c r="W455" s="65">
        <v>0</v>
      </c>
      <c r="X455" s="65">
        <v>0</v>
      </c>
      <c r="Y455" s="65">
        <v>0</v>
      </c>
      <c r="Z455" s="65">
        <v>884.07000000000016</v>
      </c>
      <c r="AA455" s="51">
        <v>0</v>
      </c>
      <c r="AB455" s="102">
        <v>0</v>
      </c>
      <c r="AC455" s="81">
        <f t="shared" si="24"/>
        <v>617.05393678756479</v>
      </c>
      <c r="AD455" s="82">
        <f t="shared" si="25"/>
        <v>6.8928571428571432</v>
      </c>
      <c r="AE455" s="218">
        <v>0</v>
      </c>
      <c r="AF455">
        <v>0</v>
      </c>
      <c r="AH455" t="str">
        <f t="shared" si="23"/>
        <v>DalsinghSarai</v>
      </c>
      <c r="AJ455" s="72">
        <v>0</v>
      </c>
      <c r="AK455" s="72"/>
      <c r="AL455" s="72"/>
      <c r="AM455" s="72"/>
    </row>
    <row r="456" spans="1:39" x14ac:dyDescent="0.25">
      <c r="A456" s="37" t="s">
        <v>62</v>
      </c>
      <c r="B456" s="66" t="s">
        <v>1596</v>
      </c>
      <c r="C456" s="47">
        <v>1012</v>
      </c>
      <c r="D456" s="47" t="s">
        <v>306</v>
      </c>
      <c r="E456" s="109">
        <v>10120023</v>
      </c>
      <c r="F456" s="46" t="s">
        <v>323</v>
      </c>
      <c r="G456" s="110" t="s">
        <v>617</v>
      </c>
      <c r="H456" s="48" t="s">
        <v>98</v>
      </c>
      <c r="I456" s="111">
        <v>262.41000000000003</v>
      </c>
      <c r="J456" s="49">
        <v>10058.359999999999</v>
      </c>
      <c r="K456" s="65">
        <v>0</v>
      </c>
      <c r="L456" s="65">
        <v>0</v>
      </c>
      <c r="M456" s="65">
        <v>0</v>
      </c>
      <c r="N456" s="65">
        <v>0</v>
      </c>
      <c r="O456" s="65">
        <v>0</v>
      </c>
      <c r="P456" s="65">
        <v>0</v>
      </c>
      <c r="Q456" s="50">
        <v>10058.359999999999</v>
      </c>
      <c r="R456" s="65">
        <v>0</v>
      </c>
      <c r="S456" s="65">
        <v>0</v>
      </c>
      <c r="T456" s="65">
        <v>0</v>
      </c>
      <c r="U456" s="65">
        <v>0</v>
      </c>
      <c r="V456" s="65">
        <v>0</v>
      </c>
      <c r="W456" s="65">
        <v>0</v>
      </c>
      <c r="X456" s="65">
        <v>0</v>
      </c>
      <c r="Y456" s="65">
        <v>0</v>
      </c>
      <c r="Z456" s="65">
        <v>10058.359999999999</v>
      </c>
      <c r="AA456" s="51">
        <v>0</v>
      </c>
      <c r="AB456" s="102">
        <v>0</v>
      </c>
      <c r="AC456" s="81">
        <f t="shared" si="24"/>
        <v>335.4626540451963</v>
      </c>
      <c r="AD456" s="82">
        <f t="shared" si="25"/>
        <v>37.487142857142864</v>
      </c>
      <c r="AE456" s="218">
        <v>0</v>
      </c>
      <c r="AF456">
        <v>0</v>
      </c>
      <c r="AH456" t="str">
        <f t="shared" si="23"/>
        <v>DalsinghSarai</v>
      </c>
      <c r="AJ456" s="72">
        <v>0</v>
      </c>
      <c r="AK456" s="72"/>
      <c r="AL456" s="72"/>
      <c r="AM456" s="72"/>
    </row>
    <row r="457" spans="1:39" x14ac:dyDescent="0.25">
      <c r="A457" s="37" t="s">
        <v>62</v>
      </c>
      <c r="B457" s="66" t="s">
        <v>1596</v>
      </c>
      <c r="C457" s="47">
        <v>1012</v>
      </c>
      <c r="D457" s="47" t="s">
        <v>306</v>
      </c>
      <c r="E457" s="41">
        <v>10120024</v>
      </c>
      <c r="F457" s="46" t="s">
        <v>324</v>
      </c>
      <c r="G457" s="39" t="s">
        <v>617</v>
      </c>
      <c r="H457" s="48" t="s">
        <v>98</v>
      </c>
      <c r="I457" s="52">
        <v>157.25</v>
      </c>
      <c r="J457" s="49">
        <v>5405.9000000000005</v>
      </c>
      <c r="K457" s="65">
        <v>0</v>
      </c>
      <c r="L457" s="65">
        <v>0</v>
      </c>
      <c r="M457" s="65">
        <v>0</v>
      </c>
      <c r="N457" s="65">
        <v>0</v>
      </c>
      <c r="O457" s="65">
        <v>0</v>
      </c>
      <c r="P457" s="65">
        <v>0</v>
      </c>
      <c r="Q457" s="50">
        <v>5405.9000000000005</v>
      </c>
      <c r="R457" s="65">
        <v>0</v>
      </c>
      <c r="S457" s="65">
        <v>0</v>
      </c>
      <c r="T457" s="65">
        <v>0</v>
      </c>
      <c r="U457" s="65">
        <v>0</v>
      </c>
      <c r="V457" s="65">
        <v>0</v>
      </c>
      <c r="W457" s="65">
        <v>0</v>
      </c>
      <c r="X457" s="65">
        <v>0</v>
      </c>
      <c r="Y457" s="65">
        <v>0</v>
      </c>
      <c r="Z457" s="65">
        <v>5405.9000000000005</v>
      </c>
      <c r="AA457" s="51">
        <v>0</v>
      </c>
      <c r="AB457" s="102">
        <v>0</v>
      </c>
      <c r="AC457" s="81">
        <f t="shared" si="24"/>
        <v>373.17039427662962</v>
      </c>
      <c r="AD457" s="82">
        <f t="shared" si="25"/>
        <v>22.464285714285715</v>
      </c>
      <c r="AE457" s="218">
        <v>0</v>
      </c>
      <c r="AF457">
        <v>0</v>
      </c>
      <c r="AH457" t="str">
        <f t="shared" si="23"/>
        <v>DalsinghSarai</v>
      </c>
      <c r="AJ457" s="72">
        <v>0</v>
      </c>
      <c r="AK457" s="72"/>
      <c r="AL457" s="72"/>
      <c r="AM457" s="72"/>
    </row>
    <row r="458" spans="1:39" x14ac:dyDescent="0.25">
      <c r="A458" s="37" t="s">
        <v>62</v>
      </c>
      <c r="B458" s="66" t="s">
        <v>1596</v>
      </c>
      <c r="C458" s="47">
        <v>1012</v>
      </c>
      <c r="D458" s="47" t="s">
        <v>306</v>
      </c>
      <c r="E458" s="47">
        <v>10120025</v>
      </c>
      <c r="F458" s="46" t="s">
        <v>325</v>
      </c>
      <c r="G458" s="48" t="s">
        <v>92</v>
      </c>
      <c r="H458" s="48" t="s">
        <v>93</v>
      </c>
      <c r="I458" s="49">
        <v>2282.36</v>
      </c>
      <c r="J458" s="49">
        <v>95414.42</v>
      </c>
      <c r="K458" s="65">
        <v>1340.5700000000002</v>
      </c>
      <c r="L458" s="65">
        <v>61031.42</v>
      </c>
      <c r="M458" s="65">
        <v>809.02</v>
      </c>
      <c r="N458" s="65">
        <v>34382.620000000003</v>
      </c>
      <c r="O458" s="65">
        <v>2149.59</v>
      </c>
      <c r="P458" s="65">
        <v>95414.040000000008</v>
      </c>
      <c r="Q458" s="50">
        <v>95414.040000000008</v>
      </c>
      <c r="R458" s="65">
        <v>0</v>
      </c>
      <c r="S458" s="65">
        <v>531.09999999999991</v>
      </c>
      <c r="T458" s="65">
        <v>0</v>
      </c>
      <c r="U458" s="65">
        <v>0</v>
      </c>
      <c r="V458" s="65">
        <v>0</v>
      </c>
      <c r="W458" s="65">
        <v>0</v>
      </c>
      <c r="X458" s="65">
        <v>61031</v>
      </c>
      <c r="Y458" s="65">
        <v>33851</v>
      </c>
      <c r="Z458" s="65">
        <v>0</v>
      </c>
      <c r="AA458" s="51">
        <v>1</v>
      </c>
      <c r="AB458" s="102">
        <v>0</v>
      </c>
      <c r="AC458" s="81">
        <f t="shared" si="24"/>
        <v>0</v>
      </c>
      <c r="AD458" s="82">
        <f t="shared" si="25"/>
        <v>0</v>
      </c>
      <c r="AE458" s="218">
        <v>3.9826265253208554E-6</v>
      </c>
      <c r="AF458">
        <v>28</v>
      </c>
      <c r="AH458" t="str">
        <f t="shared" si="23"/>
        <v>DalsinghSarai</v>
      </c>
      <c r="AJ458" s="72">
        <v>0</v>
      </c>
      <c r="AK458" s="72"/>
      <c r="AL458" s="72"/>
      <c r="AM458" s="72"/>
    </row>
    <row r="459" spans="1:39" x14ac:dyDescent="0.25">
      <c r="A459" s="37" t="s">
        <v>62</v>
      </c>
      <c r="B459" s="66" t="s">
        <v>1596</v>
      </c>
      <c r="C459" s="47">
        <v>1012</v>
      </c>
      <c r="D459" s="47" t="s">
        <v>306</v>
      </c>
      <c r="E459" s="41">
        <v>10120026</v>
      </c>
      <c r="F459" s="46" t="s">
        <v>640</v>
      </c>
      <c r="G459" s="39" t="s">
        <v>617</v>
      </c>
      <c r="H459" s="48" t="s">
        <v>98</v>
      </c>
      <c r="I459" s="52">
        <v>36.51</v>
      </c>
      <c r="J459" s="49">
        <v>1175.4299999999998</v>
      </c>
      <c r="K459" s="65">
        <v>0</v>
      </c>
      <c r="L459" s="65">
        <v>0</v>
      </c>
      <c r="M459" s="65">
        <v>0</v>
      </c>
      <c r="N459" s="65">
        <v>0</v>
      </c>
      <c r="O459" s="65">
        <v>0</v>
      </c>
      <c r="P459" s="65">
        <v>0</v>
      </c>
      <c r="Q459" s="50">
        <v>1175.4299999999998</v>
      </c>
      <c r="R459" s="65">
        <v>0</v>
      </c>
      <c r="S459" s="65">
        <v>0</v>
      </c>
      <c r="T459" s="65">
        <v>0</v>
      </c>
      <c r="U459" s="65">
        <v>0</v>
      </c>
      <c r="V459" s="65">
        <v>0</v>
      </c>
      <c r="W459" s="65">
        <v>0</v>
      </c>
      <c r="X459" s="65">
        <v>0</v>
      </c>
      <c r="Y459" s="65">
        <v>0</v>
      </c>
      <c r="Z459" s="65">
        <v>1175.4299999999998</v>
      </c>
      <c r="AA459" s="51">
        <v>0</v>
      </c>
      <c r="AB459" s="102">
        <v>0</v>
      </c>
      <c r="AC459" s="81">
        <f t="shared" si="24"/>
        <v>427.21777633525056</v>
      </c>
      <c r="AD459" s="82">
        <f t="shared" si="25"/>
        <v>5.2157142857142853</v>
      </c>
      <c r="AE459" s="218">
        <v>0</v>
      </c>
      <c r="AF459">
        <v>0</v>
      </c>
      <c r="AH459" t="str">
        <f t="shared" si="23"/>
        <v>DalsinghSarai</v>
      </c>
      <c r="AJ459" s="72">
        <v>0</v>
      </c>
      <c r="AK459" s="72"/>
      <c r="AL459" s="72"/>
      <c r="AM459" s="72"/>
    </row>
    <row r="460" spans="1:39" x14ac:dyDescent="0.25">
      <c r="A460" s="37" t="s">
        <v>62</v>
      </c>
      <c r="B460" s="66" t="s">
        <v>1596</v>
      </c>
      <c r="C460" s="47">
        <v>1012</v>
      </c>
      <c r="D460" s="47" t="s">
        <v>306</v>
      </c>
      <c r="E460" s="41">
        <v>10120029</v>
      </c>
      <c r="F460" s="46" t="s">
        <v>326</v>
      </c>
      <c r="G460" s="39" t="s">
        <v>92</v>
      </c>
      <c r="H460" s="48" t="s">
        <v>93</v>
      </c>
      <c r="I460" s="52">
        <v>574.67000000000007</v>
      </c>
      <c r="J460" s="49">
        <v>22492.769999999997</v>
      </c>
      <c r="K460" s="65">
        <v>418.53</v>
      </c>
      <c r="L460" s="65">
        <v>16249.51</v>
      </c>
      <c r="M460" s="65">
        <v>167.64000000000004</v>
      </c>
      <c r="N460" s="65">
        <v>6239.14</v>
      </c>
      <c r="O460" s="65">
        <v>586.17000000000007</v>
      </c>
      <c r="P460" s="65">
        <v>22488.65</v>
      </c>
      <c r="Q460" s="50">
        <v>22488.65</v>
      </c>
      <c r="R460" s="65">
        <v>0</v>
      </c>
      <c r="S460" s="65">
        <v>195.79000000000002</v>
      </c>
      <c r="T460" s="65">
        <v>0</v>
      </c>
      <c r="U460" s="65">
        <v>268</v>
      </c>
      <c r="V460" s="65">
        <v>0</v>
      </c>
      <c r="W460" s="65">
        <v>0</v>
      </c>
      <c r="X460" s="65">
        <v>15981</v>
      </c>
      <c r="Y460" s="65">
        <v>6044</v>
      </c>
      <c r="Z460" s="65">
        <v>0</v>
      </c>
      <c r="AA460" s="51">
        <v>4</v>
      </c>
      <c r="AB460" s="102">
        <v>0</v>
      </c>
      <c r="AC460" s="81">
        <f t="shared" si="24"/>
        <v>98.109136168583632</v>
      </c>
      <c r="AD460" s="82">
        <f t="shared" si="25"/>
        <v>82.095714285714294</v>
      </c>
      <c r="AE460" s="218">
        <v>1.8316996972784339E-4</v>
      </c>
      <c r="AF460">
        <v>15</v>
      </c>
      <c r="AH460" t="str">
        <f t="shared" si="23"/>
        <v>DalsinghSarai</v>
      </c>
      <c r="AJ460" s="72">
        <v>0</v>
      </c>
      <c r="AK460" s="72"/>
      <c r="AL460" s="72"/>
      <c r="AM460" s="72"/>
    </row>
    <row r="461" spans="1:39" x14ac:dyDescent="0.25">
      <c r="A461" s="37" t="s">
        <v>62</v>
      </c>
      <c r="B461" s="66" t="s">
        <v>1596</v>
      </c>
      <c r="C461" s="47">
        <v>1012</v>
      </c>
      <c r="D461" s="47" t="s">
        <v>306</v>
      </c>
      <c r="E461" s="41">
        <v>10120031</v>
      </c>
      <c r="F461" s="46" t="s">
        <v>328</v>
      </c>
      <c r="G461" s="39" t="s">
        <v>92</v>
      </c>
      <c r="H461" s="48" t="s">
        <v>93</v>
      </c>
      <c r="I461" s="52">
        <v>431.04</v>
      </c>
      <c r="J461" s="49">
        <v>17865.98</v>
      </c>
      <c r="K461" s="65">
        <v>242.5</v>
      </c>
      <c r="L461" s="65">
        <v>10711.259999999998</v>
      </c>
      <c r="M461" s="65">
        <v>169.09999999999997</v>
      </c>
      <c r="N461" s="65">
        <v>7151.7000000000007</v>
      </c>
      <c r="O461" s="65">
        <v>411.59999999999997</v>
      </c>
      <c r="P461" s="65">
        <v>17862.96</v>
      </c>
      <c r="Q461" s="50">
        <v>17862.96</v>
      </c>
      <c r="R461" s="65">
        <v>0</v>
      </c>
      <c r="S461" s="65">
        <v>39.68</v>
      </c>
      <c r="T461" s="65">
        <v>0</v>
      </c>
      <c r="U461" s="65">
        <v>0</v>
      </c>
      <c r="V461" s="65">
        <v>0</v>
      </c>
      <c r="W461" s="65">
        <v>0</v>
      </c>
      <c r="X461" s="65">
        <v>10711</v>
      </c>
      <c r="Y461" s="65">
        <v>7112</v>
      </c>
      <c r="Z461" s="65">
        <v>0</v>
      </c>
      <c r="AA461" s="51">
        <v>3</v>
      </c>
      <c r="AB461" s="102">
        <v>0</v>
      </c>
      <c r="AC461" s="81">
        <f t="shared" si="24"/>
        <v>222.96000282108383</v>
      </c>
      <c r="AD461" s="82">
        <f t="shared" si="25"/>
        <v>61.57714285714286</v>
      </c>
      <c r="AE461" s="218">
        <v>1.6903634729247634E-4</v>
      </c>
      <c r="AF461">
        <v>6</v>
      </c>
      <c r="AH461" t="str">
        <f t="shared" si="23"/>
        <v>DalsinghSarai</v>
      </c>
      <c r="AJ461" s="72">
        <v>0</v>
      </c>
      <c r="AK461" s="72"/>
      <c r="AL461" s="72"/>
      <c r="AM461" s="72"/>
    </row>
    <row r="462" spans="1:39" x14ac:dyDescent="0.25">
      <c r="A462" s="37" t="s">
        <v>62</v>
      </c>
      <c r="B462" s="66" t="s">
        <v>1596</v>
      </c>
      <c r="C462" s="47">
        <v>1012</v>
      </c>
      <c r="D462" s="47" t="s">
        <v>306</v>
      </c>
      <c r="E462" s="41">
        <v>10120034</v>
      </c>
      <c r="F462" s="46" t="s">
        <v>329</v>
      </c>
      <c r="G462" s="39" t="s">
        <v>92</v>
      </c>
      <c r="H462" s="48" t="s">
        <v>93</v>
      </c>
      <c r="I462" s="52">
        <v>207.13</v>
      </c>
      <c r="J462" s="49">
        <v>8083.7899999999991</v>
      </c>
      <c r="K462" s="65">
        <v>91.24</v>
      </c>
      <c r="L462" s="65">
        <v>3662.1</v>
      </c>
      <c r="M462" s="65">
        <v>116.05</v>
      </c>
      <c r="N462" s="65">
        <v>4414.47</v>
      </c>
      <c r="O462" s="65">
        <v>207.29</v>
      </c>
      <c r="P462" s="65">
        <v>8076.57</v>
      </c>
      <c r="Q462" s="50">
        <v>8076.57</v>
      </c>
      <c r="R462" s="65">
        <v>0</v>
      </c>
      <c r="S462" s="65">
        <v>0</v>
      </c>
      <c r="T462" s="65">
        <v>0</v>
      </c>
      <c r="U462" s="65">
        <v>6036</v>
      </c>
      <c r="V462" s="65">
        <v>0</v>
      </c>
      <c r="W462" s="65">
        <v>0</v>
      </c>
      <c r="X462" s="65">
        <v>933</v>
      </c>
      <c r="Y462" s="65">
        <v>1107</v>
      </c>
      <c r="Z462" s="65">
        <v>0</v>
      </c>
      <c r="AA462" s="51">
        <v>8</v>
      </c>
      <c r="AB462" s="102">
        <v>0</v>
      </c>
      <c r="AC462" s="81">
        <f t="shared" si="24"/>
        <v>384.71081710037174</v>
      </c>
      <c r="AD462" s="82">
        <f t="shared" si="25"/>
        <v>29.59</v>
      </c>
      <c r="AE462" s="218">
        <v>8.9314541817629429E-4</v>
      </c>
      <c r="AF462">
        <v>6</v>
      </c>
      <c r="AH462" t="str">
        <f t="shared" si="23"/>
        <v>DalsinghSarai</v>
      </c>
      <c r="AJ462" s="72">
        <v>0</v>
      </c>
      <c r="AK462" s="72"/>
      <c r="AL462" s="72"/>
      <c r="AM462" s="72"/>
    </row>
    <row r="463" spans="1:39" x14ac:dyDescent="0.25">
      <c r="A463" s="37" t="s">
        <v>62</v>
      </c>
      <c r="B463" s="66" t="s">
        <v>1596</v>
      </c>
      <c r="C463" s="47">
        <v>1012</v>
      </c>
      <c r="D463" s="47" t="s">
        <v>306</v>
      </c>
      <c r="E463" s="41">
        <v>10120035</v>
      </c>
      <c r="F463" s="46" t="s">
        <v>330</v>
      </c>
      <c r="G463" s="39" t="s">
        <v>617</v>
      </c>
      <c r="H463" s="48" t="s">
        <v>98</v>
      </c>
      <c r="I463" s="52">
        <v>328.01000000000005</v>
      </c>
      <c r="J463" s="49">
        <v>13337.690000000002</v>
      </c>
      <c r="K463" s="65">
        <v>0</v>
      </c>
      <c r="L463" s="65">
        <v>0</v>
      </c>
      <c r="M463" s="65">
        <v>0</v>
      </c>
      <c r="N463" s="65">
        <v>0</v>
      </c>
      <c r="O463" s="65">
        <v>0</v>
      </c>
      <c r="P463" s="65">
        <v>0</v>
      </c>
      <c r="Q463" s="50">
        <v>13337.690000000002</v>
      </c>
      <c r="R463" s="65">
        <v>0</v>
      </c>
      <c r="S463" s="65">
        <v>0</v>
      </c>
      <c r="T463" s="65">
        <v>0</v>
      </c>
      <c r="U463" s="65">
        <v>2800</v>
      </c>
      <c r="V463" s="65">
        <v>0</v>
      </c>
      <c r="W463" s="65">
        <v>0</v>
      </c>
      <c r="X463" s="65">
        <v>0</v>
      </c>
      <c r="Y463" s="65">
        <v>0</v>
      </c>
      <c r="Z463" s="65">
        <v>10537.690000000002</v>
      </c>
      <c r="AA463" s="51">
        <v>0</v>
      </c>
      <c r="AB463" s="102">
        <v>0</v>
      </c>
      <c r="AC463" s="81">
        <f t="shared" si="24"/>
        <v>302.520490417975</v>
      </c>
      <c r="AD463" s="82">
        <f t="shared" si="25"/>
        <v>46.858571428571437</v>
      </c>
      <c r="AE463" s="218">
        <v>0</v>
      </c>
      <c r="AF463">
        <v>0</v>
      </c>
      <c r="AH463" t="str">
        <f t="shared" si="23"/>
        <v>DalsinghSarai</v>
      </c>
      <c r="AJ463" s="72">
        <v>0</v>
      </c>
      <c r="AK463" s="72"/>
      <c r="AL463" s="72"/>
      <c r="AM463" s="72"/>
    </row>
    <row r="464" spans="1:39" x14ac:dyDescent="0.25">
      <c r="A464" s="37" t="s">
        <v>62</v>
      </c>
      <c r="B464" s="66" t="s">
        <v>1596</v>
      </c>
      <c r="C464" s="47">
        <v>1012</v>
      </c>
      <c r="D464" s="47" t="s">
        <v>306</v>
      </c>
      <c r="E464" s="41">
        <v>10120043</v>
      </c>
      <c r="F464" s="46" t="s">
        <v>331</v>
      </c>
      <c r="G464" s="39" t="s">
        <v>92</v>
      </c>
      <c r="H464" s="48" t="s">
        <v>93</v>
      </c>
      <c r="I464" s="52">
        <v>218.03000000000003</v>
      </c>
      <c r="J464" s="49">
        <v>10700.670000000002</v>
      </c>
      <c r="K464" s="65">
        <v>210.13000000000002</v>
      </c>
      <c r="L464" s="65">
        <v>10380.560000000001</v>
      </c>
      <c r="M464" s="65">
        <v>8.2000000000000011</v>
      </c>
      <c r="N464" s="65">
        <v>318.75999999999993</v>
      </c>
      <c r="O464" s="65">
        <v>218.33</v>
      </c>
      <c r="P464" s="65">
        <v>10699.320000000002</v>
      </c>
      <c r="Q464" s="50">
        <v>10699.320000000002</v>
      </c>
      <c r="R464" s="65">
        <v>0</v>
      </c>
      <c r="S464" s="65">
        <v>0</v>
      </c>
      <c r="T464" s="65">
        <v>0</v>
      </c>
      <c r="U464" s="65">
        <v>0</v>
      </c>
      <c r="V464" s="65">
        <v>500</v>
      </c>
      <c r="W464" s="65">
        <v>0</v>
      </c>
      <c r="X464" s="65">
        <v>9881</v>
      </c>
      <c r="Y464" s="65">
        <v>319</v>
      </c>
      <c r="Z464" s="65">
        <v>0</v>
      </c>
      <c r="AA464" s="51">
        <v>1</v>
      </c>
      <c r="AB464" s="102">
        <v>0</v>
      </c>
      <c r="AC464" s="81">
        <f t="shared" si="24"/>
        <v>473.09103516947215</v>
      </c>
      <c r="AD464" s="82">
        <f t="shared" si="25"/>
        <v>31.14714285714286</v>
      </c>
      <c r="AE464" s="218">
        <v>1.2616032454045996E-4</v>
      </c>
      <c r="AF464">
        <v>8</v>
      </c>
      <c r="AH464" t="str">
        <f t="shared" si="23"/>
        <v>DalsinghSarai</v>
      </c>
      <c r="AJ464" s="72">
        <v>500</v>
      </c>
      <c r="AK464" s="72"/>
      <c r="AL464" s="72"/>
      <c r="AM464" s="72"/>
    </row>
    <row r="465" spans="1:39" x14ac:dyDescent="0.25">
      <c r="A465" s="37" t="s">
        <v>62</v>
      </c>
      <c r="B465" s="66" t="s">
        <v>1596</v>
      </c>
      <c r="C465" s="47">
        <v>1012</v>
      </c>
      <c r="D465" s="47" t="s">
        <v>306</v>
      </c>
      <c r="E465" s="41">
        <v>10120046</v>
      </c>
      <c r="F465" s="46" t="s">
        <v>332</v>
      </c>
      <c r="G465" s="39" t="s">
        <v>92</v>
      </c>
      <c r="H465" s="48" t="s">
        <v>93</v>
      </c>
      <c r="I465" s="52">
        <v>2430.81</v>
      </c>
      <c r="J465" s="49">
        <v>96102.110000000015</v>
      </c>
      <c r="K465" s="65">
        <v>1810.7200000000003</v>
      </c>
      <c r="L465" s="65">
        <v>70796.409999999989</v>
      </c>
      <c r="M465" s="65">
        <v>615.69999999999993</v>
      </c>
      <c r="N465" s="65">
        <v>25302.369999999995</v>
      </c>
      <c r="O465" s="65">
        <v>2426.42</v>
      </c>
      <c r="P465" s="65">
        <v>96098.779999999984</v>
      </c>
      <c r="Q465" s="50">
        <v>96098.779999999984</v>
      </c>
      <c r="R465" s="65">
        <v>0</v>
      </c>
      <c r="S465" s="65">
        <v>767.70999999999992</v>
      </c>
      <c r="T465" s="65">
        <v>0</v>
      </c>
      <c r="U465" s="65">
        <v>0</v>
      </c>
      <c r="V465" s="65">
        <v>0</v>
      </c>
      <c r="W465" s="65">
        <v>0</v>
      </c>
      <c r="X465" s="65">
        <v>70798</v>
      </c>
      <c r="Y465" s="65">
        <v>24535</v>
      </c>
      <c r="Z465" s="65">
        <v>0</v>
      </c>
      <c r="AA465" s="51">
        <v>1</v>
      </c>
      <c r="AB465" s="102">
        <v>0</v>
      </c>
      <c r="AC465" s="81">
        <f t="shared" si="24"/>
        <v>0</v>
      </c>
      <c r="AD465" s="82">
        <f t="shared" si="25"/>
        <v>0</v>
      </c>
      <c r="AE465" s="218">
        <v>3.4650643987222024E-5</v>
      </c>
      <c r="AF465">
        <v>35</v>
      </c>
      <c r="AH465" t="str">
        <f t="shared" si="23"/>
        <v>DalsinghSarai</v>
      </c>
      <c r="AJ465" s="72">
        <v>0</v>
      </c>
      <c r="AK465" s="72"/>
      <c r="AL465" s="72"/>
      <c r="AM465" s="72"/>
    </row>
    <row r="466" spans="1:39" x14ac:dyDescent="0.25">
      <c r="A466" s="37" t="s">
        <v>62</v>
      </c>
      <c r="B466" s="66" t="s">
        <v>1596</v>
      </c>
      <c r="C466" s="47">
        <v>1012</v>
      </c>
      <c r="D466" s="47" t="s">
        <v>306</v>
      </c>
      <c r="E466" s="41">
        <v>10120049</v>
      </c>
      <c r="F466" s="46" t="s">
        <v>333</v>
      </c>
      <c r="G466" s="39" t="s">
        <v>617</v>
      </c>
      <c r="H466" s="48" t="s">
        <v>98</v>
      </c>
      <c r="I466" s="52">
        <v>363.40000000000003</v>
      </c>
      <c r="J466" s="49">
        <v>16955.460000000003</v>
      </c>
      <c r="K466" s="65">
        <v>0</v>
      </c>
      <c r="L466" s="65">
        <v>0</v>
      </c>
      <c r="M466" s="65">
        <v>0</v>
      </c>
      <c r="N466" s="65">
        <v>0</v>
      </c>
      <c r="O466" s="65">
        <v>0</v>
      </c>
      <c r="P466" s="65">
        <v>0</v>
      </c>
      <c r="Q466" s="50">
        <v>16955.460000000003</v>
      </c>
      <c r="R466" s="65">
        <v>0</v>
      </c>
      <c r="S466" s="65">
        <v>0</v>
      </c>
      <c r="T466" s="65">
        <v>0</v>
      </c>
      <c r="U466" s="65">
        <v>3100</v>
      </c>
      <c r="V466" s="65">
        <v>0</v>
      </c>
      <c r="W466" s="65">
        <v>0</v>
      </c>
      <c r="X466" s="65">
        <v>0</v>
      </c>
      <c r="Y466" s="65">
        <v>0</v>
      </c>
      <c r="Z466" s="65">
        <v>13855.460000000003</v>
      </c>
      <c r="AA466" s="51">
        <v>0</v>
      </c>
      <c r="AB466" s="102">
        <v>0</v>
      </c>
      <c r="AC466" s="81">
        <f t="shared" si="24"/>
        <v>314.10059636763896</v>
      </c>
      <c r="AD466" s="82">
        <f t="shared" si="25"/>
        <v>51.914285714285718</v>
      </c>
      <c r="AE466" s="218">
        <v>0</v>
      </c>
      <c r="AF466">
        <v>0</v>
      </c>
      <c r="AH466" t="str">
        <f t="shared" si="23"/>
        <v>DalsinghSarai</v>
      </c>
      <c r="AJ466" s="72">
        <v>0</v>
      </c>
      <c r="AK466" s="72"/>
      <c r="AL466" s="72"/>
      <c r="AM466" s="72"/>
    </row>
    <row r="467" spans="1:39" x14ac:dyDescent="0.25">
      <c r="A467" s="37" t="s">
        <v>62</v>
      </c>
      <c r="B467" s="66" t="s">
        <v>1596</v>
      </c>
      <c r="C467" s="47">
        <v>1012</v>
      </c>
      <c r="D467" s="47" t="s">
        <v>306</v>
      </c>
      <c r="E467" s="41">
        <v>10120050</v>
      </c>
      <c r="F467" s="46" t="s">
        <v>334</v>
      </c>
      <c r="G467" s="39" t="s">
        <v>617</v>
      </c>
      <c r="H467" s="48" t="s">
        <v>98</v>
      </c>
      <c r="I467" s="52">
        <v>3648.1</v>
      </c>
      <c r="J467" s="49">
        <v>145026.85</v>
      </c>
      <c r="K467" s="65">
        <v>0</v>
      </c>
      <c r="L467" s="65">
        <v>0</v>
      </c>
      <c r="M467" s="65">
        <v>0</v>
      </c>
      <c r="N467" s="65">
        <v>0</v>
      </c>
      <c r="O467" s="65">
        <v>0</v>
      </c>
      <c r="P467" s="65">
        <v>0</v>
      </c>
      <c r="Q467" s="50">
        <v>145026.85</v>
      </c>
      <c r="R467" s="65">
        <v>0</v>
      </c>
      <c r="S467" s="65">
        <v>0</v>
      </c>
      <c r="T467" s="65">
        <v>0</v>
      </c>
      <c r="U467" s="65">
        <v>0</v>
      </c>
      <c r="V467" s="65">
        <v>0</v>
      </c>
      <c r="W467" s="65">
        <v>0</v>
      </c>
      <c r="X467" s="65">
        <v>0</v>
      </c>
      <c r="Y467" s="65">
        <v>0</v>
      </c>
      <c r="Z467" s="65">
        <v>145026.85</v>
      </c>
      <c r="AA467" s="51">
        <v>0</v>
      </c>
      <c r="AB467" s="102">
        <v>0</v>
      </c>
      <c r="AC467" s="81">
        <f t="shared" si="24"/>
        <v>0</v>
      </c>
      <c r="AD467" s="82">
        <f t="shared" si="25"/>
        <v>0</v>
      </c>
      <c r="AE467" s="218">
        <v>0</v>
      </c>
      <c r="AF467">
        <v>0</v>
      </c>
      <c r="AH467" t="str">
        <f t="shared" si="23"/>
        <v>DalsinghSarai</v>
      </c>
      <c r="AJ467" s="72">
        <v>0</v>
      </c>
      <c r="AK467" s="72"/>
      <c r="AL467" s="72"/>
      <c r="AM467" s="72"/>
    </row>
    <row r="468" spans="1:39" x14ac:dyDescent="0.25">
      <c r="A468" s="37" t="s">
        <v>62</v>
      </c>
      <c r="B468" s="66" t="s">
        <v>1596</v>
      </c>
      <c r="C468" s="47">
        <v>1012</v>
      </c>
      <c r="D468" s="47" t="s">
        <v>306</v>
      </c>
      <c r="E468" s="41">
        <v>10120051</v>
      </c>
      <c r="F468" s="46" t="s">
        <v>335</v>
      </c>
      <c r="G468" s="39" t="s">
        <v>92</v>
      </c>
      <c r="H468" s="48" t="s">
        <v>93</v>
      </c>
      <c r="I468" s="52">
        <v>317.54999999999995</v>
      </c>
      <c r="J468" s="49">
        <v>13118.630000000001</v>
      </c>
      <c r="K468" s="65">
        <v>80.86</v>
      </c>
      <c r="L468" s="65">
        <v>3652.5299999999997</v>
      </c>
      <c r="M468" s="65">
        <v>201.59</v>
      </c>
      <c r="N468" s="65">
        <v>9447.77</v>
      </c>
      <c r="O468" s="65">
        <v>282.45</v>
      </c>
      <c r="P468" s="65">
        <v>13100.3</v>
      </c>
      <c r="Q468" s="50">
        <v>13100.3</v>
      </c>
      <c r="R468" s="65">
        <v>0</v>
      </c>
      <c r="S468" s="65">
        <v>0</v>
      </c>
      <c r="T468" s="65">
        <v>0</v>
      </c>
      <c r="U468" s="65">
        <v>318</v>
      </c>
      <c r="V468" s="65">
        <v>0</v>
      </c>
      <c r="W468" s="65">
        <v>0</v>
      </c>
      <c r="X468" s="65">
        <v>3334</v>
      </c>
      <c r="Y468" s="65">
        <v>9447</v>
      </c>
      <c r="Z468" s="65">
        <v>0</v>
      </c>
      <c r="AA468" s="51">
        <v>20</v>
      </c>
      <c r="AB468" s="102" t="s">
        <v>68</v>
      </c>
      <c r="AC468" s="81">
        <f t="shared" si="24"/>
        <v>315.99559398519926</v>
      </c>
      <c r="AD468" s="82">
        <f t="shared" si="25"/>
        <v>45.364285714285707</v>
      </c>
      <c r="AE468" s="218">
        <v>1.3972495603581886E-3</v>
      </c>
      <c r="AF468">
        <v>12</v>
      </c>
      <c r="AH468" t="str">
        <f t="shared" si="23"/>
        <v>DalsinghSarai</v>
      </c>
      <c r="AJ468" s="72">
        <v>0</v>
      </c>
      <c r="AK468" s="72"/>
      <c r="AL468" s="72"/>
      <c r="AM468" s="72"/>
    </row>
    <row r="469" spans="1:39" x14ac:dyDescent="0.25">
      <c r="A469" s="37" t="s">
        <v>62</v>
      </c>
      <c r="B469" s="66" t="s">
        <v>1596</v>
      </c>
      <c r="C469" s="47">
        <v>1012</v>
      </c>
      <c r="D469" s="47" t="s">
        <v>306</v>
      </c>
      <c r="E469" s="41">
        <v>10120052</v>
      </c>
      <c r="F469" s="46" t="s">
        <v>336</v>
      </c>
      <c r="G469" s="39" t="s">
        <v>92</v>
      </c>
      <c r="H469" s="48" t="s">
        <v>93</v>
      </c>
      <c r="I469" s="52">
        <v>1641.7100000000003</v>
      </c>
      <c r="J469" s="49">
        <v>66833.850000000006</v>
      </c>
      <c r="K469" s="65">
        <v>1219.68</v>
      </c>
      <c r="L469" s="65">
        <v>48911.659999999996</v>
      </c>
      <c r="M469" s="65">
        <v>978.86999999999989</v>
      </c>
      <c r="N469" s="65">
        <v>38678.419999999969</v>
      </c>
      <c r="O469" s="65">
        <v>2198.5500000000002</v>
      </c>
      <c r="P469" s="65">
        <v>87590.079999999958</v>
      </c>
      <c r="Q469" s="50">
        <v>66833.850000000006</v>
      </c>
      <c r="R469" s="65">
        <v>0</v>
      </c>
      <c r="S469" s="65">
        <v>152.45999999999998</v>
      </c>
      <c r="T469" s="65">
        <v>20756.229999999952</v>
      </c>
      <c r="U469" s="65">
        <v>3050</v>
      </c>
      <c r="V469" s="65">
        <v>0</v>
      </c>
      <c r="W469" s="65">
        <v>0</v>
      </c>
      <c r="X469" s="65">
        <v>25146</v>
      </c>
      <c r="Y469" s="65">
        <v>38485</v>
      </c>
      <c r="Z469" s="65">
        <v>0</v>
      </c>
      <c r="AA469" s="51">
        <v>0</v>
      </c>
      <c r="AB469" s="102">
        <v>0</v>
      </c>
      <c r="AC469" s="81">
        <f t="shared" si="24"/>
        <v>0</v>
      </c>
      <c r="AD469" s="82">
        <f t="shared" si="25"/>
        <v>0</v>
      </c>
      <c r="AE469" s="218">
        <v>-0.31056463154524167</v>
      </c>
      <c r="AF469">
        <v>33</v>
      </c>
      <c r="AH469" t="str">
        <f t="shared" si="23"/>
        <v>DalsinghSarai</v>
      </c>
      <c r="AJ469" s="72">
        <v>0</v>
      </c>
      <c r="AK469" s="72"/>
      <c r="AL469" s="72"/>
      <c r="AM469" s="72"/>
    </row>
    <row r="470" spans="1:39" x14ac:dyDescent="0.25">
      <c r="A470" s="37" t="s">
        <v>62</v>
      </c>
      <c r="B470" s="66" t="s">
        <v>1596</v>
      </c>
      <c r="C470" s="47">
        <v>1012</v>
      </c>
      <c r="D470" s="47" t="s">
        <v>306</v>
      </c>
      <c r="E470" s="41">
        <v>10120053</v>
      </c>
      <c r="F470" s="46" t="s">
        <v>337</v>
      </c>
      <c r="G470" s="39" t="s">
        <v>92</v>
      </c>
      <c r="H470" s="48" t="s">
        <v>93</v>
      </c>
      <c r="I470" s="52">
        <v>223.64000000000001</v>
      </c>
      <c r="J470" s="49">
        <v>8742.59</v>
      </c>
      <c r="K470" s="65">
        <v>243.33</v>
      </c>
      <c r="L470" s="65">
        <v>8740.630000000001</v>
      </c>
      <c r="M470" s="65">
        <v>0</v>
      </c>
      <c r="N470" s="65">
        <v>0</v>
      </c>
      <c r="O470" s="65">
        <v>243.33</v>
      </c>
      <c r="P470" s="65">
        <v>8740.630000000001</v>
      </c>
      <c r="Q470" s="50">
        <v>8740.630000000001</v>
      </c>
      <c r="R470" s="65">
        <v>0</v>
      </c>
      <c r="S470" s="65">
        <v>0</v>
      </c>
      <c r="T470" s="65">
        <v>0</v>
      </c>
      <c r="U470" s="65">
        <v>1839</v>
      </c>
      <c r="V470" s="65">
        <v>0</v>
      </c>
      <c r="W470" s="65">
        <v>0</v>
      </c>
      <c r="X470" s="65">
        <v>6900</v>
      </c>
      <c r="Y470" s="65">
        <v>0</v>
      </c>
      <c r="Z470" s="65">
        <v>0</v>
      </c>
      <c r="AA470" s="51">
        <v>4</v>
      </c>
      <c r="AB470" s="102">
        <v>0</v>
      </c>
      <c r="AC470" s="81">
        <f t="shared" si="24"/>
        <v>372.43965054551956</v>
      </c>
      <c r="AD470" s="82">
        <f t="shared" si="25"/>
        <v>31.94857142857143</v>
      </c>
      <c r="AE470" s="218">
        <v>2.2418985678147172E-4</v>
      </c>
      <c r="AF470">
        <v>8</v>
      </c>
      <c r="AH470" t="str">
        <f t="shared" si="23"/>
        <v>DalsinghSarai</v>
      </c>
      <c r="AJ470" s="72">
        <v>0</v>
      </c>
      <c r="AK470" s="72"/>
      <c r="AL470" s="72"/>
      <c r="AM470" s="72"/>
    </row>
    <row r="471" spans="1:39" x14ac:dyDescent="0.25">
      <c r="A471" s="37" t="s">
        <v>62</v>
      </c>
      <c r="B471" s="66" t="s">
        <v>1596</v>
      </c>
      <c r="C471" s="47">
        <v>1012</v>
      </c>
      <c r="D471" s="47" t="s">
        <v>306</v>
      </c>
      <c r="E471" s="41">
        <v>10120060</v>
      </c>
      <c r="F471" s="46" t="s">
        <v>339</v>
      </c>
      <c r="G471" s="39" t="s">
        <v>617</v>
      </c>
      <c r="H471" s="48" t="s">
        <v>98</v>
      </c>
      <c r="I471" s="52">
        <v>1244.2</v>
      </c>
      <c r="J471" s="49">
        <v>50425.61</v>
      </c>
      <c r="K471" s="65">
        <v>0</v>
      </c>
      <c r="L471" s="65">
        <v>0</v>
      </c>
      <c r="M471" s="65">
        <v>0</v>
      </c>
      <c r="N471" s="65">
        <v>0</v>
      </c>
      <c r="O471" s="65">
        <v>0</v>
      </c>
      <c r="P471" s="65">
        <v>0</v>
      </c>
      <c r="Q471" s="50">
        <v>50425.61</v>
      </c>
      <c r="R471" s="65">
        <v>0</v>
      </c>
      <c r="S471" s="65">
        <v>0</v>
      </c>
      <c r="T471" s="65">
        <v>0</v>
      </c>
      <c r="U471" s="65">
        <v>0</v>
      </c>
      <c r="V471" s="65">
        <v>0</v>
      </c>
      <c r="W471" s="65">
        <v>0</v>
      </c>
      <c r="X471" s="65">
        <v>0</v>
      </c>
      <c r="Y471" s="65">
        <v>0</v>
      </c>
      <c r="Z471" s="65">
        <v>50425.61</v>
      </c>
      <c r="AA471" s="51">
        <v>0</v>
      </c>
      <c r="AB471" s="102">
        <v>0</v>
      </c>
      <c r="AC471" s="81">
        <f t="shared" si="24"/>
        <v>0</v>
      </c>
      <c r="AD471" s="82">
        <f t="shared" si="25"/>
        <v>0</v>
      </c>
      <c r="AE471" s="218">
        <v>0</v>
      </c>
      <c r="AF471">
        <v>0</v>
      </c>
      <c r="AH471" t="str">
        <f t="shared" si="23"/>
        <v>DalsinghSarai</v>
      </c>
      <c r="AJ471" s="72">
        <v>0</v>
      </c>
      <c r="AK471" s="72"/>
      <c r="AL471" s="72"/>
      <c r="AM471" s="72"/>
    </row>
    <row r="472" spans="1:39" x14ac:dyDescent="0.25">
      <c r="A472" s="37" t="s">
        <v>62</v>
      </c>
      <c r="B472" s="66" t="s">
        <v>1596</v>
      </c>
      <c r="C472" s="47">
        <v>1012</v>
      </c>
      <c r="D472" s="47" t="s">
        <v>306</v>
      </c>
      <c r="E472" s="41">
        <v>10120066</v>
      </c>
      <c r="F472" s="46" t="s">
        <v>340</v>
      </c>
      <c r="G472" s="39" t="s">
        <v>617</v>
      </c>
      <c r="H472" s="48" t="s">
        <v>98</v>
      </c>
      <c r="I472" s="52">
        <v>54.599999999999994</v>
      </c>
      <c r="J472" s="49">
        <v>2095.2600000000002</v>
      </c>
      <c r="K472" s="65">
        <v>0</v>
      </c>
      <c r="L472" s="65">
        <v>0</v>
      </c>
      <c r="M472" s="65">
        <v>0</v>
      </c>
      <c r="N472" s="65">
        <v>0</v>
      </c>
      <c r="O472" s="65">
        <v>0</v>
      </c>
      <c r="P472" s="65">
        <v>0</v>
      </c>
      <c r="Q472" s="50">
        <v>2095.2600000000002</v>
      </c>
      <c r="R472" s="65">
        <v>0</v>
      </c>
      <c r="S472" s="65">
        <v>0</v>
      </c>
      <c r="T472" s="65">
        <v>0</v>
      </c>
      <c r="U472" s="65">
        <v>0</v>
      </c>
      <c r="V472" s="65">
        <v>0</v>
      </c>
      <c r="W472" s="65">
        <v>0</v>
      </c>
      <c r="X472" s="65">
        <v>0</v>
      </c>
      <c r="Y472" s="65">
        <v>0</v>
      </c>
      <c r="Z472" s="65">
        <v>2095.2600000000002</v>
      </c>
      <c r="AA472" s="51">
        <v>0</v>
      </c>
      <c r="AB472" s="102">
        <v>0</v>
      </c>
      <c r="AC472" s="81">
        <f t="shared" si="24"/>
        <v>495.34095384615404</v>
      </c>
      <c r="AD472" s="82">
        <f t="shared" si="25"/>
        <v>7.7999999999999989</v>
      </c>
      <c r="AE472" s="218">
        <v>0</v>
      </c>
      <c r="AF472">
        <v>0</v>
      </c>
      <c r="AH472" t="str">
        <f t="shared" si="23"/>
        <v>DalsinghSarai</v>
      </c>
      <c r="AJ472" s="72">
        <v>0</v>
      </c>
      <c r="AK472" s="72"/>
      <c r="AL472" s="72"/>
      <c r="AM472" s="72"/>
    </row>
    <row r="473" spans="1:39" x14ac:dyDescent="0.25">
      <c r="A473" s="37" t="s">
        <v>62</v>
      </c>
      <c r="B473" s="66" t="s">
        <v>1596</v>
      </c>
      <c r="C473" s="47">
        <v>1012</v>
      </c>
      <c r="D473" s="47" t="s">
        <v>306</v>
      </c>
      <c r="E473" s="41">
        <v>10120067</v>
      </c>
      <c r="F473" s="46" t="s">
        <v>1566</v>
      </c>
      <c r="G473" s="39" t="s">
        <v>617</v>
      </c>
      <c r="H473" s="48" t="s">
        <v>98</v>
      </c>
      <c r="I473" s="52">
        <v>497.24999999999994</v>
      </c>
      <c r="J473" s="49">
        <v>18005.330000000002</v>
      </c>
      <c r="K473" s="65">
        <v>0</v>
      </c>
      <c r="L473" s="65">
        <v>0</v>
      </c>
      <c r="M473" s="65">
        <v>0</v>
      </c>
      <c r="N473" s="65">
        <v>0</v>
      </c>
      <c r="O473" s="65">
        <v>0</v>
      </c>
      <c r="P473" s="65">
        <v>0</v>
      </c>
      <c r="Q473" s="50">
        <v>18005.330000000002</v>
      </c>
      <c r="R473" s="65">
        <v>0</v>
      </c>
      <c r="S473" s="65">
        <v>0</v>
      </c>
      <c r="T473" s="65">
        <v>0</v>
      </c>
      <c r="U473" s="65">
        <v>0</v>
      </c>
      <c r="V473" s="65">
        <v>0</v>
      </c>
      <c r="W473" s="65">
        <v>0</v>
      </c>
      <c r="X473" s="65">
        <v>0</v>
      </c>
      <c r="Y473" s="65">
        <v>0</v>
      </c>
      <c r="Z473" s="65">
        <v>18005.330000000002</v>
      </c>
      <c r="AA473" s="51">
        <v>0</v>
      </c>
      <c r="AB473" s="102">
        <v>0</v>
      </c>
      <c r="AC473" s="81">
        <f t="shared" si="24"/>
        <v>146.83079567621928</v>
      </c>
      <c r="AD473" s="82">
        <f t="shared" si="25"/>
        <v>71.035714285714278</v>
      </c>
      <c r="AE473" s="218">
        <v>0</v>
      </c>
      <c r="AF473">
        <v>0</v>
      </c>
      <c r="AH473" t="str">
        <f t="shared" si="23"/>
        <v>DalsinghSarai</v>
      </c>
      <c r="AJ473" s="72">
        <v>0</v>
      </c>
      <c r="AK473" s="72"/>
      <c r="AL473" s="72"/>
      <c r="AM473" s="72"/>
    </row>
    <row r="474" spans="1:39" x14ac:dyDescent="0.25">
      <c r="A474" s="37" t="s">
        <v>62</v>
      </c>
      <c r="B474" s="66" t="s">
        <v>1596</v>
      </c>
      <c r="C474" s="47">
        <v>1012</v>
      </c>
      <c r="D474" s="47" t="s">
        <v>306</v>
      </c>
      <c r="E474" s="41">
        <v>10120071</v>
      </c>
      <c r="F474" s="46" t="s">
        <v>341</v>
      </c>
      <c r="G474" s="39" t="s">
        <v>92</v>
      </c>
      <c r="H474" s="48" t="s">
        <v>93</v>
      </c>
      <c r="I474" s="52">
        <v>938.42</v>
      </c>
      <c r="J474" s="49">
        <v>36599.21</v>
      </c>
      <c r="K474" s="65">
        <v>67.509999999999991</v>
      </c>
      <c r="L474" s="65">
        <v>2569.4300000000003</v>
      </c>
      <c r="M474" s="65">
        <v>891.66000000000008</v>
      </c>
      <c r="N474" s="65">
        <v>34029.450000000004</v>
      </c>
      <c r="O474" s="65">
        <v>959.17000000000007</v>
      </c>
      <c r="P474" s="65">
        <v>36598.880000000005</v>
      </c>
      <c r="Q474" s="50">
        <v>36598.880000000005</v>
      </c>
      <c r="R474" s="65">
        <v>0</v>
      </c>
      <c r="S474" s="65">
        <v>283.10000000000002</v>
      </c>
      <c r="T474" s="65">
        <v>0</v>
      </c>
      <c r="U474" s="65">
        <v>0</v>
      </c>
      <c r="V474" s="65">
        <v>0</v>
      </c>
      <c r="W474" s="65">
        <v>0</v>
      </c>
      <c r="X474" s="65">
        <v>2568</v>
      </c>
      <c r="Y474" s="65">
        <v>33748</v>
      </c>
      <c r="Z474" s="65">
        <v>0</v>
      </c>
      <c r="AA474" s="51">
        <v>0</v>
      </c>
      <c r="AB474" s="102">
        <v>0</v>
      </c>
      <c r="AC474" s="81">
        <f t="shared" si="24"/>
        <v>0</v>
      </c>
      <c r="AD474" s="82">
        <f t="shared" si="25"/>
        <v>0</v>
      </c>
      <c r="AE474" s="218">
        <v>9.0165880628152975E-6</v>
      </c>
      <c r="AF474">
        <v>14</v>
      </c>
      <c r="AH474" t="str">
        <f t="shared" si="23"/>
        <v>DalsinghSarai</v>
      </c>
      <c r="AJ474" s="72">
        <v>0</v>
      </c>
      <c r="AK474" s="72"/>
      <c r="AL474" s="72"/>
      <c r="AM474" s="72"/>
    </row>
    <row r="475" spans="1:39" x14ac:dyDescent="0.25">
      <c r="A475" s="37" t="s">
        <v>62</v>
      </c>
      <c r="B475" s="66" t="s">
        <v>1596</v>
      </c>
      <c r="C475" s="47">
        <v>1012</v>
      </c>
      <c r="D475" s="47" t="s">
        <v>306</v>
      </c>
      <c r="E475" s="41">
        <v>10120083</v>
      </c>
      <c r="F475" s="46" t="s">
        <v>430</v>
      </c>
      <c r="G475" s="39" t="s">
        <v>92</v>
      </c>
      <c r="H475" s="48" t="s">
        <v>93</v>
      </c>
      <c r="I475" s="52">
        <v>414.7999999999999</v>
      </c>
      <c r="J475" s="49">
        <v>16686.91</v>
      </c>
      <c r="K475" s="65">
        <v>407.6</v>
      </c>
      <c r="L475" s="65">
        <v>16398.690000000002</v>
      </c>
      <c r="M475" s="65">
        <v>7.8999999999999995</v>
      </c>
      <c r="N475" s="65">
        <v>282.47999999999996</v>
      </c>
      <c r="O475" s="65">
        <v>415.5</v>
      </c>
      <c r="P475" s="65">
        <v>16681.170000000002</v>
      </c>
      <c r="Q475" s="50">
        <v>16681.170000000002</v>
      </c>
      <c r="R475" s="65">
        <v>0</v>
      </c>
      <c r="S475" s="65">
        <v>0</v>
      </c>
      <c r="T475" s="65">
        <v>0</v>
      </c>
      <c r="U475" s="65">
        <v>16399</v>
      </c>
      <c r="V475" s="65">
        <v>0</v>
      </c>
      <c r="W475" s="65">
        <v>0</v>
      </c>
      <c r="X475" s="65">
        <v>0</v>
      </c>
      <c r="Y475" s="65">
        <v>283</v>
      </c>
      <c r="Z475" s="65">
        <v>0</v>
      </c>
      <c r="AA475" s="51">
        <v>5</v>
      </c>
      <c r="AB475" s="102">
        <v>0</v>
      </c>
      <c r="AC475" s="81">
        <f t="shared" si="24"/>
        <v>229.46512690453244</v>
      </c>
      <c r="AD475" s="82">
        <f t="shared" si="25"/>
        <v>59.257142857142846</v>
      </c>
      <c r="AE475" s="218">
        <v>3.4398219922070428E-4</v>
      </c>
      <c r="AF475">
        <v>9</v>
      </c>
      <c r="AH475" t="str">
        <f t="shared" si="23"/>
        <v>DalsinghSarai</v>
      </c>
      <c r="AJ475" s="72">
        <v>0</v>
      </c>
      <c r="AK475" s="72"/>
      <c r="AL475" s="72"/>
      <c r="AM475" s="72"/>
    </row>
    <row r="476" spans="1:39" x14ac:dyDescent="0.25">
      <c r="A476" s="37" t="s">
        <v>62</v>
      </c>
      <c r="B476" s="66" t="s">
        <v>1596</v>
      </c>
      <c r="C476" s="47">
        <v>1012</v>
      </c>
      <c r="D476" s="47" t="s">
        <v>306</v>
      </c>
      <c r="E476" s="41">
        <v>10120084</v>
      </c>
      <c r="F476" s="46" t="s">
        <v>435</v>
      </c>
      <c r="G476" s="39" t="s">
        <v>92</v>
      </c>
      <c r="H476" s="48" t="s">
        <v>93</v>
      </c>
      <c r="I476" s="52">
        <v>2373.58</v>
      </c>
      <c r="J476" s="49">
        <v>122003.92</v>
      </c>
      <c r="K476" s="65">
        <v>774.03000000000009</v>
      </c>
      <c r="L476" s="65">
        <v>41822.980000000003</v>
      </c>
      <c r="M476" s="65">
        <v>1479.6400000000003</v>
      </c>
      <c r="N476" s="65">
        <v>80173.77</v>
      </c>
      <c r="O476" s="65">
        <v>2253.6700000000005</v>
      </c>
      <c r="P476" s="65">
        <v>121996.75</v>
      </c>
      <c r="Q476" s="50">
        <v>121996.75</v>
      </c>
      <c r="R476" s="65">
        <v>0</v>
      </c>
      <c r="S476" s="65">
        <v>0</v>
      </c>
      <c r="T476" s="65">
        <v>0</v>
      </c>
      <c r="U476" s="65">
        <v>0</v>
      </c>
      <c r="V476" s="65">
        <v>0</v>
      </c>
      <c r="W476" s="65">
        <v>0</v>
      </c>
      <c r="X476" s="65">
        <v>41824</v>
      </c>
      <c r="Y476" s="65">
        <v>80172</v>
      </c>
      <c r="Z476" s="65">
        <v>0</v>
      </c>
      <c r="AA476" s="51">
        <v>8</v>
      </c>
      <c r="AB476" s="102">
        <v>0</v>
      </c>
      <c r="AC476" s="81">
        <f t="shared" si="24"/>
        <v>0</v>
      </c>
      <c r="AD476" s="82">
        <f t="shared" si="25"/>
        <v>0</v>
      </c>
      <c r="AE476" s="218">
        <v>5.876860350059452E-5</v>
      </c>
      <c r="AF476">
        <v>28</v>
      </c>
      <c r="AH476" t="str">
        <f t="shared" si="23"/>
        <v>DalsinghSarai</v>
      </c>
      <c r="AJ476" s="72">
        <v>0</v>
      </c>
      <c r="AK476" s="72"/>
      <c r="AL476" s="72"/>
      <c r="AM476" s="72"/>
    </row>
    <row r="477" spans="1:39" x14ac:dyDescent="0.25">
      <c r="A477" s="37" t="s">
        <v>62</v>
      </c>
      <c r="B477" s="66" t="s">
        <v>1596</v>
      </c>
      <c r="C477" s="47">
        <v>1012</v>
      </c>
      <c r="D477" s="47" t="s">
        <v>306</v>
      </c>
      <c r="E477" s="41">
        <v>10120086</v>
      </c>
      <c r="F477" s="46" t="s">
        <v>431</v>
      </c>
      <c r="G477" s="39" t="s">
        <v>617</v>
      </c>
      <c r="H477" s="48" t="s">
        <v>98</v>
      </c>
      <c r="I477" s="52">
        <v>59.45</v>
      </c>
      <c r="J477" s="49">
        <v>2313.79</v>
      </c>
      <c r="K477" s="65">
        <v>0</v>
      </c>
      <c r="L477" s="65">
        <v>0</v>
      </c>
      <c r="M477" s="65">
        <v>0</v>
      </c>
      <c r="N477" s="65">
        <v>0</v>
      </c>
      <c r="O477" s="65">
        <v>0</v>
      </c>
      <c r="P477" s="65">
        <v>0</v>
      </c>
      <c r="Q477" s="50">
        <v>2313.79</v>
      </c>
      <c r="R477" s="65">
        <v>0</v>
      </c>
      <c r="S477" s="65">
        <v>0</v>
      </c>
      <c r="T477" s="65">
        <v>0</v>
      </c>
      <c r="U477" s="65">
        <v>0</v>
      </c>
      <c r="V477" s="65">
        <v>0</v>
      </c>
      <c r="W477" s="65">
        <v>0</v>
      </c>
      <c r="X477" s="65">
        <v>0</v>
      </c>
      <c r="Y477" s="65">
        <v>0</v>
      </c>
      <c r="Z477" s="65">
        <v>2313.79</v>
      </c>
      <c r="AA477" s="51">
        <v>0</v>
      </c>
      <c r="AB477" s="102">
        <v>0</v>
      </c>
      <c r="AC477" s="81">
        <f t="shared" si="24"/>
        <v>498.60325803195963</v>
      </c>
      <c r="AD477" s="82">
        <f t="shared" si="25"/>
        <v>8.4928571428571438</v>
      </c>
      <c r="AE477" s="218">
        <v>0</v>
      </c>
      <c r="AF477">
        <v>0</v>
      </c>
      <c r="AH477" t="str">
        <f t="shared" si="23"/>
        <v>DalsinghSarai</v>
      </c>
      <c r="AJ477" s="72">
        <v>0</v>
      </c>
      <c r="AK477" s="72"/>
      <c r="AL477" s="72"/>
      <c r="AM477" s="72"/>
    </row>
    <row r="478" spans="1:39" x14ac:dyDescent="0.25">
      <c r="A478" s="37" t="s">
        <v>62</v>
      </c>
      <c r="B478" s="66" t="s">
        <v>1596</v>
      </c>
      <c r="C478" s="47">
        <v>1062</v>
      </c>
      <c r="D478" s="47" t="s">
        <v>1381</v>
      </c>
      <c r="E478" s="41">
        <v>10120088</v>
      </c>
      <c r="F478" s="46" t="s">
        <v>1338</v>
      </c>
      <c r="G478" s="39" t="s">
        <v>617</v>
      </c>
      <c r="H478" s="48" t="s">
        <v>98</v>
      </c>
      <c r="I478" s="52">
        <v>4825.9800000000005</v>
      </c>
      <c r="J478" s="49">
        <v>198408.03</v>
      </c>
      <c r="K478" s="65">
        <v>0</v>
      </c>
      <c r="L478" s="65">
        <v>0</v>
      </c>
      <c r="M478" s="65">
        <v>0</v>
      </c>
      <c r="N478" s="65">
        <v>0</v>
      </c>
      <c r="O478" s="65">
        <v>0</v>
      </c>
      <c r="P478" s="65">
        <v>0</v>
      </c>
      <c r="Q478" s="50">
        <v>198408.03</v>
      </c>
      <c r="R478" s="65">
        <v>0</v>
      </c>
      <c r="S478" s="65">
        <v>0</v>
      </c>
      <c r="T478" s="65">
        <v>0</v>
      </c>
      <c r="U478" s="65">
        <v>0</v>
      </c>
      <c r="V478" s="65">
        <v>0</v>
      </c>
      <c r="W478" s="65">
        <v>0</v>
      </c>
      <c r="X478" s="65">
        <v>0</v>
      </c>
      <c r="Y478" s="65">
        <v>0</v>
      </c>
      <c r="Z478" s="65">
        <v>198408.03</v>
      </c>
      <c r="AA478" s="51">
        <v>0</v>
      </c>
      <c r="AB478" s="102">
        <v>0</v>
      </c>
      <c r="AC478" s="81">
        <f t="shared" si="24"/>
        <v>0</v>
      </c>
      <c r="AD478" s="82">
        <f t="shared" si="25"/>
        <v>0</v>
      </c>
      <c r="AE478" s="218">
        <v>0</v>
      </c>
      <c r="AF478">
        <v>0</v>
      </c>
      <c r="AH478" t="str">
        <f t="shared" si="23"/>
        <v>Singhia BMC</v>
      </c>
      <c r="AJ478" s="72">
        <v>0</v>
      </c>
      <c r="AK478" s="72"/>
      <c r="AL478" s="72"/>
      <c r="AM478" s="72"/>
    </row>
    <row r="479" spans="1:39" x14ac:dyDescent="0.25">
      <c r="A479" s="37" t="s">
        <v>62</v>
      </c>
      <c r="B479" s="66" t="s">
        <v>1596</v>
      </c>
      <c r="C479" s="47">
        <v>1012</v>
      </c>
      <c r="D479" s="47" t="s">
        <v>306</v>
      </c>
      <c r="E479" s="41">
        <v>10120089</v>
      </c>
      <c r="F479" s="46" t="s">
        <v>493</v>
      </c>
      <c r="G479" s="39" t="s">
        <v>92</v>
      </c>
      <c r="H479" s="48" t="s">
        <v>93</v>
      </c>
      <c r="I479" s="52">
        <v>734.99</v>
      </c>
      <c r="J479" s="49">
        <v>29144.36</v>
      </c>
      <c r="K479" s="65">
        <v>679.5100000000001</v>
      </c>
      <c r="L479" s="65">
        <v>28498.690000000002</v>
      </c>
      <c r="M479" s="65">
        <v>16.2</v>
      </c>
      <c r="N479" s="65">
        <v>645.42000000000007</v>
      </c>
      <c r="O479" s="65">
        <v>695.71000000000015</v>
      </c>
      <c r="P479" s="65">
        <v>29144.11</v>
      </c>
      <c r="Q479" s="50">
        <v>29144.11</v>
      </c>
      <c r="R479" s="65">
        <v>0</v>
      </c>
      <c r="S479" s="65">
        <v>58.900000000000006</v>
      </c>
      <c r="T479" s="65">
        <v>0</v>
      </c>
      <c r="U479" s="65">
        <v>2800</v>
      </c>
      <c r="V479" s="65">
        <v>0</v>
      </c>
      <c r="W479" s="65">
        <v>0</v>
      </c>
      <c r="X479" s="65">
        <v>25699</v>
      </c>
      <c r="Y479" s="65">
        <v>584</v>
      </c>
      <c r="Z479" s="65">
        <v>0</v>
      </c>
      <c r="AA479" s="51">
        <v>2</v>
      </c>
      <c r="AB479" s="102">
        <v>0</v>
      </c>
      <c r="AC479" s="81">
        <f t="shared" si="24"/>
        <v>0</v>
      </c>
      <c r="AD479" s="82">
        <f t="shared" si="25"/>
        <v>0</v>
      </c>
      <c r="AE479" s="218">
        <v>8.5779890174291003E-6</v>
      </c>
      <c r="AF479">
        <v>12</v>
      </c>
      <c r="AH479" t="str">
        <f t="shared" si="23"/>
        <v>DalsinghSarai</v>
      </c>
      <c r="AJ479" s="72">
        <v>0</v>
      </c>
      <c r="AK479" s="72"/>
      <c r="AL479" s="72"/>
      <c r="AM479" s="72"/>
    </row>
    <row r="480" spans="1:39" x14ac:dyDescent="0.25">
      <c r="A480" s="37" t="s">
        <v>62</v>
      </c>
      <c r="B480" s="66" t="s">
        <v>1596</v>
      </c>
      <c r="C480" s="47">
        <v>1012</v>
      </c>
      <c r="D480" s="47" t="s">
        <v>306</v>
      </c>
      <c r="E480" s="41">
        <v>10120091</v>
      </c>
      <c r="F480" s="46" t="s">
        <v>499</v>
      </c>
      <c r="G480" s="39" t="s">
        <v>92</v>
      </c>
      <c r="H480" s="48" t="s">
        <v>93</v>
      </c>
      <c r="I480" s="52">
        <v>416.71000000000004</v>
      </c>
      <c r="J480" s="49">
        <v>16141.160000000002</v>
      </c>
      <c r="K480" s="65">
        <v>114.43</v>
      </c>
      <c r="L480" s="65">
        <v>4691.32</v>
      </c>
      <c r="M480" s="65">
        <v>299.51</v>
      </c>
      <c r="N480" s="65">
        <v>11449.509999999998</v>
      </c>
      <c r="O480" s="65">
        <v>413.94</v>
      </c>
      <c r="P480" s="65">
        <v>16140.829999999998</v>
      </c>
      <c r="Q480" s="50">
        <v>16140.829999999998</v>
      </c>
      <c r="R480" s="65">
        <v>0</v>
      </c>
      <c r="S480" s="65">
        <v>349.06</v>
      </c>
      <c r="T480" s="65">
        <v>0</v>
      </c>
      <c r="U480" s="65">
        <v>0</v>
      </c>
      <c r="V480" s="65">
        <v>0</v>
      </c>
      <c r="W480" s="65">
        <v>0</v>
      </c>
      <c r="X480" s="65">
        <v>4691</v>
      </c>
      <c r="Y480" s="65">
        <v>11101</v>
      </c>
      <c r="Z480" s="65">
        <v>0</v>
      </c>
      <c r="AA480" s="51">
        <v>0</v>
      </c>
      <c r="AB480" s="102">
        <v>0</v>
      </c>
      <c r="AC480" s="81">
        <f t="shared" si="24"/>
        <v>219.46337819586759</v>
      </c>
      <c r="AD480" s="82">
        <f t="shared" si="25"/>
        <v>59.530000000000008</v>
      </c>
      <c r="AE480" s="218">
        <v>2.0444627276079613E-5</v>
      </c>
      <c r="AF480">
        <v>12</v>
      </c>
      <c r="AH480" t="str">
        <f t="shared" si="23"/>
        <v>DalsinghSarai</v>
      </c>
      <c r="AJ480" s="72">
        <v>0</v>
      </c>
      <c r="AK480" s="72"/>
      <c r="AL480" s="72"/>
      <c r="AM480" s="72"/>
    </row>
    <row r="481" spans="1:39" x14ac:dyDescent="0.25">
      <c r="A481" s="37" t="s">
        <v>62</v>
      </c>
      <c r="B481" s="66" t="s">
        <v>1596</v>
      </c>
      <c r="C481" s="47">
        <v>1012</v>
      </c>
      <c r="D481" s="47" t="s">
        <v>306</v>
      </c>
      <c r="E481" s="41">
        <v>10120094</v>
      </c>
      <c r="F481" s="46" t="s">
        <v>506</v>
      </c>
      <c r="G481" s="39" t="s">
        <v>92</v>
      </c>
      <c r="H481" s="48" t="s">
        <v>93</v>
      </c>
      <c r="I481" s="52">
        <v>1127.04</v>
      </c>
      <c r="J481" s="49">
        <v>51152.67</v>
      </c>
      <c r="K481" s="65">
        <v>160.07999999999998</v>
      </c>
      <c r="L481" s="65">
        <v>6834.4500000000007</v>
      </c>
      <c r="M481" s="65">
        <v>999.92</v>
      </c>
      <c r="N481" s="65">
        <v>43898.29</v>
      </c>
      <c r="O481" s="65">
        <v>1160</v>
      </c>
      <c r="P481" s="65">
        <v>50732.740000000005</v>
      </c>
      <c r="Q481" s="50">
        <v>50732.740000000005</v>
      </c>
      <c r="R481" s="65">
        <v>0</v>
      </c>
      <c r="S481" s="65">
        <v>0</v>
      </c>
      <c r="T481" s="65">
        <v>0</v>
      </c>
      <c r="U481" s="65">
        <v>0</v>
      </c>
      <c r="V481" s="65">
        <v>0</v>
      </c>
      <c r="W481" s="65">
        <v>0</v>
      </c>
      <c r="X481" s="65">
        <v>6835</v>
      </c>
      <c r="Y481" s="65">
        <v>43897</v>
      </c>
      <c r="Z481" s="65">
        <v>0</v>
      </c>
      <c r="AA481" s="51">
        <v>421</v>
      </c>
      <c r="AB481" s="102">
        <v>0</v>
      </c>
      <c r="AC481" s="81">
        <f t="shared" si="24"/>
        <v>0</v>
      </c>
      <c r="AD481" s="82">
        <f t="shared" si="25"/>
        <v>0</v>
      </c>
      <c r="AE481" s="218">
        <v>8.2093466479851978E-3</v>
      </c>
      <c r="AF481">
        <v>24</v>
      </c>
      <c r="AH481" t="str">
        <f t="shared" si="23"/>
        <v>DalsinghSarai</v>
      </c>
      <c r="AJ481" s="72">
        <v>0</v>
      </c>
      <c r="AK481" s="72"/>
      <c r="AL481" s="72"/>
      <c r="AM481" s="72"/>
    </row>
    <row r="482" spans="1:39" x14ac:dyDescent="0.25">
      <c r="A482" s="37" t="s">
        <v>62</v>
      </c>
      <c r="B482" s="66" t="s">
        <v>1596</v>
      </c>
      <c r="C482" s="47">
        <v>1012</v>
      </c>
      <c r="D482" s="47" t="s">
        <v>306</v>
      </c>
      <c r="E482" s="41">
        <v>10120095</v>
      </c>
      <c r="F482" s="46" t="s">
        <v>523</v>
      </c>
      <c r="G482" s="39" t="s">
        <v>92</v>
      </c>
      <c r="H482" s="48" t="s">
        <v>93</v>
      </c>
      <c r="I482" s="52">
        <v>239.18</v>
      </c>
      <c r="J482" s="49">
        <v>9848.42</v>
      </c>
      <c r="K482" s="65">
        <v>63.5</v>
      </c>
      <c r="L482" s="65">
        <v>2771.7799999999997</v>
      </c>
      <c r="M482" s="65">
        <v>162</v>
      </c>
      <c r="N482" s="65">
        <v>7071.2999999999993</v>
      </c>
      <c r="O482" s="65">
        <v>225.5</v>
      </c>
      <c r="P482" s="65">
        <v>9843.0799999999981</v>
      </c>
      <c r="Q482" s="50">
        <v>9843.0799999999981</v>
      </c>
      <c r="R482" s="65">
        <v>0</v>
      </c>
      <c r="S482" s="65">
        <v>0</v>
      </c>
      <c r="T482" s="65">
        <v>0</v>
      </c>
      <c r="U482" s="65">
        <v>0</v>
      </c>
      <c r="V482" s="65">
        <v>500</v>
      </c>
      <c r="W482" s="65">
        <v>0</v>
      </c>
      <c r="X482" s="65">
        <v>2272</v>
      </c>
      <c r="Y482" s="65">
        <v>7071</v>
      </c>
      <c r="Z482" s="65">
        <v>0</v>
      </c>
      <c r="AA482" s="51">
        <v>5</v>
      </c>
      <c r="AB482" s="102">
        <v>0</v>
      </c>
      <c r="AC482" s="81">
        <f t="shared" si="24"/>
        <v>379.49234086462081</v>
      </c>
      <c r="AD482" s="82">
        <f t="shared" si="25"/>
        <v>34.168571428571433</v>
      </c>
      <c r="AE482" s="218">
        <v>5.4221895491885646E-4</v>
      </c>
      <c r="AF482">
        <v>3</v>
      </c>
      <c r="AH482" t="str">
        <f t="shared" si="23"/>
        <v>DalsinghSarai</v>
      </c>
      <c r="AJ482" s="72">
        <v>500</v>
      </c>
      <c r="AK482" s="72"/>
      <c r="AL482" s="72"/>
      <c r="AM482" s="72"/>
    </row>
    <row r="483" spans="1:39" x14ac:dyDescent="0.25">
      <c r="A483" s="37" t="s">
        <v>62</v>
      </c>
      <c r="B483" s="66" t="s">
        <v>1596</v>
      </c>
      <c r="C483" s="47">
        <v>1012</v>
      </c>
      <c r="D483" s="47" t="s">
        <v>306</v>
      </c>
      <c r="E483" s="41">
        <v>10120096</v>
      </c>
      <c r="F483" s="46" t="s">
        <v>507</v>
      </c>
      <c r="G483" s="39" t="s">
        <v>617</v>
      </c>
      <c r="H483" s="48" t="s">
        <v>98</v>
      </c>
      <c r="I483" s="52">
        <v>745.59999999999991</v>
      </c>
      <c r="J483" s="49">
        <v>30798.619999999995</v>
      </c>
      <c r="K483" s="65">
        <v>0</v>
      </c>
      <c r="L483" s="65">
        <v>0</v>
      </c>
      <c r="M483" s="65">
        <v>0</v>
      </c>
      <c r="N483" s="65">
        <v>0</v>
      </c>
      <c r="O483" s="65">
        <v>0</v>
      </c>
      <c r="P483" s="65">
        <v>0</v>
      </c>
      <c r="Q483" s="50">
        <v>30798.619999999995</v>
      </c>
      <c r="R483" s="65">
        <v>0</v>
      </c>
      <c r="S483" s="65">
        <v>0</v>
      </c>
      <c r="T483" s="65">
        <v>0</v>
      </c>
      <c r="U483" s="65">
        <v>26000</v>
      </c>
      <c r="V483" s="65">
        <v>0</v>
      </c>
      <c r="W483" s="65">
        <v>0</v>
      </c>
      <c r="X483" s="65">
        <v>0</v>
      </c>
      <c r="Y483" s="65">
        <v>0</v>
      </c>
      <c r="Z483" s="65">
        <v>4798.6199999999953</v>
      </c>
      <c r="AA483" s="51">
        <v>0</v>
      </c>
      <c r="AB483" s="102">
        <v>0</v>
      </c>
      <c r="AC483" s="81">
        <f t="shared" si="24"/>
        <v>0</v>
      </c>
      <c r="AD483" s="82">
        <f t="shared" si="25"/>
        <v>0</v>
      </c>
      <c r="AE483" s="218">
        <v>0</v>
      </c>
      <c r="AF483">
        <v>0</v>
      </c>
      <c r="AH483" t="str">
        <f t="shared" si="23"/>
        <v>DalsinghSarai</v>
      </c>
      <c r="AJ483" s="72">
        <v>0</v>
      </c>
      <c r="AK483" s="72"/>
      <c r="AL483" s="72"/>
      <c r="AM483" s="72"/>
    </row>
    <row r="484" spans="1:39" x14ac:dyDescent="0.25">
      <c r="A484" s="37" t="s">
        <v>62</v>
      </c>
      <c r="B484" s="66" t="s">
        <v>1596</v>
      </c>
      <c r="C484" s="47">
        <v>1012</v>
      </c>
      <c r="D484" s="47" t="s">
        <v>306</v>
      </c>
      <c r="E484" s="41">
        <v>10120099</v>
      </c>
      <c r="F484" s="46" t="s">
        <v>525</v>
      </c>
      <c r="G484" s="39" t="s">
        <v>617</v>
      </c>
      <c r="H484" s="48" t="s">
        <v>98</v>
      </c>
      <c r="I484" s="52">
        <v>7746</v>
      </c>
      <c r="J484" s="49">
        <v>310250.69999999995</v>
      </c>
      <c r="K484" s="65">
        <v>0</v>
      </c>
      <c r="L484" s="65">
        <v>0</v>
      </c>
      <c r="M484" s="65">
        <v>0</v>
      </c>
      <c r="N484" s="65">
        <v>0</v>
      </c>
      <c r="O484" s="65">
        <v>0</v>
      </c>
      <c r="P484" s="65">
        <v>0</v>
      </c>
      <c r="Q484" s="50">
        <v>310250.69999999995</v>
      </c>
      <c r="R484" s="65">
        <v>0</v>
      </c>
      <c r="S484" s="65">
        <v>0</v>
      </c>
      <c r="T484" s="65">
        <v>0</v>
      </c>
      <c r="U484" s="65">
        <v>0</v>
      </c>
      <c r="V484" s="65">
        <v>0</v>
      </c>
      <c r="W484" s="65">
        <v>0</v>
      </c>
      <c r="X484" s="65">
        <v>0</v>
      </c>
      <c r="Y484" s="65">
        <v>0</v>
      </c>
      <c r="Z484" s="65">
        <v>310250.69999999995</v>
      </c>
      <c r="AA484" s="51">
        <v>0</v>
      </c>
      <c r="AB484" s="102">
        <v>0</v>
      </c>
      <c r="AC484" s="81">
        <f t="shared" si="24"/>
        <v>0</v>
      </c>
      <c r="AD484" s="82">
        <f t="shared" si="25"/>
        <v>0</v>
      </c>
      <c r="AE484" s="218">
        <v>0</v>
      </c>
      <c r="AF484">
        <v>0</v>
      </c>
      <c r="AH484" t="str">
        <f t="shared" si="23"/>
        <v>DalsinghSarai</v>
      </c>
      <c r="AJ484" s="72">
        <v>0</v>
      </c>
      <c r="AK484" s="72"/>
      <c r="AL484" s="72"/>
      <c r="AM484" s="72"/>
    </row>
    <row r="485" spans="1:39" x14ac:dyDescent="0.25">
      <c r="A485" s="37" t="s">
        <v>62</v>
      </c>
      <c r="B485" s="66" t="s">
        <v>1596</v>
      </c>
      <c r="C485" s="47">
        <v>1012</v>
      </c>
      <c r="D485" s="47" t="s">
        <v>306</v>
      </c>
      <c r="E485" s="41">
        <v>10120103</v>
      </c>
      <c r="F485" s="46" t="s">
        <v>560</v>
      </c>
      <c r="G485" s="39" t="s">
        <v>617</v>
      </c>
      <c r="H485" s="48" t="s">
        <v>98</v>
      </c>
      <c r="I485" s="52">
        <v>728.95</v>
      </c>
      <c r="J485" s="49">
        <v>28774.75</v>
      </c>
      <c r="K485" s="65">
        <v>0</v>
      </c>
      <c r="L485" s="65">
        <v>0</v>
      </c>
      <c r="M485" s="65">
        <v>0</v>
      </c>
      <c r="N485" s="65">
        <v>0</v>
      </c>
      <c r="O485" s="65">
        <v>0</v>
      </c>
      <c r="P485" s="65">
        <v>0</v>
      </c>
      <c r="Q485" s="50">
        <v>28774.75</v>
      </c>
      <c r="R485" s="65">
        <v>0</v>
      </c>
      <c r="S485" s="65">
        <v>0</v>
      </c>
      <c r="T485" s="65">
        <v>0</v>
      </c>
      <c r="U485" s="65">
        <v>0</v>
      </c>
      <c r="V485" s="65">
        <v>0</v>
      </c>
      <c r="W485" s="65">
        <v>0</v>
      </c>
      <c r="X485" s="65">
        <v>0</v>
      </c>
      <c r="Y485" s="65">
        <v>0</v>
      </c>
      <c r="Z485" s="65">
        <v>28774.75</v>
      </c>
      <c r="AA485" s="51">
        <v>0</v>
      </c>
      <c r="AB485" s="102">
        <v>0</v>
      </c>
      <c r="AC485" s="81">
        <f t="shared" si="24"/>
        <v>0</v>
      </c>
      <c r="AD485" s="82">
        <f t="shared" si="25"/>
        <v>0</v>
      </c>
      <c r="AE485" s="218">
        <v>0</v>
      </c>
      <c r="AF485">
        <v>0</v>
      </c>
      <c r="AH485" t="str">
        <f t="shared" si="23"/>
        <v>DalsinghSarai</v>
      </c>
      <c r="AJ485" s="72">
        <v>0</v>
      </c>
      <c r="AK485" s="72"/>
      <c r="AL485" s="72"/>
      <c r="AM485" s="72"/>
    </row>
    <row r="486" spans="1:39" x14ac:dyDescent="0.25">
      <c r="A486" s="37" t="s">
        <v>62</v>
      </c>
      <c r="B486" s="66" t="s">
        <v>1596</v>
      </c>
      <c r="C486" s="47">
        <v>1012</v>
      </c>
      <c r="D486" s="47" t="s">
        <v>306</v>
      </c>
      <c r="E486" s="41">
        <v>10120104</v>
      </c>
      <c r="F486" s="46" t="s">
        <v>648</v>
      </c>
      <c r="G486" s="39" t="s">
        <v>92</v>
      </c>
      <c r="H486" s="48" t="s">
        <v>93</v>
      </c>
      <c r="I486" s="52">
        <v>1226.0699999999997</v>
      </c>
      <c r="J486" s="49">
        <v>48684.239999999991</v>
      </c>
      <c r="K486" s="65">
        <v>230.60000000000002</v>
      </c>
      <c r="L486" s="65">
        <v>9443.81</v>
      </c>
      <c r="M486" s="65">
        <v>973.83</v>
      </c>
      <c r="N486" s="65">
        <v>39240.140000000014</v>
      </c>
      <c r="O486" s="65">
        <v>1204.43</v>
      </c>
      <c r="P486" s="65">
        <v>48683.950000000012</v>
      </c>
      <c r="Q486" s="50">
        <v>48683.950000000012</v>
      </c>
      <c r="R486" s="65">
        <v>0</v>
      </c>
      <c r="S486" s="65">
        <v>0</v>
      </c>
      <c r="T486" s="65">
        <v>0</v>
      </c>
      <c r="U486" s="65">
        <v>1566</v>
      </c>
      <c r="V486" s="65">
        <v>0</v>
      </c>
      <c r="W486" s="65">
        <v>0</v>
      </c>
      <c r="X486" s="65">
        <v>7877</v>
      </c>
      <c r="Y486" s="65">
        <v>39241</v>
      </c>
      <c r="Z486" s="65">
        <v>0</v>
      </c>
      <c r="AA486" s="51">
        <v>0</v>
      </c>
      <c r="AB486" s="102">
        <v>0</v>
      </c>
      <c r="AC486" s="81">
        <f t="shared" si="24"/>
        <v>0</v>
      </c>
      <c r="AD486" s="82">
        <f t="shared" si="25"/>
        <v>0</v>
      </c>
      <c r="AE486" s="218">
        <v>5.9567531500757798E-6</v>
      </c>
      <c r="AF486">
        <v>18</v>
      </c>
      <c r="AH486" t="str">
        <f t="shared" si="23"/>
        <v>DalsinghSarai</v>
      </c>
      <c r="AJ486" s="72">
        <v>0</v>
      </c>
      <c r="AK486" s="72"/>
      <c r="AL486" s="72"/>
      <c r="AM486" s="72"/>
    </row>
    <row r="487" spans="1:39" x14ac:dyDescent="0.25">
      <c r="A487" s="37" t="s">
        <v>62</v>
      </c>
      <c r="B487" s="66" t="s">
        <v>1596</v>
      </c>
      <c r="C487" s="47">
        <v>1012</v>
      </c>
      <c r="D487" s="47" t="s">
        <v>306</v>
      </c>
      <c r="E487" s="41">
        <v>10120106</v>
      </c>
      <c r="F487" s="46" t="s">
        <v>641</v>
      </c>
      <c r="G487" s="39" t="s">
        <v>617</v>
      </c>
      <c r="H487" s="48" t="s">
        <v>98</v>
      </c>
      <c r="I487" s="52">
        <v>919.65000000000009</v>
      </c>
      <c r="J487" s="49">
        <v>36126.559999999998</v>
      </c>
      <c r="K487" s="65">
        <v>0</v>
      </c>
      <c r="L487" s="65">
        <v>0</v>
      </c>
      <c r="M487" s="65">
        <v>0</v>
      </c>
      <c r="N487" s="65">
        <v>0</v>
      </c>
      <c r="O487" s="65">
        <v>0</v>
      </c>
      <c r="P487" s="65">
        <v>0</v>
      </c>
      <c r="Q487" s="50">
        <v>36126.559999999998</v>
      </c>
      <c r="R487" s="65">
        <v>0</v>
      </c>
      <c r="S487" s="65">
        <v>0</v>
      </c>
      <c r="T487" s="65">
        <v>0</v>
      </c>
      <c r="U487" s="65">
        <v>0</v>
      </c>
      <c r="V487" s="65">
        <v>0</v>
      </c>
      <c r="W487" s="65">
        <v>0</v>
      </c>
      <c r="X487" s="65">
        <v>0</v>
      </c>
      <c r="Y487" s="65">
        <v>0</v>
      </c>
      <c r="Z487" s="65">
        <v>36126.559999999998</v>
      </c>
      <c r="AA487" s="51">
        <v>0</v>
      </c>
      <c r="AB487" s="102">
        <v>0</v>
      </c>
      <c r="AC487" s="81">
        <f t="shared" si="24"/>
        <v>0</v>
      </c>
      <c r="AD487" s="82">
        <f t="shared" si="25"/>
        <v>0</v>
      </c>
      <c r="AE487" s="218">
        <v>0</v>
      </c>
      <c r="AF487">
        <v>0</v>
      </c>
      <c r="AH487" t="str">
        <f t="shared" si="23"/>
        <v>DalsinghSarai</v>
      </c>
      <c r="AJ487" s="72">
        <v>0</v>
      </c>
      <c r="AK487" s="72"/>
      <c r="AL487" s="72"/>
      <c r="AM487" s="72"/>
    </row>
    <row r="488" spans="1:39" x14ac:dyDescent="0.25">
      <c r="A488" s="37" t="s">
        <v>62</v>
      </c>
      <c r="B488" s="66" t="s">
        <v>1596</v>
      </c>
      <c r="C488" s="47">
        <v>1012</v>
      </c>
      <c r="D488" s="47" t="s">
        <v>306</v>
      </c>
      <c r="E488" s="41">
        <v>10120107</v>
      </c>
      <c r="F488" s="46" t="s">
        <v>649</v>
      </c>
      <c r="G488" s="39" t="s">
        <v>92</v>
      </c>
      <c r="H488" s="48" t="s">
        <v>93</v>
      </c>
      <c r="I488" s="52">
        <v>773.52999999999975</v>
      </c>
      <c r="J488" s="49">
        <v>32003.51</v>
      </c>
      <c r="K488" s="65">
        <v>760.87999999999977</v>
      </c>
      <c r="L488" s="65">
        <v>31482.960000000003</v>
      </c>
      <c r="M488" s="65">
        <v>13.7</v>
      </c>
      <c r="N488" s="65">
        <v>511.64999999999992</v>
      </c>
      <c r="O488" s="65">
        <v>774.57999999999981</v>
      </c>
      <c r="P488" s="65">
        <v>31994.610000000004</v>
      </c>
      <c r="Q488" s="50">
        <v>31994.610000000004</v>
      </c>
      <c r="R488" s="65">
        <v>0</v>
      </c>
      <c r="S488" s="65">
        <v>0</v>
      </c>
      <c r="T488" s="65">
        <v>0</v>
      </c>
      <c r="U488" s="65">
        <v>0</v>
      </c>
      <c r="V488" s="65">
        <v>0</v>
      </c>
      <c r="W488" s="65">
        <v>0</v>
      </c>
      <c r="X488" s="65">
        <v>31483</v>
      </c>
      <c r="Y488" s="65">
        <v>512</v>
      </c>
      <c r="Z488" s="65">
        <v>0</v>
      </c>
      <c r="AA488" s="51">
        <v>9</v>
      </c>
      <c r="AB488" s="102">
        <v>0</v>
      </c>
      <c r="AC488" s="81">
        <f t="shared" si="24"/>
        <v>0</v>
      </c>
      <c r="AD488" s="82">
        <f t="shared" si="25"/>
        <v>0</v>
      </c>
      <c r="AE488" s="218">
        <v>2.780944965097322E-4</v>
      </c>
      <c r="AF488">
        <v>11</v>
      </c>
      <c r="AH488" t="str">
        <f t="shared" si="23"/>
        <v>DalsinghSarai</v>
      </c>
      <c r="AJ488" s="72">
        <v>0</v>
      </c>
      <c r="AK488" s="72"/>
      <c r="AL488" s="72"/>
      <c r="AM488" s="72"/>
    </row>
    <row r="489" spans="1:39" x14ac:dyDescent="0.25">
      <c r="A489" s="37" t="s">
        <v>62</v>
      </c>
      <c r="B489" s="66" t="s">
        <v>1596</v>
      </c>
      <c r="C489" s="47">
        <v>1012</v>
      </c>
      <c r="D489" s="47" t="s">
        <v>306</v>
      </c>
      <c r="E489" s="41">
        <v>10120108</v>
      </c>
      <c r="F489" s="46" t="s">
        <v>1099</v>
      </c>
      <c r="G489" s="39" t="s">
        <v>92</v>
      </c>
      <c r="H489" s="48" t="s">
        <v>93</v>
      </c>
      <c r="I489" s="52">
        <v>684.1</v>
      </c>
      <c r="J489" s="49">
        <v>27659.33</v>
      </c>
      <c r="K489" s="65">
        <v>442.80000000000007</v>
      </c>
      <c r="L489" s="65">
        <v>18840.34</v>
      </c>
      <c r="M489" s="65">
        <v>204.3</v>
      </c>
      <c r="N489" s="65">
        <v>8813.3799999999992</v>
      </c>
      <c r="O489" s="65">
        <v>647.10000000000014</v>
      </c>
      <c r="P489" s="65">
        <v>27653.72</v>
      </c>
      <c r="Q489" s="50">
        <v>27653.72</v>
      </c>
      <c r="R489" s="65">
        <v>0</v>
      </c>
      <c r="S489" s="65">
        <v>0</v>
      </c>
      <c r="T489" s="65">
        <v>0</v>
      </c>
      <c r="U489" s="65">
        <v>0</v>
      </c>
      <c r="V489" s="65">
        <v>0</v>
      </c>
      <c r="W489" s="65">
        <v>0</v>
      </c>
      <c r="X489" s="65">
        <v>18840</v>
      </c>
      <c r="Y489" s="65">
        <v>8814</v>
      </c>
      <c r="Z489" s="65">
        <v>0</v>
      </c>
      <c r="AA489" s="51">
        <v>5</v>
      </c>
      <c r="AB489" s="102">
        <v>0</v>
      </c>
      <c r="AC489" s="81">
        <f t="shared" si="24"/>
        <v>12.857282473322618</v>
      </c>
      <c r="AD489" s="82">
        <f t="shared" si="25"/>
        <v>97.728571428571428</v>
      </c>
      <c r="AE489" s="218">
        <v>2.0282486958290682E-4</v>
      </c>
      <c r="AF489">
        <v>14</v>
      </c>
      <c r="AH489" t="str">
        <f t="shared" si="23"/>
        <v>DalsinghSarai</v>
      </c>
      <c r="AJ489" s="72">
        <v>0</v>
      </c>
      <c r="AK489" s="72"/>
      <c r="AL489" s="72"/>
      <c r="AM489" s="72"/>
    </row>
    <row r="490" spans="1:39" x14ac:dyDescent="0.25">
      <c r="A490" s="37" t="s">
        <v>62</v>
      </c>
      <c r="B490" s="66" t="s">
        <v>1596</v>
      </c>
      <c r="C490" s="47">
        <v>1012</v>
      </c>
      <c r="D490" s="47" t="s">
        <v>306</v>
      </c>
      <c r="E490" s="109">
        <v>10120109</v>
      </c>
      <c r="F490" s="46" t="s">
        <v>1428</v>
      </c>
      <c r="G490" s="110" t="s">
        <v>617</v>
      </c>
      <c r="H490" s="48" t="s">
        <v>98</v>
      </c>
      <c r="I490" s="111">
        <v>585.41</v>
      </c>
      <c r="J490" s="49">
        <v>23354.769999999997</v>
      </c>
      <c r="K490" s="65">
        <v>0</v>
      </c>
      <c r="L490" s="65">
        <v>0</v>
      </c>
      <c r="M490" s="65">
        <v>0</v>
      </c>
      <c r="N490" s="65">
        <v>0</v>
      </c>
      <c r="O490" s="65">
        <v>0</v>
      </c>
      <c r="P490" s="65">
        <v>0</v>
      </c>
      <c r="Q490" s="50">
        <v>23354.769999999997</v>
      </c>
      <c r="R490" s="65">
        <v>0</v>
      </c>
      <c r="S490" s="65">
        <v>0</v>
      </c>
      <c r="T490" s="65">
        <v>0</v>
      </c>
      <c r="U490" s="65">
        <v>0</v>
      </c>
      <c r="V490" s="65">
        <v>0</v>
      </c>
      <c r="W490" s="65">
        <v>0</v>
      </c>
      <c r="X490" s="65">
        <v>0</v>
      </c>
      <c r="Y490" s="65">
        <v>0</v>
      </c>
      <c r="Z490" s="65">
        <v>23354.769999999997</v>
      </c>
      <c r="AA490" s="51">
        <v>0</v>
      </c>
      <c r="AB490" s="102">
        <v>0</v>
      </c>
      <c r="AC490" s="81">
        <f t="shared" si="24"/>
        <v>91.430726987923009</v>
      </c>
      <c r="AD490" s="82">
        <f t="shared" si="25"/>
        <v>83.63</v>
      </c>
      <c r="AE490" s="218">
        <v>0</v>
      </c>
      <c r="AF490">
        <v>0</v>
      </c>
      <c r="AH490" t="str">
        <f t="shared" si="23"/>
        <v>DalsinghSarai</v>
      </c>
      <c r="AJ490" s="72">
        <v>0</v>
      </c>
      <c r="AK490" s="72"/>
      <c r="AL490" s="72"/>
      <c r="AM490" s="72"/>
    </row>
    <row r="491" spans="1:39" x14ac:dyDescent="0.25">
      <c r="A491" s="37" t="s">
        <v>62</v>
      </c>
      <c r="B491" s="66" t="s">
        <v>1596</v>
      </c>
      <c r="C491" s="47">
        <v>1012</v>
      </c>
      <c r="D491" s="47" t="s">
        <v>306</v>
      </c>
      <c r="E491" s="41">
        <v>10120111</v>
      </c>
      <c r="F491" s="46" t="s">
        <v>1152</v>
      </c>
      <c r="G491" s="39" t="s">
        <v>92</v>
      </c>
      <c r="H491" s="48" t="s">
        <v>93</v>
      </c>
      <c r="I491" s="52">
        <v>969.71</v>
      </c>
      <c r="J491" s="49">
        <v>38686.560000000005</v>
      </c>
      <c r="K491" s="65">
        <v>193.29</v>
      </c>
      <c r="L491" s="65">
        <v>7853.8700000000008</v>
      </c>
      <c r="M491" s="65">
        <v>770.76</v>
      </c>
      <c r="N491" s="65">
        <v>30832.43</v>
      </c>
      <c r="O491" s="65">
        <v>964.05</v>
      </c>
      <c r="P491" s="65">
        <v>38686.300000000003</v>
      </c>
      <c r="Q491" s="50">
        <v>38686.300000000003</v>
      </c>
      <c r="R491" s="65">
        <v>0</v>
      </c>
      <c r="S491" s="65">
        <v>0</v>
      </c>
      <c r="T491" s="65">
        <v>0</v>
      </c>
      <c r="U491" s="65">
        <v>0</v>
      </c>
      <c r="V491" s="65">
        <v>0</v>
      </c>
      <c r="W491" s="65">
        <v>0</v>
      </c>
      <c r="X491" s="65">
        <v>7854</v>
      </c>
      <c r="Y491" s="65">
        <v>30832</v>
      </c>
      <c r="Z491" s="65">
        <v>0</v>
      </c>
      <c r="AA491" s="51">
        <v>1</v>
      </c>
      <c r="AB491" s="102">
        <v>0</v>
      </c>
      <c r="AC491" s="81">
        <f t="shared" si="24"/>
        <v>0</v>
      </c>
      <c r="AD491" s="82">
        <f t="shared" si="25"/>
        <v>0</v>
      </c>
      <c r="AE491" s="218">
        <v>6.7206802569687569E-6</v>
      </c>
      <c r="AF491">
        <v>11</v>
      </c>
      <c r="AH491" t="str">
        <f t="shared" si="23"/>
        <v>DalsinghSarai</v>
      </c>
      <c r="AJ491" s="72">
        <v>0</v>
      </c>
      <c r="AK491" s="72"/>
      <c r="AL491" s="72"/>
      <c r="AM491" s="72"/>
    </row>
    <row r="492" spans="1:39" x14ac:dyDescent="0.25">
      <c r="A492" s="37" t="s">
        <v>62</v>
      </c>
      <c r="B492" s="66" t="s">
        <v>1596</v>
      </c>
      <c r="C492" s="47">
        <v>1012</v>
      </c>
      <c r="D492" s="47" t="s">
        <v>306</v>
      </c>
      <c r="E492" s="47">
        <v>10120113</v>
      </c>
      <c r="F492" s="46" t="s">
        <v>1227</v>
      </c>
      <c r="G492" s="48" t="s">
        <v>92</v>
      </c>
      <c r="H492" s="48" t="s">
        <v>93</v>
      </c>
      <c r="I492" s="49">
        <v>102.17999999999999</v>
      </c>
      <c r="J492" s="49">
        <v>3916.5200000000004</v>
      </c>
      <c r="K492" s="65">
        <v>102.57000000000001</v>
      </c>
      <c r="L492" s="65">
        <v>3916.36</v>
      </c>
      <c r="M492" s="65">
        <v>0</v>
      </c>
      <c r="N492" s="65">
        <v>0</v>
      </c>
      <c r="O492" s="65">
        <v>102.57000000000001</v>
      </c>
      <c r="P492" s="65">
        <v>3916.36</v>
      </c>
      <c r="Q492" s="50">
        <v>3916.36</v>
      </c>
      <c r="R492" s="65">
        <v>0</v>
      </c>
      <c r="S492" s="65">
        <v>0</v>
      </c>
      <c r="T492" s="65">
        <v>0</v>
      </c>
      <c r="U492" s="65">
        <v>0</v>
      </c>
      <c r="V492" s="65">
        <v>500</v>
      </c>
      <c r="W492" s="65">
        <v>0</v>
      </c>
      <c r="X492" s="65">
        <v>3416</v>
      </c>
      <c r="Y492" s="65">
        <v>0</v>
      </c>
      <c r="Z492" s="65">
        <v>0</v>
      </c>
      <c r="AA492" s="51">
        <v>1</v>
      </c>
      <c r="AB492" s="102" t="s">
        <v>66</v>
      </c>
      <c r="AC492" s="81">
        <f t="shared" si="24"/>
        <v>458.28420168330405</v>
      </c>
      <c r="AD492" s="82">
        <f t="shared" si="25"/>
        <v>14.597142857142856</v>
      </c>
      <c r="AE492" s="218">
        <v>4.0852593629116974E-5</v>
      </c>
      <c r="AF492">
        <v>1</v>
      </c>
      <c r="AH492" t="str">
        <f t="shared" si="23"/>
        <v>DalsinghSarai</v>
      </c>
      <c r="AJ492" s="72">
        <v>500</v>
      </c>
      <c r="AK492" s="72"/>
      <c r="AL492" s="72"/>
      <c r="AM492" s="72"/>
    </row>
    <row r="493" spans="1:39" x14ac:dyDescent="0.25">
      <c r="A493" s="37" t="s">
        <v>62</v>
      </c>
      <c r="B493" s="66" t="s">
        <v>1596</v>
      </c>
      <c r="C493" s="47">
        <v>1012</v>
      </c>
      <c r="D493" s="47" t="s">
        <v>306</v>
      </c>
      <c r="E493" s="41">
        <v>10120114</v>
      </c>
      <c r="F493" s="46" t="s">
        <v>1187</v>
      </c>
      <c r="G493" s="39" t="s">
        <v>92</v>
      </c>
      <c r="H493" s="48" t="s">
        <v>93</v>
      </c>
      <c r="I493" s="52">
        <v>220.54</v>
      </c>
      <c r="J493" s="49">
        <v>9352.3100000000013</v>
      </c>
      <c r="K493" s="65">
        <v>142.69999999999999</v>
      </c>
      <c r="L493" s="65">
        <v>5925.1999999999989</v>
      </c>
      <c r="M493" s="65">
        <v>89.699999999999989</v>
      </c>
      <c r="N493" s="65">
        <v>3411.91</v>
      </c>
      <c r="O493" s="65">
        <v>232.39999999999998</v>
      </c>
      <c r="P493" s="65">
        <v>9337.1099999999988</v>
      </c>
      <c r="Q493" s="50">
        <v>9337.1099999999988</v>
      </c>
      <c r="R493" s="65">
        <v>0</v>
      </c>
      <c r="S493" s="65">
        <v>0</v>
      </c>
      <c r="T493" s="65">
        <v>0</v>
      </c>
      <c r="U493" s="65">
        <v>0</v>
      </c>
      <c r="V493" s="65">
        <v>500</v>
      </c>
      <c r="W493" s="65">
        <v>0</v>
      </c>
      <c r="X493" s="65">
        <v>5425</v>
      </c>
      <c r="Y493" s="65">
        <v>3412</v>
      </c>
      <c r="Z493" s="65">
        <v>0</v>
      </c>
      <c r="AA493" s="51">
        <v>15</v>
      </c>
      <c r="AB493" s="102">
        <v>0</v>
      </c>
      <c r="AC493" s="81">
        <f t="shared" si="24"/>
        <v>406.64356149451356</v>
      </c>
      <c r="AD493" s="82">
        <f t="shared" si="25"/>
        <v>31.505714285714284</v>
      </c>
      <c r="AE493" s="218">
        <v>1.6252669126667683E-3</v>
      </c>
      <c r="AF493">
        <v>5</v>
      </c>
      <c r="AH493" t="str">
        <f t="shared" si="23"/>
        <v>DalsinghSarai</v>
      </c>
      <c r="AJ493" s="72">
        <v>500</v>
      </c>
      <c r="AK493" s="72"/>
      <c r="AL493" s="72"/>
      <c r="AM493" s="72"/>
    </row>
    <row r="494" spans="1:39" x14ac:dyDescent="0.25">
      <c r="A494" s="37" t="s">
        <v>62</v>
      </c>
      <c r="B494" s="66" t="s">
        <v>1596</v>
      </c>
      <c r="C494" s="47">
        <v>1012</v>
      </c>
      <c r="D494" s="47" t="s">
        <v>306</v>
      </c>
      <c r="E494" s="41">
        <v>10120115</v>
      </c>
      <c r="F494" s="46" t="s">
        <v>1192</v>
      </c>
      <c r="G494" s="39" t="s">
        <v>617</v>
      </c>
      <c r="H494" s="48" t="s">
        <v>98</v>
      </c>
      <c r="I494" s="52">
        <v>2000.5900000000001</v>
      </c>
      <c r="J494" s="49">
        <v>79124.149999999994</v>
      </c>
      <c r="K494" s="65">
        <v>0</v>
      </c>
      <c r="L494" s="65">
        <v>0</v>
      </c>
      <c r="M494" s="65">
        <v>0</v>
      </c>
      <c r="N494" s="65">
        <v>0</v>
      </c>
      <c r="O494" s="65">
        <v>0</v>
      </c>
      <c r="P494" s="65">
        <v>0</v>
      </c>
      <c r="Q494" s="50">
        <v>79124.149999999994</v>
      </c>
      <c r="R494" s="65">
        <v>0</v>
      </c>
      <c r="S494" s="65">
        <v>0</v>
      </c>
      <c r="T494" s="65">
        <v>0</v>
      </c>
      <c r="U494" s="65">
        <v>0</v>
      </c>
      <c r="V494" s="65">
        <v>0</v>
      </c>
      <c r="W494" s="65">
        <v>0</v>
      </c>
      <c r="X494" s="65">
        <v>0</v>
      </c>
      <c r="Y494" s="65">
        <v>0</v>
      </c>
      <c r="Z494" s="65">
        <v>79124.149999999994</v>
      </c>
      <c r="AA494" s="51">
        <v>0</v>
      </c>
      <c r="AB494" s="102">
        <v>0</v>
      </c>
      <c r="AC494" s="81">
        <f t="shared" si="24"/>
        <v>0</v>
      </c>
      <c r="AD494" s="82">
        <f t="shared" si="25"/>
        <v>0</v>
      </c>
      <c r="AE494" s="218">
        <v>0</v>
      </c>
      <c r="AF494">
        <v>0</v>
      </c>
      <c r="AH494" t="str">
        <f t="shared" si="23"/>
        <v>DalsinghSarai</v>
      </c>
      <c r="AJ494" s="72">
        <v>0</v>
      </c>
      <c r="AK494" s="72"/>
      <c r="AL494" s="72"/>
      <c r="AM494" s="72"/>
    </row>
    <row r="495" spans="1:39" x14ac:dyDescent="0.25">
      <c r="A495" s="37" t="s">
        <v>62</v>
      </c>
      <c r="B495" s="66" t="s">
        <v>1596</v>
      </c>
      <c r="C495" s="47">
        <v>1012</v>
      </c>
      <c r="D495" s="47" t="s">
        <v>306</v>
      </c>
      <c r="E495" s="41">
        <v>10120116</v>
      </c>
      <c r="F495" s="46" t="s">
        <v>1234</v>
      </c>
      <c r="G495" s="39" t="s">
        <v>92</v>
      </c>
      <c r="H495" s="48" t="s">
        <v>93</v>
      </c>
      <c r="I495" s="52">
        <v>1301.97</v>
      </c>
      <c r="J495" s="49">
        <v>56314.409999999989</v>
      </c>
      <c r="K495" s="65">
        <v>307</v>
      </c>
      <c r="L495" s="65">
        <v>11798.93</v>
      </c>
      <c r="M495" s="65">
        <v>1027.8</v>
      </c>
      <c r="N495" s="65">
        <v>44451.77</v>
      </c>
      <c r="O495" s="65">
        <v>1334.8</v>
      </c>
      <c r="P495" s="65">
        <v>56250.7</v>
      </c>
      <c r="Q495" s="50">
        <v>56250.7</v>
      </c>
      <c r="R495" s="65">
        <v>0</v>
      </c>
      <c r="S495" s="65">
        <v>865.33999999999992</v>
      </c>
      <c r="T495" s="65">
        <v>0</v>
      </c>
      <c r="U495" s="65">
        <v>8822.25</v>
      </c>
      <c r="V495" s="65">
        <v>0</v>
      </c>
      <c r="W495" s="65">
        <v>0</v>
      </c>
      <c r="X495" s="65">
        <v>9188</v>
      </c>
      <c r="Y495" s="65">
        <v>37374</v>
      </c>
      <c r="Z495" s="65">
        <v>0</v>
      </c>
      <c r="AA495" s="51">
        <v>65</v>
      </c>
      <c r="AB495" s="102">
        <v>0</v>
      </c>
      <c r="AC495" s="81">
        <f t="shared" si="24"/>
        <v>0</v>
      </c>
      <c r="AD495" s="82">
        <f t="shared" si="25"/>
        <v>0</v>
      </c>
      <c r="AE495" s="218">
        <v>1.1313267776398947E-3</v>
      </c>
      <c r="AF495">
        <v>26</v>
      </c>
      <c r="AH495" t="str">
        <f t="shared" si="23"/>
        <v>DalsinghSarai</v>
      </c>
      <c r="AJ495" s="72">
        <v>0</v>
      </c>
      <c r="AK495" s="72"/>
      <c r="AL495" s="72"/>
      <c r="AM495" s="72"/>
    </row>
    <row r="496" spans="1:39" x14ac:dyDescent="0.25">
      <c r="A496" s="37" t="s">
        <v>62</v>
      </c>
      <c r="B496" s="66" t="s">
        <v>1596</v>
      </c>
      <c r="C496" s="47">
        <v>1012</v>
      </c>
      <c r="D496" s="47" t="s">
        <v>306</v>
      </c>
      <c r="E496" s="41">
        <v>10120119</v>
      </c>
      <c r="F496" s="46" t="s">
        <v>1271</v>
      </c>
      <c r="G496" s="39" t="s">
        <v>617</v>
      </c>
      <c r="H496" s="48" t="s">
        <v>98</v>
      </c>
      <c r="I496" s="52">
        <v>1200</v>
      </c>
      <c r="J496" s="49">
        <v>47868</v>
      </c>
      <c r="K496" s="65">
        <v>0</v>
      </c>
      <c r="L496" s="65">
        <v>0</v>
      </c>
      <c r="M496" s="65">
        <v>0</v>
      </c>
      <c r="N496" s="65">
        <v>0</v>
      </c>
      <c r="O496" s="65">
        <v>0</v>
      </c>
      <c r="P496" s="65">
        <v>0</v>
      </c>
      <c r="Q496" s="50">
        <v>47868</v>
      </c>
      <c r="R496" s="65">
        <v>0</v>
      </c>
      <c r="S496" s="65">
        <v>0</v>
      </c>
      <c r="T496" s="65">
        <v>0</v>
      </c>
      <c r="U496" s="65">
        <v>0</v>
      </c>
      <c r="V496" s="65">
        <v>0</v>
      </c>
      <c r="W496" s="65">
        <v>0</v>
      </c>
      <c r="X496" s="65">
        <v>0</v>
      </c>
      <c r="Y496" s="65">
        <v>0</v>
      </c>
      <c r="Z496" s="65">
        <v>47868</v>
      </c>
      <c r="AA496" s="51">
        <v>0</v>
      </c>
      <c r="AB496" s="102">
        <v>0</v>
      </c>
      <c r="AC496" s="81">
        <f t="shared" si="24"/>
        <v>0</v>
      </c>
      <c r="AD496" s="82">
        <f t="shared" si="25"/>
        <v>0</v>
      </c>
      <c r="AE496" s="218">
        <v>0</v>
      </c>
      <c r="AF496">
        <v>0</v>
      </c>
      <c r="AH496" t="str">
        <f t="shared" si="23"/>
        <v>DalsinghSarai</v>
      </c>
      <c r="AJ496" s="72">
        <v>0</v>
      </c>
      <c r="AK496" s="72"/>
      <c r="AL496" s="72"/>
      <c r="AM496" s="72"/>
    </row>
    <row r="497" spans="1:39" x14ac:dyDescent="0.25">
      <c r="A497" s="37" t="s">
        <v>62</v>
      </c>
      <c r="B497" s="66" t="s">
        <v>1596</v>
      </c>
      <c r="C497" s="47">
        <v>1012</v>
      </c>
      <c r="D497" s="47" t="s">
        <v>306</v>
      </c>
      <c r="E497" s="41">
        <v>10120120</v>
      </c>
      <c r="F497" s="46" t="s">
        <v>1364</v>
      </c>
      <c r="G497" s="39" t="s">
        <v>92</v>
      </c>
      <c r="H497" s="48" t="s">
        <v>93</v>
      </c>
      <c r="I497" s="52">
        <v>432.28</v>
      </c>
      <c r="J497" s="49">
        <v>17819.77</v>
      </c>
      <c r="K497" s="65">
        <v>172.01999999999998</v>
      </c>
      <c r="L497" s="65">
        <v>7060.1500000000005</v>
      </c>
      <c r="M497" s="65">
        <v>297.27999999999997</v>
      </c>
      <c r="N497" s="65">
        <v>12119.119999999999</v>
      </c>
      <c r="O497" s="65">
        <v>469.29999999999995</v>
      </c>
      <c r="P497" s="65">
        <v>19179.27</v>
      </c>
      <c r="Q497" s="50">
        <v>17819.77</v>
      </c>
      <c r="R497" s="65">
        <v>0</v>
      </c>
      <c r="S497" s="65">
        <v>0</v>
      </c>
      <c r="T497" s="65">
        <v>1359.5</v>
      </c>
      <c r="U497" s="65">
        <v>1550</v>
      </c>
      <c r="V497" s="65">
        <v>0</v>
      </c>
      <c r="W497" s="65">
        <v>0</v>
      </c>
      <c r="X497" s="65">
        <v>5494</v>
      </c>
      <c r="Y497" s="65">
        <v>10776</v>
      </c>
      <c r="Z497" s="65">
        <v>0</v>
      </c>
      <c r="AA497" s="51">
        <v>0</v>
      </c>
      <c r="AB497" s="102" t="s">
        <v>68</v>
      </c>
      <c r="AC497" s="81">
        <f t="shared" si="24"/>
        <v>220.72308801702607</v>
      </c>
      <c r="AD497" s="82">
        <f t="shared" si="25"/>
        <v>61.754285714285707</v>
      </c>
      <c r="AE497" s="218">
        <v>-7.6291669308863136E-2</v>
      </c>
      <c r="AF497">
        <v>10</v>
      </c>
      <c r="AH497" t="str">
        <f t="shared" si="23"/>
        <v>DalsinghSarai</v>
      </c>
      <c r="AJ497" s="72">
        <v>0</v>
      </c>
      <c r="AK497" s="72"/>
      <c r="AL497" s="72"/>
      <c r="AM497" s="72"/>
    </row>
    <row r="498" spans="1:39" x14ac:dyDescent="0.25">
      <c r="A498" s="37" t="s">
        <v>62</v>
      </c>
      <c r="B498" s="66" t="s">
        <v>1596</v>
      </c>
      <c r="C498" s="47">
        <v>1012</v>
      </c>
      <c r="D498" s="47" t="s">
        <v>306</v>
      </c>
      <c r="E498" s="41">
        <v>10120122</v>
      </c>
      <c r="F498" s="46" t="s">
        <v>1314</v>
      </c>
      <c r="G498" s="39" t="s">
        <v>92</v>
      </c>
      <c r="H498" s="48" t="s">
        <v>93</v>
      </c>
      <c r="I498" s="52">
        <v>1140.26</v>
      </c>
      <c r="J498" s="49">
        <v>48826.930000000008</v>
      </c>
      <c r="K498" s="65">
        <v>673.45999999999992</v>
      </c>
      <c r="L498" s="65">
        <v>30638.519999999997</v>
      </c>
      <c r="M498" s="65">
        <v>424.59</v>
      </c>
      <c r="N498" s="65">
        <v>18280.409999999996</v>
      </c>
      <c r="O498" s="65">
        <v>1098.05</v>
      </c>
      <c r="P498" s="65">
        <v>48918.929999999993</v>
      </c>
      <c r="Q498" s="50">
        <v>48826.930000000008</v>
      </c>
      <c r="R498" s="65">
        <v>0</v>
      </c>
      <c r="S498" s="65">
        <v>0</v>
      </c>
      <c r="T498" s="65">
        <v>91.999999999985448</v>
      </c>
      <c r="U498" s="65">
        <v>6063</v>
      </c>
      <c r="V498" s="65">
        <v>0</v>
      </c>
      <c r="W498" s="65">
        <v>0</v>
      </c>
      <c r="X498" s="65">
        <v>27304</v>
      </c>
      <c r="Y498" s="65">
        <v>15460</v>
      </c>
      <c r="Z498" s="65">
        <v>0</v>
      </c>
      <c r="AA498" s="51">
        <v>0</v>
      </c>
      <c r="AB498" s="102">
        <v>0</v>
      </c>
      <c r="AC498" s="81">
        <f t="shared" si="24"/>
        <v>0</v>
      </c>
      <c r="AD498" s="82">
        <f t="shared" si="25"/>
        <v>0</v>
      </c>
      <c r="AE498" s="218">
        <v>-1.8842061133064363E-3</v>
      </c>
      <c r="AF498">
        <v>21</v>
      </c>
      <c r="AH498" t="str">
        <f t="shared" si="23"/>
        <v>DalsinghSarai</v>
      </c>
      <c r="AJ498" s="72">
        <v>0</v>
      </c>
      <c r="AK498" s="72"/>
      <c r="AL498" s="72"/>
      <c r="AM498" s="72"/>
    </row>
    <row r="499" spans="1:39" x14ac:dyDescent="0.25">
      <c r="A499" s="37" t="s">
        <v>62</v>
      </c>
      <c r="B499" s="66" t="s">
        <v>1596</v>
      </c>
      <c r="C499" s="47">
        <v>1012</v>
      </c>
      <c r="D499" s="47" t="s">
        <v>306</v>
      </c>
      <c r="E499" s="41">
        <v>10120123</v>
      </c>
      <c r="F499" s="46" t="s">
        <v>1365</v>
      </c>
      <c r="G499" s="39" t="s">
        <v>92</v>
      </c>
      <c r="H499" s="48" t="s">
        <v>93</v>
      </c>
      <c r="I499" s="52">
        <v>886.54000000000008</v>
      </c>
      <c r="J499" s="49">
        <v>34528.89</v>
      </c>
      <c r="K499" s="65">
        <v>519.17999999999995</v>
      </c>
      <c r="L499" s="65">
        <v>20735.57</v>
      </c>
      <c r="M499" s="65">
        <v>361.90999999999997</v>
      </c>
      <c r="N499" s="65">
        <v>13790.91</v>
      </c>
      <c r="O499" s="65">
        <v>881.08999999999992</v>
      </c>
      <c r="P499" s="65">
        <v>34526.479999999996</v>
      </c>
      <c r="Q499" s="50">
        <v>34526.479999999996</v>
      </c>
      <c r="R499" s="65">
        <v>0</v>
      </c>
      <c r="S499" s="65">
        <v>121.75999999999996</v>
      </c>
      <c r="T499" s="65">
        <v>0</v>
      </c>
      <c r="U499" s="65">
        <v>0</v>
      </c>
      <c r="V499" s="65">
        <v>0</v>
      </c>
      <c r="W499" s="65">
        <v>0</v>
      </c>
      <c r="X499" s="65">
        <v>20736</v>
      </c>
      <c r="Y499" s="65">
        <v>13671</v>
      </c>
      <c r="Z499" s="65">
        <v>0</v>
      </c>
      <c r="AA499" s="51">
        <v>0</v>
      </c>
      <c r="AB499" s="102">
        <v>0</v>
      </c>
      <c r="AC499" s="81">
        <f t="shared" si="24"/>
        <v>0</v>
      </c>
      <c r="AD499" s="82">
        <f t="shared" si="25"/>
        <v>0</v>
      </c>
      <c r="AE499" s="218">
        <v>6.9796625376706076E-5</v>
      </c>
      <c r="AF499">
        <v>21</v>
      </c>
      <c r="AH499" t="str">
        <f t="shared" si="23"/>
        <v>DalsinghSarai</v>
      </c>
      <c r="AJ499" s="72">
        <v>0</v>
      </c>
      <c r="AK499" s="72"/>
      <c r="AL499" s="72"/>
      <c r="AM499" s="72"/>
    </row>
    <row r="500" spans="1:39" x14ac:dyDescent="0.25">
      <c r="A500" s="37" t="s">
        <v>62</v>
      </c>
      <c r="B500" s="66" t="s">
        <v>1596</v>
      </c>
      <c r="C500" s="47">
        <v>1012</v>
      </c>
      <c r="D500" s="47" t="s">
        <v>306</v>
      </c>
      <c r="E500" s="41">
        <v>10120124</v>
      </c>
      <c r="F500" s="46" t="s">
        <v>1567</v>
      </c>
      <c r="G500" s="39" t="s">
        <v>617</v>
      </c>
      <c r="H500" s="48" t="s">
        <v>98</v>
      </c>
      <c r="I500" s="52">
        <v>805.06000000000006</v>
      </c>
      <c r="J500" s="49">
        <v>32984.53</v>
      </c>
      <c r="K500" s="65">
        <v>0</v>
      </c>
      <c r="L500" s="65">
        <v>0</v>
      </c>
      <c r="M500" s="65">
        <v>0</v>
      </c>
      <c r="N500" s="65">
        <v>0</v>
      </c>
      <c r="O500" s="65">
        <v>0</v>
      </c>
      <c r="P500" s="65">
        <v>0</v>
      </c>
      <c r="Q500" s="50">
        <v>32984.53</v>
      </c>
      <c r="R500" s="65">
        <v>0</v>
      </c>
      <c r="S500" s="65">
        <v>0</v>
      </c>
      <c r="T500" s="65">
        <v>0</v>
      </c>
      <c r="U500" s="65">
        <v>7000</v>
      </c>
      <c r="V500" s="65">
        <v>0</v>
      </c>
      <c r="W500" s="65">
        <v>0</v>
      </c>
      <c r="X500" s="65">
        <v>0</v>
      </c>
      <c r="Y500" s="65">
        <v>0</v>
      </c>
      <c r="Z500" s="65">
        <v>25984.53</v>
      </c>
      <c r="AA500" s="51">
        <v>0</v>
      </c>
      <c r="AB500" s="102">
        <v>0</v>
      </c>
      <c r="AC500" s="81">
        <f t="shared" si="24"/>
        <v>0</v>
      </c>
      <c r="AD500" s="82">
        <f t="shared" si="25"/>
        <v>0</v>
      </c>
      <c r="AE500" s="218">
        <v>0</v>
      </c>
      <c r="AF500">
        <v>0</v>
      </c>
      <c r="AH500" t="str">
        <f t="shared" si="23"/>
        <v>DalsinghSarai</v>
      </c>
      <c r="AJ500" s="72">
        <v>0</v>
      </c>
      <c r="AK500" s="72"/>
      <c r="AL500" s="72"/>
      <c r="AM500" s="72"/>
    </row>
    <row r="501" spans="1:39" x14ac:dyDescent="0.25">
      <c r="A501" s="37" t="s">
        <v>62</v>
      </c>
      <c r="B501" s="66" t="s">
        <v>1596</v>
      </c>
      <c r="C501" s="47">
        <v>1013</v>
      </c>
      <c r="D501" s="47" t="s">
        <v>343</v>
      </c>
      <c r="E501" s="41">
        <v>10130001</v>
      </c>
      <c r="F501" s="46" t="s">
        <v>344</v>
      </c>
      <c r="G501" s="39" t="s">
        <v>92</v>
      </c>
      <c r="H501" s="48" t="s">
        <v>93</v>
      </c>
      <c r="I501" s="52">
        <v>840.70000000000016</v>
      </c>
      <c r="J501" s="49">
        <v>32530.76</v>
      </c>
      <c r="K501" s="65">
        <v>129.1</v>
      </c>
      <c r="L501" s="65">
        <v>4971.3600000000006</v>
      </c>
      <c r="M501" s="65">
        <v>717.3</v>
      </c>
      <c r="N501" s="65">
        <v>27479.46</v>
      </c>
      <c r="O501" s="65">
        <v>846.4</v>
      </c>
      <c r="P501" s="65">
        <v>32450.82</v>
      </c>
      <c r="Q501" s="50">
        <v>32450.82</v>
      </c>
      <c r="R501" s="65">
        <v>0</v>
      </c>
      <c r="S501" s="65">
        <v>222.83</v>
      </c>
      <c r="T501" s="65">
        <v>0</v>
      </c>
      <c r="U501" s="65">
        <v>1400</v>
      </c>
      <c r="V501" s="65">
        <v>0</v>
      </c>
      <c r="W501" s="65">
        <v>0</v>
      </c>
      <c r="X501" s="65">
        <v>3571</v>
      </c>
      <c r="Y501" s="65">
        <v>27256</v>
      </c>
      <c r="Z501" s="65">
        <v>0</v>
      </c>
      <c r="AA501" s="51">
        <v>81</v>
      </c>
      <c r="AB501" s="102">
        <v>0</v>
      </c>
      <c r="AC501" s="81">
        <f t="shared" si="24"/>
        <v>0</v>
      </c>
      <c r="AD501" s="82">
        <f t="shared" si="25"/>
        <v>0</v>
      </c>
      <c r="AE501" s="218">
        <v>2.4573665048095617E-3</v>
      </c>
      <c r="AF501">
        <v>13</v>
      </c>
      <c r="AH501" t="str">
        <f t="shared" si="23"/>
        <v>Musrigharari</v>
      </c>
      <c r="AJ501" s="72">
        <v>0</v>
      </c>
      <c r="AK501" s="72"/>
      <c r="AL501" s="72"/>
      <c r="AM501" s="72"/>
    </row>
    <row r="502" spans="1:39" x14ac:dyDescent="0.25">
      <c r="A502" s="37" t="s">
        <v>62</v>
      </c>
      <c r="B502" s="66" t="s">
        <v>1596</v>
      </c>
      <c r="C502" s="47">
        <v>1013</v>
      </c>
      <c r="D502" s="47" t="s">
        <v>343</v>
      </c>
      <c r="E502" s="41">
        <v>10130002</v>
      </c>
      <c r="F502" s="46" t="s">
        <v>345</v>
      </c>
      <c r="G502" s="39" t="s">
        <v>617</v>
      </c>
      <c r="H502" s="48" t="s">
        <v>98</v>
      </c>
      <c r="I502" s="52">
        <v>164.9</v>
      </c>
      <c r="J502" s="49">
        <v>5840.66</v>
      </c>
      <c r="K502" s="65">
        <v>0</v>
      </c>
      <c r="L502" s="65">
        <v>0</v>
      </c>
      <c r="M502" s="65">
        <v>0</v>
      </c>
      <c r="N502" s="65">
        <v>0</v>
      </c>
      <c r="O502" s="65">
        <v>0</v>
      </c>
      <c r="P502" s="65">
        <v>0</v>
      </c>
      <c r="Q502" s="50">
        <v>5840.66</v>
      </c>
      <c r="R502" s="65">
        <v>0</v>
      </c>
      <c r="S502" s="65">
        <v>0</v>
      </c>
      <c r="T502" s="65">
        <v>0</v>
      </c>
      <c r="U502" s="65">
        <v>0</v>
      </c>
      <c r="V502" s="65">
        <v>0</v>
      </c>
      <c r="W502" s="65">
        <v>0</v>
      </c>
      <c r="X502" s="65">
        <v>0</v>
      </c>
      <c r="Y502" s="65">
        <v>0</v>
      </c>
      <c r="Z502" s="65">
        <v>5840.66</v>
      </c>
      <c r="AA502" s="51">
        <v>0</v>
      </c>
      <c r="AB502" s="102">
        <v>0</v>
      </c>
      <c r="AC502" s="81">
        <f t="shared" si="24"/>
        <v>379.05847980594302</v>
      </c>
      <c r="AD502" s="82">
        <f t="shared" si="25"/>
        <v>23.557142857142857</v>
      </c>
      <c r="AE502" s="218">
        <v>0</v>
      </c>
      <c r="AF502">
        <v>0</v>
      </c>
      <c r="AH502" t="str">
        <f t="shared" si="23"/>
        <v>Musrigharari</v>
      </c>
      <c r="AJ502" s="72">
        <v>0</v>
      </c>
      <c r="AK502" s="72"/>
      <c r="AL502" s="72"/>
      <c r="AM502" s="72"/>
    </row>
    <row r="503" spans="1:39" x14ac:dyDescent="0.25">
      <c r="A503" s="37" t="s">
        <v>62</v>
      </c>
      <c r="B503" s="66" t="s">
        <v>1596</v>
      </c>
      <c r="C503" s="47">
        <v>1013</v>
      </c>
      <c r="D503" s="47" t="s">
        <v>343</v>
      </c>
      <c r="E503" s="41">
        <v>10130003</v>
      </c>
      <c r="F503" s="46" t="s">
        <v>346</v>
      </c>
      <c r="G503" s="39" t="s">
        <v>92</v>
      </c>
      <c r="H503" s="48" t="s">
        <v>93</v>
      </c>
      <c r="I503" s="52">
        <v>85.699999999999989</v>
      </c>
      <c r="J503" s="49">
        <v>2718.0699999999997</v>
      </c>
      <c r="K503" s="65">
        <v>85.52000000000001</v>
      </c>
      <c r="L503" s="65">
        <v>2677.1599999999994</v>
      </c>
      <c r="M503" s="65">
        <v>0.7</v>
      </c>
      <c r="N503" s="65">
        <v>23.1</v>
      </c>
      <c r="O503" s="65">
        <v>86.220000000000013</v>
      </c>
      <c r="P503" s="65">
        <v>2700.2599999999993</v>
      </c>
      <c r="Q503" s="50">
        <v>2700.2599999999993</v>
      </c>
      <c r="R503" s="65">
        <v>0</v>
      </c>
      <c r="S503" s="65">
        <v>23.1</v>
      </c>
      <c r="T503" s="65">
        <v>0</v>
      </c>
      <c r="U503" s="65">
        <v>0</v>
      </c>
      <c r="V503" s="65">
        <v>0</v>
      </c>
      <c r="W503" s="65">
        <v>0</v>
      </c>
      <c r="X503" s="65">
        <v>2677</v>
      </c>
      <c r="Y503" s="65">
        <v>0</v>
      </c>
      <c r="Z503" s="65">
        <v>0</v>
      </c>
      <c r="AA503" s="51">
        <v>18</v>
      </c>
      <c r="AB503" s="102">
        <v>0</v>
      </c>
      <c r="AC503" s="81">
        <f t="shared" si="24"/>
        <v>389.66403757292881</v>
      </c>
      <c r="AD503" s="82">
        <f t="shared" si="25"/>
        <v>12.242857142857142</v>
      </c>
      <c r="AE503" s="218">
        <v>6.5524434617211481E-3</v>
      </c>
      <c r="AF503">
        <v>5</v>
      </c>
      <c r="AH503" t="str">
        <f t="shared" si="23"/>
        <v>Musrigharari</v>
      </c>
      <c r="AJ503" s="72">
        <v>0</v>
      </c>
      <c r="AK503" s="72"/>
      <c r="AL503" s="72"/>
      <c r="AM503" s="72"/>
    </row>
    <row r="504" spans="1:39" x14ac:dyDescent="0.25">
      <c r="A504" s="37" t="s">
        <v>62</v>
      </c>
      <c r="B504" s="66" t="s">
        <v>1596</v>
      </c>
      <c r="C504" s="47">
        <v>1013</v>
      </c>
      <c r="D504" s="47" t="s">
        <v>343</v>
      </c>
      <c r="E504" s="41">
        <v>10130005</v>
      </c>
      <c r="F504" s="46" t="s">
        <v>347</v>
      </c>
      <c r="G504" s="39" t="s">
        <v>617</v>
      </c>
      <c r="H504" s="48" t="s">
        <v>98</v>
      </c>
      <c r="I504" s="52">
        <v>35.4</v>
      </c>
      <c r="J504" s="49">
        <v>1204.68</v>
      </c>
      <c r="K504" s="65">
        <v>0</v>
      </c>
      <c r="L504" s="65">
        <v>0</v>
      </c>
      <c r="M504" s="65">
        <v>0</v>
      </c>
      <c r="N504" s="65">
        <v>0</v>
      </c>
      <c r="O504" s="65">
        <v>0</v>
      </c>
      <c r="P504" s="65">
        <v>0</v>
      </c>
      <c r="Q504" s="50">
        <v>1204.68</v>
      </c>
      <c r="R504" s="65">
        <v>0</v>
      </c>
      <c r="S504" s="65">
        <v>0</v>
      </c>
      <c r="T504" s="65">
        <v>0</v>
      </c>
      <c r="U504" s="65">
        <v>1205</v>
      </c>
      <c r="V504" s="65">
        <v>0</v>
      </c>
      <c r="W504" s="65">
        <v>0</v>
      </c>
      <c r="X504" s="65">
        <v>0</v>
      </c>
      <c r="Y504" s="65">
        <v>0</v>
      </c>
      <c r="Z504" s="65">
        <v>-0.31999999999993634</v>
      </c>
      <c r="AA504" s="51">
        <v>0</v>
      </c>
      <c r="AB504" s="102">
        <v>0</v>
      </c>
      <c r="AC504" s="81">
        <f t="shared" si="24"/>
        <v>452.33351864406779</v>
      </c>
      <c r="AD504" s="82">
        <f t="shared" si="25"/>
        <v>5.0571428571428569</v>
      </c>
      <c r="AE504" s="218">
        <v>0</v>
      </c>
      <c r="AF504">
        <v>0</v>
      </c>
      <c r="AH504" t="str">
        <f t="shared" si="23"/>
        <v>Musrigharari</v>
      </c>
      <c r="AJ504" s="72">
        <v>0</v>
      </c>
      <c r="AK504" s="72"/>
      <c r="AL504" s="72"/>
      <c r="AM504" s="72"/>
    </row>
    <row r="505" spans="1:39" x14ac:dyDescent="0.25">
      <c r="A505" s="37" t="s">
        <v>62</v>
      </c>
      <c r="B505" s="66" t="s">
        <v>1596</v>
      </c>
      <c r="C505" s="47">
        <v>1013</v>
      </c>
      <c r="D505" s="47" t="s">
        <v>343</v>
      </c>
      <c r="E505" s="41">
        <v>10130006</v>
      </c>
      <c r="F505" s="46" t="s">
        <v>348</v>
      </c>
      <c r="G505" s="39" t="s">
        <v>92</v>
      </c>
      <c r="H505" s="48" t="s">
        <v>93</v>
      </c>
      <c r="I505" s="52">
        <v>559.1</v>
      </c>
      <c r="J505" s="49">
        <v>22003.97</v>
      </c>
      <c r="K505" s="65">
        <v>578.78</v>
      </c>
      <c r="L505" s="65">
        <v>21994.010000000002</v>
      </c>
      <c r="M505" s="65">
        <v>0</v>
      </c>
      <c r="N505" s="65">
        <v>0</v>
      </c>
      <c r="O505" s="65">
        <v>578.78</v>
      </c>
      <c r="P505" s="65">
        <v>21994.010000000002</v>
      </c>
      <c r="Q505" s="50">
        <v>21994.010000000002</v>
      </c>
      <c r="R505" s="65">
        <v>0</v>
      </c>
      <c r="S505" s="65">
        <v>0</v>
      </c>
      <c r="T505" s="65">
        <v>0</v>
      </c>
      <c r="U505" s="65">
        <v>0</v>
      </c>
      <c r="V505" s="65">
        <v>0</v>
      </c>
      <c r="W505" s="65">
        <v>0</v>
      </c>
      <c r="X505" s="65">
        <v>21995</v>
      </c>
      <c r="Y505" s="65">
        <v>0</v>
      </c>
      <c r="Z505" s="65">
        <v>0</v>
      </c>
      <c r="AA505" s="51">
        <v>9</v>
      </c>
      <c r="AB505" s="102">
        <v>0</v>
      </c>
      <c r="AC505" s="81">
        <f t="shared" si="24"/>
        <v>110.90536122339469</v>
      </c>
      <c r="AD505" s="82">
        <f t="shared" si="25"/>
        <v>79.871428571428581</v>
      </c>
      <c r="AE505" s="218">
        <v>4.526455907728981E-4</v>
      </c>
      <c r="AF505">
        <v>12</v>
      </c>
      <c r="AH505" t="str">
        <f t="shared" si="23"/>
        <v>Musrigharari</v>
      </c>
      <c r="AJ505" s="72">
        <v>0</v>
      </c>
      <c r="AK505" s="72"/>
      <c r="AL505" s="72"/>
      <c r="AM505" s="72"/>
    </row>
    <row r="506" spans="1:39" x14ac:dyDescent="0.25">
      <c r="A506" s="37" t="s">
        <v>62</v>
      </c>
      <c r="B506" s="66" t="s">
        <v>1596</v>
      </c>
      <c r="C506" s="47">
        <v>1013</v>
      </c>
      <c r="D506" s="47" t="s">
        <v>343</v>
      </c>
      <c r="E506" s="41">
        <v>10130008</v>
      </c>
      <c r="F506" s="46" t="s">
        <v>349</v>
      </c>
      <c r="G506" s="39" t="s">
        <v>92</v>
      </c>
      <c r="H506" s="48" t="s">
        <v>93</v>
      </c>
      <c r="I506" s="52">
        <v>438.79999999999995</v>
      </c>
      <c r="J506" s="49">
        <v>18046.370000000003</v>
      </c>
      <c r="K506" s="65">
        <v>419.49999999999994</v>
      </c>
      <c r="L506" s="65">
        <v>17981.490000000002</v>
      </c>
      <c r="M506" s="65">
        <v>27.7</v>
      </c>
      <c r="N506" s="65">
        <v>1199.58</v>
      </c>
      <c r="O506" s="65">
        <v>447.19999999999993</v>
      </c>
      <c r="P506" s="65">
        <v>19181.07</v>
      </c>
      <c r="Q506" s="50">
        <v>18046.370000000003</v>
      </c>
      <c r="R506" s="65">
        <v>0</v>
      </c>
      <c r="S506" s="65">
        <v>282.52999999999997</v>
      </c>
      <c r="T506" s="65">
        <v>1134.6999999999971</v>
      </c>
      <c r="U506" s="65">
        <v>0</v>
      </c>
      <c r="V506" s="65">
        <v>0</v>
      </c>
      <c r="W506" s="65">
        <v>0</v>
      </c>
      <c r="X506" s="65">
        <v>16847</v>
      </c>
      <c r="Y506" s="65">
        <v>917</v>
      </c>
      <c r="Z506" s="65">
        <v>0</v>
      </c>
      <c r="AA506" s="51">
        <v>0</v>
      </c>
      <c r="AB506" s="102">
        <v>0</v>
      </c>
      <c r="AC506" s="81">
        <f t="shared" si="24"/>
        <v>214.84557174111222</v>
      </c>
      <c r="AD506" s="82">
        <f t="shared" si="25"/>
        <v>62.685714285714276</v>
      </c>
      <c r="AE506" s="218">
        <v>-6.2876910979881101E-2</v>
      </c>
      <c r="AF506">
        <v>11</v>
      </c>
      <c r="AH506" t="str">
        <f t="shared" si="23"/>
        <v>Musrigharari</v>
      </c>
      <c r="AJ506" s="72">
        <v>0</v>
      </c>
      <c r="AK506" s="72"/>
      <c r="AL506" s="72"/>
      <c r="AM506" s="72"/>
    </row>
    <row r="507" spans="1:39" x14ac:dyDescent="0.25">
      <c r="A507" s="37" t="s">
        <v>62</v>
      </c>
      <c r="B507" s="66" t="s">
        <v>1596</v>
      </c>
      <c r="C507" s="47">
        <v>1013</v>
      </c>
      <c r="D507" s="47" t="s">
        <v>343</v>
      </c>
      <c r="E507" s="41">
        <v>10130012</v>
      </c>
      <c r="F507" s="46" t="s">
        <v>350</v>
      </c>
      <c r="G507" s="39" t="s">
        <v>92</v>
      </c>
      <c r="H507" s="48" t="s">
        <v>93</v>
      </c>
      <c r="I507" s="52">
        <v>2953.7</v>
      </c>
      <c r="J507" s="49">
        <v>112547.36999999998</v>
      </c>
      <c r="K507" s="65">
        <v>1651.3</v>
      </c>
      <c r="L507" s="65">
        <v>63289.38</v>
      </c>
      <c r="M507" s="65">
        <v>1305.6999999999998</v>
      </c>
      <c r="N507" s="65">
        <v>49254.640000000007</v>
      </c>
      <c r="O507" s="65">
        <v>2957</v>
      </c>
      <c r="P507" s="65">
        <v>112544.02</v>
      </c>
      <c r="Q507" s="50">
        <v>112544.02</v>
      </c>
      <c r="R507" s="65">
        <v>0</v>
      </c>
      <c r="S507" s="65">
        <v>1338.1299999999999</v>
      </c>
      <c r="T507" s="65">
        <v>0</v>
      </c>
      <c r="U507" s="65">
        <v>0</v>
      </c>
      <c r="V507" s="65">
        <v>0</v>
      </c>
      <c r="W507" s="65">
        <v>0</v>
      </c>
      <c r="X507" s="65">
        <v>63290</v>
      </c>
      <c r="Y507" s="65">
        <v>47918</v>
      </c>
      <c r="Z507" s="65">
        <v>0</v>
      </c>
      <c r="AA507" s="51">
        <v>1</v>
      </c>
      <c r="AB507" s="102">
        <v>0</v>
      </c>
      <c r="AC507" s="81">
        <f t="shared" si="24"/>
        <v>0</v>
      </c>
      <c r="AD507" s="82">
        <f t="shared" si="25"/>
        <v>0</v>
      </c>
      <c r="AE507" s="218">
        <v>2.9765244625233956E-5</v>
      </c>
      <c r="AF507">
        <v>56</v>
      </c>
      <c r="AH507" t="str">
        <f t="shared" si="23"/>
        <v>Musrigharari</v>
      </c>
      <c r="AJ507" s="72">
        <v>0</v>
      </c>
      <c r="AK507" s="72"/>
      <c r="AL507" s="72"/>
      <c r="AM507" s="72"/>
    </row>
    <row r="508" spans="1:39" x14ac:dyDescent="0.25">
      <c r="A508" s="37" t="s">
        <v>62</v>
      </c>
      <c r="B508" s="66" t="s">
        <v>1596</v>
      </c>
      <c r="C508" s="47">
        <v>1013</v>
      </c>
      <c r="D508" s="47" t="s">
        <v>343</v>
      </c>
      <c r="E508" s="41">
        <v>10130015</v>
      </c>
      <c r="F508" s="46" t="s">
        <v>351</v>
      </c>
      <c r="G508" s="39" t="s">
        <v>617</v>
      </c>
      <c r="H508" s="48" t="s">
        <v>98</v>
      </c>
      <c r="I508" s="52">
        <v>761.90000000000009</v>
      </c>
      <c r="J508" s="49">
        <v>30148.999999999996</v>
      </c>
      <c r="K508" s="65">
        <v>0</v>
      </c>
      <c r="L508" s="65">
        <v>0</v>
      </c>
      <c r="M508" s="65">
        <v>0</v>
      </c>
      <c r="N508" s="65">
        <v>0</v>
      </c>
      <c r="O508" s="65">
        <v>0</v>
      </c>
      <c r="P508" s="65">
        <v>0</v>
      </c>
      <c r="Q508" s="50">
        <v>30148.999999999996</v>
      </c>
      <c r="R508" s="65">
        <v>0</v>
      </c>
      <c r="S508" s="65">
        <v>0</v>
      </c>
      <c r="T508" s="65">
        <v>0</v>
      </c>
      <c r="U508" s="65">
        <v>3059</v>
      </c>
      <c r="V508" s="65">
        <v>0</v>
      </c>
      <c r="W508" s="65">
        <v>0</v>
      </c>
      <c r="X508" s="65">
        <v>0</v>
      </c>
      <c r="Y508" s="65">
        <v>0</v>
      </c>
      <c r="Z508" s="65">
        <v>27089.999999999996</v>
      </c>
      <c r="AA508" s="51">
        <v>0</v>
      </c>
      <c r="AB508" s="102">
        <v>0</v>
      </c>
      <c r="AC508" s="81">
        <f t="shared" si="24"/>
        <v>0</v>
      </c>
      <c r="AD508" s="82">
        <f t="shared" si="25"/>
        <v>0</v>
      </c>
      <c r="AE508" s="218">
        <v>0</v>
      </c>
      <c r="AF508">
        <v>0</v>
      </c>
      <c r="AH508" t="str">
        <f t="shared" si="23"/>
        <v>Musrigharari</v>
      </c>
      <c r="AJ508" s="72">
        <v>0</v>
      </c>
      <c r="AK508" s="72"/>
      <c r="AL508" s="72"/>
      <c r="AM508" s="72"/>
    </row>
    <row r="509" spans="1:39" x14ac:dyDescent="0.25">
      <c r="A509" s="37" t="s">
        <v>62</v>
      </c>
      <c r="B509" s="66" t="s">
        <v>1596</v>
      </c>
      <c r="C509" s="47">
        <v>1013</v>
      </c>
      <c r="D509" s="47" t="s">
        <v>343</v>
      </c>
      <c r="E509" s="41">
        <v>10130016</v>
      </c>
      <c r="F509" s="46" t="s">
        <v>352</v>
      </c>
      <c r="G509" s="39" t="s">
        <v>617</v>
      </c>
      <c r="H509" s="48" t="s">
        <v>98</v>
      </c>
      <c r="I509" s="52">
        <v>242.39999999999998</v>
      </c>
      <c r="J509" s="49">
        <v>9873.64</v>
      </c>
      <c r="K509" s="65">
        <v>0</v>
      </c>
      <c r="L509" s="65">
        <v>0</v>
      </c>
      <c r="M509" s="65">
        <v>0</v>
      </c>
      <c r="N509" s="65">
        <v>0</v>
      </c>
      <c r="O509" s="65">
        <v>0</v>
      </c>
      <c r="P509" s="65">
        <v>0</v>
      </c>
      <c r="Q509" s="50">
        <v>9873.64</v>
      </c>
      <c r="R509" s="65">
        <v>0</v>
      </c>
      <c r="S509" s="65">
        <v>0</v>
      </c>
      <c r="T509" s="65">
        <v>0</v>
      </c>
      <c r="U509" s="65">
        <v>0</v>
      </c>
      <c r="V509" s="65">
        <v>0</v>
      </c>
      <c r="W509" s="65">
        <v>0</v>
      </c>
      <c r="X509" s="65">
        <v>0</v>
      </c>
      <c r="Y509" s="65">
        <v>0</v>
      </c>
      <c r="Z509" s="65">
        <v>9873.64</v>
      </c>
      <c r="AA509" s="51">
        <v>0</v>
      </c>
      <c r="AB509" s="102">
        <v>0</v>
      </c>
      <c r="AC509" s="81">
        <f t="shared" si="24"/>
        <v>372.78693597359734</v>
      </c>
      <c r="AD509" s="82">
        <f t="shared" si="25"/>
        <v>34.628571428571426</v>
      </c>
      <c r="AE509" s="218">
        <v>0</v>
      </c>
      <c r="AF509">
        <v>0</v>
      </c>
      <c r="AH509" t="str">
        <f t="shared" si="23"/>
        <v>Musrigharari</v>
      </c>
      <c r="AJ509" s="72">
        <v>0</v>
      </c>
      <c r="AK509" s="72"/>
      <c r="AL509" s="72"/>
      <c r="AM509" s="72"/>
    </row>
    <row r="510" spans="1:39" x14ac:dyDescent="0.25">
      <c r="A510" s="37" t="s">
        <v>62</v>
      </c>
      <c r="B510" s="66" t="s">
        <v>1596</v>
      </c>
      <c r="C510" s="47">
        <v>1013</v>
      </c>
      <c r="D510" s="47" t="s">
        <v>343</v>
      </c>
      <c r="E510" s="41">
        <v>10130018</v>
      </c>
      <c r="F510" s="46" t="s">
        <v>353</v>
      </c>
      <c r="G510" s="39" t="s">
        <v>617</v>
      </c>
      <c r="H510" s="48" t="s">
        <v>98</v>
      </c>
      <c r="I510" s="52">
        <v>337.2</v>
      </c>
      <c r="J510" s="49">
        <v>11639.37</v>
      </c>
      <c r="K510" s="65">
        <v>0</v>
      </c>
      <c r="L510" s="65">
        <v>0</v>
      </c>
      <c r="M510" s="65">
        <v>0</v>
      </c>
      <c r="N510" s="65">
        <v>0</v>
      </c>
      <c r="O510" s="65">
        <v>0</v>
      </c>
      <c r="P510" s="65">
        <v>0</v>
      </c>
      <c r="Q510" s="50">
        <v>11639.37</v>
      </c>
      <c r="R510" s="65">
        <v>0</v>
      </c>
      <c r="S510" s="65">
        <v>0</v>
      </c>
      <c r="T510" s="65">
        <v>0</v>
      </c>
      <c r="U510" s="65">
        <v>1400</v>
      </c>
      <c r="V510" s="65">
        <v>0</v>
      </c>
      <c r="W510" s="65">
        <v>0</v>
      </c>
      <c r="X510" s="65">
        <v>0</v>
      </c>
      <c r="Y510" s="65">
        <v>0</v>
      </c>
      <c r="Z510" s="65">
        <v>10239.370000000001</v>
      </c>
      <c r="AA510" s="51">
        <v>0</v>
      </c>
      <c r="AB510" s="102">
        <v>0</v>
      </c>
      <c r="AC510" s="81">
        <f t="shared" si="24"/>
        <v>250.46046476868332</v>
      </c>
      <c r="AD510" s="82">
        <f t="shared" si="25"/>
        <v>48.171428571428571</v>
      </c>
      <c r="AE510" s="218">
        <v>0</v>
      </c>
      <c r="AF510">
        <v>0</v>
      </c>
      <c r="AH510" t="str">
        <f t="shared" si="23"/>
        <v>Musrigharari</v>
      </c>
      <c r="AJ510" s="72">
        <v>0</v>
      </c>
      <c r="AK510" s="72"/>
      <c r="AL510" s="72"/>
      <c r="AM510" s="72"/>
    </row>
    <row r="511" spans="1:39" x14ac:dyDescent="0.25">
      <c r="A511" s="37" t="s">
        <v>62</v>
      </c>
      <c r="B511" s="66" t="s">
        <v>1596</v>
      </c>
      <c r="C511" s="47">
        <v>1013</v>
      </c>
      <c r="D511" s="47" t="s">
        <v>343</v>
      </c>
      <c r="E511" s="41">
        <v>10130020</v>
      </c>
      <c r="F511" s="46" t="s">
        <v>354</v>
      </c>
      <c r="G511" s="39" t="s">
        <v>617</v>
      </c>
      <c r="H511" s="48" t="s">
        <v>98</v>
      </c>
      <c r="I511" s="52">
        <v>543</v>
      </c>
      <c r="J511" s="49">
        <v>21754.120000000003</v>
      </c>
      <c r="K511" s="65">
        <v>0</v>
      </c>
      <c r="L511" s="65">
        <v>0</v>
      </c>
      <c r="M511" s="65">
        <v>0</v>
      </c>
      <c r="N511" s="65">
        <v>0</v>
      </c>
      <c r="O511" s="65">
        <v>0</v>
      </c>
      <c r="P511" s="65">
        <v>0</v>
      </c>
      <c r="Q511" s="50">
        <v>21754.120000000003</v>
      </c>
      <c r="R511" s="65">
        <v>0</v>
      </c>
      <c r="S511" s="65">
        <v>0</v>
      </c>
      <c r="T511" s="65">
        <v>0</v>
      </c>
      <c r="U511" s="65">
        <v>0</v>
      </c>
      <c r="V511" s="65">
        <v>0</v>
      </c>
      <c r="W511" s="65">
        <v>0</v>
      </c>
      <c r="X511" s="65">
        <v>0</v>
      </c>
      <c r="Y511" s="65">
        <v>0</v>
      </c>
      <c r="Z511" s="65">
        <v>21754.120000000003</v>
      </c>
      <c r="AA511" s="51">
        <v>0</v>
      </c>
      <c r="AB511" s="102">
        <v>0</v>
      </c>
      <c r="AC511" s="81">
        <f t="shared" si="24"/>
        <v>125.79730534069982</v>
      </c>
      <c r="AD511" s="82">
        <f t="shared" si="25"/>
        <v>77.571428571428569</v>
      </c>
      <c r="AE511" s="218">
        <v>0</v>
      </c>
      <c r="AF511">
        <v>0</v>
      </c>
      <c r="AH511" t="str">
        <f t="shared" si="23"/>
        <v>Musrigharari</v>
      </c>
      <c r="AJ511" s="72">
        <v>0</v>
      </c>
      <c r="AK511" s="72"/>
      <c r="AL511" s="72"/>
      <c r="AM511" s="72"/>
    </row>
    <row r="512" spans="1:39" x14ac:dyDescent="0.25">
      <c r="A512" s="37" t="s">
        <v>62</v>
      </c>
      <c r="B512" s="66" t="s">
        <v>1596</v>
      </c>
      <c r="C512" s="47">
        <v>1013</v>
      </c>
      <c r="D512" s="47" t="s">
        <v>343</v>
      </c>
      <c r="E512" s="41">
        <v>10130025</v>
      </c>
      <c r="F512" s="46" t="s">
        <v>355</v>
      </c>
      <c r="G512" s="39" t="s">
        <v>617</v>
      </c>
      <c r="H512" s="48" t="s">
        <v>98</v>
      </c>
      <c r="I512" s="52">
        <v>352.09999999999991</v>
      </c>
      <c r="J512" s="49">
        <v>15687.52</v>
      </c>
      <c r="K512" s="65">
        <v>0</v>
      </c>
      <c r="L512" s="65">
        <v>0</v>
      </c>
      <c r="M512" s="65">
        <v>0</v>
      </c>
      <c r="N512" s="65">
        <v>0</v>
      </c>
      <c r="O512" s="65">
        <v>0</v>
      </c>
      <c r="P512" s="65">
        <v>0</v>
      </c>
      <c r="Q512" s="50">
        <v>15687.52</v>
      </c>
      <c r="R512" s="65">
        <v>0</v>
      </c>
      <c r="S512" s="65">
        <v>0</v>
      </c>
      <c r="T512" s="65">
        <v>0</v>
      </c>
      <c r="U512" s="65">
        <v>3359</v>
      </c>
      <c r="V512" s="65">
        <v>0</v>
      </c>
      <c r="W512" s="65">
        <v>0</v>
      </c>
      <c r="X512" s="65">
        <v>0</v>
      </c>
      <c r="Y512" s="65">
        <v>0</v>
      </c>
      <c r="Z512" s="65">
        <v>12328.52</v>
      </c>
      <c r="AA512" s="51">
        <v>0</v>
      </c>
      <c r="AB512" s="102">
        <v>0</v>
      </c>
      <c r="AC512" s="81">
        <f t="shared" si="24"/>
        <v>310.00785049701807</v>
      </c>
      <c r="AD512" s="82">
        <f t="shared" si="25"/>
        <v>50.29999999999999</v>
      </c>
      <c r="AE512" s="218">
        <v>0</v>
      </c>
      <c r="AF512">
        <v>0</v>
      </c>
      <c r="AH512" t="str">
        <f t="shared" si="23"/>
        <v>Musrigharari</v>
      </c>
      <c r="AJ512" s="72">
        <v>0</v>
      </c>
      <c r="AK512" s="72"/>
      <c r="AL512" s="72"/>
      <c r="AM512" s="72"/>
    </row>
    <row r="513" spans="1:39" x14ac:dyDescent="0.25">
      <c r="A513" s="37" t="s">
        <v>62</v>
      </c>
      <c r="B513" s="66" t="s">
        <v>1596</v>
      </c>
      <c r="C513" s="47">
        <v>1013</v>
      </c>
      <c r="D513" s="47" t="s">
        <v>343</v>
      </c>
      <c r="E513" s="41">
        <v>10130026</v>
      </c>
      <c r="F513" s="46" t="s">
        <v>317</v>
      </c>
      <c r="G513" s="39" t="s">
        <v>92</v>
      </c>
      <c r="H513" s="48" t="s">
        <v>93</v>
      </c>
      <c r="I513" s="52">
        <v>143.6</v>
      </c>
      <c r="J513" s="49">
        <v>5713.57</v>
      </c>
      <c r="K513" s="65">
        <v>52.56</v>
      </c>
      <c r="L513" s="65">
        <v>2304.2799999999997</v>
      </c>
      <c r="M513" s="65">
        <v>102.92</v>
      </c>
      <c r="N513" s="65">
        <v>4283.97</v>
      </c>
      <c r="O513" s="65">
        <v>155.48000000000002</v>
      </c>
      <c r="P513" s="65">
        <v>6588.25</v>
      </c>
      <c r="Q513" s="50">
        <v>5713.57</v>
      </c>
      <c r="R513" s="65">
        <v>0</v>
      </c>
      <c r="S513" s="65">
        <v>52.22</v>
      </c>
      <c r="T513" s="65">
        <v>874.68000000000029</v>
      </c>
      <c r="U513" s="65">
        <v>0</v>
      </c>
      <c r="V513" s="65">
        <v>500</v>
      </c>
      <c r="W513" s="65">
        <v>0</v>
      </c>
      <c r="X513" s="65">
        <v>929</v>
      </c>
      <c r="Y513" s="65">
        <v>4232</v>
      </c>
      <c r="Z513" s="65">
        <v>0</v>
      </c>
      <c r="AA513" s="51">
        <v>0</v>
      </c>
      <c r="AB513" s="102">
        <v>0</v>
      </c>
      <c r="AC513" s="81">
        <f t="shared" si="24"/>
        <v>442.76188690807811</v>
      </c>
      <c r="AD513" s="82">
        <f t="shared" si="25"/>
        <v>20.514285714285712</v>
      </c>
      <c r="AE513" s="218">
        <v>-0.15308817429383037</v>
      </c>
      <c r="AF513">
        <v>8</v>
      </c>
      <c r="AH513" t="str">
        <f t="shared" si="23"/>
        <v>Musrigharari</v>
      </c>
      <c r="AJ513" s="72">
        <v>500</v>
      </c>
      <c r="AK513" s="72"/>
      <c r="AL513" s="72"/>
      <c r="AM513" s="72"/>
    </row>
    <row r="514" spans="1:39" x14ac:dyDescent="0.25">
      <c r="A514" s="37" t="s">
        <v>62</v>
      </c>
      <c r="B514" s="66" t="s">
        <v>1596</v>
      </c>
      <c r="C514" s="47">
        <v>1013</v>
      </c>
      <c r="D514" s="47" t="s">
        <v>343</v>
      </c>
      <c r="E514" s="41">
        <v>10130027</v>
      </c>
      <c r="F514" s="46" t="s">
        <v>1477</v>
      </c>
      <c r="G514" s="39" t="s">
        <v>617</v>
      </c>
      <c r="H514" s="48" t="s">
        <v>98</v>
      </c>
      <c r="I514" s="52">
        <v>23.6</v>
      </c>
      <c r="J514" s="49">
        <v>969.94</v>
      </c>
      <c r="K514" s="65">
        <v>0</v>
      </c>
      <c r="L514" s="65">
        <v>0</v>
      </c>
      <c r="M514" s="65">
        <v>0</v>
      </c>
      <c r="N514" s="65">
        <v>0</v>
      </c>
      <c r="O514" s="65">
        <v>0</v>
      </c>
      <c r="P514" s="65">
        <v>0</v>
      </c>
      <c r="Q514" s="50">
        <v>969.94</v>
      </c>
      <c r="R514" s="65">
        <v>0</v>
      </c>
      <c r="S514" s="65">
        <v>0</v>
      </c>
      <c r="T514" s="65">
        <v>0</v>
      </c>
      <c r="U514" s="65">
        <v>0</v>
      </c>
      <c r="V514" s="65">
        <v>0</v>
      </c>
      <c r="W514" s="65">
        <v>0</v>
      </c>
      <c r="X514" s="65">
        <v>0</v>
      </c>
      <c r="Y514" s="65">
        <v>0</v>
      </c>
      <c r="Z514" s="65">
        <v>969.94</v>
      </c>
      <c r="AA514" s="51">
        <v>0</v>
      </c>
      <c r="AB514" s="102">
        <v>0</v>
      </c>
      <c r="AC514" s="81">
        <f t="shared" si="24"/>
        <v>555.98933559322052</v>
      </c>
      <c r="AD514" s="82">
        <f t="shared" si="25"/>
        <v>3.3714285714285714</v>
      </c>
      <c r="AE514" s="218">
        <v>0</v>
      </c>
      <c r="AF514">
        <v>0</v>
      </c>
      <c r="AH514" t="str">
        <f t="shared" si="23"/>
        <v>Musrigharari</v>
      </c>
      <c r="AJ514" s="72">
        <v>0</v>
      </c>
      <c r="AK514" s="72"/>
      <c r="AL514" s="72"/>
      <c r="AM514" s="72"/>
    </row>
    <row r="515" spans="1:39" x14ac:dyDescent="0.25">
      <c r="A515" s="37" t="s">
        <v>62</v>
      </c>
      <c r="B515" s="66" t="s">
        <v>1596</v>
      </c>
      <c r="C515" s="47">
        <v>1013</v>
      </c>
      <c r="D515" s="47" t="s">
        <v>343</v>
      </c>
      <c r="E515" s="41">
        <v>10130030</v>
      </c>
      <c r="F515" s="46" t="s">
        <v>356</v>
      </c>
      <c r="G515" s="39" t="s">
        <v>92</v>
      </c>
      <c r="H515" s="48" t="s">
        <v>93</v>
      </c>
      <c r="I515" s="52">
        <v>231.10000000000002</v>
      </c>
      <c r="J515" s="49">
        <v>7761.74</v>
      </c>
      <c r="K515" s="65">
        <v>231.10000000000002</v>
      </c>
      <c r="L515" s="65">
        <v>7756.02</v>
      </c>
      <c r="M515" s="65">
        <v>0</v>
      </c>
      <c r="N515" s="65">
        <v>0</v>
      </c>
      <c r="O515" s="65">
        <v>231.10000000000002</v>
      </c>
      <c r="P515" s="65">
        <v>7756.02</v>
      </c>
      <c r="Q515" s="50">
        <v>7756.02</v>
      </c>
      <c r="R515" s="65">
        <v>0</v>
      </c>
      <c r="S515" s="65">
        <v>0</v>
      </c>
      <c r="T515" s="65">
        <v>0</v>
      </c>
      <c r="U515" s="65">
        <v>259</v>
      </c>
      <c r="V515" s="65">
        <v>0</v>
      </c>
      <c r="W515" s="65">
        <v>0</v>
      </c>
      <c r="X515" s="65">
        <v>7497</v>
      </c>
      <c r="Y515" s="65">
        <v>0</v>
      </c>
      <c r="Z515" s="65">
        <v>0</v>
      </c>
      <c r="AA515" s="51">
        <v>6</v>
      </c>
      <c r="AB515" s="102">
        <v>0</v>
      </c>
      <c r="AC515" s="81">
        <f t="shared" si="24"/>
        <v>314.97013292946775</v>
      </c>
      <c r="AD515" s="82">
        <f t="shared" si="25"/>
        <v>33.01428571428572</v>
      </c>
      <c r="AE515" s="218">
        <v>7.3694815853137896E-4</v>
      </c>
      <c r="AF515">
        <v>2</v>
      </c>
      <c r="AH515" t="str">
        <f t="shared" ref="AH515:AH576" si="26">TEXT(D515,"0000")</f>
        <v>Musrigharari</v>
      </c>
      <c r="AJ515" s="72">
        <v>0</v>
      </c>
      <c r="AK515" s="72"/>
      <c r="AL515" s="72"/>
      <c r="AM515" s="72"/>
    </row>
    <row r="516" spans="1:39" x14ac:dyDescent="0.25">
      <c r="A516" s="37" t="s">
        <v>62</v>
      </c>
      <c r="B516" s="66" t="s">
        <v>1596</v>
      </c>
      <c r="C516" s="47">
        <v>1013</v>
      </c>
      <c r="D516" s="47" t="s">
        <v>343</v>
      </c>
      <c r="E516" s="41">
        <v>10130031</v>
      </c>
      <c r="F516" s="46" t="s">
        <v>357</v>
      </c>
      <c r="G516" s="39" t="s">
        <v>617</v>
      </c>
      <c r="H516" s="48" t="s">
        <v>98</v>
      </c>
      <c r="I516" s="52">
        <v>136.9</v>
      </c>
      <c r="J516" s="49">
        <v>4923.5599999999995</v>
      </c>
      <c r="K516" s="65">
        <v>0</v>
      </c>
      <c r="L516" s="65">
        <v>0</v>
      </c>
      <c r="M516" s="65">
        <v>0</v>
      </c>
      <c r="N516" s="65">
        <v>0</v>
      </c>
      <c r="O516" s="65">
        <v>0</v>
      </c>
      <c r="P516" s="65">
        <v>0</v>
      </c>
      <c r="Q516" s="50">
        <v>4923.5599999999995</v>
      </c>
      <c r="R516" s="65">
        <v>0</v>
      </c>
      <c r="S516" s="65">
        <v>0</v>
      </c>
      <c r="T516" s="65">
        <v>0</v>
      </c>
      <c r="U516" s="65">
        <v>4924</v>
      </c>
      <c r="V516" s="65">
        <v>0</v>
      </c>
      <c r="W516" s="65">
        <v>0</v>
      </c>
      <c r="X516" s="65">
        <v>0</v>
      </c>
      <c r="Y516" s="65">
        <v>0</v>
      </c>
      <c r="Z516" s="65">
        <v>-0.44000000000050932</v>
      </c>
      <c r="AA516" s="51">
        <v>0</v>
      </c>
      <c r="AB516" s="102">
        <v>0</v>
      </c>
      <c r="AC516" s="81">
        <f t="shared" ref="AC516:AC579" si="27">((IF(AD516=0,0,100-AD516))*7*(J516/I516))*2%</f>
        <v>405.03384017531039</v>
      </c>
      <c r="AD516" s="82">
        <f t="shared" ref="AD516:AD579" si="28">IF((I516/7)&gt;100,0,(I516/7))</f>
        <v>19.557142857142857</v>
      </c>
      <c r="AE516" s="218">
        <v>0</v>
      </c>
      <c r="AF516">
        <v>0</v>
      </c>
      <c r="AH516" t="str">
        <f t="shared" si="26"/>
        <v>Musrigharari</v>
      </c>
      <c r="AJ516" s="72">
        <v>0</v>
      </c>
      <c r="AK516" s="72"/>
      <c r="AL516" s="72"/>
      <c r="AM516" s="72"/>
    </row>
    <row r="517" spans="1:39" x14ac:dyDescent="0.25">
      <c r="A517" s="37" t="s">
        <v>62</v>
      </c>
      <c r="B517" s="66" t="s">
        <v>1596</v>
      </c>
      <c r="C517" s="47">
        <v>1013</v>
      </c>
      <c r="D517" s="47" t="s">
        <v>343</v>
      </c>
      <c r="E517" s="41">
        <v>10130032</v>
      </c>
      <c r="F517" s="46" t="s">
        <v>608</v>
      </c>
      <c r="G517" s="39" t="s">
        <v>92</v>
      </c>
      <c r="H517" s="48" t="s">
        <v>93</v>
      </c>
      <c r="I517" s="52">
        <v>62.899999999999991</v>
      </c>
      <c r="J517" s="49">
        <v>2667.13</v>
      </c>
      <c r="K517" s="65">
        <v>61.800000000000011</v>
      </c>
      <c r="L517" s="65">
        <v>2622.4199999999996</v>
      </c>
      <c r="M517" s="65">
        <v>0</v>
      </c>
      <c r="N517" s="65">
        <v>0</v>
      </c>
      <c r="O517" s="65">
        <v>61.800000000000011</v>
      </c>
      <c r="P517" s="65">
        <v>2622.4199999999996</v>
      </c>
      <c r="Q517" s="50">
        <v>2622.4199999999996</v>
      </c>
      <c r="R517" s="65">
        <v>0</v>
      </c>
      <c r="S517" s="65">
        <v>0</v>
      </c>
      <c r="T517" s="65">
        <v>0</v>
      </c>
      <c r="U517" s="65">
        <v>0</v>
      </c>
      <c r="V517" s="65">
        <v>500</v>
      </c>
      <c r="W517" s="65">
        <v>0</v>
      </c>
      <c r="X517" s="65">
        <v>2122</v>
      </c>
      <c r="Y517" s="65">
        <v>0</v>
      </c>
      <c r="Z517" s="65">
        <v>0</v>
      </c>
      <c r="AA517" s="51">
        <v>45</v>
      </c>
      <c r="AB517" s="102">
        <v>0</v>
      </c>
      <c r="AC517" s="81">
        <f t="shared" si="27"/>
        <v>540.29523783783804</v>
      </c>
      <c r="AD517" s="82">
        <f t="shared" si="28"/>
        <v>8.985714285714284</v>
      </c>
      <c r="AE517" s="218">
        <v>1.6763337370132123E-2</v>
      </c>
      <c r="AF517">
        <v>1</v>
      </c>
      <c r="AH517" t="str">
        <f t="shared" si="26"/>
        <v>Musrigharari</v>
      </c>
      <c r="AJ517" s="72">
        <v>500</v>
      </c>
      <c r="AK517" s="72"/>
      <c r="AL517" s="72"/>
      <c r="AM517" s="72"/>
    </row>
    <row r="518" spans="1:39" x14ac:dyDescent="0.25">
      <c r="A518" s="37" t="s">
        <v>62</v>
      </c>
      <c r="B518" s="66" t="s">
        <v>1596</v>
      </c>
      <c r="C518" s="47">
        <v>1013</v>
      </c>
      <c r="D518" s="47" t="s">
        <v>343</v>
      </c>
      <c r="E518" s="41">
        <v>10130040</v>
      </c>
      <c r="F518" s="46" t="s">
        <v>358</v>
      </c>
      <c r="G518" s="39" t="s">
        <v>617</v>
      </c>
      <c r="H518" s="48" t="s">
        <v>98</v>
      </c>
      <c r="I518" s="52">
        <v>844.3</v>
      </c>
      <c r="J518" s="49">
        <v>23098.15</v>
      </c>
      <c r="K518" s="65">
        <v>0</v>
      </c>
      <c r="L518" s="65">
        <v>0</v>
      </c>
      <c r="M518" s="65">
        <v>0</v>
      </c>
      <c r="N518" s="65">
        <v>0</v>
      </c>
      <c r="O518" s="65">
        <v>0</v>
      </c>
      <c r="P518" s="65">
        <v>0</v>
      </c>
      <c r="Q518" s="50">
        <v>23098.15</v>
      </c>
      <c r="R518" s="65">
        <v>0</v>
      </c>
      <c r="S518" s="65">
        <v>0</v>
      </c>
      <c r="T518" s="65">
        <v>0</v>
      </c>
      <c r="U518" s="65">
        <v>0</v>
      </c>
      <c r="V518" s="65">
        <v>0</v>
      </c>
      <c r="W518" s="65">
        <v>0</v>
      </c>
      <c r="X518" s="65">
        <v>0</v>
      </c>
      <c r="Y518" s="65">
        <v>0</v>
      </c>
      <c r="Z518" s="65">
        <v>23098.15</v>
      </c>
      <c r="AA518" s="51">
        <v>0</v>
      </c>
      <c r="AB518" s="102">
        <v>0</v>
      </c>
      <c r="AC518" s="81">
        <f t="shared" si="27"/>
        <v>0</v>
      </c>
      <c r="AD518" s="82">
        <f t="shared" si="28"/>
        <v>0</v>
      </c>
      <c r="AE518" s="218">
        <v>0</v>
      </c>
      <c r="AF518">
        <v>0</v>
      </c>
      <c r="AH518" t="str">
        <f t="shared" si="26"/>
        <v>Musrigharari</v>
      </c>
      <c r="AJ518" s="72">
        <v>0</v>
      </c>
      <c r="AK518" s="72"/>
      <c r="AL518" s="72"/>
      <c r="AM518" s="72"/>
    </row>
    <row r="519" spans="1:39" x14ac:dyDescent="0.25">
      <c r="A519" s="37" t="s">
        <v>62</v>
      </c>
      <c r="B519" s="66" t="s">
        <v>1596</v>
      </c>
      <c r="C519" s="47">
        <v>1013</v>
      </c>
      <c r="D519" s="47" t="s">
        <v>343</v>
      </c>
      <c r="E519" s="41">
        <v>10130041</v>
      </c>
      <c r="F519" s="46" t="s">
        <v>359</v>
      </c>
      <c r="G519" s="39" t="s">
        <v>617</v>
      </c>
      <c r="H519" s="48" t="s">
        <v>98</v>
      </c>
      <c r="I519" s="52">
        <v>40.5</v>
      </c>
      <c r="J519" s="49">
        <v>1611.21</v>
      </c>
      <c r="K519" s="65">
        <v>0</v>
      </c>
      <c r="L519" s="65">
        <v>0</v>
      </c>
      <c r="M519" s="65">
        <v>0</v>
      </c>
      <c r="N519" s="65">
        <v>0</v>
      </c>
      <c r="O519" s="65">
        <v>0</v>
      </c>
      <c r="P519" s="65">
        <v>0</v>
      </c>
      <c r="Q519" s="50">
        <v>1611.21</v>
      </c>
      <c r="R519" s="65">
        <v>0</v>
      </c>
      <c r="S519" s="65">
        <v>0</v>
      </c>
      <c r="T519" s="65">
        <v>0</v>
      </c>
      <c r="U519" s="65">
        <v>0</v>
      </c>
      <c r="V519" s="65">
        <v>0</v>
      </c>
      <c r="W519" s="65">
        <v>0</v>
      </c>
      <c r="X519" s="65">
        <v>0</v>
      </c>
      <c r="Y519" s="65">
        <v>0</v>
      </c>
      <c r="Z519" s="65">
        <v>1611.21</v>
      </c>
      <c r="AA519" s="51">
        <v>0</v>
      </c>
      <c r="AB519" s="102">
        <v>0</v>
      </c>
      <c r="AC519" s="81">
        <f t="shared" si="27"/>
        <v>524.73728148148143</v>
      </c>
      <c r="AD519" s="82">
        <f t="shared" si="28"/>
        <v>5.7857142857142856</v>
      </c>
      <c r="AE519" s="218">
        <v>0</v>
      </c>
      <c r="AF519">
        <v>0</v>
      </c>
      <c r="AH519" t="str">
        <f t="shared" si="26"/>
        <v>Musrigharari</v>
      </c>
      <c r="AJ519" s="72">
        <v>0</v>
      </c>
      <c r="AK519" s="72"/>
      <c r="AL519" s="72"/>
      <c r="AM519" s="72"/>
    </row>
    <row r="520" spans="1:39" x14ac:dyDescent="0.25">
      <c r="A520" s="37" t="s">
        <v>62</v>
      </c>
      <c r="B520" s="66" t="s">
        <v>1596</v>
      </c>
      <c r="C520" s="47">
        <v>1013</v>
      </c>
      <c r="D520" s="47" t="s">
        <v>343</v>
      </c>
      <c r="E520" s="41">
        <v>10130042</v>
      </c>
      <c r="F520" s="46" t="s">
        <v>360</v>
      </c>
      <c r="G520" s="39" t="s">
        <v>617</v>
      </c>
      <c r="H520" s="48" t="s">
        <v>98</v>
      </c>
      <c r="I520" s="52">
        <v>10.4</v>
      </c>
      <c r="J520" s="49">
        <v>435.14</v>
      </c>
      <c r="K520" s="65">
        <v>0</v>
      </c>
      <c r="L520" s="65">
        <v>0</v>
      </c>
      <c r="M520" s="65">
        <v>0</v>
      </c>
      <c r="N520" s="65">
        <v>0</v>
      </c>
      <c r="O520" s="65">
        <v>0</v>
      </c>
      <c r="P520" s="65">
        <v>0</v>
      </c>
      <c r="Q520" s="50">
        <v>435.14</v>
      </c>
      <c r="R520" s="65">
        <v>0</v>
      </c>
      <c r="S520" s="65">
        <v>0</v>
      </c>
      <c r="T520" s="65">
        <v>0</v>
      </c>
      <c r="U520" s="65">
        <v>0</v>
      </c>
      <c r="V520" s="65">
        <v>0</v>
      </c>
      <c r="W520" s="65">
        <v>0</v>
      </c>
      <c r="X520" s="65">
        <v>0</v>
      </c>
      <c r="Y520" s="65">
        <v>0</v>
      </c>
      <c r="Z520" s="65">
        <v>435.14</v>
      </c>
      <c r="AA520" s="51">
        <v>0</v>
      </c>
      <c r="AB520" s="102">
        <v>0</v>
      </c>
      <c r="AC520" s="81">
        <f t="shared" si="27"/>
        <v>577.06258461538459</v>
      </c>
      <c r="AD520" s="82">
        <f t="shared" si="28"/>
        <v>1.4857142857142858</v>
      </c>
      <c r="AE520" s="218">
        <v>0</v>
      </c>
      <c r="AF520">
        <v>0</v>
      </c>
      <c r="AH520" t="str">
        <f t="shared" si="26"/>
        <v>Musrigharari</v>
      </c>
      <c r="AJ520" s="72">
        <v>0</v>
      </c>
      <c r="AK520" s="72"/>
      <c r="AL520" s="72"/>
      <c r="AM520" s="72"/>
    </row>
    <row r="521" spans="1:39" x14ac:dyDescent="0.25">
      <c r="A521" s="37" t="s">
        <v>62</v>
      </c>
      <c r="B521" s="66" t="s">
        <v>1596</v>
      </c>
      <c r="C521" s="47">
        <v>1013</v>
      </c>
      <c r="D521" s="47" t="s">
        <v>343</v>
      </c>
      <c r="E521" s="41">
        <v>10130044</v>
      </c>
      <c r="F521" s="46" t="s">
        <v>361</v>
      </c>
      <c r="G521" s="39" t="s">
        <v>92</v>
      </c>
      <c r="H521" s="48" t="s">
        <v>98</v>
      </c>
      <c r="I521" s="52">
        <v>2879.7999999999997</v>
      </c>
      <c r="J521" s="49">
        <v>128436.12000000001</v>
      </c>
      <c r="K521" s="65">
        <v>0</v>
      </c>
      <c r="L521" s="65">
        <v>0</v>
      </c>
      <c r="M521" s="65">
        <v>0</v>
      </c>
      <c r="N521" s="65">
        <v>0</v>
      </c>
      <c r="O521" s="65">
        <v>0</v>
      </c>
      <c r="P521" s="65">
        <v>0</v>
      </c>
      <c r="Q521" s="50">
        <v>128436.12000000001</v>
      </c>
      <c r="R521" s="65">
        <v>0</v>
      </c>
      <c r="S521" s="65">
        <v>0</v>
      </c>
      <c r="T521" s="65">
        <v>0</v>
      </c>
      <c r="U521" s="65">
        <v>0</v>
      </c>
      <c r="V521" s="65">
        <v>0</v>
      </c>
      <c r="W521" s="65">
        <v>0</v>
      </c>
      <c r="X521" s="65">
        <v>0</v>
      </c>
      <c r="Y521" s="65">
        <v>0</v>
      </c>
      <c r="Z521" s="65">
        <v>128436.12000000001</v>
      </c>
      <c r="AA521" s="51">
        <v>0</v>
      </c>
      <c r="AB521" s="102">
        <v>0</v>
      </c>
      <c r="AC521" s="81">
        <f t="shared" si="27"/>
        <v>0</v>
      </c>
      <c r="AD521" s="82">
        <f t="shared" si="28"/>
        <v>0</v>
      </c>
      <c r="AE521" s="218">
        <v>0</v>
      </c>
      <c r="AF521">
        <v>0</v>
      </c>
      <c r="AH521" t="str">
        <f t="shared" si="26"/>
        <v>Musrigharari</v>
      </c>
      <c r="AJ521" s="72">
        <v>0</v>
      </c>
      <c r="AK521" s="72"/>
      <c r="AL521" s="72"/>
      <c r="AM521" s="72"/>
    </row>
    <row r="522" spans="1:39" x14ac:dyDescent="0.25">
      <c r="A522" s="37" t="s">
        <v>62</v>
      </c>
      <c r="B522" s="66" t="s">
        <v>1596</v>
      </c>
      <c r="C522" s="47">
        <v>1013</v>
      </c>
      <c r="D522" s="47" t="s">
        <v>343</v>
      </c>
      <c r="E522" s="41">
        <v>10130046</v>
      </c>
      <c r="F522" s="46" t="s">
        <v>362</v>
      </c>
      <c r="G522" s="39" t="s">
        <v>92</v>
      </c>
      <c r="H522" s="48" t="s">
        <v>93</v>
      </c>
      <c r="I522" s="52">
        <v>341.2</v>
      </c>
      <c r="J522" s="49">
        <v>15215.900000000001</v>
      </c>
      <c r="K522" s="65">
        <v>207.56999999999996</v>
      </c>
      <c r="L522" s="65">
        <v>9367.9399999999987</v>
      </c>
      <c r="M522" s="65">
        <v>89.7</v>
      </c>
      <c r="N522" s="65">
        <v>5052.2700000000004</v>
      </c>
      <c r="O522" s="65">
        <v>297.27</v>
      </c>
      <c r="P522" s="65">
        <v>14420.21</v>
      </c>
      <c r="Q522" s="50">
        <v>14420.21</v>
      </c>
      <c r="R522" s="65">
        <v>0</v>
      </c>
      <c r="S522" s="65">
        <v>0</v>
      </c>
      <c r="T522" s="65">
        <v>0</v>
      </c>
      <c r="U522" s="65">
        <v>2800</v>
      </c>
      <c r="V522" s="65">
        <v>0</v>
      </c>
      <c r="W522" s="65">
        <v>0</v>
      </c>
      <c r="X522" s="65">
        <v>6568</v>
      </c>
      <c r="Y522" s="65">
        <v>5051</v>
      </c>
      <c r="Z522" s="65">
        <v>0</v>
      </c>
      <c r="AA522" s="51">
        <v>797</v>
      </c>
      <c r="AB522" s="102">
        <v>0</v>
      </c>
      <c r="AC522" s="81">
        <f t="shared" si="27"/>
        <v>320.01552872215717</v>
      </c>
      <c r="AD522" s="82">
        <f t="shared" si="28"/>
        <v>48.74285714285714</v>
      </c>
      <c r="AE522" s="218">
        <v>5.2293324745825237E-2</v>
      </c>
      <c r="AF522">
        <v>12</v>
      </c>
      <c r="AH522" t="str">
        <f t="shared" si="26"/>
        <v>Musrigharari</v>
      </c>
      <c r="AJ522" s="72">
        <v>0</v>
      </c>
      <c r="AK522" s="72"/>
      <c r="AL522" s="72"/>
      <c r="AM522" s="72"/>
    </row>
    <row r="523" spans="1:39" x14ac:dyDescent="0.25">
      <c r="A523" s="37" t="s">
        <v>62</v>
      </c>
      <c r="B523" s="66" t="s">
        <v>1596</v>
      </c>
      <c r="C523" s="47">
        <v>1013</v>
      </c>
      <c r="D523" s="47" t="s">
        <v>343</v>
      </c>
      <c r="E523" s="41">
        <v>10130047</v>
      </c>
      <c r="F523" s="46" t="s">
        <v>363</v>
      </c>
      <c r="G523" s="39" t="s">
        <v>92</v>
      </c>
      <c r="H523" s="48" t="s">
        <v>93</v>
      </c>
      <c r="I523" s="52">
        <v>272.2</v>
      </c>
      <c r="J523" s="49">
        <v>10183.129999999999</v>
      </c>
      <c r="K523" s="65">
        <v>269.12</v>
      </c>
      <c r="L523" s="65">
        <v>10084.17</v>
      </c>
      <c r="M523" s="65">
        <v>2.67</v>
      </c>
      <c r="N523" s="65">
        <v>94.65</v>
      </c>
      <c r="O523" s="65">
        <v>271.79000000000002</v>
      </c>
      <c r="P523" s="65">
        <v>10178.82</v>
      </c>
      <c r="Q523" s="50">
        <v>10178.82</v>
      </c>
      <c r="R523" s="65">
        <v>0</v>
      </c>
      <c r="S523" s="65">
        <v>94.65</v>
      </c>
      <c r="T523" s="65">
        <v>0</v>
      </c>
      <c r="U523" s="65">
        <v>0</v>
      </c>
      <c r="V523" s="65">
        <v>0</v>
      </c>
      <c r="W523" s="65">
        <v>0</v>
      </c>
      <c r="X523" s="65">
        <v>10085</v>
      </c>
      <c r="Y523" s="65">
        <v>0</v>
      </c>
      <c r="Z523" s="65">
        <v>0</v>
      </c>
      <c r="AA523" s="51">
        <v>3</v>
      </c>
      <c r="AB523" s="102">
        <v>0</v>
      </c>
      <c r="AC523" s="81">
        <f t="shared" si="27"/>
        <v>320.08398339456278</v>
      </c>
      <c r="AD523" s="82">
        <f t="shared" si="28"/>
        <v>38.885714285714286</v>
      </c>
      <c r="AE523" s="218">
        <v>4.2324904032448675E-4</v>
      </c>
      <c r="AF523">
        <v>6</v>
      </c>
      <c r="AH523" t="str">
        <f t="shared" si="26"/>
        <v>Musrigharari</v>
      </c>
      <c r="AJ523" s="72">
        <v>0</v>
      </c>
      <c r="AK523" s="72"/>
      <c r="AL523" s="72"/>
      <c r="AM523" s="72"/>
    </row>
    <row r="524" spans="1:39" x14ac:dyDescent="0.25">
      <c r="A524" s="37" t="s">
        <v>62</v>
      </c>
      <c r="B524" s="66" t="s">
        <v>1596</v>
      </c>
      <c r="C524" s="47">
        <v>1013</v>
      </c>
      <c r="D524" s="47" t="s">
        <v>343</v>
      </c>
      <c r="E524" s="41">
        <v>10130052</v>
      </c>
      <c r="F524" s="46" t="s">
        <v>365</v>
      </c>
      <c r="G524" s="39" t="s">
        <v>92</v>
      </c>
      <c r="H524" s="48" t="s">
        <v>93</v>
      </c>
      <c r="I524" s="52">
        <v>1101.3999999999999</v>
      </c>
      <c r="J524" s="49">
        <v>39364.339999999997</v>
      </c>
      <c r="K524" s="65">
        <v>775.03000000000009</v>
      </c>
      <c r="L524" s="65">
        <v>28055.15</v>
      </c>
      <c r="M524" s="65">
        <v>328.12</v>
      </c>
      <c r="N524" s="65">
        <v>11301.81</v>
      </c>
      <c r="O524" s="65">
        <v>1103.1500000000001</v>
      </c>
      <c r="P524" s="65">
        <v>39356.959999999999</v>
      </c>
      <c r="Q524" s="50">
        <v>39356.959999999999</v>
      </c>
      <c r="R524" s="65">
        <v>0</v>
      </c>
      <c r="S524" s="65">
        <v>432.16</v>
      </c>
      <c r="T524" s="65">
        <v>0</v>
      </c>
      <c r="U524" s="65">
        <v>6809</v>
      </c>
      <c r="V524" s="65">
        <v>0</v>
      </c>
      <c r="W524" s="65">
        <v>0</v>
      </c>
      <c r="X524" s="65">
        <v>22128</v>
      </c>
      <c r="Y524" s="65">
        <v>9987</v>
      </c>
      <c r="Z524" s="65">
        <v>0</v>
      </c>
      <c r="AA524" s="51">
        <v>8</v>
      </c>
      <c r="AB524" s="102">
        <v>0</v>
      </c>
      <c r="AC524" s="81">
        <f t="shared" si="27"/>
        <v>0</v>
      </c>
      <c r="AD524" s="82">
        <f t="shared" si="28"/>
        <v>0</v>
      </c>
      <c r="AE524" s="218">
        <v>1.874793277366617E-4</v>
      </c>
      <c r="AF524">
        <v>27</v>
      </c>
      <c r="AH524" t="str">
        <f t="shared" si="26"/>
        <v>Musrigharari</v>
      </c>
      <c r="AJ524" s="72">
        <v>0</v>
      </c>
      <c r="AK524" s="72"/>
      <c r="AL524" s="72"/>
      <c r="AM524" s="72"/>
    </row>
    <row r="525" spans="1:39" x14ac:dyDescent="0.25">
      <c r="A525" s="37" t="s">
        <v>62</v>
      </c>
      <c r="B525" s="66" t="s">
        <v>1596</v>
      </c>
      <c r="C525" s="47">
        <v>1013</v>
      </c>
      <c r="D525" s="47" t="s">
        <v>343</v>
      </c>
      <c r="E525" s="41">
        <v>10130054</v>
      </c>
      <c r="F525" s="46" t="s">
        <v>366</v>
      </c>
      <c r="G525" s="39" t="s">
        <v>92</v>
      </c>
      <c r="H525" s="48" t="s">
        <v>93</v>
      </c>
      <c r="I525" s="52">
        <v>722.19999999999993</v>
      </c>
      <c r="J525" s="49">
        <v>29792.389999999996</v>
      </c>
      <c r="K525" s="65">
        <v>307.04999999999995</v>
      </c>
      <c r="L525" s="65">
        <v>13974.31</v>
      </c>
      <c r="M525" s="65">
        <v>416.59</v>
      </c>
      <c r="N525" s="65">
        <v>15811.14</v>
      </c>
      <c r="O525" s="65">
        <v>723.63999999999987</v>
      </c>
      <c r="P525" s="65">
        <v>29785.449999999997</v>
      </c>
      <c r="Q525" s="50">
        <v>29785.449999999997</v>
      </c>
      <c r="R525" s="65">
        <v>0</v>
      </c>
      <c r="S525" s="65">
        <v>0</v>
      </c>
      <c r="T525" s="65">
        <v>0</v>
      </c>
      <c r="U525" s="65">
        <v>0</v>
      </c>
      <c r="V525" s="65">
        <v>0</v>
      </c>
      <c r="W525" s="65">
        <v>0</v>
      </c>
      <c r="X525" s="65">
        <v>13975</v>
      </c>
      <c r="Y525" s="65">
        <v>15810</v>
      </c>
      <c r="Z525" s="65">
        <v>0</v>
      </c>
      <c r="AA525" s="51">
        <v>7</v>
      </c>
      <c r="AB525" s="102" t="s">
        <v>68</v>
      </c>
      <c r="AC525" s="81">
        <f t="shared" si="27"/>
        <v>0</v>
      </c>
      <c r="AD525" s="82">
        <f t="shared" si="28"/>
        <v>0</v>
      </c>
      <c r="AE525" s="218">
        <v>2.3294539310202007E-4</v>
      </c>
      <c r="AF525">
        <v>16</v>
      </c>
      <c r="AH525" t="str">
        <f t="shared" si="26"/>
        <v>Musrigharari</v>
      </c>
      <c r="AJ525" s="72">
        <v>0</v>
      </c>
      <c r="AK525" s="72"/>
      <c r="AL525" s="72"/>
      <c r="AM525" s="72"/>
    </row>
    <row r="526" spans="1:39" x14ac:dyDescent="0.25">
      <c r="A526" s="37" t="s">
        <v>62</v>
      </c>
      <c r="B526" s="66" t="s">
        <v>1596</v>
      </c>
      <c r="C526" s="47">
        <v>1013</v>
      </c>
      <c r="D526" s="47" t="s">
        <v>343</v>
      </c>
      <c r="E526" s="41">
        <v>10130058</v>
      </c>
      <c r="F526" s="46" t="s">
        <v>367</v>
      </c>
      <c r="G526" s="39" t="s">
        <v>617</v>
      </c>
      <c r="H526" s="48" t="s">
        <v>98</v>
      </c>
      <c r="I526" s="52">
        <v>1103</v>
      </c>
      <c r="J526" s="49">
        <v>38213.69</v>
      </c>
      <c r="K526" s="65">
        <v>0</v>
      </c>
      <c r="L526" s="65">
        <v>0</v>
      </c>
      <c r="M526" s="65">
        <v>0</v>
      </c>
      <c r="N526" s="65">
        <v>0</v>
      </c>
      <c r="O526" s="65">
        <v>0</v>
      </c>
      <c r="P526" s="65">
        <v>0</v>
      </c>
      <c r="Q526" s="50">
        <v>38213.69</v>
      </c>
      <c r="R526" s="65">
        <v>0</v>
      </c>
      <c r="S526" s="65">
        <v>0</v>
      </c>
      <c r="T526" s="65">
        <v>0</v>
      </c>
      <c r="U526" s="65">
        <v>0</v>
      </c>
      <c r="V526" s="65">
        <v>0</v>
      </c>
      <c r="W526" s="65">
        <v>0</v>
      </c>
      <c r="X526" s="65">
        <v>0</v>
      </c>
      <c r="Y526" s="65">
        <v>0</v>
      </c>
      <c r="Z526" s="65">
        <v>38213.69</v>
      </c>
      <c r="AA526" s="51">
        <v>0</v>
      </c>
      <c r="AB526" s="102">
        <v>0</v>
      </c>
      <c r="AC526" s="81">
        <f t="shared" si="27"/>
        <v>0</v>
      </c>
      <c r="AD526" s="82">
        <f t="shared" si="28"/>
        <v>0</v>
      </c>
      <c r="AE526" s="218">
        <v>0</v>
      </c>
      <c r="AF526">
        <v>0</v>
      </c>
      <c r="AH526" t="str">
        <f t="shared" si="26"/>
        <v>Musrigharari</v>
      </c>
      <c r="AJ526" s="72">
        <v>0</v>
      </c>
      <c r="AK526" s="72"/>
      <c r="AL526" s="72"/>
      <c r="AM526" s="72"/>
    </row>
    <row r="527" spans="1:39" x14ac:dyDescent="0.25">
      <c r="A527" s="37" t="s">
        <v>62</v>
      </c>
      <c r="B527" s="66" t="s">
        <v>1596</v>
      </c>
      <c r="C527" s="47">
        <v>1013</v>
      </c>
      <c r="D527" s="47" t="s">
        <v>343</v>
      </c>
      <c r="E527" s="41">
        <v>10130061</v>
      </c>
      <c r="F527" s="46" t="s">
        <v>1568</v>
      </c>
      <c r="G527" s="39" t="s">
        <v>617</v>
      </c>
      <c r="H527" s="48" t="s">
        <v>98</v>
      </c>
      <c r="I527" s="52">
        <v>117.50000000000001</v>
      </c>
      <c r="J527" s="49">
        <v>4600.3999999999996</v>
      </c>
      <c r="K527" s="65">
        <v>0</v>
      </c>
      <c r="L527" s="65">
        <v>0</v>
      </c>
      <c r="M527" s="65">
        <v>0</v>
      </c>
      <c r="N527" s="65">
        <v>0</v>
      </c>
      <c r="O527" s="65">
        <v>0</v>
      </c>
      <c r="P527" s="65">
        <v>0</v>
      </c>
      <c r="Q527" s="50">
        <v>4600.3999999999996</v>
      </c>
      <c r="R527" s="65">
        <v>0</v>
      </c>
      <c r="S527" s="65">
        <v>0</v>
      </c>
      <c r="T527" s="65">
        <v>0</v>
      </c>
      <c r="U527" s="65">
        <v>0</v>
      </c>
      <c r="V527" s="65">
        <v>0</v>
      </c>
      <c r="W527" s="65">
        <v>0</v>
      </c>
      <c r="X527" s="65">
        <v>0</v>
      </c>
      <c r="Y527" s="65">
        <v>0</v>
      </c>
      <c r="Z527" s="65">
        <v>4600.3999999999996</v>
      </c>
      <c r="AA527" s="51">
        <v>0</v>
      </c>
      <c r="AB527" s="102">
        <v>0</v>
      </c>
      <c r="AC527" s="81">
        <f t="shared" si="27"/>
        <v>456.12476595744664</v>
      </c>
      <c r="AD527" s="82">
        <f t="shared" si="28"/>
        <v>16.785714285714288</v>
      </c>
      <c r="AE527" s="218">
        <v>0</v>
      </c>
      <c r="AF527">
        <v>0</v>
      </c>
      <c r="AH527" t="str">
        <f t="shared" si="26"/>
        <v>Musrigharari</v>
      </c>
      <c r="AJ527" s="72">
        <v>0</v>
      </c>
      <c r="AK527" s="72"/>
      <c r="AL527" s="72"/>
      <c r="AM527" s="72"/>
    </row>
    <row r="528" spans="1:39" x14ac:dyDescent="0.25">
      <c r="A528" s="37" t="s">
        <v>62</v>
      </c>
      <c r="B528" s="66" t="s">
        <v>1596</v>
      </c>
      <c r="C528" s="47">
        <v>1013</v>
      </c>
      <c r="D528" s="47" t="s">
        <v>343</v>
      </c>
      <c r="E528" s="41">
        <v>10130065</v>
      </c>
      <c r="F528" s="46" t="s">
        <v>417</v>
      </c>
      <c r="G528" s="39" t="s">
        <v>617</v>
      </c>
      <c r="H528" s="48" t="s">
        <v>98</v>
      </c>
      <c r="I528" s="52">
        <v>594.29999999999995</v>
      </c>
      <c r="J528" s="49">
        <v>23948.32</v>
      </c>
      <c r="K528" s="65">
        <v>0</v>
      </c>
      <c r="L528" s="65">
        <v>0</v>
      </c>
      <c r="M528" s="65">
        <v>0</v>
      </c>
      <c r="N528" s="65">
        <v>0</v>
      </c>
      <c r="O528" s="65">
        <v>0</v>
      </c>
      <c r="P528" s="65">
        <v>0</v>
      </c>
      <c r="Q528" s="50">
        <v>23948.32</v>
      </c>
      <c r="R528" s="65">
        <v>0</v>
      </c>
      <c r="S528" s="65">
        <v>0</v>
      </c>
      <c r="T528" s="65">
        <v>0</v>
      </c>
      <c r="U528" s="65">
        <v>0</v>
      </c>
      <c r="V528" s="65">
        <v>0</v>
      </c>
      <c r="W528" s="65">
        <v>0</v>
      </c>
      <c r="X528" s="65">
        <v>0</v>
      </c>
      <c r="Y528" s="65">
        <v>0</v>
      </c>
      <c r="Z528" s="65">
        <v>23948.32</v>
      </c>
      <c r="AA528" s="51">
        <v>0</v>
      </c>
      <c r="AB528" s="102">
        <v>0</v>
      </c>
      <c r="AC528" s="81">
        <f t="shared" si="27"/>
        <v>85.187192461719718</v>
      </c>
      <c r="AD528" s="82">
        <f t="shared" si="28"/>
        <v>84.899999999999991</v>
      </c>
      <c r="AE528" s="218">
        <v>0</v>
      </c>
      <c r="AF528">
        <v>0</v>
      </c>
      <c r="AH528" t="str">
        <f t="shared" si="26"/>
        <v>Musrigharari</v>
      </c>
      <c r="AJ528" s="72">
        <v>0</v>
      </c>
      <c r="AK528" s="72"/>
      <c r="AL528" s="72"/>
      <c r="AM528" s="72"/>
    </row>
    <row r="529" spans="1:39" x14ac:dyDescent="0.25">
      <c r="A529" s="37" t="s">
        <v>62</v>
      </c>
      <c r="B529" s="66" t="s">
        <v>1596</v>
      </c>
      <c r="C529" s="47">
        <v>1013</v>
      </c>
      <c r="D529" s="47" t="s">
        <v>343</v>
      </c>
      <c r="E529" s="41">
        <v>10130073</v>
      </c>
      <c r="F529" s="46" t="s">
        <v>1602</v>
      </c>
      <c r="G529" s="39" t="s">
        <v>92</v>
      </c>
      <c r="H529" s="48" t="s">
        <v>93</v>
      </c>
      <c r="I529" s="52">
        <v>288.2</v>
      </c>
      <c r="J529" s="49">
        <v>10801.470000000001</v>
      </c>
      <c r="K529" s="65">
        <v>173.70000000000002</v>
      </c>
      <c r="L529" s="65">
        <v>6545.93</v>
      </c>
      <c r="M529" s="65">
        <v>113.3</v>
      </c>
      <c r="N529" s="65">
        <v>4238.2300000000005</v>
      </c>
      <c r="O529" s="65">
        <v>287</v>
      </c>
      <c r="P529" s="65">
        <v>10784.16</v>
      </c>
      <c r="Q529" s="50">
        <v>10784.16</v>
      </c>
      <c r="R529" s="65">
        <v>0</v>
      </c>
      <c r="S529" s="65">
        <v>40.340000000000003</v>
      </c>
      <c r="T529" s="65">
        <v>0</v>
      </c>
      <c r="U529" s="65">
        <v>1503</v>
      </c>
      <c r="V529" s="65">
        <v>500</v>
      </c>
      <c r="W529" s="65">
        <v>0</v>
      </c>
      <c r="X529" s="65">
        <v>4543</v>
      </c>
      <c r="Y529" s="65">
        <v>4197</v>
      </c>
      <c r="Z529" s="65">
        <v>0</v>
      </c>
      <c r="AA529" s="51">
        <v>18</v>
      </c>
      <c r="AB529" s="102" t="s">
        <v>68</v>
      </c>
      <c r="AC529" s="81">
        <f t="shared" si="27"/>
        <v>308.67767841776555</v>
      </c>
      <c r="AD529" s="82">
        <f t="shared" si="28"/>
        <v>41.171428571428571</v>
      </c>
      <c r="AE529" s="218">
        <v>1.6025596516030974E-3</v>
      </c>
      <c r="AF529">
        <v>12</v>
      </c>
      <c r="AH529" t="str">
        <f t="shared" si="26"/>
        <v>Musrigharari</v>
      </c>
      <c r="AJ529" s="72">
        <v>500</v>
      </c>
      <c r="AK529" s="72"/>
      <c r="AL529" s="72"/>
      <c r="AM529" s="72"/>
    </row>
    <row r="530" spans="1:39" x14ac:dyDescent="0.25">
      <c r="A530" s="37" t="s">
        <v>62</v>
      </c>
      <c r="B530" s="66" t="s">
        <v>1596</v>
      </c>
      <c r="C530" s="47">
        <v>1013</v>
      </c>
      <c r="D530" s="47" t="s">
        <v>343</v>
      </c>
      <c r="E530" s="41">
        <v>10130074</v>
      </c>
      <c r="F530" s="46" t="s">
        <v>452</v>
      </c>
      <c r="G530" s="39" t="s">
        <v>92</v>
      </c>
      <c r="H530" s="48" t="s">
        <v>93</v>
      </c>
      <c r="I530" s="52">
        <v>224.59999999999997</v>
      </c>
      <c r="J530" s="49">
        <v>8843.25</v>
      </c>
      <c r="K530" s="65">
        <v>122.58</v>
      </c>
      <c r="L530" s="65">
        <v>4612.0999999999995</v>
      </c>
      <c r="M530" s="65">
        <v>123.57999999999998</v>
      </c>
      <c r="N530" s="65">
        <v>4500.329999999999</v>
      </c>
      <c r="O530" s="65">
        <v>246.15999999999997</v>
      </c>
      <c r="P530" s="65">
        <v>9112.4299999999985</v>
      </c>
      <c r="Q530" s="50">
        <v>8843.25</v>
      </c>
      <c r="R530" s="65">
        <v>0</v>
      </c>
      <c r="S530" s="65">
        <v>130.75</v>
      </c>
      <c r="T530" s="65">
        <v>269.17999999999847</v>
      </c>
      <c r="U530" s="65">
        <v>0</v>
      </c>
      <c r="V530" s="65">
        <v>0</v>
      </c>
      <c r="W530" s="65">
        <v>0</v>
      </c>
      <c r="X530" s="65">
        <v>4343</v>
      </c>
      <c r="Y530" s="65">
        <v>4369</v>
      </c>
      <c r="Z530" s="65">
        <v>0</v>
      </c>
      <c r="AA530" s="51">
        <v>1</v>
      </c>
      <c r="AB530" s="102">
        <v>0</v>
      </c>
      <c r="AC530" s="81">
        <f t="shared" si="27"/>
        <v>374.36162511130902</v>
      </c>
      <c r="AD530" s="82">
        <f t="shared" si="28"/>
        <v>32.085714285714282</v>
      </c>
      <c r="AE530" s="218">
        <v>-3.0439035422497211E-2</v>
      </c>
      <c r="AF530">
        <v>9</v>
      </c>
      <c r="AH530" t="str">
        <f t="shared" si="26"/>
        <v>Musrigharari</v>
      </c>
      <c r="AJ530" s="72">
        <v>0</v>
      </c>
      <c r="AK530" s="72"/>
      <c r="AL530" s="72"/>
      <c r="AM530" s="72"/>
    </row>
    <row r="531" spans="1:39" x14ac:dyDescent="0.25">
      <c r="A531" s="37" t="s">
        <v>62</v>
      </c>
      <c r="B531" s="66" t="s">
        <v>1596</v>
      </c>
      <c r="C531" s="47">
        <v>1013</v>
      </c>
      <c r="D531" s="47" t="s">
        <v>343</v>
      </c>
      <c r="E531" s="41">
        <v>10130077</v>
      </c>
      <c r="F531" s="46" t="s">
        <v>479</v>
      </c>
      <c r="G531" s="39" t="s">
        <v>92</v>
      </c>
      <c r="H531" s="48" t="s">
        <v>93</v>
      </c>
      <c r="I531" s="52">
        <v>393.09999999999997</v>
      </c>
      <c r="J531" s="49">
        <v>14799.77</v>
      </c>
      <c r="K531" s="65">
        <v>363.98</v>
      </c>
      <c r="L531" s="65">
        <v>12459.89</v>
      </c>
      <c r="M531" s="65">
        <v>56.059999999999988</v>
      </c>
      <c r="N531" s="65">
        <v>2321.8599999999997</v>
      </c>
      <c r="O531" s="65">
        <v>420.04</v>
      </c>
      <c r="P531" s="65">
        <v>14781.75</v>
      </c>
      <c r="Q531" s="50">
        <v>14781.75</v>
      </c>
      <c r="R531" s="65">
        <v>0</v>
      </c>
      <c r="S531" s="65">
        <v>55.459999999999994</v>
      </c>
      <c r="T531" s="65">
        <v>0</v>
      </c>
      <c r="U531" s="65">
        <v>0</v>
      </c>
      <c r="V531" s="65">
        <v>500</v>
      </c>
      <c r="W531" s="65">
        <v>0</v>
      </c>
      <c r="X531" s="65">
        <v>11960</v>
      </c>
      <c r="Y531" s="65">
        <v>2267</v>
      </c>
      <c r="Z531" s="65">
        <v>0</v>
      </c>
      <c r="AA531" s="51">
        <v>17</v>
      </c>
      <c r="AB531" s="102">
        <v>0</v>
      </c>
      <c r="AC531" s="81">
        <f t="shared" si="27"/>
        <v>231.08875161536508</v>
      </c>
      <c r="AD531" s="82">
        <f t="shared" si="28"/>
        <v>56.157142857142851</v>
      </c>
      <c r="AE531" s="218">
        <v>1.2175864895197989E-3</v>
      </c>
      <c r="AF531">
        <v>8</v>
      </c>
      <c r="AH531" t="str">
        <f t="shared" si="26"/>
        <v>Musrigharari</v>
      </c>
      <c r="AJ531" s="72">
        <v>500</v>
      </c>
      <c r="AK531" s="72"/>
      <c r="AL531" s="72"/>
      <c r="AM531" s="72"/>
    </row>
    <row r="532" spans="1:39" x14ac:dyDescent="0.25">
      <c r="A532" s="37" t="s">
        <v>62</v>
      </c>
      <c r="B532" s="66" t="s">
        <v>1596</v>
      </c>
      <c r="C532" s="47">
        <v>1013</v>
      </c>
      <c r="D532" s="47" t="s">
        <v>343</v>
      </c>
      <c r="E532" s="41">
        <v>10130080</v>
      </c>
      <c r="F532" s="46" t="s">
        <v>481</v>
      </c>
      <c r="G532" s="39" t="s">
        <v>617</v>
      </c>
      <c r="H532" s="48" t="s">
        <v>98</v>
      </c>
      <c r="I532" s="52">
        <v>55.5</v>
      </c>
      <c r="J532" s="49">
        <v>2144.04</v>
      </c>
      <c r="K532" s="65">
        <v>0</v>
      </c>
      <c r="L532" s="65">
        <v>0</v>
      </c>
      <c r="M532" s="65">
        <v>0</v>
      </c>
      <c r="N532" s="65">
        <v>0</v>
      </c>
      <c r="O532" s="65">
        <v>0</v>
      </c>
      <c r="P532" s="65">
        <v>0</v>
      </c>
      <c r="Q532" s="50">
        <v>2144.04</v>
      </c>
      <c r="R532" s="65">
        <v>0</v>
      </c>
      <c r="S532" s="65">
        <v>0</v>
      </c>
      <c r="T532" s="65">
        <v>0</v>
      </c>
      <c r="U532" s="65">
        <v>0</v>
      </c>
      <c r="V532" s="65">
        <v>0</v>
      </c>
      <c r="W532" s="65">
        <v>0</v>
      </c>
      <c r="X532" s="65">
        <v>0</v>
      </c>
      <c r="Y532" s="65">
        <v>0</v>
      </c>
      <c r="Z532" s="65">
        <v>2144.04</v>
      </c>
      <c r="AA532" s="51">
        <v>0</v>
      </c>
      <c r="AB532" s="102">
        <v>0</v>
      </c>
      <c r="AC532" s="81">
        <f t="shared" si="27"/>
        <v>497.95811891891896</v>
      </c>
      <c r="AD532" s="82">
        <f t="shared" si="28"/>
        <v>7.9285714285714288</v>
      </c>
      <c r="AE532" s="218">
        <v>0</v>
      </c>
      <c r="AF532">
        <v>0</v>
      </c>
      <c r="AH532" t="str">
        <f t="shared" si="26"/>
        <v>Musrigharari</v>
      </c>
      <c r="AJ532" s="72">
        <v>0</v>
      </c>
      <c r="AK532" s="72"/>
      <c r="AL532" s="72"/>
      <c r="AM532" s="72"/>
    </row>
    <row r="533" spans="1:39" x14ac:dyDescent="0.25">
      <c r="A533" s="37" t="s">
        <v>62</v>
      </c>
      <c r="B533" s="66" t="s">
        <v>1596</v>
      </c>
      <c r="C533" s="47">
        <v>1013</v>
      </c>
      <c r="D533" s="47" t="s">
        <v>343</v>
      </c>
      <c r="E533" s="41">
        <v>10130081</v>
      </c>
      <c r="F533" s="46" t="s">
        <v>1235</v>
      </c>
      <c r="G533" s="39" t="s">
        <v>617</v>
      </c>
      <c r="H533" s="48" t="s">
        <v>98</v>
      </c>
      <c r="I533" s="52">
        <v>86.5</v>
      </c>
      <c r="J533" s="49">
        <v>3052.92</v>
      </c>
      <c r="K533" s="65">
        <v>0</v>
      </c>
      <c r="L533" s="65">
        <v>0</v>
      </c>
      <c r="M533" s="65">
        <v>0</v>
      </c>
      <c r="N533" s="65">
        <v>0</v>
      </c>
      <c r="O533" s="65">
        <v>0</v>
      </c>
      <c r="P533" s="65">
        <v>0</v>
      </c>
      <c r="Q533" s="50">
        <v>3052.92</v>
      </c>
      <c r="R533" s="65">
        <v>0</v>
      </c>
      <c r="S533" s="65">
        <v>0</v>
      </c>
      <c r="T533" s="65">
        <v>0</v>
      </c>
      <c r="U533" s="65">
        <v>0</v>
      </c>
      <c r="V533" s="65">
        <v>0</v>
      </c>
      <c r="W533" s="65">
        <v>0</v>
      </c>
      <c r="X533" s="65">
        <v>0</v>
      </c>
      <c r="Y533" s="65">
        <v>0</v>
      </c>
      <c r="Z533" s="65">
        <v>3052.92</v>
      </c>
      <c r="AA533" s="51">
        <v>0</v>
      </c>
      <c r="AB533" s="102">
        <v>0</v>
      </c>
      <c r="AC533" s="81">
        <f t="shared" si="27"/>
        <v>433.05581965317924</v>
      </c>
      <c r="AD533" s="82">
        <f t="shared" si="28"/>
        <v>12.357142857142858</v>
      </c>
      <c r="AE533" s="218">
        <v>0</v>
      </c>
      <c r="AF533">
        <v>0</v>
      </c>
      <c r="AH533" t="str">
        <f t="shared" si="26"/>
        <v>Musrigharari</v>
      </c>
      <c r="AJ533" s="72">
        <v>0</v>
      </c>
      <c r="AK533" s="72"/>
      <c r="AL533" s="72"/>
      <c r="AM533" s="72"/>
    </row>
    <row r="534" spans="1:39" x14ac:dyDescent="0.25">
      <c r="A534" s="37" t="s">
        <v>62</v>
      </c>
      <c r="B534" s="66" t="s">
        <v>1596</v>
      </c>
      <c r="C534" s="47">
        <v>1013</v>
      </c>
      <c r="D534" s="47" t="s">
        <v>343</v>
      </c>
      <c r="E534" s="41">
        <v>10130083</v>
      </c>
      <c r="F534" s="46" t="s">
        <v>488</v>
      </c>
      <c r="G534" s="39" t="s">
        <v>617</v>
      </c>
      <c r="H534" s="48" t="s">
        <v>98</v>
      </c>
      <c r="I534" s="52">
        <v>621.70000000000005</v>
      </c>
      <c r="J534" s="49">
        <v>19502.989999999998</v>
      </c>
      <c r="K534" s="65">
        <v>0</v>
      </c>
      <c r="L534" s="65">
        <v>0</v>
      </c>
      <c r="M534" s="65">
        <v>0</v>
      </c>
      <c r="N534" s="65">
        <v>0</v>
      </c>
      <c r="O534" s="65">
        <v>0</v>
      </c>
      <c r="P534" s="65">
        <v>0</v>
      </c>
      <c r="Q534" s="50">
        <v>19502.989999999998</v>
      </c>
      <c r="R534" s="65">
        <v>0</v>
      </c>
      <c r="S534" s="65">
        <v>0</v>
      </c>
      <c r="T534" s="65">
        <v>0</v>
      </c>
      <c r="U534" s="65">
        <v>0</v>
      </c>
      <c r="V534" s="65">
        <v>0</v>
      </c>
      <c r="W534" s="65">
        <v>0</v>
      </c>
      <c r="X534" s="65">
        <v>0</v>
      </c>
      <c r="Y534" s="65">
        <v>0</v>
      </c>
      <c r="Z534" s="65">
        <v>19502.989999999998</v>
      </c>
      <c r="AA534" s="51">
        <v>0</v>
      </c>
      <c r="AB534" s="102">
        <v>0</v>
      </c>
      <c r="AC534" s="81">
        <f t="shared" si="27"/>
        <v>49.126077432845406</v>
      </c>
      <c r="AD534" s="82">
        <f t="shared" si="28"/>
        <v>88.814285714285717</v>
      </c>
      <c r="AE534" s="218">
        <v>0</v>
      </c>
      <c r="AF534">
        <v>0</v>
      </c>
      <c r="AH534" t="str">
        <f t="shared" si="26"/>
        <v>Musrigharari</v>
      </c>
      <c r="AJ534" s="72">
        <v>0</v>
      </c>
      <c r="AK534" s="72"/>
      <c r="AL534" s="72"/>
      <c r="AM534" s="72"/>
    </row>
    <row r="535" spans="1:39" x14ac:dyDescent="0.25">
      <c r="A535" s="37" t="s">
        <v>62</v>
      </c>
      <c r="B535" s="66" t="s">
        <v>1596</v>
      </c>
      <c r="C535" s="47">
        <v>1013</v>
      </c>
      <c r="D535" s="47" t="s">
        <v>343</v>
      </c>
      <c r="E535" s="41">
        <v>10130088</v>
      </c>
      <c r="F535" s="46" t="s">
        <v>1251</v>
      </c>
      <c r="G535" s="39" t="s">
        <v>617</v>
      </c>
      <c r="H535" s="48" t="s">
        <v>98</v>
      </c>
      <c r="I535" s="52">
        <v>238.9</v>
      </c>
      <c r="J535" s="49">
        <v>8845.5</v>
      </c>
      <c r="K535" s="65">
        <v>0</v>
      </c>
      <c r="L535" s="65">
        <v>0</v>
      </c>
      <c r="M535" s="65">
        <v>0</v>
      </c>
      <c r="N535" s="65">
        <v>0</v>
      </c>
      <c r="O535" s="65">
        <v>0</v>
      </c>
      <c r="P535" s="65">
        <v>0</v>
      </c>
      <c r="Q535" s="50">
        <v>8845.5</v>
      </c>
      <c r="R535" s="65">
        <v>0</v>
      </c>
      <c r="S535" s="65">
        <v>0</v>
      </c>
      <c r="T535" s="65">
        <v>0</v>
      </c>
      <c r="U535" s="65">
        <v>0</v>
      </c>
      <c r="V535" s="65">
        <v>0</v>
      </c>
      <c r="W535" s="65">
        <v>0</v>
      </c>
      <c r="X535" s="65">
        <v>0</v>
      </c>
      <c r="Y535" s="65">
        <v>0</v>
      </c>
      <c r="Z535" s="65">
        <v>8845.5</v>
      </c>
      <c r="AA535" s="51">
        <v>0</v>
      </c>
      <c r="AB535" s="102">
        <v>0</v>
      </c>
      <c r="AC535" s="81">
        <f t="shared" si="27"/>
        <v>341.45333193804936</v>
      </c>
      <c r="AD535" s="82">
        <f t="shared" si="28"/>
        <v>34.128571428571426</v>
      </c>
      <c r="AE535" s="218">
        <v>0</v>
      </c>
      <c r="AF535">
        <v>0</v>
      </c>
      <c r="AH535" t="str">
        <f t="shared" si="26"/>
        <v>Musrigharari</v>
      </c>
      <c r="AJ535" s="72">
        <v>0</v>
      </c>
      <c r="AK535" s="72"/>
      <c r="AL535" s="72"/>
      <c r="AM535" s="72"/>
    </row>
    <row r="536" spans="1:39" x14ac:dyDescent="0.25">
      <c r="A536" s="37" t="s">
        <v>62</v>
      </c>
      <c r="B536" s="66" t="s">
        <v>1596</v>
      </c>
      <c r="C536" s="47">
        <v>1013</v>
      </c>
      <c r="D536" s="47" t="s">
        <v>343</v>
      </c>
      <c r="E536" s="41">
        <v>10130093</v>
      </c>
      <c r="F536" s="46" t="s">
        <v>561</v>
      </c>
      <c r="G536" s="39" t="s">
        <v>92</v>
      </c>
      <c r="H536" s="48" t="s">
        <v>93</v>
      </c>
      <c r="I536" s="52">
        <v>266.7</v>
      </c>
      <c r="J536" s="49">
        <v>11671.25</v>
      </c>
      <c r="K536" s="65">
        <v>212.3</v>
      </c>
      <c r="L536" s="65">
        <v>8726.49</v>
      </c>
      <c r="M536" s="65">
        <v>55.53</v>
      </c>
      <c r="N536" s="65">
        <v>2915.05</v>
      </c>
      <c r="O536" s="65">
        <v>267.83000000000004</v>
      </c>
      <c r="P536" s="65">
        <v>11641.54</v>
      </c>
      <c r="Q536" s="50">
        <v>11641.54</v>
      </c>
      <c r="R536" s="65">
        <v>0</v>
      </c>
      <c r="S536" s="65">
        <v>0</v>
      </c>
      <c r="T536" s="65">
        <v>0</v>
      </c>
      <c r="U536" s="65">
        <v>0</v>
      </c>
      <c r="V536" s="65">
        <v>0</v>
      </c>
      <c r="W536" s="65">
        <v>0</v>
      </c>
      <c r="X536" s="65">
        <v>8727</v>
      </c>
      <c r="Y536" s="65">
        <v>2915</v>
      </c>
      <c r="Z536" s="65">
        <v>0</v>
      </c>
      <c r="AA536" s="51">
        <v>29</v>
      </c>
      <c r="AB536" s="102">
        <v>0</v>
      </c>
      <c r="AC536" s="81">
        <f t="shared" si="27"/>
        <v>379.23904199475072</v>
      </c>
      <c r="AD536" s="82">
        <f t="shared" si="28"/>
        <v>38.1</v>
      </c>
      <c r="AE536" s="218">
        <v>2.5455713826710185E-3</v>
      </c>
      <c r="AF536">
        <v>7</v>
      </c>
      <c r="AH536" t="str">
        <f t="shared" si="26"/>
        <v>Musrigharari</v>
      </c>
      <c r="AJ536" s="72">
        <v>0</v>
      </c>
      <c r="AK536" s="72"/>
      <c r="AL536" s="72"/>
      <c r="AM536" s="72"/>
    </row>
    <row r="537" spans="1:39" x14ac:dyDescent="0.25">
      <c r="A537" s="37" t="s">
        <v>62</v>
      </c>
      <c r="B537" s="66" t="s">
        <v>1596</v>
      </c>
      <c r="C537" s="47">
        <v>1013</v>
      </c>
      <c r="D537" s="47" t="s">
        <v>343</v>
      </c>
      <c r="E537" s="41">
        <v>10130097</v>
      </c>
      <c r="F537" s="46" t="s">
        <v>813</v>
      </c>
      <c r="G537" s="39" t="s">
        <v>92</v>
      </c>
      <c r="H537" s="48" t="s">
        <v>93</v>
      </c>
      <c r="I537" s="52">
        <v>84.000000000000014</v>
      </c>
      <c r="J537" s="49">
        <v>2867.9299999999994</v>
      </c>
      <c r="K537" s="65">
        <v>82.2</v>
      </c>
      <c r="L537" s="65">
        <v>2807.4199999999996</v>
      </c>
      <c r="M537" s="65">
        <v>0</v>
      </c>
      <c r="N537" s="65">
        <v>0</v>
      </c>
      <c r="O537" s="65">
        <v>82.2</v>
      </c>
      <c r="P537" s="65">
        <v>2807.4199999999996</v>
      </c>
      <c r="Q537" s="50">
        <v>2807.4199999999996</v>
      </c>
      <c r="R537" s="65">
        <v>0</v>
      </c>
      <c r="S537" s="65">
        <v>0</v>
      </c>
      <c r="T537" s="65">
        <v>0</v>
      </c>
      <c r="U537" s="65">
        <v>0</v>
      </c>
      <c r="V537" s="65">
        <v>500</v>
      </c>
      <c r="W537" s="65">
        <v>0</v>
      </c>
      <c r="X537" s="65">
        <v>2307</v>
      </c>
      <c r="Y537" s="65">
        <v>0</v>
      </c>
      <c r="Z537" s="65">
        <v>0</v>
      </c>
      <c r="AA537" s="51">
        <v>61</v>
      </c>
      <c r="AB537" s="102">
        <v>0</v>
      </c>
      <c r="AC537" s="81">
        <f t="shared" si="27"/>
        <v>420.62973333333321</v>
      </c>
      <c r="AD537" s="82">
        <f t="shared" si="28"/>
        <v>12.000000000000002</v>
      </c>
      <c r="AE537" s="218">
        <v>2.1098841324578975E-2</v>
      </c>
      <c r="AF537">
        <v>1</v>
      </c>
      <c r="AH537" t="str">
        <f t="shared" si="26"/>
        <v>Musrigharari</v>
      </c>
      <c r="AJ537" s="72">
        <v>500</v>
      </c>
      <c r="AK537" s="72"/>
      <c r="AL537" s="72"/>
      <c r="AM537" s="72"/>
    </row>
    <row r="538" spans="1:39" x14ac:dyDescent="0.25">
      <c r="A538" s="37" t="s">
        <v>62</v>
      </c>
      <c r="B538" s="66" t="s">
        <v>1596</v>
      </c>
      <c r="C538" s="47">
        <v>1013</v>
      </c>
      <c r="D538" s="47" t="s">
        <v>343</v>
      </c>
      <c r="E538" s="41">
        <v>10130098</v>
      </c>
      <c r="F538" s="46" t="s">
        <v>627</v>
      </c>
      <c r="G538" s="39" t="s">
        <v>92</v>
      </c>
      <c r="H538" s="48" t="s">
        <v>93</v>
      </c>
      <c r="I538" s="52">
        <v>187.7</v>
      </c>
      <c r="J538" s="49">
        <v>9987.1299999999992</v>
      </c>
      <c r="K538" s="65">
        <v>184.89000000000001</v>
      </c>
      <c r="L538" s="65">
        <v>9912.0400000000009</v>
      </c>
      <c r="M538" s="65">
        <v>1</v>
      </c>
      <c r="N538" s="65">
        <v>48.65</v>
      </c>
      <c r="O538" s="65">
        <v>185.89000000000001</v>
      </c>
      <c r="P538" s="65">
        <v>9960.69</v>
      </c>
      <c r="Q538" s="50">
        <v>9960.69</v>
      </c>
      <c r="R538" s="65">
        <v>0</v>
      </c>
      <c r="S538" s="65">
        <v>48.65</v>
      </c>
      <c r="T538" s="65">
        <v>0</v>
      </c>
      <c r="U538" s="65">
        <v>0</v>
      </c>
      <c r="V538" s="65">
        <v>0</v>
      </c>
      <c r="W538" s="65">
        <v>0</v>
      </c>
      <c r="X538" s="65">
        <v>9913</v>
      </c>
      <c r="Y538" s="65">
        <v>0</v>
      </c>
      <c r="Z538" s="65">
        <v>0</v>
      </c>
      <c r="AA538" s="51">
        <v>25</v>
      </c>
      <c r="AB538" s="102">
        <v>0</v>
      </c>
      <c r="AC538" s="81">
        <f t="shared" si="27"/>
        <v>545.16853478955773</v>
      </c>
      <c r="AD538" s="82">
        <f t="shared" si="28"/>
        <v>26.814285714285713</v>
      </c>
      <c r="AE538" s="218">
        <v>2.6474072130831072E-3</v>
      </c>
      <c r="AF538">
        <v>9</v>
      </c>
      <c r="AH538" t="str">
        <f t="shared" si="26"/>
        <v>Musrigharari</v>
      </c>
      <c r="AJ538" s="72">
        <v>0</v>
      </c>
      <c r="AK538" s="72"/>
      <c r="AL538" s="72"/>
      <c r="AM538" s="72"/>
    </row>
    <row r="539" spans="1:39" x14ac:dyDescent="0.25">
      <c r="A539" s="37" t="s">
        <v>62</v>
      </c>
      <c r="B539" s="66" t="s">
        <v>1596</v>
      </c>
      <c r="C539" s="47">
        <v>1013</v>
      </c>
      <c r="D539" s="47" t="s">
        <v>343</v>
      </c>
      <c r="E539" s="41">
        <v>10130100</v>
      </c>
      <c r="F539" s="46" t="s">
        <v>676</v>
      </c>
      <c r="G539" s="39" t="s">
        <v>92</v>
      </c>
      <c r="H539" s="48" t="s">
        <v>93</v>
      </c>
      <c r="I539" s="52">
        <v>92.399999999999991</v>
      </c>
      <c r="J539" s="49">
        <v>3639.6500000000005</v>
      </c>
      <c r="K539" s="65">
        <v>90.64</v>
      </c>
      <c r="L539" s="65">
        <v>3595.1400000000008</v>
      </c>
      <c r="M539" s="65">
        <v>0.6</v>
      </c>
      <c r="N539" s="65">
        <v>23.36</v>
      </c>
      <c r="O539" s="65">
        <v>91.24</v>
      </c>
      <c r="P539" s="65">
        <v>3618.5000000000009</v>
      </c>
      <c r="Q539" s="50">
        <v>3618.5000000000009</v>
      </c>
      <c r="R539" s="65">
        <v>0</v>
      </c>
      <c r="S539" s="65">
        <v>23.36</v>
      </c>
      <c r="T539" s="65">
        <v>0</v>
      </c>
      <c r="U539" s="65">
        <v>0</v>
      </c>
      <c r="V539" s="65">
        <v>500</v>
      </c>
      <c r="W539" s="65">
        <v>0</v>
      </c>
      <c r="X539" s="65">
        <v>3095</v>
      </c>
      <c r="Y539" s="65">
        <v>0</v>
      </c>
      <c r="Z539" s="65">
        <v>0</v>
      </c>
      <c r="AA539" s="51">
        <v>21</v>
      </c>
      <c r="AB539" s="102">
        <v>0</v>
      </c>
      <c r="AC539" s="81">
        <f t="shared" si="27"/>
        <v>478.66912121212135</v>
      </c>
      <c r="AD539" s="82">
        <f t="shared" si="28"/>
        <v>13.2</v>
      </c>
      <c r="AE539" s="218">
        <v>5.8109983102769859E-3</v>
      </c>
      <c r="AF539">
        <v>4</v>
      </c>
      <c r="AH539" t="str">
        <f t="shared" si="26"/>
        <v>Musrigharari</v>
      </c>
      <c r="AJ539" s="72">
        <v>500</v>
      </c>
      <c r="AK539" s="72"/>
      <c r="AL539" s="72"/>
      <c r="AM539" s="72"/>
    </row>
    <row r="540" spans="1:39" x14ac:dyDescent="0.25">
      <c r="A540" s="37" t="s">
        <v>62</v>
      </c>
      <c r="B540" s="66" t="s">
        <v>1596</v>
      </c>
      <c r="C540" s="47">
        <v>1061</v>
      </c>
      <c r="D540" s="47" t="s">
        <v>1388</v>
      </c>
      <c r="E540" s="41">
        <v>10130101</v>
      </c>
      <c r="F540" s="46" t="s">
        <v>1389</v>
      </c>
      <c r="G540" s="39" t="s">
        <v>617</v>
      </c>
      <c r="H540" s="48" t="s">
        <v>98</v>
      </c>
      <c r="I540" s="52">
        <v>70.8</v>
      </c>
      <c r="J540" s="49">
        <v>2949.05</v>
      </c>
      <c r="K540" s="65">
        <v>0</v>
      </c>
      <c r="L540" s="65">
        <v>0</v>
      </c>
      <c r="M540" s="65">
        <v>0</v>
      </c>
      <c r="N540" s="65">
        <v>0</v>
      </c>
      <c r="O540" s="65">
        <v>0</v>
      </c>
      <c r="P540" s="65">
        <v>0</v>
      </c>
      <c r="Q540" s="50">
        <v>2949.05</v>
      </c>
      <c r="R540" s="65">
        <v>0</v>
      </c>
      <c r="S540" s="65">
        <v>0</v>
      </c>
      <c r="T540" s="65">
        <v>0</v>
      </c>
      <c r="U540" s="65">
        <v>0</v>
      </c>
      <c r="V540" s="65">
        <v>0</v>
      </c>
      <c r="W540" s="65">
        <v>0</v>
      </c>
      <c r="X540" s="65">
        <v>0</v>
      </c>
      <c r="Y540" s="65">
        <v>0</v>
      </c>
      <c r="Z540" s="65">
        <v>2949.05</v>
      </c>
      <c r="AA540" s="51">
        <v>0</v>
      </c>
      <c r="AB540" s="102">
        <v>0</v>
      </c>
      <c r="AC540" s="81">
        <f t="shared" si="27"/>
        <v>524.16448022598877</v>
      </c>
      <c r="AD540" s="82">
        <f t="shared" si="28"/>
        <v>10.114285714285714</v>
      </c>
      <c r="AE540" s="218">
        <v>0</v>
      </c>
      <c r="AF540">
        <v>0</v>
      </c>
      <c r="AH540" t="str">
        <f t="shared" si="26"/>
        <v>Mahua BMC</v>
      </c>
      <c r="AJ540" s="72">
        <v>0</v>
      </c>
      <c r="AK540" s="72"/>
      <c r="AL540" s="72"/>
      <c r="AM540" s="72"/>
    </row>
    <row r="541" spans="1:39" x14ac:dyDescent="0.25">
      <c r="A541" s="37" t="s">
        <v>62</v>
      </c>
      <c r="B541" s="66" t="s">
        <v>1596</v>
      </c>
      <c r="C541" s="47">
        <v>1013</v>
      </c>
      <c r="D541" s="47" t="s">
        <v>343</v>
      </c>
      <c r="E541" s="41">
        <v>10130102</v>
      </c>
      <c r="F541" s="46" t="s">
        <v>677</v>
      </c>
      <c r="G541" s="39" t="s">
        <v>617</v>
      </c>
      <c r="H541" s="48" t="s">
        <v>98</v>
      </c>
      <c r="I541" s="52">
        <v>321</v>
      </c>
      <c r="J541" s="49">
        <v>10997.23</v>
      </c>
      <c r="K541" s="65">
        <v>0</v>
      </c>
      <c r="L541" s="65">
        <v>0</v>
      </c>
      <c r="M541" s="65">
        <v>0</v>
      </c>
      <c r="N541" s="65">
        <v>0</v>
      </c>
      <c r="O541" s="65">
        <v>0</v>
      </c>
      <c r="P541" s="65">
        <v>0</v>
      </c>
      <c r="Q541" s="50">
        <v>10997.23</v>
      </c>
      <c r="R541" s="65">
        <v>0</v>
      </c>
      <c r="S541" s="65">
        <v>0</v>
      </c>
      <c r="T541" s="65">
        <v>0</v>
      </c>
      <c r="U541" s="65">
        <v>0</v>
      </c>
      <c r="V541" s="65">
        <v>0</v>
      </c>
      <c r="W541" s="65">
        <v>0</v>
      </c>
      <c r="X541" s="65">
        <v>0</v>
      </c>
      <c r="Y541" s="65">
        <v>0</v>
      </c>
      <c r="Z541" s="65">
        <v>10997.23</v>
      </c>
      <c r="AA541" s="51">
        <v>0</v>
      </c>
      <c r="AB541" s="102" t="s">
        <v>66</v>
      </c>
      <c r="AC541" s="81">
        <f t="shared" si="27"/>
        <v>259.68536884735204</v>
      </c>
      <c r="AD541" s="82">
        <f t="shared" si="28"/>
        <v>45.857142857142854</v>
      </c>
      <c r="AE541" s="218">
        <v>0</v>
      </c>
      <c r="AF541">
        <v>0</v>
      </c>
      <c r="AH541" t="str">
        <f t="shared" si="26"/>
        <v>Musrigharari</v>
      </c>
      <c r="AJ541" s="72">
        <v>0</v>
      </c>
      <c r="AK541" s="72"/>
      <c r="AL541" s="72"/>
      <c r="AM541" s="72"/>
    </row>
    <row r="542" spans="1:39" x14ac:dyDescent="0.25">
      <c r="A542" s="37" t="s">
        <v>62</v>
      </c>
      <c r="B542" s="66" t="s">
        <v>1596</v>
      </c>
      <c r="C542" s="47">
        <v>1013</v>
      </c>
      <c r="D542" s="47" t="s">
        <v>343</v>
      </c>
      <c r="E542" s="41">
        <v>10130107</v>
      </c>
      <c r="F542" s="46" t="s">
        <v>510</v>
      </c>
      <c r="G542" s="39" t="s">
        <v>617</v>
      </c>
      <c r="H542" s="48" t="s">
        <v>98</v>
      </c>
      <c r="I542" s="52">
        <v>271.8</v>
      </c>
      <c r="J542" s="49">
        <v>11066.869999999999</v>
      </c>
      <c r="K542" s="65">
        <v>0</v>
      </c>
      <c r="L542" s="65">
        <v>0</v>
      </c>
      <c r="M542" s="65">
        <v>0</v>
      </c>
      <c r="N542" s="65">
        <v>0</v>
      </c>
      <c r="O542" s="65">
        <v>0</v>
      </c>
      <c r="P542" s="65">
        <v>0</v>
      </c>
      <c r="Q542" s="50">
        <v>11066.869999999999</v>
      </c>
      <c r="R542" s="65">
        <v>0</v>
      </c>
      <c r="S542" s="65">
        <v>0</v>
      </c>
      <c r="T542" s="65">
        <v>0</v>
      </c>
      <c r="U542" s="65">
        <v>0</v>
      </c>
      <c r="V542" s="65">
        <v>0</v>
      </c>
      <c r="W542" s="65">
        <v>0</v>
      </c>
      <c r="X542" s="65">
        <v>0</v>
      </c>
      <c r="Y542" s="65">
        <v>0</v>
      </c>
      <c r="Z542" s="65">
        <v>11066.869999999999</v>
      </c>
      <c r="AA542" s="51">
        <v>0</v>
      </c>
      <c r="AB542" s="102">
        <v>0</v>
      </c>
      <c r="AC542" s="81">
        <f t="shared" si="27"/>
        <v>348.70005401030164</v>
      </c>
      <c r="AD542" s="82">
        <f t="shared" si="28"/>
        <v>38.828571428571429</v>
      </c>
      <c r="AE542" s="218">
        <v>0</v>
      </c>
      <c r="AF542">
        <v>0</v>
      </c>
      <c r="AH542" t="str">
        <f t="shared" si="26"/>
        <v>Musrigharari</v>
      </c>
      <c r="AJ542" s="72">
        <v>0</v>
      </c>
      <c r="AK542" s="72"/>
      <c r="AL542" s="72"/>
      <c r="AM542" s="72"/>
    </row>
    <row r="543" spans="1:39" x14ac:dyDescent="0.25">
      <c r="A543" s="37" t="s">
        <v>62</v>
      </c>
      <c r="B543" s="66" t="s">
        <v>1596</v>
      </c>
      <c r="C543" s="47">
        <v>1013</v>
      </c>
      <c r="D543" s="47" t="s">
        <v>343</v>
      </c>
      <c r="E543" s="41">
        <v>10130113</v>
      </c>
      <c r="F543" s="46" t="s">
        <v>1264</v>
      </c>
      <c r="G543" s="39" t="s">
        <v>617</v>
      </c>
      <c r="H543" s="48" t="s">
        <v>98</v>
      </c>
      <c r="I543" s="52">
        <v>305.7</v>
      </c>
      <c r="J543" s="49">
        <v>11930.94</v>
      </c>
      <c r="K543" s="65">
        <v>0</v>
      </c>
      <c r="L543" s="65">
        <v>0</v>
      </c>
      <c r="M543" s="65">
        <v>0</v>
      </c>
      <c r="N543" s="65">
        <v>0</v>
      </c>
      <c r="O543" s="65">
        <v>0</v>
      </c>
      <c r="P543" s="65">
        <v>0</v>
      </c>
      <c r="Q543" s="50">
        <v>11930.94</v>
      </c>
      <c r="R543" s="65">
        <v>0</v>
      </c>
      <c r="S543" s="65">
        <v>0</v>
      </c>
      <c r="T543" s="65">
        <v>0</v>
      </c>
      <c r="U543" s="65">
        <v>264</v>
      </c>
      <c r="V543" s="65">
        <v>0</v>
      </c>
      <c r="W543" s="65">
        <v>0</v>
      </c>
      <c r="X543" s="65">
        <v>0</v>
      </c>
      <c r="Y543" s="65">
        <v>0</v>
      </c>
      <c r="Z543" s="65">
        <v>11666.94</v>
      </c>
      <c r="AA543" s="51">
        <v>0</v>
      </c>
      <c r="AB543" s="102">
        <v>0</v>
      </c>
      <c r="AC543" s="81">
        <f t="shared" si="27"/>
        <v>307.77688204121694</v>
      </c>
      <c r="AD543" s="82">
        <f t="shared" si="28"/>
        <v>43.671428571428571</v>
      </c>
      <c r="AE543" s="218">
        <v>0</v>
      </c>
      <c r="AF543">
        <v>0</v>
      </c>
      <c r="AH543" t="str">
        <f t="shared" si="26"/>
        <v>Musrigharari</v>
      </c>
      <c r="AJ543" s="72">
        <v>0</v>
      </c>
      <c r="AK543" s="72"/>
      <c r="AL543" s="72"/>
      <c r="AM543" s="72"/>
    </row>
    <row r="544" spans="1:39" x14ac:dyDescent="0.25">
      <c r="A544" s="37" t="s">
        <v>62</v>
      </c>
      <c r="B544" s="66" t="s">
        <v>1596</v>
      </c>
      <c r="C544" s="47">
        <v>1013</v>
      </c>
      <c r="D544" s="47" t="s">
        <v>343</v>
      </c>
      <c r="E544" s="41">
        <v>10130114</v>
      </c>
      <c r="F544" s="46" t="s">
        <v>1281</v>
      </c>
      <c r="G544" s="39" t="s">
        <v>617</v>
      </c>
      <c r="H544" s="48" t="s">
        <v>98</v>
      </c>
      <c r="I544" s="52">
        <v>342.60000000000008</v>
      </c>
      <c r="J544" s="49">
        <v>13710.75</v>
      </c>
      <c r="K544" s="65">
        <v>0</v>
      </c>
      <c r="L544" s="65">
        <v>0</v>
      </c>
      <c r="M544" s="65">
        <v>0</v>
      </c>
      <c r="N544" s="65">
        <v>0</v>
      </c>
      <c r="O544" s="65">
        <v>0</v>
      </c>
      <c r="P544" s="65">
        <v>0</v>
      </c>
      <c r="Q544" s="50">
        <v>13710.75</v>
      </c>
      <c r="R544" s="65">
        <v>0</v>
      </c>
      <c r="S544" s="65">
        <v>0</v>
      </c>
      <c r="T544" s="65">
        <v>0</v>
      </c>
      <c r="U544" s="65">
        <v>0</v>
      </c>
      <c r="V544" s="65">
        <v>0</v>
      </c>
      <c r="W544" s="65">
        <v>0</v>
      </c>
      <c r="X544" s="65">
        <v>0</v>
      </c>
      <c r="Y544" s="65">
        <v>0</v>
      </c>
      <c r="Z544" s="65">
        <v>13710.75</v>
      </c>
      <c r="AA544" s="51">
        <v>0</v>
      </c>
      <c r="AB544" s="102">
        <v>0</v>
      </c>
      <c r="AC544" s="81">
        <f t="shared" si="27"/>
        <v>286.06083187390533</v>
      </c>
      <c r="AD544" s="82">
        <f t="shared" si="28"/>
        <v>48.942857142857157</v>
      </c>
      <c r="AE544" s="218">
        <v>0</v>
      </c>
      <c r="AF544">
        <v>0</v>
      </c>
      <c r="AH544" t="str">
        <f t="shared" si="26"/>
        <v>Musrigharari</v>
      </c>
      <c r="AJ544" s="72">
        <v>0</v>
      </c>
      <c r="AK544" s="72"/>
      <c r="AL544" s="72"/>
      <c r="AM544" s="72"/>
    </row>
    <row r="545" spans="1:39" x14ac:dyDescent="0.25">
      <c r="A545" s="37" t="s">
        <v>62</v>
      </c>
      <c r="B545" s="66" t="s">
        <v>1596</v>
      </c>
      <c r="C545" s="47">
        <v>1013</v>
      </c>
      <c r="D545" s="47" t="s">
        <v>343</v>
      </c>
      <c r="E545" s="41">
        <v>10130115</v>
      </c>
      <c r="F545" s="46" t="s">
        <v>1319</v>
      </c>
      <c r="G545" s="39" t="s">
        <v>92</v>
      </c>
      <c r="H545" s="48" t="s">
        <v>93</v>
      </c>
      <c r="I545" s="52">
        <v>521.40000000000009</v>
      </c>
      <c r="J545" s="49">
        <v>24351.570000000003</v>
      </c>
      <c r="K545" s="65">
        <v>515.19999999999993</v>
      </c>
      <c r="L545" s="65">
        <v>24276.15</v>
      </c>
      <c r="M545" s="65">
        <v>0</v>
      </c>
      <c r="N545" s="65">
        <v>0</v>
      </c>
      <c r="O545" s="65">
        <v>515.19999999999993</v>
      </c>
      <c r="P545" s="65">
        <v>24276.15</v>
      </c>
      <c r="Q545" s="50">
        <v>24276.15</v>
      </c>
      <c r="R545" s="65">
        <v>0</v>
      </c>
      <c r="S545" s="65">
        <v>0</v>
      </c>
      <c r="T545" s="65">
        <v>0</v>
      </c>
      <c r="U545" s="65">
        <v>0</v>
      </c>
      <c r="V545" s="65">
        <v>0</v>
      </c>
      <c r="W545" s="65">
        <v>0</v>
      </c>
      <c r="X545" s="65">
        <v>24276</v>
      </c>
      <c r="Y545" s="65">
        <v>0</v>
      </c>
      <c r="Z545" s="65">
        <v>0</v>
      </c>
      <c r="AA545" s="51">
        <v>76</v>
      </c>
      <c r="AB545" s="102">
        <v>0</v>
      </c>
      <c r="AC545" s="81">
        <f t="shared" si="27"/>
        <v>166.82740322209429</v>
      </c>
      <c r="AD545" s="82">
        <f t="shared" si="28"/>
        <v>74.485714285714295</v>
      </c>
      <c r="AE545" s="218">
        <v>3.0971309036748711E-3</v>
      </c>
      <c r="AF545">
        <v>2</v>
      </c>
      <c r="AH545" t="str">
        <f t="shared" si="26"/>
        <v>Musrigharari</v>
      </c>
      <c r="AJ545" s="72">
        <v>0</v>
      </c>
      <c r="AK545" s="72"/>
      <c r="AL545" s="72"/>
      <c r="AM545" s="72"/>
    </row>
    <row r="546" spans="1:39" x14ac:dyDescent="0.25">
      <c r="A546" s="37" t="s">
        <v>62</v>
      </c>
      <c r="B546" s="66" t="s">
        <v>1596</v>
      </c>
      <c r="C546" s="47">
        <v>1013</v>
      </c>
      <c r="D546" s="47" t="s">
        <v>343</v>
      </c>
      <c r="E546" s="41">
        <v>10130117</v>
      </c>
      <c r="F546" s="46" t="s">
        <v>1339</v>
      </c>
      <c r="G546" s="39" t="s">
        <v>92</v>
      </c>
      <c r="H546" s="48" t="s">
        <v>93</v>
      </c>
      <c r="I546" s="52">
        <v>282.39999999999998</v>
      </c>
      <c r="J546" s="49">
        <v>8974.85</v>
      </c>
      <c r="K546" s="65">
        <v>281.09999999999997</v>
      </c>
      <c r="L546" s="65">
        <v>8933.93</v>
      </c>
      <c r="M546" s="65">
        <v>0</v>
      </c>
      <c r="N546" s="65">
        <v>0</v>
      </c>
      <c r="O546" s="65">
        <v>281.09999999999997</v>
      </c>
      <c r="P546" s="65">
        <v>8933.93</v>
      </c>
      <c r="Q546" s="50">
        <v>8933.93</v>
      </c>
      <c r="R546" s="65">
        <v>0</v>
      </c>
      <c r="S546" s="65">
        <v>0</v>
      </c>
      <c r="T546" s="65">
        <v>0</v>
      </c>
      <c r="U546" s="65">
        <v>0</v>
      </c>
      <c r="V546" s="65">
        <v>0</v>
      </c>
      <c r="W546" s="65">
        <v>0</v>
      </c>
      <c r="X546" s="65">
        <v>8934</v>
      </c>
      <c r="Y546" s="65">
        <v>0</v>
      </c>
      <c r="Z546" s="65">
        <v>0</v>
      </c>
      <c r="AA546" s="51">
        <v>41</v>
      </c>
      <c r="AB546" s="102">
        <v>0</v>
      </c>
      <c r="AC546" s="81">
        <f t="shared" si="27"/>
        <v>265.43182436260628</v>
      </c>
      <c r="AD546" s="82">
        <f t="shared" si="28"/>
        <v>40.342857142857142</v>
      </c>
      <c r="AE546" s="218">
        <v>4.5594076781227616E-3</v>
      </c>
      <c r="AF546">
        <v>1</v>
      </c>
      <c r="AH546" t="str">
        <f t="shared" si="26"/>
        <v>Musrigharari</v>
      </c>
      <c r="AJ546" s="72">
        <v>0</v>
      </c>
      <c r="AK546" s="72"/>
      <c r="AL546" s="72"/>
      <c r="AM546" s="72"/>
    </row>
    <row r="547" spans="1:39" x14ac:dyDescent="0.25">
      <c r="A547" s="37" t="s">
        <v>62</v>
      </c>
      <c r="B547" s="66" t="s">
        <v>1596</v>
      </c>
      <c r="C547" s="47">
        <v>1013</v>
      </c>
      <c r="D547" s="47" t="s">
        <v>343</v>
      </c>
      <c r="E547" s="41">
        <v>10130118</v>
      </c>
      <c r="F547" s="46" t="s">
        <v>1351</v>
      </c>
      <c r="G547" s="39" t="s">
        <v>617</v>
      </c>
      <c r="H547" s="48" t="s">
        <v>98</v>
      </c>
      <c r="I547" s="52">
        <v>6657.1</v>
      </c>
      <c r="J547" s="49">
        <v>239648.86</v>
      </c>
      <c r="K547" s="65">
        <v>0</v>
      </c>
      <c r="L547" s="65">
        <v>0</v>
      </c>
      <c r="M547" s="65">
        <v>0</v>
      </c>
      <c r="N547" s="65">
        <v>0</v>
      </c>
      <c r="O547" s="65">
        <v>0</v>
      </c>
      <c r="P547" s="65">
        <v>0</v>
      </c>
      <c r="Q547" s="50">
        <v>239648.86</v>
      </c>
      <c r="R547" s="65">
        <v>0</v>
      </c>
      <c r="S547" s="65">
        <v>0</v>
      </c>
      <c r="T547" s="65">
        <v>0</v>
      </c>
      <c r="U547" s="65">
        <v>0</v>
      </c>
      <c r="V547" s="65">
        <v>0</v>
      </c>
      <c r="W547" s="65">
        <v>0</v>
      </c>
      <c r="X547" s="65">
        <v>0</v>
      </c>
      <c r="Y547" s="65">
        <v>0</v>
      </c>
      <c r="Z547" s="65">
        <v>239648.86</v>
      </c>
      <c r="AA547" s="51">
        <v>0</v>
      </c>
      <c r="AB547" s="102">
        <v>0</v>
      </c>
      <c r="AC547" s="81">
        <f t="shared" si="27"/>
        <v>0</v>
      </c>
      <c r="AD547" s="82">
        <f t="shared" si="28"/>
        <v>0</v>
      </c>
      <c r="AE547" s="218">
        <v>0</v>
      </c>
      <c r="AF547">
        <v>0</v>
      </c>
      <c r="AH547" t="str">
        <f t="shared" si="26"/>
        <v>Musrigharari</v>
      </c>
      <c r="AJ547" s="72">
        <v>0</v>
      </c>
      <c r="AK547" s="72"/>
      <c r="AL547" s="72"/>
      <c r="AM547" s="72"/>
    </row>
    <row r="548" spans="1:39" x14ac:dyDescent="0.25">
      <c r="A548" s="37" t="s">
        <v>62</v>
      </c>
      <c r="B548" s="66" t="s">
        <v>1596</v>
      </c>
      <c r="C548" s="47">
        <v>1013</v>
      </c>
      <c r="D548" s="47" t="s">
        <v>343</v>
      </c>
      <c r="E548" s="41">
        <v>10130119</v>
      </c>
      <c r="F548" s="46" t="s">
        <v>1452</v>
      </c>
      <c r="G548" s="39" t="s">
        <v>617</v>
      </c>
      <c r="H548" s="48" t="s">
        <v>98</v>
      </c>
      <c r="I548" s="52">
        <v>111</v>
      </c>
      <c r="J548" s="49">
        <v>4642.5899999999992</v>
      </c>
      <c r="K548" s="65">
        <v>0</v>
      </c>
      <c r="L548" s="65">
        <v>0</v>
      </c>
      <c r="M548" s="65">
        <v>0</v>
      </c>
      <c r="N548" s="65">
        <v>0</v>
      </c>
      <c r="O548" s="65">
        <v>0</v>
      </c>
      <c r="P548" s="65">
        <v>0</v>
      </c>
      <c r="Q548" s="50">
        <v>4642.5899999999992</v>
      </c>
      <c r="R548" s="65">
        <v>0</v>
      </c>
      <c r="S548" s="65">
        <v>0</v>
      </c>
      <c r="T548" s="65">
        <v>0</v>
      </c>
      <c r="U548" s="65">
        <v>0</v>
      </c>
      <c r="V548" s="65">
        <v>0</v>
      </c>
      <c r="W548" s="65">
        <v>0</v>
      </c>
      <c r="X548" s="65">
        <v>0</v>
      </c>
      <c r="Y548" s="65">
        <v>0</v>
      </c>
      <c r="Z548" s="65">
        <v>4642.5899999999992</v>
      </c>
      <c r="AA548" s="51">
        <v>0</v>
      </c>
      <c r="AB548" s="102">
        <v>0</v>
      </c>
      <c r="AC548" s="81">
        <f t="shared" si="27"/>
        <v>492.70009189189182</v>
      </c>
      <c r="AD548" s="82">
        <f t="shared" si="28"/>
        <v>15.857142857142858</v>
      </c>
      <c r="AE548" s="218">
        <v>0</v>
      </c>
      <c r="AF548">
        <v>0</v>
      </c>
      <c r="AH548" t="str">
        <f t="shared" si="26"/>
        <v>Musrigharari</v>
      </c>
      <c r="AJ548" s="72">
        <v>0</v>
      </c>
      <c r="AK548" s="72"/>
      <c r="AL548" s="72"/>
      <c r="AM548" s="72"/>
    </row>
    <row r="549" spans="1:39" x14ac:dyDescent="0.25">
      <c r="A549" s="37" t="s">
        <v>62</v>
      </c>
      <c r="B549" s="66" t="s">
        <v>1596</v>
      </c>
      <c r="C549" s="47">
        <v>1013</v>
      </c>
      <c r="D549" s="47" t="s">
        <v>343</v>
      </c>
      <c r="E549" s="41">
        <v>10130120</v>
      </c>
      <c r="F549" s="46" t="s">
        <v>1500</v>
      </c>
      <c r="G549" s="39" t="s">
        <v>92</v>
      </c>
      <c r="H549" s="48" t="s">
        <v>93</v>
      </c>
      <c r="I549" s="52">
        <v>490.20000000000005</v>
      </c>
      <c r="J549" s="49">
        <v>20165.239999999998</v>
      </c>
      <c r="K549" s="65">
        <v>486.17999999999995</v>
      </c>
      <c r="L549" s="65">
        <v>19821.61</v>
      </c>
      <c r="M549" s="65">
        <v>6.3199999999999985</v>
      </c>
      <c r="N549" s="65">
        <v>278.83</v>
      </c>
      <c r="O549" s="65">
        <v>492.49999999999994</v>
      </c>
      <c r="P549" s="65">
        <v>20100.440000000002</v>
      </c>
      <c r="Q549" s="50">
        <v>20100.440000000002</v>
      </c>
      <c r="R549" s="65">
        <v>0</v>
      </c>
      <c r="S549" s="65">
        <v>278.83</v>
      </c>
      <c r="T549" s="65">
        <v>0</v>
      </c>
      <c r="U549" s="65">
        <v>286</v>
      </c>
      <c r="V549" s="65">
        <v>0</v>
      </c>
      <c r="W549" s="65">
        <v>0</v>
      </c>
      <c r="X549" s="65">
        <v>19536</v>
      </c>
      <c r="Y549" s="65">
        <v>0</v>
      </c>
      <c r="Z549" s="65">
        <v>0</v>
      </c>
      <c r="AA549" s="51">
        <v>64</v>
      </c>
      <c r="AB549" s="102">
        <v>0</v>
      </c>
      <c r="AC549" s="81">
        <f t="shared" si="27"/>
        <v>172.60984708282325</v>
      </c>
      <c r="AD549" s="82">
        <f t="shared" si="28"/>
        <v>70.028571428571439</v>
      </c>
      <c r="AE549" s="218">
        <v>3.2134504721984783E-3</v>
      </c>
      <c r="AF549">
        <v>7</v>
      </c>
      <c r="AH549" t="str">
        <f t="shared" si="26"/>
        <v>Musrigharari</v>
      </c>
      <c r="AJ549" s="72">
        <v>0</v>
      </c>
      <c r="AK549" s="72"/>
      <c r="AL549" s="72"/>
      <c r="AM549" s="72"/>
    </row>
    <row r="550" spans="1:39" x14ac:dyDescent="0.25">
      <c r="A550" s="37" t="s">
        <v>62</v>
      </c>
      <c r="B550" s="66" t="s">
        <v>1596</v>
      </c>
      <c r="C550" s="47">
        <v>1013</v>
      </c>
      <c r="D550" s="47" t="s">
        <v>343</v>
      </c>
      <c r="E550" s="41">
        <v>10130122</v>
      </c>
      <c r="F550" s="46" t="s">
        <v>1547</v>
      </c>
      <c r="G550" s="39" t="s">
        <v>617</v>
      </c>
      <c r="H550" s="48" t="s">
        <v>98</v>
      </c>
      <c r="I550" s="52">
        <v>447.30000000000007</v>
      </c>
      <c r="J550" s="49">
        <v>15553.44</v>
      </c>
      <c r="K550" s="65">
        <v>0</v>
      </c>
      <c r="L550" s="65">
        <v>0</v>
      </c>
      <c r="M550" s="65">
        <v>0</v>
      </c>
      <c r="N550" s="65">
        <v>0</v>
      </c>
      <c r="O550" s="65">
        <v>0</v>
      </c>
      <c r="P550" s="65">
        <v>0</v>
      </c>
      <c r="Q550" s="50">
        <v>15553.44</v>
      </c>
      <c r="R550" s="65">
        <v>0</v>
      </c>
      <c r="S550" s="65">
        <v>0</v>
      </c>
      <c r="T550" s="65">
        <v>0</v>
      </c>
      <c r="U550" s="65">
        <v>1400</v>
      </c>
      <c r="V550" s="65">
        <v>0</v>
      </c>
      <c r="W550" s="65">
        <v>0</v>
      </c>
      <c r="X550" s="65">
        <v>0</v>
      </c>
      <c r="Y550" s="65">
        <v>0</v>
      </c>
      <c r="Z550" s="65">
        <v>14153.44</v>
      </c>
      <c r="AA550" s="51">
        <v>0</v>
      </c>
      <c r="AB550" s="102">
        <v>0</v>
      </c>
      <c r="AC550" s="81">
        <f t="shared" si="27"/>
        <v>175.73683380281679</v>
      </c>
      <c r="AD550" s="82">
        <f t="shared" si="28"/>
        <v>63.900000000000013</v>
      </c>
      <c r="AE550" s="218">
        <v>0</v>
      </c>
      <c r="AF550">
        <v>0</v>
      </c>
      <c r="AH550" t="str">
        <f t="shared" si="26"/>
        <v>Musrigharari</v>
      </c>
      <c r="AJ550" s="72">
        <v>0</v>
      </c>
      <c r="AK550" s="72"/>
      <c r="AL550" s="72"/>
      <c r="AM550" s="72"/>
    </row>
    <row r="551" spans="1:39" x14ac:dyDescent="0.25">
      <c r="A551" s="37" t="s">
        <v>62</v>
      </c>
      <c r="B551" s="66" t="s">
        <v>1596</v>
      </c>
      <c r="C551" s="47">
        <v>1014</v>
      </c>
      <c r="D551" s="47" t="s">
        <v>368</v>
      </c>
      <c r="E551" s="41">
        <v>10140001</v>
      </c>
      <c r="F551" s="46" t="s">
        <v>438</v>
      </c>
      <c r="G551" s="39" t="s">
        <v>92</v>
      </c>
      <c r="H551" s="48" t="s">
        <v>93</v>
      </c>
      <c r="I551" s="52">
        <v>486.10000000000008</v>
      </c>
      <c r="J551" s="49">
        <v>16371.729999999998</v>
      </c>
      <c r="K551" s="65">
        <v>485.6</v>
      </c>
      <c r="L551" s="65">
        <v>16355.57</v>
      </c>
      <c r="M551" s="65">
        <v>0</v>
      </c>
      <c r="N551" s="65">
        <v>0</v>
      </c>
      <c r="O551" s="65">
        <v>485.6</v>
      </c>
      <c r="P551" s="65">
        <v>16355.57</v>
      </c>
      <c r="Q551" s="50">
        <v>16355.57</v>
      </c>
      <c r="R551" s="65">
        <v>0</v>
      </c>
      <c r="S551" s="65">
        <v>0</v>
      </c>
      <c r="T551" s="65">
        <v>0</v>
      </c>
      <c r="U551" s="65">
        <v>0</v>
      </c>
      <c r="V551" s="65">
        <v>0</v>
      </c>
      <c r="W551" s="65">
        <v>0</v>
      </c>
      <c r="X551" s="65">
        <v>16355</v>
      </c>
      <c r="Y551" s="65">
        <v>0</v>
      </c>
      <c r="Z551" s="65">
        <v>0</v>
      </c>
      <c r="AA551" s="51">
        <v>17</v>
      </c>
      <c r="AB551" s="102">
        <v>0</v>
      </c>
      <c r="AC551" s="81">
        <f t="shared" si="27"/>
        <v>144.08200152232044</v>
      </c>
      <c r="AD551" s="82">
        <f t="shared" si="28"/>
        <v>69.44285714285715</v>
      </c>
      <c r="AE551" s="218">
        <v>9.8706734108112201E-4</v>
      </c>
      <c r="AF551">
        <v>5</v>
      </c>
      <c r="AH551" t="str">
        <f t="shared" si="26"/>
        <v>Dumraon</v>
      </c>
      <c r="AJ551" s="72">
        <v>0</v>
      </c>
      <c r="AK551" s="72"/>
      <c r="AL551" s="72"/>
      <c r="AM551" s="72"/>
    </row>
    <row r="552" spans="1:39" x14ac:dyDescent="0.25">
      <c r="A552" s="37" t="s">
        <v>62</v>
      </c>
      <c r="B552" s="66" t="s">
        <v>1596</v>
      </c>
      <c r="C552" s="47">
        <v>1014</v>
      </c>
      <c r="D552" s="47" t="s">
        <v>368</v>
      </c>
      <c r="E552" s="41">
        <v>10140002</v>
      </c>
      <c r="F552" s="46" t="s">
        <v>369</v>
      </c>
      <c r="G552" s="39" t="s">
        <v>92</v>
      </c>
      <c r="H552" s="48" t="s">
        <v>93</v>
      </c>
      <c r="I552" s="52">
        <v>702.90000000000009</v>
      </c>
      <c r="J552" s="49">
        <v>26067.449999999997</v>
      </c>
      <c r="K552" s="65">
        <v>729.06</v>
      </c>
      <c r="L552" s="65">
        <v>27944.54</v>
      </c>
      <c r="M552" s="65">
        <v>0</v>
      </c>
      <c r="N552" s="65">
        <v>0</v>
      </c>
      <c r="O552" s="65">
        <v>729.06</v>
      </c>
      <c r="P552" s="65">
        <v>27944.54</v>
      </c>
      <c r="Q552" s="50">
        <v>26067.449999999997</v>
      </c>
      <c r="R552" s="65">
        <v>0</v>
      </c>
      <c r="S552" s="65">
        <v>0</v>
      </c>
      <c r="T552" s="65">
        <v>1877.0900000000038</v>
      </c>
      <c r="U552" s="65">
        <v>0</v>
      </c>
      <c r="V552" s="65">
        <v>0</v>
      </c>
      <c r="W552" s="65">
        <v>0</v>
      </c>
      <c r="X552" s="65">
        <v>26067</v>
      </c>
      <c r="Y552" s="65">
        <v>0</v>
      </c>
      <c r="Z552" s="65">
        <v>0</v>
      </c>
      <c r="AA552" s="51">
        <v>0</v>
      </c>
      <c r="AB552" s="102">
        <v>0</v>
      </c>
      <c r="AC552" s="81">
        <f t="shared" si="27"/>
        <v>0</v>
      </c>
      <c r="AD552" s="82">
        <f t="shared" si="28"/>
        <v>0</v>
      </c>
      <c r="AE552" s="218">
        <v>-7.2008961367529392E-2</v>
      </c>
      <c r="AF552">
        <v>10</v>
      </c>
      <c r="AH552" t="str">
        <f t="shared" si="26"/>
        <v>Dumraon</v>
      </c>
      <c r="AJ552" s="72">
        <v>0</v>
      </c>
      <c r="AK552" s="72"/>
      <c r="AL552" s="72"/>
      <c r="AM552" s="72"/>
    </row>
    <row r="553" spans="1:39" x14ac:dyDescent="0.25">
      <c r="A553" s="37" t="s">
        <v>62</v>
      </c>
      <c r="B553" s="66" t="s">
        <v>1596</v>
      </c>
      <c r="C553" s="47">
        <v>1014</v>
      </c>
      <c r="D553" s="47" t="s">
        <v>368</v>
      </c>
      <c r="E553" s="41">
        <v>10140003</v>
      </c>
      <c r="F553" s="46" t="s">
        <v>370</v>
      </c>
      <c r="G553" s="39" t="s">
        <v>92</v>
      </c>
      <c r="H553" s="48" t="s">
        <v>93</v>
      </c>
      <c r="I553" s="52">
        <v>1111.8</v>
      </c>
      <c r="J553" s="49">
        <v>46125.520000000004</v>
      </c>
      <c r="K553" s="65">
        <v>1016.9999999999999</v>
      </c>
      <c r="L553" s="65">
        <v>45003.26</v>
      </c>
      <c r="M553" s="65">
        <v>34.700000000000003</v>
      </c>
      <c r="N553" s="65">
        <v>1434.34</v>
      </c>
      <c r="O553" s="65">
        <v>1051.6999999999998</v>
      </c>
      <c r="P553" s="65">
        <v>46437.599999999999</v>
      </c>
      <c r="Q553" s="50">
        <v>46125.520000000004</v>
      </c>
      <c r="R553" s="65">
        <v>0</v>
      </c>
      <c r="S553" s="65">
        <v>1434.34</v>
      </c>
      <c r="T553" s="65">
        <v>312.07999999999447</v>
      </c>
      <c r="U553" s="65">
        <v>0</v>
      </c>
      <c r="V553" s="65">
        <v>0</v>
      </c>
      <c r="W553" s="65">
        <v>0</v>
      </c>
      <c r="X553" s="65">
        <v>44691</v>
      </c>
      <c r="Y553" s="65">
        <v>0</v>
      </c>
      <c r="Z553" s="65">
        <v>0</v>
      </c>
      <c r="AA553" s="51">
        <v>0</v>
      </c>
      <c r="AB553" s="102">
        <v>0</v>
      </c>
      <c r="AC553" s="81">
        <f t="shared" si="27"/>
        <v>0</v>
      </c>
      <c r="AD553" s="82">
        <f t="shared" si="28"/>
        <v>0</v>
      </c>
      <c r="AE553" s="218">
        <v>-6.7658857829677463E-3</v>
      </c>
      <c r="AF553">
        <v>23</v>
      </c>
      <c r="AH553" t="str">
        <f t="shared" si="26"/>
        <v>Dumraon</v>
      </c>
      <c r="AJ553" s="72">
        <v>0</v>
      </c>
      <c r="AK553" s="72"/>
      <c r="AL553" s="72"/>
      <c r="AM553" s="72"/>
    </row>
    <row r="554" spans="1:39" x14ac:dyDescent="0.25">
      <c r="A554" s="37" t="s">
        <v>62</v>
      </c>
      <c r="B554" s="66" t="s">
        <v>1596</v>
      </c>
      <c r="C554" s="47">
        <v>1014</v>
      </c>
      <c r="D554" s="47" t="s">
        <v>368</v>
      </c>
      <c r="E554" s="41">
        <v>10140007</v>
      </c>
      <c r="F554" s="46" t="s">
        <v>371</v>
      </c>
      <c r="G554" s="39" t="s">
        <v>92</v>
      </c>
      <c r="H554" s="48" t="s">
        <v>93</v>
      </c>
      <c r="I554" s="52">
        <v>671.5</v>
      </c>
      <c r="J554" s="49">
        <v>24566.159999999993</v>
      </c>
      <c r="K554" s="65">
        <v>724.81000000000006</v>
      </c>
      <c r="L554" s="65">
        <v>29493.719999999998</v>
      </c>
      <c r="M554" s="65">
        <v>26.150000000000002</v>
      </c>
      <c r="N554" s="65">
        <v>1359.29</v>
      </c>
      <c r="O554" s="65">
        <v>750.96</v>
      </c>
      <c r="P554" s="65">
        <v>30853.01</v>
      </c>
      <c r="Q554" s="50">
        <v>24566.159999999993</v>
      </c>
      <c r="R554" s="65">
        <v>0</v>
      </c>
      <c r="S554" s="65">
        <v>1359.29</v>
      </c>
      <c r="T554" s="65">
        <v>6286.8500000000058</v>
      </c>
      <c r="U554" s="65">
        <v>0</v>
      </c>
      <c r="V554" s="65">
        <v>0</v>
      </c>
      <c r="W554" s="65">
        <v>0</v>
      </c>
      <c r="X554" s="65">
        <v>23207</v>
      </c>
      <c r="Y554" s="65">
        <v>0</v>
      </c>
      <c r="Z554" s="65">
        <v>0</v>
      </c>
      <c r="AA554" s="51">
        <v>0</v>
      </c>
      <c r="AB554" s="102" t="s">
        <v>1366</v>
      </c>
      <c r="AC554" s="81">
        <f t="shared" si="27"/>
        <v>20.852883395383451</v>
      </c>
      <c r="AD554" s="82">
        <f t="shared" si="28"/>
        <v>95.928571428571431</v>
      </c>
      <c r="AE554" s="218">
        <v>-0.25591504736597043</v>
      </c>
      <c r="AF554">
        <v>13</v>
      </c>
      <c r="AH554" t="str">
        <f t="shared" si="26"/>
        <v>Dumraon</v>
      </c>
      <c r="AJ554" s="72">
        <v>0</v>
      </c>
      <c r="AK554" s="72"/>
      <c r="AL554" s="72"/>
      <c r="AM554" s="72"/>
    </row>
    <row r="555" spans="1:39" x14ac:dyDescent="0.25">
      <c r="A555" s="37" t="s">
        <v>62</v>
      </c>
      <c r="B555" s="66" t="s">
        <v>1596</v>
      </c>
      <c r="C555" s="47">
        <v>1014</v>
      </c>
      <c r="D555" s="47" t="s">
        <v>368</v>
      </c>
      <c r="E555" s="41">
        <v>10140008</v>
      </c>
      <c r="F555" s="46" t="s">
        <v>372</v>
      </c>
      <c r="G555" s="39" t="s">
        <v>92</v>
      </c>
      <c r="H555" s="48" t="s">
        <v>93</v>
      </c>
      <c r="I555" s="52">
        <v>687.19999999999993</v>
      </c>
      <c r="J555" s="49">
        <v>27173.309999999998</v>
      </c>
      <c r="K555" s="65">
        <v>715.75000000000011</v>
      </c>
      <c r="L555" s="65">
        <v>27169.550000000003</v>
      </c>
      <c r="M555" s="65">
        <v>0</v>
      </c>
      <c r="N555" s="65">
        <v>0</v>
      </c>
      <c r="O555" s="65">
        <v>715.75000000000011</v>
      </c>
      <c r="P555" s="65">
        <v>27169.550000000003</v>
      </c>
      <c r="Q555" s="50">
        <v>27169.550000000003</v>
      </c>
      <c r="R555" s="65">
        <v>0</v>
      </c>
      <c r="S555" s="65">
        <v>0</v>
      </c>
      <c r="T555" s="65">
        <v>0</v>
      </c>
      <c r="U555" s="65">
        <v>0</v>
      </c>
      <c r="V555" s="65">
        <v>0</v>
      </c>
      <c r="W555" s="65">
        <v>0</v>
      </c>
      <c r="X555" s="65">
        <v>27171</v>
      </c>
      <c r="Y555" s="65">
        <v>0</v>
      </c>
      <c r="Z555" s="65">
        <v>0</v>
      </c>
      <c r="AA555" s="51">
        <v>2</v>
      </c>
      <c r="AB555" s="102">
        <v>0</v>
      </c>
      <c r="AC555" s="81">
        <f t="shared" si="27"/>
        <v>10.122769732246843</v>
      </c>
      <c r="AD555" s="82">
        <f t="shared" si="28"/>
        <v>98.171428571428564</v>
      </c>
      <c r="AE555" s="218">
        <v>1.3837107073060888E-4</v>
      </c>
      <c r="AF555">
        <v>16</v>
      </c>
      <c r="AH555" t="str">
        <f t="shared" si="26"/>
        <v>Dumraon</v>
      </c>
      <c r="AJ555" s="72">
        <v>0</v>
      </c>
      <c r="AK555" s="72"/>
      <c r="AL555" s="72"/>
      <c r="AM555" s="72"/>
    </row>
    <row r="556" spans="1:39" x14ac:dyDescent="0.25">
      <c r="A556" s="37" t="s">
        <v>62</v>
      </c>
      <c r="B556" s="66" t="s">
        <v>1596</v>
      </c>
      <c r="C556" s="47">
        <v>1014</v>
      </c>
      <c r="D556" s="47" t="s">
        <v>368</v>
      </c>
      <c r="E556" s="41">
        <v>10140009</v>
      </c>
      <c r="F556" s="46" t="s">
        <v>373</v>
      </c>
      <c r="G556" s="39" t="s">
        <v>92</v>
      </c>
      <c r="H556" s="48" t="s">
        <v>93</v>
      </c>
      <c r="I556" s="52">
        <v>1176.8999999999996</v>
      </c>
      <c r="J556" s="49">
        <v>49702.950000000004</v>
      </c>
      <c r="K556" s="65">
        <v>1198.6699999999998</v>
      </c>
      <c r="L556" s="65">
        <v>53132.01</v>
      </c>
      <c r="M556" s="65">
        <v>0</v>
      </c>
      <c r="N556" s="65">
        <v>0</v>
      </c>
      <c r="O556" s="65">
        <v>1198.6699999999998</v>
      </c>
      <c r="P556" s="65">
        <v>53132.01</v>
      </c>
      <c r="Q556" s="50">
        <v>49702.950000000004</v>
      </c>
      <c r="R556" s="65">
        <v>0</v>
      </c>
      <c r="S556" s="65">
        <v>0</v>
      </c>
      <c r="T556" s="65">
        <v>3429.0599999999977</v>
      </c>
      <c r="U556" s="65">
        <v>0</v>
      </c>
      <c r="V556" s="65">
        <v>0</v>
      </c>
      <c r="W556" s="65">
        <v>0</v>
      </c>
      <c r="X556" s="65">
        <v>49703</v>
      </c>
      <c r="Y556" s="65">
        <v>0</v>
      </c>
      <c r="Z556" s="65">
        <v>0</v>
      </c>
      <c r="AA556" s="51">
        <v>0</v>
      </c>
      <c r="AB556" s="102">
        <v>0</v>
      </c>
      <c r="AC556" s="81">
        <f t="shared" si="27"/>
        <v>0</v>
      </c>
      <c r="AD556" s="82">
        <f t="shared" si="28"/>
        <v>0</v>
      </c>
      <c r="AE556" s="218">
        <v>-6.8991075982411457E-2</v>
      </c>
      <c r="AF556">
        <v>6</v>
      </c>
      <c r="AH556" t="str">
        <f t="shared" si="26"/>
        <v>Dumraon</v>
      </c>
      <c r="AJ556" s="72">
        <v>0</v>
      </c>
      <c r="AK556" s="72"/>
      <c r="AL556" s="72"/>
      <c r="AM556" s="72"/>
    </row>
    <row r="557" spans="1:39" x14ac:dyDescent="0.25">
      <c r="A557" s="37" t="s">
        <v>62</v>
      </c>
      <c r="B557" s="66" t="s">
        <v>1596</v>
      </c>
      <c r="C557" s="47">
        <v>1014</v>
      </c>
      <c r="D557" s="47" t="s">
        <v>368</v>
      </c>
      <c r="E557" s="41">
        <v>10140011</v>
      </c>
      <c r="F557" s="46" t="s">
        <v>374</v>
      </c>
      <c r="G557" s="39" t="s">
        <v>92</v>
      </c>
      <c r="H557" s="48" t="s">
        <v>93</v>
      </c>
      <c r="I557" s="52">
        <v>147.30000000000001</v>
      </c>
      <c r="J557" s="49">
        <v>4699.46</v>
      </c>
      <c r="K557" s="65">
        <v>148</v>
      </c>
      <c r="L557" s="65">
        <v>4653.12</v>
      </c>
      <c r="M557" s="65">
        <v>0</v>
      </c>
      <c r="N557" s="65">
        <v>0</v>
      </c>
      <c r="O557" s="65">
        <v>148</v>
      </c>
      <c r="P557" s="65">
        <v>4653.12</v>
      </c>
      <c r="Q557" s="50">
        <v>4653.12</v>
      </c>
      <c r="R557" s="65">
        <v>0</v>
      </c>
      <c r="S557" s="65">
        <v>0</v>
      </c>
      <c r="T557" s="65">
        <v>0</v>
      </c>
      <c r="U557" s="65">
        <v>3960</v>
      </c>
      <c r="V557" s="65">
        <v>0</v>
      </c>
      <c r="W557" s="65">
        <v>0</v>
      </c>
      <c r="X557" s="65">
        <v>693</v>
      </c>
      <c r="Y557" s="65">
        <v>0</v>
      </c>
      <c r="Z557" s="65">
        <v>0</v>
      </c>
      <c r="AA557" s="51">
        <v>46</v>
      </c>
      <c r="AB557" s="102" t="s">
        <v>68</v>
      </c>
      <c r="AC557" s="81">
        <f t="shared" si="27"/>
        <v>352.66687603530215</v>
      </c>
      <c r="AD557" s="82">
        <f t="shared" si="28"/>
        <v>21.042857142857144</v>
      </c>
      <c r="AE557" s="218">
        <v>9.8607074004247609E-3</v>
      </c>
      <c r="AF557">
        <v>1</v>
      </c>
      <c r="AH557" t="str">
        <f t="shared" si="26"/>
        <v>Dumraon</v>
      </c>
      <c r="AJ557" s="72">
        <v>0</v>
      </c>
      <c r="AK557" s="72"/>
      <c r="AL557" s="72"/>
      <c r="AM557" s="72"/>
    </row>
    <row r="558" spans="1:39" x14ac:dyDescent="0.25">
      <c r="A558" s="37" t="s">
        <v>62</v>
      </c>
      <c r="B558" s="66" t="s">
        <v>1596</v>
      </c>
      <c r="C558" s="47">
        <v>1014</v>
      </c>
      <c r="D558" s="47" t="s">
        <v>368</v>
      </c>
      <c r="E558" s="41">
        <v>10140012</v>
      </c>
      <c r="F558" s="46" t="s">
        <v>375</v>
      </c>
      <c r="G558" s="39" t="s">
        <v>92</v>
      </c>
      <c r="H558" s="48" t="s">
        <v>93</v>
      </c>
      <c r="I558" s="52">
        <v>1221.3</v>
      </c>
      <c r="J558" s="49">
        <v>52888.210000000006</v>
      </c>
      <c r="K558" s="65">
        <v>1217.8899999999999</v>
      </c>
      <c r="L558" s="65">
        <v>53555.630000000005</v>
      </c>
      <c r="M558" s="65">
        <v>5.1000000000000005</v>
      </c>
      <c r="N558" s="65">
        <v>201.70000000000005</v>
      </c>
      <c r="O558" s="65">
        <v>1222.9899999999998</v>
      </c>
      <c r="P558" s="65">
        <v>53757.33</v>
      </c>
      <c r="Q558" s="50">
        <v>52888.210000000006</v>
      </c>
      <c r="R558" s="65">
        <v>0</v>
      </c>
      <c r="S558" s="65">
        <v>201.70000000000005</v>
      </c>
      <c r="T558" s="65">
        <v>869.11999999999534</v>
      </c>
      <c r="U558" s="65">
        <v>0</v>
      </c>
      <c r="V558" s="65">
        <v>0</v>
      </c>
      <c r="W558" s="65">
        <v>0</v>
      </c>
      <c r="X558" s="65">
        <v>52687</v>
      </c>
      <c r="Y558" s="65">
        <v>0</v>
      </c>
      <c r="Z558" s="65">
        <v>0</v>
      </c>
      <c r="AA558" s="51">
        <v>0</v>
      </c>
      <c r="AB558" s="102" t="s">
        <v>1366</v>
      </c>
      <c r="AC558" s="81">
        <f t="shared" si="27"/>
        <v>0</v>
      </c>
      <c r="AD558" s="82">
        <f t="shared" si="28"/>
        <v>0</v>
      </c>
      <c r="AE558" s="218">
        <v>-1.6433152114620542E-2</v>
      </c>
      <c r="AF558">
        <v>15</v>
      </c>
      <c r="AH558" t="str">
        <f t="shared" si="26"/>
        <v>Dumraon</v>
      </c>
      <c r="AJ558" s="72">
        <v>0</v>
      </c>
      <c r="AK558" s="72"/>
      <c r="AL558" s="72"/>
      <c r="AM558" s="72"/>
    </row>
    <row r="559" spans="1:39" x14ac:dyDescent="0.25">
      <c r="A559" s="37" t="s">
        <v>62</v>
      </c>
      <c r="B559" s="66" t="s">
        <v>1596</v>
      </c>
      <c r="C559" s="47">
        <v>1014</v>
      </c>
      <c r="D559" s="47" t="s">
        <v>368</v>
      </c>
      <c r="E559" s="41">
        <v>10140013</v>
      </c>
      <c r="F559" s="46" t="s">
        <v>376</v>
      </c>
      <c r="G559" s="39" t="s">
        <v>92</v>
      </c>
      <c r="H559" s="48" t="s">
        <v>93</v>
      </c>
      <c r="I559" s="52">
        <v>2247</v>
      </c>
      <c r="J559" s="49">
        <v>89222</v>
      </c>
      <c r="K559" s="65">
        <v>2307.6</v>
      </c>
      <c r="L559" s="65">
        <v>89156.859999999986</v>
      </c>
      <c r="M559" s="65">
        <v>4</v>
      </c>
      <c r="N559" s="65">
        <v>136.24</v>
      </c>
      <c r="O559" s="65">
        <v>2311.6</v>
      </c>
      <c r="P559" s="65">
        <v>89293.099999999991</v>
      </c>
      <c r="Q559" s="50">
        <v>89222</v>
      </c>
      <c r="R559" s="65">
        <v>0</v>
      </c>
      <c r="S559" s="65">
        <v>136.24</v>
      </c>
      <c r="T559" s="65">
        <v>71.099999999991269</v>
      </c>
      <c r="U559" s="65">
        <v>0</v>
      </c>
      <c r="V559" s="65">
        <v>0</v>
      </c>
      <c r="W559" s="65">
        <v>0</v>
      </c>
      <c r="X559" s="65">
        <v>89086</v>
      </c>
      <c r="Y559" s="65">
        <v>0</v>
      </c>
      <c r="Z559" s="65">
        <v>0</v>
      </c>
      <c r="AA559" s="51">
        <v>0</v>
      </c>
      <c r="AB559" s="102" t="s">
        <v>1366</v>
      </c>
      <c r="AC559" s="81">
        <f t="shared" si="27"/>
        <v>0</v>
      </c>
      <c r="AD559" s="82">
        <f t="shared" si="28"/>
        <v>0</v>
      </c>
      <c r="AE559" s="218">
        <v>-7.96888659747498E-4</v>
      </c>
      <c r="AF559">
        <v>6</v>
      </c>
      <c r="AH559" t="str">
        <f t="shared" si="26"/>
        <v>Dumraon</v>
      </c>
      <c r="AJ559" s="72">
        <v>0</v>
      </c>
      <c r="AK559" s="72"/>
      <c r="AL559" s="72"/>
      <c r="AM559" s="72"/>
    </row>
    <row r="560" spans="1:39" x14ac:dyDescent="0.25">
      <c r="A560" s="37" t="s">
        <v>62</v>
      </c>
      <c r="B560" s="66" t="s">
        <v>1596</v>
      </c>
      <c r="C560" s="47">
        <v>1014</v>
      </c>
      <c r="D560" s="47" t="s">
        <v>368</v>
      </c>
      <c r="E560" s="41">
        <v>10140018</v>
      </c>
      <c r="F560" s="46" t="s">
        <v>1119</v>
      </c>
      <c r="G560" s="39" t="s">
        <v>92</v>
      </c>
      <c r="H560" s="48" t="s">
        <v>93</v>
      </c>
      <c r="I560" s="52">
        <v>350.7</v>
      </c>
      <c r="J560" s="49">
        <v>18661.379999999997</v>
      </c>
      <c r="K560" s="65">
        <v>349</v>
      </c>
      <c r="L560" s="65">
        <v>18626.13</v>
      </c>
      <c r="M560" s="65">
        <v>0</v>
      </c>
      <c r="N560" s="65">
        <v>0</v>
      </c>
      <c r="O560" s="65">
        <v>349</v>
      </c>
      <c r="P560" s="65">
        <v>18626.13</v>
      </c>
      <c r="Q560" s="50">
        <v>18626.13</v>
      </c>
      <c r="R560" s="65">
        <v>0</v>
      </c>
      <c r="S560" s="65">
        <v>0</v>
      </c>
      <c r="T560" s="65">
        <v>0</v>
      </c>
      <c r="U560" s="65">
        <v>0</v>
      </c>
      <c r="V560" s="65">
        <v>0</v>
      </c>
      <c r="W560" s="65">
        <v>0</v>
      </c>
      <c r="X560" s="65">
        <v>18626</v>
      </c>
      <c r="Y560" s="65">
        <v>0</v>
      </c>
      <c r="Z560" s="65">
        <v>0</v>
      </c>
      <c r="AA560" s="51">
        <v>35</v>
      </c>
      <c r="AB560" s="102">
        <v>0</v>
      </c>
      <c r="AC560" s="81">
        <f t="shared" si="27"/>
        <v>371.73766946107781</v>
      </c>
      <c r="AD560" s="82">
        <f t="shared" si="28"/>
        <v>50.1</v>
      </c>
      <c r="AE560" s="218">
        <v>1.8889278284883737E-3</v>
      </c>
      <c r="AF560">
        <v>2</v>
      </c>
      <c r="AH560" t="str">
        <f t="shared" si="26"/>
        <v>Dumraon</v>
      </c>
      <c r="AJ560" s="72">
        <v>0</v>
      </c>
      <c r="AK560" s="72"/>
      <c r="AL560" s="72"/>
      <c r="AM560" s="72"/>
    </row>
    <row r="561" spans="1:39" x14ac:dyDescent="0.25">
      <c r="A561" s="37" t="s">
        <v>62</v>
      </c>
      <c r="B561" s="66" t="s">
        <v>1596</v>
      </c>
      <c r="C561" s="47">
        <v>1014</v>
      </c>
      <c r="D561" s="47" t="s">
        <v>368</v>
      </c>
      <c r="E561" s="41">
        <v>10140020</v>
      </c>
      <c r="F561" s="46" t="s">
        <v>1237</v>
      </c>
      <c r="G561" s="39" t="s">
        <v>92</v>
      </c>
      <c r="H561" s="48" t="s">
        <v>93</v>
      </c>
      <c r="I561" s="52">
        <v>56.6</v>
      </c>
      <c r="J561" s="49">
        <v>2052.86</v>
      </c>
      <c r="K561" s="65">
        <v>68.900000000000006</v>
      </c>
      <c r="L561" s="65">
        <v>2705.21</v>
      </c>
      <c r="M561" s="65">
        <v>0</v>
      </c>
      <c r="N561" s="65">
        <v>0</v>
      </c>
      <c r="O561" s="65">
        <v>68.900000000000006</v>
      </c>
      <c r="P561" s="65">
        <v>2705.21</v>
      </c>
      <c r="Q561" s="50">
        <v>2052.86</v>
      </c>
      <c r="R561" s="65">
        <v>0</v>
      </c>
      <c r="S561" s="65">
        <v>0</v>
      </c>
      <c r="T561" s="65">
        <v>652.34999999999991</v>
      </c>
      <c r="U561" s="65">
        <v>0</v>
      </c>
      <c r="V561" s="65">
        <v>500</v>
      </c>
      <c r="W561" s="65">
        <v>0</v>
      </c>
      <c r="X561" s="65">
        <v>1553</v>
      </c>
      <c r="Y561" s="65">
        <v>0</v>
      </c>
      <c r="Z561" s="65">
        <v>0</v>
      </c>
      <c r="AA561" s="51">
        <v>0</v>
      </c>
      <c r="AB561" s="102">
        <v>0</v>
      </c>
      <c r="AC561" s="81">
        <f t="shared" si="27"/>
        <v>466.71735830388695</v>
      </c>
      <c r="AD561" s="82">
        <f t="shared" si="28"/>
        <v>8.0857142857142854</v>
      </c>
      <c r="AE561" s="218">
        <v>-0.31777617567686051</v>
      </c>
      <c r="AF561">
        <v>1</v>
      </c>
      <c r="AH561" t="str">
        <f t="shared" si="26"/>
        <v>Dumraon</v>
      </c>
      <c r="AJ561" s="72">
        <v>500</v>
      </c>
      <c r="AK561" s="72"/>
      <c r="AL561" s="72"/>
      <c r="AM561" s="72"/>
    </row>
    <row r="562" spans="1:39" x14ac:dyDescent="0.25">
      <c r="A562" s="37" t="s">
        <v>62</v>
      </c>
      <c r="B562" s="66" t="s">
        <v>1596</v>
      </c>
      <c r="C562" s="47">
        <v>1014</v>
      </c>
      <c r="D562" s="47" t="s">
        <v>368</v>
      </c>
      <c r="E562" s="41">
        <v>10140022</v>
      </c>
      <c r="F562" s="46" t="s">
        <v>377</v>
      </c>
      <c r="G562" s="39" t="s">
        <v>92</v>
      </c>
      <c r="H562" s="48" t="s">
        <v>93</v>
      </c>
      <c r="I562" s="52">
        <v>487.1</v>
      </c>
      <c r="J562" s="49">
        <v>18889.290000000005</v>
      </c>
      <c r="K562" s="65">
        <v>480</v>
      </c>
      <c r="L562" s="65">
        <v>18936.419999999998</v>
      </c>
      <c r="M562" s="65">
        <v>0</v>
      </c>
      <c r="N562" s="65">
        <v>0</v>
      </c>
      <c r="O562" s="65">
        <v>480</v>
      </c>
      <c r="P562" s="65">
        <v>18936.419999999998</v>
      </c>
      <c r="Q562" s="50">
        <v>18889.290000000005</v>
      </c>
      <c r="R562" s="65">
        <v>0</v>
      </c>
      <c r="S562" s="65">
        <v>0</v>
      </c>
      <c r="T562" s="65">
        <v>47.129999999993743</v>
      </c>
      <c r="U562" s="65">
        <v>0</v>
      </c>
      <c r="V562" s="65">
        <v>0</v>
      </c>
      <c r="W562" s="65">
        <v>0</v>
      </c>
      <c r="X562" s="65">
        <v>18889</v>
      </c>
      <c r="Y562" s="65">
        <v>0</v>
      </c>
      <c r="Z562" s="65">
        <v>0</v>
      </c>
      <c r="AA562" s="51">
        <v>0</v>
      </c>
      <c r="AB562" s="102">
        <v>0</v>
      </c>
      <c r="AC562" s="81">
        <f t="shared" si="27"/>
        <v>165.1213237938822</v>
      </c>
      <c r="AD562" s="82">
        <f t="shared" si="28"/>
        <v>69.585714285714289</v>
      </c>
      <c r="AE562" s="218">
        <v>-2.495064663626517E-3</v>
      </c>
      <c r="AF562">
        <v>3</v>
      </c>
      <c r="AH562" t="str">
        <f t="shared" si="26"/>
        <v>Dumraon</v>
      </c>
      <c r="AJ562" s="72">
        <v>0</v>
      </c>
      <c r="AK562" s="72"/>
      <c r="AL562" s="72"/>
      <c r="AM562" s="72"/>
    </row>
    <row r="563" spans="1:39" x14ac:dyDescent="0.25">
      <c r="A563" s="37" t="s">
        <v>62</v>
      </c>
      <c r="B563" s="66" t="s">
        <v>1596</v>
      </c>
      <c r="C563" s="47">
        <v>1014</v>
      </c>
      <c r="D563" s="47" t="s">
        <v>368</v>
      </c>
      <c r="E563" s="41">
        <v>10140032</v>
      </c>
      <c r="F563" s="46" t="s">
        <v>378</v>
      </c>
      <c r="G563" s="39" t="s">
        <v>92</v>
      </c>
      <c r="H563" s="48" t="s">
        <v>93</v>
      </c>
      <c r="I563" s="52">
        <v>417.49999999999994</v>
      </c>
      <c r="J563" s="49">
        <v>15290.150000000001</v>
      </c>
      <c r="K563" s="65">
        <v>419</v>
      </c>
      <c r="L563" s="65">
        <v>15259.98</v>
      </c>
      <c r="M563" s="65">
        <v>0</v>
      </c>
      <c r="N563" s="65">
        <v>0</v>
      </c>
      <c r="O563" s="65">
        <v>419</v>
      </c>
      <c r="P563" s="65">
        <v>15259.98</v>
      </c>
      <c r="Q563" s="50">
        <v>15259.98</v>
      </c>
      <c r="R563" s="65">
        <v>0</v>
      </c>
      <c r="S563" s="65">
        <v>0</v>
      </c>
      <c r="T563" s="65">
        <v>0</v>
      </c>
      <c r="U563" s="65">
        <v>0</v>
      </c>
      <c r="V563" s="65">
        <v>500</v>
      </c>
      <c r="W563" s="65">
        <v>0</v>
      </c>
      <c r="X563" s="65">
        <v>14760</v>
      </c>
      <c r="Y563" s="65">
        <v>0</v>
      </c>
      <c r="Z563" s="65">
        <v>0</v>
      </c>
      <c r="AA563" s="51">
        <v>30</v>
      </c>
      <c r="AB563" s="102">
        <v>0</v>
      </c>
      <c r="AC563" s="81">
        <f t="shared" si="27"/>
        <v>206.92059281437133</v>
      </c>
      <c r="AD563" s="82">
        <f t="shared" si="28"/>
        <v>59.642857142857132</v>
      </c>
      <c r="AE563" s="218">
        <v>1.9731657308791535E-3</v>
      </c>
      <c r="AF563">
        <v>2</v>
      </c>
      <c r="AH563" t="str">
        <f t="shared" si="26"/>
        <v>Dumraon</v>
      </c>
      <c r="AJ563" s="72">
        <v>500</v>
      </c>
      <c r="AK563" s="72"/>
      <c r="AL563" s="72"/>
      <c r="AM563" s="72"/>
    </row>
    <row r="564" spans="1:39" x14ac:dyDescent="0.25">
      <c r="A564" s="37" t="s">
        <v>62</v>
      </c>
      <c r="B564" s="66" t="s">
        <v>1596</v>
      </c>
      <c r="C564" s="47">
        <v>1014</v>
      </c>
      <c r="D564" s="47" t="s">
        <v>368</v>
      </c>
      <c r="E564" s="41">
        <v>10140033</v>
      </c>
      <c r="F564" s="46" t="s">
        <v>379</v>
      </c>
      <c r="G564" s="39" t="s">
        <v>92</v>
      </c>
      <c r="H564" s="48" t="s">
        <v>93</v>
      </c>
      <c r="I564" s="52">
        <v>93.4</v>
      </c>
      <c r="J564" s="49">
        <v>3584.9800000000005</v>
      </c>
      <c r="K564" s="65">
        <v>94</v>
      </c>
      <c r="L564" s="65">
        <v>3528.7599999999998</v>
      </c>
      <c r="M564" s="65">
        <v>0</v>
      </c>
      <c r="N564" s="65">
        <v>0</v>
      </c>
      <c r="O564" s="65">
        <v>94</v>
      </c>
      <c r="P564" s="65">
        <v>3528.7599999999998</v>
      </c>
      <c r="Q564" s="50">
        <v>3528.7599999999998</v>
      </c>
      <c r="R564" s="65">
        <v>0</v>
      </c>
      <c r="S564" s="65">
        <v>0</v>
      </c>
      <c r="T564" s="65">
        <v>0</v>
      </c>
      <c r="U564" s="65">
        <v>0</v>
      </c>
      <c r="V564" s="65">
        <v>0</v>
      </c>
      <c r="W564" s="65">
        <v>0</v>
      </c>
      <c r="X564" s="65">
        <v>3529</v>
      </c>
      <c r="Y564" s="65">
        <v>0</v>
      </c>
      <c r="Z564" s="65">
        <v>0</v>
      </c>
      <c r="AA564" s="51">
        <v>56</v>
      </c>
      <c r="AB564" s="102">
        <v>0</v>
      </c>
      <c r="AC564" s="81">
        <f t="shared" si="27"/>
        <v>465.66356916488229</v>
      </c>
      <c r="AD564" s="82">
        <f t="shared" si="28"/>
        <v>13.342857142857143</v>
      </c>
      <c r="AE564" s="218">
        <v>1.568209585548614E-2</v>
      </c>
      <c r="AF564">
        <v>2</v>
      </c>
      <c r="AH564" t="str">
        <f t="shared" si="26"/>
        <v>Dumraon</v>
      </c>
      <c r="AJ564" s="72">
        <v>0</v>
      </c>
      <c r="AK564" s="72"/>
      <c r="AL564" s="72"/>
      <c r="AM564" s="72"/>
    </row>
    <row r="565" spans="1:39" x14ac:dyDescent="0.25">
      <c r="A565" s="37" t="s">
        <v>62</v>
      </c>
      <c r="B565" s="66" t="s">
        <v>1596</v>
      </c>
      <c r="C565" s="47">
        <v>1014</v>
      </c>
      <c r="D565" s="47" t="s">
        <v>368</v>
      </c>
      <c r="E565" s="41">
        <v>10140034</v>
      </c>
      <c r="F565" s="46" t="s">
        <v>380</v>
      </c>
      <c r="G565" s="39" t="s">
        <v>92</v>
      </c>
      <c r="H565" s="48" t="s">
        <v>93</v>
      </c>
      <c r="I565" s="52">
        <v>348.6</v>
      </c>
      <c r="J565" s="49">
        <v>12826.949999999999</v>
      </c>
      <c r="K565" s="65">
        <v>353.4</v>
      </c>
      <c r="L565" s="65">
        <v>13890.370000000003</v>
      </c>
      <c r="M565" s="65">
        <v>4.1000000000000005</v>
      </c>
      <c r="N565" s="65">
        <v>154.14000000000001</v>
      </c>
      <c r="O565" s="65">
        <v>357.5</v>
      </c>
      <c r="P565" s="65">
        <v>14044.510000000002</v>
      </c>
      <c r="Q565" s="50">
        <v>12826.949999999999</v>
      </c>
      <c r="R565" s="65">
        <v>0</v>
      </c>
      <c r="S565" s="65">
        <v>154.14000000000001</v>
      </c>
      <c r="T565" s="65">
        <v>1217.5600000000031</v>
      </c>
      <c r="U565" s="65">
        <v>0</v>
      </c>
      <c r="V565" s="65">
        <v>0</v>
      </c>
      <c r="W565" s="65">
        <v>0</v>
      </c>
      <c r="X565" s="65">
        <v>12673</v>
      </c>
      <c r="Y565" s="65">
        <v>0</v>
      </c>
      <c r="Z565" s="65">
        <v>0</v>
      </c>
      <c r="AA565" s="51">
        <v>0</v>
      </c>
      <c r="AB565" s="102">
        <v>0</v>
      </c>
      <c r="AC565" s="81">
        <f t="shared" si="27"/>
        <v>258.59955421686743</v>
      </c>
      <c r="AD565" s="82">
        <f t="shared" si="28"/>
        <v>49.800000000000004</v>
      </c>
      <c r="AE565" s="218">
        <v>-9.4922019653932016E-2</v>
      </c>
      <c r="AF565">
        <v>4</v>
      </c>
      <c r="AH565" t="str">
        <f t="shared" si="26"/>
        <v>Dumraon</v>
      </c>
      <c r="AJ565" s="72">
        <v>0</v>
      </c>
      <c r="AK565" s="72"/>
      <c r="AL565" s="72"/>
      <c r="AM565" s="72"/>
    </row>
    <row r="566" spans="1:39" x14ac:dyDescent="0.25">
      <c r="A566" s="37" t="s">
        <v>62</v>
      </c>
      <c r="B566" s="66" t="s">
        <v>1596</v>
      </c>
      <c r="C566" s="47">
        <v>1014</v>
      </c>
      <c r="D566" s="47" t="s">
        <v>368</v>
      </c>
      <c r="E566" s="41">
        <v>10140039</v>
      </c>
      <c r="F566" s="46" t="s">
        <v>381</v>
      </c>
      <c r="G566" s="39" t="s">
        <v>92</v>
      </c>
      <c r="H566" s="48" t="s">
        <v>93</v>
      </c>
      <c r="I566" s="52">
        <v>214.5</v>
      </c>
      <c r="J566" s="49">
        <v>8610.5300000000007</v>
      </c>
      <c r="K566" s="65">
        <v>210.9</v>
      </c>
      <c r="L566" s="65">
        <v>8629.5399999999991</v>
      </c>
      <c r="M566" s="65">
        <v>4.6000000000000005</v>
      </c>
      <c r="N566" s="65">
        <v>176.16</v>
      </c>
      <c r="O566" s="65">
        <v>215.5</v>
      </c>
      <c r="P566" s="65">
        <v>8805.6999999999989</v>
      </c>
      <c r="Q566" s="50">
        <v>8610.5300000000007</v>
      </c>
      <c r="R566" s="65">
        <v>0</v>
      </c>
      <c r="S566" s="65">
        <v>176.16</v>
      </c>
      <c r="T566" s="65">
        <v>195.16999999999825</v>
      </c>
      <c r="U566" s="65">
        <v>0</v>
      </c>
      <c r="V566" s="65">
        <v>0</v>
      </c>
      <c r="W566" s="65">
        <v>0</v>
      </c>
      <c r="X566" s="65">
        <v>8434</v>
      </c>
      <c r="Y566" s="65">
        <v>0</v>
      </c>
      <c r="Z566" s="65">
        <v>0</v>
      </c>
      <c r="AA566" s="51">
        <v>0</v>
      </c>
      <c r="AB566" s="102">
        <v>0</v>
      </c>
      <c r="AC566" s="81">
        <f t="shared" si="27"/>
        <v>389.78203403263404</v>
      </c>
      <c r="AD566" s="82">
        <f t="shared" si="28"/>
        <v>30.642857142857142</v>
      </c>
      <c r="AE566" s="218">
        <v>-2.2666432844435619E-2</v>
      </c>
      <c r="AF566">
        <v>9</v>
      </c>
      <c r="AH566" t="str">
        <f t="shared" si="26"/>
        <v>Dumraon</v>
      </c>
      <c r="AJ566" s="72">
        <v>0</v>
      </c>
      <c r="AK566" s="72"/>
      <c r="AL566" s="72"/>
      <c r="AM566" s="72"/>
    </row>
    <row r="567" spans="1:39" x14ac:dyDescent="0.25">
      <c r="A567" s="37" t="s">
        <v>62</v>
      </c>
      <c r="B567" s="66" t="s">
        <v>1596</v>
      </c>
      <c r="C567" s="47">
        <v>1014</v>
      </c>
      <c r="D567" s="47" t="s">
        <v>368</v>
      </c>
      <c r="E567" s="41">
        <v>10140041</v>
      </c>
      <c r="F567" s="46" t="s">
        <v>1561</v>
      </c>
      <c r="G567" s="39" t="s">
        <v>92</v>
      </c>
      <c r="H567" s="48" t="s">
        <v>93</v>
      </c>
      <c r="I567" s="52">
        <v>220</v>
      </c>
      <c r="J567" s="49">
        <v>8709.49</v>
      </c>
      <c r="K567" s="65">
        <v>219</v>
      </c>
      <c r="L567" s="65">
        <v>8405.2199999999993</v>
      </c>
      <c r="M567" s="65">
        <v>0</v>
      </c>
      <c r="N567" s="65">
        <v>0</v>
      </c>
      <c r="O567" s="65">
        <v>219</v>
      </c>
      <c r="P567" s="65">
        <v>8405.2199999999993</v>
      </c>
      <c r="Q567" s="50">
        <v>8405.2199999999993</v>
      </c>
      <c r="R567" s="65">
        <v>0</v>
      </c>
      <c r="S567" s="65">
        <v>0</v>
      </c>
      <c r="T567" s="65">
        <v>0</v>
      </c>
      <c r="U567" s="65">
        <v>0</v>
      </c>
      <c r="V567" s="65">
        <v>500</v>
      </c>
      <c r="W567" s="65">
        <v>0</v>
      </c>
      <c r="X567" s="65">
        <v>7905</v>
      </c>
      <c r="Y567" s="65">
        <v>0</v>
      </c>
      <c r="Z567" s="65">
        <v>0</v>
      </c>
      <c r="AA567" s="51">
        <v>304</v>
      </c>
      <c r="AB567" s="102">
        <v>0</v>
      </c>
      <c r="AC567" s="81">
        <f t="shared" si="27"/>
        <v>380.05047272727273</v>
      </c>
      <c r="AD567" s="82">
        <f t="shared" si="28"/>
        <v>31.428571428571427</v>
      </c>
      <c r="AE567" s="218">
        <v>3.4935455462949086E-2</v>
      </c>
      <c r="AF567">
        <v>2</v>
      </c>
      <c r="AH567" t="str">
        <f t="shared" si="26"/>
        <v>Dumraon</v>
      </c>
      <c r="AJ567" s="72">
        <v>500</v>
      </c>
      <c r="AK567" s="72"/>
      <c r="AL567" s="72"/>
      <c r="AM567" s="72"/>
    </row>
    <row r="568" spans="1:39" x14ac:dyDescent="0.25">
      <c r="A568" s="37" t="s">
        <v>62</v>
      </c>
      <c r="B568" s="66" t="s">
        <v>1596</v>
      </c>
      <c r="C568" s="47">
        <v>1014</v>
      </c>
      <c r="D568" s="47" t="s">
        <v>368</v>
      </c>
      <c r="E568" s="41">
        <v>10140043</v>
      </c>
      <c r="F568" s="46" t="s">
        <v>382</v>
      </c>
      <c r="G568" s="39" t="s">
        <v>92</v>
      </c>
      <c r="H568" s="48" t="s">
        <v>93</v>
      </c>
      <c r="I568" s="52">
        <v>200.8</v>
      </c>
      <c r="J568" s="49">
        <v>7400.81</v>
      </c>
      <c r="K568" s="65">
        <v>198</v>
      </c>
      <c r="L568" s="65">
        <v>7375.5</v>
      </c>
      <c r="M568" s="65">
        <v>0</v>
      </c>
      <c r="N568" s="65">
        <v>0</v>
      </c>
      <c r="O568" s="65">
        <v>198</v>
      </c>
      <c r="P568" s="65">
        <v>7375.5</v>
      </c>
      <c r="Q568" s="50">
        <v>7375.5</v>
      </c>
      <c r="R568" s="65">
        <v>0</v>
      </c>
      <c r="S568" s="65">
        <v>0</v>
      </c>
      <c r="T568" s="65">
        <v>0</v>
      </c>
      <c r="U568" s="65">
        <v>0</v>
      </c>
      <c r="V568" s="65">
        <v>500</v>
      </c>
      <c r="W568" s="65">
        <v>0</v>
      </c>
      <c r="X568" s="65">
        <v>6876</v>
      </c>
      <c r="Y568" s="65">
        <v>0</v>
      </c>
      <c r="Z568" s="65">
        <v>0</v>
      </c>
      <c r="AA568" s="51">
        <v>25</v>
      </c>
      <c r="AB568" s="102">
        <v>0</v>
      </c>
      <c r="AC568" s="81">
        <f t="shared" si="27"/>
        <v>367.97652908366535</v>
      </c>
      <c r="AD568" s="82">
        <f t="shared" si="28"/>
        <v>28.685714285714287</v>
      </c>
      <c r="AE568" s="218">
        <v>3.4198959303103848E-3</v>
      </c>
      <c r="AF568">
        <v>2</v>
      </c>
      <c r="AH568" t="str">
        <f t="shared" si="26"/>
        <v>Dumraon</v>
      </c>
      <c r="AJ568" s="72">
        <v>500</v>
      </c>
      <c r="AK568" s="72"/>
      <c r="AL568" s="72"/>
      <c r="AM568" s="72"/>
    </row>
    <row r="569" spans="1:39" x14ac:dyDescent="0.25">
      <c r="A569" s="37" t="s">
        <v>62</v>
      </c>
      <c r="B569" s="66" t="s">
        <v>1596</v>
      </c>
      <c r="C569" s="47">
        <v>1014</v>
      </c>
      <c r="D569" s="47" t="s">
        <v>368</v>
      </c>
      <c r="E569" s="41">
        <v>10140045</v>
      </c>
      <c r="F569" s="46" t="s">
        <v>383</v>
      </c>
      <c r="G569" s="39" t="s">
        <v>92</v>
      </c>
      <c r="H569" s="48" t="s">
        <v>93</v>
      </c>
      <c r="I569" s="52">
        <v>148.20000000000002</v>
      </c>
      <c r="J569" s="49">
        <v>5787.2000000000007</v>
      </c>
      <c r="K569" s="65">
        <v>148</v>
      </c>
      <c r="L569" s="65">
        <v>5760.16</v>
      </c>
      <c r="M569" s="65">
        <v>0</v>
      </c>
      <c r="N569" s="65">
        <v>0</v>
      </c>
      <c r="O569" s="65">
        <v>148</v>
      </c>
      <c r="P569" s="65">
        <v>5760.16</v>
      </c>
      <c r="Q569" s="50">
        <v>5760.16</v>
      </c>
      <c r="R569" s="65">
        <v>0</v>
      </c>
      <c r="S569" s="65">
        <v>0</v>
      </c>
      <c r="T569" s="65">
        <v>0</v>
      </c>
      <c r="U569" s="65">
        <v>0</v>
      </c>
      <c r="V569" s="65">
        <v>0</v>
      </c>
      <c r="W569" s="65">
        <v>0</v>
      </c>
      <c r="X569" s="65">
        <v>5761</v>
      </c>
      <c r="Y569" s="65">
        <v>0</v>
      </c>
      <c r="Z569" s="65">
        <v>0</v>
      </c>
      <c r="AA569" s="51">
        <v>26</v>
      </c>
      <c r="AB569" s="102">
        <v>0</v>
      </c>
      <c r="AC569" s="81">
        <f t="shared" si="27"/>
        <v>430.9550553306342</v>
      </c>
      <c r="AD569" s="82">
        <f t="shared" si="28"/>
        <v>21.171428571428574</v>
      </c>
      <c r="AE569" s="218">
        <v>4.6723804257673609E-3</v>
      </c>
      <c r="AF569">
        <v>2</v>
      </c>
      <c r="AH569" t="str">
        <f t="shared" si="26"/>
        <v>Dumraon</v>
      </c>
      <c r="AJ569" s="72">
        <v>0</v>
      </c>
      <c r="AK569" s="72"/>
      <c r="AL569" s="72"/>
      <c r="AM569" s="72"/>
    </row>
    <row r="570" spans="1:39" x14ac:dyDescent="0.25">
      <c r="A570" s="37" t="s">
        <v>62</v>
      </c>
      <c r="B570" s="66" t="s">
        <v>1596</v>
      </c>
      <c r="C570" s="47">
        <v>1014</v>
      </c>
      <c r="D570" s="47" t="s">
        <v>368</v>
      </c>
      <c r="E570" s="41">
        <v>10140047</v>
      </c>
      <c r="F570" s="46" t="s">
        <v>384</v>
      </c>
      <c r="G570" s="39" t="s">
        <v>92</v>
      </c>
      <c r="H570" s="48" t="s">
        <v>93</v>
      </c>
      <c r="I570" s="52">
        <v>492.1</v>
      </c>
      <c r="J570" s="49">
        <v>22865</v>
      </c>
      <c r="K570" s="65">
        <v>556.92999999999995</v>
      </c>
      <c r="L570" s="65">
        <v>27596.019999999997</v>
      </c>
      <c r="M570" s="65">
        <v>1.1000000000000001</v>
      </c>
      <c r="N570" s="65">
        <v>44.75</v>
      </c>
      <c r="O570" s="65">
        <v>558.03</v>
      </c>
      <c r="P570" s="65">
        <v>27640.769999999997</v>
      </c>
      <c r="Q570" s="50">
        <v>22865</v>
      </c>
      <c r="R570" s="65">
        <v>0</v>
      </c>
      <c r="S570" s="65">
        <v>44.75</v>
      </c>
      <c r="T570" s="65">
        <v>4775.7699999999968</v>
      </c>
      <c r="U570" s="65">
        <v>0</v>
      </c>
      <c r="V570" s="65">
        <v>0</v>
      </c>
      <c r="W570" s="65">
        <v>0</v>
      </c>
      <c r="X570" s="65">
        <v>22820</v>
      </c>
      <c r="Y570" s="65">
        <v>0</v>
      </c>
      <c r="Z570" s="65">
        <v>0</v>
      </c>
      <c r="AA570" s="51">
        <v>0</v>
      </c>
      <c r="AB570" s="102">
        <v>0</v>
      </c>
      <c r="AC570" s="81">
        <f t="shared" si="27"/>
        <v>193.19786628734002</v>
      </c>
      <c r="AD570" s="82">
        <f t="shared" si="28"/>
        <v>70.3</v>
      </c>
      <c r="AE570" s="218">
        <v>-0.20886813907719207</v>
      </c>
      <c r="AF570">
        <v>6</v>
      </c>
      <c r="AH570" t="str">
        <f t="shared" si="26"/>
        <v>Dumraon</v>
      </c>
      <c r="AJ570" s="72">
        <v>0</v>
      </c>
      <c r="AK570" s="72"/>
      <c r="AL570" s="72"/>
      <c r="AM570" s="72"/>
    </row>
    <row r="571" spans="1:39" x14ac:dyDescent="0.25">
      <c r="A571" s="37" t="s">
        <v>62</v>
      </c>
      <c r="B571" s="66" t="s">
        <v>1596</v>
      </c>
      <c r="C571" s="47">
        <v>1014</v>
      </c>
      <c r="D571" s="47" t="s">
        <v>368</v>
      </c>
      <c r="E571" s="41">
        <v>10140048</v>
      </c>
      <c r="F571" s="46" t="s">
        <v>385</v>
      </c>
      <c r="G571" s="39" t="s">
        <v>92</v>
      </c>
      <c r="H571" s="48" t="s">
        <v>93</v>
      </c>
      <c r="I571" s="52">
        <v>246.79999999999995</v>
      </c>
      <c r="J571" s="49">
        <v>9744.0099999999984</v>
      </c>
      <c r="K571" s="65">
        <v>245.95</v>
      </c>
      <c r="L571" s="65">
        <v>10043.59</v>
      </c>
      <c r="M571" s="65">
        <v>0</v>
      </c>
      <c r="N571" s="65">
        <v>0</v>
      </c>
      <c r="O571" s="65">
        <v>245.95</v>
      </c>
      <c r="P571" s="65">
        <v>10043.59</v>
      </c>
      <c r="Q571" s="50">
        <v>9744.0099999999984</v>
      </c>
      <c r="R571" s="65">
        <v>0</v>
      </c>
      <c r="S571" s="65">
        <v>0</v>
      </c>
      <c r="T571" s="65">
        <v>299.58000000000175</v>
      </c>
      <c r="U571" s="65">
        <v>0</v>
      </c>
      <c r="V571" s="65">
        <v>0</v>
      </c>
      <c r="W571" s="65">
        <v>0</v>
      </c>
      <c r="X571" s="65">
        <v>9744</v>
      </c>
      <c r="Y571" s="65">
        <v>0</v>
      </c>
      <c r="Z571" s="65">
        <v>0</v>
      </c>
      <c r="AA571" s="51">
        <v>0</v>
      </c>
      <c r="AB571" s="102">
        <v>0</v>
      </c>
      <c r="AC571" s="81">
        <f t="shared" si="27"/>
        <v>357.85942722852519</v>
      </c>
      <c r="AD571" s="82">
        <f t="shared" si="28"/>
        <v>35.257142857142853</v>
      </c>
      <c r="AE571" s="218">
        <v>-3.0745042338831938E-2</v>
      </c>
      <c r="AF571">
        <v>3</v>
      </c>
      <c r="AH571" t="str">
        <f t="shared" si="26"/>
        <v>Dumraon</v>
      </c>
      <c r="AJ571" s="72">
        <v>0</v>
      </c>
      <c r="AK571" s="72"/>
      <c r="AL571" s="72"/>
      <c r="AM571" s="72"/>
    </row>
    <row r="572" spans="1:39" x14ac:dyDescent="0.25">
      <c r="A572" s="37" t="s">
        <v>62</v>
      </c>
      <c r="B572" s="66" t="s">
        <v>1596</v>
      </c>
      <c r="C572" s="47">
        <v>1014</v>
      </c>
      <c r="D572" s="47" t="s">
        <v>368</v>
      </c>
      <c r="E572" s="41">
        <v>10140054</v>
      </c>
      <c r="F572" s="46" t="s">
        <v>386</v>
      </c>
      <c r="G572" s="39" t="s">
        <v>92</v>
      </c>
      <c r="H572" s="48" t="s">
        <v>93</v>
      </c>
      <c r="I572" s="52">
        <v>394.80000000000007</v>
      </c>
      <c r="J572" s="49">
        <v>17359.57</v>
      </c>
      <c r="K572" s="65">
        <v>419.92</v>
      </c>
      <c r="L572" s="65">
        <v>17629.510000000002</v>
      </c>
      <c r="M572" s="65">
        <v>3.6500000000000004</v>
      </c>
      <c r="N572" s="65">
        <v>155.52000000000001</v>
      </c>
      <c r="O572" s="65">
        <v>423.57</v>
      </c>
      <c r="P572" s="65">
        <v>17785.030000000002</v>
      </c>
      <c r="Q572" s="50">
        <v>17359.57</v>
      </c>
      <c r="R572" s="65">
        <v>0</v>
      </c>
      <c r="S572" s="65">
        <v>155.52000000000001</v>
      </c>
      <c r="T572" s="65">
        <v>425.46000000000276</v>
      </c>
      <c r="U572" s="65">
        <v>6650</v>
      </c>
      <c r="V572" s="65">
        <v>0</v>
      </c>
      <c r="W572" s="65">
        <v>0</v>
      </c>
      <c r="X572" s="65">
        <v>10554</v>
      </c>
      <c r="Y572" s="65">
        <v>0</v>
      </c>
      <c r="Z572" s="65">
        <v>0</v>
      </c>
      <c r="AA572" s="51">
        <v>0</v>
      </c>
      <c r="AB572" s="102">
        <v>0</v>
      </c>
      <c r="AC572" s="81">
        <f t="shared" si="27"/>
        <v>268.39618865248218</v>
      </c>
      <c r="AD572" s="82">
        <f t="shared" si="28"/>
        <v>56.400000000000013</v>
      </c>
      <c r="AE572" s="218">
        <v>-2.4508671585759485E-2</v>
      </c>
      <c r="AF572">
        <v>9</v>
      </c>
      <c r="AH572" t="str">
        <f t="shared" si="26"/>
        <v>Dumraon</v>
      </c>
      <c r="AJ572" s="72">
        <v>0</v>
      </c>
      <c r="AK572" s="72"/>
      <c r="AL572" s="72"/>
      <c r="AM572" s="72"/>
    </row>
    <row r="573" spans="1:39" x14ac:dyDescent="0.25">
      <c r="A573" s="37" t="s">
        <v>62</v>
      </c>
      <c r="B573" s="66" t="s">
        <v>1596</v>
      </c>
      <c r="C573" s="47">
        <v>1014</v>
      </c>
      <c r="D573" s="47" t="s">
        <v>368</v>
      </c>
      <c r="E573" s="41">
        <v>10140055</v>
      </c>
      <c r="F573" s="46" t="s">
        <v>387</v>
      </c>
      <c r="G573" s="39" t="s">
        <v>92</v>
      </c>
      <c r="H573" s="48" t="s">
        <v>93</v>
      </c>
      <c r="I573" s="52">
        <v>319.19999999999993</v>
      </c>
      <c r="J573" s="49">
        <v>12226.080000000002</v>
      </c>
      <c r="K573" s="65">
        <v>320.89999999999998</v>
      </c>
      <c r="L573" s="65">
        <v>12223.08</v>
      </c>
      <c r="M573" s="65">
        <v>0</v>
      </c>
      <c r="N573" s="65">
        <v>0</v>
      </c>
      <c r="O573" s="65">
        <v>320.89999999999998</v>
      </c>
      <c r="P573" s="65">
        <v>12223.08</v>
      </c>
      <c r="Q573" s="50">
        <v>12223.08</v>
      </c>
      <c r="R573" s="65">
        <v>0</v>
      </c>
      <c r="S573" s="65">
        <v>0</v>
      </c>
      <c r="T573" s="65">
        <v>0</v>
      </c>
      <c r="U573" s="65">
        <v>2660</v>
      </c>
      <c r="V573" s="65">
        <v>0</v>
      </c>
      <c r="W573" s="65">
        <v>0</v>
      </c>
      <c r="X573" s="65">
        <v>9563</v>
      </c>
      <c r="Y573" s="65">
        <v>0</v>
      </c>
      <c r="Z573" s="65">
        <v>0</v>
      </c>
      <c r="AA573" s="51">
        <v>3</v>
      </c>
      <c r="AB573" s="102">
        <v>0</v>
      </c>
      <c r="AC573" s="81">
        <f t="shared" si="27"/>
        <v>291.7099789473686</v>
      </c>
      <c r="AD573" s="82">
        <f t="shared" si="28"/>
        <v>45.599999999999987</v>
      </c>
      <c r="AE573" s="218">
        <v>2.4537709552054451E-4</v>
      </c>
      <c r="AF573">
        <v>3</v>
      </c>
      <c r="AH573" t="str">
        <f t="shared" si="26"/>
        <v>Dumraon</v>
      </c>
      <c r="AJ573" s="72">
        <v>0</v>
      </c>
      <c r="AK573" s="72"/>
      <c r="AL573" s="72"/>
      <c r="AM573" s="72"/>
    </row>
    <row r="574" spans="1:39" x14ac:dyDescent="0.25">
      <c r="A574" s="37" t="s">
        <v>62</v>
      </c>
      <c r="B574" s="66" t="s">
        <v>1596</v>
      </c>
      <c r="C574" s="47">
        <v>1014</v>
      </c>
      <c r="D574" s="47" t="s">
        <v>368</v>
      </c>
      <c r="E574" s="41">
        <v>10140066</v>
      </c>
      <c r="F574" s="46" t="s">
        <v>388</v>
      </c>
      <c r="G574" s="39" t="s">
        <v>92</v>
      </c>
      <c r="H574" s="48" t="s">
        <v>93</v>
      </c>
      <c r="I574" s="52">
        <v>212.9</v>
      </c>
      <c r="J574" s="49">
        <v>10068.85</v>
      </c>
      <c r="K574" s="65">
        <v>229.5</v>
      </c>
      <c r="L574" s="65">
        <v>12293.94</v>
      </c>
      <c r="M574" s="65">
        <v>1.4</v>
      </c>
      <c r="N574" s="65">
        <v>71.490000000000009</v>
      </c>
      <c r="O574" s="65">
        <v>230.9</v>
      </c>
      <c r="P574" s="65">
        <v>12365.43</v>
      </c>
      <c r="Q574" s="50">
        <v>10068.85</v>
      </c>
      <c r="R574" s="65">
        <v>0</v>
      </c>
      <c r="S574" s="65">
        <v>71.490000000000009</v>
      </c>
      <c r="T574" s="65">
        <v>2296.58</v>
      </c>
      <c r="U574" s="65">
        <v>0</v>
      </c>
      <c r="V574" s="65">
        <v>500</v>
      </c>
      <c r="W574" s="65">
        <v>0</v>
      </c>
      <c r="X574" s="65">
        <v>9497</v>
      </c>
      <c r="Y574" s="65">
        <v>0</v>
      </c>
      <c r="Z574" s="65">
        <v>0</v>
      </c>
      <c r="AA574" s="51">
        <v>0</v>
      </c>
      <c r="AB574" s="102">
        <v>0</v>
      </c>
      <c r="AC574" s="81">
        <f t="shared" si="27"/>
        <v>460.73619868482865</v>
      </c>
      <c r="AD574" s="82">
        <f t="shared" si="28"/>
        <v>30.414285714285715</v>
      </c>
      <c r="AE574" s="218">
        <v>-0.22808761675861691</v>
      </c>
      <c r="AF574">
        <v>5</v>
      </c>
      <c r="AH574" t="str">
        <f t="shared" si="26"/>
        <v>Dumraon</v>
      </c>
      <c r="AJ574" s="72">
        <v>500</v>
      </c>
      <c r="AK574" s="72"/>
      <c r="AL574" s="72"/>
      <c r="AM574" s="72"/>
    </row>
    <row r="575" spans="1:39" x14ac:dyDescent="0.25">
      <c r="A575" s="37" t="s">
        <v>62</v>
      </c>
      <c r="B575" s="66" t="s">
        <v>1596</v>
      </c>
      <c r="C575" s="47">
        <v>1014</v>
      </c>
      <c r="D575" s="47" t="s">
        <v>368</v>
      </c>
      <c r="E575" s="41">
        <v>10140068</v>
      </c>
      <c r="F575" s="46" t="s">
        <v>389</v>
      </c>
      <c r="G575" s="39" t="s">
        <v>92</v>
      </c>
      <c r="H575" s="48" t="s">
        <v>93</v>
      </c>
      <c r="I575" s="52">
        <v>393.3</v>
      </c>
      <c r="J575" s="49">
        <v>15329.310000000001</v>
      </c>
      <c r="K575" s="65">
        <v>396.19</v>
      </c>
      <c r="L575" s="65">
        <v>16003.030000000002</v>
      </c>
      <c r="M575" s="65">
        <v>0</v>
      </c>
      <c r="N575" s="65">
        <v>0</v>
      </c>
      <c r="O575" s="65">
        <v>396.19</v>
      </c>
      <c r="P575" s="65">
        <v>16003.030000000002</v>
      </c>
      <c r="Q575" s="50">
        <v>15329.310000000001</v>
      </c>
      <c r="R575" s="65">
        <v>0</v>
      </c>
      <c r="S575" s="65">
        <v>0</v>
      </c>
      <c r="T575" s="65">
        <v>673.72000000000116</v>
      </c>
      <c r="U575" s="65">
        <v>0</v>
      </c>
      <c r="V575" s="65">
        <v>0</v>
      </c>
      <c r="W575" s="65">
        <v>0</v>
      </c>
      <c r="X575" s="65">
        <v>15329</v>
      </c>
      <c r="Y575" s="65">
        <v>0</v>
      </c>
      <c r="Z575" s="65">
        <v>0</v>
      </c>
      <c r="AA575" s="51">
        <v>0</v>
      </c>
      <c r="AB575" s="102">
        <v>0</v>
      </c>
      <c r="AC575" s="81">
        <f t="shared" si="27"/>
        <v>239.07955133485888</v>
      </c>
      <c r="AD575" s="82">
        <f t="shared" si="28"/>
        <v>56.18571428571429</v>
      </c>
      <c r="AE575" s="218">
        <v>-4.3949792913053565E-2</v>
      </c>
      <c r="AF575">
        <v>2</v>
      </c>
      <c r="AH575" t="str">
        <f t="shared" si="26"/>
        <v>Dumraon</v>
      </c>
      <c r="AJ575" s="72">
        <v>0</v>
      </c>
      <c r="AK575" s="72"/>
      <c r="AL575" s="72"/>
      <c r="AM575" s="72"/>
    </row>
    <row r="576" spans="1:39" x14ac:dyDescent="0.25">
      <c r="A576" s="37" t="s">
        <v>62</v>
      </c>
      <c r="B576" s="66" t="s">
        <v>1596</v>
      </c>
      <c r="C576" s="47">
        <v>1014</v>
      </c>
      <c r="D576" s="47" t="s">
        <v>368</v>
      </c>
      <c r="E576" s="41">
        <v>10140069</v>
      </c>
      <c r="F576" s="46" t="s">
        <v>288</v>
      </c>
      <c r="G576" s="39" t="s">
        <v>92</v>
      </c>
      <c r="H576" s="48" t="s">
        <v>93</v>
      </c>
      <c r="I576" s="52">
        <v>432.29999999999995</v>
      </c>
      <c r="J576" s="49">
        <v>16677.52</v>
      </c>
      <c r="K576" s="65">
        <v>389.4</v>
      </c>
      <c r="L576" s="65">
        <v>16649.169999999998</v>
      </c>
      <c r="M576" s="65">
        <v>0</v>
      </c>
      <c r="N576" s="65">
        <v>0</v>
      </c>
      <c r="O576" s="65">
        <v>389.4</v>
      </c>
      <c r="P576" s="65">
        <v>16649.169999999998</v>
      </c>
      <c r="Q576" s="50">
        <v>16649.169999999998</v>
      </c>
      <c r="R576" s="65">
        <v>0</v>
      </c>
      <c r="S576" s="65">
        <v>0</v>
      </c>
      <c r="T576" s="65">
        <v>0</v>
      </c>
      <c r="U576" s="65">
        <v>0</v>
      </c>
      <c r="V576" s="65">
        <v>0</v>
      </c>
      <c r="W576" s="65">
        <v>0</v>
      </c>
      <c r="X576" s="65">
        <v>16649</v>
      </c>
      <c r="Y576" s="65">
        <v>0</v>
      </c>
      <c r="Z576" s="65">
        <v>0</v>
      </c>
      <c r="AA576" s="51">
        <v>29</v>
      </c>
      <c r="AB576" s="102">
        <v>0</v>
      </c>
      <c r="AC576" s="81">
        <f t="shared" si="27"/>
        <v>206.54971566042107</v>
      </c>
      <c r="AD576" s="82">
        <f t="shared" si="28"/>
        <v>61.757142857142853</v>
      </c>
      <c r="AE576" s="218">
        <v>1.6998930296592168E-3</v>
      </c>
      <c r="AF576">
        <v>3</v>
      </c>
      <c r="AH576" t="str">
        <f t="shared" si="26"/>
        <v>Dumraon</v>
      </c>
      <c r="AJ576" s="72">
        <v>0</v>
      </c>
      <c r="AK576" s="72"/>
      <c r="AL576" s="72"/>
      <c r="AM576" s="72"/>
    </row>
    <row r="577" spans="1:39" x14ac:dyDescent="0.25">
      <c r="A577" s="37" t="s">
        <v>62</v>
      </c>
      <c r="B577" s="66" t="s">
        <v>1596</v>
      </c>
      <c r="C577" s="41">
        <v>1014</v>
      </c>
      <c r="D577" s="41" t="s">
        <v>368</v>
      </c>
      <c r="E577" s="41">
        <v>10140071</v>
      </c>
      <c r="F577" s="85" t="s">
        <v>390</v>
      </c>
      <c r="G577" s="39" t="s">
        <v>617</v>
      </c>
      <c r="H577" s="52" t="s">
        <v>98</v>
      </c>
      <c r="I577" s="49">
        <v>1534.8999999999999</v>
      </c>
      <c r="J577" s="49">
        <v>52969.020000000004</v>
      </c>
      <c r="K577" s="58">
        <v>0</v>
      </c>
      <c r="L577" s="58">
        <v>0</v>
      </c>
      <c r="M577" s="58">
        <v>0</v>
      </c>
      <c r="N577" s="58">
        <v>0</v>
      </c>
      <c r="O577" s="65">
        <v>0</v>
      </c>
      <c r="P577" s="65">
        <v>0</v>
      </c>
      <c r="Q577" s="50">
        <v>52969.020000000004</v>
      </c>
      <c r="R577" s="65">
        <v>0</v>
      </c>
      <c r="S577" s="65">
        <v>0</v>
      </c>
      <c r="T577" s="65">
        <v>0</v>
      </c>
      <c r="U577" s="65">
        <v>0</v>
      </c>
      <c r="V577" s="65">
        <v>0</v>
      </c>
      <c r="W577" s="65">
        <v>0</v>
      </c>
      <c r="X577" s="65">
        <v>0</v>
      </c>
      <c r="Y577" s="65">
        <v>0</v>
      </c>
      <c r="Z577" s="65">
        <v>52969.020000000004</v>
      </c>
      <c r="AA577" s="51">
        <v>0</v>
      </c>
      <c r="AB577" s="102">
        <v>0</v>
      </c>
      <c r="AC577" s="81">
        <f t="shared" si="27"/>
        <v>0</v>
      </c>
      <c r="AD577" s="82">
        <f t="shared" si="28"/>
        <v>0</v>
      </c>
      <c r="AE577" s="218">
        <v>0</v>
      </c>
      <c r="AF577">
        <v>0</v>
      </c>
      <c r="AH577" t="str">
        <f t="shared" ref="AH577:AH635" si="29">TEXT(D577,"0000")</f>
        <v>Dumraon</v>
      </c>
      <c r="AJ577" s="72">
        <v>0</v>
      </c>
      <c r="AK577" s="72"/>
      <c r="AL577" s="72"/>
      <c r="AM577" s="72"/>
    </row>
    <row r="578" spans="1:39" x14ac:dyDescent="0.25">
      <c r="A578" s="37" t="s">
        <v>62</v>
      </c>
      <c r="B578" s="66" t="s">
        <v>1596</v>
      </c>
      <c r="C578" s="41">
        <v>1014</v>
      </c>
      <c r="D578" s="41" t="s">
        <v>368</v>
      </c>
      <c r="E578" s="41">
        <v>10140083</v>
      </c>
      <c r="F578" s="85" t="s">
        <v>391</v>
      </c>
      <c r="G578" s="39" t="s">
        <v>92</v>
      </c>
      <c r="H578" s="52" t="s">
        <v>93</v>
      </c>
      <c r="I578" s="49">
        <v>1078.5999999999999</v>
      </c>
      <c r="J578" s="49">
        <v>44559.25</v>
      </c>
      <c r="K578" s="58">
        <v>573.30000000000007</v>
      </c>
      <c r="L578" s="58">
        <v>23627.46</v>
      </c>
      <c r="M578" s="58">
        <v>655.6</v>
      </c>
      <c r="N578" s="58">
        <v>31311.89</v>
      </c>
      <c r="O578" s="65">
        <v>1228.9000000000001</v>
      </c>
      <c r="P578" s="65">
        <v>54939.35</v>
      </c>
      <c r="Q578" s="50">
        <v>44559.25</v>
      </c>
      <c r="R578" s="65">
        <v>0</v>
      </c>
      <c r="S578" s="65">
        <v>321.32</v>
      </c>
      <c r="T578" s="65">
        <v>10380.099999999999</v>
      </c>
      <c r="U578" s="65">
        <v>0</v>
      </c>
      <c r="V578" s="65">
        <v>0</v>
      </c>
      <c r="W578" s="65">
        <v>0</v>
      </c>
      <c r="X578" s="65">
        <v>13249</v>
      </c>
      <c r="Y578" s="65">
        <v>30989</v>
      </c>
      <c r="Z578" s="65">
        <v>0</v>
      </c>
      <c r="AA578" s="51">
        <v>0</v>
      </c>
      <c r="AB578" s="102">
        <v>0</v>
      </c>
      <c r="AC578" s="81">
        <f t="shared" si="27"/>
        <v>0</v>
      </c>
      <c r="AD578" s="82">
        <f t="shared" si="28"/>
        <v>0</v>
      </c>
      <c r="AE578" s="218">
        <v>-0.23295050971459347</v>
      </c>
      <c r="AF578">
        <v>15</v>
      </c>
      <c r="AH578" t="str">
        <f t="shared" si="29"/>
        <v>Dumraon</v>
      </c>
      <c r="AJ578" s="72">
        <v>0</v>
      </c>
      <c r="AK578" s="72"/>
      <c r="AL578" s="72"/>
      <c r="AM578" s="72"/>
    </row>
    <row r="579" spans="1:39" x14ac:dyDescent="0.25">
      <c r="A579" s="37" t="s">
        <v>62</v>
      </c>
      <c r="B579" s="66" t="s">
        <v>1596</v>
      </c>
      <c r="C579" s="41">
        <v>1014</v>
      </c>
      <c r="D579" s="41" t="s">
        <v>368</v>
      </c>
      <c r="E579" s="41">
        <v>10140087</v>
      </c>
      <c r="F579" s="85" t="s">
        <v>392</v>
      </c>
      <c r="G579" s="39" t="s">
        <v>92</v>
      </c>
      <c r="H579" s="52" t="s">
        <v>93</v>
      </c>
      <c r="I579" s="52">
        <v>159.1</v>
      </c>
      <c r="J579" s="49">
        <v>6480.9</v>
      </c>
      <c r="K579" s="58">
        <v>159</v>
      </c>
      <c r="L579" s="58">
        <v>6431.55</v>
      </c>
      <c r="M579" s="58">
        <v>0</v>
      </c>
      <c r="N579" s="58">
        <v>0</v>
      </c>
      <c r="O579" s="65">
        <v>159</v>
      </c>
      <c r="P579" s="65">
        <v>6431.55</v>
      </c>
      <c r="Q579" s="50">
        <v>6431.55</v>
      </c>
      <c r="R579" s="65">
        <v>0</v>
      </c>
      <c r="S579" s="65">
        <v>0</v>
      </c>
      <c r="T579" s="65">
        <v>0</v>
      </c>
      <c r="U579" s="65">
        <v>0</v>
      </c>
      <c r="V579" s="65">
        <v>0</v>
      </c>
      <c r="W579" s="65">
        <v>0</v>
      </c>
      <c r="X579" s="65">
        <v>6432</v>
      </c>
      <c r="Y579" s="65">
        <v>0</v>
      </c>
      <c r="Z579" s="65">
        <v>0</v>
      </c>
      <c r="AA579" s="51">
        <v>49</v>
      </c>
      <c r="AB579" s="102">
        <v>0</v>
      </c>
      <c r="AC579" s="81">
        <f t="shared" si="27"/>
        <v>440.66861219358896</v>
      </c>
      <c r="AD579" s="82">
        <f t="shared" si="28"/>
        <v>22.728571428571428</v>
      </c>
      <c r="AE579" s="218">
        <v>7.6146831458592879E-3</v>
      </c>
      <c r="AF579">
        <v>1</v>
      </c>
      <c r="AH579" t="str">
        <f t="shared" si="29"/>
        <v>Dumraon</v>
      </c>
      <c r="AJ579" s="72">
        <v>0</v>
      </c>
      <c r="AK579" s="72"/>
      <c r="AL579" s="72"/>
      <c r="AM579" s="72"/>
    </row>
    <row r="580" spans="1:39" x14ac:dyDescent="0.25">
      <c r="A580" s="37" t="s">
        <v>62</v>
      </c>
      <c r="B580" s="66" t="s">
        <v>1596</v>
      </c>
      <c r="C580" s="41">
        <v>1014</v>
      </c>
      <c r="D580" s="41" t="s">
        <v>368</v>
      </c>
      <c r="E580" s="41">
        <v>10140095</v>
      </c>
      <c r="F580" s="85" t="s">
        <v>609</v>
      </c>
      <c r="G580" s="39" t="s">
        <v>92</v>
      </c>
      <c r="H580" s="52" t="s">
        <v>93</v>
      </c>
      <c r="I580" s="52">
        <v>19</v>
      </c>
      <c r="J580" s="49">
        <v>666.55</v>
      </c>
      <c r="K580" s="58">
        <v>21.8</v>
      </c>
      <c r="L580" s="58">
        <v>757.28</v>
      </c>
      <c r="M580" s="58">
        <v>39.500000000000007</v>
      </c>
      <c r="N580" s="58">
        <v>1409.58</v>
      </c>
      <c r="O580" s="65">
        <v>61.300000000000011</v>
      </c>
      <c r="P580" s="65">
        <v>2166.8599999999997</v>
      </c>
      <c r="Q580" s="50">
        <v>666.55</v>
      </c>
      <c r="R580" s="65">
        <v>0</v>
      </c>
      <c r="S580" s="65">
        <v>0</v>
      </c>
      <c r="T580" s="65">
        <v>1500.3099999999997</v>
      </c>
      <c r="U580" s="65">
        <v>0</v>
      </c>
      <c r="V580" s="65">
        <v>0</v>
      </c>
      <c r="W580" s="65">
        <v>0</v>
      </c>
      <c r="X580" s="65">
        <v>0</v>
      </c>
      <c r="Y580" s="65">
        <v>667</v>
      </c>
      <c r="Z580" s="65">
        <v>0</v>
      </c>
      <c r="AA580" s="51">
        <v>0</v>
      </c>
      <c r="AB580" s="102" t="s">
        <v>1366</v>
      </c>
      <c r="AC580" s="81">
        <f t="shared" ref="AC580:AC643" si="30">((IF(AD580=0,0,100-AD580))*7*(J580/I580))*2%</f>
        <v>477.81110526315791</v>
      </c>
      <c r="AD580" s="82">
        <f t="shared" ref="AD580:AD643" si="31">IF((I580/7)&gt;100,0,(I580/7))</f>
        <v>2.7142857142857144</v>
      </c>
      <c r="AE580" s="218">
        <v>-2.2508589003075534</v>
      </c>
      <c r="AF580">
        <v>2</v>
      </c>
      <c r="AH580" t="str">
        <f t="shared" si="29"/>
        <v>Dumraon</v>
      </c>
      <c r="AJ580" s="72">
        <v>0</v>
      </c>
      <c r="AK580" s="72"/>
      <c r="AL580" s="72"/>
      <c r="AM580" s="72"/>
    </row>
    <row r="581" spans="1:39" x14ac:dyDescent="0.25">
      <c r="A581" s="37" t="s">
        <v>62</v>
      </c>
      <c r="B581" s="66" t="s">
        <v>1596</v>
      </c>
      <c r="C581" s="41">
        <v>1014</v>
      </c>
      <c r="D581" s="41" t="s">
        <v>368</v>
      </c>
      <c r="E581" s="41">
        <v>10140098</v>
      </c>
      <c r="F581" s="85" t="s">
        <v>418</v>
      </c>
      <c r="G581" s="39" t="s">
        <v>92</v>
      </c>
      <c r="H581" s="52" t="s">
        <v>93</v>
      </c>
      <c r="I581" s="52">
        <v>972.09999999999991</v>
      </c>
      <c r="J581" s="49">
        <v>39857.160000000003</v>
      </c>
      <c r="K581" s="58">
        <v>936.51999999999987</v>
      </c>
      <c r="L581" s="58">
        <v>39393</v>
      </c>
      <c r="M581" s="58">
        <v>11.589999999999998</v>
      </c>
      <c r="N581" s="58">
        <v>457.57999999999993</v>
      </c>
      <c r="O581" s="65">
        <v>948.1099999999999</v>
      </c>
      <c r="P581" s="65">
        <v>39850.58</v>
      </c>
      <c r="Q581" s="50">
        <v>39850.58</v>
      </c>
      <c r="R581" s="65">
        <v>0</v>
      </c>
      <c r="S581" s="65">
        <v>457.57999999999993</v>
      </c>
      <c r="T581" s="65">
        <v>0</v>
      </c>
      <c r="U581" s="65">
        <v>0</v>
      </c>
      <c r="V581" s="65">
        <v>0</v>
      </c>
      <c r="W581" s="65">
        <v>0</v>
      </c>
      <c r="X581" s="65">
        <v>39393</v>
      </c>
      <c r="Y581" s="65">
        <v>0</v>
      </c>
      <c r="Z581" s="65">
        <v>0</v>
      </c>
      <c r="AA581" s="51">
        <v>7</v>
      </c>
      <c r="AB581" s="102">
        <v>0</v>
      </c>
      <c r="AC581" s="81">
        <f t="shared" si="30"/>
        <v>0</v>
      </c>
      <c r="AD581" s="82">
        <f t="shared" si="31"/>
        <v>0</v>
      </c>
      <c r="AE581" s="218">
        <v>1.6508953472855933E-4</v>
      </c>
      <c r="AF581">
        <v>4</v>
      </c>
      <c r="AH581" t="str">
        <f t="shared" si="29"/>
        <v>Dumraon</v>
      </c>
      <c r="AJ581" s="72">
        <v>0</v>
      </c>
      <c r="AK581" s="72"/>
      <c r="AL581" s="72"/>
      <c r="AM581" s="72"/>
    </row>
    <row r="582" spans="1:39" x14ac:dyDescent="0.25">
      <c r="A582" s="37" t="s">
        <v>62</v>
      </c>
      <c r="B582" s="66" t="s">
        <v>1596</v>
      </c>
      <c r="C582" s="41">
        <v>1014</v>
      </c>
      <c r="D582" s="41" t="s">
        <v>368</v>
      </c>
      <c r="E582" s="41">
        <v>10140099</v>
      </c>
      <c r="F582" s="85" t="s">
        <v>393</v>
      </c>
      <c r="G582" s="39" t="s">
        <v>92</v>
      </c>
      <c r="H582" s="52" t="s">
        <v>93</v>
      </c>
      <c r="I582" s="52">
        <v>180.09999999999997</v>
      </c>
      <c r="J582" s="49">
        <v>7093.64</v>
      </c>
      <c r="K582" s="58">
        <v>192.8</v>
      </c>
      <c r="L582" s="58">
        <v>7149.82</v>
      </c>
      <c r="M582" s="58">
        <v>0</v>
      </c>
      <c r="N582" s="58">
        <v>0</v>
      </c>
      <c r="O582" s="65">
        <v>192.8</v>
      </c>
      <c r="P582" s="65">
        <v>7149.82</v>
      </c>
      <c r="Q582" s="50">
        <v>7093.64</v>
      </c>
      <c r="R582" s="65">
        <v>0</v>
      </c>
      <c r="S582" s="65">
        <v>0</v>
      </c>
      <c r="T582" s="65">
        <v>56.179999999999382</v>
      </c>
      <c r="U582" s="65">
        <v>0</v>
      </c>
      <c r="V582" s="65">
        <v>0</v>
      </c>
      <c r="W582" s="65">
        <v>0</v>
      </c>
      <c r="X582" s="65">
        <v>7094</v>
      </c>
      <c r="Y582" s="65">
        <v>0</v>
      </c>
      <c r="Z582" s="65">
        <v>0</v>
      </c>
      <c r="AA582" s="51">
        <v>0</v>
      </c>
      <c r="AB582" s="102">
        <v>0</v>
      </c>
      <c r="AC582" s="81">
        <f t="shared" si="30"/>
        <v>409.54841043864525</v>
      </c>
      <c r="AD582" s="82">
        <f t="shared" si="31"/>
        <v>25.728571428571424</v>
      </c>
      <c r="AE582" s="218">
        <v>-7.9197703858666889E-3</v>
      </c>
      <c r="AF582">
        <v>6</v>
      </c>
      <c r="AH582" t="str">
        <f t="shared" si="29"/>
        <v>Dumraon</v>
      </c>
      <c r="AJ582" s="72">
        <v>0</v>
      </c>
      <c r="AK582" s="72"/>
      <c r="AL582" s="72"/>
      <c r="AM582" s="72"/>
    </row>
    <row r="583" spans="1:39" x14ac:dyDescent="0.25">
      <c r="A583" s="37" t="s">
        <v>62</v>
      </c>
      <c r="B583" s="66" t="s">
        <v>1596</v>
      </c>
      <c r="C583" s="41">
        <v>1014</v>
      </c>
      <c r="D583" s="41" t="s">
        <v>368</v>
      </c>
      <c r="E583" s="41">
        <v>10140109</v>
      </c>
      <c r="F583" s="85" t="s">
        <v>415</v>
      </c>
      <c r="G583" s="39" t="s">
        <v>617</v>
      </c>
      <c r="H583" s="52" t="s">
        <v>98</v>
      </c>
      <c r="I583" s="52">
        <v>688</v>
      </c>
      <c r="J583" s="49">
        <v>26197.179999999997</v>
      </c>
      <c r="K583" s="58">
        <v>0</v>
      </c>
      <c r="L583" s="58">
        <v>0</v>
      </c>
      <c r="M583" s="58">
        <v>0</v>
      </c>
      <c r="N583" s="58">
        <v>0</v>
      </c>
      <c r="O583" s="65">
        <v>0</v>
      </c>
      <c r="P583" s="65">
        <v>0</v>
      </c>
      <c r="Q583" s="50">
        <v>26197.179999999997</v>
      </c>
      <c r="R583" s="65">
        <v>0</v>
      </c>
      <c r="S583" s="65">
        <v>0</v>
      </c>
      <c r="T583" s="65">
        <v>0</v>
      </c>
      <c r="U583" s="65">
        <v>0</v>
      </c>
      <c r="V583" s="65">
        <v>0</v>
      </c>
      <c r="W583" s="65">
        <v>0</v>
      </c>
      <c r="X583" s="65">
        <v>0</v>
      </c>
      <c r="Y583" s="65">
        <v>0</v>
      </c>
      <c r="Z583" s="65">
        <v>26197.179999999997</v>
      </c>
      <c r="AA583" s="51">
        <v>0</v>
      </c>
      <c r="AB583" s="102">
        <v>0</v>
      </c>
      <c r="AC583" s="81">
        <f t="shared" si="30"/>
        <v>9.1385511627906642</v>
      </c>
      <c r="AD583" s="82">
        <f t="shared" si="31"/>
        <v>98.285714285714292</v>
      </c>
      <c r="AE583" s="218">
        <v>0</v>
      </c>
      <c r="AF583">
        <v>0</v>
      </c>
      <c r="AH583" t="str">
        <f t="shared" si="29"/>
        <v>Dumraon</v>
      </c>
      <c r="AJ583" s="72">
        <v>0</v>
      </c>
      <c r="AK583" s="72"/>
      <c r="AL583" s="72"/>
      <c r="AM583" s="72"/>
    </row>
    <row r="584" spans="1:39" x14ac:dyDescent="0.25">
      <c r="A584" s="37" t="s">
        <v>62</v>
      </c>
      <c r="B584" s="66" t="s">
        <v>1596</v>
      </c>
      <c r="C584" s="41">
        <v>1014</v>
      </c>
      <c r="D584" s="41" t="s">
        <v>368</v>
      </c>
      <c r="E584" s="41">
        <v>10140120</v>
      </c>
      <c r="F584" s="85" t="s">
        <v>610</v>
      </c>
      <c r="G584" s="39" t="s">
        <v>92</v>
      </c>
      <c r="H584" s="52" t="s">
        <v>93</v>
      </c>
      <c r="I584" s="52">
        <v>547.70000000000005</v>
      </c>
      <c r="J584" s="49">
        <v>22478.39</v>
      </c>
      <c r="K584" s="58">
        <v>537.40000000000009</v>
      </c>
      <c r="L584" s="58">
        <v>22699.39</v>
      </c>
      <c r="M584" s="58">
        <v>8.69</v>
      </c>
      <c r="N584" s="58">
        <v>349.71999999999997</v>
      </c>
      <c r="O584" s="65">
        <v>546.09000000000015</v>
      </c>
      <c r="P584" s="65">
        <v>23049.11</v>
      </c>
      <c r="Q584" s="50">
        <v>22478.39</v>
      </c>
      <c r="R584" s="65">
        <v>0</v>
      </c>
      <c r="S584" s="65">
        <v>349.71999999999997</v>
      </c>
      <c r="T584" s="65">
        <v>570.72000000000116</v>
      </c>
      <c r="U584" s="65">
        <v>0</v>
      </c>
      <c r="V584" s="65">
        <v>0</v>
      </c>
      <c r="W584" s="65">
        <v>0</v>
      </c>
      <c r="X584" s="65">
        <v>22129</v>
      </c>
      <c r="Y584" s="65">
        <v>0</v>
      </c>
      <c r="Z584" s="65">
        <v>0</v>
      </c>
      <c r="AA584" s="51">
        <v>0</v>
      </c>
      <c r="AB584" s="102" t="s">
        <v>1366</v>
      </c>
      <c r="AC584" s="81">
        <f t="shared" si="30"/>
        <v>125.01218904509763</v>
      </c>
      <c r="AD584" s="82">
        <f t="shared" si="31"/>
        <v>78.242857142857147</v>
      </c>
      <c r="AE584" s="218">
        <v>-2.5389718747650572E-2</v>
      </c>
      <c r="AF584">
        <v>2</v>
      </c>
      <c r="AH584" t="str">
        <f t="shared" si="29"/>
        <v>Dumraon</v>
      </c>
      <c r="AJ584" s="72">
        <v>0</v>
      </c>
      <c r="AK584" s="72"/>
      <c r="AL584" s="72"/>
      <c r="AM584" s="72"/>
    </row>
    <row r="585" spans="1:39" x14ac:dyDescent="0.25">
      <c r="A585" s="37" t="s">
        <v>62</v>
      </c>
      <c r="B585" s="66" t="s">
        <v>1596</v>
      </c>
      <c r="C585" s="41">
        <v>1014</v>
      </c>
      <c r="D585" s="41" t="s">
        <v>368</v>
      </c>
      <c r="E585" s="41">
        <v>10140126</v>
      </c>
      <c r="F585" s="85" t="s">
        <v>457</v>
      </c>
      <c r="G585" s="39" t="s">
        <v>92</v>
      </c>
      <c r="H585" s="52" t="s">
        <v>93</v>
      </c>
      <c r="I585" s="52">
        <v>248.7</v>
      </c>
      <c r="J585" s="49">
        <v>9207.39</v>
      </c>
      <c r="K585" s="58">
        <v>252.33</v>
      </c>
      <c r="L585" s="58">
        <v>9866.6300000000028</v>
      </c>
      <c r="M585" s="58">
        <v>1.2</v>
      </c>
      <c r="N585" s="58">
        <v>49.860000000000007</v>
      </c>
      <c r="O585" s="65">
        <v>253.53</v>
      </c>
      <c r="P585" s="65">
        <v>9916.4900000000034</v>
      </c>
      <c r="Q585" s="50">
        <v>9207.39</v>
      </c>
      <c r="R585" s="65">
        <v>0</v>
      </c>
      <c r="S585" s="65">
        <v>49.860000000000007</v>
      </c>
      <c r="T585" s="65">
        <v>709.100000000004</v>
      </c>
      <c r="U585" s="65">
        <v>0</v>
      </c>
      <c r="V585" s="65">
        <v>0</v>
      </c>
      <c r="W585" s="65">
        <v>0</v>
      </c>
      <c r="X585" s="65">
        <v>9158</v>
      </c>
      <c r="Y585" s="65">
        <v>0</v>
      </c>
      <c r="Z585" s="65">
        <v>0</v>
      </c>
      <c r="AA585" s="51">
        <v>0</v>
      </c>
      <c r="AB585" s="102" t="s">
        <v>1366</v>
      </c>
      <c r="AC585" s="81">
        <f t="shared" si="30"/>
        <v>334.16124704463209</v>
      </c>
      <c r="AD585" s="82">
        <f t="shared" si="31"/>
        <v>35.528571428571425</v>
      </c>
      <c r="AE585" s="218">
        <v>-7.7014224443626697E-2</v>
      </c>
      <c r="AF585">
        <v>6</v>
      </c>
      <c r="AH585" t="str">
        <f t="shared" si="29"/>
        <v>Dumraon</v>
      </c>
      <c r="AJ585" s="72">
        <v>0</v>
      </c>
      <c r="AK585" s="72"/>
      <c r="AL585" s="72"/>
      <c r="AM585" s="72"/>
    </row>
    <row r="586" spans="1:39" x14ac:dyDescent="0.25">
      <c r="A586" s="37" t="s">
        <v>62</v>
      </c>
      <c r="B586" s="66" t="s">
        <v>1596</v>
      </c>
      <c r="C586" s="41">
        <v>1014</v>
      </c>
      <c r="D586" s="41" t="s">
        <v>368</v>
      </c>
      <c r="E586" s="41">
        <v>10140129</v>
      </c>
      <c r="F586" s="85" t="s">
        <v>456</v>
      </c>
      <c r="G586" s="39" t="s">
        <v>92</v>
      </c>
      <c r="H586" s="52" t="s">
        <v>93</v>
      </c>
      <c r="I586" s="52">
        <v>96.2</v>
      </c>
      <c r="J586" s="49">
        <v>3473.9900000000002</v>
      </c>
      <c r="K586" s="58">
        <v>96</v>
      </c>
      <c r="L586" s="58">
        <v>3456</v>
      </c>
      <c r="M586" s="58">
        <v>0</v>
      </c>
      <c r="N586" s="58">
        <v>0</v>
      </c>
      <c r="O586" s="65">
        <v>96</v>
      </c>
      <c r="P586" s="65">
        <v>3456</v>
      </c>
      <c r="Q586" s="50">
        <v>3456</v>
      </c>
      <c r="R586" s="65">
        <v>0</v>
      </c>
      <c r="S586" s="65">
        <v>0</v>
      </c>
      <c r="T586" s="65">
        <v>0</v>
      </c>
      <c r="U586" s="65">
        <v>0</v>
      </c>
      <c r="V586" s="65">
        <v>500</v>
      </c>
      <c r="W586" s="65">
        <v>0</v>
      </c>
      <c r="X586" s="65">
        <v>2956</v>
      </c>
      <c r="Y586" s="65">
        <v>0</v>
      </c>
      <c r="Z586" s="65">
        <v>0</v>
      </c>
      <c r="AA586" s="51">
        <v>18</v>
      </c>
      <c r="AB586" s="102">
        <v>0</v>
      </c>
      <c r="AC586" s="81">
        <f t="shared" si="30"/>
        <v>436.09047027027026</v>
      </c>
      <c r="AD586" s="82">
        <f t="shared" si="31"/>
        <v>13.742857142857144</v>
      </c>
      <c r="AE586" s="218">
        <v>5.1784835304650376E-3</v>
      </c>
      <c r="AF586">
        <v>2</v>
      </c>
      <c r="AH586" t="str">
        <f t="shared" si="29"/>
        <v>Dumraon</v>
      </c>
      <c r="AJ586" s="72">
        <v>500</v>
      </c>
      <c r="AK586" s="72"/>
      <c r="AL586" s="72"/>
      <c r="AM586" s="72"/>
    </row>
    <row r="587" spans="1:39" x14ac:dyDescent="0.25">
      <c r="A587" s="37" t="s">
        <v>62</v>
      </c>
      <c r="B587" s="66" t="s">
        <v>1596</v>
      </c>
      <c r="C587" s="41">
        <v>1014</v>
      </c>
      <c r="D587" s="41" t="s">
        <v>368</v>
      </c>
      <c r="E587" s="41">
        <v>10140131</v>
      </c>
      <c r="F587" s="85" t="s">
        <v>455</v>
      </c>
      <c r="G587" s="39" t="s">
        <v>92</v>
      </c>
      <c r="H587" s="52" t="s">
        <v>93</v>
      </c>
      <c r="I587" s="52">
        <v>30</v>
      </c>
      <c r="J587" s="49">
        <v>1165.8699999999999</v>
      </c>
      <c r="K587" s="58">
        <v>30</v>
      </c>
      <c r="L587" s="58">
        <v>1143.3</v>
      </c>
      <c r="M587" s="58">
        <v>0</v>
      </c>
      <c r="N587" s="58">
        <v>0</v>
      </c>
      <c r="O587" s="65">
        <v>30</v>
      </c>
      <c r="P587" s="65">
        <v>1143.3</v>
      </c>
      <c r="Q587" s="50">
        <v>1143.3</v>
      </c>
      <c r="R587" s="65">
        <v>0</v>
      </c>
      <c r="S587" s="65">
        <v>0</v>
      </c>
      <c r="T587" s="65">
        <v>0</v>
      </c>
      <c r="U587" s="65">
        <v>0</v>
      </c>
      <c r="V587" s="65">
        <v>0</v>
      </c>
      <c r="W587" s="65">
        <v>0</v>
      </c>
      <c r="X587" s="65">
        <v>1143</v>
      </c>
      <c r="Y587" s="65">
        <v>0</v>
      </c>
      <c r="Z587" s="65">
        <v>0</v>
      </c>
      <c r="AA587" s="51">
        <v>23</v>
      </c>
      <c r="AB587" s="102">
        <v>0</v>
      </c>
      <c r="AC587" s="81">
        <f t="shared" si="30"/>
        <v>520.75526666666667</v>
      </c>
      <c r="AD587" s="82">
        <f t="shared" si="31"/>
        <v>4.2857142857142856</v>
      </c>
      <c r="AE587" s="218">
        <v>1.9358933671850154E-2</v>
      </c>
      <c r="AF587">
        <v>1</v>
      </c>
      <c r="AH587" t="str">
        <f t="shared" si="29"/>
        <v>Dumraon</v>
      </c>
      <c r="AJ587" s="72">
        <v>0</v>
      </c>
      <c r="AK587" s="72"/>
      <c r="AL587" s="72"/>
      <c r="AM587" s="72"/>
    </row>
    <row r="588" spans="1:39" x14ac:dyDescent="0.25">
      <c r="A588" s="37" t="s">
        <v>62</v>
      </c>
      <c r="B588" s="66" t="s">
        <v>1596</v>
      </c>
      <c r="C588" s="41">
        <v>1014</v>
      </c>
      <c r="D588" s="41" t="s">
        <v>368</v>
      </c>
      <c r="E588" s="41">
        <v>10140132</v>
      </c>
      <c r="F588" s="85" t="s">
        <v>454</v>
      </c>
      <c r="G588" s="39" t="s">
        <v>92</v>
      </c>
      <c r="H588" s="52" t="s">
        <v>93</v>
      </c>
      <c r="I588" s="52">
        <v>364.40000000000003</v>
      </c>
      <c r="J588" s="49">
        <v>12413.250000000002</v>
      </c>
      <c r="K588" s="58">
        <v>342.7</v>
      </c>
      <c r="L588" s="58">
        <v>12207.779999999999</v>
      </c>
      <c r="M588" s="58">
        <v>5.6</v>
      </c>
      <c r="N588" s="58">
        <v>201.35999999999996</v>
      </c>
      <c r="O588" s="65">
        <v>348.3</v>
      </c>
      <c r="P588" s="65">
        <v>12409.14</v>
      </c>
      <c r="Q588" s="50">
        <v>12409.14</v>
      </c>
      <c r="R588" s="65">
        <v>0</v>
      </c>
      <c r="S588" s="65">
        <v>201.35999999999996</v>
      </c>
      <c r="T588" s="65">
        <v>0</v>
      </c>
      <c r="U588" s="65">
        <v>0</v>
      </c>
      <c r="V588" s="65">
        <v>0</v>
      </c>
      <c r="W588" s="65">
        <v>0</v>
      </c>
      <c r="X588" s="65">
        <v>12209</v>
      </c>
      <c r="Y588" s="65">
        <v>0</v>
      </c>
      <c r="Z588" s="65">
        <v>0</v>
      </c>
      <c r="AA588" s="51">
        <v>3</v>
      </c>
      <c r="AB588" s="102">
        <v>0</v>
      </c>
      <c r="AC588" s="81">
        <f t="shared" si="30"/>
        <v>228.64361690450053</v>
      </c>
      <c r="AD588" s="82">
        <f t="shared" si="31"/>
        <v>52.057142857142864</v>
      </c>
      <c r="AE588" s="218">
        <v>3.3109781886310198E-4</v>
      </c>
      <c r="AF588">
        <v>9</v>
      </c>
      <c r="AH588" t="str">
        <f t="shared" si="29"/>
        <v>Dumraon</v>
      </c>
      <c r="AJ588" s="72">
        <v>0</v>
      </c>
      <c r="AK588" s="72"/>
      <c r="AL588" s="72"/>
      <c r="AM588" s="72"/>
    </row>
    <row r="589" spans="1:39" x14ac:dyDescent="0.25">
      <c r="A589" s="37" t="s">
        <v>62</v>
      </c>
      <c r="B589" s="66" t="s">
        <v>1596</v>
      </c>
      <c r="C589" s="41">
        <v>1014</v>
      </c>
      <c r="D589" s="41" t="s">
        <v>368</v>
      </c>
      <c r="E589" s="41">
        <v>10140135</v>
      </c>
      <c r="F589" s="85" t="s">
        <v>462</v>
      </c>
      <c r="G589" s="39" t="s">
        <v>92</v>
      </c>
      <c r="H589" s="52" t="s">
        <v>93</v>
      </c>
      <c r="I589" s="52">
        <v>207</v>
      </c>
      <c r="J589" s="49">
        <v>8982.9699999999993</v>
      </c>
      <c r="K589" s="58">
        <v>210.81</v>
      </c>
      <c r="L589" s="58">
        <v>10162.029999999999</v>
      </c>
      <c r="M589" s="58">
        <v>0</v>
      </c>
      <c r="N589" s="58">
        <v>0</v>
      </c>
      <c r="O589" s="65">
        <v>210.81</v>
      </c>
      <c r="P589" s="65">
        <v>10162.029999999999</v>
      </c>
      <c r="Q589" s="50">
        <v>8982.9699999999993</v>
      </c>
      <c r="R589" s="65">
        <v>0</v>
      </c>
      <c r="S589" s="65">
        <v>0</v>
      </c>
      <c r="T589" s="65">
        <v>1179.0599999999995</v>
      </c>
      <c r="U589" s="65">
        <v>0</v>
      </c>
      <c r="V589" s="65">
        <v>0</v>
      </c>
      <c r="W589" s="65">
        <v>0</v>
      </c>
      <c r="X589" s="65">
        <v>8983</v>
      </c>
      <c r="Y589" s="65">
        <v>0</v>
      </c>
      <c r="Z589" s="65">
        <v>0</v>
      </c>
      <c r="AA589" s="51">
        <v>0</v>
      </c>
      <c r="AB589" s="102">
        <v>0</v>
      </c>
      <c r="AC589" s="81">
        <f t="shared" si="30"/>
        <v>427.88446473429946</v>
      </c>
      <c r="AD589" s="82">
        <f t="shared" si="31"/>
        <v>29.571428571428573</v>
      </c>
      <c r="AE589" s="218">
        <v>-0.13125503035187688</v>
      </c>
      <c r="AF589">
        <v>2</v>
      </c>
      <c r="AH589" t="str">
        <f t="shared" si="29"/>
        <v>Dumraon</v>
      </c>
      <c r="AJ589" s="72">
        <v>0</v>
      </c>
      <c r="AK589" s="72"/>
      <c r="AL589" s="72"/>
      <c r="AM589" s="72"/>
    </row>
    <row r="590" spans="1:39" x14ac:dyDescent="0.25">
      <c r="A590" s="37" t="s">
        <v>62</v>
      </c>
      <c r="B590" s="66" t="s">
        <v>1596</v>
      </c>
      <c r="C590" s="41">
        <v>1014</v>
      </c>
      <c r="D590" s="41" t="s">
        <v>368</v>
      </c>
      <c r="E590" s="41">
        <v>10140137</v>
      </c>
      <c r="F590" s="85" t="s">
        <v>465</v>
      </c>
      <c r="G590" s="39" t="s">
        <v>92</v>
      </c>
      <c r="H590" s="52" t="s">
        <v>93</v>
      </c>
      <c r="I590" s="52">
        <v>559.09999999999991</v>
      </c>
      <c r="J590" s="49">
        <v>24621.239999999998</v>
      </c>
      <c r="K590" s="58">
        <v>563.20000000000005</v>
      </c>
      <c r="L590" s="58">
        <v>26072.690000000002</v>
      </c>
      <c r="M590" s="58">
        <v>0</v>
      </c>
      <c r="N590" s="58">
        <v>0</v>
      </c>
      <c r="O590" s="65">
        <v>563.20000000000005</v>
      </c>
      <c r="P590" s="65">
        <v>26072.690000000002</v>
      </c>
      <c r="Q590" s="50">
        <v>24621.239999999998</v>
      </c>
      <c r="R590" s="65">
        <v>0</v>
      </c>
      <c r="S590" s="65">
        <v>0</v>
      </c>
      <c r="T590" s="65">
        <v>1451.4500000000044</v>
      </c>
      <c r="U590" s="65">
        <v>0</v>
      </c>
      <c r="V590" s="65">
        <v>0</v>
      </c>
      <c r="W590" s="65">
        <v>0</v>
      </c>
      <c r="X590" s="65">
        <v>24621</v>
      </c>
      <c r="Y590" s="65">
        <v>0</v>
      </c>
      <c r="Z590" s="65">
        <v>0</v>
      </c>
      <c r="AA590" s="51">
        <v>0</v>
      </c>
      <c r="AB590" s="102">
        <v>0</v>
      </c>
      <c r="AC590" s="81">
        <f t="shared" si="30"/>
        <v>124.09703866929007</v>
      </c>
      <c r="AD590" s="82">
        <f t="shared" si="31"/>
        <v>79.871428571428552</v>
      </c>
      <c r="AE590" s="218">
        <v>-5.8951133249178535E-2</v>
      </c>
      <c r="AF590">
        <v>3</v>
      </c>
      <c r="AH590" t="str">
        <f t="shared" si="29"/>
        <v>Dumraon</v>
      </c>
      <c r="AJ590" s="72">
        <v>0</v>
      </c>
      <c r="AK590" s="72"/>
      <c r="AL590" s="72"/>
      <c r="AM590" s="72"/>
    </row>
    <row r="591" spans="1:39" x14ac:dyDescent="0.25">
      <c r="A591" s="37" t="s">
        <v>62</v>
      </c>
      <c r="B591" s="66" t="s">
        <v>1596</v>
      </c>
      <c r="C591" s="41">
        <v>1014</v>
      </c>
      <c r="D591" s="41" t="s">
        <v>368</v>
      </c>
      <c r="E591" s="41">
        <v>10140139</v>
      </c>
      <c r="F591" s="85" t="s">
        <v>482</v>
      </c>
      <c r="G591" s="39" t="s">
        <v>92</v>
      </c>
      <c r="H591" s="52" t="s">
        <v>93</v>
      </c>
      <c r="I591" s="52">
        <v>294.99999999999994</v>
      </c>
      <c r="J591" s="49">
        <v>9190.0500000000011</v>
      </c>
      <c r="K591" s="58">
        <v>294.5</v>
      </c>
      <c r="L591" s="58">
        <v>9182.51</v>
      </c>
      <c r="M591" s="58">
        <v>0</v>
      </c>
      <c r="N591" s="58">
        <v>0</v>
      </c>
      <c r="O591" s="65">
        <v>294.5</v>
      </c>
      <c r="P591" s="65">
        <v>9182.51</v>
      </c>
      <c r="Q591" s="50">
        <v>9182.51</v>
      </c>
      <c r="R591" s="65">
        <v>0</v>
      </c>
      <c r="S591" s="65">
        <v>0</v>
      </c>
      <c r="T591" s="65">
        <v>0</v>
      </c>
      <c r="U591" s="65">
        <v>0</v>
      </c>
      <c r="V591" s="65">
        <v>500</v>
      </c>
      <c r="W591" s="65">
        <v>0</v>
      </c>
      <c r="X591" s="65">
        <v>8683</v>
      </c>
      <c r="Y591" s="65">
        <v>0</v>
      </c>
      <c r="Z591" s="65">
        <v>0</v>
      </c>
      <c r="AA591" s="51">
        <v>7</v>
      </c>
      <c r="AB591" s="102">
        <v>0</v>
      </c>
      <c r="AC591" s="81">
        <f t="shared" si="30"/>
        <v>252.33696610169503</v>
      </c>
      <c r="AD591" s="82">
        <f t="shared" si="31"/>
        <v>42.142857142857132</v>
      </c>
      <c r="AE591" s="218">
        <v>8.2045255466519469E-4</v>
      </c>
      <c r="AF591">
        <v>1</v>
      </c>
      <c r="AH591" t="str">
        <f t="shared" si="29"/>
        <v>Dumraon</v>
      </c>
      <c r="AJ591" s="72">
        <v>500</v>
      </c>
      <c r="AK591" s="72"/>
      <c r="AL591" s="72"/>
      <c r="AM591" s="72"/>
    </row>
    <row r="592" spans="1:39" x14ac:dyDescent="0.25">
      <c r="A592" s="37" t="s">
        <v>62</v>
      </c>
      <c r="B592" s="66" t="s">
        <v>1596</v>
      </c>
      <c r="C592" s="41">
        <v>1014</v>
      </c>
      <c r="D592" s="41" t="s">
        <v>368</v>
      </c>
      <c r="E592" s="41">
        <v>10140147</v>
      </c>
      <c r="F592" s="85" t="s">
        <v>1282</v>
      </c>
      <c r="G592" s="39" t="s">
        <v>617</v>
      </c>
      <c r="H592" s="52" t="s">
        <v>98</v>
      </c>
      <c r="I592" s="52">
        <v>317.5</v>
      </c>
      <c r="J592" s="49">
        <v>13320.449999999999</v>
      </c>
      <c r="K592" s="58">
        <v>0</v>
      </c>
      <c r="L592" s="58">
        <v>0</v>
      </c>
      <c r="M592" s="58">
        <v>0</v>
      </c>
      <c r="N592" s="58">
        <v>0</v>
      </c>
      <c r="O592" s="65">
        <v>0</v>
      </c>
      <c r="P592" s="65">
        <v>0</v>
      </c>
      <c r="Q592" s="50">
        <v>13320.449999999999</v>
      </c>
      <c r="R592" s="65">
        <v>0</v>
      </c>
      <c r="S592" s="65">
        <v>0</v>
      </c>
      <c r="T592" s="65">
        <v>0</v>
      </c>
      <c r="U592" s="65">
        <v>0</v>
      </c>
      <c r="V592" s="65">
        <v>0</v>
      </c>
      <c r="W592" s="65">
        <v>0</v>
      </c>
      <c r="X592" s="65">
        <v>0</v>
      </c>
      <c r="Y592" s="65">
        <v>0</v>
      </c>
      <c r="Z592" s="65">
        <v>13320.449999999999</v>
      </c>
      <c r="AA592" s="51">
        <v>0</v>
      </c>
      <c r="AB592" s="102">
        <v>0</v>
      </c>
      <c r="AC592" s="81">
        <f t="shared" si="30"/>
        <v>320.94942519685037</v>
      </c>
      <c r="AD592" s="82">
        <f t="shared" si="31"/>
        <v>45.357142857142854</v>
      </c>
      <c r="AE592" s="218">
        <v>0</v>
      </c>
      <c r="AF592">
        <v>0</v>
      </c>
      <c r="AH592" t="str">
        <f t="shared" si="29"/>
        <v>Dumraon</v>
      </c>
      <c r="AJ592" s="72">
        <v>0</v>
      </c>
      <c r="AK592" s="72"/>
      <c r="AL592" s="72"/>
      <c r="AM592" s="72"/>
    </row>
    <row r="593" spans="1:39" x14ac:dyDescent="0.25">
      <c r="A593" s="37" t="s">
        <v>62</v>
      </c>
      <c r="B593" s="66" t="s">
        <v>1596</v>
      </c>
      <c r="C593" s="41">
        <v>1014</v>
      </c>
      <c r="D593" s="41" t="s">
        <v>368</v>
      </c>
      <c r="E593" s="41">
        <v>10140153</v>
      </c>
      <c r="F593" s="85" t="s">
        <v>511</v>
      </c>
      <c r="G593" s="39" t="s">
        <v>92</v>
      </c>
      <c r="H593" s="52" t="s">
        <v>93</v>
      </c>
      <c r="I593" s="52">
        <v>143.9</v>
      </c>
      <c r="J593" s="49">
        <v>4903.1499999999996</v>
      </c>
      <c r="K593" s="58">
        <v>194.13</v>
      </c>
      <c r="L593" s="58">
        <v>7618.64</v>
      </c>
      <c r="M593" s="58">
        <v>0</v>
      </c>
      <c r="N593" s="58">
        <v>0</v>
      </c>
      <c r="O593" s="65">
        <v>194.13</v>
      </c>
      <c r="P593" s="65">
        <v>7618.64</v>
      </c>
      <c r="Q593" s="50">
        <v>4903.1499999999996</v>
      </c>
      <c r="R593" s="65">
        <v>0</v>
      </c>
      <c r="S593" s="65">
        <v>0</v>
      </c>
      <c r="T593" s="65">
        <v>2715.4900000000007</v>
      </c>
      <c r="U593" s="65">
        <v>0</v>
      </c>
      <c r="V593" s="65">
        <v>500</v>
      </c>
      <c r="W593" s="65">
        <v>0</v>
      </c>
      <c r="X593" s="65">
        <v>4403</v>
      </c>
      <c r="Y593" s="65">
        <v>0</v>
      </c>
      <c r="Z593" s="65">
        <v>0</v>
      </c>
      <c r="AA593" s="51">
        <v>0</v>
      </c>
      <c r="AB593" s="102">
        <v>0</v>
      </c>
      <c r="AC593" s="81">
        <f t="shared" si="30"/>
        <v>378.96340722724113</v>
      </c>
      <c r="AD593" s="82">
        <f t="shared" si="31"/>
        <v>20.557142857142857</v>
      </c>
      <c r="AE593" s="218">
        <v>-0.55382560190897712</v>
      </c>
      <c r="AF593">
        <v>2</v>
      </c>
      <c r="AH593" t="str">
        <f t="shared" si="29"/>
        <v>Dumraon</v>
      </c>
      <c r="AJ593" s="72">
        <v>500</v>
      </c>
      <c r="AK593" s="72"/>
      <c r="AL593" s="72"/>
      <c r="AM593" s="72"/>
    </row>
    <row r="594" spans="1:39" x14ac:dyDescent="0.25">
      <c r="A594" s="37" t="s">
        <v>62</v>
      </c>
      <c r="B594" s="66" t="s">
        <v>1596</v>
      </c>
      <c r="C594" s="41">
        <v>1014</v>
      </c>
      <c r="D594" s="41" t="s">
        <v>368</v>
      </c>
      <c r="E594" s="41">
        <v>10140156</v>
      </c>
      <c r="F594" s="85" t="s">
        <v>515</v>
      </c>
      <c r="G594" s="39" t="s">
        <v>92</v>
      </c>
      <c r="H594" s="52" t="s">
        <v>93</v>
      </c>
      <c r="I594" s="52">
        <v>1688.5999999999997</v>
      </c>
      <c r="J594" s="49">
        <v>68501.469999999987</v>
      </c>
      <c r="K594" s="58">
        <v>872.2</v>
      </c>
      <c r="L594" s="58">
        <v>40013.410000000003</v>
      </c>
      <c r="M594" s="58">
        <v>1169.04</v>
      </c>
      <c r="N594" s="58">
        <v>45886.460000000006</v>
      </c>
      <c r="O594" s="65">
        <v>2041.24</v>
      </c>
      <c r="P594" s="65">
        <v>85899.87000000001</v>
      </c>
      <c r="Q594" s="50">
        <v>68501.469999999987</v>
      </c>
      <c r="R594" s="65">
        <v>0</v>
      </c>
      <c r="S594" s="65">
        <v>1563.3100000000002</v>
      </c>
      <c r="T594" s="65">
        <v>17398.400000000023</v>
      </c>
      <c r="U594" s="65">
        <v>0</v>
      </c>
      <c r="V594" s="65">
        <v>0</v>
      </c>
      <c r="W594" s="65">
        <v>0</v>
      </c>
      <c r="X594" s="65">
        <v>22615</v>
      </c>
      <c r="Y594" s="65">
        <v>44323</v>
      </c>
      <c r="Z594" s="65">
        <v>0</v>
      </c>
      <c r="AA594" s="51">
        <v>0</v>
      </c>
      <c r="AB594" s="102">
        <v>0</v>
      </c>
      <c r="AC594" s="81">
        <f t="shared" si="30"/>
        <v>0</v>
      </c>
      <c r="AD594" s="82">
        <f t="shared" si="31"/>
        <v>0</v>
      </c>
      <c r="AE594" s="218">
        <v>-0.25398579037792951</v>
      </c>
      <c r="AF594">
        <v>6</v>
      </c>
      <c r="AH594" t="str">
        <f t="shared" si="29"/>
        <v>Dumraon</v>
      </c>
      <c r="AJ594" s="72">
        <v>0</v>
      </c>
      <c r="AK594" s="72"/>
      <c r="AL594" s="72"/>
      <c r="AM594" s="72"/>
    </row>
    <row r="595" spans="1:39" x14ac:dyDescent="0.25">
      <c r="A595" s="37" t="s">
        <v>62</v>
      </c>
      <c r="B595" s="66" t="s">
        <v>1596</v>
      </c>
      <c r="C595" s="41">
        <v>1014</v>
      </c>
      <c r="D595" s="41" t="s">
        <v>368</v>
      </c>
      <c r="E595" s="41">
        <v>10140157</v>
      </c>
      <c r="F595" s="85" t="s">
        <v>1252</v>
      </c>
      <c r="G595" s="39" t="s">
        <v>617</v>
      </c>
      <c r="H595" s="52" t="s">
        <v>98</v>
      </c>
      <c r="I595" s="52">
        <v>325.3</v>
      </c>
      <c r="J595" s="49">
        <v>13890.739999999998</v>
      </c>
      <c r="K595" s="58">
        <v>0</v>
      </c>
      <c r="L595" s="58">
        <v>0</v>
      </c>
      <c r="M595" s="58">
        <v>0</v>
      </c>
      <c r="N595" s="58">
        <v>0</v>
      </c>
      <c r="O595" s="65">
        <v>0</v>
      </c>
      <c r="P595" s="65">
        <v>0</v>
      </c>
      <c r="Q595" s="50">
        <v>13890.739999999998</v>
      </c>
      <c r="R595" s="65">
        <v>0</v>
      </c>
      <c r="S595" s="65">
        <v>0</v>
      </c>
      <c r="T595" s="65">
        <v>0</v>
      </c>
      <c r="U595" s="65">
        <v>0</v>
      </c>
      <c r="V595" s="65">
        <v>0</v>
      </c>
      <c r="W595" s="65">
        <v>0</v>
      </c>
      <c r="X595" s="65">
        <v>0</v>
      </c>
      <c r="Y595" s="65">
        <v>0</v>
      </c>
      <c r="Z595" s="65">
        <v>13890.739999999998</v>
      </c>
      <c r="AA595" s="51">
        <v>0</v>
      </c>
      <c r="AB595" s="102">
        <v>0</v>
      </c>
      <c r="AC595" s="81">
        <f t="shared" si="30"/>
        <v>320.0037059944666</v>
      </c>
      <c r="AD595" s="82">
        <f t="shared" si="31"/>
        <v>46.471428571428575</v>
      </c>
      <c r="AE595" s="218">
        <v>0</v>
      </c>
      <c r="AF595">
        <v>0</v>
      </c>
      <c r="AH595" t="str">
        <f t="shared" si="29"/>
        <v>Dumraon</v>
      </c>
      <c r="AJ595" s="72">
        <v>0</v>
      </c>
      <c r="AK595" s="72"/>
      <c r="AL595" s="72"/>
      <c r="AM595" s="72"/>
    </row>
    <row r="596" spans="1:39" x14ac:dyDescent="0.25">
      <c r="A596" s="37" t="s">
        <v>62</v>
      </c>
      <c r="B596" s="66" t="s">
        <v>1596</v>
      </c>
      <c r="C596" s="41">
        <v>1014</v>
      </c>
      <c r="D596" s="41" t="s">
        <v>368</v>
      </c>
      <c r="E596" s="41">
        <v>10140166</v>
      </c>
      <c r="F596" s="85" t="s">
        <v>582</v>
      </c>
      <c r="G596" s="39" t="s">
        <v>92</v>
      </c>
      <c r="H596" s="52" t="s">
        <v>93</v>
      </c>
      <c r="I596" s="52">
        <v>298.60000000000002</v>
      </c>
      <c r="J596" s="49">
        <v>14300.039999999999</v>
      </c>
      <c r="K596" s="58">
        <v>298</v>
      </c>
      <c r="L596" s="58">
        <v>14250.36</v>
      </c>
      <c r="M596" s="58">
        <v>0</v>
      </c>
      <c r="N596" s="58">
        <v>0</v>
      </c>
      <c r="O596" s="65">
        <v>298</v>
      </c>
      <c r="P596" s="65">
        <v>14250.36</v>
      </c>
      <c r="Q596" s="50">
        <v>14250.36</v>
      </c>
      <c r="R596" s="65">
        <v>0</v>
      </c>
      <c r="S596" s="65">
        <v>0</v>
      </c>
      <c r="T596" s="65">
        <v>0</v>
      </c>
      <c r="U596" s="65">
        <v>0</v>
      </c>
      <c r="V596" s="65">
        <v>0</v>
      </c>
      <c r="W596" s="65">
        <v>0</v>
      </c>
      <c r="X596" s="65">
        <v>14250</v>
      </c>
      <c r="Y596" s="65">
        <v>0</v>
      </c>
      <c r="Z596" s="65">
        <v>0</v>
      </c>
      <c r="AA596" s="51">
        <v>50</v>
      </c>
      <c r="AB596" s="102">
        <v>0</v>
      </c>
      <c r="AC596" s="81">
        <f t="shared" si="30"/>
        <v>384.46323215003343</v>
      </c>
      <c r="AD596" s="82">
        <f t="shared" si="31"/>
        <v>42.657142857142858</v>
      </c>
      <c r="AE596" s="218">
        <v>3.4741161563183374E-3</v>
      </c>
      <c r="AF596">
        <v>1</v>
      </c>
      <c r="AH596" t="str">
        <f t="shared" si="29"/>
        <v>Dumraon</v>
      </c>
      <c r="AJ596" s="72">
        <v>0</v>
      </c>
      <c r="AK596" s="72"/>
      <c r="AL596" s="72"/>
      <c r="AM596" s="72"/>
    </row>
    <row r="597" spans="1:39" x14ac:dyDescent="0.25">
      <c r="A597" s="37" t="s">
        <v>62</v>
      </c>
      <c r="B597" s="66" t="s">
        <v>1596</v>
      </c>
      <c r="C597" s="41">
        <v>1014</v>
      </c>
      <c r="D597" s="41" t="s">
        <v>368</v>
      </c>
      <c r="E597" s="41">
        <v>10140167</v>
      </c>
      <c r="F597" s="85" t="s">
        <v>1153</v>
      </c>
      <c r="G597" s="39" t="s">
        <v>617</v>
      </c>
      <c r="H597" s="52" t="s">
        <v>98</v>
      </c>
      <c r="I597" s="52">
        <v>1686.2999999999997</v>
      </c>
      <c r="J597" s="49">
        <v>65904.78</v>
      </c>
      <c r="K597" s="58">
        <v>0</v>
      </c>
      <c r="L597" s="58">
        <v>0</v>
      </c>
      <c r="M597" s="58">
        <v>0</v>
      </c>
      <c r="N597" s="58">
        <v>0</v>
      </c>
      <c r="O597" s="65">
        <v>0</v>
      </c>
      <c r="P597" s="65">
        <v>0</v>
      </c>
      <c r="Q597" s="50">
        <v>65904.78</v>
      </c>
      <c r="R597" s="65">
        <v>0</v>
      </c>
      <c r="S597" s="65">
        <v>0</v>
      </c>
      <c r="T597" s="65">
        <v>0</v>
      </c>
      <c r="U597" s="65">
        <v>0</v>
      </c>
      <c r="V597" s="65">
        <v>0</v>
      </c>
      <c r="W597" s="65">
        <v>0</v>
      </c>
      <c r="X597" s="65">
        <v>0</v>
      </c>
      <c r="Y597" s="65">
        <v>0</v>
      </c>
      <c r="Z597" s="65">
        <v>65904.78</v>
      </c>
      <c r="AA597" s="51">
        <v>0</v>
      </c>
      <c r="AB597" s="102">
        <v>0</v>
      </c>
      <c r="AC597" s="81">
        <f t="shared" si="30"/>
        <v>0</v>
      </c>
      <c r="AD597" s="82">
        <f t="shared" si="31"/>
        <v>0</v>
      </c>
      <c r="AE597" s="218">
        <v>0</v>
      </c>
      <c r="AF597">
        <v>0</v>
      </c>
      <c r="AH597" t="str">
        <f t="shared" si="29"/>
        <v>Dumraon</v>
      </c>
      <c r="AJ597" s="72">
        <v>0</v>
      </c>
      <c r="AK597" s="72"/>
      <c r="AL597" s="72"/>
      <c r="AM597" s="72"/>
    </row>
    <row r="598" spans="1:39" x14ac:dyDescent="0.25">
      <c r="A598" s="37" t="s">
        <v>62</v>
      </c>
      <c r="B598" s="66" t="s">
        <v>1596</v>
      </c>
      <c r="C598" s="41">
        <v>1014</v>
      </c>
      <c r="D598" s="41" t="s">
        <v>368</v>
      </c>
      <c r="E598" s="41">
        <v>10140170</v>
      </c>
      <c r="F598" s="85" t="s">
        <v>620</v>
      </c>
      <c r="G598" s="39" t="s">
        <v>92</v>
      </c>
      <c r="H598" s="52" t="s">
        <v>93</v>
      </c>
      <c r="I598" s="52">
        <v>360.90000000000003</v>
      </c>
      <c r="J598" s="49">
        <v>15449.289999999999</v>
      </c>
      <c r="K598" s="58">
        <v>401.99999999999994</v>
      </c>
      <c r="L598" s="58">
        <v>19221.379999999997</v>
      </c>
      <c r="M598" s="58">
        <v>0</v>
      </c>
      <c r="N598" s="58">
        <v>0</v>
      </c>
      <c r="O598" s="65">
        <v>401.99999999999994</v>
      </c>
      <c r="P598" s="65">
        <v>19221.379999999997</v>
      </c>
      <c r="Q598" s="50">
        <v>15449.289999999999</v>
      </c>
      <c r="R598" s="65">
        <v>0</v>
      </c>
      <c r="S598" s="65">
        <v>0</v>
      </c>
      <c r="T598" s="65">
        <v>3772.0899999999983</v>
      </c>
      <c r="U598" s="65">
        <v>0</v>
      </c>
      <c r="V598" s="65">
        <v>0</v>
      </c>
      <c r="W598" s="65">
        <v>0</v>
      </c>
      <c r="X598" s="65">
        <v>15449</v>
      </c>
      <c r="Y598" s="65">
        <v>0</v>
      </c>
      <c r="Z598" s="65">
        <v>0</v>
      </c>
      <c r="AA598" s="51">
        <v>0</v>
      </c>
      <c r="AB598" s="102" t="s">
        <v>1366</v>
      </c>
      <c r="AC598" s="81">
        <f t="shared" si="30"/>
        <v>290.32165358825154</v>
      </c>
      <c r="AD598" s="82">
        <f t="shared" si="31"/>
        <v>51.557142857142864</v>
      </c>
      <c r="AE598" s="218">
        <v>-0.24415944033674031</v>
      </c>
      <c r="AF598">
        <v>2</v>
      </c>
      <c r="AH598" t="str">
        <f t="shared" si="29"/>
        <v>Dumraon</v>
      </c>
      <c r="AJ598" s="72">
        <v>0</v>
      </c>
      <c r="AK598" s="72"/>
      <c r="AL598" s="72"/>
      <c r="AM598" s="72"/>
    </row>
    <row r="599" spans="1:39" x14ac:dyDescent="0.25">
      <c r="A599" s="37" t="s">
        <v>62</v>
      </c>
      <c r="B599" s="66" t="s">
        <v>1596</v>
      </c>
      <c r="C599" s="41">
        <v>1014</v>
      </c>
      <c r="D599" s="41" t="s">
        <v>368</v>
      </c>
      <c r="E599" s="41">
        <v>10140173</v>
      </c>
      <c r="F599" s="85" t="s">
        <v>633</v>
      </c>
      <c r="G599" s="39" t="s">
        <v>92</v>
      </c>
      <c r="H599" s="52" t="s">
        <v>93</v>
      </c>
      <c r="I599" s="52">
        <v>793</v>
      </c>
      <c r="J599" s="49">
        <v>30443.009999999995</v>
      </c>
      <c r="K599" s="58">
        <v>798.94999999999993</v>
      </c>
      <c r="L599" s="58">
        <v>34087.49</v>
      </c>
      <c r="M599" s="58">
        <v>0</v>
      </c>
      <c r="N599" s="58">
        <v>0</v>
      </c>
      <c r="O599" s="65">
        <v>798.94999999999993</v>
      </c>
      <c r="P599" s="65">
        <v>34087.49</v>
      </c>
      <c r="Q599" s="50">
        <v>30443.009999999995</v>
      </c>
      <c r="R599" s="65">
        <v>0</v>
      </c>
      <c r="S599" s="65">
        <v>0</v>
      </c>
      <c r="T599" s="65">
        <v>3644.4800000000032</v>
      </c>
      <c r="U599" s="65">
        <v>5320</v>
      </c>
      <c r="V599" s="65">
        <v>0</v>
      </c>
      <c r="W599" s="65">
        <v>0</v>
      </c>
      <c r="X599" s="65">
        <v>25123</v>
      </c>
      <c r="Y599" s="65">
        <v>0</v>
      </c>
      <c r="Z599" s="65">
        <v>0</v>
      </c>
      <c r="AA599" s="51">
        <v>0</v>
      </c>
      <c r="AB599" s="102" t="s">
        <v>1366</v>
      </c>
      <c r="AC599" s="81">
        <f t="shared" si="30"/>
        <v>0</v>
      </c>
      <c r="AD599" s="82">
        <f t="shared" si="31"/>
        <v>0</v>
      </c>
      <c r="AE599" s="218">
        <v>-0.11971483765895698</v>
      </c>
      <c r="AF599">
        <v>1</v>
      </c>
      <c r="AH599" t="str">
        <f t="shared" si="29"/>
        <v>Dumraon</v>
      </c>
      <c r="AJ599" s="72">
        <v>0</v>
      </c>
      <c r="AK599" s="72"/>
      <c r="AL599" s="72"/>
      <c r="AM599" s="72"/>
    </row>
    <row r="600" spans="1:39" x14ac:dyDescent="0.25">
      <c r="A600" s="37" t="s">
        <v>62</v>
      </c>
      <c r="B600" s="66" t="s">
        <v>1596</v>
      </c>
      <c r="C600" s="41">
        <v>1014</v>
      </c>
      <c r="D600" s="41" t="s">
        <v>368</v>
      </c>
      <c r="E600" s="41">
        <v>10140176</v>
      </c>
      <c r="F600" s="85" t="s">
        <v>644</v>
      </c>
      <c r="G600" s="39" t="s">
        <v>617</v>
      </c>
      <c r="H600" s="52" t="s">
        <v>98</v>
      </c>
      <c r="I600" s="52">
        <v>118.80000000000001</v>
      </c>
      <c r="J600" s="49">
        <v>4467.4000000000005</v>
      </c>
      <c r="K600" s="58">
        <v>0</v>
      </c>
      <c r="L600" s="58">
        <v>0</v>
      </c>
      <c r="M600" s="58">
        <v>0</v>
      </c>
      <c r="N600" s="58">
        <v>0</v>
      </c>
      <c r="O600" s="65">
        <v>0</v>
      </c>
      <c r="P600" s="65">
        <v>0</v>
      </c>
      <c r="Q600" s="50">
        <v>4467.4000000000005</v>
      </c>
      <c r="R600" s="65">
        <v>0</v>
      </c>
      <c r="S600" s="65">
        <v>0</v>
      </c>
      <c r="T600" s="65">
        <v>0</v>
      </c>
      <c r="U600" s="65">
        <v>0</v>
      </c>
      <c r="V600" s="65">
        <v>0</v>
      </c>
      <c r="W600" s="65">
        <v>0</v>
      </c>
      <c r="X600" s="65">
        <v>0</v>
      </c>
      <c r="Y600" s="65">
        <v>0</v>
      </c>
      <c r="Z600" s="65">
        <v>4467.4000000000005</v>
      </c>
      <c r="AA600" s="51">
        <v>0</v>
      </c>
      <c r="AB600" s="102">
        <v>0</v>
      </c>
      <c r="AC600" s="81">
        <f t="shared" si="30"/>
        <v>437.11327946127949</v>
      </c>
      <c r="AD600" s="82">
        <f t="shared" si="31"/>
        <v>16.971428571428572</v>
      </c>
      <c r="AE600" s="218">
        <v>0</v>
      </c>
      <c r="AF600">
        <v>0</v>
      </c>
      <c r="AH600" t="str">
        <f t="shared" si="29"/>
        <v>Dumraon</v>
      </c>
      <c r="AJ600" s="72">
        <v>0</v>
      </c>
      <c r="AK600" s="72"/>
      <c r="AL600" s="72"/>
      <c r="AM600" s="72"/>
    </row>
    <row r="601" spans="1:39" x14ac:dyDescent="0.25">
      <c r="A601" s="37" t="s">
        <v>62</v>
      </c>
      <c r="B601" s="66" t="s">
        <v>1596</v>
      </c>
      <c r="C601" s="41">
        <v>1014</v>
      </c>
      <c r="D601" s="41" t="s">
        <v>368</v>
      </c>
      <c r="E601" s="41">
        <v>10140179</v>
      </c>
      <c r="F601" s="85" t="s">
        <v>653</v>
      </c>
      <c r="G601" s="39" t="s">
        <v>92</v>
      </c>
      <c r="H601" s="52" t="s">
        <v>93</v>
      </c>
      <c r="I601" s="52">
        <v>1105</v>
      </c>
      <c r="J601" s="49">
        <v>46742.23000000001</v>
      </c>
      <c r="K601" s="58">
        <v>1098.8400000000004</v>
      </c>
      <c r="L601" s="58">
        <v>47365.85</v>
      </c>
      <c r="M601" s="58">
        <v>14.399999999999999</v>
      </c>
      <c r="N601" s="58">
        <v>624.99999999999989</v>
      </c>
      <c r="O601" s="65">
        <v>1113.2400000000005</v>
      </c>
      <c r="P601" s="65">
        <v>47990.85</v>
      </c>
      <c r="Q601" s="50">
        <v>46742.23000000001</v>
      </c>
      <c r="R601" s="65">
        <v>0</v>
      </c>
      <c r="S601" s="65">
        <v>624.99999999999989</v>
      </c>
      <c r="T601" s="65">
        <v>1248.6199999999881</v>
      </c>
      <c r="U601" s="65">
        <v>0</v>
      </c>
      <c r="V601" s="65">
        <v>0</v>
      </c>
      <c r="W601" s="65">
        <v>0</v>
      </c>
      <c r="X601" s="65">
        <v>46117</v>
      </c>
      <c r="Y601" s="65">
        <v>0</v>
      </c>
      <c r="Z601" s="65">
        <v>0</v>
      </c>
      <c r="AA601" s="51">
        <v>0</v>
      </c>
      <c r="AB601" s="102" t="s">
        <v>1366</v>
      </c>
      <c r="AC601" s="81">
        <f t="shared" si="30"/>
        <v>0</v>
      </c>
      <c r="AD601" s="82">
        <f t="shared" si="31"/>
        <v>0</v>
      </c>
      <c r="AE601" s="218">
        <v>-2.6712888965716608E-2</v>
      </c>
      <c r="AF601">
        <v>42</v>
      </c>
      <c r="AH601" t="str">
        <f t="shared" si="29"/>
        <v>Dumraon</v>
      </c>
      <c r="AJ601" s="72">
        <v>0</v>
      </c>
      <c r="AK601" s="72"/>
      <c r="AL601" s="72"/>
      <c r="AM601" s="72"/>
    </row>
    <row r="602" spans="1:39" x14ac:dyDescent="0.25">
      <c r="A602" s="37" t="s">
        <v>62</v>
      </c>
      <c r="B602" s="66" t="s">
        <v>1596</v>
      </c>
      <c r="C602" s="41">
        <v>1014</v>
      </c>
      <c r="D602" s="41" t="s">
        <v>368</v>
      </c>
      <c r="E602" s="41">
        <v>10140180</v>
      </c>
      <c r="F602" s="85" t="s">
        <v>673</v>
      </c>
      <c r="G602" s="39" t="s">
        <v>92</v>
      </c>
      <c r="H602" s="52" t="s">
        <v>93</v>
      </c>
      <c r="I602" s="52">
        <v>207.79999999999998</v>
      </c>
      <c r="J602" s="49">
        <v>8509.9399999999987</v>
      </c>
      <c r="K602" s="58">
        <v>232</v>
      </c>
      <c r="L602" s="58">
        <v>9382.66</v>
      </c>
      <c r="M602" s="58">
        <v>2.6999999999999997</v>
      </c>
      <c r="N602" s="58">
        <v>110.39</v>
      </c>
      <c r="O602" s="65">
        <v>234.7</v>
      </c>
      <c r="P602" s="65">
        <v>9493.0499999999993</v>
      </c>
      <c r="Q602" s="50">
        <v>8509.9399999999987</v>
      </c>
      <c r="R602" s="65">
        <v>0</v>
      </c>
      <c r="S602" s="65">
        <v>110.39</v>
      </c>
      <c r="T602" s="65">
        <v>983.11000000000058</v>
      </c>
      <c r="U602" s="65">
        <v>2660</v>
      </c>
      <c r="V602" s="65">
        <v>0</v>
      </c>
      <c r="W602" s="65">
        <v>0</v>
      </c>
      <c r="X602" s="65">
        <v>5740</v>
      </c>
      <c r="Y602" s="65">
        <v>0</v>
      </c>
      <c r="Z602" s="65">
        <v>0</v>
      </c>
      <c r="AA602" s="51">
        <v>0</v>
      </c>
      <c r="AB602" s="102">
        <v>0</v>
      </c>
      <c r="AC602" s="81">
        <f t="shared" si="30"/>
        <v>403.13690741097207</v>
      </c>
      <c r="AD602" s="82">
        <f t="shared" si="31"/>
        <v>29.685714285714283</v>
      </c>
      <c r="AE602" s="218">
        <v>-0.11552490381835838</v>
      </c>
      <c r="AF602">
        <v>7</v>
      </c>
      <c r="AH602" t="str">
        <f t="shared" si="29"/>
        <v>Dumraon</v>
      </c>
      <c r="AJ602" s="72">
        <v>0</v>
      </c>
      <c r="AK602" s="72"/>
      <c r="AL602" s="72"/>
      <c r="AM602" s="72"/>
    </row>
    <row r="603" spans="1:39" x14ac:dyDescent="0.25">
      <c r="A603" s="37" t="s">
        <v>62</v>
      </c>
      <c r="B603" s="66" t="s">
        <v>1596</v>
      </c>
      <c r="C603" s="41">
        <v>1014</v>
      </c>
      <c r="D603" s="41" t="s">
        <v>368</v>
      </c>
      <c r="E603" s="41">
        <v>10140185</v>
      </c>
      <c r="F603" s="85" t="s">
        <v>1134</v>
      </c>
      <c r="G603" s="39" t="s">
        <v>92</v>
      </c>
      <c r="H603" s="52" t="s">
        <v>93</v>
      </c>
      <c r="I603" s="52">
        <v>328.90000000000003</v>
      </c>
      <c r="J603" s="49">
        <v>11486.03</v>
      </c>
      <c r="K603" s="58">
        <v>327</v>
      </c>
      <c r="L603" s="58">
        <v>11458.08</v>
      </c>
      <c r="M603" s="58">
        <v>0</v>
      </c>
      <c r="N603" s="58">
        <v>0</v>
      </c>
      <c r="O603" s="65">
        <v>327</v>
      </c>
      <c r="P603" s="65">
        <v>11458.08</v>
      </c>
      <c r="Q603" s="50">
        <v>11458.08</v>
      </c>
      <c r="R603" s="65">
        <v>0</v>
      </c>
      <c r="S603" s="65">
        <v>0</v>
      </c>
      <c r="T603" s="65">
        <v>0</v>
      </c>
      <c r="U603" s="65">
        <v>0</v>
      </c>
      <c r="V603" s="65">
        <v>0</v>
      </c>
      <c r="W603" s="65">
        <v>0</v>
      </c>
      <c r="X603" s="65">
        <v>11458</v>
      </c>
      <c r="Y603" s="65">
        <v>0</v>
      </c>
      <c r="Z603" s="65">
        <v>0</v>
      </c>
      <c r="AA603" s="51">
        <v>28</v>
      </c>
      <c r="AB603" s="102">
        <v>0</v>
      </c>
      <c r="AC603" s="81">
        <f t="shared" si="30"/>
        <v>259.19524068105801</v>
      </c>
      <c r="AD603" s="82">
        <f t="shared" si="31"/>
        <v>46.985714285714288</v>
      </c>
      <c r="AE603" s="218">
        <v>2.4333908234612589E-3</v>
      </c>
      <c r="AF603">
        <v>1</v>
      </c>
      <c r="AH603" t="str">
        <f t="shared" si="29"/>
        <v>Dumraon</v>
      </c>
      <c r="AJ603" s="72">
        <v>0</v>
      </c>
      <c r="AK603" s="72"/>
      <c r="AL603" s="72"/>
      <c r="AM603" s="72"/>
    </row>
    <row r="604" spans="1:39" x14ac:dyDescent="0.25">
      <c r="A604" s="37" t="s">
        <v>62</v>
      </c>
      <c r="B604" s="66" t="s">
        <v>1596</v>
      </c>
      <c r="C604" s="41">
        <v>1014</v>
      </c>
      <c r="D604" s="41" t="s">
        <v>368</v>
      </c>
      <c r="E604" s="41">
        <v>10140191</v>
      </c>
      <c r="F604" s="85" t="s">
        <v>1531</v>
      </c>
      <c r="G604" s="39" t="s">
        <v>617</v>
      </c>
      <c r="H604" s="52" t="s">
        <v>98</v>
      </c>
      <c r="I604" s="52">
        <v>288.69999999999993</v>
      </c>
      <c r="J604" s="49">
        <v>11343.260000000002</v>
      </c>
      <c r="K604" s="58">
        <v>0</v>
      </c>
      <c r="L604" s="58">
        <v>0</v>
      </c>
      <c r="M604" s="58">
        <v>0</v>
      </c>
      <c r="N604" s="58">
        <v>0</v>
      </c>
      <c r="O604" s="65">
        <v>0</v>
      </c>
      <c r="P604" s="65">
        <v>0</v>
      </c>
      <c r="Q604" s="50">
        <v>11343.260000000002</v>
      </c>
      <c r="R604" s="65">
        <v>0</v>
      </c>
      <c r="S604" s="65">
        <v>0</v>
      </c>
      <c r="T604" s="65">
        <v>0</v>
      </c>
      <c r="U604" s="65">
        <v>0</v>
      </c>
      <c r="V604" s="65">
        <v>0</v>
      </c>
      <c r="W604" s="65">
        <v>0</v>
      </c>
      <c r="X604" s="65">
        <v>0</v>
      </c>
      <c r="Y604" s="65">
        <v>0</v>
      </c>
      <c r="Z604" s="65">
        <v>11343.260000000002</v>
      </c>
      <c r="AA604" s="51">
        <v>0</v>
      </c>
      <c r="AB604" s="102">
        <v>0</v>
      </c>
      <c r="AC604" s="81">
        <f t="shared" si="30"/>
        <v>323.2062928992035</v>
      </c>
      <c r="AD604" s="82">
        <f t="shared" si="31"/>
        <v>41.242857142857133</v>
      </c>
      <c r="AE604" s="218">
        <v>0</v>
      </c>
      <c r="AF604">
        <v>0</v>
      </c>
      <c r="AH604" t="str">
        <f t="shared" si="29"/>
        <v>Dumraon</v>
      </c>
      <c r="AJ604" s="72">
        <v>0</v>
      </c>
      <c r="AK604" s="72"/>
      <c r="AL604" s="72"/>
      <c r="AM604" s="72"/>
    </row>
    <row r="605" spans="1:39" x14ac:dyDescent="0.25">
      <c r="A605" s="37" t="s">
        <v>62</v>
      </c>
      <c r="B605" s="66" t="s">
        <v>1596</v>
      </c>
      <c r="C605" s="41">
        <v>1014</v>
      </c>
      <c r="D605" s="41" t="s">
        <v>368</v>
      </c>
      <c r="E605" s="41">
        <v>10140194</v>
      </c>
      <c r="F605" s="85" t="s">
        <v>1272</v>
      </c>
      <c r="G605" s="39" t="s">
        <v>92</v>
      </c>
      <c r="H605" s="52" t="s">
        <v>93</v>
      </c>
      <c r="I605" s="52">
        <v>452.59999999999997</v>
      </c>
      <c r="J605" s="49">
        <v>18323.530000000002</v>
      </c>
      <c r="K605" s="58">
        <v>463.65000000000003</v>
      </c>
      <c r="L605" s="58">
        <v>18778.980000000003</v>
      </c>
      <c r="M605" s="58">
        <v>0</v>
      </c>
      <c r="N605" s="58">
        <v>0</v>
      </c>
      <c r="O605" s="65">
        <v>463.65000000000003</v>
      </c>
      <c r="P605" s="65">
        <v>18778.980000000003</v>
      </c>
      <c r="Q605" s="50">
        <v>18323.530000000002</v>
      </c>
      <c r="R605" s="65">
        <v>0</v>
      </c>
      <c r="S605" s="65">
        <v>0</v>
      </c>
      <c r="T605" s="65">
        <v>455.45000000000073</v>
      </c>
      <c r="U605" s="65">
        <v>0</v>
      </c>
      <c r="V605" s="65">
        <v>0</v>
      </c>
      <c r="W605" s="65">
        <v>0</v>
      </c>
      <c r="X605" s="65">
        <v>18324</v>
      </c>
      <c r="Y605" s="65">
        <v>0</v>
      </c>
      <c r="Z605" s="65">
        <v>0</v>
      </c>
      <c r="AA605" s="51">
        <v>0</v>
      </c>
      <c r="AB605" s="102">
        <v>0</v>
      </c>
      <c r="AC605" s="81">
        <f t="shared" si="30"/>
        <v>200.31998771542203</v>
      </c>
      <c r="AD605" s="82">
        <f t="shared" si="31"/>
        <v>64.657142857142858</v>
      </c>
      <c r="AE605" s="218">
        <v>-2.4856018463691256E-2</v>
      </c>
      <c r="AF605">
        <v>1</v>
      </c>
      <c r="AH605" t="str">
        <f t="shared" si="29"/>
        <v>Dumraon</v>
      </c>
      <c r="AJ605" s="72">
        <v>0</v>
      </c>
      <c r="AK605" s="72"/>
      <c r="AL605" s="72"/>
      <c r="AM605" s="72"/>
    </row>
    <row r="606" spans="1:39" x14ac:dyDescent="0.25">
      <c r="A606" s="37" t="s">
        <v>62</v>
      </c>
      <c r="B606" s="66" t="s">
        <v>1596</v>
      </c>
      <c r="C606" s="41">
        <v>1014</v>
      </c>
      <c r="D606" s="41" t="s">
        <v>368</v>
      </c>
      <c r="E606" s="41">
        <v>10140196</v>
      </c>
      <c r="F606" s="85" t="s">
        <v>1265</v>
      </c>
      <c r="G606" s="39" t="s">
        <v>617</v>
      </c>
      <c r="H606" s="52" t="s">
        <v>98</v>
      </c>
      <c r="I606" s="52">
        <v>407.3</v>
      </c>
      <c r="J606" s="49">
        <v>16236.9</v>
      </c>
      <c r="K606" s="58">
        <v>0</v>
      </c>
      <c r="L606" s="58">
        <v>0</v>
      </c>
      <c r="M606" s="58">
        <v>0</v>
      </c>
      <c r="N606" s="58">
        <v>0</v>
      </c>
      <c r="O606" s="65">
        <v>0</v>
      </c>
      <c r="P606" s="65">
        <v>0</v>
      </c>
      <c r="Q606" s="50">
        <v>16236.9</v>
      </c>
      <c r="R606" s="65">
        <v>0</v>
      </c>
      <c r="S606" s="65">
        <v>0</v>
      </c>
      <c r="T606" s="65">
        <v>0</v>
      </c>
      <c r="U606" s="65">
        <v>0</v>
      </c>
      <c r="V606" s="65">
        <v>0</v>
      </c>
      <c r="W606" s="65">
        <v>0</v>
      </c>
      <c r="X606" s="65">
        <v>0</v>
      </c>
      <c r="Y606" s="65">
        <v>0</v>
      </c>
      <c r="Z606" s="65">
        <v>16236.9</v>
      </c>
      <c r="AA606" s="51">
        <v>0</v>
      </c>
      <c r="AB606" s="102">
        <v>0</v>
      </c>
      <c r="AC606" s="81">
        <f t="shared" si="30"/>
        <v>233.36806432604962</v>
      </c>
      <c r="AD606" s="82">
        <f t="shared" si="31"/>
        <v>58.18571428571429</v>
      </c>
      <c r="AE606" s="218">
        <v>0</v>
      </c>
      <c r="AF606">
        <v>0</v>
      </c>
      <c r="AH606" t="str">
        <f t="shared" si="29"/>
        <v>Dumraon</v>
      </c>
      <c r="AJ606" s="72">
        <v>0</v>
      </c>
      <c r="AK606" s="72"/>
      <c r="AL606" s="72"/>
      <c r="AM606" s="72"/>
    </row>
    <row r="607" spans="1:39" x14ac:dyDescent="0.25">
      <c r="A607" s="37" t="s">
        <v>62</v>
      </c>
      <c r="B607" s="66" t="s">
        <v>1596</v>
      </c>
      <c r="C607" s="41">
        <v>1014</v>
      </c>
      <c r="D607" s="41" t="s">
        <v>368</v>
      </c>
      <c r="E607" s="41">
        <v>10140197</v>
      </c>
      <c r="F607" s="85" t="s">
        <v>1273</v>
      </c>
      <c r="G607" s="39" t="s">
        <v>92</v>
      </c>
      <c r="H607" s="52" t="s">
        <v>93</v>
      </c>
      <c r="I607" s="52">
        <v>237.70000000000002</v>
      </c>
      <c r="J607" s="49">
        <v>9629.6099999999988</v>
      </c>
      <c r="K607" s="58">
        <v>239</v>
      </c>
      <c r="L607" s="58">
        <v>9600.6299999999992</v>
      </c>
      <c r="M607" s="58">
        <v>0</v>
      </c>
      <c r="N607" s="58">
        <v>0</v>
      </c>
      <c r="O607" s="65">
        <v>239</v>
      </c>
      <c r="P607" s="65">
        <v>9600.6299999999992</v>
      </c>
      <c r="Q607" s="50">
        <v>9600.6299999999992</v>
      </c>
      <c r="R607" s="65">
        <v>0</v>
      </c>
      <c r="S607" s="65">
        <v>0</v>
      </c>
      <c r="T607" s="65">
        <v>0</v>
      </c>
      <c r="U607" s="65">
        <v>0</v>
      </c>
      <c r="V607" s="65">
        <v>0</v>
      </c>
      <c r="W607" s="65">
        <v>0</v>
      </c>
      <c r="X607" s="65">
        <v>9601</v>
      </c>
      <c r="Y607" s="65">
        <v>0</v>
      </c>
      <c r="Z607" s="65">
        <v>0</v>
      </c>
      <c r="AA607" s="51">
        <v>29</v>
      </c>
      <c r="AB607" s="102">
        <v>0</v>
      </c>
      <c r="AC607" s="81">
        <f t="shared" si="30"/>
        <v>374.57035784602425</v>
      </c>
      <c r="AD607" s="82">
        <f t="shared" si="31"/>
        <v>33.957142857142863</v>
      </c>
      <c r="AE607" s="218">
        <v>3.0094676731455966E-3</v>
      </c>
      <c r="AF607">
        <v>1</v>
      </c>
      <c r="AH607" t="str">
        <f t="shared" si="29"/>
        <v>Dumraon</v>
      </c>
      <c r="AJ607" s="72">
        <v>0</v>
      </c>
      <c r="AK607" s="72"/>
      <c r="AL607" s="72"/>
      <c r="AM607" s="72"/>
    </row>
    <row r="608" spans="1:39" x14ac:dyDescent="0.25">
      <c r="A608" s="37" t="s">
        <v>62</v>
      </c>
      <c r="B608" s="66" t="s">
        <v>1596</v>
      </c>
      <c r="C608" s="41">
        <v>1014</v>
      </c>
      <c r="D608" s="41" t="s">
        <v>368</v>
      </c>
      <c r="E608" s="41">
        <v>10140198</v>
      </c>
      <c r="F608" s="85" t="s">
        <v>1274</v>
      </c>
      <c r="G608" s="39" t="s">
        <v>617</v>
      </c>
      <c r="H608" s="52" t="s">
        <v>98</v>
      </c>
      <c r="I608" s="52">
        <v>839.2</v>
      </c>
      <c r="J608" s="49">
        <v>35524.629999999997</v>
      </c>
      <c r="K608" s="58">
        <v>0</v>
      </c>
      <c r="L608" s="58">
        <v>0</v>
      </c>
      <c r="M608" s="58">
        <v>0</v>
      </c>
      <c r="N608" s="58">
        <v>0</v>
      </c>
      <c r="O608" s="65">
        <v>0</v>
      </c>
      <c r="P608" s="65">
        <v>0</v>
      </c>
      <c r="Q608" s="50">
        <v>35524.629999999997</v>
      </c>
      <c r="R608" s="65">
        <v>0</v>
      </c>
      <c r="S608" s="65">
        <v>0</v>
      </c>
      <c r="T608" s="65">
        <v>0</v>
      </c>
      <c r="U608" s="65">
        <v>0</v>
      </c>
      <c r="V608" s="65">
        <v>0</v>
      </c>
      <c r="W608" s="65">
        <v>0</v>
      </c>
      <c r="X608" s="65">
        <v>0</v>
      </c>
      <c r="Y608" s="65">
        <v>0</v>
      </c>
      <c r="Z608" s="65">
        <v>35524.629999999997</v>
      </c>
      <c r="AA608" s="51">
        <v>0</v>
      </c>
      <c r="AB608" s="102">
        <v>0</v>
      </c>
      <c r="AC608" s="81">
        <f t="shared" si="30"/>
        <v>0</v>
      </c>
      <c r="AD608" s="82">
        <f t="shared" si="31"/>
        <v>0</v>
      </c>
      <c r="AE608" s="218">
        <v>0</v>
      </c>
      <c r="AF608">
        <v>0</v>
      </c>
      <c r="AH608" t="str">
        <f t="shared" si="29"/>
        <v>Dumraon</v>
      </c>
      <c r="AJ608" s="72">
        <v>0</v>
      </c>
      <c r="AK608" s="72"/>
      <c r="AL608" s="72"/>
      <c r="AM608" s="72"/>
    </row>
    <row r="609" spans="1:39" x14ac:dyDescent="0.25">
      <c r="A609" s="37" t="s">
        <v>62</v>
      </c>
      <c r="B609" s="66" t="s">
        <v>1596</v>
      </c>
      <c r="C609" s="41">
        <v>1014</v>
      </c>
      <c r="D609" s="41" t="s">
        <v>368</v>
      </c>
      <c r="E609" s="41">
        <v>10140201</v>
      </c>
      <c r="F609" s="85" t="s">
        <v>1303</v>
      </c>
      <c r="G609" s="39" t="s">
        <v>617</v>
      </c>
      <c r="H609" s="52" t="s">
        <v>98</v>
      </c>
      <c r="I609" s="52">
        <v>140.5</v>
      </c>
      <c r="J609" s="49">
        <v>5244.11</v>
      </c>
      <c r="K609" s="58">
        <v>0</v>
      </c>
      <c r="L609" s="58">
        <v>0</v>
      </c>
      <c r="M609" s="58">
        <v>0</v>
      </c>
      <c r="N609" s="58">
        <v>0</v>
      </c>
      <c r="O609" s="65">
        <v>0</v>
      </c>
      <c r="P609" s="65">
        <v>0</v>
      </c>
      <c r="Q609" s="50">
        <v>5244.11</v>
      </c>
      <c r="R609" s="65">
        <v>0</v>
      </c>
      <c r="S609" s="65">
        <v>0</v>
      </c>
      <c r="T609" s="65">
        <v>0</v>
      </c>
      <c r="U609" s="65">
        <v>0</v>
      </c>
      <c r="V609" s="65">
        <v>0</v>
      </c>
      <c r="W609" s="65">
        <v>0</v>
      </c>
      <c r="X609" s="65">
        <v>0</v>
      </c>
      <c r="Y609" s="65">
        <v>0</v>
      </c>
      <c r="Z609" s="65">
        <v>5244.11</v>
      </c>
      <c r="AA609" s="51">
        <v>0</v>
      </c>
      <c r="AB609" s="102">
        <v>0</v>
      </c>
      <c r="AC609" s="81">
        <f t="shared" si="30"/>
        <v>417.662568683274</v>
      </c>
      <c r="AD609" s="82">
        <f t="shared" si="31"/>
        <v>20.071428571428573</v>
      </c>
      <c r="AE609" s="218">
        <v>0</v>
      </c>
      <c r="AF609">
        <v>0</v>
      </c>
      <c r="AH609" t="str">
        <f t="shared" si="29"/>
        <v>Dumraon</v>
      </c>
      <c r="AJ609" s="72">
        <v>0</v>
      </c>
      <c r="AK609" s="72"/>
      <c r="AL609" s="72"/>
      <c r="AM609" s="72"/>
    </row>
    <row r="610" spans="1:39" x14ac:dyDescent="0.25">
      <c r="A610" s="37" t="s">
        <v>62</v>
      </c>
      <c r="B610" s="66" t="s">
        <v>1596</v>
      </c>
      <c r="C610" s="41">
        <v>1014</v>
      </c>
      <c r="D610" s="41" t="s">
        <v>368</v>
      </c>
      <c r="E610" s="41">
        <v>10140203</v>
      </c>
      <c r="F610" s="85" t="s">
        <v>1334</v>
      </c>
      <c r="G610" s="39" t="s">
        <v>617</v>
      </c>
      <c r="H610" s="52" t="s">
        <v>98</v>
      </c>
      <c r="I610" s="52">
        <v>671.8</v>
      </c>
      <c r="J610" s="49">
        <v>25101.279999999999</v>
      </c>
      <c r="K610" s="58">
        <v>0</v>
      </c>
      <c r="L610" s="58">
        <v>0</v>
      </c>
      <c r="M610" s="58">
        <v>0</v>
      </c>
      <c r="N610" s="58">
        <v>0</v>
      </c>
      <c r="O610" s="65">
        <v>0</v>
      </c>
      <c r="P610" s="65">
        <v>0</v>
      </c>
      <c r="Q610" s="50">
        <v>25101.279999999999</v>
      </c>
      <c r="R610" s="65">
        <v>0</v>
      </c>
      <c r="S610" s="65">
        <v>0</v>
      </c>
      <c r="T610" s="65">
        <v>0</v>
      </c>
      <c r="U610" s="65">
        <v>0</v>
      </c>
      <c r="V610" s="65">
        <v>0</v>
      </c>
      <c r="W610" s="65">
        <v>0</v>
      </c>
      <c r="X610" s="65">
        <v>0</v>
      </c>
      <c r="Y610" s="65">
        <v>0</v>
      </c>
      <c r="Z610" s="65">
        <v>25101.279999999999</v>
      </c>
      <c r="AA610" s="51">
        <v>0</v>
      </c>
      <c r="AB610" s="102">
        <v>0</v>
      </c>
      <c r="AC610" s="81">
        <f t="shared" si="30"/>
        <v>21.073417564751473</v>
      </c>
      <c r="AD610" s="82">
        <f t="shared" si="31"/>
        <v>95.971428571428561</v>
      </c>
      <c r="AE610" s="218">
        <v>0</v>
      </c>
      <c r="AF610">
        <v>0</v>
      </c>
      <c r="AH610" t="str">
        <f t="shared" si="29"/>
        <v>Dumraon</v>
      </c>
      <c r="AJ610" s="72">
        <v>0</v>
      </c>
      <c r="AK610" s="72"/>
      <c r="AL610" s="72"/>
      <c r="AM610" s="72"/>
    </row>
    <row r="611" spans="1:39" x14ac:dyDescent="0.25">
      <c r="A611" s="37" t="s">
        <v>62</v>
      </c>
      <c r="B611" s="66" t="s">
        <v>1596</v>
      </c>
      <c r="C611" s="41">
        <v>1014</v>
      </c>
      <c r="D611" s="41" t="s">
        <v>368</v>
      </c>
      <c r="E611" s="41">
        <v>10140204</v>
      </c>
      <c r="F611" s="85" t="s">
        <v>1464</v>
      </c>
      <c r="G611" s="39" t="s">
        <v>617</v>
      </c>
      <c r="H611" s="52" t="s">
        <v>98</v>
      </c>
      <c r="I611" s="52">
        <v>87.1</v>
      </c>
      <c r="J611" s="49">
        <v>3807.3500000000004</v>
      </c>
      <c r="K611" s="58">
        <v>0</v>
      </c>
      <c r="L611" s="58">
        <v>0</v>
      </c>
      <c r="M611" s="58">
        <v>0</v>
      </c>
      <c r="N611" s="58">
        <v>0</v>
      </c>
      <c r="O611" s="65">
        <v>0</v>
      </c>
      <c r="P611" s="65">
        <v>0</v>
      </c>
      <c r="Q611" s="50">
        <v>3807.3500000000004</v>
      </c>
      <c r="R611" s="65">
        <v>0</v>
      </c>
      <c r="S611" s="65">
        <v>0</v>
      </c>
      <c r="T611" s="65">
        <v>0</v>
      </c>
      <c r="U611" s="65">
        <v>1330</v>
      </c>
      <c r="V611" s="65">
        <v>0</v>
      </c>
      <c r="W611" s="65">
        <v>0</v>
      </c>
      <c r="X611" s="65">
        <v>0</v>
      </c>
      <c r="Y611" s="65">
        <v>0</v>
      </c>
      <c r="Z611" s="65">
        <v>2477.3500000000004</v>
      </c>
      <c r="AA611" s="51">
        <v>0</v>
      </c>
      <c r="AB611" s="102">
        <v>0</v>
      </c>
      <c r="AC611" s="81">
        <f t="shared" si="30"/>
        <v>535.82659357060868</v>
      </c>
      <c r="AD611" s="82">
        <f t="shared" si="31"/>
        <v>12.442857142857141</v>
      </c>
      <c r="AE611" s="218">
        <v>0</v>
      </c>
      <c r="AF611">
        <v>0</v>
      </c>
      <c r="AH611" t="str">
        <f t="shared" si="29"/>
        <v>Dumraon</v>
      </c>
      <c r="AJ611" s="72">
        <v>0</v>
      </c>
      <c r="AK611" s="72"/>
      <c r="AL611" s="72"/>
      <c r="AM611" s="72"/>
    </row>
    <row r="612" spans="1:39" x14ac:dyDescent="0.25">
      <c r="A612" s="37" t="s">
        <v>62</v>
      </c>
      <c r="B612" s="66" t="s">
        <v>1596</v>
      </c>
      <c r="C612" s="41">
        <v>1014</v>
      </c>
      <c r="D612" s="41" t="s">
        <v>368</v>
      </c>
      <c r="E612" s="41">
        <v>10140206</v>
      </c>
      <c r="F612" s="85" t="s">
        <v>1374</v>
      </c>
      <c r="G612" s="39" t="s">
        <v>92</v>
      </c>
      <c r="H612" s="52" t="s">
        <v>93</v>
      </c>
      <c r="I612" s="52">
        <v>521.59999999999991</v>
      </c>
      <c r="J612" s="49">
        <v>21405.29</v>
      </c>
      <c r="K612" s="58">
        <v>523.51</v>
      </c>
      <c r="L612" s="58">
        <v>21371.3</v>
      </c>
      <c r="M612" s="58">
        <v>0</v>
      </c>
      <c r="N612" s="58">
        <v>0</v>
      </c>
      <c r="O612" s="65">
        <v>523.51</v>
      </c>
      <c r="P612" s="65">
        <v>21371.3</v>
      </c>
      <c r="Q612" s="50">
        <v>21371.3</v>
      </c>
      <c r="R612" s="65">
        <v>0</v>
      </c>
      <c r="S612" s="65">
        <v>0</v>
      </c>
      <c r="T612" s="65">
        <v>0</v>
      </c>
      <c r="U612" s="65">
        <v>0</v>
      </c>
      <c r="V612" s="65">
        <v>0</v>
      </c>
      <c r="W612" s="65">
        <v>0</v>
      </c>
      <c r="X612" s="65">
        <v>21371</v>
      </c>
      <c r="Y612" s="65">
        <v>0</v>
      </c>
      <c r="Z612" s="65">
        <v>0</v>
      </c>
      <c r="AA612" s="51">
        <v>34</v>
      </c>
      <c r="AB612" s="102">
        <v>0</v>
      </c>
      <c r="AC612" s="81">
        <f t="shared" si="30"/>
        <v>146.42268926380376</v>
      </c>
      <c r="AD612" s="82">
        <f t="shared" si="31"/>
        <v>74.514285714285705</v>
      </c>
      <c r="AE612" s="218">
        <v>1.5879252278292702E-3</v>
      </c>
      <c r="AF612">
        <v>1</v>
      </c>
      <c r="AH612" t="str">
        <f t="shared" si="29"/>
        <v>Dumraon</v>
      </c>
      <c r="AJ612" s="72">
        <v>0</v>
      </c>
      <c r="AK612" s="72"/>
      <c r="AL612" s="72"/>
      <c r="AM612" s="72"/>
    </row>
    <row r="613" spans="1:39" x14ac:dyDescent="0.25">
      <c r="A613" s="37" t="s">
        <v>62</v>
      </c>
      <c r="B613" s="66" t="s">
        <v>1596</v>
      </c>
      <c r="C613" s="41">
        <v>1014</v>
      </c>
      <c r="D613" s="41" t="s">
        <v>368</v>
      </c>
      <c r="E613" s="41">
        <v>10140207</v>
      </c>
      <c r="F613" s="85" t="s">
        <v>1539</v>
      </c>
      <c r="G613" s="39" t="s">
        <v>617</v>
      </c>
      <c r="H613" s="52" t="s">
        <v>98</v>
      </c>
      <c r="I613" s="52">
        <v>274.10000000000002</v>
      </c>
      <c r="J613" s="49">
        <v>9732.7000000000007</v>
      </c>
      <c r="K613" s="58">
        <v>0</v>
      </c>
      <c r="L613" s="58">
        <v>0</v>
      </c>
      <c r="M613" s="58">
        <v>0</v>
      </c>
      <c r="N613" s="58">
        <v>0</v>
      </c>
      <c r="O613" s="65">
        <v>0</v>
      </c>
      <c r="P613" s="65">
        <v>0</v>
      </c>
      <c r="Q613" s="50">
        <v>9732.7000000000007</v>
      </c>
      <c r="R613" s="65">
        <v>0</v>
      </c>
      <c r="S613" s="65">
        <v>0</v>
      </c>
      <c r="T613" s="65">
        <v>0</v>
      </c>
      <c r="U613" s="65">
        <v>0</v>
      </c>
      <c r="V613" s="65">
        <v>0</v>
      </c>
      <c r="W613" s="65">
        <v>0</v>
      </c>
      <c r="X613" s="65">
        <v>0</v>
      </c>
      <c r="Y613" s="65">
        <v>0</v>
      </c>
      <c r="Z613" s="65">
        <v>9732.7000000000007</v>
      </c>
      <c r="AA613" s="51">
        <v>0</v>
      </c>
      <c r="AB613" s="102">
        <v>0</v>
      </c>
      <c r="AC613" s="81">
        <f t="shared" si="30"/>
        <v>302.45581393651952</v>
      </c>
      <c r="AD613" s="82">
        <f t="shared" si="31"/>
        <v>39.157142857142858</v>
      </c>
      <c r="AE613" s="218">
        <v>0</v>
      </c>
      <c r="AF613">
        <v>0</v>
      </c>
      <c r="AH613" t="str">
        <f t="shared" si="29"/>
        <v>Dumraon</v>
      </c>
      <c r="AJ613" s="72">
        <v>0</v>
      </c>
      <c r="AK613" s="72"/>
      <c r="AL613" s="72"/>
      <c r="AM613" s="72"/>
    </row>
    <row r="614" spans="1:39" x14ac:dyDescent="0.25">
      <c r="A614" s="37" t="s">
        <v>62</v>
      </c>
      <c r="B614" s="66" t="s">
        <v>1596</v>
      </c>
      <c r="C614" s="41">
        <v>1014</v>
      </c>
      <c r="D614" s="41" t="s">
        <v>368</v>
      </c>
      <c r="E614" s="41">
        <v>10140208</v>
      </c>
      <c r="F614" s="85" t="s">
        <v>1562</v>
      </c>
      <c r="G614" s="39" t="s">
        <v>92</v>
      </c>
      <c r="H614" s="52" t="s">
        <v>93</v>
      </c>
      <c r="I614" s="52">
        <v>928.5</v>
      </c>
      <c r="J614" s="49">
        <v>37299.290000000008</v>
      </c>
      <c r="K614" s="58">
        <v>927.38</v>
      </c>
      <c r="L614" s="58">
        <v>37280.080000000009</v>
      </c>
      <c r="M614" s="58">
        <v>0</v>
      </c>
      <c r="N614" s="58">
        <v>0</v>
      </c>
      <c r="O614" s="65">
        <v>927.38</v>
      </c>
      <c r="P614" s="65">
        <v>37280.080000000009</v>
      </c>
      <c r="Q614" s="50">
        <v>37280.080000000009</v>
      </c>
      <c r="R614" s="65">
        <v>0</v>
      </c>
      <c r="S614" s="65">
        <v>0</v>
      </c>
      <c r="T614" s="65">
        <v>0</v>
      </c>
      <c r="U614" s="65">
        <v>0</v>
      </c>
      <c r="V614" s="65">
        <v>0</v>
      </c>
      <c r="W614" s="65">
        <v>0</v>
      </c>
      <c r="X614" s="65">
        <v>37280</v>
      </c>
      <c r="Y614" s="65">
        <v>0</v>
      </c>
      <c r="Z614" s="65">
        <v>0</v>
      </c>
      <c r="AA614" s="51">
        <v>19</v>
      </c>
      <c r="AB614" s="102">
        <v>0</v>
      </c>
      <c r="AC614" s="81">
        <f t="shared" si="30"/>
        <v>0</v>
      </c>
      <c r="AD614" s="82">
        <f t="shared" si="31"/>
        <v>0</v>
      </c>
      <c r="AE614" s="218">
        <v>5.1502320821654034E-4</v>
      </c>
      <c r="AF614">
        <v>2</v>
      </c>
      <c r="AH614" t="str">
        <f t="shared" si="29"/>
        <v>Dumraon</v>
      </c>
      <c r="AJ614" s="72">
        <v>0</v>
      </c>
      <c r="AK614" s="72"/>
      <c r="AL614" s="72"/>
      <c r="AM614" s="72"/>
    </row>
    <row r="615" spans="1:39" x14ac:dyDescent="0.25">
      <c r="A615" s="37" t="s">
        <v>62</v>
      </c>
      <c r="B615" s="66" t="s">
        <v>1596</v>
      </c>
      <c r="C615" s="41">
        <v>1014</v>
      </c>
      <c r="D615" s="41" t="s">
        <v>368</v>
      </c>
      <c r="E615" s="41">
        <v>10140209</v>
      </c>
      <c r="F615" s="85" t="s">
        <v>1580</v>
      </c>
      <c r="G615" s="39" t="s">
        <v>617</v>
      </c>
      <c r="H615" s="52" t="s">
        <v>98</v>
      </c>
      <c r="I615" s="52">
        <v>714.8</v>
      </c>
      <c r="J615" s="49">
        <v>26620.019999999997</v>
      </c>
      <c r="K615" s="58">
        <v>0</v>
      </c>
      <c r="L615" s="58">
        <v>0</v>
      </c>
      <c r="M615" s="58">
        <v>0</v>
      </c>
      <c r="N615" s="58">
        <v>0</v>
      </c>
      <c r="O615" s="65">
        <v>0</v>
      </c>
      <c r="P615" s="65">
        <v>0</v>
      </c>
      <c r="Q615" s="50">
        <v>26620.019999999997</v>
      </c>
      <c r="R615" s="65">
        <v>0</v>
      </c>
      <c r="S615" s="65">
        <v>0</v>
      </c>
      <c r="T615" s="65">
        <v>0</v>
      </c>
      <c r="U615" s="65">
        <v>0</v>
      </c>
      <c r="V615" s="65">
        <v>0</v>
      </c>
      <c r="W615" s="65">
        <v>0</v>
      </c>
      <c r="X615" s="65">
        <v>0</v>
      </c>
      <c r="Y615" s="65">
        <v>0</v>
      </c>
      <c r="Z615" s="65">
        <v>26620.019999999997</v>
      </c>
      <c r="AA615" s="51">
        <v>0</v>
      </c>
      <c r="AB615" s="102">
        <v>0</v>
      </c>
      <c r="AC615" s="81">
        <f t="shared" si="30"/>
        <v>0</v>
      </c>
      <c r="AD615" s="82">
        <f t="shared" si="31"/>
        <v>0</v>
      </c>
      <c r="AE615" s="218">
        <v>0</v>
      </c>
      <c r="AF615">
        <v>0</v>
      </c>
      <c r="AH615" t="str">
        <f t="shared" si="29"/>
        <v>Dumraon</v>
      </c>
      <c r="AJ615" s="72">
        <v>0</v>
      </c>
      <c r="AK615" s="72"/>
      <c r="AL615" s="72"/>
      <c r="AM615" s="72"/>
    </row>
    <row r="616" spans="1:39" x14ac:dyDescent="0.25">
      <c r="A616" s="37" t="s">
        <v>62</v>
      </c>
      <c r="B616" s="66" t="s">
        <v>1596</v>
      </c>
      <c r="C616" s="41">
        <v>1002</v>
      </c>
      <c r="D616" s="41" t="s">
        <v>103</v>
      </c>
      <c r="E616" s="41">
        <v>10180001</v>
      </c>
      <c r="F616" s="85" t="s">
        <v>611</v>
      </c>
      <c r="G616" s="39" t="s">
        <v>617</v>
      </c>
      <c r="H616" s="52" t="s">
        <v>98</v>
      </c>
      <c r="I616" s="52">
        <v>801.5</v>
      </c>
      <c r="J616" s="49">
        <v>33393.4</v>
      </c>
      <c r="K616" s="58">
        <v>0</v>
      </c>
      <c r="L616" s="58">
        <v>0</v>
      </c>
      <c r="M616" s="58">
        <v>0</v>
      </c>
      <c r="N616" s="58">
        <v>0</v>
      </c>
      <c r="O616" s="65">
        <v>0</v>
      </c>
      <c r="P616" s="65">
        <v>0</v>
      </c>
      <c r="Q616" s="50">
        <v>33393.4</v>
      </c>
      <c r="R616" s="65">
        <v>0</v>
      </c>
      <c r="S616" s="65">
        <v>0</v>
      </c>
      <c r="T616" s="65">
        <v>0</v>
      </c>
      <c r="U616" s="65">
        <v>0</v>
      </c>
      <c r="V616" s="65">
        <v>0</v>
      </c>
      <c r="W616" s="65">
        <v>0</v>
      </c>
      <c r="X616" s="65">
        <v>0</v>
      </c>
      <c r="Y616" s="65">
        <v>0</v>
      </c>
      <c r="Z616" s="65">
        <v>33393.4</v>
      </c>
      <c r="AA616" s="51">
        <v>0</v>
      </c>
      <c r="AB616" s="102">
        <v>0</v>
      </c>
      <c r="AC616" s="81">
        <f t="shared" si="30"/>
        <v>0</v>
      </c>
      <c r="AD616" s="82">
        <f t="shared" si="31"/>
        <v>0</v>
      </c>
      <c r="AE616" s="218">
        <v>0</v>
      </c>
      <c r="AF616">
        <v>0</v>
      </c>
      <c r="AH616" t="str">
        <f t="shared" si="29"/>
        <v>Laldiyara</v>
      </c>
      <c r="AJ616" s="72">
        <v>0</v>
      </c>
      <c r="AK616" s="72"/>
      <c r="AL616" s="72"/>
      <c r="AM616" s="72"/>
    </row>
    <row r="617" spans="1:39" x14ac:dyDescent="0.25">
      <c r="A617" s="37" t="s">
        <v>62</v>
      </c>
      <c r="B617" s="66" t="s">
        <v>1596</v>
      </c>
      <c r="C617" s="41">
        <v>1003</v>
      </c>
      <c r="D617" s="41" t="s">
        <v>137</v>
      </c>
      <c r="E617" s="41">
        <v>10240001</v>
      </c>
      <c r="F617" s="85" t="s">
        <v>394</v>
      </c>
      <c r="G617" s="39" t="s">
        <v>277</v>
      </c>
      <c r="H617" s="52" t="s">
        <v>93</v>
      </c>
      <c r="I617" s="52">
        <v>2221.6999999999998</v>
      </c>
      <c r="J617" s="49">
        <v>84624.55</v>
      </c>
      <c r="K617" s="58">
        <v>2307.8000000000011</v>
      </c>
      <c r="L617" s="58">
        <v>83120.5</v>
      </c>
      <c r="M617" s="58">
        <v>28.700000000000003</v>
      </c>
      <c r="N617" s="58">
        <v>1496.7899999999997</v>
      </c>
      <c r="O617" s="65">
        <v>2336.5000000000009</v>
      </c>
      <c r="P617" s="65">
        <v>84617.29</v>
      </c>
      <c r="Q617" s="50">
        <v>84617.29</v>
      </c>
      <c r="R617" s="65">
        <v>0</v>
      </c>
      <c r="S617" s="65">
        <v>1496.7899999999997</v>
      </c>
      <c r="T617" s="65">
        <v>0</v>
      </c>
      <c r="U617" s="65">
        <v>0</v>
      </c>
      <c r="V617" s="65">
        <v>0</v>
      </c>
      <c r="W617" s="65">
        <v>0</v>
      </c>
      <c r="X617" s="65">
        <v>83122</v>
      </c>
      <c r="Y617" s="65">
        <v>0</v>
      </c>
      <c r="Z617" s="65">
        <v>0</v>
      </c>
      <c r="AA617" s="51">
        <v>6</v>
      </c>
      <c r="AB617" s="102">
        <v>0</v>
      </c>
      <c r="AC617" s="81">
        <f t="shared" si="30"/>
        <v>0</v>
      </c>
      <c r="AD617" s="82">
        <f t="shared" si="31"/>
        <v>0</v>
      </c>
      <c r="AE617" s="218">
        <v>8.5790707306677709E-5</v>
      </c>
      <c r="AF617">
        <v>71</v>
      </c>
      <c r="AH617" t="str">
        <f t="shared" si="29"/>
        <v>Asarganj</v>
      </c>
      <c r="AJ617" s="72">
        <v>0</v>
      </c>
      <c r="AK617" s="72"/>
      <c r="AL617" s="72"/>
      <c r="AM617" s="72"/>
    </row>
    <row r="618" spans="1:39" x14ac:dyDescent="0.25">
      <c r="A618" s="37" t="s">
        <v>62</v>
      </c>
      <c r="B618" s="66" t="s">
        <v>1596</v>
      </c>
      <c r="C618" s="41">
        <v>1003</v>
      </c>
      <c r="D618" s="41" t="s">
        <v>137</v>
      </c>
      <c r="E618" s="41">
        <v>10250001</v>
      </c>
      <c r="F618" s="85" t="s">
        <v>395</v>
      </c>
      <c r="G618" s="39" t="s">
        <v>277</v>
      </c>
      <c r="H618" s="52" t="s">
        <v>93</v>
      </c>
      <c r="I618" s="52">
        <v>2075.8000000000002</v>
      </c>
      <c r="J618" s="49">
        <v>89125.859999999986</v>
      </c>
      <c r="K618" s="58">
        <v>2091.5000000000005</v>
      </c>
      <c r="L618" s="58">
        <v>89766.889999999985</v>
      </c>
      <c r="M618" s="58">
        <v>12.399999999999999</v>
      </c>
      <c r="N618" s="58">
        <v>526.79000000000008</v>
      </c>
      <c r="O618" s="65">
        <v>2103.9000000000005</v>
      </c>
      <c r="P618" s="65">
        <v>90293.679999999978</v>
      </c>
      <c r="Q618" s="50">
        <v>89125.859999999986</v>
      </c>
      <c r="R618" s="65">
        <v>0</v>
      </c>
      <c r="S618" s="65">
        <v>526.79000000000008</v>
      </c>
      <c r="T618" s="65">
        <v>1167.8199999999924</v>
      </c>
      <c r="U618" s="65">
        <v>0</v>
      </c>
      <c r="V618" s="65">
        <v>0</v>
      </c>
      <c r="W618" s="65">
        <v>0</v>
      </c>
      <c r="X618" s="65">
        <v>88599</v>
      </c>
      <c r="Y618" s="65">
        <v>0</v>
      </c>
      <c r="Z618" s="65">
        <v>0</v>
      </c>
      <c r="AA618" s="51">
        <v>0</v>
      </c>
      <c r="AB618" s="102">
        <v>0</v>
      </c>
      <c r="AC618" s="81">
        <f t="shared" si="30"/>
        <v>0</v>
      </c>
      <c r="AD618" s="82">
        <f t="shared" si="31"/>
        <v>0</v>
      </c>
      <c r="AE618" s="218">
        <v>-1.3103043269372016E-2</v>
      </c>
      <c r="AF618">
        <v>18</v>
      </c>
      <c r="AH618" t="str">
        <f t="shared" si="29"/>
        <v>Asarganj</v>
      </c>
      <c r="AJ618" s="72">
        <v>0</v>
      </c>
      <c r="AK618" s="72"/>
      <c r="AL618" s="72"/>
      <c r="AM618" s="72"/>
    </row>
    <row r="619" spans="1:39" x14ac:dyDescent="0.25">
      <c r="A619" s="37" t="s">
        <v>62</v>
      </c>
      <c r="B619" s="66" t="s">
        <v>1596</v>
      </c>
      <c r="C619" s="41">
        <v>1003</v>
      </c>
      <c r="D619" s="41" t="s">
        <v>137</v>
      </c>
      <c r="E619" s="41">
        <v>10260001</v>
      </c>
      <c r="F619" s="85" t="s">
        <v>396</v>
      </c>
      <c r="G619" s="39" t="s">
        <v>277</v>
      </c>
      <c r="H619" s="52" t="s">
        <v>93</v>
      </c>
      <c r="I619" s="52">
        <v>1558.55</v>
      </c>
      <c r="J619" s="49">
        <v>59391.899999999994</v>
      </c>
      <c r="K619" s="58">
        <v>1575.6</v>
      </c>
      <c r="L619" s="58">
        <v>68486.010000000009</v>
      </c>
      <c r="M619" s="58">
        <v>7.8999999999999995</v>
      </c>
      <c r="N619" s="58">
        <v>349.61</v>
      </c>
      <c r="O619" s="65">
        <v>1583.5</v>
      </c>
      <c r="P619" s="65">
        <v>68835.62000000001</v>
      </c>
      <c r="Q619" s="50">
        <v>59391.899999999994</v>
      </c>
      <c r="R619" s="65">
        <v>0</v>
      </c>
      <c r="S619" s="65">
        <v>349.61</v>
      </c>
      <c r="T619" s="65">
        <v>9443.7200000000157</v>
      </c>
      <c r="U619" s="65">
        <v>25</v>
      </c>
      <c r="V619" s="65">
        <v>0</v>
      </c>
      <c r="W619" s="65">
        <v>0</v>
      </c>
      <c r="X619" s="65">
        <v>59017</v>
      </c>
      <c r="Y619" s="65">
        <v>0</v>
      </c>
      <c r="Z619" s="65">
        <v>0</v>
      </c>
      <c r="AA619" s="51">
        <v>0</v>
      </c>
      <c r="AB619" s="102">
        <v>0</v>
      </c>
      <c r="AC619" s="81">
        <f t="shared" si="30"/>
        <v>0</v>
      </c>
      <c r="AD619" s="82">
        <f t="shared" si="31"/>
        <v>0</v>
      </c>
      <c r="AE619" s="218">
        <v>-0.15900686793990454</v>
      </c>
      <c r="AF619">
        <v>15</v>
      </c>
      <c r="AH619" t="str">
        <f t="shared" si="29"/>
        <v>Asarganj</v>
      </c>
      <c r="AJ619" s="72">
        <v>0</v>
      </c>
      <c r="AK619" s="72"/>
      <c r="AL619" s="72"/>
      <c r="AM619" s="72"/>
    </row>
    <row r="620" spans="1:39" x14ac:dyDescent="0.25">
      <c r="A620" s="37" t="s">
        <v>62</v>
      </c>
      <c r="B620" s="66" t="s">
        <v>1596</v>
      </c>
      <c r="C620" s="41">
        <v>1006</v>
      </c>
      <c r="D620" s="41" t="s">
        <v>179</v>
      </c>
      <c r="E620" s="41">
        <v>10290001</v>
      </c>
      <c r="F620" s="85" t="s">
        <v>397</v>
      </c>
      <c r="G620" s="39" t="s">
        <v>277</v>
      </c>
      <c r="H620" s="52" t="s">
        <v>93</v>
      </c>
      <c r="I620" s="52">
        <v>1827.6999999999998</v>
      </c>
      <c r="J620" s="49">
        <v>66706.95</v>
      </c>
      <c r="K620" s="58">
        <v>195.29999999999998</v>
      </c>
      <c r="L620" s="58">
        <v>7278.3000000000011</v>
      </c>
      <c r="M620" s="58">
        <v>1680.5999999999997</v>
      </c>
      <c r="N620" s="58">
        <v>63402.060000000005</v>
      </c>
      <c r="O620" s="65">
        <v>1875.8999999999996</v>
      </c>
      <c r="P620" s="65">
        <v>70680.36</v>
      </c>
      <c r="Q620" s="50">
        <v>66706.95</v>
      </c>
      <c r="R620" s="65">
        <v>0</v>
      </c>
      <c r="S620" s="65">
        <v>312.97000000000003</v>
      </c>
      <c r="T620" s="65">
        <v>3973.4100000000035</v>
      </c>
      <c r="U620" s="65">
        <v>0</v>
      </c>
      <c r="V620" s="65">
        <v>0</v>
      </c>
      <c r="W620" s="65">
        <v>0</v>
      </c>
      <c r="X620" s="65">
        <v>3304</v>
      </c>
      <c r="Y620" s="65">
        <v>63090</v>
      </c>
      <c r="Z620" s="65">
        <v>0</v>
      </c>
      <c r="AA620" s="51">
        <v>0</v>
      </c>
      <c r="AB620" s="102">
        <v>0</v>
      </c>
      <c r="AC620" s="81">
        <f t="shared" si="30"/>
        <v>0</v>
      </c>
      <c r="AD620" s="82">
        <f t="shared" si="31"/>
        <v>0</v>
      </c>
      <c r="AE620" s="218">
        <v>-5.9565157753427543E-2</v>
      </c>
      <c r="AF620">
        <v>14</v>
      </c>
      <c r="AH620" t="str">
        <f t="shared" si="29"/>
        <v>Sonvarsha</v>
      </c>
      <c r="AJ620" s="72">
        <v>0</v>
      </c>
      <c r="AK620" s="72"/>
      <c r="AL620" s="72"/>
      <c r="AM620" s="72"/>
    </row>
    <row r="621" spans="1:39" x14ac:dyDescent="0.25">
      <c r="A621" s="37" t="s">
        <v>62</v>
      </c>
      <c r="B621" s="66" t="s">
        <v>1596</v>
      </c>
      <c r="C621" s="41">
        <v>1006</v>
      </c>
      <c r="D621" s="41" t="s">
        <v>179</v>
      </c>
      <c r="E621" s="41">
        <v>10300001</v>
      </c>
      <c r="F621" s="85" t="s">
        <v>1120</v>
      </c>
      <c r="G621" s="39" t="s">
        <v>617</v>
      </c>
      <c r="H621" s="52" t="s">
        <v>98</v>
      </c>
      <c r="I621" s="52">
        <v>561.4</v>
      </c>
      <c r="J621" s="49">
        <v>23214.759999999995</v>
      </c>
      <c r="K621" s="58">
        <v>0</v>
      </c>
      <c r="L621" s="58">
        <v>0</v>
      </c>
      <c r="M621" s="58">
        <v>0</v>
      </c>
      <c r="N621" s="58">
        <v>0</v>
      </c>
      <c r="O621" s="65">
        <v>0</v>
      </c>
      <c r="P621" s="65">
        <v>0</v>
      </c>
      <c r="Q621" s="50">
        <v>23214.759999999995</v>
      </c>
      <c r="R621" s="65">
        <v>0</v>
      </c>
      <c r="S621" s="65">
        <v>0</v>
      </c>
      <c r="T621" s="65">
        <v>0</v>
      </c>
      <c r="U621" s="65">
        <v>0</v>
      </c>
      <c r="V621" s="65">
        <v>0</v>
      </c>
      <c r="W621" s="65">
        <v>0</v>
      </c>
      <c r="X621" s="65">
        <v>0</v>
      </c>
      <c r="Y621" s="65">
        <v>0</v>
      </c>
      <c r="Z621" s="65">
        <v>23214.759999999995</v>
      </c>
      <c r="AA621" s="51">
        <v>0</v>
      </c>
      <c r="AB621" s="102">
        <v>0</v>
      </c>
      <c r="AC621" s="81">
        <f t="shared" si="30"/>
        <v>114.62649576059844</v>
      </c>
      <c r="AD621" s="82">
        <f t="shared" si="31"/>
        <v>80.2</v>
      </c>
      <c r="AE621" s="218">
        <v>0</v>
      </c>
      <c r="AF621">
        <v>0</v>
      </c>
      <c r="AH621" t="str">
        <f t="shared" si="29"/>
        <v>Sonvarsha</v>
      </c>
      <c r="AJ621" s="72">
        <v>0</v>
      </c>
      <c r="AK621" s="72"/>
      <c r="AL621" s="72"/>
      <c r="AM621" s="72"/>
    </row>
    <row r="622" spans="1:39" x14ac:dyDescent="0.25">
      <c r="A622" s="37" t="s">
        <v>62</v>
      </c>
      <c r="B622" s="66" t="s">
        <v>1596</v>
      </c>
      <c r="C622" s="41">
        <v>1006</v>
      </c>
      <c r="D622" s="41" t="s">
        <v>179</v>
      </c>
      <c r="E622" s="41">
        <v>10310001</v>
      </c>
      <c r="F622" s="85" t="s">
        <v>398</v>
      </c>
      <c r="G622" s="39" t="s">
        <v>277</v>
      </c>
      <c r="H622" s="52" t="s">
        <v>93</v>
      </c>
      <c r="I622" s="52">
        <v>1065.4000000000001</v>
      </c>
      <c r="J622" s="49">
        <v>42865.340000000004</v>
      </c>
      <c r="K622" s="58">
        <v>0</v>
      </c>
      <c r="L622" s="58">
        <v>0</v>
      </c>
      <c r="M622" s="58">
        <v>1041.2</v>
      </c>
      <c r="N622" s="58">
        <v>41875.459999999992</v>
      </c>
      <c r="O622" s="65">
        <v>1041.2</v>
      </c>
      <c r="P622" s="65">
        <v>41875.459999999992</v>
      </c>
      <c r="Q622" s="50">
        <v>41875.459999999992</v>
      </c>
      <c r="R622" s="65">
        <v>0</v>
      </c>
      <c r="S622" s="65">
        <v>249.29</v>
      </c>
      <c r="T622" s="65">
        <v>0</v>
      </c>
      <c r="U622" s="65">
        <v>0</v>
      </c>
      <c r="V622" s="65">
        <v>0</v>
      </c>
      <c r="W622" s="65">
        <v>0</v>
      </c>
      <c r="X622" s="65">
        <v>0</v>
      </c>
      <c r="Y622" s="65">
        <v>41625</v>
      </c>
      <c r="Z622" s="65">
        <v>0</v>
      </c>
      <c r="AA622" s="51">
        <v>991</v>
      </c>
      <c r="AB622" s="102">
        <v>0</v>
      </c>
      <c r="AC622" s="81">
        <f t="shared" si="30"/>
        <v>0</v>
      </c>
      <c r="AD622" s="82">
        <f t="shared" si="31"/>
        <v>0</v>
      </c>
      <c r="AE622" s="218">
        <v>2.3092783120348792E-2</v>
      </c>
      <c r="AF622">
        <v>11</v>
      </c>
      <c r="AH622" t="str">
        <f t="shared" si="29"/>
        <v>Sonvarsha</v>
      </c>
      <c r="AJ622" s="72">
        <v>0</v>
      </c>
      <c r="AK622" s="72"/>
      <c r="AL622" s="72"/>
      <c r="AM622" s="72"/>
    </row>
    <row r="623" spans="1:39" x14ac:dyDescent="0.25">
      <c r="A623" s="37" t="s">
        <v>62</v>
      </c>
      <c r="B623" s="66" t="s">
        <v>1596</v>
      </c>
      <c r="C623" s="41">
        <v>1006</v>
      </c>
      <c r="D623" s="41" t="s">
        <v>179</v>
      </c>
      <c r="E623" s="41">
        <v>10320001</v>
      </c>
      <c r="F623" s="85" t="s">
        <v>399</v>
      </c>
      <c r="G623" s="39" t="s">
        <v>617</v>
      </c>
      <c r="H623" s="52" t="s">
        <v>98</v>
      </c>
      <c r="I623" s="52">
        <v>2046.5000000000002</v>
      </c>
      <c r="J623" s="49">
        <v>81216.700000000026</v>
      </c>
      <c r="K623" s="58">
        <v>0</v>
      </c>
      <c r="L623" s="58">
        <v>0</v>
      </c>
      <c r="M623" s="58">
        <v>0</v>
      </c>
      <c r="N623" s="58">
        <v>0</v>
      </c>
      <c r="O623" s="65">
        <v>0</v>
      </c>
      <c r="P623" s="65">
        <v>0</v>
      </c>
      <c r="Q623" s="50">
        <v>81216.700000000026</v>
      </c>
      <c r="R623" s="65">
        <v>0</v>
      </c>
      <c r="S623" s="65">
        <v>0</v>
      </c>
      <c r="T623" s="65">
        <v>0</v>
      </c>
      <c r="U623" s="65">
        <v>0</v>
      </c>
      <c r="V623" s="65">
        <v>0</v>
      </c>
      <c r="W623" s="65">
        <v>0</v>
      </c>
      <c r="X623" s="65">
        <v>0</v>
      </c>
      <c r="Y623" s="65">
        <v>0</v>
      </c>
      <c r="Z623" s="65">
        <v>81216.700000000026</v>
      </c>
      <c r="AA623" s="51">
        <v>0</v>
      </c>
      <c r="AB623" s="102">
        <v>0</v>
      </c>
      <c r="AC623" s="81">
        <f t="shared" si="30"/>
        <v>0</v>
      </c>
      <c r="AD623" s="82">
        <f t="shared" si="31"/>
        <v>0</v>
      </c>
      <c r="AE623" s="218">
        <v>0</v>
      </c>
      <c r="AF623">
        <v>0</v>
      </c>
      <c r="AH623" t="str">
        <f t="shared" si="29"/>
        <v>Sonvarsha</v>
      </c>
      <c r="AJ623" s="72">
        <v>0</v>
      </c>
      <c r="AK623" s="72"/>
      <c r="AL623" s="72"/>
      <c r="AM623" s="72"/>
    </row>
    <row r="624" spans="1:39" x14ac:dyDescent="0.25">
      <c r="A624" s="37" t="s">
        <v>62</v>
      </c>
      <c r="B624" s="66" t="s">
        <v>1596</v>
      </c>
      <c r="C624" s="41">
        <v>1006</v>
      </c>
      <c r="D624" s="41" t="s">
        <v>179</v>
      </c>
      <c r="E624" s="41">
        <v>10330001</v>
      </c>
      <c r="F624" s="85" t="s">
        <v>1180</v>
      </c>
      <c r="G624" s="39" t="s">
        <v>617</v>
      </c>
      <c r="H624" s="52" t="s">
        <v>98</v>
      </c>
      <c r="I624" s="52">
        <v>2496</v>
      </c>
      <c r="J624" s="49">
        <v>96473.68</v>
      </c>
      <c r="K624" s="58">
        <v>0</v>
      </c>
      <c r="L624" s="58">
        <v>0</v>
      </c>
      <c r="M624" s="58">
        <v>0</v>
      </c>
      <c r="N624" s="58">
        <v>0</v>
      </c>
      <c r="O624" s="65">
        <v>0</v>
      </c>
      <c r="P624" s="65">
        <v>0</v>
      </c>
      <c r="Q624" s="50">
        <v>96473.68</v>
      </c>
      <c r="R624" s="65">
        <v>0</v>
      </c>
      <c r="S624" s="65">
        <v>0</v>
      </c>
      <c r="T624" s="65">
        <v>0</v>
      </c>
      <c r="U624" s="65">
        <v>0</v>
      </c>
      <c r="V624" s="65">
        <v>0</v>
      </c>
      <c r="W624" s="65">
        <v>0</v>
      </c>
      <c r="X624" s="65">
        <v>0</v>
      </c>
      <c r="Y624" s="65">
        <v>0</v>
      </c>
      <c r="Z624" s="65">
        <v>96473.68</v>
      </c>
      <c r="AA624" s="51">
        <v>0</v>
      </c>
      <c r="AB624" s="102">
        <v>0</v>
      </c>
      <c r="AC624" s="81">
        <f t="shared" si="30"/>
        <v>0</v>
      </c>
      <c r="AD624" s="82">
        <f t="shared" si="31"/>
        <v>0</v>
      </c>
      <c r="AE624" s="218">
        <v>0</v>
      </c>
      <c r="AF624">
        <v>0</v>
      </c>
      <c r="AH624" t="str">
        <f t="shared" si="29"/>
        <v>Sonvarsha</v>
      </c>
      <c r="AJ624" s="72">
        <v>0</v>
      </c>
      <c r="AK624" s="72"/>
      <c r="AL624" s="72"/>
      <c r="AM624" s="72"/>
    </row>
    <row r="625" spans="1:39" x14ac:dyDescent="0.25">
      <c r="A625" s="37" t="s">
        <v>62</v>
      </c>
      <c r="B625" s="66" t="s">
        <v>1596</v>
      </c>
      <c r="C625" s="41">
        <v>1006</v>
      </c>
      <c r="D625" s="41" t="s">
        <v>179</v>
      </c>
      <c r="E625" s="41">
        <v>10340001</v>
      </c>
      <c r="F625" s="85" t="s">
        <v>400</v>
      </c>
      <c r="G625" s="39" t="s">
        <v>617</v>
      </c>
      <c r="H625" s="52" t="s">
        <v>98</v>
      </c>
      <c r="I625" s="52">
        <v>1400.8999999999996</v>
      </c>
      <c r="J625" s="49">
        <v>54229.26</v>
      </c>
      <c r="K625" s="58">
        <v>0</v>
      </c>
      <c r="L625" s="58">
        <v>0</v>
      </c>
      <c r="M625" s="58">
        <v>0</v>
      </c>
      <c r="N625" s="58">
        <v>0</v>
      </c>
      <c r="O625" s="65">
        <v>0</v>
      </c>
      <c r="P625" s="65">
        <v>0</v>
      </c>
      <c r="Q625" s="50">
        <v>54229.26</v>
      </c>
      <c r="R625" s="65">
        <v>0</v>
      </c>
      <c r="S625" s="65">
        <v>0</v>
      </c>
      <c r="T625" s="65">
        <v>0</v>
      </c>
      <c r="U625" s="65">
        <v>0</v>
      </c>
      <c r="V625" s="65">
        <v>0</v>
      </c>
      <c r="W625" s="65">
        <v>0</v>
      </c>
      <c r="X625" s="65">
        <v>0</v>
      </c>
      <c r="Y625" s="65">
        <v>0</v>
      </c>
      <c r="Z625" s="65">
        <v>54229.26</v>
      </c>
      <c r="AA625" s="51">
        <v>0</v>
      </c>
      <c r="AB625" s="102">
        <v>0</v>
      </c>
      <c r="AC625" s="81">
        <f t="shared" si="30"/>
        <v>0</v>
      </c>
      <c r="AD625" s="82">
        <f t="shared" si="31"/>
        <v>0</v>
      </c>
      <c r="AE625" s="218">
        <v>0</v>
      </c>
      <c r="AF625">
        <v>0</v>
      </c>
      <c r="AH625" t="str">
        <f t="shared" si="29"/>
        <v>Sonvarsha</v>
      </c>
      <c r="AJ625" s="72">
        <v>0</v>
      </c>
      <c r="AK625" s="72"/>
      <c r="AL625" s="72"/>
      <c r="AM625" s="72"/>
    </row>
    <row r="626" spans="1:39" x14ac:dyDescent="0.25">
      <c r="A626" s="37" t="s">
        <v>62</v>
      </c>
      <c r="B626" s="66" t="s">
        <v>1596</v>
      </c>
      <c r="C626" s="41">
        <v>1006</v>
      </c>
      <c r="D626" s="41" t="s">
        <v>179</v>
      </c>
      <c r="E626" s="41">
        <v>10350001</v>
      </c>
      <c r="F626" s="85" t="s">
        <v>401</v>
      </c>
      <c r="G626" s="39" t="s">
        <v>277</v>
      </c>
      <c r="H626" s="52" t="s">
        <v>93</v>
      </c>
      <c r="I626" s="52">
        <v>1849.8999999999999</v>
      </c>
      <c r="J626" s="49">
        <v>74177.47</v>
      </c>
      <c r="K626" s="58">
        <v>1940.7</v>
      </c>
      <c r="L626" s="58">
        <v>74011.35000000002</v>
      </c>
      <c r="M626" s="58">
        <v>18.8</v>
      </c>
      <c r="N626" s="58">
        <v>723.8</v>
      </c>
      <c r="O626" s="65">
        <v>1959.5</v>
      </c>
      <c r="P626" s="65">
        <v>74735.150000000023</v>
      </c>
      <c r="Q626" s="50">
        <v>74177.47</v>
      </c>
      <c r="R626" s="65">
        <v>0</v>
      </c>
      <c r="S626" s="65">
        <v>723.8</v>
      </c>
      <c r="T626" s="65">
        <v>557.68000000002212</v>
      </c>
      <c r="U626" s="65">
        <v>0</v>
      </c>
      <c r="V626" s="65">
        <v>0</v>
      </c>
      <c r="W626" s="65">
        <v>0</v>
      </c>
      <c r="X626" s="65">
        <v>73454</v>
      </c>
      <c r="Y626" s="65">
        <v>0</v>
      </c>
      <c r="Z626" s="65">
        <v>0</v>
      </c>
      <c r="AA626" s="51">
        <v>0</v>
      </c>
      <c r="AB626" s="102">
        <v>0</v>
      </c>
      <c r="AC626" s="81">
        <f t="shared" si="30"/>
        <v>0</v>
      </c>
      <c r="AD626" s="82">
        <f t="shared" si="31"/>
        <v>0</v>
      </c>
      <c r="AE626" s="218">
        <v>-7.5181857779730438E-3</v>
      </c>
      <c r="AF626">
        <v>17</v>
      </c>
      <c r="AH626" t="str">
        <f t="shared" si="29"/>
        <v>Sonvarsha</v>
      </c>
      <c r="AJ626" s="72">
        <v>0</v>
      </c>
      <c r="AK626" s="72"/>
      <c r="AL626" s="72"/>
      <c r="AM626" s="72"/>
    </row>
    <row r="627" spans="1:39" x14ac:dyDescent="0.25">
      <c r="A627" s="37" t="s">
        <v>62</v>
      </c>
      <c r="B627" s="66" t="s">
        <v>1596</v>
      </c>
      <c r="C627" s="41">
        <v>1036</v>
      </c>
      <c r="D627" s="41" t="s">
        <v>402</v>
      </c>
      <c r="E627" s="41">
        <v>10360001</v>
      </c>
      <c r="F627" s="85" t="s">
        <v>402</v>
      </c>
      <c r="G627" s="39" t="s">
        <v>277</v>
      </c>
      <c r="H627" s="52" t="s">
        <v>93</v>
      </c>
      <c r="I627" s="52">
        <v>2345.8000000000002</v>
      </c>
      <c r="J627" s="49">
        <v>93052.680000000008</v>
      </c>
      <c r="K627" s="58">
        <v>2322.9</v>
      </c>
      <c r="L627" s="58">
        <v>92162.280000000013</v>
      </c>
      <c r="M627" s="58">
        <v>22.9</v>
      </c>
      <c r="N627" s="58">
        <v>890.4</v>
      </c>
      <c r="O627" s="65">
        <v>2345.8000000000002</v>
      </c>
      <c r="P627" s="65">
        <v>93052.680000000008</v>
      </c>
      <c r="Q627" s="50">
        <v>93052.680000000008</v>
      </c>
      <c r="R627" s="65">
        <v>0</v>
      </c>
      <c r="S627" s="65">
        <v>890.4</v>
      </c>
      <c r="T627" s="65">
        <v>0</v>
      </c>
      <c r="U627" s="65">
        <v>0</v>
      </c>
      <c r="V627" s="65">
        <v>0</v>
      </c>
      <c r="W627" s="65">
        <v>0</v>
      </c>
      <c r="X627" s="65">
        <v>92161</v>
      </c>
      <c r="Y627" s="65">
        <v>0</v>
      </c>
      <c r="Z627" s="65">
        <v>0</v>
      </c>
      <c r="AA627" s="51">
        <v>1</v>
      </c>
      <c r="AB627" s="102">
        <v>0</v>
      </c>
      <c r="AC627" s="81">
        <f t="shared" si="30"/>
        <v>0</v>
      </c>
      <c r="AD627" s="82">
        <f t="shared" si="31"/>
        <v>0</v>
      </c>
      <c r="AE627" s="218">
        <v>0</v>
      </c>
      <c r="AF627">
        <v>12</v>
      </c>
      <c r="AH627" t="str">
        <f t="shared" si="29"/>
        <v>MAHADAT PUR 2</v>
      </c>
      <c r="AJ627" s="72">
        <v>0</v>
      </c>
      <c r="AK627" s="72"/>
      <c r="AL627" s="72"/>
      <c r="AM627" s="72"/>
    </row>
    <row r="628" spans="1:39" x14ac:dyDescent="0.25">
      <c r="A628" s="37" t="s">
        <v>62</v>
      </c>
      <c r="B628" s="66" t="s">
        <v>1596</v>
      </c>
      <c r="C628" s="41">
        <v>1007</v>
      </c>
      <c r="D628" s="41" t="s">
        <v>203</v>
      </c>
      <c r="E628" s="41">
        <v>10380001</v>
      </c>
      <c r="F628" s="85" t="s">
        <v>403</v>
      </c>
      <c r="G628" s="39" t="s">
        <v>277</v>
      </c>
      <c r="H628" s="52" t="s">
        <v>93</v>
      </c>
      <c r="I628" s="52">
        <v>426</v>
      </c>
      <c r="J628" s="49">
        <v>15336</v>
      </c>
      <c r="K628" s="58">
        <v>422</v>
      </c>
      <c r="L628" s="58">
        <v>15192</v>
      </c>
      <c r="M628" s="58">
        <v>4</v>
      </c>
      <c r="N628" s="58">
        <v>144</v>
      </c>
      <c r="O628" s="65">
        <v>426</v>
      </c>
      <c r="P628" s="65">
        <v>15336</v>
      </c>
      <c r="Q628" s="50">
        <v>15336</v>
      </c>
      <c r="R628" s="65">
        <v>0</v>
      </c>
      <c r="S628" s="65">
        <v>144</v>
      </c>
      <c r="T628" s="65">
        <v>0</v>
      </c>
      <c r="U628" s="65">
        <v>0</v>
      </c>
      <c r="V628" s="65">
        <v>0</v>
      </c>
      <c r="W628" s="65">
        <v>0</v>
      </c>
      <c r="X628" s="65">
        <v>15192</v>
      </c>
      <c r="Y628" s="65">
        <v>0</v>
      </c>
      <c r="Z628" s="65">
        <v>0</v>
      </c>
      <c r="AA628" s="51">
        <v>0</v>
      </c>
      <c r="AB628" s="102">
        <v>0</v>
      </c>
      <c r="AC628" s="81">
        <f t="shared" si="30"/>
        <v>197.28</v>
      </c>
      <c r="AD628" s="82">
        <f t="shared" si="31"/>
        <v>60.857142857142854</v>
      </c>
      <c r="AE628" s="218">
        <v>0</v>
      </c>
      <c r="AF628">
        <v>8</v>
      </c>
      <c r="AH628" t="str">
        <f t="shared" si="29"/>
        <v>Araria</v>
      </c>
      <c r="AJ628" s="72">
        <v>0</v>
      </c>
      <c r="AK628" s="72"/>
      <c r="AL628" s="72"/>
      <c r="AM628" s="72"/>
    </row>
    <row r="629" spans="1:39" x14ac:dyDescent="0.25">
      <c r="A629" s="37" t="s">
        <v>62</v>
      </c>
      <c r="B629" s="66" t="s">
        <v>1596</v>
      </c>
      <c r="C629" s="41">
        <v>1007</v>
      </c>
      <c r="D629" s="41" t="s">
        <v>203</v>
      </c>
      <c r="E629" s="41">
        <v>10390001</v>
      </c>
      <c r="F629" s="85" t="s">
        <v>489</v>
      </c>
      <c r="G629" s="39" t="s">
        <v>277</v>
      </c>
      <c r="H629" s="52" t="s">
        <v>98</v>
      </c>
      <c r="I629" s="52">
        <v>708</v>
      </c>
      <c r="J629" s="49">
        <v>25010.48</v>
      </c>
      <c r="K629" s="58">
        <v>600</v>
      </c>
      <c r="L629" s="58">
        <v>21684</v>
      </c>
      <c r="M629" s="58">
        <v>0</v>
      </c>
      <c r="N629" s="58">
        <v>0</v>
      </c>
      <c r="O629" s="65">
        <v>600</v>
      </c>
      <c r="P629" s="65">
        <v>21684</v>
      </c>
      <c r="Q629" s="50">
        <v>25010.48</v>
      </c>
      <c r="R629" s="65">
        <v>0</v>
      </c>
      <c r="S629" s="65">
        <v>28.97</v>
      </c>
      <c r="T629" s="65">
        <v>0</v>
      </c>
      <c r="U629" s="65">
        <v>0</v>
      </c>
      <c r="V629" s="65">
        <v>0</v>
      </c>
      <c r="W629" s="65">
        <v>0</v>
      </c>
      <c r="X629" s="65">
        <v>0</v>
      </c>
      <c r="Y629" s="65">
        <v>0</v>
      </c>
      <c r="Z629" s="65">
        <v>24981.51</v>
      </c>
      <c r="AA629" s="51">
        <v>0</v>
      </c>
      <c r="AB629" s="102">
        <v>0</v>
      </c>
      <c r="AC629" s="81">
        <f t="shared" si="30"/>
        <v>0</v>
      </c>
      <c r="AD629" s="82">
        <f t="shared" si="31"/>
        <v>0</v>
      </c>
      <c r="AE629" s="218">
        <v>0</v>
      </c>
      <c r="AF629">
        <v>5</v>
      </c>
      <c r="AH629" t="str">
        <f t="shared" si="29"/>
        <v>Araria</v>
      </c>
      <c r="AJ629" s="72">
        <v>0</v>
      </c>
      <c r="AK629" s="72"/>
      <c r="AL629" s="72"/>
      <c r="AM629" s="72"/>
    </row>
    <row r="630" spans="1:39" x14ac:dyDescent="0.25">
      <c r="A630" s="37" t="s">
        <v>62</v>
      </c>
      <c r="B630" s="66" t="s">
        <v>1596</v>
      </c>
      <c r="C630" s="41">
        <v>1007</v>
      </c>
      <c r="D630" s="41" t="s">
        <v>203</v>
      </c>
      <c r="E630" s="41">
        <v>10400001</v>
      </c>
      <c r="F630" s="85" t="s">
        <v>404</v>
      </c>
      <c r="G630" s="39" t="s">
        <v>277</v>
      </c>
      <c r="H630" s="52" t="s">
        <v>93</v>
      </c>
      <c r="I630" s="52">
        <v>2697</v>
      </c>
      <c r="J630" s="49">
        <v>94780.83</v>
      </c>
      <c r="K630" s="58">
        <v>2324</v>
      </c>
      <c r="L630" s="58">
        <v>81784.160000000003</v>
      </c>
      <c r="M630" s="58">
        <v>373</v>
      </c>
      <c r="N630" s="58">
        <v>12993.620000000003</v>
      </c>
      <c r="O630" s="65">
        <v>2697</v>
      </c>
      <c r="P630" s="65">
        <v>94777.78</v>
      </c>
      <c r="Q630" s="50">
        <v>94777.78</v>
      </c>
      <c r="R630" s="65">
        <v>0</v>
      </c>
      <c r="S630" s="65">
        <v>211.01999999999998</v>
      </c>
      <c r="T630" s="65">
        <v>0</v>
      </c>
      <c r="U630" s="65">
        <v>0</v>
      </c>
      <c r="V630" s="65">
        <v>0</v>
      </c>
      <c r="W630" s="65">
        <v>0</v>
      </c>
      <c r="X630" s="65">
        <v>81785</v>
      </c>
      <c r="Y630" s="65">
        <v>12783</v>
      </c>
      <c r="Z630" s="65">
        <v>0</v>
      </c>
      <c r="AA630" s="51">
        <v>2</v>
      </c>
      <c r="AB630" s="102">
        <v>0</v>
      </c>
      <c r="AC630" s="81">
        <f t="shared" si="30"/>
        <v>0</v>
      </c>
      <c r="AD630" s="82">
        <f t="shared" si="31"/>
        <v>0</v>
      </c>
      <c r="AE630" s="218">
        <v>3.2179502964923499E-5</v>
      </c>
      <c r="AF630">
        <v>16</v>
      </c>
      <c r="AH630" t="str">
        <f t="shared" si="29"/>
        <v>Araria</v>
      </c>
      <c r="AJ630" s="72">
        <v>0</v>
      </c>
      <c r="AK630" s="72"/>
      <c r="AL630" s="72"/>
      <c r="AM630" s="72"/>
    </row>
    <row r="631" spans="1:39" x14ac:dyDescent="0.25">
      <c r="A631" s="37" t="s">
        <v>62</v>
      </c>
      <c r="B631" s="66" t="s">
        <v>1596</v>
      </c>
      <c r="C631" s="41">
        <v>1007</v>
      </c>
      <c r="D631" s="41" t="s">
        <v>203</v>
      </c>
      <c r="E631" s="41">
        <v>10410001</v>
      </c>
      <c r="F631" s="85" t="s">
        <v>405</v>
      </c>
      <c r="G631" s="39" t="s">
        <v>277</v>
      </c>
      <c r="H631" s="52" t="s">
        <v>93</v>
      </c>
      <c r="I631" s="52">
        <v>2374</v>
      </c>
      <c r="J631" s="49">
        <v>83081.14</v>
      </c>
      <c r="K631" s="58">
        <v>870</v>
      </c>
      <c r="L631" s="58">
        <v>30463.5</v>
      </c>
      <c r="M631" s="58">
        <v>1596</v>
      </c>
      <c r="N631" s="58">
        <v>55878.479999999996</v>
      </c>
      <c r="O631" s="65">
        <v>2466</v>
      </c>
      <c r="P631" s="65">
        <v>86341.98</v>
      </c>
      <c r="Q631" s="50">
        <v>83081.14</v>
      </c>
      <c r="R631" s="65">
        <v>0</v>
      </c>
      <c r="S631" s="65">
        <v>139.84</v>
      </c>
      <c r="T631" s="65">
        <v>3260.8399999999965</v>
      </c>
      <c r="U631" s="65">
        <v>0</v>
      </c>
      <c r="V631" s="65">
        <v>0</v>
      </c>
      <c r="W631" s="65">
        <v>0</v>
      </c>
      <c r="X631" s="65">
        <v>27202</v>
      </c>
      <c r="Y631" s="65">
        <v>55739</v>
      </c>
      <c r="Z631" s="65">
        <v>0</v>
      </c>
      <c r="AA631" s="51">
        <v>0</v>
      </c>
      <c r="AB631" s="102">
        <v>0</v>
      </c>
      <c r="AC631" s="81">
        <f t="shared" si="30"/>
        <v>0</v>
      </c>
      <c r="AD631" s="82">
        <f t="shared" si="31"/>
        <v>0</v>
      </c>
      <c r="AE631" s="218">
        <v>-3.9248859608811297E-2</v>
      </c>
      <c r="AF631">
        <v>15</v>
      </c>
      <c r="AH631" t="str">
        <f t="shared" si="29"/>
        <v>Araria</v>
      </c>
      <c r="AJ631" s="72">
        <v>0</v>
      </c>
      <c r="AK631" s="72"/>
      <c r="AL631" s="72"/>
      <c r="AM631" s="72"/>
    </row>
    <row r="632" spans="1:39" x14ac:dyDescent="0.25">
      <c r="A632" s="37" t="s">
        <v>62</v>
      </c>
      <c r="B632" s="66" t="s">
        <v>1596</v>
      </c>
      <c r="C632" s="41">
        <v>1011</v>
      </c>
      <c r="D632" s="41" t="s">
        <v>281</v>
      </c>
      <c r="E632" s="41">
        <v>10430001</v>
      </c>
      <c r="F632" s="85" t="s">
        <v>1238</v>
      </c>
      <c r="G632" s="39" t="s">
        <v>92</v>
      </c>
      <c r="H632" s="52" t="s">
        <v>93</v>
      </c>
      <c r="I632" s="52">
        <v>784.10000000000014</v>
      </c>
      <c r="J632" s="49">
        <v>28627.379999999997</v>
      </c>
      <c r="K632" s="58">
        <v>774</v>
      </c>
      <c r="L632" s="58">
        <v>28376.579999999998</v>
      </c>
      <c r="M632" s="58">
        <v>0</v>
      </c>
      <c r="N632" s="58">
        <v>0</v>
      </c>
      <c r="O632" s="65">
        <v>774</v>
      </c>
      <c r="P632" s="65">
        <v>28376.579999999998</v>
      </c>
      <c r="Q632" s="50">
        <v>28376.579999999998</v>
      </c>
      <c r="R632" s="65">
        <v>0</v>
      </c>
      <c r="S632" s="65">
        <v>0</v>
      </c>
      <c r="T632" s="65">
        <v>0</v>
      </c>
      <c r="U632" s="65">
        <v>0</v>
      </c>
      <c r="V632" s="65">
        <v>0</v>
      </c>
      <c r="W632" s="65">
        <v>0</v>
      </c>
      <c r="X632" s="65">
        <v>28377</v>
      </c>
      <c r="Y632" s="65">
        <v>0</v>
      </c>
      <c r="Z632" s="65">
        <v>0</v>
      </c>
      <c r="AA632" s="51">
        <v>250</v>
      </c>
      <c r="AB632" s="102">
        <v>0</v>
      </c>
      <c r="AC632" s="81">
        <f t="shared" si="30"/>
        <v>0</v>
      </c>
      <c r="AD632" s="82">
        <f t="shared" si="31"/>
        <v>0</v>
      </c>
      <c r="AE632" s="218">
        <v>8.7608436398999585E-3</v>
      </c>
      <c r="AF632">
        <v>1</v>
      </c>
      <c r="AH632" t="str">
        <f t="shared" si="29"/>
        <v>Sahibpur Kamal</v>
      </c>
      <c r="AJ632" s="72">
        <v>0</v>
      </c>
      <c r="AK632" s="72"/>
      <c r="AL632" s="72"/>
      <c r="AM632" s="72"/>
    </row>
    <row r="633" spans="1:39" x14ac:dyDescent="0.25">
      <c r="A633" s="37" t="s">
        <v>62</v>
      </c>
      <c r="B633" s="66" t="s">
        <v>1596</v>
      </c>
      <c r="C633" s="41">
        <v>1011</v>
      </c>
      <c r="D633" s="41" t="s">
        <v>281</v>
      </c>
      <c r="E633" s="41">
        <v>10440001</v>
      </c>
      <c r="F633" s="85" t="s">
        <v>406</v>
      </c>
      <c r="G633" s="39" t="s">
        <v>92</v>
      </c>
      <c r="H633" s="52" t="s">
        <v>93</v>
      </c>
      <c r="I633" s="52">
        <v>58.400000000000006</v>
      </c>
      <c r="J633" s="49">
        <v>1928.19</v>
      </c>
      <c r="K633" s="58">
        <v>257.39999999999998</v>
      </c>
      <c r="L633" s="58">
        <v>9533.99</v>
      </c>
      <c r="M633" s="58">
        <v>0</v>
      </c>
      <c r="N633" s="58">
        <v>0</v>
      </c>
      <c r="O633" s="65">
        <v>257.39999999999998</v>
      </c>
      <c r="P633" s="65">
        <v>9533.99</v>
      </c>
      <c r="Q633" s="50">
        <v>1928.19</v>
      </c>
      <c r="R633" s="65">
        <v>0</v>
      </c>
      <c r="S633" s="65">
        <v>0</v>
      </c>
      <c r="T633" s="65">
        <v>7605.7999999999993</v>
      </c>
      <c r="U633" s="65">
        <v>0</v>
      </c>
      <c r="V633" s="65">
        <v>0</v>
      </c>
      <c r="W633" s="65">
        <v>0</v>
      </c>
      <c r="X633" s="65">
        <v>1928</v>
      </c>
      <c r="Y633" s="65">
        <v>0</v>
      </c>
      <c r="Z633" s="65">
        <v>0</v>
      </c>
      <c r="AA633" s="51">
        <v>0</v>
      </c>
      <c r="AB633" s="102" t="s">
        <v>1598</v>
      </c>
      <c r="AC633" s="81">
        <f t="shared" si="30"/>
        <v>423.67352876712323</v>
      </c>
      <c r="AD633" s="82">
        <f t="shared" si="31"/>
        <v>8.3428571428571434</v>
      </c>
      <c r="AE633" s="218">
        <v>-3.9445282881873669</v>
      </c>
      <c r="AF633">
        <v>1</v>
      </c>
      <c r="AH633" t="str">
        <f t="shared" si="29"/>
        <v>Sahibpur Kamal</v>
      </c>
      <c r="AJ633" s="72">
        <v>0</v>
      </c>
      <c r="AK633" s="72"/>
      <c r="AL633" s="72"/>
      <c r="AM633" s="72"/>
    </row>
    <row r="634" spans="1:39" x14ac:dyDescent="0.25">
      <c r="A634" s="37" t="s">
        <v>62</v>
      </c>
      <c r="B634" s="66" t="s">
        <v>1596</v>
      </c>
      <c r="C634" s="41">
        <v>1003</v>
      </c>
      <c r="D634" s="41" t="s">
        <v>137</v>
      </c>
      <c r="E634" s="41">
        <v>10460001</v>
      </c>
      <c r="F634" s="85" t="s">
        <v>407</v>
      </c>
      <c r="G634" s="39" t="s">
        <v>92</v>
      </c>
      <c r="H634" s="52" t="s">
        <v>93</v>
      </c>
      <c r="I634" s="52">
        <v>485.15000000000003</v>
      </c>
      <c r="J634" s="49">
        <v>17298.43</v>
      </c>
      <c r="K634" s="58">
        <v>490.90000000000003</v>
      </c>
      <c r="L634" s="58">
        <v>18529.29</v>
      </c>
      <c r="M634" s="58">
        <v>1</v>
      </c>
      <c r="N634" s="58">
        <v>38.71</v>
      </c>
      <c r="O634" s="65">
        <v>491.90000000000003</v>
      </c>
      <c r="P634" s="65">
        <v>18568</v>
      </c>
      <c r="Q634" s="50">
        <v>17298.43</v>
      </c>
      <c r="R634" s="65">
        <v>0</v>
      </c>
      <c r="S634" s="65">
        <v>38.71</v>
      </c>
      <c r="T634" s="65">
        <v>1269.5699999999997</v>
      </c>
      <c r="U634" s="65">
        <v>0</v>
      </c>
      <c r="V634" s="65">
        <v>0</v>
      </c>
      <c r="W634" s="65">
        <v>0</v>
      </c>
      <c r="X634" s="65">
        <v>17260</v>
      </c>
      <c r="Y634" s="65">
        <v>0</v>
      </c>
      <c r="Z634" s="65">
        <v>0</v>
      </c>
      <c r="AA634" s="51">
        <v>0</v>
      </c>
      <c r="AB634" s="102">
        <v>0</v>
      </c>
      <c r="AC634" s="81">
        <f t="shared" si="30"/>
        <v>153.21313760692564</v>
      </c>
      <c r="AD634" s="82">
        <f t="shared" si="31"/>
        <v>69.307142857142864</v>
      </c>
      <c r="AE634" s="218">
        <v>-7.3392209582025636E-2</v>
      </c>
      <c r="AF634">
        <v>11</v>
      </c>
      <c r="AH634" t="str">
        <f t="shared" si="29"/>
        <v>Asarganj</v>
      </c>
      <c r="AJ634" s="72">
        <v>0</v>
      </c>
      <c r="AK634" s="72"/>
      <c r="AL634" s="72"/>
      <c r="AM634" s="72"/>
    </row>
    <row r="635" spans="1:39" x14ac:dyDescent="0.25">
      <c r="A635" s="37" t="s">
        <v>62</v>
      </c>
      <c r="B635" s="66" t="s">
        <v>1596</v>
      </c>
      <c r="C635" s="41">
        <v>1003</v>
      </c>
      <c r="D635" s="41" t="s">
        <v>137</v>
      </c>
      <c r="E635" s="41">
        <v>10460002</v>
      </c>
      <c r="F635" s="85" t="s">
        <v>408</v>
      </c>
      <c r="G635" s="39" t="s">
        <v>92</v>
      </c>
      <c r="H635" s="52" t="s">
        <v>93</v>
      </c>
      <c r="I635" s="52">
        <v>784.84999999999991</v>
      </c>
      <c r="J635" s="49">
        <v>24846.95</v>
      </c>
      <c r="K635" s="58">
        <v>777.7</v>
      </c>
      <c r="L635" s="58">
        <v>25858.98</v>
      </c>
      <c r="M635" s="58">
        <v>1.8000000000000005</v>
      </c>
      <c r="N635" s="58">
        <v>58.559999999999988</v>
      </c>
      <c r="O635" s="65">
        <v>779.5</v>
      </c>
      <c r="P635" s="65">
        <v>25917.54</v>
      </c>
      <c r="Q635" s="50">
        <v>24846.95</v>
      </c>
      <c r="R635" s="65">
        <v>0</v>
      </c>
      <c r="S635" s="65">
        <v>58.559999999999988</v>
      </c>
      <c r="T635" s="65">
        <v>1070.5900000000001</v>
      </c>
      <c r="U635" s="65">
        <v>0</v>
      </c>
      <c r="V635" s="65">
        <v>0</v>
      </c>
      <c r="W635" s="65">
        <v>0</v>
      </c>
      <c r="X635" s="65">
        <v>24788</v>
      </c>
      <c r="Y635" s="65">
        <v>0</v>
      </c>
      <c r="Z635" s="65">
        <v>0</v>
      </c>
      <c r="AA635" s="51">
        <v>0</v>
      </c>
      <c r="AB635" s="102">
        <v>0</v>
      </c>
      <c r="AC635" s="81">
        <f t="shared" si="30"/>
        <v>0</v>
      </c>
      <c r="AD635" s="82">
        <f t="shared" si="31"/>
        <v>0</v>
      </c>
      <c r="AE635" s="218">
        <v>-4.3087380946152352E-2</v>
      </c>
      <c r="AF635">
        <v>4</v>
      </c>
      <c r="AH635" t="str">
        <f t="shared" si="29"/>
        <v>Asarganj</v>
      </c>
      <c r="AJ635" s="72">
        <v>0</v>
      </c>
      <c r="AK635" s="72"/>
      <c r="AL635" s="72"/>
      <c r="AM635" s="72"/>
    </row>
    <row r="636" spans="1:39" x14ac:dyDescent="0.25">
      <c r="A636" s="37" t="s">
        <v>62</v>
      </c>
      <c r="B636" s="66" t="s">
        <v>1596</v>
      </c>
      <c r="C636" s="41">
        <v>1036</v>
      </c>
      <c r="D636" s="41" t="s">
        <v>402</v>
      </c>
      <c r="E636" s="41">
        <v>10480001</v>
      </c>
      <c r="F636" s="85" t="s">
        <v>409</v>
      </c>
      <c r="G636" s="39" t="s">
        <v>92</v>
      </c>
      <c r="H636" s="52" t="s">
        <v>93</v>
      </c>
      <c r="I636" s="52">
        <v>390.9</v>
      </c>
      <c r="J636" s="49">
        <v>14540.82</v>
      </c>
      <c r="K636" s="58">
        <v>388</v>
      </c>
      <c r="L636" s="58">
        <v>14410.2</v>
      </c>
      <c r="M636" s="58">
        <v>2.9000000000000004</v>
      </c>
      <c r="N636" s="58">
        <v>108.57000000000001</v>
      </c>
      <c r="O636" s="65">
        <v>390.9</v>
      </c>
      <c r="P636" s="65">
        <v>14518.77</v>
      </c>
      <c r="Q636" s="50">
        <v>14518.77</v>
      </c>
      <c r="R636" s="65">
        <v>0</v>
      </c>
      <c r="S636" s="65">
        <v>108.57000000000001</v>
      </c>
      <c r="T636" s="65">
        <v>0</v>
      </c>
      <c r="U636" s="65">
        <v>0</v>
      </c>
      <c r="V636" s="65">
        <v>0</v>
      </c>
      <c r="W636" s="65">
        <v>0</v>
      </c>
      <c r="X636" s="65">
        <v>14410</v>
      </c>
      <c r="Y636" s="65">
        <v>0</v>
      </c>
      <c r="Z636" s="65">
        <v>0</v>
      </c>
      <c r="AA636" s="51">
        <v>22</v>
      </c>
      <c r="AB636" s="102">
        <v>0</v>
      </c>
      <c r="AC636" s="81">
        <f t="shared" si="30"/>
        <v>229.95996224098235</v>
      </c>
      <c r="AD636" s="82">
        <f t="shared" si="31"/>
        <v>55.842857142857142</v>
      </c>
      <c r="AE636" s="218">
        <v>1.5164206695357809E-3</v>
      </c>
      <c r="AF636">
        <v>3</v>
      </c>
      <c r="AH636" t="str">
        <f t="shared" ref="AH636:AH697" si="32">TEXT(D636,"0000")</f>
        <v>MAHADAT PUR 2</v>
      </c>
      <c r="AJ636" s="72">
        <v>0</v>
      </c>
      <c r="AK636" s="72"/>
      <c r="AL636" s="72"/>
      <c r="AM636" s="72"/>
    </row>
    <row r="637" spans="1:39" x14ac:dyDescent="0.25">
      <c r="A637" s="37" t="s">
        <v>62</v>
      </c>
      <c r="B637" s="66" t="s">
        <v>1596</v>
      </c>
      <c r="C637" s="41">
        <v>1036</v>
      </c>
      <c r="D637" s="41" t="s">
        <v>402</v>
      </c>
      <c r="E637" s="41">
        <v>10480002</v>
      </c>
      <c r="F637" s="85" t="s">
        <v>410</v>
      </c>
      <c r="G637" s="39" t="s">
        <v>617</v>
      </c>
      <c r="H637" s="52" t="s">
        <v>98</v>
      </c>
      <c r="I637" s="52">
        <v>390.99999999999994</v>
      </c>
      <c r="J637" s="49">
        <v>13050.69</v>
      </c>
      <c r="K637" s="58">
        <v>391.3</v>
      </c>
      <c r="L637" s="58">
        <v>13151.51</v>
      </c>
      <c r="M637" s="58">
        <v>0</v>
      </c>
      <c r="N637" s="58">
        <v>0</v>
      </c>
      <c r="O637" s="65">
        <v>391.3</v>
      </c>
      <c r="P637" s="65">
        <v>13151.51</v>
      </c>
      <c r="Q637" s="50">
        <v>13050.69</v>
      </c>
      <c r="R637" s="65">
        <v>0</v>
      </c>
      <c r="S637" s="65">
        <v>0</v>
      </c>
      <c r="T637" s="65">
        <v>100.81999999999971</v>
      </c>
      <c r="U637" s="65">
        <v>0</v>
      </c>
      <c r="V637" s="65">
        <v>0</v>
      </c>
      <c r="W637" s="65">
        <v>0</v>
      </c>
      <c r="X637" s="65">
        <v>0</v>
      </c>
      <c r="Y637" s="65">
        <v>0</v>
      </c>
      <c r="Z637" s="65">
        <v>13050.69</v>
      </c>
      <c r="AA637" s="51">
        <v>0</v>
      </c>
      <c r="AB637" s="102">
        <v>0</v>
      </c>
      <c r="AC637" s="81">
        <f t="shared" si="30"/>
        <v>206.27433299232743</v>
      </c>
      <c r="AD637" s="82">
        <f t="shared" si="31"/>
        <v>55.857142857142847</v>
      </c>
      <c r="AE637" s="218">
        <v>0</v>
      </c>
      <c r="AF637">
        <v>1</v>
      </c>
      <c r="AH637" t="str">
        <f t="shared" si="32"/>
        <v>MAHADAT PUR 2</v>
      </c>
      <c r="AJ637" s="72">
        <v>0</v>
      </c>
      <c r="AK637" s="72"/>
      <c r="AL637" s="72"/>
      <c r="AM637" s="72"/>
    </row>
    <row r="638" spans="1:39" x14ac:dyDescent="0.25">
      <c r="A638" s="37" t="s">
        <v>62</v>
      </c>
      <c r="B638" s="66" t="s">
        <v>1596</v>
      </c>
      <c r="C638" s="41">
        <v>1007</v>
      </c>
      <c r="D638" s="41" t="s">
        <v>203</v>
      </c>
      <c r="E638" s="41">
        <v>10480003</v>
      </c>
      <c r="F638" s="85" t="s">
        <v>612</v>
      </c>
      <c r="G638" s="39" t="s">
        <v>617</v>
      </c>
      <c r="H638" s="52" t="s">
        <v>98</v>
      </c>
      <c r="I638" s="52">
        <v>627</v>
      </c>
      <c r="J638" s="49">
        <v>21023.31</v>
      </c>
      <c r="K638" s="58">
        <v>0</v>
      </c>
      <c r="L638" s="58">
        <v>0</v>
      </c>
      <c r="M638" s="58">
        <v>0</v>
      </c>
      <c r="N638" s="58">
        <v>0</v>
      </c>
      <c r="O638" s="65">
        <v>0</v>
      </c>
      <c r="P638" s="65">
        <v>0</v>
      </c>
      <c r="Q638" s="50">
        <v>21023.31</v>
      </c>
      <c r="R638" s="65">
        <v>0</v>
      </c>
      <c r="S638" s="65">
        <v>0</v>
      </c>
      <c r="T638" s="65">
        <v>0</v>
      </c>
      <c r="U638" s="65">
        <v>0</v>
      </c>
      <c r="V638" s="65">
        <v>0</v>
      </c>
      <c r="W638" s="65">
        <v>0</v>
      </c>
      <c r="X638" s="65">
        <v>0</v>
      </c>
      <c r="Y638" s="65">
        <v>0</v>
      </c>
      <c r="Z638" s="65">
        <v>21023.31</v>
      </c>
      <c r="AA638" s="51">
        <v>0</v>
      </c>
      <c r="AB638" s="102">
        <v>0</v>
      </c>
      <c r="AC638" s="81">
        <f t="shared" si="30"/>
        <v>48.953800000000008</v>
      </c>
      <c r="AD638" s="82">
        <f t="shared" si="31"/>
        <v>89.571428571428569</v>
      </c>
      <c r="AE638" s="218">
        <v>0</v>
      </c>
      <c r="AF638">
        <v>0</v>
      </c>
      <c r="AH638" t="str">
        <f t="shared" si="32"/>
        <v>Araria</v>
      </c>
      <c r="AJ638" s="72">
        <v>0</v>
      </c>
      <c r="AK638" s="72"/>
      <c r="AL638" s="72"/>
      <c r="AM638" s="72"/>
    </row>
    <row r="639" spans="1:39" x14ac:dyDescent="0.25">
      <c r="A639" s="37" t="s">
        <v>62</v>
      </c>
      <c r="B639" s="66" t="s">
        <v>1596</v>
      </c>
      <c r="C639" s="41">
        <v>1036</v>
      </c>
      <c r="D639" s="41" t="s">
        <v>402</v>
      </c>
      <c r="E639" s="41">
        <v>10480005</v>
      </c>
      <c r="F639" s="85" t="s">
        <v>613</v>
      </c>
      <c r="G639" s="39" t="s">
        <v>92</v>
      </c>
      <c r="H639" s="52" t="s">
        <v>93</v>
      </c>
      <c r="I639" s="52">
        <v>395.8</v>
      </c>
      <c r="J639" s="49">
        <v>16172.599999999999</v>
      </c>
      <c r="K639" s="58">
        <v>2465.8999999999996</v>
      </c>
      <c r="L639" s="58">
        <v>98854.450000000012</v>
      </c>
      <c r="M639" s="58">
        <v>1.4000000000000001</v>
      </c>
      <c r="N639" s="58">
        <v>58.27000000000001</v>
      </c>
      <c r="O639" s="65">
        <v>2467.2999999999997</v>
      </c>
      <c r="P639" s="65">
        <v>98912.720000000016</v>
      </c>
      <c r="Q639" s="50">
        <v>16172.599999999999</v>
      </c>
      <c r="R639" s="65">
        <v>0</v>
      </c>
      <c r="S639" s="65">
        <v>58.27000000000001</v>
      </c>
      <c r="T639" s="65">
        <v>82740.120000000024</v>
      </c>
      <c r="U639" s="65">
        <v>0</v>
      </c>
      <c r="V639" s="65">
        <v>0</v>
      </c>
      <c r="W639" s="65">
        <v>0</v>
      </c>
      <c r="X639" s="65">
        <v>16114</v>
      </c>
      <c r="Y639" s="65">
        <v>0</v>
      </c>
      <c r="Z639" s="65">
        <v>0</v>
      </c>
      <c r="AA639" s="51">
        <v>0</v>
      </c>
      <c r="AB639" s="102">
        <v>0</v>
      </c>
      <c r="AC639" s="81">
        <f t="shared" si="30"/>
        <v>248.59549873673569</v>
      </c>
      <c r="AD639" s="82">
        <f t="shared" si="31"/>
        <v>56.542857142857144</v>
      </c>
      <c r="AE639" s="218">
        <v>-5.1160679173416783</v>
      </c>
      <c r="AF639">
        <v>3</v>
      </c>
      <c r="AH639" t="str">
        <f t="shared" si="32"/>
        <v>MAHADAT PUR 2</v>
      </c>
      <c r="AJ639" s="72">
        <v>0</v>
      </c>
      <c r="AK639" s="72"/>
      <c r="AL639" s="72"/>
      <c r="AM639" s="72"/>
    </row>
    <row r="640" spans="1:39" x14ac:dyDescent="0.25">
      <c r="A640" s="37" t="s">
        <v>62</v>
      </c>
      <c r="B640" s="66" t="s">
        <v>1596</v>
      </c>
      <c r="C640" s="41">
        <v>1036</v>
      </c>
      <c r="D640" s="41" t="s">
        <v>402</v>
      </c>
      <c r="E640" s="41">
        <v>10480008</v>
      </c>
      <c r="F640" s="85" t="s">
        <v>614</v>
      </c>
      <c r="G640" s="39" t="s">
        <v>92</v>
      </c>
      <c r="H640" s="52" t="s">
        <v>93</v>
      </c>
      <c r="I640" s="52">
        <v>549.9</v>
      </c>
      <c r="J640" s="49">
        <v>22191.87</v>
      </c>
      <c r="K640" s="58">
        <v>364.08000000000004</v>
      </c>
      <c r="L640" s="58">
        <v>14888.85</v>
      </c>
      <c r="M640" s="58">
        <v>196.96000000000004</v>
      </c>
      <c r="N640" s="58">
        <v>8149.62</v>
      </c>
      <c r="O640" s="65">
        <v>561.04000000000008</v>
      </c>
      <c r="P640" s="65">
        <v>23038.47</v>
      </c>
      <c r="Q640" s="50">
        <v>22191.87</v>
      </c>
      <c r="R640" s="65">
        <v>0</v>
      </c>
      <c r="S640" s="65">
        <v>123.74000000000001</v>
      </c>
      <c r="T640" s="65">
        <v>846.60000000000218</v>
      </c>
      <c r="U640" s="65">
        <v>0</v>
      </c>
      <c r="V640" s="65">
        <v>0</v>
      </c>
      <c r="W640" s="65">
        <v>0</v>
      </c>
      <c r="X640" s="65">
        <v>14042</v>
      </c>
      <c r="Y640" s="65">
        <v>8026</v>
      </c>
      <c r="Z640" s="65">
        <v>0</v>
      </c>
      <c r="AA640" s="51">
        <v>0</v>
      </c>
      <c r="AB640" s="102">
        <v>0</v>
      </c>
      <c r="AC640" s="81">
        <f t="shared" si="30"/>
        <v>121.14928848881618</v>
      </c>
      <c r="AD640" s="82">
        <f t="shared" si="31"/>
        <v>78.55714285714285</v>
      </c>
      <c r="AE640" s="218">
        <v>-3.814910595637061E-2</v>
      </c>
      <c r="AF640">
        <v>9</v>
      </c>
      <c r="AH640" t="str">
        <f t="shared" si="32"/>
        <v>MAHADAT PUR 2</v>
      </c>
      <c r="AJ640" s="72">
        <v>0</v>
      </c>
      <c r="AK640" s="72"/>
      <c r="AL640" s="72"/>
      <c r="AM640" s="72"/>
    </row>
    <row r="641" spans="1:39" x14ac:dyDescent="0.25">
      <c r="A641" s="37" t="s">
        <v>62</v>
      </c>
      <c r="B641" s="66" t="s">
        <v>1596</v>
      </c>
      <c r="C641" s="41">
        <v>1036</v>
      </c>
      <c r="D641" s="41" t="s">
        <v>402</v>
      </c>
      <c r="E641" s="41">
        <v>10480022</v>
      </c>
      <c r="F641" s="85" t="s">
        <v>615</v>
      </c>
      <c r="G641" s="39" t="s">
        <v>92</v>
      </c>
      <c r="H641" s="52" t="s">
        <v>93</v>
      </c>
      <c r="I641" s="52">
        <v>478.7999999999999</v>
      </c>
      <c r="J641" s="49">
        <v>18458.55</v>
      </c>
      <c r="K641" s="58">
        <v>285.3</v>
      </c>
      <c r="L641" s="58">
        <v>12453.36</v>
      </c>
      <c r="M641" s="58">
        <v>275</v>
      </c>
      <c r="N641" s="58">
        <v>12003.849999999999</v>
      </c>
      <c r="O641" s="65">
        <v>560.29999999999995</v>
      </c>
      <c r="P641" s="65">
        <v>24457.21</v>
      </c>
      <c r="Q641" s="50">
        <v>18458.55</v>
      </c>
      <c r="R641" s="65">
        <v>0</v>
      </c>
      <c r="S641" s="65">
        <v>61.179999999999986</v>
      </c>
      <c r="T641" s="65">
        <v>5998.66</v>
      </c>
      <c r="U641" s="65">
        <v>0</v>
      </c>
      <c r="V641" s="65">
        <v>0</v>
      </c>
      <c r="W641" s="65">
        <v>0</v>
      </c>
      <c r="X641" s="65">
        <v>6454</v>
      </c>
      <c r="Y641" s="65">
        <v>11943</v>
      </c>
      <c r="Z641" s="65">
        <v>0</v>
      </c>
      <c r="AA641" s="51">
        <v>0</v>
      </c>
      <c r="AB641" s="102">
        <v>0</v>
      </c>
      <c r="AC641" s="81">
        <f t="shared" si="30"/>
        <v>170.55268421052639</v>
      </c>
      <c r="AD641" s="82">
        <f t="shared" si="31"/>
        <v>68.399999999999991</v>
      </c>
      <c r="AE641" s="218">
        <v>-0.3249800228078587</v>
      </c>
      <c r="AF641">
        <v>3</v>
      </c>
      <c r="AH641" t="str">
        <f t="shared" si="32"/>
        <v>MAHADAT PUR 2</v>
      </c>
      <c r="AJ641" s="72">
        <v>0</v>
      </c>
      <c r="AK641" s="72"/>
      <c r="AL641" s="72"/>
      <c r="AM641" s="72"/>
    </row>
    <row r="642" spans="1:39" x14ac:dyDescent="0.25">
      <c r="A642" s="37" t="s">
        <v>62</v>
      </c>
      <c r="B642" s="66" t="s">
        <v>1596</v>
      </c>
      <c r="C642" s="41">
        <v>1036</v>
      </c>
      <c r="D642" s="41" t="s">
        <v>402</v>
      </c>
      <c r="E642" s="41">
        <v>10480023</v>
      </c>
      <c r="F642" s="85" t="s">
        <v>616</v>
      </c>
      <c r="G642" s="39" t="s">
        <v>92</v>
      </c>
      <c r="H642" s="52" t="s">
        <v>93</v>
      </c>
      <c r="I642" s="52">
        <v>1148.5000000000002</v>
      </c>
      <c r="J642" s="49">
        <v>46224.849999999984</v>
      </c>
      <c r="K642" s="58">
        <v>985.6</v>
      </c>
      <c r="L642" s="58">
        <v>40570.229999999996</v>
      </c>
      <c r="M642" s="58">
        <v>163.6</v>
      </c>
      <c r="N642" s="58">
        <v>6675.5599999999995</v>
      </c>
      <c r="O642" s="65">
        <v>1149.2</v>
      </c>
      <c r="P642" s="65">
        <v>47245.789999999994</v>
      </c>
      <c r="Q642" s="50">
        <v>46224.849999999984</v>
      </c>
      <c r="R642" s="65">
        <v>0</v>
      </c>
      <c r="S642" s="65">
        <v>2706.3399999999997</v>
      </c>
      <c r="T642" s="65">
        <v>1020.9400000000096</v>
      </c>
      <c r="U642" s="65">
        <v>0</v>
      </c>
      <c r="V642" s="65">
        <v>0</v>
      </c>
      <c r="W642" s="65">
        <v>0</v>
      </c>
      <c r="X642" s="65">
        <v>39550</v>
      </c>
      <c r="Y642" s="65">
        <v>3969</v>
      </c>
      <c r="Z642" s="65">
        <v>0</v>
      </c>
      <c r="AA642" s="51">
        <v>0</v>
      </c>
      <c r="AB642" s="102">
        <v>0</v>
      </c>
      <c r="AC642" s="81">
        <f t="shared" si="30"/>
        <v>0</v>
      </c>
      <c r="AD642" s="82">
        <f t="shared" si="31"/>
        <v>0</v>
      </c>
      <c r="AE642" s="218">
        <v>-2.2086388598340719E-2</v>
      </c>
      <c r="AF642">
        <v>7</v>
      </c>
      <c r="AH642" t="str">
        <f t="shared" si="32"/>
        <v>MAHADAT PUR 2</v>
      </c>
      <c r="AJ642" s="72">
        <v>0</v>
      </c>
      <c r="AK642" s="72"/>
      <c r="AL642" s="72"/>
      <c r="AM642" s="72"/>
    </row>
    <row r="643" spans="1:39" x14ac:dyDescent="0.25">
      <c r="A643" s="37" t="s">
        <v>62</v>
      </c>
      <c r="B643" s="66" t="s">
        <v>1596</v>
      </c>
      <c r="C643" s="41">
        <v>1036</v>
      </c>
      <c r="D643" s="41" t="s">
        <v>402</v>
      </c>
      <c r="E643" s="41">
        <v>10480028</v>
      </c>
      <c r="F643" s="85" t="s">
        <v>526</v>
      </c>
      <c r="G643" s="39" t="s">
        <v>617</v>
      </c>
      <c r="H643" s="52" t="s">
        <v>98</v>
      </c>
      <c r="I643" s="52">
        <v>369.8</v>
      </c>
      <c r="J643" s="49">
        <v>13798.84</v>
      </c>
      <c r="K643" s="58">
        <v>0</v>
      </c>
      <c r="L643" s="58">
        <v>0</v>
      </c>
      <c r="M643" s="58">
        <v>0</v>
      </c>
      <c r="N643" s="58">
        <v>0</v>
      </c>
      <c r="O643" s="65">
        <v>0</v>
      </c>
      <c r="P643" s="65">
        <v>0</v>
      </c>
      <c r="Q643" s="50">
        <v>13798.84</v>
      </c>
      <c r="R643" s="65">
        <v>0</v>
      </c>
      <c r="S643" s="65">
        <v>0</v>
      </c>
      <c r="T643" s="65">
        <v>0</v>
      </c>
      <c r="U643" s="65">
        <v>0</v>
      </c>
      <c r="V643" s="65">
        <v>0</v>
      </c>
      <c r="W643" s="65">
        <v>0</v>
      </c>
      <c r="X643" s="65">
        <v>0</v>
      </c>
      <c r="Y643" s="65">
        <v>0</v>
      </c>
      <c r="Z643" s="65">
        <v>13798.84</v>
      </c>
      <c r="AA643" s="51">
        <v>0</v>
      </c>
      <c r="AB643" s="102">
        <v>0</v>
      </c>
      <c r="AC643" s="81">
        <f t="shared" si="30"/>
        <v>246.42384899945915</v>
      </c>
      <c r="AD643" s="82">
        <f t="shared" si="31"/>
        <v>52.828571428571429</v>
      </c>
      <c r="AE643" s="218">
        <v>0</v>
      </c>
      <c r="AF643">
        <v>0</v>
      </c>
      <c r="AH643" t="str">
        <f t="shared" si="32"/>
        <v>MAHADAT PUR 2</v>
      </c>
      <c r="AJ643" s="72">
        <v>0</v>
      </c>
      <c r="AK643" s="72"/>
      <c r="AL643" s="72"/>
      <c r="AM643" s="72"/>
    </row>
    <row r="644" spans="1:39" x14ac:dyDescent="0.25">
      <c r="A644" s="37" t="s">
        <v>62</v>
      </c>
      <c r="B644" s="66" t="s">
        <v>1596</v>
      </c>
      <c r="C644" s="41">
        <v>1036</v>
      </c>
      <c r="D644" s="41" t="s">
        <v>402</v>
      </c>
      <c r="E644" s="41">
        <v>10480033</v>
      </c>
      <c r="F644" s="85" t="s">
        <v>1223</v>
      </c>
      <c r="G644" s="39" t="s">
        <v>617</v>
      </c>
      <c r="H644" s="52" t="s">
        <v>98</v>
      </c>
      <c r="I644" s="52">
        <v>154.20000000000005</v>
      </c>
      <c r="J644" s="49">
        <v>5439.14</v>
      </c>
      <c r="K644" s="58">
        <v>0</v>
      </c>
      <c r="L644" s="58">
        <v>0</v>
      </c>
      <c r="M644" s="58">
        <v>0</v>
      </c>
      <c r="N644" s="58">
        <v>0</v>
      </c>
      <c r="O644" s="65">
        <v>0</v>
      </c>
      <c r="P644" s="65">
        <v>0</v>
      </c>
      <c r="Q644" s="50">
        <v>5439.14</v>
      </c>
      <c r="R644" s="65">
        <v>0</v>
      </c>
      <c r="S644" s="65">
        <v>0</v>
      </c>
      <c r="T644" s="65">
        <v>0</v>
      </c>
      <c r="U644" s="65">
        <v>0</v>
      </c>
      <c r="V644" s="65">
        <v>0</v>
      </c>
      <c r="W644" s="65">
        <v>0</v>
      </c>
      <c r="X644" s="65">
        <v>0</v>
      </c>
      <c r="Y644" s="65">
        <v>0</v>
      </c>
      <c r="Z644" s="65">
        <v>5439.14</v>
      </c>
      <c r="AA644" s="51">
        <v>0</v>
      </c>
      <c r="AB644" s="102">
        <v>0</v>
      </c>
      <c r="AC644" s="81">
        <f t="shared" ref="AC644:AC707" si="33">((IF(AD644=0,0,100-AD644))*7*(J644/I644))*2%</f>
        <v>385.04314033722426</v>
      </c>
      <c r="AD644" s="82">
        <f t="shared" ref="AD644:AD707" si="34">IF((I644/7)&gt;100,0,(I644/7))</f>
        <v>22.028571428571436</v>
      </c>
      <c r="AE644" s="218">
        <v>0</v>
      </c>
      <c r="AF644">
        <v>0</v>
      </c>
      <c r="AH644" t="str">
        <f t="shared" si="32"/>
        <v>MAHADAT PUR 2</v>
      </c>
      <c r="AJ644" s="72">
        <v>0</v>
      </c>
      <c r="AK644" s="72"/>
      <c r="AL644" s="72"/>
      <c r="AM644" s="72"/>
    </row>
    <row r="645" spans="1:39" x14ac:dyDescent="0.25">
      <c r="A645" s="37" t="s">
        <v>62</v>
      </c>
      <c r="B645" s="66" t="s">
        <v>1596</v>
      </c>
      <c r="C645" s="41">
        <v>1036</v>
      </c>
      <c r="D645" s="41" t="s">
        <v>402</v>
      </c>
      <c r="E645" s="41">
        <v>10480034</v>
      </c>
      <c r="F645" s="85" t="s">
        <v>1135</v>
      </c>
      <c r="G645" s="39" t="s">
        <v>617</v>
      </c>
      <c r="H645" s="52" t="s">
        <v>98</v>
      </c>
      <c r="I645" s="52">
        <v>373.2</v>
      </c>
      <c r="J645" s="49">
        <v>15455.41</v>
      </c>
      <c r="K645" s="58">
        <v>0</v>
      </c>
      <c r="L645" s="58">
        <v>0</v>
      </c>
      <c r="M645" s="58">
        <v>0</v>
      </c>
      <c r="N645" s="58">
        <v>0</v>
      </c>
      <c r="O645" s="65">
        <v>0</v>
      </c>
      <c r="P645" s="65">
        <v>0</v>
      </c>
      <c r="Q645" s="50">
        <v>15455.41</v>
      </c>
      <c r="R645" s="65">
        <v>0</v>
      </c>
      <c r="S645" s="65">
        <v>0</v>
      </c>
      <c r="T645" s="65">
        <v>0</v>
      </c>
      <c r="U645" s="65">
        <v>0</v>
      </c>
      <c r="V645" s="65">
        <v>0</v>
      </c>
      <c r="W645" s="65">
        <v>0</v>
      </c>
      <c r="X645" s="65">
        <v>0</v>
      </c>
      <c r="Y645" s="65">
        <v>0</v>
      </c>
      <c r="Z645" s="65">
        <v>15455.41</v>
      </c>
      <c r="AA645" s="51">
        <v>0</v>
      </c>
      <c r="AB645" s="102">
        <v>0</v>
      </c>
      <c r="AC645" s="81">
        <f t="shared" si="33"/>
        <v>270.6767410503752</v>
      </c>
      <c r="AD645" s="82">
        <f t="shared" si="34"/>
        <v>53.31428571428571</v>
      </c>
      <c r="AE645" s="218">
        <v>0</v>
      </c>
      <c r="AF645">
        <v>0</v>
      </c>
      <c r="AH645" t="str">
        <f t="shared" si="32"/>
        <v>MAHADAT PUR 2</v>
      </c>
      <c r="AJ645" s="72">
        <v>0</v>
      </c>
      <c r="AK645" s="72"/>
      <c r="AL645" s="72"/>
      <c r="AM645" s="72"/>
    </row>
    <row r="646" spans="1:39" x14ac:dyDescent="0.25">
      <c r="A646" s="37" t="s">
        <v>62</v>
      </c>
      <c r="B646" s="66" t="s">
        <v>1596</v>
      </c>
      <c r="C646" s="41">
        <v>1003</v>
      </c>
      <c r="D646" s="41" t="s">
        <v>137</v>
      </c>
      <c r="E646" s="41">
        <v>10500001</v>
      </c>
      <c r="F646" s="85" t="s">
        <v>411</v>
      </c>
      <c r="G646" s="39" t="s">
        <v>277</v>
      </c>
      <c r="H646" s="52" t="s">
        <v>93</v>
      </c>
      <c r="I646" s="52">
        <v>1000</v>
      </c>
      <c r="J646" s="49">
        <v>37250</v>
      </c>
      <c r="K646" s="58">
        <v>1019.5999999999999</v>
      </c>
      <c r="L646" s="58">
        <v>37720.100000000006</v>
      </c>
      <c r="M646" s="58">
        <v>11.699999999999998</v>
      </c>
      <c r="N646" s="58">
        <v>422.2</v>
      </c>
      <c r="O646" s="65">
        <v>1031.3</v>
      </c>
      <c r="P646" s="65">
        <v>38142.300000000003</v>
      </c>
      <c r="Q646" s="50">
        <v>37250</v>
      </c>
      <c r="R646" s="65">
        <v>0</v>
      </c>
      <c r="S646" s="65">
        <v>422.2</v>
      </c>
      <c r="T646" s="65">
        <v>892.30000000000291</v>
      </c>
      <c r="U646" s="65">
        <v>0</v>
      </c>
      <c r="V646" s="65">
        <v>0</v>
      </c>
      <c r="W646" s="65">
        <v>0</v>
      </c>
      <c r="X646" s="65">
        <v>36828</v>
      </c>
      <c r="Y646" s="65">
        <v>0</v>
      </c>
      <c r="Z646" s="65">
        <v>0</v>
      </c>
      <c r="AA646" s="51">
        <v>0</v>
      </c>
      <c r="AB646" s="102">
        <v>0</v>
      </c>
      <c r="AC646" s="81">
        <f t="shared" si="33"/>
        <v>0</v>
      </c>
      <c r="AD646" s="82">
        <f t="shared" si="34"/>
        <v>0</v>
      </c>
      <c r="AE646" s="218">
        <v>-2.3954362416107461E-2</v>
      </c>
      <c r="AF646">
        <v>10</v>
      </c>
      <c r="AH646" t="str">
        <f t="shared" si="32"/>
        <v>Asarganj</v>
      </c>
      <c r="AJ646" s="72">
        <v>0</v>
      </c>
      <c r="AK646" s="72"/>
      <c r="AL646" s="72"/>
      <c r="AM646" s="72"/>
    </row>
    <row r="647" spans="1:39" x14ac:dyDescent="0.25">
      <c r="A647" s="37" t="s">
        <v>62</v>
      </c>
      <c r="B647" s="66" t="s">
        <v>1596</v>
      </c>
      <c r="C647" s="41">
        <v>1014</v>
      </c>
      <c r="D647" s="41" t="s">
        <v>368</v>
      </c>
      <c r="E647" s="41">
        <v>10510001</v>
      </c>
      <c r="F647" s="85" t="s">
        <v>412</v>
      </c>
      <c r="G647" s="39" t="s">
        <v>92</v>
      </c>
      <c r="H647" s="52" t="s">
        <v>93</v>
      </c>
      <c r="I647" s="52">
        <v>2375.8999999999996</v>
      </c>
      <c r="J647" s="49">
        <v>90955.459999999992</v>
      </c>
      <c r="K647" s="58">
        <v>2361.2999999999997</v>
      </c>
      <c r="L647" s="58">
        <v>92652.76</v>
      </c>
      <c r="M647" s="58">
        <v>14.400000000000002</v>
      </c>
      <c r="N647" s="58">
        <v>759.12</v>
      </c>
      <c r="O647" s="65">
        <v>2375.6999999999998</v>
      </c>
      <c r="P647" s="65">
        <v>93411.87999999999</v>
      </c>
      <c r="Q647" s="50">
        <v>90955.459999999992</v>
      </c>
      <c r="R647" s="65">
        <v>0</v>
      </c>
      <c r="S647" s="65">
        <v>759.12</v>
      </c>
      <c r="T647" s="65">
        <v>2456.4199999999983</v>
      </c>
      <c r="U647" s="65">
        <v>0</v>
      </c>
      <c r="V647" s="65">
        <v>0</v>
      </c>
      <c r="W647" s="65">
        <v>0</v>
      </c>
      <c r="X647" s="65">
        <v>90196</v>
      </c>
      <c r="Y647" s="65">
        <v>0</v>
      </c>
      <c r="Z647" s="65">
        <v>0</v>
      </c>
      <c r="AA647" s="51">
        <v>0</v>
      </c>
      <c r="AB647" s="102">
        <v>0</v>
      </c>
      <c r="AC647" s="81">
        <f t="shared" si="33"/>
        <v>0</v>
      </c>
      <c r="AD647" s="82">
        <f t="shared" si="34"/>
        <v>0</v>
      </c>
      <c r="AE647" s="218">
        <v>-2.7006844888696056E-2</v>
      </c>
      <c r="AF647">
        <v>37</v>
      </c>
      <c r="AH647" t="str">
        <f t="shared" si="32"/>
        <v>Dumraon</v>
      </c>
      <c r="AJ647" s="72">
        <v>0</v>
      </c>
      <c r="AK647" s="72"/>
      <c r="AL647" s="72"/>
      <c r="AM647" s="72"/>
    </row>
    <row r="648" spans="1:39" x14ac:dyDescent="0.25">
      <c r="A648" s="37" t="s">
        <v>62</v>
      </c>
      <c r="B648" s="66" t="s">
        <v>1596</v>
      </c>
      <c r="C648" s="41">
        <v>1014</v>
      </c>
      <c r="D648" s="41" t="s">
        <v>368</v>
      </c>
      <c r="E648" s="41">
        <v>10510002</v>
      </c>
      <c r="F648" s="85" t="s">
        <v>413</v>
      </c>
      <c r="G648" s="39" t="s">
        <v>92</v>
      </c>
      <c r="H648" s="52" t="s">
        <v>93</v>
      </c>
      <c r="I648" s="52">
        <v>1160.0999999999999</v>
      </c>
      <c r="J648" s="49">
        <v>48301.069999999992</v>
      </c>
      <c r="K648" s="58">
        <v>1150.6200000000001</v>
      </c>
      <c r="L648" s="58">
        <v>48429.609999999986</v>
      </c>
      <c r="M648" s="58">
        <v>6.09</v>
      </c>
      <c r="N648" s="58">
        <v>261.35000000000002</v>
      </c>
      <c r="O648" s="65">
        <v>1156.71</v>
      </c>
      <c r="P648" s="65">
        <v>48690.959999999985</v>
      </c>
      <c r="Q648" s="50">
        <v>48301.069999999992</v>
      </c>
      <c r="R648" s="65">
        <v>0</v>
      </c>
      <c r="S648" s="65">
        <v>261.35000000000002</v>
      </c>
      <c r="T648" s="65">
        <v>389.88999999999214</v>
      </c>
      <c r="U648" s="65">
        <v>0</v>
      </c>
      <c r="V648" s="65">
        <v>0</v>
      </c>
      <c r="W648" s="65">
        <v>0</v>
      </c>
      <c r="X648" s="65">
        <v>48040</v>
      </c>
      <c r="Y648" s="65">
        <v>0</v>
      </c>
      <c r="Z648" s="65">
        <v>0</v>
      </c>
      <c r="AA648" s="51">
        <v>0</v>
      </c>
      <c r="AB648" s="102">
        <v>0</v>
      </c>
      <c r="AC648" s="81">
        <f t="shared" si="33"/>
        <v>0</v>
      </c>
      <c r="AD648" s="82">
        <f t="shared" si="34"/>
        <v>0</v>
      </c>
      <c r="AE648" s="218">
        <v>-8.0720779063484967E-3</v>
      </c>
      <c r="AF648">
        <v>10</v>
      </c>
      <c r="AH648" t="str">
        <f t="shared" si="32"/>
        <v>Dumraon</v>
      </c>
      <c r="AJ648" s="72">
        <v>0</v>
      </c>
      <c r="AK648" s="72"/>
      <c r="AL648" s="72"/>
      <c r="AM648" s="72"/>
    </row>
    <row r="649" spans="1:39" x14ac:dyDescent="0.25">
      <c r="A649" s="37" t="s">
        <v>62</v>
      </c>
      <c r="B649" s="66" t="s">
        <v>1596</v>
      </c>
      <c r="C649" s="41">
        <v>1014</v>
      </c>
      <c r="D649" s="41" t="s">
        <v>368</v>
      </c>
      <c r="E649" s="41">
        <v>10510004</v>
      </c>
      <c r="F649" s="85" t="s">
        <v>414</v>
      </c>
      <c r="G649" s="39" t="s">
        <v>92</v>
      </c>
      <c r="H649" s="52" t="s">
        <v>93</v>
      </c>
      <c r="I649" s="52">
        <v>2278.8000000000002</v>
      </c>
      <c r="J649" s="49">
        <v>88953.36</v>
      </c>
      <c r="K649" s="58">
        <v>2272.6999999999998</v>
      </c>
      <c r="L649" s="58">
        <v>88395.849999999991</v>
      </c>
      <c r="M649" s="58">
        <v>11.499999999999998</v>
      </c>
      <c r="N649" s="58">
        <v>548.20000000000005</v>
      </c>
      <c r="O649" s="65">
        <v>2284.1999999999998</v>
      </c>
      <c r="P649" s="65">
        <v>88944.049999999988</v>
      </c>
      <c r="Q649" s="50">
        <v>88944.049999999988</v>
      </c>
      <c r="R649" s="65">
        <v>0</v>
      </c>
      <c r="S649" s="65">
        <v>548.20000000000005</v>
      </c>
      <c r="T649" s="65">
        <v>0</v>
      </c>
      <c r="U649" s="65">
        <v>0</v>
      </c>
      <c r="V649" s="65">
        <v>0</v>
      </c>
      <c r="W649" s="65">
        <v>0</v>
      </c>
      <c r="X649" s="65">
        <v>88395</v>
      </c>
      <c r="Y649" s="65">
        <v>0</v>
      </c>
      <c r="Z649" s="65">
        <v>0</v>
      </c>
      <c r="AA649" s="51">
        <v>10</v>
      </c>
      <c r="AB649" s="102">
        <v>0</v>
      </c>
      <c r="AC649" s="81">
        <f t="shared" si="33"/>
        <v>0</v>
      </c>
      <c r="AD649" s="82">
        <f t="shared" si="34"/>
        <v>0</v>
      </c>
      <c r="AE649" s="218">
        <v>1.0466158894967232E-4</v>
      </c>
      <c r="AF649">
        <v>6</v>
      </c>
      <c r="AH649" t="str">
        <f t="shared" si="32"/>
        <v>Dumraon</v>
      </c>
      <c r="AJ649" s="72">
        <v>0</v>
      </c>
      <c r="AK649" s="72"/>
      <c r="AL649" s="72"/>
      <c r="AM649" s="72"/>
    </row>
    <row r="650" spans="1:39" x14ac:dyDescent="0.25">
      <c r="A650" s="37" t="s">
        <v>62</v>
      </c>
      <c r="B650" s="66" t="s">
        <v>1596</v>
      </c>
      <c r="C650" s="41">
        <v>1012</v>
      </c>
      <c r="D650" s="41" t="s">
        <v>306</v>
      </c>
      <c r="E650" s="41">
        <v>10520006</v>
      </c>
      <c r="F650" s="85" t="s">
        <v>1154</v>
      </c>
      <c r="G650" s="39" t="s">
        <v>617</v>
      </c>
      <c r="H650" s="52" t="s">
        <v>98</v>
      </c>
      <c r="I650" s="52">
        <v>3884.7</v>
      </c>
      <c r="J650" s="49">
        <v>151905.19999999998</v>
      </c>
      <c r="K650" s="58">
        <v>0</v>
      </c>
      <c r="L650" s="58">
        <v>0</v>
      </c>
      <c r="M650" s="58">
        <v>0</v>
      </c>
      <c r="N650" s="58">
        <v>0</v>
      </c>
      <c r="O650" s="65">
        <v>0</v>
      </c>
      <c r="P650" s="65">
        <v>0</v>
      </c>
      <c r="Q650" s="50">
        <v>151905.19999999998</v>
      </c>
      <c r="R650" s="65">
        <v>0</v>
      </c>
      <c r="S650" s="65">
        <v>0</v>
      </c>
      <c r="T650" s="65">
        <v>0</v>
      </c>
      <c r="U650" s="65">
        <v>0</v>
      </c>
      <c r="V650" s="65">
        <v>0</v>
      </c>
      <c r="W650" s="65">
        <v>0</v>
      </c>
      <c r="X650" s="65">
        <v>0</v>
      </c>
      <c r="Y650" s="65">
        <v>0</v>
      </c>
      <c r="Z650" s="65">
        <v>151905.19999999998</v>
      </c>
      <c r="AA650" s="51">
        <v>0</v>
      </c>
      <c r="AB650" s="102">
        <v>0</v>
      </c>
      <c r="AC650" s="81">
        <f t="shared" si="33"/>
        <v>0</v>
      </c>
      <c r="AD650" s="82">
        <f t="shared" si="34"/>
        <v>0</v>
      </c>
      <c r="AE650" s="218">
        <v>0</v>
      </c>
      <c r="AF650">
        <v>0</v>
      </c>
      <c r="AH650" t="str">
        <f t="shared" si="32"/>
        <v>DalsinghSarai</v>
      </c>
      <c r="AJ650" s="72">
        <v>0</v>
      </c>
      <c r="AK650" s="72"/>
      <c r="AL650" s="72"/>
      <c r="AM650" s="72"/>
    </row>
    <row r="651" spans="1:39" x14ac:dyDescent="0.25">
      <c r="A651" s="37" t="s">
        <v>62</v>
      </c>
      <c r="B651" s="66" t="s">
        <v>1596</v>
      </c>
      <c r="C651" s="41">
        <v>1053</v>
      </c>
      <c r="D651" s="41" t="s">
        <v>527</v>
      </c>
      <c r="E651" s="41">
        <v>10520010</v>
      </c>
      <c r="F651" s="85" t="s">
        <v>1283</v>
      </c>
      <c r="G651" s="39" t="s">
        <v>617</v>
      </c>
      <c r="H651" s="52" t="s">
        <v>98</v>
      </c>
      <c r="I651" s="52">
        <v>5209</v>
      </c>
      <c r="J651" s="49">
        <v>214961.83000000002</v>
      </c>
      <c r="K651" s="58">
        <v>0</v>
      </c>
      <c r="L651" s="58">
        <v>0</v>
      </c>
      <c r="M651" s="58">
        <v>0</v>
      </c>
      <c r="N651" s="58">
        <v>0</v>
      </c>
      <c r="O651" s="65">
        <v>0</v>
      </c>
      <c r="P651" s="65">
        <v>0</v>
      </c>
      <c r="Q651" s="50">
        <v>214961.83000000002</v>
      </c>
      <c r="R651" s="65">
        <v>0</v>
      </c>
      <c r="S651" s="65">
        <v>0</v>
      </c>
      <c r="T651" s="65">
        <v>0</v>
      </c>
      <c r="U651" s="65">
        <v>0</v>
      </c>
      <c r="V651" s="65">
        <v>0</v>
      </c>
      <c r="W651" s="65">
        <v>0</v>
      </c>
      <c r="X651" s="65">
        <v>0</v>
      </c>
      <c r="Y651" s="65">
        <v>0</v>
      </c>
      <c r="Z651" s="65">
        <v>214961.83000000002</v>
      </c>
      <c r="AA651" s="51">
        <v>0</v>
      </c>
      <c r="AB651" s="102">
        <v>0</v>
      </c>
      <c r="AC651" s="81">
        <f t="shared" si="33"/>
        <v>0</v>
      </c>
      <c r="AD651" s="82">
        <f t="shared" si="34"/>
        <v>0</v>
      </c>
      <c r="AE651" s="218">
        <v>0</v>
      </c>
      <c r="AF651">
        <v>0</v>
      </c>
      <c r="AH651" t="str">
        <f t="shared" si="32"/>
        <v>Kalyanpur</v>
      </c>
      <c r="AJ651" s="72">
        <v>0</v>
      </c>
      <c r="AK651" s="72"/>
      <c r="AL651" s="72"/>
      <c r="AM651" s="72"/>
    </row>
    <row r="652" spans="1:39" x14ac:dyDescent="0.25">
      <c r="A652" s="37" t="s">
        <v>62</v>
      </c>
      <c r="B652" s="66" t="s">
        <v>1596</v>
      </c>
      <c r="C652" s="41">
        <v>1010</v>
      </c>
      <c r="D652" s="41" t="s">
        <v>1311</v>
      </c>
      <c r="E652" s="41">
        <v>10520011</v>
      </c>
      <c r="F652" s="85" t="s">
        <v>1465</v>
      </c>
      <c r="G652" s="39" t="s">
        <v>617</v>
      </c>
      <c r="H652" s="52" t="s">
        <v>98</v>
      </c>
      <c r="I652" s="52">
        <v>12940</v>
      </c>
      <c r="J652" s="49">
        <v>410246.2</v>
      </c>
      <c r="K652" s="58">
        <v>0</v>
      </c>
      <c r="L652" s="58">
        <v>0</v>
      </c>
      <c r="M652" s="58">
        <v>0</v>
      </c>
      <c r="N652" s="58">
        <v>0</v>
      </c>
      <c r="O652" s="65">
        <v>0</v>
      </c>
      <c r="P652" s="65">
        <v>0</v>
      </c>
      <c r="Q652" s="50">
        <v>410246.2</v>
      </c>
      <c r="R652" s="65">
        <v>0</v>
      </c>
      <c r="S652" s="65">
        <v>0</v>
      </c>
      <c r="T652" s="65">
        <v>0</v>
      </c>
      <c r="U652" s="65">
        <v>0</v>
      </c>
      <c r="V652" s="65">
        <v>0</v>
      </c>
      <c r="W652" s="65">
        <v>0</v>
      </c>
      <c r="X652" s="65">
        <v>0</v>
      </c>
      <c r="Y652" s="65">
        <v>0</v>
      </c>
      <c r="Z652" s="65">
        <v>410246.2</v>
      </c>
      <c r="AA652" s="51">
        <v>0</v>
      </c>
      <c r="AB652" s="102">
        <v>0</v>
      </c>
      <c r="AC652" s="81">
        <f t="shared" si="33"/>
        <v>0</v>
      </c>
      <c r="AD652" s="82">
        <f t="shared" si="34"/>
        <v>0</v>
      </c>
      <c r="AE652" s="218">
        <v>0</v>
      </c>
      <c r="AF652">
        <v>0</v>
      </c>
      <c r="AH652" t="str">
        <f t="shared" si="32"/>
        <v>Parbatta</v>
      </c>
      <c r="AJ652" s="72">
        <v>0</v>
      </c>
      <c r="AK652" s="72"/>
      <c r="AL652" s="72"/>
      <c r="AM652" s="72"/>
    </row>
    <row r="653" spans="1:39" x14ac:dyDescent="0.25">
      <c r="A653" s="37" t="s">
        <v>62</v>
      </c>
      <c r="B653" s="66" t="s">
        <v>1596</v>
      </c>
      <c r="C653" s="41">
        <v>1053</v>
      </c>
      <c r="D653" s="41" t="s">
        <v>527</v>
      </c>
      <c r="E653" s="41">
        <v>10530001</v>
      </c>
      <c r="F653" s="85" t="s">
        <v>528</v>
      </c>
      <c r="G653" s="39" t="s">
        <v>92</v>
      </c>
      <c r="H653" s="52" t="s">
        <v>93</v>
      </c>
      <c r="I653" s="52">
        <v>1322.9</v>
      </c>
      <c r="J653" s="49">
        <v>56912.44</v>
      </c>
      <c r="K653" s="58">
        <v>1328.8999999999999</v>
      </c>
      <c r="L653" s="58">
        <v>56357.699999999983</v>
      </c>
      <c r="M653" s="58">
        <v>11.820000000000002</v>
      </c>
      <c r="N653" s="58">
        <v>513.80999999999995</v>
      </c>
      <c r="O653" s="65">
        <v>1340.7199999999998</v>
      </c>
      <c r="P653" s="65">
        <v>56871.50999999998</v>
      </c>
      <c r="Q653" s="50">
        <v>56871.50999999998</v>
      </c>
      <c r="R653" s="65">
        <v>0</v>
      </c>
      <c r="S653" s="65">
        <v>513.80999999999995</v>
      </c>
      <c r="T653" s="65">
        <v>0</v>
      </c>
      <c r="U653" s="65">
        <v>0</v>
      </c>
      <c r="V653" s="65">
        <v>0</v>
      </c>
      <c r="W653" s="65">
        <v>0</v>
      </c>
      <c r="X653" s="65">
        <v>56358</v>
      </c>
      <c r="Y653" s="65">
        <v>0</v>
      </c>
      <c r="Z653" s="65">
        <v>0</v>
      </c>
      <c r="AA653" s="51">
        <v>41</v>
      </c>
      <c r="AB653" s="102">
        <v>0</v>
      </c>
      <c r="AC653" s="81">
        <f t="shared" si="33"/>
        <v>0</v>
      </c>
      <c r="AD653" s="82">
        <f t="shared" si="34"/>
        <v>0</v>
      </c>
      <c r="AE653" s="218">
        <v>7.1917492906686331E-4</v>
      </c>
      <c r="AF653">
        <v>27</v>
      </c>
      <c r="AH653" t="str">
        <f t="shared" si="32"/>
        <v>Kalyanpur</v>
      </c>
      <c r="AJ653" s="72">
        <v>0</v>
      </c>
      <c r="AK653" s="72"/>
      <c r="AL653" s="72"/>
      <c r="AM653" s="72"/>
    </row>
    <row r="654" spans="1:39" x14ac:dyDescent="0.25">
      <c r="A654" s="37" t="s">
        <v>62</v>
      </c>
      <c r="B654" s="66" t="s">
        <v>1596</v>
      </c>
      <c r="C654" s="41">
        <v>1053</v>
      </c>
      <c r="D654" s="41" t="s">
        <v>527</v>
      </c>
      <c r="E654" s="41">
        <v>10530002</v>
      </c>
      <c r="F654" s="85" t="s">
        <v>529</v>
      </c>
      <c r="G654" s="39" t="s">
        <v>92</v>
      </c>
      <c r="H654" s="52" t="s">
        <v>93</v>
      </c>
      <c r="I654" s="52">
        <v>1413.0500000000002</v>
      </c>
      <c r="J654" s="49">
        <v>58834.97</v>
      </c>
      <c r="K654" s="58">
        <v>1418.1299999999997</v>
      </c>
      <c r="L654" s="58">
        <v>58054.689999999995</v>
      </c>
      <c r="M654" s="58">
        <v>14.610000000000001</v>
      </c>
      <c r="N654" s="58">
        <v>614.95000000000005</v>
      </c>
      <c r="O654" s="65">
        <v>1432.7399999999996</v>
      </c>
      <c r="P654" s="65">
        <v>58669.639999999992</v>
      </c>
      <c r="Q654" s="50">
        <v>58669.639999999992</v>
      </c>
      <c r="R654" s="65">
        <v>0</v>
      </c>
      <c r="S654" s="65">
        <v>614.95000000000005</v>
      </c>
      <c r="T654" s="65">
        <v>0</v>
      </c>
      <c r="U654" s="65">
        <v>2109</v>
      </c>
      <c r="V654" s="65">
        <v>0</v>
      </c>
      <c r="W654" s="65">
        <v>0</v>
      </c>
      <c r="X654" s="65">
        <v>55947</v>
      </c>
      <c r="Y654" s="65">
        <v>0</v>
      </c>
      <c r="Z654" s="65">
        <v>0</v>
      </c>
      <c r="AA654" s="51">
        <v>164</v>
      </c>
      <c r="AB654" s="102">
        <v>0</v>
      </c>
      <c r="AC654" s="81">
        <f t="shared" si="33"/>
        <v>0</v>
      </c>
      <c r="AD654" s="82">
        <f t="shared" si="34"/>
        <v>0</v>
      </c>
      <c r="AE654" s="218">
        <v>2.8100634707557259E-3</v>
      </c>
      <c r="AF654">
        <v>34</v>
      </c>
      <c r="AH654" t="str">
        <f t="shared" si="32"/>
        <v>Kalyanpur</v>
      </c>
      <c r="AJ654" s="72">
        <v>0</v>
      </c>
      <c r="AK654" s="72"/>
      <c r="AL654" s="72"/>
      <c r="AM654" s="72"/>
    </row>
    <row r="655" spans="1:39" x14ac:dyDescent="0.25">
      <c r="A655" s="37" t="s">
        <v>62</v>
      </c>
      <c r="B655" s="66" t="s">
        <v>1596</v>
      </c>
      <c r="C655" s="41">
        <v>1053</v>
      </c>
      <c r="D655" s="41" t="s">
        <v>527</v>
      </c>
      <c r="E655" s="41">
        <v>10530003</v>
      </c>
      <c r="F655" s="85" t="s">
        <v>530</v>
      </c>
      <c r="G655" s="39" t="s">
        <v>92</v>
      </c>
      <c r="H655" s="52" t="s">
        <v>93</v>
      </c>
      <c r="I655" s="52">
        <v>653.1</v>
      </c>
      <c r="J655" s="49">
        <v>28786.760000000002</v>
      </c>
      <c r="K655" s="58">
        <v>630.89</v>
      </c>
      <c r="L655" s="58">
        <v>28605.890000000003</v>
      </c>
      <c r="M655" s="58">
        <v>4.03</v>
      </c>
      <c r="N655" s="58">
        <v>176.01000000000002</v>
      </c>
      <c r="O655" s="65">
        <v>634.91999999999996</v>
      </c>
      <c r="P655" s="65">
        <v>28781.9</v>
      </c>
      <c r="Q655" s="50">
        <v>28781.9</v>
      </c>
      <c r="R655" s="65">
        <v>0</v>
      </c>
      <c r="S655" s="65">
        <v>176.01000000000002</v>
      </c>
      <c r="T655" s="65">
        <v>0</v>
      </c>
      <c r="U655" s="65">
        <v>0</v>
      </c>
      <c r="V655" s="65">
        <v>0</v>
      </c>
      <c r="W655" s="65">
        <v>0</v>
      </c>
      <c r="X655" s="65">
        <v>28606</v>
      </c>
      <c r="Y655" s="65">
        <v>0</v>
      </c>
      <c r="Z655" s="65">
        <v>0</v>
      </c>
      <c r="AA655" s="51">
        <v>5</v>
      </c>
      <c r="AB655" s="102">
        <v>0</v>
      </c>
      <c r="AC655" s="81">
        <f t="shared" si="33"/>
        <v>41.344328403001093</v>
      </c>
      <c r="AD655" s="82">
        <f t="shared" si="34"/>
        <v>93.3</v>
      </c>
      <c r="AE655" s="218">
        <v>1.6882761380581149E-4</v>
      </c>
      <c r="AF655">
        <v>22</v>
      </c>
      <c r="AH655" t="str">
        <f t="shared" si="32"/>
        <v>Kalyanpur</v>
      </c>
      <c r="AJ655" s="72">
        <v>0</v>
      </c>
      <c r="AK655" s="72"/>
      <c r="AL655" s="72"/>
      <c r="AM655" s="72"/>
    </row>
    <row r="656" spans="1:39" x14ac:dyDescent="0.25">
      <c r="A656" s="37" t="s">
        <v>62</v>
      </c>
      <c r="B656" s="66" t="s">
        <v>1596</v>
      </c>
      <c r="C656" s="41">
        <v>1053</v>
      </c>
      <c r="D656" s="41" t="s">
        <v>527</v>
      </c>
      <c r="E656" s="41">
        <v>10530005</v>
      </c>
      <c r="F656" s="85" t="s">
        <v>531</v>
      </c>
      <c r="G656" s="39" t="s">
        <v>92</v>
      </c>
      <c r="H656" s="52" t="s">
        <v>93</v>
      </c>
      <c r="I656" s="52">
        <v>590.15</v>
      </c>
      <c r="J656" s="49">
        <v>27877.289999999997</v>
      </c>
      <c r="K656" s="58">
        <v>584.45000000000005</v>
      </c>
      <c r="L656" s="58">
        <v>27359.29</v>
      </c>
      <c r="M656" s="58">
        <v>10.639999999999999</v>
      </c>
      <c r="N656" s="58">
        <v>484.05000000000007</v>
      </c>
      <c r="O656" s="65">
        <v>595.09</v>
      </c>
      <c r="P656" s="65">
        <v>27843.34</v>
      </c>
      <c r="Q656" s="50">
        <v>27843.34</v>
      </c>
      <c r="R656" s="65">
        <v>0</v>
      </c>
      <c r="S656" s="65">
        <v>484.05000000000007</v>
      </c>
      <c r="T656" s="65">
        <v>0</v>
      </c>
      <c r="U656" s="65">
        <v>79</v>
      </c>
      <c r="V656" s="65">
        <v>0</v>
      </c>
      <c r="W656" s="65">
        <v>0</v>
      </c>
      <c r="X656" s="65">
        <v>27280</v>
      </c>
      <c r="Y656" s="65">
        <v>0</v>
      </c>
      <c r="Z656" s="65">
        <v>0</v>
      </c>
      <c r="AA656" s="51">
        <v>34</v>
      </c>
      <c r="AB656" s="102">
        <v>0</v>
      </c>
      <c r="AC656" s="81">
        <f t="shared" si="33"/>
        <v>103.78108299584856</v>
      </c>
      <c r="AD656" s="82">
        <f t="shared" si="34"/>
        <v>84.30714285714285</v>
      </c>
      <c r="AE656" s="218">
        <v>1.2178371714035724E-3</v>
      </c>
      <c r="AF656">
        <v>18</v>
      </c>
      <c r="AH656" t="str">
        <f t="shared" si="32"/>
        <v>Kalyanpur</v>
      </c>
      <c r="AJ656" s="72">
        <v>0</v>
      </c>
      <c r="AK656" s="72"/>
      <c r="AL656" s="72"/>
      <c r="AM656" s="72"/>
    </row>
    <row r="657" spans="1:39" x14ac:dyDescent="0.25">
      <c r="A657" s="37" t="s">
        <v>62</v>
      </c>
      <c r="B657" s="66" t="s">
        <v>1596</v>
      </c>
      <c r="C657" s="41">
        <v>1053</v>
      </c>
      <c r="D657" s="41" t="s">
        <v>527</v>
      </c>
      <c r="E657" s="41">
        <v>10530006</v>
      </c>
      <c r="F657" s="85" t="s">
        <v>532</v>
      </c>
      <c r="G657" s="39" t="s">
        <v>92</v>
      </c>
      <c r="H657" s="52" t="s">
        <v>93</v>
      </c>
      <c r="I657" s="52">
        <v>1186.5999999999999</v>
      </c>
      <c r="J657" s="49">
        <v>53528.46</v>
      </c>
      <c r="K657" s="58">
        <v>1155.78</v>
      </c>
      <c r="L657" s="58">
        <v>50356.319999999985</v>
      </c>
      <c r="M657" s="58">
        <v>60.320000000000014</v>
      </c>
      <c r="N657" s="58">
        <v>3151.64</v>
      </c>
      <c r="O657" s="65">
        <v>1216.0999999999999</v>
      </c>
      <c r="P657" s="65">
        <v>53507.959999999985</v>
      </c>
      <c r="Q657" s="50">
        <v>53507.959999999985</v>
      </c>
      <c r="R657" s="65">
        <v>0</v>
      </c>
      <c r="S657" s="65">
        <v>3151.64</v>
      </c>
      <c r="T657" s="65">
        <v>0</v>
      </c>
      <c r="U657" s="65">
        <v>0</v>
      </c>
      <c r="V657" s="65">
        <v>0</v>
      </c>
      <c r="W657" s="65">
        <v>0</v>
      </c>
      <c r="X657" s="65">
        <v>50354</v>
      </c>
      <c r="Y657" s="65">
        <v>0</v>
      </c>
      <c r="Z657" s="65">
        <v>0</v>
      </c>
      <c r="AA657" s="51">
        <v>23</v>
      </c>
      <c r="AB657" s="102">
        <v>0</v>
      </c>
      <c r="AC657" s="81">
        <f t="shared" si="33"/>
        <v>0</v>
      </c>
      <c r="AD657" s="82">
        <f t="shared" si="34"/>
        <v>0</v>
      </c>
      <c r="AE657" s="218">
        <v>3.8297384232639147E-4</v>
      </c>
      <c r="AF657">
        <v>60</v>
      </c>
      <c r="AH657" t="str">
        <f t="shared" si="32"/>
        <v>Kalyanpur</v>
      </c>
      <c r="AJ657" s="72">
        <v>0</v>
      </c>
      <c r="AK657" s="72"/>
      <c r="AL657" s="72"/>
      <c r="AM657" s="72"/>
    </row>
    <row r="658" spans="1:39" x14ac:dyDescent="0.25">
      <c r="A658" s="37" t="s">
        <v>62</v>
      </c>
      <c r="B658" s="66" t="s">
        <v>1596</v>
      </c>
      <c r="C658" s="41">
        <v>1053</v>
      </c>
      <c r="D658" s="41" t="s">
        <v>527</v>
      </c>
      <c r="E658" s="41">
        <v>10530007</v>
      </c>
      <c r="F658" s="85" t="s">
        <v>533</v>
      </c>
      <c r="G658" s="39" t="s">
        <v>92</v>
      </c>
      <c r="H658" s="52" t="s">
        <v>93</v>
      </c>
      <c r="I658" s="52">
        <v>408.09999999999997</v>
      </c>
      <c r="J658" s="49">
        <v>18959.650000000001</v>
      </c>
      <c r="K658" s="58">
        <v>410.99</v>
      </c>
      <c r="L658" s="58">
        <v>18911.289999999997</v>
      </c>
      <c r="M658" s="58">
        <v>0.85000000000000009</v>
      </c>
      <c r="N658" s="58">
        <v>46.04</v>
      </c>
      <c r="O658" s="65">
        <v>411.84000000000003</v>
      </c>
      <c r="P658" s="65">
        <v>18957.329999999998</v>
      </c>
      <c r="Q658" s="50">
        <v>18957.329999999998</v>
      </c>
      <c r="R658" s="65">
        <v>0</v>
      </c>
      <c r="S658" s="65">
        <v>46.04</v>
      </c>
      <c r="T658" s="65">
        <v>0</v>
      </c>
      <c r="U658" s="65">
        <v>0</v>
      </c>
      <c r="V658" s="65">
        <v>0</v>
      </c>
      <c r="W658" s="65">
        <v>0</v>
      </c>
      <c r="X658" s="65">
        <v>18911</v>
      </c>
      <c r="Y658" s="65">
        <v>0</v>
      </c>
      <c r="Z658" s="65">
        <v>0</v>
      </c>
      <c r="AA658" s="51">
        <v>3</v>
      </c>
      <c r="AB658" s="102">
        <v>0</v>
      </c>
      <c r="AC658" s="81">
        <f t="shared" si="33"/>
        <v>271.22380960548895</v>
      </c>
      <c r="AD658" s="82">
        <f t="shared" si="34"/>
        <v>58.3</v>
      </c>
      <c r="AE658" s="218">
        <v>1.2236512804842637E-4</v>
      </c>
      <c r="AF658">
        <v>12</v>
      </c>
      <c r="AH658" t="str">
        <f t="shared" si="32"/>
        <v>Kalyanpur</v>
      </c>
      <c r="AJ658" s="72">
        <v>0</v>
      </c>
      <c r="AK658" s="72"/>
      <c r="AL658" s="72"/>
      <c r="AM658" s="72"/>
    </row>
    <row r="659" spans="1:39" x14ac:dyDescent="0.25">
      <c r="A659" s="37" t="s">
        <v>62</v>
      </c>
      <c r="B659" s="66" t="s">
        <v>1596</v>
      </c>
      <c r="C659" s="41">
        <v>1053</v>
      </c>
      <c r="D659" s="41" t="s">
        <v>527</v>
      </c>
      <c r="E659" s="41">
        <v>10530008</v>
      </c>
      <c r="F659" s="85" t="s">
        <v>534</v>
      </c>
      <c r="G659" s="39" t="s">
        <v>92</v>
      </c>
      <c r="H659" s="52" t="s">
        <v>93</v>
      </c>
      <c r="I659" s="52">
        <v>410.14999999999992</v>
      </c>
      <c r="J659" s="49">
        <v>18858.730000000003</v>
      </c>
      <c r="K659" s="58">
        <v>393.2</v>
      </c>
      <c r="L659" s="58">
        <v>18777.189999999995</v>
      </c>
      <c r="M659" s="58">
        <v>1.78</v>
      </c>
      <c r="N659" s="58">
        <v>79.25</v>
      </c>
      <c r="O659" s="65">
        <v>394.97999999999996</v>
      </c>
      <c r="P659" s="65">
        <v>18856.439999999995</v>
      </c>
      <c r="Q659" s="50">
        <v>18856.439999999995</v>
      </c>
      <c r="R659" s="65">
        <v>0</v>
      </c>
      <c r="S659" s="65">
        <v>79.25</v>
      </c>
      <c r="T659" s="65">
        <v>0</v>
      </c>
      <c r="U659" s="65">
        <v>0</v>
      </c>
      <c r="V659" s="65">
        <v>0</v>
      </c>
      <c r="W659" s="65">
        <v>0</v>
      </c>
      <c r="X659" s="65">
        <v>18776</v>
      </c>
      <c r="Y659" s="65">
        <v>0</v>
      </c>
      <c r="Z659" s="65">
        <v>0</v>
      </c>
      <c r="AA659" s="51">
        <v>3</v>
      </c>
      <c r="AB659" s="102">
        <v>0</v>
      </c>
      <c r="AC659" s="81">
        <f t="shared" si="33"/>
        <v>266.54652641716461</v>
      </c>
      <c r="AD659" s="82">
        <f t="shared" si="34"/>
        <v>58.592857142857135</v>
      </c>
      <c r="AE659" s="218">
        <v>1.2142917365104377E-4</v>
      </c>
      <c r="AF659">
        <v>9</v>
      </c>
      <c r="AH659" t="str">
        <f t="shared" si="32"/>
        <v>Kalyanpur</v>
      </c>
      <c r="AJ659" s="72">
        <v>0</v>
      </c>
      <c r="AK659" s="72"/>
      <c r="AL659" s="72"/>
      <c r="AM659" s="72"/>
    </row>
    <row r="660" spans="1:39" x14ac:dyDescent="0.25">
      <c r="A660" s="37" t="s">
        <v>62</v>
      </c>
      <c r="B660" s="66" t="s">
        <v>1596</v>
      </c>
      <c r="C660" s="41">
        <v>1053</v>
      </c>
      <c r="D660" s="41" t="s">
        <v>527</v>
      </c>
      <c r="E660" s="41">
        <v>10530009</v>
      </c>
      <c r="F660" s="85" t="s">
        <v>535</v>
      </c>
      <c r="G660" s="39" t="s">
        <v>617</v>
      </c>
      <c r="H660" s="52" t="s">
        <v>98</v>
      </c>
      <c r="I660" s="52">
        <v>7878.05</v>
      </c>
      <c r="J660" s="49">
        <v>329097.17000000004</v>
      </c>
      <c r="K660" s="58">
        <v>0</v>
      </c>
      <c r="L660" s="58">
        <v>0</v>
      </c>
      <c r="M660" s="58">
        <v>0</v>
      </c>
      <c r="N660" s="58">
        <v>0</v>
      </c>
      <c r="O660" s="65">
        <v>0</v>
      </c>
      <c r="P660" s="65">
        <v>0</v>
      </c>
      <c r="Q660" s="50">
        <v>329097.17000000004</v>
      </c>
      <c r="R660" s="65">
        <v>0</v>
      </c>
      <c r="S660" s="65">
        <v>0</v>
      </c>
      <c r="T660" s="65">
        <v>0</v>
      </c>
      <c r="U660" s="65">
        <v>0</v>
      </c>
      <c r="V660" s="65">
        <v>0</v>
      </c>
      <c r="W660" s="65">
        <v>0</v>
      </c>
      <c r="X660" s="65">
        <v>0</v>
      </c>
      <c r="Y660" s="65">
        <v>0</v>
      </c>
      <c r="Z660" s="65">
        <v>329097.17000000004</v>
      </c>
      <c r="AA660" s="51">
        <v>0</v>
      </c>
      <c r="AB660" s="102">
        <v>0</v>
      </c>
      <c r="AC660" s="81">
        <f t="shared" si="33"/>
        <v>0</v>
      </c>
      <c r="AD660" s="82">
        <f t="shared" si="34"/>
        <v>0</v>
      </c>
      <c r="AE660" s="218">
        <v>0</v>
      </c>
      <c r="AF660">
        <v>0</v>
      </c>
      <c r="AH660" t="str">
        <f t="shared" si="32"/>
        <v>Kalyanpur</v>
      </c>
      <c r="AJ660" s="72">
        <v>0</v>
      </c>
      <c r="AK660" s="72"/>
      <c r="AL660" s="72"/>
      <c r="AM660" s="72"/>
    </row>
    <row r="661" spans="1:39" x14ac:dyDescent="0.25">
      <c r="A661" s="37" t="s">
        <v>62</v>
      </c>
      <c r="B661" s="66" t="s">
        <v>1596</v>
      </c>
      <c r="C661" s="41">
        <v>1053</v>
      </c>
      <c r="D661" s="41" t="s">
        <v>527</v>
      </c>
      <c r="E661" s="41">
        <v>10530010</v>
      </c>
      <c r="F661" s="85" t="s">
        <v>536</v>
      </c>
      <c r="G661" s="39" t="s">
        <v>617</v>
      </c>
      <c r="H661" s="52" t="s">
        <v>98</v>
      </c>
      <c r="I661" s="52">
        <v>2147.5499999999997</v>
      </c>
      <c r="J661" s="49">
        <v>95538.839999999967</v>
      </c>
      <c r="K661" s="58">
        <v>0</v>
      </c>
      <c r="L661" s="58">
        <v>0</v>
      </c>
      <c r="M661" s="58">
        <v>0</v>
      </c>
      <c r="N661" s="58">
        <v>0</v>
      </c>
      <c r="O661" s="65">
        <v>0</v>
      </c>
      <c r="P661" s="65">
        <v>0</v>
      </c>
      <c r="Q661" s="50">
        <v>95538.839999999967</v>
      </c>
      <c r="R661" s="65">
        <v>0</v>
      </c>
      <c r="S661" s="65">
        <v>0</v>
      </c>
      <c r="T661" s="65">
        <v>0</v>
      </c>
      <c r="U661" s="65">
        <v>0</v>
      </c>
      <c r="V661" s="65">
        <v>0</v>
      </c>
      <c r="W661" s="65">
        <v>0</v>
      </c>
      <c r="X661" s="65">
        <v>0</v>
      </c>
      <c r="Y661" s="65">
        <v>0</v>
      </c>
      <c r="Z661" s="65">
        <v>95538.839999999967</v>
      </c>
      <c r="AA661" s="51">
        <v>0</v>
      </c>
      <c r="AB661" s="102">
        <v>0</v>
      </c>
      <c r="AC661" s="81">
        <f t="shared" si="33"/>
        <v>0</v>
      </c>
      <c r="AD661" s="82">
        <f t="shared" si="34"/>
        <v>0</v>
      </c>
      <c r="AE661" s="218">
        <v>0</v>
      </c>
      <c r="AF661">
        <v>0</v>
      </c>
      <c r="AH661" t="str">
        <f t="shared" si="32"/>
        <v>Kalyanpur</v>
      </c>
      <c r="AJ661" s="72">
        <v>0</v>
      </c>
      <c r="AK661" s="72"/>
      <c r="AL661" s="72"/>
      <c r="AM661" s="72"/>
    </row>
    <row r="662" spans="1:39" x14ac:dyDescent="0.25">
      <c r="A662" s="37" t="s">
        <v>62</v>
      </c>
      <c r="B662" s="66" t="s">
        <v>1596</v>
      </c>
      <c r="C662" s="41">
        <v>1053</v>
      </c>
      <c r="D662" s="41" t="s">
        <v>527</v>
      </c>
      <c r="E662" s="41">
        <v>10530014</v>
      </c>
      <c r="F662" s="85" t="s">
        <v>537</v>
      </c>
      <c r="G662" s="39" t="s">
        <v>617</v>
      </c>
      <c r="H662" s="52" t="s">
        <v>98</v>
      </c>
      <c r="I662" s="52">
        <v>26.35</v>
      </c>
      <c r="J662" s="49">
        <v>959.67</v>
      </c>
      <c r="K662" s="58">
        <v>0</v>
      </c>
      <c r="L662" s="58">
        <v>0</v>
      </c>
      <c r="M662" s="58">
        <v>0</v>
      </c>
      <c r="N662" s="58">
        <v>0</v>
      </c>
      <c r="O662" s="65">
        <v>0</v>
      </c>
      <c r="P662" s="65">
        <v>0</v>
      </c>
      <c r="Q662" s="50">
        <v>959.67</v>
      </c>
      <c r="R662" s="65">
        <v>0</v>
      </c>
      <c r="S662" s="65">
        <v>0</v>
      </c>
      <c r="T662" s="65">
        <v>0</v>
      </c>
      <c r="U662" s="65">
        <v>0</v>
      </c>
      <c r="V662" s="65">
        <v>0</v>
      </c>
      <c r="W662" s="65">
        <v>0</v>
      </c>
      <c r="X662" s="65">
        <v>0</v>
      </c>
      <c r="Y662" s="65">
        <v>0</v>
      </c>
      <c r="Z662" s="65">
        <v>959.67</v>
      </c>
      <c r="AA662" s="51">
        <v>0</v>
      </c>
      <c r="AB662" s="102">
        <v>0</v>
      </c>
      <c r="AC662" s="81">
        <f t="shared" si="33"/>
        <v>490.68819392789368</v>
      </c>
      <c r="AD662" s="82">
        <f t="shared" si="34"/>
        <v>3.7642857142857147</v>
      </c>
      <c r="AE662" s="218">
        <v>0</v>
      </c>
      <c r="AF662">
        <v>0</v>
      </c>
      <c r="AH662" t="str">
        <f t="shared" si="32"/>
        <v>Kalyanpur</v>
      </c>
      <c r="AJ662" s="72">
        <v>0</v>
      </c>
      <c r="AK662" s="72"/>
      <c r="AL662" s="72"/>
      <c r="AM662" s="72"/>
    </row>
    <row r="663" spans="1:39" x14ac:dyDescent="0.25">
      <c r="A663" s="37" t="s">
        <v>62</v>
      </c>
      <c r="B663" s="66" t="s">
        <v>1596</v>
      </c>
      <c r="C663" s="41">
        <v>1053</v>
      </c>
      <c r="D663" s="41" t="s">
        <v>527</v>
      </c>
      <c r="E663" s="41">
        <v>10530015</v>
      </c>
      <c r="F663" s="85" t="s">
        <v>538</v>
      </c>
      <c r="G663" s="39" t="s">
        <v>617</v>
      </c>
      <c r="H663" s="52" t="s">
        <v>98</v>
      </c>
      <c r="I663" s="52">
        <v>395.15</v>
      </c>
      <c r="J663" s="49">
        <v>16098.189999999999</v>
      </c>
      <c r="K663" s="58">
        <v>0</v>
      </c>
      <c r="L663" s="58">
        <v>0</v>
      </c>
      <c r="M663" s="58">
        <v>0</v>
      </c>
      <c r="N663" s="58">
        <v>0</v>
      </c>
      <c r="O663" s="65">
        <v>0</v>
      </c>
      <c r="P663" s="65">
        <v>0</v>
      </c>
      <c r="Q663" s="50">
        <v>16098.189999999999</v>
      </c>
      <c r="R663" s="65">
        <v>0</v>
      </c>
      <c r="S663" s="65">
        <v>0</v>
      </c>
      <c r="T663" s="65">
        <v>0</v>
      </c>
      <c r="U663" s="65">
        <v>0</v>
      </c>
      <c r="V663" s="65">
        <v>0</v>
      </c>
      <c r="W663" s="65">
        <v>0</v>
      </c>
      <c r="X663" s="65">
        <v>0</v>
      </c>
      <c r="Y663" s="65">
        <v>0</v>
      </c>
      <c r="Z663" s="65">
        <v>16098.189999999999</v>
      </c>
      <c r="AA663" s="51">
        <v>0</v>
      </c>
      <c r="AB663" s="102">
        <v>0</v>
      </c>
      <c r="AC663" s="81">
        <f t="shared" si="33"/>
        <v>248.38837006200177</v>
      </c>
      <c r="AD663" s="82">
        <f t="shared" si="34"/>
        <v>56.449999999999996</v>
      </c>
      <c r="AE663" s="218">
        <v>0</v>
      </c>
      <c r="AF663">
        <v>0</v>
      </c>
      <c r="AH663" t="str">
        <f t="shared" si="32"/>
        <v>Kalyanpur</v>
      </c>
      <c r="AJ663" s="72">
        <v>0</v>
      </c>
      <c r="AK663" s="72"/>
      <c r="AL663" s="72"/>
      <c r="AM663" s="72"/>
    </row>
    <row r="664" spans="1:39" x14ac:dyDescent="0.25">
      <c r="A664" s="37" t="s">
        <v>62</v>
      </c>
      <c r="B664" s="66" t="s">
        <v>1596</v>
      </c>
      <c r="C664" s="41">
        <v>1053</v>
      </c>
      <c r="D664" s="41" t="s">
        <v>527</v>
      </c>
      <c r="E664" s="41">
        <v>10530016</v>
      </c>
      <c r="F664" s="85" t="s">
        <v>539</v>
      </c>
      <c r="G664" s="39" t="s">
        <v>617</v>
      </c>
      <c r="H664" s="52" t="s">
        <v>98</v>
      </c>
      <c r="I664" s="52">
        <v>893</v>
      </c>
      <c r="J664" s="49">
        <v>35792.03</v>
      </c>
      <c r="K664" s="58">
        <v>0</v>
      </c>
      <c r="L664" s="58">
        <v>0</v>
      </c>
      <c r="M664" s="58">
        <v>0</v>
      </c>
      <c r="N664" s="58">
        <v>0</v>
      </c>
      <c r="O664" s="65">
        <v>0</v>
      </c>
      <c r="P664" s="65">
        <v>0</v>
      </c>
      <c r="Q664" s="50">
        <v>35792.03</v>
      </c>
      <c r="R664" s="65">
        <v>0</v>
      </c>
      <c r="S664" s="65">
        <v>0</v>
      </c>
      <c r="T664" s="65">
        <v>0</v>
      </c>
      <c r="U664" s="65">
        <v>0</v>
      </c>
      <c r="V664" s="65">
        <v>0</v>
      </c>
      <c r="W664" s="65">
        <v>0</v>
      </c>
      <c r="X664" s="65">
        <v>0</v>
      </c>
      <c r="Y664" s="65">
        <v>0</v>
      </c>
      <c r="Z664" s="65">
        <v>35792.03</v>
      </c>
      <c r="AA664" s="51">
        <v>0</v>
      </c>
      <c r="AB664" s="102">
        <v>0</v>
      </c>
      <c r="AC664" s="81">
        <f t="shared" si="33"/>
        <v>0</v>
      </c>
      <c r="AD664" s="82">
        <f t="shared" si="34"/>
        <v>0</v>
      </c>
      <c r="AE664" s="218">
        <v>0</v>
      </c>
      <c r="AF664">
        <v>0</v>
      </c>
      <c r="AH664" t="str">
        <f t="shared" si="32"/>
        <v>Kalyanpur</v>
      </c>
      <c r="AJ664" s="72">
        <v>0</v>
      </c>
      <c r="AK664" s="72"/>
      <c r="AL664" s="72"/>
      <c r="AM664" s="72"/>
    </row>
    <row r="665" spans="1:39" x14ac:dyDescent="0.25">
      <c r="A665" s="37" t="s">
        <v>62</v>
      </c>
      <c r="B665" s="66" t="s">
        <v>1596</v>
      </c>
      <c r="C665" s="41">
        <v>1053</v>
      </c>
      <c r="D665" s="41" t="s">
        <v>527</v>
      </c>
      <c r="E665" s="41">
        <v>10530017</v>
      </c>
      <c r="F665" s="85" t="s">
        <v>540</v>
      </c>
      <c r="G665" s="39" t="s">
        <v>617</v>
      </c>
      <c r="H665" s="52" t="s">
        <v>98</v>
      </c>
      <c r="I665" s="52">
        <v>3001.3499999999995</v>
      </c>
      <c r="J665" s="49">
        <v>131334.09</v>
      </c>
      <c r="K665" s="58">
        <v>0</v>
      </c>
      <c r="L665" s="58">
        <v>0</v>
      </c>
      <c r="M665" s="58">
        <v>0</v>
      </c>
      <c r="N665" s="58">
        <v>0</v>
      </c>
      <c r="O665" s="65">
        <v>0</v>
      </c>
      <c r="P665" s="65">
        <v>0</v>
      </c>
      <c r="Q665" s="50">
        <v>131334.09</v>
      </c>
      <c r="R665" s="65">
        <v>0</v>
      </c>
      <c r="S665" s="65">
        <v>0</v>
      </c>
      <c r="T665" s="65">
        <v>0</v>
      </c>
      <c r="U665" s="65">
        <v>0</v>
      </c>
      <c r="V665" s="65">
        <v>0</v>
      </c>
      <c r="W665" s="65">
        <v>0</v>
      </c>
      <c r="X665" s="65">
        <v>0</v>
      </c>
      <c r="Y665" s="65">
        <v>0</v>
      </c>
      <c r="Z665" s="65">
        <v>131334.09</v>
      </c>
      <c r="AA665" s="51">
        <v>0</v>
      </c>
      <c r="AB665" s="102">
        <v>0</v>
      </c>
      <c r="AC665" s="81">
        <f t="shared" si="33"/>
        <v>0</v>
      </c>
      <c r="AD665" s="82">
        <f t="shared" si="34"/>
        <v>0</v>
      </c>
      <c r="AE665" s="218">
        <v>0</v>
      </c>
      <c r="AF665">
        <v>0</v>
      </c>
      <c r="AH665" t="str">
        <f t="shared" si="32"/>
        <v>Kalyanpur</v>
      </c>
      <c r="AJ665" s="72">
        <v>0</v>
      </c>
      <c r="AK665" s="72"/>
      <c r="AL665" s="72"/>
      <c r="AM665" s="72"/>
    </row>
    <row r="666" spans="1:39" x14ac:dyDescent="0.25">
      <c r="A666" s="37" t="s">
        <v>62</v>
      </c>
      <c r="B666" s="66" t="s">
        <v>1596</v>
      </c>
      <c r="C666" s="41">
        <v>1053</v>
      </c>
      <c r="D666" s="41" t="s">
        <v>527</v>
      </c>
      <c r="E666" s="41">
        <v>10530018</v>
      </c>
      <c r="F666" s="85" t="s">
        <v>541</v>
      </c>
      <c r="G666" s="39" t="s">
        <v>617</v>
      </c>
      <c r="H666" s="52" t="s">
        <v>98</v>
      </c>
      <c r="I666" s="52">
        <v>607.4</v>
      </c>
      <c r="J666" s="49">
        <v>25936.09</v>
      </c>
      <c r="K666" s="58">
        <v>0</v>
      </c>
      <c r="L666" s="58">
        <v>0</v>
      </c>
      <c r="M666" s="58">
        <v>0</v>
      </c>
      <c r="N666" s="58">
        <v>0</v>
      </c>
      <c r="O666" s="65">
        <v>0</v>
      </c>
      <c r="P666" s="65">
        <v>0</v>
      </c>
      <c r="Q666" s="50">
        <v>25936.09</v>
      </c>
      <c r="R666" s="65">
        <v>0</v>
      </c>
      <c r="S666" s="65">
        <v>0</v>
      </c>
      <c r="T666" s="65">
        <v>0</v>
      </c>
      <c r="U666" s="65">
        <v>0</v>
      </c>
      <c r="V666" s="65">
        <v>0</v>
      </c>
      <c r="W666" s="65">
        <v>0</v>
      </c>
      <c r="X666" s="65">
        <v>0</v>
      </c>
      <c r="Y666" s="65">
        <v>0</v>
      </c>
      <c r="Z666" s="65">
        <v>25936.09</v>
      </c>
      <c r="AA666" s="51">
        <v>0</v>
      </c>
      <c r="AB666" s="102">
        <v>0</v>
      </c>
      <c r="AC666" s="81">
        <f t="shared" si="33"/>
        <v>79.080735396773122</v>
      </c>
      <c r="AD666" s="82">
        <f t="shared" si="34"/>
        <v>86.771428571428572</v>
      </c>
      <c r="AE666" s="218">
        <v>0</v>
      </c>
      <c r="AF666">
        <v>0</v>
      </c>
      <c r="AH666" t="str">
        <f t="shared" si="32"/>
        <v>Kalyanpur</v>
      </c>
      <c r="AJ666" s="72">
        <v>0</v>
      </c>
      <c r="AK666" s="72"/>
      <c r="AL666" s="72"/>
      <c r="AM666" s="72"/>
    </row>
    <row r="667" spans="1:39" x14ac:dyDescent="0.25">
      <c r="A667" s="37" t="s">
        <v>62</v>
      </c>
      <c r="B667" s="66" t="s">
        <v>1596</v>
      </c>
      <c r="C667" s="41">
        <v>1053</v>
      </c>
      <c r="D667" s="41" t="s">
        <v>527</v>
      </c>
      <c r="E667" s="41">
        <v>10530025</v>
      </c>
      <c r="F667" s="85" t="s">
        <v>544</v>
      </c>
      <c r="G667" s="39" t="s">
        <v>617</v>
      </c>
      <c r="H667" s="52" t="s">
        <v>98</v>
      </c>
      <c r="I667" s="52">
        <v>314.14999999999998</v>
      </c>
      <c r="J667" s="49">
        <v>13822.469999999998</v>
      </c>
      <c r="K667" s="58">
        <v>0</v>
      </c>
      <c r="L667" s="58">
        <v>0</v>
      </c>
      <c r="M667" s="58">
        <v>0</v>
      </c>
      <c r="N667" s="58">
        <v>0</v>
      </c>
      <c r="O667" s="65">
        <v>0</v>
      </c>
      <c r="P667" s="65">
        <v>0</v>
      </c>
      <c r="Q667" s="50">
        <v>13822.469999999998</v>
      </c>
      <c r="R667" s="65">
        <v>0</v>
      </c>
      <c r="S667" s="65">
        <v>0</v>
      </c>
      <c r="T667" s="65">
        <v>0</v>
      </c>
      <c r="U667" s="65">
        <v>0</v>
      </c>
      <c r="V667" s="65">
        <v>0</v>
      </c>
      <c r="W667" s="65">
        <v>0</v>
      </c>
      <c r="X667" s="65">
        <v>0</v>
      </c>
      <c r="Y667" s="65">
        <v>0</v>
      </c>
      <c r="Z667" s="65">
        <v>13822.469999999998</v>
      </c>
      <c r="AA667" s="51">
        <v>0</v>
      </c>
      <c r="AB667" s="102">
        <v>0</v>
      </c>
      <c r="AC667" s="81">
        <f t="shared" si="33"/>
        <v>339.54480658920897</v>
      </c>
      <c r="AD667" s="82">
        <f t="shared" si="34"/>
        <v>44.878571428571426</v>
      </c>
      <c r="AE667" s="218">
        <v>0</v>
      </c>
      <c r="AF667">
        <v>0</v>
      </c>
      <c r="AH667" t="str">
        <f t="shared" si="32"/>
        <v>Kalyanpur</v>
      </c>
      <c r="AJ667" s="72">
        <v>0</v>
      </c>
      <c r="AK667" s="72"/>
      <c r="AL667" s="72"/>
      <c r="AM667" s="72"/>
    </row>
    <row r="668" spans="1:39" x14ac:dyDescent="0.25">
      <c r="A668" s="37" t="s">
        <v>62</v>
      </c>
      <c r="B668" s="66" t="s">
        <v>1596</v>
      </c>
      <c r="C668" s="41">
        <v>1053</v>
      </c>
      <c r="D668" s="41" t="s">
        <v>527</v>
      </c>
      <c r="E668" s="41">
        <v>10530029</v>
      </c>
      <c r="F668" s="85" t="s">
        <v>550</v>
      </c>
      <c r="G668" s="39" t="s">
        <v>617</v>
      </c>
      <c r="H668" s="52" t="s">
        <v>98</v>
      </c>
      <c r="I668" s="52">
        <v>415.34999999999997</v>
      </c>
      <c r="J668" s="49">
        <v>23818.23</v>
      </c>
      <c r="K668" s="58">
        <v>0</v>
      </c>
      <c r="L668" s="58">
        <v>0</v>
      </c>
      <c r="M668" s="58">
        <v>0</v>
      </c>
      <c r="N668" s="58">
        <v>0</v>
      </c>
      <c r="O668" s="65">
        <v>0</v>
      </c>
      <c r="P668" s="65">
        <v>0</v>
      </c>
      <c r="Q668" s="50">
        <v>23818.23</v>
      </c>
      <c r="R668" s="65">
        <v>0</v>
      </c>
      <c r="S668" s="65">
        <v>0</v>
      </c>
      <c r="T668" s="65">
        <v>0</v>
      </c>
      <c r="U668" s="65">
        <v>0</v>
      </c>
      <c r="V668" s="65">
        <v>0</v>
      </c>
      <c r="W668" s="65">
        <v>0</v>
      </c>
      <c r="X668" s="65">
        <v>0</v>
      </c>
      <c r="Y668" s="65">
        <v>0</v>
      </c>
      <c r="Z668" s="65">
        <v>23818.23</v>
      </c>
      <c r="AA668" s="51">
        <v>0</v>
      </c>
      <c r="AB668" s="102">
        <v>0</v>
      </c>
      <c r="AC668" s="81">
        <f t="shared" si="33"/>
        <v>326.46486912242693</v>
      </c>
      <c r="AD668" s="82">
        <f t="shared" si="34"/>
        <v>59.335714285714282</v>
      </c>
      <c r="AE668" s="218">
        <v>0</v>
      </c>
      <c r="AF668">
        <v>0</v>
      </c>
      <c r="AH668" t="str">
        <f t="shared" si="32"/>
        <v>Kalyanpur</v>
      </c>
      <c r="AJ668" s="72">
        <v>0</v>
      </c>
      <c r="AK668" s="72"/>
      <c r="AL668" s="72"/>
      <c r="AM668" s="72"/>
    </row>
    <row r="669" spans="1:39" x14ac:dyDescent="0.25">
      <c r="A669" s="37" t="s">
        <v>62</v>
      </c>
      <c r="B669" s="66" t="s">
        <v>1596</v>
      </c>
      <c r="C669" s="41">
        <v>1053</v>
      </c>
      <c r="D669" s="41" t="s">
        <v>527</v>
      </c>
      <c r="E669" s="41">
        <v>10530030</v>
      </c>
      <c r="F669" s="85" t="s">
        <v>551</v>
      </c>
      <c r="G669" s="39" t="s">
        <v>617</v>
      </c>
      <c r="H669" s="52" t="s">
        <v>98</v>
      </c>
      <c r="I669" s="52">
        <v>325.44999999999993</v>
      </c>
      <c r="J669" s="49">
        <v>13453.59</v>
      </c>
      <c r="K669" s="58">
        <v>0</v>
      </c>
      <c r="L669" s="58">
        <v>0</v>
      </c>
      <c r="M669" s="58">
        <v>0</v>
      </c>
      <c r="N669" s="58">
        <v>0</v>
      </c>
      <c r="O669" s="65">
        <v>0</v>
      </c>
      <c r="P669" s="65">
        <v>0</v>
      </c>
      <c r="Q669" s="50">
        <v>13453.59</v>
      </c>
      <c r="R669" s="65">
        <v>0</v>
      </c>
      <c r="S669" s="65">
        <v>0</v>
      </c>
      <c r="T669" s="65">
        <v>0</v>
      </c>
      <c r="U669" s="65">
        <v>0</v>
      </c>
      <c r="V669" s="65">
        <v>0</v>
      </c>
      <c r="W669" s="65">
        <v>0</v>
      </c>
      <c r="X669" s="65">
        <v>0</v>
      </c>
      <c r="Y669" s="65">
        <v>0</v>
      </c>
      <c r="Z669" s="65">
        <v>13453.59</v>
      </c>
      <c r="AA669" s="51">
        <v>0</v>
      </c>
      <c r="AB669" s="102">
        <v>0</v>
      </c>
      <c r="AC669" s="81">
        <f t="shared" si="33"/>
        <v>309.66613209402379</v>
      </c>
      <c r="AD669" s="82">
        <f t="shared" si="34"/>
        <v>46.492857142857133</v>
      </c>
      <c r="AE669" s="218">
        <v>0</v>
      </c>
      <c r="AF669">
        <v>0</v>
      </c>
      <c r="AH669" t="str">
        <f t="shared" si="32"/>
        <v>Kalyanpur</v>
      </c>
      <c r="AJ669" s="72">
        <v>0</v>
      </c>
      <c r="AK669" s="72"/>
      <c r="AL669" s="72"/>
      <c r="AM669" s="72"/>
    </row>
    <row r="670" spans="1:39" x14ac:dyDescent="0.25">
      <c r="A670" s="37" t="s">
        <v>62</v>
      </c>
      <c r="B670" s="66" t="s">
        <v>1596</v>
      </c>
      <c r="C670" s="41">
        <v>1053</v>
      </c>
      <c r="D670" s="41" t="s">
        <v>527</v>
      </c>
      <c r="E670" s="41">
        <v>10530031</v>
      </c>
      <c r="F670" s="85" t="s">
        <v>425</v>
      </c>
      <c r="G670" s="39" t="s">
        <v>617</v>
      </c>
      <c r="H670" s="52" t="s">
        <v>98</v>
      </c>
      <c r="I670" s="52">
        <v>1909.3500000000001</v>
      </c>
      <c r="J670" s="49">
        <v>82649.77</v>
      </c>
      <c r="K670" s="58">
        <v>0</v>
      </c>
      <c r="L670" s="58">
        <v>0</v>
      </c>
      <c r="M670" s="58">
        <v>0</v>
      </c>
      <c r="N670" s="58">
        <v>0</v>
      </c>
      <c r="O670" s="65">
        <v>0</v>
      </c>
      <c r="P670" s="65">
        <v>0</v>
      </c>
      <c r="Q670" s="50">
        <v>82649.77</v>
      </c>
      <c r="R670" s="65">
        <v>0</v>
      </c>
      <c r="S670" s="65">
        <v>0</v>
      </c>
      <c r="T670" s="65">
        <v>0</v>
      </c>
      <c r="U670" s="65">
        <v>1550</v>
      </c>
      <c r="V670" s="65">
        <v>0</v>
      </c>
      <c r="W670" s="65">
        <v>0</v>
      </c>
      <c r="X670" s="65">
        <v>0</v>
      </c>
      <c r="Y670" s="65">
        <v>0</v>
      </c>
      <c r="Z670" s="65">
        <v>81099.77</v>
      </c>
      <c r="AA670" s="51">
        <v>0</v>
      </c>
      <c r="AB670" s="102">
        <v>0</v>
      </c>
      <c r="AC670" s="81">
        <f t="shared" si="33"/>
        <v>0</v>
      </c>
      <c r="AD670" s="82">
        <f t="shared" si="34"/>
        <v>0</v>
      </c>
      <c r="AE670" s="218">
        <v>0</v>
      </c>
      <c r="AF670">
        <v>0</v>
      </c>
      <c r="AH670" t="str">
        <f t="shared" si="32"/>
        <v>Kalyanpur</v>
      </c>
      <c r="AJ670" s="72">
        <v>0</v>
      </c>
      <c r="AK670" s="72"/>
      <c r="AL670" s="72"/>
      <c r="AM670" s="72"/>
    </row>
    <row r="671" spans="1:39" x14ac:dyDescent="0.25">
      <c r="A671" s="37" t="s">
        <v>62</v>
      </c>
      <c r="B671" s="66" t="s">
        <v>1596</v>
      </c>
      <c r="C671" s="41">
        <v>1053</v>
      </c>
      <c r="D671" s="41" t="s">
        <v>527</v>
      </c>
      <c r="E671" s="41">
        <v>10530032</v>
      </c>
      <c r="F671" s="85" t="s">
        <v>565</v>
      </c>
      <c r="G671" s="39" t="s">
        <v>92</v>
      </c>
      <c r="H671" s="52" t="s">
        <v>93</v>
      </c>
      <c r="I671" s="52">
        <v>529.55000000000018</v>
      </c>
      <c r="J671" s="49">
        <v>24579.579999999994</v>
      </c>
      <c r="K671" s="58">
        <v>527.52999999999986</v>
      </c>
      <c r="L671" s="58">
        <v>23694.23</v>
      </c>
      <c r="M671" s="58">
        <v>14.12</v>
      </c>
      <c r="N671" s="58">
        <v>852.70999999999992</v>
      </c>
      <c r="O671" s="65">
        <v>541.64999999999986</v>
      </c>
      <c r="P671" s="65">
        <v>24546.94</v>
      </c>
      <c r="Q671" s="50">
        <v>24546.94</v>
      </c>
      <c r="R671" s="65">
        <v>0</v>
      </c>
      <c r="S671" s="65">
        <v>852.70999999999992</v>
      </c>
      <c r="T671" s="65">
        <v>0</v>
      </c>
      <c r="U671" s="65">
        <v>1427</v>
      </c>
      <c r="V671" s="65">
        <v>0</v>
      </c>
      <c r="W671" s="65">
        <v>0</v>
      </c>
      <c r="X671" s="65">
        <v>22267</v>
      </c>
      <c r="Y671" s="65">
        <v>0</v>
      </c>
      <c r="Z671" s="65">
        <v>0</v>
      </c>
      <c r="AA671" s="51">
        <v>33</v>
      </c>
      <c r="AB671" s="102">
        <v>0</v>
      </c>
      <c r="AC671" s="81">
        <f t="shared" si="33"/>
        <v>158.23206159947105</v>
      </c>
      <c r="AD671" s="82">
        <f t="shared" si="34"/>
        <v>75.65000000000002</v>
      </c>
      <c r="AE671" s="218">
        <v>1.3279315594487695E-3</v>
      </c>
      <c r="AF671">
        <v>20</v>
      </c>
      <c r="AH671" t="str">
        <f t="shared" si="32"/>
        <v>Kalyanpur</v>
      </c>
      <c r="AJ671" s="72">
        <v>0</v>
      </c>
      <c r="AK671" s="72"/>
      <c r="AL671" s="72"/>
      <c r="AM671" s="72"/>
    </row>
    <row r="672" spans="1:39" x14ac:dyDescent="0.25">
      <c r="A672" s="37" t="s">
        <v>62</v>
      </c>
      <c r="B672" s="66" t="s">
        <v>1596</v>
      </c>
      <c r="C672" s="41">
        <v>1053</v>
      </c>
      <c r="D672" s="41" t="s">
        <v>527</v>
      </c>
      <c r="E672" s="41">
        <v>10530033</v>
      </c>
      <c r="F672" s="85" t="s">
        <v>585</v>
      </c>
      <c r="G672" s="39" t="s">
        <v>92</v>
      </c>
      <c r="H672" s="52" t="s">
        <v>93</v>
      </c>
      <c r="I672" s="52">
        <v>853.6500000000002</v>
      </c>
      <c r="J672" s="49">
        <v>38044.080000000009</v>
      </c>
      <c r="K672" s="58">
        <v>841.43</v>
      </c>
      <c r="L672" s="58">
        <v>37192.05999999999</v>
      </c>
      <c r="M672" s="58">
        <v>16.189999999999998</v>
      </c>
      <c r="N672" s="58">
        <v>756.79</v>
      </c>
      <c r="O672" s="65">
        <v>857.61999999999989</v>
      </c>
      <c r="P672" s="65">
        <v>37948.849999999991</v>
      </c>
      <c r="Q672" s="50">
        <v>37948.849999999991</v>
      </c>
      <c r="R672" s="65">
        <v>0</v>
      </c>
      <c r="S672" s="65">
        <v>756.79</v>
      </c>
      <c r="T672" s="65">
        <v>0</v>
      </c>
      <c r="U672" s="65">
        <v>0</v>
      </c>
      <c r="V672" s="65">
        <v>0</v>
      </c>
      <c r="W672" s="65">
        <v>0</v>
      </c>
      <c r="X672" s="65">
        <v>37192</v>
      </c>
      <c r="Y672" s="65">
        <v>0</v>
      </c>
      <c r="Z672" s="65">
        <v>0</v>
      </c>
      <c r="AA672" s="51">
        <v>95</v>
      </c>
      <c r="AB672" s="102">
        <v>0</v>
      </c>
      <c r="AC672" s="81">
        <f t="shared" si="33"/>
        <v>0</v>
      </c>
      <c r="AD672" s="82">
        <f t="shared" si="34"/>
        <v>0</v>
      </c>
      <c r="AE672" s="218">
        <v>2.5031489787640479E-3</v>
      </c>
      <c r="AF672">
        <v>23</v>
      </c>
      <c r="AH672" t="str">
        <f t="shared" si="32"/>
        <v>Kalyanpur</v>
      </c>
      <c r="AJ672" s="72">
        <v>0</v>
      </c>
      <c r="AK672" s="72"/>
      <c r="AL672" s="72"/>
      <c r="AM672" s="72"/>
    </row>
    <row r="673" spans="1:39" x14ac:dyDescent="0.25">
      <c r="A673" s="37" t="s">
        <v>62</v>
      </c>
      <c r="B673" s="66" t="s">
        <v>1596</v>
      </c>
      <c r="C673" s="41">
        <v>1053</v>
      </c>
      <c r="D673" s="41" t="s">
        <v>527</v>
      </c>
      <c r="E673" s="41">
        <v>10530034</v>
      </c>
      <c r="F673" s="85" t="s">
        <v>586</v>
      </c>
      <c r="G673" s="39" t="s">
        <v>92</v>
      </c>
      <c r="H673" s="52" t="s">
        <v>93</v>
      </c>
      <c r="I673" s="52">
        <v>1505.6999999999998</v>
      </c>
      <c r="J673" s="49">
        <v>77153.86</v>
      </c>
      <c r="K673" s="58">
        <v>1504.27</v>
      </c>
      <c r="L673" s="58">
        <v>77150.16</v>
      </c>
      <c r="M673" s="58">
        <v>0</v>
      </c>
      <c r="N673" s="58">
        <v>0</v>
      </c>
      <c r="O673" s="65">
        <v>1504.27</v>
      </c>
      <c r="P673" s="65">
        <v>77150.16</v>
      </c>
      <c r="Q673" s="50">
        <v>77150.16</v>
      </c>
      <c r="R673" s="65">
        <v>0</v>
      </c>
      <c r="S673" s="65">
        <v>0</v>
      </c>
      <c r="T673" s="65">
        <v>0</v>
      </c>
      <c r="U673" s="65">
        <v>0</v>
      </c>
      <c r="V673" s="65">
        <v>0</v>
      </c>
      <c r="W673" s="65">
        <v>0</v>
      </c>
      <c r="X673" s="65">
        <v>77151</v>
      </c>
      <c r="Y673" s="65">
        <v>0</v>
      </c>
      <c r="Z673" s="65">
        <v>0</v>
      </c>
      <c r="AA673" s="51">
        <v>3</v>
      </c>
      <c r="AB673" s="102">
        <v>0</v>
      </c>
      <c r="AC673" s="81">
        <f t="shared" si="33"/>
        <v>0</v>
      </c>
      <c r="AD673" s="82">
        <f t="shared" si="34"/>
        <v>0</v>
      </c>
      <c r="AE673" s="218">
        <v>4.7956122998863434E-5</v>
      </c>
      <c r="AF673">
        <v>42</v>
      </c>
      <c r="AH673" t="str">
        <f t="shared" si="32"/>
        <v>Kalyanpur</v>
      </c>
      <c r="AJ673" s="72">
        <v>0</v>
      </c>
      <c r="AK673" s="72"/>
      <c r="AL673" s="72"/>
      <c r="AM673" s="72"/>
    </row>
    <row r="674" spans="1:39" x14ac:dyDescent="0.25">
      <c r="A674" s="37" t="s">
        <v>62</v>
      </c>
      <c r="B674" s="66" t="s">
        <v>1596</v>
      </c>
      <c r="C674" s="41">
        <v>1053</v>
      </c>
      <c r="D674" s="41" t="s">
        <v>527</v>
      </c>
      <c r="E674" s="41">
        <v>10530035</v>
      </c>
      <c r="F674" s="85" t="s">
        <v>587</v>
      </c>
      <c r="G674" s="39" t="s">
        <v>92</v>
      </c>
      <c r="H674" s="52" t="s">
        <v>93</v>
      </c>
      <c r="I674" s="52">
        <v>732.7</v>
      </c>
      <c r="J674" s="49">
        <v>35556.44</v>
      </c>
      <c r="K674" s="58">
        <v>737.15000000000009</v>
      </c>
      <c r="L674" s="58">
        <v>34515.31</v>
      </c>
      <c r="M674" s="58">
        <v>15.88</v>
      </c>
      <c r="N674" s="58">
        <v>710.62000000000012</v>
      </c>
      <c r="O674" s="65">
        <v>753.03000000000009</v>
      </c>
      <c r="P674" s="65">
        <v>35225.93</v>
      </c>
      <c r="Q674" s="50">
        <v>35225.93</v>
      </c>
      <c r="R674" s="65">
        <v>0</v>
      </c>
      <c r="S674" s="65">
        <v>710.62000000000012</v>
      </c>
      <c r="T674" s="65">
        <v>0</v>
      </c>
      <c r="U674" s="65">
        <v>0</v>
      </c>
      <c r="V674" s="65">
        <v>0</v>
      </c>
      <c r="W674" s="65">
        <v>0</v>
      </c>
      <c r="X674" s="65">
        <v>34517</v>
      </c>
      <c r="Y674" s="65">
        <v>0</v>
      </c>
      <c r="Z674" s="65">
        <v>0</v>
      </c>
      <c r="AA674" s="51">
        <v>329</v>
      </c>
      <c r="AB674" s="102">
        <v>0</v>
      </c>
      <c r="AC674" s="81">
        <f t="shared" si="33"/>
        <v>0</v>
      </c>
      <c r="AD674" s="82">
        <f t="shared" si="34"/>
        <v>0</v>
      </c>
      <c r="AE674" s="218">
        <v>9.2953625278571761E-3</v>
      </c>
      <c r="AF674">
        <v>21</v>
      </c>
      <c r="AH674" t="str">
        <f t="shared" si="32"/>
        <v>Kalyanpur</v>
      </c>
      <c r="AJ674" s="72">
        <v>0</v>
      </c>
      <c r="AK674" s="72"/>
      <c r="AL674" s="72"/>
      <c r="AM674" s="72"/>
    </row>
    <row r="675" spans="1:39" x14ac:dyDescent="0.25">
      <c r="A675" s="37" t="s">
        <v>62</v>
      </c>
      <c r="B675" s="66" t="s">
        <v>1596</v>
      </c>
      <c r="C675" s="41">
        <v>1053</v>
      </c>
      <c r="D675" s="41" t="s">
        <v>527</v>
      </c>
      <c r="E675" s="41">
        <v>10530038</v>
      </c>
      <c r="F675" s="85" t="s">
        <v>588</v>
      </c>
      <c r="G675" s="39" t="s">
        <v>617</v>
      </c>
      <c r="H675" s="52" t="s">
        <v>98</v>
      </c>
      <c r="I675" s="52">
        <v>619.74999999999989</v>
      </c>
      <c r="J675" s="49">
        <v>24311.61</v>
      </c>
      <c r="K675" s="58">
        <v>0</v>
      </c>
      <c r="L675" s="58">
        <v>0</v>
      </c>
      <c r="M675" s="58">
        <v>0</v>
      </c>
      <c r="N675" s="58">
        <v>0</v>
      </c>
      <c r="O675" s="65">
        <v>0</v>
      </c>
      <c r="P675" s="65">
        <v>0</v>
      </c>
      <c r="Q675" s="50">
        <v>24311.61</v>
      </c>
      <c r="R675" s="65">
        <v>0</v>
      </c>
      <c r="S675" s="65">
        <v>0</v>
      </c>
      <c r="T675" s="65">
        <v>0</v>
      </c>
      <c r="U675" s="65">
        <v>0</v>
      </c>
      <c r="V675" s="65">
        <v>0</v>
      </c>
      <c r="W675" s="65">
        <v>0</v>
      </c>
      <c r="X675" s="65">
        <v>0</v>
      </c>
      <c r="Y675" s="65">
        <v>0</v>
      </c>
      <c r="Z675" s="65">
        <v>24311.61</v>
      </c>
      <c r="AA675" s="51">
        <v>0</v>
      </c>
      <c r="AB675" s="102">
        <v>0</v>
      </c>
      <c r="AC675" s="81">
        <f t="shared" si="33"/>
        <v>62.961087615974321</v>
      </c>
      <c r="AD675" s="82">
        <f t="shared" si="34"/>
        <v>88.535714285714263</v>
      </c>
      <c r="AE675" s="218">
        <v>0</v>
      </c>
      <c r="AF675">
        <v>0</v>
      </c>
      <c r="AH675" t="str">
        <f t="shared" si="32"/>
        <v>Kalyanpur</v>
      </c>
      <c r="AJ675" s="72">
        <v>0</v>
      </c>
      <c r="AK675" s="72"/>
      <c r="AL675" s="72"/>
      <c r="AM675" s="72"/>
    </row>
    <row r="676" spans="1:39" x14ac:dyDescent="0.25">
      <c r="A676" s="37" t="s">
        <v>62</v>
      </c>
      <c r="B676" s="66" t="s">
        <v>1596</v>
      </c>
      <c r="C676" s="41">
        <v>1053</v>
      </c>
      <c r="D676" s="41" t="s">
        <v>527</v>
      </c>
      <c r="E676" s="41">
        <v>10530040</v>
      </c>
      <c r="F676" s="85" t="s">
        <v>589</v>
      </c>
      <c r="G676" s="39" t="s">
        <v>92</v>
      </c>
      <c r="H676" s="52" t="s">
        <v>93</v>
      </c>
      <c r="I676" s="52">
        <v>451.2</v>
      </c>
      <c r="J676" s="49">
        <v>21105.79</v>
      </c>
      <c r="K676" s="58">
        <v>443.16999999999996</v>
      </c>
      <c r="L676" s="58">
        <v>20081.139999999992</v>
      </c>
      <c r="M676" s="58">
        <v>21.890000000000004</v>
      </c>
      <c r="N676" s="58">
        <v>1008.42</v>
      </c>
      <c r="O676" s="65">
        <v>465.05999999999995</v>
      </c>
      <c r="P676" s="65">
        <v>21089.55999999999</v>
      </c>
      <c r="Q676" s="50">
        <v>21089.55999999999</v>
      </c>
      <c r="R676" s="65">
        <v>0</v>
      </c>
      <c r="S676" s="65">
        <v>1008.42</v>
      </c>
      <c r="T676" s="65">
        <v>0</v>
      </c>
      <c r="U676" s="65">
        <v>227</v>
      </c>
      <c r="V676" s="65">
        <v>0</v>
      </c>
      <c r="W676" s="65">
        <v>0</v>
      </c>
      <c r="X676" s="65">
        <v>19853</v>
      </c>
      <c r="Y676" s="65">
        <v>0</v>
      </c>
      <c r="Z676" s="65">
        <v>0</v>
      </c>
      <c r="AA676" s="51">
        <v>17</v>
      </c>
      <c r="AB676" s="102">
        <v>0</v>
      </c>
      <c r="AC676" s="81">
        <f t="shared" si="33"/>
        <v>232.76243581560288</v>
      </c>
      <c r="AD676" s="82">
        <f t="shared" si="34"/>
        <v>64.457142857142856</v>
      </c>
      <c r="AE676" s="218">
        <v>7.6898329794859504E-4</v>
      </c>
      <c r="AF676">
        <v>23</v>
      </c>
      <c r="AH676" t="str">
        <f t="shared" si="32"/>
        <v>Kalyanpur</v>
      </c>
      <c r="AJ676" s="72">
        <v>0</v>
      </c>
      <c r="AK676" s="72"/>
      <c r="AL676" s="72"/>
      <c r="AM676" s="72"/>
    </row>
    <row r="677" spans="1:39" x14ac:dyDescent="0.25">
      <c r="A677" s="37" t="s">
        <v>62</v>
      </c>
      <c r="B677" s="66" t="s">
        <v>1596</v>
      </c>
      <c r="C677" s="41">
        <v>1053</v>
      </c>
      <c r="D677" s="41" t="s">
        <v>527</v>
      </c>
      <c r="E677" s="41">
        <v>10530044</v>
      </c>
      <c r="F677" s="85" t="s">
        <v>590</v>
      </c>
      <c r="G677" s="39" t="s">
        <v>92</v>
      </c>
      <c r="H677" s="52" t="s">
        <v>93</v>
      </c>
      <c r="I677" s="52">
        <v>1125.3</v>
      </c>
      <c r="J677" s="49">
        <v>50503.56</v>
      </c>
      <c r="K677" s="58">
        <v>1120.3999999999996</v>
      </c>
      <c r="L677" s="58">
        <v>49821.55</v>
      </c>
      <c r="M677" s="58">
        <v>14.95</v>
      </c>
      <c r="N677" s="58">
        <v>669.1099999999999</v>
      </c>
      <c r="O677" s="65">
        <v>1135.3499999999997</v>
      </c>
      <c r="P677" s="65">
        <v>50490.66</v>
      </c>
      <c r="Q677" s="50">
        <v>50490.66</v>
      </c>
      <c r="R677" s="65">
        <v>0</v>
      </c>
      <c r="S677" s="65">
        <v>669.1099999999999</v>
      </c>
      <c r="T677" s="65">
        <v>0</v>
      </c>
      <c r="U677" s="65">
        <v>0</v>
      </c>
      <c r="V677" s="65">
        <v>0</v>
      </c>
      <c r="W677" s="65">
        <v>0</v>
      </c>
      <c r="X677" s="65">
        <v>49821</v>
      </c>
      <c r="Y677" s="65">
        <v>0</v>
      </c>
      <c r="Z677" s="65">
        <v>0</v>
      </c>
      <c r="AA677" s="51">
        <v>13</v>
      </c>
      <c r="AB677" s="102">
        <v>0</v>
      </c>
      <c r="AC677" s="81">
        <f t="shared" si="33"/>
        <v>0</v>
      </c>
      <c r="AD677" s="82">
        <f t="shared" si="34"/>
        <v>0</v>
      </c>
      <c r="AE677" s="218">
        <v>2.5542753817739145E-4</v>
      </c>
      <c r="AF677">
        <v>23</v>
      </c>
      <c r="AH677" t="str">
        <f t="shared" si="32"/>
        <v>Kalyanpur</v>
      </c>
      <c r="AJ677" s="72">
        <v>0</v>
      </c>
      <c r="AK677" s="72"/>
      <c r="AL677" s="72"/>
      <c r="AM677" s="72"/>
    </row>
    <row r="678" spans="1:39" x14ac:dyDescent="0.25">
      <c r="A678" s="37" t="s">
        <v>62</v>
      </c>
      <c r="B678" s="66" t="s">
        <v>1596</v>
      </c>
      <c r="C678" s="41">
        <v>1053</v>
      </c>
      <c r="D678" s="41" t="s">
        <v>527</v>
      </c>
      <c r="E678" s="41">
        <v>10530046</v>
      </c>
      <c r="F678" s="85" t="s">
        <v>621</v>
      </c>
      <c r="G678" s="39" t="s">
        <v>92</v>
      </c>
      <c r="H678" s="52" t="s">
        <v>93</v>
      </c>
      <c r="I678" s="52">
        <v>246.4</v>
      </c>
      <c r="J678" s="49">
        <v>12834.32</v>
      </c>
      <c r="K678" s="58">
        <v>237.38</v>
      </c>
      <c r="L678" s="58">
        <v>12572.3</v>
      </c>
      <c r="M678" s="58">
        <v>0.52</v>
      </c>
      <c r="N678" s="58">
        <v>19.54</v>
      </c>
      <c r="O678" s="65">
        <v>237.9</v>
      </c>
      <c r="P678" s="65">
        <v>12591.84</v>
      </c>
      <c r="Q678" s="50">
        <v>12591.84</v>
      </c>
      <c r="R678" s="65">
        <v>0</v>
      </c>
      <c r="S678" s="65">
        <v>19.54</v>
      </c>
      <c r="T678" s="65">
        <v>0</v>
      </c>
      <c r="U678" s="65">
        <v>0</v>
      </c>
      <c r="V678" s="65">
        <v>0</v>
      </c>
      <c r="W678" s="65">
        <v>0</v>
      </c>
      <c r="X678" s="65">
        <v>12572</v>
      </c>
      <c r="Y678" s="65">
        <v>0</v>
      </c>
      <c r="Z678" s="65">
        <v>0</v>
      </c>
      <c r="AA678" s="51">
        <v>243</v>
      </c>
      <c r="AB678" s="102">
        <v>0</v>
      </c>
      <c r="AC678" s="81">
        <f t="shared" si="33"/>
        <v>472.53632727272725</v>
      </c>
      <c r="AD678" s="82">
        <f t="shared" si="34"/>
        <v>35.200000000000003</v>
      </c>
      <c r="AE678" s="218">
        <v>1.8893092894676115E-2</v>
      </c>
      <c r="AF678">
        <v>15</v>
      </c>
      <c r="AH678" t="str">
        <f t="shared" si="32"/>
        <v>Kalyanpur</v>
      </c>
      <c r="AJ678" s="72">
        <v>0</v>
      </c>
      <c r="AK678" s="72"/>
      <c r="AL678" s="72"/>
      <c r="AM678" s="72"/>
    </row>
    <row r="679" spans="1:39" x14ac:dyDescent="0.25">
      <c r="A679" s="37" t="s">
        <v>62</v>
      </c>
      <c r="B679" s="66" t="s">
        <v>1596</v>
      </c>
      <c r="C679" s="41">
        <v>1053</v>
      </c>
      <c r="D679" s="41" t="s">
        <v>527</v>
      </c>
      <c r="E679" s="41">
        <v>10530047</v>
      </c>
      <c r="F679" s="85" t="s">
        <v>591</v>
      </c>
      <c r="G679" s="39" t="s">
        <v>92</v>
      </c>
      <c r="H679" s="52" t="s">
        <v>93</v>
      </c>
      <c r="I679" s="52">
        <v>359.95000000000005</v>
      </c>
      <c r="J679" s="49">
        <v>12769.2</v>
      </c>
      <c r="K679" s="58">
        <v>336.65999999999997</v>
      </c>
      <c r="L679" s="58">
        <v>12737.74</v>
      </c>
      <c r="M679" s="58">
        <v>0.18</v>
      </c>
      <c r="N679" s="58">
        <v>6.18</v>
      </c>
      <c r="O679" s="65">
        <v>336.84</v>
      </c>
      <c r="P679" s="65">
        <v>12743.92</v>
      </c>
      <c r="Q679" s="50">
        <v>12743.92</v>
      </c>
      <c r="R679" s="65">
        <v>0</v>
      </c>
      <c r="S679" s="65">
        <v>6.18</v>
      </c>
      <c r="T679" s="65">
        <v>0</v>
      </c>
      <c r="U679" s="65">
        <v>0</v>
      </c>
      <c r="V679" s="65">
        <v>0</v>
      </c>
      <c r="W679" s="65">
        <v>0</v>
      </c>
      <c r="X679" s="65">
        <v>12739</v>
      </c>
      <c r="Y679" s="65">
        <v>0</v>
      </c>
      <c r="Z679" s="65">
        <v>0</v>
      </c>
      <c r="AA679" s="51">
        <v>24</v>
      </c>
      <c r="AB679" s="102">
        <v>0</v>
      </c>
      <c r="AC679" s="81">
        <f t="shared" si="33"/>
        <v>241.26497902486452</v>
      </c>
      <c r="AD679" s="82">
        <f t="shared" si="34"/>
        <v>51.421428571428578</v>
      </c>
      <c r="AE679" s="218">
        <v>1.9797638066598264E-3</v>
      </c>
      <c r="AF679">
        <v>6</v>
      </c>
      <c r="AH679" t="str">
        <f t="shared" si="32"/>
        <v>Kalyanpur</v>
      </c>
      <c r="AJ679" s="72">
        <v>0</v>
      </c>
      <c r="AK679" s="72"/>
      <c r="AL679" s="72"/>
      <c r="AM679" s="72"/>
    </row>
    <row r="680" spans="1:39" x14ac:dyDescent="0.25">
      <c r="A680" s="37" t="s">
        <v>62</v>
      </c>
      <c r="B680" s="66" t="s">
        <v>1596</v>
      </c>
      <c r="C680" s="41">
        <v>1053</v>
      </c>
      <c r="D680" s="41" t="s">
        <v>527</v>
      </c>
      <c r="E680" s="41">
        <v>10530048</v>
      </c>
      <c r="F680" s="85" t="s">
        <v>622</v>
      </c>
      <c r="G680" s="39" t="s">
        <v>92</v>
      </c>
      <c r="H680" s="52" t="s">
        <v>93</v>
      </c>
      <c r="I680" s="52">
        <v>303.89999999999998</v>
      </c>
      <c r="J680" s="49">
        <v>12182.039999999999</v>
      </c>
      <c r="K680" s="58">
        <v>299.25000000000006</v>
      </c>
      <c r="L680" s="58">
        <v>11895.37</v>
      </c>
      <c r="M680" s="58">
        <v>5.8800000000000008</v>
      </c>
      <c r="N680" s="58">
        <v>271.73999999999995</v>
      </c>
      <c r="O680" s="65">
        <v>305.13000000000005</v>
      </c>
      <c r="P680" s="65">
        <v>12167.11</v>
      </c>
      <c r="Q680" s="50">
        <v>12167.11</v>
      </c>
      <c r="R680" s="65">
        <v>0</v>
      </c>
      <c r="S680" s="65">
        <v>271.73999999999995</v>
      </c>
      <c r="T680" s="65">
        <v>0</v>
      </c>
      <c r="U680" s="65">
        <v>0</v>
      </c>
      <c r="V680" s="65">
        <v>0</v>
      </c>
      <c r="W680" s="65">
        <v>0</v>
      </c>
      <c r="X680" s="65">
        <v>11896</v>
      </c>
      <c r="Y680" s="65">
        <v>0</v>
      </c>
      <c r="Z680" s="65">
        <v>0</v>
      </c>
      <c r="AA680" s="51">
        <v>14</v>
      </c>
      <c r="AB680" s="102">
        <v>0</v>
      </c>
      <c r="AC680" s="81">
        <f t="shared" si="33"/>
        <v>317.55880513326758</v>
      </c>
      <c r="AD680" s="82">
        <f t="shared" si="34"/>
        <v>43.414285714285711</v>
      </c>
      <c r="AE680" s="218">
        <v>1.2255746984904394E-3</v>
      </c>
      <c r="AF680">
        <v>10</v>
      </c>
      <c r="AH680" t="str">
        <f t="shared" si="32"/>
        <v>Kalyanpur</v>
      </c>
      <c r="AJ680" s="72">
        <v>0</v>
      </c>
      <c r="AK680" s="72"/>
      <c r="AL680" s="72"/>
      <c r="AM680" s="72"/>
    </row>
    <row r="681" spans="1:39" x14ac:dyDescent="0.25">
      <c r="A681" s="37" t="s">
        <v>62</v>
      </c>
      <c r="B681" s="66" t="s">
        <v>1596</v>
      </c>
      <c r="C681" s="41">
        <v>1053</v>
      </c>
      <c r="D681" s="41" t="s">
        <v>527</v>
      </c>
      <c r="E681" s="41">
        <v>10530049</v>
      </c>
      <c r="F681" s="85" t="s">
        <v>592</v>
      </c>
      <c r="G681" s="39" t="s">
        <v>617</v>
      </c>
      <c r="H681" s="52" t="s">
        <v>98</v>
      </c>
      <c r="I681" s="52">
        <v>1453</v>
      </c>
      <c r="J681" s="49">
        <v>57866.42</v>
      </c>
      <c r="K681" s="58">
        <v>0</v>
      </c>
      <c r="L681" s="58">
        <v>0</v>
      </c>
      <c r="M681" s="58">
        <v>0</v>
      </c>
      <c r="N681" s="58">
        <v>0</v>
      </c>
      <c r="O681" s="65">
        <v>0</v>
      </c>
      <c r="P681" s="65">
        <v>0</v>
      </c>
      <c r="Q681" s="50">
        <v>57866.42</v>
      </c>
      <c r="R681" s="65">
        <v>0</v>
      </c>
      <c r="S681" s="65">
        <v>0</v>
      </c>
      <c r="T681" s="65">
        <v>0</v>
      </c>
      <c r="U681" s="65">
        <v>0</v>
      </c>
      <c r="V681" s="65">
        <v>0</v>
      </c>
      <c r="W681" s="65">
        <v>0</v>
      </c>
      <c r="X681" s="65">
        <v>0</v>
      </c>
      <c r="Y681" s="65">
        <v>0</v>
      </c>
      <c r="Z681" s="65">
        <v>57866.42</v>
      </c>
      <c r="AA681" s="51">
        <v>0</v>
      </c>
      <c r="AB681" s="102">
        <v>0</v>
      </c>
      <c r="AC681" s="81">
        <f t="shared" si="33"/>
        <v>0</v>
      </c>
      <c r="AD681" s="82">
        <f t="shared" si="34"/>
        <v>0</v>
      </c>
      <c r="AE681" s="218">
        <v>0</v>
      </c>
      <c r="AF681">
        <v>0</v>
      </c>
      <c r="AH681" t="str">
        <f t="shared" si="32"/>
        <v>Kalyanpur</v>
      </c>
      <c r="AJ681" s="72">
        <v>0</v>
      </c>
      <c r="AK681" s="72"/>
      <c r="AL681" s="72"/>
      <c r="AM681" s="72"/>
    </row>
    <row r="682" spans="1:39" x14ac:dyDescent="0.25">
      <c r="A682" s="37" t="s">
        <v>62</v>
      </c>
      <c r="B682" s="66" t="s">
        <v>1596</v>
      </c>
      <c r="C682" s="41">
        <v>1053</v>
      </c>
      <c r="D682" s="41" t="s">
        <v>527</v>
      </c>
      <c r="E682" s="41">
        <v>10530050</v>
      </c>
      <c r="F682" s="85" t="s">
        <v>543</v>
      </c>
      <c r="G682" s="39" t="s">
        <v>617</v>
      </c>
      <c r="H682" s="52" t="s">
        <v>98</v>
      </c>
      <c r="I682" s="52">
        <v>328.55</v>
      </c>
      <c r="J682" s="49">
        <v>15773.91</v>
      </c>
      <c r="K682" s="58">
        <v>0</v>
      </c>
      <c r="L682" s="58">
        <v>0</v>
      </c>
      <c r="M682" s="58">
        <v>0</v>
      </c>
      <c r="N682" s="58">
        <v>0</v>
      </c>
      <c r="O682" s="65">
        <v>0</v>
      </c>
      <c r="P682" s="65">
        <v>0</v>
      </c>
      <c r="Q682" s="50">
        <v>15773.91</v>
      </c>
      <c r="R682" s="65">
        <v>0</v>
      </c>
      <c r="S682" s="65">
        <v>0</v>
      </c>
      <c r="T682" s="65">
        <v>0</v>
      </c>
      <c r="U682" s="65">
        <v>0</v>
      </c>
      <c r="V682" s="65">
        <v>0</v>
      </c>
      <c r="W682" s="65">
        <v>0</v>
      </c>
      <c r="X682" s="65">
        <v>0</v>
      </c>
      <c r="Y682" s="65">
        <v>0</v>
      </c>
      <c r="Z682" s="65">
        <v>15773.91</v>
      </c>
      <c r="AA682" s="51">
        <v>0</v>
      </c>
      <c r="AB682" s="102">
        <v>0</v>
      </c>
      <c r="AC682" s="81">
        <f t="shared" si="33"/>
        <v>356.67136627606146</v>
      </c>
      <c r="AD682" s="82">
        <f t="shared" si="34"/>
        <v>46.93571428571429</v>
      </c>
      <c r="AE682" s="218">
        <v>0</v>
      </c>
      <c r="AF682">
        <v>0</v>
      </c>
      <c r="AH682" t="str">
        <f t="shared" si="32"/>
        <v>Kalyanpur</v>
      </c>
      <c r="AJ682" s="72">
        <v>0</v>
      </c>
      <c r="AK682" s="72"/>
      <c r="AL682" s="72"/>
      <c r="AM682" s="72"/>
    </row>
    <row r="683" spans="1:39" x14ac:dyDescent="0.25">
      <c r="A683" s="37" t="s">
        <v>62</v>
      </c>
      <c r="B683" s="66" t="s">
        <v>1596</v>
      </c>
      <c r="C683" s="41">
        <v>1053</v>
      </c>
      <c r="D683" s="41" t="s">
        <v>527</v>
      </c>
      <c r="E683" s="41">
        <v>10530053</v>
      </c>
      <c r="F683" s="85" t="s">
        <v>1548</v>
      </c>
      <c r="G683" s="39" t="s">
        <v>617</v>
      </c>
      <c r="H683" s="52" t="s">
        <v>98</v>
      </c>
      <c r="I683" s="52">
        <v>218.85000000000002</v>
      </c>
      <c r="J683" s="49">
        <v>10611.81</v>
      </c>
      <c r="K683" s="58">
        <v>0</v>
      </c>
      <c r="L683" s="58">
        <v>0</v>
      </c>
      <c r="M683" s="58">
        <v>0</v>
      </c>
      <c r="N683" s="58">
        <v>0</v>
      </c>
      <c r="O683" s="65">
        <v>0</v>
      </c>
      <c r="P683" s="65">
        <v>0</v>
      </c>
      <c r="Q683" s="50">
        <v>10611.81</v>
      </c>
      <c r="R683" s="65">
        <v>0</v>
      </c>
      <c r="S683" s="65">
        <v>0</v>
      </c>
      <c r="T683" s="65">
        <v>0</v>
      </c>
      <c r="U683" s="65">
        <v>0</v>
      </c>
      <c r="V683" s="65">
        <v>0</v>
      </c>
      <c r="W683" s="65">
        <v>0</v>
      </c>
      <c r="X683" s="65">
        <v>0</v>
      </c>
      <c r="Y683" s="65">
        <v>0</v>
      </c>
      <c r="Z683" s="65">
        <v>10611.81</v>
      </c>
      <c r="AA683" s="51">
        <v>0</v>
      </c>
      <c r="AB683" s="102">
        <v>0</v>
      </c>
      <c r="AC683" s="81">
        <f t="shared" si="33"/>
        <v>466.60931062371486</v>
      </c>
      <c r="AD683" s="82">
        <f t="shared" si="34"/>
        <v>31.264285714285716</v>
      </c>
      <c r="AE683" s="218">
        <v>0</v>
      </c>
      <c r="AF683">
        <v>0</v>
      </c>
      <c r="AH683" t="str">
        <f t="shared" si="32"/>
        <v>Kalyanpur</v>
      </c>
      <c r="AJ683" s="72">
        <v>0</v>
      </c>
      <c r="AK683" s="72"/>
      <c r="AL683" s="72"/>
      <c r="AM683" s="72"/>
    </row>
    <row r="684" spans="1:39" x14ac:dyDescent="0.25">
      <c r="A684" s="37" t="s">
        <v>62</v>
      </c>
      <c r="B684" s="66" t="s">
        <v>1596</v>
      </c>
      <c r="C684" s="41">
        <v>1053</v>
      </c>
      <c r="D684" s="41" t="s">
        <v>527</v>
      </c>
      <c r="E684" s="41">
        <v>10530055</v>
      </c>
      <c r="F684" s="85" t="s">
        <v>635</v>
      </c>
      <c r="G684" s="39" t="s">
        <v>92</v>
      </c>
      <c r="H684" s="52" t="s">
        <v>93</v>
      </c>
      <c r="I684" s="52">
        <v>1540.5</v>
      </c>
      <c r="J684" s="49">
        <v>63102.239999999998</v>
      </c>
      <c r="K684" s="58">
        <v>1524.6799999999998</v>
      </c>
      <c r="L684" s="58">
        <v>62304.489999999983</v>
      </c>
      <c r="M684" s="58">
        <v>19.260000000000002</v>
      </c>
      <c r="N684" s="58">
        <v>786.2</v>
      </c>
      <c r="O684" s="65">
        <v>1543.9399999999998</v>
      </c>
      <c r="P684" s="65">
        <v>63090.689999999981</v>
      </c>
      <c r="Q684" s="50">
        <v>63090.689999999981</v>
      </c>
      <c r="R684" s="65">
        <v>0</v>
      </c>
      <c r="S684" s="65">
        <v>786.2</v>
      </c>
      <c r="T684" s="65">
        <v>0</v>
      </c>
      <c r="U684" s="65">
        <v>0</v>
      </c>
      <c r="V684" s="65">
        <v>0</v>
      </c>
      <c r="W684" s="65">
        <v>0</v>
      </c>
      <c r="X684" s="65">
        <v>62301</v>
      </c>
      <c r="Y684" s="65">
        <v>0</v>
      </c>
      <c r="Z684" s="65">
        <v>0</v>
      </c>
      <c r="AA684" s="51">
        <v>15</v>
      </c>
      <c r="AB684" s="102">
        <v>0</v>
      </c>
      <c r="AC684" s="81">
        <f t="shared" si="33"/>
        <v>0</v>
      </c>
      <c r="AD684" s="82">
        <f t="shared" si="34"/>
        <v>0</v>
      </c>
      <c r="AE684" s="218">
        <v>1.8303629158041715E-4</v>
      </c>
      <c r="AF684">
        <v>48</v>
      </c>
      <c r="AH684" t="str">
        <f t="shared" si="32"/>
        <v>Kalyanpur</v>
      </c>
      <c r="AJ684" s="72">
        <v>0</v>
      </c>
      <c r="AK684" s="72"/>
      <c r="AL684" s="72"/>
      <c r="AM684" s="72"/>
    </row>
    <row r="685" spans="1:39" x14ac:dyDescent="0.25">
      <c r="A685" s="37" t="s">
        <v>62</v>
      </c>
      <c r="B685" s="66" t="s">
        <v>1596</v>
      </c>
      <c r="C685" s="41">
        <v>1053</v>
      </c>
      <c r="D685" s="41" t="s">
        <v>527</v>
      </c>
      <c r="E685" s="41">
        <v>10530057</v>
      </c>
      <c r="F685" s="85" t="s">
        <v>636</v>
      </c>
      <c r="G685" s="39" t="s">
        <v>617</v>
      </c>
      <c r="H685" s="52" t="s">
        <v>98</v>
      </c>
      <c r="I685" s="52">
        <v>66.75</v>
      </c>
      <c r="J685" s="49">
        <v>3058.1400000000003</v>
      </c>
      <c r="K685" s="58">
        <v>0</v>
      </c>
      <c r="L685" s="58">
        <v>0</v>
      </c>
      <c r="M685" s="58">
        <v>0</v>
      </c>
      <c r="N685" s="58">
        <v>0</v>
      </c>
      <c r="O685" s="65">
        <v>0</v>
      </c>
      <c r="P685" s="65">
        <v>0</v>
      </c>
      <c r="Q685" s="50">
        <v>3058.1400000000003</v>
      </c>
      <c r="R685" s="65">
        <v>0</v>
      </c>
      <c r="S685" s="65">
        <v>0</v>
      </c>
      <c r="T685" s="65">
        <v>0</v>
      </c>
      <c r="U685" s="65">
        <v>0</v>
      </c>
      <c r="V685" s="65">
        <v>0</v>
      </c>
      <c r="W685" s="65">
        <v>0</v>
      </c>
      <c r="X685" s="65">
        <v>0</v>
      </c>
      <c r="Y685" s="65">
        <v>0</v>
      </c>
      <c r="Z685" s="65">
        <v>3058.1400000000003</v>
      </c>
      <c r="AA685" s="51">
        <v>0</v>
      </c>
      <c r="AB685" s="102">
        <v>0</v>
      </c>
      <c r="AC685" s="81">
        <f t="shared" si="33"/>
        <v>580.24484044943824</v>
      </c>
      <c r="AD685" s="82">
        <f t="shared" si="34"/>
        <v>9.5357142857142865</v>
      </c>
      <c r="AE685" s="218">
        <v>0</v>
      </c>
      <c r="AF685">
        <v>0</v>
      </c>
      <c r="AH685" t="str">
        <f t="shared" si="32"/>
        <v>Kalyanpur</v>
      </c>
      <c r="AJ685" s="72">
        <v>0</v>
      </c>
      <c r="AK685" s="72"/>
      <c r="AL685" s="72"/>
      <c r="AM685" s="72"/>
    </row>
    <row r="686" spans="1:39" x14ac:dyDescent="0.25">
      <c r="A686" s="37" t="s">
        <v>62</v>
      </c>
      <c r="B686" s="66" t="s">
        <v>1596</v>
      </c>
      <c r="C686" s="41">
        <v>1053</v>
      </c>
      <c r="D686" s="41" t="s">
        <v>527</v>
      </c>
      <c r="E686" s="41">
        <v>10530058</v>
      </c>
      <c r="F686" s="85" t="s">
        <v>654</v>
      </c>
      <c r="G686" s="39" t="s">
        <v>92</v>
      </c>
      <c r="H686" s="52" t="s">
        <v>93</v>
      </c>
      <c r="I686" s="52">
        <v>156.05000000000001</v>
      </c>
      <c r="J686" s="49">
        <v>5841.24</v>
      </c>
      <c r="K686" s="58">
        <v>158.18</v>
      </c>
      <c r="L686" s="58">
        <v>5830.3099999999995</v>
      </c>
      <c r="M686" s="58">
        <v>0</v>
      </c>
      <c r="N686" s="58">
        <v>0</v>
      </c>
      <c r="O686" s="65">
        <v>158.18</v>
      </c>
      <c r="P686" s="65">
        <v>5830.3099999999995</v>
      </c>
      <c r="Q686" s="50">
        <v>5830.3099999999995</v>
      </c>
      <c r="R686" s="65">
        <v>0</v>
      </c>
      <c r="S686" s="65">
        <v>0</v>
      </c>
      <c r="T686" s="65">
        <v>0</v>
      </c>
      <c r="U686" s="65">
        <v>0</v>
      </c>
      <c r="V686" s="65">
        <v>500</v>
      </c>
      <c r="W686" s="65">
        <v>0</v>
      </c>
      <c r="X686" s="65">
        <v>5330</v>
      </c>
      <c r="Y686" s="65">
        <v>0</v>
      </c>
      <c r="Z686" s="65">
        <v>0</v>
      </c>
      <c r="AA686" s="51">
        <v>11</v>
      </c>
      <c r="AB686" s="102" t="s">
        <v>66</v>
      </c>
      <c r="AC686" s="81">
        <f t="shared" si="33"/>
        <v>407.22108272989425</v>
      </c>
      <c r="AD686" s="82">
        <f t="shared" si="34"/>
        <v>22.292857142857144</v>
      </c>
      <c r="AE686" s="218">
        <v>1.8711780375400243E-3</v>
      </c>
      <c r="AF686">
        <v>8</v>
      </c>
      <c r="AH686" t="str">
        <f t="shared" si="32"/>
        <v>Kalyanpur</v>
      </c>
      <c r="AJ686" s="72">
        <v>500</v>
      </c>
      <c r="AK686" s="72"/>
      <c r="AL686" s="72"/>
      <c r="AM686" s="72"/>
    </row>
    <row r="687" spans="1:39" x14ac:dyDescent="0.25">
      <c r="A687" s="37" t="s">
        <v>62</v>
      </c>
      <c r="B687" s="66" t="s">
        <v>1596</v>
      </c>
      <c r="C687" s="41">
        <v>1053</v>
      </c>
      <c r="D687" s="41" t="s">
        <v>527</v>
      </c>
      <c r="E687" s="41">
        <v>10530059</v>
      </c>
      <c r="F687" s="85" t="s">
        <v>637</v>
      </c>
      <c r="G687" s="39" t="s">
        <v>617</v>
      </c>
      <c r="H687" s="52" t="s">
        <v>98</v>
      </c>
      <c r="I687" s="52">
        <v>2185.1000000000004</v>
      </c>
      <c r="J687" s="49">
        <v>101215.29000000001</v>
      </c>
      <c r="K687" s="58">
        <v>0</v>
      </c>
      <c r="L687" s="58">
        <v>0</v>
      </c>
      <c r="M687" s="58">
        <v>0</v>
      </c>
      <c r="N687" s="58">
        <v>0</v>
      </c>
      <c r="O687" s="65">
        <v>0</v>
      </c>
      <c r="P687" s="65">
        <v>0</v>
      </c>
      <c r="Q687" s="50">
        <v>101215.29000000001</v>
      </c>
      <c r="R687" s="65">
        <v>0</v>
      </c>
      <c r="S687" s="65">
        <v>0</v>
      </c>
      <c r="T687" s="65">
        <v>0</v>
      </c>
      <c r="U687" s="65">
        <v>0</v>
      </c>
      <c r="V687" s="65">
        <v>0</v>
      </c>
      <c r="W687" s="65">
        <v>0</v>
      </c>
      <c r="X687" s="65">
        <v>0</v>
      </c>
      <c r="Y687" s="65">
        <v>0</v>
      </c>
      <c r="Z687" s="65">
        <v>101215.29000000001</v>
      </c>
      <c r="AA687" s="51">
        <v>0</v>
      </c>
      <c r="AB687" s="102">
        <v>0</v>
      </c>
      <c r="AC687" s="81">
        <f t="shared" si="33"/>
        <v>0</v>
      </c>
      <c r="AD687" s="82">
        <f t="shared" si="34"/>
        <v>0</v>
      </c>
      <c r="AE687" s="218">
        <v>0</v>
      </c>
      <c r="AF687">
        <v>0</v>
      </c>
      <c r="AH687" t="str">
        <f t="shared" si="32"/>
        <v>Kalyanpur</v>
      </c>
      <c r="AJ687" s="72">
        <v>0</v>
      </c>
      <c r="AK687" s="72"/>
      <c r="AL687" s="72"/>
      <c r="AM687" s="72"/>
    </row>
    <row r="688" spans="1:39" x14ac:dyDescent="0.25">
      <c r="A688" s="37" t="s">
        <v>62</v>
      </c>
      <c r="B688" s="66" t="s">
        <v>1596</v>
      </c>
      <c r="C688" s="41">
        <v>1053</v>
      </c>
      <c r="D688" s="41" t="s">
        <v>527</v>
      </c>
      <c r="E688" s="41">
        <v>10530060</v>
      </c>
      <c r="F688" s="85" t="s">
        <v>655</v>
      </c>
      <c r="G688" s="39" t="s">
        <v>617</v>
      </c>
      <c r="H688" s="52" t="s">
        <v>98</v>
      </c>
      <c r="I688" s="52">
        <v>1081.0000000000002</v>
      </c>
      <c r="J688" s="49">
        <v>45785.06</v>
      </c>
      <c r="K688" s="58">
        <v>0</v>
      </c>
      <c r="L688" s="58">
        <v>0</v>
      </c>
      <c r="M688" s="58">
        <v>0</v>
      </c>
      <c r="N688" s="58">
        <v>0</v>
      </c>
      <c r="O688" s="65">
        <v>0</v>
      </c>
      <c r="P688" s="65">
        <v>0</v>
      </c>
      <c r="Q688" s="50">
        <v>45785.06</v>
      </c>
      <c r="R688" s="65">
        <v>0</v>
      </c>
      <c r="S688" s="65">
        <v>0</v>
      </c>
      <c r="T688" s="65">
        <v>0</v>
      </c>
      <c r="U688" s="65">
        <v>0</v>
      </c>
      <c r="V688" s="65">
        <v>0</v>
      </c>
      <c r="W688" s="65">
        <v>0</v>
      </c>
      <c r="X688" s="65">
        <v>0</v>
      </c>
      <c r="Y688" s="65">
        <v>0</v>
      </c>
      <c r="Z688" s="65">
        <v>45785.06</v>
      </c>
      <c r="AA688" s="51">
        <v>0</v>
      </c>
      <c r="AB688" s="102">
        <v>0</v>
      </c>
      <c r="AC688" s="81">
        <f t="shared" si="33"/>
        <v>0</v>
      </c>
      <c r="AD688" s="82">
        <f t="shared" si="34"/>
        <v>0</v>
      </c>
      <c r="AE688" s="218">
        <v>0</v>
      </c>
      <c r="AF688">
        <v>0</v>
      </c>
      <c r="AH688" t="str">
        <f t="shared" si="32"/>
        <v>Kalyanpur</v>
      </c>
      <c r="AJ688" s="72">
        <v>0</v>
      </c>
      <c r="AK688" s="72"/>
      <c r="AL688" s="72"/>
      <c r="AM688" s="72"/>
    </row>
    <row r="689" spans="1:39" x14ac:dyDescent="0.25">
      <c r="A689" s="37" t="s">
        <v>62</v>
      </c>
      <c r="B689" s="66" t="s">
        <v>1596</v>
      </c>
      <c r="C689" s="41">
        <v>1053</v>
      </c>
      <c r="D689" s="41" t="s">
        <v>527</v>
      </c>
      <c r="E689" s="41">
        <v>10530062</v>
      </c>
      <c r="F689" s="85" t="s">
        <v>661</v>
      </c>
      <c r="G689" s="39" t="s">
        <v>92</v>
      </c>
      <c r="H689" s="52" t="s">
        <v>93</v>
      </c>
      <c r="I689" s="52">
        <v>1058.5999999999999</v>
      </c>
      <c r="J689" s="49">
        <v>44919.31</v>
      </c>
      <c r="K689" s="58">
        <v>1054.98</v>
      </c>
      <c r="L689" s="58">
        <v>44374.820000000007</v>
      </c>
      <c r="M689" s="58">
        <v>5.83</v>
      </c>
      <c r="N689" s="58">
        <v>294.5</v>
      </c>
      <c r="O689" s="65">
        <v>1060.81</v>
      </c>
      <c r="P689" s="65">
        <v>44669.320000000007</v>
      </c>
      <c r="Q689" s="50">
        <v>44669.320000000007</v>
      </c>
      <c r="R689" s="65">
        <v>0</v>
      </c>
      <c r="S689" s="65">
        <v>294.5</v>
      </c>
      <c r="T689" s="65">
        <v>0</v>
      </c>
      <c r="U689" s="65">
        <v>0</v>
      </c>
      <c r="V689" s="65">
        <v>0</v>
      </c>
      <c r="W689" s="65">
        <v>0</v>
      </c>
      <c r="X689" s="65">
        <v>44375</v>
      </c>
      <c r="Y689" s="65">
        <v>0</v>
      </c>
      <c r="Z689" s="65">
        <v>0</v>
      </c>
      <c r="AA689" s="51">
        <v>250</v>
      </c>
      <c r="AB689" s="102">
        <v>0</v>
      </c>
      <c r="AC689" s="81">
        <f t="shared" si="33"/>
        <v>0</v>
      </c>
      <c r="AD689" s="82">
        <f t="shared" si="34"/>
        <v>0</v>
      </c>
      <c r="AE689" s="218">
        <v>5.5653125571160974E-3</v>
      </c>
      <c r="AF689">
        <v>10</v>
      </c>
      <c r="AH689" t="str">
        <f t="shared" si="32"/>
        <v>Kalyanpur</v>
      </c>
      <c r="AJ689" s="72">
        <v>0</v>
      </c>
      <c r="AK689" s="72"/>
      <c r="AL689" s="72"/>
      <c r="AM689" s="72"/>
    </row>
    <row r="690" spans="1:39" x14ac:dyDescent="0.25">
      <c r="A690" s="37" t="s">
        <v>62</v>
      </c>
      <c r="B690" s="66" t="s">
        <v>1596</v>
      </c>
      <c r="C690" s="41">
        <v>1053</v>
      </c>
      <c r="D690" s="41" t="s">
        <v>527</v>
      </c>
      <c r="E690" s="41">
        <v>10530063</v>
      </c>
      <c r="F690" s="85" t="s">
        <v>662</v>
      </c>
      <c r="G690" s="39" t="s">
        <v>617</v>
      </c>
      <c r="H690" s="52" t="s">
        <v>98</v>
      </c>
      <c r="I690" s="52">
        <v>644.20000000000005</v>
      </c>
      <c r="J690" s="49">
        <v>30619.01</v>
      </c>
      <c r="K690" s="58">
        <v>0</v>
      </c>
      <c r="L690" s="58">
        <v>0</v>
      </c>
      <c r="M690" s="58">
        <v>0</v>
      </c>
      <c r="N690" s="58">
        <v>0</v>
      </c>
      <c r="O690" s="65">
        <v>0</v>
      </c>
      <c r="P690" s="65">
        <v>0</v>
      </c>
      <c r="Q690" s="50">
        <v>30619.01</v>
      </c>
      <c r="R690" s="65">
        <v>0</v>
      </c>
      <c r="S690" s="65">
        <v>0</v>
      </c>
      <c r="T690" s="65">
        <v>0</v>
      </c>
      <c r="U690" s="65">
        <v>3100</v>
      </c>
      <c r="V690" s="65">
        <v>0</v>
      </c>
      <c r="W690" s="65">
        <v>0</v>
      </c>
      <c r="X690" s="65">
        <v>0</v>
      </c>
      <c r="Y690" s="65">
        <v>0</v>
      </c>
      <c r="Z690" s="65">
        <v>27519.01</v>
      </c>
      <c r="AA690" s="51">
        <v>0</v>
      </c>
      <c r="AB690" s="102">
        <v>0</v>
      </c>
      <c r="AC690" s="81">
        <f t="shared" si="33"/>
        <v>53.043798758149563</v>
      </c>
      <c r="AD690" s="82">
        <f t="shared" si="34"/>
        <v>92.028571428571439</v>
      </c>
      <c r="AE690" s="218">
        <v>0</v>
      </c>
      <c r="AF690">
        <v>0</v>
      </c>
      <c r="AH690" t="str">
        <f t="shared" si="32"/>
        <v>Kalyanpur</v>
      </c>
      <c r="AJ690" s="72">
        <v>0</v>
      </c>
      <c r="AK690" s="72"/>
      <c r="AL690" s="72"/>
      <c r="AM690" s="72"/>
    </row>
    <row r="691" spans="1:39" x14ac:dyDescent="0.25">
      <c r="A691" s="37" t="s">
        <v>62</v>
      </c>
      <c r="B691" s="66" t="s">
        <v>1596</v>
      </c>
      <c r="C691" s="41">
        <v>1053</v>
      </c>
      <c r="D691" s="41" t="s">
        <v>527</v>
      </c>
      <c r="E691" s="41">
        <v>10530064</v>
      </c>
      <c r="F691" s="85" t="s">
        <v>809</v>
      </c>
      <c r="G691" s="39" t="s">
        <v>92</v>
      </c>
      <c r="H691" s="52" t="s">
        <v>93</v>
      </c>
      <c r="I691" s="52">
        <v>1157.2999999999997</v>
      </c>
      <c r="J691" s="49">
        <v>50625.80000000001</v>
      </c>
      <c r="K691" s="58">
        <v>1157.19</v>
      </c>
      <c r="L691" s="58">
        <v>49880.420000000013</v>
      </c>
      <c r="M691" s="58">
        <v>17.05</v>
      </c>
      <c r="N691" s="58">
        <v>739.09</v>
      </c>
      <c r="O691" s="65">
        <v>1174.24</v>
      </c>
      <c r="P691" s="65">
        <v>50619.510000000009</v>
      </c>
      <c r="Q691" s="50">
        <v>50619.510000000009</v>
      </c>
      <c r="R691" s="65">
        <v>0</v>
      </c>
      <c r="S691" s="65">
        <v>739.09</v>
      </c>
      <c r="T691" s="65">
        <v>0</v>
      </c>
      <c r="U691" s="65">
        <v>5816</v>
      </c>
      <c r="V691" s="65">
        <v>0</v>
      </c>
      <c r="W691" s="65">
        <v>0</v>
      </c>
      <c r="X691" s="65">
        <v>44065</v>
      </c>
      <c r="Y691" s="65">
        <v>0</v>
      </c>
      <c r="Z691" s="65">
        <v>0</v>
      </c>
      <c r="AA691" s="51">
        <v>6</v>
      </c>
      <c r="AB691" s="102">
        <v>0</v>
      </c>
      <c r="AC691" s="81">
        <f t="shared" si="33"/>
        <v>0</v>
      </c>
      <c r="AD691" s="82">
        <f t="shared" si="34"/>
        <v>0</v>
      </c>
      <c r="AE691" s="218">
        <v>1.2424495020327327E-4</v>
      </c>
      <c r="AF691">
        <v>34</v>
      </c>
      <c r="AH691" t="str">
        <f t="shared" si="32"/>
        <v>Kalyanpur</v>
      </c>
      <c r="AJ691" s="72">
        <v>0</v>
      </c>
      <c r="AK691" s="72"/>
      <c r="AL691" s="72"/>
      <c r="AM691" s="72"/>
    </row>
    <row r="692" spans="1:39" x14ac:dyDescent="0.25">
      <c r="A692" s="37" t="s">
        <v>62</v>
      </c>
      <c r="B692" s="66" t="s">
        <v>1596</v>
      </c>
      <c r="C692" s="41">
        <v>1053</v>
      </c>
      <c r="D692" s="41" t="s">
        <v>527</v>
      </c>
      <c r="E692" s="41">
        <v>10530065</v>
      </c>
      <c r="F692" s="85" t="s">
        <v>811</v>
      </c>
      <c r="G692" s="39" t="s">
        <v>92</v>
      </c>
      <c r="H692" s="52" t="s">
        <v>93</v>
      </c>
      <c r="I692" s="52">
        <v>1052.8499999999999</v>
      </c>
      <c r="J692" s="49">
        <v>41416.290000000008</v>
      </c>
      <c r="K692" s="58">
        <v>1046.9299999999998</v>
      </c>
      <c r="L692" s="58">
        <v>40783.360000000001</v>
      </c>
      <c r="M692" s="58">
        <v>10.87</v>
      </c>
      <c r="N692" s="58">
        <v>446.71999999999997</v>
      </c>
      <c r="O692" s="65">
        <v>1057.7999999999997</v>
      </c>
      <c r="P692" s="65">
        <v>41230.080000000002</v>
      </c>
      <c r="Q692" s="50">
        <v>41230.080000000002</v>
      </c>
      <c r="R692" s="65">
        <v>0</v>
      </c>
      <c r="S692" s="65">
        <v>446.71999999999997</v>
      </c>
      <c r="T692" s="65">
        <v>0</v>
      </c>
      <c r="U692" s="65">
        <v>9184</v>
      </c>
      <c r="V692" s="65">
        <v>0</v>
      </c>
      <c r="W692" s="65">
        <v>0</v>
      </c>
      <c r="X692" s="65">
        <v>31599</v>
      </c>
      <c r="Y692" s="65">
        <v>0</v>
      </c>
      <c r="Z692" s="65">
        <v>0</v>
      </c>
      <c r="AA692" s="51">
        <v>187</v>
      </c>
      <c r="AB692" s="102" t="s">
        <v>66</v>
      </c>
      <c r="AC692" s="81">
        <f t="shared" si="33"/>
        <v>0</v>
      </c>
      <c r="AD692" s="82">
        <f t="shared" si="34"/>
        <v>0</v>
      </c>
      <c r="AE692" s="218">
        <v>4.4960569862729461E-3</v>
      </c>
      <c r="AF692">
        <v>9</v>
      </c>
      <c r="AH692" t="str">
        <f t="shared" si="32"/>
        <v>Kalyanpur</v>
      </c>
      <c r="AJ692" s="72">
        <v>0</v>
      </c>
      <c r="AK692" s="72"/>
      <c r="AL692" s="72"/>
      <c r="AM692" s="72"/>
    </row>
    <row r="693" spans="1:39" x14ac:dyDescent="0.25">
      <c r="A693" s="37" t="s">
        <v>62</v>
      </c>
      <c r="B693" s="66" t="s">
        <v>1596</v>
      </c>
      <c r="C693" s="41">
        <v>1053</v>
      </c>
      <c r="D693" s="41" t="s">
        <v>527</v>
      </c>
      <c r="E693" s="41">
        <v>10530067</v>
      </c>
      <c r="F693" s="85" t="s">
        <v>818</v>
      </c>
      <c r="G693" s="39" t="s">
        <v>92</v>
      </c>
      <c r="H693" s="52" t="s">
        <v>93</v>
      </c>
      <c r="I693" s="52">
        <v>534.15000000000009</v>
      </c>
      <c r="J693" s="49">
        <v>23644.539999999997</v>
      </c>
      <c r="K693" s="58">
        <v>551.53</v>
      </c>
      <c r="L693" s="58">
        <v>23403.52</v>
      </c>
      <c r="M693" s="58">
        <v>5.43</v>
      </c>
      <c r="N693" s="58">
        <v>232.97999999999996</v>
      </c>
      <c r="O693" s="65">
        <v>556.95999999999992</v>
      </c>
      <c r="P693" s="65">
        <v>23636.5</v>
      </c>
      <c r="Q693" s="50">
        <v>23636.5</v>
      </c>
      <c r="R693" s="65">
        <v>0</v>
      </c>
      <c r="S693" s="65">
        <v>232.97999999999996</v>
      </c>
      <c r="T693" s="65">
        <v>0</v>
      </c>
      <c r="U693" s="65">
        <v>0</v>
      </c>
      <c r="V693" s="65">
        <v>0</v>
      </c>
      <c r="W693" s="65">
        <v>0</v>
      </c>
      <c r="X693" s="65">
        <v>23402</v>
      </c>
      <c r="Y693" s="65">
        <v>0</v>
      </c>
      <c r="Z693" s="65">
        <v>0</v>
      </c>
      <c r="AA693" s="51">
        <v>10</v>
      </c>
      <c r="AB693" s="102">
        <v>0</v>
      </c>
      <c r="AC693" s="81">
        <f t="shared" si="33"/>
        <v>146.82942840026203</v>
      </c>
      <c r="AD693" s="82">
        <f t="shared" si="34"/>
        <v>76.307142857142864</v>
      </c>
      <c r="AE693" s="218">
        <v>3.4003621977831821E-4</v>
      </c>
      <c r="AF693">
        <v>19</v>
      </c>
      <c r="AH693" t="str">
        <f t="shared" si="32"/>
        <v>Kalyanpur</v>
      </c>
      <c r="AJ693" s="72">
        <v>0</v>
      </c>
      <c r="AK693" s="72"/>
      <c r="AL693" s="72"/>
      <c r="AM693" s="72"/>
    </row>
    <row r="694" spans="1:39" x14ac:dyDescent="0.25">
      <c r="A694" s="37" t="s">
        <v>62</v>
      </c>
      <c r="B694" s="66" t="s">
        <v>1596</v>
      </c>
      <c r="C694" s="41">
        <v>1066</v>
      </c>
      <c r="D694" s="41" t="s">
        <v>1501</v>
      </c>
      <c r="E694" s="41">
        <v>10530069</v>
      </c>
      <c r="F694" s="85" t="s">
        <v>1603</v>
      </c>
      <c r="G694" s="39" t="s">
        <v>617</v>
      </c>
      <c r="H694" s="52" t="s">
        <v>98</v>
      </c>
      <c r="I694" s="52">
        <v>265.14999999999998</v>
      </c>
      <c r="J694" s="49">
        <v>11147.16</v>
      </c>
      <c r="K694" s="58">
        <v>0</v>
      </c>
      <c r="L694" s="58">
        <v>0</v>
      </c>
      <c r="M694" s="58">
        <v>0</v>
      </c>
      <c r="N694" s="58">
        <v>0</v>
      </c>
      <c r="O694" s="65">
        <v>0</v>
      </c>
      <c r="P694" s="65">
        <v>0</v>
      </c>
      <c r="Q694" s="50">
        <v>11147.16</v>
      </c>
      <c r="R694" s="65">
        <v>0</v>
      </c>
      <c r="S694" s="65">
        <v>0</v>
      </c>
      <c r="T694" s="65">
        <v>0</v>
      </c>
      <c r="U694" s="65">
        <v>0</v>
      </c>
      <c r="V694" s="65">
        <v>0</v>
      </c>
      <c r="W694" s="65">
        <v>0</v>
      </c>
      <c r="X694" s="65">
        <v>0</v>
      </c>
      <c r="Y694" s="65">
        <v>0</v>
      </c>
      <c r="Z694" s="65">
        <v>11147.16</v>
      </c>
      <c r="AA694" s="51">
        <v>0</v>
      </c>
      <c r="AB694" s="102">
        <v>0</v>
      </c>
      <c r="AC694" s="81">
        <f t="shared" si="33"/>
        <v>365.63021127663592</v>
      </c>
      <c r="AD694" s="82">
        <f t="shared" si="34"/>
        <v>37.878571428571426</v>
      </c>
      <c r="AE694" s="218">
        <v>0</v>
      </c>
      <c r="AF694">
        <v>0</v>
      </c>
      <c r="AH694" t="str">
        <f t="shared" si="32"/>
        <v>Gaighat</v>
      </c>
      <c r="AJ694" s="72">
        <v>0</v>
      </c>
      <c r="AK694" s="72"/>
      <c r="AL694" s="72"/>
      <c r="AM694" s="72"/>
    </row>
    <row r="695" spans="1:39" x14ac:dyDescent="0.25">
      <c r="A695" s="37" t="s">
        <v>62</v>
      </c>
      <c r="B695" s="66" t="s">
        <v>1596</v>
      </c>
      <c r="C695" s="41">
        <v>1053</v>
      </c>
      <c r="D695" s="41" t="s">
        <v>527</v>
      </c>
      <c r="E695" s="41">
        <v>10530070</v>
      </c>
      <c r="F695" s="85" t="s">
        <v>828</v>
      </c>
      <c r="G695" s="39" t="s">
        <v>92</v>
      </c>
      <c r="H695" s="52" t="s">
        <v>93</v>
      </c>
      <c r="I695" s="52">
        <v>240.45000000000002</v>
      </c>
      <c r="J695" s="49">
        <v>12363.449999999995</v>
      </c>
      <c r="K695" s="58">
        <v>244.82000000000002</v>
      </c>
      <c r="L695" s="58">
        <v>12048.080000000002</v>
      </c>
      <c r="M695" s="58">
        <v>5.58</v>
      </c>
      <c r="N695" s="58">
        <v>312.7000000000001</v>
      </c>
      <c r="O695" s="65">
        <v>250.40000000000003</v>
      </c>
      <c r="P695" s="65">
        <v>12360.780000000002</v>
      </c>
      <c r="Q695" s="50">
        <v>12360.780000000002</v>
      </c>
      <c r="R695" s="65">
        <v>0</v>
      </c>
      <c r="S695" s="65">
        <v>312.7000000000001</v>
      </c>
      <c r="T695" s="65">
        <v>0</v>
      </c>
      <c r="U695" s="65">
        <v>0</v>
      </c>
      <c r="V695" s="65">
        <v>500</v>
      </c>
      <c r="W695" s="65">
        <v>0</v>
      </c>
      <c r="X695" s="65">
        <v>11547</v>
      </c>
      <c r="Y695" s="65">
        <v>0</v>
      </c>
      <c r="Z695" s="65">
        <v>0</v>
      </c>
      <c r="AA695" s="51">
        <v>4</v>
      </c>
      <c r="AB695" s="102">
        <v>0</v>
      </c>
      <c r="AC695" s="81">
        <f t="shared" si="33"/>
        <v>472.58252838427927</v>
      </c>
      <c r="AD695" s="82">
        <f t="shared" si="34"/>
        <v>34.35</v>
      </c>
      <c r="AE695" s="218">
        <v>2.1595913761877127E-4</v>
      </c>
      <c r="AF695">
        <v>13</v>
      </c>
      <c r="AH695" t="str">
        <f t="shared" si="32"/>
        <v>Kalyanpur</v>
      </c>
      <c r="AJ695" s="72">
        <v>500</v>
      </c>
      <c r="AK695" s="72"/>
      <c r="AL695" s="72"/>
      <c r="AM695" s="72"/>
    </row>
    <row r="696" spans="1:39" x14ac:dyDescent="0.25">
      <c r="A696" s="37" t="s">
        <v>62</v>
      </c>
      <c r="B696" s="66" t="s">
        <v>1596</v>
      </c>
      <c r="C696" s="41">
        <v>1053</v>
      </c>
      <c r="D696" s="41" t="s">
        <v>527</v>
      </c>
      <c r="E696" s="41">
        <v>10530071</v>
      </c>
      <c r="F696" s="85" t="s">
        <v>829</v>
      </c>
      <c r="G696" s="39" t="s">
        <v>92</v>
      </c>
      <c r="H696" s="52" t="s">
        <v>93</v>
      </c>
      <c r="I696" s="52">
        <v>378.64999999999981</v>
      </c>
      <c r="J696" s="49">
        <v>17774.439999999995</v>
      </c>
      <c r="K696" s="58">
        <v>375.43</v>
      </c>
      <c r="L696" s="58">
        <v>17771.079999999998</v>
      </c>
      <c r="M696" s="58">
        <v>0</v>
      </c>
      <c r="N696" s="58">
        <v>0</v>
      </c>
      <c r="O696" s="65">
        <v>375.43</v>
      </c>
      <c r="P696" s="65">
        <v>17771.079999999998</v>
      </c>
      <c r="Q696" s="50">
        <v>17771.079999999998</v>
      </c>
      <c r="R696" s="65">
        <v>0</v>
      </c>
      <c r="S696" s="65">
        <v>0</v>
      </c>
      <c r="T696" s="65">
        <v>0</v>
      </c>
      <c r="U696" s="65">
        <v>0</v>
      </c>
      <c r="V696" s="65">
        <v>0</v>
      </c>
      <c r="W696" s="65">
        <v>0</v>
      </c>
      <c r="X696" s="65">
        <v>17771</v>
      </c>
      <c r="Y696" s="65">
        <v>0</v>
      </c>
      <c r="Z696" s="65">
        <v>0</v>
      </c>
      <c r="AA696" s="51">
        <v>3</v>
      </c>
      <c r="AB696" s="102">
        <v>0</v>
      </c>
      <c r="AC696" s="81">
        <f t="shared" si="33"/>
        <v>301.6937168361286</v>
      </c>
      <c r="AD696" s="82">
        <f t="shared" si="34"/>
        <v>54.092857142857113</v>
      </c>
      <c r="AE696" s="218">
        <v>1.89035491413341E-4</v>
      </c>
      <c r="AF696">
        <v>11</v>
      </c>
      <c r="AH696" t="str">
        <f t="shared" si="32"/>
        <v>Kalyanpur</v>
      </c>
      <c r="AJ696" s="72">
        <v>0</v>
      </c>
      <c r="AK696" s="72"/>
      <c r="AL696" s="72"/>
      <c r="AM696" s="72"/>
    </row>
    <row r="697" spans="1:39" x14ac:dyDescent="0.25">
      <c r="A697" s="37" t="s">
        <v>62</v>
      </c>
      <c r="B697" s="66" t="s">
        <v>1596</v>
      </c>
      <c r="C697" s="41">
        <v>1053</v>
      </c>
      <c r="D697" s="41" t="s">
        <v>527</v>
      </c>
      <c r="E697" s="41">
        <v>10530072</v>
      </c>
      <c r="F697" s="85" t="s">
        <v>819</v>
      </c>
      <c r="G697" s="39" t="s">
        <v>617</v>
      </c>
      <c r="H697" s="52" t="s">
        <v>98</v>
      </c>
      <c r="I697" s="52">
        <v>476.4</v>
      </c>
      <c r="J697" s="49">
        <v>28647.61</v>
      </c>
      <c r="K697" s="58">
        <v>0</v>
      </c>
      <c r="L697" s="58">
        <v>0</v>
      </c>
      <c r="M697" s="58">
        <v>0</v>
      </c>
      <c r="N697" s="58">
        <v>0</v>
      </c>
      <c r="O697" s="65">
        <v>0</v>
      </c>
      <c r="P697" s="65">
        <v>0</v>
      </c>
      <c r="Q697" s="50">
        <v>28647.61</v>
      </c>
      <c r="R697" s="65">
        <v>0</v>
      </c>
      <c r="S697" s="65">
        <v>0</v>
      </c>
      <c r="T697" s="65">
        <v>0</v>
      </c>
      <c r="U697" s="65">
        <v>0</v>
      </c>
      <c r="V697" s="65">
        <v>0</v>
      </c>
      <c r="W697" s="65">
        <v>0</v>
      </c>
      <c r="X697" s="65">
        <v>0</v>
      </c>
      <c r="Y697" s="65">
        <v>0</v>
      </c>
      <c r="Z697" s="65">
        <v>28647.61</v>
      </c>
      <c r="AA697" s="51">
        <v>0</v>
      </c>
      <c r="AB697" s="102">
        <v>0</v>
      </c>
      <c r="AC697" s="81">
        <f t="shared" si="33"/>
        <v>268.91711150293878</v>
      </c>
      <c r="AD697" s="82">
        <f t="shared" si="34"/>
        <v>68.05714285714285</v>
      </c>
      <c r="AE697" s="218">
        <v>0</v>
      </c>
      <c r="AF697">
        <v>0</v>
      </c>
      <c r="AH697" t="str">
        <f t="shared" si="32"/>
        <v>Kalyanpur</v>
      </c>
      <c r="AJ697" s="72">
        <v>0</v>
      </c>
      <c r="AK697" s="72"/>
      <c r="AL697" s="72"/>
      <c r="AM697" s="72"/>
    </row>
    <row r="698" spans="1:39" x14ac:dyDescent="0.25">
      <c r="A698" s="37" t="s">
        <v>62</v>
      </c>
      <c r="B698" s="66" t="s">
        <v>1596</v>
      </c>
      <c r="C698" s="41">
        <v>1053</v>
      </c>
      <c r="D698" s="41" t="s">
        <v>527</v>
      </c>
      <c r="E698" s="41">
        <v>10530074</v>
      </c>
      <c r="F698" s="85" t="s">
        <v>1100</v>
      </c>
      <c r="G698" s="39" t="s">
        <v>92</v>
      </c>
      <c r="H698" s="52" t="s">
        <v>93</v>
      </c>
      <c r="I698" s="52">
        <v>740.6</v>
      </c>
      <c r="J698" s="49">
        <v>31580.120000000003</v>
      </c>
      <c r="K698" s="58">
        <v>727.69</v>
      </c>
      <c r="L698" s="58">
        <v>30968.549999999996</v>
      </c>
      <c r="M698" s="58">
        <v>14.28</v>
      </c>
      <c r="N698" s="58">
        <v>591.39</v>
      </c>
      <c r="O698" s="65">
        <v>741.97</v>
      </c>
      <c r="P698" s="65">
        <v>31559.939999999995</v>
      </c>
      <c r="Q698" s="50">
        <v>31559.939999999995</v>
      </c>
      <c r="R698" s="65">
        <v>0</v>
      </c>
      <c r="S698" s="65">
        <v>591.39</v>
      </c>
      <c r="T698" s="65">
        <v>0</v>
      </c>
      <c r="U698" s="65">
        <v>750</v>
      </c>
      <c r="V698" s="65">
        <v>0</v>
      </c>
      <c r="W698" s="65">
        <v>0</v>
      </c>
      <c r="X698" s="65">
        <v>30217</v>
      </c>
      <c r="Y698" s="65">
        <v>0</v>
      </c>
      <c r="Z698" s="65">
        <v>0</v>
      </c>
      <c r="AA698" s="51">
        <v>22</v>
      </c>
      <c r="AB698" s="102">
        <v>0</v>
      </c>
      <c r="AC698" s="81">
        <f t="shared" si="33"/>
        <v>0</v>
      </c>
      <c r="AD698" s="82">
        <f t="shared" si="34"/>
        <v>0</v>
      </c>
      <c r="AE698" s="218">
        <v>6.3900960477691557E-4</v>
      </c>
      <c r="AF698">
        <v>24</v>
      </c>
      <c r="AH698" t="str">
        <f t="shared" ref="AH698:AH760" si="35">TEXT(D698,"0000")</f>
        <v>Kalyanpur</v>
      </c>
      <c r="AJ698" s="72">
        <v>0</v>
      </c>
      <c r="AK698" s="72"/>
      <c r="AL698" s="72"/>
      <c r="AM698" s="72"/>
    </row>
    <row r="699" spans="1:39" x14ac:dyDescent="0.25">
      <c r="A699" s="37" t="s">
        <v>62</v>
      </c>
      <c r="B699" s="66" t="s">
        <v>1596</v>
      </c>
      <c r="C699" s="41">
        <v>1053</v>
      </c>
      <c r="D699" s="41" t="s">
        <v>527</v>
      </c>
      <c r="E699" s="41">
        <v>10530075</v>
      </c>
      <c r="F699" s="85" t="s">
        <v>820</v>
      </c>
      <c r="G699" s="39" t="s">
        <v>617</v>
      </c>
      <c r="H699" s="52" t="s">
        <v>98</v>
      </c>
      <c r="I699" s="52">
        <v>36.1</v>
      </c>
      <c r="J699" s="49">
        <v>1605.73</v>
      </c>
      <c r="K699" s="58">
        <v>0</v>
      </c>
      <c r="L699" s="58">
        <v>0</v>
      </c>
      <c r="M699" s="58">
        <v>0</v>
      </c>
      <c r="N699" s="58">
        <v>0</v>
      </c>
      <c r="O699" s="65">
        <v>0</v>
      </c>
      <c r="P699" s="65">
        <v>0</v>
      </c>
      <c r="Q699" s="50">
        <v>1605.73</v>
      </c>
      <c r="R699" s="65">
        <v>0</v>
      </c>
      <c r="S699" s="65">
        <v>0</v>
      </c>
      <c r="T699" s="65">
        <v>0</v>
      </c>
      <c r="U699" s="65">
        <v>0</v>
      </c>
      <c r="V699" s="65">
        <v>0</v>
      </c>
      <c r="W699" s="65">
        <v>0</v>
      </c>
      <c r="X699" s="65">
        <v>0</v>
      </c>
      <c r="Y699" s="65">
        <v>0</v>
      </c>
      <c r="Z699" s="65">
        <v>1605.73</v>
      </c>
      <c r="AA699" s="51">
        <v>0</v>
      </c>
      <c r="AB699" s="102">
        <v>0</v>
      </c>
      <c r="AC699" s="81">
        <f t="shared" si="33"/>
        <v>590.60617562326865</v>
      </c>
      <c r="AD699" s="82">
        <f t="shared" si="34"/>
        <v>5.1571428571428575</v>
      </c>
      <c r="AE699" s="218">
        <v>0</v>
      </c>
      <c r="AF699">
        <v>0</v>
      </c>
      <c r="AH699" t="str">
        <f t="shared" si="35"/>
        <v>Kalyanpur</v>
      </c>
      <c r="AJ699" s="72">
        <v>0</v>
      </c>
      <c r="AK699" s="72"/>
      <c r="AL699" s="72"/>
      <c r="AM699" s="72"/>
    </row>
    <row r="700" spans="1:39" x14ac:dyDescent="0.25">
      <c r="A700" s="37" t="s">
        <v>62</v>
      </c>
      <c r="B700" s="66" t="s">
        <v>1596</v>
      </c>
      <c r="C700" s="41">
        <v>1053</v>
      </c>
      <c r="D700" s="41" t="s">
        <v>527</v>
      </c>
      <c r="E700" s="41">
        <v>10530076</v>
      </c>
      <c r="F700" s="85" t="s">
        <v>1136</v>
      </c>
      <c r="G700" s="39" t="s">
        <v>92</v>
      </c>
      <c r="H700" s="52" t="s">
        <v>93</v>
      </c>
      <c r="I700" s="52">
        <v>2037.9</v>
      </c>
      <c r="J700" s="49">
        <v>97853.37000000001</v>
      </c>
      <c r="K700" s="58">
        <v>2060.6099999999997</v>
      </c>
      <c r="L700" s="58">
        <v>96627.6</v>
      </c>
      <c r="M700" s="58">
        <v>26.25</v>
      </c>
      <c r="N700" s="58">
        <v>1206.4399999999998</v>
      </c>
      <c r="O700" s="65">
        <v>2086.8599999999997</v>
      </c>
      <c r="P700" s="65">
        <v>97834.040000000008</v>
      </c>
      <c r="Q700" s="50">
        <v>97834.040000000008</v>
      </c>
      <c r="R700" s="65">
        <v>0</v>
      </c>
      <c r="S700" s="65">
        <v>1206.4399999999998</v>
      </c>
      <c r="T700" s="65">
        <v>0</v>
      </c>
      <c r="U700" s="65">
        <v>245</v>
      </c>
      <c r="V700" s="65">
        <v>0</v>
      </c>
      <c r="W700" s="65">
        <v>0</v>
      </c>
      <c r="X700" s="65">
        <v>96381</v>
      </c>
      <c r="Y700" s="65">
        <v>0</v>
      </c>
      <c r="Z700" s="65">
        <v>0</v>
      </c>
      <c r="AA700" s="51">
        <v>21</v>
      </c>
      <c r="AB700" s="102">
        <v>0</v>
      </c>
      <c r="AC700" s="81">
        <f t="shared" si="33"/>
        <v>0</v>
      </c>
      <c r="AD700" s="82">
        <f t="shared" si="34"/>
        <v>0</v>
      </c>
      <c r="AE700" s="218">
        <v>1.9754046283742446E-4</v>
      </c>
      <c r="AF700">
        <v>46</v>
      </c>
      <c r="AH700" t="str">
        <f t="shared" si="35"/>
        <v>Kalyanpur</v>
      </c>
      <c r="AJ700" s="72">
        <v>0</v>
      </c>
      <c r="AK700" s="72"/>
      <c r="AL700" s="72"/>
      <c r="AM700" s="72"/>
    </row>
    <row r="701" spans="1:39" x14ac:dyDescent="0.25">
      <c r="A701" s="37" t="s">
        <v>62</v>
      </c>
      <c r="B701" s="66" t="s">
        <v>1596</v>
      </c>
      <c r="C701" s="41">
        <v>1053</v>
      </c>
      <c r="D701" s="41" t="s">
        <v>527</v>
      </c>
      <c r="E701" s="41">
        <v>10530077</v>
      </c>
      <c r="F701" s="85" t="s">
        <v>1266</v>
      </c>
      <c r="G701" s="39" t="s">
        <v>617</v>
      </c>
      <c r="H701" s="52" t="s">
        <v>98</v>
      </c>
      <c r="I701" s="52">
        <v>572.70000000000005</v>
      </c>
      <c r="J701" s="49">
        <v>23373.74</v>
      </c>
      <c r="K701" s="58">
        <v>0</v>
      </c>
      <c r="L701" s="58">
        <v>0</v>
      </c>
      <c r="M701" s="58">
        <v>0</v>
      </c>
      <c r="N701" s="58">
        <v>0</v>
      </c>
      <c r="O701" s="65">
        <v>0</v>
      </c>
      <c r="P701" s="65">
        <v>0</v>
      </c>
      <c r="Q701" s="50">
        <v>23373.74</v>
      </c>
      <c r="R701" s="65">
        <v>0</v>
      </c>
      <c r="S701" s="65">
        <v>0</v>
      </c>
      <c r="T701" s="65">
        <v>0</v>
      </c>
      <c r="U701" s="65">
        <v>0</v>
      </c>
      <c r="V701" s="65">
        <v>0</v>
      </c>
      <c r="W701" s="65">
        <v>0</v>
      </c>
      <c r="X701" s="65">
        <v>0</v>
      </c>
      <c r="Y701" s="65">
        <v>0</v>
      </c>
      <c r="Z701" s="65">
        <v>23373.74</v>
      </c>
      <c r="AA701" s="51">
        <v>0</v>
      </c>
      <c r="AB701" s="102">
        <v>0</v>
      </c>
      <c r="AC701" s="81">
        <f t="shared" si="33"/>
        <v>103.91049771258947</v>
      </c>
      <c r="AD701" s="82">
        <f t="shared" si="34"/>
        <v>81.814285714285717</v>
      </c>
      <c r="AE701" s="218">
        <v>0</v>
      </c>
      <c r="AF701">
        <v>0</v>
      </c>
      <c r="AH701" t="str">
        <f t="shared" si="35"/>
        <v>Kalyanpur</v>
      </c>
      <c r="AJ701" s="72">
        <v>0</v>
      </c>
      <c r="AK701" s="72"/>
      <c r="AL701" s="72"/>
      <c r="AM701" s="72"/>
    </row>
    <row r="702" spans="1:39" x14ac:dyDescent="0.25">
      <c r="A702" s="37" t="s">
        <v>62</v>
      </c>
      <c r="B702" s="66" t="s">
        <v>1596</v>
      </c>
      <c r="C702" s="41">
        <v>1053</v>
      </c>
      <c r="D702" s="41" t="s">
        <v>527</v>
      </c>
      <c r="E702" s="41">
        <v>10530078</v>
      </c>
      <c r="F702" s="85" t="s">
        <v>1164</v>
      </c>
      <c r="G702" s="39" t="s">
        <v>92</v>
      </c>
      <c r="H702" s="52" t="s">
        <v>93</v>
      </c>
      <c r="I702" s="52">
        <v>675.69999999999993</v>
      </c>
      <c r="J702" s="49">
        <v>28915.43</v>
      </c>
      <c r="K702" s="58">
        <v>668.41</v>
      </c>
      <c r="L702" s="58">
        <v>27475.530000000002</v>
      </c>
      <c r="M702" s="58">
        <v>32.01</v>
      </c>
      <c r="N702" s="58">
        <v>1424.04</v>
      </c>
      <c r="O702" s="65">
        <v>700.42</v>
      </c>
      <c r="P702" s="65">
        <v>28899.570000000003</v>
      </c>
      <c r="Q702" s="50">
        <v>28899.570000000003</v>
      </c>
      <c r="R702" s="65">
        <v>0</v>
      </c>
      <c r="S702" s="65">
        <v>1424.04</v>
      </c>
      <c r="T702" s="65">
        <v>0</v>
      </c>
      <c r="U702" s="65">
        <v>0</v>
      </c>
      <c r="V702" s="65">
        <v>0</v>
      </c>
      <c r="W702" s="65">
        <v>0</v>
      </c>
      <c r="X702" s="65">
        <v>27477</v>
      </c>
      <c r="Y702" s="65">
        <v>0</v>
      </c>
      <c r="Z702" s="65">
        <v>0</v>
      </c>
      <c r="AA702" s="51">
        <v>14</v>
      </c>
      <c r="AB702" s="102">
        <v>0</v>
      </c>
      <c r="AC702" s="81">
        <f t="shared" si="33"/>
        <v>20.797541778895983</v>
      </c>
      <c r="AD702" s="82">
        <f t="shared" si="34"/>
        <v>96.528571428571425</v>
      </c>
      <c r="AE702" s="218">
        <v>5.4849607977460282E-4</v>
      </c>
      <c r="AF702">
        <v>14</v>
      </c>
      <c r="AH702" t="str">
        <f t="shared" si="35"/>
        <v>Kalyanpur</v>
      </c>
      <c r="AJ702" s="72">
        <v>0</v>
      </c>
      <c r="AK702" s="72"/>
      <c r="AL702" s="72"/>
      <c r="AM702" s="72"/>
    </row>
    <row r="703" spans="1:39" x14ac:dyDescent="0.25">
      <c r="A703" s="37" t="s">
        <v>62</v>
      </c>
      <c r="B703" s="66" t="s">
        <v>1596</v>
      </c>
      <c r="C703" s="41">
        <v>1053</v>
      </c>
      <c r="D703" s="41" t="s">
        <v>527</v>
      </c>
      <c r="E703" s="41">
        <v>10530079</v>
      </c>
      <c r="F703" s="85" t="s">
        <v>1155</v>
      </c>
      <c r="G703" s="39" t="s">
        <v>617</v>
      </c>
      <c r="H703" s="52" t="s">
        <v>98</v>
      </c>
      <c r="I703" s="52">
        <v>44.05</v>
      </c>
      <c r="J703" s="49">
        <v>2034.7199999999998</v>
      </c>
      <c r="K703" s="58">
        <v>0</v>
      </c>
      <c r="L703" s="58">
        <v>0</v>
      </c>
      <c r="M703" s="58">
        <v>0</v>
      </c>
      <c r="N703" s="58">
        <v>0</v>
      </c>
      <c r="O703" s="65">
        <v>0</v>
      </c>
      <c r="P703" s="65">
        <v>0</v>
      </c>
      <c r="Q703" s="50">
        <v>2034.7199999999998</v>
      </c>
      <c r="R703" s="65">
        <v>0</v>
      </c>
      <c r="S703" s="65">
        <v>0</v>
      </c>
      <c r="T703" s="65">
        <v>0</v>
      </c>
      <c r="U703" s="65">
        <v>0</v>
      </c>
      <c r="V703" s="65">
        <v>0</v>
      </c>
      <c r="W703" s="65">
        <v>0</v>
      </c>
      <c r="X703" s="65">
        <v>0</v>
      </c>
      <c r="Y703" s="65">
        <v>0</v>
      </c>
      <c r="Z703" s="65">
        <v>2034.7199999999998</v>
      </c>
      <c r="AA703" s="51">
        <v>0</v>
      </c>
      <c r="AB703" s="102">
        <v>0</v>
      </c>
      <c r="AC703" s="81">
        <f t="shared" si="33"/>
        <v>605.98164994324634</v>
      </c>
      <c r="AD703" s="82">
        <f t="shared" si="34"/>
        <v>6.2928571428571427</v>
      </c>
      <c r="AE703" s="218">
        <v>0</v>
      </c>
      <c r="AF703">
        <v>0</v>
      </c>
      <c r="AH703" t="str">
        <f t="shared" si="35"/>
        <v>Kalyanpur</v>
      </c>
      <c r="AJ703" s="72">
        <v>0</v>
      </c>
      <c r="AK703" s="72"/>
      <c r="AL703" s="72"/>
      <c r="AM703" s="72"/>
    </row>
    <row r="704" spans="1:39" x14ac:dyDescent="0.25">
      <c r="A704" s="37" t="s">
        <v>62</v>
      </c>
      <c r="B704" s="66" t="s">
        <v>1596</v>
      </c>
      <c r="C704" s="41">
        <v>1053</v>
      </c>
      <c r="D704" s="41" t="s">
        <v>527</v>
      </c>
      <c r="E704" s="41">
        <v>10530080</v>
      </c>
      <c r="F704" s="85" t="s">
        <v>1165</v>
      </c>
      <c r="G704" s="39" t="s">
        <v>617</v>
      </c>
      <c r="H704" s="52" t="s">
        <v>98</v>
      </c>
      <c r="I704" s="52">
        <v>124.79999999999998</v>
      </c>
      <c r="J704" s="49">
        <v>3960.4300000000003</v>
      </c>
      <c r="K704" s="58">
        <v>0</v>
      </c>
      <c r="L704" s="58">
        <v>0</v>
      </c>
      <c r="M704" s="58">
        <v>0</v>
      </c>
      <c r="N704" s="58">
        <v>0</v>
      </c>
      <c r="O704" s="65">
        <v>0</v>
      </c>
      <c r="P704" s="65">
        <v>0</v>
      </c>
      <c r="Q704" s="50">
        <v>3960.4300000000003</v>
      </c>
      <c r="R704" s="65">
        <v>0</v>
      </c>
      <c r="S704" s="65">
        <v>0</v>
      </c>
      <c r="T704" s="65">
        <v>0</v>
      </c>
      <c r="U704" s="65">
        <v>0</v>
      </c>
      <c r="V704" s="65">
        <v>0</v>
      </c>
      <c r="W704" s="65">
        <v>0</v>
      </c>
      <c r="X704" s="65">
        <v>0</v>
      </c>
      <c r="Y704" s="65">
        <v>0</v>
      </c>
      <c r="Z704" s="65">
        <v>3960.4300000000003</v>
      </c>
      <c r="AA704" s="51">
        <v>0</v>
      </c>
      <c r="AB704" s="102">
        <v>0</v>
      </c>
      <c r="AC704" s="81">
        <f t="shared" si="33"/>
        <v>365.07040641025645</v>
      </c>
      <c r="AD704" s="82">
        <f t="shared" si="34"/>
        <v>17.828571428571426</v>
      </c>
      <c r="AE704" s="218">
        <v>0</v>
      </c>
      <c r="AF704">
        <v>0</v>
      </c>
      <c r="AH704" t="str">
        <f t="shared" si="35"/>
        <v>Kalyanpur</v>
      </c>
      <c r="AJ704" s="72">
        <v>0</v>
      </c>
      <c r="AK704" s="72"/>
      <c r="AL704" s="72"/>
      <c r="AM704" s="72"/>
    </row>
    <row r="705" spans="1:39" x14ac:dyDescent="0.25">
      <c r="A705" s="37" t="s">
        <v>62</v>
      </c>
      <c r="B705" s="66" t="s">
        <v>1596</v>
      </c>
      <c r="C705" s="41">
        <v>1053</v>
      </c>
      <c r="D705" s="41" t="s">
        <v>527</v>
      </c>
      <c r="E705" s="41">
        <v>10530081</v>
      </c>
      <c r="F705" s="85" t="s">
        <v>1156</v>
      </c>
      <c r="G705" s="39" t="s">
        <v>92</v>
      </c>
      <c r="H705" s="52" t="s">
        <v>93</v>
      </c>
      <c r="I705" s="52">
        <v>1440.9</v>
      </c>
      <c r="J705" s="49">
        <v>65496.4</v>
      </c>
      <c r="K705" s="58">
        <v>1453.5899999999997</v>
      </c>
      <c r="L705" s="58">
        <v>64291.069999999992</v>
      </c>
      <c r="M705" s="58">
        <v>13.620000000000001</v>
      </c>
      <c r="N705" s="58">
        <v>684.40000000000009</v>
      </c>
      <c r="O705" s="65">
        <v>1467.2099999999996</v>
      </c>
      <c r="P705" s="65">
        <v>64975.469999999994</v>
      </c>
      <c r="Q705" s="50">
        <v>64975.469999999994</v>
      </c>
      <c r="R705" s="65">
        <v>0</v>
      </c>
      <c r="S705" s="65">
        <v>684.40000000000009</v>
      </c>
      <c r="T705" s="65">
        <v>0</v>
      </c>
      <c r="U705" s="65">
        <v>0</v>
      </c>
      <c r="V705" s="65">
        <v>0</v>
      </c>
      <c r="W705" s="65">
        <v>0</v>
      </c>
      <c r="X705" s="65">
        <v>64290</v>
      </c>
      <c r="Y705" s="65">
        <v>0</v>
      </c>
      <c r="Z705" s="65">
        <v>0</v>
      </c>
      <c r="AA705" s="51">
        <v>522</v>
      </c>
      <c r="AB705" s="102">
        <v>0</v>
      </c>
      <c r="AC705" s="81">
        <f t="shared" si="33"/>
        <v>0</v>
      </c>
      <c r="AD705" s="82">
        <f t="shared" si="34"/>
        <v>0</v>
      </c>
      <c r="AE705" s="218">
        <v>7.9535669136014744E-3</v>
      </c>
      <c r="AF705">
        <v>40</v>
      </c>
      <c r="AH705" t="str">
        <f t="shared" si="35"/>
        <v>Kalyanpur</v>
      </c>
      <c r="AJ705" s="72">
        <v>0</v>
      </c>
      <c r="AK705" s="72"/>
      <c r="AL705" s="72"/>
      <c r="AM705" s="72"/>
    </row>
    <row r="706" spans="1:39" x14ac:dyDescent="0.25">
      <c r="A706" s="37" t="s">
        <v>62</v>
      </c>
      <c r="B706" s="66" t="s">
        <v>1596</v>
      </c>
      <c r="C706" s="41">
        <v>1053</v>
      </c>
      <c r="D706" s="41" t="s">
        <v>527</v>
      </c>
      <c r="E706" s="41">
        <v>10530082</v>
      </c>
      <c r="F706" s="85" t="s">
        <v>1157</v>
      </c>
      <c r="G706" s="39" t="s">
        <v>92</v>
      </c>
      <c r="H706" s="52" t="s">
        <v>93</v>
      </c>
      <c r="I706" s="52">
        <v>1247.9000000000003</v>
      </c>
      <c r="J706" s="49">
        <v>53714.970000000016</v>
      </c>
      <c r="K706" s="58">
        <v>1265.0700000000002</v>
      </c>
      <c r="L706" s="58">
        <v>53162.439999999995</v>
      </c>
      <c r="M706" s="58">
        <v>13.24</v>
      </c>
      <c r="N706" s="58">
        <v>533.68000000000006</v>
      </c>
      <c r="O706" s="65">
        <v>1278.3100000000002</v>
      </c>
      <c r="P706" s="65">
        <v>53696.119999999995</v>
      </c>
      <c r="Q706" s="50">
        <v>53696.119999999995</v>
      </c>
      <c r="R706" s="65">
        <v>0</v>
      </c>
      <c r="S706" s="65">
        <v>533.68000000000006</v>
      </c>
      <c r="T706" s="65">
        <v>0</v>
      </c>
      <c r="U706" s="65">
        <v>1166</v>
      </c>
      <c r="V706" s="65">
        <v>0</v>
      </c>
      <c r="W706" s="65">
        <v>0</v>
      </c>
      <c r="X706" s="65">
        <v>51998</v>
      </c>
      <c r="Y706" s="65">
        <v>0</v>
      </c>
      <c r="Z706" s="65">
        <v>0</v>
      </c>
      <c r="AA706" s="51">
        <v>17</v>
      </c>
      <c r="AB706" s="102">
        <v>0</v>
      </c>
      <c r="AC706" s="81">
        <f t="shared" si="33"/>
        <v>0</v>
      </c>
      <c r="AD706" s="82">
        <f t="shared" si="34"/>
        <v>0</v>
      </c>
      <c r="AE706" s="218">
        <v>3.5092638048611711E-4</v>
      </c>
      <c r="AF706">
        <v>28</v>
      </c>
      <c r="AH706" t="str">
        <f t="shared" si="35"/>
        <v>Kalyanpur</v>
      </c>
      <c r="AJ706" s="72">
        <v>0</v>
      </c>
      <c r="AK706" s="72"/>
      <c r="AL706" s="72"/>
      <c r="AM706" s="72"/>
    </row>
    <row r="707" spans="1:39" x14ac:dyDescent="0.25">
      <c r="A707" s="37" t="s">
        <v>62</v>
      </c>
      <c r="B707" s="66" t="s">
        <v>1596</v>
      </c>
      <c r="C707" s="41">
        <v>1053</v>
      </c>
      <c r="D707" s="41" t="s">
        <v>527</v>
      </c>
      <c r="E707" s="41">
        <v>10530084</v>
      </c>
      <c r="F707" s="85" t="s">
        <v>1228</v>
      </c>
      <c r="G707" s="39" t="s">
        <v>92</v>
      </c>
      <c r="H707" s="52" t="s">
        <v>93</v>
      </c>
      <c r="I707" s="52">
        <v>2259.0999999999995</v>
      </c>
      <c r="J707" s="49">
        <v>91577.579999999987</v>
      </c>
      <c r="K707" s="58">
        <v>2241.41</v>
      </c>
      <c r="L707" s="58">
        <v>90763.449999999968</v>
      </c>
      <c r="M707" s="58">
        <v>19.350000000000001</v>
      </c>
      <c r="N707" s="58">
        <v>810.70999999999981</v>
      </c>
      <c r="O707" s="65">
        <v>2260.7599999999998</v>
      </c>
      <c r="P707" s="65">
        <v>91574.159999999974</v>
      </c>
      <c r="Q707" s="50">
        <v>91574.159999999974</v>
      </c>
      <c r="R707" s="65">
        <v>0</v>
      </c>
      <c r="S707" s="65">
        <v>810.70999999999981</v>
      </c>
      <c r="T707" s="65">
        <v>0</v>
      </c>
      <c r="U707" s="65">
        <v>3507</v>
      </c>
      <c r="V707" s="65">
        <v>0</v>
      </c>
      <c r="W707" s="65">
        <v>0</v>
      </c>
      <c r="X707" s="65">
        <v>87254</v>
      </c>
      <c r="Y707" s="65">
        <v>0</v>
      </c>
      <c r="Z707" s="65">
        <v>0</v>
      </c>
      <c r="AA707" s="51">
        <v>6</v>
      </c>
      <c r="AB707" s="102">
        <v>0</v>
      </c>
      <c r="AC707" s="81">
        <f t="shared" si="33"/>
        <v>0</v>
      </c>
      <c r="AD707" s="82">
        <f t="shared" si="34"/>
        <v>0</v>
      </c>
      <c r="AE707" s="218">
        <v>3.7345385191580803E-5</v>
      </c>
      <c r="AF707">
        <v>44</v>
      </c>
      <c r="AH707" t="str">
        <f t="shared" si="35"/>
        <v>Kalyanpur</v>
      </c>
      <c r="AJ707" s="72">
        <v>0</v>
      </c>
      <c r="AK707" s="72"/>
      <c r="AL707" s="72"/>
      <c r="AM707" s="72"/>
    </row>
    <row r="708" spans="1:39" x14ac:dyDescent="0.25">
      <c r="A708" s="37" t="s">
        <v>62</v>
      </c>
      <c r="B708" s="66" t="s">
        <v>1596</v>
      </c>
      <c r="C708" s="41">
        <v>1053</v>
      </c>
      <c r="D708" s="41" t="s">
        <v>527</v>
      </c>
      <c r="E708" s="41">
        <v>10530085</v>
      </c>
      <c r="F708" s="85" t="s">
        <v>1181</v>
      </c>
      <c r="G708" s="39" t="s">
        <v>92</v>
      </c>
      <c r="H708" s="52" t="s">
        <v>93</v>
      </c>
      <c r="I708" s="52">
        <v>778.99999999999989</v>
      </c>
      <c r="J708" s="49">
        <v>33778.47</v>
      </c>
      <c r="K708" s="58">
        <v>790.44999999999982</v>
      </c>
      <c r="L708" s="58">
        <v>33108.659999999996</v>
      </c>
      <c r="M708" s="58">
        <v>10</v>
      </c>
      <c r="N708" s="58">
        <v>612.6</v>
      </c>
      <c r="O708" s="65">
        <v>800.44999999999982</v>
      </c>
      <c r="P708" s="65">
        <v>33721.259999999995</v>
      </c>
      <c r="Q708" s="50">
        <v>33721.259999999995</v>
      </c>
      <c r="R708" s="65">
        <v>0</v>
      </c>
      <c r="S708" s="65">
        <v>612.6</v>
      </c>
      <c r="T708" s="65">
        <v>0</v>
      </c>
      <c r="U708" s="65">
        <v>0</v>
      </c>
      <c r="V708" s="65">
        <v>0</v>
      </c>
      <c r="W708" s="65">
        <v>0</v>
      </c>
      <c r="X708" s="65">
        <v>33109</v>
      </c>
      <c r="Y708" s="65">
        <v>0</v>
      </c>
      <c r="Z708" s="65">
        <v>0</v>
      </c>
      <c r="AA708" s="51">
        <v>57</v>
      </c>
      <c r="AB708" s="102">
        <v>0</v>
      </c>
      <c r="AC708" s="81">
        <f t="shared" ref="AC708:AC771" si="36">((IF(AD708=0,0,100-AD708))*7*(J708/I708))*2%</f>
        <v>0</v>
      </c>
      <c r="AD708" s="82">
        <f t="shared" ref="AD708:AD771" si="37">IF((I708/7)&gt;100,0,(I708/7))</f>
        <v>0</v>
      </c>
      <c r="AE708" s="218">
        <v>1.6936823959168784E-3</v>
      </c>
      <c r="AF708">
        <v>18</v>
      </c>
      <c r="AH708" t="str">
        <f t="shared" si="35"/>
        <v>Kalyanpur</v>
      </c>
      <c r="AJ708" s="72">
        <v>0</v>
      </c>
      <c r="AK708" s="72"/>
      <c r="AL708" s="72"/>
      <c r="AM708" s="72"/>
    </row>
    <row r="709" spans="1:39" x14ac:dyDescent="0.25">
      <c r="A709" s="37" t="s">
        <v>62</v>
      </c>
      <c r="B709" s="66" t="s">
        <v>1596</v>
      </c>
      <c r="C709" s="41">
        <v>1066</v>
      </c>
      <c r="D709" s="41" t="s">
        <v>1501</v>
      </c>
      <c r="E709" s="41">
        <v>10530088</v>
      </c>
      <c r="F709" s="85" t="s">
        <v>1503</v>
      </c>
      <c r="G709" s="39" t="s">
        <v>617</v>
      </c>
      <c r="H709" s="52" t="s">
        <v>98</v>
      </c>
      <c r="I709" s="52">
        <v>419.28</v>
      </c>
      <c r="J709" s="49">
        <v>16052.350000000002</v>
      </c>
      <c r="K709" s="58">
        <v>0</v>
      </c>
      <c r="L709" s="58">
        <v>0</v>
      </c>
      <c r="M709" s="58">
        <v>0</v>
      </c>
      <c r="N709" s="58">
        <v>0</v>
      </c>
      <c r="O709" s="65">
        <v>0</v>
      </c>
      <c r="P709" s="65">
        <v>0</v>
      </c>
      <c r="Q709" s="50">
        <v>16052.350000000002</v>
      </c>
      <c r="R709" s="65">
        <v>0</v>
      </c>
      <c r="S709" s="65">
        <v>0</v>
      </c>
      <c r="T709" s="65">
        <v>0</v>
      </c>
      <c r="U709" s="65">
        <v>0</v>
      </c>
      <c r="V709" s="65">
        <v>0</v>
      </c>
      <c r="W709" s="65">
        <v>0</v>
      </c>
      <c r="X709" s="65">
        <v>0</v>
      </c>
      <c r="Y709" s="65">
        <v>0</v>
      </c>
      <c r="Z709" s="65">
        <v>16052.350000000002</v>
      </c>
      <c r="AA709" s="51">
        <v>0</v>
      </c>
      <c r="AB709" s="102">
        <v>0</v>
      </c>
      <c r="AC709" s="81">
        <f t="shared" si="36"/>
        <v>214.95018565159327</v>
      </c>
      <c r="AD709" s="82">
        <f t="shared" si="37"/>
        <v>59.897142857142853</v>
      </c>
      <c r="AE709" s="218">
        <v>0</v>
      </c>
      <c r="AF709">
        <v>0</v>
      </c>
      <c r="AH709" t="str">
        <f t="shared" si="35"/>
        <v>Gaighat</v>
      </c>
      <c r="AJ709" s="72">
        <v>0</v>
      </c>
      <c r="AK709" s="72"/>
      <c r="AL709" s="72"/>
      <c r="AM709" s="72"/>
    </row>
    <row r="710" spans="1:39" x14ac:dyDescent="0.25">
      <c r="A710" s="37" t="s">
        <v>62</v>
      </c>
      <c r="B710" s="66" t="s">
        <v>1596</v>
      </c>
      <c r="C710" s="41">
        <v>1012</v>
      </c>
      <c r="D710" s="41" t="s">
        <v>306</v>
      </c>
      <c r="E710" s="41">
        <v>10530090</v>
      </c>
      <c r="F710" s="85" t="s">
        <v>1173</v>
      </c>
      <c r="G710" s="39" t="s">
        <v>617</v>
      </c>
      <c r="H710" s="52" t="s">
        <v>98</v>
      </c>
      <c r="I710" s="52">
        <v>191.82999999999998</v>
      </c>
      <c r="J710" s="49">
        <v>7162.18</v>
      </c>
      <c r="K710" s="58">
        <v>0</v>
      </c>
      <c r="L710" s="58">
        <v>0</v>
      </c>
      <c r="M710" s="58">
        <v>0</v>
      </c>
      <c r="N710" s="58">
        <v>0</v>
      </c>
      <c r="O710" s="65">
        <v>0</v>
      </c>
      <c r="P710" s="65">
        <v>0</v>
      </c>
      <c r="Q710" s="50">
        <v>7162.18</v>
      </c>
      <c r="R710" s="65">
        <v>0</v>
      </c>
      <c r="S710" s="65">
        <v>0</v>
      </c>
      <c r="T710" s="65">
        <v>0</v>
      </c>
      <c r="U710" s="65">
        <v>0</v>
      </c>
      <c r="V710" s="65">
        <v>0</v>
      </c>
      <c r="W710" s="65">
        <v>0</v>
      </c>
      <c r="X710" s="65">
        <v>0</v>
      </c>
      <c r="Y710" s="65">
        <v>0</v>
      </c>
      <c r="Z710" s="65">
        <v>7162.18</v>
      </c>
      <c r="AA710" s="51">
        <v>0</v>
      </c>
      <c r="AB710" s="102">
        <v>0</v>
      </c>
      <c r="AC710" s="81">
        <f t="shared" si="36"/>
        <v>379.46150347703707</v>
      </c>
      <c r="AD710" s="82">
        <f t="shared" si="37"/>
        <v>27.404285714285713</v>
      </c>
      <c r="AE710" s="218">
        <v>0</v>
      </c>
      <c r="AF710">
        <v>0</v>
      </c>
      <c r="AH710" t="str">
        <f t="shared" si="35"/>
        <v>DalsinghSarai</v>
      </c>
      <c r="AJ710" s="72">
        <v>0</v>
      </c>
      <c r="AK710" s="72"/>
      <c r="AL710" s="72"/>
      <c r="AM710" s="72"/>
    </row>
    <row r="711" spans="1:39" x14ac:dyDescent="0.25">
      <c r="A711" s="37" t="s">
        <v>62</v>
      </c>
      <c r="B711" s="66" t="s">
        <v>1596</v>
      </c>
      <c r="C711" s="41">
        <v>1053</v>
      </c>
      <c r="D711" s="41" t="s">
        <v>527</v>
      </c>
      <c r="E711" s="41">
        <v>10530091</v>
      </c>
      <c r="F711" s="85" t="s">
        <v>1198</v>
      </c>
      <c r="G711" s="39" t="s">
        <v>92</v>
      </c>
      <c r="H711" s="52" t="s">
        <v>93</v>
      </c>
      <c r="I711" s="52">
        <v>147.74999999999997</v>
      </c>
      <c r="J711" s="49">
        <v>5883.0399999999991</v>
      </c>
      <c r="K711" s="58">
        <v>146.24</v>
      </c>
      <c r="L711" s="58">
        <v>5879.1</v>
      </c>
      <c r="M711" s="58">
        <v>0</v>
      </c>
      <c r="N711" s="58">
        <v>0</v>
      </c>
      <c r="O711" s="65">
        <v>146.24</v>
      </c>
      <c r="P711" s="65">
        <v>5879.1</v>
      </c>
      <c r="Q711" s="50">
        <v>5879.1</v>
      </c>
      <c r="R711" s="65">
        <v>0</v>
      </c>
      <c r="S711" s="65">
        <v>0</v>
      </c>
      <c r="T711" s="65">
        <v>0</v>
      </c>
      <c r="U711" s="65">
        <v>0</v>
      </c>
      <c r="V711" s="65">
        <v>0</v>
      </c>
      <c r="W711" s="65">
        <v>0</v>
      </c>
      <c r="X711" s="65">
        <v>5879</v>
      </c>
      <c r="Y711" s="65">
        <v>0</v>
      </c>
      <c r="Z711" s="65">
        <v>0</v>
      </c>
      <c r="AA711" s="51">
        <v>4</v>
      </c>
      <c r="AB711" s="102">
        <v>0</v>
      </c>
      <c r="AC711" s="81">
        <f t="shared" si="36"/>
        <v>439.78461455160743</v>
      </c>
      <c r="AD711" s="82">
        <f t="shared" si="37"/>
        <v>21.107142857142854</v>
      </c>
      <c r="AE711" s="218">
        <v>6.6972177649628271E-4</v>
      </c>
      <c r="AF711">
        <v>7</v>
      </c>
      <c r="AH711" t="str">
        <f t="shared" si="35"/>
        <v>Kalyanpur</v>
      </c>
      <c r="AJ711" s="72">
        <v>0</v>
      </c>
      <c r="AK711" s="72"/>
      <c r="AL711" s="72"/>
      <c r="AM711" s="72"/>
    </row>
    <row r="712" spans="1:39" x14ac:dyDescent="0.25">
      <c r="A712" s="37" t="s">
        <v>62</v>
      </c>
      <c r="B712" s="66" t="s">
        <v>1596</v>
      </c>
      <c r="C712" s="41">
        <v>1053</v>
      </c>
      <c r="D712" s="41" t="s">
        <v>527</v>
      </c>
      <c r="E712" s="41">
        <v>10530092</v>
      </c>
      <c r="F712" s="85" t="s">
        <v>1193</v>
      </c>
      <c r="G712" s="39" t="s">
        <v>92</v>
      </c>
      <c r="H712" s="52" t="s">
        <v>93</v>
      </c>
      <c r="I712" s="52">
        <v>1026.1000000000001</v>
      </c>
      <c r="J712" s="49">
        <v>42739.399999999994</v>
      </c>
      <c r="K712" s="58">
        <v>831.39999999999975</v>
      </c>
      <c r="L712" s="58">
        <v>33265.119999999995</v>
      </c>
      <c r="M712" s="58">
        <v>187.3</v>
      </c>
      <c r="N712" s="58">
        <v>9228.24</v>
      </c>
      <c r="O712" s="65">
        <v>1018.6999999999998</v>
      </c>
      <c r="P712" s="65">
        <v>42493.359999999993</v>
      </c>
      <c r="Q712" s="50">
        <v>42493.359999999993</v>
      </c>
      <c r="R712" s="65">
        <v>0</v>
      </c>
      <c r="S712" s="65">
        <v>0</v>
      </c>
      <c r="T712" s="65">
        <v>0</v>
      </c>
      <c r="U712" s="65">
        <v>4200</v>
      </c>
      <c r="V712" s="65">
        <v>0</v>
      </c>
      <c r="W712" s="65">
        <v>0</v>
      </c>
      <c r="X712" s="65">
        <v>29065</v>
      </c>
      <c r="Y712" s="65">
        <v>9227</v>
      </c>
      <c r="Z712" s="65">
        <v>0</v>
      </c>
      <c r="AA712" s="51">
        <v>247</v>
      </c>
      <c r="AB712" s="102">
        <v>0</v>
      </c>
      <c r="AC712" s="81">
        <f t="shared" si="36"/>
        <v>0</v>
      </c>
      <c r="AD712" s="82">
        <f t="shared" si="37"/>
        <v>0</v>
      </c>
      <c r="AE712" s="218">
        <v>5.7567490418677127E-3</v>
      </c>
      <c r="AF712">
        <v>19</v>
      </c>
      <c r="AH712" t="str">
        <f t="shared" si="35"/>
        <v>Kalyanpur</v>
      </c>
      <c r="AJ712" s="72">
        <v>0</v>
      </c>
      <c r="AK712" s="72"/>
      <c r="AL712" s="72"/>
      <c r="AM712" s="72"/>
    </row>
    <row r="713" spans="1:39" x14ac:dyDescent="0.25">
      <c r="A713" s="37" t="s">
        <v>62</v>
      </c>
      <c r="B713" s="66" t="s">
        <v>1596</v>
      </c>
      <c r="C713" s="41">
        <v>1053</v>
      </c>
      <c r="D713" s="41" t="s">
        <v>527</v>
      </c>
      <c r="E713" s="41">
        <v>10530093</v>
      </c>
      <c r="F713" s="85" t="s">
        <v>1194</v>
      </c>
      <c r="G713" s="39" t="s">
        <v>92</v>
      </c>
      <c r="H713" s="52" t="s">
        <v>93</v>
      </c>
      <c r="I713" s="52">
        <v>1140.3999999999999</v>
      </c>
      <c r="J713" s="49">
        <v>52102.259999999995</v>
      </c>
      <c r="K713" s="58">
        <v>1131.0999999999999</v>
      </c>
      <c r="L713" s="58">
        <v>51217.169999999991</v>
      </c>
      <c r="M713" s="58">
        <v>19.5</v>
      </c>
      <c r="N713" s="58">
        <v>864.74</v>
      </c>
      <c r="O713" s="65">
        <v>1150.5999999999999</v>
      </c>
      <c r="P713" s="65">
        <v>52081.909999999989</v>
      </c>
      <c r="Q713" s="50">
        <v>52081.909999999989</v>
      </c>
      <c r="R713" s="65">
        <v>0</v>
      </c>
      <c r="S713" s="65">
        <v>864.74</v>
      </c>
      <c r="T713" s="65">
        <v>0</v>
      </c>
      <c r="U713" s="65">
        <v>6160</v>
      </c>
      <c r="V713" s="65">
        <v>0</v>
      </c>
      <c r="W713" s="65">
        <v>0</v>
      </c>
      <c r="X713" s="65">
        <v>45056</v>
      </c>
      <c r="Y713" s="65">
        <v>0</v>
      </c>
      <c r="Z713" s="65">
        <v>0</v>
      </c>
      <c r="AA713" s="51">
        <v>22</v>
      </c>
      <c r="AB713" s="102">
        <v>0</v>
      </c>
      <c r="AC713" s="81">
        <f t="shared" si="36"/>
        <v>0</v>
      </c>
      <c r="AD713" s="82">
        <f t="shared" si="37"/>
        <v>0</v>
      </c>
      <c r="AE713" s="218">
        <v>3.9057806705516848E-4</v>
      </c>
      <c r="AF713">
        <v>36</v>
      </c>
      <c r="AH713" t="str">
        <f t="shared" si="35"/>
        <v>Kalyanpur</v>
      </c>
      <c r="AJ713" s="72">
        <v>0</v>
      </c>
      <c r="AK713" s="72"/>
      <c r="AL713" s="72"/>
      <c r="AM713" s="72"/>
    </row>
    <row r="714" spans="1:39" x14ac:dyDescent="0.25">
      <c r="A714" s="37" t="s">
        <v>62</v>
      </c>
      <c r="B714" s="66" t="s">
        <v>1596</v>
      </c>
      <c r="C714" s="41">
        <v>1066</v>
      </c>
      <c r="D714" s="41" t="s">
        <v>1501</v>
      </c>
      <c r="E714" s="41">
        <v>10530094</v>
      </c>
      <c r="F714" s="85" t="s">
        <v>1563</v>
      </c>
      <c r="G714" s="39" t="s">
        <v>617</v>
      </c>
      <c r="H714" s="52" t="s">
        <v>98</v>
      </c>
      <c r="I714" s="52">
        <v>504.96</v>
      </c>
      <c r="J714" s="49">
        <v>19339.96</v>
      </c>
      <c r="K714" s="58">
        <v>0</v>
      </c>
      <c r="L714" s="58">
        <v>0</v>
      </c>
      <c r="M714" s="58">
        <v>0</v>
      </c>
      <c r="N714" s="58">
        <v>0</v>
      </c>
      <c r="O714" s="65">
        <v>0</v>
      </c>
      <c r="P714" s="65">
        <v>0</v>
      </c>
      <c r="Q714" s="50">
        <v>19339.96</v>
      </c>
      <c r="R714" s="65">
        <v>0</v>
      </c>
      <c r="S714" s="65">
        <v>0</v>
      </c>
      <c r="T714" s="65">
        <v>0</v>
      </c>
      <c r="U714" s="65">
        <v>0</v>
      </c>
      <c r="V714" s="65">
        <v>0</v>
      </c>
      <c r="W714" s="65">
        <v>0</v>
      </c>
      <c r="X714" s="65">
        <v>0</v>
      </c>
      <c r="Y714" s="65">
        <v>0</v>
      </c>
      <c r="Z714" s="65">
        <v>19339.96</v>
      </c>
      <c r="AA714" s="51">
        <v>0</v>
      </c>
      <c r="AB714" s="102">
        <v>0</v>
      </c>
      <c r="AC714" s="81">
        <f t="shared" si="36"/>
        <v>149.40057820025356</v>
      </c>
      <c r="AD714" s="82">
        <f t="shared" si="37"/>
        <v>72.137142857142848</v>
      </c>
      <c r="AE714" s="218">
        <v>0</v>
      </c>
      <c r="AF714">
        <v>0</v>
      </c>
      <c r="AH714" t="str">
        <f t="shared" si="35"/>
        <v>Gaighat</v>
      </c>
      <c r="AJ714" s="72">
        <v>0</v>
      </c>
      <c r="AK714" s="72"/>
      <c r="AL714" s="72"/>
      <c r="AM714" s="72"/>
    </row>
    <row r="715" spans="1:39" x14ac:dyDescent="0.25">
      <c r="A715" s="37" t="s">
        <v>62</v>
      </c>
      <c r="B715" s="66" t="s">
        <v>1596</v>
      </c>
      <c r="C715" s="41">
        <v>1053</v>
      </c>
      <c r="D715" s="41" t="s">
        <v>527</v>
      </c>
      <c r="E715" s="41">
        <v>10530096</v>
      </c>
      <c r="F715" s="85" t="s">
        <v>1239</v>
      </c>
      <c r="G715" s="39" t="s">
        <v>92</v>
      </c>
      <c r="H715" s="52" t="s">
        <v>93</v>
      </c>
      <c r="I715" s="52">
        <v>1607.0500000000002</v>
      </c>
      <c r="J715" s="49">
        <v>82137.150000000009</v>
      </c>
      <c r="K715" s="58">
        <v>1635.8999999999999</v>
      </c>
      <c r="L715" s="58">
        <v>81656.380000000019</v>
      </c>
      <c r="M715" s="58">
        <v>8</v>
      </c>
      <c r="N715" s="58">
        <v>436.16</v>
      </c>
      <c r="O715" s="65">
        <v>1643.8999999999999</v>
      </c>
      <c r="P715" s="65">
        <v>82092.540000000023</v>
      </c>
      <c r="Q715" s="50">
        <v>82092.540000000023</v>
      </c>
      <c r="R715" s="65">
        <v>0</v>
      </c>
      <c r="S715" s="65">
        <v>436.16</v>
      </c>
      <c r="T715" s="65">
        <v>0</v>
      </c>
      <c r="U715" s="65">
        <v>5900</v>
      </c>
      <c r="V715" s="65">
        <v>0</v>
      </c>
      <c r="W715" s="65">
        <v>0</v>
      </c>
      <c r="X715" s="65">
        <v>75758</v>
      </c>
      <c r="Y715" s="65">
        <v>0</v>
      </c>
      <c r="Z715" s="65">
        <v>0</v>
      </c>
      <c r="AA715" s="51">
        <v>43</v>
      </c>
      <c r="AB715" s="102">
        <v>0</v>
      </c>
      <c r="AC715" s="81">
        <f t="shared" si="36"/>
        <v>0</v>
      </c>
      <c r="AD715" s="82">
        <f t="shared" si="37"/>
        <v>0</v>
      </c>
      <c r="AE715" s="218">
        <v>5.4311599562422146E-4</v>
      </c>
      <c r="AF715">
        <v>13</v>
      </c>
      <c r="AH715" t="str">
        <f t="shared" si="35"/>
        <v>Kalyanpur</v>
      </c>
      <c r="AJ715" s="72">
        <v>0</v>
      </c>
      <c r="AK715" s="72"/>
      <c r="AL715" s="72"/>
      <c r="AM715" s="72"/>
    </row>
    <row r="716" spans="1:39" x14ac:dyDescent="0.25">
      <c r="A716" s="37" t="s">
        <v>62</v>
      </c>
      <c r="B716" s="66" t="s">
        <v>1596</v>
      </c>
      <c r="C716" s="41">
        <v>1053</v>
      </c>
      <c r="D716" s="41" t="s">
        <v>527</v>
      </c>
      <c r="E716" s="41">
        <v>10530097</v>
      </c>
      <c r="F716" s="85" t="s">
        <v>1240</v>
      </c>
      <c r="G716" s="39" t="s">
        <v>92</v>
      </c>
      <c r="H716" s="52" t="s">
        <v>93</v>
      </c>
      <c r="I716" s="52">
        <v>781.7</v>
      </c>
      <c r="J716" s="49">
        <v>32375.35</v>
      </c>
      <c r="K716" s="58">
        <v>774.19999999999982</v>
      </c>
      <c r="L716" s="58">
        <v>32006.060000000009</v>
      </c>
      <c r="M716" s="58">
        <v>8.6999999999999993</v>
      </c>
      <c r="N716" s="58">
        <v>364.93000000000006</v>
      </c>
      <c r="O716" s="65">
        <v>782.89999999999986</v>
      </c>
      <c r="P716" s="65">
        <v>32370.990000000009</v>
      </c>
      <c r="Q716" s="50">
        <v>32370.990000000009</v>
      </c>
      <c r="R716" s="65">
        <v>0</v>
      </c>
      <c r="S716" s="65">
        <v>364.93000000000006</v>
      </c>
      <c r="T716" s="65">
        <v>0</v>
      </c>
      <c r="U716" s="65">
        <v>331</v>
      </c>
      <c r="V716" s="65">
        <v>0</v>
      </c>
      <c r="W716" s="65">
        <v>0</v>
      </c>
      <c r="X716" s="65">
        <v>31676</v>
      </c>
      <c r="Y716" s="65">
        <v>0</v>
      </c>
      <c r="Z716" s="65">
        <v>0</v>
      </c>
      <c r="AA716" s="51">
        <v>3</v>
      </c>
      <c r="AB716" s="102">
        <v>0</v>
      </c>
      <c r="AC716" s="81">
        <f t="shared" si="36"/>
        <v>0</v>
      </c>
      <c r="AD716" s="82">
        <f t="shared" si="37"/>
        <v>0</v>
      </c>
      <c r="AE716" s="218">
        <v>1.3467035877572499E-4</v>
      </c>
      <c r="AF716">
        <v>20</v>
      </c>
      <c r="AH716" t="str">
        <f t="shared" si="35"/>
        <v>Kalyanpur</v>
      </c>
      <c r="AJ716" s="72">
        <v>0</v>
      </c>
      <c r="AK716" s="72"/>
      <c r="AL716" s="72"/>
      <c r="AM716" s="72"/>
    </row>
    <row r="717" spans="1:39" x14ac:dyDescent="0.25">
      <c r="A717" s="37" t="s">
        <v>62</v>
      </c>
      <c r="B717" s="66" t="s">
        <v>1596</v>
      </c>
      <c r="C717" s="41">
        <v>1053</v>
      </c>
      <c r="D717" s="41" t="s">
        <v>527</v>
      </c>
      <c r="E717" s="41">
        <v>10530100</v>
      </c>
      <c r="F717" s="85" t="s">
        <v>1304</v>
      </c>
      <c r="G717" s="39" t="s">
        <v>92</v>
      </c>
      <c r="H717" s="52" t="s">
        <v>93</v>
      </c>
      <c r="I717" s="52">
        <v>176.44999999999996</v>
      </c>
      <c r="J717" s="49">
        <v>7589.95</v>
      </c>
      <c r="K717" s="58">
        <v>192.20000000000002</v>
      </c>
      <c r="L717" s="58">
        <v>7523.8100000000013</v>
      </c>
      <c r="M717" s="58">
        <v>1.4</v>
      </c>
      <c r="N717" s="58">
        <v>55.86</v>
      </c>
      <c r="O717" s="65">
        <v>193.60000000000002</v>
      </c>
      <c r="P717" s="65">
        <v>7579.670000000001</v>
      </c>
      <c r="Q717" s="50">
        <v>7579.670000000001</v>
      </c>
      <c r="R717" s="65">
        <v>0</v>
      </c>
      <c r="S717" s="65">
        <v>55.86</v>
      </c>
      <c r="T717" s="65">
        <v>0</v>
      </c>
      <c r="U717" s="65">
        <v>0</v>
      </c>
      <c r="V717" s="65">
        <v>0</v>
      </c>
      <c r="W717" s="65">
        <v>0</v>
      </c>
      <c r="X717" s="65">
        <v>7523</v>
      </c>
      <c r="Y717" s="65">
        <v>0</v>
      </c>
      <c r="Z717" s="65">
        <v>0</v>
      </c>
      <c r="AA717" s="51">
        <v>11</v>
      </c>
      <c r="AB717" s="102">
        <v>0</v>
      </c>
      <c r="AC717" s="81">
        <f t="shared" si="36"/>
        <v>450.40729073391901</v>
      </c>
      <c r="AD717" s="82">
        <f t="shared" si="37"/>
        <v>25.207142857142852</v>
      </c>
      <c r="AE717" s="218">
        <v>1.354422624654818E-3</v>
      </c>
      <c r="AF717">
        <v>6</v>
      </c>
      <c r="AH717" t="str">
        <f t="shared" si="35"/>
        <v>Kalyanpur</v>
      </c>
      <c r="AJ717" s="72">
        <v>0</v>
      </c>
      <c r="AK717" s="72"/>
      <c r="AL717" s="72"/>
      <c r="AM717" s="72"/>
    </row>
    <row r="718" spans="1:39" x14ac:dyDescent="0.25">
      <c r="A718" s="37" t="s">
        <v>62</v>
      </c>
      <c r="B718" s="66" t="s">
        <v>1596</v>
      </c>
      <c r="C718" s="41">
        <v>1053</v>
      </c>
      <c r="D718" s="41" t="s">
        <v>527</v>
      </c>
      <c r="E718" s="41">
        <v>10530101</v>
      </c>
      <c r="F718" s="85" t="s">
        <v>1289</v>
      </c>
      <c r="G718" s="39" t="s">
        <v>92</v>
      </c>
      <c r="H718" s="52" t="s">
        <v>93</v>
      </c>
      <c r="I718" s="52">
        <v>544.29999999999995</v>
      </c>
      <c r="J718" s="49">
        <v>23356.039999999994</v>
      </c>
      <c r="K718" s="58">
        <v>558.39999999999986</v>
      </c>
      <c r="L718" s="58">
        <v>23140.54</v>
      </c>
      <c r="M718" s="58">
        <v>0</v>
      </c>
      <c r="N718" s="58">
        <v>0</v>
      </c>
      <c r="O718" s="65">
        <v>558.39999999999986</v>
      </c>
      <c r="P718" s="65">
        <v>23140.54</v>
      </c>
      <c r="Q718" s="50">
        <v>23140.54</v>
      </c>
      <c r="R718" s="65">
        <v>0</v>
      </c>
      <c r="S718" s="65">
        <v>0</v>
      </c>
      <c r="T718" s="65">
        <v>0</v>
      </c>
      <c r="U718" s="65">
        <v>603</v>
      </c>
      <c r="V718" s="65">
        <v>0</v>
      </c>
      <c r="W718" s="65">
        <v>0</v>
      </c>
      <c r="X718" s="65">
        <v>22538</v>
      </c>
      <c r="Y718" s="65">
        <v>0</v>
      </c>
      <c r="Z718" s="65">
        <v>0</v>
      </c>
      <c r="AA718" s="51">
        <v>215</v>
      </c>
      <c r="AB718" s="102">
        <v>0</v>
      </c>
      <c r="AC718" s="81">
        <f t="shared" si="36"/>
        <v>133.62246658092963</v>
      </c>
      <c r="AD718" s="82">
        <f t="shared" si="37"/>
        <v>77.757142857142853</v>
      </c>
      <c r="AE718" s="218">
        <v>9.226735354109377E-3</v>
      </c>
      <c r="AF718">
        <v>18</v>
      </c>
      <c r="AH718" t="str">
        <f t="shared" si="35"/>
        <v>Kalyanpur</v>
      </c>
      <c r="AJ718" s="72">
        <v>0</v>
      </c>
      <c r="AK718" s="72"/>
      <c r="AL718" s="72"/>
      <c r="AM718" s="72"/>
    </row>
    <row r="719" spans="1:39" x14ac:dyDescent="0.25">
      <c r="A719" s="37" t="s">
        <v>62</v>
      </c>
      <c r="B719" s="66" t="s">
        <v>1596</v>
      </c>
      <c r="C719" s="41">
        <v>1053</v>
      </c>
      <c r="D719" s="41" t="s">
        <v>527</v>
      </c>
      <c r="E719" s="41">
        <v>10530102</v>
      </c>
      <c r="F719" s="85" t="s">
        <v>1305</v>
      </c>
      <c r="G719" s="39" t="s">
        <v>92</v>
      </c>
      <c r="H719" s="52" t="s">
        <v>93</v>
      </c>
      <c r="I719" s="52">
        <v>108.35000000000001</v>
      </c>
      <c r="J719" s="49">
        <v>4793.6900000000005</v>
      </c>
      <c r="K719" s="58">
        <v>105.89999999999999</v>
      </c>
      <c r="L719" s="58">
        <v>4454.4800000000005</v>
      </c>
      <c r="M719" s="58">
        <v>1.2</v>
      </c>
      <c r="N719" s="58">
        <v>52.16</v>
      </c>
      <c r="O719" s="65">
        <v>107.1</v>
      </c>
      <c r="P719" s="65">
        <v>4506.6400000000003</v>
      </c>
      <c r="Q719" s="50">
        <v>4506.6400000000003</v>
      </c>
      <c r="R719" s="65">
        <v>0</v>
      </c>
      <c r="S719" s="65">
        <v>52.16</v>
      </c>
      <c r="T719" s="65">
        <v>0</v>
      </c>
      <c r="U719" s="65">
        <v>0</v>
      </c>
      <c r="V719" s="65">
        <v>500</v>
      </c>
      <c r="W719" s="65">
        <v>0</v>
      </c>
      <c r="X719" s="65">
        <v>3954</v>
      </c>
      <c r="Y719" s="65">
        <v>0</v>
      </c>
      <c r="Z719" s="65">
        <v>0</v>
      </c>
      <c r="AA719" s="51">
        <v>288</v>
      </c>
      <c r="AB719" s="102">
        <v>0</v>
      </c>
      <c r="AC719" s="81">
        <f t="shared" si="36"/>
        <v>523.52315431472073</v>
      </c>
      <c r="AD719" s="82">
        <f t="shared" si="37"/>
        <v>15.47857142857143</v>
      </c>
      <c r="AE719" s="218">
        <v>5.9880801637152203E-2</v>
      </c>
      <c r="AF719">
        <v>5</v>
      </c>
      <c r="AH719" t="str">
        <f t="shared" si="35"/>
        <v>Kalyanpur</v>
      </c>
      <c r="AJ719" s="72">
        <v>500</v>
      </c>
      <c r="AK719" s="72"/>
      <c r="AL719" s="72"/>
      <c r="AM719" s="72"/>
    </row>
    <row r="720" spans="1:39" x14ac:dyDescent="0.25">
      <c r="A720" s="37" t="s">
        <v>62</v>
      </c>
      <c r="B720" s="66" t="s">
        <v>1596</v>
      </c>
      <c r="C720" s="41">
        <v>1053</v>
      </c>
      <c r="D720" s="41" t="s">
        <v>527</v>
      </c>
      <c r="E720" s="41">
        <v>10530103</v>
      </c>
      <c r="F720" s="85" t="s">
        <v>1290</v>
      </c>
      <c r="G720" s="39" t="s">
        <v>92</v>
      </c>
      <c r="H720" s="52" t="s">
        <v>93</v>
      </c>
      <c r="I720" s="52">
        <v>2676.2500000000005</v>
      </c>
      <c r="J720" s="49">
        <v>114232.66999999998</v>
      </c>
      <c r="K720" s="58">
        <v>2650.3</v>
      </c>
      <c r="L720" s="58">
        <v>111469.56999999996</v>
      </c>
      <c r="M720" s="58">
        <v>51.8</v>
      </c>
      <c r="N720" s="58">
        <v>2399.2799999999997</v>
      </c>
      <c r="O720" s="65">
        <v>2702.1000000000004</v>
      </c>
      <c r="P720" s="65">
        <v>113868.84999999996</v>
      </c>
      <c r="Q720" s="50">
        <v>113868.84999999996</v>
      </c>
      <c r="R720" s="65">
        <v>0</v>
      </c>
      <c r="S720" s="65">
        <v>2399.2799999999997</v>
      </c>
      <c r="T720" s="65">
        <v>0</v>
      </c>
      <c r="U720" s="65">
        <v>28089</v>
      </c>
      <c r="V720" s="65">
        <v>0</v>
      </c>
      <c r="W720" s="65">
        <v>0</v>
      </c>
      <c r="X720" s="65">
        <v>83380</v>
      </c>
      <c r="Y720" s="65">
        <v>0</v>
      </c>
      <c r="Z720" s="65">
        <v>0</v>
      </c>
      <c r="AA720" s="51">
        <v>364</v>
      </c>
      <c r="AB720" s="102">
        <v>0</v>
      </c>
      <c r="AC720" s="81">
        <f t="shared" si="36"/>
        <v>0</v>
      </c>
      <c r="AD720" s="82">
        <f t="shared" si="37"/>
        <v>0</v>
      </c>
      <c r="AE720" s="218">
        <v>3.184903233024507E-3</v>
      </c>
      <c r="AF720">
        <v>24</v>
      </c>
      <c r="AH720" t="str">
        <f t="shared" si="35"/>
        <v>Kalyanpur</v>
      </c>
      <c r="AJ720" s="72">
        <v>0</v>
      </c>
      <c r="AK720" s="72"/>
      <c r="AL720" s="72"/>
      <c r="AM720" s="72"/>
    </row>
    <row r="721" spans="1:39" x14ac:dyDescent="0.25">
      <c r="A721" s="37" t="s">
        <v>62</v>
      </c>
      <c r="B721" s="66" t="s">
        <v>1596</v>
      </c>
      <c r="C721" s="41">
        <v>1053</v>
      </c>
      <c r="D721" s="41" t="s">
        <v>527</v>
      </c>
      <c r="E721" s="41">
        <v>10530106</v>
      </c>
      <c r="F721" s="85" t="s">
        <v>1375</v>
      </c>
      <c r="G721" s="39" t="s">
        <v>92</v>
      </c>
      <c r="H721" s="52" t="s">
        <v>93</v>
      </c>
      <c r="I721" s="52">
        <v>669.94999999999993</v>
      </c>
      <c r="J721" s="49">
        <v>29530.33</v>
      </c>
      <c r="K721" s="58">
        <v>545.35</v>
      </c>
      <c r="L721" s="58">
        <v>24103.75</v>
      </c>
      <c r="M721" s="58">
        <v>127.36</v>
      </c>
      <c r="N721" s="58">
        <v>5067.53</v>
      </c>
      <c r="O721" s="65">
        <v>672.71</v>
      </c>
      <c r="P721" s="65">
        <v>29171.279999999999</v>
      </c>
      <c r="Q721" s="50">
        <v>29171.279999999999</v>
      </c>
      <c r="R721" s="65">
        <v>0</v>
      </c>
      <c r="S721" s="65">
        <v>1130.6799999999998</v>
      </c>
      <c r="T721" s="65">
        <v>0</v>
      </c>
      <c r="U721" s="65">
        <v>0</v>
      </c>
      <c r="V721" s="65">
        <v>0</v>
      </c>
      <c r="W721" s="65">
        <v>0</v>
      </c>
      <c r="X721" s="65">
        <v>24102</v>
      </c>
      <c r="Y721" s="65">
        <v>3937</v>
      </c>
      <c r="Z721" s="65">
        <v>0</v>
      </c>
      <c r="AA721" s="51">
        <v>361</v>
      </c>
      <c r="AB721" s="102">
        <v>0</v>
      </c>
      <c r="AC721" s="81">
        <f t="shared" si="36"/>
        <v>26.491123710724782</v>
      </c>
      <c r="AD721" s="82">
        <f t="shared" si="37"/>
        <v>95.707142857142841</v>
      </c>
      <c r="AE721" s="218">
        <v>1.2158685663180969E-2</v>
      </c>
      <c r="AF721">
        <v>10</v>
      </c>
      <c r="AH721" t="str">
        <f t="shared" si="35"/>
        <v>Kalyanpur</v>
      </c>
      <c r="AJ721" s="72">
        <v>0</v>
      </c>
      <c r="AK721" s="72"/>
      <c r="AL721" s="72"/>
      <c r="AM721" s="72"/>
    </row>
    <row r="722" spans="1:39" x14ac:dyDescent="0.25">
      <c r="A722" s="37" t="s">
        <v>62</v>
      </c>
      <c r="B722" s="66" t="s">
        <v>1596</v>
      </c>
      <c r="C722" s="41">
        <v>1053</v>
      </c>
      <c r="D722" s="41" t="s">
        <v>527</v>
      </c>
      <c r="E722" s="41">
        <v>10530107</v>
      </c>
      <c r="F722" s="85" t="s">
        <v>820</v>
      </c>
      <c r="G722" s="39" t="s">
        <v>617</v>
      </c>
      <c r="H722" s="52" t="s">
        <v>98</v>
      </c>
      <c r="I722" s="52">
        <v>579.35</v>
      </c>
      <c r="J722" s="49">
        <v>35888.020000000004</v>
      </c>
      <c r="K722" s="58">
        <v>0</v>
      </c>
      <c r="L722" s="58">
        <v>0</v>
      </c>
      <c r="M722" s="58">
        <v>0</v>
      </c>
      <c r="N722" s="58">
        <v>0</v>
      </c>
      <c r="O722" s="65">
        <v>0</v>
      </c>
      <c r="P722" s="65">
        <v>0</v>
      </c>
      <c r="Q722" s="50">
        <v>35888.020000000004</v>
      </c>
      <c r="R722" s="65">
        <v>0</v>
      </c>
      <c r="S722" s="65">
        <v>0</v>
      </c>
      <c r="T722" s="65">
        <v>0</v>
      </c>
      <c r="U722" s="65">
        <v>0</v>
      </c>
      <c r="V722" s="65">
        <v>0</v>
      </c>
      <c r="W722" s="65">
        <v>0</v>
      </c>
      <c r="X722" s="65">
        <v>0</v>
      </c>
      <c r="Y722" s="65">
        <v>0</v>
      </c>
      <c r="Z722" s="65">
        <v>35888.020000000004</v>
      </c>
      <c r="AA722" s="51">
        <v>0</v>
      </c>
      <c r="AB722" s="102">
        <v>0</v>
      </c>
      <c r="AC722" s="81">
        <f t="shared" si="36"/>
        <v>149.47405240355567</v>
      </c>
      <c r="AD722" s="82">
        <f t="shared" si="37"/>
        <v>82.76428571428572</v>
      </c>
      <c r="AE722" s="218">
        <v>0</v>
      </c>
      <c r="AF722">
        <v>0</v>
      </c>
      <c r="AH722" t="str">
        <f t="shared" si="35"/>
        <v>Kalyanpur</v>
      </c>
      <c r="AJ722" s="72">
        <v>0</v>
      </c>
      <c r="AK722" s="72"/>
      <c r="AL722" s="72"/>
      <c r="AM722" s="72"/>
    </row>
    <row r="723" spans="1:39" x14ac:dyDescent="0.25">
      <c r="A723" s="37" t="s">
        <v>62</v>
      </c>
      <c r="B723" s="66" t="s">
        <v>1596</v>
      </c>
      <c r="C723" s="41">
        <v>1053</v>
      </c>
      <c r="D723" s="41" t="s">
        <v>527</v>
      </c>
      <c r="E723" s="41">
        <v>10530108</v>
      </c>
      <c r="F723" s="85" t="s">
        <v>1376</v>
      </c>
      <c r="G723" s="39" t="s">
        <v>92</v>
      </c>
      <c r="H723" s="52" t="s">
        <v>93</v>
      </c>
      <c r="I723" s="52">
        <v>390.1</v>
      </c>
      <c r="J723" s="49">
        <v>16276.36</v>
      </c>
      <c r="K723" s="58">
        <v>382.42</v>
      </c>
      <c r="L723" s="58">
        <v>15682.43</v>
      </c>
      <c r="M723" s="58">
        <v>8.34</v>
      </c>
      <c r="N723" s="58">
        <v>338.47999999999996</v>
      </c>
      <c r="O723" s="65">
        <v>390.76</v>
      </c>
      <c r="P723" s="65">
        <v>16020.91</v>
      </c>
      <c r="Q723" s="50">
        <v>16020.91</v>
      </c>
      <c r="R723" s="65">
        <v>0</v>
      </c>
      <c r="S723" s="65">
        <v>338.47999999999996</v>
      </c>
      <c r="T723" s="65">
        <v>0</v>
      </c>
      <c r="U723" s="65">
        <v>0</v>
      </c>
      <c r="V723" s="65">
        <v>0</v>
      </c>
      <c r="W723" s="65">
        <v>0</v>
      </c>
      <c r="X723" s="65">
        <v>15683</v>
      </c>
      <c r="Y723" s="65">
        <v>0</v>
      </c>
      <c r="Z723" s="65">
        <v>0</v>
      </c>
      <c r="AA723" s="51">
        <v>255</v>
      </c>
      <c r="AB723" s="102">
        <v>0</v>
      </c>
      <c r="AC723" s="81">
        <f t="shared" si="36"/>
        <v>258.60261286849521</v>
      </c>
      <c r="AD723" s="82">
        <f t="shared" si="37"/>
        <v>55.728571428571435</v>
      </c>
      <c r="AE723" s="218">
        <v>1.5694541039888571E-2</v>
      </c>
      <c r="AF723">
        <v>9</v>
      </c>
      <c r="AH723" t="str">
        <f t="shared" si="35"/>
        <v>Kalyanpur</v>
      </c>
      <c r="AJ723" s="72">
        <v>0</v>
      </c>
      <c r="AK723" s="72"/>
      <c r="AL723" s="72"/>
      <c r="AM723" s="72"/>
    </row>
    <row r="724" spans="1:39" x14ac:dyDescent="0.25">
      <c r="A724" s="37" t="s">
        <v>62</v>
      </c>
      <c r="B724" s="66" t="s">
        <v>1596</v>
      </c>
      <c r="C724" s="41">
        <v>1053</v>
      </c>
      <c r="D724" s="41" t="s">
        <v>527</v>
      </c>
      <c r="E724" s="41">
        <v>10530109</v>
      </c>
      <c r="F724" s="85" t="s">
        <v>1353</v>
      </c>
      <c r="G724" s="39" t="s">
        <v>92</v>
      </c>
      <c r="H724" s="52" t="s">
        <v>93</v>
      </c>
      <c r="I724" s="52">
        <v>1669.3000000000002</v>
      </c>
      <c r="J724" s="49">
        <v>73541.01999999999</v>
      </c>
      <c r="K724" s="58">
        <v>1659.7900000000002</v>
      </c>
      <c r="L724" s="58">
        <v>72857.16</v>
      </c>
      <c r="M724" s="58">
        <v>14.969999999999999</v>
      </c>
      <c r="N724" s="58">
        <v>669.35000000000014</v>
      </c>
      <c r="O724" s="65">
        <v>1674.7600000000002</v>
      </c>
      <c r="P724" s="65">
        <v>73526.510000000009</v>
      </c>
      <c r="Q724" s="50">
        <v>73526.510000000009</v>
      </c>
      <c r="R724" s="65">
        <v>0</v>
      </c>
      <c r="S724" s="65">
        <v>669.35000000000014</v>
      </c>
      <c r="T724" s="65">
        <v>0</v>
      </c>
      <c r="U724" s="65">
        <v>16733</v>
      </c>
      <c r="V724" s="65">
        <v>0</v>
      </c>
      <c r="W724" s="65">
        <v>0</v>
      </c>
      <c r="X724" s="65">
        <v>56122</v>
      </c>
      <c r="Y724" s="65">
        <v>0</v>
      </c>
      <c r="Z724" s="65">
        <v>0</v>
      </c>
      <c r="AA724" s="51">
        <v>17</v>
      </c>
      <c r="AB724" s="102">
        <v>0</v>
      </c>
      <c r="AC724" s="81">
        <f t="shared" si="36"/>
        <v>0</v>
      </c>
      <c r="AD724" s="82">
        <f t="shared" si="37"/>
        <v>0</v>
      </c>
      <c r="AE724" s="218">
        <v>1.9730485108827986E-4</v>
      </c>
      <c r="AF724">
        <v>24</v>
      </c>
      <c r="AH724" t="str">
        <f t="shared" si="35"/>
        <v>Kalyanpur</v>
      </c>
      <c r="AJ724" s="72">
        <v>0</v>
      </c>
      <c r="AK724" s="72"/>
      <c r="AL724" s="72"/>
      <c r="AM724" s="72"/>
    </row>
    <row r="725" spans="1:39" x14ac:dyDescent="0.25">
      <c r="A725" s="37" t="s">
        <v>62</v>
      </c>
      <c r="B725" s="66" t="s">
        <v>1596</v>
      </c>
      <c r="C725" s="41">
        <v>1053</v>
      </c>
      <c r="D725" s="41" t="s">
        <v>527</v>
      </c>
      <c r="E725" s="41">
        <v>10530110</v>
      </c>
      <c r="F725" s="85" t="s">
        <v>1377</v>
      </c>
      <c r="G725" s="39" t="s">
        <v>92</v>
      </c>
      <c r="H725" s="52" t="s">
        <v>93</v>
      </c>
      <c r="I725" s="52">
        <v>768.94999999999993</v>
      </c>
      <c r="J725" s="49">
        <v>31699.58</v>
      </c>
      <c r="K725" s="58">
        <v>757.38</v>
      </c>
      <c r="L725" s="58">
        <v>30822.579999999998</v>
      </c>
      <c r="M725" s="58">
        <v>16.39</v>
      </c>
      <c r="N725" s="58">
        <v>699.4799999999999</v>
      </c>
      <c r="O725" s="65">
        <v>773.77</v>
      </c>
      <c r="P725" s="65">
        <v>31522.059999999998</v>
      </c>
      <c r="Q725" s="50">
        <v>31522.059999999998</v>
      </c>
      <c r="R725" s="65">
        <v>0</v>
      </c>
      <c r="S725" s="65">
        <v>699.4799999999999</v>
      </c>
      <c r="T725" s="65">
        <v>0</v>
      </c>
      <c r="U725" s="65">
        <v>0</v>
      </c>
      <c r="V725" s="65">
        <v>0</v>
      </c>
      <c r="W725" s="65">
        <v>0</v>
      </c>
      <c r="X725" s="65">
        <v>30824</v>
      </c>
      <c r="Y725" s="65">
        <v>0</v>
      </c>
      <c r="Z725" s="65">
        <v>0</v>
      </c>
      <c r="AA725" s="51">
        <v>176</v>
      </c>
      <c r="AB725" s="102">
        <v>0</v>
      </c>
      <c r="AC725" s="81">
        <f t="shared" si="36"/>
        <v>0</v>
      </c>
      <c r="AD725" s="82">
        <f t="shared" si="37"/>
        <v>0</v>
      </c>
      <c r="AE725" s="218">
        <v>5.6000741965667707E-3</v>
      </c>
      <c r="AF725">
        <v>16</v>
      </c>
      <c r="AH725" t="str">
        <f t="shared" si="35"/>
        <v>Kalyanpur</v>
      </c>
      <c r="AJ725" s="72">
        <v>0</v>
      </c>
      <c r="AK725" s="72"/>
      <c r="AL725" s="72"/>
      <c r="AM725" s="72"/>
    </row>
    <row r="726" spans="1:39" x14ac:dyDescent="0.25">
      <c r="A726" s="37" t="s">
        <v>62</v>
      </c>
      <c r="B726" s="66" t="s">
        <v>1596</v>
      </c>
      <c r="C726" s="41">
        <v>1053</v>
      </c>
      <c r="D726" s="41" t="s">
        <v>527</v>
      </c>
      <c r="E726" s="41">
        <v>10530111</v>
      </c>
      <c r="F726" s="85" t="s">
        <v>1429</v>
      </c>
      <c r="G726" s="39" t="s">
        <v>92</v>
      </c>
      <c r="H726" s="52" t="s">
        <v>93</v>
      </c>
      <c r="I726" s="52">
        <v>505.54999999999995</v>
      </c>
      <c r="J726" s="49">
        <v>20186.849999999999</v>
      </c>
      <c r="K726" s="58">
        <v>508.16</v>
      </c>
      <c r="L726" s="58">
        <v>19708.580000000002</v>
      </c>
      <c r="M726" s="58">
        <v>11.829999999999997</v>
      </c>
      <c r="N726" s="58">
        <v>472.7</v>
      </c>
      <c r="O726" s="65">
        <v>519.99</v>
      </c>
      <c r="P726" s="65">
        <v>20181.280000000002</v>
      </c>
      <c r="Q726" s="50">
        <v>20181.280000000002</v>
      </c>
      <c r="R726" s="65">
        <v>0</v>
      </c>
      <c r="S726" s="65">
        <v>472.7</v>
      </c>
      <c r="T726" s="65">
        <v>0</v>
      </c>
      <c r="U726" s="65">
        <v>0</v>
      </c>
      <c r="V726" s="65">
        <v>0</v>
      </c>
      <c r="W726" s="65">
        <v>0</v>
      </c>
      <c r="X726" s="65">
        <v>19708</v>
      </c>
      <c r="Y726" s="65">
        <v>0</v>
      </c>
      <c r="Z726" s="65">
        <v>0</v>
      </c>
      <c r="AA726" s="51">
        <v>6</v>
      </c>
      <c r="AB726" s="102">
        <v>0</v>
      </c>
      <c r="AC726" s="81">
        <f t="shared" si="36"/>
        <v>155.28960468796365</v>
      </c>
      <c r="AD726" s="82">
        <f t="shared" si="37"/>
        <v>72.221428571428561</v>
      </c>
      <c r="AE726" s="218">
        <v>2.7592219687549427E-4</v>
      </c>
      <c r="AF726">
        <v>17</v>
      </c>
      <c r="AH726" t="str">
        <f t="shared" si="35"/>
        <v>Kalyanpur</v>
      </c>
      <c r="AJ726" s="72">
        <v>0</v>
      </c>
      <c r="AK726" s="72"/>
      <c r="AL726" s="72"/>
      <c r="AM726" s="72"/>
    </row>
    <row r="727" spans="1:39" x14ac:dyDescent="0.25">
      <c r="A727" s="37" t="s">
        <v>62</v>
      </c>
      <c r="B727" s="66" t="s">
        <v>1596</v>
      </c>
      <c r="C727" s="41">
        <v>1053</v>
      </c>
      <c r="D727" s="41" t="s">
        <v>527</v>
      </c>
      <c r="E727" s="41">
        <v>10530112</v>
      </c>
      <c r="F727" s="85" t="s">
        <v>1430</v>
      </c>
      <c r="G727" s="39" t="s">
        <v>92</v>
      </c>
      <c r="H727" s="52" t="s">
        <v>93</v>
      </c>
      <c r="I727" s="52">
        <v>395.25</v>
      </c>
      <c r="J727" s="49">
        <v>16053.420000000002</v>
      </c>
      <c r="K727" s="58">
        <v>397.20999999999992</v>
      </c>
      <c r="L727" s="58">
        <v>15854.339999999997</v>
      </c>
      <c r="M727" s="58">
        <v>0</v>
      </c>
      <c r="N727" s="58">
        <v>0</v>
      </c>
      <c r="O727" s="65">
        <v>397.20999999999992</v>
      </c>
      <c r="P727" s="65">
        <v>15854.339999999997</v>
      </c>
      <c r="Q727" s="50">
        <v>15854.339999999997</v>
      </c>
      <c r="R727" s="65">
        <v>0</v>
      </c>
      <c r="S727" s="65">
        <v>0</v>
      </c>
      <c r="T727" s="65">
        <v>0</v>
      </c>
      <c r="U727" s="65">
        <v>0</v>
      </c>
      <c r="V727" s="65">
        <v>0</v>
      </c>
      <c r="W727" s="65">
        <v>0</v>
      </c>
      <c r="X727" s="65">
        <v>15855</v>
      </c>
      <c r="Y727" s="65">
        <v>0</v>
      </c>
      <c r="Z727" s="65">
        <v>0</v>
      </c>
      <c r="AA727" s="51">
        <v>198</v>
      </c>
      <c r="AB727" s="102">
        <v>0</v>
      </c>
      <c r="AC727" s="81">
        <f t="shared" si="36"/>
        <v>247.55368728652758</v>
      </c>
      <c r="AD727" s="82">
        <f t="shared" si="37"/>
        <v>56.464285714285715</v>
      </c>
      <c r="AE727" s="218">
        <v>1.2401095841260328E-2</v>
      </c>
      <c r="AF727">
        <v>4</v>
      </c>
      <c r="AH727" t="str">
        <f t="shared" si="35"/>
        <v>Kalyanpur</v>
      </c>
      <c r="AJ727" s="72">
        <v>0</v>
      </c>
      <c r="AK727" s="72"/>
      <c r="AL727" s="72"/>
      <c r="AM727" s="72"/>
    </row>
    <row r="728" spans="1:39" x14ac:dyDescent="0.25">
      <c r="A728" s="37" t="s">
        <v>62</v>
      </c>
      <c r="B728" s="66" t="s">
        <v>1596</v>
      </c>
      <c r="C728" s="41">
        <v>1053</v>
      </c>
      <c r="D728" s="41" t="s">
        <v>527</v>
      </c>
      <c r="E728" s="41">
        <v>10530113</v>
      </c>
      <c r="F728" s="85" t="s">
        <v>1473</v>
      </c>
      <c r="G728" s="39" t="s">
        <v>92</v>
      </c>
      <c r="H728" s="52" t="s">
        <v>93</v>
      </c>
      <c r="I728" s="52">
        <v>455.8</v>
      </c>
      <c r="J728" s="49">
        <v>18228.299999999996</v>
      </c>
      <c r="K728" s="58">
        <v>444.72</v>
      </c>
      <c r="L728" s="58">
        <v>18125.05</v>
      </c>
      <c r="M728" s="58">
        <v>2.620000000000001</v>
      </c>
      <c r="N728" s="58">
        <v>99.87</v>
      </c>
      <c r="O728" s="65">
        <v>447.34000000000003</v>
      </c>
      <c r="P728" s="65">
        <v>18224.919999999998</v>
      </c>
      <c r="Q728" s="50">
        <v>18224.919999999998</v>
      </c>
      <c r="R728" s="65">
        <v>0</v>
      </c>
      <c r="S728" s="65">
        <v>99.87</v>
      </c>
      <c r="T728" s="65">
        <v>0</v>
      </c>
      <c r="U728" s="65">
        <v>3330.2</v>
      </c>
      <c r="V728" s="65">
        <v>0</v>
      </c>
      <c r="W728" s="65">
        <v>0</v>
      </c>
      <c r="X728" s="65">
        <v>14795</v>
      </c>
      <c r="Y728" s="65">
        <v>0</v>
      </c>
      <c r="Z728" s="65">
        <v>0</v>
      </c>
      <c r="AA728" s="51">
        <v>3</v>
      </c>
      <c r="AB728" s="102">
        <v>0</v>
      </c>
      <c r="AC728" s="81">
        <f t="shared" si="36"/>
        <v>195.32035366388757</v>
      </c>
      <c r="AD728" s="82">
        <f t="shared" si="37"/>
        <v>65.114285714285714</v>
      </c>
      <c r="AE728" s="218">
        <v>1.8542595853685652E-4</v>
      </c>
      <c r="AF728">
        <v>7</v>
      </c>
      <c r="AH728" t="str">
        <f t="shared" si="35"/>
        <v>Kalyanpur</v>
      </c>
      <c r="AJ728" s="72">
        <v>0</v>
      </c>
      <c r="AK728" s="72"/>
      <c r="AL728" s="72"/>
      <c r="AM728" s="72"/>
    </row>
    <row r="729" spans="1:39" x14ac:dyDescent="0.25">
      <c r="A729" s="37" t="s">
        <v>62</v>
      </c>
      <c r="B729" s="66" t="s">
        <v>1596</v>
      </c>
      <c r="C729" s="41">
        <v>1053</v>
      </c>
      <c r="D729" s="41" t="s">
        <v>527</v>
      </c>
      <c r="E729" s="41">
        <v>10530114</v>
      </c>
      <c r="F729" s="85" t="s">
        <v>1504</v>
      </c>
      <c r="G729" s="39" t="s">
        <v>92</v>
      </c>
      <c r="H729" s="52" t="s">
        <v>93</v>
      </c>
      <c r="I729" s="52">
        <v>377.34999999999997</v>
      </c>
      <c r="J729" s="49">
        <v>17068.37</v>
      </c>
      <c r="K729" s="58">
        <v>372.06</v>
      </c>
      <c r="L729" s="58">
        <v>16914.580000000002</v>
      </c>
      <c r="M729" s="58">
        <v>3.28</v>
      </c>
      <c r="N729" s="58">
        <v>150.07</v>
      </c>
      <c r="O729" s="65">
        <v>375.34</v>
      </c>
      <c r="P729" s="65">
        <v>17064.650000000001</v>
      </c>
      <c r="Q729" s="50">
        <v>17064.650000000001</v>
      </c>
      <c r="R729" s="65">
        <v>0</v>
      </c>
      <c r="S729" s="65">
        <v>150.07</v>
      </c>
      <c r="T729" s="65">
        <v>0</v>
      </c>
      <c r="U729" s="65">
        <v>0</v>
      </c>
      <c r="V729" s="65">
        <v>0</v>
      </c>
      <c r="W729" s="65">
        <v>0</v>
      </c>
      <c r="X729" s="65">
        <v>16916</v>
      </c>
      <c r="Y729" s="65">
        <v>0</v>
      </c>
      <c r="Z729" s="65">
        <v>0</v>
      </c>
      <c r="AA729" s="51">
        <v>2</v>
      </c>
      <c r="AB729" s="102">
        <v>0</v>
      </c>
      <c r="AC729" s="81">
        <f t="shared" si="36"/>
        <v>291.88337514244074</v>
      </c>
      <c r="AD729" s="82">
        <f t="shared" si="37"/>
        <v>53.907142857142851</v>
      </c>
      <c r="AE729" s="218">
        <v>2.1794699786784131E-4</v>
      </c>
      <c r="AF729">
        <v>15</v>
      </c>
      <c r="AH729" t="str">
        <f t="shared" si="35"/>
        <v>Kalyanpur</v>
      </c>
      <c r="AJ729" s="72">
        <v>0</v>
      </c>
      <c r="AK729" s="72"/>
      <c r="AL729" s="72"/>
      <c r="AM729" s="72"/>
    </row>
    <row r="730" spans="1:39" x14ac:dyDescent="0.25">
      <c r="A730" s="37" t="s">
        <v>62</v>
      </c>
      <c r="B730" s="66" t="s">
        <v>1596</v>
      </c>
      <c r="C730" s="41">
        <v>1053</v>
      </c>
      <c r="D730" s="41" t="s">
        <v>527</v>
      </c>
      <c r="E730" s="41">
        <v>10530116</v>
      </c>
      <c r="F730" s="85" t="s">
        <v>1549</v>
      </c>
      <c r="G730" s="39" t="s">
        <v>617</v>
      </c>
      <c r="H730" s="52" t="s">
        <v>98</v>
      </c>
      <c r="I730" s="52">
        <v>702.59999999999991</v>
      </c>
      <c r="J730" s="49">
        <v>27888.880000000001</v>
      </c>
      <c r="K730" s="58">
        <v>0</v>
      </c>
      <c r="L730" s="58">
        <v>0</v>
      </c>
      <c r="M730" s="58">
        <v>0</v>
      </c>
      <c r="N730" s="58">
        <v>0</v>
      </c>
      <c r="O730" s="65">
        <v>0</v>
      </c>
      <c r="P730" s="65">
        <v>0</v>
      </c>
      <c r="Q730" s="50">
        <v>27888.880000000001</v>
      </c>
      <c r="R730" s="65">
        <v>0</v>
      </c>
      <c r="S730" s="65">
        <v>0</v>
      </c>
      <c r="T730" s="65">
        <v>0</v>
      </c>
      <c r="U730" s="65">
        <v>0</v>
      </c>
      <c r="V730" s="65">
        <v>0</v>
      </c>
      <c r="W730" s="65">
        <v>0</v>
      </c>
      <c r="X730" s="65">
        <v>0</v>
      </c>
      <c r="Y730" s="65">
        <v>0</v>
      </c>
      <c r="Z730" s="65">
        <v>27888.880000000001</v>
      </c>
      <c r="AA730" s="51">
        <v>0</v>
      </c>
      <c r="AB730" s="102">
        <v>0</v>
      </c>
      <c r="AC730" s="81">
        <f t="shared" si="36"/>
        <v>0</v>
      </c>
      <c r="AD730" s="82">
        <f t="shared" si="37"/>
        <v>0</v>
      </c>
      <c r="AE730" s="218">
        <v>0</v>
      </c>
      <c r="AF730">
        <v>0</v>
      </c>
      <c r="AH730" t="str">
        <f t="shared" si="35"/>
        <v>Kalyanpur</v>
      </c>
      <c r="AJ730" s="72">
        <v>0</v>
      </c>
      <c r="AK730" s="72"/>
      <c r="AL730" s="72"/>
      <c r="AM730" s="72"/>
    </row>
    <row r="731" spans="1:39" x14ac:dyDescent="0.25">
      <c r="A731" s="37" t="s">
        <v>62</v>
      </c>
      <c r="B731" s="66" t="s">
        <v>1596</v>
      </c>
      <c r="C731" s="41">
        <v>1054</v>
      </c>
      <c r="D731" s="41" t="s">
        <v>808</v>
      </c>
      <c r="E731" s="41">
        <v>10540003</v>
      </c>
      <c r="F731" s="85" t="s">
        <v>663</v>
      </c>
      <c r="G731" s="39" t="s">
        <v>92</v>
      </c>
      <c r="H731" s="52" t="s">
        <v>93</v>
      </c>
      <c r="I731" s="52">
        <v>2763.6</v>
      </c>
      <c r="J731" s="49">
        <v>116781.21</v>
      </c>
      <c r="K731" s="58">
        <v>2763.6</v>
      </c>
      <c r="L731" s="58">
        <v>116781.21000000002</v>
      </c>
      <c r="M731" s="58">
        <v>0</v>
      </c>
      <c r="N731" s="58">
        <v>0</v>
      </c>
      <c r="O731" s="65">
        <v>2763.6</v>
      </c>
      <c r="P731" s="65">
        <v>116781.21000000002</v>
      </c>
      <c r="Q731" s="50">
        <v>116781.21</v>
      </c>
      <c r="R731" s="65">
        <v>0</v>
      </c>
      <c r="S731" s="65">
        <v>0</v>
      </c>
      <c r="T731" s="65">
        <v>0</v>
      </c>
      <c r="U731" s="65">
        <v>0</v>
      </c>
      <c r="V731" s="65">
        <v>0</v>
      </c>
      <c r="W731" s="65">
        <v>0</v>
      </c>
      <c r="X731" s="65">
        <v>116781</v>
      </c>
      <c r="Y731" s="65">
        <v>0</v>
      </c>
      <c r="Z731" s="65">
        <v>0</v>
      </c>
      <c r="AA731" s="51">
        <v>0</v>
      </c>
      <c r="AB731" s="102">
        <v>0</v>
      </c>
      <c r="AC731" s="81">
        <f t="shared" si="36"/>
        <v>0</v>
      </c>
      <c r="AD731" s="82">
        <f t="shared" si="37"/>
        <v>0</v>
      </c>
      <c r="AE731" s="218">
        <v>-1.2460836146814074E-16</v>
      </c>
      <c r="AF731">
        <v>1</v>
      </c>
      <c r="AH731" t="str">
        <f t="shared" si="35"/>
        <v xml:space="preserve">Alauli </v>
      </c>
      <c r="AJ731" s="72">
        <v>0</v>
      </c>
      <c r="AK731" s="72"/>
      <c r="AL731" s="72"/>
      <c r="AM731" s="72"/>
    </row>
    <row r="732" spans="1:39" x14ac:dyDescent="0.25">
      <c r="A732" s="37" t="s">
        <v>62</v>
      </c>
      <c r="B732" s="66" t="s">
        <v>1596</v>
      </c>
      <c r="C732" s="41">
        <v>1054</v>
      </c>
      <c r="D732" s="41" t="s">
        <v>808</v>
      </c>
      <c r="E732" s="41">
        <v>10540005</v>
      </c>
      <c r="F732" s="85" t="s">
        <v>665</v>
      </c>
      <c r="G732" s="39" t="s">
        <v>92</v>
      </c>
      <c r="H732" s="52" t="s">
        <v>93</v>
      </c>
      <c r="I732" s="52">
        <v>298.09999999999997</v>
      </c>
      <c r="J732" s="49">
        <v>13264.36</v>
      </c>
      <c r="K732" s="58">
        <v>321.57</v>
      </c>
      <c r="L732" s="58">
        <v>13587.09</v>
      </c>
      <c r="M732" s="58">
        <v>0</v>
      </c>
      <c r="N732" s="58">
        <v>0</v>
      </c>
      <c r="O732" s="65">
        <v>321.57</v>
      </c>
      <c r="P732" s="65">
        <v>13587.09</v>
      </c>
      <c r="Q732" s="50">
        <v>13264.36</v>
      </c>
      <c r="R732" s="65">
        <v>0</v>
      </c>
      <c r="S732" s="65">
        <v>0</v>
      </c>
      <c r="T732" s="65">
        <v>322.72999999999956</v>
      </c>
      <c r="U732" s="65">
        <v>1376</v>
      </c>
      <c r="V732" s="65">
        <v>0</v>
      </c>
      <c r="W732" s="65">
        <v>0</v>
      </c>
      <c r="X732" s="65">
        <v>11888</v>
      </c>
      <c r="Y732" s="65">
        <v>0</v>
      </c>
      <c r="Z732" s="65">
        <v>0</v>
      </c>
      <c r="AA732" s="51">
        <v>0</v>
      </c>
      <c r="AB732" s="102" t="s">
        <v>1600</v>
      </c>
      <c r="AC732" s="81">
        <f t="shared" si="36"/>
        <v>357.66160912445497</v>
      </c>
      <c r="AD732" s="82">
        <f t="shared" si="37"/>
        <v>42.585714285714282</v>
      </c>
      <c r="AE732" s="218">
        <v>-2.4330612257206494E-2</v>
      </c>
      <c r="AF732">
        <v>10</v>
      </c>
      <c r="AH732" t="str">
        <f t="shared" si="35"/>
        <v xml:space="preserve">Alauli </v>
      </c>
      <c r="AJ732" s="72">
        <v>0</v>
      </c>
      <c r="AK732" s="72"/>
      <c r="AL732" s="72"/>
      <c r="AM732" s="72"/>
    </row>
    <row r="733" spans="1:39" x14ac:dyDescent="0.25">
      <c r="A733" s="37" t="s">
        <v>62</v>
      </c>
      <c r="B733" s="66" t="s">
        <v>1596</v>
      </c>
      <c r="C733" s="41">
        <v>1054</v>
      </c>
      <c r="D733" s="41" t="s">
        <v>808</v>
      </c>
      <c r="E733" s="41">
        <v>10540008</v>
      </c>
      <c r="F733" s="85" t="s">
        <v>1123</v>
      </c>
      <c r="G733" s="39" t="s">
        <v>92</v>
      </c>
      <c r="H733" s="52" t="s">
        <v>93</v>
      </c>
      <c r="I733" s="52">
        <v>96.800000000000011</v>
      </c>
      <c r="J733" s="49">
        <v>4378.55</v>
      </c>
      <c r="K733" s="58">
        <v>107.36000000000001</v>
      </c>
      <c r="L733" s="58">
        <v>5105.49</v>
      </c>
      <c r="M733" s="58">
        <v>0</v>
      </c>
      <c r="N733" s="58">
        <v>0</v>
      </c>
      <c r="O733" s="65">
        <v>107.36000000000001</v>
      </c>
      <c r="P733" s="65">
        <v>5105.49</v>
      </c>
      <c r="Q733" s="50">
        <v>4378.55</v>
      </c>
      <c r="R733" s="65">
        <v>0</v>
      </c>
      <c r="S733" s="65">
        <v>0</v>
      </c>
      <c r="T733" s="65">
        <v>726.9399999999996</v>
      </c>
      <c r="U733" s="65">
        <v>0</v>
      </c>
      <c r="V733" s="65">
        <v>500</v>
      </c>
      <c r="W733" s="65">
        <v>0</v>
      </c>
      <c r="X733" s="65">
        <v>3879</v>
      </c>
      <c r="Y733" s="65">
        <v>0</v>
      </c>
      <c r="Z733" s="65">
        <v>0</v>
      </c>
      <c r="AA733" s="51">
        <v>0</v>
      </c>
      <c r="AB733" s="102" t="s">
        <v>1600</v>
      </c>
      <c r="AC733" s="81">
        <f t="shared" si="36"/>
        <v>545.69036363636349</v>
      </c>
      <c r="AD733" s="82">
        <f t="shared" si="37"/>
        <v>13.828571428571431</v>
      </c>
      <c r="AE733" s="218">
        <v>-0.16602299848123228</v>
      </c>
      <c r="AF733">
        <v>7</v>
      </c>
      <c r="AH733" t="str">
        <f t="shared" si="35"/>
        <v xml:space="preserve">Alauli </v>
      </c>
      <c r="AJ733" s="72">
        <v>500</v>
      </c>
      <c r="AK733" s="72"/>
      <c r="AL733" s="72"/>
      <c r="AM733" s="72"/>
    </row>
    <row r="734" spans="1:39" x14ac:dyDescent="0.25">
      <c r="A734" s="37" t="s">
        <v>62</v>
      </c>
      <c r="B734" s="66" t="s">
        <v>1596</v>
      </c>
      <c r="C734" s="41">
        <v>1054</v>
      </c>
      <c r="D734" s="41" t="s">
        <v>808</v>
      </c>
      <c r="E734" s="41">
        <v>10540009</v>
      </c>
      <c r="F734" s="85" t="s">
        <v>830</v>
      </c>
      <c r="G734" s="39" t="s">
        <v>92</v>
      </c>
      <c r="H734" s="52" t="s">
        <v>93</v>
      </c>
      <c r="I734" s="52">
        <v>1114</v>
      </c>
      <c r="J734" s="49">
        <v>48321.97</v>
      </c>
      <c r="K734" s="58">
        <v>1128.2300000000002</v>
      </c>
      <c r="L734" s="58">
        <v>48858.630000000005</v>
      </c>
      <c r="M734" s="58">
        <v>0</v>
      </c>
      <c r="N734" s="58">
        <v>0</v>
      </c>
      <c r="O734" s="65">
        <v>1128.2300000000002</v>
      </c>
      <c r="P734" s="65">
        <v>48858.630000000005</v>
      </c>
      <c r="Q734" s="50">
        <v>48321.97</v>
      </c>
      <c r="R734" s="65">
        <v>0</v>
      </c>
      <c r="S734" s="65">
        <v>0</v>
      </c>
      <c r="T734" s="65">
        <v>536.66000000000349</v>
      </c>
      <c r="U734" s="65">
        <v>0</v>
      </c>
      <c r="V734" s="65">
        <v>0</v>
      </c>
      <c r="W734" s="65">
        <v>0</v>
      </c>
      <c r="X734" s="65">
        <v>48322</v>
      </c>
      <c r="Y734" s="65">
        <v>0</v>
      </c>
      <c r="Z734" s="65">
        <v>0</v>
      </c>
      <c r="AA734" s="51">
        <v>0</v>
      </c>
      <c r="AB734" s="102">
        <v>0</v>
      </c>
      <c r="AC734" s="81">
        <f t="shared" si="36"/>
        <v>0</v>
      </c>
      <c r="AD734" s="82">
        <f t="shared" si="37"/>
        <v>0</v>
      </c>
      <c r="AE734" s="218">
        <v>-1.1105921385241609E-2</v>
      </c>
      <c r="AF734">
        <v>29</v>
      </c>
      <c r="AH734" t="str">
        <f t="shared" si="35"/>
        <v xml:space="preserve">Alauli </v>
      </c>
      <c r="AJ734" s="72">
        <v>0</v>
      </c>
      <c r="AK734" s="72"/>
      <c r="AL734" s="72"/>
      <c r="AM734" s="72"/>
    </row>
    <row r="735" spans="1:39" x14ac:dyDescent="0.25">
      <c r="A735" s="37" t="s">
        <v>62</v>
      </c>
      <c r="B735" s="66" t="s">
        <v>1596</v>
      </c>
      <c r="C735" s="41">
        <v>1054</v>
      </c>
      <c r="D735" s="41" t="s">
        <v>808</v>
      </c>
      <c r="E735" s="41">
        <v>10540010</v>
      </c>
      <c r="F735" s="85" t="s">
        <v>597</v>
      </c>
      <c r="G735" s="39" t="s">
        <v>617</v>
      </c>
      <c r="H735" s="52" t="s">
        <v>98</v>
      </c>
      <c r="I735" s="52">
        <v>2191.2999999999997</v>
      </c>
      <c r="J735" s="49">
        <v>91661.37000000001</v>
      </c>
      <c r="K735" s="58">
        <v>0</v>
      </c>
      <c r="L735" s="58">
        <v>0</v>
      </c>
      <c r="M735" s="58">
        <v>0</v>
      </c>
      <c r="N735" s="58">
        <v>0</v>
      </c>
      <c r="O735" s="65">
        <v>0</v>
      </c>
      <c r="P735" s="65">
        <v>0</v>
      </c>
      <c r="Q735" s="50">
        <v>91661.37000000001</v>
      </c>
      <c r="R735" s="65">
        <v>0</v>
      </c>
      <c r="S735" s="65">
        <v>0</v>
      </c>
      <c r="T735" s="65">
        <v>0</v>
      </c>
      <c r="U735" s="65">
        <v>0</v>
      </c>
      <c r="V735" s="65">
        <v>0</v>
      </c>
      <c r="W735" s="65">
        <v>0</v>
      </c>
      <c r="X735" s="65">
        <v>0</v>
      </c>
      <c r="Y735" s="65">
        <v>0</v>
      </c>
      <c r="Z735" s="65">
        <v>91661.37000000001</v>
      </c>
      <c r="AA735" s="51">
        <v>0</v>
      </c>
      <c r="AB735" s="102">
        <v>0</v>
      </c>
      <c r="AC735" s="81">
        <f t="shared" si="36"/>
        <v>0</v>
      </c>
      <c r="AD735" s="82">
        <f t="shared" si="37"/>
        <v>0</v>
      </c>
      <c r="AE735" s="218">
        <v>0</v>
      </c>
      <c r="AF735">
        <v>0</v>
      </c>
      <c r="AH735" t="str">
        <f t="shared" si="35"/>
        <v xml:space="preserve">Alauli </v>
      </c>
      <c r="AJ735" s="72">
        <v>0</v>
      </c>
      <c r="AK735" s="72"/>
      <c r="AL735" s="72"/>
      <c r="AM735" s="72"/>
    </row>
    <row r="736" spans="1:39" x14ac:dyDescent="0.25">
      <c r="A736" s="37" t="s">
        <v>62</v>
      </c>
      <c r="B736" s="66" t="s">
        <v>1596</v>
      </c>
      <c r="C736" s="41">
        <v>1054</v>
      </c>
      <c r="D736" s="41" t="s">
        <v>808</v>
      </c>
      <c r="E736" s="41">
        <v>10540012</v>
      </c>
      <c r="F736" s="85" t="s">
        <v>821</v>
      </c>
      <c r="G736" s="39" t="s">
        <v>617</v>
      </c>
      <c r="H736" s="52" t="s">
        <v>98</v>
      </c>
      <c r="I736" s="52">
        <v>164.20000000000002</v>
      </c>
      <c r="J736" s="49">
        <v>6064.97</v>
      </c>
      <c r="K736" s="58">
        <v>0</v>
      </c>
      <c r="L736" s="58">
        <v>0</v>
      </c>
      <c r="M736" s="58">
        <v>0</v>
      </c>
      <c r="N736" s="58">
        <v>0</v>
      </c>
      <c r="O736" s="65">
        <v>0</v>
      </c>
      <c r="P736" s="65">
        <v>0</v>
      </c>
      <c r="Q736" s="50">
        <v>6064.97</v>
      </c>
      <c r="R736" s="65">
        <v>0</v>
      </c>
      <c r="S736" s="65">
        <v>0</v>
      </c>
      <c r="T736" s="65">
        <v>0</v>
      </c>
      <c r="U736" s="65">
        <v>0</v>
      </c>
      <c r="V736" s="65">
        <v>0</v>
      </c>
      <c r="W736" s="65">
        <v>0</v>
      </c>
      <c r="X736" s="65">
        <v>0</v>
      </c>
      <c r="Y736" s="65">
        <v>0</v>
      </c>
      <c r="Z736" s="65">
        <v>6064.97</v>
      </c>
      <c r="AA736" s="51">
        <v>0</v>
      </c>
      <c r="AB736" s="102">
        <v>0</v>
      </c>
      <c r="AC736" s="81">
        <f t="shared" si="36"/>
        <v>395.81131863580998</v>
      </c>
      <c r="AD736" s="82">
        <f t="shared" si="37"/>
        <v>23.457142857142859</v>
      </c>
      <c r="AE736" s="218">
        <v>0</v>
      </c>
      <c r="AF736">
        <v>0</v>
      </c>
      <c r="AH736" t="str">
        <f t="shared" si="35"/>
        <v xml:space="preserve">Alauli </v>
      </c>
      <c r="AJ736" s="72">
        <v>0</v>
      </c>
      <c r="AK736" s="72"/>
      <c r="AL736" s="72"/>
      <c r="AM736" s="72"/>
    </row>
    <row r="737" spans="1:39" x14ac:dyDescent="0.25">
      <c r="A737" s="37" t="s">
        <v>62</v>
      </c>
      <c r="B737" s="66" t="s">
        <v>1596</v>
      </c>
      <c r="C737" s="41">
        <v>1054</v>
      </c>
      <c r="D737" s="41" t="s">
        <v>808</v>
      </c>
      <c r="E737" s="41">
        <v>10540014</v>
      </c>
      <c r="F737" s="85" t="s">
        <v>1124</v>
      </c>
      <c r="G737" s="39" t="s">
        <v>617</v>
      </c>
      <c r="H737" s="52" t="s">
        <v>98</v>
      </c>
      <c r="I737" s="52">
        <v>59.699999999999996</v>
      </c>
      <c r="J737" s="49">
        <v>3030.2499999999995</v>
      </c>
      <c r="K737" s="58">
        <v>0</v>
      </c>
      <c r="L737" s="58">
        <v>0</v>
      </c>
      <c r="M737" s="58">
        <v>0</v>
      </c>
      <c r="N737" s="58">
        <v>0</v>
      </c>
      <c r="O737" s="65">
        <v>0</v>
      </c>
      <c r="P737" s="65">
        <v>0</v>
      </c>
      <c r="Q737" s="50">
        <v>3030.2499999999995</v>
      </c>
      <c r="R737" s="65">
        <v>0</v>
      </c>
      <c r="S737" s="65">
        <v>0</v>
      </c>
      <c r="T737" s="65">
        <v>0</v>
      </c>
      <c r="U737" s="65">
        <v>0</v>
      </c>
      <c r="V737" s="65">
        <v>0</v>
      </c>
      <c r="W737" s="65">
        <v>0</v>
      </c>
      <c r="X737" s="65">
        <v>0</v>
      </c>
      <c r="Y737" s="65">
        <v>0</v>
      </c>
      <c r="Z737" s="65">
        <v>3030.2499999999995</v>
      </c>
      <c r="AA737" s="51">
        <v>0</v>
      </c>
      <c r="AB737" s="102">
        <v>0</v>
      </c>
      <c r="AC737" s="81">
        <f t="shared" si="36"/>
        <v>650.00639028475712</v>
      </c>
      <c r="AD737" s="82">
        <f t="shared" si="37"/>
        <v>8.5285714285714285</v>
      </c>
      <c r="AE737" s="218">
        <v>0</v>
      </c>
      <c r="AF737">
        <v>0</v>
      </c>
      <c r="AH737" t="str">
        <f t="shared" si="35"/>
        <v xml:space="preserve">Alauli </v>
      </c>
      <c r="AJ737" s="72">
        <v>0</v>
      </c>
      <c r="AK737" s="72"/>
      <c r="AL737" s="72"/>
      <c r="AM737" s="72"/>
    </row>
    <row r="738" spans="1:39" x14ac:dyDescent="0.25">
      <c r="A738" s="37" t="s">
        <v>62</v>
      </c>
      <c r="B738" s="66" t="s">
        <v>1596</v>
      </c>
      <c r="C738" s="41">
        <v>1054</v>
      </c>
      <c r="D738" s="41" t="s">
        <v>808</v>
      </c>
      <c r="E738" s="41">
        <v>10540016</v>
      </c>
      <c r="F738" s="85" t="s">
        <v>1137</v>
      </c>
      <c r="G738" s="39" t="s">
        <v>92</v>
      </c>
      <c r="H738" s="52" t="s">
        <v>93</v>
      </c>
      <c r="I738" s="52">
        <v>424.7</v>
      </c>
      <c r="J738" s="49">
        <v>24427.359999999997</v>
      </c>
      <c r="K738" s="58">
        <v>432.95999999999992</v>
      </c>
      <c r="L738" s="58">
        <v>24294.05</v>
      </c>
      <c r="M738" s="58">
        <v>3.100000000000001</v>
      </c>
      <c r="N738" s="58">
        <v>157.34999999999997</v>
      </c>
      <c r="O738" s="65">
        <v>436.05999999999995</v>
      </c>
      <c r="P738" s="65">
        <v>24451.399999999998</v>
      </c>
      <c r="Q738" s="50">
        <v>24427.359999999997</v>
      </c>
      <c r="R738" s="65">
        <v>0</v>
      </c>
      <c r="S738" s="65">
        <v>157.34999999999997</v>
      </c>
      <c r="T738" s="65">
        <v>24.040000000000873</v>
      </c>
      <c r="U738" s="65">
        <v>0</v>
      </c>
      <c r="V738" s="65">
        <v>0</v>
      </c>
      <c r="W738" s="65">
        <v>0</v>
      </c>
      <c r="X738" s="65">
        <v>24270</v>
      </c>
      <c r="Y738" s="65">
        <v>0</v>
      </c>
      <c r="Z738" s="65">
        <v>0</v>
      </c>
      <c r="AA738" s="51">
        <v>0</v>
      </c>
      <c r="AB738" s="102">
        <v>0</v>
      </c>
      <c r="AC738" s="81">
        <f t="shared" si="36"/>
        <v>316.68717720744053</v>
      </c>
      <c r="AD738" s="82">
        <f t="shared" si="37"/>
        <v>60.671428571428571</v>
      </c>
      <c r="AE738" s="218">
        <v>-9.8414237150477478E-4</v>
      </c>
      <c r="AF738">
        <v>9</v>
      </c>
      <c r="AH738" t="str">
        <f t="shared" si="35"/>
        <v xml:space="preserve">Alauli </v>
      </c>
      <c r="AJ738" s="72">
        <v>0</v>
      </c>
      <c r="AK738" s="72"/>
      <c r="AL738" s="72"/>
      <c r="AM738" s="72"/>
    </row>
    <row r="739" spans="1:39" x14ac:dyDescent="0.25">
      <c r="A739" s="37" t="s">
        <v>62</v>
      </c>
      <c r="B739" s="66" t="s">
        <v>1596</v>
      </c>
      <c r="C739" s="41">
        <v>1054</v>
      </c>
      <c r="D739" s="41" t="s">
        <v>808</v>
      </c>
      <c r="E739" s="41">
        <v>10540017</v>
      </c>
      <c r="F739" s="85" t="s">
        <v>1138</v>
      </c>
      <c r="G739" s="39" t="s">
        <v>92</v>
      </c>
      <c r="H739" s="52" t="s">
        <v>93</v>
      </c>
      <c r="I739" s="52">
        <v>735.1</v>
      </c>
      <c r="J739" s="49">
        <v>28918.39</v>
      </c>
      <c r="K739" s="58">
        <v>735.04</v>
      </c>
      <c r="L739" s="58">
        <v>29059.62</v>
      </c>
      <c r="M739" s="58">
        <v>0</v>
      </c>
      <c r="N739" s="58">
        <v>0</v>
      </c>
      <c r="O739" s="65">
        <v>735.04</v>
      </c>
      <c r="P739" s="65">
        <v>29059.62</v>
      </c>
      <c r="Q739" s="50">
        <v>28918.39</v>
      </c>
      <c r="R739" s="65">
        <v>0</v>
      </c>
      <c r="S739" s="65">
        <v>0</v>
      </c>
      <c r="T739" s="65">
        <v>141.22999999999956</v>
      </c>
      <c r="U739" s="65">
        <v>0</v>
      </c>
      <c r="V739" s="65">
        <v>0</v>
      </c>
      <c r="W739" s="65">
        <v>0</v>
      </c>
      <c r="X739" s="65">
        <v>28918</v>
      </c>
      <c r="Y739" s="65">
        <v>0</v>
      </c>
      <c r="Z739" s="65">
        <v>0</v>
      </c>
      <c r="AA739" s="51">
        <v>0</v>
      </c>
      <c r="AB739" s="102">
        <v>0</v>
      </c>
      <c r="AC739" s="81">
        <f t="shared" si="36"/>
        <v>0</v>
      </c>
      <c r="AD739" s="82">
        <f t="shared" si="37"/>
        <v>0</v>
      </c>
      <c r="AE739" s="218">
        <v>-4.8837435279073128E-3</v>
      </c>
      <c r="AF739">
        <v>2</v>
      </c>
      <c r="AH739" t="str">
        <f t="shared" si="35"/>
        <v xml:space="preserve">Alauli </v>
      </c>
      <c r="AJ739" s="72">
        <v>0</v>
      </c>
      <c r="AK739" s="72"/>
      <c r="AL739" s="72"/>
      <c r="AM739" s="72"/>
    </row>
    <row r="740" spans="1:39" x14ac:dyDescent="0.25">
      <c r="A740" s="37" t="s">
        <v>62</v>
      </c>
      <c r="B740" s="66" t="s">
        <v>1596</v>
      </c>
      <c r="C740" s="41">
        <v>1054</v>
      </c>
      <c r="D740" s="41" t="s">
        <v>808</v>
      </c>
      <c r="E740" s="41">
        <v>10540018</v>
      </c>
      <c r="F740" s="85" t="s">
        <v>1139</v>
      </c>
      <c r="G740" s="39" t="s">
        <v>92</v>
      </c>
      <c r="H740" s="52" t="s">
        <v>93</v>
      </c>
      <c r="I740" s="52">
        <v>349.1</v>
      </c>
      <c r="J740" s="49">
        <v>15573.95</v>
      </c>
      <c r="K740" s="58">
        <v>373.53</v>
      </c>
      <c r="L740" s="58">
        <v>15592.55</v>
      </c>
      <c r="M740" s="58">
        <v>0</v>
      </c>
      <c r="N740" s="58">
        <v>0</v>
      </c>
      <c r="O740" s="65">
        <v>373.53</v>
      </c>
      <c r="P740" s="65">
        <v>15592.55</v>
      </c>
      <c r="Q740" s="50">
        <v>15573.95</v>
      </c>
      <c r="R740" s="65">
        <v>0</v>
      </c>
      <c r="S740" s="65">
        <v>0</v>
      </c>
      <c r="T740" s="65">
        <v>18.599999999998545</v>
      </c>
      <c r="U740" s="65">
        <v>0</v>
      </c>
      <c r="V740" s="65">
        <v>500</v>
      </c>
      <c r="W740" s="65">
        <v>0</v>
      </c>
      <c r="X740" s="65">
        <v>15074</v>
      </c>
      <c r="Y740" s="65">
        <v>0</v>
      </c>
      <c r="Z740" s="65">
        <v>0</v>
      </c>
      <c r="AA740" s="51">
        <v>0</v>
      </c>
      <c r="AB740" s="102">
        <v>0</v>
      </c>
      <c r="AC740" s="81">
        <f t="shared" si="36"/>
        <v>313.08502177026634</v>
      </c>
      <c r="AD740" s="82">
        <f t="shared" si="37"/>
        <v>49.871428571428574</v>
      </c>
      <c r="AE740" s="218">
        <v>-1.1943020235713191E-3</v>
      </c>
      <c r="AF740">
        <v>8</v>
      </c>
      <c r="AH740" t="str">
        <f t="shared" si="35"/>
        <v xml:space="preserve">Alauli </v>
      </c>
      <c r="AJ740" s="72">
        <v>500</v>
      </c>
      <c r="AK740" s="72"/>
      <c r="AL740" s="72"/>
      <c r="AM740" s="72"/>
    </row>
    <row r="741" spans="1:39" x14ac:dyDescent="0.25">
      <c r="A741" s="37" t="s">
        <v>62</v>
      </c>
      <c r="B741" s="66" t="s">
        <v>1596</v>
      </c>
      <c r="C741" s="41">
        <v>1054</v>
      </c>
      <c r="D741" s="41" t="s">
        <v>808</v>
      </c>
      <c r="E741" s="41">
        <v>10540019</v>
      </c>
      <c r="F741" s="85" t="s">
        <v>1166</v>
      </c>
      <c r="G741" s="39" t="s">
        <v>92</v>
      </c>
      <c r="H741" s="52" t="s">
        <v>93</v>
      </c>
      <c r="I741" s="52">
        <v>116.10000000000001</v>
      </c>
      <c r="J741" s="49">
        <v>3804.8199999999993</v>
      </c>
      <c r="K741" s="58">
        <v>121.05</v>
      </c>
      <c r="L741" s="58">
        <v>4233.0599999999995</v>
      </c>
      <c r="M741" s="58">
        <v>0</v>
      </c>
      <c r="N741" s="58">
        <v>0</v>
      </c>
      <c r="O741" s="65">
        <v>121.05</v>
      </c>
      <c r="P741" s="65">
        <v>4233.0599999999995</v>
      </c>
      <c r="Q741" s="50">
        <v>3804.8199999999993</v>
      </c>
      <c r="R741" s="65">
        <v>0</v>
      </c>
      <c r="S741" s="65">
        <v>0</v>
      </c>
      <c r="T741" s="65">
        <v>428.24000000000024</v>
      </c>
      <c r="U741" s="65">
        <v>0</v>
      </c>
      <c r="V741" s="65">
        <v>500</v>
      </c>
      <c r="W741" s="65">
        <v>0</v>
      </c>
      <c r="X741" s="65">
        <v>3305</v>
      </c>
      <c r="Y741" s="65">
        <v>0</v>
      </c>
      <c r="Z741" s="65">
        <v>0</v>
      </c>
      <c r="AA741" s="51">
        <v>0</v>
      </c>
      <c r="AB741" s="102" t="s">
        <v>1598</v>
      </c>
      <c r="AC741" s="81">
        <f t="shared" si="36"/>
        <v>382.71049061154162</v>
      </c>
      <c r="AD741" s="82">
        <f t="shared" si="37"/>
        <v>16.585714285714285</v>
      </c>
      <c r="AE741" s="218">
        <v>-0.11255197354934013</v>
      </c>
      <c r="AF741">
        <v>2</v>
      </c>
      <c r="AH741" t="str">
        <f t="shared" si="35"/>
        <v xml:space="preserve">Alauli </v>
      </c>
      <c r="AJ741" s="72">
        <v>500</v>
      </c>
      <c r="AK741" s="72"/>
      <c r="AL741" s="72"/>
      <c r="AM741" s="72"/>
    </row>
    <row r="742" spans="1:39" x14ac:dyDescent="0.25">
      <c r="A742" s="37" t="s">
        <v>62</v>
      </c>
      <c r="B742" s="66" t="s">
        <v>1596</v>
      </c>
      <c r="C742" s="41">
        <v>1054</v>
      </c>
      <c r="D742" s="41" t="s">
        <v>808</v>
      </c>
      <c r="E742" s="41">
        <v>10540020</v>
      </c>
      <c r="F742" s="85" t="s">
        <v>1140</v>
      </c>
      <c r="G742" s="39" t="s">
        <v>92</v>
      </c>
      <c r="H742" s="52" t="s">
        <v>93</v>
      </c>
      <c r="I742" s="52">
        <v>75.7</v>
      </c>
      <c r="J742" s="49">
        <v>3084.6</v>
      </c>
      <c r="K742" s="58">
        <v>85.33</v>
      </c>
      <c r="L742" s="58">
        <v>3432.8300000000004</v>
      </c>
      <c r="M742" s="58">
        <v>0</v>
      </c>
      <c r="N742" s="58">
        <v>0</v>
      </c>
      <c r="O742" s="65">
        <v>85.33</v>
      </c>
      <c r="P742" s="65">
        <v>3432.8300000000004</v>
      </c>
      <c r="Q742" s="50">
        <v>3084.6</v>
      </c>
      <c r="R742" s="65">
        <v>0</v>
      </c>
      <c r="S742" s="65">
        <v>0</v>
      </c>
      <c r="T742" s="65">
        <v>348.23000000000047</v>
      </c>
      <c r="U742" s="65">
        <v>0</v>
      </c>
      <c r="V742" s="65">
        <v>500</v>
      </c>
      <c r="W742" s="65">
        <v>0</v>
      </c>
      <c r="X742" s="65">
        <v>2585</v>
      </c>
      <c r="Y742" s="65">
        <v>0</v>
      </c>
      <c r="Z742" s="65">
        <v>0</v>
      </c>
      <c r="AA742" s="51">
        <v>0</v>
      </c>
      <c r="AB742" s="102" t="s">
        <v>1600</v>
      </c>
      <c r="AC742" s="81">
        <f t="shared" si="36"/>
        <v>508.77563540290618</v>
      </c>
      <c r="AD742" s="82">
        <f t="shared" si="37"/>
        <v>10.814285714285715</v>
      </c>
      <c r="AE742" s="218">
        <v>-0.11289308176100644</v>
      </c>
      <c r="AF742">
        <v>6</v>
      </c>
      <c r="AH742" t="str">
        <f t="shared" si="35"/>
        <v xml:space="preserve">Alauli </v>
      </c>
      <c r="AJ742" s="72">
        <v>500</v>
      </c>
      <c r="AK742" s="72"/>
      <c r="AL742" s="72"/>
      <c r="AM742" s="72"/>
    </row>
    <row r="743" spans="1:39" x14ac:dyDescent="0.25">
      <c r="A743" s="37" t="s">
        <v>62</v>
      </c>
      <c r="B743" s="66" t="s">
        <v>1596</v>
      </c>
      <c r="C743" s="41">
        <v>1054</v>
      </c>
      <c r="D743" s="41" t="s">
        <v>808</v>
      </c>
      <c r="E743" s="41">
        <v>10540021</v>
      </c>
      <c r="F743" s="85" t="s">
        <v>1141</v>
      </c>
      <c r="G743" s="39" t="s">
        <v>92</v>
      </c>
      <c r="H743" s="52" t="s">
        <v>98</v>
      </c>
      <c r="I743" s="52">
        <v>725.19999999999993</v>
      </c>
      <c r="J743" s="49">
        <v>25387.61</v>
      </c>
      <c r="K743" s="58">
        <v>0</v>
      </c>
      <c r="L743" s="58">
        <v>0</v>
      </c>
      <c r="M743" s="58">
        <v>0</v>
      </c>
      <c r="N743" s="58">
        <v>0</v>
      </c>
      <c r="O743" s="65">
        <v>0</v>
      </c>
      <c r="P743" s="65">
        <v>0</v>
      </c>
      <c r="Q743" s="50">
        <v>25387.61</v>
      </c>
      <c r="R743" s="65">
        <v>0</v>
      </c>
      <c r="S743" s="65">
        <v>0</v>
      </c>
      <c r="T743" s="65">
        <v>0</v>
      </c>
      <c r="U743" s="65">
        <v>0</v>
      </c>
      <c r="V743" s="65">
        <v>0</v>
      </c>
      <c r="W743" s="65">
        <v>0</v>
      </c>
      <c r="X743" s="65">
        <v>0</v>
      </c>
      <c r="Y743" s="65">
        <v>0</v>
      </c>
      <c r="Z743" s="65">
        <v>25387.61</v>
      </c>
      <c r="AA743" s="51">
        <v>0</v>
      </c>
      <c r="AB743" s="102">
        <v>0</v>
      </c>
      <c r="AC743" s="81">
        <f t="shared" si="36"/>
        <v>0</v>
      </c>
      <c r="AD743" s="82">
        <f t="shared" si="37"/>
        <v>0</v>
      </c>
      <c r="AE743" s="218">
        <v>0</v>
      </c>
      <c r="AF743">
        <v>0</v>
      </c>
      <c r="AH743" t="str">
        <f t="shared" si="35"/>
        <v xml:space="preserve">Alauli </v>
      </c>
      <c r="AJ743" s="72">
        <v>0</v>
      </c>
      <c r="AK743" s="72"/>
      <c r="AL743" s="72"/>
      <c r="AM743" s="72"/>
    </row>
    <row r="744" spans="1:39" x14ac:dyDescent="0.25">
      <c r="A744" s="37" t="s">
        <v>62</v>
      </c>
      <c r="B744" s="66" t="s">
        <v>1596</v>
      </c>
      <c r="C744" s="41">
        <v>1054</v>
      </c>
      <c r="D744" s="41" t="s">
        <v>808</v>
      </c>
      <c r="E744" s="41">
        <v>10540026</v>
      </c>
      <c r="F744" s="85" t="s">
        <v>1241</v>
      </c>
      <c r="G744" s="39" t="s">
        <v>92</v>
      </c>
      <c r="H744" s="52" t="s">
        <v>93</v>
      </c>
      <c r="I744" s="52">
        <v>516.99999999999989</v>
      </c>
      <c r="J744" s="49">
        <v>20870.269999999997</v>
      </c>
      <c r="K744" s="58">
        <v>97.320000000000007</v>
      </c>
      <c r="L744" s="58">
        <v>4333.2700000000004</v>
      </c>
      <c r="M744" s="58">
        <v>465.16000000000008</v>
      </c>
      <c r="N744" s="58">
        <v>20156.559999999998</v>
      </c>
      <c r="O744" s="65">
        <v>562.48000000000013</v>
      </c>
      <c r="P744" s="65">
        <v>24489.829999999998</v>
      </c>
      <c r="Q744" s="50">
        <v>20870.269999999997</v>
      </c>
      <c r="R744" s="65">
        <v>0</v>
      </c>
      <c r="S744" s="65">
        <v>0</v>
      </c>
      <c r="T744" s="65">
        <v>3619.5600000000013</v>
      </c>
      <c r="U744" s="65">
        <v>0</v>
      </c>
      <c r="V744" s="65">
        <v>0</v>
      </c>
      <c r="W744" s="65">
        <v>0</v>
      </c>
      <c r="X744" s="65">
        <v>713</v>
      </c>
      <c r="Y744" s="65">
        <v>20157</v>
      </c>
      <c r="Z744" s="65">
        <v>0</v>
      </c>
      <c r="AA744" s="51">
        <v>0</v>
      </c>
      <c r="AB744" s="102">
        <v>0</v>
      </c>
      <c r="AC744" s="81">
        <f t="shared" si="36"/>
        <v>147.74697911025152</v>
      </c>
      <c r="AD744" s="82">
        <f t="shared" si="37"/>
        <v>73.857142857142847</v>
      </c>
      <c r="AE744" s="218">
        <v>-0.17343139307732972</v>
      </c>
      <c r="AF744">
        <v>7</v>
      </c>
      <c r="AH744" t="str">
        <f t="shared" si="35"/>
        <v xml:space="preserve">Alauli </v>
      </c>
      <c r="AJ744" s="72">
        <v>0</v>
      </c>
      <c r="AK744" s="72"/>
      <c r="AL744" s="72"/>
      <c r="AM744" s="72"/>
    </row>
    <row r="745" spans="1:39" x14ac:dyDescent="0.25">
      <c r="A745" s="37" t="s">
        <v>62</v>
      </c>
      <c r="B745" s="66" t="s">
        <v>1596</v>
      </c>
      <c r="C745" s="41">
        <v>1054</v>
      </c>
      <c r="D745" s="41" t="s">
        <v>808</v>
      </c>
      <c r="E745" s="41">
        <v>10540027</v>
      </c>
      <c r="F745" s="85" t="s">
        <v>1253</v>
      </c>
      <c r="G745" s="39" t="s">
        <v>617</v>
      </c>
      <c r="H745" s="52" t="s">
        <v>98</v>
      </c>
      <c r="I745" s="52">
        <v>984.2</v>
      </c>
      <c r="J745" s="49">
        <v>38014.31</v>
      </c>
      <c r="K745" s="58">
        <v>0</v>
      </c>
      <c r="L745" s="58">
        <v>0</v>
      </c>
      <c r="M745" s="58">
        <v>0</v>
      </c>
      <c r="N745" s="58">
        <v>0</v>
      </c>
      <c r="O745" s="65">
        <v>0</v>
      </c>
      <c r="P745" s="65">
        <v>0</v>
      </c>
      <c r="Q745" s="50">
        <v>38014.31</v>
      </c>
      <c r="R745" s="65">
        <v>0</v>
      </c>
      <c r="S745" s="65">
        <v>0</v>
      </c>
      <c r="T745" s="65">
        <v>0</v>
      </c>
      <c r="U745" s="65">
        <v>0</v>
      </c>
      <c r="V745" s="65">
        <v>0</v>
      </c>
      <c r="W745" s="65">
        <v>0</v>
      </c>
      <c r="X745" s="65">
        <v>0</v>
      </c>
      <c r="Y745" s="65">
        <v>0</v>
      </c>
      <c r="Z745" s="65">
        <v>38014.31</v>
      </c>
      <c r="AA745" s="51">
        <v>0</v>
      </c>
      <c r="AB745" s="102">
        <v>0</v>
      </c>
      <c r="AC745" s="81">
        <f t="shared" si="36"/>
        <v>0</v>
      </c>
      <c r="AD745" s="82">
        <f t="shared" si="37"/>
        <v>0</v>
      </c>
      <c r="AE745" s="218">
        <v>0</v>
      </c>
      <c r="AF745">
        <v>0</v>
      </c>
      <c r="AH745" t="str">
        <f t="shared" si="35"/>
        <v xml:space="preserve">Alauli </v>
      </c>
      <c r="AJ745" s="72">
        <v>0</v>
      </c>
      <c r="AK745" s="72"/>
      <c r="AL745" s="72"/>
      <c r="AM745" s="72"/>
    </row>
    <row r="746" spans="1:39" x14ac:dyDescent="0.25">
      <c r="A746" s="37" t="s">
        <v>62</v>
      </c>
      <c r="B746" s="66" t="s">
        <v>1596</v>
      </c>
      <c r="C746" s="41">
        <v>1054</v>
      </c>
      <c r="D746" s="41" t="s">
        <v>808</v>
      </c>
      <c r="E746" s="41">
        <v>10540032</v>
      </c>
      <c r="F746" s="85" t="s">
        <v>1195</v>
      </c>
      <c r="G746" s="39" t="s">
        <v>92</v>
      </c>
      <c r="H746" s="52" t="s">
        <v>93</v>
      </c>
      <c r="I746" s="52">
        <v>202.6</v>
      </c>
      <c r="J746" s="49">
        <v>7491.97</v>
      </c>
      <c r="K746" s="58">
        <v>350</v>
      </c>
      <c r="L746" s="58">
        <v>14881.5</v>
      </c>
      <c r="M746" s="58">
        <v>0</v>
      </c>
      <c r="N746" s="58">
        <v>0</v>
      </c>
      <c r="O746" s="65">
        <v>350</v>
      </c>
      <c r="P746" s="65">
        <v>14881.5</v>
      </c>
      <c r="Q746" s="50">
        <v>7491.97</v>
      </c>
      <c r="R746" s="65">
        <v>0</v>
      </c>
      <c r="S746" s="65">
        <v>0</v>
      </c>
      <c r="T746" s="65">
        <v>7389.53</v>
      </c>
      <c r="U746" s="65">
        <v>0</v>
      </c>
      <c r="V746" s="65">
        <v>500</v>
      </c>
      <c r="W746" s="65">
        <v>0</v>
      </c>
      <c r="X746" s="65">
        <v>6992</v>
      </c>
      <c r="Y746" s="65">
        <v>0</v>
      </c>
      <c r="Z746" s="65">
        <v>0</v>
      </c>
      <c r="AA746" s="51">
        <v>0</v>
      </c>
      <c r="AB746" s="102">
        <v>0</v>
      </c>
      <c r="AC746" s="81">
        <f t="shared" si="36"/>
        <v>367.86829990128331</v>
      </c>
      <c r="AD746" s="82">
        <f t="shared" si="37"/>
        <v>28.942857142857143</v>
      </c>
      <c r="AE746" s="218">
        <v>-0.98632669378014048</v>
      </c>
      <c r="AF746">
        <v>1</v>
      </c>
      <c r="AH746" t="str">
        <f t="shared" si="35"/>
        <v xml:space="preserve">Alauli </v>
      </c>
      <c r="AJ746" s="72">
        <v>500</v>
      </c>
      <c r="AK746" s="72"/>
      <c r="AL746" s="72"/>
      <c r="AM746" s="72"/>
    </row>
    <row r="747" spans="1:39" x14ac:dyDescent="0.25">
      <c r="A747" s="37" t="s">
        <v>62</v>
      </c>
      <c r="B747" s="66" t="s">
        <v>1596</v>
      </c>
      <c r="C747" s="41">
        <v>1054</v>
      </c>
      <c r="D747" s="41" t="s">
        <v>808</v>
      </c>
      <c r="E747" s="41">
        <v>10540039</v>
      </c>
      <c r="F747" s="85" t="s">
        <v>1256</v>
      </c>
      <c r="G747" s="39" t="s">
        <v>617</v>
      </c>
      <c r="H747" s="52" t="s">
        <v>98</v>
      </c>
      <c r="I747" s="52">
        <v>378.29999999999995</v>
      </c>
      <c r="J747" s="49">
        <v>12732.95</v>
      </c>
      <c r="K747" s="58">
        <v>0</v>
      </c>
      <c r="L747" s="58">
        <v>0</v>
      </c>
      <c r="M747" s="58">
        <v>0</v>
      </c>
      <c r="N747" s="58">
        <v>0</v>
      </c>
      <c r="O747" s="65">
        <v>0</v>
      </c>
      <c r="P747" s="65">
        <v>0</v>
      </c>
      <c r="Q747" s="50">
        <v>12732.95</v>
      </c>
      <c r="R747" s="65">
        <v>0</v>
      </c>
      <c r="S747" s="65">
        <v>0</v>
      </c>
      <c r="T747" s="65">
        <v>0</v>
      </c>
      <c r="U747" s="65">
        <v>0</v>
      </c>
      <c r="V747" s="65">
        <v>0</v>
      </c>
      <c r="W747" s="65">
        <v>0</v>
      </c>
      <c r="X747" s="65">
        <v>0</v>
      </c>
      <c r="Y747" s="65">
        <v>0</v>
      </c>
      <c r="Z747" s="65">
        <v>12732.95</v>
      </c>
      <c r="AA747" s="51">
        <v>0</v>
      </c>
      <c r="AB747" s="102">
        <v>0</v>
      </c>
      <c r="AC747" s="81">
        <f t="shared" si="36"/>
        <v>216.5577591858314</v>
      </c>
      <c r="AD747" s="82">
        <f t="shared" si="37"/>
        <v>54.042857142857137</v>
      </c>
      <c r="AE747" s="218">
        <v>0</v>
      </c>
      <c r="AF747">
        <v>0</v>
      </c>
      <c r="AH747" t="str">
        <f t="shared" si="35"/>
        <v xml:space="preserve">Alauli </v>
      </c>
      <c r="AJ747" s="72">
        <v>0</v>
      </c>
      <c r="AK747" s="72"/>
      <c r="AL747" s="72"/>
      <c r="AM747" s="72"/>
    </row>
    <row r="748" spans="1:39" x14ac:dyDescent="0.25">
      <c r="A748" s="37" t="s">
        <v>62</v>
      </c>
      <c r="B748" s="66" t="s">
        <v>1596</v>
      </c>
      <c r="C748" s="41">
        <v>1054</v>
      </c>
      <c r="D748" s="41" t="s">
        <v>808</v>
      </c>
      <c r="E748" s="41">
        <v>10540040</v>
      </c>
      <c r="F748" s="85" t="s">
        <v>1257</v>
      </c>
      <c r="G748" s="39" t="s">
        <v>617</v>
      </c>
      <c r="H748" s="52" t="s">
        <v>98</v>
      </c>
      <c r="I748" s="52">
        <v>583.09999999999991</v>
      </c>
      <c r="J748" s="49">
        <v>22518.500000000004</v>
      </c>
      <c r="K748" s="58">
        <v>0</v>
      </c>
      <c r="L748" s="58">
        <v>0</v>
      </c>
      <c r="M748" s="58">
        <v>0</v>
      </c>
      <c r="N748" s="58">
        <v>0</v>
      </c>
      <c r="O748" s="65">
        <v>0</v>
      </c>
      <c r="P748" s="65">
        <v>0</v>
      </c>
      <c r="Q748" s="50">
        <v>22518.500000000004</v>
      </c>
      <c r="R748" s="65">
        <v>0</v>
      </c>
      <c r="S748" s="65">
        <v>0</v>
      </c>
      <c r="T748" s="65">
        <v>0</v>
      </c>
      <c r="U748" s="65">
        <v>0</v>
      </c>
      <c r="V748" s="65">
        <v>0</v>
      </c>
      <c r="W748" s="65">
        <v>0</v>
      </c>
      <c r="X748" s="65">
        <v>0</v>
      </c>
      <c r="Y748" s="65">
        <v>0</v>
      </c>
      <c r="Z748" s="65">
        <v>22518.500000000004</v>
      </c>
      <c r="AA748" s="51">
        <v>0</v>
      </c>
      <c r="AB748" s="102">
        <v>0</v>
      </c>
      <c r="AC748" s="81">
        <f t="shared" si="36"/>
        <v>90.290264105642379</v>
      </c>
      <c r="AD748" s="82">
        <f t="shared" si="37"/>
        <v>83.299999999999983</v>
      </c>
      <c r="AE748" s="218">
        <v>0</v>
      </c>
      <c r="AF748">
        <v>0</v>
      </c>
      <c r="AH748" t="str">
        <f t="shared" si="35"/>
        <v xml:space="preserve">Alauli </v>
      </c>
      <c r="AJ748" s="72">
        <v>0</v>
      </c>
      <c r="AK748" s="72"/>
      <c r="AL748" s="72"/>
      <c r="AM748" s="72"/>
    </row>
    <row r="749" spans="1:39" x14ac:dyDescent="0.25">
      <c r="A749" s="37" t="s">
        <v>62</v>
      </c>
      <c r="B749" s="66" t="s">
        <v>1596</v>
      </c>
      <c r="C749" s="41">
        <v>1054</v>
      </c>
      <c r="D749" s="41" t="s">
        <v>808</v>
      </c>
      <c r="E749" s="41">
        <v>10540041</v>
      </c>
      <c r="F749" s="85" t="s">
        <v>1284</v>
      </c>
      <c r="G749" s="39" t="s">
        <v>92</v>
      </c>
      <c r="H749" s="52" t="s">
        <v>98</v>
      </c>
      <c r="I749" s="52">
        <v>96.300000000000011</v>
      </c>
      <c r="J749" s="49">
        <v>3780.13</v>
      </c>
      <c r="K749" s="58">
        <v>0</v>
      </c>
      <c r="L749" s="58">
        <v>0</v>
      </c>
      <c r="M749" s="58">
        <v>0</v>
      </c>
      <c r="N749" s="58">
        <v>0</v>
      </c>
      <c r="O749" s="65">
        <v>0</v>
      </c>
      <c r="P749" s="65">
        <v>0</v>
      </c>
      <c r="Q749" s="50">
        <v>3780.13</v>
      </c>
      <c r="R749" s="65">
        <v>0</v>
      </c>
      <c r="S749" s="65">
        <v>0</v>
      </c>
      <c r="T749" s="65">
        <v>0</v>
      </c>
      <c r="U749" s="65">
        <v>0</v>
      </c>
      <c r="V749" s="65">
        <v>0</v>
      </c>
      <c r="W749" s="65">
        <v>0</v>
      </c>
      <c r="X749" s="65">
        <v>0</v>
      </c>
      <c r="Y749" s="65">
        <v>0</v>
      </c>
      <c r="Z749" s="65">
        <v>3780.13</v>
      </c>
      <c r="AA749" s="51">
        <v>0</v>
      </c>
      <c r="AB749" s="102">
        <v>0</v>
      </c>
      <c r="AC749" s="81">
        <f t="shared" si="36"/>
        <v>473.94900955347867</v>
      </c>
      <c r="AD749" s="82">
        <f t="shared" si="37"/>
        <v>13.757142857142858</v>
      </c>
      <c r="AE749" s="218">
        <v>0</v>
      </c>
      <c r="AF749">
        <v>0</v>
      </c>
      <c r="AH749" t="str">
        <f t="shared" si="35"/>
        <v xml:space="preserve">Alauli </v>
      </c>
      <c r="AJ749" s="72">
        <v>0</v>
      </c>
      <c r="AK749" s="72"/>
      <c r="AL749" s="72"/>
      <c r="AM749" s="72"/>
    </row>
    <row r="750" spans="1:39" x14ac:dyDescent="0.25">
      <c r="A750" s="37" t="s">
        <v>62</v>
      </c>
      <c r="B750" s="66" t="s">
        <v>1596</v>
      </c>
      <c r="C750" s="41">
        <v>1054</v>
      </c>
      <c r="D750" s="41" t="s">
        <v>808</v>
      </c>
      <c r="E750" s="41">
        <v>10540042</v>
      </c>
      <c r="F750" s="85" t="s">
        <v>1315</v>
      </c>
      <c r="G750" s="39" t="s">
        <v>92</v>
      </c>
      <c r="H750" s="52" t="s">
        <v>93</v>
      </c>
      <c r="I750" s="52">
        <v>1453.9000000000003</v>
      </c>
      <c r="J750" s="49">
        <v>77742.48</v>
      </c>
      <c r="K750" s="58">
        <v>1323</v>
      </c>
      <c r="L750" s="58">
        <v>77936.22</v>
      </c>
      <c r="M750" s="58">
        <v>0</v>
      </c>
      <c r="N750" s="58">
        <v>0</v>
      </c>
      <c r="O750" s="65">
        <v>1323</v>
      </c>
      <c r="P750" s="65">
        <v>77936.22</v>
      </c>
      <c r="Q750" s="50">
        <v>77742.48</v>
      </c>
      <c r="R750" s="65">
        <v>0</v>
      </c>
      <c r="S750" s="65">
        <v>0</v>
      </c>
      <c r="T750" s="65">
        <v>193.74000000000524</v>
      </c>
      <c r="U750" s="65">
        <v>0</v>
      </c>
      <c r="V750" s="65">
        <v>0</v>
      </c>
      <c r="W750" s="65">
        <v>0</v>
      </c>
      <c r="X750" s="65">
        <v>77742</v>
      </c>
      <c r="Y750" s="65">
        <v>0</v>
      </c>
      <c r="Z750" s="65">
        <v>0</v>
      </c>
      <c r="AA750" s="51">
        <v>0</v>
      </c>
      <c r="AB750" s="102">
        <v>0</v>
      </c>
      <c r="AC750" s="81">
        <f t="shared" si="36"/>
        <v>0</v>
      </c>
      <c r="AD750" s="82">
        <f t="shared" si="37"/>
        <v>0</v>
      </c>
      <c r="AE750" s="218">
        <v>-2.4920738314497459E-3</v>
      </c>
      <c r="AF750">
        <v>1</v>
      </c>
      <c r="AH750" t="str">
        <f t="shared" si="35"/>
        <v xml:space="preserve">Alauli </v>
      </c>
      <c r="AJ750" s="72">
        <v>0</v>
      </c>
      <c r="AK750" s="72"/>
      <c r="AL750" s="72"/>
      <c r="AM750" s="72"/>
    </row>
    <row r="751" spans="1:39" x14ac:dyDescent="0.25">
      <c r="A751" s="37" t="s">
        <v>62</v>
      </c>
      <c r="B751" s="66" t="s">
        <v>1596</v>
      </c>
      <c r="C751" s="41">
        <v>1054</v>
      </c>
      <c r="D751" s="41" t="s">
        <v>808</v>
      </c>
      <c r="E751" s="41">
        <v>10540043</v>
      </c>
      <c r="F751" s="85" t="s">
        <v>1604</v>
      </c>
      <c r="G751" s="39" t="s">
        <v>92</v>
      </c>
      <c r="H751" s="52" t="s">
        <v>93</v>
      </c>
      <c r="I751" s="52">
        <v>52.300000000000004</v>
      </c>
      <c r="J751" s="49">
        <v>2428.23</v>
      </c>
      <c r="K751" s="58">
        <v>57.01</v>
      </c>
      <c r="L751" s="58">
        <v>2463.4499999999998</v>
      </c>
      <c r="M751" s="58">
        <v>0</v>
      </c>
      <c r="N751" s="58">
        <v>0</v>
      </c>
      <c r="O751" s="65">
        <v>57.01</v>
      </c>
      <c r="P751" s="65">
        <v>2463.4499999999998</v>
      </c>
      <c r="Q751" s="50">
        <v>2428.23</v>
      </c>
      <c r="R751" s="65">
        <v>0</v>
      </c>
      <c r="S751" s="65">
        <v>0</v>
      </c>
      <c r="T751" s="65">
        <v>35.2199999999998</v>
      </c>
      <c r="U751" s="65">
        <v>0</v>
      </c>
      <c r="V751" s="65">
        <v>0</v>
      </c>
      <c r="W751" s="65">
        <v>0</v>
      </c>
      <c r="X751" s="65">
        <v>2428</v>
      </c>
      <c r="Y751" s="65">
        <v>0</v>
      </c>
      <c r="Z751" s="65">
        <v>0</v>
      </c>
      <c r="AA751" s="51">
        <v>0</v>
      </c>
      <c r="AB751" s="102">
        <v>0</v>
      </c>
      <c r="AC751" s="81">
        <f t="shared" si="36"/>
        <v>601.43960650095596</v>
      </c>
      <c r="AD751" s="82">
        <f t="shared" si="37"/>
        <v>7.4714285714285724</v>
      </c>
      <c r="AE751" s="218">
        <v>-1.4504392088064063E-2</v>
      </c>
      <c r="AF751">
        <v>1</v>
      </c>
      <c r="AH751" t="str">
        <f t="shared" si="35"/>
        <v xml:space="preserve">Alauli </v>
      </c>
      <c r="AJ751" s="72">
        <v>0</v>
      </c>
      <c r="AK751" s="72"/>
      <c r="AL751" s="72"/>
      <c r="AM751" s="72"/>
    </row>
    <row r="752" spans="1:39" x14ac:dyDescent="0.25">
      <c r="A752" s="37" t="s">
        <v>62</v>
      </c>
      <c r="B752" s="66" t="s">
        <v>1596</v>
      </c>
      <c r="C752" s="41">
        <v>1054</v>
      </c>
      <c r="D752" s="41" t="s">
        <v>808</v>
      </c>
      <c r="E752" s="41">
        <v>10540044</v>
      </c>
      <c r="F752" s="85" t="s">
        <v>1320</v>
      </c>
      <c r="G752" s="39" t="s">
        <v>92</v>
      </c>
      <c r="H752" s="52" t="s">
        <v>93</v>
      </c>
      <c r="I752" s="52">
        <v>235.9</v>
      </c>
      <c r="J752" s="49">
        <v>9960.18</v>
      </c>
      <c r="K752" s="58">
        <v>261</v>
      </c>
      <c r="L752" s="58">
        <v>10001.01</v>
      </c>
      <c r="M752" s="58">
        <v>0</v>
      </c>
      <c r="N752" s="58">
        <v>0</v>
      </c>
      <c r="O752" s="65">
        <v>261</v>
      </c>
      <c r="P752" s="65">
        <v>10001.01</v>
      </c>
      <c r="Q752" s="50">
        <v>9960.18</v>
      </c>
      <c r="R752" s="65">
        <v>0</v>
      </c>
      <c r="S752" s="65">
        <v>0</v>
      </c>
      <c r="T752" s="65">
        <v>40.829999999999927</v>
      </c>
      <c r="U752" s="65">
        <v>0</v>
      </c>
      <c r="V752" s="65">
        <v>0</v>
      </c>
      <c r="W752" s="65">
        <v>0</v>
      </c>
      <c r="X752" s="65">
        <v>9960</v>
      </c>
      <c r="Y752" s="65">
        <v>0</v>
      </c>
      <c r="Z752" s="65">
        <v>0</v>
      </c>
      <c r="AA752" s="51">
        <v>0</v>
      </c>
      <c r="AB752" s="102">
        <v>0</v>
      </c>
      <c r="AC752" s="81">
        <f t="shared" si="36"/>
        <v>391.90500534124624</v>
      </c>
      <c r="AD752" s="82">
        <f t="shared" si="37"/>
        <v>33.700000000000003</v>
      </c>
      <c r="AE752" s="218">
        <v>-4.0993235062016875E-3</v>
      </c>
      <c r="AF752">
        <v>1</v>
      </c>
      <c r="AH752" t="str">
        <f t="shared" si="35"/>
        <v xml:space="preserve">Alauli </v>
      </c>
      <c r="AJ752" s="72">
        <v>0</v>
      </c>
      <c r="AK752" s="72"/>
      <c r="AL752" s="72"/>
      <c r="AM752" s="72"/>
    </row>
    <row r="753" spans="1:39" x14ac:dyDescent="0.25">
      <c r="A753" s="37" t="s">
        <v>62</v>
      </c>
      <c r="B753" s="66" t="s">
        <v>1596</v>
      </c>
      <c r="C753" s="41">
        <v>1054</v>
      </c>
      <c r="D753" s="41" t="s">
        <v>808</v>
      </c>
      <c r="E753" s="41">
        <v>10540045</v>
      </c>
      <c r="F753" s="85" t="s">
        <v>1340</v>
      </c>
      <c r="G753" s="39" t="s">
        <v>617</v>
      </c>
      <c r="H753" s="52" t="s">
        <v>98</v>
      </c>
      <c r="I753" s="52">
        <v>809.60000000000014</v>
      </c>
      <c r="J753" s="49">
        <v>36399.879999999997</v>
      </c>
      <c r="K753" s="58">
        <v>0</v>
      </c>
      <c r="L753" s="58">
        <v>0</v>
      </c>
      <c r="M753" s="58">
        <v>0</v>
      </c>
      <c r="N753" s="58">
        <v>0</v>
      </c>
      <c r="O753" s="65">
        <v>0</v>
      </c>
      <c r="P753" s="65">
        <v>0</v>
      </c>
      <c r="Q753" s="50">
        <v>36399.879999999997</v>
      </c>
      <c r="R753" s="65">
        <v>0</v>
      </c>
      <c r="S753" s="65">
        <v>0</v>
      </c>
      <c r="T753" s="65">
        <v>0</v>
      </c>
      <c r="U753" s="65">
        <v>0</v>
      </c>
      <c r="V753" s="65">
        <v>0</v>
      </c>
      <c r="W753" s="65">
        <v>0</v>
      </c>
      <c r="X753" s="65">
        <v>0</v>
      </c>
      <c r="Y753" s="65">
        <v>0</v>
      </c>
      <c r="Z753" s="65">
        <v>36399.879999999997</v>
      </c>
      <c r="AA753" s="51">
        <v>0</v>
      </c>
      <c r="AB753" s="102">
        <v>0</v>
      </c>
      <c r="AC753" s="81">
        <f t="shared" si="36"/>
        <v>0</v>
      </c>
      <c r="AD753" s="82">
        <f t="shared" si="37"/>
        <v>0</v>
      </c>
      <c r="AE753" s="218">
        <v>0</v>
      </c>
      <c r="AF753">
        <v>0</v>
      </c>
      <c r="AH753" t="str">
        <f t="shared" si="35"/>
        <v xml:space="preserve">Alauli </v>
      </c>
      <c r="AJ753" s="72">
        <v>0</v>
      </c>
      <c r="AK753" s="72"/>
      <c r="AL753" s="72"/>
      <c r="AM753" s="72"/>
    </row>
    <row r="754" spans="1:39" x14ac:dyDescent="0.25">
      <c r="A754" s="37" t="s">
        <v>62</v>
      </c>
      <c r="B754" s="66" t="s">
        <v>1596</v>
      </c>
      <c r="C754" s="41">
        <v>1054</v>
      </c>
      <c r="D754" s="41" t="s">
        <v>808</v>
      </c>
      <c r="E754" s="41">
        <v>10540046</v>
      </c>
      <c r="F754" s="85" t="s">
        <v>1411</v>
      </c>
      <c r="G754" s="39" t="s">
        <v>92</v>
      </c>
      <c r="H754" s="52" t="s">
        <v>93</v>
      </c>
      <c r="I754" s="52">
        <v>576.5</v>
      </c>
      <c r="J754" s="49">
        <v>24033.43</v>
      </c>
      <c r="K754" s="58">
        <v>609.13</v>
      </c>
      <c r="L754" s="58">
        <v>29777.260000000002</v>
      </c>
      <c r="M754" s="58">
        <v>0</v>
      </c>
      <c r="N754" s="58">
        <v>0</v>
      </c>
      <c r="O754" s="65">
        <v>609.13</v>
      </c>
      <c r="P754" s="65">
        <v>29777.260000000002</v>
      </c>
      <c r="Q754" s="50">
        <v>24033.43</v>
      </c>
      <c r="R754" s="65">
        <v>0</v>
      </c>
      <c r="S754" s="65">
        <v>0</v>
      </c>
      <c r="T754" s="65">
        <v>5743.8300000000017</v>
      </c>
      <c r="U754" s="65">
        <v>350</v>
      </c>
      <c r="V754" s="65">
        <v>0</v>
      </c>
      <c r="W754" s="65">
        <v>0</v>
      </c>
      <c r="X754" s="65">
        <v>23683</v>
      </c>
      <c r="Y754" s="65">
        <v>0</v>
      </c>
      <c r="Z754" s="65">
        <v>0</v>
      </c>
      <c r="AA754" s="51">
        <v>0</v>
      </c>
      <c r="AB754" s="102" t="s">
        <v>68</v>
      </c>
      <c r="AC754" s="81">
        <f t="shared" si="36"/>
        <v>102.97063677363398</v>
      </c>
      <c r="AD754" s="82">
        <f t="shared" si="37"/>
        <v>82.357142857142861</v>
      </c>
      <c r="AE754" s="218">
        <v>-0.23899335217653084</v>
      </c>
      <c r="AF754">
        <v>2</v>
      </c>
      <c r="AH754" t="str">
        <f t="shared" si="35"/>
        <v xml:space="preserve">Alauli </v>
      </c>
      <c r="AJ754" s="72">
        <v>0</v>
      </c>
      <c r="AK754" s="72"/>
      <c r="AL754" s="72"/>
      <c r="AM754" s="72"/>
    </row>
    <row r="755" spans="1:39" x14ac:dyDescent="0.25">
      <c r="A755" s="37" t="s">
        <v>62</v>
      </c>
      <c r="B755" s="66" t="s">
        <v>1596</v>
      </c>
      <c r="C755" s="41">
        <v>1054</v>
      </c>
      <c r="D755" s="41" t="s">
        <v>808</v>
      </c>
      <c r="E755" s="41">
        <v>10540047</v>
      </c>
      <c r="F755" s="85" t="s">
        <v>1540</v>
      </c>
      <c r="G755" s="39" t="s">
        <v>92</v>
      </c>
      <c r="H755" s="52" t="s">
        <v>93</v>
      </c>
      <c r="I755" s="52">
        <v>95.8</v>
      </c>
      <c r="J755" s="49">
        <v>3440.7400000000002</v>
      </c>
      <c r="K755" s="58">
        <v>130.72</v>
      </c>
      <c r="L755" s="58">
        <v>4117.68</v>
      </c>
      <c r="M755" s="58">
        <v>0</v>
      </c>
      <c r="N755" s="58">
        <v>0</v>
      </c>
      <c r="O755" s="65">
        <v>130.72</v>
      </c>
      <c r="P755" s="65">
        <v>4117.68</v>
      </c>
      <c r="Q755" s="50">
        <v>3440.7400000000002</v>
      </c>
      <c r="R755" s="65">
        <v>0</v>
      </c>
      <c r="S755" s="65">
        <v>0</v>
      </c>
      <c r="T755" s="65">
        <v>676.94</v>
      </c>
      <c r="U755" s="65">
        <v>0</v>
      </c>
      <c r="V755" s="65">
        <v>0</v>
      </c>
      <c r="W755" s="65">
        <v>0</v>
      </c>
      <c r="X755" s="65">
        <v>3441</v>
      </c>
      <c r="Y755" s="65">
        <v>0</v>
      </c>
      <c r="Z755" s="65">
        <v>0</v>
      </c>
      <c r="AA755" s="51">
        <v>0</v>
      </c>
      <c r="AB755" s="102">
        <v>0</v>
      </c>
      <c r="AC755" s="81">
        <f t="shared" si="36"/>
        <v>434.00732943632573</v>
      </c>
      <c r="AD755" s="82">
        <f t="shared" si="37"/>
        <v>13.685714285714285</v>
      </c>
      <c r="AE755" s="218">
        <v>-0.19674256119323169</v>
      </c>
      <c r="AF755">
        <v>1</v>
      </c>
      <c r="AH755" t="str">
        <f t="shared" si="35"/>
        <v xml:space="preserve">Alauli </v>
      </c>
      <c r="AJ755" s="72">
        <v>0</v>
      </c>
      <c r="AK755" s="72"/>
      <c r="AL755" s="72"/>
      <c r="AM755" s="72"/>
    </row>
    <row r="756" spans="1:39" x14ac:dyDescent="0.25">
      <c r="A756" s="37" t="s">
        <v>62</v>
      </c>
      <c r="B756" s="66" t="s">
        <v>1596</v>
      </c>
      <c r="C756" s="41">
        <v>1054</v>
      </c>
      <c r="D756" s="41" t="s">
        <v>808</v>
      </c>
      <c r="E756" s="41">
        <v>10540048</v>
      </c>
      <c r="F756" s="85" t="s">
        <v>1431</v>
      </c>
      <c r="G756" s="39" t="s">
        <v>617</v>
      </c>
      <c r="H756" s="52" t="s">
        <v>98</v>
      </c>
      <c r="I756" s="52">
        <v>1175.9000000000001</v>
      </c>
      <c r="J756" s="49">
        <v>52657.279999999992</v>
      </c>
      <c r="K756" s="58">
        <v>0</v>
      </c>
      <c r="L756" s="58">
        <v>0</v>
      </c>
      <c r="M756" s="58">
        <v>0</v>
      </c>
      <c r="N756" s="58">
        <v>0</v>
      </c>
      <c r="O756" s="65">
        <v>0</v>
      </c>
      <c r="P756" s="65">
        <v>0</v>
      </c>
      <c r="Q756" s="50">
        <v>52657.279999999992</v>
      </c>
      <c r="R756" s="65">
        <v>0</v>
      </c>
      <c r="S756" s="65">
        <v>0</v>
      </c>
      <c r="T756" s="65">
        <v>0</v>
      </c>
      <c r="U756" s="65">
        <v>0</v>
      </c>
      <c r="V756" s="65">
        <v>0</v>
      </c>
      <c r="W756" s="65">
        <v>0</v>
      </c>
      <c r="X756" s="65">
        <v>0</v>
      </c>
      <c r="Y756" s="65">
        <v>0</v>
      </c>
      <c r="Z756" s="65">
        <v>52657.279999999992</v>
      </c>
      <c r="AA756" s="51">
        <v>0</v>
      </c>
      <c r="AB756" s="102">
        <v>0</v>
      </c>
      <c r="AC756" s="81">
        <f t="shared" si="36"/>
        <v>0</v>
      </c>
      <c r="AD756" s="82">
        <f t="shared" si="37"/>
        <v>0</v>
      </c>
      <c r="AE756" s="218">
        <v>0</v>
      </c>
      <c r="AF756">
        <v>0</v>
      </c>
      <c r="AH756" t="str">
        <f t="shared" si="35"/>
        <v xml:space="preserve">Alauli </v>
      </c>
      <c r="AJ756" s="72">
        <v>0</v>
      </c>
      <c r="AK756" s="72"/>
      <c r="AL756" s="72"/>
      <c r="AM756" s="72"/>
    </row>
    <row r="757" spans="1:39" x14ac:dyDescent="0.25">
      <c r="A757" s="37" t="s">
        <v>62</v>
      </c>
      <c r="B757" s="66" t="s">
        <v>1596</v>
      </c>
      <c r="C757" s="41">
        <v>1054</v>
      </c>
      <c r="D757" s="41" t="s">
        <v>808</v>
      </c>
      <c r="E757" s="41">
        <v>10540049</v>
      </c>
      <c r="F757" s="85" t="s">
        <v>1432</v>
      </c>
      <c r="G757" s="39" t="s">
        <v>617</v>
      </c>
      <c r="H757" s="52" t="s">
        <v>98</v>
      </c>
      <c r="I757" s="52">
        <v>508.8</v>
      </c>
      <c r="J757" s="49">
        <v>20192.02</v>
      </c>
      <c r="K757" s="58">
        <v>0</v>
      </c>
      <c r="L757" s="58">
        <v>0</v>
      </c>
      <c r="M757" s="58">
        <v>0</v>
      </c>
      <c r="N757" s="58">
        <v>0</v>
      </c>
      <c r="O757" s="65">
        <v>0</v>
      </c>
      <c r="P757" s="65">
        <v>0</v>
      </c>
      <c r="Q757" s="50">
        <v>20192.02</v>
      </c>
      <c r="R757" s="65">
        <v>0</v>
      </c>
      <c r="S757" s="65">
        <v>0</v>
      </c>
      <c r="T757" s="65">
        <v>0</v>
      </c>
      <c r="U757" s="65">
        <v>0</v>
      </c>
      <c r="V757" s="65">
        <v>0</v>
      </c>
      <c r="W757" s="65">
        <v>0</v>
      </c>
      <c r="X757" s="65">
        <v>0</v>
      </c>
      <c r="Y757" s="65">
        <v>0</v>
      </c>
      <c r="Z757" s="65">
        <v>20192.02</v>
      </c>
      <c r="AA757" s="51">
        <v>0</v>
      </c>
      <c r="AB757" s="102">
        <v>0</v>
      </c>
      <c r="AC757" s="81">
        <f t="shared" si="36"/>
        <v>151.757634591195</v>
      </c>
      <c r="AD757" s="82">
        <f t="shared" si="37"/>
        <v>72.685714285714283</v>
      </c>
      <c r="AE757" s="218">
        <v>0</v>
      </c>
      <c r="AF757">
        <v>0</v>
      </c>
      <c r="AH757" t="str">
        <f t="shared" si="35"/>
        <v xml:space="preserve">Alauli </v>
      </c>
      <c r="AJ757" s="72">
        <v>0</v>
      </c>
      <c r="AK757" s="72"/>
      <c r="AL757" s="72"/>
      <c r="AM757" s="72"/>
    </row>
    <row r="758" spans="1:39" x14ac:dyDescent="0.25">
      <c r="A758" s="37" t="s">
        <v>62</v>
      </c>
      <c r="B758" s="66" t="s">
        <v>1596</v>
      </c>
      <c r="C758" s="41">
        <v>1054</v>
      </c>
      <c r="D758" s="41" t="s">
        <v>808</v>
      </c>
      <c r="E758" s="41">
        <v>10540050</v>
      </c>
      <c r="F758" s="85" t="s">
        <v>1582</v>
      </c>
      <c r="G758" s="39" t="s">
        <v>92</v>
      </c>
      <c r="H758" s="52" t="s">
        <v>93</v>
      </c>
      <c r="I758" s="52">
        <v>294.80000000000007</v>
      </c>
      <c r="J758" s="49">
        <v>10558.05</v>
      </c>
      <c r="K758" s="58">
        <v>558.02</v>
      </c>
      <c r="L758" s="58">
        <v>21397.88</v>
      </c>
      <c r="M758" s="58">
        <v>0</v>
      </c>
      <c r="N758" s="58">
        <v>0</v>
      </c>
      <c r="O758" s="65">
        <v>558.02</v>
      </c>
      <c r="P758" s="65">
        <v>21397.88</v>
      </c>
      <c r="Q758" s="50">
        <v>10558.05</v>
      </c>
      <c r="R758" s="65">
        <v>0</v>
      </c>
      <c r="S758" s="65">
        <v>0</v>
      </c>
      <c r="T758" s="65">
        <v>10839.830000000002</v>
      </c>
      <c r="U758" s="65">
        <v>0</v>
      </c>
      <c r="V758" s="65">
        <v>0</v>
      </c>
      <c r="W758" s="65">
        <v>0</v>
      </c>
      <c r="X758" s="65">
        <v>10558</v>
      </c>
      <c r="Y758" s="65">
        <v>0</v>
      </c>
      <c r="Z758" s="65">
        <v>0</v>
      </c>
      <c r="AA758" s="51">
        <v>0</v>
      </c>
      <c r="AB758" s="102">
        <v>0</v>
      </c>
      <c r="AC758" s="81">
        <f t="shared" si="36"/>
        <v>290.23893215739469</v>
      </c>
      <c r="AD758" s="82">
        <f t="shared" si="37"/>
        <v>42.114285714285721</v>
      </c>
      <c r="AE758" s="218">
        <v>-1.02668864042129</v>
      </c>
      <c r="AF758">
        <v>1</v>
      </c>
      <c r="AH758" t="str">
        <f t="shared" si="35"/>
        <v xml:space="preserve">Alauli </v>
      </c>
      <c r="AJ758" s="72">
        <v>0</v>
      </c>
      <c r="AK758" s="72"/>
      <c r="AL758" s="72"/>
      <c r="AM758" s="72"/>
    </row>
    <row r="759" spans="1:39" x14ac:dyDescent="0.25">
      <c r="A759" s="37" t="s">
        <v>62</v>
      </c>
      <c r="B759" s="66" t="s">
        <v>1596</v>
      </c>
      <c r="C759" s="41">
        <v>1054</v>
      </c>
      <c r="D759" s="41" t="s">
        <v>808</v>
      </c>
      <c r="E759" s="41">
        <v>10540051</v>
      </c>
      <c r="F759" s="85" t="s">
        <v>1569</v>
      </c>
      <c r="G759" s="39" t="s">
        <v>617</v>
      </c>
      <c r="H759" s="52" t="s">
        <v>98</v>
      </c>
      <c r="I759" s="52">
        <v>477.8</v>
      </c>
      <c r="J759" s="49">
        <v>17984.82</v>
      </c>
      <c r="K759" s="58">
        <v>0</v>
      </c>
      <c r="L759" s="58">
        <v>0</v>
      </c>
      <c r="M759" s="58">
        <v>0</v>
      </c>
      <c r="N759" s="58">
        <v>0</v>
      </c>
      <c r="O759" s="65">
        <v>0</v>
      </c>
      <c r="P759" s="65">
        <v>0</v>
      </c>
      <c r="Q759" s="50">
        <v>17984.82</v>
      </c>
      <c r="R759" s="65">
        <v>0</v>
      </c>
      <c r="S759" s="65">
        <v>0</v>
      </c>
      <c r="T759" s="65">
        <v>0</v>
      </c>
      <c r="U759" s="65">
        <v>0</v>
      </c>
      <c r="V759" s="65">
        <v>0</v>
      </c>
      <c r="W759" s="65">
        <v>0</v>
      </c>
      <c r="X759" s="65">
        <v>0</v>
      </c>
      <c r="Y759" s="65">
        <v>0</v>
      </c>
      <c r="Z759" s="65">
        <v>17984.82</v>
      </c>
      <c r="AA759" s="51">
        <v>0</v>
      </c>
      <c r="AB759" s="102">
        <v>0</v>
      </c>
      <c r="AC759" s="81">
        <f t="shared" si="36"/>
        <v>167.27614081205527</v>
      </c>
      <c r="AD759" s="82">
        <f t="shared" si="37"/>
        <v>68.257142857142853</v>
      </c>
      <c r="AE759" s="218">
        <v>0</v>
      </c>
      <c r="AF759">
        <v>0</v>
      </c>
      <c r="AH759" t="str">
        <f t="shared" si="35"/>
        <v xml:space="preserve">Alauli </v>
      </c>
      <c r="AJ759" s="72">
        <v>0</v>
      </c>
      <c r="AK759" s="72"/>
      <c r="AL759" s="72"/>
      <c r="AM759" s="72"/>
    </row>
    <row r="760" spans="1:39" x14ac:dyDescent="0.25">
      <c r="A760" s="37" t="s">
        <v>62</v>
      </c>
      <c r="B760" s="66" t="s">
        <v>1596</v>
      </c>
      <c r="C760" s="41">
        <v>1055</v>
      </c>
      <c r="D760" s="41" t="s">
        <v>1125</v>
      </c>
      <c r="E760" s="41">
        <v>10550001</v>
      </c>
      <c r="F760" s="85" t="s">
        <v>1168</v>
      </c>
      <c r="G760" s="39" t="s">
        <v>617</v>
      </c>
      <c r="H760" s="52" t="s">
        <v>98</v>
      </c>
      <c r="I760" s="52">
        <v>22494.9</v>
      </c>
      <c r="J760" s="49">
        <v>828880.33</v>
      </c>
      <c r="K760" s="58">
        <v>0</v>
      </c>
      <c r="L760" s="58">
        <v>0</v>
      </c>
      <c r="M760" s="58">
        <v>0</v>
      </c>
      <c r="N760" s="58">
        <v>0</v>
      </c>
      <c r="O760" s="65">
        <v>0</v>
      </c>
      <c r="P760" s="65">
        <v>0</v>
      </c>
      <c r="Q760" s="50">
        <v>828880.33</v>
      </c>
      <c r="R760" s="65">
        <v>0</v>
      </c>
      <c r="S760" s="65">
        <v>0</v>
      </c>
      <c r="T760" s="65">
        <v>0</v>
      </c>
      <c r="U760" s="65">
        <v>0</v>
      </c>
      <c r="V760" s="65">
        <v>0</v>
      </c>
      <c r="W760" s="65">
        <v>0</v>
      </c>
      <c r="X760" s="65">
        <v>0</v>
      </c>
      <c r="Y760" s="65">
        <v>0</v>
      </c>
      <c r="Z760" s="65">
        <v>828880.33</v>
      </c>
      <c r="AA760" s="51">
        <v>0</v>
      </c>
      <c r="AB760" s="102">
        <v>0</v>
      </c>
      <c r="AC760" s="81">
        <f t="shared" si="36"/>
        <v>0</v>
      </c>
      <c r="AD760" s="82">
        <f t="shared" si="37"/>
        <v>0</v>
      </c>
      <c r="AE760" s="218">
        <v>0</v>
      </c>
      <c r="AF760">
        <v>0</v>
      </c>
      <c r="AH760" t="str">
        <f t="shared" si="35"/>
        <v>Matihani</v>
      </c>
      <c r="AJ760" s="72">
        <v>0</v>
      </c>
      <c r="AK760" s="72"/>
      <c r="AL760" s="72"/>
      <c r="AM760" s="72"/>
    </row>
    <row r="761" spans="1:39" x14ac:dyDescent="0.25">
      <c r="A761" s="37" t="s">
        <v>62</v>
      </c>
      <c r="B761" s="66" t="s">
        <v>1596</v>
      </c>
      <c r="C761" s="41">
        <v>1055</v>
      </c>
      <c r="D761" s="41" t="s">
        <v>1125</v>
      </c>
      <c r="E761" s="41">
        <v>10550002</v>
      </c>
      <c r="F761" s="85" t="s">
        <v>1188</v>
      </c>
      <c r="G761" s="39" t="s">
        <v>617</v>
      </c>
      <c r="H761" s="52" t="s">
        <v>98</v>
      </c>
      <c r="I761" s="52">
        <v>167.70000000000002</v>
      </c>
      <c r="J761" s="49">
        <v>6456.630000000001</v>
      </c>
      <c r="K761" s="58">
        <v>0</v>
      </c>
      <c r="L761" s="58">
        <v>0</v>
      </c>
      <c r="M761" s="58">
        <v>0</v>
      </c>
      <c r="N761" s="58">
        <v>0</v>
      </c>
      <c r="O761" s="65">
        <v>0</v>
      </c>
      <c r="P761" s="65">
        <v>0</v>
      </c>
      <c r="Q761" s="50">
        <v>6456.630000000001</v>
      </c>
      <c r="R761" s="65">
        <v>0</v>
      </c>
      <c r="S761" s="65">
        <v>0</v>
      </c>
      <c r="T761" s="65">
        <v>0</v>
      </c>
      <c r="U761" s="65">
        <v>0</v>
      </c>
      <c r="V761" s="65">
        <v>0</v>
      </c>
      <c r="W761" s="65">
        <v>0</v>
      </c>
      <c r="X761" s="65">
        <v>0</v>
      </c>
      <c r="Y761" s="65">
        <v>0</v>
      </c>
      <c r="Z761" s="65">
        <v>6456.630000000001</v>
      </c>
      <c r="AA761" s="51">
        <v>0</v>
      </c>
      <c r="AB761" s="102">
        <v>0</v>
      </c>
      <c r="AC761" s="81">
        <f t="shared" si="36"/>
        <v>409.88242683363148</v>
      </c>
      <c r="AD761" s="82">
        <f t="shared" si="37"/>
        <v>23.957142857142859</v>
      </c>
      <c r="AE761" s="218">
        <v>0</v>
      </c>
      <c r="AF761">
        <v>0</v>
      </c>
      <c r="AH761" t="str">
        <f t="shared" ref="AH761:AH818" si="38">TEXT(D761,"0000")</f>
        <v>Matihani</v>
      </c>
      <c r="AJ761" s="72">
        <v>0</v>
      </c>
      <c r="AK761" s="72"/>
      <c r="AL761" s="72"/>
      <c r="AM761" s="72"/>
    </row>
    <row r="762" spans="1:39" x14ac:dyDescent="0.25">
      <c r="A762" s="37" t="s">
        <v>62</v>
      </c>
      <c r="B762" s="66" t="s">
        <v>1596</v>
      </c>
      <c r="C762" s="41">
        <v>1055</v>
      </c>
      <c r="D762" s="41" t="s">
        <v>1125</v>
      </c>
      <c r="E762" s="41">
        <v>10550005</v>
      </c>
      <c r="F762" s="85" t="s">
        <v>1367</v>
      </c>
      <c r="G762" s="39" t="s">
        <v>92</v>
      </c>
      <c r="H762" s="52" t="s">
        <v>93</v>
      </c>
      <c r="I762" s="52">
        <v>246.5</v>
      </c>
      <c r="J762" s="49">
        <v>10088.74</v>
      </c>
      <c r="K762" s="58">
        <v>218.8</v>
      </c>
      <c r="L762" s="58">
        <v>8815.7699999999986</v>
      </c>
      <c r="M762" s="58">
        <v>31.200000000000003</v>
      </c>
      <c r="N762" s="58">
        <v>1284.4500000000003</v>
      </c>
      <c r="O762" s="65">
        <v>250</v>
      </c>
      <c r="P762" s="65">
        <v>10100.219999999999</v>
      </c>
      <c r="Q762" s="50">
        <v>10088.74</v>
      </c>
      <c r="R762" s="65">
        <v>0</v>
      </c>
      <c r="S762" s="65">
        <v>1284.4500000000003</v>
      </c>
      <c r="T762" s="65">
        <v>11.479999999999563</v>
      </c>
      <c r="U762" s="65">
        <v>0</v>
      </c>
      <c r="V762" s="65">
        <v>0</v>
      </c>
      <c r="W762" s="65">
        <v>0</v>
      </c>
      <c r="X762" s="65">
        <v>8804</v>
      </c>
      <c r="Y762" s="65">
        <v>0</v>
      </c>
      <c r="Z762" s="65">
        <v>0</v>
      </c>
      <c r="AA762" s="51">
        <v>0</v>
      </c>
      <c r="AB762" s="102">
        <v>0</v>
      </c>
      <c r="AC762" s="81">
        <f t="shared" si="36"/>
        <v>371.21651845841785</v>
      </c>
      <c r="AD762" s="82">
        <f t="shared" si="37"/>
        <v>35.214285714285715</v>
      </c>
      <c r="AE762" s="218">
        <v>-1.1379022553856639E-3</v>
      </c>
      <c r="AF762">
        <v>3</v>
      </c>
      <c r="AH762" t="str">
        <f t="shared" si="38"/>
        <v>Matihani</v>
      </c>
      <c r="AJ762" s="72">
        <v>0</v>
      </c>
      <c r="AK762" s="72"/>
      <c r="AL762" s="72"/>
      <c r="AM762" s="72"/>
    </row>
    <row r="763" spans="1:39" x14ac:dyDescent="0.25">
      <c r="A763" s="37" t="s">
        <v>62</v>
      </c>
      <c r="B763" s="66" t="s">
        <v>1596</v>
      </c>
      <c r="C763" s="41">
        <v>1055</v>
      </c>
      <c r="D763" s="41" t="s">
        <v>1125</v>
      </c>
      <c r="E763" s="41">
        <v>10550007</v>
      </c>
      <c r="F763" s="85" t="s">
        <v>1368</v>
      </c>
      <c r="G763" s="39" t="s">
        <v>617</v>
      </c>
      <c r="H763" s="52" t="s">
        <v>98</v>
      </c>
      <c r="I763" s="52">
        <v>1714.6000000000001</v>
      </c>
      <c r="J763" s="49">
        <v>59844.44</v>
      </c>
      <c r="K763" s="58">
        <v>0</v>
      </c>
      <c r="L763" s="58">
        <v>0</v>
      </c>
      <c r="M763" s="58">
        <v>0</v>
      </c>
      <c r="N763" s="58">
        <v>0</v>
      </c>
      <c r="O763" s="65">
        <v>0</v>
      </c>
      <c r="P763" s="65">
        <v>0</v>
      </c>
      <c r="Q763" s="50">
        <v>59844.44</v>
      </c>
      <c r="R763" s="65">
        <v>0</v>
      </c>
      <c r="S763" s="65">
        <v>0</v>
      </c>
      <c r="T763" s="65">
        <v>0</v>
      </c>
      <c r="U763" s="65">
        <v>0</v>
      </c>
      <c r="V763" s="65">
        <v>0</v>
      </c>
      <c r="W763" s="65">
        <v>0</v>
      </c>
      <c r="X763" s="65">
        <v>0</v>
      </c>
      <c r="Y763" s="65">
        <v>0</v>
      </c>
      <c r="Z763" s="65">
        <v>59844.44</v>
      </c>
      <c r="AA763" s="51">
        <v>0</v>
      </c>
      <c r="AB763" s="102">
        <v>0</v>
      </c>
      <c r="AC763" s="81">
        <f t="shared" si="36"/>
        <v>0</v>
      </c>
      <c r="AD763" s="82">
        <f t="shared" si="37"/>
        <v>0</v>
      </c>
      <c r="AE763" s="218">
        <v>0</v>
      </c>
      <c r="AF763">
        <v>0</v>
      </c>
      <c r="AH763" t="str">
        <f t="shared" si="38"/>
        <v>Matihani</v>
      </c>
      <c r="AJ763" s="72">
        <v>0</v>
      </c>
      <c r="AK763" s="72"/>
      <c r="AL763" s="72"/>
      <c r="AM763" s="72"/>
    </row>
    <row r="764" spans="1:39" x14ac:dyDescent="0.25">
      <c r="A764" s="37" t="s">
        <v>62</v>
      </c>
      <c r="B764" s="66" t="s">
        <v>1596</v>
      </c>
      <c r="C764" s="41">
        <v>1055</v>
      </c>
      <c r="D764" s="41" t="s">
        <v>1125</v>
      </c>
      <c r="E764" s="41">
        <v>10550008</v>
      </c>
      <c r="F764" s="85" t="s">
        <v>1412</v>
      </c>
      <c r="G764" s="39" t="s">
        <v>617</v>
      </c>
      <c r="H764" s="52" t="s">
        <v>98</v>
      </c>
      <c r="I764" s="52">
        <v>97.4</v>
      </c>
      <c r="J764" s="49">
        <v>3500.89</v>
      </c>
      <c r="K764" s="58">
        <v>0</v>
      </c>
      <c r="L764" s="58">
        <v>0</v>
      </c>
      <c r="M764" s="58">
        <v>0</v>
      </c>
      <c r="N764" s="58">
        <v>0</v>
      </c>
      <c r="O764" s="65">
        <v>0</v>
      </c>
      <c r="P764" s="65">
        <v>0</v>
      </c>
      <c r="Q764" s="50">
        <v>3500.89</v>
      </c>
      <c r="R764" s="65">
        <v>0</v>
      </c>
      <c r="S764" s="65">
        <v>0</v>
      </c>
      <c r="T764" s="65">
        <v>0</v>
      </c>
      <c r="U764" s="65">
        <v>0</v>
      </c>
      <c r="V764" s="65">
        <v>0</v>
      </c>
      <c r="W764" s="65">
        <v>0</v>
      </c>
      <c r="X764" s="65">
        <v>0</v>
      </c>
      <c r="Y764" s="65">
        <v>0</v>
      </c>
      <c r="Z764" s="65">
        <v>3500.89</v>
      </c>
      <c r="AA764" s="51">
        <v>0</v>
      </c>
      <c r="AB764" s="102">
        <v>0</v>
      </c>
      <c r="AC764" s="81">
        <f t="shared" si="36"/>
        <v>433.19020821355235</v>
      </c>
      <c r="AD764" s="82">
        <f t="shared" si="37"/>
        <v>13.914285714285715</v>
      </c>
      <c r="AE764" s="218">
        <v>0</v>
      </c>
      <c r="AF764">
        <v>0</v>
      </c>
      <c r="AH764" t="str">
        <f t="shared" si="38"/>
        <v>Matihani</v>
      </c>
      <c r="AJ764" s="72">
        <v>0</v>
      </c>
      <c r="AK764" s="72"/>
      <c r="AL764" s="72"/>
      <c r="AM764" s="72"/>
    </row>
    <row r="765" spans="1:39" x14ac:dyDescent="0.25">
      <c r="A765" s="37" t="s">
        <v>62</v>
      </c>
      <c r="B765" s="66" t="s">
        <v>1596</v>
      </c>
      <c r="C765" s="41">
        <v>1055</v>
      </c>
      <c r="D765" s="41" t="s">
        <v>1125</v>
      </c>
      <c r="E765" s="41">
        <v>10550009</v>
      </c>
      <c r="F765" s="85" t="s">
        <v>1466</v>
      </c>
      <c r="G765" s="39" t="s">
        <v>617</v>
      </c>
      <c r="H765" s="52" t="s">
        <v>98</v>
      </c>
      <c r="I765" s="52">
        <v>1348.8</v>
      </c>
      <c r="J765" s="49">
        <v>52154.54</v>
      </c>
      <c r="K765" s="58">
        <v>0</v>
      </c>
      <c r="L765" s="58">
        <v>0</v>
      </c>
      <c r="M765" s="58">
        <v>0</v>
      </c>
      <c r="N765" s="58">
        <v>0</v>
      </c>
      <c r="O765" s="65">
        <v>0</v>
      </c>
      <c r="P765" s="65">
        <v>0</v>
      </c>
      <c r="Q765" s="50">
        <v>52154.54</v>
      </c>
      <c r="R765" s="65">
        <v>0</v>
      </c>
      <c r="S765" s="65">
        <v>0</v>
      </c>
      <c r="T765" s="65">
        <v>0</v>
      </c>
      <c r="U765" s="65">
        <v>0</v>
      </c>
      <c r="V765" s="65">
        <v>0</v>
      </c>
      <c r="W765" s="65">
        <v>0</v>
      </c>
      <c r="X765" s="65">
        <v>0</v>
      </c>
      <c r="Y765" s="65">
        <v>0</v>
      </c>
      <c r="Z765" s="65">
        <v>52154.54</v>
      </c>
      <c r="AA765" s="51">
        <v>0</v>
      </c>
      <c r="AB765" s="102">
        <v>0</v>
      </c>
      <c r="AC765" s="81">
        <f t="shared" si="36"/>
        <v>0</v>
      </c>
      <c r="AD765" s="82">
        <f t="shared" si="37"/>
        <v>0</v>
      </c>
      <c r="AE765" s="218">
        <v>0</v>
      </c>
      <c r="AF765">
        <v>0</v>
      </c>
      <c r="AH765" t="str">
        <f t="shared" si="38"/>
        <v>Matihani</v>
      </c>
      <c r="AJ765" s="72">
        <v>0</v>
      </c>
      <c r="AK765" s="72"/>
      <c r="AL765" s="72"/>
      <c r="AM765" s="72"/>
    </row>
    <row r="766" spans="1:39" x14ac:dyDescent="0.25">
      <c r="A766" s="37" t="s">
        <v>62</v>
      </c>
      <c r="B766" s="66" t="s">
        <v>1596</v>
      </c>
      <c r="C766" s="41">
        <v>1055</v>
      </c>
      <c r="D766" s="41" t="s">
        <v>1125</v>
      </c>
      <c r="E766" s="41">
        <v>10550010</v>
      </c>
      <c r="F766" s="85" t="s">
        <v>1564</v>
      </c>
      <c r="G766" s="39" t="s">
        <v>92</v>
      </c>
      <c r="H766" s="52" t="s">
        <v>93</v>
      </c>
      <c r="I766" s="52">
        <v>326.09999999999997</v>
      </c>
      <c r="J766" s="49">
        <v>13935.79</v>
      </c>
      <c r="K766" s="58">
        <v>321.75000000000006</v>
      </c>
      <c r="L766" s="58">
        <v>13806.439999999999</v>
      </c>
      <c r="M766" s="58">
        <v>3.87</v>
      </c>
      <c r="N766" s="58">
        <v>175.06</v>
      </c>
      <c r="O766" s="65">
        <v>325.62000000000006</v>
      </c>
      <c r="P766" s="65">
        <v>13981.499999999998</v>
      </c>
      <c r="Q766" s="50">
        <v>13935.79</v>
      </c>
      <c r="R766" s="65">
        <v>0</v>
      </c>
      <c r="S766" s="65">
        <v>175.06</v>
      </c>
      <c r="T766" s="65">
        <v>45.709999999997308</v>
      </c>
      <c r="U766" s="65">
        <v>0</v>
      </c>
      <c r="V766" s="65">
        <v>0</v>
      </c>
      <c r="W766" s="65">
        <v>0</v>
      </c>
      <c r="X766" s="65">
        <v>13761</v>
      </c>
      <c r="Y766" s="65">
        <v>0</v>
      </c>
      <c r="Z766" s="65">
        <v>0</v>
      </c>
      <c r="AA766" s="51">
        <v>0</v>
      </c>
      <c r="AB766" s="102">
        <v>0</v>
      </c>
      <c r="AC766" s="81">
        <f t="shared" si="36"/>
        <v>319.5701858938977</v>
      </c>
      <c r="AD766" s="82">
        <f t="shared" si="37"/>
        <v>46.585714285714282</v>
      </c>
      <c r="AE766" s="218">
        <v>-3.2800436860771658E-3</v>
      </c>
      <c r="AF766">
        <v>6</v>
      </c>
      <c r="AH766" t="str">
        <f t="shared" si="38"/>
        <v>Matihani</v>
      </c>
      <c r="AJ766" s="72">
        <v>0</v>
      </c>
      <c r="AK766" s="72"/>
      <c r="AL766" s="72"/>
      <c r="AM766" s="72"/>
    </row>
    <row r="767" spans="1:39" x14ac:dyDescent="0.25">
      <c r="A767" s="37" t="s">
        <v>62</v>
      </c>
      <c r="B767" s="66" t="s">
        <v>1596</v>
      </c>
      <c r="C767" s="41">
        <v>1055</v>
      </c>
      <c r="D767" s="41" t="s">
        <v>1125</v>
      </c>
      <c r="E767" s="41">
        <v>10550011</v>
      </c>
      <c r="F767" s="85" t="s">
        <v>1551</v>
      </c>
      <c r="G767" s="39" t="s">
        <v>92</v>
      </c>
      <c r="H767" s="52" t="s">
        <v>93</v>
      </c>
      <c r="I767" s="52">
        <v>302.49999999999994</v>
      </c>
      <c r="J767" s="49">
        <v>12164.789999999997</v>
      </c>
      <c r="K767" s="58">
        <v>300.90999999999997</v>
      </c>
      <c r="L767" s="58">
        <v>12644.61</v>
      </c>
      <c r="M767" s="58">
        <v>1.71</v>
      </c>
      <c r="N767" s="58">
        <v>69.47</v>
      </c>
      <c r="O767" s="65">
        <v>302.61999999999995</v>
      </c>
      <c r="P767" s="65">
        <v>12714.08</v>
      </c>
      <c r="Q767" s="50">
        <v>12164.789999999997</v>
      </c>
      <c r="R767" s="65">
        <v>0</v>
      </c>
      <c r="S767" s="65">
        <v>69.47</v>
      </c>
      <c r="T767" s="65">
        <v>549.29000000000269</v>
      </c>
      <c r="U767" s="65">
        <v>0</v>
      </c>
      <c r="V767" s="65">
        <v>0</v>
      </c>
      <c r="W767" s="65">
        <v>0</v>
      </c>
      <c r="X767" s="65">
        <v>12095</v>
      </c>
      <c r="Y767" s="65">
        <v>0</v>
      </c>
      <c r="Z767" s="65">
        <v>0</v>
      </c>
      <c r="AA767" s="51">
        <v>0</v>
      </c>
      <c r="AB767" s="102">
        <v>0</v>
      </c>
      <c r="AC767" s="81">
        <f t="shared" si="36"/>
        <v>319.70274545454549</v>
      </c>
      <c r="AD767" s="82">
        <f t="shared" si="37"/>
        <v>43.214285714285708</v>
      </c>
      <c r="AE767" s="218">
        <v>-4.5154088151131491E-2</v>
      </c>
      <c r="AF767">
        <v>6</v>
      </c>
      <c r="AH767" t="str">
        <f t="shared" si="38"/>
        <v>Matihani</v>
      </c>
      <c r="AJ767" s="72">
        <v>0</v>
      </c>
      <c r="AK767" s="72"/>
      <c r="AL767" s="72"/>
      <c r="AM767" s="72"/>
    </row>
    <row r="768" spans="1:39" x14ac:dyDescent="0.25">
      <c r="A768" s="37" t="s">
        <v>62</v>
      </c>
      <c r="B768" s="66" t="s">
        <v>1596</v>
      </c>
      <c r="C768" s="41">
        <v>1056</v>
      </c>
      <c r="D768" s="41" t="s">
        <v>816</v>
      </c>
      <c r="E768" s="41">
        <v>10560001</v>
      </c>
      <c r="F768" s="85" t="s">
        <v>822</v>
      </c>
      <c r="G768" s="39" t="s">
        <v>617</v>
      </c>
      <c r="H768" s="52" t="s">
        <v>98</v>
      </c>
      <c r="I768" s="52">
        <v>579.79999999999995</v>
      </c>
      <c r="J768" s="49">
        <v>23473.09</v>
      </c>
      <c r="K768" s="58">
        <v>0</v>
      </c>
      <c r="L768" s="58">
        <v>0</v>
      </c>
      <c r="M768" s="58">
        <v>0</v>
      </c>
      <c r="N768" s="58">
        <v>0</v>
      </c>
      <c r="O768" s="65">
        <v>0</v>
      </c>
      <c r="P768" s="65">
        <v>0</v>
      </c>
      <c r="Q768" s="50">
        <v>23473.09</v>
      </c>
      <c r="R768" s="65">
        <v>0</v>
      </c>
      <c r="S768" s="65">
        <v>0</v>
      </c>
      <c r="T768" s="65">
        <v>0</v>
      </c>
      <c r="U768" s="65">
        <v>23473</v>
      </c>
      <c r="V768" s="65">
        <v>0</v>
      </c>
      <c r="W768" s="65">
        <v>0</v>
      </c>
      <c r="X768" s="65">
        <v>0</v>
      </c>
      <c r="Y768" s="65">
        <v>0</v>
      </c>
      <c r="Z768" s="65">
        <v>9.0000000000145519E-2</v>
      </c>
      <c r="AA768" s="51">
        <v>0</v>
      </c>
      <c r="AB768" s="102">
        <v>0</v>
      </c>
      <c r="AC768" s="81">
        <f t="shared" si="36"/>
        <v>97.325471472921734</v>
      </c>
      <c r="AD768" s="82">
        <f t="shared" si="37"/>
        <v>82.828571428571422</v>
      </c>
      <c r="AE768" s="218">
        <v>0</v>
      </c>
      <c r="AF768">
        <v>0</v>
      </c>
      <c r="AH768" t="str">
        <f t="shared" si="38"/>
        <v>Chautham</v>
      </c>
      <c r="AJ768" s="72">
        <v>0</v>
      </c>
      <c r="AK768" s="72"/>
      <c r="AL768" s="72"/>
      <c r="AM768" s="72"/>
    </row>
    <row r="769" spans="1:39" x14ac:dyDescent="0.25">
      <c r="A769" s="37" t="s">
        <v>62</v>
      </c>
      <c r="B769" s="66" t="s">
        <v>1596</v>
      </c>
      <c r="C769" s="41">
        <v>1056</v>
      </c>
      <c r="D769" s="41" t="s">
        <v>816</v>
      </c>
      <c r="E769" s="41">
        <v>10560002</v>
      </c>
      <c r="F769" s="85" t="s">
        <v>1142</v>
      </c>
      <c r="G769" s="39" t="s">
        <v>617</v>
      </c>
      <c r="H769" s="52" t="s">
        <v>98</v>
      </c>
      <c r="I769" s="52">
        <v>305.12</v>
      </c>
      <c r="J769" s="49">
        <v>10905.8</v>
      </c>
      <c r="K769" s="58">
        <v>0</v>
      </c>
      <c r="L769" s="58">
        <v>0</v>
      </c>
      <c r="M769" s="58">
        <v>0</v>
      </c>
      <c r="N769" s="58">
        <v>0</v>
      </c>
      <c r="O769" s="65">
        <v>0</v>
      </c>
      <c r="P769" s="65">
        <v>0</v>
      </c>
      <c r="Q769" s="50">
        <v>10905.8</v>
      </c>
      <c r="R769" s="65">
        <v>0</v>
      </c>
      <c r="S769" s="65">
        <v>0</v>
      </c>
      <c r="T769" s="65">
        <v>0</v>
      </c>
      <c r="U769" s="65">
        <v>0</v>
      </c>
      <c r="V769" s="65">
        <v>0</v>
      </c>
      <c r="W769" s="65">
        <v>0</v>
      </c>
      <c r="X769" s="65">
        <v>0</v>
      </c>
      <c r="Y769" s="65">
        <v>0</v>
      </c>
      <c r="Z769" s="65">
        <v>10905.8</v>
      </c>
      <c r="AA769" s="51">
        <v>0</v>
      </c>
      <c r="AB769" s="102">
        <v>0</v>
      </c>
      <c r="AC769" s="81">
        <f t="shared" si="36"/>
        <v>282.28122076560044</v>
      </c>
      <c r="AD769" s="82">
        <f t="shared" si="37"/>
        <v>43.588571428571427</v>
      </c>
      <c r="AE769" s="218">
        <v>0</v>
      </c>
      <c r="AF769">
        <v>0</v>
      </c>
      <c r="AH769" t="str">
        <f t="shared" si="38"/>
        <v>Chautham</v>
      </c>
      <c r="AJ769" s="72">
        <v>0</v>
      </c>
      <c r="AK769" s="72"/>
      <c r="AL769" s="72"/>
      <c r="AM769" s="72"/>
    </row>
    <row r="770" spans="1:39" x14ac:dyDescent="0.25">
      <c r="A770" s="37" t="s">
        <v>62</v>
      </c>
      <c r="B770" s="66" t="s">
        <v>1596</v>
      </c>
      <c r="C770" s="41">
        <v>1056</v>
      </c>
      <c r="D770" s="41" t="s">
        <v>816</v>
      </c>
      <c r="E770" s="41">
        <v>10560004</v>
      </c>
      <c r="F770" s="85" t="s">
        <v>1158</v>
      </c>
      <c r="G770" s="39" t="s">
        <v>92</v>
      </c>
      <c r="H770" s="52" t="s">
        <v>93</v>
      </c>
      <c r="I770" s="52">
        <v>910.68000000000018</v>
      </c>
      <c r="J770" s="49">
        <v>32443.629999999997</v>
      </c>
      <c r="K770" s="58">
        <v>910.68000000000006</v>
      </c>
      <c r="L770" s="58">
        <v>32590.52</v>
      </c>
      <c r="M770" s="58">
        <v>0</v>
      </c>
      <c r="N770" s="58">
        <v>0</v>
      </c>
      <c r="O770" s="65">
        <v>910.68000000000006</v>
      </c>
      <c r="P770" s="65">
        <v>32590.52</v>
      </c>
      <c r="Q770" s="50">
        <v>32443.629999999997</v>
      </c>
      <c r="R770" s="65">
        <v>0</v>
      </c>
      <c r="S770" s="65">
        <v>0</v>
      </c>
      <c r="T770" s="65">
        <v>146.89000000000306</v>
      </c>
      <c r="U770" s="65">
        <v>0</v>
      </c>
      <c r="V770" s="65">
        <v>0</v>
      </c>
      <c r="W770" s="65">
        <v>0</v>
      </c>
      <c r="X770" s="65">
        <v>32444</v>
      </c>
      <c r="Y770" s="65">
        <v>0</v>
      </c>
      <c r="Z770" s="65">
        <v>0</v>
      </c>
      <c r="AA770" s="51">
        <v>0</v>
      </c>
      <c r="AB770" s="102">
        <v>0</v>
      </c>
      <c r="AC770" s="81">
        <f t="shared" si="36"/>
        <v>0</v>
      </c>
      <c r="AD770" s="82">
        <f t="shared" si="37"/>
        <v>0</v>
      </c>
      <c r="AE770" s="218">
        <v>-4.5275451606371746E-3</v>
      </c>
      <c r="AF770">
        <v>1</v>
      </c>
      <c r="AH770" t="str">
        <f t="shared" si="38"/>
        <v>Chautham</v>
      </c>
      <c r="AJ770" s="72">
        <v>0</v>
      </c>
      <c r="AK770" s="72"/>
      <c r="AL770" s="72"/>
      <c r="AM770" s="72"/>
    </row>
    <row r="771" spans="1:39" x14ac:dyDescent="0.25">
      <c r="A771" s="37" t="s">
        <v>62</v>
      </c>
      <c r="B771" s="66" t="s">
        <v>1596</v>
      </c>
      <c r="C771" s="41">
        <v>1056</v>
      </c>
      <c r="D771" s="41" t="s">
        <v>816</v>
      </c>
      <c r="E771" s="41">
        <v>10560005</v>
      </c>
      <c r="F771" s="85" t="s">
        <v>1159</v>
      </c>
      <c r="G771" s="39" t="s">
        <v>92</v>
      </c>
      <c r="H771" s="52" t="s">
        <v>93</v>
      </c>
      <c r="I771" s="52">
        <v>1823.6200000000003</v>
      </c>
      <c r="J771" s="49">
        <v>76007.05</v>
      </c>
      <c r="K771" s="58">
        <v>21.049999999999997</v>
      </c>
      <c r="L771" s="58">
        <v>888.43999999999994</v>
      </c>
      <c r="M771" s="58">
        <v>2089</v>
      </c>
      <c r="N771" s="58">
        <v>88209.12</v>
      </c>
      <c r="O771" s="65">
        <v>2110.0500000000002</v>
      </c>
      <c r="P771" s="65">
        <v>89097.56</v>
      </c>
      <c r="Q771" s="50">
        <v>76007.05</v>
      </c>
      <c r="R771" s="65">
        <v>0</v>
      </c>
      <c r="S771" s="65">
        <v>0</v>
      </c>
      <c r="T771" s="65">
        <v>13090.509999999995</v>
      </c>
      <c r="U771" s="65">
        <v>0</v>
      </c>
      <c r="V771" s="65">
        <v>0</v>
      </c>
      <c r="W771" s="65">
        <v>0</v>
      </c>
      <c r="X771" s="65">
        <v>0</v>
      </c>
      <c r="Y771" s="65">
        <v>76007</v>
      </c>
      <c r="Z771" s="65">
        <v>0</v>
      </c>
      <c r="AA771" s="51">
        <v>0</v>
      </c>
      <c r="AB771" s="102" t="s">
        <v>1366</v>
      </c>
      <c r="AC771" s="81">
        <f t="shared" si="36"/>
        <v>0</v>
      </c>
      <c r="AD771" s="82">
        <f t="shared" si="37"/>
        <v>0</v>
      </c>
      <c r="AE771" s="218">
        <v>-0.17222757625772864</v>
      </c>
      <c r="AF771">
        <v>3</v>
      </c>
      <c r="AH771" t="str">
        <f t="shared" si="38"/>
        <v>Chautham</v>
      </c>
      <c r="AJ771" s="72">
        <v>0</v>
      </c>
      <c r="AK771" s="72"/>
      <c r="AL771" s="72"/>
      <c r="AM771" s="72"/>
    </row>
    <row r="772" spans="1:39" x14ac:dyDescent="0.25">
      <c r="A772" s="37" t="s">
        <v>62</v>
      </c>
      <c r="B772" s="66" t="s">
        <v>1596</v>
      </c>
      <c r="C772" s="41">
        <v>1056</v>
      </c>
      <c r="D772" s="41" t="s">
        <v>816</v>
      </c>
      <c r="E772" s="41">
        <v>10560007</v>
      </c>
      <c r="F772" s="85" t="s">
        <v>1160</v>
      </c>
      <c r="G772" s="39" t="s">
        <v>92</v>
      </c>
      <c r="H772" s="52" t="s">
        <v>93</v>
      </c>
      <c r="I772" s="52">
        <v>199.51999999999998</v>
      </c>
      <c r="J772" s="49">
        <v>8211.5300000000007</v>
      </c>
      <c r="K772" s="58">
        <v>270.92</v>
      </c>
      <c r="L772" s="58">
        <v>11279.27</v>
      </c>
      <c r="M772" s="58">
        <v>0</v>
      </c>
      <c r="N772" s="58">
        <v>0</v>
      </c>
      <c r="O772" s="65">
        <v>270.92</v>
      </c>
      <c r="P772" s="65">
        <v>11279.27</v>
      </c>
      <c r="Q772" s="50">
        <v>8211.5300000000007</v>
      </c>
      <c r="R772" s="65">
        <v>0</v>
      </c>
      <c r="S772" s="65">
        <v>0</v>
      </c>
      <c r="T772" s="65">
        <v>3067.74</v>
      </c>
      <c r="U772" s="65">
        <v>0</v>
      </c>
      <c r="V772" s="65">
        <v>500</v>
      </c>
      <c r="W772" s="65">
        <v>0</v>
      </c>
      <c r="X772" s="65">
        <v>7712</v>
      </c>
      <c r="Y772" s="65">
        <v>0</v>
      </c>
      <c r="Z772" s="65">
        <v>0</v>
      </c>
      <c r="AA772" s="51">
        <v>0</v>
      </c>
      <c r="AB772" s="102">
        <v>0</v>
      </c>
      <c r="AC772" s="81">
        <f t="shared" ref="AC772:AC835" si="39">((IF(AD772=0,0,100-AD772))*7*(J772/I772))*2%</f>
        <v>411.95935589414609</v>
      </c>
      <c r="AD772" s="82">
        <f t="shared" ref="AD772:AD835" si="40">IF((I772/7)&gt;100,0,(I772/7))</f>
        <v>28.502857142857142</v>
      </c>
      <c r="AE772" s="218">
        <v>-0.37358933109907649</v>
      </c>
      <c r="AF772">
        <v>1</v>
      </c>
      <c r="AH772" t="str">
        <f t="shared" si="38"/>
        <v>Chautham</v>
      </c>
      <c r="AJ772" s="72">
        <v>500</v>
      </c>
      <c r="AK772" s="72"/>
      <c r="AL772" s="72"/>
      <c r="AM772" s="72"/>
    </row>
    <row r="773" spans="1:39" x14ac:dyDescent="0.25">
      <c r="A773" s="37" t="s">
        <v>62</v>
      </c>
      <c r="B773" s="66" t="s">
        <v>1596</v>
      </c>
      <c r="C773" s="41">
        <v>1056</v>
      </c>
      <c r="D773" s="41" t="s">
        <v>816</v>
      </c>
      <c r="E773" s="41">
        <v>10560011</v>
      </c>
      <c r="F773" s="85" t="s">
        <v>1242</v>
      </c>
      <c r="G773" s="39" t="s">
        <v>92</v>
      </c>
      <c r="H773" s="52" t="s">
        <v>93</v>
      </c>
      <c r="I773" s="52">
        <v>1940.2999999999995</v>
      </c>
      <c r="J773" s="49">
        <v>77455.510000000009</v>
      </c>
      <c r="K773" s="58">
        <v>1949.7099999999998</v>
      </c>
      <c r="L773" s="58">
        <v>80148.39</v>
      </c>
      <c r="M773" s="58">
        <v>0</v>
      </c>
      <c r="N773" s="58">
        <v>0</v>
      </c>
      <c r="O773" s="65">
        <v>1949.7099999999998</v>
      </c>
      <c r="P773" s="65">
        <v>80148.39</v>
      </c>
      <c r="Q773" s="50">
        <v>77455.510000000009</v>
      </c>
      <c r="R773" s="65">
        <v>0</v>
      </c>
      <c r="S773" s="65">
        <v>0</v>
      </c>
      <c r="T773" s="65">
        <v>2692.8799999999901</v>
      </c>
      <c r="U773" s="65">
        <v>0</v>
      </c>
      <c r="V773" s="65">
        <v>0</v>
      </c>
      <c r="W773" s="65">
        <v>0</v>
      </c>
      <c r="X773" s="65">
        <v>77456</v>
      </c>
      <c r="Y773" s="65">
        <v>0</v>
      </c>
      <c r="Z773" s="65">
        <v>0</v>
      </c>
      <c r="AA773" s="51">
        <v>0</v>
      </c>
      <c r="AB773" s="102">
        <v>0</v>
      </c>
      <c r="AC773" s="81">
        <f t="shared" si="39"/>
        <v>0</v>
      </c>
      <c r="AD773" s="82">
        <f t="shared" si="40"/>
        <v>0</v>
      </c>
      <c r="AE773" s="218">
        <v>-3.4766797094228544E-2</v>
      </c>
      <c r="AF773">
        <v>14</v>
      </c>
      <c r="AH773" t="str">
        <f t="shared" si="38"/>
        <v>Chautham</v>
      </c>
      <c r="AJ773" s="72">
        <v>0</v>
      </c>
      <c r="AK773" s="72"/>
      <c r="AL773" s="72"/>
      <c r="AM773" s="72"/>
    </row>
    <row r="774" spans="1:39" x14ac:dyDescent="0.25">
      <c r="A774" s="37" t="s">
        <v>62</v>
      </c>
      <c r="B774" s="66" t="s">
        <v>1596</v>
      </c>
      <c r="C774" s="41">
        <v>1056</v>
      </c>
      <c r="D774" s="41" t="s">
        <v>816</v>
      </c>
      <c r="E774" s="41">
        <v>10560012</v>
      </c>
      <c r="F774" s="85" t="s">
        <v>1243</v>
      </c>
      <c r="G774" s="39" t="s">
        <v>92</v>
      </c>
      <c r="H774" s="52" t="s">
        <v>93</v>
      </c>
      <c r="I774" s="52">
        <v>1449.18</v>
      </c>
      <c r="J774" s="49">
        <v>59195.460000000006</v>
      </c>
      <c r="K774" s="58">
        <v>1448.7200000000003</v>
      </c>
      <c r="L774" s="58">
        <v>58681.889999999992</v>
      </c>
      <c r="M774" s="58">
        <v>3.83</v>
      </c>
      <c r="N774" s="58">
        <v>269.69</v>
      </c>
      <c r="O774" s="65">
        <v>1452.5500000000002</v>
      </c>
      <c r="P774" s="65">
        <v>58951.579999999994</v>
      </c>
      <c r="Q774" s="50">
        <v>58951.579999999994</v>
      </c>
      <c r="R774" s="65">
        <v>0</v>
      </c>
      <c r="S774" s="65">
        <v>0</v>
      </c>
      <c r="T774" s="65">
        <v>0</v>
      </c>
      <c r="U774" s="65">
        <v>0</v>
      </c>
      <c r="V774" s="65">
        <v>0</v>
      </c>
      <c r="W774" s="65">
        <v>0</v>
      </c>
      <c r="X774" s="65">
        <v>58682</v>
      </c>
      <c r="Y774" s="65">
        <v>270</v>
      </c>
      <c r="Z774" s="65">
        <v>0</v>
      </c>
      <c r="AA774" s="51">
        <v>243</v>
      </c>
      <c r="AB774" s="102">
        <v>0</v>
      </c>
      <c r="AC774" s="81">
        <f t="shared" si="39"/>
        <v>0</v>
      </c>
      <c r="AD774" s="82">
        <f t="shared" si="40"/>
        <v>0</v>
      </c>
      <c r="AE774" s="218">
        <v>4.1199105471941919E-3</v>
      </c>
      <c r="AF774">
        <v>7</v>
      </c>
      <c r="AH774" t="str">
        <f t="shared" si="38"/>
        <v>Chautham</v>
      </c>
      <c r="AJ774" s="72">
        <v>0</v>
      </c>
      <c r="AK774" s="72"/>
      <c r="AL774" s="72"/>
      <c r="AM774" s="72"/>
    </row>
    <row r="775" spans="1:39" x14ac:dyDescent="0.25">
      <c r="A775" s="37" t="s">
        <v>62</v>
      </c>
      <c r="B775" s="66" t="s">
        <v>1596</v>
      </c>
      <c r="C775" s="41">
        <v>1056</v>
      </c>
      <c r="D775" s="41" t="s">
        <v>816</v>
      </c>
      <c r="E775" s="41">
        <v>10560015</v>
      </c>
      <c r="F775" s="85" t="s">
        <v>1204</v>
      </c>
      <c r="G775" s="39" t="s">
        <v>617</v>
      </c>
      <c r="H775" s="52" t="s">
        <v>98</v>
      </c>
      <c r="I775" s="52">
        <v>559.42000000000007</v>
      </c>
      <c r="J775" s="49">
        <v>21382.91</v>
      </c>
      <c r="K775" s="58">
        <v>0</v>
      </c>
      <c r="L775" s="58">
        <v>0</v>
      </c>
      <c r="M775" s="58">
        <v>0</v>
      </c>
      <c r="N775" s="58">
        <v>0</v>
      </c>
      <c r="O775" s="65">
        <v>0</v>
      </c>
      <c r="P775" s="65">
        <v>0</v>
      </c>
      <c r="Q775" s="50">
        <v>21382.91</v>
      </c>
      <c r="R775" s="65">
        <v>0</v>
      </c>
      <c r="S775" s="65">
        <v>0</v>
      </c>
      <c r="T775" s="65">
        <v>0</v>
      </c>
      <c r="U775" s="65">
        <v>0</v>
      </c>
      <c r="V775" s="65">
        <v>0</v>
      </c>
      <c r="W775" s="65">
        <v>0</v>
      </c>
      <c r="X775" s="65">
        <v>0</v>
      </c>
      <c r="Y775" s="65">
        <v>0</v>
      </c>
      <c r="Z775" s="65">
        <v>21382.91</v>
      </c>
      <c r="AA775" s="51">
        <v>0</v>
      </c>
      <c r="AB775" s="102">
        <v>0</v>
      </c>
      <c r="AC775" s="81">
        <f t="shared" si="39"/>
        <v>107.46878866683346</v>
      </c>
      <c r="AD775" s="82">
        <f t="shared" si="40"/>
        <v>79.917142857142863</v>
      </c>
      <c r="AE775" s="218">
        <v>0</v>
      </c>
      <c r="AF775">
        <v>0</v>
      </c>
      <c r="AH775" t="str">
        <f t="shared" si="38"/>
        <v>Chautham</v>
      </c>
      <c r="AJ775" s="72">
        <v>0</v>
      </c>
      <c r="AK775" s="72"/>
      <c r="AL775" s="72"/>
      <c r="AM775" s="72"/>
    </row>
    <row r="776" spans="1:39" x14ac:dyDescent="0.25">
      <c r="A776" s="37" t="s">
        <v>62</v>
      </c>
      <c r="B776" s="66" t="s">
        <v>1596</v>
      </c>
      <c r="C776" s="41">
        <v>1056</v>
      </c>
      <c r="D776" s="41" t="s">
        <v>816</v>
      </c>
      <c r="E776" s="41">
        <v>10560016</v>
      </c>
      <c r="F776" s="85" t="s">
        <v>1378</v>
      </c>
      <c r="G776" s="39" t="s">
        <v>92</v>
      </c>
      <c r="H776" s="52" t="s">
        <v>93</v>
      </c>
      <c r="I776" s="52">
        <v>879.12000000000012</v>
      </c>
      <c r="J776" s="49">
        <v>32775</v>
      </c>
      <c r="K776" s="58">
        <v>1200.3499999999999</v>
      </c>
      <c r="L776" s="58">
        <v>45750.590000000004</v>
      </c>
      <c r="M776" s="58">
        <v>0</v>
      </c>
      <c r="N776" s="58">
        <v>0</v>
      </c>
      <c r="O776" s="65">
        <v>1200.3499999999999</v>
      </c>
      <c r="P776" s="65">
        <v>45750.590000000004</v>
      </c>
      <c r="Q776" s="50">
        <v>32775</v>
      </c>
      <c r="R776" s="65">
        <v>0</v>
      </c>
      <c r="S776" s="65">
        <v>0</v>
      </c>
      <c r="T776" s="65">
        <v>12975.590000000004</v>
      </c>
      <c r="U776" s="65">
        <v>0</v>
      </c>
      <c r="V776" s="65">
        <v>0</v>
      </c>
      <c r="W776" s="65">
        <v>0</v>
      </c>
      <c r="X776" s="65">
        <v>32775</v>
      </c>
      <c r="Y776" s="65">
        <v>0</v>
      </c>
      <c r="Z776" s="65">
        <v>0</v>
      </c>
      <c r="AA776" s="51">
        <v>0</v>
      </c>
      <c r="AB776" s="102">
        <v>0</v>
      </c>
      <c r="AC776" s="81">
        <f t="shared" si="39"/>
        <v>0</v>
      </c>
      <c r="AD776" s="82">
        <f t="shared" si="40"/>
        <v>0</v>
      </c>
      <c r="AE776" s="218">
        <v>-0.39589900839054171</v>
      </c>
      <c r="AF776">
        <v>1</v>
      </c>
      <c r="AH776" t="str">
        <f t="shared" si="38"/>
        <v>Chautham</v>
      </c>
      <c r="AJ776" s="72">
        <v>0</v>
      </c>
      <c r="AK776" s="72"/>
      <c r="AL776" s="72"/>
      <c r="AM776" s="72"/>
    </row>
    <row r="777" spans="1:39" x14ac:dyDescent="0.25">
      <c r="A777" s="37" t="s">
        <v>62</v>
      </c>
      <c r="B777" s="66" t="s">
        <v>1596</v>
      </c>
      <c r="C777" s="41">
        <v>1056</v>
      </c>
      <c r="D777" s="41" t="s">
        <v>816</v>
      </c>
      <c r="E777" s="41">
        <v>10560017</v>
      </c>
      <c r="F777" s="85" t="s">
        <v>1208</v>
      </c>
      <c r="G777" s="39" t="s">
        <v>92</v>
      </c>
      <c r="H777" s="52" t="s">
        <v>93</v>
      </c>
      <c r="I777" s="52">
        <v>947.88000000000011</v>
      </c>
      <c r="J777" s="49">
        <v>37597.73000000001</v>
      </c>
      <c r="K777" s="58">
        <v>949.32999999999993</v>
      </c>
      <c r="L777" s="58">
        <v>38101</v>
      </c>
      <c r="M777" s="58">
        <v>0</v>
      </c>
      <c r="N777" s="58">
        <v>0</v>
      </c>
      <c r="O777" s="65">
        <v>949.32999999999993</v>
      </c>
      <c r="P777" s="65">
        <v>38101</v>
      </c>
      <c r="Q777" s="50">
        <v>37597.73000000001</v>
      </c>
      <c r="R777" s="65">
        <v>0</v>
      </c>
      <c r="S777" s="65">
        <v>0</v>
      </c>
      <c r="T777" s="65">
        <v>503.26999999998952</v>
      </c>
      <c r="U777" s="65">
        <v>3711</v>
      </c>
      <c r="V777" s="65">
        <v>0</v>
      </c>
      <c r="W777" s="65">
        <v>0</v>
      </c>
      <c r="X777" s="65">
        <v>33887</v>
      </c>
      <c r="Y777" s="65">
        <v>0</v>
      </c>
      <c r="Z777" s="65">
        <v>0</v>
      </c>
      <c r="AA777" s="51">
        <v>0</v>
      </c>
      <c r="AB777" s="102" t="s">
        <v>68</v>
      </c>
      <c r="AC777" s="81">
        <f t="shared" si="39"/>
        <v>0</v>
      </c>
      <c r="AD777" s="82">
        <f t="shared" si="40"/>
        <v>0</v>
      </c>
      <c r="AE777" s="218">
        <v>-1.3385648548462617E-2</v>
      </c>
      <c r="AF777">
        <v>15</v>
      </c>
      <c r="AH777" t="str">
        <f t="shared" si="38"/>
        <v>Chautham</v>
      </c>
      <c r="AJ777" s="72">
        <v>0</v>
      </c>
      <c r="AK777" s="72"/>
      <c r="AL777" s="72"/>
      <c r="AM777" s="72"/>
    </row>
    <row r="778" spans="1:39" x14ac:dyDescent="0.25">
      <c r="A778" s="37" t="s">
        <v>62</v>
      </c>
      <c r="B778" s="66" t="s">
        <v>1596</v>
      </c>
      <c r="C778" s="41">
        <v>1056</v>
      </c>
      <c r="D778" s="41" t="s">
        <v>816</v>
      </c>
      <c r="E778" s="41">
        <v>10560019</v>
      </c>
      <c r="F778" s="85" t="s">
        <v>1209</v>
      </c>
      <c r="G778" s="39" t="s">
        <v>92</v>
      </c>
      <c r="H778" s="52" t="s">
        <v>98</v>
      </c>
      <c r="I778" s="52">
        <v>1539.64</v>
      </c>
      <c r="J778" s="49">
        <v>57676.310000000012</v>
      </c>
      <c r="K778" s="58">
        <v>0</v>
      </c>
      <c r="L778" s="58">
        <v>0</v>
      </c>
      <c r="M778" s="58">
        <v>0</v>
      </c>
      <c r="N778" s="58">
        <v>0</v>
      </c>
      <c r="O778" s="65">
        <v>0</v>
      </c>
      <c r="P778" s="65">
        <v>0</v>
      </c>
      <c r="Q778" s="50">
        <v>57676.310000000012</v>
      </c>
      <c r="R778" s="65">
        <v>0</v>
      </c>
      <c r="S778" s="65">
        <v>0</v>
      </c>
      <c r="T778" s="65">
        <v>0</v>
      </c>
      <c r="U778" s="65">
        <v>8100</v>
      </c>
      <c r="V778" s="65">
        <v>0</v>
      </c>
      <c r="W778" s="65">
        <v>0</v>
      </c>
      <c r="X778" s="65">
        <v>0</v>
      </c>
      <c r="Y778" s="65">
        <v>0</v>
      </c>
      <c r="Z778" s="65">
        <v>49576.310000000012</v>
      </c>
      <c r="AA778" s="51">
        <v>0</v>
      </c>
      <c r="AB778" s="102">
        <v>0</v>
      </c>
      <c r="AC778" s="81">
        <f t="shared" si="39"/>
        <v>0</v>
      </c>
      <c r="AD778" s="82">
        <f t="shared" si="40"/>
        <v>0</v>
      </c>
      <c r="AE778" s="218">
        <v>0</v>
      </c>
      <c r="AF778">
        <v>0</v>
      </c>
      <c r="AH778" t="str">
        <f t="shared" si="38"/>
        <v>Chautham</v>
      </c>
      <c r="AJ778" s="72">
        <v>0</v>
      </c>
      <c r="AK778" s="72"/>
      <c r="AL778" s="72"/>
      <c r="AM778" s="72"/>
    </row>
    <row r="779" spans="1:39" x14ac:dyDescent="0.25">
      <c r="A779" s="37" t="s">
        <v>62</v>
      </c>
      <c r="B779" s="66" t="s">
        <v>1596</v>
      </c>
      <c r="C779" s="41">
        <v>1056</v>
      </c>
      <c r="D779" s="41" t="s">
        <v>816</v>
      </c>
      <c r="E779" s="41">
        <v>10560022</v>
      </c>
      <c r="F779" s="85" t="s">
        <v>1291</v>
      </c>
      <c r="G779" s="39" t="s">
        <v>92</v>
      </c>
      <c r="H779" s="52" t="s">
        <v>93</v>
      </c>
      <c r="I779" s="52">
        <v>2239.42</v>
      </c>
      <c r="J779" s="49">
        <v>95111.35</v>
      </c>
      <c r="K779" s="58">
        <v>2253.3200000000002</v>
      </c>
      <c r="L779" s="58">
        <v>96057.430000000008</v>
      </c>
      <c r="M779" s="58">
        <v>0</v>
      </c>
      <c r="N779" s="58">
        <v>0</v>
      </c>
      <c r="O779" s="65">
        <v>2253.3200000000002</v>
      </c>
      <c r="P779" s="65">
        <v>96057.430000000008</v>
      </c>
      <c r="Q779" s="50">
        <v>95111.35</v>
      </c>
      <c r="R779" s="65">
        <v>0</v>
      </c>
      <c r="S779" s="65">
        <v>0</v>
      </c>
      <c r="T779" s="65">
        <v>946.08000000000175</v>
      </c>
      <c r="U779" s="65">
        <v>0</v>
      </c>
      <c r="V779" s="65">
        <v>0</v>
      </c>
      <c r="W779" s="65">
        <v>0</v>
      </c>
      <c r="X779" s="65">
        <v>95111</v>
      </c>
      <c r="Y779" s="65">
        <v>0</v>
      </c>
      <c r="Z779" s="65">
        <v>0</v>
      </c>
      <c r="AA779" s="51">
        <v>0</v>
      </c>
      <c r="AB779" s="102">
        <v>0</v>
      </c>
      <c r="AC779" s="81">
        <f t="shared" si="39"/>
        <v>0</v>
      </c>
      <c r="AD779" s="82">
        <f t="shared" si="40"/>
        <v>0</v>
      </c>
      <c r="AE779" s="218">
        <v>-9.9470778198396063E-3</v>
      </c>
      <c r="AF779">
        <v>1</v>
      </c>
      <c r="AH779" t="str">
        <f t="shared" si="38"/>
        <v>Chautham</v>
      </c>
      <c r="AJ779" s="72">
        <v>0</v>
      </c>
      <c r="AK779" s="72"/>
      <c r="AL779" s="72"/>
      <c r="AM779" s="72"/>
    </row>
    <row r="780" spans="1:39" x14ac:dyDescent="0.25">
      <c r="A780" s="37" t="s">
        <v>62</v>
      </c>
      <c r="B780" s="66" t="s">
        <v>1596</v>
      </c>
      <c r="C780" s="41">
        <v>1056</v>
      </c>
      <c r="D780" s="41" t="s">
        <v>816</v>
      </c>
      <c r="E780" s="41">
        <v>10560025</v>
      </c>
      <c r="F780" s="85" t="s">
        <v>1275</v>
      </c>
      <c r="G780" s="39" t="s">
        <v>617</v>
      </c>
      <c r="H780" s="52" t="s">
        <v>98</v>
      </c>
      <c r="I780" s="52">
        <v>78.720000000000013</v>
      </c>
      <c r="J780" s="49">
        <v>3328.0499999999997</v>
      </c>
      <c r="K780" s="58">
        <v>0</v>
      </c>
      <c r="L780" s="58">
        <v>0</v>
      </c>
      <c r="M780" s="58">
        <v>0</v>
      </c>
      <c r="N780" s="58">
        <v>0</v>
      </c>
      <c r="O780" s="65">
        <v>0</v>
      </c>
      <c r="P780" s="65">
        <v>0</v>
      </c>
      <c r="Q780" s="50">
        <v>3328.0499999999997</v>
      </c>
      <c r="R780" s="65">
        <v>0</v>
      </c>
      <c r="S780" s="65">
        <v>0</v>
      </c>
      <c r="T780" s="65">
        <v>0</v>
      </c>
      <c r="U780" s="65">
        <v>0</v>
      </c>
      <c r="V780" s="65">
        <v>0</v>
      </c>
      <c r="W780" s="65">
        <v>0</v>
      </c>
      <c r="X780" s="65">
        <v>0</v>
      </c>
      <c r="Y780" s="65">
        <v>0</v>
      </c>
      <c r="Z780" s="65">
        <v>3328.0499999999997</v>
      </c>
      <c r="AA780" s="51">
        <v>0</v>
      </c>
      <c r="AB780" s="102">
        <v>0</v>
      </c>
      <c r="AC780" s="81">
        <f t="shared" si="39"/>
        <v>525.31781097560963</v>
      </c>
      <c r="AD780" s="82">
        <f t="shared" si="40"/>
        <v>11.245714285714287</v>
      </c>
      <c r="AE780" s="218">
        <v>0</v>
      </c>
      <c r="AF780">
        <v>0</v>
      </c>
      <c r="AH780" t="str">
        <f t="shared" si="38"/>
        <v>Chautham</v>
      </c>
      <c r="AJ780" s="72">
        <v>0</v>
      </c>
      <c r="AK780" s="72"/>
      <c r="AL780" s="72"/>
      <c r="AM780" s="72"/>
    </row>
    <row r="781" spans="1:39" x14ac:dyDescent="0.25">
      <c r="A781" s="37" t="s">
        <v>62</v>
      </c>
      <c r="B781" s="66" t="s">
        <v>1596</v>
      </c>
      <c r="C781" s="41">
        <v>1056</v>
      </c>
      <c r="D781" s="41" t="s">
        <v>816</v>
      </c>
      <c r="E781" s="41">
        <v>10560026</v>
      </c>
      <c r="F781" s="85" t="s">
        <v>1292</v>
      </c>
      <c r="G781" s="39" t="s">
        <v>92</v>
      </c>
      <c r="H781" s="52" t="s">
        <v>93</v>
      </c>
      <c r="I781" s="52">
        <v>980.92000000000007</v>
      </c>
      <c r="J781" s="49">
        <v>38389.89</v>
      </c>
      <c r="K781" s="58">
        <v>989.43999999999994</v>
      </c>
      <c r="L781" s="58">
        <v>39591.050000000003</v>
      </c>
      <c r="M781" s="58">
        <v>0</v>
      </c>
      <c r="N781" s="58">
        <v>0</v>
      </c>
      <c r="O781" s="65">
        <v>989.43999999999994</v>
      </c>
      <c r="P781" s="65">
        <v>39591.050000000003</v>
      </c>
      <c r="Q781" s="50">
        <v>38389.89</v>
      </c>
      <c r="R781" s="65">
        <v>0</v>
      </c>
      <c r="S781" s="65">
        <v>0</v>
      </c>
      <c r="T781" s="65">
        <v>1201.1600000000035</v>
      </c>
      <c r="U781" s="65">
        <v>0</v>
      </c>
      <c r="V781" s="65">
        <v>0</v>
      </c>
      <c r="W781" s="65">
        <v>0</v>
      </c>
      <c r="X781" s="65">
        <v>38390</v>
      </c>
      <c r="Y781" s="65">
        <v>0</v>
      </c>
      <c r="Z781" s="65">
        <v>0</v>
      </c>
      <c r="AA781" s="51">
        <v>0</v>
      </c>
      <c r="AB781" s="102">
        <v>0</v>
      </c>
      <c r="AC781" s="81">
        <f t="shared" si="39"/>
        <v>0</v>
      </c>
      <c r="AD781" s="82">
        <f t="shared" si="40"/>
        <v>0</v>
      </c>
      <c r="AE781" s="218">
        <v>-3.1288445994505414E-2</v>
      </c>
      <c r="AF781">
        <v>21</v>
      </c>
      <c r="AH781" t="str">
        <f t="shared" si="38"/>
        <v>Chautham</v>
      </c>
      <c r="AJ781" s="72">
        <v>0</v>
      </c>
      <c r="AK781" s="72"/>
      <c r="AL781" s="72"/>
      <c r="AM781" s="72"/>
    </row>
    <row r="782" spans="1:39" x14ac:dyDescent="0.25">
      <c r="A782" s="37" t="s">
        <v>62</v>
      </c>
      <c r="B782" s="66" t="s">
        <v>1596</v>
      </c>
      <c r="C782" s="41">
        <v>1056</v>
      </c>
      <c r="D782" s="41" t="s">
        <v>816</v>
      </c>
      <c r="E782" s="41">
        <v>10560028</v>
      </c>
      <c r="F782" s="85" t="s">
        <v>1390</v>
      </c>
      <c r="G782" s="39" t="s">
        <v>92</v>
      </c>
      <c r="H782" s="52" t="s">
        <v>93</v>
      </c>
      <c r="I782" s="52">
        <v>399.12000000000006</v>
      </c>
      <c r="J782" s="49">
        <v>19097.819999999996</v>
      </c>
      <c r="K782" s="58">
        <v>407</v>
      </c>
      <c r="L782" s="58">
        <v>19430.34</v>
      </c>
      <c r="M782" s="58">
        <v>0</v>
      </c>
      <c r="N782" s="58">
        <v>0</v>
      </c>
      <c r="O782" s="65">
        <v>407</v>
      </c>
      <c r="P782" s="65">
        <v>19430.34</v>
      </c>
      <c r="Q782" s="50">
        <v>19097.819999999996</v>
      </c>
      <c r="R782" s="65">
        <v>0</v>
      </c>
      <c r="S782" s="65">
        <v>0</v>
      </c>
      <c r="T782" s="65">
        <v>332.52000000000407</v>
      </c>
      <c r="U782" s="65">
        <v>0</v>
      </c>
      <c r="V782" s="65">
        <v>0</v>
      </c>
      <c r="W782" s="65">
        <v>0</v>
      </c>
      <c r="X782" s="65">
        <v>19098</v>
      </c>
      <c r="Y782" s="65">
        <v>0</v>
      </c>
      <c r="Z782" s="65">
        <v>0</v>
      </c>
      <c r="AA782" s="51">
        <v>0</v>
      </c>
      <c r="AB782" s="102">
        <v>0</v>
      </c>
      <c r="AC782" s="81">
        <f t="shared" si="39"/>
        <v>287.94107444377613</v>
      </c>
      <c r="AD782" s="82">
        <f t="shared" si="40"/>
        <v>57.017142857142865</v>
      </c>
      <c r="AE782" s="218">
        <v>-1.7411411354804063E-2</v>
      </c>
      <c r="AF782">
        <v>1</v>
      </c>
      <c r="AH782" t="str">
        <f t="shared" si="38"/>
        <v>Chautham</v>
      </c>
      <c r="AJ782" s="72">
        <v>0</v>
      </c>
      <c r="AK782" s="72"/>
      <c r="AL782" s="72"/>
      <c r="AM782" s="72"/>
    </row>
    <row r="783" spans="1:39" x14ac:dyDescent="0.25">
      <c r="A783" s="37" t="s">
        <v>62</v>
      </c>
      <c r="B783" s="66" t="s">
        <v>1596</v>
      </c>
      <c r="C783" s="41">
        <v>1056</v>
      </c>
      <c r="D783" s="41" t="s">
        <v>816</v>
      </c>
      <c r="E783" s="41">
        <v>10560031</v>
      </c>
      <c r="F783" s="85" t="s">
        <v>1391</v>
      </c>
      <c r="G783" s="39" t="s">
        <v>92</v>
      </c>
      <c r="H783" s="52" t="s">
        <v>93</v>
      </c>
      <c r="I783" s="52">
        <v>581.11999999999989</v>
      </c>
      <c r="J783" s="49">
        <v>22700.570000000003</v>
      </c>
      <c r="K783" s="58">
        <v>581.41999999999996</v>
      </c>
      <c r="L783" s="58">
        <v>22712.620000000003</v>
      </c>
      <c r="M783" s="58">
        <v>0</v>
      </c>
      <c r="N783" s="58">
        <v>0</v>
      </c>
      <c r="O783" s="65">
        <v>581.41999999999996</v>
      </c>
      <c r="P783" s="65">
        <v>22712.620000000003</v>
      </c>
      <c r="Q783" s="50">
        <v>22700.570000000003</v>
      </c>
      <c r="R783" s="65">
        <v>0</v>
      </c>
      <c r="S783" s="65">
        <v>0</v>
      </c>
      <c r="T783" s="65">
        <v>12.049999999999272</v>
      </c>
      <c r="U783" s="65">
        <v>0</v>
      </c>
      <c r="V783" s="65">
        <v>0</v>
      </c>
      <c r="W783" s="65">
        <v>0</v>
      </c>
      <c r="X783" s="65">
        <v>22701</v>
      </c>
      <c r="Y783" s="65">
        <v>0</v>
      </c>
      <c r="Z783" s="65">
        <v>0</v>
      </c>
      <c r="AA783" s="51">
        <v>0</v>
      </c>
      <c r="AB783" s="102">
        <v>0</v>
      </c>
      <c r="AC783" s="81">
        <f t="shared" si="39"/>
        <v>92.877332103524338</v>
      </c>
      <c r="AD783" s="82">
        <f t="shared" si="40"/>
        <v>83.017142857142844</v>
      </c>
      <c r="AE783" s="218">
        <v>-5.3082367535261317E-4</v>
      </c>
      <c r="AF783">
        <v>1</v>
      </c>
      <c r="AH783" t="str">
        <f t="shared" si="38"/>
        <v>Chautham</v>
      </c>
      <c r="AJ783" s="72">
        <v>0</v>
      </c>
      <c r="AK783" s="72"/>
      <c r="AL783" s="72"/>
      <c r="AM783" s="72"/>
    </row>
    <row r="784" spans="1:39" x14ac:dyDescent="0.25">
      <c r="A784" s="37" t="s">
        <v>62</v>
      </c>
      <c r="B784" s="66" t="s">
        <v>1596</v>
      </c>
      <c r="C784" s="41">
        <v>1056</v>
      </c>
      <c r="D784" s="41" t="s">
        <v>816</v>
      </c>
      <c r="E784" s="41">
        <v>10560033</v>
      </c>
      <c r="F784" s="85" t="s">
        <v>1433</v>
      </c>
      <c r="G784" s="39" t="s">
        <v>617</v>
      </c>
      <c r="H784" s="52" t="s">
        <v>98</v>
      </c>
      <c r="I784" s="52">
        <v>253.91999999999996</v>
      </c>
      <c r="J784" s="49">
        <v>10780.81</v>
      </c>
      <c r="K784" s="58">
        <v>0</v>
      </c>
      <c r="L784" s="58">
        <v>0</v>
      </c>
      <c r="M784" s="58">
        <v>0</v>
      </c>
      <c r="N784" s="58">
        <v>0</v>
      </c>
      <c r="O784" s="65">
        <v>0</v>
      </c>
      <c r="P784" s="65">
        <v>0</v>
      </c>
      <c r="Q784" s="50">
        <v>10780.81</v>
      </c>
      <c r="R784" s="65">
        <v>0</v>
      </c>
      <c r="S784" s="65">
        <v>0</v>
      </c>
      <c r="T784" s="65">
        <v>0</v>
      </c>
      <c r="U784" s="65">
        <v>0</v>
      </c>
      <c r="V784" s="65">
        <v>0</v>
      </c>
      <c r="W784" s="65">
        <v>0</v>
      </c>
      <c r="X784" s="65">
        <v>0</v>
      </c>
      <c r="Y784" s="65">
        <v>0</v>
      </c>
      <c r="Z784" s="65">
        <v>10780.81</v>
      </c>
      <c r="AA784" s="51">
        <v>0</v>
      </c>
      <c r="AB784" s="102">
        <v>0</v>
      </c>
      <c r="AC784" s="81">
        <f t="shared" si="39"/>
        <v>378.78888821676128</v>
      </c>
      <c r="AD784" s="82">
        <f t="shared" si="40"/>
        <v>36.27428571428571</v>
      </c>
      <c r="AE784" s="218">
        <v>0</v>
      </c>
      <c r="AF784">
        <v>0</v>
      </c>
      <c r="AH784" t="str">
        <f t="shared" si="38"/>
        <v>Chautham</v>
      </c>
      <c r="AJ784" s="72">
        <v>0</v>
      </c>
      <c r="AK784" s="72"/>
      <c r="AL784" s="72"/>
      <c r="AM784" s="72"/>
    </row>
    <row r="785" spans="1:39" x14ac:dyDescent="0.25">
      <c r="A785" s="37" t="s">
        <v>62</v>
      </c>
      <c r="B785" s="66" t="s">
        <v>1596</v>
      </c>
      <c r="C785" s="41">
        <v>1056</v>
      </c>
      <c r="D785" s="41" t="s">
        <v>816</v>
      </c>
      <c r="E785" s="41">
        <v>10560034</v>
      </c>
      <c r="F785" s="85" t="s">
        <v>1341</v>
      </c>
      <c r="G785" s="39" t="s">
        <v>617</v>
      </c>
      <c r="H785" s="52" t="s">
        <v>98</v>
      </c>
      <c r="I785" s="52">
        <v>243.02</v>
      </c>
      <c r="J785" s="49">
        <v>8451.89</v>
      </c>
      <c r="K785" s="58">
        <v>0</v>
      </c>
      <c r="L785" s="58">
        <v>0</v>
      </c>
      <c r="M785" s="58">
        <v>0</v>
      </c>
      <c r="N785" s="58">
        <v>0</v>
      </c>
      <c r="O785" s="65">
        <v>0</v>
      </c>
      <c r="P785" s="65">
        <v>0</v>
      </c>
      <c r="Q785" s="50">
        <v>8451.89</v>
      </c>
      <c r="R785" s="65">
        <v>0</v>
      </c>
      <c r="S785" s="65">
        <v>0</v>
      </c>
      <c r="T785" s="65">
        <v>0</v>
      </c>
      <c r="U785" s="65">
        <v>0</v>
      </c>
      <c r="V785" s="65">
        <v>0</v>
      </c>
      <c r="W785" s="65">
        <v>0</v>
      </c>
      <c r="X785" s="65">
        <v>0</v>
      </c>
      <c r="Y785" s="65">
        <v>0</v>
      </c>
      <c r="Z785" s="65">
        <v>8451.89</v>
      </c>
      <c r="AA785" s="51">
        <v>0</v>
      </c>
      <c r="AB785" s="102">
        <v>0</v>
      </c>
      <c r="AC785" s="81">
        <f t="shared" si="39"/>
        <v>317.86229052752856</v>
      </c>
      <c r="AD785" s="82">
        <f t="shared" si="40"/>
        <v>34.717142857142861</v>
      </c>
      <c r="AE785" s="218">
        <v>0</v>
      </c>
      <c r="AF785">
        <v>0</v>
      </c>
      <c r="AH785" t="str">
        <f t="shared" si="38"/>
        <v>Chautham</v>
      </c>
      <c r="AJ785" s="72">
        <v>0</v>
      </c>
      <c r="AK785" s="72"/>
      <c r="AL785" s="72"/>
      <c r="AM785" s="72"/>
    </row>
    <row r="786" spans="1:39" x14ac:dyDescent="0.25">
      <c r="A786" s="37" t="s">
        <v>62</v>
      </c>
      <c r="B786" s="66" t="s">
        <v>1596</v>
      </c>
      <c r="C786" s="41">
        <v>1056</v>
      </c>
      <c r="D786" s="41" t="s">
        <v>816</v>
      </c>
      <c r="E786" s="41">
        <v>10560035</v>
      </c>
      <c r="F786" s="85" t="s">
        <v>1457</v>
      </c>
      <c r="G786" s="39" t="s">
        <v>92</v>
      </c>
      <c r="H786" s="52" t="s">
        <v>93</v>
      </c>
      <c r="I786" s="52">
        <v>401.48</v>
      </c>
      <c r="J786" s="49">
        <v>14223.34</v>
      </c>
      <c r="K786" s="58">
        <v>408.3</v>
      </c>
      <c r="L786" s="58">
        <v>13879.839999999998</v>
      </c>
      <c r="M786" s="58">
        <v>0</v>
      </c>
      <c r="N786" s="58">
        <v>0</v>
      </c>
      <c r="O786" s="65">
        <v>408.3</v>
      </c>
      <c r="P786" s="65">
        <v>13879.839999999998</v>
      </c>
      <c r="Q786" s="50">
        <v>13879.839999999998</v>
      </c>
      <c r="R786" s="65">
        <v>0</v>
      </c>
      <c r="S786" s="65">
        <v>0</v>
      </c>
      <c r="T786" s="65">
        <v>0</v>
      </c>
      <c r="U786" s="65">
        <v>0</v>
      </c>
      <c r="V786" s="65">
        <v>0</v>
      </c>
      <c r="W786" s="65">
        <v>0</v>
      </c>
      <c r="X786" s="65">
        <v>13880</v>
      </c>
      <c r="Y786" s="65">
        <v>0</v>
      </c>
      <c r="Z786" s="65">
        <v>0</v>
      </c>
      <c r="AA786" s="51">
        <v>343</v>
      </c>
      <c r="AB786" s="102">
        <v>0</v>
      </c>
      <c r="AC786" s="81">
        <f t="shared" si="39"/>
        <v>211.51496746039652</v>
      </c>
      <c r="AD786" s="82">
        <f t="shared" si="40"/>
        <v>57.354285714285716</v>
      </c>
      <c r="AE786" s="218">
        <v>2.4150445675910286E-2</v>
      </c>
      <c r="AF786">
        <v>1</v>
      </c>
      <c r="AH786" t="str">
        <f t="shared" si="38"/>
        <v>Chautham</v>
      </c>
      <c r="AJ786" s="72">
        <v>0</v>
      </c>
      <c r="AK786" s="72"/>
      <c r="AL786" s="72"/>
      <c r="AM786" s="72"/>
    </row>
    <row r="787" spans="1:39" x14ac:dyDescent="0.25">
      <c r="A787" s="37" t="s">
        <v>62</v>
      </c>
      <c r="B787" s="66" t="s">
        <v>1596</v>
      </c>
      <c r="C787" s="41">
        <v>1056</v>
      </c>
      <c r="D787" s="41" t="s">
        <v>816</v>
      </c>
      <c r="E787" s="41">
        <v>10560036</v>
      </c>
      <c r="F787" s="85" t="s">
        <v>1434</v>
      </c>
      <c r="G787" s="39" t="s">
        <v>92</v>
      </c>
      <c r="H787" s="52" t="s">
        <v>93</v>
      </c>
      <c r="I787" s="52">
        <v>557.78000000000009</v>
      </c>
      <c r="J787" s="49">
        <v>28468.649999999998</v>
      </c>
      <c r="K787" s="58">
        <v>564.67999999999995</v>
      </c>
      <c r="L787" s="58">
        <v>28510.25</v>
      </c>
      <c r="M787" s="58">
        <v>0</v>
      </c>
      <c r="N787" s="58">
        <v>0</v>
      </c>
      <c r="O787" s="65">
        <v>564.67999999999995</v>
      </c>
      <c r="P787" s="65">
        <v>28510.25</v>
      </c>
      <c r="Q787" s="50">
        <v>28468.649999999998</v>
      </c>
      <c r="R787" s="65">
        <v>0</v>
      </c>
      <c r="S787" s="65">
        <v>0</v>
      </c>
      <c r="T787" s="65">
        <v>41.600000000002183</v>
      </c>
      <c r="U787" s="65">
        <v>0</v>
      </c>
      <c r="V787" s="65">
        <v>0</v>
      </c>
      <c r="W787" s="65">
        <v>0</v>
      </c>
      <c r="X787" s="65">
        <v>28469</v>
      </c>
      <c r="Y787" s="65">
        <v>0</v>
      </c>
      <c r="Z787" s="65">
        <v>0</v>
      </c>
      <c r="AA787" s="51">
        <v>0</v>
      </c>
      <c r="AB787" s="102">
        <v>0</v>
      </c>
      <c r="AC787" s="81">
        <f t="shared" si="39"/>
        <v>145.17592609989586</v>
      </c>
      <c r="AD787" s="82">
        <f t="shared" si="40"/>
        <v>79.682857142857159</v>
      </c>
      <c r="AE787" s="218">
        <v>-1.4612565049625531E-3</v>
      </c>
      <c r="AF787">
        <v>2</v>
      </c>
      <c r="AH787" t="str">
        <f t="shared" si="38"/>
        <v>Chautham</v>
      </c>
      <c r="AJ787" s="72">
        <v>0</v>
      </c>
      <c r="AK787" s="72"/>
      <c r="AL787" s="72"/>
      <c r="AM787" s="72"/>
    </row>
    <row r="788" spans="1:39" x14ac:dyDescent="0.25">
      <c r="A788" s="37" t="s">
        <v>62</v>
      </c>
      <c r="B788" s="66" t="s">
        <v>1596</v>
      </c>
      <c r="C788" s="41">
        <v>1056</v>
      </c>
      <c r="D788" s="41" t="s">
        <v>816</v>
      </c>
      <c r="E788" s="41">
        <v>10560037</v>
      </c>
      <c r="F788" s="85" t="s">
        <v>1435</v>
      </c>
      <c r="G788" s="39" t="s">
        <v>92</v>
      </c>
      <c r="H788" s="52" t="s">
        <v>93</v>
      </c>
      <c r="I788" s="52">
        <v>324.02</v>
      </c>
      <c r="J788" s="49">
        <v>12824.080000000002</v>
      </c>
      <c r="K788" s="58">
        <v>511.09999999999985</v>
      </c>
      <c r="L788" s="58">
        <v>20644.220000000012</v>
      </c>
      <c r="M788" s="58">
        <v>0</v>
      </c>
      <c r="N788" s="58">
        <v>0</v>
      </c>
      <c r="O788" s="65">
        <v>511.09999999999985</v>
      </c>
      <c r="P788" s="65">
        <v>20644.220000000012</v>
      </c>
      <c r="Q788" s="50">
        <v>12824.080000000002</v>
      </c>
      <c r="R788" s="65">
        <v>0</v>
      </c>
      <c r="S788" s="65">
        <v>0</v>
      </c>
      <c r="T788" s="65">
        <v>7820.1400000000103</v>
      </c>
      <c r="U788" s="65">
        <v>0</v>
      </c>
      <c r="V788" s="65">
        <v>0</v>
      </c>
      <c r="W788" s="65">
        <v>0</v>
      </c>
      <c r="X788" s="65">
        <v>12824</v>
      </c>
      <c r="Y788" s="65">
        <v>0</v>
      </c>
      <c r="Z788" s="65">
        <v>0</v>
      </c>
      <c r="AA788" s="51">
        <v>0</v>
      </c>
      <c r="AB788" s="102">
        <v>0</v>
      </c>
      <c r="AC788" s="81">
        <f t="shared" si="39"/>
        <v>297.61111032652315</v>
      </c>
      <c r="AD788" s="82">
        <f t="shared" si="40"/>
        <v>46.288571428571423</v>
      </c>
      <c r="AE788" s="218">
        <v>-0.60980124890050669</v>
      </c>
      <c r="AF788">
        <v>1</v>
      </c>
      <c r="AH788" t="str">
        <f t="shared" si="38"/>
        <v>Chautham</v>
      </c>
      <c r="AJ788" s="72">
        <v>0</v>
      </c>
      <c r="AK788" s="72"/>
      <c r="AL788" s="72"/>
      <c r="AM788" s="72"/>
    </row>
    <row r="789" spans="1:39" x14ac:dyDescent="0.25">
      <c r="A789" s="37" t="s">
        <v>62</v>
      </c>
      <c r="B789" s="66" t="s">
        <v>1596</v>
      </c>
      <c r="C789" s="41">
        <v>1056</v>
      </c>
      <c r="D789" s="41" t="s">
        <v>816</v>
      </c>
      <c r="E789" s="41">
        <v>10560039</v>
      </c>
      <c r="F789" s="85" t="s">
        <v>1552</v>
      </c>
      <c r="G789" s="39" t="s">
        <v>617</v>
      </c>
      <c r="H789" s="52" t="s">
        <v>98</v>
      </c>
      <c r="I789" s="52">
        <v>401.44</v>
      </c>
      <c r="J789" s="49">
        <v>13394.710000000001</v>
      </c>
      <c r="K789" s="58">
        <v>0</v>
      </c>
      <c r="L789" s="58">
        <v>0</v>
      </c>
      <c r="M789" s="58">
        <v>0</v>
      </c>
      <c r="N789" s="58">
        <v>0</v>
      </c>
      <c r="O789" s="65">
        <v>0</v>
      </c>
      <c r="P789" s="65">
        <v>0</v>
      </c>
      <c r="Q789" s="50">
        <v>13394.710000000001</v>
      </c>
      <c r="R789" s="65">
        <v>0</v>
      </c>
      <c r="S789" s="65">
        <v>0</v>
      </c>
      <c r="T789" s="65">
        <v>0</v>
      </c>
      <c r="U789" s="65">
        <v>0</v>
      </c>
      <c r="V789" s="65">
        <v>0</v>
      </c>
      <c r="W789" s="65">
        <v>0</v>
      </c>
      <c r="X789" s="65">
        <v>0</v>
      </c>
      <c r="Y789" s="65">
        <v>0</v>
      </c>
      <c r="Z789" s="65">
        <v>13394.710000000001</v>
      </c>
      <c r="AA789" s="51">
        <v>0</v>
      </c>
      <c r="AB789" s="102">
        <v>0</v>
      </c>
      <c r="AC789" s="81">
        <f t="shared" si="39"/>
        <v>199.2389705858908</v>
      </c>
      <c r="AD789" s="82">
        <f t="shared" si="40"/>
        <v>57.348571428571425</v>
      </c>
      <c r="AE789" s="218">
        <v>0</v>
      </c>
      <c r="AF789">
        <v>0</v>
      </c>
      <c r="AH789" t="str">
        <f t="shared" si="38"/>
        <v>Chautham</v>
      </c>
      <c r="AJ789" s="72">
        <v>0</v>
      </c>
      <c r="AK789" s="72"/>
      <c r="AL789" s="72"/>
      <c r="AM789" s="72"/>
    </row>
    <row r="790" spans="1:39" x14ac:dyDescent="0.25">
      <c r="A790" s="37" t="s">
        <v>62</v>
      </c>
      <c r="B790" s="66" t="s">
        <v>1596</v>
      </c>
      <c r="C790" s="41">
        <v>1056</v>
      </c>
      <c r="D790" s="41" t="s">
        <v>816</v>
      </c>
      <c r="E790" s="41">
        <v>10560040</v>
      </c>
      <c r="F790" s="85" t="s">
        <v>1553</v>
      </c>
      <c r="G790" s="39" t="s">
        <v>617</v>
      </c>
      <c r="H790" s="52" t="s">
        <v>98</v>
      </c>
      <c r="I790" s="52">
        <v>126.29999999999998</v>
      </c>
      <c r="J790" s="49">
        <v>4963.8700000000008</v>
      </c>
      <c r="K790" s="58">
        <v>0</v>
      </c>
      <c r="L790" s="58">
        <v>0</v>
      </c>
      <c r="M790" s="58">
        <v>0</v>
      </c>
      <c r="N790" s="58">
        <v>0</v>
      </c>
      <c r="O790" s="65">
        <v>0</v>
      </c>
      <c r="P790" s="65">
        <v>0</v>
      </c>
      <c r="Q790" s="50">
        <v>4963.8700000000008</v>
      </c>
      <c r="R790" s="65">
        <v>0</v>
      </c>
      <c r="S790" s="65">
        <v>0</v>
      </c>
      <c r="T790" s="65">
        <v>0</v>
      </c>
      <c r="U790" s="65">
        <v>0</v>
      </c>
      <c r="V790" s="65">
        <v>0</v>
      </c>
      <c r="W790" s="65">
        <v>0</v>
      </c>
      <c r="X790" s="65">
        <v>0</v>
      </c>
      <c r="Y790" s="65">
        <v>0</v>
      </c>
      <c r="Z790" s="65">
        <v>4963.8700000000008</v>
      </c>
      <c r="AA790" s="51">
        <v>0</v>
      </c>
      <c r="AB790" s="102">
        <v>0</v>
      </c>
      <c r="AC790" s="81">
        <f t="shared" si="39"/>
        <v>450.95363721298514</v>
      </c>
      <c r="AD790" s="82">
        <f t="shared" si="40"/>
        <v>18.042857142857141</v>
      </c>
      <c r="AE790" s="218">
        <v>0</v>
      </c>
      <c r="AF790">
        <v>0</v>
      </c>
      <c r="AH790" t="str">
        <f t="shared" si="38"/>
        <v>Chautham</v>
      </c>
      <c r="AJ790" s="72">
        <v>0</v>
      </c>
      <c r="AK790" s="72"/>
      <c r="AL790" s="72"/>
      <c r="AM790" s="72"/>
    </row>
    <row r="791" spans="1:39" x14ac:dyDescent="0.25">
      <c r="A791" s="37" t="s">
        <v>62</v>
      </c>
      <c r="B791" s="66" t="s">
        <v>1596</v>
      </c>
      <c r="C791" s="41">
        <v>1063</v>
      </c>
      <c r="D791" s="41" t="s">
        <v>1565</v>
      </c>
      <c r="E791" s="41">
        <v>10570001</v>
      </c>
      <c r="F791" s="85" t="s">
        <v>1175</v>
      </c>
      <c r="G791" s="39" t="s">
        <v>92</v>
      </c>
      <c r="H791" s="52" t="s">
        <v>93</v>
      </c>
      <c r="I791" s="52">
        <v>57.6</v>
      </c>
      <c r="J791" s="49">
        <v>2155.96</v>
      </c>
      <c r="K791" s="58">
        <v>57.699999999999996</v>
      </c>
      <c r="L791" s="58">
        <v>2162.1999999999998</v>
      </c>
      <c r="M791" s="58">
        <v>0</v>
      </c>
      <c r="N791" s="58">
        <v>0</v>
      </c>
      <c r="O791" s="65">
        <v>57.699999999999996</v>
      </c>
      <c r="P791" s="65">
        <v>2162.1999999999998</v>
      </c>
      <c r="Q791" s="50">
        <v>2155.96</v>
      </c>
      <c r="R791" s="65">
        <v>0</v>
      </c>
      <c r="S791" s="65">
        <v>0</v>
      </c>
      <c r="T791" s="65">
        <v>6.2399999999997817</v>
      </c>
      <c r="U791" s="65">
        <v>0</v>
      </c>
      <c r="V791" s="65">
        <v>500</v>
      </c>
      <c r="W791" s="65">
        <v>0</v>
      </c>
      <c r="X791" s="65">
        <v>1656</v>
      </c>
      <c r="Y791" s="65">
        <v>0</v>
      </c>
      <c r="Z791" s="65">
        <v>0</v>
      </c>
      <c r="AA791" s="51">
        <v>0</v>
      </c>
      <c r="AB791" s="102">
        <v>0</v>
      </c>
      <c r="AC791" s="81">
        <f t="shared" si="39"/>
        <v>480.89885555555549</v>
      </c>
      <c r="AD791" s="82">
        <f t="shared" si="40"/>
        <v>8.2285714285714295</v>
      </c>
      <c r="AE791" s="218">
        <v>-2.8943023061651337E-3</v>
      </c>
      <c r="AF791">
        <v>1</v>
      </c>
      <c r="AH791" t="str">
        <f t="shared" si="38"/>
        <v>Rosera</v>
      </c>
      <c r="AJ791" s="72">
        <v>500</v>
      </c>
      <c r="AK791" s="72"/>
      <c r="AL791" s="72"/>
      <c r="AM791" s="72"/>
    </row>
    <row r="792" spans="1:39" x14ac:dyDescent="0.25">
      <c r="A792" s="37" t="s">
        <v>62</v>
      </c>
      <c r="B792" s="66" t="s">
        <v>1596</v>
      </c>
      <c r="C792" s="41">
        <v>1057</v>
      </c>
      <c r="D792" s="41" t="s">
        <v>1174</v>
      </c>
      <c r="E792" s="41">
        <v>10570003</v>
      </c>
      <c r="F792" s="85" t="s">
        <v>1176</v>
      </c>
      <c r="G792" s="39" t="s">
        <v>92</v>
      </c>
      <c r="H792" s="52" t="s">
        <v>93</v>
      </c>
      <c r="I792" s="52">
        <v>294.7000000000001</v>
      </c>
      <c r="J792" s="49">
        <v>11580.119999999999</v>
      </c>
      <c r="K792" s="58">
        <v>73.7</v>
      </c>
      <c r="L792" s="58">
        <v>2806.99</v>
      </c>
      <c r="M792" s="58">
        <v>220.7</v>
      </c>
      <c r="N792" s="58">
        <v>8695</v>
      </c>
      <c r="O792" s="65">
        <v>294.39999999999998</v>
      </c>
      <c r="P792" s="65">
        <v>11501.99</v>
      </c>
      <c r="Q792" s="50">
        <v>11501.99</v>
      </c>
      <c r="R792" s="65">
        <v>0</v>
      </c>
      <c r="S792" s="65">
        <v>0</v>
      </c>
      <c r="T792" s="65">
        <v>0</v>
      </c>
      <c r="U792" s="65">
        <v>7750</v>
      </c>
      <c r="V792" s="65">
        <v>500</v>
      </c>
      <c r="W792" s="65">
        <v>0</v>
      </c>
      <c r="X792" s="65">
        <v>2307</v>
      </c>
      <c r="Y792" s="65">
        <v>945</v>
      </c>
      <c r="Z792" s="65">
        <v>0</v>
      </c>
      <c r="AA792" s="51">
        <v>78</v>
      </c>
      <c r="AB792" s="102" t="s">
        <v>68</v>
      </c>
      <c r="AC792" s="81">
        <f t="shared" si="39"/>
        <v>318.52206555819453</v>
      </c>
      <c r="AD792" s="82">
        <f t="shared" si="40"/>
        <v>42.100000000000016</v>
      </c>
      <c r="AE792" s="218">
        <v>6.7469076313543559E-3</v>
      </c>
      <c r="AF792">
        <v>7</v>
      </c>
      <c r="AH792" t="str">
        <f t="shared" si="38"/>
        <v>Warisnagar</v>
      </c>
      <c r="AJ792" s="72">
        <v>500</v>
      </c>
      <c r="AK792" s="72"/>
      <c r="AL792" s="72"/>
      <c r="AM792" s="72"/>
    </row>
    <row r="793" spans="1:39" x14ac:dyDescent="0.25">
      <c r="A793" s="37" t="s">
        <v>62</v>
      </c>
      <c r="B793" s="66" t="s">
        <v>1596</v>
      </c>
      <c r="C793" s="41">
        <v>1057</v>
      </c>
      <c r="D793" s="41" t="s">
        <v>1174</v>
      </c>
      <c r="E793" s="41">
        <v>10570007</v>
      </c>
      <c r="F793" s="85" t="s">
        <v>1182</v>
      </c>
      <c r="G793" s="39" t="s">
        <v>92</v>
      </c>
      <c r="H793" s="52" t="s">
        <v>93</v>
      </c>
      <c r="I793" s="52">
        <v>656.3</v>
      </c>
      <c r="J793" s="49">
        <v>28415.899999999998</v>
      </c>
      <c r="K793" s="58">
        <v>30</v>
      </c>
      <c r="L793" s="58">
        <v>1327.4</v>
      </c>
      <c r="M793" s="58">
        <v>626.40000000000009</v>
      </c>
      <c r="N793" s="58">
        <v>27079.140000000003</v>
      </c>
      <c r="O793" s="65">
        <v>656.40000000000009</v>
      </c>
      <c r="P793" s="65">
        <v>28406.540000000005</v>
      </c>
      <c r="Q793" s="50">
        <v>28406.540000000005</v>
      </c>
      <c r="R793" s="65">
        <v>0</v>
      </c>
      <c r="S793" s="65">
        <v>0</v>
      </c>
      <c r="T793" s="65">
        <v>0</v>
      </c>
      <c r="U793" s="65">
        <v>7000</v>
      </c>
      <c r="V793" s="65">
        <v>0</v>
      </c>
      <c r="W793" s="65">
        <v>0</v>
      </c>
      <c r="X793" s="65">
        <v>1327</v>
      </c>
      <c r="Y793" s="65">
        <v>20080</v>
      </c>
      <c r="Z793" s="65">
        <v>0</v>
      </c>
      <c r="AA793" s="51">
        <v>9</v>
      </c>
      <c r="AB793" s="102" t="s">
        <v>68</v>
      </c>
      <c r="AC793" s="81">
        <f t="shared" si="39"/>
        <v>37.841683071765992</v>
      </c>
      <c r="AD793" s="82">
        <f t="shared" si="40"/>
        <v>93.757142857142853</v>
      </c>
      <c r="AE793" s="218">
        <v>3.2939305107328317E-4</v>
      </c>
      <c r="AF793">
        <v>8</v>
      </c>
      <c r="AH793" t="str">
        <f t="shared" si="38"/>
        <v>Warisnagar</v>
      </c>
      <c r="AJ793" s="72">
        <v>0</v>
      </c>
      <c r="AK793" s="72"/>
      <c r="AL793" s="72"/>
      <c r="AM793" s="72"/>
    </row>
    <row r="794" spans="1:39" x14ac:dyDescent="0.25">
      <c r="A794" s="37" t="s">
        <v>62</v>
      </c>
      <c r="B794" s="66" t="s">
        <v>1596</v>
      </c>
      <c r="C794" s="41">
        <v>1057</v>
      </c>
      <c r="D794" s="41" t="s">
        <v>1174</v>
      </c>
      <c r="E794" s="41">
        <v>10570008</v>
      </c>
      <c r="F794" s="85" t="s">
        <v>1177</v>
      </c>
      <c r="G794" s="39" t="s">
        <v>92</v>
      </c>
      <c r="H794" s="52" t="s">
        <v>93</v>
      </c>
      <c r="I794" s="52">
        <v>922.3</v>
      </c>
      <c r="J794" s="49">
        <v>37134.409999999996</v>
      </c>
      <c r="K794" s="58">
        <v>55</v>
      </c>
      <c r="L794" s="58">
        <v>2278.6099999999997</v>
      </c>
      <c r="M794" s="58">
        <v>867.30000000000007</v>
      </c>
      <c r="N794" s="58">
        <v>34826.710000000006</v>
      </c>
      <c r="O794" s="65">
        <v>922.30000000000007</v>
      </c>
      <c r="P794" s="65">
        <v>37105.320000000007</v>
      </c>
      <c r="Q794" s="50">
        <v>37105.320000000007</v>
      </c>
      <c r="R794" s="65">
        <v>0</v>
      </c>
      <c r="S794" s="65">
        <v>554.56999999999994</v>
      </c>
      <c r="T794" s="65">
        <v>0</v>
      </c>
      <c r="U794" s="65">
        <v>0</v>
      </c>
      <c r="V794" s="65">
        <v>0</v>
      </c>
      <c r="W794" s="65">
        <v>0</v>
      </c>
      <c r="X794" s="65">
        <v>2279</v>
      </c>
      <c r="Y794" s="65">
        <v>34271</v>
      </c>
      <c r="Z794" s="65">
        <v>0</v>
      </c>
      <c r="AA794" s="51">
        <v>30</v>
      </c>
      <c r="AB794" s="102">
        <v>0</v>
      </c>
      <c r="AC794" s="81">
        <f t="shared" si="39"/>
        <v>0</v>
      </c>
      <c r="AD794" s="82">
        <f t="shared" si="40"/>
        <v>0</v>
      </c>
      <c r="AE794" s="218">
        <v>7.8337046421335995E-4</v>
      </c>
      <c r="AF794">
        <v>16</v>
      </c>
      <c r="AH794" t="str">
        <f t="shared" si="38"/>
        <v>Warisnagar</v>
      </c>
      <c r="AJ794" s="72">
        <v>0</v>
      </c>
      <c r="AK794" s="72"/>
      <c r="AL794" s="72"/>
      <c r="AM794" s="72"/>
    </row>
    <row r="795" spans="1:39" x14ac:dyDescent="0.25">
      <c r="A795" s="37" t="s">
        <v>62</v>
      </c>
      <c r="B795" s="66" t="s">
        <v>1596</v>
      </c>
      <c r="C795" s="41">
        <v>1057</v>
      </c>
      <c r="D795" s="41" t="s">
        <v>1174</v>
      </c>
      <c r="E795" s="41">
        <v>10570009</v>
      </c>
      <c r="F795" s="85" t="s">
        <v>1178</v>
      </c>
      <c r="G795" s="39" t="s">
        <v>92</v>
      </c>
      <c r="H795" s="52" t="s">
        <v>93</v>
      </c>
      <c r="I795" s="52">
        <v>756</v>
      </c>
      <c r="J795" s="49">
        <v>30304.279999999995</v>
      </c>
      <c r="K795" s="58">
        <v>90.9</v>
      </c>
      <c r="L795" s="58">
        <v>3719.6399999999994</v>
      </c>
      <c r="M795" s="58">
        <v>664.7</v>
      </c>
      <c r="N795" s="58">
        <v>26567.779999999992</v>
      </c>
      <c r="O795" s="65">
        <v>755.6</v>
      </c>
      <c r="P795" s="65">
        <v>30287.419999999991</v>
      </c>
      <c r="Q795" s="50">
        <v>30287.419999999991</v>
      </c>
      <c r="R795" s="65">
        <v>0</v>
      </c>
      <c r="S795" s="65">
        <v>0</v>
      </c>
      <c r="T795" s="65">
        <v>0</v>
      </c>
      <c r="U795" s="65">
        <v>10550</v>
      </c>
      <c r="V795" s="65">
        <v>0</v>
      </c>
      <c r="W795" s="65">
        <v>0</v>
      </c>
      <c r="X795" s="65">
        <v>0</v>
      </c>
      <c r="Y795" s="65">
        <v>19738</v>
      </c>
      <c r="Z795" s="65">
        <v>0</v>
      </c>
      <c r="AA795" s="51">
        <v>16</v>
      </c>
      <c r="AB795" s="102" t="s">
        <v>68</v>
      </c>
      <c r="AC795" s="81">
        <f t="shared" si="39"/>
        <v>0</v>
      </c>
      <c r="AD795" s="82">
        <f t="shared" si="40"/>
        <v>0</v>
      </c>
      <c r="AE795" s="218">
        <v>5.5635705583515676E-4</v>
      </c>
      <c r="AF795">
        <v>6</v>
      </c>
      <c r="AH795" t="str">
        <f t="shared" si="38"/>
        <v>Warisnagar</v>
      </c>
      <c r="AJ795" s="72">
        <v>0</v>
      </c>
      <c r="AK795" s="72"/>
      <c r="AL795" s="72"/>
      <c r="AM795" s="72"/>
    </row>
    <row r="796" spans="1:39" x14ac:dyDescent="0.25">
      <c r="A796" s="37" t="s">
        <v>62</v>
      </c>
      <c r="B796" s="66" t="s">
        <v>1596</v>
      </c>
      <c r="C796" s="41">
        <v>1057</v>
      </c>
      <c r="D796" s="41" t="s">
        <v>1174</v>
      </c>
      <c r="E796" s="41">
        <v>10570010</v>
      </c>
      <c r="F796" s="85" t="s">
        <v>1179</v>
      </c>
      <c r="G796" s="39" t="s">
        <v>617</v>
      </c>
      <c r="H796" s="52" t="s">
        <v>98</v>
      </c>
      <c r="I796" s="52">
        <v>10.1</v>
      </c>
      <c r="J796" s="49">
        <v>358.15</v>
      </c>
      <c r="K796" s="58">
        <v>0</v>
      </c>
      <c r="L796" s="58">
        <v>0</v>
      </c>
      <c r="M796" s="58">
        <v>0</v>
      </c>
      <c r="N796" s="58">
        <v>0</v>
      </c>
      <c r="O796" s="65">
        <v>0</v>
      </c>
      <c r="P796" s="65">
        <v>0</v>
      </c>
      <c r="Q796" s="50">
        <v>358.15</v>
      </c>
      <c r="R796" s="65">
        <v>0</v>
      </c>
      <c r="S796" s="65">
        <v>0</v>
      </c>
      <c r="T796" s="65">
        <v>0</v>
      </c>
      <c r="U796" s="65">
        <v>0</v>
      </c>
      <c r="V796" s="65">
        <v>0</v>
      </c>
      <c r="W796" s="65">
        <v>0</v>
      </c>
      <c r="X796" s="65">
        <v>0</v>
      </c>
      <c r="Y796" s="65">
        <v>0</v>
      </c>
      <c r="Z796" s="65">
        <v>358.15</v>
      </c>
      <c r="AA796" s="51">
        <v>0</v>
      </c>
      <c r="AB796" s="102">
        <v>0</v>
      </c>
      <c r="AC796" s="81">
        <f t="shared" si="39"/>
        <v>489.28254455445546</v>
      </c>
      <c r="AD796" s="82">
        <f t="shared" si="40"/>
        <v>1.4428571428571428</v>
      </c>
      <c r="AE796" s="218">
        <v>0</v>
      </c>
      <c r="AF796">
        <v>0</v>
      </c>
      <c r="AH796" t="str">
        <f t="shared" si="38"/>
        <v>Warisnagar</v>
      </c>
      <c r="AJ796" s="72">
        <v>0</v>
      </c>
      <c r="AK796" s="72"/>
      <c r="AL796" s="72"/>
      <c r="AM796" s="72"/>
    </row>
    <row r="797" spans="1:39" x14ac:dyDescent="0.25">
      <c r="A797" s="37" t="s">
        <v>62</v>
      </c>
      <c r="B797" s="66" t="s">
        <v>1596</v>
      </c>
      <c r="C797" s="41">
        <v>1057</v>
      </c>
      <c r="D797" s="41" t="s">
        <v>1174</v>
      </c>
      <c r="E797" s="41">
        <v>10570013</v>
      </c>
      <c r="F797" s="85" t="s">
        <v>1189</v>
      </c>
      <c r="G797" s="39" t="s">
        <v>617</v>
      </c>
      <c r="H797" s="52" t="s">
        <v>98</v>
      </c>
      <c r="I797" s="52">
        <v>1145.5</v>
      </c>
      <c r="J797" s="49">
        <v>44224.22</v>
      </c>
      <c r="K797" s="58">
        <v>0</v>
      </c>
      <c r="L797" s="58">
        <v>0</v>
      </c>
      <c r="M797" s="58">
        <v>0</v>
      </c>
      <c r="N797" s="58">
        <v>0</v>
      </c>
      <c r="O797" s="65">
        <v>0</v>
      </c>
      <c r="P797" s="65">
        <v>0</v>
      </c>
      <c r="Q797" s="50">
        <v>44224.22</v>
      </c>
      <c r="R797" s="65">
        <v>0</v>
      </c>
      <c r="S797" s="65">
        <v>0</v>
      </c>
      <c r="T797" s="65">
        <v>0</v>
      </c>
      <c r="U797" s="65">
        <v>0</v>
      </c>
      <c r="V797" s="65">
        <v>0</v>
      </c>
      <c r="W797" s="65">
        <v>0</v>
      </c>
      <c r="X797" s="65">
        <v>0</v>
      </c>
      <c r="Y797" s="65">
        <v>0</v>
      </c>
      <c r="Z797" s="65">
        <v>44224.22</v>
      </c>
      <c r="AA797" s="51">
        <v>0</v>
      </c>
      <c r="AB797" s="102">
        <v>0</v>
      </c>
      <c r="AC797" s="81">
        <f t="shared" si="39"/>
        <v>0</v>
      </c>
      <c r="AD797" s="82">
        <f t="shared" si="40"/>
        <v>0</v>
      </c>
      <c r="AE797" s="218">
        <v>0</v>
      </c>
      <c r="AF797">
        <v>0</v>
      </c>
      <c r="AH797" t="str">
        <f t="shared" si="38"/>
        <v>Warisnagar</v>
      </c>
      <c r="AJ797" s="72">
        <v>0</v>
      </c>
      <c r="AK797" s="72"/>
      <c r="AL797" s="72"/>
      <c r="AM797" s="72"/>
    </row>
    <row r="798" spans="1:39" x14ac:dyDescent="0.25">
      <c r="A798" s="37" t="s">
        <v>62</v>
      </c>
      <c r="B798" s="66" t="s">
        <v>1596</v>
      </c>
      <c r="C798" s="41">
        <v>1063</v>
      </c>
      <c r="D798" s="41" t="s">
        <v>1565</v>
      </c>
      <c r="E798" s="41">
        <v>10570017</v>
      </c>
      <c r="F798" s="85" t="s">
        <v>1244</v>
      </c>
      <c r="G798" s="39" t="s">
        <v>92</v>
      </c>
      <c r="H798" s="52" t="s">
        <v>93</v>
      </c>
      <c r="I798" s="52">
        <v>141.6</v>
      </c>
      <c r="J798" s="49">
        <v>6862.9</v>
      </c>
      <c r="K798" s="58">
        <v>13.1</v>
      </c>
      <c r="L798" s="58">
        <v>544.44000000000005</v>
      </c>
      <c r="M798" s="58">
        <v>126.1</v>
      </c>
      <c r="N798" s="58">
        <v>6316.2599999999993</v>
      </c>
      <c r="O798" s="65">
        <v>139.19999999999999</v>
      </c>
      <c r="P798" s="65">
        <v>6860.6999999999989</v>
      </c>
      <c r="Q798" s="50">
        <v>6860.6999999999989</v>
      </c>
      <c r="R798" s="65">
        <v>0</v>
      </c>
      <c r="S798" s="65">
        <v>0</v>
      </c>
      <c r="T798" s="65">
        <v>0</v>
      </c>
      <c r="U798" s="65">
        <v>0</v>
      </c>
      <c r="V798" s="65">
        <v>500</v>
      </c>
      <c r="W798" s="65">
        <v>0</v>
      </c>
      <c r="X798" s="65">
        <v>44</v>
      </c>
      <c r="Y798" s="65">
        <v>6315</v>
      </c>
      <c r="Z798" s="65">
        <v>0</v>
      </c>
      <c r="AA798" s="51">
        <v>4</v>
      </c>
      <c r="AB798" s="102">
        <v>0</v>
      </c>
      <c r="AC798" s="81">
        <f t="shared" si="39"/>
        <v>541.2773107344633</v>
      </c>
      <c r="AD798" s="82">
        <f t="shared" si="40"/>
        <v>20.228571428571428</v>
      </c>
      <c r="AE798" s="218">
        <v>3.205641929797502E-4</v>
      </c>
      <c r="AF798">
        <v>11</v>
      </c>
      <c r="AH798" t="str">
        <f t="shared" si="38"/>
        <v>Rosera</v>
      </c>
      <c r="AJ798" s="72">
        <v>500</v>
      </c>
      <c r="AK798" s="72"/>
      <c r="AL798" s="72"/>
      <c r="AM798" s="72"/>
    </row>
    <row r="799" spans="1:39" x14ac:dyDescent="0.25">
      <c r="A799" s="37" t="s">
        <v>62</v>
      </c>
      <c r="B799" s="66" t="s">
        <v>1596</v>
      </c>
      <c r="C799" s="41">
        <v>1057</v>
      </c>
      <c r="D799" s="41" t="s">
        <v>1174</v>
      </c>
      <c r="E799" s="41">
        <v>10570018</v>
      </c>
      <c r="F799" s="85" t="s">
        <v>1210</v>
      </c>
      <c r="G799" s="39" t="s">
        <v>92</v>
      </c>
      <c r="H799" s="52" t="s">
        <v>93</v>
      </c>
      <c r="I799" s="52">
        <v>386.80000000000007</v>
      </c>
      <c r="J799" s="49">
        <v>15193.619999999999</v>
      </c>
      <c r="K799" s="58">
        <v>44</v>
      </c>
      <c r="L799" s="58">
        <v>1728.5800000000006</v>
      </c>
      <c r="M799" s="58">
        <v>342.8</v>
      </c>
      <c r="N799" s="58">
        <v>13446.280000000002</v>
      </c>
      <c r="O799" s="65">
        <v>386.8</v>
      </c>
      <c r="P799" s="65">
        <v>15174.860000000002</v>
      </c>
      <c r="Q799" s="50">
        <v>15174.860000000002</v>
      </c>
      <c r="R799" s="65">
        <v>0</v>
      </c>
      <c r="S799" s="65">
        <v>328.98</v>
      </c>
      <c r="T799" s="65">
        <v>0</v>
      </c>
      <c r="U799" s="65">
        <v>0</v>
      </c>
      <c r="V799" s="65">
        <v>0</v>
      </c>
      <c r="W799" s="65">
        <v>0</v>
      </c>
      <c r="X799" s="65">
        <v>1729</v>
      </c>
      <c r="Y799" s="65">
        <v>13118</v>
      </c>
      <c r="Z799" s="65">
        <v>0</v>
      </c>
      <c r="AA799" s="51">
        <v>18</v>
      </c>
      <c r="AB799" s="102">
        <v>0</v>
      </c>
      <c r="AC799" s="81">
        <f t="shared" si="39"/>
        <v>246.05179855222326</v>
      </c>
      <c r="AD799" s="82">
        <f t="shared" si="40"/>
        <v>55.257142857142867</v>
      </c>
      <c r="AE799" s="218">
        <v>1.2347287874776769E-3</v>
      </c>
      <c r="AF799">
        <v>13</v>
      </c>
      <c r="AH799" t="str">
        <f t="shared" si="38"/>
        <v>Warisnagar</v>
      </c>
      <c r="AJ799" s="72">
        <v>0</v>
      </c>
      <c r="AK799" s="72"/>
      <c r="AL799" s="72"/>
      <c r="AM799" s="72"/>
    </row>
    <row r="800" spans="1:39" x14ac:dyDescent="0.25">
      <c r="A800" s="37" t="s">
        <v>62</v>
      </c>
      <c r="B800" s="66" t="s">
        <v>1596</v>
      </c>
      <c r="C800" s="41">
        <v>1057</v>
      </c>
      <c r="D800" s="41" t="s">
        <v>1174</v>
      </c>
      <c r="E800" s="41">
        <v>10570019</v>
      </c>
      <c r="F800" s="85" t="s">
        <v>1211</v>
      </c>
      <c r="G800" s="39" t="s">
        <v>92</v>
      </c>
      <c r="H800" s="52" t="s">
        <v>93</v>
      </c>
      <c r="I800" s="52">
        <v>527.6</v>
      </c>
      <c r="J800" s="49">
        <v>23753.089999999997</v>
      </c>
      <c r="K800" s="58">
        <v>114.89999999999999</v>
      </c>
      <c r="L800" s="58">
        <v>4694.97</v>
      </c>
      <c r="M800" s="58">
        <v>430.90000000000009</v>
      </c>
      <c r="N800" s="58">
        <v>18677.98</v>
      </c>
      <c r="O800" s="65">
        <v>545.80000000000007</v>
      </c>
      <c r="P800" s="65">
        <v>23372.95</v>
      </c>
      <c r="Q800" s="50">
        <v>23372.95</v>
      </c>
      <c r="R800" s="65">
        <v>0</v>
      </c>
      <c r="S800" s="65">
        <v>130.20000000000002</v>
      </c>
      <c r="T800" s="65">
        <v>0</v>
      </c>
      <c r="U800" s="65">
        <v>0</v>
      </c>
      <c r="V800" s="65">
        <v>0</v>
      </c>
      <c r="W800" s="65">
        <v>0</v>
      </c>
      <c r="X800" s="65">
        <v>4695</v>
      </c>
      <c r="Y800" s="65">
        <v>18549</v>
      </c>
      <c r="Z800" s="65">
        <v>0</v>
      </c>
      <c r="AA800" s="51">
        <v>379</v>
      </c>
      <c r="AB800" s="102">
        <v>0</v>
      </c>
      <c r="AC800" s="81">
        <f t="shared" si="39"/>
        <v>155.23247596664132</v>
      </c>
      <c r="AD800" s="82">
        <f t="shared" si="40"/>
        <v>75.371428571428581</v>
      </c>
      <c r="AE800" s="218">
        <v>1.6003812556597725E-2</v>
      </c>
      <c r="AF800">
        <v>12</v>
      </c>
      <c r="AH800" t="str">
        <f t="shared" si="38"/>
        <v>Warisnagar</v>
      </c>
      <c r="AJ800" s="72">
        <v>0</v>
      </c>
      <c r="AK800" s="72"/>
      <c r="AL800" s="72"/>
      <c r="AM800" s="72"/>
    </row>
    <row r="801" spans="1:39" x14ac:dyDescent="0.25">
      <c r="A801" s="37" t="s">
        <v>62</v>
      </c>
      <c r="B801" s="66" t="s">
        <v>1596</v>
      </c>
      <c r="C801" s="41">
        <v>1057</v>
      </c>
      <c r="D801" s="41" t="s">
        <v>1174</v>
      </c>
      <c r="E801" s="41">
        <v>10570020</v>
      </c>
      <c r="F801" s="85" t="s">
        <v>1212</v>
      </c>
      <c r="G801" s="39" t="s">
        <v>92</v>
      </c>
      <c r="H801" s="52" t="s">
        <v>93</v>
      </c>
      <c r="I801" s="52">
        <v>679.79999999999984</v>
      </c>
      <c r="J801" s="49">
        <v>30940.71</v>
      </c>
      <c r="K801" s="58">
        <v>679.8</v>
      </c>
      <c r="L801" s="58">
        <v>30940.710000000006</v>
      </c>
      <c r="M801" s="58">
        <v>0</v>
      </c>
      <c r="N801" s="58">
        <v>0</v>
      </c>
      <c r="O801" s="65">
        <v>679.8</v>
      </c>
      <c r="P801" s="65">
        <v>30940.710000000006</v>
      </c>
      <c r="Q801" s="50">
        <v>30940.71</v>
      </c>
      <c r="R801" s="65">
        <v>0</v>
      </c>
      <c r="S801" s="65">
        <v>0</v>
      </c>
      <c r="T801" s="65">
        <v>0</v>
      </c>
      <c r="U801" s="65">
        <v>0</v>
      </c>
      <c r="V801" s="65">
        <v>0</v>
      </c>
      <c r="W801" s="65">
        <v>0</v>
      </c>
      <c r="X801" s="65">
        <v>30941</v>
      </c>
      <c r="Y801" s="65">
        <v>0</v>
      </c>
      <c r="Z801" s="65">
        <v>0</v>
      </c>
      <c r="AA801" s="51">
        <v>0</v>
      </c>
      <c r="AB801" s="102">
        <v>0</v>
      </c>
      <c r="AC801" s="81">
        <f t="shared" si="39"/>
        <v>18.38783000882631</v>
      </c>
      <c r="AD801" s="82">
        <f t="shared" si="40"/>
        <v>97.114285714285685</v>
      </c>
      <c r="AE801" s="218">
        <v>-2.3515806890609251E-16</v>
      </c>
      <c r="AF801">
        <v>1</v>
      </c>
      <c r="AH801" t="str">
        <f t="shared" si="38"/>
        <v>Warisnagar</v>
      </c>
      <c r="AJ801" s="72">
        <v>0</v>
      </c>
      <c r="AK801" s="72"/>
      <c r="AL801" s="72"/>
      <c r="AM801" s="72"/>
    </row>
    <row r="802" spans="1:39" x14ac:dyDescent="0.25">
      <c r="A802" s="37" t="s">
        <v>62</v>
      </c>
      <c r="B802" s="66" t="s">
        <v>1596</v>
      </c>
      <c r="C802" s="41">
        <v>1057</v>
      </c>
      <c r="D802" s="41" t="s">
        <v>1174</v>
      </c>
      <c r="E802" s="41">
        <v>10570021</v>
      </c>
      <c r="F802" s="85" t="s">
        <v>1213</v>
      </c>
      <c r="G802" s="39" t="s">
        <v>92</v>
      </c>
      <c r="H802" s="52" t="s">
        <v>93</v>
      </c>
      <c r="I802" s="52">
        <v>636.70000000000005</v>
      </c>
      <c r="J802" s="49">
        <v>24318.890000000003</v>
      </c>
      <c r="K802" s="58">
        <v>608.5</v>
      </c>
      <c r="L802" s="58">
        <v>23663.37</v>
      </c>
      <c r="M802" s="58">
        <v>17.5</v>
      </c>
      <c r="N802" s="58">
        <v>670.23</v>
      </c>
      <c r="O802" s="65">
        <v>626</v>
      </c>
      <c r="P802" s="65">
        <v>24333.599999999999</v>
      </c>
      <c r="Q802" s="50">
        <v>24318.890000000003</v>
      </c>
      <c r="R802" s="65">
        <v>0</v>
      </c>
      <c r="S802" s="65">
        <v>20.92</v>
      </c>
      <c r="T802" s="65">
        <v>14.709999999995489</v>
      </c>
      <c r="U802" s="65">
        <v>0</v>
      </c>
      <c r="V802" s="65">
        <v>0</v>
      </c>
      <c r="W802" s="65">
        <v>0</v>
      </c>
      <c r="X802" s="65">
        <v>23648</v>
      </c>
      <c r="Y802" s="65">
        <v>650</v>
      </c>
      <c r="Z802" s="65">
        <v>0</v>
      </c>
      <c r="AA802" s="51">
        <v>0</v>
      </c>
      <c r="AB802" s="102">
        <v>0</v>
      </c>
      <c r="AC802" s="81">
        <f t="shared" si="39"/>
        <v>48.355135448405782</v>
      </c>
      <c r="AD802" s="82">
        <f t="shared" si="40"/>
        <v>90.95714285714287</v>
      </c>
      <c r="AE802" s="218">
        <v>-6.0487958126359748E-4</v>
      </c>
      <c r="AF802">
        <v>8</v>
      </c>
      <c r="AH802" t="str">
        <f t="shared" si="38"/>
        <v>Warisnagar</v>
      </c>
      <c r="AJ802" s="72">
        <v>0</v>
      </c>
      <c r="AK802" s="72"/>
      <c r="AL802" s="72"/>
      <c r="AM802" s="72"/>
    </row>
    <row r="803" spans="1:39" x14ac:dyDescent="0.25">
      <c r="A803" s="37" t="s">
        <v>62</v>
      </c>
      <c r="B803" s="66" t="s">
        <v>1596</v>
      </c>
      <c r="C803" s="41">
        <v>1057</v>
      </c>
      <c r="D803" s="41" t="s">
        <v>1174</v>
      </c>
      <c r="E803" s="41">
        <v>10570022</v>
      </c>
      <c r="F803" s="85" t="s">
        <v>1214</v>
      </c>
      <c r="G803" s="39" t="s">
        <v>617</v>
      </c>
      <c r="H803" s="52" t="s">
        <v>98</v>
      </c>
      <c r="I803" s="52">
        <v>217.20000000000002</v>
      </c>
      <c r="J803" s="49">
        <v>9655.4500000000007</v>
      </c>
      <c r="K803" s="58">
        <v>0</v>
      </c>
      <c r="L803" s="58">
        <v>0</v>
      </c>
      <c r="M803" s="58">
        <v>0</v>
      </c>
      <c r="N803" s="58">
        <v>0</v>
      </c>
      <c r="O803" s="65">
        <v>0</v>
      </c>
      <c r="P803" s="65">
        <v>0</v>
      </c>
      <c r="Q803" s="50">
        <v>9655.4500000000007</v>
      </c>
      <c r="R803" s="65">
        <v>0</v>
      </c>
      <c r="S803" s="65">
        <v>0</v>
      </c>
      <c r="T803" s="65">
        <v>0</v>
      </c>
      <c r="U803" s="65">
        <v>0</v>
      </c>
      <c r="V803" s="65">
        <v>0</v>
      </c>
      <c r="W803" s="65">
        <v>0</v>
      </c>
      <c r="X803" s="65">
        <v>0</v>
      </c>
      <c r="Y803" s="65">
        <v>0</v>
      </c>
      <c r="Z803" s="65">
        <v>9655.4500000000007</v>
      </c>
      <c r="AA803" s="51">
        <v>0</v>
      </c>
      <c r="AB803" s="102">
        <v>0</v>
      </c>
      <c r="AC803" s="81">
        <f t="shared" si="39"/>
        <v>429.24965561694285</v>
      </c>
      <c r="AD803" s="82">
        <f t="shared" si="40"/>
        <v>31.028571428571432</v>
      </c>
      <c r="AE803" s="218">
        <v>0</v>
      </c>
      <c r="AF803">
        <v>0</v>
      </c>
      <c r="AH803" t="str">
        <f t="shared" si="38"/>
        <v>Warisnagar</v>
      </c>
      <c r="AJ803" s="72">
        <v>0</v>
      </c>
      <c r="AK803" s="72"/>
      <c r="AL803" s="72"/>
      <c r="AM803" s="72"/>
    </row>
    <row r="804" spans="1:39" x14ac:dyDescent="0.25">
      <c r="A804" s="37" t="s">
        <v>62</v>
      </c>
      <c r="B804" s="66" t="s">
        <v>1596</v>
      </c>
      <c r="C804" s="41">
        <v>1057</v>
      </c>
      <c r="D804" s="41" t="s">
        <v>1174</v>
      </c>
      <c r="E804" s="41">
        <v>10570024</v>
      </c>
      <c r="F804" s="85" t="s">
        <v>1215</v>
      </c>
      <c r="G804" s="39" t="s">
        <v>617</v>
      </c>
      <c r="H804" s="52" t="s">
        <v>98</v>
      </c>
      <c r="I804" s="52">
        <v>795.7</v>
      </c>
      <c r="J804" s="49">
        <v>30994.93</v>
      </c>
      <c r="K804" s="58">
        <v>0</v>
      </c>
      <c r="L804" s="58">
        <v>0</v>
      </c>
      <c r="M804" s="58">
        <v>0</v>
      </c>
      <c r="N804" s="58">
        <v>0</v>
      </c>
      <c r="O804" s="65">
        <v>0</v>
      </c>
      <c r="P804" s="65">
        <v>0</v>
      </c>
      <c r="Q804" s="50">
        <v>30994.93</v>
      </c>
      <c r="R804" s="65">
        <v>0</v>
      </c>
      <c r="S804" s="65">
        <v>0</v>
      </c>
      <c r="T804" s="65">
        <v>0</v>
      </c>
      <c r="U804" s="65">
        <v>0</v>
      </c>
      <c r="V804" s="65">
        <v>0</v>
      </c>
      <c r="W804" s="65">
        <v>0</v>
      </c>
      <c r="X804" s="65">
        <v>0</v>
      </c>
      <c r="Y804" s="65">
        <v>0</v>
      </c>
      <c r="Z804" s="65">
        <v>30994.93</v>
      </c>
      <c r="AA804" s="51">
        <v>0</v>
      </c>
      <c r="AB804" s="102">
        <v>0</v>
      </c>
      <c r="AC804" s="81">
        <f t="shared" si="39"/>
        <v>0</v>
      </c>
      <c r="AD804" s="82">
        <f t="shared" si="40"/>
        <v>0</v>
      </c>
      <c r="AE804" s="218">
        <v>0</v>
      </c>
      <c r="AF804">
        <v>0</v>
      </c>
      <c r="AH804" t="str">
        <f t="shared" si="38"/>
        <v>Warisnagar</v>
      </c>
      <c r="AJ804" s="72">
        <v>0</v>
      </c>
      <c r="AK804" s="72"/>
      <c r="AL804" s="72"/>
      <c r="AM804" s="72"/>
    </row>
    <row r="805" spans="1:39" x14ac:dyDescent="0.25">
      <c r="A805" s="37" t="s">
        <v>62</v>
      </c>
      <c r="B805" s="66" t="s">
        <v>1596</v>
      </c>
      <c r="C805" s="41">
        <v>1057</v>
      </c>
      <c r="D805" s="41" t="s">
        <v>1174</v>
      </c>
      <c r="E805" s="41">
        <v>10570025</v>
      </c>
      <c r="F805" s="85" t="s">
        <v>1224</v>
      </c>
      <c r="G805" s="39" t="s">
        <v>617</v>
      </c>
      <c r="H805" s="52" t="s">
        <v>98</v>
      </c>
      <c r="I805" s="52">
        <v>1172.5</v>
      </c>
      <c r="J805" s="49">
        <v>44748.57</v>
      </c>
      <c r="K805" s="58">
        <v>0</v>
      </c>
      <c r="L805" s="58">
        <v>0</v>
      </c>
      <c r="M805" s="58">
        <v>0</v>
      </c>
      <c r="N805" s="58">
        <v>0</v>
      </c>
      <c r="O805" s="65">
        <v>0</v>
      </c>
      <c r="P805" s="65">
        <v>0</v>
      </c>
      <c r="Q805" s="50">
        <v>44748.57</v>
      </c>
      <c r="R805" s="65">
        <v>0</v>
      </c>
      <c r="S805" s="65">
        <v>0</v>
      </c>
      <c r="T805" s="65">
        <v>0</v>
      </c>
      <c r="U805" s="65">
        <v>7750</v>
      </c>
      <c r="V805" s="65">
        <v>0</v>
      </c>
      <c r="W805" s="65">
        <v>0</v>
      </c>
      <c r="X805" s="65">
        <v>0</v>
      </c>
      <c r="Y805" s="65">
        <v>0</v>
      </c>
      <c r="Z805" s="65">
        <v>36998.57</v>
      </c>
      <c r="AA805" s="51">
        <v>0</v>
      </c>
      <c r="AB805" s="102">
        <v>0</v>
      </c>
      <c r="AC805" s="81">
        <f t="shared" si="39"/>
        <v>0</v>
      </c>
      <c r="AD805" s="82">
        <f t="shared" si="40"/>
        <v>0</v>
      </c>
      <c r="AE805" s="218">
        <v>0</v>
      </c>
      <c r="AF805">
        <v>0</v>
      </c>
      <c r="AH805" t="str">
        <f t="shared" si="38"/>
        <v>Warisnagar</v>
      </c>
      <c r="AJ805" s="72">
        <v>0</v>
      </c>
      <c r="AK805" s="72"/>
      <c r="AL805" s="72"/>
      <c r="AM805" s="72"/>
    </row>
    <row r="806" spans="1:39" x14ac:dyDescent="0.25">
      <c r="A806" s="37" t="s">
        <v>62</v>
      </c>
      <c r="B806" s="66" t="s">
        <v>1596</v>
      </c>
      <c r="C806" s="41">
        <v>1057</v>
      </c>
      <c r="D806" s="41" t="s">
        <v>1174</v>
      </c>
      <c r="E806" s="41">
        <v>10570028</v>
      </c>
      <c r="F806" s="85" t="s">
        <v>1258</v>
      </c>
      <c r="G806" s="39" t="s">
        <v>92</v>
      </c>
      <c r="H806" s="52" t="s">
        <v>93</v>
      </c>
      <c r="I806" s="52">
        <v>404.39999999999992</v>
      </c>
      <c r="J806" s="49">
        <v>15765.519999999999</v>
      </c>
      <c r="K806" s="58">
        <v>83.399999999999991</v>
      </c>
      <c r="L806" s="58">
        <v>3012.2</v>
      </c>
      <c r="M806" s="58">
        <v>328.6</v>
      </c>
      <c r="N806" s="58">
        <v>12853.539999999999</v>
      </c>
      <c r="O806" s="65">
        <v>412</v>
      </c>
      <c r="P806" s="65">
        <v>15865.739999999998</v>
      </c>
      <c r="Q806" s="50">
        <v>15765.519999999999</v>
      </c>
      <c r="R806" s="65">
        <v>0</v>
      </c>
      <c r="S806" s="65">
        <v>0</v>
      </c>
      <c r="T806" s="65">
        <v>100.21999999999935</v>
      </c>
      <c r="U806" s="65">
        <v>0</v>
      </c>
      <c r="V806" s="65">
        <v>0</v>
      </c>
      <c r="W806" s="65">
        <v>0</v>
      </c>
      <c r="X806" s="65">
        <v>2912</v>
      </c>
      <c r="Y806" s="65">
        <v>12854</v>
      </c>
      <c r="Z806" s="65">
        <v>0</v>
      </c>
      <c r="AA806" s="51">
        <v>0</v>
      </c>
      <c r="AB806" s="102">
        <v>0</v>
      </c>
      <c r="AC806" s="81">
        <f t="shared" si="39"/>
        <v>230.47911533135516</v>
      </c>
      <c r="AD806" s="82">
        <f t="shared" si="40"/>
        <v>57.771428571428558</v>
      </c>
      <c r="AE806" s="218">
        <v>-6.3569105237251521E-3</v>
      </c>
      <c r="AF806">
        <v>5</v>
      </c>
      <c r="AH806" t="str">
        <f t="shared" si="38"/>
        <v>Warisnagar</v>
      </c>
      <c r="AJ806" s="72">
        <v>0</v>
      </c>
      <c r="AK806" s="72"/>
      <c r="AL806" s="72"/>
      <c r="AM806" s="72"/>
    </row>
    <row r="807" spans="1:39" x14ac:dyDescent="0.25">
      <c r="A807" s="37" t="s">
        <v>62</v>
      </c>
      <c r="B807" s="66" t="s">
        <v>1596</v>
      </c>
      <c r="C807" s="41">
        <v>1057</v>
      </c>
      <c r="D807" s="41" t="s">
        <v>1174</v>
      </c>
      <c r="E807" s="41">
        <v>10570029</v>
      </c>
      <c r="F807" s="85" t="s">
        <v>1259</v>
      </c>
      <c r="G807" s="39" t="s">
        <v>92</v>
      </c>
      <c r="H807" s="52" t="s">
        <v>93</v>
      </c>
      <c r="I807" s="52">
        <v>204.20000000000002</v>
      </c>
      <c r="J807" s="49">
        <v>8891.6500000000015</v>
      </c>
      <c r="K807" s="58">
        <v>20</v>
      </c>
      <c r="L807" s="58">
        <v>823</v>
      </c>
      <c r="M807" s="58">
        <v>192.1</v>
      </c>
      <c r="N807" s="58">
        <v>8069.5899999999992</v>
      </c>
      <c r="O807" s="65">
        <v>212.1</v>
      </c>
      <c r="P807" s="65">
        <v>8892.59</v>
      </c>
      <c r="Q807" s="50">
        <v>8891.6500000000015</v>
      </c>
      <c r="R807" s="65">
        <v>0</v>
      </c>
      <c r="S807" s="65">
        <v>0</v>
      </c>
      <c r="T807" s="65">
        <v>0.93999999999869033</v>
      </c>
      <c r="U807" s="65">
        <v>0</v>
      </c>
      <c r="V807" s="65">
        <v>0</v>
      </c>
      <c r="W807" s="65">
        <v>0</v>
      </c>
      <c r="X807" s="65">
        <v>822</v>
      </c>
      <c r="Y807" s="65">
        <v>8070</v>
      </c>
      <c r="Z807" s="65">
        <v>0</v>
      </c>
      <c r="AA807" s="51">
        <v>0</v>
      </c>
      <c r="AB807" s="102">
        <v>0</v>
      </c>
      <c r="AC807" s="81">
        <f t="shared" si="39"/>
        <v>431.78061410381974</v>
      </c>
      <c r="AD807" s="82">
        <f t="shared" si="40"/>
        <v>29.171428571428574</v>
      </c>
      <c r="AE807" s="218">
        <v>-1.0571716160652862E-4</v>
      </c>
      <c r="AF807">
        <v>10</v>
      </c>
      <c r="AH807" t="str">
        <f t="shared" si="38"/>
        <v>Warisnagar</v>
      </c>
      <c r="AJ807" s="72">
        <v>0</v>
      </c>
      <c r="AK807" s="72"/>
      <c r="AL807" s="72"/>
      <c r="AM807" s="72"/>
    </row>
    <row r="808" spans="1:39" x14ac:dyDescent="0.25">
      <c r="A808" s="37" t="s">
        <v>62</v>
      </c>
      <c r="B808" s="66" t="s">
        <v>1596</v>
      </c>
      <c r="C808" s="41">
        <v>1057</v>
      </c>
      <c r="D808" s="41" t="s">
        <v>1174</v>
      </c>
      <c r="E808" s="41">
        <v>10570030</v>
      </c>
      <c r="F808" s="85" t="s">
        <v>1260</v>
      </c>
      <c r="G808" s="39" t="s">
        <v>92</v>
      </c>
      <c r="H808" s="52" t="s">
        <v>93</v>
      </c>
      <c r="I808" s="52">
        <v>314.5</v>
      </c>
      <c r="J808" s="49">
        <v>11359.73</v>
      </c>
      <c r="K808" s="58">
        <v>14.5</v>
      </c>
      <c r="L808" s="58">
        <v>525.25</v>
      </c>
      <c r="M808" s="58">
        <v>300</v>
      </c>
      <c r="N808" s="58">
        <v>10794.17</v>
      </c>
      <c r="O808" s="65">
        <v>314.5</v>
      </c>
      <c r="P808" s="65">
        <v>11319.42</v>
      </c>
      <c r="Q808" s="50">
        <v>11319.42</v>
      </c>
      <c r="R808" s="65">
        <v>0</v>
      </c>
      <c r="S808" s="65">
        <v>0</v>
      </c>
      <c r="T808" s="65">
        <v>0</v>
      </c>
      <c r="U808" s="65">
        <v>0</v>
      </c>
      <c r="V808" s="65">
        <v>0</v>
      </c>
      <c r="W808" s="65">
        <v>0</v>
      </c>
      <c r="X808" s="65">
        <v>525</v>
      </c>
      <c r="Y808" s="65">
        <v>10794</v>
      </c>
      <c r="Z808" s="65">
        <v>0</v>
      </c>
      <c r="AA808" s="51">
        <v>41</v>
      </c>
      <c r="AB808" s="102">
        <v>0</v>
      </c>
      <c r="AC808" s="81">
        <f t="shared" si="39"/>
        <v>278.48495484896659</v>
      </c>
      <c r="AD808" s="82">
        <f t="shared" si="40"/>
        <v>44.928571428571431</v>
      </c>
      <c r="AE808" s="218">
        <v>3.5484998323023075E-3</v>
      </c>
      <c r="AF808">
        <v>6</v>
      </c>
      <c r="AH808" t="str">
        <f t="shared" si="38"/>
        <v>Warisnagar</v>
      </c>
      <c r="AJ808" s="72">
        <v>0</v>
      </c>
      <c r="AK808" s="72"/>
      <c r="AL808" s="72"/>
      <c r="AM808" s="72"/>
    </row>
    <row r="809" spans="1:39" x14ac:dyDescent="0.25">
      <c r="A809" s="37" t="s">
        <v>62</v>
      </c>
      <c r="B809" s="66" t="s">
        <v>1596</v>
      </c>
      <c r="C809" s="41">
        <v>1057</v>
      </c>
      <c r="D809" s="41" t="s">
        <v>1174</v>
      </c>
      <c r="E809" s="41">
        <v>10570031</v>
      </c>
      <c r="F809" s="85" t="s">
        <v>1261</v>
      </c>
      <c r="G809" s="39" t="s">
        <v>92</v>
      </c>
      <c r="H809" s="52" t="s">
        <v>93</v>
      </c>
      <c r="I809" s="52">
        <v>125.00000000000001</v>
      </c>
      <c r="J809" s="49">
        <v>5195.0999999999995</v>
      </c>
      <c r="K809" s="58">
        <v>124.99999999999999</v>
      </c>
      <c r="L809" s="58">
        <v>5059.6000000000004</v>
      </c>
      <c r="M809" s="58">
        <v>0</v>
      </c>
      <c r="N809" s="58">
        <v>0</v>
      </c>
      <c r="O809" s="65">
        <v>124.99999999999999</v>
      </c>
      <c r="P809" s="65">
        <v>5059.6000000000004</v>
      </c>
      <c r="Q809" s="50">
        <v>5059.6000000000004</v>
      </c>
      <c r="R809" s="65">
        <v>0</v>
      </c>
      <c r="S809" s="65">
        <v>0</v>
      </c>
      <c r="T809" s="65">
        <v>0</v>
      </c>
      <c r="U809" s="65">
        <v>0</v>
      </c>
      <c r="V809" s="65">
        <v>500</v>
      </c>
      <c r="W809" s="65">
        <v>0</v>
      </c>
      <c r="X809" s="65">
        <v>4560</v>
      </c>
      <c r="Y809" s="65">
        <v>0</v>
      </c>
      <c r="Z809" s="65">
        <v>0</v>
      </c>
      <c r="AA809" s="51">
        <v>135</v>
      </c>
      <c r="AB809" s="102">
        <v>0</v>
      </c>
      <c r="AC809" s="81">
        <f t="shared" si="39"/>
        <v>477.94919999999991</v>
      </c>
      <c r="AD809" s="82">
        <f t="shared" si="40"/>
        <v>17.857142857142858</v>
      </c>
      <c r="AE809" s="218">
        <v>2.6082269831186909E-2</v>
      </c>
      <c r="AF809">
        <v>1</v>
      </c>
      <c r="AH809" t="str">
        <f t="shared" si="38"/>
        <v>Warisnagar</v>
      </c>
      <c r="AJ809" s="72">
        <v>500</v>
      </c>
      <c r="AK809" s="72"/>
      <c r="AL809" s="72"/>
      <c r="AM809" s="72"/>
    </row>
    <row r="810" spans="1:39" x14ac:dyDescent="0.25">
      <c r="A810" s="37" t="s">
        <v>62</v>
      </c>
      <c r="B810" s="66" t="s">
        <v>1596</v>
      </c>
      <c r="C810" s="41">
        <v>1057</v>
      </c>
      <c r="D810" s="41" t="s">
        <v>1174</v>
      </c>
      <c r="E810" s="41">
        <v>10570032</v>
      </c>
      <c r="F810" s="85" t="s">
        <v>1526</v>
      </c>
      <c r="G810" s="39" t="s">
        <v>617</v>
      </c>
      <c r="H810" s="52" t="s">
        <v>98</v>
      </c>
      <c r="I810" s="52">
        <v>241.4</v>
      </c>
      <c r="J810" s="49">
        <v>10427.459999999999</v>
      </c>
      <c r="K810" s="58">
        <v>0</v>
      </c>
      <c r="L810" s="58">
        <v>0</v>
      </c>
      <c r="M810" s="58">
        <v>0</v>
      </c>
      <c r="N810" s="58">
        <v>0</v>
      </c>
      <c r="O810" s="65">
        <v>0</v>
      </c>
      <c r="P810" s="65">
        <v>0</v>
      </c>
      <c r="Q810" s="50">
        <v>10427.459999999999</v>
      </c>
      <c r="R810" s="65">
        <v>0</v>
      </c>
      <c r="S810" s="65">
        <v>0</v>
      </c>
      <c r="T810" s="65">
        <v>0</v>
      </c>
      <c r="U810" s="65">
        <v>0</v>
      </c>
      <c r="V810" s="65">
        <v>0</v>
      </c>
      <c r="W810" s="65">
        <v>0</v>
      </c>
      <c r="X810" s="65">
        <v>0</v>
      </c>
      <c r="Y810" s="65">
        <v>0</v>
      </c>
      <c r="Z810" s="65">
        <v>10427.459999999999</v>
      </c>
      <c r="AA810" s="51">
        <v>0</v>
      </c>
      <c r="AB810" s="102">
        <v>0</v>
      </c>
      <c r="AC810" s="81">
        <f t="shared" si="39"/>
        <v>396.1916450704224</v>
      </c>
      <c r="AD810" s="82">
        <f t="shared" si="40"/>
        <v>34.485714285714288</v>
      </c>
      <c r="AE810" s="218">
        <v>0</v>
      </c>
      <c r="AF810">
        <v>0</v>
      </c>
      <c r="AH810" t="str">
        <f t="shared" si="38"/>
        <v>Warisnagar</v>
      </c>
      <c r="AJ810" s="72">
        <v>0</v>
      </c>
      <c r="AK810" s="72"/>
      <c r="AL810" s="72"/>
      <c r="AM810" s="72"/>
    </row>
    <row r="811" spans="1:39" x14ac:dyDescent="0.25">
      <c r="A811" s="37" t="s">
        <v>62</v>
      </c>
      <c r="B811" s="66" t="s">
        <v>1596</v>
      </c>
      <c r="C811" s="41">
        <v>1057</v>
      </c>
      <c r="D811" s="41" t="s">
        <v>1174</v>
      </c>
      <c r="E811" s="41">
        <v>10570036</v>
      </c>
      <c r="F811" s="85" t="s">
        <v>1321</v>
      </c>
      <c r="G811" s="39" t="s">
        <v>92</v>
      </c>
      <c r="H811" s="52" t="s">
        <v>93</v>
      </c>
      <c r="I811" s="52">
        <v>278.8</v>
      </c>
      <c r="J811" s="49">
        <v>12401.689999999999</v>
      </c>
      <c r="K811" s="58">
        <v>277.60000000000002</v>
      </c>
      <c r="L811" s="58">
        <v>12357.190000000002</v>
      </c>
      <c r="M811" s="58">
        <v>0</v>
      </c>
      <c r="N811" s="58">
        <v>0</v>
      </c>
      <c r="O811" s="65">
        <v>277.60000000000002</v>
      </c>
      <c r="P811" s="65">
        <v>12357.190000000002</v>
      </c>
      <c r="Q811" s="50">
        <v>12357.190000000002</v>
      </c>
      <c r="R811" s="65">
        <v>0</v>
      </c>
      <c r="S811" s="65">
        <v>0</v>
      </c>
      <c r="T811" s="65">
        <v>0</v>
      </c>
      <c r="U811" s="65">
        <v>0</v>
      </c>
      <c r="V811" s="65">
        <v>0</v>
      </c>
      <c r="W811" s="65">
        <v>0</v>
      </c>
      <c r="X811" s="65">
        <v>12358</v>
      </c>
      <c r="Y811" s="65">
        <v>0</v>
      </c>
      <c r="Z811" s="65">
        <v>0</v>
      </c>
      <c r="AA811" s="51">
        <v>44</v>
      </c>
      <c r="AB811" s="102">
        <v>0</v>
      </c>
      <c r="AC811" s="81">
        <f t="shared" si="39"/>
        <v>374.71964332855089</v>
      </c>
      <c r="AD811" s="82">
        <f t="shared" si="40"/>
        <v>39.828571428571429</v>
      </c>
      <c r="AE811" s="218">
        <v>3.5882206376708632E-3</v>
      </c>
      <c r="AF811">
        <v>3</v>
      </c>
      <c r="AH811" t="str">
        <f t="shared" si="38"/>
        <v>Warisnagar</v>
      </c>
      <c r="AJ811" s="72">
        <v>0</v>
      </c>
      <c r="AK811" s="72"/>
      <c r="AL811" s="72"/>
      <c r="AM811" s="72"/>
    </row>
    <row r="812" spans="1:39" x14ac:dyDescent="0.25">
      <c r="A812" s="37" t="s">
        <v>62</v>
      </c>
      <c r="B812" s="66" t="s">
        <v>1596</v>
      </c>
      <c r="C812" s="41">
        <v>1057</v>
      </c>
      <c r="D812" s="41" t="s">
        <v>1174</v>
      </c>
      <c r="E812" s="41">
        <v>10570037</v>
      </c>
      <c r="F812" s="85" t="s">
        <v>1276</v>
      </c>
      <c r="G812" s="39" t="s">
        <v>617</v>
      </c>
      <c r="H812" s="52" t="s">
        <v>98</v>
      </c>
      <c r="I812" s="52">
        <v>220.8</v>
      </c>
      <c r="J812" s="49">
        <v>7986.2</v>
      </c>
      <c r="K812" s="58">
        <v>0</v>
      </c>
      <c r="L812" s="58">
        <v>0</v>
      </c>
      <c r="M812" s="58">
        <v>0</v>
      </c>
      <c r="N812" s="58">
        <v>0</v>
      </c>
      <c r="O812" s="65">
        <v>0</v>
      </c>
      <c r="P812" s="65">
        <v>0</v>
      </c>
      <c r="Q812" s="50">
        <v>7986.2</v>
      </c>
      <c r="R812" s="65">
        <v>0</v>
      </c>
      <c r="S812" s="65">
        <v>0</v>
      </c>
      <c r="T812" s="65">
        <v>0</v>
      </c>
      <c r="U812" s="65">
        <v>0</v>
      </c>
      <c r="V812" s="65">
        <v>0</v>
      </c>
      <c r="W812" s="65">
        <v>0</v>
      </c>
      <c r="X812" s="65">
        <v>0</v>
      </c>
      <c r="Y812" s="65">
        <v>0</v>
      </c>
      <c r="Z812" s="65">
        <v>7986.2</v>
      </c>
      <c r="AA812" s="51">
        <v>0</v>
      </c>
      <c r="AB812" s="102">
        <v>0</v>
      </c>
      <c r="AC812" s="81">
        <f t="shared" si="39"/>
        <v>346.64737681159414</v>
      </c>
      <c r="AD812" s="82">
        <f t="shared" si="40"/>
        <v>31.542857142857144</v>
      </c>
      <c r="AE812" s="218">
        <v>0</v>
      </c>
      <c r="AF812">
        <v>0</v>
      </c>
      <c r="AH812" t="str">
        <f t="shared" si="38"/>
        <v>Warisnagar</v>
      </c>
      <c r="AJ812" s="72">
        <v>0</v>
      </c>
      <c r="AK812" s="72"/>
      <c r="AL812" s="72"/>
      <c r="AM812" s="72"/>
    </row>
    <row r="813" spans="1:39" x14ac:dyDescent="0.25">
      <c r="A813" s="37" t="s">
        <v>62</v>
      </c>
      <c r="B813" s="66" t="s">
        <v>1596</v>
      </c>
      <c r="C813" s="41">
        <v>1057</v>
      </c>
      <c r="D813" s="41" t="s">
        <v>1174</v>
      </c>
      <c r="E813" s="41">
        <v>10570038</v>
      </c>
      <c r="F813" s="85" t="s">
        <v>1277</v>
      </c>
      <c r="G813" s="39" t="s">
        <v>617</v>
      </c>
      <c r="H813" s="52" t="s">
        <v>98</v>
      </c>
      <c r="I813" s="52">
        <v>58.6</v>
      </c>
      <c r="J813" s="49">
        <v>2297.54</v>
      </c>
      <c r="K813" s="58">
        <v>0</v>
      </c>
      <c r="L813" s="58">
        <v>0</v>
      </c>
      <c r="M813" s="58">
        <v>0</v>
      </c>
      <c r="N813" s="58">
        <v>0</v>
      </c>
      <c r="O813" s="65">
        <v>0</v>
      </c>
      <c r="P813" s="65">
        <v>0</v>
      </c>
      <c r="Q813" s="50">
        <v>2297.54</v>
      </c>
      <c r="R813" s="65">
        <v>0</v>
      </c>
      <c r="S813" s="65">
        <v>0</v>
      </c>
      <c r="T813" s="65">
        <v>0</v>
      </c>
      <c r="U813" s="65">
        <v>0</v>
      </c>
      <c r="V813" s="65">
        <v>0</v>
      </c>
      <c r="W813" s="65">
        <v>0</v>
      </c>
      <c r="X813" s="65">
        <v>0</v>
      </c>
      <c r="Y813" s="65">
        <v>0</v>
      </c>
      <c r="Z813" s="65">
        <v>2297.54</v>
      </c>
      <c r="AA813" s="51">
        <v>0</v>
      </c>
      <c r="AB813" s="102">
        <v>0</v>
      </c>
      <c r="AC813" s="81">
        <f t="shared" si="39"/>
        <v>502.94954129692837</v>
      </c>
      <c r="AD813" s="82">
        <f t="shared" si="40"/>
        <v>8.3714285714285719</v>
      </c>
      <c r="AE813" s="218">
        <v>0</v>
      </c>
      <c r="AF813">
        <v>0</v>
      </c>
      <c r="AH813" t="str">
        <f t="shared" si="38"/>
        <v>Warisnagar</v>
      </c>
      <c r="AJ813" s="72">
        <v>0</v>
      </c>
      <c r="AK813" s="72"/>
      <c r="AL813" s="72"/>
      <c r="AM813" s="72"/>
    </row>
    <row r="814" spans="1:39" x14ac:dyDescent="0.25">
      <c r="A814" s="37" t="s">
        <v>62</v>
      </c>
      <c r="B814" s="66" t="s">
        <v>1596</v>
      </c>
      <c r="C814" s="41">
        <v>1057</v>
      </c>
      <c r="D814" s="41" t="s">
        <v>1174</v>
      </c>
      <c r="E814" s="41">
        <v>10570042</v>
      </c>
      <c r="F814" s="85" t="s">
        <v>1458</v>
      </c>
      <c r="G814" s="39" t="s">
        <v>92</v>
      </c>
      <c r="H814" s="52" t="s">
        <v>93</v>
      </c>
      <c r="I814" s="52">
        <v>174.9</v>
      </c>
      <c r="J814" s="49">
        <v>6535.4299999999994</v>
      </c>
      <c r="K814" s="58">
        <v>174.9</v>
      </c>
      <c r="L814" s="58">
        <v>6525.53</v>
      </c>
      <c r="M814" s="58">
        <v>0</v>
      </c>
      <c r="N814" s="58">
        <v>0</v>
      </c>
      <c r="O814" s="65">
        <v>174.9</v>
      </c>
      <c r="P814" s="65">
        <v>6525.53</v>
      </c>
      <c r="Q814" s="50">
        <v>6525.53</v>
      </c>
      <c r="R814" s="65">
        <v>0</v>
      </c>
      <c r="S814" s="65">
        <v>0</v>
      </c>
      <c r="T814" s="65">
        <v>0</v>
      </c>
      <c r="U814" s="65">
        <v>0</v>
      </c>
      <c r="V814" s="65">
        <v>0</v>
      </c>
      <c r="W814" s="65">
        <v>0</v>
      </c>
      <c r="X814" s="65">
        <v>6526</v>
      </c>
      <c r="Y814" s="65">
        <v>0</v>
      </c>
      <c r="Z814" s="65">
        <v>0</v>
      </c>
      <c r="AA814" s="51">
        <v>9</v>
      </c>
      <c r="AB814" s="102">
        <v>0</v>
      </c>
      <c r="AC814" s="81">
        <f t="shared" si="39"/>
        <v>392.42473333333322</v>
      </c>
      <c r="AD814" s="82">
        <f t="shared" si="40"/>
        <v>24.985714285714288</v>
      </c>
      <c r="AE814" s="218">
        <v>1.5148199888912646E-3</v>
      </c>
      <c r="AF814">
        <v>1</v>
      </c>
      <c r="AH814" t="str">
        <f t="shared" si="38"/>
        <v>Warisnagar</v>
      </c>
      <c r="AJ814" s="72">
        <v>0</v>
      </c>
      <c r="AK814" s="72"/>
      <c r="AL814" s="72"/>
      <c r="AM814" s="72"/>
    </row>
    <row r="815" spans="1:39" x14ac:dyDescent="0.25">
      <c r="A815" s="37" t="s">
        <v>62</v>
      </c>
      <c r="B815" s="66" t="s">
        <v>1596</v>
      </c>
      <c r="C815" s="41">
        <v>1057</v>
      </c>
      <c r="D815" s="41" t="s">
        <v>1174</v>
      </c>
      <c r="E815" s="41">
        <v>10570044</v>
      </c>
      <c r="F815" s="85" t="s">
        <v>1392</v>
      </c>
      <c r="G815" s="39" t="s">
        <v>92</v>
      </c>
      <c r="H815" s="52" t="s">
        <v>93</v>
      </c>
      <c r="I815" s="52">
        <v>104.89999999999999</v>
      </c>
      <c r="J815" s="49">
        <v>5170.9099999999989</v>
      </c>
      <c r="K815" s="58">
        <v>104.90000000000002</v>
      </c>
      <c r="L815" s="58">
        <v>5175.2500000000009</v>
      </c>
      <c r="M815" s="58">
        <v>0</v>
      </c>
      <c r="N815" s="58">
        <v>0</v>
      </c>
      <c r="O815" s="65">
        <v>104.90000000000002</v>
      </c>
      <c r="P815" s="65">
        <v>5175.2500000000009</v>
      </c>
      <c r="Q815" s="50">
        <v>5170.9099999999989</v>
      </c>
      <c r="R815" s="65">
        <v>0</v>
      </c>
      <c r="S815" s="65">
        <v>0</v>
      </c>
      <c r="T815" s="65">
        <v>4.3400000000019645</v>
      </c>
      <c r="U815" s="65">
        <v>0</v>
      </c>
      <c r="V815" s="65">
        <v>0</v>
      </c>
      <c r="W815" s="65">
        <v>0</v>
      </c>
      <c r="X815" s="65">
        <v>5171</v>
      </c>
      <c r="Y815" s="65">
        <v>0</v>
      </c>
      <c r="Z815" s="65">
        <v>0</v>
      </c>
      <c r="AA815" s="51">
        <v>0</v>
      </c>
      <c r="AB815" s="102">
        <v>0</v>
      </c>
      <c r="AC815" s="81">
        <f t="shared" si="39"/>
        <v>586.69371611058148</v>
      </c>
      <c r="AD815" s="82">
        <f t="shared" si="40"/>
        <v>14.985714285714284</v>
      </c>
      <c r="AE815" s="218">
        <v>-8.393106822594022E-4</v>
      </c>
      <c r="AF815">
        <v>1</v>
      </c>
      <c r="AH815" t="str">
        <f t="shared" si="38"/>
        <v>Warisnagar</v>
      </c>
      <c r="AJ815" s="72">
        <v>0</v>
      </c>
      <c r="AK815" s="72"/>
      <c r="AL815" s="72"/>
      <c r="AM815" s="72"/>
    </row>
    <row r="816" spans="1:39" x14ac:dyDescent="0.25">
      <c r="A816" s="37" t="s">
        <v>62</v>
      </c>
      <c r="B816" s="66" t="s">
        <v>1596</v>
      </c>
      <c r="C816" s="41">
        <v>1057</v>
      </c>
      <c r="D816" s="41" t="s">
        <v>1174</v>
      </c>
      <c r="E816" s="41">
        <v>10570045</v>
      </c>
      <c r="F816" s="85" t="s">
        <v>1342</v>
      </c>
      <c r="G816" s="39" t="s">
        <v>92</v>
      </c>
      <c r="H816" s="52" t="s">
        <v>93</v>
      </c>
      <c r="I816" s="52">
        <v>1003.5</v>
      </c>
      <c r="J816" s="49">
        <v>40659.380000000005</v>
      </c>
      <c r="K816" s="58">
        <v>994.09999999999991</v>
      </c>
      <c r="L816" s="58">
        <v>40377.420000000006</v>
      </c>
      <c r="M816" s="58">
        <v>0</v>
      </c>
      <c r="N816" s="58">
        <v>0</v>
      </c>
      <c r="O816" s="65">
        <v>994.09999999999991</v>
      </c>
      <c r="P816" s="65">
        <v>40377.420000000006</v>
      </c>
      <c r="Q816" s="50">
        <v>40377.420000000006</v>
      </c>
      <c r="R816" s="65">
        <v>0</v>
      </c>
      <c r="S816" s="65">
        <v>0</v>
      </c>
      <c r="T816" s="65">
        <v>0</v>
      </c>
      <c r="U816" s="65">
        <v>14000</v>
      </c>
      <c r="V816" s="65">
        <v>0</v>
      </c>
      <c r="W816" s="65">
        <v>0</v>
      </c>
      <c r="X816" s="65">
        <v>26376</v>
      </c>
      <c r="Y816" s="65">
        <v>0</v>
      </c>
      <c r="Z816" s="65">
        <v>0</v>
      </c>
      <c r="AA816" s="51">
        <v>283</v>
      </c>
      <c r="AB816" s="102" t="s">
        <v>68</v>
      </c>
      <c r="AC816" s="81">
        <f t="shared" si="39"/>
        <v>0</v>
      </c>
      <c r="AD816" s="82">
        <f t="shared" si="40"/>
        <v>0</v>
      </c>
      <c r="AE816" s="218">
        <v>6.934685182115396E-3</v>
      </c>
      <c r="AF816">
        <v>11</v>
      </c>
      <c r="AH816" t="str">
        <f t="shared" si="38"/>
        <v>Warisnagar</v>
      </c>
      <c r="AJ816" s="72">
        <v>0</v>
      </c>
      <c r="AK816" s="72"/>
      <c r="AL816" s="72"/>
      <c r="AM816" s="72"/>
    </row>
    <row r="817" spans="1:39" x14ac:dyDescent="0.25">
      <c r="A817" s="37" t="s">
        <v>62</v>
      </c>
      <c r="B817" s="66" t="s">
        <v>1596</v>
      </c>
      <c r="C817" s="41">
        <v>1057</v>
      </c>
      <c r="D817" s="41" t="s">
        <v>1174</v>
      </c>
      <c r="E817" s="41">
        <v>10570046</v>
      </c>
      <c r="F817" s="85" t="s">
        <v>1343</v>
      </c>
      <c r="G817" s="39" t="s">
        <v>617</v>
      </c>
      <c r="H817" s="52" t="s">
        <v>98</v>
      </c>
      <c r="I817" s="52">
        <v>515.70000000000005</v>
      </c>
      <c r="J817" s="49">
        <v>18324.61</v>
      </c>
      <c r="K817" s="58">
        <v>0</v>
      </c>
      <c r="L817" s="58">
        <v>0</v>
      </c>
      <c r="M817" s="58">
        <v>0</v>
      </c>
      <c r="N817" s="58">
        <v>0</v>
      </c>
      <c r="O817" s="65">
        <v>0</v>
      </c>
      <c r="P817" s="65">
        <v>0</v>
      </c>
      <c r="Q817" s="50">
        <v>18324.61</v>
      </c>
      <c r="R817" s="65">
        <v>0</v>
      </c>
      <c r="S817" s="65">
        <v>0</v>
      </c>
      <c r="T817" s="65">
        <v>0</v>
      </c>
      <c r="U817" s="65">
        <v>0</v>
      </c>
      <c r="V817" s="65">
        <v>0</v>
      </c>
      <c r="W817" s="65">
        <v>0</v>
      </c>
      <c r="X817" s="65">
        <v>0</v>
      </c>
      <c r="Y817" s="65">
        <v>0</v>
      </c>
      <c r="Z817" s="65">
        <v>18324.61</v>
      </c>
      <c r="AA817" s="51">
        <v>0</v>
      </c>
      <c r="AB817" s="102">
        <v>0</v>
      </c>
      <c r="AC817" s="81">
        <f t="shared" si="39"/>
        <v>130.97636699631565</v>
      </c>
      <c r="AD817" s="82">
        <f t="shared" si="40"/>
        <v>73.671428571428578</v>
      </c>
      <c r="AE817" s="218">
        <v>0</v>
      </c>
      <c r="AF817">
        <v>0</v>
      </c>
      <c r="AH817" t="str">
        <f t="shared" si="38"/>
        <v>Warisnagar</v>
      </c>
      <c r="AJ817" s="72">
        <v>0</v>
      </c>
      <c r="AK817" s="72"/>
      <c r="AL817" s="72"/>
      <c r="AM817" s="72"/>
    </row>
    <row r="818" spans="1:39" x14ac:dyDescent="0.25">
      <c r="A818" s="37" t="s">
        <v>62</v>
      </c>
      <c r="B818" s="66" t="s">
        <v>1596</v>
      </c>
      <c r="C818" s="41">
        <v>1057</v>
      </c>
      <c r="D818" s="41" t="s">
        <v>1174</v>
      </c>
      <c r="E818" s="41">
        <v>10570047</v>
      </c>
      <c r="F818" s="85" t="s">
        <v>1379</v>
      </c>
      <c r="G818" s="39" t="s">
        <v>92</v>
      </c>
      <c r="H818" s="52" t="s">
        <v>93</v>
      </c>
      <c r="I818" s="52">
        <v>405.7</v>
      </c>
      <c r="J818" s="49">
        <v>17492.879999999997</v>
      </c>
      <c r="K818" s="58">
        <v>341.49999999999994</v>
      </c>
      <c r="L818" s="58">
        <v>13846.32</v>
      </c>
      <c r="M818" s="58">
        <v>64.099999999999994</v>
      </c>
      <c r="N818" s="58">
        <v>3589.5899999999997</v>
      </c>
      <c r="O818" s="65">
        <v>405.59999999999991</v>
      </c>
      <c r="P818" s="65">
        <v>17435.91</v>
      </c>
      <c r="Q818" s="50">
        <v>17435.91</v>
      </c>
      <c r="R818" s="65">
        <v>0</v>
      </c>
      <c r="S818" s="65">
        <v>0</v>
      </c>
      <c r="T818" s="65">
        <v>0</v>
      </c>
      <c r="U818" s="65">
        <v>0</v>
      </c>
      <c r="V818" s="65">
        <v>0</v>
      </c>
      <c r="W818" s="65">
        <v>0</v>
      </c>
      <c r="X818" s="65">
        <v>13847</v>
      </c>
      <c r="Y818" s="65">
        <v>3589</v>
      </c>
      <c r="Z818" s="65">
        <v>0</v>
      </c>
      <c r="AA818" s="51">
        <v>57</v>
      </c>
      <c r="AB818" s="102">
        <v>0</v>
      </c>
      <c r="AC818" s="81">
        <f t="shared" si="39"/>
        <v>253.79120453537098</v>
      </c>
      <c r="AD818" s="82">
        <f t="shared" si="40"/>
        <v>57.957142857142856</v>
      </c>
      <c r="AE818" s="218">
        <v>3.2567536048951078E-3</v>
      </c>
      <c r="AF818">
        <v>10</v>
      </c>
      <c r="AH818" t="str">
        <f t="shared" si="38"/>
        <v>Warisnagar</v>
      </c>
      <c r="AJ818" s="72">
        <v>0</v>
      </c>
      <c r="AK818" s="72"/>
      <c r="AL818" s="72"/>
      <c r="AM818" s="72"/>
    </row>
    <row r="819" spans="1:39" x14ac:dyDescent="0.25">
      <c r="A819" s="37" t="s">
        <v>62</v>
      </c>
      <c r="B819" s="66" t="s">
        <v>1596</v>
      </c>
      <c r="C819" s="41">
        <v>1057</v>
      </c>
      <c r="D819" s="41" t="s">
        <v>1174</v>
      </c>
      <c r="E819" s="41">
        <v>10570049</v>
      </c>
      <c r="F819" s="85" t="s">
        <v>1393</v>
      </c>
      <c r="G819" s="39" t="s">
        <v>92</v>
      </c>
      <c r="H819" s="52" t="s">
        <v>93</v>
      </c>
      <c r="I819" s="52">
        <v>418.40000000000003</v>
      </c>
      <c r="J819" s="49">
        <v>18692.21</v>
      </c>
      <c r="K819" s="58">
        <v>58.44</v>
      </c>
      <c r="L819" s="58">
        <v>2299.5500000000002</v>
      </c>
      <c r="M819" s="58">
        <v>359.6</v>
      </c>
      <c r="N819" s="58">
        <v>16357.48</v>
      </c>
      <c r="O819" s="65">
        <v>418.04</v>
      </c>
      <c r="P819" s="65">
        <v>18657.03</v>
      </c>
      <c r="Q819" s="50">
        <v>18657.03</v>
      </c>
      <c r="R819" s="65">
        <v>0</v>
      </c>
      <c r="S819" s="65">
        <v>0</v>
      </c>
      <c r="T819" s="65">
        <v>0</v>
      </c>
      <c r="U819" s="65">
        <v>0</v>
      </c>
      <c r="V819" s="65">
        <v>0</v>
      </c>
      <c r="W819" s="65">
        <v>0</v>
      </c>
      <c r="X819" s="65">
        <v>2300</v>
      </c>
      <c r="Y819" s="65">
        <v>16358</v>
      </c>
      <c r="Z819" s="65">
        <v>0</v>
      </c>
      <c r="AA819" s="51">
        <v>34</v>
      </c>
      <c r="AB819" s="102">
        <v>0</v>
      </c>
      <c r="AC819" s="81">
        <f t="shared" si="39"/>
        <v>251.61215755258121</v>
      </c>
      <c r="AD819" s="82">
        <f t="shared" si="40"/>
        <v>59.771428571428579</v>
      </c>
      <c r="AE819" s="218">
        <v>1.8820674494883318E-3</v>
      </c>
      <c r="AF819">
        <v>10</v>
      </c>
      <c r="AH819" t="str">
        <f t="shared" ref="AH819:AH881" si="41">TEXT(D819,"0000")</f>
        <v>Warisnagar</v>
      </c>
      <c r="AJ819" s="72">
        <v>0</v>
      </c>
      <c r="AK819" s="72"/>
      <c r="AL819" s="72"/>
      <c r="AM819" s="72"/>
    </row>
    <row r="820" spans="1:39" x14ac:dyDescent="0.25">
      <c r="A820" s="37" t="s">
        <v>62</v>
      </c>
      <c r="B820" s="66" t="s">
        <v>1596</v>
      </c>
      <c r="C820" s="41">
        <v>1057</v>
      </c>
      <c r="D820" s="41" t="s">
        <v>1174</v>
      </c>
      <c r="E820" s="41">
        <v>10570051</v>
      </c>
      <c r="F820" s="85" t="s">
        <v>1542</v>
      </c>
      <c r="G820" s="39" t="s">
        <v>92</v>
      </c>
      <c r="H820" s="52" t="s">
        <v>93</v>
      </c>
      <c r="I820" s="52">
        <v>162.69999999999999</v>
      </c>
      <c r="J820" s="49">
        <v>6101.5999999999995</v>
      </c>
      <c r="K820" s="58">
        <v>163.79999999999998</v>
      </c>
      <c r="L820" s="58">
        <v>5812.2700000000013</v>
      </c>
      <c r="M820" s="58">
        <v>0</v>
      </c>
      <c r="N820" s="58">
        <v>0</v>
      </c>
      <c r="O820" s="65">
        <v>163.79999999999998</v>
      </c>
      <c r="P820" s="65">
        <v>5812.2700000000013</v>
      </c>
      <c r="Q820" s="50">
        <v>5812.2700000000013</v>
      </c>
      <c r="R820" s="65">
        <v>0</v>
      </c>
      <c r="S820" s="65">
        <v>0</v>
      </c>
      <c r="T820" s="65">
        <v>0</v>
      </c>
      <c r="U820" s="65">
        <v>0</v>
      </c>
      <c r="V820" s="65">
        <v>0</v>
      </c>
      <c r="W820" s="65">
        <v>0</v>
      </c>
      <c r="X820" s="65">
        <v>5812</v>
      </c>
      <c r="Y820" s="65">
        <v>0</v>
      </c>
      <c r="Z820" s="65">
        <v>0</v>
      </c>
      <c r="AA820" s="51">
        <v>290</v>
      </c>
      <c r="AB820" s="102">
        <v>0</v>
      </c>
      <c r="AC820" s="81">
        <f t="shared" si="39"/>
        <v>402.99811677934855</v>
      </c>
      <c r="AD820" s="82">
        <f t="shared" si="40"/>
        <v>23.24285714285714</v>
      </c>
      <c r="AE820" s="218">
        <v>4.7418709846597309E-2</v>
      </c>
      <c r="AF820">
        <v>2</v>
      </c>
      <c r="AH820" t="str">
        <f t="shared" si="41"/>
        <v>Warisnagar</v>
      </c>
      <c r="AJ820" s="72">
        <v>0</v>
      </c>
      <c r="AK820" s="72"/>
      <c r="AL820" s="72"/>
      <c r="AM820" s="72"/>
    </row>
    <row r="821" spans="1:39" x14ac:dyDescent="0.25">
      <c r="A821" s="37" t="s">
        <v>62</v>
      </c>
      <c r="B821" s="66" t="s">
        <v>1596</v>
      </c>
      <c r="C821" s="41">
        <v>1057</v>
      </c>
      <c r="D821" s="41" t="s">
        <v>1174</v>
      </c>
      <c r="E821" s="41">
        <v>10570053</v>
      </c>
      <c r="F821" s="85" t="s">
        <v>1413</v>
      </c>
      <c r="G821" s="39" t="s">
        <v>617</v>
      </c>
      <c r="H821" s="52" t="s">
        <v>98</v>
      </c>
      <c r="I821" s="52">
        <v>123.29999999999998</v>
      </c>
      <c r="J821" s="49">
        <v>4896.3599999999997</v>
      </c>
      <c r="K821" s="58">
        <v>0</v>
      </c>
      <c r="L821" s="58">
        <v>0</v>
      </c>
      <c r="M821" s="58">
        <v>0</v>
      </c>
      <c r="N821" s="58">
        <v>0</v>
      </c>
      <c r="O821" s="65">
        <v>0</v>
      </c>
      <c r="P821" s="65">
        <v>0</v>
      </c>
      <c r="Q821" s="50">
        <v>4896.3599999999997</v>
      </c>
      <c r="R821" s="65">
        <v>0</v>
      </c>
      <c r="S821" s="65">
        <v>0</v>
      </c>
      <c r="T821" s="65">
        <v>0</v>
      </c>
      <c r="U821" s="65">
        <v>0</v>
      </c>
      <c r="V821" s="65">
        <v>0</v>
      </c>
      <c r="W821" s="65">
        <v>0</v>
      </c>
      <c r="X821" s="65">
        <v>0</v>
      </c>
      <c r="Y821" s="65">
        <v>0</v>
      </c>
      <c r="Z821" s="65">
        <v>4896.3599999999997</v>
      </c>
      <c r="AA821" s="51">
        <v>0</v>
      </c>
      <c r="AB821" s="102">
        <v>0</v>
      </c>
      <c r="AC821" s="81">
        <f t="shared" si="39"/>
        <v>458.02608467153289</v>
      </c>
      <c r="AD821" s="82">
        <f t="shared" si="40"/>
        <v>17.61428571428571</v>
      </c>
      <c r="AE821" s="218">
        <v>0</v>
      </c>
      <c r="AF821">
        <v>0</v>
      </c>
      <c r="AH821" t="str">
        <f t="shared" si="41"/>
        <v>Warisnagar</v>
      </c>
      <c r="AJ821" s="72">
        <v>0</v>
      </c>
      <c r="AK821" s="72"/>
      <c r="AL821" s="72"/>
      <c r="AM821" s="72"/>
    </row>
    <row r="822" spans="1:39" x14ac:dyDescent="0.25">
      <c r="A822" s="37" t="s">
        <v>62</v>
      </c>
      <c r="B822" s="66" t="s">
        <v>1596</v>
      </c>
      <c r="C822" s="41">
        <v>1057</v>
      </c>
      <c r="D822" s="41" t="s">
        <v>1174</v>
      </c>
      <c r="E822" s="41">
        <v>10570055</v>
      </c>
      <c r="F822" s="85" t="s">
        <v>1436</v>
      </c>
      <c r="G822" s="39" t="s">
        <v>92</v>
      </c>
      <c r="H822" s="52" t="s">
        <v>93</v>
      </c>
      <c r="I822" s="52">
        <v>412.50000000000006</v>
      </c>
      <c r="J822" s="49">
        <v>16826.75</v>
      </c>
      <c r="K822" s="58">
        <v>60.2</v>
      </c>
      <c r="L822" s="58">
        <v>2402.5800000000004</v>
      </c>
      <c r="M822" s="58">
        <v>351.69999999999987</v>
      </c>
      <c r="N822" s="58">
        <v>14390.260000000006</v>
      </c>
      <c r="O822" s="65">
        <v>411.89999999999986</v>
      </c>
      <c r="P822" s="65">
        <v>16792.840000000007</v>
      </c>
      <c r="Q822" s="50">
        <v>16792.840000000007</v>
      </c>
      <c r="R822" s="65">
        <v>0</v>
      </c>
      <c r="S822" s="65">
        <v>0</v>
      </c>
      <c r="T822" s="65">
        <v>0</v>
      </c>
      <c r="U822" s="65">
        <v>0</v>
      </c>
      <c r="V822" s="65">
        <v>0</v>
      </c>
      <c r="W822" s="65">
        <v>0</v>
      </c>
      <c r="X822" s="65">
        <v>2403</v>
      </c>
      <c r="Y822" s="65">
        <v>14394</v>
      </c>
      <c r="Z822" s="65">
        <v>0</v>
      </c>
      <c r="AA822" s="51">
        <v>30</v>
      </c>
      <c r="AB822" s="102">
        <v>0</v>
      </c>
      <c r="AC822" s="81">
        <f t="shared" si="39"/>
        <v>234.55469696969692</v>
      </c>
      <c r="AD822" s="82">
        <f t="shared" si="40"/>
        <v>58.928571428571438</v>
      </c>
      <c r="AE822" s="218">
        <v>2.0152435853621514E-3</v>
      </c>
      <c r="AF822">
        <v>9</v>
      </c>
      <c r="AH822" t="str">
        <f t="shared" si="41"/>
        <v>Warisnagar</v>
      </c>
      <c r="AJ822" s="72">
        <v>0</v>
      </c>
      <c r="AK822" s="72"/>
      <c r="AL822" s="72"/>
      <c r="AM822" s="72"/>
    </row>
    <row r="823" spans="1:39" x14ac:dyDescent="0.25">
      <c r="A823" s="37" t="s">
        <v>62</v>
      </c>
      <c r="B823" s="66" t="s">
        <v>1596</v>
      </c>
      <c r="C823" s="41">
        <v>1057</v>
      </c>
      <c r="D823" s="41" t="s">
        <v>1174</v>
      </c>
      <c r="E823" s="41">
        <v>10570058</v>
      </c>
      <c r="F823" s="85" t="s">
        <v>1467</v>
      </c>
      <c r="G823" s="39" t="s">
        <v>617</v>
      </c>
      <c r="H823" s="52" t="s">
        <v>98</v>
      </c>
      <c r="I823" s="52">
        <v>545.5</v>
      </c>
      <c r="J823" s="49">
        <v>19928.919999999998</v>
      </c>
      <c r="K823" s="58">
        <v>0</v>
      </c>
      <c r="L823" s="58">
        <v>0</v>
      </c>
      <c r="M823" s="58">
        <v>0</v>
      </c>
      <c r="N823" s="58">
        <v>0</v>
      </c>
      <c r="O823" s="65">
        <v>0</v>
      </c>
      <c r="P823" s="65">
        <v>0</v>
      </c>
      <c r="Q823" s="50">
        <v>19928.919999999998</v>
      </c>
      <c r="R823" s="65">
        <v>0</v>
      </c>
      <c r="S823" s="65">
        <v>0</v>
      </c>
      <c r="T823" s="65">
        <v>0</v>
      </c>
      <c r="U823" s="65">
        <v>0</v>
      </c>
      <c r="V823" s="65">
        <v>0</v>
      </c>
      <c r="W823" s="65">
        <v>0</v>
      </c>
      <c r="X823" s="65">
        <v>0</v>
      </c>
      <c r="Y823" s="65">
        <v>0</v>
      </c>
      <c r="Z823" s="65">
        <v>19928.919999999998</v>
      </c>
      <c r="AA823" s="51">
        <v>0</v>
      </c>
      <c r="AB823" s="102">
        <v>0</v>
      </c>
      <c r="AC823" s="81">
        <f t="shared" si="39"/>
        <v>112.88792447296056</v>
      </c>
      <c r="AD823" s="82">
        <f t="shared" si="40"/>
        <v>77.928571428571431</v>
      </c>
      <c r="AE823" s="218">
        <v>0</v>
      </c>
      <c r="AF823">
        <v>0</v>
      </c>
      <c r="AH823" t="str">
        <f t="shared" si="41"/>
        <v>Warisnagar</v>
      </c>
      <c r="AJ823" s="72">
        <v>0</v>
      </c>
      <c r="AK823" s="72"/>
      <c r="AL823" s="72"/>
      <c r="AM823" s="72"/>
    </row>
    <row r="824" spans="1:39" x14ac:dyDescent="0.25">
      <c r="A824" s="37" t="s">
        <v>62</v>
      </c>
      <c r="B824" s="66" t="s">
        <v>1596</v>
      </c>
      <c r="C824" s="41">
        <v>1057</v>
      </c>
      <c r="D824" s="41" t="s">
        <v>1174</v>
      </c>
      <c r="E824" s="41">
        <v>10570059</v>
      </c>
      <c r="F824" s="85" t="s">
        <v>1468</v>
      </c>
      <c r="G824" s="39" t="s">
        <v>617</v>
      </c>
      <c r="H824" s="52" t="s">
        <v>98</v>
      </c>
      <c r="I824" s="52">
        <v>1193.7</v>
      </c>
      <c r="J824" s="49">
        <v>51603.909999999996</v>
      </c>
      <c r="K824" s="58">
        <v>0</v>
      </c>
      <c r="L824" s="58">
        <v>0</v>
      </c>
      <c r="M824" s="58">
        <v>0</v>
      </c>
      <c r="N824" s="58">
        <v>0</v>
      </c>
      <c r="O824" s="65">
        <v>0</v>
      </c>
      <c r="P824" s="65">
        <v>0</v>
      </c>
      <c r="Q824" s="50">
        <v>51603.909999999996</v>
      </c>
      <c r="R824" s="65">
        <v>0</v>
      </c>
      <c r="S824" s="65">
        <v>0</v>
      </c>
      <c r="T824" s="65">
        <v>0</v>
      </c>
      <c r="U824" s="65">
        <v>0</v>
      </c>
      <c r="V824" s="65">
        <v>0</v>
      </c>
      <c r="W824" s="65">
        <v>0</v>
      </c>
      <c r="X824" s="65">
        <v>0</v>
      </c>
      <c r="Y824" s="65">
        <v>0</v>
      </c>
      <c r="Z824" s="65">
        <v>51603.909999999996</v>
      </c>
      <c r="AA824" s="51">
        <v>0</v>
      </c>
      <c r="AB824" s="102">
        <v>0</v>
      </c>
      <c r="AC824" s="81">
        <f t="shared" si="39"/>
        <v>0</v>
      </c>
      <c r="AD824" s="82">
        <f t="shared" si="40"/>
        <v>0</v>
      </c>
      <c r="AE824" s="218">
        <v>0</v>
      </c>
      <c r="AF824">
        <v>0</v>
      </c>
      <c r="AH824" t="str">
        <f t="shared" si="41"/>
        <v>Warisnagar</v>
      </c>
      <c r="AJ824" s="72">
        <v>0</v>
      </c>
      <c r="AK824" s="72"/>
      <c r="AL824" s="72"/>
      <c r="AM824" s="72"/>
    </row>
    <row r="825" spans="1:39" x14ac:dyDescent="0.25">
      <c r="A825" s="37" t="s">
        <v>62</v>
      </c>
      <c r="B825" s="66" t="s">
        <v>1596</v>
      </c>
      <c r="C825" s="41">
        <v>1057</v>
      </c>
      <c r="D825" s="41" t="s">
        <v>1174</v>
      </c>
      <c r="E825" s="41">
        <v>10570060</v>
      </c>
      <c r="F825" s="85" t="s">
        <v>1469</v>
      </c>
      <c r="G825" s="39" t="s">
        <v>617</v>
      </c>
      <c r="H825" s="52" t="s">
        <v>98</v>
      </c>
      <c r="I825" s="52">
        <v>615.1</v>
      </c>
      <c r="J825" s="49">
        <v>26571.61</v>
      </c>
      <c r="K825" s="58">
        <v>0</v>
      </c>
      <c r="L825" s="58">
        <v>0</v>
      </c>
      <c r="M825" s="58">
        <v>0</v>
      </c>
      <c r="N825" s="58">
        <v>0</v>
      </c>
      <c r="O825" s="65">
        <v>0</v>
      </c>
      <c r="P825" s="65">
        <v>0</v>
      </c>
      <c r="Q825" s="50">
        <v>26571.61</v>
      </c>
      <c r="R825" s="65">
        <v>0</v>
      </c>
      <c r="S825" s="65">
        <v>0</v>
      </c>
      <c r="T825" s="65">
        <v>0</v>
      </c>
      <c r="U825" s="65">
        <v>0</v>
      </c>
      <c r="V825" s="65">
        <v>0</v>
      </c>
      <c r="W825" s="65">
        <v>0</v>
      </c>
      <c r="X825" s="65">
        <v>0</v>
      </c>
      <c r="Y825" s="65">
        <v>0</v>
      </c>
      <c r="Z825" s="65">
        <v>26571.61</v>
      </c>
      <c r="AA825" s="51">
        <v>0</v>
      </c>
      <c r="AB825" s="102">
        <v>0</v>
      </c>
      <c r="AC825" s="81">
        <f t="shared" si="39"/>
        <v>73.351640026011978</v>
      </c>
      <c r="AD825" s="82">
        <f t="shared" si="40"/>
        <v>87.871428571428581</v>
      </c>
      <c r="AE825" s="218">
        <v>0</v>
      </c>
      <c r="AF825">
        <v>0</v>
      </c>
      <c r="AH825" t="str">
        <f t="shared" si="41"/>
        <v>Warisnagar</v>
      </c>
      <c r="AJ825" s="72">
        <v>0</v>
      </c>
      <c r="AK825" s="72"/>
      <c r="AL825" s="72"/>
      <c r="AM825" s="72"/>
    </row>
    <row r="826" spans="1:39" x14ac:dyDescent="0.25">
      <c r="A826" s="37" t="s">
        <v>62</v>
      </c>
      <c r="B826" s="66" t="s">
        <v>1596</v>
      </c>
      <c r="C826" s="41">
        <v>1057</v>
      </c>
      <c r="D826" s="41" t="s">
        <v>1174</v>
      </c>
      <c r="E826" s="41">
        <v>10570062</v>
      </c>
      <c r="F826" s="85" t="s">
        <v>1494</v>
      </c>
      <c r="G826" s="39" t="s">
        <v>617</v>
      </c>
      <c r="H826" s="52" t="s">
        <v>98</v>
      </c>
      <c r="I826" s="52">
        <v>2750.8999999999996</v>
      </c>
      <c r="J826" s="49">
        <v>102794.68</v>
      </c>
      <c r="K826" s="58">
        <v>0</v>
      </c>
      <c r="L826" s="58">
        <v>0</v>
      </c>
      <c r="M826" s="58">
        <v>0</v>
      </c>
      <c r="N826" s="58">
        <v>0</v>
      </c>
      <c r="O826" s="65">
        <v>0</v>
      </c>
      <c r="P826" s="65">
        <v>0</v>
      </c>
      <c r="Q826" s="50">
        <v>102794.68</v>
      </c>
      <c r="R826" s="65">
        <v>0</v>
      </c>
      <c r="S826" s="65">
        <v>0</v>
      </c>
      <c r="T826" s="65">
        <v>0</v>
      </c>
      <c r="U826" s="65">
        <v>0</v>
      </c>
      <c r="V826" s="65">
        <v>0</v>
      </c>
      <c r="W826" s="65">
        <v>0</v>
      </c>
      <c r="X826" s="65">
        <v>0</v>
      </c>
      <c r="Y826" s="65">
        <v>0</v>
      </c>
      <c r="Z826" s="65">
        <v>102794.68</v>
      </c>
      <c r="AA826" s="51">
        <v>0</v>
      </c>
      <c r="AB826" s="102">
        <v>0</v>
      </c>
      <c r="AC826" s="81">
        <f t="shared" si="39"/>
        <v>0</v>
      </c>
      <c r="AD826" s="82">
        <f t="shared" si="40"/>
        <v>0</v>
      </c>
      <c r="AE826" s="218">
        <v>0</v>
      </c>
      <c r="AF826">
        <v>0</v>
      </c>
      <c r="AH826" t="str">
        <f t="shared" si="41"/>
        <v>Warisnagar</v>
      </c>
      <c r="AJ826" s="72">
        <v>0</v>
      </c>
      <c r="AK826" s="72"/>
      <c r="AL826" s="72"/>
      <c r="AM826" s="72"/>
    </row>
    <row r="827" spans="1:39" x14ac:dyDescent="0.25">
      <c r="A827" s="37" t="s">
        <v>62</v>
      </c>
      <c r="B827" s="66" t="s">
        <v>1596</v>
      </c>
      <c r="C827" s="41">
        <v>1057</v>
      </c>
      <c r="D827" s="41" t="s">
        <v>1174</v>
      </c>
      <c r="E827" s="41">
        <v>10570065</v>
      </c>
      <c r="F827" s="85" t="s">
        <v>1554</v>
      </c>
      <c r="G827" s="39" t="s">
        <v>617</v>
      </c>
      <c r="H827" s="52" t="s">
        <v>98</v>
      </c>
      <c r="I827" s="52">
        <v>498.00000000000006</v>
      </c>
      <c r="J827" s="49">
        <v>20064.840000000004</v>
      </c>
      <c r="K827" s="58">
        <v>0</v>
      </c>
      <c r="L827" s="58">
        <v>0</v>
      </c>
      <c r="M827" s="58">
        <v>0</v>
      </c>
      <c r="N827" s="58">
        <v>0</v>
      </c>
      <c r="O827" s="65">
        <v>0</v>
      </c>
      <c r="P827" s="65">
        <v>0</v>
      </c>
      <c r="Q827" s="50">
        <v>20064.840000000004</v>
      </c>
      <c r="R827" s="65">
        <v>0</v>
      </c>
      <c r="S827" s="65">
        <v>0</v>
      </c>
      <c r="T827" s="65">
        <v>0</v>
      </c>
      <c r="U827" s="65">
        <v>0</v>
      </c>
      <c r="V827" s="65">
        <v>0</v>
      </c>
      <c r="W827" s="65">
        <v>0</v>
      </c>
      <c r="X827" s="65">
        <v>0</v>
      </c>
      <c r="Y827" s="65">
        <v>0</v>
      </c>
      <c r="Z827" s="65">
        <v>20064.840000000004</v>
      </c>
      <c r="AA827" s="51">
        <v>0</v>
      </c>
      <c r="AB827" s="102">
        <v>0</v>
      </c>
      <c r="AC827" s="81">
        <f t="shared" si="39"/>
        <v>162.77500722891563</v>
      </c>
      <c r="AD827" s="82">
        <f t="shared" si="40"/>
        <v>71.142857142857153</v>
      </c>
      <c r="AE827" s="218">
        <v>0</v>
      </c>
      <c r="AF827">
        <v>0</v>
      </c>
      <c r="AH827" t="str">
        <f t="shared" si="41"/>
        <v>Warisnagar</v>
      </c>
      <c r="AJ827" s="72">
        <v>0</v>
      </c>
      <c r="AK827" s="72"/>
      <c r="AL827" s="72"/>
      <c r="AM827" s="72"/>
    </row>
    <row r="828" spans="1:39" x14ac:dyDescent="0.25">
      <c r="A828" s="37" t="s">
        <v>62</v>
      </c>
      <c r="B828" s="66" t="s">
        <v>1596</v>
      </c>
      <c r="C828" s="41">
        <v>1057</v>
      </c>
      <c r="D828" s="41" t="s">
        <v>1174</v>
      </c>
      <c r="E828" s="41">
        <v>10570066</v>
      </c>
      <c r="F828" s="85" t="s">
        <v>1555</v>
      </c>
      <c r="G828" s="39" t="s">
        <v>617</v>
      </c>
      <c r="H828" s="52" t="s">
        <v>98</v>
      </c>
      <c r="I828" s="52">
        <v>1659.0000000000002</v>
      </c>
      <c r="J828" s="49">
        <v>64312.009999999995</v>
      </c>
      <c r="K828" s="58">
        <v>0</v>
      </c>
      <c r="L828" s="58">
        <v>0</v>
      </c>
      <c r="M828" s="58">
        <v>0</v>
      </c>
      <c r="N828" s="58">
        <v>0</v>
      </c>
      <c r="O828" s="65">
        <v>0</v>
      </c>
      <c r="P828" s="65">
        <v>0</v>
      </c>
      <c r="Q828" s="50">
        <v>64312.009999999995</v>
      </c>
      <c r="R828" s="65">
        <v>0</v>
      </c>
      <c r="S828" s="65">
        <v>0</v>
      </c>
      <c r="T828" s="65">
        <v>0</v>
      </c>
      <c r="U828" s="65">
        <v>0</v>
      </c>
      <c r="V828" s="65">
        <v>0</v>
      </c>
      <c r="W828" s="65">
        <v>0</v>
      </c>
      <c r="X828" s="65">
        <v>0</v>
      </c>
      <c r="Y828" s="65">
        <v>0</v>
      </c>
      <c r="Z828" s="65">
        <v>64312.009999999995</v>
      </c>
      <c r="AA828" s="51">
        <v>0</v>
      </c>
      <c r="AB828" s="102">
        <v>0</v>
      </c>
      <c r="AC828" s="81">
        <f t="shared" si="39"/>
        <v>0</v>
      </c>
      <c r="AD828" s="82">
        <f t="shared" si="40"/>
        <v>0</v>
      </c>
      <c r="AE828" s="218">
        <v>0</v>
      </c>
      <c r="AF828">
        <v>0</v>
      </c>
      <c r="AH828" t="str">
        <f t="shared" si="41"/>
        <v>Warisnagar</v>
      </c>
      <c r="AJ828" s="72">
        <v>0</v>
      </c>
      <c r="AK828" s="72"/>
      <c r="AL828" s="72"/>
      <c r="AM828" s="72"/>
    </row>
    <row r="829" spans="1:39" x14ac:dyDescent="0.25">
      <c r="A829" s="37" t="s">
        <v>62</v>
      </c>
      <c r="B829" s="66" t="s">
        <v>1596</v>
      </c>
      <c r="C829" s="41">
        <v>1057</v>
      </c>
      <c r="D829" s="41" t="s">
        <v>1174</v>
      </c>
      <c r="E829" s="41">
        <v>10570067</v>
      </c>
      <c r="F829" s="85" t="s">
        <v>1583</v>
      </c>
      <c r="G829" s="39" t="s">
        <v>617</v>
      </c>
      <c r="H829" s="52" t="s">
        <v>98</v>
      </c>
      <c r="I829" s="52">
        <v>133.19999999999999</v>
      </c>
      <c r="J829" s="49">
        <v>4874.9199999999992</v>
      </c>
      <c r="K829" s="58">
        <v>0</v>
      </c>
      <c r="L829" s="58">
        <v>0</v>
      </c>
      <c r="M829" s="58">
        <v>0</v>
      </c>
      <c r="N829" s="58">
        <v>0</v>
      </c>
      <c r="O829" s="65">
        <v>0</v>
      </c>
      <c r="P829" s="65">
        <v>0</v>
      </c>
      <c r="Q829" s="50">
        <v>4874.9199999999992</v>
      </c>
      <c r="R829" s="65">
        <v>0</v>
      </c>
      <c r="S829" s="65">
        <v>0</v>
      </c>
      <c r="T829" s="65">
        <v>0</v>
      </c>
      <c r="U829" s="65">
        <v>0</v>
      </c>
      <c r="V829" s="65">
        <v>0</v>
      </c>
      <c r="W829" s="65">
        <v>0</v>
      </c>
      <c r="X829" s="65">
        <v>0</v>
      </c>
      <c r="Y829" s="65">
        <v>0</v>
      </c>
      <c r="Z829" s="65">
        <v>4874.9199999999992</v>
      </c>
      <c r="AA829" s="51">
        <v>0</v>
      </c>
      <c r="AB829" s="102">
        <v>0</v>
      </c>
      <c r="AC829" s="81">
        <f t="shared" si="39"/>
        <v>414.88057897897897</v>
      </c>
      <c r="AD829" s="82">
        <f t="shared" si="40"/>
        <v>19.028571428571428</v>
      </c>
      <c r="AE829" s="218">
        <v>0</v>
      </c>
      <c r="AF829">
        <v>0</v>
      </c>
      <c r="AH829" t="str">
        <f t="shared" si="41"/>
        <v>Warisnagar</v>
      </c>
      <c r="AJ829" s="72">
        <v>0</v>
      </c>
      <c r="AK829" s="72"/>
      <c r="AL829" s="72"/>
      <c r="AM829" s="72"/>
    </row>
    <row r="830" spans="1:39" x14ac:dyDescent="0.25">
      <c r="A830" s="37" t="s">
        <v>62</v>
      </c>
      <c r="B830" s="66" t="s">
        <v>1596</v>
      </c>
      <c r="C830" s="41">
        <v>1057</v>
      </c>
      <c r="D830" s="41" t="s">
        <v>1174</v>
      </c>
      <c r="E830" s="41">
        <v>10570068</v>
      </c>
      <c r="F830" s="85" t="s">
        <v>1584</v>
      </c>
      <c r="G830" s="39" t="s">
        <v>617</v>
      </c>
      <c r="H830" s="52" t="s">
        <v>98</v>
      </c>
      <c r="I830" s="52">
        <v>603.29999999999995</v>
      </c>
      <c r="J830" s="49">
        <v>25201.020000000004</v>
      </c>
      <c r="K830" s="58">
        <v>0</v>
      </c>
      <c r="L830" s="58">
        <v>0</v>
      </c>
      <c r="M830" s="58">
        <v>0</v>
      </c>
      <c r="N830" s="58">
        <v>0</v>
      </c>
      <c r="O830" s="65">
        <v>0</v>
      </c>
      <c r="P830" s="65">
        <v>0</v>
      </c>
      <c r="Q830" s="50">
        <v>25201.020000000004</v>
      </c>
      <c r="R830" s="65">
        <v>0</v>
      </c>
      <c r="S830" s="65">
        <v>0</v>
      </c>
      <c r="T830" s="65">
        <v>0</v>
      </c>
      <c r="U830" s="65">
        <v>0</v>
      </c>
      <c r="V830" s="65">
        <v>0</v>
      </c>
      <c r="W830" s="65">
        <v>0</v>
      </c>
      <c r="X830" s="65">
        <v>0</v>
      </c>
      <c r="Y830" s="65">
        <v>0</v>
      </c>
      <c r="Z830" s="65">
        <v>25201.020000000004</v>
      </c>
      <c r="AA830" s="51">
        <v>0</v>
      </c>
      <c r="AB830" s="102">
        <v>0</v>
      </c>
      <c r="AC830" s="81">
        <f t="shared" si="39"/>
        <v>80.786959522625594</v>
      </c>
      <c r="AD830" s="82">
        <f t="shared" si="40"/>
        <v>86.185714285714283</v>
      </c>
      <c r="AE830" s="218">
        <v>0</v>
      </c>
      <c r="AF830">
        <v>0</v>
      </c>
      <c r="AH830" t="str">
        <f t="shared" si="41"/>
        <v>Warisnagar</v>
      </c>
      <c r="AJ830" s="72">
        <v>0</v>
      </c>
      <c r="AK830" s="72"/>
      <c r="AL830" s="72"/>
      <c r="AM830" s="72"/>
    </row>
    <row r="831" spans="1:39" x14ac:dyDescent="0.25">
      <c r="A831" s="37" t="s">
        <v>62</v>
      </c>
      <c r="B831" s="66" t="s">
        <v>1596</v>
      </c>
      <c r="C831" s="41">
        <v>1057</v>
      </c>
      <c r="D831" s="41" t="s">
        <v>1174</v>
      </c>
      <c r="E831" s="41">
        <v>10570069</v>
      </c>
      <c r="F831" s="85" t="s">
        <v>1605</v>
      </c>
      <c r="G831" s="39" t="s">
        <v>617</v>
      </c>
      <c r="H831" s="52" t="s">
        <v>98</v>
      </c>
      <c r="I831" s="52">
        <v>35.9</v>
      </c>
      <c r="J831" s="49">
        <v>1228.1400000000001</v>
      </c>
      <c r="K831" s="58">
        <v>0</v>
      </c>
      <c r="L831" s="58">
        <v>0</v>
      </c>
      <c r="M831" s="58">
        <v>0</v>
      </c>
      <c r="N831" s="58">
        <v>0</v>
      </c>
      <c r="O831" s="65">
        <v>0</v>
      </c>
      <c r="P831" s="65">
        <v>0</v>
      </c>
      <c r="Q831" s="50">
        <v>1228.1400000000001</v>
      </c>
      <c r="R831" s="65">
        <v>0</v>
      </c>
      <c r="S831" s="65">
        <v>0</v>
      </c>
      <c r="T831" s="65">
        <v>0</v>
      </c>
      <c r="U831" s="65">
        <v>0</v>
      </c>
      <c r="V831" s="65">
        <v>0</v>
      </c>
      <c r="W831" s="65">
        <v>0</v>
      </c>
      <c r="X831" s="65">
        <v>0</v>
      </c>
      <c r="Y831" s="65">
        <v>0</v>
      </c>
      <c r="Z831" s="65">
        <v>1228.1400000000001</v>
      </c>
      <c r="AA831" s="51">
        <v>0</v>
      </c>
      <c r="AB831" s="102">
        <v>0</v>
      </c>
      <c r="AC831" s="81">
        <f t="shared" si="39"/>
        <v>454.37758997214485</v>
      </c>
      <c r="AD831" s="82">
        <f t="shared" si="40"/>
        <v>5.1285714285714281</v>
      </c>
      <c r="AE831" s="218">
        <v>0</v>
      </c>
      <c r="AF831">
        <v>0</v>
      </c>
      <c r="AH831" t="str">
        <f t="shared" si="41"/>
        <v>Warisnagar</v>
      </c>
      <c r="AJ831" s="72">
        <v>0</v>
      </c>
      <c r="AK831" s="72"/>
      <c r="AL831" s="72"/>
      <c r="AM831" s="72"/>
    </row>
    <row r="832" spans="1:39" x14ac:dyDescent="0.25">
      <c r="A832" s="37" t="s">
        <v>62</v>
      </c>
      <c r="B832" s="66" t="s">
        <v>1596</v>
      </c>
      <c r="C832" s="41">
        <v>1057</v>
      </c>
      <c r="D832" s="41" t="s">
        <v>1174</v>
      </c>
      <c r="E832" s="41">
        <v>10570070</v>
      </c>
      <c r="F832" s="85" t="s">
        <v>1585</v>
      </c>
      <c r="G832" s="39" t="s">
        <v>617</v>
      </c>
      <c r="H832" s="52" t="s">
        <v>98</v>
      </c>
      <c r="I832" s="52">
        <v>76.100000000000009</v>
      </c>
      <c r="J832" s="49">
        <v>2872.3599999999997</v>
      </c>
      <c r="K832" s="58">
        <v>0</v>
      </c>
      <c r="L832" s="58">
        <v>0</v>
      </c>
      <c r="M832" s="58">
        <v>0</v>
      </c>
      <c r="N832" s="58">
        <v>0</v>
      </c>
      <c r="O832" s="65">
        <v>0</v>
      </c>
      <c r="P832" s="65">
        <v>0</v>
      </c>
      <c r="Q832" s="50">
        <v>2872.3599999999997</v>
      </c>
      <c r="R832" s="65">
        <v>0</v>
      </c>
      <c r="S832" s="65">
        <v>0</v>
      </c>
      <c r="T832" s="65">
        <v>0</v>
      </c>
      <c r="U832" s="65">
        <v>0</v>
      </c>
      <c r="V832" s="65">
        <v>0</v>
      </c>
      <c r="W832" s="65">
        <v>0</v>
      </c>
      <c r="X832" s="65">
        <v>0</v>
      </c>
      <c r="Y832" s="65">
        <v>0</v>
      </c>
      <c r="Z832" s="65">
        <v>2872.3599999999997</v>
      </c>
      <c r="AA832" s="51">
        <v>0</v>
      </c>
      <c r="AB832" s="102">
        <v>0</v>
      </c>
      <c r="AC832" s="81">
        <f t="shared" si="39"/>
        <v>470.97645308804204</v>
      </c>
      <c r="AD832" s="82">
        <f t="shared" si="40"/>
        <v>10.871428571428572</v>
      </c>
      <c r="AE832" s="218">
        <v>0</v>
      </c>
      <c r="AF832">
        <v>0</v>
      </c>
      <c r="AH832" t="str">
        <f t="shared" si="41"/>
        <v>Warisnagar</v>
      </c>
      <c r="AJ832" s="72">
        <v>0</v>
      </c>
      <c r="AK832" s="72"/>
      <c r="AL832" s="72"/>
      <c r="AM832" s="72"/>
    </row>
    <row r="833" spans="1:39" x14ac:dyDescent="0.25">
      <c r="A833" s="37" t="s">
        <v>62</v>
      </c>
      <c r="B833" s="66" t="s">
        <v>1596</v>
      </c>
      <c r="C833" s="41">
        <v>1057</v>
      </c>
      <c r="D833" s="41" t="s">
        <v>1174</v>
      </c>
      <c r="E833" s="41">
        <v>10570071</v>
      </c>
      <c r="F833" s="85" t="s">
        <v>1586</v>
      </c>
      <c r="G833" s="39" t="s">
        <v>617</v>
      </c>
      <c r="H833" s="52" t="s">
        <v>98</v>
      </c>
      <c r="I833" s="52">
        <v>206.1</v>
      </c>
      <c r="J833" s="49">
        <v>7870.0899999999992</v>
      </c>
      <c r="K833" s="58">
        <v>0</v>
      </c>
      <c r="L833" s="58">
        <v>0</v>
      </c>
      <c r="M833" s="58">
        <v>0</v>
      </c>
      <c r="N833" s="58">
        <v>0</v>
      </c>
      <c r="O833" s="65">
        <v>0</v>
      </c>
      <c r="P833" s="65">
        <v>0</v>
      </c>
      <c r="Q833" s="50">
        <v>7870.0899999999992</v>
      </c>
      <c r="R833" s="65">
        <v>0</v>
      </c>
      <c r="S833" s="65">
        <v>0</v>
      </c>
      <c r="T833" s="65">
        <v>0</v>
      </c>
      <c r="U833" s="65">
        <v>0</v>
      </c>
      <c r="V833" s="65">
        <v>0</v>
      </c>
      <c r="W833" s="65">
        <v>0</v>
      </c>
      <c r="X833" s="65">
        <v>0</v>
      </c>
      <c r="Y833" s="65">
        <v>0</v>
      </c>
      <c r="Z833" s="65">
        <v>7870.0899999999992</v>
      </c>
      <c r="AA833" s="51">
        <v>0</v>
      </c>
      <c r="AB833" s="102">
        <v>0</v>
      </c>
      <c r="AC833" s="81">
        <f t="shared" si="39"/>
        <v>377.19917040271707</v>
      </c>
      <c r="AD833" s="82">
        <f t="shared" si="40"/>
        <v>29.442857142857143</v>
      </c>
      <c r="AE833" s="218">
        <v>0</v>
      </c>
      <c r="AF833">
        <v>0</v>
      </c>
      <c r="AH833" t="str">
        <f t="shared" si="41"/>
        <v>Warisnagar</v>
      </c>
      <c r="AJ833" s="72">
        <v>0</v>
      </c>
      <c r="AK833" s="72"/>
      <c r="AL833" s="72"/>
      <c r="AM833" s="72"/>
    </row>
    <row r="834" spans="1:39" x14ac:dyDescent="0.25">
      <c r="A834" s="37" t="s">
        <v>62</v>
      </c>
      <c r="B834" s="66" t="s">
        <v>1596</v>
      </c>
      <c r="C834" s="41">
        <v>1058</v>
      </c>
      <c r="D834" s="41" t="s">
        <v>1296</v>
      </c>
      <c r="E834" s="41">
        <v>10580001</v>
      </c>
      <c r="F834" s="85" t="s">
        <v>1196</v>
      </c>
      <c r="G834" s="39" t="s">
        <v>92</v>
      </c>
      <c r="H834" s="52" t="s">
        <v>93</v>
      </c>
      <c r="I834" s="52">
        <v>451.03000000000009</v>
      </c>
      <c r="J834" s="49">
        <v>19886.43</v>
      </c>
      <c r="K834" s="58">
        <v>453.4</v>
      </c>
      <c r="L834" s="58">
        <v>19965.120000000003</v>
      </c>
      <c r="M834" s="58">
        <v>8.6</v>
      </c>
      <c r="N834" s="58">
        <v>374.40999999999997</v>
      </c>
      <c r="O834" s="65">
        <v>462</v>
      </c>
      <c r="P834" s="65">
        <v>20339.530000000002</v>
      </c>
      <c r="Q834" s="50">
        <v>19886.43</v>
      </c>
      <c r="R834" s="65">
        <v>0</v>
      </c>
      <c r="S834" s="65">
        <v>374.40999999999997</v>
      </c>
      <c r="T834" s="65">
        <v>453.10000000000218</v>
      </c>
      <c r="U834" s="65">
        <v>1350</v>
      </c>
      <c r="V834" s="65">
        <v>0</v>
      </c>
      <c r="W834" s="65">
        <v>0</v>
      </c>
      <c r="X834" s="65">
        <v>18162</v>
      </c>
      <c r="Y834" s="65">
        <v>0</v>
      </c>
      <c r="Z834" s="65">
        <v>0</v>
      </c>
      <c r="AA834" s="51">
        <v>0</v>
      </c>
      <c r="AB834" s="102">
        <v>0</v>
      </c>
      <c r="AC834" s="81">
        <f t="shared" si="39"/>
        <v>219.54745702503146</v>
      </c>
      <c r="AD834" s="82">
        <f t="shared" si="40"/>
        <v>64.432857142857159</v>
      </c>
      <c r="AE834" s="218">
        <v>-2.2784381108122583E-2</v>
      </c>
      <c r="AF834">
        <v>17</v>
      </c>
      <c r="AH834" t="str">
        <f t="shared" si="41"/>
        <v>Hasanpur</v>
      </c>
      <c r="AJ834" s="72">
        <v>0</v>
      </c>
      <c r="AK834" s="72"/>
      <c r="AL834" s="72"/>
      <c r="AM834" s="72"/>
    </row>
    <row r="835" spans="1:39" x14ac:dyDescent="0.25">
      <c r="A835" s="37" t="s">
        <v>62</v>
      </c>
      <c r="B835" s="66" t="s">
        <v>1596</v>
      </c>
      <c r="C835" s="41">
        <v>1058</v>
      </c>
      <c r="D835" s="41" t="s">
        <v>1296</v>
      </c>
      <c r="E835" s="41">
        <v>10580002</v>
      </c>
      <c r="F835" s="85" t="s">
        <v>1216</v>
      </c>
      <c r="G835" s="39" t="s">
        <v>92</v>
      </c>
      <c r="H835" s="52" t="s">
        <v>93</v>
      </c>
      <c r="I835" s="52">
        <v>409.15</v>
      </c>
      <c r="J835" s="49">
        <v>17880.509999999998</v>
      </c>
      <c r="K835" s="58">
        <v>405.69999999999993</v>
      </c>
      <c r="L835" s="58">
        <v>18655.82</v>
      </c>
      <c r="M835" s="58">
        <v>5.5</v>
      </c>
      <c r="N835" s="58">
        <v>246.46</v>
      </c>
      <c r="O835" s="65">
        <v>411.19999999999993</v>
      </c>
      <c r="P835" s="65">
        <v>18902.28</v>
      </c>
      <c r="Q835" s="50">
        <v>17880.509999999998</v>
      </c>
      <c r="R835" s="65">
        <v>0</v>
      </c>
      <c r="S835" s="65">
        <v>246.46</v>
      </c>
      <c r="T835" s="65">
        <v>1021.7700000000004</v>
      </c>
      <c r="U835" s="65">
        <v>0</v>
      </c>
      <c r="V835" s="65">
        <v>0</v>
      </c>
      <c r="W835" s="65">
        <v>0</v>
      </c>
      <c r="X835" s="65">
        <v>17634</v>
      </c>
      <c r="Y835" s="65">
        <v>0</v>
      </c>
      <c r="Z835" s="65">
        <v>0</v>
      </c>
      <c r="AA835" s="51">
        <v>0</v>
      </c>
      <c r="AB835" s="102">
        <v>0</v>
      </c>
      <c r="AC835" s="81">
        <f t="shared" si="39"/>
        <v>254.21221231822071</v>
      </c>
      <c r="AD835" s="82">
        <f t="shared" si="40"/>
        <v>58.449999999999996</v>
      </c>
      <c r="AE835" s="218">
        <v>-5.7144343198264509E-2</v>
      </c>
      <c r="AF835">
        <v>7</v>
      </c>
      <c r="AH835" t="str">
        <f t="shared" si="41"/>
        <v>Hasanpur</v>
      </c>
      <c r="AJ835" s="72">
        <v>0</v>
      </c>
      <c r="AK835" s="72"/>
      <c r="AL835" s="72"/>
      <c r="AM835" s="72"/>
    </row>
    <row r="836" spans="1:39" x14ac:dyDescent="0.25">
      <c r="A836" s="37" t="s">
        <v>62</v>
      </c>
      <c r="B836" s="66" t="s">
        <v>1596</v>
      </c>
      <c r="C836" s="41">
        <v>1058</v>
      </c>
      <c r="D836" s="41" t="s">
        <v>1296</v>
      </c>
      <c r="E836" s="41">
        <v>10580004</v>
      </c>
      <c r="F836" s="85" t="s">
        <v>1205</v>
      </c>
      <c r="G836" s="39" t="s">
        <v>92</v>
      </c>
      <c r="H836" s="52" t="s">
        <v>93</v>
      </c>
      <c r="I836" s="52">
        <v>282.65999999999997</v>
      </c>
      <c r="J836" s="49">
        <v>11690.810000000001</v>
      </c>
      <c r="K836" s="58">
        <v>217.29999999999995</v>
      </c>
      <c r="L836" s="58">
        <v>8930.0599999999977</v>
      </c>
      <c r="M836" s="58">
        <v>2.3000000000000003</v>
      </c>
      <c r="N836" s="58">
        <v>92.449999999999989</v>
      </c>
      <c r="O836" s="65">
        <v>219.59999999999997</v>
      </c>
      <c r="P836" s="65">
        <v>9022.5099999999984</v>
      </c>
      <c r="Q836" s="50">
        <v>9022.5099999999984</v>
      </c>
      <c r="R836" s="65">
        <v>0</v>
      </c>
      <c r="S836" s="65">
        <v>92.449999999999989</v>
      </c>
      <c r="T836" s="65">
        <v>0</v>
      </c>
      <c r="U836" s="65">
        <v>0</v>
      </c>
      <c r="V836" s="65">
        <v>0</v>
      </c>
      <c r="W836" s="65">
        <v>0</v>
      </c>
      <c r="X836" s="65">
        <v>8931</v>
      </c>
      <c r="Y836" s="65">
        <v>0</v>
      </c>
      <c r="Z836" s="65">
        <v>0</v>
      </c>
      <c r="AA836" s="51">
        <v>2667</v>
      </c>
      <c r="AB836" s="102">
        <v>0</v>
      </c>
      <c r="AC836" s="81">
        <f t="shared" ref="AC836:AC899" si="42">((IF(AD836=0,0,100-AD836))*7*(J836/I836))*2%</f>
        <v>345.22342357602787</v>
      </c>
      <c r="AD836" s="82">
        <f t="shared" ref="AD836:AD899" si="43">IF((I836/7)&gt;100,0,(I836/7))</f>
        <v>40.379999999999995</v>
      </c>
      <c r="AE836" s="218">
        <v>0.22823910404839379</v>
      </c>
      <c r="AF836">
        <v>3</v>
      </c>
      <c r="AH836" t="str">
        <f t="shared" si="41"/>
        <v>Hasanpur</v>
      </c>
      <c r="AJ836" s="72">
        <v>0</v>
      </c>
      <c r="AK836" s="72"/>
      <c r="AL836" s="72"/>
      <c r="AM836" s="72"/>
    </row>
    <row r="837" spans="1:39" x14ac:dyDescent="0.25">
      <c r="A837" s="37" t="s">
        <v>62</v>
      </c>
      <c r="B837" s="66" t="s">
        <v>1596</v>
      </c>
      <c r="C837" s="41">
        <v>1058</v>
      </c>
      <c r="D837" s="41" t="s">
        <v>1296</v>
      </c>
      <c r="E837" s="41">
        <v>10580005</v>
      </c>
      <c r="F837" s="85" t="s">
        <v>1245</v>
      </c>
      <c r="G837" s="39" t="s">
        <v>92</v>
      </c>
      <c r="H837" s="52" t="s">
        <v>93</v>
      </c>
      <c r="I837" s="52">
        <v>600.05999999999995</v>
      </c>
      <c r="J837" s="49">
        <v>24638.100000000006</v>
      </c>
      <c r="K837" s="58">
        <v>592.6</v>
      </c>
      <c r="L837" s="58">
        <v>25165.629999999997</v>
      </c>
      <c r="M837" s="58">
        <v>9.3999999999999986</v>
      </c>
      <c r="N837" s="58">
        <v>389.59</v>
      </c>
      <c r="O837" s="65">
        <v>602</v>
      </c>
      <c r="P837" s="65">
        <v>25555.219999999998</v>
      </c>
      <c r="Q837" s="50">
        <v>24638.100000000006</v>
      </c>
      <c r="R837" s="65">
        <v>0</v>
      </c>
      <c r="S837" s="65">
        <v>389.59</v>
      </c>
      <c r="T837" s="65">
        <v>917.11999999999171</v>
      </c>
      <c r="U837" s="65">
        <v>0</v>
      </c>
      <c r="V837" s="65">
        <v>0</v>
      </c>
      <c r="W837" s="65">
        <v>0</v>
      </c>
      <c r="X837" s="65">
        <v>24249</v>
      </c>
      <c r="Y837" s="65">
        <v>0</v>
      </c>
      <c r="Z837" s="65">
        <v>0</v>
      </c>
      <c r="AA837" s="51">
        <v>0</v>
      </c>
      <c r="AB837" s="102">
        <v>0</v>
      </c>
      <c r="AC837" s="81">
        <f t="shared" si="42"/>
        <v>82.069516848315232</v>
      </c>
      <c r="AD837" s="82">
        <f t="shared" si="43"/>
        <v>85.722857142857137</v>
      </c>
      <c r="AE837" s="218">
        <v>-3.7223649550898463E-2</v>
      </c>
      <c r="AF837">
        <v>12</v>
      </c>
      <c r="AH837" t="str">
        <f t="shared" si="41"/>
        <v>Hasanpur</v>
      </c>
      <c r="AJ837" s="72">
        <v>0</v>
      </c>
      <c r="AK837" s="72"/>
      <c r="AL837" s="72"/>
      <c r="AM837" s="72"/>
    </row>
    <row r="838" spans="1:39" x14ac:dyDescent="0.25">
      <c r="A838" s="37" t="s">
        <v>62</v>
      </c>
      <c r="B838" s="66" t="s">
        <v>1596</v>
      </c>
      <c r="C838" s="41">
        <v>1058</v>
      </c>
      <c r="D838" s="41" t="s">
        <v>1296</v>
      </c>
      <c r="E838" s="41">
        <v>10580010</v>
      </c>
      <c r="F838" s="85" t="s">
        <v>1306</v>
      </c>
      <c r="G838" s="39" t="s">
        <v>92</v>
      </c>
      <c r="H838" s="52" t="s">
        <v>93</v>
      </c>
      <c r="I838" s="52">
        <v>454.33999999999992</v>
      </c>
      <c r="J838" s="49">
        <v>20646.850000000002</v>
      </c>
      <c r="K838" s="58">
        <v>520.4</v>
      </c>
      <c r="L838" s="58">
        <v>23239.65</v>
      </c>
      <c r="M838" s="58">
        <v>0</v>
      </c>
      <c r="N838" s="58">
        <v>0</v>
      </c>
      <c r="O838" s="65">
        <v>520.4</v>
      </c>
      <c r="P838" s="65">
        <v>23239.65</v>
      </c>
      <c r="Q838" s="50">
        <v>20646.850000000002</v>
      </c>
      <c r="R838" s="65">
        <v>0</v>
      </c>
      <c r="S838" s="65">
        <v>0</v>
      </c>
      <c r="T838" s="65">
        <v>2592.7999999999993</v>
      </c>
      <c r="U838" s="65">
        <v>0</v>
      </c>
      <c r="V838" s="65">
        <v>0</v>
      </c>
      <c r="W838" s="65">
        <v>0</v>
      </c>
      <c r="X838" s="65">
        <v>20647</v>
      </c>
      <c r="Y838" s="65">
        <v>0</v>
      </c>
      <c r="Z838" s="65">
        <v>0</v>
      </c>
      <c r="AA838" s="51">
        <v>0</v>
      </c>
      <c r="AB838" s="102">
        <v>0</v>
      </c>
      <c r="AC838" s="81">
        <f t="shared" si="42"/>
        <v>223.2735471673198</v>
      </c>
      <c r="AD838" s="82">
        <f t="shared" si="43"/>
        <v>64.905714285714268</v>
      </c>
      <c r="AE838" s="218">
        <v>-0.12557847807292633</v>
      </c>
      <c r="AF838">
        <v>6</v>
      </c>
      <c r="AH838" t="str">
        <f t="shared" si="41"/>
        <v>Hasanpur</v>
      </c>
      <c r="AJ838" s="72">
        <v>0</v>
      </c>
      <c r="AK838" s="72"/>
      <c r="AL838" s="72"/>
      <c r="AM838" s="72"/>
    </row>
    <row r="839" spans="1:39" x14ac:dyDescent="0.25">
      <c r="A839" s="37" t="s">
        <v>62</v>
      </c>
      <c r="B839" s="66" t="s">
        <v>1596</v>
      </c>
      <c r="C839" s="41">
        <v>1058</v>
      </c>
      <c r="D839" s="41" t="s">
        <v>1296</v>
      </c>
      <c r="E839" s="41">
        <v>10580012</v>
      </c>
      <c r="F839" s="85" t="s">
        <v>1307</v>
      </c>
      <c r="G839" s="39" t="s">
        <v>92</v>
      </c>
      <c r="H839" s="52" t="s">
        <v>93</v>
      </c>
      <c r="I839" s="52">
        <v>441.47999999999996</v>
      </c>
      <c r="J839" s="49">
        <v>16689.37</v>
      </c>
      <c r="K839" s="58">
        <v>443.59</v>
      </c>
      <c r="L839" s="58">
        <v>18139.440000000002</v>
      </c>
      <c r="M839" s="58">
        <v>0</v>
      </c>
      <c r="N839" s="58">
        <v>0</v>
      </c>
      <c r="O839" s="65">
        <v>443.59</v>
      </c>
      <c r="P839" s="65">
        <v>18139.440000000002</v>
      </c>
      <c r="Q839" s="50">
        <v>16689.37</v>
      </c>
      <c r="R839" s="65">
        <v>0</v>
      </c>
      <c r="S839" s="65">
        <v>0</v>
      </c>
      <c r="T839" s="65">
        <v>1450.0700000000033</v>
      </c>
      <c r="U839" s="65">
        <v>0</v>
      </c>
      <c r="V839" s="65">
        <v>500</v>
      </c>
      <c r="W839" s="65">
        <v>0</v>
      </c>
      <c r="X839" s="65">
        <v>16189</v>
      </c>
      <c r="Y839" s="65">
        <v>0</v>
      </c>
      <c r="Z839" s="65">
        <v>0</v>
      </c>
      <c r="AA839" s="51">
        <v>0</v>
      </c>
      <c r="AB839" s="102">
        <v>0</v>
      </c>
      <c r="AC839" s="81">
        <f t="shared" si="42"/>
        <v>195.45782062154578</v>
      </c>
      <c r="AD839" s="82">
        <f t="shared" si="43"/>
        <v>63.068571428571424</v>
      </c>
      <c r="AE839" s="218">
        <v>-8.6885844103162871E-2</v>
      </c>
      <c r="AF839">
        <v>3</v>
      </c>
      <c r="AH839" t="str">
        <f t="shared" si="41"/>
        <v>Hasanpur</v>
      </c>
      <c r="AJ839" s="72">
        <v>500</v>
      </c>
      <c r="AK839" s="72"/>
      <c r="AL839" s="72"/>
      <c r="AM839" s="72"/>
    </row>
    <row r="840" spans="1:39" x14ac:dyDescent="0.25">
      <c r="A840" s="37" t="s">
        <v>62</v>
      </c>
      <c r="B840" s="66" t="s">
        <v>1596</v>
      </c>
      <c r="C840" s="41">
        <v>1058</v>
      </c>
      <c r="D840" s="41" t="s">
        <v>1296</v>
      </c>
      <c r="E840" s="41">
        <v>10580013</v>
      </c>
      <c r="F840" s="85" t="s">
        <v>1495</v>
      </c>
      <c r="G840" s="39" t="s">
        <v>617</v>
      </c>
      <c r="H840" s="52" t="s">
        <v>98</v>
      </c>
      <c r="I840" s="52">
        <v>196.23999999999998</v>
      </c>
      <c r="J840" s="49">
        <v>6916.0400000000009</v>
      </c>
      <c r="K840" s="58">
        <v>0</v>
      </c>
      <c r="L840" s="58">
        <v>0</v>
      </c>
      <c r="M840" s="58">
        <v>0</v>
      </c>
      <c r="N840" s="58">
        <v>0</v>
      </c>
      <c r="O840" s="65">
        <v>0</v>
      </c>
      <c r="P840" s="65">
        <v>0</v>
      </c>
      <c r="Q840" s="50">
        <v>6916.0400000000009</v>
      </c>
      <c r="R840" s="65">
        <v>0</v>
      </c>
      <c r="S840" s="65">
        <v>0</v>
      </c>
      <c r="T840" s="65">
        <v>0</v>
      </c>
      <c r="U840" s="65">
        <v>0</v>
      </c>
      <c r="V840" s="65">
        <v>0</v>
      </c>
      <c r="W840" s="65">
        <v>0</v>
      </c>
      <c r="X840" s="65">
        <v>0</v>
      </c>
      <c r="Y840" s="65">
        <v>0</v>
      </c>
      <c r="Z840" s="65">
        <v>6916.0400000000009</v>
      </c>
      <c r="AA840" s="51">
        <v>0</v>
      </c>
      <c r="AB840" s="102">
        <v>0</v>
      </c>
      <c r="AC840" s="81">
        <f t="shared" si="42"/>
        <v>355.07789547492877</v>
      </c>
      <c r="AD840" s="82">
        <f t="shared" si="43"/>
        <v>28.034285714285712</v>
      </c>
      <c r="AE840" s="218">
        <v>0</v>
      </c>
      <c r="AF840">
        <v>0</v>
      </c>
      <c r="AH840" t="str">
        <f t="shared" si="41"/>
        <v>Hasanpur</v>
      </c>
      <c r="AJ840" s="72">
        <v>0</v>
      </c>
      <c r="AK840" s="72"/>
      <c r="AL840" s="72"/>
      <c r="AM840" s="72"/>
    </row>
    <row r="841" spans="1:39" x14ac:dyDescent="0.25">
      <c r="A841" s="37" t="s">
        <v>62</v>
      </c>
      <c r="B841" s="66" t="s">
        <v>1596</v>
      </c>
      <c r="C841" s="41">
        <v>1058</v>
      </c>
      <c r="D841" s="41" t="s">
        <v>1296</v>
      </c>
      <c r="E841" s="41">
        <v>10580015</v>
      </c>
      <c r="F841" s="85" t="s">
        <v>1308</v>
      </c>
      <c r="G841" s="39" t="s">
        <v>92</v>
      </c>
      <c r="H841" s="52" t="s">
        <v>93</v>
      </c>
      <c r="I841" s="52">
        <v>551.93999999999994</v>
      </c>
      <c r="J841" s="49">
        <v>20585.569999999996</v>
      </c>
      <c r="K841" s="58">
        <v>555.68000000000018</v>
      </c>
      <c r="L841" s="58">
        <v>20882.419999999998</v>
      </c>
      <c r="M841" s="58">
        <v>0</v>
      </c>
      <c r="N841" s="58">
        <v>0</v>
      </c>
      <c r="O841" s="65">
        <v>555.68000000000018</v>
      </c>
      <c r="P841" s="65">
        <v>20882.419999999998</v>
      </c>
      <c r="Q841" s="50">
        <v>20585.569999999996</v>
      </c>
      <c r="R841" s="65">
        <v>0</v>
      </c>
      <c r="S841" s="65">
        <v>0</v>
      </c>
      <c r="T841" s="65">
        <v>296.85000000000218</v>
      </c>
      <c r="U841" s="65">
        <v>0</v>
      </c>
      <c r="V841" s="65">
        <v>0</v>
      </c>
      <c r="W841" s="65">
        <v>0</v>
      </c>
      <c r="X841" s="65">
        <v>20586</v>
      </c>
      <c r="Y841" s="65">
        <v>0</v>
      </c>
      <c r="Z841" s="65">
        <v>0</v>
      </c>
      <c r="AA841" s="51">
        <v>0</v>
      </c>
      <c r="AB841" s="102">
        <v>0</v>
      </c>
      <c r="AC841" s="81">
        <f t="shared" si="42"/>
        <v>110.44314578396207</v>
      </c>
      <c r="AD841" s="82">
        <f t="shared" si="43"/>
        <v>78.848571428571418</v>
      </c>
      <c r="AE841" s="218">
        <v>-1.4420295381667947E-2</v>
      </c>
      <c r="AF841">
        <v>7</v>
      </c>
      <c r="AH841" t="str">
        <f t="shared" si="41"/>
        <v>Hasanpur</v>
      </c>
      <c r="AJ841" s="72">
        <v>0</v>
      </c>
      <c r="AK841" s="72"/>
      <c r="AL841" s="72"/>
      <c r="AM841" s="72"/>
    </row>
    <row r="842" spans="1:39" x14ac:dyDescent="0.25">
      <c r="A842" s="37" t="s">
        <v>62</v>
      </c>
      <c r="B842" s="66" t="s">
        <v>1596</v>
      </c>
      <c r="C842" s="41">
        <v>1058</v>
      </c>
      <c r="D842" s="41" t="s">
        <v>1296</v>
      </c>
      <c r="E842" s="41">
        <v>10580017</v>
      </c>
      <c r="F842" s="85" t="s">
        <v>1309</v>
      </c>
      <c r="G842" s="39" t="s">
        <v>92</v>
      </c>
      <c r="H842" s="52" t="s">
        <v>93</v>
      </c>
      <c r="I842" s="52">
        <v>902.4899999999999</v>
      </c>
      <c r="J842" s="49">
        <v>38303.03</v>
      </c>
      <c r="K842" s="58">
        <v>507.1</v>
      </c>
      <c r="L842" s="58">
        <v>22707.98</v>
      </c>
      <c r="M842" s="58">
        <v>395</v>
      </c>
      <c r="N842" s="58">
        <v>15203.109999999999</v>
      </c>
      <c r="O842" s="65">
        <v>902.1</v>
      </c>
      <c r="P842" s="65">
        <v>37911.089999999997</v>
      </c>
      <c r="Q842" s="50">
        <v>37911.089999999997</v>
      </c>
      <c r="R842" s="65">
        <v>0</v>
      </c>
      <c r="S842" s="65">
        <v>211.3</v>
      </c>
      <c r="T842" s="65">
        <v>0</v>
      </c>
      <c r="U842" s="65">
        <v>2700</v>
      </c>
      <c r="V842" s="65">
        <v>0</v>
      </c>
      <c r="W842" s="65">
        <v>0</v>
      </c>
      <c r="X842" s="65">
        <v>20008</v>
      </c>
      <c r="Y842" s="65">
        <v>14991</v>
      </c>
      <c r="Z842" s="65">
        <v>0</v>
      </c>
      <c r="AA842" s="51">
        <v>393</v>
      </c>
      <c r="AB842" s="102">
        <v>0</v>
      </c>
      <c r="AC842" s="81">
        <f t="shared" si="42"/>
        <v>0</v>
      </c>
      <c r="AD842" s="82">
        <f t="shared" si="43"/>
        <v>0</v>
      </c>
      <c r="AE842" s="218">
        <v>1.0232610840447931E-2</v>
      </c>
      <c r="AF842">
        <v>8</v>
      </c>
      <c r="AH842" t="str">
        <f t="shared" si="41"/>
        <v>Hasanpur</v>
      </c>
      <c r="AJ842" s="72">
        <v>0</v>
      </c>
      <c r="AK842" s="72"/>
      <c r="AL842" s="72"/>
      <c r="AM842" s="72"/>
    </row>
    <row r="843" spans="1:39" x14ac:dyDescent="0.25">
      <c r="A843" s="37" t="s">
        <v>62</v>
      </c>
      <c r="B843" s="66" t="s">
        <v>1596</v>
      </c>
      <c r="C843" s="41">
        <v>1058</v>
      </c>
      <c r="D843" s="41" t="s">
        <v>1296</v>
      </c>
      <c r="E843" s="41">
        <v>10580018</v>
      </c>
      <c r="F843" s="85" t="s">
        <v>1316</v>
      </c>
      <c r="G843" s="39" t="s">
        <v>92</v>
      </c>
      <c r="H843" s="52" t="s">
        <v>93</v>
      </c>
      <c r="I843" s="52">
        <v>387.86</v>
      </c>
      <c r="J843" s="49">
        <v>15018.8</v>
      </c>
      <c r="K843" s="58">
        <v>488.20999999999992</v>
      </c>
      <c r="L843" s="58">
        <v>19171.540000000005</v>
      </c>
      <c r="M843" s="58">
        <v>3.01</v>
      </c>
      <c r="N843" s="58">
        <v>117.18000000000002</v>
      </c>
      <c r="O843" s="65">
        <v>491.21999999999991</v>
      </c>
      <c r="P843" s="65">
        <v>19288.720000000005</v>
      </c>
      <c r="Q843" s="50">
        <v>15018.8</v>
      </c>
      <c r="R843" s="65">
        <v>0</v>
      </c>
      <c r="S843" s="65">
        <v>117.18000000000002</v>
      </c>
      <c r="T843" s="65">
        <v>4269.9200000000055</v>
      </c>
      <c r="U843" s="65">
        <v>0</v>
      </c>
      <c r="V843" s="65">
        <v>500</v>
      </c>
      <c r="W843" s="65">
        <v>0</v>
      </c>
      <c r="X843" s="65">
        <v>14402</v>
      </c>
      <c r="Y843" s="65">
        <v>0</v>
      </c>
      <c r="Z843" s="65">
        <v>0</v>
      </c>
      <c r="AA843" s="51">
        <v>0</v>
      </c>
      <c r="AB843" s="102" t="s">
        <v>1598</v>
      </c>
      <c r="AC843" s="81">
        <f t="shared" si="42"/>
        <v>241.73507100500177</v>
      </c>
      <c r="AD843" s="82">
        <f t="shared" si="43"/>
        <v>55.408571428571427</v>
      </c>
      <c r="AE843" s="218">
        <v>-0.28430500439449263</v>
      </c>
      <c r="AF843">
        <v>15</v>
      </c>
      <c r="AH843" t="str">
        <f t="shared" si="41"/>
        <v>Hasanpur</v>
      </c>
      <c r="AJ843" s="72">
        <v>500</v>
      </c>
      <c r="AK843" s="72"/>
      <c r="AL843" s="72"/>
      <c r="AM843" s="72"/>
    </row>
    <row r="844" spans="1:39" x14ac:dyDescent="0.25">
      <c r="A844" s="37" t="s">
        <v>62</v>
      </c>
      <c r="B844" s="66" t="s">
        <v>1596</v>
      </c>
      <c r="C844" s="41">
        <v>1058</v>
      </c>
      <c r="D844" s="41" t="s">
        <v>1296</v>
      </c>
      <c r="E844" s="41">
        <v>10580022</v>
      </c>
      <c r="F844" s="85" t="s">
        <v>1344</v>
      </c>
      <c r="G844" s="39" t="s">
        <v>92</v>
      </c>
      <c r="H844" s="52" t="s">
        <v>93</v>
      </c>
      <c r="I844" s="52">
        <v>394.46000000000004</v>
      </c>
      <c r="J844" s="49">
        <v>16090.349999999999</v>
      </c>
      <c r="K844" s="58">
        <v>399.4</v>
      </c>
      <c r="L844" s="58">
        <v>16821.48</v>
      </c>
      <c r="M844" s="58">
        <v>0</v>
      </c>
      <c r="N844" s="58">
        <v>0</v>
      </c>
      <c r="O844" s="65">
        <v>399.4</v>
      </c>
      <c r="P844" s="65">
        <v>16821.48</v>
      </c>
      <c r="Q844" s="50">
        <v>16090.349999999999</v>
      </c>
      <c r="R844" s="65">
        <v>0</v>
      </c>
      <c r="S844" s="65">
        <v>0</v>
      </c>
      <c r="T844" s="65">
        <v>731.13000000000102</v>
      </c>
      <c r="U844" s="65">
        <v>0</v>
      </c>
      <c r="V844" s="65">
        <v>0</v>
      </c>
      <c r="W844" s="65">
        <v>0</v>
      </c>
      <c r="X844" s="65">
        <v>16090</v>
      </c>
      <c r="Y844" s="65">
        <v>0</v>
      </c>
      <c r="Z844" s="65">
        <v>0</v>
      </c>
      <c r="AA844" s="51">
        <v>0</v>
      </c>
      <c r="AB844" s="102">
        <v>0</v>
      </c>
      <c r="AC844" s="81">
        <f t="shared" si="42"/>
        <v>249.26459154286866</v>
      </c>
      <c r="AD844" s="82">
        <f t="shared" si="43"/>
        <v>56.351428571428578</v>
      </c>
      <c r="AE844" s="218">
        <v>-4.5439036441096751E-2</v>
      </c>
      <c r="AF844">
        <v>4</v>
      </c>
      <c r="AH844" t="str">
        <f t="shared" si="41"/>
        <v>Hasanpur</v>
      </c>
      <c r="AJ844" s="72">
        <v>0</v>
      </c>
      <c r="AK844" s="72"/>
      <c r="AL844" s="72"/>
      <c r="AM844" s="72"/>
    </row>
    <row r="845" spans="1:39" x14ac:dyDescent="0.25">
      <c r="A845" s="37" t="s">
        <v>62</v>
      </c>
      <c r="B845" s="66" t="s">
        <v>1596</v>
      </c>
      <c r="C845" s="41">
        <v>1058</v>
      </c>
      <c r="D845" s="41" t="s">
        <v>1296</v>
      </c>
      <c r="E845" s="41">
        <v>10580023</v>
      </c>
      <c r="F845" s="85" t="s">
        <v>1345</v>
      </c>
      <c r="G845" s="39" t="s">
        <v>617</v>
      </c>
      <c r="H845" s="52" t="s">
        <v>98</v>
      </c>
      <c r="I845" s="52">
        <v>780.81</v>
      </c>
      <c r="J845" s="49">
        <v>30921.31</v>
      </c>
      <c r="K845" s="58">
        <v>0</v>
      </c>
      <c r="L845" s="58">
        <v>0</v>
      </c>
      <c r="M845" s="58">
        <v>0</v>
      </c>
      <c r="N845" s="58">
        <v>0</v>
      </c>
      <c r="O845" s="65">
        <v>0</v>
      </c>
      <c r="P845" s="65">
        <v>0</v>
      </c>
      <c r="Q845" s="50">
        <v>30921.31</v>
      </c>
      <c r="R845" s="65">
        <v>0</v>
      </c>
      <c r="S845" s="65">
        <v>0</v>
      </c>
      <c r="T845" s="65">
        <v>0</v>
      </c>
      <c r="U845" s="65">
        <v>0</v>
      </c>
      <c r="V845" s="65">
        <v>0</v>
      </c>
      <c r="W845" s="65">
        <v>0</v>
      </c>
      <c r="X845" s="65">
        <v>0</v>
      </c>
      <c r="Y845" s="65">
        <v>0</v>
      </c>
      <c r="Z845" s="65">
        <v>30921.31</v>
      </c>
      <c r="AA845" s="51">
        <v>0</v>
      </c>
      <c r="AB845" s="102">
        <v>0</v>
      </c>
      <c r="AC845" s="81">
        <f t="shared" si="42"/>
        <v>0</v>
      </c>
      <c r="AD845" s="82">
        <f t="shared" si="43"/>
        <v>0</v>
      </c>
      <c r="AE845" s="218">
        <v>0</v>
      </c>
      <c r="AF845">
        <v>0</v>
      </c>
      <c r="AH845" t="str">
        <f t="shared" si="41"/>
        <v>Hasanpur</v>
      </c>
      <c r="AJ845" s="72">
        <v>0</v>
      </c>
      <c r="AK845" s="72"/>
      <c r="AL845" s="72"/>
      <c r="AM845" s="72"/>
    </row>
    <row r="846" spans="1:39" x14ac:dyDescent="0.25">
      <c r="A846" s="37" t="s">
        <v>62</v>
      </c>
      <c r="B846" s="66" t="s">
        <v>1596</v>
      </c>
      <c r="C846" s="41">
        <v>1058</v>
      </c>
      <c r="D846" s="41" t="s">
        <v>1296</v>
      </c>
      <c r="E846" s="41">
        <v>10580024</v>
      </c>
      <c r="F846" s="85" t="s">
        <v>1437</v>
      </c>
      <c r="G846" s="39" t="s">
        <v>92</v>
      </c>
      <c r="H846" s="52" t="s">
        <v>93</v>
      </c>
      <c r="I846" s="52">
        <v>472.35</v>
      </c>
      <c r="J846" s="49">
        <v>18578.830000000002</v>
      </c>
      <c r="K846" s="58">
        <v>489.39999999999986</v>
      </c>
      <c r="L846" s="58">
        <v>21706.949999999997</v>
      </c>
      <c r="M846" s="58">
        <v>0</v>
      </c>
      <c r="N846" s="58">
        <v>0</v>
      </c>
      <c r="O846" s="65">
        <v>489.39999999999986</v>
      </c>
      <c r="P846" s="65">
        <v>21706.949999999997</v>
      </c>
      <c r="Q846" s="50">
        <v>18578.830000000002</v>
      </c>
      <c r="R846" s="65">
        <v>0</v>
      </c>
      <c r="S846" s="65">
        <v>0</v>
      </c>
      <c r="T846" s="65">
        <v>3128.1199999999953</v>
      </c>
      <c r="U846" s="65">
        <v>0</v>
      </c>
      <c r="V846" s="65">
        <v>0</v>
      </c>
      <c r="W846" s="65">
        <v>0</v>
      </c>
      <c r="X846" s="65">
        <v>18579</v>
      </c>
      <c r="Y846" s="65">
        <v>0</v>
      </c>
      <c r="Z846" s="65">
        <v>0</v>
      </c>
      <c r="AA846" s="51">
        <v>0</v>
      </c>
      <c r="AB846" s="102" t="s">
        <v>1598</v>
      </c>
      <c r="AC846" s="81">
        <f t="shared" si="42"/>
        <v>179.08206412617764</v>
      </c>
      <c r="AD846" s="82">
        <f t="shared" si="43"/>
        <v>67.478571428571428</v>
      </c>
      <c r="AE846" s="218">
        <v>-0.16837012879713067</v>
      </c>
      <c r="AF846">
        <v>2</v>
      </c>
      <c r="AH846" t="str">
        <f t="shared" si="41"/>
        <v>Hasanpur</v>
      </c>
      <c r="AJ846" s="72">
        <v>0</v>
      </c>
      <c r="AK846" s="72"/>
      <c r="AL846" s="72"/>
      <c r="AM846" s="72"/>
    </row>
    <row r="847" spans="1:39" x14ac:dyDescent="0.25">
      <c r="A847" s="37" t="s">
        <v>62</v>
      </c>
      <c r="B847" s="66" t="s">
        <v>1596</v>
      </c>
      <c r="C847" s="41">
        <v>1058</v>
      </c>
      <c r="D847" s="41" t="s">
        <v>1296</v>
      </c>
      <c r="E847" s="41">
        <v>10580025</v>
      </c>
      <c r="F847" s="85" t="s">
        <v>1438</v>
      </c>
      <c r="G847" s="39" t="s">
        <v>92</v>
      </c>
      <c r="H847" s="52" t="s">
        <v>93</v>
      </c>
      <c r="I847" s="52">
        <v>711.54000000000008</v>
      </c>
      <c r="J847" s="49">
        <v>31284.150000000005</v>
      </c>
      <c r="K847" s="58">
        <v>793.46</v>
      </c>
      <c r="L847" s="58">
        <v>36060.089999999989</v>
      </c>
      <c r="M847" s="58">
        <v>0</v>
      </c>
      <c r="N847" s="58">
        <v>0</v>
      </c>
      <c r="O847" s="65">
        <v>793.46</v>
      </c>
      <c r="P847" s="65">
        <v>36060.089999999989</v>
      </c>
      <c r="Q847" s="50">
        <v>31284.150000000005</v>
      </c>
      <c r="R847" s="65">
        <v>0</v>
      </c>
      <c r="S847" s="65">
        <v>0</v>
      </c>
      <c r="T847" s="65">
        <v>4775.9399999999841</v>
      </c>
      <c r="U847" s="65">
        <v>0</v>
      </c>
      <c r="V847" s="65">
        <v>0</v>
      </c>
      <c r="W847" s="65">
        <v>0</v>
      </c>
      <c r="X847" s="65">
        <v>31284</v>
      </c>
      <c r="Y847" s="65">
        <v>0</v>
      </c>
      <c r="Z847" s="65">
        <v>0</v>
      </c>
      <c r="AA847" s="51">
        <v>0</v>
      </c>
      <c r="AB847" s="102">
        <v>0</v>
      </c>
      <c r="AC847" s="81">
        <f t="shared" si="42"/>
        <v>0</v>
      </c>
      <c r="AD847" s="82">
        <f t="shared" si="43"/>
        <v>0</v>
      </c>
      <c r="AE847" s="218">
        <v>-0.15266324960083569</v>
      </c>
      <c r="AF847">
        <v>13</v>
      </c>
      <c r="AH847" t="str">
        <f t="shared" si="41"/>
        <v>Hasanpur</v>
      </c>
      <c r="AJ847" s="72">
        <v>0</v>
      </c>
      <c r="AK847" s="72"/>
      <c r="AL847" s="72"/>
      <c r="AM847" s="72"/>
    </row>
    <row r="848" spans="1:39" x14ac:dyDescent="0.25">
      <c r="A848" s="37" t="s">
        <v>62</v>
      </c>
      <c r="B848" s="66" t="s">
        <v>1596</v>
      </c>
      <c r="C848" s="41">
        <v>1058</v>
      </c>
      <c r="D848" s="41" t="s">
        <v>1296</v>
      </c>
      <c r="E848" s="41">
        <v>10580026</v>
      </c>
      <c r="F848" s="85" t="s">
        <v>1439</v>
      </c>
      <c r="G848" s="39" t="s">
        <v>92</v>
      </c>
      <c r="H848" s="52" t="s">
        <v>93</v>
      </c>
      <c r="I848" s="52">
        <v>88.48</v>
      </c>
      <c r="J848" s="49">
        <v>3116.72</v>
      </c>
      <c r="K848" s="58">
        <v>89.899999999999991</v>
      </c>
      <c r="L848" s="58">
        <v>3193.0499999999997</v>
      </c>
      <c r="M848" s="58">
        <v>0</v>
      </c>
      <c r="N848" s="58">
        <v>0</v>
      </c>
      <c r="O848" s="65">
        <v>89.899999999999991</v>
      </c>
      <c r="P848" s="65">
        <v>3193.0499999999997</v>
      </c>
      <c r="Q848" s="50">
        <v>3116.72</v>
      </c>
      <c r="R848" s="65">
        <v>0</v>
      </c>
      <c r="S848" s="65">
        <v>0</v>
      </c>
      <c r="T848" s="65">
        <v>76.329999999999927</v>
      </c>
      <c r="U848" s="65">
        <v>0</v>
      </c>
      <c r="V848" s="65">
        <v>0</v>
      </c>
      <c r="W848" s="65">
        <v>0</v>
      </c>
      <c r="X848" s="65">
        <v>3117</v>
      </c>
      <c r="Y848" s="65">
        <v>0</v>
      </c>
      <c r="Z848" s="65">
        <v>0</v>
      </c>
      <c r="AA848" s="51">
        <v>0</v>
      </c>
      <c r="AB848" s="102">
        <v>0</v>
      </c>
      <c r="AC848" s="81">
        <f t="shared" si="42"/>
        <v>430.81749873417715</v>
      </c>
      <c r="AD848" s="82">
        <f t="shared" si="43"/>
        <v>12.64</v>
      </c>
      <c r="AE848" s="218">
        <v>-2.44904900023101E-2</v>
      </c>
      <c r="AF848">
        <v>1</v>
      </c>
      <c r="AH848" t="str">
        <f t="shared" si="41"/>
        <v>Hasanpur</v>
      </c>
      <c r="AJ848" s="72">
        <v>0</v>
      </c>
      <c r="AK848" s="72"/>
      <c r="AL848" s="72"/>
      <c r="AM848" s="72"/>
    </row>
    <row r="849" spans="1:39" x14ac:dyDescent="0.25">
      <c r="A849" s="37" t="s">
        <v>62</v>
      </c>
      <c r="B849" s="66" t="s">
        <v>1596</v>
      </c>
      <c r="C849" s="41">
        <v>1058</v>
      </c>
      <c r="D849" s="41" t="s">
        <v>1296</v>
      </c>
      <c r="E849" s="41">
        <v>10580027</v>
      </c>
      <c r="F849" s="85" t="s">
        <v>1440</v>
      </c>
      <c r="G849" s="39" t="s">
        <v>92</v>
      </c>
      <c r="H849" s="52" t="s">
        <v>93</v>
      </c>
      <c r="I849" s="52">
        <v>153.13</v>
      </c>
      <c r="J849" s="49">
        <v>5707.3300000000008</v>
      </c>
      <c r="K849" s="58">
        <v>155.4</v>
      </c>
      <c r="L849" s="58">
        <v>5834.0399999999991</v>
      </c>
      <c r="M849" s="58">
        <v>0</v>
      </c>
      <c r="N849" s="58">
        <v>0</v>
      </c>
      <c r="O849" s="65">
        <v>155.4</v>
      </c>
      <c r="P849" s="65">
        <v>5834.0399999999991</v>
      </c>
      <c r="Q849" s="50">
        <v>5707.3300000000008</v>
      </c>
      <c r="R849" s="65">
        <v>0</v>
      </c>
      <c r="S849" s="65">
        <v>0</v>
      </c>
      <c r="T849" s="65">
        <v>126.70999999999822</v>
      </c>
      <c r="U849" s="65">
        <v>0</v>
      </c>
      <c r="V849" s="65">
        <v>0</v>
      </c>
      <c r="W849" s="65">
        <v>0</v>
      </c>
      <c r="X849" s="65">
        <v>5707</v>
      </c>
      <c r="Y849" s="65">
        <v>0</v>
      </c>
      <c r="Z849" s="65">
        <v>0</v>
      </c>
      <c r="AA849" s="51">
        <v>0</v>
      </c>
      <c r="AB849" s="102">
        <v>0</v>
      </c>
      <c r="AC849" s="81">
        <f t="shared" si="42"/>
        <v>407.64939033500951</v>
      </c>
      <c r="AD849" s="82">
        <f t="shared" si="43"/>
        <v>21.875714285714285</v>
      </c>
      <c r="AE849" s="218">
        <v>-2.2201274501386498E-2</v>
      </c>
      <c r="AF849">
        <v>1</v>
      </c>
      <c r="AH849" t="str">
        <f t="shared" si="41"/>
        <v>Hasanpur</v>
      </c>
      <c r="AJ849" s="72">
        <v>0</v>
      </c>
      <c r="AK849" s="72"/>
      <c r="AL849" s="72"/>
      <c r="AM849" s="72"/>
    </row>
    <row r="850" spans="1:39" x14ac:dyDescent="0.25">
      <c r="A850" s="37" t="s">
        <v>62</v>
      </c>
      <c r="B850" s="66" t="s">
        <v>1596</v>
      </c>
      <c r="C850" s="41">
        <v>1058</v>
      </c>
      <c r="D850" s="41" t="s">
        <v>1296</v>
      </c>
      <c r="E850" s="41">
        <v>10580028</v>
      </c>
      <c r="F850" s="85" t="s">
        <v>1441</v>
      </c>
      <c r="G850" s="39" t="s">
        <v>92</v>
      </c>
      <c r="H850" s="52" t="s">
        <v>93</v>
      </c>
      <c r="I850" s="52">
        <v>469.80000000000007</v>
      </c>
      <c r="J850" s="49">
        <v>19382.489999999998</v>
      </c>
      <c r="K850" s="58">
        <v>479.5</v>
      </c>
      <c r="L850" s="58">
        <v>19782.250000000004</v>
      </c>
      <c r="M850" s="58">
        <v>0</v>
      </c>
      <c r="N850" s="58">
        <v>0</v>
      </c>
      <c r="O850" s="65">
        <v>479.5</v>
      </c>
      <c r="P850" s="65">
        <v>19782.250000000004</v>
      </c>
      <c r="Q850" s="50">
        <v>19382.489999999998</v>
      </c>
      <c r="R850" s="65">
        <v>0</v>
      </c>
      <c r="S850" s="65">
        <v>0</v>
      </c>
      <c r="T850" s="65">
        <v>399.76000000000568</v>
      </c>
      <c r="U850" s="65">
        <v>0</v>
      </c>
      <c r="V850" s="65">
        <v>0</v>
      </c>
      <c r="W850" s="65">
        <v>0</v>
      </c>
      <c r="X850" s="65">
        <v>19382</v>
      </c>
      <c r="Y850" s="65">
        <v>0</v>
      </c>
      <c r="Z850" s="65">
        <v>0</v>
      </c>
      <c r="AA850" s="51">
        <v>0</v>
      </c>
      <c r="AB850" s="102">
        <v>0</v>
      </c>
      <c r="AC850" s="81">
        <f t="shared" si="42"/>
        <v>189.94675172413778</v>
      </c>
      <c r="AD850" s="82">
        <f t="shared" si="43"/>
        <v>67.114285714285728</v>
      </c>
      <c r="AE850" s="218">
        <v>-2.0624801044654518E-2</v>
      </c>
      <c r="AF850">
        <v>3</v>
      </c>
      <c r="AH850" t="str">
        <f t="shared" si="41"/>
        <v>Hasanpur</v>
      </c>
      <c r="AJ850" s="72">
        <v>0</v>
      </c>
      <c r="AK850" s="72"/>
      <c r="AL850" s="72"/>
      <c r="AM850" s="72"/>
    </row>
    <row r="851" spans="1:39" x14ac:dyDescent="0.25">
      <c r="A851" s="37" t="s">
        <v>62</v>
      </c>
      <c r="B851" s="66" t="s">
        <v>1596</v>
      </c>
      <c r="C851" s="41">
        <v>1058</v>
      </c>
      <c r="D851" s="41" t="s">
        <v>1296</v>
      </c>
      <c r="E851" s="41">
        <v>10580029</v>
      </c>
      <c r="F851" s="85" t="s">
        <v>1214</v>
      </c>
      <c r="G851" s="39" t="s">
        <v>92</v>
      </c>
      <c r="H851" s="52" t="s">
        <v>93</v>
      </c>
      <c r="I851" s="52">
        <v>211.48</v>
      </c>
      <c r="J851" s="49">
        <v>9727.19</v>
      </c>
      <c r="K851" s="58">
        <v>217.19999999999996</v>
      </c>
      <c r="L851" s="58">
        <v>10292.380000000001</v>
      </c>
      <c r="M851" s="58">
        <v>0</v>
      </c>
      <c r="N851" s="58">
        <v>0</v>
      </c>
      <c r="O851" s="65">
        <v>217.19999999999996</v>
      </c>
      <c r="P851" s="65">
        <v>10292.380000000001</v>
      </c>
      <c r="Q851" s="50">
        <v>9727.19</v>
      </c>
      <c r="R851" s="65">
        <v>0</v>
      </c>
      <c r="S851" s="65">
        <v>0</v>
      </c>
      <c r="T851" s="65">
        <v>565.19000000000051</v>
      </c>
      <c r="U851" s="65">
        <v>0</v>
      </c>
      <c r="V851" s="65">
        <v>0</v>
      </c>
      <c r="W851" s="65">
        <v>0</v>
      </c>
      <c r="X851" s="65">
        <v>9727</v>
      </c>
      <c r="Y851" s="65">
        <v>0</v>
      </c>
      <c r="Z851" s="65">
        <v>0</v>
      </c>
      <c r="AA851" s="51">
        <v>0</v>
      </c>
      <c r="AB851" s="102" t="s">
        <v>1598</v>
      </c>
      <c r="AC851" s="81">
        <f t="shared" si="42"/>
        <v>449.39728189899762</v>
      </c>
      <c r="AD851" s="82">
        <f t="shared" si="43"/>
        <v>30.21142857142857</v>
      </c>
      <c r="AE851" s="218">
        <v>-5.8104139016509439E-2</v>
      </c>
      <c r="AF851">
        <v>11</v>
      </c>
      <c r="AH851" t="str">
        <f t="shared" si="41"/>
        <v>Hasanpur</v>
      </c>
      <c r="AJ851" s="72">
        <v>0</v>
      </c>
      <c r="AK851" s="72"/>
      <c r="AL851" s="72"/>
      <c r="AM851" s="72"/>
    </row>
    <row r="852" spans="1:39" x14ac:dyDescent="0.25">
      <c r="A852" s="37" t="s">
        <v>62</v>
      </c>
      <c r="B852" s="66" t="s">
        <v>1596</v>
      </c>
      <c r="C852" s="41">
        <v>1058</v>
      </c>
      <c r="D852" s="41" t="s">
        <v>1296</v>
      </c>
      <c r="E852" s="41">
        <v>10580030</v>
      </c>
      <c r="F852" s="85" t="s">
        <v>1442</v>
      </c>
      <c r="G852" s="39" t="s">
        <v>92</v>
      </c>
      <c r="H852" s="52" t="s">
        <v>93</v>
      </c>
      <c r="I852" s="52">
        <v>94.210000000000008</v>
      </c>
      <c r="J852" s="49">
        <v>3466.51</v>
      </c>
      <c r="K852" s="58">
        <v>94.2</v>
      </c>
      <c r="L852" s="58">
        <v>3523.7599999999998</v>
      </c>
      <c r="M852" s="58">
        <v>0</v>
      </c>
      <c r="N852" s="58">
        <v>0</v>
      </c>
      <c r="O852" s="65">
        <v>94.2</v>
      </c>
      <c r="P852" s="65">
        <v>3523.7599999999998</v>
      </c>
      <c r="Q852" s="50">
        <v>3466.51</v>
      </c>
      <c r="R852" s="65">
        <v>0</v>
      </c>
      <c r="S852" s="65">
        <v>0</v>
      </c>
      <c r="T852" s="65">
        <v>57.249999999999545</v>
      </c>
      <c r="U852" s="65">
        <v>0</v>
      </c>
      <c r="V852" s="65">
        <v>0</v>
      </c>
      <c r="W852" s="65">
        <v>0</v>
      </c>
      <c r="X852" s="65">
        <v>3467</v>
      </c>
      <c r="Y852" s="65">
        <v>0</v>
      </c>
      <c r="Z852" s="65">
        <v>0</v>
      </c>
      <c r="AA852" s="51">
        <v>0</v>
      </c>
      <c r="AB852" s="102">
        <v>0</v>
      </c>
      <c r="AC852" s="81">
        <f t="shared" si="42"/>
        <v>445.80768345186283</v>
      </c>
      <c r="AD852" s="82">
        <f t="shared" si="43"/>
        <v>13.45857142857143</v>
      </c>
      <c r="AE852" s="218">
        <v>-1.6515169435541665E-2</v>
      </c>
      <c r="AF852">
        <v>1</v>
      </c>
      <c r="AH852" t="str">
        <f t="shared" si="41"/>
        <v>Hasanpur</v>
      </c>
      <c r="AJ852" s="72">
        <v>0</v>
      </c>
      <c r="AK852" s="72"/>
      <c r="AL852" s="72"/>
      <c r="AM852" s="72"/>
    </row>
    <row r="853" spans="1:39" x14ac:dyDescent="0.25">
      <c r="A853" s="37" t="s">
        <v>62</v>
      </c>
      <c r="B853" s="66" t="s">
        <v>1596</v>
      </c>
      <c r="C853" s="41">
        <v>1059</v>
      </c>
      <c r="D853" s="41" t="s">
        <v>1299</v>
      </c>
      <c r="E853" s="41">
        <v>10590001</v>
      </c>
      <c r="F853" s="85" t="s">
        <v>1293</v>
      </c>
      <c r="G853" s="39" t="s">
        <v>92</v>
      </c>
      <c r="H853" s="52" t="s">
        <v>93</v>
      </c>
      <c r="I853" s="52">
        <v>792.9000000000002</v>
      </c>
      <c r="J853" s="49">
        <v>40370.780000000006</v>
      </c>
      <c r="K853" s="58">
        <v>910.11000000000013</v>
      </c>
      <c r="L853" s="58">
        <v>45891.09</v>
      </c>
      <c r="M853" s="58">
        <v>0</v>
      </c>
      <c r="N853" s="58">
        <v>0</v>
      </c>
      <c r="O853" s="65">
        <v>910.11000000000013</v>
      </c>
      <c r="P853" s="65">
        <v>45891.09</v>
      </c>
      <c r="Q853" s="50">
        <v>40370.780000000006</v>
      </c>
      <c r="R853" s="65">
        <v>0</v>
      </c>
      <c r="S853" s="65">
        <v>0</v>
      </c>
      <c r="T853" s="65">
        <v>5520.3099999999904</v>
      </c>
      <c r="U853" s="65">
        <v>0</v>
      </c>
      <c r="V853" s="65">
        <v>0</v>
      </c>
      <c r="W853" s="65">
        <v>0</v>
      </c>
      <c r="X853" s="65">
        <v>40371</v>
      </c>
      <c r="Y853" s="65">
        <v>0</v>
      </c>
      <c r="Z853" s="65">
        <v>0</v>
      </c>
      <c r="AA853" s="51">
        <v>0</v>
      </c>
      <c r="AB853" s="102">
        <v>0</v>
      </c>
      <c r="AC853" s="81">
        <f t="shared" si="42"/>
        <v>0</v>
      </c>
      <c r="AD853" s="82">
        <f t="shared" si="43"/>
        <v>0</v>
      </c>
      <c r="AE853" s="218">
        <v>-0.13674023637888566</v>
      </c>
      <c r="AF853">
        <v>2</v>
      </c>
      <c r="AH853" t="str">
        <f t="shared" si="41"/>
        <v>Gopalpur Bmc</v>
      </c>
      <c r="AJ853" s="72">
        <v>0</v>
      </c>
      <c r="AK853" s="72"/>
      <c r="AL853" s="72"/>
      <c r="AM853" s="72"/>
    </row>
    <row r="854" spans="1:39" x14ac:dyDescent="0.25">
      <c r="A854" s="37" t="s">
        <v>62</v>
      </c>
      <c r="B854" s="66" t="s">
        <v>1596</v>
      </c>
      <c r="C854" s="41">
        <v>1059</v>
      </c>
      <c r="D854" s="41" t="s">
        <v>1299</v>
      </c>
      <c r="E854" s="41">
        <v>10590002</v>
      </c>
      <c r="F854" s="85" t="s">
        <v>1294</v>
      </c>
      <c r="G854" s="39" t="s">
        <v>92</v>
      </c>
      <c r="H854" s="52" t="s">
        <v>93</v>
      </c>
      <c r="I854" s="52">
        <v>122.69999999999999</v>
      </c>
      <c r="J854" s="49">
        <v>7541.52</v>
      </c>
      <c r="K854" s="58">
        <v>118.27</v>
      </c>
      <c r="L854" s="58">
        <v>7304.34</v>
      </c>
      <c r="M854" s="58">
        <v>0</v>
      </c>
      <c r="N854" s="58">
        <v>0</v>
      </c>
      <c r="O854" s="65">
        <v>118.27</v>
      </c>
      <c r="P854" s="65">
        <v>7304.34</v>
      </c>
      <c r="Q854" s="50">
        <v>7304.34</v>
      </c>
      <c r="R854" s="65">
        <v>0</v>
      </c>
      <c r="S854" s="65">
        <v>0</v>
      </c>
      <c r="T854" s="65">
        <v>0</v>
      </c>
      <c r="U854" s="65">
        <v>0</v>
      </c>
      <c r="V854" s="65">
        <v>500</v>
      </c>
      <c r="W854" s="65">
        <v>0</v>
      </c>
      <c r="X854" s="65">
        <v>6804</v>
      </c>
      <c r="Y854" s="65">
        <v>0</v>
      </c>
      <c r="Z854" s="65">
        <v>0</v>
      </c>
      <c r="AA854" s="51">
        <v>238</v>
      </c>
      <c r="AB854" s="102">
        <v>0</v>
      </c>
      <c r="AC854" s="81">
        <f t="shared" si="42"/>
        <v>709.65272958435219</v>
      </c>
      <c r="AD854" s="82">
        <f t="shared" si="43"/>
        <v>17.528571428571428</v>
      </c>
      <c r="AE854" s="218">
        <v>3.1449893390191934E-2</v>
      </c>
      <c r="AF854">
        <v>1</v>
      </c>
      <c r="AH854" t="str">
        <f t="shared" si="41"/>
        <v>Gopalpur Bmc</v>
      </c>
      <c r="AJ854" s="72">
        <v>500</v>
      </c>
      <c r="AK854" s="72"/>
      <c r="AL854" s="72"/>
      <c r="AM854" s="72"/>
    </row>
    <row r="855" spans="1:39" x14ac:dyDescent="0.25">
      <c r="A855" s="37" t="s">
        <v>62</v>
      </c>
      <c r="B855" s="66" t="s">
        <v>1596</v>
      </c>
      <c r="C855" s="41">
        <v>1059</v>
      </c>
      <c r="D855" s="41" t="s">
        <v>1299</v>
      </c>
      <c r="E855" s="41">
        <v>10590004</v>
      </c>
      <c r="F855" s="85" t="s">
        <v>1295</v>
      </c>
      <c r="G855" s="39" t="s">
        <v>92</v>
      </c>
      <c r="H855" s="52" t="s">
        <v>93</v>
      </c>
      <c r="I855" s="52">
        <v>910.70000000000016</v>
      </c>
      <c r="J855" s="49">
        <v>36079.680000000008</v>
      </c>
      <c r="K855" s="58">
        <v>910.19999999999993</v>
      </c>
      <c r="L855" s="58">
        <v>36059.519999999997</v>
      </c>
      <c r="M855" s="58">
        <v>0</v>
      </c>
      <c r="N855" s="58">
        <v>0</v>
      </c>
      <c r="O855" s="65">
        <v>910.19999999999993</v>
      </c>
      <c r="P855" s="65">
        <v>36059.519999999997</v>
      </c>
      <c r="Q855" s="50">
        <v>36059.519999999997</v>
      </c>
      <c r="R855" s="65">
        <v>0</v>
      </c>
      <c r="S855" s="65">
        <v>0</v>
      </c>
      <c r="T855" s="65">
        <v>0</v>
      </c>
      <c r="U855" s="65">
        <v>0</v>
      </c>
      <c r="V855" s="65">
        <v>0</v>
      </c>
      <c r="W855" s="65">
        <v>0</v>
      </c>
      <c r="X855" s="65">
        <v>36060</v>
      </c>
      <c r="Y855" s="65">
        <v>0</v>
      </c>
      <c r="Z855" s="65">
        <v>0</v>
      </c>
      <c r="AA855" s="51">
        <v>20</v>
      </c>
      <c r="AB855" s="102">
        <v>0</v>
      </c>
      <c r="AC855" s="81">
        <f t="shared" si="42"/>
        <v>0</v>
      </c>
      <c r="AD855" s="82">
        <f t="shared" si="43"/>
        <v>0</v>
      </c>
      <c r="AE855" s="218">
        <v>5.5876327062797575E-4</v>
      </c>
      <c r="AF855">
        <v>1</v>
      </c>
      <c r="AH855" t="str">
        <f t="shared" si="41"/>
        <v>Gopalpur Bmc</v>
      </c>
      <c r="AJ855" s="72">
        <v>0</v>
      </c>
      <c r="AK855" s="72"/>
      <c r="AL855" s="72"/>
      <c r="AM855" s="72"/>
    </row>
    <row r="856" spans="1:39" x14ac:dyDescent="0.25">
      <c r="A856" s="37" t="s">
        <v>62</v>
      </c>
      <c r="B856" s="66" t="s">
        <v>1596</v>
      </c>
      <c r="C856" s="41">
        <v>1059</v>
      </c>
      <c r="D856" s="41" t="s">
        <v>1299</v>
      </c>
      <c r="E856" s="41">
        <v>10590006</v>
      </c>
      <c r="F856" s="85" t="s">
        <v>1310</v>
      </c>
      <c r="G856" s="39" t="s">
        <v>92</v>
      </c>
      <c r="H856" s="52" t="s">
        <v>93</v>
      </c>
      <c r="I856" s="52">
        <v>1109.1999999999998</v>
      </c>
      <c r="J856" s="49">
        <v>51933.830000000009</v>
      </c>
      <c r="K856" s="58">
        <v>1190.6000000000001</v>
      </c>
      <c r="L856" s="58">
        <v>54324.6</v>
      </c>
      <c r="M856" s="58">
        <v>0</v>
      </c>
      <c r="N856" s="58">
        <v>0</v>
      </c>
      <c r="O856" s="65">
        <v>1190.6000000000001</v>
      </c>
      <c r="P856" s="65">
        <v>54324.6</v>
      </c>
      <c r="Q856" s="50">
        <v>51933.830000000009</v>
      </c>
      <c r="R856" s="65">
        <v>0</v>
      </c>
      <c r="S856" s="65">
        <v>0</v>
      </c>
      <c r="T856" s="65">
        <v>2390.7699999999895</v>
      </c>
      <c r="U856" s="65">
        <v>0</v>
      </c>
      <c r="V856" s="65">
        <v>0</v>
      </c>
      <c r="W856" s="65">
        <v>0</v>
      </c>
      <c r="X856" s="65">
        <v>51934</v>
      </c>
      <c r="Y856" s="65">
        <v>0</v>
      </c>
      <c r="Z856" s="65">
        <v>0</v>
      </c>
      <c r="AA856" s="51">
        <v>0</v>
      </c>
      <c r="AB856" s="102">
        <v>0</v>
      </c>
      <c r="AC856" s="81">
        <f t="shared" si="42"/>
        <v>0</v>
      </c>
      <c r="AD856" s="82">
        <f t="shared" si="43"/>
        <v>0</v>
      </c>
      <c r="AE856" s="218">
        <v>-4.6034925596667706E-2</v>
      </c>
      <c r="AF856">
        <v>13</v>
      </c>
      <c r="AH856" t="str">
        <f t="shared" si="41"/>
        <v>Gopalpur Bmc</v>
      </c>
      <c r="AJ856" s="72">
        <v>0</v>
      </c>
      <c r="AK856" s="72"/>
      <c r="AL856" s="72"/>
      <c r="AM856" s="72"/>
    </row>
    <row r="857" spans="1:39" x14ac:dyDescent="0.25">
      <c r="A857" s="37" t="s">
        <v>62</v>
      </c>
      <c r="B857" s="66" t="s">
        <v>1596</v>
      </c>
      <c r="C857" s="41">
        <v>1059</v>
      </c>
      <c r="D857" s="41" t="s">
        <v>1299</v>
      </c>
      <c r="E857" s="41">
        <v>10590008</v>
      </c>
      <c r="F857" s="85" t="s">
        <v>1369</v>
      </c>
      <c r="G857" s="39" t="s">
        <v>92</v>
      </c>
      <c r="H857" s="52" t="s">
        <v>93</v>
      </c>
      <c r="I857" s="52">
        <v>316.59999999999997</v>
      </c>
      <c r="J857" s="49">
        <v>16121.649999999998</v>
      </c>
      <c r="K857" s="58">
        <v>323.2</v>
      </c>
      <c r="L857" s="58">
        <v>16115.87</v>
      </c>
      <c r="M857" s="58">
        <v>0</v>
      </c>
      <c r="N857" s="58">
        <v>0</v>
      </c>
      <c r="O857" s="65">
        <v>323.2</v>
      </c>
      <c r="P857" s="65">
        <v>16115.87</v>
      </c>
      <c r="Q857" s="50">
        <v>16115.87</v>
      </c>
      <c r="R857" s="65">
        <v>0</v>
      </c>
      <c r="S857" s="65">
        <v>0</v>
      </c>
      <c r="T857" s="65">
        <v>0</v>
      </c>
      <c r="U857" s="65">
        <v>0</v>
      </c>
      <c r="V857" s="65">
        <v>0</v>
      </c>
      <c r="W857" s="65">
        <v>0</v>
      </c>
      <c r="X857" s="65">
        <v>16116</v>
      </c>
      <c r="Y857" s="65">
        <v>0</v>
      </c>
      <c r="Z857" s="65">
        <v>0</v>
      </c>
      <c r="AA857" s="51">
        <v>6</v>
      </c>
      <c r="AB857" s="102">
        <v>0</v>
      </c>
      <c r="AC857" s="81">
        <f t="shared" si="42"/>
        <v>390.46371509791544</v>
      </c>
      <c r="AD857" s="82">
        <f t="shared" si="43"/>
        <v>45.228571428571421</v>
      </c>
      <c r="AE857" s="218">
        <v>3.5852409647877341E-4</v>
      </c>
      <c r="AF857">
        <v>1</v>
      </c>
      <c r="AH857" t="str">
        <f t="shared" si="41"/>
        <v>Gopalpur Bmc</v>
      </c>
      <c r="AJ857" s="72">
        <v>0</v>
      </c>
      <c r="AK857" s="72"/>
      <c r="AL857" s="72"/>
      <c r="AM857" s="72"/>
    </row>
    <row r="858" spans="1:39" x14ac:dyDescent="0.25">
      <c r="A858" s="37" t="s">
        <v>62</v>
      </c>
      <c r="B858" s="66" t="s">
        <v>1596</v>
      </c>
      <c r="C858" s="41">
        <v>1059</v>
      </c>
      <c r="D858" s="41" t="s">
        <v>1299</v>
      </c>
      <c r="E858" s="41">
        <v>10590010</v>
      </c>
      <c r="F858" s="85" t="s">
        <v>1370</v>
      </c>
      <c r="G858" s="39" t="s">
        <v>92</v>
      </c>
      <c r="H858" s="52" t="s">
        <v>93</v>
      </c>
      <c r="I858" s="52">
        <v>1475.8999999999999</v>
      </c>
      <c r="J858" s="49">
        <v>78562.37000000001</v>
      </c>
      <c r="K858" s="58">
        <v>1475.9</v>
      </c>
      <c r="L858" s="58">
        <v>75261.5</v>
      </c>
      <c r="M858" s="58">
        <v>0</v>
      </c>
      <c r="N858" s="58">
        <v>0</v>
      </c>
      <c r="O858" s="65">
        <v>1475.9</v>
      </c>
      <c r="P858" s="65">
        <v>75261.5</v>
      </c>
      <c r="Q858" s="50">
        <v>75261.5</v>
      </c>
      <c r="R858" s="65">
        <v>0</v>
      </c>
      <c r="S858" s="65">
        <v>0</v>
      </c>
      <c r="T858" s="65">
        <v>0</v>
      </c>
      <c r="U858" s="65">
        <v>0</v>
      </c>
      <c r="V858" s="65">
        <v>0</v>
      </c>
      <c r="W858" s="65">
        <v>0</v>
      </c>
      <c r="X858" s="65">
        <v>75262</v>
      </c>
      <c r="Y858" s="65">
        <v>0</v>
      </c>
      <c r="Z858" s="65">
        <v>0</v>
      </c>
      <c r="AA858" s="51">
        <v>3300</v>
      </c>
      <c r="AB858" s="102">
        <v>0</v>
      </c>
      <c r="AC858" s="81">
        <f t="shared" si="42"/>
        <v>0</v>
      </c>
      <c r="AD858" s="82">
        <f t="shared" si="43"/>
        <v>0</v>
      </c>
      <c r="AE858" s="218">
        <v>4.2015916780514764E-2</v>
      </c>
      <c r="AF858">
        <v>4</v>
      </c>
      <c r="AH858" t="str">
        <f t="shared" si="41"/>
        <v>Gopalpur Bmc</v>
      </c>
      <c r="AJ858" s="72">
        <v>0</v>
      </c>
      <c r="AK858" s="72"/>
      <c r="AL858" s="72"/>
      <c r="AM858" s="72"/>
    </row>
    <row r="859" spans="1:39" x14ac:dyDescent="0.25">
      <c r="A859" s="37" t="s">
        <v>62</v>
      </c>
      <c r="B859" s="66" t="s">
        <v>1596</v>
      </c>
      <c r="C859" s="41">
        <v>1059</v>
      </c>
      <c r="D859" s="41" t="s">
        <v>1299</v>
      </c>
      <c r="E859" s="41">
        <v>10590011</v>
      </c>
      <c r="F859" s="85" t="s">
        <v>1371</v>
      </c>
      <c r="G859" s="39" t="s">
        <v>92</v>
      </c>
      <c r="H859" s="52" t="s">
        <v>93</v>
      </c>
      <c r="I859" s="106">
        <v>647</v>
      </c>
      <c r="J859" s="49">
        <v>27827.160000000003</v>
      </c>
      <c r="K859" s="58">
        <v>536.73</v>
      </c>
      <c r="L859" s="58">
        <v>22798.390000000003</v>
      </c>
      <c r="M859" s="58">
        <v>0</v>
      </c>
      <c r="N859" s="58">
        <v>0</v>
      </c>
      <c r="O859" s="107">
        <v>536.73</v>
      </c>
      <c r="P859" s="107">
        <v>22798.390000000003</v>
      </c>
      <c r="Q859" s="108">
        <v>22798.390000000003</v>
      </c>
      <c r="R859" s="65">
        <v>0</v>
      </c>
      <c r="S859" s="65">
        <v>0</v>
      </c>
      <c r="T859" s="107">
        <v>0</v>
      </c>
      <c r="U859" s="65">
        <v>0</v>
      </c>
      <c r="V859" s="65">
        <v>0</v>
      </c>
      <c r="W859" s="65">
        <v>0</v>
      </c>
      <c r="X859" s="65">
        <v>22799</v>
      </c>
      <c r="Y859" s="65">
        <v>0</v>
      </c>
      <c r="Z859" s="65">
        <v>0</v>
      </c>
      <c r="AA859" s="51">
        <v>5028</v>
      </c>
      <c r="AB859" s="102">
        <v>0</v>
      </c>
      <c r="AC859" s="81">
        <f t="shared" si="42"/>
        <v>45.590092117465211</v>
      </c>
      <c r="AD859" s="82">
        <f t="shared" si="43"/>
        <v>92.428571428571431</v>
      </c>
      <c r="AE859" s="218">
        <v>0.18071445307390333</v>
      </c>
      <c r="AF859">
        <v>6</v>
      </c>
      <c r="AH859" t="str">
        <f t="shared" si="41"/>
        <v>Gopalpur Bmc</v>
      </c>
      <c r="AJ859" s="72">
        <v>0</v>
      </c>
      <c r="AK859" s="72"/>
      <c r="AL859" s="72"/>
      <c r="AM859" s="72"/>
    </row>
    <row r="860" spans="1:39" x14ac:dyDescent="0.25">
      <c r="A860" s="37" t="s">
        <v>62</v>
      </c>
      <c r="B860" s="66" t="s">
        <v>1596</v>
      </c>
      <c r="C860" s="41">
        <v>1059</v>
      </c>
      <c r="D860" s="41" t="s">
        <v>1299</v>
      </c>
      <c r="E860" s="41">
        <v>10590012</v>
      </c>
      <c r="F860" s="85" t="s">
        <v>1372</v>
      </c>
      <c r="G860" s="39" t="s">
        <v>92</v>
      </c>
      <c r="H860" s="52" t="s">
        <v>93</v>
      </c>
      <c r="I860" s="52">
        <v>1071.2</v>
      </c>
      <c r="J860" s="49">
        <v>47872.03</v>
      </c>
      <c r="K860" s="58">
        <v>1071.1999999999998</v>
      </c>
      <c r="L860" s="58">
        <v>47872.029999999984</v>
      </c>
      <c r="M860" s="58">
        <v>0</v>
      </c>
      <c r="N860" s="58">
        <v>0</v>
      </c>
      <c r="O860" s="65">
        <v>1071.1999999999998</v>
      </c>
      <c r="P860" s="65">
        <v>47872.029999999984</v>
      </c>
      <c r="Q860" s="50">
        <v>47872.029999999984</v>
      </c>
      <c r="R860" s="65">
        <v>0</v>
      </c>
      <c r="S860" s="65">
        <v>0</v>
      </c>
      <c r="T860" s="65">
        <v>0</v>
      </c>
      <c r="U860" s="65">
        <v>0</v>
      </c>
      <c r="V860" s="65">
        <v>0</v>
      </c>
      <c r="W860" s="65">
        <v>0</v>
      </c>
      <c r="X860" s="65">
        <v>47872</v>
      </c>
      <c r="Y860" s="65">
        <v>0</v>
      </c>
      <c r="Z860" s="65">
        <v>0</v>
      </c>
      <c r="AA860" s="51">
        <v>0</v>
      </c>
      <c r="AB860" s="102">
        <v>0</v>
      </c>
      <c r="AC860" s="81">
        <f t="shared" si="42"/>
        <v>0</v>
      </c>
      <c r="AD860" s="82">
        <f t="shared" si="43"/>
        <v>0</v>
      </c>
      <c r="AE860" s="218">
        <v>3.0397531143690483E-16</v>
      </c>
      <c r="AF860">
        <v>1</v>
      </c>
      <c r="AH860" t="str">
        <f t="shared" si="41"/>
        <v>Gopalpur Bmc</v>
      </c>
      <c r="AJ860" s="72">
        <v>0</v>
      </c>
      <c r="AK860" s="72"/>
      <c r="AL860" s="72"/>
      <c r="AM860" s="72"/>
    </row>
    <row r="861" spans="1:39" x14ac:dyDescent="0.25">
      <c r="A861" s="37" t="s">
        <v>62</v>
      </c>
      <c r="B861" s="66" t="s">
        <v>1596</v>
      </c>
      <c r="C861" s="41">
        <v>1059</v>
      </c>
      <c r="D861" s="41" t="s">
        <v>1299</v>
      </c>
      <c r="E861" s="41">
        <v>10590013</v>
      </c>
      <c r="F861" s="85" t="s">
        <v>1347</v>
      </c>
      <c r="G861" s="39" t="s">
        <v>92</v>
      </c>
      <c r="H861" s="52" t="s">
        <v>93</v>
      </c>
      <c r="I861" s="52">
        <v>810.30000000000018</v>
      </c>
      <c r="J861" s="49">
        <v>37021.589999999989</v>
      </c>
      <c r="K861" s="58">
        <v>810.3</v>
      </c>
      <c r="L861" s="58">
        <v>36048.520000000004</v>
      </c>
      <c r="M861" s="58">
        <v>0</v>
      </c>
      <c r="N861" s="58">
        <v>0</v>
      </c>
      <c r="O861" s="65">
        <v>810.3</v>
      </c>
      <c r="P861" s="65">
        <v>36048.520000000004</v>
      </c>
      <c r="Q861" s="50">
        <v>36048.520000000004</v>
      </c>
      <c r="R861" s="65">
        <v>0</v>
      </c>
      <c r="S861" s="65">
        <v>0</v>
      </c>
      <c r="T861" s="65">
        <v>0</v>
      </c>
      <c r="U861" s="65">
        <v>0</v>
      </c>
      <c r="V861" s="65">
        <v>0</v>
      </c>
      <c r="W861" s="65">
        <v>0</v>
      </c>
      <c r="X861" s="65">
        <v>36049</v>
      </c>
      <c r="Y861" s="65">
        <v>0</v>
      </c>
      <c r="Z861" s="65">
        <v>0</v>
      </c>
      <c r="AA861" s="51">
        <v>973</v>
      </c>
      <c r="AB861" s="102">
        <v>0</v>
      </c>
      <c r="AC861" s="81">
        <f t="shared" si="42"/>
        <v>0</v>
      </c>
      <c r="AD861" s="82">
        <f t="shared" si="43"/>
        <v>0</v>
      </c>
      <c r="AE861" s="218">
        <v>2.6283852206239262E-2</v>
      </c>
      <c r="AF861">
        <v>1</v>
      </c>
      <c r="AH861" t="str">
        <f t="shared" si="41"/>
        <v>Gopalpur Bmc</v>
      </c>
      <c r="AJ861" s="72">
        <v>0</v>
      </c>
      <c r="AK861" s="72"/>
      <c r="AL861" s="72"/>
      <c r="AM861" s="72"/>
    </row>
    <row r="862" spans="1:39" x14ac:dyDescent="0.25">
      <c r="A862" s="37" t="s">
        <v>62</v>
      </c>
      <c r="B862" s="66" t="s">
        <v>1596</v>
      </c>
      <c r="C862" s="41">
        <v>1059</v>
      </c>
      <c r="D862" s="41" t="s">
        <v>1299</v>
      </c>
      <c r="E862" s="41">
        <v>10590014</v>
      </c>
      <c r="F862" s="85" t="s">
        <v>1443</v>
      </c>
      <c r="G862" s="39" t="s">
        <v>92</v>
      </c>
      <c r="H862" s="52" t="s">
        <v>93</v>
      </c>
      <c r="I862" s="52">
        <v>665.4</v>
      </c>
      <c r="J862" s="49">
        <v>32623.17</v>
      </c>
      <c r="K862" s="58">
        <v>731.40000000000009</v>
      </c>
      <c r="L862" s="58">
        <v>34952.539999999994</v>
      </c>
      <c r="M862" s="58">
        <v>0</v>
      </c>
      <c r="N862" s="58">
        <v>0</v>
      </c>
      <c r="O862" s="65">
        <v>731.40000000000009</v>
      </c>
      <c r="P862" s="65">
        <v>34952.539999999994</v>
      </c>
      <c r="Q862" s="50">
        <v>32623.17</v>
      </c>
      <c r="R862" s="65">
        <v>0</v>
      </c>
      <c r="S862" s="65">
        <v>0</v>
      </c>
      <c r="T862" s="65">
        <v>2329.3699999999953</v>
      </c>
      <c r="U862" s="65">
        <v>0</v>
      </c>
      <c r="V862" s="65">
        <v>0</v>
      </c>
      <c r="W862" s="65">
        <v>0</v>
      </c>
      <c r="X862" s="65">
        <v>32623</v>
      </c>
      <c r="Y862" s="65">
        <v>0</v>
      </c>
      <c r="Z862" s="65">
        <v>0</v>
      </c>
      <c r="AA862" s="51">
        <v>0</v>
      </c>
      <c r="AB862" s="102">
        <v>0</v>
      </c>
      <c r="AC862" s="81">
        <f t="shared" si="42"/>
        <v>33.927312353471642</v>
      </c>
      <c r="AD862" s="82">
        <f t="shared" si="43"/>
        <v>95.05714285714285</v>
      </c>
      <c r="AE862" s="218">
        <v>-7.1402319271854808E-2</v>
      </c>
      <c r="AF862">
        <v>1</v>
      </c>
      <c r="AH862" t="str">
        <f t="shared" si="41"/>
        <v>Gopalpur Bmc</v>
      </c>
      <c r="AJ862" s="72">
        <v>0</v>
      </c>
      <c r="AK862" s="72"/>
      <c r="AL862" s="72"/>
      <c r="AM862" s="72"/>
    </row>
    <row r="863" spans="1:39" x14ac:dyDescent="0.25">
      <c r="A863" s="37" t="s">
        <v>62</v>
      </c>
      <c r="B863" s="66" t="s">
        <v>1596</v>
      </c>
      <c r="C863" s="41">
        <v>1059</v>
      </c>
      <c r="D863" s="41" t="s">
        <v>1299</v>
      </c>
      <c r="E863" s="41">
        <v>10590016</v>
      </c>
      <c r="F863" s="85" t="s">
        <v>1470</v>
      </c>
      <c r="G863" s="39" t="s">
        <v>617</v>
      </c>
      <c r="H863" s="52" t="s">
        <v>98</v>
      </c>
      <c r="I863" s="106">
        <v>429.40000000000003</v>
      </c>
      <c r="J863" s="49">
        <v>20693.329999999998</v>
      </c>
      <c r="K863" s="58">
        <v>0</v>
      </c>
      <c r="L863" s="58">
        <v>0</v>
      </c>
      <c r="M863" s="58">
        <v>0</v>
      </c>
      <c r="N863" s="58">
        <v>0</v>
      </c>
      <c r="O863" s="107">
        <v>0</v>
      </c>
      <c r="P863" s="107">
        <v>0</v>
      </c>
      <c r="Q863" s="108">
        <v>20693.329999999998</v>
      </c>
      <c r="R863" s="65">
        <v>0</v>
      </c>
      <c r="S863" s="65">
        <v>0</v>
      </c>
      <c r="T863" s="107">
        <v>0</v>
      </c>
      <c r="U863" s="65">
        <v>0</v>
      </c>
      <c r="V863" s="65">
        <v>0</v>
      </c>
      <c r="W863" s="65">
        <v>0</v>
      </c>
      <c r="X863" s="65">
        <v>0</v>
      </c>
      <c r="Y863" s="65">
        <v>0</v>
      </c>
      <c r="Z863" s="65">
        <v>20693.329999999998</v>
      </c>
      <c r="AA863" s="51">
        <v>0</v>
      </c>
      <c r="AB863" s="102">
        <v>0</v>
      </c>
      <c r="AC863" s="81">
        <f t="shared" si="42"/>
        <v>260.81113637633899</v>
      </c>
      <c r="AD863" s="82">
        <f t="shared" si="43"/>
        <v>61.342857142857149</v>
      </c>
      <c r="AE863" s="218">
        <v>0</v>
      </c>
      <c r="AF863">
        <v>0</v>
      </c>
      <c r="AH863" t="str">
        <f t="shared" si="41"/>
        <v>Gopalpur Bmc</v>
      </c>
      <c r="AJ863" s="72">
        <v>0</v>
      </c>
      <c r="AK863" s="72"/>
      <c r="AL863" s="72"/>
      <c r="AM863" s="72"/>
    </row>
    <row r="864" spans="1:39" x14ac:dyDescent="0.25">
      <c r="A864" s="37" t="s">
        <v>62</v>
      </c>
      <c r="B864" s="66" t="s">
        <v>1596</v>
      </c>
      <c r="C864" s="41">
        <v>1014</v>
      </c>
      <c r="D864" s="41" t="s">
        <v>368</v>
      </c>
      <c r="E864" s="41">
        <v>10600002</v>
      </c>
      <c r="F864" s="85" t="s">
        <v>1323</v>
      </c>
      <c r="G864" s="39" t="s">
        <v>92</v>
      </c>
      <c r="H864" s="52" t="s">
        <v>93</v>
      </c>
      <c r="I864" s="52">
        <v>613.93000000000006</v>
      </c>
      <c r="J864" s="49">
        <v>23155.140000000003</v>
      </c>
      <c r="K864" s="58">
        <v>578.59</v>
      </c>
      <c r="L864" s="58">
        <v>23140.660000000003</v>
      </c>
      <c r="M864" s="58">
        <v>0</v>
      </c>
      <c r="N864" s="58">
        <v>0</v>
      </c>
      <c r="O864" s="65">
        <v>578.59</v>
      </c>
      <c r="P864" s="65">
        <v>23140.660000000003</v>
      </c>
      <c r="Q864" s="50">
        <v>23140.660000000003</v>
      </c>
      <c r="R864" s="65">
        <v>0</v>
      </c>
      <c r="S864" s="65">
        <v>0</v>
      </c>
      <c r="T864" s="65">
        <v>0</v>
      </c>
      <c r="U864" s="65">
        <v>0</v>
      </c>
      <c r="V864" s="65">
        <v>0</v>
      </c>
      <c r="W864" s="65">
        <v>0</v>
      </c>
      <c r="X864" s="65">
        <v>23141</v>
      </c>
      <c r="Y864" s="65">
        <v>0</v>
      </c>
      <c r="Z864" s="65">
        <v>0</v>
      </c>
      <c r="AA864" s="51">
        <v>14</v>
      </c>
      <c r="AB864" s="102">
        <v>0</v>
      </c>
      <c r="AC864" s="81">
        <f t="shared" si="42"/>
        <v>64.924760145293419</v>
      </c>
      <c r="AD864" s="82">
        <f t="shared" si="43"/>
        <v>87.704285714285717</v>
      </c>
      <c r="AE864" s="218">
        <v>6.2534711515454286E-4</v>
      </c>
      <c r="AF864">
        <v>1</v>
      </c>
      <c r="AH864" t="str">
        <f t="shared" si="41"/>
        <v>Dumraon</v>
      </c>
      <c r="AJ864" s="72">
        <v>0</v>
      </c>
      <c r="AK864" s="72"/>
      <c r="AL864" s="72"/>
      <c r="AM864" s="72"/>
    </row>
    <row r="865" spans="1:39" x14ac:dyDescent="0.25">
      <c r="A865" s="37" t="s">
        <v>62</v>
      </c>
      <c r="B865" s="66" t="s">
        <v>1596</v>
      </c>
      <c r="C865" s="41">
        <v>1014</v>
      </c>
      <c r="D865" s="41" t="s">
        <v>368</v>
      </c>
      <c r="E865" s="41">
        <v>10600004</v>
      </c>
      <c r="F865" s="85" t="s">
        <v>1324</v>
      </c>
      <c r="G865" s="39" t="s">
        <v>92</v>
      </c>
      <c r="H865" s="52" t="s">
        <v>93</v>
      </c>
      <c r="I865" s="52">
        <v>179.20000000000002</v>
      </c>
      <c r="J865" s="49">
        <v>7249.89</v>
      </c>
      <c r="K865" s="58">
        <v>188.43999999999997</v>
      </c>
      <c r="L865" s="58">
        <v>8589.93</v>
      </c>
      <c r="M865" s="58">
        <v>0</v>
      </c>
      <c r="N865" s="58">
        <v>0</v>
      </c>
      <c r="O865" s="65">
        <v>188.43999999999997</v>
      </c>
      <c r="P865" s="65">
        <v>8589.93</v>
      </c>
      <c r="Q865" s="50">
        <v>7249.89</v>
      </c>
      <c r="R865" s="65">
        <v>0</v>
      </c>
      <c r="S865" s="65">
        <v>0</v>
      </c>
      <c r="T865" s="65">
        <v>1340.04</v>
      </c>
      <c r="U865" s="65">
        <v>0</v>
      </c>
      <c r="V865" s="65">
        <v>0</v>
      </c>
      <c r="W865" s="65">
        <v>0</v>
      </c>
      <c r="X865" s="65">
        <v>7250</v>
      </c>
      <c r="Y865" s="65">
        <v>0</v>
      </c>
      <c r="Z865" s="65">
        <v>0</v>
      </c>
      <c r="AA865" s="51">
        <v>0</v>
      </c>
      <c r="AB865" s="102" t="s">
        <v>1366</v>
      </c>
      <c r="AC865" s="81">
        <f t="shared" si="42"/>
        <v>421.39985625000008</v>
      </c>
      <c r="AD865" s="82">
        <f t="shared" si="43"/>
        <v>25.6</v>
      </c>
      <c r="AE865" s="218">
        <v>-0.18483590785515366</v>
      </c>
      <c r="AF865">
        <v>2</v>
      </c>
      <c r="AH865" t="str">
        <f t="shared" si="41"/>
        <v>Dumraon</v>
      </c>
      <c r="AJ865" s="72">
        <v>0</v>
      </c>
      <c r="AK865" s="72"/>
      <c r="AL865" s="72"/>
      <c r="AM865" s="72"/>
    </row>
    <row r="866" spans="1:39" x14ac:dyDescent="0.25">
      <c r="A866" s="37" t="s">
        <v>62</v>
      </c>
      <c r="B866" s="66" t="s">
        <v>1596</v>
      </c>
      <c r="C866" s="41">
        <v>1014</v>
      </c>
      <c r="D866" s="41" t="s">
        <v>368</v>
      </c>
      <c r="E866" s="41">
        <v>10600005</v>
      </c>
      <c r="F866" s="85" t="s">
        <v>1335</v>
      </c>
      <c r="G866" s="39" t="s">
        <v>92</v>
      </c>
      <c r="H866" s="52" t="s">
        <v>93</v>
      </c>
      <c r="I866" s="106">
        <v>140.5</v>
      </c>
      <c r="J866" s="49">
        <v>5432.72</v>
      </c>
      <c r="K866" s="58">
        <v>142.56</v>
      </c>
      <c r="L866" s="58">
        <v>5338.6099999999988</v>
      </c>
      <c r="M866" s="58">
        <v>2.2600000000000002</v>
      </c>
      <c r="N866" s="58">
        <v>79.77</v>
      </c>
      <c r="O866" s="107">
        <v>144.82</v>
      </c>
      <c r="P866" s="107">
        <v>5418.3799999999992</v>
      </c>
      <c r="Q866" s="108">
        <v>5418.3799999999992</v>
      </c>
      <c r="R866" s="65">
        <v>0</v>
      </c>
      <c r="S866" s="65">
        <v>79.77</v>
      </c>
      <c r="T866" s="107">
        <v>0</v>
      </c>
      <c r="U866" s="65">
        <v>0</v>
      </c>
      <c r="V866" s="65">
        <v>0</v>
      </c>
      <c r="W866" s="65">
        <v>0</v>
      </c>
      <c r="X866" s="65">
        <v>5339</v>
      </c>
      <c r="Y866" s="65">
        <v>0</v>
      </c>
      <c r="Z866" s="65">
        <v>0</v>
      </c>
      <c r="AA866" s="51">
        <v>14</v>
      </c>
      <c r="AB866" s="102">
        <v>0</v>
      </c>
      <c r="AC866" s="81">
        <f t="shared" si="42"/>
        <v>432.68424768683275</v>
      </c>
      <c r="AD866" s="82">
        <f t="shared" si="43"/>
        <v>20.071428571428573</v>
      </c>
      <c r="AE866" s="218">
        <v>2.6395617664818093E-3</v>
      </c>
      <c r="AF866">
        <v>2</v>
      </c>
      <c r="AH866" t="str">
        <f t="shared" si="41"/>
        <v>Dumraon</v>
      </c>
      <c r="AJ866" s="72">
        <v>0</v>
      </c>
      <c r="AK866" s="72"/>
      <c r="AL866" s="72"/>
      <c r="AM866" s="72"/>
    </row>
    <row r="867" spans="1:39" x14ac:dyDescent="0.25">
      <c r="A867" s="37" t="s">
        <v>62</v>
      </c>
      <c r="B867" s="66" t="s">
        <v>1596</v>
      </c>
      <c r="C867" s="41">
        <v>1014</v>
      </c>
      <c r="D867" s="41" t="s">
        <v>368</v>
      </c>
      <c r="E867" s="41">
        <v>10600006</v>
      </c>
      <c r="F867" s="85" t="s">
        <v>1325</v>
      </c>
      <c r="G867" s="39" t="s">
        <v>92</v>
      </c>
      <c r="H867" s="52" t="s">
        <v>93</v>
      </c>
      <c r="I867" s="52">
        <v>136.6</v>
      </c>
      <c r="J867" s="49">
        <v>5845.3499999999995</v>
      </c>
      <c r="K867" s="58">
        <v>143.52000000000004</v>
      </c>
      <c r="L867" s="58">
        <v>5849.9500000000007</v>
      </c>
      <c r="M867" s="58">
        <v>0</v>
      </c>
      <c r="N867" s="58">
        <v>0</v>
      </c>
      <c r="O867" s="65">
        <v>143.52000000000004</v>
      </c>
      <c r="P867" s="65">
        <v>5849.9500000000007</v>
      </c>
      <c r="Q867" s="50">
        <v>5845.3499999999995</v>
      </c>
      <c r="R867" s="65">
        <v>0</v>
      </c>
      <c r="S867" s="65">
        <v>0</v>
      </c>
      <c r="T867" s="65">
        <v>4.6000000000012733</v>
      </c>
      <c r="U867" s="65">
        <v>0</v>
      </c>
      <c r="V867" s="65">
        <v>0</v>
      </c>
      <c r="W867" s="65">
        <v>0</v>
      </c>
      <c r="X867" s="65">
        <v>5845</v>
      </c>
      <c r="Y867" s="65">
        <v>0</v>
      </c>
      <c r="Z867" s="65">
        <v>0</v>
      </c>
      <c r="AA867" s="51">
        <v>0</v>
      </c>
      <c r="AB867" s="102">
        <v>0</v>
      </c>
      <c r="AC867" s="81">
        <f t="shared" si="42"/>
        <v>482.17718740849205</v>
      </c>
      <c r="AD867" s="82">
        <f t="shared" si="43"/>
        <v>19.514285714285712</v>
      </c>
      <c r="AE867" s="218">
        <v>-7.8695031093112885E-4</v>
      </c>
      <c r="AF867">
        <v>1</v>
      </c>
      <c r="AH867" t="str">
        <f t="shared" si="41"/>
        <v>Dumraon</v>
      </c>
      <c r="AJ867" s="72">
        <v>0</v>
      </c>
      <c r="AK867" s="72"/>
      <c r="AL867" s="72"/>
      <c r="AM867" s="72"/>
    </row>
    <row r="868" spans="1:39" x14ac:dyDescent="0.25">
      <c r="A868" s="37" t="s">
        <v>62</v>
      </c>
      <c r="B868" s="66" t="s">
        <v>1596</v>
      </c>
      <c r="C868" s="41">
        <v>1014</v>
      </c>
      <c r="D868" s="41" t="s">
        <v>368</v>
      </c>
      <c r="E868" s="41">
        <v>10600008</v>
      </c>
      <c r="F868" s="85" t="s">
        <v>1326</v>
      </c>
      <c r="G868" s="39" t="s">
        <v>92</v>
      </c>
      <c r="H868" s="52" t="s">
        <v>93</v>
      </c>
      <c r="I868" s="52">
        <v>85.300000000000011</v>
      </c>
      <c r="J868" s="49">
        <v>2999.4200000000005</v>
      </c>
      <c r="K868" s="58">
        <v>85</v>
      </c>
      <c r="L868" s="58">
        <v>2989.45</v>
      </c>
      <c r="M868" s="58">
        <v>0</v>
      </c>
      <c r="N868" s="58">
        <v>0</v>
      </c>
      <c r="O868" s="65">
        <v>85</v>
      </c>
      <c r="P868" s="65">
        <v>2989.45</v>
      </c>
      <c r="Q868" s="50">
        <v>2989.45</v>
      </c>
      <c r="R868" s="65">
        <v>0</v>
      </c>
      <c r="S868" s="65">
        <v>0</v>
      </c>
      <c r="T868" s="65">
        <v>0</v>
      </c>
      <c r="U868" s="65">
        <v>0</v>
      </c>
      <c r="V868" s="65">
        <v>500</v>
      </c>
      <c r="W868" s="65">
        <v>0</v>
      </c>
      <c r="X868" s="65">
        <v>2489</v>
      </c>
      <c r="Y868" s="65">
        <v>0</v>
      </c>
      <c r="Z868" s="65">
        <v>0</v>
      </c>
      <c r="AA868" s="51">
        <v>10</v>
      </c>
      <c r="AB868" s="102">
        <v>0</v>
      </c>
      <c r="AC868" s="81">
        <f t="shared" si="42"/>
        <v>432.29624243845262</v>
      </c>
      <c r="AD868" s="82">
        <f t="shared" si="43"/>
        <v>12.185714285714287</v>
      </c>
      <c r="AE868" s="218">
        <v>3.3239759686875155E-3</v>
      </c>
      <c r="AF868">
        <v>1</v>
      </c>
      <c r="AH868" t="str">
        <f t="shared" si="41"/>
        <v>Dumraon</v>
      </c>
      <c r="AJ868" s="72">
        <v>500</v>
      </c>
      <c r="AK868" s="72"/>
      <c r="AL868" s="72"/>
      <c r="AM868" s="72"/>
    </row>
    <row r="869" spans="1:39" x14ac:dyDescent="0.25">
      <c r="A869" s="37" t="s">
        <v>62</v>
      </c>
      <c r="B869" s="66" t="s">
        <v>1596</v>
      </c>
      <c r="C869" s="41">
        <v>1014</v>
      </c>
      <c r="D869" s="41" t="s">
        <v>368</v>
      </c>
      <c r="E869" s="41">
        <v>10600009</v>
      </c>
      <c r="F869" s="85" t="s">
        <v>1327</v>
      </c>
      <c r="G869" s="39" t="s">
        <v>92</v>
      </c>
      <c r="H869" s="52" t="s">
        <v>93</v>
      </c>
      <c r="I869" s="52">
        <v>41.3</v>
      </c>
      <c r="J869" s="49">
        <v>1526.0399999999997</v>
      </c>
      <c r="K869" s="58">
        <v>43.58</v>
      </c>
      <c r="L869" s="58">
        <v>1748.71</v>
      </c>
      <c r="M869" s="58">
        <v>0</v>
      </c>
      <c r="N869" s="58">
        <v>0</v>
      </c>
      <c r="O869" s="65">
        <v>43.58</v>
      </c>
      <c r="P869" s="65">
        <v>1748.71</v>
      </c>
      <c r="Q869" s="50">
        <v>1526.0399999999997</v>
      </c>
      <c r="R869" s="65">
        <v>0</v>
      </c>
      <c r="S869" s="65">
        <v>0</v>
      </c>
      <c r="T869" s="65">
        <v>222.6700000000003</v>
      </c>
      <c r="U869" s="65">
        <v>0</v>
      </c>
      <c r="V869" s="65">
        <v>0</v>
      </c>
      <c r="W869" s="65">
        <v>0</v>
      </c>
      <c r="X869" s="65">
        <v>1526</v>
      </c>
      <c r="Y869" s="65">
        <v>0</v>
      </c>
      <c r="Z869" s="65">
        <v>0</v>
      </c>
      <c r="AA869" s="51">
        <v>0</v>
      </c>
      <c r="AB869" s="102">
        <v>0</v>
      </c>
      <c r="AC869" s="81">
        <f t="shared" si="42"/>
        <v>486.78089491525418</v>
      </c>
      <c r="AD869" s="82">
        <f t="shared" si="43"/>
        <v>5.8999999999999995</v>
      </c>
      <c r="AE869" s="218">
        <v>-0.14591360645854654</v>
      </c>
      <c r="AF869">
        <v>1</v>
      </c>
      <c r="AH869" t="str">
        <f t="shared" si="41"/>
        <v>Dumraon</v>
      </c>
      <c r="AJ869" s="72">
        <v>0</v>
      </c>
      <c r="AK869" s="72"/>
      <c r="AL869" s="72"/>
      <c r="AM869" s="72"/>
    </row>
    <row r="870" spans="1:39" x14ac:dyDescent="0.25">
      <c r="A870" s="37" t="s">
        <v>62</v>
      </c>
      <c r="B870" s="66" t="s">
        <v>1596</v>
      </c>
      <c r="C870" s="41">
        <v>1014</v>
      </c>
      <c r="D870" s="41" t="s">
        <v>368</v>
      </c>
      <c r="E870" s="41">
        <v>10600012</v>
      </c>
      <c r="F870" s="85" t="s">
        <v>1394</v>
      </c>
      <c r="G870" s="39" t="s">
        <v>92</v>
      </c>
      <c r="H870" s="52" t="s">
        <v>93</v>
      </c>
      <c r="I870" s="52">
        <v>358.20000000000005</v>
      </c>
      <c r="J870" s="49">
        <v>13814.290000000003</v>
      </c>
      <c r="K870" s="58">
        <v>404.01</v>
      </c>
      <c r="L870" s="58">
        <v>15083.18</v>
      </c>
      <c r="M870" s="58">
        <v>0</v>
      </c>
      <c r="N870" s="58">
        <v>0</v>
      </c>
      <c r="O870" s="65">
        <v>404.01</v>
      </c>
      <c r="P870" s="65">
        <v>15083.18</v>
      </c>
      <c r="Q870" s="50">
        <v>13814.290000000003</v>
      </c>
      <c r="R870" s="65">
        <v>0</v>
      </c>
      <c r="S870" s="65">
        <v>0</v>
      </c>
      <c r="T870" s="65">
        <v>1268.8899999999976</v>
      </c>
      <c r="U870" s="65">
        <v>0</v>
      </c>
      <c r="V870" s="65">
        <v>0</v>
      </c>
      <c r="W870" s="65">
        <v>0</v>
      </c>
      <c r="X870" s="65">
        <v>13814</v>
      </c>
      <c r="Y870" s="65">
        <v>0</v>
      </c>
      <c r="Z870" s="65">
        <v>0</v>
      </c>
      <c r="AA870" s="51">
        <v>0</v>
      </c>
      <c r="AB870" s="102">
        <v>0</v>
      </c>
      <c r="AC870" s="81">
        <f t="shared" si="42"/>
        <v>263.63619888330538</v>
      </c>
      <c r="AD870" s="82">
        <f t="shared" si="43"/>
        <v>51.171428571428578</v>
      </c>
      <c r="AE870" s="218">
        <v>-9.1853435826234814E-2</v>
      </c>
      <c r="AF870">
        <v>2</v>
      </c>
      <c r="AH870" t="str">
        <f t="shared" si="41"/>
        <v>Dumraon</v>
      </c>
      <c r="AJ870" s="72">
        <v>0</v>
      </c>
      <c r="AK870" s="72"/>
      <c r="AL870" s="72"/>
      <c r="AM870" s="72"/>
    </row>
    <row r="871" spans="1:39" x14ac:dyDescent="0.25">
      <c r="A871" s="37" t="s">
        <v>62</v>
      </c>
      <c r="B871" s="66" t="s">
        <v>1596</v>
      </c>
      <c r="C871" s="41">
        <v>1061</v>
      </c>
      <c r="D871" s="41" t="s">
        <v>1388</v>
      </c>
      <c r="E871" s="41">
        <v>10610001</v>
      </c>
      <c r="F871" s="85" t="s">
        <v>1395</v>
      </c>
      <c r="G871" s="39" t="s">
        <v>92</v>
      </c>
      <c r="H871" s="52" t="s">
        <v>93</v>
      </c>
      <c r="I871" s="52">
        <v>677.99999999999989</v>
      </c>
      <c r="J871" s="49">
        <v>30775.719999999994</v>
      </c>
      <c r="K871" s="58">
        <v>693.7</v>
      </c>
      <c r="L871" s="58">
        <v>30902.289999999997</v>
      </c>
      <c r="M871" s="58">
        <v>0.8</v>
      </c>
      <c r="N871" s="58">
        <v>39.69</v>
      </c>
      <c r="O871" s="65">
        <v>694.5</v>
      </c>
      <c r="P871" s="65">
        <v>30941.979999999996</v>
      </c>
      <c r="Q871" s="50">
        <v>30775.719999999994</v>
      </c>
      <c r="R871" s="65">
        <v>0</v>
      </c>
      <c r="S871" s="65">
        <v>39.69</v>
      </c>
      <c r="T871" s="65">
        <v>166.26000000000204</v>
      </c>
      <c r="U871" s="65">
        <v>0</v>
      </c>
      <c r="V871" s="65">
        <v>0</v>
      </c>
      <c r="W871" s="65">
        <v>0</v>
      </c>
      <c r="X871" s="65">
        <v>30736</v>
      </c>
      <c r="Y871" s="65">
        <v>0</v>
      </c>
      <c r="Z871" s="65">
        <v>0</v>
      </c>
      <c r="AA871" s="51">
        <v>0</v>
      </c>
      <c r="AB871" s="102">
        <v>0</v>
      </c>
      <c r="AC871" s="81">
        <f t="shared" si="42"/>
        <v>19.972443657817173</v>
      </c>
      <c r="AD871" s="82">
        <f t="shared" si="43"/>
        <v>96.857142857142847</v>
      </c>
      <c r="AE871" s="218">
        <v>-5.4023106526834164E-3</v>
      </c>
      <c r="AF871">
        <v>9</v>
      </c>
      <c r="AH871" t="str">
        <f t="shared" si="41"/>
        <v>Mahua BMC</v>
      </c>
      <c r="AJ871" s="72">
        <v>0</v>
      </c>
      <c r="AK871" s="72"/>
      <c r="AL871" s="72"/>
      <c r="AM871" s="72"/>
    </row>
    <row r="872" spans="1:39" x14ac:dyDescent="0.25">
      <c r="A872" s="37" t="s">
        <v>62</v>
      </c>
      <c r="B872" s="66" t="s">
        <v>1596</v>
      </c>
      <c r="C872" s="41">
        <v>1061</v>
      </c>
      <c r="D872" s="41" t="s">
        <v>1388</v>
      </c>
      <c r="E872" s="41">
        <v>10610002</v>
      </c>
      <c r="F872" s="85" t="s">
        <v>1328</v>
      </c>
      <c r="G872" s="39" t="s">
        <v>92</v>
      </c>
      <c r="H872" s="52" t="s">
        <v>93</v>
      </c>
      <c r="I872" s="52">
        <v>303.70000000000005</v>
      </c>
      <c r="J872" s="49">
        <v>13874.440000000002</v>
      </c>
      <c r="K872" s="58">
        <v>324.29999999999995</v>
      </c>
      <c r="L872" s="58">
        <v>15613.94</v>
      </c>
      <c r="M872" s="58">
        <v>0</v>
      </c>
      <c r="N872" s="58">
        <v>0</v>
      </c>
      <c r="O872" s="65">
        <v>324.29999999999995</v>
      </c>
      <c r="P872" s="65">
        <v>15613.94</v>
      </c>
      <c r="Q872" s="50">
        <v>13874.440000000002</v>
      </c>
      <c r="R872" s="65">
        <v>0</v>
      </c>
      <c r="S872" s="65">
        <v>0</v>
      </c>
      <c r="T872" s="65">
        <v>1739.4999999999982</v>
      </c>
      <c r="U872" s="65">
        <v>0</v>
      </c>
      <c r="V872" s="65">
        <v>0</v>
      </c>
      <c r="W872" s="65">
        <v>0</v>
      </c>
      <c r="X872" s="65">
        <v>13874</v>
      </c>
      <c r="Y872" s="65">
        <v>0</v>
      </c>
      <c r="Z872" s="65">
        <v>0</v>
      </c>
      <c r="AA872" s="51">
        <v>0</v>
      </c>
      <c r="AB872" s="102" t="s">
        <v>1366</v>
      </c>
      <c r="AC872" s="81">
        <f t="shared" si="42"/>
        <v>362.09684372736251</v>
      </c>
      <c r="AD872" s="82">
        <f t="shared" si="43"/>
        <v>43.385714285714293</v>
      </c>
      <c r="AE872" s="218">
        <v>-0.12537442952652489</v>
      </c>
      <c r="AF872">
        <v>8</v>
      </c>
      <c r="AH872" t="str">
        <f t="shared" si="41"/>
        <v>Mahua BMC</v>
      </c>
      <c r="AJ872" s="72">
        <v>0</v>
      </c>
      <c r="AK872" s="72"/>
      <c r="AL872" s="72"/>
      <c r="AM872" s="72"/>
    </row>
    <row r="873" spans="1:39" x14ac:dyDescent="0.25">
      <c r="A873" s="37" t="s">
        <v>62</v>
      </c>
      <c r="B873" s="66" t="s">
        <v>1596</v>
      </c>
      <c r="C873" s="41">
        <v>1061</v>
      </c>
      <c r="D873" s="41" t="s">
        <v>1388</v>
      </c>
      <c r="E873" s="41">
        <v>10610003</v>
      </c>
      <c r="F873" s="85" t="s">
        <v>1396</v>
      </c>
      <c r="G873" s="39" t="s">
        <v>92</v>
      </c>
      <c r="H873" s="52" t="s">
        <v>93</v>
      </c>
      <c r="I873" s="52">
        <v>255.8</v>
      </c>
      <c r="J873" s="49">
        <v>10180.999999999998</v>
      </c>
      <c r="K873" s="58">
        <v>259</v>
      </c>
      <c r="L873" s="58">
        <v>10421.119999999999</v>
      </c>
      <c r="M873" s="58">
        <v>0</v>
      </c>
      <c r="N873" s="58">
        <v>0</v>
      </c>
      <c r="O873" s="65">
        <v>259</v>
      </c>
      <c r="P873" s="65">
        <v>10421.119999999999</v>
      </c>
      <c r="Q873" s="50">
        <v>10180.999999999998</v>
      </c>
      <c r="R873" s="65">
        <v>0</v>
      </c>
      <c r="S873" s="65">
        <v>0</v>
      </c>
      <c r="T873" s="65">
        <v>240.1200000000008</v>
      </c>
      <c r="U873" s="65">
        <v>0</v>
      </c>
      <c r="V873" s="65">
        <v>0</v>
      </c>
      <c r="W873" s="65">
        <v>0</v>
      </c>
      <c r="X873" s="65">
        <v>10181</v>
      </c>
      <c r="Y873" s="65">
        <v>0</v>
      </c>
      <c r="Z873" s="65">
        <v>0</v>
      </c>
      <c r="AA873" s="51">
        <v>0</v>
      </c>
      <c r="AB873" s="102">
        <v>0</v>
      </c>
      <c r="AC873" s="81">
        <f t="shared" si="42"/>
        <v>353.58875684128219</v>
      </c>
      <c r="AD873" s="82">
        <f t="shared" si="43"/>
        <v>36.542857142857144</v>
      </c>
      <c r="AE873" s="218">
        <v>-2.3585109517729186E-2</v>
      </c>
      <c r="AF873">
        <v>3</v>
      </c>
      <c r="AH873" t="str">
        <f t="shared" si="41"/>
        <v>Mahua BMC</v>
      </c>
      <c r="AJ873" s="72">
        <v>0</v>
      </c>
      <c r="AK873" s="72"/>
      <c r="AL873" s="72"/>
      <c r="AM873" s="72"/>
    </row>
    <row r="874" spans="1:39" x14ac:dyDescent="0.25">
      <c r="A874" s="37" t="s">
        <v>62</v>
      </c>
      <c r="B874" s="66" t="s">
        <v>1596</v>
      </c>
      <c r="C874" s="41">
        <v>1061</v>
      </c>
      <c r="D874" s="41" t="s">
        <v>1388</v>
      </c>
      <c r="E874" s="41">
        <v>10610004</v>
      </c>
      <c r="F874" s="85" t="s">
        <v>1397</v>
      </c>
      <c r="G874" s="39" t="s">
        <v>92</v>
      </c>
      <c r="H874" s="52" t="s">
        <v>93</v>
      </c>
      <c r="I874" s="52">
        <v>350.2</v>
      </c>
      <c r="J874" s="49">
        <v>15476.45</v>
      </c>
      <c r="K874" s="58">
        <v>344.40000000000003</v>
      </c>
      <c r="L874" s="58">
        <v>15639.17</v>
      </c>
      <c r="M874" s="58">
        <v>7.8000000000000007</v>
      </c>
      <c r="N874" s="58">
        <v>337.17000000000007</v>
      </c>
      <c r="O874" s="65">
        <v>352.20000000000005</v>
      </c>
      <c r="P874" s="65">
        <v>15976.34</v>
      </c>
      <c r="Q874" s="50">
        <v>15476.45</v>
      </c>
      <c r="R874" s="65">
        <v>0</v>
      </c>
      <c r="S874" s="65">
        <v>337.17000000000007</v>
      </c>
      <c r="T874" s="65">
        <v>499.88999999999942</v>
      </c>
      <c r="U874" s="65">
        <v>0</v>
      </c>
      <c r="V874" s="65">
        <v>0</v>
      </c>
      <c r="W874" s="65">
        <v>0</v>
      </c>
      <c r="X874" s="65">
        <v>15139</v>
      </c>
      <c r="Y874" s="65">
        <v>0</v>
      </c>
      <c r="Z874" s="65">
        <v>0</v>
      </c>
      <c r="AA874" s="51">
        <v>0</v>
      </c>
      <c r="AB874" s="102">
        <v>0</v>
      </c>
      <c r="AC874" s="81">
        <f t="shared" si="42"/>
        <v>309.17545459737295</v>
      </c>
      <c r="AD874" s="82">
        <f t="shared" si="43"/>
        <v>50.028571428571425</v>
      </c>
      <c r="AE874" s="218">
        <v>-3.2300042968510183E-2</v>
      </c>
      <c r="AF874">
        <v>9</v>
      </c>
      <c r="AH874" t="str">
        <f t="shared" si="41"/>
        <v>Mahua BMC</v>
      </c>
      <c r="AJ874" s="72">
        <v>0</v>
      </c>
      <c r="AK874" s="72"/>
      <c r="AL874" s="72"/>
      <c r="AM874" s="72"/>
    </row>
    <row r="875" spans="1:39" x14ac:dyDescent="0.25">
      <c r="A875" s="37" t="s">
        <v>62</v>
      </c>
      <c r="B875" s="66" t="s">
        <v>1596</v>
      </c>
      <c r="C875" s="41">
        <v>1061</v>
      </c>
      <c r="D875" s="41" t="s">
        <v>1388</v>
      </c>
      <c r="E875" s="41">
        <v>10610005</v>
      </c>
      <c r="F875" s="85" t="s">
        <v>456</v>
      </c>
      <c r="G875" s="39" t="s">
        <v>92</v>
      </c>
      <c r="H875" s="52" t="s">
        <v>93</v>
      </c>
      <c r="I875" s="52">
        <v>799.69999999999982</v>
      </c>
      <c r="J875" s="49">
        <v>37268.949999999997</v>
      </c>
      <c r="K875" s="58">
        <v>840</v>
      </c>
      <c r="L875" s="58">
        <v>37735.490000000005</v>
      </c>
      <c r="M875" s="58">
        <v>0</v>
      </c>
      <c r="N875" s="58">
        <v>0</v>
      </c>
      <c r="O875" s="65">
        <v>840</v>
      </c>
      <c r="P875" s="65">
        <v>37735.490000000005</v>
      </c>
      <c r="Q875" s="50">
        <v>37268.949999999997</v>
      </c>
      <c r="R875" s="65">
        <v>0</v>
      </c>
      <c r="S875" s="65">
        <v>0</v>
      </c>
      <c r="T875" s="65">
        <v>466.54000000000815</v>
      </c>
      <c r="U875" s="65">
        <v>0</v>
      </c>
      <c r="V875" s="65">
        <v>0</v>
      </c>
      <c r="W875" s="65">
        <v>0</v>
      </c>
      <c r="X875" s="65">
        <v>37269</v>
      </c>
      <c r="Y875" s="65">
        <v>0</v>
      </c>
      <c r="Z875" s="65">
        <v>0</v>
      </c>
      <c r="AA875" s="51">
        <v>0</v>
      </c>
      <c r="AB875" s="102">
        <v>0</v>
      </c>
      <c r="AC875" s="81">
        <f t="shared" si="42"/>
        <v>0</v>
      </c>
      <c r="AD875" s="82">
        <f t="shared" si="43"/>
        <v>0</v>
      </c>
      <c r="AE875" s="218">
        <v>-1.2518195441513866E-2</v>
      </c>
      <c r="AF875">
        <v>3</v>
      </c>
      <c r="AH875" t="str">
        <f t="shared" si="41"/>
        <v>Mahua BMC</v>
      </c>
      <c r="AJ875" s="72">
        <v>0</v>
      </c>
      <c r="AK875" s="72"/>
      <c r="AL875" s="72"/>
      <c r="AM875" s="72"/>
    </row>
    <row r="876" spans="1:39" x14ac:dyDescent="0.25">
      <c r="A876" s="37" t="s">
        <v>62</v>
      </c>
      <c r="B876" s="66" t="s">
        <v>1596</v>
      </c>
      <c r="C876" s="41">
        <v>1061</v>
      </c>
      <c r="D876" s="41" t="s">
        <v>1388</v>
      </c>
      <c r="E876" s="41">
        <v>10610006</v>
      </c>
      <c r="F876" s="85" t="s">
        <v>1329</v>
      </c>
      <c r="G876" s="39" t="s">
        <v>92</v>
      </c>
      <c r="H876" s="52" t="s">
        <v>93</v>
      </c>
      <c r="I876" s="52">
        <v>400.8</v>
      </c>
      <c r="J876" s="49">
        <v>19679.11</v>
      </c>
      <c r="K876" s="58">
        <v>403.1</v>
      </c>
      <c r="L876" s="58">
        <v>19456.98</v>
      </c>
      <c r="M876" s="58">
        <v>0</v>
      </c>
      <c r="N876" s="58">
        <v>0</v>
      </c>
      <c r="O876" s="65">
        <v>403.1</v>
      </c>
      <c r="P876" s="65">
        <v>19456.98</v>
      </c>
      <c r="Q876" s="50">
        <v>19456.98</v>
      </c>
      <c r="R876" s="65">
        <v>0</v>
      </c>
      <c r="S876" s="65">
        <v>0</v>
      </c>
      <c r="T876" s="65">
        <v>0</v>
      </c>
      <c r="U876" s="65">
        <v>0</v>
      </c>
      <c r="V876" s="65">
        <v>0</v>
      </c>
      <c r="W876" s="65">
        <v>0</v>
      </c>
      <c r="X876" s="65">
        <v>19456</v>
      </c>
      <c r="Y876" s="65">
        <v>0</v>
      </c>
      <c r="Z876" s="65">
        <v>0</v>
      </c>
      <c r="AA876" s="51">
        <v>223</v>
      </c>
      <c r="AB876" s="102">
        <v>0</v>
      </c>
      <c r="AC876" s="81">
        <f t="shared" si="42"/>
        <v>293.81186187624752</v>
      </c>
      <c r="AD876" s="82">
        <f t="shared" si="43"/>
        <v>57.25714285714286</v>
      </c>
      <c r="AE876" s="218">
        <v>1.1287603961764583E-2</v>
      </c>
      <c r="AF876">
        <v>11</v>
      </c>
      <c r="AH876" t="str">
        <f t="shared" si="41"/>
        <v>Mahua BMC</v>
      </c>
      <c r="AJ876" s="72">
        <v>0</v>
      </c>
      <c r="AK876" s="72"/>
      <c r="AL876" s="72"/>
      <c r="AM876" s="72"/>
    </row>
    <row r="877" spans="1:39" x14ac:dyDescent="0.25">
      <c r="A877" s="37" t="s">
        <v>62</v>
      </c>
      <c r="B877" s="66" t="s">
        <v>1596</v>
      </c>
      <c r="C877" s="41">
        <v>1061</v>
      </c>
      <c r="D877" s="41" t="s">
        <v>1388</v>
      </c>
      <c r="E877" s="41">
        <v>10610008</v>
      </c>
      <c r="F877" s="85" t="s">
        <v>1330</v>
      </c>
      <c r="G877" s="39" t="s">
        <v>92</v>
      </c>
      <c r="H877" s="52" t="s">
        <v>93</v>
      </c>
      <c r="I877" s="52">
        <v>406</v>
      </c>
      <c r="J877" s="49">
        <v>19735.05</v>
      </c>
      <c r="K877" s="58">
        <v>421.50000000000006</v>
      </c>
      <c r="L877" s="58">
        <v>19095.47</v>
      </c>
      <c r="M877" s="58">
        <v>0</v>
      </c>
      <c r="N877" s="58">
        <v>0</v>
      </c>
      <c r="O877" s="65">
        <v>421.50000000000006</v>
      </c>
      <c r="P877" s="65">
        <v>19095.47</v>
      </c>
      <c r="Q877" s="50">
        <v>19095.47</v>
      </c>
      <c r="R877" s="65">
        <v>0</v>
      </c>
      <c r="S877" s="65">
        <v>0</v>
      </c>
      <c r="T877" s="65">
        <v>0</v>
      </c>
      <c r="U877" s="65">
        <v>0</v>
      </c>
      <c r="V877" s="65">
        <v>0</v>
      </c>
      <c r="W877" s="65">
        <v>0</v>
      </c>
      <c r="X877" s="65">
        <v>19096</v>
      </c>
      <c r="Y877" s="65">
        <v>0</v>
      </c>
      <c r="Z877" s="65">
        <v>0</v>
      </c>
      <c r="AA877" s="51">
        <v>639</v>
      </c>
      <c r="AB877" s="102">
        <v>0</v>
      </c>
      <c r="AC877" s="81">
        <f t="shared" si="42"/>
        <v>285.81796551724142</v>
      </c>
      <c r="AD877" s="82">
        <f t="shared" si="43"/>
        <v>58</v>
      </c>
      <c r="AE877" s="218">
        <v>3.2408329342970915E-2</v>
      </c>
      <c r="AF877">
        <v>3</v>
      </c>
      <c r="AH877" t="str">
        <f t="shared" si="41"/>
        <v>Mahua BMC</v>
      </c>
      <c r="AJ877" s="72">
        <v>0</v>
      </c>
      <c r="AK877" s="72"/>
      <c r="AL877" s="72"/>
      <c r="AM877" s="72"/>
    </row>
    <row r="878" spans="1:39" x14ac:dyDescent="0.25">
      <c r="A878" s="37" t="s">
        <v>62</v>
      </c>
      <c r="B878" s="66" t="s">
        <v>1596</v>
      </c>
      <c r="C878" s="41">
        <v>1061</v>
      </c>
      <c r="D878" s="41" t="s">
        <v>1388</v>
      </c>
      <c r="E878" s="41">
        <v>10610009</v>
      </c>
      <c r="F878" s="85" t="s">
        <v>1346</v>
      </c>
      <c r="G878" s="39" t="s">
        <v>92</v>
      </c>
      <c r="H878" s="52" t="s">
        <v>93</v>
      </c>
      <c r="I878" s="52">
        <v>1221.9000000000003</v>
      </c>
      <c r="J878" s="49">
        <v>56818.35</v>
      </c>
      <c r="K878" s="58">
        <v>1232.8</v>
      </c>
      <c r="L878" s="58">
        <v>56380.869999999995</v>
      </c>
      <c r="M878" s="58">
        <v>12.599999999999998</v>
      </c>
      <c r="N878" s="58">
        <v>562.64</v>
      </c>
      <c r="O878" s="65">
        <v>1245.3999999999999</v>
      </c>
      <c r="P878" s="65">
        <v>56943.509999999995</v>
      </c>
      <c r="Q878" s="50">
        <v>56818.35</v>
      </c>
      <c r="R878" s="65">
        <v>0</v>
      </c>
      <c r="S878" s="65">
        <v>562.64</v>
      </c>
      <c r="T878" s="65">
        <v>125.15999999999622</v>
      </c>
      <c r="U878" s="65">
        <v>2336</v>
      </c>
      <c r="V878" s="65">
        <v>0</v>
      </c>
      <c r="W878" s="65">
        <v>0</v>
      </c>
      <c r="X878" s="65">
        <v>53920</v>
      </c>
      <c r="Y878" s="65">
        <v>0</v>
      </c>
      <c r="Z878" s="65">
        <v>0</v>
      </c>
      <c r="AA878" s="51">
        <v>0</v>
      </c>
      <c r="AB878" s="102" t="s">
        <v>68</v>
      </c>
      <c r="AC878" s="81">
        <f t="shared" si="42"/>
        <v>0</v>
      </c>
      <c r="AD878" s="82">
        <f t="shared" si="43"/>
        <v>0</v>
      </c>
      <c r="AE878" s="218">
        <v>-2.2028094796838738E-3</v>
      </c>
      <c r="AF878">
        <v>31</v>
      </c>
      <c r="AH878" t="str">
        <f t="shared" si="41"/>
        <v>Mahua BMC</v>
      </c>
      <c r="AJ878" s="72">
        <v>0</v>
      </c>
      <c r="AK878" s="72"/>
      <c r="AL878" s="72"/>
      <c r="AM878" s="72"/>
    </row>
    <row r="879" spans="1:39" x14ac:dyDescent="0.25">
      <c r="A879" s="37" t="s">
        <v>62</v>
      </c>
      <c r="B879" s="66" t="s">
        <v>1596</v>
      </c>
      <c r="C879" s="41">
        <v>1061</v>
      </c>
      <c r="D879" s="41" t="s">
        <v>1388</v>
      </c>
      <c r="E879" s="41">
        <v>10610010</v>
      </c>
      <c r="F879" s="85" t="s">
        <v>1331</v>
      </c>
      <c r="G879" s="39" t="s">
        <v>92</v>
      </c>
      <c r="H879" s="52" t="s">
        <v>93</v>
      </c>
      <c r="I879" s="52">
        <v>504.90000000000003</v>
      </c>
      <c r="J879" s="49">
        <v>25349.68</v>
      </c>
      <c r="K879" s="58">
        <v>531.1</v>
      </c>
      <c r="L879" s="58">
        <v>25425.720000000005</v>
      </c>
      <c r="M879" s="58">
        <v>0</v>
      </c>
      <c r="N879" s="58">
        <v>0</v>
      </c>
      <c r="O879" s="65">
        <v>531.1</v>
      </c>
      <c r="P879" s="65">
        <v>25425.720000000005</v>
      </c>
      <c r="Q879" s="50">
        <v>25349.68</v>
      </c>
      <c r="R879" s="65">
        <v>0</v>
      </c>
      <c r="S879" s="65">
        <v>0</v>
      </c>
      <c r="T879" s="65">
        <v>76.040000000004511</v>
      </c>
      <c r="U879" s="65">
        <v>0</v>
      </c>
      <c r="V879" s="65">
        <v>0</v>
      </c>
      <c r="W879" s="65">
        <v>0</v>
      </c>
      <c r="X879" s="65">
        <v>25350</v>
      </c>
      <c r="Y879" s="65">
        <v>0</v>
      </c>
      <c r="Z879" s="65">
        <v>0</v>
      </c>
      <c r="AA879" s="51">
        <v>0</v>
      </c>
      <c r="AB879" s="102">
        <v>0</v>
      </c>
      <c r="AC879" s="81">
        <f t="shared" si="42"/>
        <v>195.90899457318278</v>
      </c>
      <c r="AD879" s="82">
        <f t="shared" si="43"/>
        <v>72.128571428571433</v>
      </c>
      <c r="AE879" s="218">
        <v>-2.999643388003498E-3</v>
      </c>
      <c r="AF879">
        <v>14</v>
      </c>
      <c r="AH879" t="str">
        <f t="shared" si="41"/>
        <v>Mahua BMC</v>
      </c>
      <c r="AJ879" s="72">
        <v>0</v>
      </c>
      <c r="AK879" s="72"/>
      <c r="AL879" s="72"/>
      <c r="AM879" s="72"/>
    </row>
    <row r="880" spans="1:39" x14ac:dyDescent="0.25">
      <c r="A880" s="37" t="s">
        <v>62</v>
      </c>
      <c r="B880" s="66" t="s">
        <v>1596</v>
      </c>
      <c r="C880" s="41">
        <v>1061</v>
      </c>
      <c r="D880" s="41" t="s">
        <v>1388</v>
      </c>
      <c r="E880" s="41">
        <v>10610011</v>
      </c>
      <c r="F880" s="85" t="s">
        <v>1398</v>
      </c>
      <c r="G880" s="39" t="s">
        <v>617</v>
      </c>
      <c r="H880" s="52" t="s">
        <v>98</v>
      </c>
      <c r="I880" s="52">
        <v>287.79999999999995</v>
      </c>
      <c r="J880" s="49">
        <v>11321.1</v>
      </c>
      <c r="K880" s="58">
        <v>0</v>
      </c>
      <c r="L880" s="58">
        <v>0</v>
      </c>
      <c r="M880" s="58">
        <v>0</v>
      </c>
      <c r="N880" s="58">
        <v>0</v>
      </c>
      <c r="O880" s="65">
        <v>0</v>
      </c>
      <c r="P880" s="65">
        <v>0</v>
      </c>
      <c r="Q880" s="50">
        <v>11321.1</v>
      </c>
      <c r="R880" s="65">
        <v>0</v>
      </c>
      <c r="S880" s="65">
        <v>0</v>
      </c>
      <c r="T880" s="65">
        <v>0</v>
      </c>
      <c r="U880" s="65">
        <v>0</v>
      </c>
      <c r="V880" s="65">
        <v>0</v>
      </c>
      <c r="W880" s="65">
        <v>0</v>
      </c>
      <c r="X880" s="65">
        <v>0</v>
      </c>
      <c r="Y880" s="65">
        <v>0</v>
      </c>
      <c r="Z880" s="65">
        <v>11321.1</v>
      </c>
      <c r="AA880" s="51">
        <v>0</v>
      </c>
      <c r="AB880" s="102">
        <v>0</v>
      </c>
      <c r="AC880" s="81">
        <f t="shared" si="42"/>
        <v>324.29169006254358</v>
      </c>
      <c r="AD880" s="82">
        <f t="shared" si="43"/>
        <v>41.114285714285707</v>
      </c>
      <c r="AE880" s="218">
        <v>0</v>
      </c>
      <c r="AF880">
        <v>0</v>
      </c>
      <c r="AH880" t="str">
        <f t="shared" si="41"/>
        <v>Mahua BMC</v>
      </c>
      <c r="AJ880" s="72">
        <v>0</v>
      </c>
      <c r="AK880" s="72"/>
      <c r="AL880" s="72"/>
      <c r="AM880" s="72"/>
    </row>
    <row r="881" spans="1:39" x14ac:dyDescent="0.25">
      <c r="A881" s="37" t="s">
        <v>62</v>
      </c>
      <c r="B881" s="66" t="s">
        <v>1596</v>
      </c>
      <c r="C881" s="41">
        <v>1061</v>
      </c>
      <c r="D881" s="41" t="s">
        <v>1388</v>
      </c>
      <c r="E881" s="41">
        <v>10610013</v>
      </c>
      <c r="F881" s="85" t="s">
        <v>1399</v>
      </c>
      <c r="G881" s="39" t="s">
        <v>617</v>
      </c>
      <c r="H881" s="52" t="s">
        <v>98</v>
      </c>
      <c r="I881" s="52">
        <v>170.20000000000002</v>
      </c>
      <c r="J881" s="49">
        <v>6109.5999999999985</v>
      </c>
      <c r="K881" s="58">
        <v>0</v>
      </c>
      <c r="L881" s="58">
        <v>0</v>
      </c>
      <c r="M881" s="58">
        <v>0</v>
      </c>
      <c r="N881" s="58">
        <v>0</v>
      </c>
      <c r="O881" s="65">
        <v>0</v>
      </c>
      <c r="P881" s="65">
        <v>0</v>
      </c>
      <c r="Q881" s="50">
        <v>6109.5999999999985</v>
      </c>
      <c r="R881" s="65">
        <v>0</v>
      </c>
      <c r="S881" s="65">
        <v>0</v>
      </c>
      <c r="T881" s="65">
        <v>0</v>
      </c>
      <c r="U881" s="65">
        <v>0</v>
      </c>
      <c r="V881" s="65">
        <v>0</v>
      </c>
      <c r="W881" s="65">
        <v>0</v>
      </c>
      <c r="X881" s="65">
        <v>0</v>
      </c>
      <c r="Y881" s="65">
        <v>0</v>
      </c>
      <c r="Z881" s="65">
        <v>6109.5999999999985</v>
      </c>
      <c r="AA881" s="51">
        <v>0</v>
      </c>
      <c r="AB881" s="102">
        <v>0</v>
      </c>
      <c r="AC881" s="81">
        <f t="shared" si="42"/>
        <v>380.36029142185652</v>
      </c>
      <c r="AD881" s="82">
        <f t="shared" si="43"/>
        <v>24.314285714285717</v>
      </c>
      <c r="AE881" s="218">
        <v>0</v>
      </c>
      <c r="AF881">
        <v>0</v>
      </c>
      <c r="AH881" t="str">
        <f t="shared" si="41"/>
        <v>Mahua BMC</v>
      </c>
      <c r="AJ881" s="72">
        <v>0</v>
      </c>
      <c r="AK881" s="72"/>
      <c r="AL881" s="72"/>
      <c r="AM881" s="72"/>
    </row>
    <row r="882" spans="1:39" x14ac:dyDescent="0.25">
      <c r="A882" s="37" t="s">
        <v>62</v>
      </c>
      <c r="B882" s="66" t="s">
        <v>1596</v>
      </c>
      <c r="C882" s="41">
        <v>1061</v>
      </c>
      <c r="D882" s="41" t="s">
        <v>1388</v>
      </c>
      <c r="E882" s="41">
        <v>10610017</v>
      </c>
      <c r="F882" s="85" t="s">
        <v>1400</v>
      </c>
      <c r="G882" s="39" t="s">
        <v>92</v>
      </c>
      <c r="H882" s="52" t="s">
        <v>93</v>
      </c>
      <c r="I882" s="52">
        <v>179.9</v>
      </c>
      <c r="J882" s="49">
        <v>7850.82</v>
      </c>
      <c r="K882" s="58">
        <v>180.5</v>
      </c>
      <c r="L882" s="58">
        <v>8108.4100000000008</v>
      </c>
      <c r="M882" s="58">
        <v>0</v>
      </c>
      <c r="N882" s="58">
        <v>0</v>
      </c>
      <c r="O882" s="65">
        <v>180.5</v>
      </c>
      <c r="P882" s="65">
        <v>8108.4100000000008</v>
      </c>
      <c r="Q882" s="50">
        <v>7850.82</v>
      </c>
      <c r="R882" s="65">
        <v>0</v>
      </c>
      <c r="S882" s="65">
        <v>0</v>
      </c>
      <c r="T882" s="65">
        <v>257.59000000000106</v>
      </c>
      <c r="U882" s="65">
        <v>0</v>
      </c>
      <c r="V882" s="65">
        <v>0</v>
      </c>
      <c r="W882" s="65">
        <v>0</v>
      </c>
      <c r="X882" s="65">
        <v>7851</v>
      </c>
      <c r="Y882" s="65">
        <v>0</v>
      </c>
      <c r="Z882" s="65">
        <v>0</v>
      </c>
      <c r="AA882" s="51">
        <v>0</v>
      </c>
      <c r="AB882" s="102" t="s">
        <v>1366</v>
      </c>
      <c r="AC882" s="81">
        <f t="shared" si="42"/>
        <v>453.94235486381325</v>
      </c>
      <c r="AD882" s="82">
        <f t="shared" si="43"/>
        <v>25.7</v>
      </c>
      <c r="AE882" s="218">
        <v>-3.2810585391080303E-2</v>
      </c>
      <c r="AF882">
        <v>9</v>
      </c>
      <c r="AH882" t="str">
        <f t="shared" ref="AH882:AH942" si="44">TEXT(D882,"0000")</f>
        <v>Mahua BMC</v>
      </c>
      <c r="AJ882" s="72">
        <v>0</v>
      </c>
      <c r="AK882" s="72"/>
      <c r="AL882" s="72"/>
      <c r="AM882" s="72"/>
    </row>
    <row r="883" spans="1:39" x14ac:dyDescent="0.25">
      <c r="A883" s="37" t="s">
        <v>62</v>
      </c>
      <c r="B883" s="66" t="s">
        <v>1596</v>
      </c>
      <c r="C883" s="41">
        <v>1061</v>
      </c>
      <c r="D883" s="41" t="s">
        <v>1388</v>
      </c>
      <c r="E883" s="41">
        <v>10610018</v>
      </c>
      <c r="F883" s="85" t="s">
        <v>1401</v>
      </c>
      <c r="G883" s="39" t="s">
        <v>92</v>
      </c>
      <c r="H883" s="52" t="s">
        <v>93</v>
      </c>
      <c r="I883" s="52">
        <v>487.9</v>
      </c>
      <c r="J883" s="49">
        <v>22139.389999999996</v>
      </c>
      <c r="K883" s="58">
        <v>433.59999999999997</v>
      </c>
      <c r="L883" s="58">
        <v>19033.62</v>
      </c>
      <c r="M883" s="58">
        <v>95</v>
      </c>
      <c r="N883" s="58">
        <v>4306.55</v>
      </c>
      <c r="O883" s="65">
        <v>528.59999999999991</v>
      </c>
      <c r="P883" s="65">
        <v>23340.17</v>
      </c>
      <c r="Q883" s="50">
        <v>22139.389999999996</v>
      </c>
      <c r="R883" s="65">
        <v>0</v>
      </c>
      <c r="S883" s="65">
        <v>0</v>
      </c>
      <c r="T883" s="65">
        <v>1200.7800000000025</v>
      </c>
      <c r="U883" s="65">
        <v>201</v>
      </c>
      <c r="V883" s="65">
        <v>0</v>
      </c>
      <c r="W883" s="65">
        <v>0</v>
      </c>
      <c r="X883" s="65">
        <v>17632</v>
      </c>
      <c r="Y883" s="65">
        <v>4306</v>
      </c>
      <c r="Z883" s="65">
        <v>0</v>
      </c>
      <c r="AA883" s="51">
        <v>0</v>
      </c>
      <c r="AB883" s="102" t="s">
        <v>68</v>
      </c>
      <c r="AC883" s="81">
        <f t="shared" si="42"/>
        <v>192.48881406025819</v>
      </c>
      <c r="AD883" s="82">
        <f t="shared" si="43"/>
        <v>69.7</v>
      </c>
      <c r="AE883" s="218">
        <v>-5.4237266699760145E-2</v>
      </c>
      <c r="AF883">
        <v>15</v>
      </c>
      <c r="AH883" t="str">
        <f t="shared" si="44"/>
        <v>Mahua BMC</v>
      </c>
      <c r="AJ883" s="72">
        <v>0</v>
      </c>
      <c r="AK883" s="72"/>
      <c r="AL883" s="72"/>
      <c r="AM883" s="72"/>
    </row>
    <row r="884" spans="1:39" x14ac:dyDescent="0.25">
      <c r="A884" s="37" t="s">
        <v>62</v>
      </c>
      <c r="B884" s="66" t="s">
        <v>1596</v>
      </c>
      <c r="C884" s="41">
        <v>1061</v>
      </c>
      <c r="D884" s="41" t="s">
        <v>1388</v>
      </c>
      <c r="E884" s="41">
        <v>10610019</v>
      </c>
      <c r="F884" s="85" t="s">
        <v>1414</v>
      </c>
      <c r="G884" s="39" t="s">
        <v>92</v>
      </c>
      <c r="H884" s="52" t="s">
        <v>93</v>
      </c>
      <c r="I884" s="52">
        <v>97.800000000000026</v>
      </c>
      <c r="J884" s="49">
        <v>5008</v>
      </c>
      <c r="K884" s="58">
        <v>101.2</v>
      </c>
      <c r="L884" s="58">
        <v>5410.5599999999995</v>
      </c>
      <c r="M884" s="58">
        <v>0</v>
      </c>
      <c r="N884" s="58">
        <v>0</v>
      </c>
      <c r="O884" s="65">
        <v>101.2</v>
      </c>
      <c r="P884" s="65">
        <v>5410.5599999999995</v>
      </c>
      <c r="Q884" s="50">
        <v>5008</v>
      </c>
      <c r="R884" s="65">
        <v>0</v>
      </c>
      <c r="S884" s="65">
        <v>0</v>
      </c>
      <c r="T884" s="65">
        <v>402.55999999999949</v>
      </c>
      <c r="U884" s="65">
        <v>0</v>
      </c>
      <c r="V884" s="65">
        <v>0</v>
      </c>
      <c r="W884" s="65">
        <v>0</v>
      </c>
      <c r="X884" s="65">
        <v>5008</v>
      </c>
      <c r="Y884" s="65">
        <v>0</v>
      </c>
      <c r="Z884" s="65">
        <v>0</v>
      </c>
      <c r="AA884" s="51">
        <v>0</v>
      </c>
      <c r="AB884" s="102">
        <v>0</v>
      </c>
      <c r="AC884" s="81">
        <f t="shared" si="42"/>
        <v>616.731615541922</v>
      </c>
      <c r="AD884" s="82">
        <f t="shared" si="43"/>
        <v>13.971428571428575</v>
      </c>
      <c r="AE884" s="218">
        <v>-8.038338658146954E-2</v>
      </c>
      <c r="AF884">
        <v>5</v>
      </c>
      <c r="AH884" t="str">
        <f t="shared" si="44"/>
        <v>Mahua BMC</v>
      </c>
      <c r="AJ884" s="72">
        <v>0</v>
      </c>
      <c r="AK884" s="72"/>
      <c r="AL884" s="72"/>
      <c r="AM884" s="72"/>
    </row>
    <row r="885" spans="1:39" x14ac:dyDescent="0.25">
      <c r="A885" s="37" t="s">
        <v>62</v>
      </c>
      <c r="B885" s="66" t="s">
        <v>1596</v>
      </c>
      <c r="C885" s="41">
        <v>1061</v>
      </c>
      <c r="D885" s="41" t="s">
        <v>1388</v>
      </c>
      <c r="E885" s="41">
        <v>10610020</v>
      </c>
      <c r="F885" s="85" t="s">
        <v>1402</v>
      </c>
      <c r="G885" s="39" t="s">
        <v>92</v>
      </c>
      <c r="H885" s="52" t="s">
        <v>93</v>
      </c>
      <c r="I885" s="52">
        <v>349.3</v>
      </c>
      <c r="J885" s="49">
        <v>15116.710000000001</v>
      </c>
      <c r="K885" s="58">
        <v>349.9</v>
      </c>
      <c r="L885" s="58">
        <v>14847.090000000002</v>
      </c>
      <c r="M885" s="58">
        <v>0</v>
      </c>
      <c r="N885" s="58">
        <v>0</v>
      </c>
      <c r="O885" s="65">
        <v>349.9</v>
      </c>
      <c r="P885" s="65">
        <v>14847.090000000002</v>
      </c>
      <c r="Q885" s="50">
        <v>14847.090000000002</v>
      </c>
      <c r="R885" s="65">
        <v>0</v>
      </c>
      <c r="S885" s="65">
        <v>0</v>
      </c>
      <c r="T885" s="65">
        <v>0</v>
      </c>
      <c r="U885" s="65">
        <v>1400</v>
      </c>
      <c r="V885" s="65">
        <v>0</v>
      </c>
      <c r="W885" s="65">
        <v>0</v>
      </c>
      <c r="X885" s="65">
        <v>13446</v>
      </c>
      <c r="Y885" s="65">
        <v>0</v>
      </c>
      <c r="Z885" s="65">
        <v>0</v>
      </c>
      <c r="AA885" s="51">
        <v>271</v>
      </c>
      <c r="AB885" s="102" t="s">
        <v>68</v>
      </c>
      <c r="AC885" s="81">
        <f t="shared" si="42"/>
        <v>303.54596032064131</v>
      </c>
      <c r="AD885" s="82">
        <f t="shared" si="43"/>
        <v>49.9</v>
      </c>
      <c r="AE885" s="218">
        <v>1.7835891539891877E-2</v>
      </c>
      <c r="AF885">
        <v>11</v>
      </c>
      <c r="AH885" t="str">
        <f t="shared" si="44"/>
        <v>Mahua BMC</v>
      </c>
      <c r="AJ885" s="72">
        <v>0</v>
      </c>
      <c r="AK885" s="72"/>
      <c r="AL885" s="72"/>
      <c r="AM885" s="72"/>
    </row>
    <row r="886" spans="1:39" x14ac:dyDescent="0.25">
      <c r="A886" s="37" t="s">
        <v>62</v>
      </c>
      <c r="B886" s="66" t="s">
        <v>1596</v>
      </c>
      <c r="C886" s="41">
        <v>1061</v>
      </c>
      <c r="D886" s="41" t="s">
        <v>1388</v>
      </c>
      <c r="E886" s="41">
        <v>10610022</v>
      </c>
      <c r="F886" s="85" t="s">
        <v>1403</v>
      </c>
      <c r="G886" s="39" t="s">
        <v>92</v>
      </c>
      <c r="H886" s="52" t="s">
        <v>93</v>
      </c>
      <c r="I886" s="52">
        <v>194.50000000000003</v>
      </c>
      <c r="J886" s="49">
        <v>10124.84</v>
      </c>
      <c r="K886" s="58">
        <v>201.29999999999998</v>
      </c>
      <c r="L886" s="58">
        <v>10324.199999999999</v>
      </c>
      <c r="M886" s="58">
        <v>0</v>
      </c>
      <c r="N886" s="58">
        <v>0</v>
      </c>
      <c r="O886" s="65">
        <v>201.29999999999998</v>
      </c>
      <c r="P886" s="65">
        <v>10324.199999999999</v>
      </c>
      <c r="Q886" s="50">
        <v>10124.84</v>
      </c>
      <c r="R886" s="65">
        <v>0</v>
      </c>
      <c r="S886" s="65">
        <v>0</v>
      </c>
      <c r="T886" s="65">
        <v>199.35999999999876</v>
      </c>
      <c r="U886" s="65">
        <v>0</v>
      </c>
      <c r="V886" s="65">
        <v>0</v>
      </c>
      <c r="W886" s="65">
        <v>0</v>
      </c>
      <c r="X886" s="65">
        <v>10125</v>
      </c>
      <c r="Y886" s="65">
        <v>0</v>
      </c>
      <c r="Z886" s="65">
        <v>0</v>
      </c>
      <c r="AA886" s="51">
        <v>0</v>
      </c>
      <c r="AB886" s="102">
        <v>0</v>
      </c>
      <c r="AC886" s="81">
        <f t="shared" si="42"/>
        <v>526.28345706940866</v>
      </c>
      <c r="AD886" s="82">
        <f t="shared" si="43"/>
        <v>27.785714285714288</v>
      </c>
      <c r="AE886" s="218">
        <v>-1.9690187696793111E-2</v>
      </c>
      <c r="AF886">
        <v>4</v>
      </c>
      <c r="AH886" t="str">
        <f t="shared" si="44"/>
        <v>Mahua BMC</v>
      </c>
      <c r="AJ886" s="72">
        <v>0</v>
      </c>
      <c r="AK886" s="72"/>
      <c r="AL886" s="72"/>
      <c r="AM886" s="72"/>
    </row>
    <row r="887" spans="1:39" x14ac:dyDescent="0.25">
      <c r="A887" s="37" t="s">
        <v>62</v>
      </c>
      <c r="B887" s="66" t="s">
        <v>1596</v>
      </c>
      <c r="C887" s="41">
        <v>1061</v>
      </c>
      <c r="D887" s="41" t="s">
        <v>1388</v>
      </c>
      <c r="E887" s="41">
        <v>10610024</v>
      </c>
      <c r="F887" s="85" t="s">
        <v>1415</v>
      </c>
      <c r="G887" s="39" t="s">
        <v>92</v>
      </c>
      <c r="H887" s="52" t="s">
        <v>93</v>
      </c>
      <c r="I887" s="52">
        <v>335.2</v>
      </c>
      <c r="J887" s="49">
        <v>13393.4</v>
      </c>
      <c r="K887" s="58">
        <v>331.29999999999995</v>
      </c>
      <c r="L887" s="58">
        <v>13239.73</v>
      </c>
      <c r="M887" s="58">
        <v>5</v>
      </c>
      <c r="N887" s="58">
        <v>188.02</v>
      </c>
      <c r="O887" s="65">
        <v>336.29999999999995</v>
      </c>
      <c r="P887" s="65">
        <v>13427.75</v>
      </c>
      <c r="Q887" s="50">
        <v>13393.4</v>
      </c>
      <c r="R887" s="65">
        <v>0</v>
      </c>
      <c r="S887" s="65">
        <v>188.02</v>
      </c>
      <c r="T887" s="65">
        <v>34.350000000000364</v>
      </c>
      <c r="U887" s="65">
        <v>0</v>
      </c>
      <c r="V887" s="65">
        <v>0</v>
      </c>
      <c r="W887" s="65">
        <v>0</v>
      </c>
      <c r="X887" s="65">
        <v>13205</v>
      </c>
      <c r="Y887" s="65">
        <v>0</v>
      </c>
      <c r="Z887" s="65">
        <v>0</v>
      </c>
      <c r="AA887" s="51">
        <v>0</v>
      </c>
      <c r="AB887" s="102" t="s">
        <v>1366</v>
      </c>
      <c r="AC887" s="81">
        <f t="shared" si="42"/>
        <v>291.52221479713609</v>
      </c>
      <c r="AD887" s="82">
        <f t="shared" si="43"/>
        <v>47.885714285714286</v>
      </c>
      <c r="AE887" s="218">
        <v>-2.5646960443203642E-3</v>
      </c>
      <c r="AF887">
        <v>9</v>
      </c>
      <c r="AH887" t="str">
        <f t="shared" si="44"/>
        <v>Mahua BMC</v>
      </c>
      <c r="AJ887" s="72">
        <v>0</v>
      </c>
      <c r="AK887" s="72"/>
      <c r="AL887" s="72"/>
      <c r="AM887" s="72"/>
    </row>
    <row r="888" spans="1:39" x14ac:dyDescent="0.25">
      <c r="A888" s="37" t="s">
        <v>62</v>
      </c>
      <c r="B888" s="66" t="s">
        <v>1596</v>
      </c>
      <c r="C888" s="41">
        <v>1061</v>
      </c>
      <c r="D888" s="41" t="s">
        <v>1388</v>
      </c>
      <c r="E888" s="41">
        <v>10610025</v>
      </c>
      <c r="F888" s="85" t="s">
        <v>1587</v>
      </c>
      <c r="G888" s="39" t="s">
        <v>617</v>
      </c>
      <c r="H888" s="52" t="s">
        <v>98</v>
      </c>
      <c r="I888" s="52">
        <v>14.6</v>
      </c>
      <c r="J888" s="49">
        <v>580.95000000000005</v>
      </c>
      <c r="K888" s="58">
        <v>0</v>
      </c>
      <c r="L888" s="58">
        <v>0</v>
      </c>
      <c r="M888" s="58">
        <v>0</v>
      </c>
      <c r="N888" s="58">
        <v>0</v>
      </c>
      <c r="O888" s="65">
        <v>0</v>
      </c>
      <c r="P888" s="65">
        <v>0</v>
      </c>
      <c r="Q888" s="50">
        <v>580.95000000000005</v>
      </c>
      <c r="R888" s="65">
        <v>0</v>
      </c>
      <c r="S888" s="65">
        <v>0</v>
      </c>
      <c r="T888" s="65">
        <v>0</v>
      </c>
      <c r="U888" s="65">
        <v>0</v>
      </c>
      <c r="V888" s="65">
        <v>0</v>
      </c>
      <c r="W888" s="65">
        <v>0</v>
      </c>
      <c r="X888" s="65">
        <v>0</v>
      </c>
      <c r="Y888" s="65">
        <v>0</v>
      </c>
      <c r="Z888" s="65">
        <v>580.95000000000005</v>
      </c>
      <c r="AA888" s="51">
        <v>0</v>
      </c>
      <c r="AB888" s="102">
        <v>0</v>
      </c>
      <c r="AC888" s="81">
        <f t="shared" si="42"/>
        <v>545.45634246575344</v>
      </c>
      <c r="AD888" s="82">
        <f t="shared" si="43"/>
        <v>2.0857142857142859</v>
      </c>
      <c r="AE888" s="218">
        <v>0</v>
      </c>
      <c r="AF888">
        <v>0</v>
      </c>
      <c r="AH888" t="str">
        <f t="shared" si="44"/>
        <v>Mahua BMC</v>
      </c>
      <c r="AJ888" s="72">
        <v>0</v>
      </c>
      <c r="AK888" s="72"/>
      <c r="AL888" s="72"/>
      <c r="AM888" s="72"/>
    </row>
    <row r="889" spans="1:39" x14ac:dyDescent="0.25">
      <c r="A889" s="37" t="s">
        <v>62</v>
      </c>
      <c r="B889" s="66" t="s">
        <v>1596</v>
      </c>
      <c r="C889" s="41">
        <v>1061</v>
      </c>
      <c r="D889" s="41" t="s">
        <v>1388</v>
      </c>
      <c r="E889" s="41">
        <v>10610026</v>
      </c>
      <c r="F889" s="85" t="s">
        <v>1444</v>
      </c>
      <c r="G889" s="39" t="s">
        <v>92</v>
      </c>
      <c r="H889" s="52" t="s">
        <v>93</v>
      </c>
      <c r="I889" s="52">
        <v>155.1</v>
      </c>
      <c r="J889" s="49">
        <v>8696.73</v>
      </c>
      <c r="K889" s="58">
        <v>150.30000000000001</v>
      </c>
      <c r="L889" s="58">
        <v>8614.75</v>
      </c>
      <c r="M889" s="58">
        <v>0</v>
      </c>
      <c r="N889" s="58">
        <v>0</v>
      </c>
      <c r="O889" s="65">
        <v>150.30000000000001</v>
      </c>
      <c r="P889" s="65">
        <v>8614.75</v>
      </c>
      <c r="Q889" s="50">
        <v>8614.75</v>
      </c>
      <c r="R889" s="65">
        <v>0</v>
      </c>
      <c r="S889" s="65">
        <v>0</v>
      </c>
      <c r="T889" s="65">
        <v>0</v>
      </c>
      <c r="U889" s="65">
        <v>0</v>
      </c>
      <c r="V889" s="65">
        <v>0</v>
      </c>
      <c r="W889" s="65">
        <v>0</v>
      </c>
      <c r="X889" s="65">
        <v>8614</v>
      </c>
      <c r="Y889" s="65">
        <v>0</v>
      </c>
      <c r="Z889" s="65">
        <v>0</v>
      </c>
      <c r="AA889" s="51">
        <v>83</v>
      </c>
      <c r="AB889" s="102">
        <v>0</v>
      </c>
      <c r="AC889" s="81">
        <f t="shared" si="42"/>
        <v>611.07004216634425</v>
      </c>
      <c r="AD889" s="82">
        <f t="shared" si="43"/>
        <v>22.157142857142855</v>
      </c>
      <c r="AE889" s="218">
        <v>9.4265315814104338E-3</v>
      </c>
      <c r="AF889">
        <v>8</v>
      </c>
      <c r="AH889" t="str">
        <f t="shared" si="44"/>
        <v>Mahua BMC</v>
      </c>
      <c r="AJ889" s="72">
        <v>0</v>
      </c>
      <c r="AK889" s="72"/>
      <c r="AL889" s="72"/>
      <c r="AM889" s="72"/>
    </row>
    <row r="890" spans="1:39" x14ac:dyDescent="0.25">
      <c r="A890" s="37" t="s">
        <v>62</v>
      </c>
      <c r="B890" s="66" t="s">
        <v>1596</v>
      </c>
      <c r="C890" s="41">
        <v>1061</v>
      </c>
      <c r="D890" s="41" t="s">
        <v>1388</v>
      </c>
      <c r="E890" s="41">
        <v>10610027</v>
      </c>
      <c r="F890" s="85" t="s">
        <v>1445</v>
      </c>
      <c r="G890" s="39" t="s">
        <v>617</v>
      </c>
      <c r="H890" s="52" t="s">
        <v>98</v>
      </c>
      <c r="I890" s="52">
        <v>1614.7000000000003</v>
      </c>
      <c r="J890" s="49">
        <v>63420</v>
      </c>
      <c r="K890" s="58">
        <v>0</v>
      </c>
      <c r="L890" s="58">
        <v>0</v>
      </c>
      <c r="M890" s="58">
        <v>0</v>
      </c>
      <c r="N890" s="58">
        <v>0</v>
      </c>
      <c r="O890" s="65">
        <v>0</v>
      </c>
      <c r="P890" s="65">
        <v>0</v>
      </c>
      <c r="Q890" s="50">
        <v>63420</v>
      </c>
      <c r="R890" s="65">
        <v>0</v>
      </c>
      <c r="S890" s="65">
        <v>0</v>
      </c>
      <c r="T890" s="65">
        <v>0</v>
      </c>
      <c r="U890" s="65">
        <v>0</v>
      </c>
      <c r="V890" s="65">
        <v>0</v>
      </c>
      <c r="W890" s="65">
        <v>0</v>
      </c>
      <c r="X890" s="65">
        <v>0</v>
      </c>
      <c r="Y890" s="65">
        <v>0</v>
      </c>
      <c r="Z890" s="65">
        <v>63420</v>
      </c>
      <c r="AA890" s="51">
        <v>0</v>
      </c>
      <c r="AB890" s="102">
        <v>0</v>
      </c>
      <c r="AC890" s="81">
        <f t="shared" si="42"/>
        <v>0</v>
      </c>
      <c r="AD890" s="82">
        <f t="shared" si="43"/>
        <v>0</v>
      </c>
      <c r="AE890" s="218">
        <v>0</v>
      </c>
      <c r="AF890">
        <v>0</v>
      </c>
      <c r="AH890" t="str">
        <f t="shared" si="44"/>
        <v>Mahua BMC</v>
      </c>
      <c r="AJ890" s="72">
        <v>0</v>
      </c>
      <c r="AK890" s="72"/>
      <c r="AL890" s="72"/>
      <c r="AM890" s="72"/>
    </row>
    <row r="891" spans="1:39" x14ac:dyDescent="0.25">
      <c r="A891" s="37" t="s">
        <v>62</v>
      </c>
      <c r="B891" s="66" t="s">
        <v>1596</v>
      </c>
      <c r="C891" s="41">
        <v>1061</v>
      </c>
      <c r="D891" s="41" t="s">
        <v>1388</v>
      </c>
      <c r="E891" s="41">
        <v>10610028</v>
      </c>
      <c r="F891" s="85" t="s">
        <v>1446</v>
      </c>
      <c r="G891" s="39" t="s">
        <v>617</v>
      </c>
      <c r="H891" s="52" t="s">
        <v>98</v>
      </c>
      <c r="I891" s="52">
        <v>233.10000000000002</v>
      </c>
      <c r="J891" s="49">
        <v>9214.83</v>
      </c>
      <c r="K891" s="58">
        <v>0</v>
      </c>
      <c r="L891" s="58">
        <v>0</v>
      </c>
      <c r="M891" s="58">
        <v>0</v>
      </c>
      <c r="N891" s="58">
        <v>0</v>
      </c>
      <c r="O891" s="65">
        <v>0</v>
      </c>
      <c r="P891" s="65">
        <v>0</v>
      </c>
      <c r="Q891" s="50">
        <v>9214.83</v>
      </c>
      <c r="R891" s="65">
        <v>0</v>
      </c>
      <c r="S891" s="65">
        <v>0</v>
      </c>
      <c r="T891" s="65">
        <v>0</v>
      </c>
      <c r="U891" s="65">
        <v>0</v>
      </c>
      <c r="V891" s="65">
        <v>0</v>
      </c>
      <c r="W891" s="65">
        <v>0</v>
      </c>
      <c r="X891" s="65">
        <v>0</v>
      </c>
      <c r="Y891" s="65">
        <v>0</v>
      </c>
      <c r="Z891" s="65">
        <v>9214.83</v>
      </c>
      <c r="AA891" s="51">
        <v>0</v>
      </c>
      <c r="AB891" s="102">
        <v>0</v>
      </c>
      <c r="AC891" s="81">
        <f t="shared" si="42"/>
        <v>369.14664324324309</v>
      </c>
      <c r="AD891" s="82">
        <f t="shared" si="43"/>
        <v>33.300000000000004</v>
      </c>
      <c r="AE891" s="218">
        <v>0</v>
      </c>
      <c r="AF891">
        <v>0</v>
      </c>
      <c r="AH891" t="str">
        <f t="shared" si="44"/>
        <v>Mahua BMC</v>
      </c>
      <c r="AJ891" s="72">
        <v>0</v>
      </c>
      <c r="AK891" s="72"/>
      <c r="AL891" s="72"/>
      <c r="AM891" s="72"/>
    </row>
    <row r="892" spans="1:39" x14ac:dyDescent="0.25">
      <c r="A892" s="37" t="s">
        <v>62</v>
      </c>
      <c r="B892" s="66" t="s">
        <v>1596</v>
      </c>
      <c r="C892" s="41">
        <v>1061</v>
      </c>
      <c r="D892" s="41" t="s">
        <v>1388</v>
      </c>
      <c r="E892" s="41">
        <v>10610035</v>
      </c>
      <c r="F892" s="85" t="s">
        <v>1449</v>
      </c>
      <c r="G892" s="39" t="s">
        <v>617</v>
      </c>
      <c r="H892" s="52" t="s">
        <v>98</v>
      </c>
      <c r="I892" s="52">
        <v>441.3</v>
      </c>
      <c r="J892" s="49">
        <v>14115.54</v>
      </c>
      <c r="K892" s="58">
        <v>0</v>
      </c>
      <c r="L892" s="58">
        <v>0</v>
      </c>
      <c r="M892" s="58">
        <v>0</v>
      </c>
      <c r="N892" s="58">
        <v>0</v>
      </c>
      <c r="O892" s="65">
        <v>0</v>
      </c>
      <c r="P892" s="65">
        <v>0</v>
      </c>
      <c r="Q892" s="50">
        <v>14115.54</v>
      </c>
      <c r="R892" s="65">
        <v>0</v>
      </c>
      <c r="S892" s="65">
        <v>0</v>
      </c>
      <c r="T892" s="65">
        <v>0</v>
      </c>
      <c r="U892" s="65">
        <v>0</v>
      </c>
      <c r="V892" s="65">
        <v>0</v>
      </c>
      <c r="W892" s="65">
        <v>0</v>
      </c>
      <c r="X892" s="65">
        <v>0</v>
      </c>
      <c r="Y892" s="65">
        <v>0</v>
      </c>
      <c r="Z892" s="65">
        <v>14115.54</v>
      </c>
      <c r="AA892" s="51">
        <v>0</v>
      </c>
      <c r="AB892" s="102">
        <v>0</v>
      </c>
      <c r="AC892" s="81">
        <f t="shared" si="42"/>
        <v>165.49694983004761</v>
      </c>
      <c r="AD892" s="82">
        <f t="shared" si="43"/>
        <v>63.042857142857144</v>
      </c>
      <c r="AE892" s="218">
        <v>0</v>
      </c>
      <c r="AF892">
        <v>0</v>
      </c>
      <c r="AH892" t="str">
        <f t="shared" si="44"/>
        <v>Mahua BMC</v>
      </c>
      <c r="AJ892" s="72">
        <v>0</v>
      </c>
      <c r="AK892" s="72"/>
      <c r="AL892" s="72"/>
      <c r="AM892" s="72"/>
    </row>
    <row r="893" spans="1:39" x14ac:dyDescent="0.25">
      <c r="A893" s="37" t="s">
        <v>62</v>
      </c>
      <c r="B893" s="66" t="s">
        <v>1596</v>
      </c>
      <c r="C893" s="41">
        <v>1061</v>
      </c>
      <c r="D893" s="41" t="s">
        <v>1388</v>
      </c>
      <c r="E893" s="41">
        <v>10610036</v>
      </c>
      <c r="F893" s="85" t="s">
        <v>1450</v>
      </c>
      <c r="G893" s="39" t="s">
        <v>617</v>
      </c>
      <c r="H893" s="52" t="s">
        <v>98</v>
      </c>
      <c r="I893" s="52">
        <v>306.7</v>
      </c>
      <c r="J893" s="49">
        <v>11516.719999999998</v>
      </c>
      <c r="K893" s="58">
        <v>0</v>
      </c>
      <c r="L893" s="58">
        <v>0</v>
      </c>
      <c r="M893" s="58">
        <v>0</v>
      </c>
      <c r="N893" s="58">
        <v>0</v>
      </c>
      <c r="O893" s="65">
        <v>0</v>
      </c>
      <c r="P893" s="65">
        <v>0</v>
      </c>
      <c r="Q893" s="50">
        <v>11516.719999999998</v>
      </c>
      <c r="R893" s="65">
        <v>0</v>
      </c>
      <c r="S893" s="65">
        <v>0</v>
      </c>
      <c r="T893" s="65">
        <v>0</v>
      </c>
      <c r="U893" s="65">
        <v>0</v>
      </c>
      <c r="V893" s="65">
        <v>0</v>
      </c>
      <c r="W893" s="65">
        <v>0</v>
      </c>
      <c r="X893" s="65">
        <v>0</v>
      </c>
      <c r="Y893" s="65">
        <v>0</v>
      </c>
      <c r="Z893" s="65">
        <v>11516.719999999998</v>
      </c>
      <c r="AA893" s="51">
        <v>0</v>
      </c>
      <c r="AB893" s="102">
        <v>0</v>
      </c>
      <c r="AC893" s="81">
        <f t="shared" si="42"/>
        <v>295.37176237365503</v>
      </c>
      <c r="AD893" s="82">
        <f t="shared" si="43"/>
        <v>43.81428571428571</v>
      </c>
      <c r="AE893" s="218">
        <v>0</v>
      </c>
      <c r="AF893">
        <v>0</v>
      </c>
      <c r="AH893" t="str">
        <f t="shared" si="44"/>
        <v>Mahua BMC</v>
      </c>
      <c r="AJ893" s="72">
        <v>0</v>
      </c>
      <c r="AK893" s="72"/>
      <c r="AL893" s="72"/>
      <c r="AM893" s="72"/>
    </row>
    <row r="894" spans="1:39" x14ac:dyDescent="0.25">
      <c r="A894" s="37" t="s">
        <v>62</v>
      </c>
      <c r="B894" s="66" t="s">
        <v>1596</v>
      </c>
      <c r="C894" s="41">
        <v>1061</v>
      </c>
      <c r="D894" s="41" t="s">
        <v>1388</v>
      </c>
      <c r="E894" s="41">
        <v>10610038</v>
      </c>
      <c r="F894" s="85" t="s">
        <v>1451</v>
      </c>
      <c r="G894" s="39" t="s">
        <v>617</v>
      </c>
      <c r="H894" s="52" t="s">
        <v>98</v>
      </c>
      <c r="I894" s="52">
        <v>781.1</v>
      </c>
      <c r="J894" s="49">
        <v>30234.379999999997</v>
      </c>
      <c r="K894" s="58">
        <v>0</v>
      </c>
      <c r="L894" s="58">
        <v>0</v>
      </c>
      <c r="M894" s="58">
        <v>0</v>
      </c>
      <c r="N894" s="58">
        <v>0</v>
      </c>
      <c r="O894" s="65">
        <v>0</v>
      </c>
      <c r="P894" s="65">
        <v>0</v>
      </c>
      <c r="Q894" s="50">
        <v>30234.379999999997</v>
      </c>
      <c r="R894" s="65">
        <v>0</v>
      </c>
      <c r="S894" s="65">
        <v>0</v>
      </c>
      <c r="T894" s="65">
        <v>0</v>
      </c>
      <c r="U894" s="65">
        <v>0</v>
      </c>
      <c r="V894" s="65">
        <v>0</v>
      </c>
      <c r="W894" s="65">
        <v>0</v>
      </c>
      <c r="X894" s="65">
        <v>0</v>
      </c>
      <c r="Y894" s="65">
        <v>0</v>
      </c>
      <c r="Z894" s="65">
        <v>30234.379999999997</v>
      </c>
      <c r="AA894" s="51">
        <v>0</v>
      </c>
      <c r="AB894" s="102">
        <v>0</v>
      </c>
      <c r="AC894" s="81">
        <f t="shared" si="42"/>
        <v>0</v>
      </c>
      <c r="AD894" s="82">
        <f t="shared" si="43"/>
        <v>0</v>
      </c>
      <c r="AE894" s="218">
        <v>0</v>
      </c>
      <c r="AF894">
        <v>0</v>
      </c>
      <c r="AH894" t="str">
        <f t="shared" si="44"/>
        <v>Mahua BMC</v>
      </c>
      <c r="AJ894" s="72">
        <v>0</v>
      </c>
      <c r="AK894" s="72"/>
      <c r="AL894" s="72"/>
      <c r="AM894" s="72"/>
    </row>
    <row r="895" spans="1:39" x14ac:dyDescent="0.25">
      <c r="A895" s="37" t="s">
        <v>62</v>
      </c>
      <c r="B895" s="66" t="s">
        <v>1596</v>
      </c>
      <c r="C895" s="41">
        <v>1061</v>
      </c>
      <c r="D895" s="41" t="s">
        <v>1388</v>
      </c>
      <c r="E895" s="41">
        <v>10610041</v>
      </c>
      <c r="F895" s="85" t="s">
        <v>1505</v>
      </c>
      <c r="G895" s="39" t="s">
        <v>617</v>
      </c>
      <c r="H895" s="52" t="s">
        <v>98</v>
      </c>
      <c r="I895" s="52">
        <v>19.299999999999997</v>
      </c>
      <c r="J895" s="49">
        <v>733.58</v>
      </c>
      <c r="K895" s="58">
        <v>0</v>
      </c>
      <c r="L895" s="58">
        <v>0</v>
      </c>
      <c r="M895" s="58">
        <v>0</v>
      </c>
      <c r="N895" s="58">
        <v>0</v>
      </c>
      <c r="O895" s="65">
        <v>0</v>
      </c>
      <c r="P895" s="65">
        <v>0</v>
      </c>
      <c r="Q895" s="50">
        <v>733.58</v>
      </c>
      <c r="R895" s="65">
        <v>0</v>
      </c>
      <c r="S895" s="65">
        <v>0</v>
      </c>
      <c r="T895" s="65">
        <v>0</v>
      </c>
      <c r="U895" s="65">
        <v>0</v>
      </c>
      <c r="V895" s="65">
        <v>0</v>
      </c>
      <c r="W895" s="65">
        <v>0</v>
      </c>
      <c r="X895" s="65">
        <v>0</v>
      </c>
      <c r="Y895" s="65">
        <v>0</v>
      </c>
      <c r="Z895" s="65">
        <v>733.58</v>
      </c>
      <c r="AA895" s="51">
        <v>0</v>
      </c>
      <c r="AB895" s="102">
        <v>0</v>
      </c>
      <c r="AC895" s="81">
        <f t="shared" si="42"/>
        <v>517.45896994818668</v>
      </c>
      <c r="AD895" s="82">
        <f t="shared" si="43"/>
        <v>2.7571428571428567</v>
      </c>
      <c r="AE895" s="218">
        <v>0</v>
      </c>
      <c r="AF895">
        <v>0</v>
      </c>
      <c r="AH895" t="str">
        <f t="shared" si="44"/>
        <v>Mahua BMC</v>
      </c>
      <c r="AJ895" s="72">
        <v>0</v>
      </c>
      <c r="AK895" s="72"/>
      <c r="AL895" s="72"/>
      <c r="AM895" s="72"/>
    </row>
    <row r="896" spans="1:39" x14ac:dyDescent="0.25">
      <c r="A896" s="37" t="s">
        <v>62</v>
      </c>
      <c r="B896" s="66" t="s">
        <v>1596</v>
      </c>
      <c r="C896" s="41">
        <v>1061</v>
      </c>
      <c r="D896" s="41" t="s">
        <v>1388</v>
      </c>
      <c r="E896" s="41">
        <v>10610045</v>
      </c>
      <c r="F896" s="85" t="s">
        <v>1459</v>
      </c>
      <c r="G896" s="39" t="s">
        <v>617</v>
      </c>
      <c r="H896" s="52" t="s">
        <v>98</v>
      </c>
      <c r="I896" s="52">
        <v>801.19999999999993</v>
      </c>
      <c r="J896" s="49">
        <v>31139.600000000006</v>
      </c>
      <c r="K896" s="58">
        <v>0</v>
      </c>
      <c r="L896" s="58">
        <v>0</v>
      </c>
      <c r="M896" s="58">
        <v>0</v>
      </c>
      <c r="N896" s="58">
        <v>0</v>
      </c>
      <c r="O896" s="65">
        <v>0</v>
      </c>
      <c r="P896" s="65">
        <v>0</v>
      </c>
      <c r="Q896" s="50">
        <v>31139.600000000006</v>
      </c>
      <c r="R896" s="65">
        <v>0</v>
      </c>
      <c r="S896" s="65">
        <v>0</v>
      </c>
      <c r="T896" s="65">
        <v>0</v>
      </c>
      <c r="U896" s="65">
        <v>0</v>
      </c>
      <c r="V896" s="65">
        <v>0</v>
      </c>
      <c r="W896" s="65">
        <v>0</v>
      </c>
      <c r="X896" s="65">
        <v>0</v>
      </c>
      <c r="Y896" s="65">
        <v>0</v>
      </c>
      <c r="Z896" s="65">
        <v>31139.600000000006</v>
      </c>
      <c r="AA896" s="51">
        <v>0</v>
      </c>
      <c r="AB896" s="102">
        <v>0</v>
      </c>
      <c r="AC896" s="81">
        <f t="shared" si="42"/>
        <v>0</v>
      </c>
      <c r="AD896" s="82">
        <f t="shared" si="43"/>
        <v>0</v>
      </c>
      <c r="AE896" s="218">
        <v>0</v>
      </c>
      <c r="AF896">
        <v>0</v>
      </c>
      <c r="AH896" t="str">
        <f t="shared" si="44"/>
        <v>Mahua BMC</v>
      </c>
      <c r="AJ896" s="72">
        <v>0</v>
      </c>
      <c r="AK896" s="72"/>
      <c r="AL896" s="72"/>
      <c r="AM896" s="72"/>
    </row>
    <row r="897" spans="1:39" x14ac:dyDescent="0.25">
      <c r="A897" s="37" t="s">
        <v>62</v>
      </c>
      <c r="B897" s="66" t="s">
        <v>1596</v>
      </c>
      <c r="C897" s="41">
        <v>1061</v>
      </c>
      <c r="D897" s="41" t="s">
        <v>1388</v>
      </c>
      <c r="E897" s="41">
        <v>10610046</v>
      </c>
      <c r="F897" s="85" t="s">
        <v>1460</v>
      </c>
      <c r="G897" s="39" t="s">
        <v>617</v>
      </c>
      <c r="H897" s="52" t="s">
        <v>98</v>
      </c>
      <c r="I897" s="52">
        <v>189.79999999999998</v>
      </c>
      <c r="J897" s="49">
        <v>7422.95</v>
      </c>
      <c r="K897" s="58">
        <v>0</v>
      </c>
      <c r="L897" s="58">
        <v>0</v>
      </c>
      <c r="M897" s="58">
        <v>0</v>
      </c>
      <c r="N897" s="58">
        <v>0</v>
      </c>
      <c r="O897" s="65">
        <v>0</v>
      </c>
      <c r="P897" s="65">
        <v>0</v>
      </c>
      <c r="Q897" s="50">
        <v>7422.95</v>
      </c>
      <c r="R897" s="65">
        <v>0</v>
      </c>
      <c r="S897" s="65">
        <v>0</v>
      </c>
      <c r="T897" s="65">
        <v>0</v>
      </c>
      <c r="U897" s="65">
        <v>0</v>
      </c>
      <c r="V897" s="65">
        <v>0</v>
      </c>
      <c r="W897" s="65">
        <v>0</v>
      </c>
      <c r="X897" s="65">
        <v>0</v>
      </c>
      <c r="Y897" s="65">
        <v>0</v>
      </c>
      <c r="Z897" s="65">
        <v>7422.95</v>
      </c>
      <c r="AA897" s="51">
        <v>0</v>
      </c>
      <c r="AB897" s="102">
        <v>0</v>
      </c>
      <c r="AC897" s="81">
        <f t="shared" si="42"/>
        <v>399.07155848261328</v>
      </c>
      <c r="AD897" s="82">
        <f t="shared" si="43"/>
        <v>27.11428571428571</v>
      </c>
      <c r="AE897" s="218">
        <v>0</v>
      </c>
      <c r="AF897">
        <v>0</v>
      </c>
      <c r="AH897" t="str">
        <f t="shared" si="44"/>
        <v>Mahua BMC</v>
      </c>
      <c r="AJ897" s="72">
        <v>0</v>
      </c>
      <c r="AK897" s="72"/>
      <c r="AL897" s="72"/>
      <c r="AM897" s="72"/>
    </row>
    <row r="898" spans="1:39" x14ac:dyDescent="0.25">
      <c r="A898" s="37" t="s">
        <v>62</v>
      </c>
      <c r="B898" s="66" t="s">
        <v>1596</v>
      </c>
      <c r="C898" s="41">
        <v>1061</v>
      </c>
      <c r="D898" s="41" t="s">
        <v>1388</v>
      </c>
      <c r="E898" s="41">
        <v>10610048</v>
      </c>
      <c r="F898" s="85" t="s">
        <v>1588</v>
      </c>
      <c r="G898" s="39" t="s">
        <v>617</v>
      </c>
      <c r="H898" s="52" t="s">
        <v>98</v>
      </c>
      <c r="I898" s="52">
        <v>69.8</v>
      </c>
      <c r="J898" s="49">
        <v>2668.74</v>
      </c>
      <c r="K898" s="58">
        <v>0</v>
      </c>
      <c r="L898" s="58">
        <v>0</v>
      </c>
      <c r="M898" s="58">
        <v>0</v>
      </c>
      <c r="N898" s="58">
        <v>0</v>
      </c>
      <c r="O898" s="65">
        <v>0</v>
      </c>
      <c r="P898" s="65">
        <v>0</v>
      </c>
      <c r="Q898" s="50">
        <v>2668.74</v>
      </c>
      <c r="R898" s="65">
        <v>0</v>
      </c>
      <c r="S898" s="65">
        <v>0</v>
      </c>
      <c r="T898" s="65">
        <v>0</v>
      </c>
      <c r="U898" s="65">
        <v>0</v>
      </c>
      <c r="V898" s="65">
        <v>0</v>
      </c>
      <c r="W898" s="65">
        <v>0</v>
      </c>
      <c r="X898" s="65">
        <v>0</v>
      </c>
      <c r="Y898" s="65">
        <v>0</v>
      </c>
      <c r="Z898" s="65">
        <v>2668.74</v>
      </c>
      <c r="AA898" s="51">
        <v>0</v>
      </c>
      <c r="AB898" s="102">
        <v>0</v>
      </c>
      <c r="AC898" s="81">
        <f t="shared" si="42"/>
        <v>481.90256389684811</v>
      </c>
      <c r="AD898" s="82">
        <f t="shared" si="43"/>
        <v>9.9714285714285715</v>
      </c>
      <c r="AE898" s="218">
        <v>0</v>
      </c>
      <c r="AF898">
        <v>0</v>
      </c>
      <c r="AH898" t="str">
        <f t="shared" si="44"/>
        <v>Mahua BMC</v>
      </c>
      <c r="AJ898" s="72">
        <v>0</v>
      </c>
      <c r="AK898" s="72"/>
      <c r="AL898" s="72"/>
      <c r="AM898" s="72"/>
    </row>
    <row r="899" spans="1:39" x14ac:dyDescent="0.25">
      <c r="A899" s="37" t="s">
        <v>62</v>
      </c>
      <c r="B899" s="66" t="s">
        <v>1596</v>
      </c>
      <c r="C899" s="41">
        <v>1061</v>
      </c>
      <c r="D899" s="41" t="s">
        <v>1388</v>
      </c>
      <c r="E899" s="41">
        <v>10610050</v>
      </c>
      <c r="F899" s="85" t="s">
        <v>1474</v>
      </c>
      <c r="G899" s="39" t="s">
        <v>617</v>
      </c>
      <c r="H899" s="52" t="s">
        <v>98</v>
      </c>
      <c r="I899" s="52">
        <v>439.1</v>
      </c>
      <c r="J899" s="49">
        <v>18176.39</v>
      </c>
      <c r="K899" s="58">
        <v>0</v>
      </c>
      <c r="L899" s="58">
        <v>0</v>
      </c>
      <c r="M899" s="58">
        <v>0</v>
      </c>
      <c r="N899" s="58">
        <v>0</v>
      </c>
      <c r="O899" s="65">
        <v>0</v>
      </c>
      <c r="P899" s="65">
        <v>0</v>
      </c>
      <c r="Q899" s="50">
        <v>18176.39</v>
      </c>
      <c r="R899" s="65">
        <v>0</v>
      </c>
      <c r="S899" s="65">
        <v>0</v>
      </c>
      <c r="T899" s="65">
        <v>0</v>
      </c>
      <c r="U899" s="65">
        <v>0</v>
      </c>
      <c r="V899" s="65">
        <v>0</v>
      </c>
      <c r="W899" s="65">
        <v>0</v>
      </c>
      <c r="X899" s="65">
        <v>0</v>
      </c>
      <c r="Y899" s="65">
        <v>0</v>
      </c>
      <c r="Z899" s="65">
        <v>18176.39</v>
      </c>
      <c r="AA899" s="51">
        <v>0</v>
      </c>
      <c r="AB899" s="102">
        <v>0</v>
      </c>
      <c r="AC899" s="81">
        <f t="shared" si="42"/>
        <v>215.99727401503071</v>
      </c>
      <c r="AD899" s="82">
        <f t="shared" si="43"/>
        <v>62.728571428571435</v>
      </c>
      <c r="AE899" s="218">
        <v>0</v>
      </c>
      <c r="AF899">
        <v>0</v>
      </c>
      <c r="AH899" t="str">
        <f t="shared" si="44"/>
        <v>Mahua BMC</v>
      </c>
      <c r="AJ899" s="72">
        <v>0</v>
      </c>
      <c r="AK899" s="72"/>
      <c r="AL899" s="72"/>
      <c r="AM899" s="72"/>
    </row>
    <row r="900" spans="1:39" x14ac:dyDescent="0.25">
      <c r="A900" s="37" t="s">
        <v>62</v>
      </c>
      <c r="B900" s="66" t="s">
        <v>1596</v>
      </c>
      <c r="C900" s="41">
        <v>1061</v>
      </c>
      <c r="D900" s="41" t="s">
        <v>1388</v>
      </c>
      <c r="E900" s="41">
        <v>10610051</v>
      </c>
      <c r="F900" s="85" t="s">
        <v>1475</v>
      </c>
      <c r="G900" s="39" t="s">
        <v>617</v>
      </c>
      <c r="H900" s="52" t="s">
        <v>98</v>
      </c>
      <c r="I900" s="52">
        <v>75.8</v>
      </c>
      <c r="J900" s="49">
        <v>3051.04</v>
      </c>
      <c r="K900" s="58">
        <v>0</v>
      </c>
      <c r="L900" s="58">
        <v>0</v>
      </c>
      <c r="M900" s="58">
        <v>0</v>
      </c>
      <c r="N900" s="58">
        <v>0</v>
      </c>
      <c r="O900" s="65">
        <v>0</v>
      </c>
      <c r="P900" s="65">
        <v>0</v>
      </c>
      <c r="Q900" s="50">
        <v>3051.04</v>
      </c>
      <c r="R900" s="65">
        <v>0</v>
      </c>
      <c r="S900" s="65">
        <v>0</v>
      </c>
      <c r="T900" s="65">
        <v>0</v>
      </c>
      <c r="U900" s="65">
        <v>0</v>
      </c>
      <c r="V900" s="65">
        <v>0</v>
      </c>
      <c r="W900" s="65">
        <v>0</v>
      </c>
      <c r="X900" s="65">
        <v>0</v>
      </c>
      <c r="Y900" s="65">
        <v>0</v>
      </c>
      <c r="Z900" s="65">
        <v>3051.04</v>
      </c>
      <c r="AA900" s="51">
        <v>0</v>
      </c>
      <c r="AB900" s="102">
        <v>0</v>
      </c>
      <c r="AC900" s="81">
        <f t="shared" ref="AC900:AC962" si="45">((IF(AD900=0,0,100-AD900))*7*(J900/I900))*2%</f>
        <v>502.49582269129291</v>
      </c>
      <c r="AD900" s="82">
        <f t="shared" ref="AD900:AD962" si="46">IF((I900/7)&gt;100,0,(I900/7))</f>
        <v>10.828571428571427</v>
      </c>
      <c r="AE900" s="218">
        <v>0</v>
      </c>
      <c r="AF900">
        <v>0</v>
      </c>
      <c r="AH900" t="str">
        <f t="shared" si="44"/>
        <v>Mahua BMC</v>
      </c>
      <c r="AJ900" s="72">
        <v>0</v>
      </c>
      <c r="AK900" s="72"/>
      <c r="AL900" s="72"/>
      <c r="AM900" s="72"/>
    </row>
    <row r="901" spans="1:39" x14ac:dyDescent="0.25">
      <c r="A901" s="37" t="s">
        <v>62</v>
      </c>
      <c r="B901" s="66" t="s">
        <v>1596</v>
      </c>
      <c r="C901" s="41">
        <v>1061</v>
      </c>
      <c r="D901" s="41" t="s">
        <v>1388</v>
      </c>
      <c r="E901" s="41">
        <v>10610052</v>
      </c>
      <c r="F901" s="85" t="s">
        <v>1478</v>
      </c>
      <c r="G901" s="39" t="s">
        <v>617</v>
      </c>
      <c r="H901" s="52" t="s">
        <v>98</v>
      </c>
      <c r="I901" s="52">
        <v>927.30000000000007</v>
      </c>
      <c r="J901" s="49">
        <v>39201.679999999993</v>
      </c>
      <c r="K901" s="58">
        <v>0</v>
      </c>
      <c r="L901" s="58">
        <v>0</v>
      </c>
      <c r="M901" s="58">
        <v>0</v>
      </c>
      <c r="N901" s="58">
        <v>0</v>
      </c>
      <c r="O901" s="65">
        <v>0</v>
      </c>
      <c r="P901" s="65">
        <v>0</v>
      </c>
      <c r="Q901" s="50">
        <v>39201.679999999993</v>
      </c>
      <c r="R901" s="65">
        <v>0</v>
      </c>
      <c r="S901" s="65">
        <v>0</v>
      </c>
      <c r="T901" s="65">
        <v>0</v>
      </c>
      <c r="U901" s="65">
        <v>0</v>
      </c>
      <c r="V901" s="65">
        <v>0</v>
      </c>
      <c r="W901" s="65">
        <v>0</v>
      </c>
      <c r="X901" s="65">
        <v>0</v>
      </c>
      <c r="Y901" s="65">
        <v>0</v>
      </c>
      <c r="Z901" s="65">
        <v>39201.679999999993</v>
      </c>
      <c r="AA901" s="51">
        <v>0</v>
      </c>
      <c r="AB901" s="102">
        <v>0</v>
      </c>
      <c r="AC901" s="81">
        <f t="shared" si="45"/>
        <v>0</v>
      </c>
      <c r="AD901" s="82">
        <f t="shared" si="46"/>
        <v>0</v>
      </c>
      <c r="AE901" s="218">
        <v>0</v>
      </c>
      <c r="AF901">
        <v>0</v>
      </c>
      <c r="AH901" t="str">
        <f t="shared" si="44"/>
        <v>Mahua BMC</v>
      </c>
      <c r="AJ901" s="72">
        <v>0</v>
      </c>
      <c r="AK901" s="72"/>
      <c r="AL901" s="72"/>
      <c r="AM901" s="72"/>
    </row>
    <row r="902" spans="1:39" x14ac:dyDescent="0.25">
      <c r="A902" s="37" t="s">
        <v>62</v>
      </c>
      <c r="B902" s="66" t="s">
        <v>1596</v>
      </c>
      <c r="C902" s="41">
        <v>1061</v>
      </c>
      <c r="D902" s="41" t="s">
        <v>1388</v>
      </c>
      <c r="E902" s="41">
        <v>10610054</v>
      </c>
      <c r="F902" s="85" t="s">
        <v>1556</v>
      </c>
      <c r="G902" s="39" t="s">
        <v>92</v>
      </c>
      <c r="H902" s="52" t="s">
        <v>93</v>
      </c>
      <c r="I902" s="52">
        <v>486</v>
      </c>
      <c r="J902" s="49">
        <v>19592.939999999999</v>
      </c>
      <c r="K902" s="58">
        <v>491.6</v>
      </c>
      <c r="L902" s="58">
        <v>19674.660000000003</v>
      </c>
      <c r="M902" s="58">
        <v>0</v>
      </c>
      <c r="N902" s="58">
        <v>0</v>
      </c>
      <c r="O902" s="65">
        <v>491.6</v>
      </c>
      <c r="P902" s="65">
        <v>19674.660000000003</v>
      </c>
      <c r="Q902" s="50">
        <v>19592.939999999999</v>
      </c>
      <c r="R902" s="65">
        <v>0</v>
      </c>
      <c r="S902" s="65">
        <v>0</v>
      </c>
      <c r="T902" s="65">
        <v>81.720000000004802</v>
      </c>
      <c r="U902" s="65">
        <v>0</v>
      </c>
      <c r="V902" s="65">
        <v>0</v>
      </c>
      <c r="W902" s="65">
        <v>0</v>
      </c>
      <c r="X902" s="65">
        <v>19593</v>
      </c>
      <c r="Y902" s="65">
        <v>0</v>
      </c>
      <c r="Z902" s="65">
        <v>0</v>
      </c>
      <c r="AA902" s="51">
        <v>0</v>
      </c>
      <c r="AB902" s="102">
        <v>0</v>
      </c>
      <c r="AC902" s="81">
        <f t="shared" si="45"/>
        <v>172.54687901234567</v>
      </c>
      <c r="AD902" s="82">
        <f t="shared" si="46"/>
        <v>69.428571428571431</v>
      </c>
      <c r="AE902" s="218">
        <v>-4.1708901267499829E-3</v>
      </c>
      <c r="AF902">
        <v>4</v>
      </c>
      <c r="AH902" t="str">
        <f t="shared" si="44"/>
        <v>Mahua BMC</v>
      </c>
      <c r="AJ902" s="72">
        <v>0</v>
      </c>
      <c r="AK902" s="72"/>
      <c r="AL902" s="72"/>
      <c r="AM902" s="72"/>
    </row>
    <row r="903" spans="1:39" x14ac:dyDescent="0.25">
      <c r="A903" s="37" t="s">
        <v>62</v>
      </c>
      <c r="B903" s="66" t="s">
        <v>1596</v>
      </c>
      <c r="C903" s="41">
        <v>1061</v>
      </c>
      <c r="D903" s="41" t="s">
        <v>1388</v>
      </c>
      <c r="E903" s="41">
        <v>10610055</v>
      </c>
      <c r="F903" s="85" t="s">
        <v>1527</v>
      </c>
      <c r="G903" s="39" t="s">
        <v>92</v>
      </c>
      <c r="H903" s="52" t="s">
        <v>93</v>
      </c>
      <c r="I903" s="52">
        <v>208.00000000000003</v>
      </c>
      <c r="J903" s="49">
        <v>9955.9999999999964</v>
      </c>
      <c r="K903" s="58">
        <v>187.5</v>
      </c>
      <c r="L903" s="58">
        <v>8607.6800000000021</v>
      </c>
      <c r="M903" s="58">
        <v>26.9</v>
      </c>
      <c r="N903" s="58">
        <v>1634.9700000000003</v>
      </c>
      <c r="O903" s="65">
        <v>214.4</v>
      </c>
      <c r="P903" s="65">
        <v>10242.650000000001</v>
      </c>
      <c r="Q903" s="50">
        <v>9955.9999999999964</v>
      </c>
      <c r="R903" s="65">
        <v>0</v>
      </c>
      <c r="S903" s="65">
        <v>0</v>
      </c>
      <c r="T903" s="65">
        <v>286.65000000000509</v>
      </c>
      <c r="U903" s="65">
        <v>1400</v>
      </c>
      <c r="V903" s="65">
        <v>0</v>
      </c>
      <c r="W903" s="65">
        <v>0</v>
      </c>
      <c r="X903" s="65">
        <v>6921</v>
      </c>
      <c r="Y903" s="65">
        <v>1635</v>
      </c>
      <c r="Z903" s="65">
        <v>0</v>
      </c>
      <c r="AA903" s="51">
        <v>0</v>
      </c>
      <c r="AB903" s="102" t="s">
        <v>68</v>
      </c>
      <c r="AC903" s="81">
        <f t="shared" si="45"/>
        <v>470.99538461538435</v>
      </c>
      <c r="AD903" s="82">
        <f t="shared" si="46"/>
        <v>29.714285714285719</v>
      </c>
      <c r="AE903" s="218">
        <v>-2.8791683406991283E-2</v>
      </c>
      <c r="AF903">
        <v>11</v>
      </c>
      <c r="AH903" t="str">
        <f t="shared" si="44"/>
        <v>Mahua BMC</v>
      </c>
      <c r="AJ903" s="72">
        <v>0</v>
      </c>
      <c r="AK903" s="72"/>
      <c r="AL903" s="72"/>
      <c r="AM903" s="72"/>
    </row>
    <row r="904" spans="1:39" x14ac:dyDescent="0.25">
      <c r="A904" s="37" t="s">
        <v>62</v>
      </c>
      <c r="B904" s="66" t="s">
        <v>1596</v>
      </c>
      <c r="C904" s="41">
        <v>1061</v>
      </c>
      <c r="D904" s="41" t="s">
        <v>1388</v>
      </c>
      <c r="E904" s="41">
        <v>10610056</v>
      </c>
      <c r="F904" s="85" t="s">
        <v>1528</v>
      </c>
      <c r="G904" s="39" t="s">
        <v>617</v>
      </c>
      <c r="H904" s="52" t="s">
        <v>98</v>
      </c>
      <c r="I904" s="52">
        <v>359.09999999999997</v>
      </c>
      <c r="J904" s="49">
        <v>14510.97</v>
      </c>
      <c r="K904" s="58">
        <v>0</v>
      </c>
      <c r="L904" s="58">
        <v>0</v>
      </c>
      <c r="M904" s="58">
        <v>0</v>
      </c>
      <c r="N904" s="58">
        <v>0</v>
      </c>
      <c r="O904" s="65">
        <v>0</v>
      </c>
      <c r="P904" s="65">
        <v>0</v>
      </c>
      <c r="Q904" s="50">
        <v>14510.97</v>
      </c>
      <c r="R904" s="65">
        <v>0</v>
      </c>
      <c r="S904" s="65">
        <v>0</v>
      </c>
      <c r="T904" s="65">
        <v>0</v>
      </c>
      <c r="U904" s="65">
        <v>0</v>
      </c>
      <c r="V904" s="65">
        <v>0</v>
      </c>
      <c r="W904" s="65">
        <v>0</v>
      </c>
      <c r="X904" s="65">
        <v>0</v>
      </c>
      <c r="Y904" s="65">
        <v>0</v>
      </c>
      <c r="Z904" s="65">
        <v>14510.97</v>
      </c>
      <c r="AA904" s="51">
        <v>0</v>
      </c>
      <c r="AB904" s="102">
        <v>0</v>
      </c>
      <c r="AC904" s="81">
        <f t="shared" si="45"/>
        <v>275.51042456140351</v>
      </c>
      <c r="AD904" s="82">
        <f t="shared" si="46"/>
        <v>51.3</v>
      </c>
      <c r="AE904" s="218">
        <v>0</v>
      </c>
      <c r="AF904">
        <v>0</v>
      </c>
      <c r="AH904" t="str">
        <f t="shared" si="44"/>
        <v>Mahua BMC</v>
      </c>
      <c r="AJ904" s="72">
        <v>0</v>
      </c>
      <c r="AK904" s="72"/>
      <c r="AL904" s="72"/>
      <c r="AM904" s="72"/>
    </row>
    <row r="905" spans="1:39" x14ac:dyDescent="0.25">
      <c r="A905" s="37" t="s">
        <v>62</v>
      </c>
      <c r="B905" s="66" t="s">
        <v>1596</v>
      </c>
      <c r="C905" s="41">
        <v>1061</v>
      </c>
      <c r="D905" s="41" t="s">
        <v>1388</v>
      </c>
      <c r="E905" s="41">
        <v>10610059</v>
      </c>
      <c r="F905" s="85" t="s">
        <v>1543</v>
      </c>
      <c r="G905" s="39" t="s">
        <v>617</v>
      </c>
      <c r="H905" s="52" t="s">
        <v>98</v>
      </c>
      <c r="I905" s="52">
        <v>252.7</v>
      </c>
      <c r="J905" s="49">
        <v>9706.0700000000015</v>
      </c>
      <c r="K905" s="58">
        <v>0</v>
      </c>
      <c r="L905" s="58">
        <v>0</v>
      </c>
      <c r="M905" s="58">
        <v>0</v>
      </c>
      <c r="N905" s="58">
        <v>0</v>
      </c>
      <c r="O905" s="65">
        <v>0</v>
      </c>
      <c r="P905" s="65">
        <v>0</v>
      </c>
      <c r="Q905" s="50">
        <v>9706.0700000000015</v>
      </c>
      <c r="R905" s="65">
        <v>0</v>
      </c>
      <c r="S905" s="65">
        <v>0</v>
      </c>
      <c r="T905" s="65">
        <v>0</v>
      </c>
      <c r="U905" s="65">
        <v>0</v>
      </c>
      <c r="V905" s="65">
        <v>0</v>
      </c>
      <c r="W905" s="65">
        <v>0</v>
      </c>
      <c r="X905" s="65">
        <v>0</v>
      </c>
      <c r="Y905" s="65">
        <v>0</v>
      </c>
      <c r="Z905" s="65">
        <v>9706.0700000000015</v>
      </c>
      <c r="AA905" s="51">
        <v>0</v>
      </c>
      <c r="AB905" s="102">
        <v>0</v>
      </c>
      <c r="AC905" s="81">
        <f t="shared" si="45"/>
        <v>343.6110099722992</v>
      </c>
      <c r="AD905" s="82">
        <f t="shared" si="46"/>
        <v>36.1</v>
      </c>
      <c r="AE905" s="218">
        <v>0</v>
      </c>
      <c r="AF905">
        <v>0</v>
      </c>
      <c r="AH905" t="str">
        <f t="shared" si="44"/>
        <v>Mahua BMC</v>
      </c>
      <c r="AJ905" s="72">
        <v>0</v>
      </c>
      <c r="AK905" s="72"/>
      <c r="AL905" s="72"/>
      <c r="AM905" s="72"/>
    </row>
    <row r="906" spans="1:39" x14ac:dyDescent="0.25">
      <c r="A906" s="37" t="s">
        <v>62</v>
      </c>
      <c r="B906" s="66" t="s">
        <v>1596</v>
      </c>
      <c r="C906" s="41">
        <v>1061</v>
      </c>
      <c r="D906" s="41" t="s">
        <v>1388</v>
      </c>
      <c r="E906" s="41">
        <v>10610060</v>
      </c>
      <c r="F906" s="85" t="s">
        <v>1606</v>
      </c>
      <c r="G906" s="39" t="s">
        <v>92</v>
      </c>
      <c r="H906" s="52" t="s">
        <v>93</v>
      </c>
      <c r="I906" s="52">
        <v>19.600000000000001</v>
      </c>
      <c r="J906" s="49">
        <v>972.79</v>
      </c>
      <c r="K906" s="58">
        <v>27</v>
      </c>
      <c r="L906" s="58">
        <v>1356.0700000000002</v>
      </c>
      <c r="M906" s="58">
        <v>0</v>
      </c>
      <c r="N906" s="58">
        <v>0</v>
      </c>
      <c r="O906" s="65">
        <v>27</v>
      </c>
      <c r="P906" s="65">
        <v>1356.0700000000002</v>
      </c>
      <c r="Q906" s="50">
        <v>972.79</v>
      </c>
      <c r="R906" s="65">
        <v>0</v>
      </c>
      <c r="S906" s="65">
        <v>0</v>
      </c>
      <c r="T906" s="65">
        <v>383.2800000000002</v>
      </c>
      <c r="U906" s="65">
        <v>0</v>
      </c>
      <c r="V906" s="65">
        <v>0</v>
      </c>
      <c r="W906" s="65">
        <v>0</v>
      </c>
      <c r="X906" s="65">
        <v>973</v>
      </c>
      <c r="Y906" s="65">
        <v>0</v>
      </c>
      <c r="Z906" s="65">
        <v>0</v>
      </c>
      <c r="AA906" s="51">
        <v>0</v>
      </c>
      <c r="AB906" s="102">
        <v>0</v>
      </c>
      <c r="AC906" s="81">
        <f t="shared" si="45"/>
        <v>675.39419999999996</v>
      </c>
      <c r="AD906" s="82">
        <f t="shared" si="46"/>
        <v>2.8000000000000003</v>
      </c>
      <c r="AE906" s="218">
        <v>-0.3940007606986094</v>
      </c>
      <c r="AF906">
        <v>3</v>
      </c>
      <c r="AH906" t="str">
        <f t="shared" si="44"/>
        <v>Mahua BMC</v>
      </c>
      <c r="AJ906" s="72">
        <v>0</v>
      </c>
      <c r="AK906" s="72"/>
      <c r="AL906" s="72"/>
      <c r="AM906" s="72"/>
    </row>
    <row r="907" spans="1:39" x14ac:dyDescent="0.25">
      <c r="A907" s="37" t="s">
        <v>62</v>
      </c>
      <c r="B907" s="66" t="s">
        <v>1596</v>
      </c>
      <c r="C907" s="41">
        <v>1061</v>
      </c>
      <c r="D907" s="41" t="s">
        <v>1388</v>
      </c>
      <c r="E907" s="41">
        <v>10610064</v>
      </c>
      <c r="F907" s="85" t="s">
        <v>1589</v>
      </c>
      <c r="G907" s="39" t="s">
        <v>617</v>
      </c>
      <c r="H907" s="52" t="s">
        <v>98</v>
      </c>
      <c r="I907" s="52">
        <v>882.99999999999989</v>
      </c>
      <c r="J907" s="49">
        <v>36329.39</v>
      </c>
      <c r="K907" s="58">
        <v>0</v>
      </c>
      <c r="L907" s="58">
        <v>0</v>
      </c>
      <c r="M907" s="58">
        <v>0</v>
      </c>
      <c r="N907" s="58">
        <v>0</v>
      </c>
      <c r="O907" s="65">
        <v>0</v>
      </c>
      <c r="P907" s="65">
        <v>0</v>
      </c>
      <c r="Q907" s="50">
        <v>36329.39</v>
      </c>
      <c r="R907" s="65">
        <v>0</v>
      </c>
      <c r="S907" s="65">
        <v>0</v>
      </c>
      <c r="T907" s="65">
        <v>0</v>
      </c>
      <c r="U907" s="65">
        <v>0</v>
      </c>
      <c r="V907" s="65">
        <v>0</v>
      </c>
      <c r="W907" s="65">
        <v>0</v>
      </c>
      <c r="X907" s="65">
        <v>0</v>
      </c>
      <c r="Y907" s="65">
        <v>0</v>
      </c>
      <c r="Z907" s="65">
        <v>36329.39</v>
      </c>
      <c r="AA907" s="51">
        <v>0</v>
      </c>
      <c r="AB907" s="102">
        <v>0</v>
      </c>
      <c r="AC907" s="81">
        <f t="shared" si="45"/>
        <v>0</v>
      </c>
      <c r="AD907" s="82">
        <f t="shared" si="46"/>
        <v>0</v>
      </c>
      <c r="AE907" s="218">
        <v>0</v>
      </c>
      <c r="AF907">
        <v>0</v>
      </c>
      <c r="AH907" t="str">
        <f t="shared" si="44"/>
        <v>Mahua BMC</v>
      </c>
      <c r="AJ907" s="72">
        <v>0</v>
      </c>
      <c r="AK907" s="72"/>
      <c r="AL907" s="72"/>
      <c r="AM907" s="72"/>
    </row>
    <row r="908" spans="1:39" x14ac:dyDescent="0.25">
      <c r="A908" s="37" t="s">
        <v>62</v>
      </c>
      <c r="B908" s="66" t="s">
        <v>1596</v>
      </c>
      <c r="C908" s="41">
        <v>1057</v>
      </c>
      <c r="D908" s="41" t="s">
        <v>1174</v>
      </c>
      <c r="E908" s="41">
        <v>10630002</v>
      </c>
      <c r="F908" s="85" t="s">
        <v>1453</v>
      </c>
      <c r="G908" s="39" t="s">
        <v>92</v>
      </c>
      <c r="H908" s="52" t="s">
        <v>93</v>
      </c>
      <c r="I908" s="52">
        <v>198.10000000000002</v>
      </c>
      <c r="J908" s="49">
        <v>8707.2999999999993</v>
      </c>
      <c r="K908" s="58">
        <v>29.5</v>
      </c>
      <c r="L908" s="58">
        <v>1285.29</v>
      </c>
      <c r="M908" s="58">
        <v>170.89999999999998</v>
      </c>
      <c r="N908" s="58">
        <v>7560.51</v>
      </c>
      <c r="O908" s="65">
        <v>200.39999999999998</v>
      </c>
      <c r="P908" s="65">
        <v>8845.7999999999993</v>
      </c>
      <c r="Q908" s="50">
        <v>8707.2999999999993</v>
      </c>
      <c r="R908" s="65">
        <v>0</v>
      </c>
      <c r="S908" s="65">
        <v>0</v>
      </c>
      <c r="T908" s="65">
        <v>138.5</v>
      </c>
      <c r="U908" s="65">
        <v>0</v>
      </c>
      <c r="V908" s="65">
        <v>0</v>
      </c>
      <c r="W908" s="65">
        <v>0</v>
      </c>
      <c r="X908" s="65">
        <v>1147</v>
      </c>
      <c r="Y908" s="65">
        <v>7560</v>
      </c>
      <c r="Z908" s="65">
        <v>0</v>
      </c>
      <c r="AA908" s="51">
        <v>0</v>
      </c>
      <c r="AB908" s="102">
        <v>0</v>
      </c>
      <c r="AC908" s="81">
        <f t="shared" si="45"/>
        <v>441.21089045936378</v>
      </c>
      <c r="AD908" s="82">
        <f t="shared" si="46"/>
        <v>28.300000000000004</v>
      </c>
      <c r="AE908" s="218">
        <v>-1.5906193653601002E-2</v>
      </c>
      <c r="AF908">
        <v>10</v>
      </c>
      <c r="AH908" t="str">
        <f t="shared" si="44"/>
        <v>Warisnagar</v>
      </c>
      <c r="AJ908" s="72">
        <v>0</v>
      </c>
      <c r="AK908" s="72"/>
      <c r="AL908" s="72"/>
      <c r="AM908" s="72"/>
    </row>
    <row r="909" spans="1:39" x14ac:dyDescent="0.25">
      <c r="A909" s="37" t="s">
        <v>62</v>
      </c>
      <c r="B909" s="66" t="s">
        <v>1596</v>
      </c>
      <c r="C909" s="41">
        <v>1063</v>
      </c>
      <c r="D909" s="41" t="s">
        <v>1565</v>
      </c>
      <c r="E909" s="41">
        <v>10630003</v>
      </c>
      <c r="F909" s="85" t="s">
        <v>1354</v>
      </c>
      <c r="G909" s="39" t="s">
        <v>92</v>
      </c>
      <c r="H909" s="52" t="s">
        <v>93</v>
      </c>
      <c r="I909" s="52">
        <v>74.599999999999994</v>
      </c>
      <c r="J909" s="49">
        <v>4457.6600000000008</v>
      </c>
      <c r="K909" s="58">
        <v>75.099999999999994</v>
      </c>
      <c r="L909" s="58">
        <v>4454.4799999999996</v>
      </c>
      <c r="M909" s="58">
        <v>0</v>
      </c>
      <c r="N909" s="58">
        <v>0</v>
      </c>
      <c r="O909" s="65">
        <v>75.099999999999994</v>
      </c>
      <c r="P909" s="65">
        <v>4454.4799999999996</v>
      </c>
      <c r="Q909" s="50">
        <v>4454.4799999999996</v>
      </c>
      <c r="R909" s="65">
        <v>0</v>
      </c>
      <c r="S909" s="65">
        <v>0</v>
      </c>
      <c r="T909" s="65">
        <v>0</v>
      </c>
      <c r="U909" s="65">
        <v>0</v>
      </c>
      <c r="V909" s="65">
        <v>0</v>
      </c>
      <c r="W909" s="65">
        <v>0</v>
      </c>
      <c r="X909" s="65">
        <v>4456</v>
      </c>
      <c r="Y909" s="65">
        <v>0</v>
      </c>
      <c r="Z909" s="65">
        <v>0</v>
      </c>
      <c r="AA909" s="51">
        <v>2</v>
      </c>
      <c r="AB909" s="102">
        <v>0</v>
      </c>
      <c r="AC909" s="81">
        <f t="shared" si="45"/>
        <v>747.40497694369992</v>
      </c>
      <c r="AD909" s="82">
        <f t="shared" si="46"/>
        <v>10.657142857142857</v>
      </c>
      <c r="AE909" s="218">
        <v>7.1337876823292939E-4</v>
      </c>
      <c r="AF909">
        <v>5</v>
      </c>
      <c r="AH909" t="str">
        <f t="shared" si="44"/>
        <v>Rosera</v>
      </c>
      <c r="AJ909" s="72">
        <v>0</v>
      </c>
      <c r="AK909" s="72"/>
      <c r="AL909" s="72"/>
      <c r="AM909" s="72"/>
    </row>
    <row r="910" spans="1:39" x14ac:dyDescent="0.25">
      <c r="A910" s="37" t="s">
        <v>62</v>
      </c>
      <c r="B910" s="66" t="s">
        <v>1596</v>
      </c>
      <c r="C910" s="41">
        <v>1063</v>
      </c>
      <c r="D910" s="41" t="s">
        <v>1565</v>
      </c>
      <c r="E910" s="41">
        <v>10630004</v>
      </c>
      <c r="F910" s="85" t="s">
        <v>1380</v>
      </c>
      <c r="G910" s="39" t="s">
        <v>92</v>
      </c>
      <c r="H910" s="52" t="s">
        <v>93</v>
      </c>
      <c r="I910" s="52">
        <v>257.60000000000002</v>
      </c>
      <c r="J910" s="49">
        <v>10731.32</v>
      </c>
      <c r="K910" s="58">
        <v>258.99999999999989</v>
      </c>
      <c r="L910" s="58">
        <v>10806.030000000002</v>
      </c>
      <c r="M910" s="58">
        <v>0</v>
      </c>
      <c r="N910" s="58">
        <v>0</v>
      </c>
      <c r="O910" s="65">
        <v>258.99999999999989</v>
      </c>
      <c r="P910" s="65">
        <v>10806.030000000002</v>
      </c>
      <c r="Q910" s="50">
        <v>10731.32</v>
      </c>
      <c r="R910" s="65">
        <v>0</v>
      </c>
      <c r="S910" s="65">
        <v>0</v>
      </c>
      <c r="T910" s="65">
        <v>74.710000000002765</v>
      </c>
      <c r="U910" s="65">
        <v>0</v>
      </c>
      <c r="V910" s="65">
        <v>0</v>
      </c>
      <c r="W910" s="65">
        <v>0</v>
      </c>
      <c r="X910" s="65">
        <v>10731</v>
      </c>
      <c r="Y910" s="65">
        <v>0</v>
      </c>
      <c r="Z910" s="65">
        <v>0</v>
      </c>
      <c r="AA910" s="51">
        <v>0</v>
      </c>
      <c r="AB910" s="102">
        <v>0</v>
      </c>
      <c r="AC910" s="81">
        <f t="shared" si="45"/>
        <v>368.59751304347827</v>
      </c>
      <c r="AD910" s="82">
        <f t="shared" si="46"/>
        <v>36.800000000000004</v>
      </c>
      <c r="AE910" s="218">
        <v>-6.961864896396973E-3</v>
      </c>
      <c r="AF910">
        <v>6</v>
      </c>
      <c r="AH910" t="str">
        <f t="shared" si="44"/>
        <v>Rosera</v>
      </c>
      <c r="AJ910" s="72">
        <v>0</v>
      </c>
      <c r="AK910" s="72"/>
      <c r="AL910" s="72"/>
      <c r="AM910" s="72"/>
    </row>
    <row r="911" spans="1:39" x14ac:dyDescent="0.25">
      <c r="A911" s="37" t="s">
        <v>62</v>
      </c>
      <c r="B911" s="66" t="s">
        <v>1596</v>
      </c>
      <c r="C911" s="41">
        <v>1063</v>
      </c>
      <c r="D911" s="41" t="s">
        <v>1565</v>
      </c>
      <c r="E911" s="41">
        <v>10630008</v>
      </c>
      <c r="F911" s="85" t="s">
        <v>1355</v>
      </c>
      <c r="G911" s="39" t="s">
        <v>92</v>
      </c>
      <c r="H911" s="52" t="s">
        <v>93</v>
      </c>
      <c r="I911" s="52">
        <v>15.1</v>
      </c>
      <c r="J911" s="49">
        <v>852.24</v>
      </c>
      <c r="K911" s="58">
        <v>15.1</v>
      </c>
      <c r="L911" s="58">
        <v>852.24</v>
      </c>
      <c r="M911" s="58">
        <v>0</v>
      </c>
      <c r="N911" s="58">
        <v>0</v>
      </c>
      <c r="O911" s="65">
        <v>15.1</v>
      </c>
      <c r="P911" s="65">
        <v>852.24</v>
      </c>
      <c r="Q911" s="50">
        <v>852.24</v>
      </c>
      <c r="R911" s="65">
        <v>0</v>
      </c>
      <c r="S911" s="65">
        <v>0</v>
      </c>
      <c r="T911" s="65">
        <v>0</v>
      </c>
      <c r="U911" s="65">
        <v>0</v>
      </c>
      <c r="V911" s="65">
        <v>0</v>
      </c>
      <c r="W911" s="65">
        <v>0</v>
      </c>
      <c r="X911" s="65">
        <v>852</v>
      </c>
      <c r="Y911" s="65">
        <v>0</v>
      </c>
      <c r="Z911" s="65">
        <v>0</v>
      </c>
      <c r="AA911" s="51">
        <v>0</v>
      </c>
      <c r="AB911" s="102">
        <v>0</v>
      </c>
      <c r="AC911" s="81">
        <f t="shared" si="45"/>
        <v>773.11149139072847</v>
      </c>
      <c r="AD911" s="82">
        <f t="shared" si="46"/>
        <v>2.157142857142857</v>
      </c>
      <c r="AE911" s="218">
        <v>0</v>
      </c>
      <c r="AF911">
        <v>1</v>
      </c>
      <c r="AH911" t="str">
        <f t="shared" si="44"/>
        <v>Rosera</v>
      </c>
      <c r="AJ911" s="72">
        <v>0</v>
      </c>
      <c r="AK911" s="72"/>
      <c r="AL911" s="72"/>
      <c r="AM911" s="72"/>
    </row>
    <row r="912" spans="1:39" x14ac:dyDescent="0.25">
      <c r="A912" s="37" t="s">
        <v>62</v>
      </c>
      <c r="B912" s="66" t="s">
        <v>1596</v>
      </c>
      <c r="C912" s="41">
        <v>1063</v>
      </c>
      <c r="D912" s="41" t="s">
        <v>1565</v>
      </c>
      <c r="E912" s="41">
        <v>10630009</v>
      </c>
      <c r="F912" s="85" t="s">
        <v>1356</v>
      </c>
      <c r="G912" s="39" t="s">
        <v>92</v>
      </c>
      <c r="H912" s="52" t="s">
        <v>93</v>
      </c>
      <c r="I912" s="52">
        <v>1432.3999999999999</v>
      </c>
      <c r="J912" s="49">
        <v>56551.209999999985</v>
      </c>
      <c r="K912" s="58">
        <v>1271.4000000000001</v>
      </c>
      <c r="L912" s="58">
        <v>56451.380000000005</v>
      </c>
      <c r="M912" s="58">
        <v>1.0999999999999999</v>
      </c>
      <c r="N912" s="58">
        <v>54.5</v>
      </c>
      <c r="O912" s="65">
        <v>1272.5</v>
      </c>
      <c r="P912" s="65">
        <v>56505.880000000005</v>
      </c>
      <c r="Q912" s="50">
        <v>56505.880000000005</v>
      </c>
      <c r="R912" s="65">
        <v>0</v>
      </c>
      <c r="S912" s="65">
        <v>54.5</v>
      </c>
      <c r="T912" s="65">
        <v>0</v>
      </c>
      <c r="U912" s="65">
        <v>0</v>
      </c>
      <c r="V912" s="65">
        <v>0</v>
      </c>
      <c r="W912" s="65">
        <v>0</v>
      </c>
      <c r="X912" s="65">
        <v>56452</v>
      </c>
      <c r="Y912" s="65">
        <v>0</v>
      </c>
      <c r="Z912" s="65">
        <v>0</v>
      </c>
      <c r="AA912" s="51">
        <v>45</v>
      </c>
      <c r="AB912" s="102">
        <v>0</v>
      </c>
      <c r="AC912" s="81">
        <f t="shared" si="45"/>
        <v>0</v>
      </c>
      <c r="AD912" s="82">
        <f t="shared" si="46"/>
        <v>0</v>
      </c>
      <c r="AE912" s="218">
        <v>8.0157436065435078E-4</v>
      </c>
      <c r="AF912">
        <v>5</v>
      </c>
      <c r="AH912" t="str">
        <f t="shared" si="44"/>
        <v>Rosera</v>
      </c>
      <c r="AJ912" s="72">
        <v>0</v>
      </c>
      <c r="AK912" s="72"/>
      <c r="AL912" s="72"/>
      <c r="AM912" s="72"/>
    </row>
    <row r="913" spans="1:39" x14ac:dyDescent="0.25">
      <c r="A913" s="37" t="s">
        <v>62</v>
      </c>
      <c r="B913" s="66" t="s">
        <v>1596</v>
      </c>
      <c r="C913" s="41">
        <v>1063</v>
      </c>
      <c r="D913" s="41" t="s">
        <v>1565</v>
      </c>
      <c r="E913" s="41">
        <v>10630010</v>
      </c>
      <c r="F913" s="85" t="s">
        <v>1357</v>
      </c>
      <c r="G913" s="39" t="s">
        <v>617</v>
      </c>
      <c r="H913" s="52" t="s">
        <v>98</v>
      </c>
      <c r="I913" s="52">
        <v>488.6</v>
      </c>
      <c r="J913" s="49">
        <v>19248.32</v>
      </c>
      <c r="K913" s="58">
        <v>0</v>
      </c>
      <c r="L913" s="58">
        <v>0</v>
      </c>
      <c r="M913" s="58">
        <v>0</v>
      </c>
      <c r="N913" s="58">
        <v>0</v>
      </c>
      <c r="O913" s="65">
        <v>0</v>
      </c>
      <c r="P913" s="65">
        <v>0</v>
      </c>
      <c r="Q913" s="50">
        <v>19248.32</v>
      </c>
      <c r="R913" s="65">
        <v>0</v>
      </c>
      <c r="S913" s="65">
        <v>0</v>
      </c>
      <c r="T913" s="65">
        <v>0</v>
      </c>
      <c r="U913" s="65">
        <v>0</v>
      </c>
      <c r="V913" s="65">
        <v>0</v>
      </c>
      <c r="W913" s="65">
        <v>0</v>
      </c>
      <c r="X913" s="65">
        <v>0</v>
      </c>
      <c r="Y913" s="65">
        <v>0</v>
      </c>
      <c r="Z913" s="65">
        <v>19248.32</v>
      </c>
      <c r="AA913" s="51">
        <v>0</v>
      </c>
      <c r="AB913" s="102">
        <v>0</v>
      </c>
      <c r="AC913" s="81">
        <f t="shared" si="45"/>
        <v>166.56139369627508</v>
      </c>
      <c r="AD913" s="82">
        <f t="shared" si="46"/>
        <v>69.8</v>
      </c>
      <c r="AE913" s="218">
        <v>0</v>
      </c>
      <c r="AF913">
        <v>0</v>
      </c>
      <c r="AH913" t="str">
        <f t="shared" si="44"/>
        <v>Rosera</v>
      </c>
      <c r="AJ913" s="72">
        <v>0</v>
      </c>
      <c r="AK913" s="72"/>
      <c r="AL913" s="72"/>
      <c r="AM913" s="72"/>
    </row>
    <row r="914" spans="1:39" x14ac:dyDescent="0.25">
      <c r="A914" s="37" t="s">
        <v>62</v>
      </c>
      <c r="B914" s="66" t="s">
        <v>1596</v>
      </c>
      <c r="C914" s="41">
        <v>1063</v>
      </c>
      <c r="D914" s="41" t="s">
        <v>1565</v>
      </c>
      <c r="E914" s="41">
        <v>10630011</v>
      </c>
      <c r="F914" s="85" t="s">
        <v>1358</v>
      </c>
      <c r="G914" s="39" t="s">
        <v>617</v>
      </c>
      <c r="H914" s="52" t="s">
        <v>98</v>
      </c>
      <c r="I914" s="52">
        <v>126</v>
      </c>
      <c r="J914" s="49">
        <v>3724.3</v>
      </c>
      <c r="K914" s="58">
        <v>0</v>
      </c>
      <c r="L914" s="58">
        <v>0</v>
      </c>
      <c r="M914" s="58">
        <v>0</v>
      </c>
      <c r="N914" s="58">
        <v>0</v>
      </c>
      <c r="O914" s="65">
        <v>0</v>
      </c>
      <c r="P914" s="65">
        <v>0</v>
      </c>
      <c r="Q914" s="50">
        <v>3724.3</v>
      </c>
      <c r="R914" s="65">
        <v>0</v>
      </c>
      <c r="S914" s="65">
        <v>0</v>
      </c>
      <c r="T914" s="65">
        <v>0</v>
      </c>
      <c r="U914" s="65">
        <v>0</v>
      </c>
      <c r="V914" s="65">
        <v>0</v>
      </c>
      <c r="W914" s="65">
        <v>0</v>
      </c>
      <c r="X914" s="65">
        <v>0</v>
      </c>
      <c r="Y914" s="65">
        <v>0</v>
      </c>
      <c r="Z914" s="65">
        <v>3724.3</v>
      </c>
      <c r="AA914" s="51">
        <v>0</v>
      </c>
      <c r="AB914" s="102">
        <v>0</v>
      </c>
      <c r="AC914" s="81">
        <f t="shared" si="45"/>
        <v>339.32511111111114</v>
      </c>
      <c r="AD914" s="82">
        <f t="shared" si="46"/>
        <v>18</v>
      </c>
      <c r="AE914" s="218">
        <v>0</v>
      </c>
      <c r="AF914">
        <v>0</v>
      </c>
      <c r="AH914" t="str">
        <f t="shared" si="44"/>
        <v>Rosera</v>
      </c>
      <c r="AJ914" s="72">
        <v>0</v>
      </c>
      <c r="AK914" s="72"/>
      <c r="AL914" s="72"/>
      <c r="AM914" s="72"/>
    </row>
    <row r="915" spans="1:39" x14ac:dyDescent="0.25">
      <c r="A915" s="37" t="s">
        <v>62</v>
      </c>
      <c r="B915" s="66" t="s">
        <v>1596</v>
      </c>
      <c r="C915" s="41">
        <v>1063</v>
      </c>
      <c r="D915" s="41" t="s">
        <v>1565</v>
      </c>
      <c r="E915" s="41">
        <v>10630012</v>
      </c>
      <c r="F915" s="85" t="s">
        <v>1359</v>
      </c>
      <c r="G915" s="39" t="s">
        <v>617</v>
      </c>
      <c r="H915" s="52" t="s">
        <v>98</v>
      </c>
      <c r="I915" s="52">
        <v>163.30000000000001</v>
      </c>
      <c r="J915" s="49">
        <v>6193.33</v>
      </c>
      <c r="K915" s="58">
        <v>0</v>
      </c>
      <c r="L915" s="58">
        <v>0</v>
      </c>
      <c r="M915" s="58">
        <v>0</v>
      </c>
      <c r="N915" s="58">
        <v>0</v>
      </c>
      <c r="O915" s="65">
        <v>0</v>
      </c>
      <c r="P915" s="65">
        <v>0</v>
      </c>
      <c r="Q915" s="50">
        <v>6193.33</v>
      </c>
      <c r="R915" s="65">
        <v>0</v>
      </c>
      <c r="S915" s="65">
        <v>0</v>
      </c>
      <c r="T915" s="65">
        <v>0</v>
      </c>
      <c r="U915" s="65">
        <v>0</v>
      </c>
      <c r="V915" s="65">
        <v>0</v>
      </c>
      <c r="W915" s="65">
        <v>0</v>
      </c>
      <c r="X915" s="65">
        <v>0</v>
      </c>
      <c r="Y915" s="65">
        <v>0</v>
      </c>
      <c r="Z915" s="65">
        <v>6193.33</v>
      </c>
      <c r="AA915" s="51">
        <v>0</v>
      </c>
      <c r="AB915" s="102">
        <v>0</v>
      </c>
      <c r="AC915" s="81">
        <f t="shared" si="45"/>
        <v>407.09861739130434</v>
      </c>
      <c r="AD915" s="82">
        <f t="shared" si="46"/>
        <v>23.328571428571429</v>
      </c>
      <c r="AE915" s="218">
        <v>0</v>
      </c>
      <c r="AF915">
        <v>0</v>
      </c>
      <c r="AH915" t="str">
        <f t="shared" si="44"/>
        <v>Rosera</v>
      </c>
      <c r="AJ915" s="72">
        <v>0</v>
      </c>
      <c r="AK915" s="72"/>
      <c r="AL915" s="72"/>
      <c r="AM915" s="72"/>
    </row>
    <row r="916" spans="1:39" x14ac:dyDescent="0.25">
      <c r="A916" s="37" t="s">
        <v>62</v>
      </c>
      <c r="B916" s="66" t="s">
        <v>1596</v>
      </c>
      <c r="C916" s="41">
        <v>1063</v>
      </c>
      <c r="D916" s="41" t="s">
        <v>1565</v>
      </c>
      <c r="E916" s="41">
        <v>10630014</v>
      </c>
      <c r="F916" s="85" t="s">
        <v>1461</v>
      </c>
      <c r="G916" s="39" t="s">
        <v>92</v>
      </c>
      <c r="H916" s="52" t="s">
        <v>93</v>
      </c>
      <c r="I916" s="52">
        <v>378.00000000000006</v>
      </c>
      <c r="J916" s="49">
        <v>14355.070000000003</v>
      </c>
      <c r="K916" s="58">
        <v>350.70000000000005</v>
      </c>
      <c r="L916" s="58">
        <v>14058.9</v>
      </c>
      <c r="M916" s="58">
        <v>8</v>
      </c>
      <c r="N916" s="58">
        <v>301.06</v>
      </c>
      <c r="O916" s="65">
        <v>358.70000000000005</v>
      </c>
      <c r="P916" s="65">
        <v>14359.96</v>
      </c>
      <c r="Q916" s="50">
        <v>14355.070000000003</v>
      </c>
      <c r="R916" s="65">
        <v>0</v>
      </c>
      <c r="S916" s="65">
        <v>301.06</v>
      </c>
      <c r="T916" s="65">
        <v>4.8899999999957799</v>
      </c>
      <c r="U916" s="65">
        <v>0</v>
      </c>
      <c r="V916" s="65">
        <v>0</v>
      </c>
      <c r="W916" s="65">
        <v>0</v>
      </c>
      <c r="X916" s="65">
        <v>14054</v>
      </c>
      <c r="Y916" s="65">
        <v>0</v>
      </c>
      <c r="Z916" s="65">
        <v>0</v>
      </c>
      <c r="AA916" s="51">
        <v>0</v>
      </c>
      <c r="AB916" s="102">
        <v>0</v>
      </c>
      <c r="AC916" s="81">
        <f t="shared" si="45"/>
        <v>244.56785925925925</v>
      </c>
      <c r="AD916" s="82">
        <f t="shared" si="46"/>
        <v>54.000000000000007</v>
      </c>
      <c r="AE916" s="218">
        <v>-3.4064619677896232E-4</v>
      </c>
      <c r="AF916">
        <v>10</v>
      </c>
      <c r="AH916" t="str">
        <f t="shared" si="44"/>
        <v>Rosera</v>
      </c>
      <c r="AJ916" s="72">
        <v>0</v>
      </c>
      <c r="AK916" s="72"/>
      <c r="AL916" s="72"/>
      <c r="AM916" s="72"/>
    </row>
    <row r="917" spans="1:39" x14ac:dyDescent="0.25">
      <c r="A917" s="37" t="s">
        <v>62</v>
      </c>
      <c r="B917" s="66" t="s">
        <v>1596</v>
      </c>
      <c r="C917" s="41">
        <v>1057</v>
      </c>
      <c r="D917" s="41" t="s">
        <v>1174</v>
      </c>
      <c r="E917" s="41">
        <v>10630016</v>
      </c>
      <c r="F917" s="85" t="s">
        <v>1404</v>
      </c>
      <c r="G917" s="39" t="s">
        <v>617</v>
      </c>
      <c r="H917" s="52" t="s">
        <v>98</v>
      </c>
      <c r="I917" s="52">
        <v>403.50000000000006</v>
      </c>
      <c r="J917" s="49">
        <v>14965.410000000002</v>
      </c>
      <c r="K917" s="58">
        <v>0</v>
      </c>
      <c r="L917" s="58">
        <v>0</v>
      </c>
      <c r="M917" s="58">
        <v>0</v>
      </c>
      <c r="N917" s="58">
        <v>0</v>
      </c>
      <c r="O917" s="65">
        <v>0</v>
      </c>
      <c r="P917" s="65">
        <v>0</v>
      </c>
      <c r="Q917" s="50">
        <v>14965.410000000002</v>
      </c>
      <c r="R917" s="65">
        <v>0</v>
      </c>
      <c r="S917" s="65">
        <v>0</v>
      </c>
      <c r="T917" s="65">
        <v>0</v>
      </c>
      <c r="U917" s="65">
        <v>0</v>
      </c>
      <c r="V917" s="65">
        <v>0</v>
      </c>
      <c r="W917" s="65">
        <v>0</v>
      </c>
      <c r="X917" s="65">
        <v>0</v>
      </c>
      <c r="Y917" s="65">
        <v>0</v>
      </c>
      <c r="Z917" s="65">
        <v>14965.410000000002</v>
      </c>
      <c r="AA917" s="51">
        <v>0</v>
      </c>
      <c r="AB917" s="102">
        <v>0</v>
      </c>
      <c r="AC917" s="81">
        <f t="shared" si="45"/>
        <v>219.93774795539031</v>
      </c>
      <c r="AD917" s="82">
        <f t="shared" si="46"/>
        <v>57.642857142857153</v>
      </c>
      <c r="AE917" s="218">
        <v>0</v>
      </c>
      <c r="AF917">
        <v>0</v>
      </c>
      <c r="AH917" t="str">
        <f t="shared" si="44"/>
        <v>Warisnagar</v>
      </c>
      <c r="AJ917" s="72">
        <v>0</v>
      </c>
      <c r="AK917" s="72"/>
      <c r="AL917" s="72"/>
      <c r="AM917" s="72"/>
    </row>
    <row r="918" spans="1:39" x14ac:dyDescent="0.25">
      <c r="A918" s="37" t="s">
        <v>62</v>
      </c>
      <c r="B918" s="66" t="s">
        <v>1596</v>
      </c>
      <c r="C918" s="41">
        <v>1063</v>
      </c>
      <c r="D918" s="41" t="s">
        <v>1565</v>
      </c>
      <c r="E918" s="41">
        <v>10630017</v>
      </c>
      <c r="F918" s="85" t="s">
        <v>1405</v>
      </c>
      <c r="G918" s="39" t="s">
        <v>617</v>
      </c>
      <c r="H918" s="52" t="s">
        <v>98</v>
      </c>
      <c r="I918" s="52">
        <v>172</v>
      </c>
      <c r="J918" s="49">
        <v>6339.18</v>
      </c>
      <c r="K918" s="58">
        <v>0</v>
      </c>
      <c r="L918" s="58">
        <v>0</v>
      </c>
      <c r="M918" s="58">
        <v>0</v>
      </c>
      <c r="N918" s="58">
        <v>0</v>
      </c>
      <c r="O918" s="65">
        <v>0</v>
      </c>
      <c r="P918" s="65">
        <v>0</v>
      </c>
      <c r="Q918" s="50">
        <v>6339.18</v>
      </c>
      <c r="R918" s="65">
        <v>0</v>
      </c>
      <c r="S918" s="65">
        <v>0</v>
      </c>
      <c r="T918" s="65">
        <v>0</v>
      </c>
      <c r="U918" s="65">
        <v>0</v>
      </c>
      <c r="V918" s="65">
        <v>0</v>
      </c>
      <c r="W918" s="65">
        <v>0</v>
      </c>
      <c r="X918" s="65">
        <v>0</v>
      </c>
      <c r="Y918" s="65">
        <v>0</v>
      </c>
      <c r="Z918" s="65">
        <v>6339.18</v>
      </c>
      <c r="AA918" s="51">
        <v>0</v>
      </c>
      <c r="AB918" s="102">
        <v>0</v>
      </c>
      <c r="AC918" s="81">
        <f t="shared" si="45"/>
        <v>389.19616744186055</v>
      </c>
      <c r="AD918" s="82">
        <f t="shared" si="46"/>
        <v>24.571428571428573</v>
      </c>
      <c r="AE918" s="218">
        <v>0</v>
      </c>
      <c r="AF918">
        <v>0</v>
      </c>
      <c r="AH918" t="str">
        <f t="shared" si="44"/>
        <v>Rosera</v>
      </c>
      <c r="AJ918" s="72">
        <v>0</v>
      </c>
      <c r="AK918" s="72"/>
      <c r="AL918" s="72"/>
      <c r="AM918" s="72"/>
    </row>
    <row r="919" spans="1:39" x14ac:dyDescent="0.25">
      <c r="A919" s="37" t="s">
        <v>62</v>
      </c>
      <c r="B919" s="66" t="s">
        <v>1596</v>
      </c>
      <c r="C919" s="41">
        <v>1063</v>
      </c>
      <c r="D919" s="41" t="s">
        <v>1565</v>
      </c>
      <c r="E919" s="41">
        <v>10630018</v>
      </c>
      <c r="F919" s="85" t="s">
        <v>1471</v>
      </c>
      <c r="G919" s="39" t="s">
        <v>617</v>
      </c>
      <c r="H919" s="52" t="s">
        <v>98</v>
      </c>
      <c r="I919" s="52">
        <v>1170.0999999999999</v>
      </c>
      <c r="J919" s="49">
        <v>41355.67</v>
      </c>
      <c r="K919" s="58">
        <v>0</v>
      </c>
      <c r="L919" s="58">
        <v>0</v>
      </c>
      <c r="M919" s="58">
        <v>0</v>
      </c>
      <c r="N919" s="58">
        <v>0</v>
      </c>
      <c r="O919" s="65">
        <v>0</v>
      </c>
      <c r="P919" s="65">
        <v>0</v>
      </c>
      <c r="Q919" s="50">
        <v>41355.67</v>
      </c>
      <c r="R919" s="65">
        <v>0</v>
      </c>
      <c r="S919" s="65">
        <v>0</v>
      </c>
      <c r="T919" s="65">
        <v>0</v>
      </c>
      <c r="U919" s="65">
        <v>0</v>
      </c>
      <c r="V919" s="65">
        <v>0</v>
      </c>
      <c r="W919" s="65">
        <v>0</v>
      </c>
      <c r="X919" s="65">
        <v>0</v>
      </c>
      <c r="Y919" s="65">
        <v>0</v>
      </c>
      <c r="Z919" s="65">
        <v>41355.67</v>
      </c>
      <c r="AA919" s="51">
        <v>0</v>
      </c>
      <c r="AB919" s="102">
        <v>0</v>
      </c>
      <c r="AC919" s="81">
        <f t="shared" si="45"/>
        <v>0</v>
      </c>
      <c r="AD919" s="82">
        <f t="shared" si="46"/>
        <v>0</v>
      </c>
      <c r="AE919" s="218">
        <v>0</v>
      </c>
      <c r="AF919">
        <v>0</v>
      </c>
      <c r="AH919" t="str">
        <f t="shared" si="44"/>
        <v>Rosera</v>
      </c>
      <c r="AJ919" s="72">
        <v>0</v>
      </c>
      <c r="AK919" s="72"/>
      <c r="AL919" s="72"/>
      <c r="AM919" s="72"/>
    </row>
    <row r="920" spans="1:39" x14ac:dyDescent="0.25">
      <c r="A920" s="37" t="s">
        <v>62</v>
      </c>
      <c r="B920" s="66" t="s">
        <v>1596</v>
      </c>
      <c r="C920" s="41">
        <v>1063</v>
      </c>
      <c r="D920" s="41" t="s">
        <v>1565</v>
      </c>
      <c r="E920" s="41">
        <v>10630019</v>
      </c>
      <c r="F920" s="85" t="s">
        <v>1406</v>
      </c>
      <c r="G920" s="39" t="s">
        <v>617</v>
      </c>
      <c r="H920" s="52" t="s">
        <v>98</v>
      </c>
      <c r="I920" s="52">
        <v>1002.8</v>
      </c>
      <c r="J920" s="49">
        <v>37400.410000000003</v>
      </c>
      <c r="K920" s="58">
        <v>0</v>
      </c>
      <c r="L920" s="58">
        <v>0</v>
      </c>
      <c r="M920" s="58">
        <v>0</v>
      </c>
      <c r="N920" s="58">
        <v>0</v>
      </c>
      <c r="O920" s="65">
        <v>0</v>
      </c>
      <c r="P920" s="65">
        <v>0</v>
      </c>
      <c r="Q920" s="50">
        <v>37400.410000000003</v>
      </c>
      <c r="R920" s="65">
        <v>0</v>
      </c>
      <c r="S920" s="65">
        <v>0</v>
      </c>
      <c r="T920" s="65">
        <v>0</v>
      </c>
      <c r="U920" s="65">
        <v>0</v>
      </c>
      <c r="V920" s="65">
        <v>0</v>
      </c>
      <c r="W920" s="65">
        <v>0</v>
      </c>
      <c r="X920" s="65">
        <v>0</v>
      </c>
      <c r="Y920" s="65">
        <v>0</v>
      </c>
      <c r="Z920" s="65">
        <v>37400.410000000003</v>
      </c>
      <c r="AA920" s="51">
        <v>0</v>
      </c>
      <c r="AB920" s="102">
        <v>0</v>
      </c>
      <c r="AC920" s="81">
        <f t="shared" si="45"/>
        <v>0</v>
      </c>
      <c r="AD920" s="82">
        <f t="shared" si="46"/>
        <v>0</v>
      </c>
      <c r="AE920" s="218">
        <v>0</v>
      </c>
      <c r="AF920">
        <v>0</v>
      </c>
      <c r="AH920" t="str">
        <f t="shared" si="44"/>
        <v>Rosera</v>
      </c>
      <c r="AJ920" s="72">
        <v>0</v>
      </c>
      <c r="AK920" s="72"/>
      <c r="AL920" s="72"/>
      <c r="AM920" s="72"/>
    </row>
    <row r="921" spans="1:39" x14ac:dyDescent="0.25">
      <c r="A921" s="37" t="s">
        <v>62</v>
      </c>
      <c r="B921" s="66" t="s">
        <v>1596</v>
      </c>
      <c r="C921" s="41">
        <v>1063</v>
      </c>
      <c r="D921" s="41" t="s">
        <v>1565</v>
      </c>
      <c r="E921" s="41">
        <v>10630022</v>
      </c>
      <c r="F921" s="85" t="s">
        <v>1544</v>
      </c>
      <c r="G921" s="39" t="s">
        <v>617</v>
      </c>
      <c r="H921" s="52" t="s">
        <v>98</v>
      </c>
      <c r="I921" s="52">
        <v>387.2</v>
      </c>
      <c r="J921" s="49">
        <v>13245.580000000002</v>
      </c>
      <c r="K921" s="58">
        <v>0</v>
      </c>
      <c r="L921" s="58">
        <v>0</v>
      </c>
      <c r="M921" s="58">
        <v>0</v>
      </c>
      <c r="N921" s="58">
        <v>0</v>
      </c>
      <c r="O921" s="65">
        <v>0</v>
      </c>
      <c r="P921" s="65">
        <v>0</v>
      </c>
      <c r="Q921" s="50">
        <v>13245.580000000002</v>
      </c>
      <c r="R921" s="65">
        <v>0</v>
      </c>
      <c r="S921" s="65">
        <v>0</v>
      </c>
      <c r="T921" s="65">
        <v>0</v>
      </c>
      <c r="U921" s="65">
        <v>0</v>
      </c>
      <c r="V921" s="65">
        <v>0</v>
      </c>
      <c r="W921" s="65">
        <v>0</v>
      </c>
      <c r="X921" s="65">
        <v>0</v>
      </c>
      <c r="Y921" s="65">
        <v>0</v>
      </c>
      <c r="Z921" s="65">
        <v>13245.580000000002</v>
      </c>
      <c r="AA921" s="51">
        <v>0</v>
      </c>
      <c r="AB921" s="102">
        <v>0</v>
      </c>
      <c r="AC921" s="81">
        <f t="shared" si="45"/>
        <v>214.00916446280993</v>
      </c>
      <c r="AD921" s="82">
        <f t="shared" si="46"/>
        <v>55.31428571428571</v>
      </c>
      <c r="AE921" s="218">
        <v>0</v>
      </c>
      <c r="AF921">
        <v>0</v>
      </c>
      <c r="AH921" t="str">
        <f t="shared" si="44"/>
        <v>Rosera</v>
      </c>
      <c r="AJ921" s="72">
        <v>0</v>
      </c>
      <c r="AK921" s="72"/>
      <c r="AL921" s="72"/>
      <c r="AM921" s="72"/>
    </row>
    <row r="922" spans="1:39" x14ac:dyDescent="0.25">
      <c r="A922" s="37" t="s">
        <v>62</v>
      </c>
      <c r="B922" s="66" t="s">
        <v>1596</v>
      </c>
      <c r="C922" s="41">
        <v>1063</v>
      </c>
      <c r="D922" s="41" t="s">
        <v>1565</v>
      </c>
      <c r="E922" s="41">
        <v>10630025</v>
      </c>
      <c r="F922" s="85" t="s">
        <v>1607</v>
      </c>
      <c r="G922" s="39" t="s">
        <v>92</v>
      </c>
      <c r="H922" s="52" t="s">
        <v>93</v>
      </c>
      <c r="I922" s="52">
        <v>149.79999999999998</v>
      </c>
      <c r="J922" s="49">
        <v>5941.93</v>
      </c>
      <c r="K922" s="58">
        <v>149.80000000000001</v>
      </c>
      <c r="L922" s="58">
        <v>5975.52</v>
      </c>
      <c r="M922" s="58">
        <v>0</v>
      </c>
      <c r="N922" s="58">
        <v>0</v>
      </c>
      <c r="O922" s="65">
        <v>149.80000000000001</v>
      </c>
      <c r="P922" s="65">
        <v>5975.52</v>
      </c>
      <c r="Q922" s="50">
        <v>5941.93</v>
      </c>
      <c r="R922" s="65">
        <v>0</v>
      </c>
      <c r="S922" s="65">
        <v>0</v>
      </c>
      <c r="T922" s="65">
        <v>33.590000000000146</v>
      </c>
      <c r="U922" s="65">
        <v>0</v>
      </c>
      <c r="V922" s="65">
        <v>0</v>
      </c>
      <c r="W922" s="65">
        <v>0</v>
      </c>
      <c r="X922" s="65">
        <v>5942</v>
      </c>
      <c r="Y922" s="65">
        <v>0</v>
      </c>
      <c r="Z922" s="65">
        <v>0</v>
      </c>
      <c r="AA922" s="51">
        <v>0</v>
      </c>
      <c r="AB922" s="102">
        <v>0</v>
      </c>
      <c r="AC922" s="81">
        <f t="shared" si="45"/>
        <v>436.48196074766361</v>
      </c>
      <c r="AD922" s="82">
        <f t="shared" si="46"/>
        <v>21.4</v>
      </c>
      <c r="AE922" s="218">
        <v>-5.6530453909756839E-3</v>
      </c>
      <c r="AF922">
        <v>1</v>
      </c>
      <c r="AH922" t="str">
        <f t="shared" si="44"/>
        <v>Rosera</v>
      </c>
      <c r="AJ922" s="72">
        <v>0</v>
      </c>
      <c r="AK922" s="72"/>
      <c r="AL922" s="72"/>
      <c r="AM922" s="72"/>
    </row>
    <row r="923" spans="1:39" x14ac:dyDescent="0.25">
      <c r="A923" s="37" t="s">
        <v>62</v>
      </c>
      <c r="B923" s="66" t="s">
        <v>1596</v>
      </c>
      <c r="C923" s="41">
        <v>1063</v>
      </c>
      <c r="D923" s="41" t="s">
        <v>1565</v>
      </c>
      <c r="E923" s="41">
        <v>10630026</v>
      </c>
      <c r="F923" s="85" t="s">
        <v>1608</v>
      </c>
      <c r="G923" s="39" t="s">
        <v>92</v>
      </c>
      <c r="H923" s="52" t="s">
        <v>98</v>
      </c>
      <c r="I923" s="52">
        <v>248.5</v>
      </c>
      <c r="J923" s="49">
        <v>8176.1200000000008</v>
      </c>
      <c r="K923" s="58">
        <v>0</v>
      </c>
      <c r="L923" s="58">
        <v>0</v>
      </c>
      <c r="M923" s="58">
        <v>0</v>
      </c>
      <c r="N923" s="58">
        <v>0</v>
      </c>
      <c r="O923" s="65">
        <v>0</v>
      </c>
      <c r="P923" s="65">
        <v>0</v>
      </c>
      <c r="Q923" s="50">
        <v>8176.1200000000008</v>
      </c>
      <c r="R923" s="65">
        <v>0</v>
      </c>
      <c r="S923" s="65">
        <v>0</v>
      </c>
      <c r="T923" s="65">
        <v>0</v>
      </c>
      <c r="U923" s="65">
        <v>0</v>
      </c>
      <c r="V923" s="65">
        <v>0</v>
      </c>
      <c r="W923" s="65">
        <v>0</v>
      </c>
      <c r="X923" s="65">
        <v>0</v>
      </c>
      <c r="Y923" s="65">
        <v>0</v>
      </c>
      <c r="Z923" s="65">
        <v>8176.1200000000008</v>
      </c>
      <c r="AA923" s="51">
        <v>0</v>
      </c>
      <c r="AB923" s="102">
        <v>0</v>
      </c>
      <c r="AC923" s="81">
        <f t="shared" si="45"/>
        <v>297.10407887323947</v>
      </c>
      <c r="AD923" s="82">
        <f t="shared" si="46"/>
        <v>35.5</v>
      </c>
      <c r="AE923" s="218">
        <v>0</v>
      </c>
      <c r="AF923">
        <v>0</v>
      </c>
      <c r="AH923" t="str">
        <f t="shared" si="44"/>
        <v>Rosera</v>
      </c>
      <c r="AJ923" s="72">
        <v>0</v>
      </c>
      <c r="AK923" s="72"/>
      <c r="AL923" s="72"/>
      <c r="AM923" s="72"/>
    </row>
    <row r="924" spans="1:39" x14ac:dyDescent="0.25">
      <c r="A924" s="37" t="s">
        <v>62</v>
      </c>
      <c r="B924" s="66" t="s">
        <v>1596</v>
      </c>
      <c r="C924" s="41">
        <v>1063</v>
      </c>
      <c r="D924" s="41" t="s">
        <v>1565</v>
      </c>
      <c r="E924" s="41">
        <v>10630028</v>
      </c>
      <c r="F924" s="85" t="s">
        <v>1590</v>
      </c>
      <c r="G924" s="39" t="s">
        <v>617</v>
      </c>
      <c r="H924" s="52" t="s">
        <v>98</v>
      </c>
      <c r="I924" s="52">
        <v>204.9</v>
      </c>
      <c r="J924" s="49">
        <v>6907.0300000000007</v>
      </c>
      <c r="K924" s="58">
        <v>0</v>
      </c>
      <c r="L924" s="58">
        <v>0</v>
      </c>
      <c r="M924" s="58">
        <v>0</v>
      </c>
      <c r="N924" s="58">
        <v>0</v>
      </c>
      <c r="O924" s="65">
        <v>0</v>
      </c>
      <c r="P924" s="65">
        <v>0</v>
      </c>
      <c r="Q924" s="50">
        <v>6907.0300000000007</v>
      </c>
      <c r="R924" s="65">
        <v>0</v>
      </c>
      <c r="S924" s="65">
        <v>0</v>
      </c>
      <c r="T924" s="65">
        <v>0</v>
      </c>
      <c r="U924" s="65">
        <v>0</v>
      </c>
      <c r="V924" s="65">
        <v>0</v>
      </c>
      <c r="W924" s="65">
        <v>0</v>
      </c>
      <c r="X924" s="65">
        <v>0</v>
      </c>
      <c r="Y924" s="65">
        <v>0</v>
      </c>
      <c r="Z924" s="65">
        <v>6907.0300000000007</v>
      </c>
      <c r="AA924" s="51">
        <v>0</v>
      </c>
      <c r="AB924" s="102">
        <v>0</v>
      </c>
      <c r="AC924" s="81">
        <f t="shared" si="45"/>
        <v>333.78921942410932</v>
      </c>
      <c r="AD924" s="82">
        <f t="shared" si="46"/>
        <v>29.271428571428572</v>
      </c>
      <c r="AE924" s="218">
        <v>0</v>
      </c>
      <c r="AF924">
        <v>0</v>
      </c>
      <c r="AH924" t="str">
        <f t="shared" si="44"/>
        <v>Rosera</v>
      </c>
      <c r="AJ924" s="72">
        <v>0</v>
      </c>
      <c r="AK924" s="72"/>
      <c r="AL924" s="72"/>
      <c r="AM924" s="72"/>
    </row>
    <row r="925" spans="1:39" x14ac:dyDescent="0.25">
      <c r="A925" s="37" t="s">
        <v>62</v>
      </c>
      <c r="B925" s="66" t="s">
        <v>1596</v>
      </c>
      <c r="C925" s="41">
        <v>1063</v>
      </c>
      <c r="D925" s="41" t="s">
        <v>1565</v>
      </c>
      <c r="E925" s="41">
        <v>10630030</v>
      </c>
      <c r="F925" s="85" t="s">
        <v>1571</v>
      </c>
      <c r="G925" s="39" t="s">
        <v>617</v>
      </c>
      <c r="H925" s="52" t="s">
        <v>98</v>
      </c>
      <c r="I925" s="52">
        <v>29.299999999999997</v>
      </c>
      <c r="J925" s="49">
        <v>1123.3699999999999</v>
      </c>
      <c r="K925" s="58">
        <v>0</v>
      </c>
      <c r="L925" s="58">
        <v>0</v>
      </c>
      <c r="M925" s="58">
        <v>0</v>
      </c>
      <c r="N925" s="58">
        <v>0</v>
      </c>
      <c r="O925" s="65">
        <v>0</v>
      </c>
      <c r="P925" s="65">
        <v>0</v>
      </c>
      <c r="Q925" s="50">
        <v>1123.3699999999999</v>
      </c>
      <c r="R925" s="65">
        <v>0</v>
      </c>
      <c r="S925" s="65">
        <v>0</v>
      </c>
      <c r="T925" s="65">
        <v>0</v>
      </c>
      <c r="U925" s="65">
        <v>0</v>
      </c>
      <c r="V925" s="65">
        <v>0</v>
      </c>
      <c r="W925" s="65">
        <v>0</v>
      </c>
      <c r="X925" s="65">
        <v>0</v>
      </c>
      <c r="Y925" s="65">
        <v>0</v>
      </c>
      <c r="Z925" s="65">
        <v>1123.3699999999999</v>
      </c>
      <c r="AA925" s="51">
        <v>0</v>
      </c>
      <c r="AB925" s="102">
        <v>0</v>
      </c>
      <c r="AC925" s="81">
        <f t="shared" si="45"/>
        <v>514.29642252559722</v>
      </c>
      <c r="AD925" s="82">
        <f t="shared" si="46"/>
        <v>4.1857142857142851</v>
      </c>
      <c r="AE925" s="218">
        <v>0</v>
      </c>
      <c r="AF925">
        <v>0</v>
      </c>
      <c r="AH925" t="str">
        <f t="shared" si="44"/>
        <v>Rosera</v>
      </c>
      <c r="AJ925" s="72">
        <v>0</v>
      </c>
      <c r="AK925" s="72"/>
      <c r="AL925" s="72"/>
      <c r="AM925" s="72"/>
    </row>
    <row r="926" spans="1:39" x14ac:dyDescent="0.25">
      <c r="A926" s="37" t="s">
        <v>62</v>
      </c>
      <c r="B926" s="66" t="s">
        <v>1596</v>
      </c>
      <c r="C926" s="41">
        <v>1063</v>
      </c>
      <c r="D926" s="41" t="s">
        <v>1565</v>
      </c>
      <c r="E926" s="41">
        <v>10630032</v>
      </c>
      <c r="F926" s="85" t="s">
        <v>1572</v>
      </c>
      <c r="G926" s="39" t="s">
        <v>617</v>
      </c>
      <c r="H926" s="52" t="s">
        <v>98</v>
      </c>
      <c r="I926" s="52">
        <v>148.29999999999995</v>
      </c>
      <c r="J926" s="49">
        <v>6334.4599999999991</v>
      </c>
      <c r="K926" s="58">
        <v>0</v>
      </c>
      <c r="L926" s="58">
        <v>0</v>
      </c>
      <c r="M926" s="58">
        <v>0</v>
      </c>
      <c r="N926" s="58">
        <v>0</v>
      </c>
      <c r="O926" s="65">
        <v>0</v>
      </c>
      <c r="P926" s="65">
        <v>0</v>
      </c>
      <c r="Q926" s="50">
        <v>6334.4599999999991</v>
      </c>
      <c r="R926" s="65">
        <v>0</v>
      </c>
      <c r="S926" s="65">
        <v>0</v>
      </c>
      <c r="T926" s="65">
        <v>0</v>
      </c>
      <c r="U926" s="65">
        <v>0</v>
      </c>
      <c r="V926" s="65">
        <v>0</v>
      </c>
      <c r="W926" s="65">
        <v>0</v>
      </c>
      <c r="X926" s="65">
        <v>0</v>
      </c>
      <c r="Y926" s="65">
        <v>0</v>
      </c>
      <c r="Z926" s="65">
        <v>6334.4599999999991</v>
      </c>
      <c r="AA926" s="51">
        <v>0</v>
      </c>
      <c r="AB926" s="102">
        <v>0</v>
      </c>
      <c r="AC926" s="81">
        <f t="shared" si="45"/>
        <v>471.30432663519906</v>
      </c>
      <c r="AD926" s="82">
        <f t="shared" si="46"/>
        <v>21.18571428571428</v>
      </c>
      <c r="AE926" s="218">
        <v>0</v>
      </c>
      <c r="AF926">
        <v>0</v>
      </c>
      <c r="AH926" t="str">
        <f t="shared" si="44"/>
        <v>Rosera</v>
      </c>
      <c r="AJ926" s="72">
        <v>0</v>
      </c>
      <c r="AK926" s="72"/>
      <c r="AL926" s="72"/>
      <c r="AM926" s="72"/>
    </row>
    <row r="927" spans="1:39" x14ac:dyDescent="0.25">
      <c r="A927" s="37" t="s">
        <v>62</v>
      </c>
      <c r="B927" s="66" t="s">
        <v>1596</v>
      </c>
      <c r="C927" s="41">
        <v>1063</v>
      </c>
      <c r="D927" s="41" t="s">
        <v>1565</v>
      </c>
      <c r="E927" s="41">
        <v>10630034</v>
      </c>
      <c r="F927" s="85" t="s">
        <v>1574</v>
      </c>
      <c r="G927" s="39" t="s">
        <v>617</v>
      </c>
      <c r="H927" s="52" t="s">
        <v>98</v>
      </c>
      <c r="I927" s="52">
        <v>234</v>
      </c>
      <c r="J927" s="49">
        <v>7664.64</v>
      </c>
      <c r="K927" s="58">
        <v>0</v>
      </c>
      <c r="L927" s="58">
        <v>0</v>
      </c>
      <c r="M927" s="58">
        <v>0</v>
      </c>
      <c r="N927" s="58">
        <v>0</v>
      </c>
      <c r="O927" s="65">
        <v>0</v>
      </c>
      <c r="P927" s="65">
        <v>0</v>
      </c>
      <c r="Q927" s="50">
        <v>7664.64</v>
      </c>
      <c r="R927" s="65">
        <v>0</v>
      </c>
      <c r="S927" s="65">
        <v>0</v>
      </c>
      <c r="T927" s="65">
        <v>0</v>
      </c>
      <c r="U927" s="65">
        <v>0</v>
      </c>
      <c r="V927" s="65">
        <v>0</v>
      </c>
      <c r="W927" s="65">
        <v>0</v>
      </c>
      <c r="X927" s="65">
        <v>0</v>
      </c>
      <c r="Y927" s="65">
        <v>0</v>
      </c>
      <c r="Z927" s="65">
        <v>7664.64</v>
      </c>
      <c r="AA927" s="51">
        <v>0</v>
      </c>
      <c r="AB927" s="102">
        <v>0</v>
      </c>
      <c r="AC927" s="81">
        <f t="shared" si="45"/>
        <v>305.27540512820514</v>
      </c>
      <c r="AD927" s="82">
        <f t="shared" si="46"/>
        <v>33.428571428571431</v>
      </c>
      <c r="AE927" s="218">
        <v>0</v>
      </c>
      <c r="AF927">
        <v>0</v>
      </c>
      <c r="AH927" t="str">
        <f t="shared" si="44"/>
        <v>Rosera</v>
      </c>
      <c r="AJ927" s="72">
        <v>0</v>
      </c>
      <c r="AK927" s="72"/>
      <c r="AL927" s="72"/>
      <c r="AM927" s="72"/>
    </row>
    <row r="928" spans="1:39" x14ac:dyDescent="0.25">
      <c r="A928" s="37" t="s">
        <v>62</v>
      </c>
      <c r="B928" s="66" t="s">
        <v>1596</v>
      </c>
      <c r="C928" s="41">
        <v>1063</v>
      </c>
      <c r="D928" s="41" t="s">
        <v>1565</v>
      </c>
      <c r="E928" s="41">
        <v>10630035</v>
      </c>
      <c r="F928" s="85" t="s">
        <v>1575</v>
      </c>
      <c r="G928" s="39" t="s">
        <v>617</v>
      </c>
      <c r="H928" s="52" t="s">
        <v>98</v>
      </c>
      <c r="I928" s="52">
        <v>870.00000000000011</v>
      </c>
      <c r="J928" s="49">
        <v>28830.590000000004</v>
      </c>
      <c r="K928" s="58">
        <v>0</v>
      </c>
      <c r="L928" s="58">
        <v>0</v>
      </c>
      <c r="M928" s="58">
        <v>0</v>
      </c>
      <c r="N928" s="58">
        <v>0</v>
      </c>
      <c r="O928" s="65">
        <v>0</v>
      </c>
      <c r="P928" s="65">
        <v>0</v>
      </c>
      <c r="Q928" s="50">
        <v>28830.590000000004</v>
      </c>
      <c r="R928" s="65">
        <v>0</v>
      </c>
      <c r="S928" s="65">
        <v>0</v>
      </c>
      <c r="T928" s="65">
        <v>0</v>
      </c>
      <c r="U928" s="65">
        <v>0</v>
      </c>
      <c r="V928" s="65">
        <v>0</v>
      </c>
      <c r="W928" s="65">
        <v>0</v>
      </c>
      <c r="X928" s="65">
        <v>0</v>
      </c>
      <c r="Y928" s="65">
        <v>0</v>
      </c>
      <c r="Z928" s="65">
        <v>28830.590000000004</v>
      </c>
      <c r="AA928" s="51">
        <v>0</v>
      </c>
      <c r="AB928" s="102">
        <v>0</v>
      </c>
      <c r="AC928" s="81">
        <f t="shared" si="45"/>
        <v>0</v>
      </c>
      <c r="AD928" s="82">
        <f t="shared" si="46"/>
        <v>0</v>
      </c>
      <c r="AE928" s="218">
        <v>0</v>
      </c>
      <c r="AF928">
        <v>0</v>
      </c>
      <c r="AH928" t="str">
        <f t="shared" si="44"/>
        <v>Rosera</v>
      </c>
      <c r="AJ928" s="72">
        <v>0</v>
      </c>
      <c r="AK928" s="72"/>
      <c r="AL928" s="72"/>
      <c r="AM928" s="72"/>
    </row>
    <row r="929" spans="1:39" x14ac:dyDescent="0.25">
      <c r="A929" s="37" t="s">
        <v>62</v>
      </c>
      <c r="B929" s="66" t="s">
        <v>1596</v>
      </c>
      <c r="C929" s="41">
        <v>1063</v>
      </c>
      <c r="D929" s="41" t="s">
        <v>1565</v>
      </c>
      <c r="E929" s="41">
        <v>10630036</v>
      </c>
      <c r="F929" s="85" t="s">
        <v>1591</v>
      </c>
      <c r="G929" s="39" t="s">
        <v>617</v>
      </c>
      <c r="H929" s="52" t="s">
        <v>98</v>
      </c>
      <c r="I929" s="52">
        <v>421.89999999999992</v>
      </c>
      <c r="J929" s="49">
        <v>13375.99</v>
      </c>
      <c r="K929" s="58">
        <v>0</v>
      </c>
      <c r="L929" s="58">
        <v>0</v>
      </c>
      <c r="M929" s="58">
        <v>0</v>
      </c>
      <c r="N929" s="58">
        <v>0</v>
      </c>
      <c r="O929" s="65">
        <v>0</v>
      </c>
      <c r="P929" s="65">
        <v>0</v>
      </c>
      <c r="Q929" s="50">
        <v>13375.99</v>
      </c>
      <c r="R929" s="65">
        <v>0</v>
      </c>
      <c r="S929" s="65">
        <v>0</v>
      </c>
      <c r="T929" s="65">
        <v>0</v>
      </c>
      <c r="U929" s="65">
        <v>0</v>
      </c>
      <c r="V929" s="65">
        <v>0</v>
      </c>
      <c r="W929" s="65">
        <v>0</v>
      </c>
      <c r="X929" s="65">
        <v>0</v>
      </c>
      <c r="Y929" s="65">
        <v>0</v>
      </c>
      <c r="Z929" s="65">
        <v>13375.99</v>
      </c>
      <c r="AA929" s="51">
        <v>0</v>
      </c>
      <c r="AB929" s="102">
        <v>0</v>
      </c>
      <c r="AC929" s="81">
        <f t="shared" si="45"/>
        <v>176.3386024650392</v>
      </c>
      <c r="AD929" s="82">
        <f t="shared" si="46"/>
        <v>60.271428571428558</v>
      </c>
      <c r="AE929" s="218">
        <v>0</v>
      </c>
      <c r="AF929">
        <v>0</v>
      </c>
      <c r="AH929" t="str">
        <f t="shared" si="44"/>
        <v>Rosera</v>
      </c>
      <c r="AJ929" s="72">
        <v>0</v>
      </c>
      <c r="AK929" s="72"/>
      <c r="AL929" s="72"/>
      <c r="AM929" s="72"/>
    </row>
    <row r="930" spans="1:39" x14ac:dyDescent="0.25">
      <c r="A930" s="37" t="s">
        <v>62</v>
      </c>
      <c r="B930" s="66" t="s">
        <v>1596</v>
      </c>
      <c r="C930" s="41">
        <v>1063</v>
      </c>
      <c r="D930" s="41" t="s">
        <v>1565</v>
      </c>
      <c r="E930" s="41">
        <v>10630037</v>
      </c>
      <c r="F930" s="85" t="s">
        <v>1609</v>
      </c>
      <c r="G930" s="39" t="s">
        <v>617</v>
      </c>
      <c r="H930" s="52" t="s">
        <v>98</v>
      </c>
      <c r="I930" s="52">
        <v>59.6</v>
      </c>
      <c r="J930" s="49">
        <v>1887.8799999999999</v>
      </c>
      <c r="K930" s="58">
        <v>0</v>
      </c>
      <c r="L930" s="58">
        <v>0</v>
      </c>
      <c r="M930" s="58">
        <v>0</v>
      </c>
      <c r="N930" s="58">
        <v>0</v>
      </c>
      <c r="O930" s="65">
        <v>0</v>
      </c>
      <c r="P930" s="65">
        <v>0</v>
      </c>
      <c r="Q930" s="50">
        <v>1887.8799999999999</v>
      </c>
      <c r="R930" s="65">
        <v>0</v>
      </c>
      <c r="S930" s="65">
        <v>0</v>
      </c>
      <c r="T930" s="65">
        <v>0</v>
      </c>
      <c r="U930" s="65">
        <v>0</v>
      </c>
      <c r="V930" s="65">
        <v>0</v>
      </c>
      <c r="W930" s="65">
        <v>0</v>
      </c>
      <c r="X930" s="65">
        <v>0</v>
      </c>
      <c r="Y930" s="65">
        <v>0</v>
      </c>
      <c r="Z930" s="65">
        <v>1887.8799999999999</v>
      </c>
      <c r="AA930" s="51">
        <v>0</v>
      </c>
      <c r="AB930" s="102">
        <v>0</v>
      </c>
      <c r="AC930" s="81">
        <f t="shared" si="45"/>
        <v>405.70414496644293</v>
      </c>
      <c r="AD930" s="82">
        <f t="shared" si="46"/>
        <v>8.5142857142857142</v>
      </c>
      <c r="AE930" s="218">
        <v>0</v>
      </c>
      <c r="AF930">
        <v>0</v>
      </c>
      <c r="AH930" t="str">
        <f t="shared" si="44"/>
        <v>Rosera</v>
      </c>
      <c r="AJ930" s="72">
        <v>0</v>
      </c>
      <c r="AK930" s="72"/>
      <c r="AL930" s="72"/>
      <c r="AM930" s="72"/>
    </row>
    <row r="931" spans="1:39" x14ac:dyDescent="0.25">
      <c r="A931" s="37" t="s">
        <v>62</v>
      </c>
      <c r="B931" s="66" t="s">
        <v>1596</v>
      </c>
      <c r="C931" s="41">
        <v>1062</v>
      </c>
      <c r="D931" s="41" t="s">
        <v>1381</v>
      </c>
      <c r="E931" s="41">
        <v>10640001</v>
      </c>
      <c r="F931" s="85" t="s">
        <v>1382</v>
      </c>
      <c r="G931" s="39" t="s">
        <v>92</v>
      </c>
      <c r="H931" s="52" t="s">
        <v>93</v>
      </c>
      <c r="I931" s="52">
        <v>1159</v>
      </c>
      <c r="J931" s="49">
        <v>48056.6</v>
      </c>
      <c r="K931" s="58">
        <v>1163.1000000000004</v>
      </c>
      <c r="L931" s="58">
        <v>46995.029999999992</v>
      </c>
      <c r="M931" s="58">
        <v>0</v>
      </c>
      <c r="N931" s="58">
        <v>0</v>
      </c>
      <c r="O931" s="65">
        <v>1163.1000000000004</v>
      </c>
      <c r="P931" s="65">
        <v>46995.029999999992</v>
      </c>
      <c r="Q931" s="50">
        <v>46995.029999999992</v>
      </c>
      <c r="R931" s="65">
        <v>0</v>
      </c>
      <c r="S931" s="65">
        <v>0</v>
      </c>
      <c r="T931" s="65">
        <v>0</v>
      </c>
      <c r="U931" s="65">
        <v>0</v>
      </c>
      <c r="V931" s="65">
        <v>0</v>
      </c>
      <c r="W931" s="65">
        <v>0</v>
      </c>
      <c r="X931" s="65">
        <v>46995</v>
      </c>
      <c r="Y931" s="65">
        <v>0</v>
      </c>
      <c r="Z931" s="65">
        <v>0</v>
      </c>
      <c r="AA931" s="51">
        <v>1062</v>
      </c>
      <c r="AB931" s="102">
        <v>0</v>
      </c>
      <c r="AC931" s="81">
        <f t="shared" si="45"/>
        <v>0</v>
      </c>
      <c r="AD931" s="82">
        <f t="shared" si="46"/>
        <v>0</v>
      </c>
      <c r="AE931" s="218">
        <v>2.2089993882214037E-2</v>
      </c>
      <c r="AF931">
        <v>5</v>
      </c>
      <c r="AH931" t="str">
        <f t="shared" si="44"/>
        <v>Singhia BMC</v>
      </c>
      <c r="AJ931" s="72">
        <v>0</v>
      </c>
      <c r="AK931" s="72"/>
      <c r="AL931" s="72"/>
      <c r="AM931" s="72"/>
    </row>
    <row r="932" spans="1:39" x14ac:dyDescent="0.25">
      <c r="A932" s="37" t="s">
        <v>62</v>
      </c>
      <c r="B932" s="66" t="s">
        <v>1596</v>
      </c>
      <c r="C932" s="41">
        <v>1062</v>
      </c>
      <c r="D932" s="41" t="s">
        <v>1381</v>
      </c>
      <c r="E932" s="41">
        <v>10640003</v>
      </c>
      <c r="F932" s="85" t="s">
        <v>1383</v>
      </c>
      <c r="G932" s="39" t="s">
        <v>92</v>
      </c>
      <c r="H932" s="52" t="s">
        <v>93</v>
      </c>
      <c r="I932" s="52">
        <v>1664.02</v>
      </c>
      <c r="J932" s="49">
        <v>73573.78</v>
      </c>
      <c r="K932" s="58">
        <v>1671.4999999999995</v>
      </c>
      <c r="L932" s="58">
        <v>72830.150000000023</v>
      </c>
      <c r="M932" s="58">
        <v>16.799999999999997</v>
      </c>
      <c r="N932" s="58">
        <v>735.20999999999981</v>
      </c>
      <c r="O932" s="65">
        <v>1688.2999999999995</v>
      </c>
      <c r="P932" s="65">
        <v>73565.36000000003</v>
      </c>
      <c r="Q932" s="50">
        <v>73565.36000000003</v>
      </c>
      <c r="R932" s="65">
        <v>0</v>
      </c>
      <c r="S932" s="65">
        <v>735.20999999999981</v>
      </c>
      <c r="T932" s="65">
        <v>0</v>
      </c>
      <c r="U932" s="65">
        <v>0</v>
      </c>
      <c r="V932" s="65">
        <v>0</v>
      </c>
      <c r="W932" s="65">
        <v>0</v>
      </c>
      <c r="X932" s="65">
        <v>72829</v>
      </c>
      <c r="Y932" s="65">
        <v>0</v>
      </c>
      <c r="Z932" s="65">
        <v>0</v>
      </c>
      <c r="AA932" s="51">
        <v>10</v>
      </c>
      <c r="AB932" s="102">
        <v>0</v>
      </c>
      <c r="AC932" s="81">
        <f t="shared" si="45"/>
        <v>0</v>
      </c>
      <c r="AD932" s="82">
        <f t="shared" si="46"/>
        <v>0</v>
      </c>
      <c r="AE932" s="218">
        <v>1.1444294421149966E-4</v>
      </c>
      <c r="AF932">
        <v>24</v>
      </c>
      <c r="AH932" t="str">
        <f t="shared" si="44"/>
        <v>Singhia BMC</v>
      </c>
      <c r="AJ932" s="72">
        <v>0</v>
      </c>
      <c r="AK932" s="72"/>
      <c r="AL932" s="72"/>
      <c r="AM932" s="72"/>
    </row>
    <row r="933" spans="1:39" x14ac:dyDescent="0.25">
      <c r="A933" s="37" t="s">
        <v>62</v>
      </c>
      <c r="B933" s="66" t="s">
        <v>1596</v>
      </c>
      <c r="C933" s="41">
        <v>1062</v>
      </c>
      <c r="D933" s="41" t="s">
        <v>1381</v>
      </c>
      <c r="E933" s="41">
        <v>10640005</v>
      </c>
      <c r="F933" s="85" t="s">
        <v>1384</v>
      </c>
      <c r="G933" s="39" t="s">
        <v>92</v>
      </c>
      <c r="H933" s="52" t="s">
        <v>93</v>
      </c>
      <c r="I933" s="52">
        <v>148.31</v>
      </c>
      <c r="J933" s="49">
        <v>6324.12</v>
      </c>
      <c r="K933" s="58">
        <v>146.5</v>
      </c>
      <c r="L933" s="58">
        <v>6246.0700000000006</v>
      </c>
      <c r="M933" s="58">
        <v>1.2</v>
      </c>
      <c r="N933" s="58">
        <v>51.809999999999995</v>
      </c>
      <c r="O933" s="65">
        <v>147.69999999999999</v>
      </c>
      <c r="P933" s="65">
        <v>6297.880000000001</v>
      </c>
      <c r="Q933" s="50">
        <v>6297.880000000001</v>
      </c>
      <c r="R933" s="65">
        <v>0</v>
      </c>
      <c r="S933" s="65">
        <v>51.809999999999995</v>
      </c>
      <c r="T933" s="65">
        <v>0</v>
      </c>
      <c r="U933" s="65">
        <v>0</v>
      </c>
      <c r="V933" s="65">
        <v>0</v>
      </c>
      <c r="W933" s="65">
        <v>0</v>
      </c>
      <c r="X933" s="65">
        <v>6246</v>
      </c>
      <c r="Y933" s="65">
        <v>0</v>
      </c>
      <c r="Z933" s="65">
        <v>0</v>
      </c>
      <c r="AA933" s="51">
        <v>26</v>
      </c>
      <c r="AB933" s="102">
        <v>0</v>
      </c>
      <c r="AC933" s="81">
        <f t="shared" si="45"/>
        <v>470.49474247184946</v>
      </c>
      <c r="AD933" s="82">
        <f t="shared" si="46"/>
        <v>21.187142857142856</v>
      </c>
      <c r="AE933" s="218">
        <v>4.149193879938849E-3</v>
      </c>
      <c r="AF933">
        <v>2</v>
      </c>
      <c r="AH933" t="str">
        <f t="shared" si="44"/>
        <v>Singhia BMC</v>
      </c>
      <c r="AJ933" s="72">
        <v>0</v>
      </c>
      <c r="AK933" s="72"/>
      <c r="AL933" s="72"/>
      <c r="AM933" s="72"/>
    </row>
    <row r="934" spans="1:39" x14ac:dyDescent="0.25">
      <c r="A934" s="37" t="s">
        <v>62</v>
      </c>
      <c r="B934" s="66" t="s">
        <v>1596</v>
      </c>
      <c r="C934" s="41">
        <v>1062</v>
      </c>
      <c r="D934" s="41" t="s">
        <v>1381</v>
      </c>
      <c r="E934" s="41">
        <v>10640006</v>
      </c>
      <c r="F934" s="85" t="s">
        <v>1385</v>
      </c>
      <c r="G934" s="39" t="s">
        <v>92</v>
      </c>
      <c r="H934" s="52" t="s">
        <v>93</v>
      </c>
      <c r="I934" s="52">
        <v>246.49999999999997</v>
      </c>
      <c r="J934" s="49">
        <v>12213.829999999998</v>
      </c>
      <c r="K934" s="58">
        <v>252.70000000000002</v>
      </c>
      <c r="L934" s="58">
        <v>12805.219999999998</v>
      </c>
      <c r="M934" s="58">
        <v>6.1</v>
      </c>
      <c r="N934" s="58">
        <v>347.09999999999997</v>
      </c>
      <c r="O934" s="65">
        <v>258.8</v>
      </c>
      <c r="P934" s="65">
        <v>13152.319999999998</v>
      </c>
      <c r="Q934" s="50">
        <v>12213.829999999998</v>
      </c>
      <c r="R934" s="65">
        <v>0</v>
      </c>
      <c r="S934" s="65">
        <v>347.09999999999997</v>
      </c>
      <c r="T934" s="65">
        <v>938.48999999999978</v>
      </c>
      <c r="U934" s="65">
        <v>0</v>
      </c>
      <c r="V934" s="65">
        <v>0</v>
      </c>
      <c r="W934" s="65">
        <v>0</v>
      </c>
      <c r="X934" s="65">
        <v>11867</v>
      </c>
      <c r="Y934" s="65">
        <v>0</v>
      </c>
      <c r="Z934" s="65">
        <v>0</v>
      </c>
      <c r="AA934" s="51">
        <v>0</v>
      </c>
      <c r="AB934" s="102">
        <v>0</v>
      </c>
      <c r="AC934" s="81">
        <f t="shared" si="45"/>
        <v>449.40948519269779</v>
      </c>
      <c r="AD934" s="82">
        <f t="shared" si="46"/>
        <v>35.214285714285708</v>
      </c>
      <c r="AE934" s="218">
        <v>-7.6838305429173318E-2</v>
      </c>
      <c r="AF934">
        <v>8</v>
      </c>
      <c r="AH934" t="str">
        <f t="shared" si="44"/>
        <v>Singhia BMC</v>
      </c>
      <c r="AJ934" s="72">
        <v>0</v>
      </c>
      <c r="AK934" s="72"/>
      <c r="AL934" s="72"/>
      <c r="AM934" s="72"/>
    </row>
    <row r="935" spans="1:39" x14ac:dyDescent="0.25">
      <c r="A935" s="37" t="s">
        <v>62</v>
      </c>
      <c r="B935" s="66" t="s">
        <v>1596</v>
      </c>
      <c r="C935" s="41">
        <v>1062</v>
      </c>
      <c r="D935" s="41" t="s">
        <v>1381</v>
      </c>
      <c r="E935" s="41">
        <v>10640007</v>
      </c>
      <c r="F935" s="85" t="s">
        <v>1386</v>
      </c>
      <c r="G935" s="39" t="s">
        <v>617</v>
      </c>
      <c r="H935" s="52" t="s">
        <v>98</v>
      </c>
      <c r="I935" s="52">
        <v>159.14000000000001</v>
      </c>
      <c r="J935" s="49">
        <v>7315.6600000000008</v>
      </c>
      <c r="K935" s="58">
        <v>0</v>
      </c>
      <c r="L935" s="58">
        <v>0</v>
      </c>
      <c r="M935" s="58">
        <v>0</v>
      </c>
      <c r="N935" s="58">
        <v>0</v>
      </c>
      <c r="O935" s="65">
        <v>0</v>
      </c>
      <c r="P935" s="65">
        <v>0</v>
      </c>
      <c r="Q935" s="50">
        <v>7315.6600000000008</v>
      </c>
      <c r="R935" s="65">
        <v>0</v>
      </c>
      <c r="S935" s="65">
        <v>0</v>
      </c>
      <c r="T935" s="65">
        <v>0</v>
      </c>
      <c r="U935" s="65">
        <v>0</v>
      </c>
      <c r="V935" s="65">
        <v>0</v>
      </c>
      <c r="W935" s="65">
        <v>0</v>
      </c>
      <c r="X935" s="65">
        <v>0</v>
      </c>
      <c r="Y935" s="65">
        <v>0</v>
      </c>
      <c r="Z935" s="65">
        <v>7315.6600000000008</v>
      </c>
      <c r="AA935" s="51">
        <v>0</v>
      </c>
      <c r="AB935" s="102">
        <v>0</v>
      </c>
      <c r="AC935" s="81">
        <f t="shared" si="45"/>
        <v>497.26628975744637</v>
      </c>
      <c r="AD935" s="82">
        <f t="shared" si="46"/>
        <v>22.734285714285715</v>
      </c>
      <c r="AE935" s="218">
        <v>0</v>
      </c>
      <c r="AF935">
        <v>0</v>
      </c>
      <c r="AH935" t="str">
        <f t="shared" si="44"/>
        <v>Singhia BMC</v>
      </c>
      <c r="AJ935" s="72">
        <v>0</v>
      </c>
      <c r="AK935" s="72"/>
      <c r="AL935" s="72"/>
      <c r="AM935" s="72"/>
    </row>
    <row r="936" spans="1:39" x14ac:dyDescent="0.25">
      <c r="A936" s="37" t="s">
        <v>62</v>
      </c>
      <c r="B936" s="66" t="s">
        <v>1596</v>
      </c>
      <c r="C936" s="41">
        <v>1062</v>
      </c>
      <c r="D936" s="41" t="s">
        <v>1381</v>
      </c>
      <c r="E936" s="41">
        <v>10640008</v>
      </c>
      <c r="F936" s="85" t="s">
        <v>1496</v>
      </c>
      <c r="G936" s="39" t="s">
        <v>92</v>
      </c>
      <c r="H936" s="52" t="s">
        <v>93</v>
      </c>
      <c r="I936" s="52">
        <v>149.67999999999998</v>
      </c>
      <c r="J936" s="49">
        <v>6505.54</v>
      </c>
      <c r="K936" s="58">
        <v>149.10000000000002</v>
      </c>
      <c r="L936" s="58">
        <v>6477.43</v>
      </c>
      <c r="M936" s="58">
        <v>0</v>
      </c>
      <c r="N936" s="58">
        <v>0</v>
      </c>
      <c r="O936" s="65">
        <v>149.10000000000002</v>
      </c>
      <c r="P936" s="65">
        <v>6477.43</v>
      </c>
      <c r="Q936" s="50">
        <v>6477.43</v>
      </c>
      <c r="R936" s="65">
        <v>0</v>
      </c>
      <c r="S936" s="65">
        <v>0</v>
      </c>
      <c r="T936" s="65">
        <v>0</v>
      </c>
      <c r="U936" s="65">
        <v>0</v>
      </c>
      <c r="V936" s="65">
        <v>0</v>
      </c>
      <c r="W936" s="65">
        <v>0</v>
      </c>
      <c r="X936" s="65">
        <v>6477</v>
      </c>
      <c r="Y936" s="65">
        <v>0</v>
      </c>
      <c r="Z936" s="65">
        <v>0</v>
      </c>
      <c r="AA936" s="51">
        <v>29</v>
      </c>
      <c r="AB936" s="102">
        <v>0</v>
      </c>
      <c r="AC936" s="81">
        <f t="shared" si="45"/>
        <v>478.37102789951899</v>
      </c>
      <c r="AD936" s="82">
        <f t="shared" si="46"/>
        <v>21.382857142857141</v>
      </c>
      <c r="AE936" s="218">
        <v>4.3209326205049343E-3</v>
      </c>
      <c r="AF936">
        <v>1</v>
      </c>
      <c r="AH936" t="str">
        <f t="shared" si="44"/>
        <v>Singhia BMC</v>
      </c>
      <c r="AJ936" s="72">
        <v>0</v>
      </c>
      <c r="AK936" s="72"/>
      <c r="AL936" s="72"/>
      <c r="AM936" s="72"/>
    </row>
    <row r="937" spans="1:39" x14ac:dyDescent="0.25">
      <c r="A937" s="37" t="s">
        <v>62</v>
      </c>
      <c r="B937" s="66" t="s">
        <v>1596</v>
      </c>
      <c r="C937" s="41">
        <v>1062</v>
      </c>
      <c r="D937" s="41" t="s">
        <v>1381</v>
      </c>
      <c r="E937" s="41">
        <v>10640009</v>
      </c>
      <c r="F937" s="85" t="s">
        <v>1454</v>
      </c>
      <c r="G937" s="39" t="s">
        <v>92</v>
      </c>
      <c r="H937" s="52" t="s">
        <v>93</v>
      </c>
      <c r="I937" s="52">
        <v>242.95000000000002</v>
      </c>
      <c r="J937" s="49">
        <v>12056.23</v>
      </c>
      <c r="K937" s="58">
        <v>240.29999999999995</v>
      </c>
      <c r="L937" s="58">
        <v>11924.63</v>
      </c>
      <c r="M937" s="58">
        <v>0</v>
      </c>
      <c r="N937" s="58">
        <v>0</v>
      </c>
      <c r="O937" s="65">
        <v>240.29999999999995</v>
      </c>
      <c r="P937" s="65">
        <v>11924.63</v>
      </c>
      <c r="Q937" s="50">
        <v>11924.63</v>
      </c>
      <c r="R937" s="65">
        <v>0</v>
      </c>
      <c r="S937" s="65">
        <v>0</v>
      </c>
      <c r="T937" s="65">
        <v>0</v>
      </c>
      <c r="U937" s="65">
        <v>0</v>
      </c>
      <c r="V937" s="65">
        <v>0</v>
      </c>
      <c r="W937" s="65">
        <v>0</v>
      </c>
      <c r="X937" s="65">
        <v>11925</v>
      </c>
      <c r="Y937" s="65">
        <v>0</v>
      </c>
      <c r="Z937" s="65">
        <v>0</v>
      </c>
      <c r="AA937" s="51">
        <v>131</v>
      </c>
      <c r="AB937" s="102">
        <v>0</v>
      </c>
      <c r="AC937" s="81">
        <f t="shared" si="45"/>
        <v>453.61596390203744</v>
      </c>
      <c r="AD937" s="82">
        <f t="shared" si="46"/>
        <v>34.707142857142863</v>
      </c>
      <c r="AE937" s="218">
        <v>1.0915518366852686E-2</v>
      </c>
      <c r="AF937">
        <v>1</v>
      </c>
      <c r="AH937" t="str">
        <f t="shared" si="44"/>
        <v>Singhia BMC</v>
      </c>
      <c r="AJ937" s="72">
        <v>0</v>
      </c>
      <c r="AK937" s="72"/>
      <c r="AL937" s="72"/>
      <c r="AM937" s="72"/>
    </row>
    <row r="938" spans="1:39" x14ac:dyDescent="0.25">
      <c r="A938" s="37" t="s">
        <v>62</v>
      </c>
      <c r="B938" s="66" t="s">
        <v>1596</v>
      </c>
      <c r="C938" s="41">
        <v>1062</v>
      </c>
      <c r="D938" s="41" t="s">
        <v>1381</v>
      </c>
      <c r="E938" s="41">
        <v>10640010</v>
      </c>
      <c r="F938" s="85" t="s">
        <v>1416</v>
      </c>
      <c r="G938" s="39" t="s">
        <v>617</v>
      </c>
      <c r="H938" s="52" t="s">
        <v>98</v>
      </c>
      <c r="I938" s="52">
        <v>281</v>
      </c>
      <c r="J938" s="49">
        <v>11424.529999999999</v>
      </c>
      <c r="K938" s="58">
        <v>0</v>
      </c>
      <c r="L938" s="58">
        <v>0</v>
      </c>
      <c r="M938" s="58">
        <v>0</v>
      </c>
      <c r="N938" s="58">
        <v>0</v>
      </c>
      <c r="O938" s="65">
        <v>0</v>
      </c>
      <c r="P938" s="65">
        <v>0</v>
      </c>
      <c r="Q938" s="50">
        <v>11424.529999999999</v>
      </c>
      <c r="R938" s="65">
        <v>0</v>
      </c>
      <c r="S938" s="65">
        <v>0</v>
      </c>
      <c r="T938" s="65">
        <v>0</v>
      </c>
      <c r="U938" s="65">
        <v>0</v>
      </c>
      <c r="V938" s="65">
        <v>0</v>
      </c>
      <c r="W938" s="65">
        <v>0</v>
      </c>
      <c r="X938" s="65">
        <v>0</v>
      </c>
      <c r="Y938" s="65">
        <v>0</v>
      </c>
      <c r="Z938" s="65">
        <v>11424.529999999999</v>
      </c>
      <c r="AA938" s="51">
        <v>0</v>
      </c>
      <c r="AB938" s="102">
        <v>0</v>
      </c>
      <c r="AC938" s="81">
        <f t="shared" si="45"/>
        <v>340.70306548042703</v>
      </c>
      <c r="AD938" s="82">
        <f t="shared" si="46"/>
        <v>40.142857142857146</v>
      </c>
      <c r="AE938" s="218">
        <v>0</v>
      </c>
      <c r="AF938">
        <v>0</v>
      </c>
      <c r="AH938" t="str">
        <f t="shared" si="44"/>
        <v>Singhia BMC</v>
      </c>
      <c r="AJ938" s="72">
        <v>0</v>
      </c>
      <c r="AK938" s="72"/>
      <c r="AL938" s="72"/>
      <c r="AM938" s="72"/>
    </row>
    <row r="939" spans="1:39" x14ac:dyDescent="0.25">
      <c r="A939" s="37" t="s">
        <v>62</v>
      </c>
      <c r="B939" s="66" t="s">
        <v>1596</v>
      </c>
      <c r="C939" s="41">
        <v>1062</v>
      </c>
      <c r="D939" s="41" t="s">
        <v>1381</v>
      </c>
      <c r="E939" s="41">
        <v>10640011</v>
      </c>
      <c r="F939" s="85" t="s">
        <v>1417</v>
      </c>
      <c r="G939" s="39" t="s">
        <v>617</v>
      </c>
      <c r="H939" s="52" t="s">
        <v>98</v>
      </c>
      <c r="I939" s="52">
        <v>222.17000000000002</v>
      </c>
      <c r="J939" s="49">
        <v>10771.500000000002</v>
      </c>
      <c r="K939" s="58">
        <v>0</v>
      </c>
      <c r="L939" s="58">
        <v>0</v>
      </c>
      <c r="M939" s="58">
        <v>0</v>
      </c>
      <c r="N939" s="58">
        <v>0</v>
      </c>
      <c r="O939" s="65">
        <v>0</v>
      </c>
      <c r="P939" s="65">
        <v>0</v>
      </c>
      <c r="Q939" s="50">
        <v>10771.500000000002</v>
      </c>
      <c r="R939" s="65">
        <v>0</v>
      </c>
      <c r="S939" s="65">
        <v>0</v>
      </c>
      <c r="T939" s="65">
        <v>0</v>
      </c>
      <c r="U939" s="65">
        <v>0</v>
      </c>
      <c r="V939" s="65">
        <v>0</v>
      </c>
      <c r="W939" s="65">
        <v>0</v>
      </c>
      <c r="X939" s="65">
        <v>0</v>
      </c>
      <c r="Y939" s="65">
        <v>0</v>
      </c>
      <c r="Z939" s="65">
        <v>10771.500000000002</v>
      </c>
      <c r="AA939" s="51">
        <v>0</v>
      </c>
      <c r="AB939" s="102">
        <v>0</v>
      </c>
      <c r="AC939" s="81">
        <f t="shared" si="45"/>
        <v>463.33400954224243</v>
      </c>
      <c r="AD939" s="82">
        <f t="shared" si="46"/>
        <v>31.738571428571429</v>
      </c>
      <c r="AE939" s="218">
        <v>0</v>
      </c>
      <c r="AF939">
        <v>0</v>
      </c>
      <c r="AH939" t="str">
        <f t="shared" si="44"/>
        <v>Singhia BMC</v>
      </c>
      <c r="AJ939" s="72">
        <v>0</v>
      </c>
      <c r="AK939" s="72"/>
      <c r="AL939" s="72"/>
      <c r="AM939" s="72"/>
    </row>
    <row r="940" spans="1:39" x14ac:dyDescent="0.25">
      <c r="A940" s="37" t="s">
        <v>62</v>
      </c>
      <c r="B940" s="66" t="s">
        <v>1596</v>
      </c>
      <c r="C940" s="41">
        <v>1065</v>
      </c>
      <c r="D940" s="41" t="s">
        <v>1407</v>
      </c>
      <c r="E940" s="41">
        <v>10650001</v>
      </c>
      <c r="F940" s="85" t="s">
        <v>1408</v>
      </c>
      <c r="G940" s="39" t="s">
        <v>92</v>
      </c>
      <c r="H940" s="52" t="s">
        <v>93</v>
      </c>
      <c r="I940" s="52">
        <v>334.70000000000005</v>
      </c>
      <c r="J940" s="49">
        <v>13641.85</v>
      </c>
      <c r="K940" s="58">
        <v>333.69999999999993</v>
      </c>
      <c r="L940" s="58">
        <v>14517.5</v>
      </c>
      <c r="M940" s="58">
        <v>0</v>
      </c>
      <c r="N940" s="58">
        <v>0</v>
      </c>
      <c r="O940" s="65">
        <v>333.69999999999993</v>
      </c>
      <c r="P940" s="65">
        <v>14517.5</v>
      </c>
      <c r="Q940" s="50">
        <v>13641.85</v>
      </c>
      <c r="R940" s="65">
        <v>0</v>
      </c>
      <c r="S940" s="65">
        <v>0</v>
      </c>
      <c r="T940" s="65">
        <v>875.64999999999964</v>
      </c>
      <c r="U940" s="65">
        <v>0</v>
      </c>
      <c r="V940" s="65">
        <v>0</v>
      </c>
      <c r="W940" s="65">
        <v>0</v>
      </c>
      <c r="X940" s="65">
        <v>13642</v>
      </c>
      <c r="Y940" s="65">
        <v>0</v>
      </c>
      <c r="Z940" s="65">
        <v>0</v>
      </c>
      <c r="AA940" s="51">
        <v>0</v>
      </c>
      <c r="AB940" s="102">
        <v>0</v>
      </c>
      <c r="AC940" s="81">
        <f t="shared" si="45"/>
        <v>297.78116552136231</v>
      </c>
      <c r="AD940" s="82">
        <f t="shared" si="46"/>
        <v>47.814285714285724</v>
      </c>
      <c r="AE940" s="218">
        <v>-6.4188508156884858E-2</v>
      </c>
      <c r="AF940">
        <v>3</v>
      </c>
      <c r="AH940" t="str">
        <f t="shared" si="44"/>
        <v>Bachhwara BMC</v>
      </c>
      <c r="AJ940" s="72">
        <v>0</v>
      </c>
      <c r="AK940" s="72"/>
      <c r="AL940" s="72"/>
      <c r="AM940" s="72"/>
    </row>
    <row r="941" spans="1:39" x14ac:dyDescent="0.25">
      <c r="A941" s="37" t="s">
        <v>62</v>
      </c>
      <c r="B941" s="66" t="s">
        <v>1596</v>
      </c>
      <c r="C941" s="41">
        <v>1065</v>
      </c>
      <c r="D941" s="41" t="s">
        <v>1407</v>
      </c>
      <c r="E941" s="41">
        <v>10650003</v>
      </c>
      <c r="F941" s="85" t="s">
        <v>1409</v>
      </c>
      <c r="G941" s="39" t="s">
        <v>92</v>
      </c>
      <c r="H941" s="52" t="s">
        <v>93</v>
      </c>
      <c r="I941" s="52">
        <v>1157.5</v>
      </c>
      <c r="J941" s="49">
        <v>48374.189999999995</v>
      </c>
      <c r="K941" s="58">
        <v>1169.3</v>
      </c>
      <c r="L941" s="58">
        <v>49125.63</v>
      </c>
      <c r="M941" s="58">
        <v>0</v>
      </c>
      <c r="N941" s="58">
        <v>0</v>
      </c>
      <c r="O941" s="65">
        <v>1169.3</v>
      </c>
      <c r="P941" s="65">
        <v>49125.63</v>
      </c>
      <c r="Q941" s="50">
        <v>48374.189999999995</v>
      </c>
      <c r="R941" s="65">
        <v>0</v>
      </c>
      <c r="S941" s="65">
        <v>0</v>
      </c>
      <c r="T941" s="65">
        <v>751.44000000000233</v>
      </c>
      <c r="U941" s="65">
        <v>0</v>
      </c>
      <c r="V941" s="65">
        <v>0</v>
      </c>
      <c r="W941" s="65">
        <v>0</v>
      </c>
      <c r="X941" s="65">
        <v>48374</v>
      </c>
      <c r="Y941" s="65">
        <v>0</v>
      </c>
      <c r="Z941" s="65">
        <v>0</v>
      </c>
      <c r="AA941" s="51">
        <v>0</v>
      </c>
      <c r="AB941" s="102">
        <v>0</v>
      </c>
      <c r="AC941" s="81">
        <f t="shared" si="45"/>
        <v>0</v>
      </c>
      <c r="AD941" s="82">
        <f t="shared" si="46"/>
        <v>0</v>
      </c>
      <c r="AE941" s="218">
        <v>-1.5533903513423221E-2</v>
      </c>
      <c r="AF941">
        <v>21</v>
      </c>
      <c r="AH941" t="str">
        <f t="shared" si="44"/>
        <v>Bachhwara BMC</v>
      </c>
      <c r="AJ941" s="72">
        <v>0</v>
      </c>
      <c r="AK941" s="72"/>
      <c r="AL941" s="72"/>
      <c r="AM941" s="72"/>
    </row>
    <row r="942" spans="1:39" x14ac:dyDescent="0.25">
      <c r="A942" s="37" t="s">
        <v>62</v>
      </c>
      <c r="B942" s="66" t="s">
        <v>1596</v>
      </c>
      <c r="C942" s="41">
        <v>1065</v>
      </c>
      <c r="D942" s="41" t="s">
        <v>1407</v>
      </c>
      <c r="E942" s="41">
        <v>10650004</v>
      </c>
      <c r="F942" s="85" t="s">
        <v>1455</v>
      </c>
      <c r="G942" s="39" t="s">
        <v>92</v>
      </c>
      <c r="H942" s="52" t="s">
        <v>93</v>
      </c>
      <c r="I942" s="52">
        <v>600.19999999999993</v>
      </c>
      <c r="J942" s="49">
        <v>23296.390000000003</v>
      </c>
      <c r="K942" s="58">
        <v>356.90000000000009</v>
      </c>
      <c r="L942" s="58">
        <v>14667.759999999997</v>
      </c>
      <c r="M942" s="58">
        <v>248.60000000000002</v>
      </c>
      <c r="N942" s="58">
        <v>9653.7099999999991</v>
      </c>
      <c r="O942" s="65">
        <v>605.50000000000011</v>
      </c>
      <c r="P942" s="65">
        <v>24321.469999999994</v>
      </c>
      <c r="Q942" s="50">
        <v>23296.390000000003</v>
      </c>
      <c r="R942" s="65">
        <v>0</v>
      </c>
      <c r="S942" s="65">
        <v>0</v>
      </c>
      <c r="T942" s="65">
        <v>1025.0799999999908</v>
      </c>
      <c r="U942" s="65">
        <v>0</v>
      </c>
      <c r="V942" s="65">
        <v>0</v>
      </c>
      <c r="W942" s="65">
        <v>0</v>
      </c>
      <c r="X942" s="65">
        <v>13642</v>
      </c>
      <c r="Y942" s="65">
        <v>9654</v>
      </c>
      <c r="Z942" s="65">
        <v>0</v>
      </c>
      <c r="AA942" s="51">
        <v>0</v>
      </c>
      <c r="AB942" s="102">
        <v>0</v>
      </c>
      <c r="AC942" s="81">
        <f t="shared" si="45"/>
        <v>77.473499566811142</v>
      </c>
      <c r="AD942" s="82">
        <f t="shared" si="46"/>
        <v>85.742857142857133</v>
      </c>
      <c r="AE942" s="218">
        <v>-4.4001667211099688E-2</v>
      </c>
      <c r="AF942">
        <v>7</v>
      </c>
      <c r="AH942" t="str">
        <f t="shared" si="44"/>
        <v>Bachhwara BMC</v>
      </c>
      <c r="AJ942" s="72">
        <v>0</v>
      </c>
      <c r="AK942" s="72"/>
      <c r="AL942" s="72"/>
      <c r="AM942" s="72"/>
    </row>
    <row r="943" spans="1:39" x14ac:dyDescent="0.25">
      <c r="A943" s="37" t="s">
        <v>62</v>
      </c>
      <c r="B943" s="66" t="s">
        <v>1596</v>
      </c>
      <c r="C943" s="41">
        <v>1065</v>
      </c>
      <c r="D943" s="41" t="s">
        <v>1407</v>
      </c>
      <c r="E943" s="41">
        <v>10650008</v>
      </c>
      <c r="F943" s="85" t="s">
        <v>1472</v>
      </c>
      <c r="G943" s="39" t="s">
        <v>617</v>
      </c>
      <c r="H943" s="52" t="s">
        <v>98</v>
      </c>
      <c r="I943" s="52">
        <v>14.7</v>
      </c>
      <c r="J943" s="49">
        <v>563.65000000000009</v>
      </c>
      <c r="K943" s="58">
        <v>0</v>
      </c>
      <c r="L943" s="58">
        <v>0</v>
      </c>
      <c r="M943" s="58">
        <v>0</v>
      </c>
      <c r="N943" s="58">
        <v>0</v>
      </c>
      <c r="O943" s="65">
        <v>0</v>
      </c>
      <c r="P943" s="65">
        <v>0</v>
      </c>
      <c r="Q943" s="50">
        <v>563.65000000000009</v>
      </c>
      <c r="R943" s="65">
        <v>0</v>
      </c>
      <c r="S943" s="65">
        <v>0</v>
      </c>
      <c r="T943" s="65">
        <v>0</v>
      </c>
      <c r="U943" s="65">
        <v>0</v>
      </c>
      <c r="V943" s="65">
        <v>0</v>
      </c>
      <c r="W943" s="65">
        <v>0</v>
      </c>
      <c r="X943" s="65">
        <v>0</v>
      </c>
      <c r="Y943" s="65">
        <v>0</v>
      </c>
      <c r="Z943" s="65">
        <v>563.65000000000009</v>
      </c>
      <c r="AA943" s="51">
        <v>0</v>
      </c>
      <c r="AB943" s="102">
        <v>0</v>
      </c>
      <c r="AC943" s="81">
        <f t="shared" si="45"/>
        <v>525.53652380952394</v>
      </c>
      <c r="AD943" s="82">
        <f t="shared" si="46"/>
        <v>2.1</v>
      </c>
      <c r="AE943" s="218">
        <v>0</v>
      </c>
      <c r="AF943">
        <v>0</v>
      </c>
      <c r="AH943" t="str">
        <f t="shared" ref="AH943:AH1003" si="47">TEXT(D943,"0000")</f>
        <v>Bachhwara BMC</v>
      </c>
      <c r="AJ943" s="72">
        <v>0</v>
      </c>
      <c r="AK943" s="72"/>
      <c r="AL943" s="72"/>
      <c r="AM943" s="72"/>
    </row>
    <row r="944" spans="1:39" x14ac:dyDescent="0.25">
      <c r="A944" s="37" t="s">
        <v>62</v>
      </c>
      <c r="B944" s="66" t="s">
        <v>1596</v>
      </c>
      <c r="C944" s="41">
        <v>1065</v>
      </c>
      <c r="D944" s="41" t="s">
        <v>1407</v>
      </c>
      <c r="E944" s="41">
        <v>10650011</v>
      </c>
      <c r="F944" s="85" t="s">
        <v>1476</v>
      </c>
      <c r="G944" s="39" t="s">
        <v>92</v>
      </c>
      <c r="H944" s="52" t="s">
        <v>93</v>
      </c>
      <c r="I944" s="52">
        <v>611.80000000000007</v>
      </c>
      <c r="J944" s="49">
        <v>24516.680000000004</v>
      </c>
      <c r="K944" s="58">
        <v>602.6</v>
      </c>
      <c r="L944" s="58">
        <v>25384.97</v>
      </c>
      <c r="M944" s="58">
        <v>0</v>
      </c>
      <c r="N944" s="58">
        <v>0</v>
      </c>
      <c r="O944" s="65">
        <v>602.6</v>
      </c>
      <c r="P944" s="65">
        <v>25384.97</v>
      </c>
      <c r="Q944" s="50">
        <v>24516.680000000004</v>
      </c>
      <c r="R944" s="65">
        <v>0</v>
      </c>
      <c r="S944" s="65">
        <v>0</v>
      </c>
      <c r="T944" s="65">
        <v>868.28999999999724</v>
      </c>
      <c r="U944" s="65">
        <v>0</v>
      </c>
      <c r="V944" s="65">
        <v>0</v>
      </c>
      <c r="W944" s="65">
        <v>0</v>
      </c>
      <c r="X944" s="65">
        <v>24517</v>
      </c>
      <c r="Y944" s="65">
        <v>0</v>
      </c>
      <c r="Z944" s="65">
        <v>0</v>
      </c>
      <c r="AA944" s="51">
        <v>0</v>
      </c>
      <c r="AB944" s="102">
        <v>0</v>
      </c>
      <c r="AC944" s="81">
        <f t="shared" si="45"/>
        <v>70.688825629290591</v>
      </c>
      <c r="AD944" s="82">
        <f t="shared" si="46"/>
        <v>87.4</v>
      </c>
      <c r="AE944" s="218">
        <v>-3.5416296170606994E-2</v>
      </c>
      <c r="AF944">
        <v>9</v>
      </c>
      <c r="AH944" t="str">
        <f t="shared" si="47"/>
        <v>Bachhwara BMC</v>
      </c>
      <c r="AJ944" s="72">
        <v>0</v>
      </c>
      <c r="AK944" s="72"/>
      <c r="AL944" s="72"/>
      <c r="AM944" s="72"/>
    </row>
    <row r="945" spans="1:39" x14ac:dyDescent="0.25">
      <c r="A945" s="37" t="s">
        <v>62</v>
      </c>
      <c r="B945" s="66" t="s">
        <v>1596</v>
      </c>
      <c r="C945" s="41">
        <v>1065</v>
      </c>
      <c r="D945" s="41" t="s">
        <v>1407</v>
      </c>
      <c r="E945" s="41">
        <v>10650013</v>
      </c>
      <c r="F945" s="85" t="s">
        <v>1576</v>
      </c>
      <c r="G945" s="39" t="s">
        <v>92</v>
      </c>
      <c r="H945" s="52" t="s">
        <v>93</v>
      </c>
      <c r="I945" s="111">
        <v>326.7</v>
      </c>
      <c r="J945" s="49">
        <v>12342.320000000002</v>
      </c>
      <c r="K945" s="58">
        <v>343.99999999999994</v>
      </c>
      <c r="L945" s="58">
        <v>12272.869999999999</v>
      </c>
      <c r="M945" s="58">
        <v>0</v>
      </c>
      <c r="N945" s="58">
        <v>0</v>
      </c>
      <c r="O945" s="65">
        <v>343.99999999999994</v>
      </c>
      <c r="P945" s="65">
        <v>12272.869999999999</v>
      </c>
      <c r="Q945" s="50">
        <v>12272.869999999999</v>
      </c>
      <c r="R945" s="65">
        <v>0</v>
      </c>
      <c r="S945" s="65">
        <v>0</v>
      </c>
      <c r="T945" s="65">
        <v>0</v>
      </c>
      <c r="U945" s="65">
        <v>0</v>
      </c>
      <c r="V945" s="65">
        <v>0</v>
      </c>
      <c r="W945" s="65">
        <v>0</v>
      </c>
      <c r="X945" s="65">
        <v>12273</v>
      </c>
      <c r="Y945" s="65">
        <v>0</v>
      </c>
      <c r="Z945" s="65">
        <v>0</v>
      </c>
      <c r="AA945" s="51">
        <v>69</v>
      </c>
      <c r="AB945" s="102">
        <v>0</v>
      </c>
      <c r="AC945" s="81">
        <f t="shared" si="45"/>
        <v>282.0562017753291</v>
      </c>
      <c r="AD945" s="82">
        <f t="shared" si="46"/>
        <v>46.671428571428571</v>
      </c>
      <c r="AE945" s="218">
        <v>5.6269809889876897E-3</v>
      </c>
      <c r="AF945">
        <v>3</v>
      </c>
      <c r="AH945" t="str">
        <f t="shared" si="47"/>
        <v>Bachhwara BMC</v>
      </c>
      <c r="AJ945" s="72">
        <v>0</v>
      </c>
      <c r="AK945" s="72"/>
      <c r="AL945" s="72"/>
      <c r="AM945" s="72"/>
    </row>
    <row r="946" spans="1:39" x14ac:dyDescent="0.25">
      <c r="A946" s="37" t="s">
        <v>62</v>
      </c>
      <c r="B946" s="66" t="s">
        <v>1596</v>
      </c>
      <c r="C946" s="41">
        <v>1065</v>
      </c>
      <c r="D946" s="41" t="s">
        <v>1407</v>
      </c>
      <c r="E946" s="41">
        <v>10650015</v>
      </c>
      <c r="F946" s="85" t="s">
        <v>1557</v>
      </c>
      <c r="G946" s="39" t="s">
        <v>92</v>
      </c>
      <c r="H946" s="52" t="s">
        <v>93</v>
      </c>
      <c r="I946" s="52">
        <v>165.1</v>
      </c>
      <c r="J946" s="49">
        <v>6183.41</v>
      </c>
      <c r="K946" s="58">
        <v>206.39999999999998</v>
      </c>
      <c r="L946" s="58">
        <v>6855.82</v>
      </c>
      <c r="M946" s="58">
        <v>0</v>
      </c>
      <c r="N946" s="58">
        <v>0</v>
      </c>
      <c r="O946" s="65">
        <v>206.39999999999998</v>
      </c>
      <c r="P946" s="65">
        <v>6855.82</v>
      </c>
      <c r="Q946" s="50">
        <v>6183.41</v>
      </c>
      <c r="R946" s="65">
        <v>0</v>
      </c>
      <c r="S946" s="65">
        <v>0</v>
      </c>
      <c r="T946" s="65">
        <v>672.40999999999985</v>
      </c>
      <c r="U946" s="65">
        <v>0</v>
      </c>
      <c r="V946" s="65">
        <v>0</v>
      </c>
      <c r="W946" s="65">
        <v>0</v>
      </c>
      <c r="X946" s="65">
        <v>6183</v>
      </c>
      <c r="Y946" s="65">
        <v>0</v>
      </c>
      <c r="Z946" s="65">
        <v>0</v>
      </c>
      <c r="AA946" s="51">
        <v>0</v>
      </c>
      <c r="AB946" s="102">
        <v>0</v>
      </c>
      <c r="AC946" s="81">
        <f t="shared" si="45"/>
        <v>400.66699079345847</v>
      </c>
      <c r="AD946" s="82">
        <f t="shared" si="46"/>
        <v>23.585714285714285</v>
      </c>
      <c r="AE946" s="218">
        <v>-0.10874420424975861</v>
      </c>
      <c r="AF946">
        <v>1</v>
      </c>
      <c r="AH946" t="str">
        <f t="shared" si="47"/>
        <v>Bachhwara BMC</v>
      </c>
      <c r="AJ946" s="72">
        <v>0</v>
      </c>
      <c r="AK946" s="72"/>
      <c r="AL946" s="72"/>
      <c r="AM946" s="72"/>
    </row>
    <row r="947" spans="1:39" x14ac:dyDescent="0.25">
      <c r="A947" s="37" t="s">
        <v>62</v>
      </c>
      <c r="B947" s="66" t="s">
        <v>1596</v>
      </c>
      <c r="C947" s="41">
        <v>1065</v>
      </c>
      <c r="D947" s="41" t="s">
        <v>1407</v>
      </c>
      <c r="E947" s="41">
        <v>10650016</v>
      </c>
      <c r="F947" s="85" t="s">
        <v>1533</v>
      </c>
      <c r="G947" s="39" t="s">
        <v>92</v>
      </c>
      <c r="H947" s="52" t="s">
        <v>93</v>
      </c>
      <c r="I947" s="49">
        <v>238.79999999999998</v>
      </c>
      <c r="J947" s="49">
        <v>9090.7599999999984</v>
      </c>
      <c r="K947" s="58">
        <v>113.50000000000003</v>
      </c>
      <c r="L947" s="58">
        <v>4493.59</v>
      </c>
      <c r="M947" s="58">
        <v>129.89999999999998</v>
      </c>
      <c r="N947" s="58">
        <v>4673.2900000000009</v>
      </c>
      <c r="O947" s="65">
        <v>243.4</v>
      </c>
      <c r="P947" s="65">
        <v>9166.880000000001</v>
      </c>
      <c r="Q947" s="50">
        <v>9090.7599999999984</v>
      </c>
      <c r="R947" s="65">
        <v>0</v>
      </c>
      <c r="S947" s="65">
        <v>0</v>
      </c>
      <c r="T947" s="65">
        <v>76.120000000002619</v>
      </c>
      <c r="U947" s="65">
        <v>0</v>
      </c>
      <c r="V947" s="65">
        <v>0</v>
      </c>
      <c r="W947" s="65">
        <v>0</v>
      </c>
      <c r="X947" s="65">
        <v>4418</v>
      </c>
      <c r="Y947" s="65">
        <v>4673</v>
      </c>
      <c r="Z947" s="65">
        <v>0</v>
      </c>
      <c r="AA947" s="51">
        <v>0</v>
      </c>
      <c r="AB947" s="102">
        <v>0</v>
      </c>
      <c r="AC947" s="81">
        <f t="shared" si="45"/>
        <v>351.14392897822438</v>
      </c>
      <c r="AD947" s="82">
        <f t="shared" si="46"/>
        <v>34.114285714285714</v>
      </c>
      <c r="AE947" s="218">
        <v>-8.3733373227323823E-3</v>
      </c>
      <c r="AF947">
        <v>6</v>
      </c>
      <c r="AH947" t="str">
        <f t="shared" si="47"/>
        <v>Bachhwara BMC</v>
      </c>
      <c r="AJ947" s="72">
        <v>0</v>
      </c>
      <c r="AK947" s="72"/>
      <c r="AL947" s="72"/>
      <c r="AM947" s="72"/>
    </row>
    <row r="948" spans="1:39" x14ac:dyDescent="0.25">
      <c r="A948" s="37" t="s">
        <v>62</v>
      </c>
      <c r="B948" s="66" t="s">
        <v>1596</v>
      </c>
      <c r="C948" s="41">
        <v>1065</v>
      </c>
      <c r="D948" s="41" t="s">
        <v>1407</v>
      </c>
      <c r="E948" s="41">
        <v>10650018</v>
      </c>
      <c r="F948" s="85" t="s">
        <v>1545</v>
      </c>
      <c r="G948" s="39" t="s">
        <v>617</v>
      </c>
      <c r="H948" s="52" t="s">
        <v>98</v>
      </c>
      <c r="I948" s="52">
        <v>798.70000000000027</v>
      </c>
      <c r="J948" s="49">
        <v>32076.66</v>
      </c>
      <c r="K948" s="58">
        <v>0</v>
      </c>
      <c r="L948" s="58">
        <v>0</v>
      </c>
      <c r="M948" s="58">
        <v>0</v>
      </c>
      <c r="N948" s="58">
        <v>0</v>
      </c>
      <c r="O948" s="65">
        <v>0</v>
      </c>
      <c r="P948" s="65">
        <v>0</v>
      </c>
      <c r="Q948" s="50">
        <v>32076.66</v>
      </c>
      <c r="R948" s="65">
        <v>0</v>
      </c>
      <c r="S948" s="65">
        <v>0</v>
      </c>
      <c r="T948" s="65">
        <v>0</v>
      </c>
      <c r="U948" s="65">
        <v>0</v>
      </c>
      <c r="V948" s="65">
        <v>0</v>
      </c>
      <c r="W948" s="65">
        <v>0</v>
      </c>
      <c r="X948" s="65">
        <v>0</v>
      </c>
      <c r="Y948" s="65">
        <v>0</v>
      </c>
      <c r="Z948" s="65">
        <v>32076.66</v>
      </c>
      <c r="AA948" s="51">
        <v>0</v>
      </c>
      <c r="AB948" s="102">
        <v>0</v>
      </c>
      <c r="AC948" s="81">
        <f t="shared" si="45"/>
        <v>0</v>
      </c>
      <c r="AD948" s="82">
        <f t="shared" si="46"/>
        <v>0</v>
      </c>
      <c r="AE948" s="218">
        <v>0</v>
      </c>
      <c r="AF948">
        <v>0</v>
      </c>
      <c r="AH948" t="str">
        <f t="shared" si="47"/>
        <v>Bachhwara BMC</v>
      </c>
      <c r="AJ948" s="72">
        <v>0</v>
      </c>
      <c r="AK948" s="72"/>
      <c r="AL948" s="72"/>
      <c r="AM948" s="72"/>
    </row>
    <row r="949" spans="1:39" x14ac:dyDescent="0.25">
      <c r="A949" s="37" t="s">
        <v>62</v>
      </c>
      <c r="B949" s="66" t="s">
        <v>1596</v>
      </c>
      <c r="C949" s="41">
        <v>1066</v>
      </c>
      <c r="D949" s="41" t="s">
        <v>1501</v>
      </c>
      <c r="E949" s="41">
        <v>10660001</v>
      </c>
      <c r="F949" s="85" t="s">
        <v>1506</v>
      </c>
      <c r="G949" s="39" t="s">
        <v>92</v>
      </c>
      <c r="H949" s="52" t="s">
        <v>93</v>
      </c>
      <c r="I949" s="52">
        <v>623.15</v>
      </c>
      <c r="J949" s="49">
        <v>32721.929999999997</v>
      </c>
      <c r="K949" s="58">
        <v>622.29999999999995</v>
      </c>
      <c r="L949" s="58">
        <v>33179.229999999996</v>
      </c>
      <c r="M949" s="58">
        <v>0</v>
      </c>
      <c r="N949" s="58">
        <v>0</v>
      </c>
      <c r="O949" s="65">
        <v>622.29999999999995</v>
      </c>
      <c r="P949" s="65">
        <v>33179.229999999996</v>
      </c>
      <c r="Q949" s="50">
        <v>32721.929999999997</v>
      </c>
      <c r="R949" s="65">
        <v>0</v>
      </c>
      <c r="S949" s="65">
        <v>0</v>
      </c>
      <c r="T949" s="65">
        <v>457.29999999999927</v>
      </c>
      <c r="U949" s="65">
        <v>0</v>
      </c>
      <c r="V949" s="65">
        <v>0</v>
      </c>
      <c r="W949" s="65">
        <v>0</v>
      </c>
      <c r="X949" s="65">
        <v>32722</v>
      </c>
      <c r="Y949" s="65">
        <v>0</v>
      </c>
      <c r="Z949" s="65">
        <v>0</v>
      </c>
      <c r="AA949" s="51">
        <v>0</v>
      </c>
      <c r="AB949" s="102">
        <v>0</v>
      </c>
      <c r="AC949" s="81">
        <f t="shared" si="45"/>
        <v>80.708667913022524</v>
      </c>
      <c r="AD949" s="82">
        <f t="shared" si="46"/>
        <v>89.021428571428572</v>
      </c>
      <c r="AE949" s="218">
        <v>-1.3975337029325572E-2</v>
      </c>
      <c r="AF949">
        <v>5</v>
      </c>
      <c r="AH949" t="str">
        <f t="shared" si="47"/>
        <v>Gaighat</v>
      </c>
      <c r="AJ949" s="72">
        <v>0</v>
      </c>
      <c r="AK949" s="72"/>
      <c r="AL949" s="72"/>
      <c r="AM949" s="72"/>
    </row>
    <row r="950" spans="1:39" x14ac:dyDescent="0.25">
      <c r="A950" s="37" t="s">
        <v>62</v>
      </c>
      <c r="B950" s="66" t="s">
        <v>1596</v>
      </c>
      <c r="C950" s="41">
        <v>1066</v>
      </c>
      <c r="D950" s="41" t="s">
        <v>1501</v>
      </c>
      <c r="E950" s="41">
        <v>10660002</v>
      </c>
      <c r="F950" s="85" t="s">
        <v>1507</v>
      </c>
      <c r="G950" s="39" t="s">
        <v>92</v>
      </c>
      <c r="H950" s="52" t="s">
        <v>93</v>
      </c>
      <c r="I950" s="52">
        <v>364.25999999999993</v>
      </c>
      <c r="J950" s="49">
        <v>16446.93</v>
      </c>
      <c r="K950" s="58">
        <v>355.9</v>
      </c>
      <c r="L950" s="58">
        <v>16352.96</v>
      </c>
      <c r="M950" s="58">
        <v>8.7999999999999989</v>
      </c>
      <c r="N950" s="58">
        <v>390.9</v>
      </c>
      <c r="O950" s="65">
        <v>364.7</v>
      </c>
      <c r="P950" s="65">
        <v>16743.86</v>
      </c>
      <c r="Q950" s="50">
        <v>16446.93</v>
      </c>
      <c r="R950" s="65">
        <v>0</v>
      </c>
      <c r="S950" s="65">
        <v>390.9</v>
      </c>
      <c r="T950" s="65">
        <v>296.93000000000029</v>
      </c>
      <c r="U950" s="65">
        <v>0</v>
      </c>
      <c r="V950" s="65">
        <v>0</v>
      </c>
      <c r="W950" s="65">
        <v>0</v>
      </c>
      <c r="X950" s="65">
        <v>16056</v>
      </c>
      <c r="Y950" s="65">
        <v>0</v>
      </c>
      <c r="Z950" s="65">
        <v>0</v>
      </c>
      <c r="AA950" s="51">
        <v>0</v>
      </c>
      <c r="AB950" s="102">
        <v>0</v>
      </c>
      <c r="AC950" s="81">
        <f t="shared" si="45"/>
        <v>303.18411454455622</v>
      </c>
      <c r="AD950" s="82">
        <f t="shared" si="46"/>
        <v>52.037142857142847</v>
      </c>
      <c r="AE950" s="218">
        <v>-1.8053825242765689E-2</v>
      </c>
      <c r="AF950">
        <v>8</v>
      </c>
      <c r="AH950" t="str">
        <f t="shared" si="47"/>
        <v>Gaighat</v>
      </c>
      <c r="AJ950" s="72">
        <v>0</v>
      </c>
      <c r="AK950" s="72"/>
      <c r="AL950" s="72"/>
      <c r="AM950" s="72"/>
    </row>
    <row r="951" spans="1:39" x14ac:dyDescent="0.25">
      <c r="A951" s="37" t="s">
        <v>62</v>
      </c>
      <c r="B951" s="66" t="s">
        <v>1596</v>
      </c>
      <c r="C951" s="41">
        <v>1066</v>
      </c>
      <c r="D951" s="41" t="s">
        <v>1501</v>
      </c>
      <c r="E951" s="41">
        <v>10660004</v>
      </c>
      <c r="F951" s="85" t="s">
        <v>1508</v>
      </c>
      <c r="G951" s="39" t="s">
        <v>92</v>
      </c>
      <c r="H951" s="52" t="s">
        <v>93</v>
      </c>
      <c r="I951" s="52">
        <v>597.05999999999995</v>
      </c>
      <c r="J951" s="49">
        <v>25494.799999999999</v>
      </c>
      <c r="K951" s="58">
        <v>584.09999999999991</v>
      </c>
      <c r="L951" s="58">
        <v>25343.980000000003</v>
      </c>
      <c r="M951" s="58">
        <v>9.6</v>
      </c>
      <c r="N951" s="58">
        <v>416.19</v>
      </c>
      <c r="O951" s="65">
        <v>593.69999999999993</v>
      </c>
      <c r="P951" s="65">
        <v>25760.170000000002</v>
      </c>
      <c r="Q951" s="50">
        <v>25494.799999999999</v>
      </c>
      <c r="R951" s="65">
        <v>0</v>
      </c>
      <c r="S951" s="65">
        <v>416.19</v>
      </c>
      <c r="T951" s="65">
        <v>265.37000000000262</v>
      </c>
      <c r="U951" s="65">
        <v>0</v>
      </c>
      <c r="V951" s="65">
        <v>0</v>
      </c>
      <c r="W951" s="65">
        <v>0</v>
      </c>
      <c r="X951" s="65">
        <v>25079</v>
      </c>
      <c r="Y951" s="65">
        <v>0</v>
      </c>
      <c r="Z951" s="65">
        <v>0</v>
      </c>
      <c r="AA951" s="51">
        <v>0</v>
      </c>
      <c r="AB951" s="102">
        <v>0</v>
      </c>
      <c r="AC951" s="81">
        <f t="shared" si="45"/>
        <v>87.91192550162468</v>
      </c>
      <c r="AD951" s="82">
        <f t="shared" si="46"/>
        <v>85.294285714285706</v>
      </c>
      <c r="AE951" s="218">
        <v>-1.0408789243296775E-2</v>
      </c>
      <c r="AF951">
        <v>19</v>
      </c>
      <c r="AH951" t="str">
        <f t="shared" si="47"/>
        <v>Gaighat</v>
      </c>
      <c r="AJ951" s="72">
        <v>0</v>
      </c>
      <c r="AK951" s="72"/>
      <c r="AL951" s="72"/>
      <c r="AM951" s="72"/>
    </row>
    <row r="952" spans="1:39" x14ac:dyDescent="0.25">
      <c r="A952" s="37" t="s">
        <v>62</v>
      </c>
      <c r="B952" s="66" t="s">
        <v>1596</v>
      </c>
      <c r="C952" s="41">
        <v>1066</v>
      </c>
      <c r="D952" s="41" t="s">
        <v>1501</v>
      </c>
      <c r="E952" s="41">
        <v>10660005</v>
      </c>
      <c r="F952" s="85" t="s">
        <v>1509</v>
      </c>
      <c r="G952" s="39" t="s">
        <v>92</v>
      </c>
      <c r="H952" s="52" t="s">
        <v>93</v>
      </c>
      <c r="I952" s="52">
        <v>565.79000000000008</v>
      </c>
      <c r="J952" s="49">
        <v>27046.829999999998</v>
      </c>
      <c r="K952" s="58">
        <v>552.6</v>
      </c>
      <c r="L952" s="58">
        <v>28029.609999999997</v>
      </c>
      <c r="M952" s="58">
        <v>7.1000000000000014</v>
      </c>
      <c r="N952" s="58">
        <v>401.99999999999994</v>
      </c>
      <c r="O952" s="65">
        <v>559.70000000000005</v>
      </c>
      <c r="P952" s="65">
        <v>28431.609999999997</v>
      </c>
      <c r="Q952" s="50">
        <v>27046.829999999998</v>
      </c>
      <c r="R952" s="65">
        <v>0</v>
      </c>
      <c r="S952" s="65">
        <v>401.99999999999994</v>
      </c>
      <c r="T952" s="65">
        <v>1384.7799999999988</v>
      </c>
      <c r="U952" s="65">
        <v>0</v>
      </c>
      <c r="V952" s="65">
        <v>0</v>
      </c>
      <c r="W952" s="65">
        <v>0</v>
      </c>
      <c r="X952" s="65">
        <v>26645</v>
      </c>
      <c r="Y952" s="65">
        <v>0</v>
      </c>
      <c r="Z952" s="65">
        <v>0</v>
      </c>
      <c r="AA952" s="51">
        <v>0</v>
      </c>
      <c r="AB952" s="102">
        <v>0</v>
      </c>
      <c r="AC952" s="81">
        <f t="shared" si="45"/>
        <v>128.31457092914314</v>
      </c>
      <c r="AD952" s="82">
        <f t="shared" si="46"/>
        <v>80.827142857142874</v>
      </c>
      <c r="AE952" s="218">
        <v>-5.1199345727392043E-2</v>
      </c>
      <c r="AF952">
        <v>17</v>
      </c>
      <c r="AH952" t="str">
        <f t="shared" si="47"/>
        <v>Gaighat</v>
      </c>
      <c r="AJ952" s="72">
        <v>0</v>
      </c>
      <c r="AK952" s="72"/>
      <c r="AL952" s="72"/>
      <c r="AM952" s="72"/>
    </row>
    <row r="953" spans="1:39" x14ac:dyDescent="0.25">
      <c r="A953" s="37" t="s">
        <v>62</v>
      </c>
      <c r="B953" s="66" t="s">
        <v>1596</v>
      </c>
      <c r="C953" s="41">
        <v>1066</v>
      </c>
      <c r="D953" s="41" t="s">
        <v>1501</v>
      </c>
      <c r="E953" s="41">
        <v>10660006</v>
      </c>
      <c r="F953" s="85" t="s">
        <v>1510</v>
      </c>
      <c r="G953" s="39" t="s">
        <v>92</v>
      </c>
      <c r="H953" s="52" t="s">
        <v>93</v>
      </c>
      <c r="I953" s="52">
        <v>314.50999999999993</v>
      </c>
      <c r="J953" s="49">
        <v>14028.900000000001</v>
      </c>
      <c r="K953" s="58">
        <v>301.7</v>
      </c>
      <c r="L953" s="58">
        <v>11927.84</v>
      </c>
      <c r="M953" s="58">
        <v>6.2000000000000011</v>
      </c>
      <c r="N953" s="58">
        <v>242.89999999999998</v>
      </c>
      <c r="O953" s="65">
        <v>307.89999999999998</v>
      </c>
      <c r="P953" s="65">
        <v>12170.74</v>
      </c>
      <c r="Q953" s="50">
        <v>12170.74</v>
      </c>
      <c r="R953" s="65">
        <v>0</v>
      </c>
      <c r="S953" s="65">
        <v>242.89999999999998</v>
      </c>
      <c r="T953" s="65">
        <v>0</v>
      </c>
      <c r="U953" s="65">
        <v>0</v>
      </c>
      <c r="V953" s="65">
        <v>0</v>
      </c>
      <c r="W953" s="65">
        <v>0</v>
      </c>
      <c r="X953" s="65">
        <v>11929</v>
      </c>
      <c r="Y953" s="65">
        <v>0</v>
      </c>
      <c r="Z953" s="65">
        <v>0</v>
      </c>
      <c r="AA953" s="51">
        <v>1857</v>
      </c>
      <c r="AB953" s="102">
        <v>0</v>
      </c>
      <c r="AC953" s="81">
        <f t="shared" si="45"/>
        <v>343.9000770086804</v>
      </c>
      <c r="AD953" s="82">
        <f t="shared" si="46"/>
        <v>44.929999999999993</v>
      </c>
      <c r="AE953" s="218">
        <v>0.13245229490551658</v>
      </c>
      <c r="AF953">
        <v>13</v>
      </c>
      <c r="AH953" t="str">
        <f t="shared" si="47"/>
        <v>Gaighat</v>
      </c>
      <c r="AJ953" s="72">
        <v>0</v>
      </c>
      <c r="AK953" s="72"/>
      <c r="AL953" s="72"/>
      <c r="AM953" s="72"/>
    </row>
    <row r="954" spans="1:39" x14ac:dyDescent="0.25">
      <c r="A954" s="37" t="s">
        <v>62</v>
      </c>
      <c r="B954" s="66" t="s">
        <v>1596</v>
      </c>
      <c r="C954" s="41">
        <v>1066</v>
      </c>
      <c r="D954" s="41" t="s">
        <v>1501</v>
      </c>
      <c r="E954" s="41">
        <v>10660007</v>
      </c>
      <c r="F954" s="85" t="s">
        <v>1511</v>
      </c>
      <c r="G954" s="39" t="s">
        <v>617</v>
      </c>
      <c r="H954" s="52" t="s">
        <v>98</v>
      </c>
      <c r="I954" s="52">
        <v>138.72999999999999</v>
      </c>
      <c r="J954" s="49">
        <v>5295.85</v>
      </c>
      <c r="K954" s="58">
        <v>0</v>
      </c>
      <c r="L954" s="58">
        <v>0</v>
      </c>
      <c r="M954" s="58">
        <v>0</v>
      </c>
      <c r="N954" s="58">
        <v>0</v>
      </c>
      <c r="O954" s="65">
        <v>0</v>
      </c>
      <c r="P954" s="65">
        <v>0</v>
      </c>
      <c r="Q954" s="50">
        <v>5295.85</v>
      </c>
      <c r="R954" s="65">
        <v>0</v>
      </c>
      <c r="S954" s="65">
        <v>0</v>
      </c>
      <c r="T954" s="65">
        <v>0</v>
      </c>
      <c r="U954" s="65">
        <v>0</v>
      </c>
      <c r="V954" s="65">
        <v>0</v>
      </c>
      <c r="W954" s="65">
        <v>0</v>
      </c>
      <c r="X954" s="65">
        <v>0</v>
      </c>
      <c r="Y954" s="65">
        <v>0</v>
      </c>
      <c r="Z954" s="65">
        <v>5295.85</v>
      </c>
      <c r="AA954" s="51">
        <v>0</v>
      </c>
      <c r="AB954" s="102">
        <v>0</v>
      </c>
      <c r="AC954" s="81">
        <f t="shared" si="45"/>
        <v>428.5160714337203</v>
      </c>
      <c r="AD954" s="82">
        <f t="shared" si="46"/>
        <v>19.818571428571428</v>
      </c>
      <c r="AE954" s="218">
        <v>0</v>
      </c>
      <c r="AF954">
        <v>0</v>
      </c>
      <c r="AH954" t="str">
        <f t="shared" si="47"/>
        <v>Gaighat</v>
      </c>
      <c r="AJ954" s="72">
        <v>0</v>
      </c>
      <c r="AK954" s="72"/>
      <c r="AL954" s="72"/>
      <c r="AM954" s="72"/>
    </row>
    <row r="955" spans="1:39" x14ac:dyDescent="0.25">
      <c r="A955" s="37" t="s">
        <v>62</v>
      </c>
      <c r="B955" s="66" t="s">
        <v>1596</v>
      </c>
      <c r="C955" s="41">
        <v>1066</v>
      </c>
      <c r="D955" s="41" t="s">
        <v>1501</v>
      </c>
      <c r="E955" s="41">
        <v>10660010</v>
      </c>
      <c r="F955" s="85" t="s">
        <v>1512</v>
      </c>
      <c r="G955" s="39" t="s">
        <v>617</v>
      </c>
      <c r="H955" s="52" t="s">
        <v>98</v>
      </c>
      <c r="I955" s="52">
        <v>1835.47</v>
      </c>
      <c r="J955" s="49">
        <v>71624.039999999994</v>
      </c>
      <c r="K955" s="58">
        <v>0</v>
      </c>
      <c r="L955" s="58">
        <v>0</v>
      </c>
      <c r="M955" s="58">
        <v>0</v>
      </c>
      <c r="N955" s="58">
        <v>0</v>
      </c>
      <c r="O955" s="65">
        <v>0</v>
      </c>
      <c r="P955" s="65">
        <v>0</v>
      </c>
      <c r="Q955" s="50">
        <v>71624.039999999994</v>
      </c>
      <c r="R955" s="65">
        <v>0</v>
      </c>
      <c r="S955" s="65">
        <v>0</v>
      </c>
      <c r="T955" s="65">
        <v>0</v>
      </c>
      <c r="U955" s="65">
        <v>0</v>
      </c>
      <c r="V955" s="65">
        <v>0</v>
      </c>
      <c r="W955" s="65">
        <v>0</v>
      </c>
      <c r="X955" s="65">
        <v>0</v>
      </c>
      <c r="Y955" s="65">
        <v>0</v>
      </c>
      <c r="Z955" s="65">
        <v>71624.039999999994</v>
      </c>
      <c r="AA955" s="51">
        <v>0</v>
      </c>
      <c r="AB955" s="102">
        <v>0</v>
      </c>
      <c r="AC955" s="81">
        <f t="shared" si="45"/>
        <v>0</v>
      </c>
      <c r="AD955" s="82">
        <f t="shared" si="46"/>
        <v>0</v>
      </c>
      <c r="AE955" s="218">
        <v>0</v>
      </c>
      <c r="AF955">
        <v>0</v>
      </c>
      <c r="AH955" t="str">
        <f t="shared" si="47"/>
        <v>Gaighat</v>
      </c>
      <c r="AJ955" s="72">
        <v>0</v>
      </c>
      <c r="AK955" s="72"/>
      <c r="AL955" s="72"/>
      <c r="AM955" s="72"/>
    </row>
    <row r="956" spans="1:39" x14ac:dyDescent="0.25">
      <c r="A956" s="37" t="s">
        <v>62</v>
      </c>
      <c r="B956" s="66" t="s">
        <v>1596</v>
      </c>
      <c r="C956" s="41">
        <v>1066</v>
      </c>
      <c r="D956" s="41" t="s">
        <v>1501</v>
      </c>
      <c r="E956" s="41">
        <v>10660011</v>
      </c>
      <c r="F956" s="85" t="s">
        <v>1513</v>
      </c>
      <c r="G956" s="39" t="s">
        <v>617</v>
      </c>
      <c r="H956" s="52" t="s">
        <v>98</v>
      </c>
      <c r="I956" s="52">
        <v>1033.8600000000001</v>
      </c>
      <c r="J956" s="49">
        <v>43334.45</v>
      </c>
      <c r="K956" s="58">
        <v>0</v>
      </c>
      <c r="L956" s="58">
        <v>0</v>
      </c>
      <c r="M956" s="58">
        <v>0</v>
      </c>
      <c r="N956" s="58">
        <v>0</v>
      </c>
      <c r="O956" s="65">
        <v>0</v>
      </c>
      <c r="P956" s="65">
        <v>0</v>
      </c>
      <c r="Q956" s="50">
        <v>43334.45</v>
      </c>
      <c r="R956" s="65">
        <v>0</v>
      </c>
      <c r="S956" s="65">
        <v>0</v>
      </c>
      <c r="T956" s="65">
        <v>0</v>
      </c>
      <c r="U956" s="65">
        <v>0</v>
      </c>
      <c r="V956" s="65">
        <v>0</v>
      </c>
      <c r="W956" s="65">
        <v>0</v>
      </c>
      <c r="X956" s="65">
        <v>0</v>
      </c>
      <c r="Y956" s="65">
        <v>0</v>
      </c>
      <c r="Z956" s="65">
        <v>43334.45</v>
      </c>
      <c r="AA956" s="51">
        <v>0</v>
      </c>
      <c r="AB956" s="102">
        <v>0</v>
      </c>
      <c r="AC956" s="81">
        <f t="shared" si="45"/>
        <v>0</v>
      </c>
      <c r="AD956" s="82">
        <f t="shared" si="46"/>
        <v>0</v>
      </c>
      <c r="AE956" s="218">
        <v>0</v>
      </c>
      <c r="AF956">
        <v>0</v>
      </c>
      <c r="AH956" t="str">
        <f t="shared" si="47"/>
        <v>Gaighat</v>
      </c>
      <c r="AJ956" s="72">
        <v>0</v>
      </c>
      <c r="AK956" s="72"/>
      <c r="AL956" s="72"/>
      <c r="AM956" s="72"/>
    </row>
    <row r="957" spans="1:39" x14ac:dyDescent="0.25">
      <c r="A957" s="37" t="s">
        <v>62</v>
      </c>
      <c r="B957" s="66" t="s">
        <v>1596</v>
      </c>
      <c r="C957" s="41">
        <v>1066</v>
      </c>
      <c r="D957" s="41" t="s">
        <v>1501</v>
      </c>
      <c r="E957" s="41">
        <v>10660012</v>
      </c>
      <c r="F957" s="85" t="s">
        <v>1529</v>
      </c>
      <c r="G957" s="39" t="s">
        <v>617</v>
      </c>
      <c r="H957" s="52" t="s">
        <v>98</v>
      </c>
      <c r="I957" s="52">
        <v>9.01</v>
      </c>
      <c r="J957" s="49">
        <v>626.47</v>
      </c>
      <c r="K957" s="58">
        <v>0</v>
      </c>
      <c r="L957" s="58">
        <v>0</v>
      </c>
      <c r="M957" s="58">
        <v>0</v>
      </c>
      <c r="N957" s="58">
        <v>0</v>
      </c>
      <c r="O957" s="65">
        <v>0</v>
      </c>
      <c r="P957" s="65">
        <v>0</v>
      </c>
      <c r="Q957" s="50">
        <v>626.47</v>
      </c>
      <c r="R957" s="65">
        <v>0</v>
      </c>
      <c r="S957" s="65">
        <v>0</v>
      </c>
      <c r="T957" s="65">
        <v>0</v>
      </c>
      <c r="U957" s="65">
        <v>0</v>
      </c>
      <c r="V957" s="65">
        <v>0</v>
      </c>
      <c r="W957" s="65">
        <v>0</v>
      </c>
      <c r="X957" s="65">
        <v>0</v>
      </c>
      <c r="Y957" s="65">
        <v>0</v>
      </c>
      <c r="Z957" s="65">
        <v>626.47</v>
      </c>
      <c r="AA957" s="51">
        <v>0</v>
      </c>
      <c r="AB957" s="102">
        <v>0</v>
      </c>
      <c r="AC957" s="81">
        <f t="shared" si="45"/>
        <v>960.8979029966705</v>
      </c>
      <c r="AD957" s="82">
        <f t="shared" si="46"/>
        <v>1.2871428571428571</v>
      </c>
      <c r="AE957" s="218">
        <v>0</v>
      </c>
      <c r="AF957">
        <v>0</v>
      </c>
      <c r="AH957" t="str">
        <f t="shared" si="47"/>
        <v>Gaighat</v>
      </c>
      <c r="AJ957" s="72">
        <v>0</v>
      </c>
      <c r="AK957" s="72"/>
      <c r="AL957" s="72"/>
      <c r="AM957" s="72"/>
    </row>
    <row r="958" spans="1:39" x14ac:dyDescent="0.25">
      <c r="A958" s="37" t="s">
        <v>62</v>
      </c>
      <c r="B958" s="66" t="s">
        <v>1596</v>
      </c>
      <c r="C958" s="41">
        <v>1066</v>
      </c>
      <c r="D958" s="41" t="s">
        <v>1501</v>
      </c>
      <c r="E958" s="41">
        <v>10660013</v>
      </c>
      <c r="F958" s="85" t="s">
        <v>1514</v>
      </c>
      <c r="G958" s="39" t="s">
        <v>92</v>
      </c>
      <c r="H958" s="52" t="s">
        <v>93</v>
      </c>
      <c r="I958" s="52">
        <v>270.54999999999995</v>
      </c>
      <c r="J958" s="49">
        <v>11245.740000000002</v>
      </c>
      <c r="K958" s="58">
        <v>269.64</v>
      </c>
      <c r="L958" s="58">
        <v>11284.739999999998</v>
      </c>
      <c r="M958" s="58">
        <v>0</v>
      </c>
      <c r="N958" s="58">
        <v>0</v>
      </c>
      <c r="O958" s="65">
        <v>269.64</v>
      </c>
      <c r="P958" s="65">
        <v>11284.739999999998</v>
      </c>
      <c r="Q958" s="50">
        <v>11245.740000000002</v>
      </c>
      <c r="R958" s="65">
        <v>0</v>
      </c>
      <c r="S958" s="65">
        <v>0</v>
      </c>
      <c r="T958" s="65">
        <v>38.999999999996362</v>
      </c>
      <c r="U958" s="65">
        <v>0</v>
      </c>
      <c r="V958" s="65">
        <v>0</v>
      </c>
      <c r="W958" s="65">
        <v>0</v>
      </c>
      <c r="X958" s="65">
        <v>11246</v>
      </c>
      <c r="Y958" s="65">
        <v>0</v>
      </c>
      <c r="Z958" s="65">
        <v>0</v>
      </c>
      <c r="AA958" s="51">
        <v>0</v>
      </c>
      <c r="AB958" s="102">
        <v>0</v>
      </c>
      <c r="AC958" s="81">
        <f t="shared" si="45"/>
        <v>357.01223751617096</v>
      </c>
      <c r="AD958" s="82">
        <f t="shared" si="46"/>
        <v>38.649999999999991</v>
      </c>
      <c r="AE958" s="218">
        <v>-3.4679798750456934E-3</v>
      </c>
      <c r="AF958">
        <v>3</v>
      </c>
      <c r="AH958" t="str">
        <f t="shared" si="47"/>
        <v>Gaighat</v>
      </c>
      <c r="AJ958" s="72">
        <v>0</v>
      </c>
      <c r="AK958" s="72"/>
      <c r="AL958" s="72"/>
      <c r="AM958" s="72"/>
    </row>
    <row r="959" spans="1:39" x14ac:dyDescent="0.25">
      <c r="A959" s="37" t="s">
        <v>62</v>
      </c>
      <c r="B959" s="66" t="s">
        <v>1596</v>
      </c>
      <c r="C959" s="41">
        <v>1066</v>
      </c>
      <c r="D959" s="41" t="s">
        <v>1501</v>
      </c>
      <c r="E959" s="41">
        <v>10660015</v>
      </c>
      <c r="F959" s="85" t="s">
        <v>1515</v>
      </c>
      <c r="G959" s="39" t="s">
        <v>617</v>
      </c>
      <c r="H959" s="52" t="s">
        <v>98</v>
      </c>
      <c r="I959" s="52">
        <v>960.2600000000001</v>
      </c>
      <c r="J959" s="49">
        <v>40389.970000000016</v>
      </c>
      <c r="K959" s="58">
        <v>0</v>
      </c>
      <c r="L959" s="58">
        <v>0</v>
      </c>
      <c r="M959" s="58">
        <v>0</v>
      </c>
      <c r="N959" s="58">
        <v>0</v>
      </c>
      <c r="O959" s="65">
        <v>0</v>
      </c>
      <c r="P959" s="65">
        <v>0</v>
      </c>
      <c r="Q959" s="50">
        <v>40389.970000000016</v>
      </c>
      <c r="R959" s="65">
        <v>0</v>
      </c>
      <c r="S959" s="65">
        <v>0</v>
      </c>
      <c r="T959" s="65">
        <v>0</v>
      </c>
      <c r="U959" s="65">
        <v>0</v>
      </c>
      <c r="V959" s="65">
        <v>0</v>
      </c>
      <c r="W959" s="65">
        <v>0</v>
      </c>
      <c r="X959" s="65">
        <v>0</v>
      </c>
      <c r="Y959" s="65">
        <v>0</v>
      </c>
      <c r="Z959" s="65">
        <v>40389.970000000016</v>
      </c>
      <c r="AA959" s="51">
        <v>0</v>
      </c>
      <c r="AB959" s="102">
        <v>0</v>
      </c>
      <c r="AC959" s="81">
        <f t="shared" si="45"/>
        <v>0</v>
      </c>
      <c r="AD959" s="82">
        <f t="shared" si="46"/>
        <v>0</v>
      </c>
      <c r="AE959" s="218">
        <v>0</v>
      </c>
      <c r="AF959">
        <v>0</v>
      </c>
      <c r="AH959" t="str">
        <f t="shared" si="47"/>
        <v>Gaighat</v>
      </c>
      <c r="AJ959" s="72">
        <v>0</v>
      </c>
      <c r="AK959" s="72"/>
      <c r="AL959" s="72"/>
      <c r="AM959" s="72"/>
    </row>
    <row r="960" spans="1:39" x14ac:dyDescent="0.25">
      <c r="A960" s="37" t="s">
        <v>62</v>
      </c>
      <c r="B960" s="66" t="s">
        <v>1596</v>
      </c>
      <c r="C960" s="41">
        <v>1066</v>
      </c>
      <c r="D960" s="41" t="s">
        <v>1501</v>
      </c>
      <c r="E960" s="41">
        <v>10660016</v>
      </c>
      <c r="F960" s="85" t="s">
        <v>1516</v>
      </c>
      <c r="G960" s="39" t="s">
        <v>617</v>
      </c>
      <c r="H960" s="52" t="s">
        <v>98</v>
      </c>
      <c r="I960" s="52">
        <v>694.93999999999994</v>
      </c>
      <c r="J960" s="49">
        <v>27229.98</v>
      </c>
      <c r="K960" s="58">
        <v>0</v>
      </c>
      <c r="L960" s="58">
        <v>0</v>
      </c>
      <c r="M960" s="58">
        <v>0</v>
      </c>
      <c r="N960" s="58">
        <v>0</v>
      </c>
      <c r="O960" s="65">
        <v>0</v>
      </c>
      <c r="P960" s="65">
        <v>0</v>
      </c>
      <c r="Q960" s="50">
        <v>27229.98</v>
      </c>
      <c r="R960" s="65">
        <v>0</v>
      </c>
      <c r="S960" s="65">
        <v>0</v>
      </c>
      <c r="T960" s="65">
        <v>0</v>
      </c>
      <c r="U960" s="65">
        <v>0</v>
      </c>
      <c r="V960" s="65">
        <v>0</v>
      </c>
      <c r="W960" s="65">
        <v>0</v>
      </c>
      <c r="X960" s="65">
        <v>0</v>
      </c>
      <c r="Y960" s="65">
        <v>0</v>
      </c>
      <c r="Z960" s="65">
        <v>27229.98</v>
      </c>
      <c r="AA960" s="51">
        <v>0</v>
      </c>
      <c r="AB960" s="102">
        <v>0</v>
      </c>
      <c r="AC960" s="81">
        <f t="shared" si="45"/>
        <v>3.9653408582036325</v>
      </c>
      <c r="AD960" s="82">
        <f t="shared" si="46"/>
        <v>99.277142857142849</v>
      </c>
      <c r="AE960" s="218">
        <v>0</v>
      </c>
      <c r="AF960">
        <v>0</v>
      </c>
      <c r="AH960" t="str">
        <f t="shared" si="47"/>
        <v>Gaighat</v>
      </c>
      <c r="AJ960" s="72">
        <v>0</v>
      </c>
      <c r="AK960" s="72"/>
      <c r="AL960" s="72"/>
      <c r="AM960" s="72"/>
    </row>
    <row r="961" spans="1:39" x14ac:dyDescent="0.25">
      <c r="A961" s="37" t="s">
        <v>62</v>
      </c>
      <c r="B961" s="66" t="s">
        <v>1596</v>
      </c>
      <c r="C961" s="41">
        <v>1066</v>
      </c>
      <c r="D961" s="41" t="s">
        <v>1501</v>
      </c>
      <c r="E961" s="41">
        <v>10660017</v>
      </c>
      <c r="F961" s="85" t="s">
        <v>1502</v>
      </c>
      <c r="G961" s="39" t="s">
        <v>92</v>
      </c>
      <c r="H961" s="52" t="s">
        <v>93</v>
      </c>
      <c r="I961" s="52">
        <v>220.15999999999997</v>
      </c>
      <c r="J961" s="49">
        <v>9449.4699999999975</v>
      </c>
      <c r="K961" s="58">
        <v>212.6</v>
      </c>
      <c r="L961" s="58">
        <v>9218.7000000000007</v>
      </c>
      <c r="M961" s="58">
        <v>6.0999999999999988</v>
      </c>
      <c r="N961" s="58">
        <v>258.27</v>
      </c>
      <c r="O961" s="65">
        <v>218.7</v>
      </c>
      <c r="P961" s="65">
        <v>9476.9700000000012</v>
      </c>
      <c r="Q961" s="50">
        <v>9449.4699999999975</v>
      </c>
      <c r="R961" s="65">
        <v>0</v>
      </c>
      <c r="S961" s="65">
        <v>258.27</v>
      </c>
      <c r="T961" s="65">
        <v>27.500000000003638</v>
      </c>
      <c r="U961" s="65">
        <v>0</v>
      </c>
      <c r="V961" s="65">
        <v>0</v>
      </c>
      <c r="W961" s="65">
        <v>0</v>
      </c>
      <c r="X961" s="65">
        <v>9191</v>
      </c>
      <c r="Y961" s="65">
        <v>0</v>
      </c>
      <c r="Z961" s="65">
        <v>0</v>
      </c>
      <c r="AA961" s="51">
        <v>0</v>
      </c>
      <c r="AB961" s="102">
        <v>0</v>
      </c>
      <c r="AC961" s="81">
        <f t="shared" si="45"/>
        <v>411.90349607558136</v>
      </c>
      <c r="AD961" s="82">
        <f t="shared" si="46"/>
        <v>31.451428571428568</v>
      </c>
      <c r="AE961" s="218">
        <v>-2.9102161285239959E-3</v>
      </c>
      <c r="AF961">
        <v>8</v>
      </c>
      <c r="AH961" t="str">
        <f t="shared" si="47"/>
        <v>Gaighat</v>
      </c>
      <c r="AJ961" s="72">
        <v>0</v>
      </c>
      <c r="AK961" s="72"/>
      <c r="AL961" s="72"/>
      <c r="AM961" s="72"/>
    </row>
    <row r="962" spans="1:39" x14ac:dyDescent="0.25">
      <c r="A962" s="37" t="s">
        <v>62</v>
      </c>
      <c r="B962" s="66" t="s">
        <v>1596</v>
      </c>
      <c r="C962" s="41">
        <v>1066</v>
      </c>
      <c r="D962" s="41" t="s">
        <v>1501</v>
      </c>
      <c r="E962" s="41">
        <v>10660019</v>
      </c>
      <c r="F962" s="85" t="s">
        <v>1517</v>
      </c>
      <c r="G962" s="39" t="s">
        <v>617</v>
      </c>
      <c r="H962" s="52" t="s">
        <v>98</v>
      </c>
      <c r="I962" s="52">
        <v>32.21</v>
      </c>
      <c r="J962" s="49">
        <v>1231.3900000000001</v>
      </c>
      <c r="K962" s="58">
        <v>0</v>
      </c>
      <c r="L962" s="58">
        <v>0</v>
      </c>
      <c r="M962" s="58">
        <v>0</v>
      </c>
      <c r="N962" s="58">
        <v>0</v>
      </c>
      <c r="O962" s="65">
        <v>0</v>
      </c>
      <c r="P962" s="65">
        <v>0</v>
      </c>
      <c r="Q962" s="50">
        <v>1231.3900000000001</v>
      </c>
      <c r="R962" s="65">
        <v>0</v>
      </c>
      <c r="S962" s="65">
        <v>0</v>
      </c>
      <c r="T962" s="65">
        <v>0</v>
      </c>
      <c r="U962" s="65">
        <v>0</v>
      </c>
      <c r="V962" s="65">
        <v>0</v>
      </c>
      <c r="W962" s="65">
        <v>0</v>
      </c>
      <c r="X962" s="65">
        <v>0</v>
      </c>
      <c r="Y962" s="65">
        <v>0</v>
      </c>
      <c r="Z962" s="65">
        <v>1231.3900000000001</v>
      </c>
      <c r="AA962" s="51">
        <v>0</v>
      </c>
      <c r="AB962" s="102">
        <v>0</v>
      </c>
      <c r="AC962" s="81">
        <f t="shared" si="45"/>
        <v>510.59293890096251</v>
      </c>
      <c r="AD962" s="82">
        <f t="shared" si="46"/>
        <v>4.6014285714285714</v>
      </c>
      <c r="AE962" s="218">
        <v>0</v>
      </c>
      <c r="AF962">
        <v>0</v>
      </c>
      <c r="AH962" t="str">
        <f t="shared" si="47"/>
        <v>Gaighat</v>
      </c>
      <c r="AJ962" s="72">
        <v>0</v>
      </c>
      <c r="AK962" s="72"/>
      <c r="AL962" s="72"/>
      <c r="AM962" s="72"/>
    </row>
    <row r="963" spans="1:39" x14ac:dyDescent="0.25">
      <c r="A963" s="37" t="s">
        <v>62</v>
      </c>
      <c r="B963" s="66" t="s">
        <v>1596</v>
      </c>
      <c r="C963" s="41">
        <v>1066</v>
      </c>
      <c r="D963" s="41" t="s">
        <v>1501</v>
      </c>
      <c r="E963" s="41">
        <v>10660021</v>
      </c>
      <c r="F963" s="85" t="s">
        <v>1518</v>
      </c>
      <c r="G963" s="39" t="s">
        <v>617</v>
      </c>
      <c r="H963" s="52" t="s">
        <v>98</v>
      </c>
      <c r="I963" s="52">
        <v>1212.18</v>
      </c>
      <c r="J963" s="49">
        <v>47684.35</v>
      </c>
      <c r="K963" s="58">
        <v>0</v>
      </c>
      <c r="L963" s="58">
        <v>0</v>
      </c>
      <c r="M963" s="58">
        <v>0</v>
      </c>
      <c r="N963" s="58">
        <v>0</v>
      </c>
      <c r="O963" s="65">
        <v>0</v>
      </c>
      <c r="P963" s="65">
        <v>0</v>
      </c>
      <c r="Q963" s="50">
        <v>47684.35</v>
      </c>
      <c r="R963" s="65">
        <v>0</v>
      </c>
      <c r="S963" s="65">
        <v>0</v>
      </c>
      <c r="T963" s="65">
        <v>0</v>
      </c>
      <c r="U963" s="65">
        <v>0</v>
      </c>
      <c r="V963" s="65">
        <v>0</v>
      </c>
      <c r="W963" s="65">
        <v>0</v>
      </c>
      <c r="X963" s="65">
        <v>0</v>
      </c>
      <c r="Y963" s="65">
        <v>0</v>
      </c>
      <c r="Z963" s="65">
        <v>47684.35</v>
      </c>
      <c r="AA963" s="51">
        <v>0</v>
      </c>
      <c r="AB963" s="102">
        <v>0</v>
      </c>
      <c r="AC963" s="81">
        <f t="shared" ref="AC963:AC1024" si="48">((IF(AD963=0,0,100-AD963))*7*(J963/I963))*2%</f>
        <v>0</v>
      </c>
      <c r="AD963" s="82">
        <f t="shared" ref="AD963:AD1024" si="49">IF((I963/7)&gt;100,0,(I963/7))</f>
        <v>0</v>
      </c>
      <c r="AE963" s="218">
        <v>0</v>
      </c>
      <c r="AF963">
        <v>0</v>
      </c>
      <c r="AH963" t="str">
        <f t="shared" si="47"/>
        <v>Gaighat</v>
      </c>
      <c r="AJ963" s="72">
        <v>0</v>
      </c>
      <c r="AK963" s="72"/>
      <c r="AL963" s="72"/>
      <c r="AM963" s="72"/>
    </row>
    <row r="964" spans="1:39" x14ac:dyDescent="0.25">
      <c r="A964" s="37" t="s">
        <v>62</v>
      </c>
      <c r="B964" s="66" t="s">
        <v>1596</v>
      </c>
      <c r="C964" s="41">
        <v>1066</v>
      </c>
      <c r="D964" s="41" t="s">
        <v>1501</v>
      </c>
      <c r="E964" s="41">
        <v>10660023</v>
      </c>
      <c r="F964" s="85" t="s">
        <v>1520</v>
      </c>
      <c r="G964" s="39" t="s">
        <v>617</v>
      </c>
      <c r="H964" s="52" t="s">
        <v>98</v>
      </c>
      <c r="I964" s="52">
        <v>7863.66</v>
      </c>
      <c r="J964" s="49">
        <v>322045.0199999999</v>
      </c>
      <c r="K964" s="58">
        <v>0</v>
      </c>
      <c r="L964" s="58">
        <v>0</v>
      </c>
      <c r="M964" s="58">
        <v>0</v>
      </c>
      <c r="N964" s="58">
        <v>0</v>
      </c>
      <c r="O964" s="65">
        <v>0</v>
      </c>
      <c r="P964" s="65">
        <v>0</v>
      </c>
      <c r="Q964" s="50">
        <v>322045.0199999999</v>
      </c>
      <c r="R964" s="65">
        <v>0</v>
      </c>
      <c r="S964" s="65">
        <v>0</v>
      </c>
      <c r="T964" s="65">
        <v>0</v>
      </c>
      <c r="U964" s="65">
        <v>0</v>
      </c>
      <c r="V964" s="65">
        <v>0</v>
      </c>
      <c r="W964" s="65">
        <v>0</v>
      </c>
      <c r="X964" s="65">
        <v>0</v>
      </c>
      <c r="Y964" s="65">
        <v>0</v>
      </c>
      <c r="Z964" s="65">
        <v>322045.0199999999</v>
      </c>
      <c r="AA964" s="51">
        <v>0</v>
      </c>
      <c r="AB964" s="102">
        <v>0</v>
      </c>
      <c r="AC964" s="81">
        <f t="shared" si="48"/>
        <v>0</v>
      </c>
      <c r="AD964" s="82">
        <f t="shared" si="49"/>
        <v>0</v>
      </c>
      <c r="AE964" s="218">
        <v>0</v>
      </c>
      <c r="AF964">
        <v>0</v>
      </c>
      <c r="AH964" t="str">
        <f t="shared" si="47"/>
        <v>Gaighat</v>
      </c>
      <c r="AJ964" s="72">
        <v>0</v>
      </c>
      <c r="AK964" s="72"/>
      <c r="AL964" s="72"/>
      <c r="AM964" s="72"/>
    </row>
    <row r="965" spans="1:39" x14ac:dyDescent="0.25">
      <c r="A965" s="37" t="s">
        <v>62</v>
      </c>
      <c r="B965" s="66" t="s">
        <v>1596</v>
      </c>
      <c r="C965" s="41">
        <v>1066</v>
      </c>
      <c r="D965" s="41" t="s">
        <v>1501</v>
      </c>
      <c r="E965" s="41">
        <v>10660024</v>
      </c>
      <c r="F965" s="85" t="s">
        <v>1510</v>
      </c>
      <c r="G965" s="39" t="s">
        <v>617</v>
      </c>
      <c r="H965" s="52" t="s">
        <v>98</v>
      </c>
      <c r="I965" s="52">
        <v>113.28999999999999</v>
      </c>
      <c r="J965" s="49">
        <v>4308.62</v>
      </c>
      <c r="K965" s="58">
        <v>0</v>
      </c>
      <c r="L965" s="58">
        <v>0</v>
      </c>
      <c r="M965" s="58">
        <v>0</v>
      </c>
      <c r="N965" s="58">
        <v>0</v>
      </c>
      <c r="O965" s="65">
        <v>0</v>
      </c>
      <c r="P965" s="65">
        <v>0</v>
      </c>
      <c r="Q965" s="50">
        <v>4308.62</v>
      </c>
      <c r="R965" s="65">
        <v>0</v>
      </c>
      <c r="S965" s="65">
        <v>0</v>
      </c>
      <c r="T965" s="65">
        <v>0</v>
      </c>
      <c r="U965" s="65">
        <v>0</v>
      </c>
      <c r="V965" s="65">
        <v>0</v>
      </c>
      <c r="W965" s="65">
        <v>0</v>
      </c>
      <c r="X965" s="65">
        <v>0</v>
      </c>
      <c r="Y965" s="65">
        <v>0</v>
      </c>
      <c r="Z965" s="65">
        <v>4308.62</v>
      </c>
      <c r="AA965" s="51">
        <v>0</v>
      </c>
      <c r="AB965" s="102">
        <v>0</v>
      </c>
      <c r="AC965" s="81">
        <f t="shared" si="48"/>
        <v>446.27247598199313</v>
      </c>
      <c r="AD965" s="82">
        <f t="shared" si="49"/>
        <v>16.184285714285714</v>
      </c>
      <c r="AE965" s="218">
        <v>0</v>
      </c>
      <c r="AF965">
        <v>0</v>
      </c>
      <c r="AH965" t="str">
        <f t="shared" si="47"/>
        <v>Gaighat</v>
      </c>
      <c r="AJ965" s="72">
        <v>0</v>
      </c>
      <c r="AK965" s="72"/>
      <c r="AL965" s="72"/>
      <c r="AM965" s="72"/>
    </row>
    <row r="966" spans="1:39" x14ac:dyDescent="0.25">
      <c r="A966" s="37" t="s">
        <v>62</v>
      </c>
      <c r="B966" s="66" t="s">
        <v>1596</v>
      </c>
      <c r="C966" s="41">
        <v>1066</v>
      </c>
      <c r="D966" s="41" t="s">
        <v>1501</v>
      </c>
      <c r="E966" s="41">
        <v>10660028</v>
      </c>
      <c r="F966" s="85" t="s">
        <v>1592</v>
      </c>
      <c r="G966" s="39" t="s">
        <v>92</v>
      </c>
      <c r="H966" s="52" t="s">
        <v>93</v>
      </c>
      <c r="I966" s="52">
        <v>444.27999999999992</v>
      </c>
      <c r="J966" s="49">
        <v>22532.09</v>
      </c>
      <c r="K966" s="58">
        <v>442.8</v>
      </c>
      <c r="L966" s="58">
        <v>22880.499999999996</v>
      </c>
      <c r="M966" s="58">
        <v>0</v>
      </c>
      <c r="N966" s="58">
        <v>0</v>
      </c>
      <c r="O966" s="65">
        <v>442.8</v>
      </c>
      <c r="P966" s="65">
        <v>22880.499999999996</v>
      </c>
      <c r="Q966" s="50">
        <v>22532.09</v>
      </c>
      <c r="R966" s="65">
        <v>0</v>
      </c>
      <c r="S966" s="65">
        <v>0</v>
      </c>
      <c r="T966" s="65">
        <v>348.40999999999622</v>
      </c>
      <c r="U966" s="65">
        <v>0</v>
      </c>
      <c r="V966" s="65">
        <v>0</v>
      </c>
      <c r="W966" s="65">
        <v>0</v>
      </c>
      <c r="X966" s="65">
        <v>22532</v>
      </c>
      <c r="Y966" s="65">
        <v>0</v>
      </c>
      <c r="Z966" s="65">
        <v>0</v>
      </c>
      <c r="AA966" s="51">
        <v>0</v>
      </c>
      <c r="AB966" s="102">
        <v>0</v>
      </c>
      <c r="AC966" s="81">
        <f t="shared" si="48"/>
        <v>259.38174371117327</v>
      </c>
      <c r="AD966" s="82">
        <f t="shared" si="49"/>
        <v>63.468571428571416</v>
      </c>
      <c r="AE966" s="218">
        <v>-1.5462835449352289E-2</v>
      </c>
      <c r="AF966">
        <v>14</v>
      </c>
      <c r="AH966" t="str">
        <f t="shared" si="47"/>
        <v>Gaighat</v>
      </c>
      <c r="AJ966" s="72">
        <v>0</v>
      </c>
      <c r="AK966" s="72"/>
      <c r="AL966" s="72"/>
      <c r="AM966" s="72"/>
    </row>
    <row r="967" spans="1:39" x14ac:dyDescent="0.25">
      <c r="A967" s="37" t="s">
        <v>62</v>
      </c>
      <c r="B967" s="66" t="s">
        <v>1596</v>
      </c>
      <c r="C967" s="41">
        <v>1066</v>
      </c>
      <c r="D967" s="41" t="s">
        <v>1501</v>
      </c>
      <c r="E967" s="41">
        <v>10660032</v>
      </c>
      <c r="F967" s="85" t="s">
        <v>1514</v>
      </c>
      <c r="G967" s="39" t="s">
        <v>617</v>
      </c>
      <c r="H967" s="52" t="s">
        <v>98</v>
      </c>
      <c r="I967" s="52">
        <v>100.44</v>
      </c>
      <c r="J967" s="49">
        <v>4087.57</v>
      </c>
      <c r="K967" s="58">
        <v>0</v>
      </c>
      <c r="L967" s="58">
        <v>0</v>
      </c>
      <c r="M967" s="58">
        <v>0</v>
      </c>
      <c r="N967" s="58">
        <v>0</v>
      </c>
      <c r="O967" s="65">
        <v>0</v>
      </c>
      <c r="P967" s="65">
        <v>0</v>
      </c>
      <c r="Q967" s="50">
        <v>4087.57</v>
      </c>
      <c r="R967" s="65">
        <v>0</v>
      </c>
      <c r="S967" s="65">
        <v>0</v>
      </c>
      <c r="T967" s="65">
        <v>0</v>
      </c>
      <c r="U967" s="65">
        <v>0</v>
      </c>
      <c r="V967" s="65">
        <v>0</v>
      </c>
      <c r="W967" s="65">
        <v>0</v>
      </c>
      <c r="X967" s="65">
        <v>0</v>
      </c>
      <c r="Y967" s="65">
        <v>0</v>
      </c>
      <c r="Z967" s="65">
        <v>4087.57</v>
      </c>
      <c r="AA967" s="51">
        <v>0</v>
      </c>
      <c r="AB967" s="102">
        <v>0</v>
      </c>
      <c r="AC967" s="81">
        <f t="shared" si="48"/>
        <v>488.00148729589807</v>
      </c>
      <c r="AD967" s="82">
        <f t="shared" si="49"/>
        <v>14.348571428571429</v>
      </c>
      <c r="AE967" s="218">
        <v>0</v>
      </c>
      <c r="AF967">
        <v>0</v>
      </c>
      <c r="AH967" t="str">
        <f t="shared" si="47"/>
        <v>Gaighat</v>
      </c>
      <c r="AJ967" s="72">
        <v>0</v>
      </c>
      <c r="AK967" s="72"/>
      <c r="AL967" s="72"/>
      <c r="AM967" s="72"/>
    </row>
    <row r="968" spans="1:39" x14ac:dyDescent="0.25">
      <c r="A968" s="37" t="s">
        <v>62</v>
      </c>
      <c r="B968" s="66" t="s">
        <v>1638</v>
      </c>
      <c r="C968" s="41">
        <v>1001</v>
      </c>
      <c r="D968" s="41" t="s">
        <v>91</v>
      </c>
      <c r="E968" s="41">
        <v>10010013</v>
      </c>
      <c r="F968" s="85" t="s">
        <v>94</v>
      </c>
      <c r="G968" s="39" t="s">
        <v>92</v>
      </c>
      <c r="H968" s="52" t="s">
        <v>93</v>
      </c>
      <c r="I968" s="52">
        <v>586.80000000000007</v>
      </c>
      <c r="J968" s="49">
        <v>22285.370000000003</v>
      </c>
      <c r="K968" s="58">
        <v>584.3599999999999</v>
      </c>
      <c r="L968" s="58">
        <v>22655.009999999995</v>
      </c>
      <c r="M968" s="58">
        <v>1.51</v>
      </c>
      <c r="N968" s="58">
        <v>57.649999999999991</v>
      </c>
      <c r="O968" s="65">
        <v>585.86999999999989</v>
      </c>
      <c r="P968" s="65">
        <v>22712.659999999996</v>
      </c>
      <c r="Q968" s="50">
        <v>22285.370000000003</v>
      </c>
      <c r="R968" s="65">
        <v>0</v>
      </c>
      <c r="S968" s="65">
        <v>57.649999999999991</v>
      </c>
      <c r="T968" s="65">
        <v>427.2899999999936</v>
      </c>
      <c r="U968" s="65">
        <v>0</v>
      </c>
      <c r="V968" s="65">
        <v>0</v>
      </c>
      <c r="W968" s="65">
        <v>0</v>
      </c>
      <c r="X968" s="65">
        <v>22228</v>
      </c>
      <c r="Y968" s="65">
        <v>0</v>
      </c>
      <c r="Z968" s="65">
        <v>0</v>
      </c>
      <c r="AA968" s="51">
        <v>0</v>
      </c>
      <c r="AB968" s="102">
        <v>0</v>
      </c>
      <c r="AC968" s="81">
        <f t="shared" si="48"/>
        <v>85.981727471029288</v>
      </c>
      <c r="AD968" s="82">
        <f t="shared" si="49"/>
        <v>83.828571428571436</v>
      </c>
      <c r="AE968" s="218">
        <v>-1.917356543777346E-2</v>
      </c>
      <c r="AF968">
        <v>16</v>
      </c>
      <c r="AH968" t="str">
        <f t="shared" si="47"/>
        <v>Majhaul</v>
      </c>
      <c r="AJ968" s="72">
        <v>0</v>
      </c>
      <c r="AK968" s="72"/>
      <c r="AL968" s="72"/>
      <c r="AM968" s="72"/>
    </row>
    <row r="969" spans="1:39" x14ac:dyDescent="0.25">
      <c r="A969" s="37" t="s">
        <v>62</v>
      </c>
      <c r="B969" s="66" t="s">
        <v>1638</v>
      </c>
      <c r="C969" s="41">
        <v>1001</v>
      </c>
      <c r="D969" s="41" t="s">
        <v>91</v>
      </c>
      <c r="E969" s="41">
        <v>10010019</v>
      </c>
      <c r="F969" s="85" t="s">
        <v>96</v>
      </c>
      <c r="G969" s="39" t="s">
        <v>92</v>
      </c>
      <c r="H969" s="52" t="s">
        <v>93</v>
      </c>
      <c r="I969" s="52">
        <v>918.8</v>
      </c>
      <c r="J969" s="49">
        <v>35343.799999999996</v>
      </c>
      <c r="K969" s="58">
        <v>913.46000000000015</v>
      </c>
      <c r="L969" s="58">
        <v>35516.58</v>
      </c>
      <c r="M969" s="58">
        <v>10.040000000000001</v>
      </c>
      <c r="N969" s="58">
        <v>374.07000000000005</v>
      </c>
      <c r="O969" s="65">
        <v>923.50000000000011</v>
      </c>
      <c r="P969" s="65">
        <v>35890.65</v>
      </c>
      <c r="Q969" s="50">
        <v>35343.799999999996</v>
      </c>
      <c r="R969" s="65">
        <v>0</v>
      </c>
      <c r="S969" s="65">
        <v>374.07000000000005</v>
      </c>
      <c r="T969" s="65">
        <v>546.85000000000582</v>
      </c>
      <c r="U969" s="65">
        <v>0</v>
      </c>
      <c r="V969" s="65">
        <v>0</v>
      </c>
      <c r="W969" s="65">
        <v>0</v>
      </c>
      <c r="X969" s="65">
        <v>34970</v>
      </c>
      <c r="Y969" s="65">
        <v>0</v>
      </c>
      <c r="Z969" s="65">
        <v>0</v>
      </c>
      <c r="AA969" s="51">
        <v>0</v>
      </c>
      <c r="AB969" s="102" t="s">
        <v>66</v>
      </c>
      <c r="AC969" s="81">
        <f t="shared" si="48"/>
        <v>0</v>
      </c>
      <c r="AD969" s="82">
        <f t="shared" si="49"/>
        <v>0</v>
      </c>
      <c r="AE969" s="218">
        <v>-1.5472303487457656E-2</v>
      </c>
      <c r="AF969">
        <v>10</v>
      </c>
      <c r="AH969" t="str">
        <f t="shared" si="47"/>
        <v>Majhaul</v>
      </c>
      <c r="AJ969" s="72">
        <v>0</v>
      </c>
      <c r="AK969" s="72"/>
      <c r="AL969" s="72"/>
      <c r="AM969" s="72"/>
    </row>
    <row r="970" spans="1:39" x14ac:dyDescent="0.25">
      <c r="A970" s="37" t="s">
        <v>62</v>
      </c>
      <c r="B970" s="66" t="s">
        <v>1638</v>
      </c>
      <c r="C970" s="41">
        <v>1058</v>
      </c>
      <c r="D970" s="41" t="s">
        <v>1296</v>
      </c>
      <c r="E970" s="41">
        <v>10010038</v>
      </c>
      <c r="F970" s="85" t="s">
        <v>97</v>
      </c>
      <c r="G970" s="39" t="s">
        <v>92</v>
      </c>
      <c r="H970" s="52" t="s">
        <v>93</v>
      </c>
      <c r="I970" s="52">
        <v>847.96000000000015</v>
      </c>
      <c r="J970" s="49">
        <v>33003.94</v>
      </c>
      <c r="K970" s="58">
        <v>722.8</v>
      </c>
      <c r="L970" s="58">
        <v>28136.960000000003</v>
      </c>
      <c r="M970" s="58">
        <v>124.89999999999999</v>
      </c>
      <c r="N970" s="58">
        <v>4856.87</v>
      </c>
      <c r="O970" s="65">
        <v>847.69999999999993</v>
      </c>
      <c r="P970" s="65">
        <v>32993.83</v>
      </c>
      <c r="Q970" s="50">
        <v>32993.83</v>
      </c>
      <c r="R970" s="65">
        <v>0</v>
      </c>
      <c r="S970" s="65">
        <v>136.66</v>
      </c>
      <c r="T970" s="65">
        <v>0</v>
      </c>
      <c r="U970" s="65">
        <v>0</v>
      </c>
      <c r="V970" s="65">
        <v>0</v>
      </c>
      <c r="W970" s="65">
        <v>0</v>
      </c>
      <c r="X970" s="65">
        <v>28136</v>
      </c>
      <c r="Y970" s="65">
        <v>4720</v>
      </c>
      <c r="Z970" s="65">
        <v>0</v>
      </c>
      <c r="AA970" s="51">
        <v>11</v>
      </c>
      <c r="AB970" s="102">
        <v>0</v>
      </c>
      <c r="AC970" s="81">
        <f t="shared" si="48"/>
        <v>0</v>
      </c>
      <c r="AD970" s="82">
        <f t="shared" si="49"/>
        <v>0</v>
      </c>
      <c r="AE970" s="218">
        <v>3.0632706276888705E-4</v>
      </c>
      <c r="AF970">
        <v>12</v>
      </c>
      <c r="AH970" t="str">
        <f t="shared" si="47"/>
        <v>Hasanpur</v>
      </c>
      <c r="AJ970" s="72">
        <v>0</v>
      </c>
      <c r="AK970" s="72"/>
      <c r="AL970" s="72"/>
      <c r="AM970" s="72"/>
    </row>
    <row r="971" spans="1:39" x14ac:dyDescent="0.25">
      <c r="A971" s="37" t="s">
        <v>62</v>
      </c>
      <c r="B971" s="66" t="s">
        <v>1638</v>
      </c>
      <c r="C971" s="41">
        <v>1058</v>
      </c>
      <c r="D971" s="41" t="s">
        <v>1296</v>
      </c>
      <c r="E971" s="41">
        <v>10010044</v>
      </c>
      <c r="F971" s="85" t="s">
        <v>1534</v>
      </c>
      <c r="G971" s="39" t="s">
        <v>92</v>
      </c>
      <c r="H971" s="52" t="s">
        <v>93</v>
      </c>
      <c r="I971" s="52">
        <v>303.73</v>
      </c>
      <c r="J971" s="49">
        <v>12225.620000000003</v>
      </c>
      <c r="K971" s="58">
        <v>262.2</v>
      </c>
      <c r="L971" s="58">
        <v>10592.02</v>
      </c>
      <c r="M971" s="58">
        <v>40.900000000000006</v>
      </c>
      <c r="N971" s="58">
        <v>1632.28</v>
      </c>
      <c r="O971" s="65">
        <v>303.10000000000002</v>
      </c>
      <c r="P971" s="65">
        <v>12224.300000000001</v>
      </c>
      <c r="Q971" s="50">
        <v>12224.300000000001</v>
      </c>
      <c r="R971" s="65">
        <v>0</v>
      </c>
      <c r="S971" s="65">
        <v>194.6</v>
      </c>
      <c r="T971" s="65">
        <v>0</v>
      </c>
      <c r="U971" s="65">
        <v>0</v>
      </c>
      <c r="V971" s="65">
        <v>0</v>
      </c>
      <c r="W971" s="65">
        <v>0</v>
      </c>
      <c r="X971" s="65">
        <v>10592</v>
      </c>
      <c r="Y971" s="65">
        <v>1438</v>
      </c>
      <c r="Z971" s="65">
        <v>0</v>
      </c>
      <c r="AA971" s="51">
        <v>1</v>
      </c>
      <c r="AB971" s="102">
        <v>0</v>
      </c>
      <c r="AC971" s="81">
        <f t="shared" si="48"/>
        <v>319.01007061534921</v>
      </c>
      <c r="AD971" s="82">
        <f t="shared" si="49"/>
        <v>43.39</v>
      </c>
      <c r="AE971" s="218">
        <v>1.0796998434447722E-4</v>
      </c>
      <c r="AF971">
        <v>5</v>
      </c>
      <c r="AH971" t="str">
        <f t="shared" si="47"/>
        <v>Hasanpur</v>
      </c>
      <c r="AJ971" s="72">
        <v>0</v>
      </c>
      <c r="AK971" s="72"/>
      <c r="AL971" s="72"/>
      <c r="AM971" s="72"/>
    </row>
    <row r="972" spans="1:39" x14ac:dyDescent="0.25">
      <c r="A972" s="37" t="s">
        <v>62</v>
      </c>
      <c r="B972" s="66" t="s">
        <v>1638</v>
      </c>
      <c r="C972" s="41">
        <v>1001</v>
      </c>
      <c r="D972" s="41" t="s">
        <v>91</v>
      </c>
      <c r="E972" s="41">
        <v>10010047</v>
      </c>
      <c r="F972" s="85" t="s">
        <v>815</v>
      </c>
      <c r="G972" s="39" t="s">
        <v>1610</v>
      </c>
      <c r="H972" s="52" t="s">
        <v>98</v>
      </c>
      <c r="I972" s="52">
        <v>40.5</v>
      </c>
      <c r="J972" s="49">
        <v>1655.24</v>
      </c>
      <c r="K972" s="58">
        <v>0</v>
      </c>
      <c r="L972" s="58">
        <v>0</v>
      </c>
      <c r="M972" s="58">
        <v>0</v>
      </c>
      <c r="N972" s="58">
        <v>0</v>
      </c>
      <c r="O972" s="65">
        <v>0</v>
      </c>
      <c r="P972" s="65">
        <v>0</v>
      </c>
      <c r="Q972" s="50">
        <v>1655.24</v>
      </c>
      <c r="R972" s="65">
        <v>0</v>
      </c>
      <c r="S972" s="65">
        <v>0</v>
      </c>
      <c r="T972" s="65">
        <v>0</v>
      </c>
      <c r="U972" s="65">
        <v>0</v>
      </c>
      <c r="V972" s="65">
        <v>0</v>
      </c>
      <c r="W972" s="65">
        <v>0</v>
      </c>
      <c r="X972" s="65">
        <v>0</v>
      </c>
      <c r="Y972" s="65">
        <v>0</v>
      </c>
      <c r="Z972" s="65">
        <v>1655.24</v>
      </c>
      <c r="AA972" s="51">
        <v>0</v>
      </c>
      <c r="AB972" s="102">
        <v>0</v>
      </c>
      <c r="AC972" s="81">
        <f t="shared" si="48"/>
        <v>539.07692839506183</v>
      </c>
      <c r="AD972" s="82">
        <f t="shared" si="49"/>
        <v>5.7857142857142856</v>
      </c>
      <c r="AE972" s="218">
        <v>0</v>
      </c>
      <c r="AF972">
        <v>0</v>
      </c>
      <c r="AH972" t="str">
        <f t="shared" si="47"/>
        <v>Majhaul</v>
      </c>
      <c r="AJ972" s="72">
        <v>0</v>
      </c>
      <c r="AK972" s="72"/>
      <c r="AL972" s="72"/>
      <c r="AM972" s="72"/>
    </row>
    <row r="973" spans="1:39" x14ac:dyDescent="0.25">
      <c r="A973" s="37" t="s">
        <v>62</v>
      </c>
      <c r="B973" s="66" t="s">
        <v>1638</v>
      </c>
      <c r="C973" s="41">
        <v>1001</v>
      </c>
      <c r="D973" s="41" t="s">
        <v>91</v>
      </c>
      <c r="E973" s="41">
        <v>10010049</v>
      </c>
      <c r="F973" s="85" t="s">
        <v>1185</v>
      </c>
      <c r="G973" s="39" t="s">
        <v>1610</v>
      </c>
      <c r="H973" s="52" t="s">
        <v>98</v>
      </c>
      <c r="I973" s="52">
        <v>616.5</v>
      </c>
      <c r="J973" s="49">
        <v>24794.570000000003</v>
      </c>
      <c r="K973" s="58">
        <v>0</v>
      </c>
      <c r="L973" s="58">
        <v>0</v>
      </c>
      <c r="M973" s="58">
        <v>0</v>
      </c>
      <c r="N973" s="58">
        <v>0</v>
      </c>
      <c r="O973" s="65">
        <v>0</v>
      </c>
      <c r="P973" s="65">
        <v>0</v>
      </c>
      <c r="Q973" s="50">
        <v>24794.570000000003</v>
      </c>
      <c r="R973" s="65">
        <v>0</v>
      </c>
      <c r="S973" s="65">
        <v>0</v>
      </c>
      <c r="T973" s="65">
        <v>0</v>
      </c>
      <c r="U973" s="65">
        <v>0</v>
      </c>
      <c r="V973" s="65">
        <v>0</v>
      </c>
      <c r="W973" s="65">
        <v>0</v>
      </c>
      <c r="X973" s="65">
        <v>0</v>
      </c>
      <c r="Y973" s="65">
        <v>0</v>
      </c>
      <c r="Z973" s="65">
        <v>24794.570000000003</v>
      </c>
      <c r="AA973" s="51">
        <v>0</v>
      </c>
      <c r="AB973" s="102">
        <v>0</v>
      </c>
      <c r="AC973" s="81">
        <f t="shared" si="48"/>
        <v>67.16452862935931</v>
      </c>
      <c r="AD973" s="82">
        <f t="shared" si="49"/>
        <v>88.071428571428569</v>
      </c>
      <c r="AE973" s="218">
        <v>0</v>
      </c>
      <c r="AF973">
        <v>0</v>
      </c>
      <c r="AH973" t="str">
        <f t="shared" si="47"/>
        <v>Majhaul</v>
      </c>
      <c r="AJ973" s="72">
        <v>0</v>
      </c>
      <c r="AK973" s="72"/>
      <c r="AL973" s="72"/>
      <c r="AM973" s="72"/>
    </row>
    <row r="974" spans="1:39" x14ac:dyDescent="0.25">
      <c r="A974" s="37" t="s">
        <v>62</v>
      </c>
      <c r="B974" s="66" t="s">
        <v>1638</v>
      </c>
      <c r="C974" s="41">
        <v>1058</v>
      </c>
      <c r="D974" s="41" t="s">
        <v>1296</v>
      </c>
      <c r="E974" s="41">
        <v>10010050</v>
      </c>
      <c r="F974" s="85" t="s">
        <v>99</v>
      </c>
      <c r="G974" s="39" t="s">
        <v>92</v>
      </c>
      <c r="H974" s="52" t="s">
        <v>98</v>
      </c>
      <c r="I974" s="52">
        <v>1195.96</v>
      </c>
      <c r="J974" s="49">
        <v>51945.509999999987</v>
      </c>
      <c r="K974" s="58">
        <v>0</v>
      </c>
      <c r="L974" s="58">
        <v>0</v>
      </c>
      <c r="M974" s="58">
        <v>0</v>
      </c>
      <c r="N974" s="58">
        <v>0</v>
      </c>
      <c r="O974" s="65">
        <v>0</v>
      </c>
      <c r="P974" s="65">
        <v>0</v>
      </c>
      <c r="Q974" s="50">
        <v>51945.509999999987</v>
      </c>
      <c r="R974" s="65">
        <v>0</v>
      </c>
      <c r="S974" s="65">
        <v>0</v>
      </c>
      <c r="T974" s="65">
        <v>0</v>
      </c>
      <c r="U974" s="65">
        <v>0</v>
      </c>
      <c r="V974" s="65">
        <v>0</v>
      </c>
      <c r="W974" s="65">
        <v>0</v>
      </c>
      <c r="X974" s="65">
        <v>0</v>
      </c>
      <c r="Y974" s="65">
        <v>0</v>
      </c>
      <c r="Z974" s="65">
        <v>51945.509999999987</v>
      </c>
      <c r="AA974" s="51">
        <v>0</v>
      </c>
      <c r="AB974" s="102">
        <v>0</v>
      </c>
      <c r="AC974" s="81">
        <f t="shared" si="48"/>
        <v>0</v>
      </c>
      <c r="AD974" s="82">
        <f t="shared" si="49"/>
        <v>0</v>
      </c>
      <c r="AE974" s="218">
        <v>0</v>
      </c>
      <c r="AF974">
        <v>0</v>
      </c>
      <c r="AH974" t="str">
        <f t="shared" si="47"/>
        <v>Hasanpur</v>
      </c>
      <c r="AJ974" s="72">
        <v>0</v>
      </c>
      <c r="AK974" s="72"/>
      <c r="AL974" s="72"/>
      <c r="AM974" s="72"/>
    </row>
    <row r="975" spans="1:39" x14ac:dyDescent="0.25">
      <c r="A975" s="37" t="s">
        <v>62</v>
      </c>
      <c r="B975" s="66" t="s">
        <v>1638</v>
      </c>
      <c r="C975" s="41">
        <v>1001</v>
      </c>
      <c r="D975" s="41" t="s">
        <v>91</v>
      </c>
      <c r="E975" s="41">
        <v>10010055</v>
      </c>
      <c r="F975" s="85" t="s">
        <v>101</v>
      </c>
      <c r="G975" s="39" t="s">
        <v>92</v>
      </c>
      <c r="H975" s="52" t="s">
        <v>93</v>
      </c>
      <c r="I975" s="52">
        <v>98.7</v>
      </c>
      <c r="J975" s="49">
        <v>4118.6000000000004</v>
      </c>
      <c r="K975" s="58">
        <v>96.199999999999989</v>
      </c>
      <c r="L975" s="58">
        <v>3988.55</v>
      </c>
      <c r="M975" s="58">
        <v>0.5</v>
      </c>
      <c r="N975" s="58">
        <v>17.399999999999999</v>
      </c>
      <c r="O975" s="65">
        <v>96.699999999999989</v>
      </c>
      <c r="P975" s="65">
        <v>4005.9500000000003</v>
      </c>
      <c r="Q975" s="50">
        <v>4005.9500000000003</v>
      </c>
      <c r="R975" s="65">
        <v>0</v>
      </c>
      <c r="S975" s="65">
        <v>0</v>
      </c>
      <c r="T975" s="65">
        <v>0</v>
      </c>
      <c r="U975" s="65">
        <v>0</v>
      </c>
      <c r="V975" s="65">
        <v>500</v>
      </c>
      <c r="W975" s="65">
        <v>0</v>
      </c>
      <c r="X975" s="65">
        <v>3488</v>
      </c>
      <c r="Y975" s="65">
        <v>15</v>
      </c>
      <c r="Z975" s="65">
        <v>0</v>
      </c>
      <c r="AA975" s="51">
        <v>116</v>
      </c>
      <c r="AB975" s="102">
        <v>0</v>
      </c>
      <c r="AC975" s="81">
        <f t="shared" si="48"/>
        <v>501.82658156028373</v>
      </c>
      <c r="AD975" s="82">
        <f t="shared" si="49"/>
        <v>14.1</v>
      </c>
      <c r="AE975" s="218">
        <v>2.7351527217986712E-2</v>
      </c>
      <c r="AF975">
        <v>7</v>
      </c>
      <c r="AH975" t="str">
        <f t="shared" si="47"/>
        <v>Majhaul</v>
      </c>
      <c r="AJ975" s="72">
        <v>500</v>
      </c>
      <c r="AK975" s="72"/>
      <c r="AL975" s="72"/>
      <c r="AM975" s="72"/>
    </row>
    <row r="976" spans="1:39" x14ac:dyDescent="0.25">
      <c r="A976" s="37" t="s">
        <v>62</v>
      </c>
      <c r="B976" s="66" t="s">
        <v>1638</v>
      </c>
      <c r="C976" s="41">
        <v>1001</v>
      </c>
      <c r="D976" s="41" t="s">
        <v>91</v>
      </c>
      <c r="E976" s="41">
        <v>10010057</v>
      </c>
      <c r="F976" s="85" t="s">
        <v>416</v>
      </c>
      <c r="G976" s="39" t="s">
        <v>1610</v>
      </c>
      <c r="H976" s="52" t="s">
        <v>98</v>
      </c>
      <c r="I976" s="52">
        <v>9854</v>
      </c>
      <c r="J976" s="49">
        <v>366803.14</v>
      </c>
      <c r="K976" s="58">
        <v>0</v>
      </c>
      <c r="L976" s="58">
        <v>0</v>
      </c>
      <c r="M976" s="58">
        <v>0</v>
      </c>
      <c r="N976" s="58">
        <v>0</v>
      </c>
      <c r="O976" s="65">
        <v>0</v>
      </c>
      <c r="P976" s="65">
        <v>0</v>
      </c>
      <c r="Q976" s="50">
        <v>366803.14</v>
      </c>
      <c r="R976" s="65">
        <v>0</v>
      </c>
      <c r="S976" s="65">
        <v>0</v>
      </c>
      <c r="T976" s="65">
        <v>0</v>
      </c>
      <c r="U976" s="65">
        <v>0</v>
      </c>
      <c r="V976" s="65">
        <v>0</v>
      </c>
      <c r="W976" s="65">
        <v>0</v>
      </c>
      <c r="X976" s="65">
        <v>0</v>
      </c>
      <c r="Y976" s="65">
        <v>0</v>
      </c>
      <c r="Z976" s="65">
        <v>366803.14</v>
      </c>
      <c r="AA976" s="51">
        <v>0</v>
      </c>
      <c r="AB976" s="102">
        <v>0</v>
      </c>
      <c r="AC976" s="81">
        <f t="shared" si="48"/>
        <v>0</v>
      </c>
      <c r="AD976" s="82">
        <f t="shared" si="49"/>
        <v>0</v>
      </c>
      <c r="AE976" s="218">
        <v>0</v>
      </c>
      <c r="AF976">
        <v>0</v>
      </c>
      <c r="AH976" t="str">
        <f t="shared" si="47"/>
        <v>Majhaul</v>
      </c>
      <c r="AJ976" s="72">
        <v>0</v>
      </c>
      <c r="AK976" s="72"/>
      <c r="AL976" s="72"/>
      <c r="AM976" s="72"/>
    </row>
    <row r="977" spans="1:39" x14ac:dyDescent="0.25">
      <c r="A977" s="37" t="s">
        <v>62</v>
      </c>
      <c r="B977" s="66" t="s">
        <v>1638</v>
      </c>
      <c r="C977" s="41">
        <v>1001</v>
      </c>
      <c r="D977" s="41" t="s">
        <v>91</v>
      </c>
      <c r="E977" s="41">
        <v>10010076</v>
      </c>
      <c r="F977" s="85" t="s">
        <v>422</v>
      </c>
      <c r="G977" s="39" t="s">
        <v>92</v>
      </c>
      <c r="H977" s="52" t="s">
        <v>93</v>
      </c>
      <c r="I977" s="52">
        <v>827.9</v>
      </c>
      <c r="J977" s="49">
        <v>36552.65</v>
      </c>
      <c r="K977" s="58">
        <v>354.1</v>
      </c>
      <c r="L977" s="58">
        <v>16186.910000000002</v>
      </c>
      <c r="M977" s="58">
        <v>535.65</v>
      </c>
      <c r="N977" s="58">
        <v>24117.280000000002</v>
      </c>
      <c r="O977" s="65">
        <v>889.75</v>
      </c>
      <c r="P977" s="65">
        <v>40304.19</v>
      </c>
      <c r="Q977" s="50">
        <v>36552.65</v>
      </c>
      <c r="R977" s="65">
        <v>0</v>
      </c>
      <c r="S977" s="65">
        <v>0</v>
      </c>
      <c r="T977" s="65">
        <v>3751.5400000000009</v>
      </c>
      <c r="U977" s="65">
        <v>0</v>
      </c>
      <c r="V977" s="65">
        <v>0</v>
      </c>
      <c r="W977" s="65">
        <v>0</v>
      </c>
      <c r="X977" s="65">
        <v>12436</v>
      </c>
      <c r="Y977" s="65">
        <v>24117</v>
      </c>
      <c r="Z977" s="65">
        <v>0</v>
      </c>
      <c r="AA977" s="51">
        <v>0</v>
      </c>
      <c r="AB977" s="102">
        <v>0</v>
      </c>
      <c r="AC977" s="81">
        <f t="shared" si="48"/>
        <v>0</v>
      </c>
      <c r="AD977" s="82">
        <f t="shared" si="49"/>
        <v>0</v>
      </c>
      <c r="AE977" s="218">
        <v>-0.10263387196277153</v>
      </c>
      <c r="AF977">
        <v>12</v>
      </c>
      <c r="AH977" t="str">
        <f t="shared" si="47"/>
        <v>Majhaul</v>
      </c>
      <c r="AJ977" s="72">
        <v>0</v>
      </c>
      <c r="AK977" s="72"/>
      <c r="AL977" s="72"/>
      <c r="AM977" s="72"/>
    </row>
    <row r="978" spans="1:39" x14ac:dyDescent="0.25">
      <c r="A978" s="37" t="s">
        <v>62</v>
      </c>
      <c r="B978" s="66" t="s">
        <v>1638</v>
      </c>
      <c r="C978" s="41">
        <v>1058</v>
      </c>
      <c r="D978" s="41" t="s">
        <v>1296</v>
      </c>
      <c r="E978" s="41">
        <v>10010079</v>
      </c>
      <c r="F978" s="85" t="s">
        <v>1558</v>
      </c>
      <c r="G978" s="39" t="s">
        <v>1610</v>
      </c>
      <c r="H978" s="52" t="s">
        <v>98</v>
      </c>
      <c r="I978" s="52">
        <v>110.86</v>
      </c>
      <c r="J978" s="49">
        <v>4485.21</v>
      </c>
      <c r="K978" s="58">
        <v>0</v>
      </c>
      <c r="L978" s="58">
        <v>0</v>
      </c>
      <c r="M978" s="58">
        <v>0</v>
      </c>
      <c r="N978" s="58">
        <v>0</v>
      </c>
      <c r="O978" s="65">
        <v>0</v>
      </c>
      <c r="P978" s="65">
        <v>0</v>
      </c>
      <c r="Q978" s="50">
        <v>4485.21</v>
      </c>
      <c r="R978" s="65">
        <v>0</v>
      </c>
      <c r="S978" s="65">
        <v>0</v>
      </c>
      <c r="T978" s="65">
        <v>0</v>
      </c>
      <c r="U978" s="65">
        <v>0</v>
      </c>
      <c r="V978" s="65">
        <v>0</v>
      </c>
      <c r="W978" s="65">
        <v>0</v>
      </c>
      <c r="X978" s="65">
        <v>0</v>
      </c>
      <c r="Y978" s="65">
        <v>0</v>
      </c>
      <c r="Z978" s="65">
        <v>4485.21</v>
      </c>
      <c r="AA978" s="51">
        <v>0</v>
      </c>
      <c r="AB978" s="102">
        <v>0</v>
      </c>
      <c r="AC978" s="81">
        <f t="shared" si="48"/>
        <v>476.71236142882924</v>
      </c>
      <c r="AD978" s="82">
        <f t="shared" si="49"/>
        <v>15.837142857142856</v>
      </c>
      <c r="AE978" s="218">
        <v>0</v>
      </c>
      <c r="AF978">
        <v>0</v>
      </c>
      <c r="AH978" t="str">
        <f t="shared" si="47"/>
        <v>Hasanpur</v>
      </c>
      <c r="AJ978" s="72">
        <v>0</v>
      </c>
      <c r="AK978" s="72"/>
      <c r="AL978" s="72"/>
      <c r="AM978" s="72"/>
    </row>
    <row r="979" spans="1:39" x14ac:dyDescent="0.25">
      <c r="A979" s="37" t="s">
        <v>62</v>
      </c>
      <c r="B979" s="66" t="s">
        <v>1638</v>
      </c>
      <c r="C979" s="41">
        <v>1001</v>
      </c>
      <c r="D979" s="41" t="s">
        <v>91</v>
      </c>
      <c r="E979" s="41">
        <v>10010082</v>
      </c>
      <c r="F979" s="85" t="s">
        <v>446</v>
      </c>
      <c r="G979" s="39" t="s">
        <v>92</v>
      </c>
      <c r="H979" s="52" t="s">
        <v>93</v>
      </c>
      <c r="I979" s="52">
        <v>1148.2</v>
      </c>
      <c r="J979" s="49">
        <v>44569.48</v>
      </c>
      <c r="K979" s="58">
        <v>1110.52</v>
      </c>
      <c r="L979" s="58">
        <v>42654.130000000005</v>
      </c>
      <c r="M979" s="58">
        <v>43.22</v>
      </c>
      <c r="N979" s="58">
        <v>1609.41</v>
      </c>
      <c r="O979" s="65">
        <v>1153.74</v>
      </c>
      <c r="P979" s="65">
        <v>44263.540000000008</v>
      </c>
      <c r="Q979" s="50">
        <v>44263.540000000008</v>
      </c>
      <c r="R979" s="65">
        <v>0</v>
      </c>
      <c r="S979" s="65">
        <v>0</v>
      </c>
      <c r="T979" s="65">
        <v>0</v>
      </c>
      <c r="U979" s="65">
        <v>0</v>
      </c>
      <c r="V979" s="65">
        <v>0</v>
      </c>
      <c r="W979" s="65">
        <v>0</v>
      </c>
      <c r="X979" s="65">
        <v>42654</v>
      </c>
      <c r="Y979" s="65">
        <v>1609</v>
      </c>
      <c r="Z979" s="65">
        <v>0</v>
      </c>
      <c r="AA979" s="51">
        <v>306</v>
      </c>
      <c r="AB979" s="102">
        <v>0</v>
      </c>
      <c r="AC979" s="81">
        <f t="shared" si="48"/>
        <v>0</v>
      </c>
      <c r="AD979" s="82">
        <f t="shared" si="49"/>
        <v>0</v>
      </c>
      <c r="AE979" s="218">
        <v>6.8643385563393385E-3</v>
      </c>
      <c r="AF979">
        <v>7</v>
      </c>
      <c r="AH979" t="str">
        <f t="shared" si="47"/>
        <v>Majhaul</v>
      </c>
      <c r="AJ979" s="72">
        <v>0</v>
      </c>
      <c r="AK979" s="72"/>
      <c r="AL979" s="72"/>
      <c r="AM979" s="72"/>
    </row>
    <row r="980" spans="1:39" x14ac:dyDescent="0.25">
      <c r="A980" s="37" t="s">
        <v>62</v>
      </c>
      <c r="B980" s="66" t="s">
        <v>1638</v>
      </c>
      <c r="C980" s="41">
        <v>1001</v>
      </c>
      <c r="D980" s="41" t="s">
        <v>91</v>
      </c>
      <c r="E980" s="41">
        <v>10010084</v>
      </c>
      <c r="F980" s="85" t="s">
        <v>447</v>
      </c>
      <c r="G980" s="39" t="s">
        <v>1610</v>
      </c>
      <c r="H980" s="52" t="s">
        <v>98</v>
      </c>
      <c r="I980" s="52">
        <v>301.89999999999998</v>
      </c>
      <c r="J980" s="49">
        <v>10122.749999999998</v>
      </c>
      <c r="K980" s="58">
        <v>0</v>
      </c>
      <c r="L980" s="58">
        <v>0</v>
      </c>
      <c r="M980" s="58">
        <v>0</v>
      </c>
      <c r="N980" s="58">
        <v>0</v>
      </c>
      <c r="O980" s="65">
        <v>0</v>
      </c>
      <c r="P980" s="65">
        <v>0</v>
      </c>
      <c r="Q980" s="50">
        <v>10122.749999999998</v>
      </c>
      <c r="R980" s="65">
        <v>0</v>
      </c>
      <c r="S980" s="65">
        <v>0</v>
      </c>
      <c r="T980" s="65">
        <v>0</v>
      </c>
      <c r="U980" s="65">
        <v>0</v>
      </c>
      <c r="V980" s="65">
        <v>0</v>
      </c>
      <c r="W980" s="65">
        <v>0</v>
      </c>
      <c r="X980" s="65">
        <v>0</v>
      </c>
      <c r="Y980" s="65">
        <v>0</v>
      </c>
      <c r="Z980" s="65">
        <v>10122.749999999998</v>
      </c>
      <c r="AA980" s="51">
        <v>0</v>
      </c>
      <c r="AB980" s="102">
        <v>0</v>
      </c>
      <c r="AC980" s="81">
        <f t="shared" si="48"/>
        <v>266.96699403776086</v>
      </c>
      <c r="AD980" s="82">
        <f t="shared" si="49"/>
        <v>43.128571428571426</v>
      </c>
      <c r="AE980" s="218">
        <v>0</v>
      </c>
      <c r="AF980">
        <v>0</v>
      </c>
      <c r="AH980" t="str">
        <f t="shared" si="47"/>
        <v>Majhaul</v>
      </c>
      <c r="AJ980" s="72">
        <v>0</v>
      </c>
      <c r="AK980" s="72"/>
      <c r="AL980" s="72"/>
      <c r="AM980" s="72"/>
    </row>
    <row r="981" spans="1:39" x14ac:dyDescent="0.25">
      <c r="A981" s="37" t="s">
        <v>62</v>
      </c>
      <c r="B981" s="66" t="s">
        <v>1638</v>
      </c>
      <c r="C981" s="41">
        <v>1058</v>
      </c>
      <c r="D981" s="41" t="s">
        <v>1296</v>
      </c>
      <c r="E981" s="41">
        <v>10010086</v>
      </c>
      <c r="F981" s="85" t="s">
        <v>468</v>
      </c>
      <c r="G981" s="39" t="s">
        <v>92</v>
      </c>
      <c r="H981" s="52" t="s">
        <v>93</v>
      </c>
      <c r="I981" s="52">
        <v>51.65</v>
      </c>
      <c r="J981" s="49">
        <v>2368.3599999999997</v>
      </c>
      <c r="K981" s="58">
        <v>80.650000000000006</v>
      </c>
      <c r="L981" s="58">
        <v>4363.59</v>
      </c>
      <c r="M981" s="58">
        <v>1.66</v>
      </c>
      <c r="N981" s="58">
        <v>93.92</v>
      </c>
      <c r="O981" s="65">
        <v>82.31</v>
      </c>
      <c r="P981" s="65">
        <v>4457.51</v>
      </c>
      <c r="Q981" s="50">
        <v>2368.3599999999997</v>
      </c>
      <c r="R981" s="65">
        <v>0</v>
      </c>
      <c r="S981" s="65">
        <v>93.92</v>
      </c>
      <c r="T981" s="65">
        <v>2089.1500000000005</v>
      </c>
      <c r="U981" s="65">
        <v>0</v>
      </c>
      <c r="V981" s="65">
        <v>500</v>
      </c>
      <c r="W981" s="65">
        <v>0</v>
      </c>
      <c r="X981" s="65">
        <v>1774</v>
      </c>
      <c r="Y981" s="65">
        <v>0</v>
      </c>
      <c r="Z981" s="65">
        <v>0</v>
      </c>
      <c r="AA981" s="51">
        <v>0</v>
      </c>
      <c r="AB981" s="102" t="s">
        <v>1366</v>
      </c>
      <c r="AC981" s="81">
        <f t="shared" si="48"/>
        <v>594.58904394966112</v>
      </c>
      <c r="AD981" s="82">
        <f t="shared" si="49"/>
        <v>7.3785714285714281</v>
      </c>
      <c r="AE981" s="218">
        <v>-0.88210829434714355</v>
      </c>
      <c r="AF981">
        <v>6</v>
      </c>
      <c r="AH981" t="str">
        <f t="shared" si="47"/>
        <v>Hasanpur</v>
      </c>
      <c r="AJ981" s="72">
        <v>500</v>
      </c>
      <c r="AK981" s="72"/>
      <c r="AL981" s="72"/>
      <c r="AM981" s="72"/>
    </row>
    <row r="982" spans="1:39" x14ac:dyDescent="0.25">
      <c r="A982" s="37" t="s">
        <v>62</v>
      </c>
      <c r="B982" s="66" t="s">
        <v>1638</v>
      </c>
      <c r="C982" s="41">
        <v>1058</v>
      </c>
      <c r="D982" s="41" t="s">
        <v>1296</v>
      </c>
      <c r="E982" s="41">
        <v>10010089</v>
      </c>
      <c r="F982" s="85" t="s">
        <v>469</v>
      </c>
      <c r="G982" s="39" t="s">
        <v>92</v>
      </c>
      <c r="H982" s="52" t="s">
        <v>93</v>
      </c>
      <c r="I982" s="52">
        <v>472.12999999999988</v>
      </c>
      <c r="J982" s="49">
        <v>20157.509999999998</v>
      </c>
      <c r="K982" s="58">
        <v>465.95999999999992</v>
      </c>
      <c r="L982" s="58">
        <v>20116.879999999997</v>
      </c>
      <c r="M982" s="58">
        <v>6.7600000000000007</v>
      </c>
      <c r="N982" s="58">
        <v>317.22000000000003</v>
      </c>
      <c r="O982" s="65">
        <v>472.71999999999991</v>
      </c>
      <c r="P982" s="65">
        <v>20434.099999999999</v>
      </c>
      <c r="Q982" s="50">
        <v>20157.509999999998</v>
      </c>
      <c r="R982" s="65">
        <v>0</v>
      </c>
      <c r="S982" s="65">
        <v>0</v>
      </c>
      <c r="T982" s="65">
        <v>276.59000000000015</v>
      </c>
      <c r="U982" s="65">
        <v>0</v>
      </c>
      <c r="V982" s="65">
        <v>0</v>
      </c>
      <c r="W982" s="65">
        <v>0</v>
      </c>
      <c r="X982" s="65">
        <v>19841</v>
      </c>
      <c r="Y982" s="65">
        <v>317</v>
      </c>
      <c r="Z982" s="65">
        <v>0</v>
      </c>
      <c r="AA982" s="51">
        <v>0</v>
      </c>
      <c r="AB982" s="102">
        <v>0</v>
      </c>
      <c r="AC982" s="81">
        <f t="shared" si="48"/>
        <v>194.57741739351468</v>
      </c>
      <c r="AD982" s="82">
        <f t="shared" si="49"/>
        <v>67.447142857142836</v>
      </c>
      <c r="AE982" s="218">
        <v>-1.372143682429031E-2</v>
      </c>
      <c r="AF982">
        <v>5</v>
      </c>
      <c r="AH982" t="str">
        <f t="shared" si="47"/>
        <v>Hasanpur</v>
      </c>
      <c r="AJ982" s="72">
        <v>0</v>
      </c>
      <c r="AK982" s="72"/>
      <c r="AL982" s="72"/>
      <c r="AM982" s="72"/>
    </row>
    <row r="983" spans="1:39" x14ac:dyDescent="0.25">
      <c r="A983" s="37" t="s">
        <v>62</v>
      </c>
      <c r="B983" s="66" t="s">
        <v>1638</v>
      </c>
      <c r="C983" s="41">
        <v>1001</v>
      </c>
      <c r="D983" s="41" t="s">
        <v>91</v>
      </c>
      <c r="E983" s="41">
        <v>10010092</v>
      </c>
      <c r="F983" s="85" t="s">
        <v>516</v>
      </c>
      <c r="G983" s="39" t="s">
        <v>1610</v>
      </c>
      <c r="H983" s="52" t="s">
        <v>98</v>
      </c>
      <c r="I983" s="52">
        <v>831.59999999999991</v>
      </c>
      <c r="J983" s="49">
        <v>26612.670000000002</v>
      </c>
      <c r="K983" s="58">
        <v>0</v>
      </c>
      <c r="L983" s="58">
        <v>0</v>
      </c>
      <c r="M983" s="58">
        <v>0</v>
      </c>
      <c r="N983" s="58">
        <v>0</v>
      </c>
      <c r="O983" s="65">
        <v>0</v>
      </c>
      <c r="P983" s="65">
        <v>0</v>
      </c>
      <c r="Q983" s="50">
        <v>26612.670000000002</v>
      </c>
      <c r="R983" s="65">
        <v>0</v>
      </c>
      <c r="S983" s="65">
        <v>0</v>
      </c>
      <c r="T983" s="65">
        <v>0</v>
      </c>
      <c r="U983" s="65">
        <v>0</v>
      </c>
      <c r="V983" s="65">
        <v>0</v>
      </c>
      <c r="W983" s="65">
        <v>0</v>
      </c>
      <c r="X983" s="65">
        <v>0</v>
      </c>
      <c r="Y983" s="65">
        <v>0</v>
      </c>
      <c r="Z983" s="65">
        <v>26612.670000000002</v>
      </c>
      <c r="AA983" s="51">
        <v>0</v>
      </c>
      <c r="AB983" s="102">
        <v>0</v>
      </c>
      <c r="AC983" s="81">
        <f t="shared" si="48"/>
        <v>0</v>
      </c>
      <c r="AD983" s="82">
        <f t="shared" si="49"/>
        <v>0</v>
      </c>
      <c r="AE983" s="218">
        <v>0</v>
      </c>
      <c r="AF983">
        <v>0</v>
      </c>
      <c r="AH983" t="str">
        <f t="shared" si="47"/>
        <v>Majhaul</v>
      </c>
      <c r="AJ983" s="72">
        <v>0</v>
      </c>
      <c r="AK983" s="72"/>
      <c r="AL983" s="72"/>
      <c r="AM983" s="72"/>
    </row>
    <row r="984" spans="1:39" x14ac:dyDescent="0.25">
      <c r="A984" s="37" t="s">
        <v>62</v>
      </c>
      <c r="B984" s="66" t="s">
        <v>1638</v>
      </c>
      <c r="C984" s="41">
        <v>1058</v>
      </c>
      <c r="D984" s="41" t="s">
        <v>1296</v>
      </c>
      <c r="E984" s="41">
        <v>10010095</v>
      </c>
      <c r="F984" s="85" t="s">
        <v>517</v>
      </c>
      <c r="G984" s="39" t="s">
        <v>92</v>
      </c>
      <c r="H984" s="52" t="s">
        <v>93</v>
      </c>
      <c r="I984" s="52">
        <v>272.18</v>
      </c>
      <c r="J984" s="49">
        <v>11989.010000000002</v>
      </c>
      <c r="K984" s="58">
        <v>266.40000000000003</v>
      </c>
      <c r="L984" s="58">
        <v>11556.37</v>
      </c>
      <c r="M984" s="58">
        <v>5</v>
      </c>
      <c r="N984" s="58">
        <v>195.3</v>
      </c>
      <c r="O984" s="65">
        <v>271.40000000000003</v>
      </c>
      <c r="P984" s="65">
        <v>11751.67</v>
      </c>
      <c r="Q984" s="50">
        <v>11751.67</v>
      </c>
      <c r="R984" s="65">
        <v>0</v>
      </c>
      <c r="S984" s="65">
        <v>195.3</v>
      </c>
      <c r="T984" s="65">
        <v>0</v>
      </c>
      <c r="U984" s="65">
        <v>0</v>
      </c>
      <c r="V984" s="65">
        <v>0</v>
      </c>
      <c r="W984" s="65">
        <v>0</v>
      </c>
      <c r="X984" s="65">
        <v>11557</v>
      </c>
      <c r="Y984" s="65">
        <v>0</v>
      </c>
      <c r="Z984" s="65">
        <v>0</v>
      </c>
      <c r="AA984" s="51">
        <v>237</v>
      </c>
      <c r="AB984" s="102">
        <v>0</v>
      </c>
      <c r="AC984" s="81">
        <f t="shared" si="48"/>
        <v>376.89310443089141</v>
      </c>
      <c r="AD984" s="82">
        <f t="shared" si="49"/>
        <v>38.882857142857141</v>
      </c>
      <c r="AE984" s="218">
        <v>1.9796463594575524E-2</v>
      </c>
      <c r="AF984">
        <v>3</v>
      </c>
      <c r="AH984" t="str">
        <f t="shared" si="47"/>
        <v>Hasanpur</v>
      </c>
      <c r="AJ984" s="72">
        <v>0</v>
      </c>
      <c r="AK984" s="72"/>
      <c r="AL984" s="72"/>
      <c r="AM984" s="72"/>
    </row>
    <row r="985" spans="1:39" x14ac:dyDescent="0.25">
      <c r="A985" s="37" t="s">
        <v>62</v>
      </c>
      <c r="B985" s="66" t="s">
        <v>1638</v>
      </c>
      <c r="C985" s="41">
        <v>1001</v>
      </c>
      <c r="D985" s="41" t="s">
        <v>91</v>
      </c>
      <c r="E985" s="41">
        <v>10010097</v>
      </c>
      <c r="F985" s="85" t="s">
        <v>519</v>
      </c>
      <c r="G985" s="39" t="s">
        <v>92</v>
      </c>
      <c r="H985" s="52" t="s">
        <v>93</v>
      </c>
      <c r="I985" s="52">
        <v>1264.3</v>
      </c>
      <c r="J985" s="49">
        <v>48884.82</v>
      </c>
      <c r="K985" s="58">
        <v>1253.3800000000003</v>
      </c>
      <c r="L985" s="58">
        <v>53073.66</v>
      </c>
      <c r="M985" s="58">
        <v>2.9900000000000011</v>
      </c>
      <c r="N985" s="58">
        <v>118.86999999999999</v>
      </c>
      <c r="O985" s="65">
        <v>1256.3700000000003</v>
      </c>
      <c r="P985" s="65">
        <v>53192.530000000006</v>
      </c>
      <c r="Q985" s="50">
        <v>48884.82</v>
      </c>
      <c r="R985" s="65">
        <v>0</v>
      </c>
      <c r="S985" s="65">
        <v>118.86999999999999</v>
      </c>
      <c r="T985" s="65">
        <v>4307.7100000000064</v>
      </c>
      <c r="U985" s="65">
        <v>0</v>
      </c>
      <c r="V985" s="65">
        <v>0</v>
      </c>
      <c r="W985" s="65">
        <v>0</v>
      </c>
      <c r="X985" s="65">
        <v>48766</v>
      </c>
      <c r="Y985" s="65">
        <v>0</v>
      </c>
      <c r="Z985" s="65">
        <v>0</v>
      </c>
      <c r="AA985" s="51">
        <v>0</v>
      </c>
      <c r="AB985" s="102">
        <v>0</v>
      </c>
      <c r="AC985" s="81">
        <f t="shared" si="48"/>
        <v>0</v>
      </c>
      <c r="AD985" s="82">
        <f t="shared" si="49"/>
        <v>0</v>
      </c>
      <c r="AE985" s="218">
        <v>-8.8119583952646366E-2</v>
      </c>
      <c r="AF985">
        <v>12</v>
      </c>
      <c r="AH985" t="str">
        <f t="shared" si="47"/>
        <v>Majhaul</v>
      </c>
      <c r="AJ985" s="72">
        <v>0</v>
      </c>
      <c r="AK985" s="72"/>
      <c r="AL985" s="72"/>
      <c r="AM985" s="72"/>
    </row>
    <row r="986" spans="1:39" x14ac:dyDescent="0.25">
      <c r="A986" s="37" t="s">
        <v>62</v>
      </c>
      <c r="B986" s="66" t="s">
        <v>1638</v>
      </c>
      <c r="C986" s="41">
        <v>1058</v>
      </c>
      <c r="D986" s="41" t="s">
        <v>1296</v>
      </c>
      <c r="E986" s="41">
        <v>10010099</v>
      </c>
      <c r="F986" s="85" t="s">
        <v>553</v>
      </c>
      <c r="G986" s="39" t="s">
        <v>92</v>
      </c>
      <c r="H986" s="52" t="s">
        <v>93</v>
      </c>
      <c r="I986" s="52">
        <v>161.07</v>
      </c>
      <c r="J986" s="49">
        <v>6705.7300000000005</v>
      </c>
      <c r="K986" s="58">
        <v>157.1</v>
      </c>
      <c r="L986" s="58">
        <v>6496.79</v>
      </c>
      <c r="M986" s="58">
        <v>4.5</v>
      </c>
      <c r="N986" s="58">
        <v>175.14</v>
      </c>
      <c r="O986" s="65">
        <v>161.6</v>
      </c>
      <c r="P986" s="65">
        <v>6671.93</v>
      </c>
      <c r="Q986" s="50">
        <v>6671.93</v>
      </c>
      <c r="R986" s="65">
        <v>0</v>
      </c>
      <c r="S986" s="65">
        <v>175.14</v>
      </c>
      <c r="T986" s="65">
        <v>0</v>
      </c>
      <c r="U986" s="65">
        <v>0</v>
      </c>
      <c r="V986" s="65">
        <v>500</v>
      </c>
      <c r="W986" s="65">
        <v>0</v>
      </c>
      <c r="X986" s="65">
        <v>5997</v>
      </c>
      <c r="Y986" s="65">
        <v>0</v>
      </c>
      <c r="Z986" s="65">
        <v>0</v>
      </c>
      <c r="AA986" s="51">
        <v>34</v>
      </c>
      <c r="AB986" s="102">
        <v>0</v>
      </c>
      <c r="AC986" s="81">
        <f t="shared" si="48"/>
        <v>448.73894193828778</v>
      </c>
      <c r="AD986" s="82">
        <f t="shared" si="49"/>
        <v>23.009999999999998</v>
      </c>
      <c r="AE986" s="218">
        <v>5.0404653930295699E-3</v>
      </c>
      <c r="AF986">
        <v>2</v>
      </c>
      <c r="AH986" t="str">
        <f t="shared" si="47"/>
        <v>Hasanpur</v>
      </c>
      <c r="AJ986" s="72">
        <v>500</v>
      </c>
      <c r="AK986" s="72"/>
      <c r="AL986" s="72"/>
      <c r="AM986" s="72"/>
    </row>
    <row r="987" spans="1:39" x14ac:dyDescent="0.25">
      <c r="A987" s="37" t="s">
        <v>62</v>
      </c>
      <c r="B987" s="66" t="s">
        <v>1638</v>
      </c>
      <c r="C987" s="41">
        <v>1001</v>
      </c>
      <c r="D987" s="41" t="s">
        <v>91</v>
      </c>
      <c r="E987" s="41">
        <v>10010108</v>
      </c>
      <c r="F987" s="85" t="s">
        <v>628</v>
      </c>
      <c r="G987" s="39" t="s">
        <v>92</v>
      </c>
      <c r="H987" s="52" t="s">
        <v>93</v>
      </c>
      <c r="I987" s="52">
        <v>269.39999999999998</v>
      </c>
      <c r="J987" s="49">
        <v>9647.2999999999993</v>
      </c>
      <c r="K987" s="58">
        <v>281.64</v>
      </c>
      <c r="L987" s="58">
        <v>10012.44</v>
      </c>
      <c r="M987" s="58">
        <v>0.2</v>
      </c>
      <c r="N987" s="58">
        <v>7.12</v>
      </c>
      <c r="O987" s="65">
        <v>281.83999999999997</v>
      </c>
      <c r="P987" s="65">
        <v>10019.560000000001</v>
      </c>
      <c r="Q987" s="50">
        <v>9647.2999999999993</v>
      </c>
      <c r="R987" s="65">
        <v>0</v>
      </c>
      <c r="S987" s="65">
        <v>7.12</v>
      </c>
      <c r="T987" s="65">
        <v>372.26000000000204</v>
      </c>
      <c r="U987" s="65">
        <v>0</v>
      </c>
      <c r="V987" s="65">
        <v>500</v>
      </c>
      <c r="W987" s="65">
        <v>0</v>
      </c>
      <c r="X987" s="65">
        <v>9140</v>
      </c>
      <c r="Y987" s="65">
        <v>0</v>
      </c>
      <c r="Z987" s="65">
        <v>0</v>
      </c>
      <c r="AA987" s="51">
        <v>0</v>
      </c>
      <c r="AB987" s="102">
        <v>0</v>
      </c>
      <c r="AC987" s="81">
        <f t="shared" si="48"/>
        <v>308.39846919079434</v>
      </c>
      <c r="AD987" s="82">
        <f t="shared" si="49"/>
        <v>38.48571428571428</v>
      </c>
      <c r="AE987" s="218">
        <v>-3.8586962155214628E-2</v>
      </c>
      <c r="AF987">
        <v>2</v>
      </c>
      <c r="AH987" t="str">
        <f t="shared" si="47"/>
        <v>Majhaul</v>
      </c>
      <c r="AJ987" s="72">
        <v>500</v>
      </c>
      <c r="AK987" s="72"/>
      <c r="AL987" s="72"/>
      <c r="AM987" s="72"/>
    </row>
    <row r="988" spans="1:39" x14ac:dyDescent="0.25">
      <c r="A988" s="37" t="s">
        <v>62</v>
      </c>
      <c r="B988" s="66" t="s">
        <v>1638</v>
      </c>
      <c r="C988" s="41">
        <v>1001</v>
      </c>
      <c r="D988" s="41" t="s">
        <v>91</v>
      </c>
      <c r="E988" s="41">
        <v>10010109</v>
      </c>
      <c r="F988" s="85" t="s">
        <v>629</v>
      </c>
      <c r="G988" s="39" t="s">
        <v>1610</v>
      </c>
      <c r="H988" s="52" t="s">
        <v>98</v>
      </c>
      <c r="I988" s="52">
        <v>283.09999999999997</v>
      </c>
      <c r="J988" s="49">
        <v>9743.9999999999964</v>
      </c>
      <c r="K988" s="58">
        <v>0</v>
      </c>
      <c r="L988" s="58">
        <v>0</v>
      </c>
      <c r="M988" s="58">
        <v>0</v>
      </c>
      <c r="N988" s="58">
        <v>0</v>
      </c>
      <c r="O988" s="65">
        <v>0</v>
      </c>
      <c r="P988" s="65">
        <v>0</v>
      </c>
      <c r="Q988" s="50">
        <v>9743.9999999999964</v>
      </c>
      <c r="R988" s="65">
        <v>0</v>
      </c>
      <c r="S988" s="65">
        <v>0</v>
      </c>
      <c r="T988" s="65">
        <v>0</v>
      </c>
      <c r="U988" s="65">
        <v>0</v>
      </c>
      <c r="V988" s="65">
        <v>0</v>
      </c>
      <c r="W988" s="65">
        <v>0</v>
      </c>
      <c r="X988" s="65">
        <v>0</v>
      </c>
      <c r="Y988" s="65">
        <v>0</v>
      </c>
      <c r="Z988" s="65">
        <v>9743.9999999999964</v>
      </c>
      <c r="AA988" s="51">
        <v>0</v>
      </c>
      <c r="AB988" s="102">
        <v>0</v>
      </c>
      <c r="AC988" s="81">
        <f t="shared" si="48"/>
        <v>286.98506534793358</v>
      </c>
      <c r="AD988" s="82">
        <f t="shared" si="49"/>
        <v>40.442857142857136</v>
      </c>
      <c r="AE988" s="218">
        <v>0</v>
      </c>
      <c r="AF988">
        <v>0</v>
      </c>
      <c r="AH988" t="str">
        <f t="shared" si="47"/>
        <v>Majhaul</v>
      </c>
      <c r="AJ988" s="72">
        <v>0</v>
      </c>
      <c r="AK988" s="72"/>
      <c r="AL988" s="72"/>
      <c r="AM988" s="72"/>
    </row>
    <row r="989" spans="1:39" x14ac:dyDescent="0.25">
      <c r="A989" s="37" t="s">
        <v>62</v>
      </c>
      <c r="B989" s="66" t="s">
        <v>1638</v>
      </c>
      <c r="C989" s="41">
        <v>1001</v>
      </c>
      <c r="D989" s="41" t="s">
        <v>91</v>
      </c>
      <c r="E989" s="41">
        <v>10010113</v>
      </c>
      <c r="F989" s="85" t="s">
        <v>804</v>
      </c>
      <c r="G989" s="39" t="s">
        <v>92</v>
      </c>
      <c r="H989" s="52" t="s">
        <v>93</v>
      </c>
      <c r="I989" s="52">
        <v>882.99999999999989</v>
      </c>
      <c r="J989" s="49">
        <v>35754</v>
      </c>
      <c r="K989" s="58">
        <v>888.65000000000009</v>
      </c>
      <c r="L989" s="58">
        <v>37717.249999999993</v>
      </c>
      <c r="M989" s="58">
        <v>3.3699999999999997</v>
      </c>
      <c r="N989" s="58">
        <v>140.14999999999998</v>
      </c>
      <c r="O989" s="65">
        <v>892.0200000000001</v>
      </c>
      <c r="P989" s="65">
        <v>37857.399999999994</v>
      </c>
      <c r="Q989" s="50">
        <v>35754</v>
      </c>
      <c r="R989" s="65">
        <v>0</v>
      </c>
      <c r="S989" s="65">
        <v>140.14999999999998</v>
      </c>
      <c r="T989" s="65">
        <v>2103.3999999999942</v>
      </c>
      <c r="U989" s="65">
        <v>0</v>
      </c>
      <c r="V989" s="65">
        <v>0</v>
      </c>
      <c r="W989" s="65">
        <v>0</v>
      </c>
      <c r="X989" s="65">
        <v>35614</v>
      </c>
      <c r="Y989" s="65">
        <v>0</v>
      </c>
      <c r="Z989" s="65">
        <v>0</v>
      </c>
      <c r="AA989" s="51">
        <v>0</v>
      </c>
      <c r="AB989" s="102">
        <v>0</v>
      </c>
      <c r="AC989" s="81">
        <f t="shared" si="48"/>
        <v>0</v>
      </c>
      <c r="AD989" s="82">
        <f t="shared" si="49"/>
        <v>0</v>
      </c>
      <c r="AE989" s="218">
        <v>-5.8829781283212902E-2</v>
      </c>
      <c r="AF989">
        <v>28</v>
      </c>
      <c r="AH989" t="str">
        <f t="shared" si="47"/>
        <v>Majhaul</v>
      </c>
      <c r="AJ989" s="72">
        <v>0</v>
      </c>
      <c r="AK989" s="72"/>
      <c r="AL989" s="72"/>
      <c r="AM989" s="72"/>
    </row>
    <row r="990" spans="1:39" x14ac:dyDescent="0.25">
      <c r="A990" s="37" t="s">
        <v>62</v>
      </c>
      <c r="B990" s="66" t="s">
        <v>1638</v>
      </c>
      <c r="C990" s="41">
        <v>1001</v>
      </c>
      <c r="D990" s="41" t="s">
        <v>91</v>
      </c>
      <c r="E990" s="41">
        <v>10010121</v>
      </c>
      <c r="F990" s="85" t="s">
        <v>1116</v>
      </c>
      <c r="G990" s="39" t="s">
        <v>92</v>
      </c>
      <c r="H990" s="52" t="s">
        <v>93</v>
      </c>
      <c r="I990" s="52">
        <v>1391</v>
      </c>
      <c r="J990" s="49">
        <v>52977.84</v>
      </c>
      <c r="K990" s="58">
        <v>1368.03</v>
      </c>
      <c r="L990" s="58">
        <v>52543.359999999993</v>
      </c>
      <c r="M990" s="58">
        <v>0.87</v>
      </c>
      <c r="N990" s="58">
        <v>34.92</v>
      </c>
      <c r="O990" s="65">
        <v>1368.8999999999999</v>
      </c>
      <c r="P990" s="65">
        <v>52578.279999999992</v>
      </c>
      <c r="Q990" s="50">
        <v>52578.279999999992</v>
      </c>
      <c r="R990" s="65">
        <v>0</v>
      </c>
      <c r="S990" s="65">
        <v>34.92</v>
      </c>
      <c r="T990" s="65">
        <v>0</v>
      </c>
      <c r="U990" s="65">
        <v>0</v>
      </c>
      <c r="V990" s="65">
        <v>0</v>
      </c>
      <c r="W990" s="65">
        <v>0</v>
      </c>
      <c r="X990" s="65">
        <v>52544</v>
      </c>
      <c r="Y990" s="65">
        <v>0</v>
      </c>
      <c r="Z990" s="65">
        <v>0</v>
      </c>
      <c r="AA990" s="51">
        <v>399</v>
      </c>
      <c r="AB990" s="102">
        <v>0</v>
      </c>
      <c r="AC990" s="81">
        <f t="shared" si="48"/>
        <v>0</v>
      </c>
      <c r="AD990" s="82">
        <f t="shared" si="49"/>
        <v>0</v>
      </c>
      <c r="AE990" s="218">
        <v>7.5420213432636166E-3</v>
      </c>
      <c r="AF990">
        <v>11</v>
      </c>
      <c r="AH990" t="str">
        <f t="shared" si="47"/>
        <v>Majhaul</v>
      </c>
      <c r="AJ990" s="72">
        <v>0</v>
      </c>
      <c r="AK990" s="72"/>
      <c r="AL990" s="72"/>
      <c r="AM990" s="72"/>
    </row>
    <row r="991" spans="1:39" x14ac:dyDescent="0.25">
      <c r="A991" s="37" t="s">
        <v>62</v>
      </c>
      <c r="B991" s="66" t="s">
        <v>1638</v>
      </c>
      <c r="C991" s="41">
        <v>1001</v>
      </c>
      <c r="D991" s="41" t="s">
        <v>91</v>
      </c>
      <c r="E991" s="41">
        <v>10010125</v>
      </c>
      <c r="F991" s="85" t="s">
        <v>1126</v>
      </c>
      <c r="G991" s="39" t="s">
        <v>1610</v>
      </c>
      <c r="H991" s="52" t="s">
        <v>98</v>
      </c>
      <c r="I991" s="52">
        <v>243.00000000000003</v>
      </c>
      <c r="J991" s="49">
        <v>9893.5499999999993</v>
      </c>
      <c r="K991" s="58">
        <v>0</v>
      </c>
      <c r="L991" s="58">
        <v>0</v>
      </c>
      <c r="M991" s="58">
        <v>0</v>
      </c>
      <c r="N991" s="58">
        <v>0</v>
      </c>
      <c r="O991" s="65">
        <v>0</v>
      </c>
      <c r="P991" s="65">
        <v>0</v>
      </c>
      <c r="Q991" s="50">
        <v>9893.5499999999993</v>
      </c>
      <c r="R991" s="65">
        <v>0</v>
      </c>
      <c r="S991" s="65">
        <v>0</v>
      </c>
      <c r="T991" s="65">
        <v>0</v>
      </c>
      <c r="U991" s="65">
        <v>0</v>
      </c>
      <c r="V991" s="65">
        <v>0</v>
      </c>
      <c r="W991" s="65">
        <v>0</v>
      </c>
      <c r="X991" s="65">
        <v>0</v>
      </c>
      <c r="Y991" s="65">
        <v>0</v>
      </c>
      <c r="Z991" s="65">
        <v>9893.5499999999993</v>
      </c>
      <c r="AA991" s="51">
        <v>0</v>
      </c>
      <c r="AB991" s="102">
        <v>0</v>
      </c>
      <c r="AC991" s="81">
        <f t="shared" si="48"/>
        <v>372.12776543209867</v>
      </c>
      <c r="AD991" s="82">
        <f t="shared" si="49"/>
        <v>34.714285714285715</v>
      </c>
      <c r="AE991" s="218">
        <v>0</v>
      </c>
      <c r="AF991">
        <v>0</v>
      </c>
      <c r="AH991" t="str">
        <f t="shared" si="47"/>
        <v>Majhaul</v>
      </c>
      <c r="AJ991" s="72">
        <v>0</v>
      </c>
      <c r="AK991" s="72"/>
      <c r="AL991" s="72"/>
      <c r="AM991" s="72"/>
    </row>
    <row r="992" spans="1:39" x14ac:dyDescent="0.25">
      <c r="A992" s="37" t="s">
        <v>62</v>
      </c>
      <c r="B992" s="66" t="s">
        <v>1638</v>
      </c>
      <c r="C992" s="41">
        <v>1001</v>
      </c>
      <c r="D992" s="41" t="s">
        <v>91</v>
      </c>
      <c r="E992" s="41">
        <v>10010128</v>
      </c>
      <c r="F992" s="85" t="s">
        <v>1127</v>
      </c>
      <c r="G992" s="39" t="s">
        <v>92</v>
      </c>
      <c r="H992" s="52" t="s">
        <v>93</v>
      </c>
      <c r="I992" s="52">
        <v>934</v>
      </c>
      <c r="J992" s="49">
        <v>40684.32</v>
      </c>
      <c r="K992" s="58">
        <v>1182.1000000000004</v>
      </c>
      <c r="L992" s="58">
        <v>51358.82</v>
      </c>
      <c r="M992" s="58">
        <v>0</v>
      </c>
      <c r="N992" s="58">
        <v>0</v>
      </c>
      <c r="O992" s="65">
        <v>1182.1000000000004</v>
      </c>
      <c r="P992" s="65">
        <v>51358.82</v>
      </c>
      <c r="Q992" s="50">
        <v>40684.32</v>
      </c>
      <c r="R992" s="65">
        <v>0</v>
      </c>
      <c r="S992" s="65">
        <v>0</v>
      </c>
      <c r="T992" s="65">
        <v>10674.5</v>
      </c>
      <c r="U992" s="65">
        <v>0</v>
      </c>
      <c r="V992" s="65">
        <v>0</v>
      </c>
      <c r="W992" s="65">
        <v>0</v>
      </c>
      <c r="X992" s="65">
        <v>40684</v>
      </c>
      <c r="Y992" s="65">
        <v>0</v>
      </c>
      <c r="Z992" s="65">
        <v>0</v>
      </c>
      <c r="AA992" s="51">
        <v>0</v>
      </c>
      <c r="AB992" s="102">
        <v>0</v>
      </c>
      <c r="AC992" s="81">
        <f t="shared" si="48"/>
        <v>0</v>
      </c>
      <c r="AD992" s="82">
        <f t="shared" si="49"/>
        <v>0</v>
      </c>
      <c r="AE992" s="218">
        <v>-0.26237380887771999</v>
      </c>
      <c r="AF992">
        <v>17</v>
      </c>
      <c r="AH992" t="str">
        <f t="shared" si="47"/>
        <v>Majhaul</v>
      </c>
      <c r="AJ992" s="72">
        <v>0</v>
      </c>
      <c r="AK992" s="72"/>
      <c r="AL992" s="72"/>
      <c r="AM992" s="72"/>
    </row>
    <row r="993" spans="1:39" x14ac:dyDescent="0.25">
      <c r="A993" s="37" t="s">
        <v>62</v>
      </c>
      <c r="B993" s="66" t="s">
        <v>1638</v>
      </c>
      <c r="C993" s="41">
        <v>1001</v>
      </c>
      <c r="D993" s="41" t="s">
        <v>91</v>
      </c>
      <c r="E993" s="41">
        <v>10010129</v>
      </c>
      <c r="F993" s="85" t="s">
        <v>1128</v>
      </c>
      <c r="G993" s="39" t="s">
        <v>1610</v>
      </c>
      <c r="H993" s="52" t="s">
        <v>98</v>
      </c>
      <c r="I993" s="52">
        <v>1104.5999999999999</v>
      </c>
      <c r="J993" s="49">
        <v>45043.31</v>
      </c>
      <c r="K993" s="58">
        <v>0</v>
      </c>
      <c r="L993" s="58">
        <v>0</v>
      </c>
      <c r="M993" s="58">
        <v>0</v>
      </c>
      <c r="N993" s="58">
        <v>0</v>
      </c>
      <c r="O993" s="65">
        <v>0</v>
      </c>
      <c r="P993" s="65">
        <v>0</v>
      </c>
      <c r="Q993" s="50">
        <v>45043.31</v>
      </c>
      <c r="R993" s="65">
        <v>0</v>
      </c>
      <c r="S993" s="65">
        <v>0</v>
      </c>
      <c r="T993" s="65">
        <v>0</v>
      </c>
      <c r="U993" s="65">
        <v>0</v>
      </c>
      <c r="V993" s="65">
        <v>0</v>
      </c>
      <c r="W993" s="65">
        <v>0</v>
      </c>
      <c r="X993" s="65">
        <v>0</v>
      </c>
      <c r="Y993" s="65">
        <v>0</v>
      </c>
      <c r="Z993" s="65">
        <v>45043.31</v>
      </c>
      <c r="AA993" s="51">
        <v>0</v>
      </c>
      <c r="AB993" s="102">
        <v>0</v>
      </c>
      <c r="AC993" s="81">
        <f t="shared" si="48"/>
        <v>0</v>
      </c>
      <c r="AD993" s="82">
        <f t="shared" si="49"/>
        <v>0</v>
      </c>
      <c r="AE993" s="218">
        <v>0</v>
      </c>
      <c r="AF993">
        <v>0</v>
      </c>
      <c r="AH993" t="str">
        <f t="shared" si="47"/>
        <v>Majhaul</v>
      </c>
      <c r="AJ993" s="72">
        <v>0</v>
      </c>
      <c r="AK993" s="72"/>
      <c r="AL993" s="72"/>
      <c r="AM993" s="72"/>
    </row>
    <row r="994" spans="1:39" x14ac:dyDescent="0.25">
      <c r="A994" s="37" t="s">
        <v>62</v>
      </c>
      <c r="B994" s="66" t="s">
        <v>1638</v>
      </c>
      <c r="C994" s="41">
        <v>1001</v>
      </c>
      <c r="D994" s="41" t="s">
        <v>91</v>
      </c>
      <c r="E994" s="41">
        <v>10010130</v>
      </c>
      <c r="F994" s="85" t="s">
        <v>1150</v>
      </c>
      <c r="G994" s="39" t="s">
        <v>1610</v>
      </c>
      <c r="H994" s="52" t="s">
        <v>98</v>
      </c>
      <c r="I994" s="52">
        <v>446.4</v>
      </c>
      <c r="J994" s="49">
        <v>16600.63</v>
      </c>
      <c r="K994" s="58">
        <v>0</v>
      </c>
      <c r="L994" s="58">
        <v>0</v>
      </c>
      <c r="M994" s="58">
        <v>0</v>
      </c>
      <c r="N994" s="58">
        <v>0</v>
      </c>
      <c r="O994" s="65">
        <v>0</v>
      </c>
      <c r="P994" s="65">
        <v>0</v>
      </c>
      <c r="Q994" s="50">
        <v>16600.63</v>
      </c>
      <c r="R994" s="65">
        <v>0</v>
      </c>
      <c r="S994" s="65">
        <v>0</v>
      </c>
      <c r="T994" s="65">
        <v>0</v>
      </c>
      <c r="U994" s="65">
        <v>0</v>
      </c>
      <c r="V994" s="65">
        <v>0</v>
      </c>
      <c r="W994" s="65">
        <v>0</v>
      </c>
      <c r="X994" s="65">
        <v>0</v>
      </c>
      <c r="Y994" s="65">
        <v>0</v>
      </c>
      <c r="Z994" s="65">
        <v>16600.63</v>
      </c>
      <c r="AA994" s="51">
        <v>0</v>
      </c>
      <c r="AB994" s="102">
        <v>0</v>
      </c>
      <c r="AC994" s="81">
        <f t="shared" si="48"/>
        <v>188.61647706093197</v>
      </c>
      <c r="AD994" s="82">
        <f t="shared" si="49"/>
        <v>63.771428571428565</v>
      </c>
      <c r="AE994" s="218">
        <v>0</v>
      </c>
      <c r="AF994">
        <v>0</v>
      </c>
      <c r="AH994" t="str">
        <f t="shared" si="47"/>
        <v>Majhaul</v>
      </c>
      <c r="AJ994" s="72">
        <v>0</v>
      </c>
      <c r="AK994" s="72"/>
      <c r="AL994" s="72"/>
      <c r="AM994" s="72"/>
    </row>
    <row r="995" spans="1:39" x14ac:dyDescent="0.25">
      <c r="A995" s="37" t="s">
        <v>62</v>
      </c>
      <c r="B995" s="66" t="s">
        <v>1638</v>
      </c>
      <c r="C995" s="41">
        <v>1001</v>
      </c>
      <c r="D995" s="41" t="s">
        <v>91</v>
      </c>
      <c r="E995" s="41">
        <v>10010131</v>
      </c>
      <c r="F995" s="85" t="s">
        <v>1151</v>
      </c>
      <c r="G995" s="39" t="s">
        <v>1610</v>
      </c>
      <c r="H995" s="52" t="s">
        <v>98</v>
      </c>
      <c r="I995" s="52">
        <v>870.3</v>
      </c>
      <c r="J995" s="49">
        <v>29950.550000000003</v>
      </c>
      <c r="K995" s="58">
        <v>0</v>
      </c>
      <c r="L995" s="58">
        <v>0</v>
      </c>
      <c r="M995" s="58">
        <v>0</v>
      </c>
      <c r="N995" s="58">
        <v>0</v>
      </c>
      <c r="O995" s="65">
        <v>0</v>
      </c>
      <c r="P995" s="65">
        <v>0</v>
      </c>
      <c r="Q995" s="50">
        <v>29950.550000000003</v>
      </c>
      <c r="R995" s="65">
        <v>0</v>
      </c>
      <c r="S995" s="65">
        <v>0</v>
      </c>
      <c r="T995" s="65">
        <v>0</v>
      </c>
      <c r="U995" s="65">
        <v>0</v>
      </c>
      <c r="V995" s="65">
        <v>0</v>
      </c>
      <c r="W995" s="65">
        <v>0</v>
      </c>
      <c r="X995" s="65">
        <v>0</v>
      </c>
      <c r="Y995" s="65">
        <v>0</v>
      </c>
      <c r="Z995" s="65">
        <v>29950.550000000003</v>
      </c>
      <c r="AA995" s="51">
        <v>0</v>
      </c>
      <c r="AB995" s="102">
        <v>0</v>
      </c>
      <c r="AC995" s="81">
        <f t="shared" si="48"/>
        <v>0</v>
      </c>
      <c r="AD995" s="82">
        <f t="shared" si="49"/>
        <v>0</v>
      </c>
      <c r="AE995" s="218">
        <v>0</v>
      </c>
      <c r="AF995">
        <v>0</v>
      </c>
      <c r="AH995" t="str">
        <f t="shared" si="47"/>
        <v>Majhaul</v>
      </c>
      <c r="AJ995" s="72">
        <v>0</v>
      </c>
      <c r="AK995" s="72"/>
      <c r="AL995" s="72"/>
      <c r="AM995" s="72"/>
    </row>
    <row r="996" spans="1:39" x14ac:dyDescent="0.25">
      <c r="A996" s="37" t="s">
        <v>62</v>
      </c>
      <c r="B996" s="66" t="s">
        <v>1638</v>
      </c>
      <c r="C996" s="41">
        <v>1001</v>
      </c>
      <c r="D996" s="41" t="s">
        <v>91</v>
      </c>
      <c r="E996" s="41">
        <v>10010140</v>
      </c>
      <c r="F996" s="85" t="s">
        <v>1246</v>
      </c>
      <c r="G996" s="39" t="s">
        <v>92</v>
      </c>
      <c r="H996" s="52" t="s">
        <v>93</v>
      </c>
      <c r="I996" s="52">
        <v>222.6</v>
      </c>
      <c r="J996" s="49">
        <v>10174.129999999999</v>
      </c>
      <c r="K996" s="58">
        <v>237.85000000000002</v>
      </c>
      <c r="L996" s="58">
        <v>10854.42</v>
      </c>
      <c r="M996" s="58">
        <v>0</v>
      </c>
      <c r="N996" s="58">
        <v>0</v>
      </c>
      <c r="O996" s="65">
        <v>237.85000000000002</v>
      </c>
      <c r="P996" s="65">
        <v>10854.42</v>
      </c>
      <c r="Q996" s="50">
        <v>10174.129999999999</v>
      </c>
      <c r="R996" s="65">
        <v>0</v>
      </c>
      <c r="S996" s="65">
        <v>0</v>
      </c>
      <c r="T996" s="65">
        <v>680.29000000000087</v>
      </c>
      <c r="U996" s="65">
        <v>0</v>
      </c>
      <c r="V996" s="65">
        <v>0</v>
      </c>
      <c r="W996" s="65">
        <v>0</v>
      </c>
      <c r="X996" s="65">
        <v>10174</v>
      </c>
      <c r="Y996" s="65">
        <v>0</v>
      </c>
      <c r="Z996" s="65">
        <v>0</v>
      </c>
      <c r="AA996" s="51">
        <v>0</v>
      </c>
      <c r="AB996" s="102" t="s">
        <v>1366</v>
      </c>
      <c r="AC996" s="81">
        <f t="shared" si="48"/>
        <v>436.3997899371069</v>
      </c>
      <c r="AD996" s="82">
        <f t="shared" si="49"/>
        <v>31.8</v>
      </c>
      <c r="AE996" s="218">
        <v>-6.6864685235985877E-2</v>
      </c>
      <c r="AF996">
        <v>4</v>
      </c>
      <c r="AH996" t="str">
        <f t="shared" si="47"/>
        <v>Majhaul</v>
      </c>
      <c r="AJ996" s="72">
        <v>0</v>
      </c>
      <c r="AK996" s="72"/>
      <c r="AL996" s="72"/>
      <c r="AM996" s="72"/>
    </row>
    <row r="997" spans="1:39" x14ac:dyDescent="0.25">
      <c r="A997" s="37" t="s">
        <v>62</v>
      </c>
      <c r="B997" s="66" t="s">
        <v>1638</v>
      </c>
      <c r="C997" s="41">
        <v>1001</v>
      </c>
      <c r="D997" s="41" t="s">
        <v>91</v>
      </c>
      <c r="E997" s="41">
        <v>10010141</v>
      </c>
      <c r="F997" s="85" t="s">
        <v>1298</v>
      </c>
      <c r="G997" s="39" t="s">
        <v>92</v>
      </c>
      <c r="H997" s="52" t="s">
        <v>93</v>
      </c>
      <c r="I997" s="111">
        <v>18.3</v>
      </c>
      <c r="J997" s="49">
        <v>700.98</v>
      </c>
      <c r="K997" s="58">
        <v>18.36</v>
      </c>
      <c r="L997" s="58">
        <v>711.2600000000001</v>
      </c>
      <c r="M997" s="58">
        <v>0</v>
      </c>
      <c r="N997" s="58">
        <v>0</v>
      </c>
      <c r="O997" s="65">
        <v>18.36</v>
      </c>
      <c r="P997" s="65">
        <v>711.2600000000001</v>
      </c>
      <c r="Q997" s="50">
        <v>700.98</v>
      </c>
      <c r="R997" s="65">
        <v>0</v>
      </c>
      <c r="S997" s="65">
        <v>0</v>
      </c>
      <c r="T997" s="65">
        <v>10.280000000000086</v>
      </c>
      <c r="U997" s="65">
        <v>0</v>
      </c>
      <c r="V997" s="65">
        <v>500</v>
      </c>
      <c r="W997" s="65">
        <v>0</v>
      </c>
      <c r="X997" s="65">
        <v>201</v>
      </c>
      <c r="Y997" s="65">
        <v>0</v>
      </c>
      <c r="Z997" s="65">
        <v>0</v>
      </c>
      <c r="AA997" s="51">
        <v>0</v>
      </c>
      <c r="AB997" s="102" t="s">
        <v>1366</v>
      </c>
      <c r="AC997" s="81">
        <f t="shared" si="48"/>
        <v>522.24925245901647</v>
      </c>
      <c r="AD997" s="82">
        <f t="shared" si="49"/>
        <v>2.6142857142857143</v>
      </c>
      <c r="AE997" s="218">
        <v>-1.4665183029473146E-2</v>
      </c>
      <c r="AF997">
        <v>4</v>
      </c>
      <c r="AH997" t="str">
        <f t="shared" si="47"/>
        <v>Majhaul</v>
      </c>
      <c r="AJ997" s="72">
        <v>500</v>
      </c>
      <c r="AK997" s="72"/>
      <c r="AL997" s="72"/>
      <c r="AM997" s="72"/>
    </row>
    <row r="998" spans="1:39" x14ac:dyDescent="0.25">
      <c r="A998" s="37" t="s">
        <v>62</v>
      </c>
      <c r="B998" s="66" t="s">
        <v>1638</v>
      </c>
      <c r="C998" s="41">
        <v>1001</v>
      </c>
      <c r="D998" s="41" t="s">
        <v>91</v>
      </c>
      <c r="E998" s="41">
        <v>10010143</v>
      </c>
      <c r="F998" s="85" t="s">
        <v>479</v>
      </c>
      <c r="G998" s="39" t="s">
        <v>92</v>
      </c>
      <c r="H998" s="52" t="s">
        <v>93</v>
      </c>
      <c r="I998" s="52">
        <v>239.4</v>
      </c>
      <c r="J998" s="49">
        <v>7954.92</v>
      </c>
      <c r="K998" s="58">
        <v>237.89999999999998</v>
      </c>
      <c r="L998" s="58">
        <v>7954.9099999999989</v>
      </c>
      <c r="M998" s="58">
        <v>0</v>
      </c>
      <c r="N998" s="58">
        <v>0</v>
      </c>
      <c r="O998" s="65">
        <v>237.89999999999998</v>
      </c>
      <c r="P998" s="65">
        <v>7954.9099999999989</v>
      </c>
      <c r="Q998" s="50">
        <v>7954.9099999999989</v>
      </c>
      <c r="R998" s="65">
        <v>0</v>
      </c>
      <c r="S998" s="65">
        <v>0</v>
      </c>
      <c r="T998" s="65">
        <v>0</v>
      </c>
      <c r="U998" s="65">
        <v>0</v>
      </c>
      <c r="V998" s="65">
        <v>0</v>
      </c>
      <c r="W998" s="65">
        <v>0</v>
      </c>
      <c r="X998" s="65">
        <v>7952</v>
      </c>
      <c r="Y998" s="65">
        <v>0</v>
      </c>
      <c r="Z998" s="65">
        <v>0</v>
      </c>
      <c r="AA998" s="51">
        <v>3</v>
      </c>
      <c r="AB998" s="102">
        <v>0</v>
      </c>
      <c r="AC998" s="81">
        <f t="shared" si="48"/>
        <v>306.10159999999996</v>
      </c>
      <c r="AD998" s="82">
        <f t="shared" si="49"/>
        <v>34.200000000000003</v>
      </c>
      <c r="AE998" s="218">
        <v>1.2570836666022754E-6</v>
      </c>
      <c r="AF998">
        <v>7</v>
      </c>
      <c r="AH998" t="str">
        <f t="shared" si="47"/>
        <v>Majhaul</v>
      </c>
      <c r="AJ998" s="72">
        <v>0</v>
      </c>
      <c r="AK998" s="72"/>
      <c r="AL998" s="72"/>
      <c r="AM998" s="72"/>
    </row>
    <row r="999" spans="1:39" x14ac:dyDescent="0.25">
      <c r="A999" s="37" t="s">
        <v>62</v>
      </c>
      <c r="B999" s="66" t="s">
        <v>1638</v>
      </c>
      <c r="C999" s="41">
        <v>1001</v>
      </c>
      <c r="D999" s="41" t="s">
        <v>91</v>
      </c>
      <c r="E999" s="41">
        <v>10010144</v>
      </c>
      <c r="F999" s="85" t="s">
        <v>1418</v>
      </c>
      <c r="G999" s="39" t="s">
        <v>92</v>
      </c>
      <c r="H999" s="52" t="s">
        <v>93</v>
      </c>
      <c r="I999" s="49">
        <v>96.499999999999986</v>
      </c>
      <c r="J999" s="49">
        <v>3398.9700000000007</v>
      </c>
      <c r="K999" s="58">
        <v>104.07000000000001</v>
      </c>
      <c r="L999" s="58">
        <v>3290.87</v>
      </c>
      <c r="M999" s="58">
        <v>0</v>
      </c>
      <c r="N999" s="58">
        <v>0</v>
      </c>
      <c r="O999" s="65">
        <v>104.07000000000001</v>
      </c>
      <c r="P999" s="65">
        <v>3290.87</v>
      </c>
      <c r="Q999" s="50">
        <v>3290.87</v>
      </c>
      <c r="R999" s="65">
        <v>0</v>
      </c>
      <c r="S999" s="65">
        <v>0</v>
      </c>
      <c r="T999" s="65">
        <v>0</v>
      </c>
      <c r="U999" s="65">
        <v>0</v>
      </c>
      <c r="V999" s="65">
        <v>0</v>
      </c>
      <c r="W999" s="65">
        <v>0</v>
      </c>
      <c r="X999" s="65">
        <v>3291</v>
      </c>
      <c r="Y999" s="65">
        <v>0</v>
      </c>
      <c r="Z999" s="65">
        <v>0</v>
      </c>
      <c r="AA999" s="51">
        <v>108</v>
      </c>
      <c r="AB999" s="102">
        <v>0</v>
      </c>
      <c r="AC999" s="81">
        <f t="shared" si="48"/>
        <v>425.13541865284992</v>
      </c>
      <c r="AD999" s="82">
        <f t="shared" si="49"/>
        <v>13.785714285714283</v>
      </c>
      <c r="AE999" s="218">
        <v>3.1803752313200997E-2</v>
      </c>
      <c r="AF999">
        <v>2</v>
      </c>
      <c r="AH999" t="str">
        <f t="shared" si="47"/>
        <v>Majhaul</v>
      </c>
      <c r="AJ999" s="72">
        <v>0</v>
      </c>
      <c r="AK999" s="72"/>
      <c r="AL999" s="72"/>
      <c r="AM999" s="72"/>
    </row>
    <row r="1000" spans="1:39" x14ac:dyDescent="0.25">
      <c r="A1000" s="37" t="s">
        <v>62</v>
      </c>
      <c r="B1000" s="66" t="s">
        <v>1638</v>
      </c>
      <c r="C1000" s="41">
        <v>1001</v>
      </c>
      <c r="D1000" s="41" t="s">
        <v>91</v>
      </c>
      <c r="E1000" s="41">
        <v>10010145</v>
      </c>
      <c r="F1000" s="85" t="s">
        <v>499</v>
      </c>
      <c r="G1000" s="39" t="s">
        <v>92</v>
      </c>
      <c r="H1000" s="52" t="s">
        <v>93</v>
      </c>
      <c r="I1000" s="52">
        <v>177.79999999999998</v>
      </c>
      <c r="J1000" s="49">
        <v>6896.3899999999994</v>
      </c>
      <c r="K1000" s="58">
        <v>175.39000000000001</v>
      </c>
      <c r="L1000" s="58">
        <v>7413.75</v>
      </c>
      <c r="M1000" s="58">
        <v>1.31</v>
      </c>
      <c r="N1000" s="58">
        <v>50.84</v>
      </c>
      <c r="O1000" s="65">
        <v>176.70000000000002</v>
      </c>
      <c r="P1000" s="65">
        <v>7464.59</v>
      </c>
      <c r="Q1000" s="50">
        <v>6896.3899999999994</v>
      </c>
      <c r="R1000" s="65">
        <v>0</v>
      </c>
      <c r="S1000" s="65">
        <v>50.84</v>
      </c>
      <c r="T1000" s="65">
        <v>568.20000000000073</v>
      </c>
      <c r="U1000" s="65">
        <v>0</v>
      </c>
      <c r="V1000" s="65">
        <v>0</v>
      </c>
      <c r="W1000" s="65">
        <v>0</v>
      </c>
      <c r="X1000" s="65">
        <v>6846</v>
      </c>
      <c r="Y1000" s="65">
        <v>0</v>
      </c>
      <c r="Z1000" s="65">
        <v>0</v>
      </c>
      <c r="AA1000" s="51">
        <v>0</v>
      </c>
      <c r="AB1000" s="102">
        <v>0</v>
      </c>
      <c r="AC1000" s="81">
        <f t="shared" si="48"/>
        <v>405.09503464566922</v>
      </c>
      <c r="AD1000" s="82">
        <f t="shared" si="49"/>
        <v>25.4</v>
      </c>
      <c r="AE1000" s="218">
        <v>-8.2390932067357092E-2</v>
      </c>
      <c r="AF1000">
        <v>7</v>
      </c>
      <c r="AH1000" t="str">
        <f t="shared" si="47"/>
        <v>Majhaul</v>
      </c>
      <c r="AJ1000" s="72">
        <v>0</v>
      </c>
      <c r="AK1000" s="72"/>
      <c r="AL1000" s="72"/>
      <c r="AM1000" s="72"/>
    </row>
    <row r="1001" spans="1:39" x14ac:dyDescent="0.25">
      <c r="A1001" s="37" t="s">
        <v>62</v>
      </c>
      <c r="B1001" s="66" t="s">
        <v>1638</v>
      </c>
      <c r="C1001" s="41">
        <v>1001</v>
      </c>
      <c r="D1001" s="41" t="s">
        <v>91</v>
      </c>
      <c r="E1001" s="41">
        <v>10010146</v>
      </c>
      <c r="F1001" s="85" t="s">
        <v>1419</v>
      </c>
      <c r="G1001" s="39" t="s">
        <v>92</v>
      </c>
      <c r="H1001" s="52" t="s">
        <v>93</v>
      </c>
      <c r="I1001" s="111">
        <v>136.29999999999998</v>
      </c>
      <c r="J1001" s="49">
        <v>5645.96</v>
      </c>
      <c r="K1001" s="58">
        <v>138.01999999999998</v>
      </c>
      <c r="L1001" s="58">
        <v>5813.0499999999993</v>
      </c>
      <c r="M1001" s="58">
        <v>0</v>
      </c>
      <c r="N1001" s="58">
        <v>0</v>
      </c>
      <c r="O1001" s="65">
        <v>138.01999999999998</v>
      </c>
      <c r="P1001" s="65">
        <v>5813.0499999999993</v>
      </c>
      <c r="Q1001" s="50">
        <v>5645.96</v>
      </c>
      <c r="R1001" s="65">
        <v>0</v>
      </c>
      <c r="S1001" s="65">
        <v>0</v>
      </c>
      <c r="T1001" s="65">
        <v>167.08999999999924</v>
      </c>
      <c r="U1001" s="65">
        <v>0</v>
      </c>
      <c r="V1001" s="65">
        <v>0</v>
      </c>
      <c r="W1001" s="65">
        <v>0</v>
      </c>
      <c r="X1001" s="65">
        <v>5646</v>
      </c>
      <c r="Y1001" s="65">
        <v>0</v>
      </c>
      <c r="Z1001" s="65">
        <v>0</v>
      </c>
      <c r="AA1001" s="51">
        <v>0</v>
      </c>
      <c r="AB1001" s="102">
        <v>0</v>
      </c>
      <c r="AC1001" s="81">
        <f t="shared" si="48"/>
        <v>467.00332384446085</v>
      </c>
      <c r="AD1001" s="82">
        <f t="shared" si="49"/>
        <v>19.471428571428568</v>
      </c>
      <c r="AE1001" s="218">
        <v>-2.9594612785070959E-2</v>
      </c>
      <c r="AF1001">
        <v>3</v>
      </c>
      <c r="AH1001" t="str">
        <f t="shared" si="47"/>
        <v>Majhaul</v>
      </c>
      <c r="AJ1001" s="72">
        <v>0</v>
      </c>
      <c r="AK1001" s="72"/>
      <c r="AL1001" s="72"/>
      <c r="AM1001" s="72"/>
    </row>
    <row r="1002" spans="1:39" x14ac:dyDescent="0.25">
      <c r="A1002" s="37" t="s">
        <v>62</v>
      </c>
      <c r="B1002" s="66" t="s">
        <v>1638</v>
      </c>
      <c r="C1002" s="41">
        <v>1001</v>
      </c>
      <c r="D1002" s="41" t="s">
        <v>91</v>
      </c>
      <c r="E1002" s="41">
        <v>10010147</v>
      </c>
      <c r="F1002" s="85" t="s">
        <v>1420</v>
      </c>
      <c r="G1002" s="39" t="s">
        <v>1610</v>
      </c>
      <c r="H1002" s="52" t="s">
        <v>98</v>
      </c>
      <c r="I1002" s="52">
        <v>94.3</v>
      </c>
      <c r="J1002" s="49">
        <v>3860.8499999999995</v>
      </c>
      <c r="K1002" s="58">
        <v>0</v>
      </c>
      <c r="L1002" s="58">
        <v>0</v>
      </c>
      <c r="M1002" s="58">
        <v>0</v>
      </c>
      <c r="N1002" s="58">
        <v>0</v>
      </c>
      <c r="O1002" s="65">
        <v>0</v>
      </c>
      <c r="P1002" s="65">
        <v>0</v>
      </c>
      <c r="Q1002" s="50">
        <v>3860.8499999999995</v>
      </c>
      <c r="R1002" s="65">
        <v>0</v>
      </c>
      <c r="S1002" s="65">
        <v>0</v>
      </c>
      <c r="T1002" s="65">
        <v>0</v>
      </c>
      <c r="U1002" s="65">
        <v>0</v>
      </c>
      <c r="V1002" s="65">
        <v>0</v>
      </c>
      <c r="W1002" s="65">
        <v>0</v>
      </c>
      <c r="X1002" s="65">
        <v>0</v>
      </c>
      <c r="Y1002" s="65">
        <v>0</v>
      </c>
      <c r="Z1002" s="65">
        <v>3860.8499999999995</v>
      </c>
      <c r="AA1002" s="51">
        <v>0</v>
      </c>
      <c r="AB1002" s="102">
        <v>0</v>
      </c>
      <c r="AC1002" s="81">
        <f t="shared" si="48"/>
        <v>495.97388016967119</v>
      </c>
      <c r="AD1002" s="82">
        <f t="shared" si="49"/>
        <v>13.471428571428572</v>
      </c>
      <c r="AE1002" s="218">
        <v>0</v>
      </c>
      <c r="AF1002">
        <v>0</v>
      </c>
      <c r="AH1002" t="str">
        <f t="shared" si="47"/>
        <v>Majhaul</v>
      </c>
      <c r="AJ1002" s="72">
        <v>0</v>
      </c>
      <c r="AK1002" s="72"/>
      <c r="AL1002" s="72"/>
      <c r="AM1002" s="72"/>
    </row>
    <row r="1003" spans="1:39" x14ac:dyDescent="0.25">
      <c r="A1003" s="37" t="s">
        <v>62</v>
      </c>
      <c r="B1003" s="66" t="s">
        <v>1638</v>
      </c>
      <c r="C1003" s="41">
        <v>1001</v>
      </c>
      <c r="D1003" s="41" t="s">
        <v>91</v>
      </c>
      <c r="E1003" s="41">
        <v>10010148</v>
      </c>
      <c r="F1003" s="85" t="s">
        <v>1421</v>
      </c>
      <c r="G1003" s="39" t="s">
        <v>92</v>
      </c>
      <c r="H1003" s="52" t="s">
        <v>93</v>
      </c>
      <c r="I1003" s="49">
        <v>376.8</v>
      </c>
      <c r="J1003" s="49">
        <v>16054.819999999998</v>
      </c>
      <c r="K1003" s="58">
        <v>373.37</v>
      </c>
      <c r="L1003" s="58">
        <v>16176.899999999998</v>
      </c>
      <c r="M1003" s="58">
        <v>5.38</v>
      </c>
      <c r="N1003" s="58">
        <v>223.53000000000003</v>
      </c>
      <c r="O1003" s="65">
        <v>378.75</v>
      </c>
      <c r="P1003" s="65">
        <v>16400.429999999997</v>
      </c>
      <c r="Q1003" s="50">
        <v>16054.819999999998</v>
      </c>
      <c r="R1003" s="65">
        <v>0</v>
      </c>
      <c r="S1003" s="65">
        <v>223.53000000000003</v>
      </c>
      <c r="T1003" s="65">
        <v>345.60999999999876</v>
      </c>
      <c r="U1003" s="65">
        <v>0</v>
      </c>
      <c r="V1003" s="65">
        <v>0</v>
      </c>
      <c r="W1003" s="65">
        <v>0</v>
      </c>
      <c r="X1003" s="65">
        <v>15831</v>
      </c>
      <c r="Y1003" s="65">
        <v>0</v>
      </c>
      <c r="Z1003" s="65">
        <v>0</v>
      </c>
      <c r="AA1003" s="51">
        <v>0</v>
      </c>
      <c r="AB1003" s="102">
        <v>0</v>
      </c>
      <c r="AC1003" s="81">
        <f t="shared" si="48"/>
        <v>275.42026666666663</v>
      </c>
      <c r="AD1003" s="82">
        <f t="shared" si="49"/>
        <v>53.828571428571429</v>
      </c>
      <c r="AE1003" s="218">
        <v>-2.1526868566573702E-2</v>
      </c>
      <c r="AF1003">
        <v>7</v>
      </c>
      <c r="AH1003" t="str">
        <f t="shared" si="47"/>
        <v>Majhaul</v>
      </c>
      <c r="AJ1003" s="72">
        <v>0</v>
      </c>
      <c r="AK1003" s="72"/>
      <c r="AL1003" s="72"/>
      <c r="AM1003" s="72"/>
    </row>
    <row r="1004" spans="1:39" x14ac:dyDescent="0.25">
      <c r="A1004" s="37" t="s">
        <v>62</v>
      </c>
      <c r="B1004" s="66" t="s">
        <v>1638</v>
      </c>
      <c r="C1004" s="41">
        <v>1001</v>
      </c>
      <c r="D1004" s="41" t="s">
        <v>91</v>
      </c>
      <c r="E1004" s="41">
        <v>10010149</v>
      </c>
      <c r="F1004" s="85" t="s">
        <v>1422</v>
      </c>
      <c r="G1004" s="39" t="s">
        <v>92</v>
      </c>
      <c r="H1004" s="52" t="s">
        <v>93</v>
      </c>
      <c r="I1004" s="52">
        <v>268.20000000000005</v>
      </c>
      <c r="J1004" s="49">
        <v>10429.429999999998</v>
      </c>
      <c r="K1004" s="58">
        <v>266.7000000000001</v>
      </c>
      <c r="L1004" s="58">
        <v>10364.839999999998</v>
      </c>
      <c r="M1004" s="58">
        <v>0</v>
      </c>
      <c r="N1004" s="58">
        <v>0</v>
      </c>
      <c r="O1004" s="65">
        <v>266.7000000000001</v>
      </c>
      <c r="P1004" s="65">
        <v>10364.839999999998</v>
      </c>
      <c r="Q1004" s="50">
        <v>10364.839999999998</v>
      </c>
      <c r="R1004" s="65">
        <v>0</v>
      </c>
      <c r="S1004" s="65">
        <v>0</v>
      </c>
      <c r="T1004" s="65">
        <v>0</v>
      </c>
      <c r="U1004" s="65">
        <v>0</v>
      </c>
      <c r="V1004" s="65">
        <v>0</v>
      </c>
      <c r="W1004" s="65">
        <v>0</v>
      </c>
      <c r="X1004" s="65">
        <v>10362</v>
      </c>
      <c r="Y1004" s="65">
        <v>0</v>
      </c>
      <c r="Z1004" s="65">
        <v>0</v>
      </c>
      <c r="AA1004" s="51">
        <v>67</v>
      </c>
      <c r="AB1004" s="102">
        <v>0</v>
      </c>
      <c r="AC1004" s="81">
        <f t="shared" si="48"/>
        <v>335.82609052945548</v>
      </c>
      <c r="AD1004" s="82">
        <f t="shared" si="49"/>
        <v>38.314285714285724</v>
      </c>
      <c r="AE1004" s="218">
        <v>6.1930517775180575E-3</v>
      </c>
      <c r="AF1004">
        <v>6</v>
      </c>
      <c r="AH1004" t="str">
        <f t="shared" ref="AH1004:AH1067" si="50">TEXT(D1004,"0000")</f>
        <v>Majhaul</v>
      </c>
      <c r="AJ1004" s="72">
        <v>0</v>
      </c>
      <c r="AK1004" s="72"/>
      <c r="AL1004" s="72"/>
      <c r="AM1004" s="72"/>
    </row>
    <row r="1005" spans="1:39" x14ac:dyDescent="0.25">
      <c r="A1005" s="37" t="s">
        <v>62</v>
      </c>
      <c r="B1005" s="66" t="s">
        <v>1638</v>
      </c>
      <c r="C1005" s="41">
        <v>1002</v>
      </c>
      <c r="D1005" s="41" t="s">
        <v>103</v>
      </c>
      <c r="E1005" s="41">
        <v>10020002</v>
      </c>
      <c r="F1005" s="85" t="s">
        <v>104</v>
      </c>
      <c r="G1005" s="39" t="s">
        <v>92</v>
      </c>
      <c r="H1005" s="52" t="s">
        <v>93</v>
      </c>
      <c r="I1005" s="52">
        <v>2298.0000000000005</v>
      </c>
      <c r="J1005" s="49">
        <v>107651.41999999997</v>
      </c>
      <c r="K1005" s="58">
        <v>1400.9</v>
      </c>
      <c r="L1005" s="58">
        <v>66014.930000000008</v>
      </c>
      <c r="M1005" s="58">
        <v>897</v>
      </c>
      <c r="N1005" s="58">
        <v>42245.610000000008</v>
      </c>
      <c r="O1005" s="65">
        <v>2297.9</v>
      </c>
      <c r="P1005" s="65">
        <v>108260.54000000001</v>
      </c>
      <c r="Q1005" s="50">
        <v>107651.41999999997</v>
      </c>
      <c r="R1005" s="65">
        <v>0</v>
      </c>
      <c r="S1005" s="65">
        <v>1055.5200000000002</v>
      </c>
      <c r="T1005" s="65">
        <v>609.120000000039</v>
      </c>
      <c r="U1005" s="65">
        <v>0</v>
      </c>
      <c r="V1005" s="65">
        <v>0</v>
      </c>
      <c r="W1005" s="65">
        <v>0</v>
      </c>
      <c r="X1005" s="65">
        <v>65406</v>
      </c>
      <c r="Y1005" s="65">
        <v>41190</v>
      </c>
      <c r="Z1005" s="65">
        <v>0</v>
      </c>
      <c r="AA1005" s="51">
        <v>0</v>
      </c>
      <c r="AB1005" s="102">
        <v>0</v>
      </c>
      <c r="AC1005" s="81">
        <f t="shared" si="48"/>
        <v>0</v>
      </c>
      <c r="AD1005" s="82">
        <f t="shared" si="49"/>
        <v>0</v>
      </c>
      <c r="AE1005" s="218">
        <v>-5.6582625663464461E-3</v>
      </c>
      <c r="AF1005">
        <v>14</v>
      </c>
      <c r="AH1005" t="str">
        <f t="shared" si="50"/>
        <v>Laldiyara</v>
      </c>
      <c r="AJ1005" s="72">
        <v>0</v>
      </c>
      <c r="AK1005" s="72"/>
      <c r="AL1005" s="72"/>
      <c r="AM1005" s="72"/>
    </row>
    <row r="1006" spans="1:39" x14ac:dyDescent="0.25">
      <c r="A1006" s="37" t="s">
        <v>62</v>
      </c>
      <c r="B1006" s="66" t="s">
        <v>1638</v>
      </c>
      <c r="C1006" s="41">
        <v>1002</v>
      </c>
      <c r="D1006" s="41" t="s">
        <v>103</v>
      </c>
      <c r="E1006" s="41">
        <v>10020004</v>
      </c>
      <c r="F1006" s="85" t="s">
        <v>105</v>
      </c>
      <c r="G1006" s="39" t="s">
        <v>92</v>
      </c>
      <c r="H1006" s="52" t="s">
        <v>93</v>
      </c>
      <c r="I1006" s="52">
        <v>577.00000000000011</v>
      </c>
      <c r="J1006" s="49">
        <v>23470.170000000002</v>
      </c>
      <c r="K1006" s="58">
        <v>576.4</v>
      </c>
      <c r="L1006" s="58">
        <v>23621.26</v>
      </c>
      <c r="M1006" s="58">
        <v>0</v>
      </c>
      <c r="N1006" s="58">
        <v>0</v>
      </c>
      <c r="O1006" s="65">
        <v>576.4</v>
      </c>
      <c r="P1006" s="65">
        <v>23621.26</v>
      </c>
      <c r="Q1006" s="50">
        <v>23470.170000000002</v>
      </c>
      <c r="R1006" s="65">
        <v>0</v>
      </c>
      <c r="S1006" s="65">
        <v>0</v>
      </c>
      <c r="T1006" s="65">
        <v>151.08999999999651</v>
      </c>
      <c r="U1006" s="65">
        <v>0</v>
      </c>
      <c r="V1006" s="65">
        <v>0</v>
      </c>
      <c r="W1006" s="65">
        <v>0</v>
      </c>
      <c r="X1006" s="65">
        <v>23470</v>
      </c>
      <c r="Y1006" s="65">
        <v>0</v>
      </c>
      <c r="Z1006" s="65">
        <v>0</v>
      </c>
      <c r="AA1006" s="51">
        <v>0</v>
      </c>
      <c r="AB1006" s="102">
        <v>0</v>
      </c>
      <c r="AC1006" s="81">
        <f t="shared" si="48"/>
        <v>100.06346308492189</v>
      </c>
      <c r="AD1006" s="82">
        <f t="shared" si="49"/>
        <v>82.428571428571445</v>
      </c>
      <c r="AE1006" s="218">
        <v>-6.4375332603043133E-3</v>
      </c>
      <c r="AF1006">
        <v>1</v>
      </c>
      <c r="AH1006" t="str">
        <f t="shared" si="50"/>
        <v>Laldiyara</v>
      </c>
      <c r="AJ1006" s="72">
        <v>0</v>
      </c>
      <c r="AK1006" s="72"/>
      <c r="AL1006" s="72"/>
      <c r="AM1006" s="72"/>
    </row>
    <row r="1007" spans="1:39" x14ac:dyDescent="0.25">
      <c r="A1007" s="37" t="s">
        <v>62</v>
      </c>
      <c r="B1007" s="66" t="s">
        <v>1638</v>
      </c>
      <c r="C1007" s="41">
        <v>1002</v>
      </c>
      <c r="D1007" s="41" t="s">
        <v>103</v>
      </c>
      <c r="E1007" s="41">
        <v>10020006</v>
      </c>
      <c r="F1007" s="85" t="s">
        <v>107</v>
      </c>
      <c r="G1007" s="39" t="s">
        <v>1610</v>
      </c>
      <c r="H1007" s="52" t="s">
        <v>98</v>
      </c>
      <c r="I1007" s="52">
        <v>175.4</v>
      </c>
      <c r="J1007" s="49">
        <v>6932.1100000000006</v>
      </c>
      <c r="K1007" s="58">
        <v>0</v>
      </c>
      <c r="L1007" s="58">
        <v>0</v>
      </c>
      <c r="M1007" s="58">
        <v>0</v>
      </c>
      <c r="N1007" s="58">
        <v>0</v>
      </c>
      <c r="O1007" s="65">
        <v>0</v>
      </c>
      <c r="P1007" s="65">
        <v>0</v>
      </c>
      <c r="Q1007" s="50">
        <v>6932.1100000000006</v>
      </c>
      <c r="R1007" s="65">
        <v>0</v>
      </c>
      <c r="S1007" s="65">
        <v>0</v>
      </c>
      <c r="T1007" s="65">
        <v>0</v>
      </c>
      <c r="U1007" s="65">
        <v>0</v>
      </c>
      <c r="V1007" s="65">
        <v>0</v>
      </c>
      <c r="W1007" s="65">
        <v>0</v>
      </c>
      <c r="X1007" s="65">
        <v>0</v>
      </c>
      <c r="Y1007" s="65">
        <v>0</v>
      </c>
      <c r="Z1007" s="65">
        <v>6932.1100000000006</v>
      </c>
      <c r="AA1007" s="51">
        <v>0</v>
      </c>
      <c r="AB1007" s="102">
        <v>0</v>
      </c>
      <c r="AC1007" s="81">
        <f t="shared" si="48"/>
        <v>414.66190490307878</v>
      </c>
      <c r="AD1007" s="82">
        <f t="shared" si="49"/>
        <v>25.057142857142857</v>
      </c>
      <c r="AE1007" s="218">
        <v>0</v>
      </c>
      <c r="AF1007">
        <v>0</v>
      </c>
      <c r="AH1007" t="str">
        <f t="shared" si="50"/>
        <v>Laldiyara</v>
      </c>
      <c r="AJ1007" s="72">
        <v>0</v>
      </c>
      <c r="AK1007" s="72"/>
      <c r="AL1007" s="72"/>
      <c r="AM1007" s="72"/>
    </row>
    <row r="1008" spans="1:39" x14ac:dyDescent="0.25">
      <c r="A1008" s="37" t="s">
        <v>62</v>
      </c>
      <c r="B1008" s="66" t="s">
        <v>1638</v>
      </c>
      <c r="C1008" s="41">
        <v>1002</v>
      </c>
      <c r="D1008" s="41" t="s">
        <v>103</v>
      </c>
      <c r="E1008" s="41">
        <v>10020007</v>
      </c>
      <c r="F1008" s="85" t="s">
        <v>108</v>
      </c>
      <c r="G1008" s="39" t="s">
        <v>1610</v>
      </c>
      <c r="H1008" s="52" t="s">
        <v>98</v>
      </c>
      <c r="I1008" s="52">
        <v>118.6</v>
      </c>
      <c r="J1008" s="49">
        <v>4452.04</v>
      </c>
      <c r="K1008" s="58">
        <v>0</v>
      </c>
      <c r="L1008" s="58">
        <v>0</v>
      </c>
      <c r="M1008" s="58">
        <v>0</v>
      </c>
      <c r="N1008" s="58">
        <v>0</v>
      </c>
      <c r="O1008" s="65">
        <v>0</v>
      </c>
      <c r="P1008" s="65">
        <v>0</v>
      </c>
      <c r="Q1008" s="50">
        <v>4452.04</v>
      </c>
      <c r="R1008" s="65">
        <v>0</v>
      </c>
      <c r="S1008" s="65">
        <v>0</v>
      </c>
      <c r="T1008" s="65">
        <v>0</v>
      </c>
      <c r="U1008" s="65">
        <v>0</v>
      </c>
      <c r="V1008" s="65">
        <v>0</v>
      </c>
      <c r="W1008" s="65">
        <v>0</v>
      </c>
      <c r="X1008" s="65">
        <v>0</v>
      </c>
      <c r="Y1008" s="65">
        <v>0</v>
      </c>
      <c r="Z1008" s="65">
        <v>4452.04</v>
      </c>
      <c r="AA1008" s="51">
        <v>0</v>
      </c>
      <c r="AB1008" s="102">
        <v>0</v>
      </c>
      <c r="AC1008" s="81">
        <f t="shared" si="48"/>
        <v>436.49511905564918</v>
      </c>
      <c r="AD1008" s="82">
        <f t="shared" si="49"/>
        <v>16.942857142857143</v>
      </c>
      <c r="AE1008" s="218">
        <v>0</v>
      </c>
      <c r="AF1008">
        <v>0</v>
      </c>
      <c r="AH1008" t="str">
        <f t="shared" si="50"/>
        <v>Laldiyara</v>
      </c>
      <c r="AJ1008" s="72">
        <v>0</v>
      </c>
      <c r="AK1008" s="72"/>
      <c r="AL1008" s="72"/>
      <c r="AM1008" s="72"/>
    </row>
    <row r="1009" spans="1:39" x14ac:dyDescent="0.25">
      <c r="A1009" s="37" t="s">
        <v>62</v>
      </c>
      <c r="B1009" s="66" t="s">
        <v>1638</v>
      </c>
      <c r="C1009" s="41">
        <v>1002</v>
      </c>
      <c r="D1009" s="41" t="s">
        <v>103</v>
      </c>
      <c r="E1009" s="41">
        <v>10020008</v>
      </c>
      <c r="F1009" s="85" t="s">
        <v>109</v>
      </c>
      <c r="G1009" s="39" t="s">
        <v>1610</v>
      </c>
      <c r="H1009" s="52" t="s">
        <v>98</v>
      </c>
      <c r="I1009" s="52">
        <v>1791.1000000000001</v>
      </c>
      <c r="J1009" s="49">
        <v>75586.819999999992</v>
      </c>
      <c r="K1009" s="58">
        <v>0</v>
      </c>
      <c r="L1009" s="58">
        <v>0</v>
      </c>
      <c r="M1009" s="58">
        <v>0</v>
      </c>
      <c r="N1009" s="58">
        <v>0</v>
      </c>
      <c r="O1009" s="65">
        <v>0</v>
      </c>
      <c r="P1009" s="65">
        <v>0</v>
      </c>
      <c r="Q1009" s="50">
        <v>75586.819999999992</v>
      </c>
      <c r="R1009" s="65">
        <v>0</v>
      </c>
      <c r="S1009" s="65">
        <v>0</v>
      </c>
      <c r="T1009" s="65">
        <v>0</v>
      </c>
      <c r="U1009" s="65">
        <v>0</v>
      </c>
      <c r="V1009" s="65">
        <v>0</v>
      </c>
      <c r="W1009" s="65">
        <v>0</v>
      </c>
      <c r="X1009" s="65">
        <v>0</v>
      </c>
      <c r="Y1009" s="65">
        <v>0</v>
      </c>
      <c r="Z1009" s="65">
        <v>75586.819999999992</v>
      </c>
      <c r="AA1009" s="51">
        <v>0</v>
      </c>
      <c r="AB1009" s="102">
        <v>0</v>
      </c>
      <c r="AC1009" s="81">
        <f t="shared" si="48"/>
        <v>0</v>
      </c>
      <c r="AD1009" s="82">
        <f t="shared" si="49"/>
        <v>0</v>
      </c>
      <c r="AE1009" s="218">
        <v>0</v>
      </c>
      <c r="AF1009">
        <v>0</v>
      </c>
      <c r="AH1009" t="str">
        <f t="shared" si="50"/>
        <v>Laldiyara</v>
      </c>
      <c r="AJ1009" s="72">
        <v>0</v>
      </c>
      <c r="AK1009" s="72"/>
      <c r="AL1009" s="72"/>
      <c r="AM1009" s="72"/>
    </row>
    <row r="1010" spans="1:39" x14ac:dyDescent="0.25">
      <c r="A1010" s="37" t="s">
        <v>62</v>
      </c>
      <c r="B1010" s="66" t="s">
        <v>1638</v>
      </c>
      <c r="C1010" s="41">
        <v>1002</v>
      </c>
      <c r="D1010" s="41" t="s">
        <v>103</v>
      </c>
      <c r="E1010" s="41">
        <v>10020010</v>
      </c>
      <c r="F1010" s="85" t="s">
        <v>1206</v>
      </c>
      <c r="G1010" s="39" t="s">
        <v>92</v>
      </c>
      <c r="H1010" s="52" t="s">
        <v>93</v>
      </c>
      <c r="I1010" s="52">
        <v>136.1</v>
      </c>
      <c r="J1010" s="49">
        <v>5682.79</v>
      </c>
      <c r="K1010" s="58">
        <v>136.10000000000002</v>
      </c>
      <c r="L1010" s="58">
        <v>5683.75</v>
      </c>
      <c r="M1010" s="58">
        <v>0.5</v>
      </c>
      <c r="N1010" s="58">
        <v>20.170000000000002</v>
      </c>
      <c r="O1010" s="65">
        <v>136.60000000000002</v>
      </c>
      <c r="P1010" s="65">
        <v>5703.92</v>
      </c>
      <c r="Q1010" s="50">
        <v>5682.79</v>
      </c>
      <c r="R1010" s="65">
        <v>0</v>
      </c>
      <c r="S1010" s="65">
        <v>20.170000000000002</v>
      </c>
      <c r="T1010" s="65">
        <v>21.130000000000109</v>
      </c>
      <c r="U1010" s="65">
        <v>0</v>
      </c>
      <c r="V1010" s="65">
        <v>0</v>
      </c>
      <c r="W1010" s="65">
        <v>0</v>
      </c>
      <c r="X1010" s="65">
        <v>5663</v>
      </c>
      <c r="Y1010" s="65">
        <v>0</v>
      </c>
      <c r="Z1010" s="65">
        <v>0</v>
      </c>
      <c r="AA1010" s="51">
        <v>0</v>
      </c>
      <c r="AB1010" s="102">
        <v>0</v>
      </c>
      <c r="AC1010" s="81">
        <f t="shared" si="48"/>
        <v>470.90746230712716</v>
      </c>
      <c r="AD1010" s="82">
        <f t="shared" si="49"/>
        <v>19.442857142857143</v>
      </c>
      <c r="AE1010" s="218">
        <v>-3.7182440315408644E-3</v>
      </c>
      <c r="AF1010">
        <v>4</v>
      </c>
      <c r="AH1010" t="str">
        <f t="shared" si="50"/>
        <v>Laldiyara</v>
      </c>
      <c r="AJ1010" s="72">
        <v>0</v>
      </c>
      <c r="AK1010" s="72"/>
      <c r="AL1010" s="72"/>
      <c r="AM1010" s="72"/>
    </row>
    <row r="1011" spans="1:39" x14ac:dyDescent="0.25">
      <c r="A1011" s="37" t="s">
        <v>62</v>
      </c>
      <c r="B1011" s="66" t="s">
        <v>1638</v>
      </c>
      <c r="C1011" s="41">
        <v>1002</v>
      </c>
      <c r="D1011" s="41" t="s">
        <v>103</v>
      </c>
      <c r="E1011" s="41">
        <v>10020013</v>
      </c>
      <c r="F1011" s="85" t="s">
        <v>597</v>
      </c>
      <c r="G1011" s="39" t="s">
        <v>1610</v>
      </c>
      <c r="H1011" s="52" t="s">
        <v>98</v>
      </c>
      <c r="I1011" s="52">
        <v>1563.9</v>
      </c>
      <c r="J1011" s="49">
        <v>61483.890000000007</v>
      </c>
      <c r="K1011" s="58">
        <v>0</v>
      </c>
      <c r="L1011" s="58">
        <v>0</v>
      </c>
      <c r="M1011" s="58">
        <v>0</v>
      </c>
      <c r="N1011" s="58">
        <v>0</v>
      </c>
      <c r="O1011" s="65">
        <v>0</v>
      </c>
      <c r="P1011" s="65">
        <v>0</v>
      </c>
      <c r="Q1011" s="50">
        <v>61483.890000000007</v>
      </c>
      <c r="R1011" s="65">
        <v>0</v>
      </c>
      <c r="S1011" s="65">
        <v>0</v>
      </c>
      <c r="T1011" s="65">
        <v>0</v>
      </c>
      <c r="U1011" s="65">
        <v>0</v>
      </c>
      <c r="V1011" s="65">
        <v>0</v>
      </c>
      <c r="W1011" s="65">
        <v>0</v>
      </c>
      <c r="X1011" s="65">
        <v>0</v>
      </c>
      <c r="Y1011" s="65">
        <v>0</v>
      </c>
      <c r="Z1011" s="65">
        <v>61483.890000000007</v>
      </c>
      <c r="AA1011" s="51">
        <v>0</v>
      </c>
      <c r="AB1011" s="102">
        <v>0</v>
      </c>
      <c r="AC1011" s="81">
        <f t="shared" si="48"/>
        <v>0</v>
      </c>
      <c r="AD1011" s="82">
        <f t="shared" si="49"/>
        <v>0</v>
      </c>
      <c r="AE1011" s="218">
        <v>0</v>
      </c>
      <c r="AF1011">
        <v>0</v>
      </c>
      <c r="AH1011" t="str">
        <f t="shared" si="50"/>
        <v>Laldiyara</v>
      </c>
      <c r="AJ1011" s="72">
        <v>0</v>
      </c>
      <c r="AK1011" s="72"/>
      <c r="AL1011" s="72"/>
      <c r="AM1011" s="72"/>
    </row>
    <row r="1012" spans="1:39" x14ac:dyDescent="0.25">
      <c r="A1012" s="37" t="s">
        <v>62</v>
      </c>
      <c r="B1012" s="66" t="s">
        <v>1638</v>
      </c>
      <c r="C1012" s="41">
        <v>1002</v>
      </c>
      <c r="D1012" s="41" t="s">
        <v>103</v>
      </c>
      <c r="E1012" s="41">
        <v>10020015</v>
      </c>
      <c r="F1012" s="85" t="s">
        <v>110</v>
      </c>
      <c r="G1012" s="39" t="s">
        <v>1610</v>
      </c>
      <c r="H1012" s="52" t="s">
        <v>98</v>
      </c>
      <c r="I1012" s="52">
        <v>31364.099999999995</v>
      </c>
      <c r="J1012" s="49">
        <v>1275241.2499999998</v>
      </c>
      <c r="K1012" s="58">
        <v>0</v>
      </c>
      <c r="L1012" s="58">
        <v>0</v>
      </c>
      <c r="M1012" s="58">
        <v>0</v>
      </c>
      <c r="N1012" s="58">
        <v>0</v>
      </c>
      <c r="O1012" s="65">
        <v>0</v>
      </c>
      <c r="P1012" s="65">
        <v>0</v>
      </c>
      <c r="Q1012" s="50">
        <v>1275241.2499999998</v>
      </c>
      <c r="R1012" s="65">
        <v>0</v>
      </c>
      <c r="S1012" s="65">
        <v>0</v>
      </c>
      <c r="T1012" s="65">
        <v>0</v>
      </c>
      <c r="U1012" s="65">
        <v>0</v>
      </c>
      <c r="V1012" s="65">
        <v>0</v>
      </c>
      <c r="W1012" s="65">
        <v>0</v>
      </c>
      <c r="X1012" s="65">
        <v>0</v>
      </c>
      <c r="Y1012" s="65">
        <v>0</v>
      </c>
      <c r="Z1012" s="65">
        <v>1275241.2499999998</v>
      </c>
      <c r="AA1012" s="51">
        <v>0</v>
      </c>
      <c r="AB1012" s="102">
        <v>0</v>
      </c>
      <c r="AC1012" s="81">
        <f t="shared" si="48"/>
        <v>0</v>
      </c>
      <c r="AD1012" s="82">
        <f t="shared" si="49"/>
        <v>0</v>
      </c>
      <c r="AE1012" s="218">
        <v>0</v>
      </c>
      <c r="AF1012">
        <v>0</v>
      </c>
      <c r="AH1012" t="str">
        <f t="shared" si="50"/>
        <v>Laldiyara</v>
      </c>
      <c r="AJ1012" s="72">
        <v>0</v>
      </c>
      <c r="AK1012" s="72"/>
      <c r="AL1012" s="72"/>
      <c r="AM1012" s="72"/>
    </row>
    <row r="1013" spans="1:39" x14ac:dyDescent="0.25">
      <c r="A1013" s="37" t="s">
        <v>62</v>
      </c>
      <c r="B1013" s="66" t="s">
        <v>1638</v>
      </c>
      <c r="C1013" s="41">
        <v>1002</v>
      </c>
      <c r="D1013" s="41" t="s">
        <v>103</v>
      </c>
      <c r="E1013" s="41">
        <v>10020016</v>
      </c>
      <c r="F1013" s="85" t="s">
        <v>111</v>
      </c>
      <c r="G1013" s="39" t="s">
        <v>1610</v>
      </c>
      <c r="H1013" s="52" t="s">
        <v>98</v>
      </c>
      <c r="I1013" s="52">
        <v>31350.099999999995</v>
      </c>
      <c r="J1013" s="49">
        <v>1274667.1099999999</v>
      </c>
      <c r="K1013" s="58">
        <v>0</v>
      </c>
      <c r="L1013" s="58">
        <v>0</v>
      </c>
      <c r="M1013" s="58">
        <v>0</v>
      </c>
      <c r="N1013" s="58">
        <v>0</v>
      </c>
      <c r="O1013" s="65">
        <v>0</v>
      </c>
      <c r="P1013" s="65">
        <v>0</v>
      </c>
      <c r="Q1013" s="50">
        <v>1274667.1099999999</v>
      </c>
      <c r="R1013" s="65">
        <v>0</v>
      </c>
      <c r="S1013" s="65">
        <v>0</v>
      </c>
      <c r="T1013" s="65">
        <v>0</v>
      </c>
      <c r="U1013" s="65">
        <v>0</v>
      </c>
      <c r="V1013" s="65">
        <v>0</v>
      </c>
      <c r="W1013" s="65">
        <v>0</v>
      </c>
      <c r="X1013" s="65">
        <v>0</v>
      </c>
      <c r="Y1013" s="65">
        <v>0</v>
      </c>
      <c r="Z1013" s="65">
        <v>1274667.1099999999</v>
      </c>
      <c r="AA1013" s="51">
        <v>0</v>
      </c>
      <c r="AB1013" s="102">
        <v>0</v>
      </c>
      <c r="AC1013" s="81">
        <f t="shared" si="48"/>
        <v>0</v>
      </c>
      <c r="AD1013" s="82">
        <f t="shared" si="49"/>
        <v>0</v>
      </c>
      <c r="AE1013" s="218">
        <v>0</v>
      </c>
      <c r="AF1013">
        <v>0</v>
      </c>
      <c r="AH1013" t="str">
        <f t="shared" si="50"/>
        <v>Laldiyara</v>
      </c>
      <c r="AJ1013" s="72">
        <v>0</v>
      </c>
      <c r="AK1013" s="72"/>
      <c r="AL1013" s="72"/>
      <c r="AM1013" s="72"/>
    </row>
    <row r="1014" spans="1:39" x14ac:dyDescent="0.25">
      <c r="A1014" s="37" t="s">
        <v>62</v>
      </c>
      <c r="B1014" s="66" t="s">
        <v>1638</v>
      </c>
      <c r="C1014" s="41">
        <v>1002</v>
      </c>
      <c r="D1014" s="41" t="s">
        <v>103</v>
      </c>
      <c r="E1014" s="41">
        <v>10020017</v>
      </c>
      <c r="F1014" s="85" t="s">
        <v>112</v>
      </c>
      <c r="G1014" s="39" t="s">
        <v>92</v>
      </c>
      <c r="H1014" s="52" t="s">
        <v>93</v>
      </c>
      <c r="I1014" s="52">
        <v>3535.4</v>
      </c>
      <c r="J1014" s="49">
        <v>150295.38999999998</v>
      </c>
      <c r="K1014" s="58">
        <v>3860.9000000000005</v>
      </c>
      <c r="L1014" s="58">
        <v>148475.63999999998</v>
      </c>
      <c r="M1014" s="58">
        <v>31.900000000000006</v>
      </c>
      <c r="N1014" s="58">
        <v>1463.26</v>
      </c>
      <c r="O1014" s="65">
        <v>3892.8000000000006</v>
      </c>
      <c r="P1014" s="65">
        <v>149938.9</v>
      </c>
      <c r="Q1014" s="50">
        <v>149938.9</v>
      </c>
      <c r="R1014" s="65">
        <v>0</v>
      </c>
      <c r="S1014" s="65">
        <v>1463.26</v>
      </c>
      <c r="T1014" s="65">
        <v>0</v>
      </c>
      <c r="U1014" s="65">
        <v>0</v>
      </c>
      <c r="V1014" s="65">
        <v>0</v>
      </c>
      <c r="W1014" s="65">
        <v>0</v>
      </c>
      <c r="X1014" s="65">
        <v>148477</v>
      </c>
      <c r="Y1014" s="65">
        <v>0</v>
      </c>
      <c r="Z1014" s="65">
        <v>0</v>
      </c>
      <c r="AA1014" s="51">
        <v>355</v>
      </c>
      <c r="AB1014" s="102">
        <v>0</v>
      </c>
      <c r="AC1014" s="81">
        <f t="shared" si="48"/>
        <v>0</v>
      </c>
      <c r="AD1014" s="82">
        <f t="shared" si="49"/>
        <v>0</v>
      </c>
      <c r="AE1014" s="218">
        <v>2.3719290392073284E-3</v>
      </c>
      <c r="AF1014">
        <v>64</v>
      </c>
      <c r="AH1014" t="str">
        <f t="shared" si="50"/>
        <v>Laldiyara</v>
      </c>
      <c r="AJ1014" s="72">
        <v>0</v>
      </c>
      <c r="AK1014" s="72"/>
      <c r="AL1014" s="72"/>
      <c r="AM1014" s="72"/>
    </row>
    <row r="1015" spans="1:39" x14ac:dyDescent="0.25">
      <c r="A1015" s="37" t="s">
        <v>62</v>
      </c>
      <c r="B1015" s="66" t="s">
        <v>1638</v>
      </c>
      <c r="C1015" s="41">
        <v>1002</v>
      </c>
      <c r="D1015" s="41" t="s">
        <v>103</v>
      </c>
      <c r="E1015" s="41">
        <v>10020021</v>
      </c>
      <c r="F1015" s="85" t="s">
        <v>113</v>
      </c>
      <c r="G1015" s="39" t="s">
        <v>92</v>
      </c>
      <c r="H1015" s="52" t="s">
        <v>93</v>
      </c>
      <c r="I1015" s="111">
        <v>3895.1</v>
      </c>
      <c r="J1015" s="49">
        <v>167954.55999999997</v>
      </c>
      <c r="K1015" s="58">
        <v>3724.2</v>
      </c>
      <c r="L1015" s="58">
        <v>160116.81</v>
      </c>
      <c r="M1015" s="58">
        <v>248.60000000000002</v>
      </c>
      <c r="N1015" s="58">
        <v>10448.799999999999</v>
      </c>
      <c r="O1015" s="65">
        <v>3972.7999999999997</v>
      </c>
      <c r="P1015" s="65">
        <v>170565.61</v>
      </c>
      <c r="Q1015" s="50">
        <v>167954.55999999997</v>
      </c>
      <c r="R1015" s="65">
        <v>0</v>
      </c>
      <c r="S1015" s="65">
        <v>1858.7299999999998</v>
      </c>
      <c r="T1015" s="65">
        <v>2611.0500000000175</v>
      </c>
      <c r="U1015" s="65">
        <v>0</v>
      </c>
      <c r="V1015" s="65">
        <v>0</v>
      </c>
      <c r="W1015" s="65">
        <v>0</v>
      </c>
      <c r="X1015" s="65">
        <v>157505</v>
      </c>
      <c r="Y1015" s="65">
        <v>8591</v>
      </c>
      <c r="Z1015" s="65">
        <v>0</v>
      </c>
      <c r="AA1015" s="51">
        <v>0</v>
      </c>
      <c r="AB1015" s="102">
        <v>0</v>
      </c>
      <c r="AC1015" s="81">
        <f t="shared" si="48"/>
        <v>0</v>
      </c>
      <c r="AD1015" s="82">
        <f t="shared" si="49"/>
        <v>0</v>
      </c>
      <c r="AE1015" s="218">
        <v>-1.5546169154323752E-2</v>
      </c>
      <c r="AF1015">
        <v>28</v>
      </c>
      <c r="AH1015" t="str">
        <f t="shared" si="50"/>
        <v>Laldiyara</v>
      </c>
      <c r="AJ1015" s="72">
        <v>0</v>
      </c>
      <c r="AK1015" s="72"/>
      <c r="AL1015" s="72"/>
      <c r="AM1015" s="72"/>
    </row>
    <row r="1016" spans="1:39" x14ac:dyDescent="0.25">
      <c r="A1016" s="37" t="s">
        <v>62</v>
      </c>
      <c r="B1016" s="66" t="s">
        <v>1638</v>
      </c>
      <c r="C1016" s="41">
        <v>1002</v>
      </c>
      <c r="D1016" s="41" t="s">
        <v>103</v>
      </c>
      <c r="E1016" s="41">
        <v>10020023</v>
      </c>
      <c r="F1016" s="85" t="s">
        <v>115</v>
      </c>
      <c r="G1016" s="39" t="s">
        <v>92</v>
      </c>
      <c r="H1016" s="52" t="s">
        <v>93</v>
      </c>
      <c r="I1016" s="52">
        <v>969.8</v>
      </c>
      <c r="J1016" s="49">
        <v>39147.519999999997</v>
      </c>
      <c r="K1016" s="58">
        <v>952.50000000000023</v>
      </c>
      <c r="L1016" s="58">
        <v>36988.970000000008</v>
      </c>
      <c r="M1016" s="58">
        <v>9.2999999999999989</v>
      </c>
      <c r="N1016" s="58">
        <v>352.96</v>
      </c>
      <c r="O1016" s="65">
        <v>961.80000000000018</v>
      </c>
      <c r="P1016" s="65">
        <v>37341.930000000008</v>
      </c>
      <c r="Q1016" s="50">
        <v>37341.930000000008</v>
      </c>
      <c r="R1016" s="65">
        <v>0</v>
      </c>
      <c r="S1016" s="65">
        <v>352.96</v>
      </c>
      <c r="T1016" s="65">
        <v>0</v>
      </c>
      <c r="U1016" s="65">
        <v>0</v>
      </c>
      <c r="V1016" s="65">
        <v>0</v>
      </c>
      <c r="W1016" s="65">
        <v>0</v>
      </c>
      <c r="X1016" s="65">
        <v>36991</v>
      </c>
      <c r="Y1016" s="65">
        <v>0</v>
      </c>
      <c r="Z1016" s="65">
        <v>0</v>
      </c>
      <c r="AA1016" s="51">
        <v>1804</v>
      </c>
      <c r="AB1016" s="102">
        <v>0</v>
      </c>
      <c r="AC1016" s="81">
        <f t="shared" si="48"/>
        <v>0</v>
      </c>
      <c r="AD1016" s="82">
        <f t="shared" si="49"/>
        <v>0</v>
      </c>
      <c r="AE1016" s="218">
        <v>4.6122717352210033E-2</v>
      </c>
      <c r="AF1016">
        <v>24</v>
      </c>
      <c r="AH1016" t="str">
        <f t="shared" si="50"/>
        <v>Laldiyara</v>
      </c>
      <c r="AJ1016" s="72">
        <v>0</v>
      </c>
      <c r="AK1016" s="72"/>
      <c r="AL1016" s="72"/>
      <c r="AM1016" s="72"/>
    </row>
    <row r="1017" spans="1:39" x14ac:dyDescent="0.25">
      <c r="A1017" s="37" t="s">
        <v>62</v>
      </c>
      <c r="B1017" s="66" t="s">
        <v>1638</v>
      </c>
      <c r="C1017" s="41">
        <v>1002</v>
      </c>
      <c r="D1017" s="41" t="s">
        <v>103</v>
      </c>
      <c r="E1017" s="41">
        <v>10020024</v>
      </c>
      <c r="F1017" s="85" t="s">
        <v>116</v>
      </c>
      <c r="G1017" s="39" t="s">
        <v>92</v>
      </c>
      <c r="H1017" s="52" t="s">
        <v>93</v>
      </c>
      <c r="I1017" s="49">
        <v>2723.7</v>
      </c>
      <c r="J1017" s="49">
        <v>113229.84000000003</v>
      </c>
      <c r="K1017" s="58">
        <v>2688.5499999999993</v>
      </c>
      <c r="L1017" s="58">
        <v>112580.37000000004</v>
      </c>
      <c r="M1017" s="58">
        <v>0</v>
      </c>
      <c r="N1017" s="58">
        <v>0</v>
      </c>
      <c r="O1017" s="65">
        <v>2688.5499999999993</v>
      </c>
      <c r="P1017" s="65">
        <v>112580.37000000004</v>
      </c>
      <c r="Q1017" s="50">
        <v>112580.37000000004</v>
      </c>
      <c r="R1017" s="65">
        <v>0</v>
      </c>
      <c r="S1017" s="65">
        <v>0</v>
      </c>
      <c r="T1017" s="65">
        <v>0</v>
      </c>
      <c r="U1017" s="65">
        <v>0</v>
      </c>
      <c r="V1017" s="65">
        <v>0</v>
      </c>
      <c r="W1017" s="65">
        <v>0</v>
      </c>
      <c r="X1017" s="65">
        <v>112579</v>
      </c>
      <c r="Y1017" s="65">
        <v>0</v>
      </c>
      <c r="Z1017" s="65">
        <v>0</v>
      </c>
      <c r="AA1017" s="51">
        <v>651</v>
      </c>
      <c r="AB1017" s="102">
        <v>0</v>
      </c>
      <c r="AC1017" s="81">
        <f t="shared" si="48"/>
        <v>0</v>
      </c>
      <c r="AD1017" s="82">
        <f t="shared" si="49"/>
        <v>0</v>
      </c>
      <c r="AE1017" s="218">
        <v>5.7358554953357392E-3</v>
      </c>
      <c r="AF1017">
        <v>66</v>
      </c>
      <c r="AH1017" t="str">
        <f t="shared" si="50"/>
        <v>Laldiyara</v>
      </c>
      <c r="AJ1017" s="72">
        <v>0</v>
      </c>
      <c r="AK1017" s="72"/>
      <c r="AL1017" s="72"/>
      <c r="AM1017" s="72"/>
    </row>
    <row r="1018" spans="1:39" x14ac:dyDescent="0.25">
      <c r="A1018" s="37" t="s">
        <v>62</v>
      </c>
      <c r="B1018" s="66" t="s">
        <v>1638</v>
      </c>
      <c r="C1018" s="41">
        <v>1002</v>
      </c>
      <c r="D1018" s="41" t="s">
        <v>103</v>
      </c>
      <c r="E1018" s="41">
        <v>10020025</v>
      </c>
      <c r="F1018" s="85" t="s">
        <v>117</v>
      </c>
      <c r="G1018" s="39" t="s">
        <v>92</v>
      </c>
      <c r="H1018" s="52" t="s">
        <v>93</v>
      </c>
      <c r="I1018" s="52">
        <v>960.90000000000009</v>
      </c>
      <c r="J1018" s="49">
        <v>40049.220000000008</v>
      </c>
      <c r="K1018" s="58">
        <v>949.26</v>
      </c>
      <c r="L1018" s="58">
        <v>39065.53</v>
      </c>
      <c r="M1018" s="58">
        <v>10.93</v>
      </c>
      <c r="N1018" s="58">
        <v>456.15999999999997</v>
      </c>
      <c r="O1018" s="65">
        <v>960.18999999999994</v>
      </c>
      <c r="P1018" s="65">
        <v>39521.69</v>
      </c>
      <c r="Q1018" s="50">
        <v>39521.69</v>
      </c>
      <c r="R1018" s="65">
        <v>0</v>
      </c>
      <c r="S1018" s="65">
        <v>456.15999999999997</v>
      </c>
      <c r="T1018" s="65">
        <v>0</v>
      </c>
      <c r="U1018" s="65">
        <v>0</v>
      </c>
      <c r="V1018" s="65">
        <v>0</v>
      </c>
      <c r="W1018" s="65">
        <v>0</v>
      </c>
      <c r="X1018" s="65">
        <v>39065</v>
      </c>
      <c r="Y1018" s="65">
        <v>0</v>
      </c>
      <c r="Z1018" s="65">
        <v>0</v>
      </c>
      <c r="AA1018" s="51">
        <v>528</v>
      </c>
      <c r="AB1018" s="102">
        <v>0</v>
      </c>
      <c r="AC1018" s="81">
        <f t="shared" si="48"/>
        <v>0</v>
      </c>
      <c r="AD1018" s="82">
        <f t="shared" si="49"/>
        <v>0</v>
      </c>
      <c r="AE1018" s="218">
        <v>1.3172041802562097E-2</v>
      </c>
      <c r="AF1018">
        <v>19</v>
      </c>
      <c r="AH1018" t="str">
        <f t="shared" si="50"/>
        <v>Laldiyara</v>
      </c>
      <c r="AJ1018" s="72">
        <v>0</v>
      </c>
      <c r="AK1018" s="72"/>
      <c r="AL1018" s="72"/>
      <c r="AM1018" s="72"/>
    </row>
    <row r="1019" spans="1:39" x14ac:dyDescent="0.25">
      <c r="A1019" s="37" t="s">
        <v>62</v>
      </c>
      <c r="B1019" s="66" t="s">
        <v>1638</v>
      </c>
      <c r="C1019" s="41">
        <v>1002</v>
      </c>
      <c r="D1019" s="41" t="s">
        <v>103</v>
      </c>
      <c r="E1019" s="41">
        <v>10020026</v>
      </c>
      <c r="F1019" s="85" t="s">
        <v>118</v>
      </c>
      <c r="G1019" s="39" t="s">
        <v>92</v>
      </c>
      <c r="H1019" s="52" t="s">
        <v>93</v>
      </c>
      <c r="I1019" s="52">
        <v>505.00000000000006</v>
      </c>
      <c r="J1019" s="49">
        <v>20882.550000000003</v>
      </c>
      <c r="K1019" s="58">
        <v>516</v>
      </c>
      <c r="L1019" s="58">
        <v>21085.960000000003</v>
      </c>
      <c r="M1019" s="58">
        <v>1.1100000000000001</v>
      </c>
      <c r="N1019" s="58">
        <v>45.31</v>
      </c>
      <c r="O1019" s="65">
        <v>517.11</v>
      </c>
      <c r="P1019" s="65">
        <v>21131.270000000004</v>
      </c>
      <c r="Q1019" s="50">
        <v>20882.550000000003</v>
      </c>
      <c r="R1019" s="65">
        <v>0</v>
      </c>
      <c r="S1019" s="65">
        <v>45.31</v>
      </c>
      <c r="T1019" s="65">
        <v>248.72000000000116</v>
      </c>
      <c r="U1019" s="65">
        <v>0</v>
      </c>
      <c r="V1019" s="65">
        <v>0</v>
      </c>
      <c r="W1019" s="65">
        <v>0</v>
      </c>
      <c r="X1019" s="65">
        <v>20837</v>
      </c>
      <c r="Y1019" s="65">
        <v>0</v>
      </c>
      <c r="Z1019" s="65">
        <v>0</v>
      </c>
      <c r="AA1019" s="51">
        <v>0</v>
      </c>
      <c r="AB1019" s="102">
        <v>0</v>
      </c>
      <c r="AC1019" s="81">
        <f t="shared" si="48"/>
        <v>161.27117821782173</v>
      </c>
      <c r="AD1019" s="82">
        <f t="shared" si="49"/>
        <v>72.142857142857153</v>
      </c>
      <c r="AE1019" s="218">
        <v>-1.191042281713685E-2</v>
      </c>
      <c r="AF1019">
        <v>5</v>
      </c>
      <c r="AH1019" t="str">
        <f t="shared" si="50"/>
        <v>Laldiyara</v>
      </c>
      <c r="AJ1019" s="72">
        <v>0</v>
      </c>
      <c r="AK1019" s="72"/>
      <c r="AL1019" s="72"/>
      <c r="AM1019" s="72"/>
    </row>
    <row r="1020" spans="1:39" x14ac:dyDescent="0.25">
      <c r="A1020" s="37" t="s">
        <v>62</v>
      </c>
      <c r="B1020" s="66" t="s">
        <v>1638</v>
      </c>
      <c r="C1020" s="41">
        <v>1002</v>
      </c>
      <c r="D1020" s="41" t="s">
        <v>103</v>
      </c>
      <c r="E1020" s="41">
        <v>10020027</v>
      </c>
      <c r="F1020" s="85" t="s">
        <v>119</v>
      </c>
      <c r="G1020" s="39" t="s">
        <v>92</v>
      </c>
      <c r="H1020" s="52" t="s">
        <v>93</v>
      </c>
      <c r="I1020" s="52">
        <v>688.5</v>
      </c>
      <c r="J1020" s="49">
        <v>29534.61</v>
      </c>
      <c r="K1020" s="58">
        <v>687.40000000000009</v>
      </c>
      <c r="L1020" s="58">
        <v>29212.84</v>
      </c>
      <c r="M1020" s="58">
        <v>0</v>
      </c>
      <c r="N1020" s="58">
        <v>0</v>
      </c>
      <c r="O1020" s="65">
        <v>687.40000000000009</v>
      </c>
      <c r="P1020" s="65">
        <v>29212.84</v>
      </c>
      <c r="Q1020" s="50">
        <v>29212.84</v>
      </c>
      <c r="R1020" s="65">
        <v>0</v>
      </c>
      <c r="S1020" s="65">
        <v>0</v>
      </c>
      <c r="T1020" s="65">
        <v>0</v>
      </c>
      <c r="U1020" s="65">
        <v>0</v>
      </c>
      <c r="V1020" s="65">
        <v>0</v>
      </c>
      <c r="W1020" s="65">
        <v>0</v>
      </c>
      <c r="X1020" s="65">
        <v>29213</v>
      </c>
      <c r="Y1020" s="65">
        <v>0</v>
      </c>
      <c r="Z1020" s="65">
        <v>0</v>
      </c>
      <c r="AA1020" s="51">
        <v>322</v>
      </c>
      <c r="AB1020" s="102">
        <v>0</v>
      </c>
      <c r="AC1020" s="81">
        <f t="shared" si="48"/>
        <v>9.8663185185184954</v>
      </c>
      <c r="AD1020" s="82">
        <f t="shared" si="49"/>
        <v>98.357142857142861</v>
      </c>
      <c r="AE1020" s="218">
        <v>1.0894675771916421E-2</v>
      </c>
      <c r="AF1020">
        <v>1</v>
      </c>
      <c r="AH1020" t="str">
        <f t="shared" si="50"/>
        <v>Laldiyara</v>
      </c>
      <c r="AJ1020" s="72">
        <v>0</v>
      </c>
      <c r="AK1020" s="72"/>
      <c r="AL1020" s="72"/>
      <c r="AM1020" s="72"/>
    </row>
    <row r="1021" spans="1:39" x14ac:dyDescent="0.25">
      <c r="A1021" s="37" t="s">
        <v>62</v>
      </c>
      <c r="B1021" s="66" t="s">
        <v>1638</v>
      </c>
      <c r="C1021" s="41">
        <v>1002</v>
      </c>
      <c r="D1021" s="41" t="s">
        <v>103</v>
      </c>
      <c r="E1021" s="41">
        <v>10020029</v>
      </c>
      <c r="F1021" s="85" t="s">
        <v>120</v>
      </c>
      <c r="G1021" s="39" t="s">
        <v>92</v>
      </c>
      <c r="H1021" s="52" t="s">
        <v>93</v>
      </c>
      <c r="I1021" s="52">
        <v>346.40000000000003</v>
      </c>
      <c r="J1021" s="49">
        <v>14330.609999999999</v>
      </c>
      <c r="K1021" s="58">
        <v>343.84000000000003</v>
      </c>
      <c r="L1021" s="58">
        <v>15133.329999999998</v>
      </c>
      <c r="M1021" s="58">
        <v>1.66</v>
      </c>
      <c r="N1021" s="58">
        <v>69.2</v>
      </c>
      <c r="O1021" s="65">
        <v>345.50000000000006</v>
      </c>
      <c r="P1021" s="65">
        <v>15202.529999999999</v>
      </c>
      <c r="Q1021" s="50">
        <v>14330.609999999999</v>
      </c>
      <c r="R1021" s="65">
        <v>0</v>
      </c>
      <c r="S1021" s="65">
        <v>69.2</v>
      </c>
      <c r="T1021" s="65">
        <v>871.92000000000007</v>
      </c>
      <c r="U1021" s="65">
        <v>0</v>
      </c>
      <c r="V1021" s="65">
        <v>0</v>
      </c>
      <c r="W1021" s="65">
        <v>0</v>
      </c>
      <c r="X1021" s="65">
        <v>14261</v>
      </c>
      <c r="Y1021" s="65">
        <v>0</v>
      </c>
      <c r="Z1021" s="65">
        <v>0</v>
      </c>
      <c r="AA1021" s="51">
        <v>0</v>
      </c>
      <c r="AB1021" s="102" t="s">
        <v>1366</v>
      </c>
      <c r="AC1021" s="81">
        <f t="shared" si="48"/>
        <v>292.56949745958423</v>
      </c>
      <c r="AD1021" s="82">
        <f t="shared" si="49"/>
        <v>49.485714285714288</v>
      </c>
      <c r="AE1021" s="218">
        <v>-6.0843188112718168E-2</v>
      </c>
      <c r="AF1021">
        <v>5</v>
      </c>
      <c r="AH1021" t="str">
        <f t="shared" si="50"/>
        <v>Laldiyara</v>
      </c>
      <c r="AJ1021" s="72">
        <v>0</v>
      </c>
      <c r="AK1021" s="72"/>
      <c r="AL1021" s="72"/>
      <c r="AM1021" s="72"/>
    </row>
    <row r="1022" spans="1:39" x14ac:dyDescent="0.25">
      <c r="A1022" s="37" t="s">
        <v>62</v>
      </c>
      <c r="B1022" s="66" t="s">
        <v>1638</v>
      </c>
      <c r="C1022" s="41">
        <v>1002</v>
      </c>
      <c r="D1022" s="41" t="s">
        <v>103</v>
      </c>
      <c r="E1022" s="41">
        <v>10020032</v>
      </c>
      <c r="F1022" s="85" t="s">
        <v>121</v>
      </c>
      <c r="G1022" s="39" t="s">
        <v>92</v>
      </c>
      <c r="H1022" s="52" t="s">
        <v>93</v>
      </c>
      <c r="I1022" s="52">
        <v>1361.9</v>
      </c>
      <c r="J1022" s="49">
        <v>61715.89</v>
      </c>
      <c r="K1022" s="58">
        <v>1350.28</v>
      </c>
      <c r="L1022" s="58">
        <v>59790.780000000006</v>
      </c>
      <c r="M1022" s="58">
        <v>13.61</v>
      </c>
      <c r="N1022" s="58">
        <v>636.67999999999995</v>
      </c>
      <c r="O1022" s="65">
        <v>1363.8899999999999</v>
      </c>
      <c r="P1022" s="65">
        <v>60427.460000000006</v>
      </c>
      <c r="Q1022" s="50">
        <v>60427.460000000006</v>
      </c>
      <c r="R1022" s="65">
        <v>0</v>
      </c>
      <c r="S1022" s="65">
        <v>636.67999999999995</v>
      </c>
      <c r="T1022" s="65">
        <v>0</v>
      </c>
      <c r="U1022" s="65">
        <v>0</v>
      </c>
      <c r="V1022" s="65">
        <v>0</v>
      </c>
      <c r="W1022" s="65">
        <v>0</v>
      </c>
      <c r="X1022" s="65">
        <v>59793</v>
      </c>
      <c r="Y1022" s="65">
        <v>0</v>
      </c>
      <c r="Z1022" s="65">
        <v>0</v>
      </c>
      <c r="AA1022" s="51">
        <v>1286</v>
      </c>
      <c r="AB1022" s="102">
        <v>0</v>
      </c>
      <c r="AC1022" s="81">
        <f t="shared" si="48"/>
        <v>0</v>
      </c>
      <c r="AD1022" s="82">
        <f t="shared" si="49"/>
        <v>0</v>
      </c>
      <c r="AE1022" s="218">
        <v>2.0876795262937845E-2</v>
      </c>
      <c r="AF1022">
        <v>20</v>
      </c>
      <c r="AH1022" t="str">
        <f t="shared" si="50"/>
        <v>Laldiyara</v>
      </c>
      <c r="AJ1022" s="72">
        <v>0</v>
      </c>
      <c r="AK1022" s="72"/>
      <c r="AL1022" s="72"/>
      <c r="AM1022" s="72"/>
    </row>
    <row r="1023" spans="1:39" x14ac:dyDescent="0.25">
      <c r="A1023" s="37" t="s">
        <v>62</v>
      </c>
      <c r="B1023" s="66" t="s">
        <v>1638</v>
      </c>
      <c r="C1023" s="41">
        <v>1002</v>
      </c>
      <c r="D1023" s="41" t="s">
        <v>103</v>
      </c>
      <c r="E1023" s="41">
        <v>10020034</v>
      </c>
      <c r="F1023" s="85" t="s">
        <v>122</v>
      </c>
      <c r="G1023" s="39" t="s">
        <v>92</v>
      </c>
      <c r="H1023" s="52" t="s">
        <v>93</v>
      </c>
      <c r="I1023" s="52">
        <v>931.8</v>
      </c>
      <c r="J1023" s="49">
        <v>42203.069999999992</v>
      </c>
      <c r="K1023" s="58">
        <v>916.00000000000011</v>
      </c>
      <c r="L1023" s="58">
        <v>39261.81</v>
      </c>
      <c r="M1023" s="58">
        <v>10.27</v>
      </c>
      <c r="N1023" s="58">
        <v>396.58000000000004</v>
      </c>
      <c r="O1023" s="65">
        <v>926.2700000000001</v>
      </c>
      <c r="P1023" s="65">
        <v>39658.39</v>
      </c>
      <c r="Q1023" s="50">
        <v>39658.39</v>
      </c>
      <c r="R1023" s="65">
        <v>0</v>
      </c>
      <c r="S1023" s="65">
        <v>396.58000000000004</v>
      </c>
      <c r="T1023" s="65">
        <v>0</v>
      </c>
      <c r="U1023" s="65">
        <v>0</v>
      </c>
      <c r="V1023" s="65">
        <v>0</v>
      </c>
      <c r="W1023" s="65">
        <v>0</v>
      </c>
      <c r="X1023" s="65">
        <v>39261</v>
      </c>
      <c r="Y1023" s="65">
        <v>0</v>
      </c>
      <c r="Z1023" s="65">
        <v>0</v>
      </c>
      <c r="AA1023" s="51">
        <v>2545</v>
      </c>
      <c r="AB1023" s="102">
        <v>0</v>
      </c>
      <c r="AC1023" s="81">
        <f t="shared" si="48"/>
        <v>0</v>
      </c>
      <c r="AD1023" s="82">
        <f t="shared" si="49"/>
        <v>0</v>
      </c>
      <c r="AE1023" s="218">
        <v>6.0296087464726936E-2</v>
      </c>
      <c r="AF1023">
        <v>23</v>
      </c>
      <c r="AH1023" t="str">
        <f t="shared" si="50"/>
        <v>Laldiyara</v>
      </c>
      <c r="AJ1023" s="72">
        <v>0</v>
      </c>
      <c r="AK1023" s="72"/>
      <c r="AL1023" s="72"/>
      <c r="AM1023" s="72"/>
    </row>
    <row r="1024" spans="1:39" x14ac:dyDescent="0.25">
      <c r="A1024" s="37" t="s">
        <v>62</v>
      </c>
      <c r="B1024" s="66" t="s">
        <v>1638</v>
      </c>
      <c r="C1024" s="41">
        <v>1002</v>
      </c>
      <c r="D1024" s="41" t="s">
        <v>103</v>
      </c>
      <c r="E1024" s="41">
        <v>10020035</v>
      </c>
      <c r="F1024" s="85" t="s">
        <v>123</v>
      </c>
      <c r="G1024" s="39" t="s">
        <v>92</v>
      </c>
      <c r="H1024" s="52" t="s">
        <v>93</v>
      </c>
      <c r="I1024" s="52">
        <v>1572</v>
      </c>
      <c r="J1024" s="49">
        <v>68344.359999999986</v>
      </c>
      <c r="K1024" s="58">
        <v>1496.8999999999999</v>
      </c>
      <c r="L1024" s="58">
        <v>65342.020000000004</v>
      </c>
      <c r="M1024" s="58">
        <v>54.800000000000004</v>
      </c>
      <c r="N1024" s="58">
        <v>2372.4799999999996</v>
      </c>
      <c r="O1024" s="65">
        <v>1551.6999999999998</v>
      </c>
      <c r="P1024" s="65">
        <v>67714.5</v>
      </c>
      <c r="Q1024" s="50">
        <v>67714.5</v>
      </c>
      <c r="R1024" s="65">
        <v>0</v>
      </c>
      <c r="S1024" s="65">
        <v>2030.0499999999997</v>
      </c>
      <c r="T1024" s="65">
        <v>0</v>
      </c>
      <c r="U1024" s="65">
        <v>0</v>
      </c>
      <c r="V1024" s="65">
        <v>0</v>
      </c>
      <c r="W1024" s="65">
        <v>0</v>
      </c>
      <c r="X1024" s="65">
        <v>65342</v>
      </c>
      <c r="Y1024" s="65">
        <v>342</v>
      </c>
      <c r="Z1024" s="65">
        <v>0</v>
      </c>
      <c r="AA1024" s="51">
        <v>630</v>
      </c>
      <c r="AB1024" s="102">
        <v>0</v>
      </c>
      <c r="AC1024" s="81">
        <f t="shared" si="48"/>
        <v>0</v>
      </c>
      <c r="AD1024" s="82">
        <f t="shared" si="49"/>
        <v>0</v>
      </c>
      <c r="AE1024" s="218">
        <v>9.2159762707557172E-3</v>
      </c>
      <c r="AF1024">
        <v>7</v>
      </c>
      <c r="AH1024" t="str">
        <f t="shared" si="50"/>
        <v>Laldiyara</v>
      </c>
      <c r="AJ1024" s="72">
        <v>0</v>
      </c>
      <c r="AK1024" s="72"/>
      <c r="AL1024" s="72"/>
      <c r="AM1024" s="72"/>
    </row>
    <row r="1025" spans="1:39" x14ac:dyDescent="0.25">
      <c r="A1025" s="37" t="s">
        <v>62</v>
      </c>
      <c r="B1025" s="66" t="s">
        <v>1638</v>
      </c>
      <c r="C1025" s="41">
        <v>1002</v>
      </c>
      <c r="D1025" s="41" t="s">
        <v>103</v>
      </c>
      <c r="E1025" s="41">
        <v>10020038</v>
      </c>
      <c r="F1025" s="85" t="s">
        <v>124</v>
      </c>
      <c r="G1025" s="39" t="s">
        <v>92</v>
      </c>
      <c r="H1025" s="52" t="s">
        <v>93</v>
      </c>
      <c r="I1025" s="52">
        <v>616.90000000000009</v>
      </c>
      <c r="J1025" s="49">
        <v>26696.03</v>
      </c>
      <c r="K1025" s="58">
        <v>611.44000000000005</v>
      </c>
      <c r="L1025" s="58">
        <v>25416.390000000003</v>
      </c>
      <c r="M1025" s="58">
        <v>5.87</v>
      </c>
      <c r="N1025" s="58">
        <v>247.23</v>
      </c>
      <c r="O1025" s="65">
        <v>617.31000000000006</v>
      </c>
      <c r="P1025" s="65">
        <v>25663.620000000003</v>
      </c>
      <c r="Q1025" s="50">
        <v>25663.620000000003</v>
      </c>
      <c r="R1025" s="65">
        <v>0</v>
      </c>
      <c r="S1025" s="65">
        <v>247.23</v>
      </c>
      <c r="T1025" s="65">
        <v>0</v>
      </c>
      <c r="U1025" s="65">
        <v>0</v>
      </c>
      <c r="V1025" s="65">
        <v>0</v>
      </c>
      <c r="W1025" s="65">
        <v>0</v>
      </c>
      <c r="X1025" s="65">
        <v>25417</v>
      </c>
      <c r="Y1025" s="65">
        <v>0</v>
      </c>
      <c r="Z1025" s="65">
        <v>0</v>
      </c>
      <c r="AA1025" s="51">
        <v>1032</v>
      </c>
      <c r="AB1025" s="102">
        <v>0</v>
      </c>
      <c r="AC1025" s="81">
        <f t="shared" ref="AC1025:AC1088" si="51">((IF(AD1025=0,0,100-AD1025))*7*(J1025/I1025))*2%</f>
        <v>71.922194618252419</v>
      </c>
      <c r="AD1025" s="82">
        <f t="shared" ref="AD1025:AD1088" si="52">IF((I1025/7)&gt;100,0,(I1025/7))</f>
        <v>88.128571428571448</v>
      </c>
      <c r="AE1025" s="218">
        <v>3.8672791422544713E-2</v>
      </c>
      <c r="AF1025">
        <v>13</v>
      </c>
      <c r="AH1025" t="str">
        <f t="shared" si="50"/>
        <v>Laldiyara</v>
      </c>
      <c r="AJ1025" s="72">
        <v>0</v>
      </c>
      <c r="AK1025" s="72"/>
      <c r="AL1025" s="72"/>
      <c r="AM1025" s="72"/>
    </row>
    <row r="1026" spans="1:39" x14ac:dyDescent="0.25">
      <c r="A1026" s="37" t="s">
        <v>62</v>
      </c>
      <c r="B1026" s="66" t="s">
        <v>1638</v>
      </c>
      <c r="C1026" s="41">
        <v>1002</v>
      </c>
      <c r="D1026" s="41" t="s">
        <v>103</v>
      </c>
      <c r="E1026" s="41">
        <v>10020041</v>
      </c>
      <c r="F1026" s="85" t="s">
        <v>125</v>
      </c>
      <c r="G1026" s="39" t="s">
        <v>92</v>
      </c>
      <c r="H1026" s="52" t="s">
        <v>93</v>
      </c>
      <c r="I1026" s="52">
        <v>237.5</v>
      </c>
      <c r="J1026" s="49">
        <v>12307.390000000001</v>
      </c>
      <c r="K1026" s="58">
        <v>235.56</v>
      </c>
      <c r="L1026" s="58">
        <v>11965.17</v>
      </c>
      <c r="M1026" s="58">
        <v>2.4700000000000002</v>
      </c>
      <c r="N1026" s="58">
        <v>106.51</v>
      </c>
      <c r="O1026" s="65">
        <v>238.03</v>
      </c>
      <c r="P1026" s="65">
        <v>12071.68</v>
      </c>
      <c r="Q1026" s="50">
        <v>12071.68</v>
      </c>
      <c r="R1026" s="65">
        <v>0</v>
      </c>
      <c r="S1026" s="65">
        <v>106.51</v>
      </c>
      <c r="T1026" s="65">
        <v>0</v>
      </c>
      <c r="U1026" s="65">
        <v>0</v>
      </c>
      <c r="V1026" s="65">
        <v>500</v>
      </c>
      <c r="W1026" s="65">
        <v>0</v>
      </c>
      <c r="X1026" s="65">
        <v>11465</v>
      </c>
      <c r="Y1026" s="65">
        <v>0</v>
      </c>
      <c r="Z1026" s="65">
        <v>0</v>
      </c>
      <c r="AA1026" s="51">
        <v>236</v>
      </c>
      <c r="AB1026" s="102">
        <v>0</v>
      </c>
      <c r="AC1026" s="81">
        <f t="shared" si="51"/>
        <v>479.34045263157901</v>
      </c>
      <c r="AD1026" s="82">
        <f t="shared" si="52"/>
        <v>33.928571428571431</v>
      </c>
      <c r="AE1026" s="218">
        <v>1.9151907918738328E-2</v>
      </c>
      <c r="AF1026">
        <v>7</v>
      </c>
      <c r="AH1026" t="str">
        <f t="shared" si="50"/>
        <v>Laldiyara</v>
      </c>
      <c r="AJ1026" s="72">
        <v>500</v>
      </c>
      <c r="AK1026" s="72"/>
      <c r="AL1026" s="72"/>
      <c r="AM1026" s="72"/>
    </row>
    <row r="1027" spans="1:39" x14ac:dyDescent="0.25">
      <c r="A1027" s="37" t="s">
        <v>62</v>
      </c>
      <c r="B1027" s="66" t="s">
        <v>1638</v>
      </c>
      <c r="C1027" s="41">
        <v>1002</v>
      </c>
      <c r="D1027" s="41" t="s">
        <v>103</v>
      </c>
      <c r="E1027" s="41">
        <v>10020042</v>
      </c>
      <c r="F1027" s="85" t="s">
        <v>126</v>
      </c>
      <c r="G1027" s="39" t="s">
        <v>92</v>
      </c>
      <c r="H1027" s="52" t="s">
        <v>93</v>
      </c>
      <c r="I1027" s="52">
        <v>726.2</v>
      </c>
      <c r="J1027" s="49">
        <v>27782.2</v>
      </c>
      <c r="K1027" s="58">
        <v>726.2</v>
      </c>
      <c r="L1027" s="58">
        <v>27791.010000000002</v>
      </c>
      <c r="M1027" s="58">
        <v>0</v>
      </c>
      <c r="N1027" s="58">
        <v>0</v>
      </c>
      <c r="O1027" s="65">
        <v>726.2</v>
      </c>
      <c r="P1027" s="65">
        <v>27791.010000000002</v>
      </c>
      <c r="Q1027" s="50">
        <v>27782.2</v>
      </c>
      <c r="R1027" s="65">
        <v>0</v>
      </c>
      <c r="S1027" s="65">
        <v>0</v>
      </c>
      <c r="T1027" s="65">
        <v>8.8100000000013097</v>
      </c>
      <c r="U1027" s="65">
        <v>0</v>
      </c>
      <c r="V1027" s="65">
        <v>0</v>
      </c>
      <c r="W1027" s="65">
        <v>0</v>
      </c>
      <c r="X1027" s="65">
        <v>27782</v>
      </c>
      <c r="Y1027" s="65">
        <v>0</v>
      </c>
      <c r="Z1027" s="65">
        <v>0</v>
      </c>
      <c r="AA1027" s="51">
        <v>0</v>
      </c>
      <c r="AB1027" s="102">
        <v>0</v>
      </c>
      <c r="AC1027" s="81">
        <f t="shared" si="51"/>
        <v>0</v>
      </c>
      <c r="AD1027" s="82">
        <f t="shared" si="52"/>
        <v>0</v>
      </c>
      <c r="AE1027" s="218">
        <v>-3.1710951616507367E-4</v>
      </c>
      <c r="AF1027">
        <v>1</v>
      </c>
      <c r="AH1027" t="str">
        <f t="shared" si="50"/>
        <v>Laldiyara</v>
      </c>
      <c r="AJ1027" s="72">
        <v>0</v>
      </c>
      <c r="AK1027" s="72"/>
      <c r="AL1027" s="72"/>
      <c r="AM1027" s="72"/>
    </row>
    <row r="1028" spans="1:39" x14ac:dyDescent="0.25">
      <c r="A1028" s="37" t="s">
        <v>62</v>
      </c>
      <c r="B1028" s="66" t="s">
        <v>1638</v>
      </c>
      <c r="C1028" s="41">
        <v>1002</v>
      </c>
      <c r="D1028" s="41" t="s">
        <v>103</v>
      </c>
      <c r="E1028" s="41">
        <v>10020043</v>
      </c>
      <c r="F1028" s="85" t="s">
        <v>598</v>
      </c>
      <c r="G1028" s="39" t="s">
        <v>92</v>
      </c>
      <c r="H1028" s="52" t="s">
        <v>93</v>
      </c>
      <c r="I1028" s="52">
        <v>830.6</v>
      </c>
      <c r="J1028" s="49">
        <v>37268.33</v>
      </c>
      <c r="K1028" s="58">
        <v>824.8399999999998</v>
      </c>
      <c r="L1028" s="58">
        <v>37295.840000000004</v>
      </c>
      <c r="M1028" s="58">
        <v>12.770000000000001</v>
      </c>
      <c r="N1028" s="58">
        <v>553.54999999999995</v>
      </c>
      <c r="O1028" s="65">
        <v>837.60999999999979</v>
      </c>
      <c r="P1028" s="65">
        <v>37849.390000000007</v>
      </c>
      <c r="Q1028" s="50">
        <v>37268.33</v>
      </c>
      <c r="R1028" s="65">
        <v>0</v>
      </c>
      <c r="S1028" s="65">
        <v>553.54999999999995</v>
      </c>
      <c r="T1028" s="65">
        <v>581.06000000000495</v>
      </c>
      <c r="U1028" s="65">
        <v>0</v>
      </c>
      <c r="V1028" s="65">
        <v>0</v>
      </c>
      <c r="W1028" s="65">
        <v>0</v>
      </c>
      <c r="X1028" s="65">
        <v>36715</v>
      </c>
      <c r="Y1028" s="65">
        <v>0</v>
      </c>
      <c r="Z1028" s="65">
        <v>0</v>
      </c>
      <c r="AA1028" s="51">
        <v>0</v>
      </c>
      <c r="AB1028" s="102">
        <v>0</v>
      </c>
      <c r="AC1028" s="81">
        <f t="shared" si="51"/>
        <v>0</v>
      </c>
      <c r="AD1028" s="82">
        <f t="shared" si="52"/>
        <v>0</v>
      </c>
      <c r="AE1028" s="218">
        <v>-1.5591254021846563E-2</v>
      </c>
      <c r="AF1028">
        <v>8</v>
      </c>
      <c r="AH1028" t="str">
        <f t="shared" si="50"/>
        <v>Laldiyara</v>
      </c>
      <c r="AJ1028" s="72">
        <v>0</v>
      </c>
      <c r="AK1028" s="72"/>
      <c r="AL1028" s="72"/>
      <c r="AM1028" s="72"/>
    </row>
    <row r="1029" spans="1:39" x14ac:dyDescent="0.25">
      <c r="A1029" s="37" t="s">
        <v>62</v>
      </c>
      <c r="B1029" s="66" t="s">
        <v>1638</v>
      </c>
      <c r="C1029" s="41">
        <v>1002</v>
      </c>
      <c r="D1029" s="41" t="s">
        <v>103</v>
      </c>
      <c r="E1029" s="41">
        <v>10020044</v>
      </c>
      <c r="F1029" s="85" t="s">
        <v>127</v>
      </c>
      <c r="G1029" s="39" t="s">
        <v>92</v>
      </c>
      <c r="H1029" s="52" t="s">
        <v>93</v>
      </c>
      <c r="I1029" s="52">
        <v>1342.3000000000002</v>
      </c>
      <c r="J1029" s="49">
        <v>61456.61</v>
      </c>
      <c r="K1029" s="58">
        <v>1312.9199999999996</v>
      </c>
      <c r="L1029" s="58">
        <v>58436.869999999988</v>
      </c>
      <c r="M1029" s="58">
        <v>23.28</v>
      </c>
      <c r="N1029" s="58">
        <v>1166.4900000000002</v>
      </c>
      <c r="O1029" s="65">
        <v>1336.1999999999996</v>
      </c>
      <c r="P1029" s="65">
        <v>59603.359999999986</v>
      </c>
      <c r="Q1029" s="50">
        <v>59603.359999999986</v>
      </c>
      <c r="R1029" s="65">
        <v>0</v>
      </c>
      <c r="S1029" s="65">
        <v>1166.4900000000002</v>
      </c>
      <c r="T1029" s="65">
        <v>0</v>
      </c>
      <c r="U1029" s="65">
        <v>0</v>
      </c>
      <c r="V1029" s="65">
        <v>0</v>
      </c>
      <c r="W1029" s="65">
        <v>0</v>
      </c>
      <c r="X1029" s="65">
        <v>58438</v>
      </c>
      <c r="Y1029" s="65">
        <v>0</v>
      </c>
      <c r="Z1029" s="65">
        <v>0</v>
      </c>
      <c r="AA1029" s="51">
        <v>1852</v>
      </c>
      <c r="AB1029" s="102">
        <v>0</v>
      </c>
      <c r="AC1029" s="81">
        <f t="shared" si="51"/>
        <v>0</v>
      </c>
      <c r="AD1029" s="82">
        <f t="shared" si="52"/>
        <v>0</v>
      </c>
      <c r="AE1029" s="218">
        <v>3.0155421849659695E-2</v>
      </c>
      <c r="AF1029">
        <v>20</v>
      </c>
      <c r="AH1029" t="str">
        <f t="shared" si="50"/>
        <v>Laldiyara</v>
      </c>
      <c r="AJ1029" s="72">
        <v>0</v>
      </c>
      <c r="AK1029" s="72"/>
      <c r="AL1029" s="72"/>
      <c r="AM1029" s="72"/>
    </row>
    <row r="1030" spans="1:39" x14ac:dyDescent="0.25">
      <c r="A1030" s="37" t="s">
        <v>62</v>
      </c>
      <c r="B1030" s="66" t="s">
        <v>1638</v>
      </c>
      <c r="C1030" s="41">
        <v>1002</v>
      </c>
      <c r="D1030" s="41" t="s">
        <v>103</v>
      </c>
      <c r="E1030" s="41">
        <v>10020047</v>
      </c>
      <c r="F1030" s="85" t="s">
        <v>426</v>
      </c>
      <c r="G1030" s="39" t="s">
        <v>1610</v>
      </c>
      <c r="H1030" s="52" t="s">
        <v>98</v>
      </c>
      <c r="I1030" s="52">
        <v>3319.7999999999997</v>
      </c>
      <c r="J1030" s="49">
        <v>142189.43</v>
      </c>
      <c r="K1030" s="58">
        <v>0</v>
      </c>
      <c r="L1030" s="58">
        <v>0</v>
      </c>
      <c r="M1030" s="58">
        <v>0</v>
      </c>
      <c r="N1030" s="58">
        <v>0</v>
      </c>
      <c r="O1030" s="65">
        <v>0</v>
      </c>
      <c r="P1030" s="65">
        <v>0</v>
      </c>
      <c r="Q1030" s="50">
        <v>142189.43</v>
      </c>
      <c r="R1030" s="65">
        <v>0</v>
      </c>
      <c r="S1030" s="65">
        <v>0</v>
      </c>
      <c r="T1030" s="65">
        <v>0</v>
      </c>
      <c r="U1030" s="65">
        <v>0</v>
      </c>
      <c r="V1030" s="65">
        <v>0</v>
      </c>
      <c r="W1030" s="65">
        <v>0</v>
      </c>
      <c r="X1030" s="65">
        <v>0</v>
      </c>
      <c r="Y1030" s="65">
        <v>0</v>
      </c>
      <c r="Z1030" s="65">
        <v>142189.43</v>
      </c>
      <c r="AA1030" s="51">
        <v>0</v>
      </c>
      <c r="AB1030" s="102">
        <v>0</v>
      </c>
      <c r="AC1030" s="81">
        <f t="shared" si="51"/>
        <v>0</v>
      </c>
      <c r="AD1030" s="82">
        <f t="shared" si="52"/>
        <v>0</v>
      </c>
      <c r="AE1030" s="218">
        <v>0</v>
      </c>
      <c r="AF1030">
        <v>0</v>
      </c>
      <c r="AH1030" t="str">
        <f t="shared" si="50"/>
        <v>Laldiyara</v>
      </c>
      <c r="AJ1030" s="72">
        <v>0</v>
      </c>
      <c r="AK1030" s="72"/>
      <c r="AL1030" s="72"/>
      <c r="AM1030" s="72"/>
    </row>
    <row r="1031" spans="1:39" x14ac:dyDescent="0.25">
      <c r="A1031" s="37" t="s">
        <v>62</v>
      </c>
      <c r="B1031" s="66" t="s">
        <v>1638</v>
      </c>
      <c r="C1031" s="41">
        <v>1002</v>
      </c>
      <c r="D1031" s="41" t="s">
        <v>103</v>
      </c>
      <c r="E1031" s="41">
        <v>10020050</v>
      </c>
      <c r="F1031" s="85" t="s">
        <v>128</v>
      </c>
      <c r="G1031" s="39" t="s">
        <v>92</v>
      </c>
      <c r="H1031" s="52" t="s">
        <v>93</v>
      </c>
      <c r="I1031" s="52">
        <v>1422</v>
      </c>
      <c r="J1031" s="49">
        <v>66762.259999999995</v>
      </c>
      <c r="K1031" s="58">
        <v>1456.9899999999998</v>
      </c>
      <c r="L1031" s="58">
        <v>66397.33</v>
      </c>
      <c r="M1031" s="58">
        <v>6.1000000000000005</v>
      </c>
      <c r="N1031" s="58">
        <v>262.66000000000003</v>
      </c>
      <c r="O1031" s="65">
        <v>1463.0899999999997</v>
      </c>
      <c r="P1031" s="65">
        <v>66659.990000000005</v>
      </c>
      <c r="Q1031" s="50">
        <v>66659.990000000005</v>
      </c>
      <c r="R1031" s="65">
        <v>0</v>
      </c>
      <c r="S1031" s="65">
        <v>262.66000000000003</v>
      </c>
      <c r="T1031" s="65">
        <v>0</v>
      </c>
      <c r="U1031" s="65">
        <v>0</v>
      </c>
      <c r="V1031" s="65">
        <v>0</v>
      </c>
      <c r="W1031" s="65">
        <v>0</v>
      </c>
      <c r="X1031" s="65">
        <v>66398</v>
      </c>
      <c r="Y1031" s="65">
        <v>0</v>
      </c>
      <c r="Z1031" s="65">
        <v>0</v>
      </c>
      <c r="AA1031" s="51">
        <v>102</v>
      </c>
      <c r="AB1031" s="102">
        <v>0</v>
      </c>
      <c r="AC1031" s="81">
        <f t="shared" si="51"/>
        <v>0</v>
      </c>
      <c r="AD1031" s="82">
        <f t="shared" si="52"/>
        <v>0</v>
      </c>
      <c r="AE1031" s="218">
        <v>1.5318534753016081E-3</v>
      </c>
      <c r="AF1031">
        <v>11</v>
      </c>
      <c r="AH1031" t="str">
        <f t="shared" si="50"/>
        <v>Laldiyara</v>
      </c>
      <c r="AJ1031" s="72">
        <v>0</v>
      </c>
      <c r="AK1031" s="72"/>
      <c r="AL1031" s="72"/>
      <c r="AM1031" s="72"/>
    </row>
    <row r="1032" spans="1:39" x14ac:dyDescent="0.25">
      <c r="A1032" s="37" t="s">
        <v>62</v>
      </c>
      <c r="B1032" s="66" t="s">
        <v>1638</v>
      </c>
      <c r="C1032" s="41">
        <v>1002</v>
      </c>
      <c r="D1032" s="41" t="s">
        <v>103</v>
      </c>
      <c r="E1032" s="41">
        <v>10020052</v>
      </c>
      <c r="F1032" s="85" t="s">
        <v>1497</v>
      </c>
      <c r="G1032" s="39" t="s">
        <v>1610</v>
      </c>
      <c r="H1032" s="52" t="s">
        <v>98</v>
      </c>
      <c r="I1032" s="52">
        <v>742.50000000000011</v>
      </c>
      <c r="J1032" s="49">
        <v>44032.959999999999</v>
      </c>
      <c r="K1032" s="58">
        <v>0</v>
      </c>
      <c r="L1032" s="58">
        <v>0</v>
      </c>
      <c r="M1032" s="58">
        <v>0</v>
      </c>
      <c r="N1032" s="58">
        <v>0</v>
      </c>
      <c r="O1032" s="65">
        <v>0</v>
      </c>
      <c r="P1032" s="65">
        <v>0</v>
      </c>
      <c r="Q1032" s="50">
        <v>44032.959999999999</v>
      </c>
      <c r="R1032" s="65">
        <v>0</v>
      </c>
      <c r="S1032" s="65">
        <v>0</v>
      </c>
      <c r="T1032" s="65">
        <v>0</v>
      </c>
      <c r="U1032" s="65">
        <v>0</v>
      </c>
      <c r="V1032" s="65">
        <v>0</v>
      </c>
      <c r="W1032" s="65">
        <v>0</v>
      </c>
      <c r="X1032" s="65">
        <v>0</v>
      </c>
      <c r="Y1032" s="65">
        <v>0</v>
      </c>
      <c r="Z1032" s="65">
        <v>44032.959999999999</v>
      </c>
      <c r="AA1032" s="51">
        <v>0</v>
      </c>
      <c r="AB1032" s="102">
        <v>0</v>
      </c>
      <c r="AC1032" s="81">
        <f t="shared" si="51"/>
        <v>0</v>
      </c>
      <c r="AD1032" s="82">
        <f t="shared" si="52"/>
        <v>0</v>
      </c>
      <c r="AE1032" s="218">
        <v>0</v>
      </c>
      <c r="AF1032">
        <v>0</v>
      </c>
      <c r="AH1032" t="str">
        <f t="shared" si="50"/>
        <v>Laldiyara</v>
      </c>
      <c r="AJ1032" s="72">
        <v>0</v>
      </c>
      <c r="AK1032" s="72"/>
      <c r="AL1032" s="72"/>
      <c r="AM1032" s="72"/>
    </row>
    <row r="1033" spans="1:39" x14ac:dyDescent="0.25">
      <c r="A1033" s="37" t="s">
        <v>62</v>
      </c>
      <c r="B1033" s="66" t="s">
        <v>1638</v>
      </c>
      <c r="C1033" s="41">
        <v>1002</v>
      </c>
      <c r="D1033" s="41" t="s">
        <v>103</v>
      </c>
      <c r="E1033" s="41">
        <v>10020054</v>
      </c>
      <c r="F1033" s="85" t="s">
        <v>129</v>
      </c>
      <c r="G1033" s="39" t="s">
        <v>1610</v>
      </c>
      <c r="H1033" s="52" t="s">
        <v>98</v>
      </c>
      <c r="I1033" s="52">
        <v>1907.2</v>
      </c>
      <c r="J1033" s="49">
        <v>82741.310000000012</v>
      </c>
      <c r="K1033" s="58">
        <v>0</v>
      </c>
      <c r="L1033" s="58">
        <v>0</v>
      </c>
      <c r="M1033" s="58">
        <v>0</v>
      </c>
      <c r="N1033" s="58">
        <v>0</v>
      </c>
      <c r="O1033" s="65">
        <v>0</v>
      </c>
      <c r="P1033" s="65">
        <v>0</v>
      </c>
      <c r="Q1033" s="50">
        <v>82741.310000000012</v>
      </c>
      <c r="R1033" s="65">
        <v>0</v>
      </c>
      <c r="S1033" s="65">
        <v>0</v>
      </c>
      <c r="T1033" s="65">
        <v>0</v>
      </c>
      <c r="U1033" s="65">
        <v>0</v>
      </c>
      <c r="V1033" s="65">
        <v>0</v>
      </c>
      <c r="W1033" s="65">
        <v>0</v>
      </c>
      <c r="X1033" s="65">
        <v>0</v>
      </c>
      <c r="Y1033" s="65">
        <v>0</v>
      </c>
      <c r="Z1033" s="65">
        <v>82741.310000000012</v>
      </c>
      <c r="AA1033" s="51">
        <v>0</v>
      </c>
      <c r="AB1033" s="102">
        <v>0</v>
      </c>
      <c r="AC1033" s="81">
        <f t="shared" si="51"/>
        <v>0</v>
      </c>
      <c r="AD1033" s="82">
        <f t="shared" si="52"/>
        <v>0</v>
      </c>
      <c r="AE1033" s="218">
        <v>0</v>
      </c>
      <c r="AF1033">
        <v>0</v>
      </c>
      <c r="AH1033" t="str">
        <f t="shared" si="50"/>
        <v>Laldiyara</v>
      </c>
      <c r="AJ1033" s="72">
        <v>0</v>
      </c>
      <c r="AK1033" s="72"/>
      <c r="AL1033" s="72"/>
      <c r="AM1033" s="72"/>
    </row>
    <row r="1034" spans="1:39" x14ac:dyDescent="0.25">
      <c r="A1034" s="37" t="s">
        <v>62</v>
      </c>
      <c r="B1034" s="66" t="s">
        <v>1638</v>
      </c>
      <c r="C1034" s="41">
        <v>1002</v>
      </c>
      <c r="D1034" s="41" t="s">
        <v>103</v>
      </c>
      <c r="E1034" s="41">
        <v>10020056</v>
      </c>
      <c r="F1034" s="85" t="s">
        <v>1611</v>
      </c>
      <c r="G1034" s="39" t="s">
        <v>1610</v>
      </c>
      <c r="H1034" s="52" t="s">
        <v>98</v>
      </c>
      <c r="I1034" s="52">
        <v>110.6</v>
      </c>
      <c r="J1034" s="49">
        <v>6242.26</v>
      </c>
      <c r="K1034" s="58">
        <v>0</v>
      </c>
      <c r="L1034" s="58">
        <v>0</v>
      </c>
      <c r="M1034" s="58">
        <v>0</v>
      </c>
      <c r="N1034" s="58">
        <v>0</v>
      </c>
      <c r="O1034" s="65">
        <v>0</v>
      </c>
      <c r="P1034" s="65">
        <v>0</v>
      </c>
      <c r="Q1034" s="50">
        <v>6242.26</v>
      </c>
      <c r="R1034" s="65">
        <v>0</v>
      </c>
      <c r="S1034" s="65">
        <v>0</v>
      </c>
      <c r="T1034" s="65">
        <v>0</v>
      </c>
      <c r="U1034" s="65">
        <v>0</v>
      </c>
      <c r="V1034" s="65">
        <v>0</v>
      </c>
      <c r="W1034" s="65">
        <v>0</v>
      </c>
      <c r="X1034" s="65">
        <v>0</v>
      </c>
      <c r="Y1034" s="65">
        <v>0</v>
      </c>
      <c r="Z1034" s="65">
        <v>6242.26</v>
      </c>
      <c r="AA1034" s="51">
        <v>0</v>
      </c>
      <c r="AB1034" s="102">
        <v>0</v>
      </c>
      <c r="AC1034" s="81">
        <f t="shared" si="51"/>
        <v>665.31429367088617</v>
      </c>
      <c r="AD1034" s="82">
        <f t="shared" si="52"/>
        <v>15.799999999999999</v>
      </c>
      <c r="AE1034" s="218">
        <v>0</v>
      </c>
      <c r="AF1034">
        <v>0</v>
      </c>
      <c r="AH1034" t="str">
        <f t="shared" si="50"/>
        <v>Laldiyara</v>
      </c>
      <c r="AJ1034" s="72">
        <v>0</v>
      </c>
      <c r="AK1034" s="72"/>
      <c r="AL1034" s="72"/>
      <c r="AM1034" s="72"/>
    </row>
    <row r="1035" spans="1:39" x14ac:dyDescent="0.25">
      <c r="A1035" s="37" t="s">
        <v>62</v>
      </c>
      <c r="B1035" s="66" t="s">
        <v>1638</v>
      </c>
      <c r="C1035" s="41">
        <v>1002</v>
      </c>
      <c r="D1035" s="41" t="s">
        <v>103</v>
      </c>
      <c r="E1035" s="41">
        <v>10020057</v>
      </c>
      <c r="F1035" s="85" t="s">
        <v>130</v>
      </c>
      <c r="G1035" s="39" t="s">
        <v>92</v>
      </c>
      <c r="H1035" s="52" t="s">
        <v>93</v>
      </c>
      <c r="I1035" s="52">
        <v>2687.2000000000007</v>
      </c>
      <c r="J1035" s="49">
        <v>128346.85000000003</v>
      </c>
      <c r="K1035" s="58">
        <v>2494.29</v>
      </c>
      <c r="L1035" s="58">
        <v>118990.67000000001</v>
      </c>
      <c r="M1035" s="58">
        <v>206.43</v>
      </c>
      <c r="N1035" s="58">
        <v>9193.07</v>
      </c>
      <c r="O1035" s="65">
        <v>2700.72</v>
      </c>
      <c r="P1035" s="65">
        <v>128183.74000000002</v>
      </c>
      <c r="Q1035" s="50">
        <v>128183.74000000002</v>
      </c>
      <c r="R1035" s="65">
        <v>0</v>
      </c>
      <c r="S1035" s="65">
        <v>1729.54</v>
      </c>
      <c r="T1035" s="65">
        <v>0</v>
      </c>
      <c r="U1035" s="65">
        <v>0</v>
      </c>
      <c r="V1035" s="65">
        <v>0</v>
      </c>
      <c r="W1035" s="65">
        <v>0</v>
      </c>
      <c r="X1035" s="65">
        <v>118991</v>
      </c>
      <c r="Y1035" s="65">
        <v>7464</v>
      </c>
      <c r="Z1035" s="65">
        <v>0</v>
      </c>
      <c r="AA1035" s="51">
        <v>162</v>
      </c>
      <c r="AB1035" s="102">
        <v>0</v>
      </c>
      <c r="AC1035" s="81">
        <f t="shared" si="51"/>
        <v>0</v>
      </c>
      <c r="AD1035" s="82">
        <f t="shared" si="52"/>
        <v>0</v>
      </c>
      <c r="AE1035" s="218">
        <v>1.270853160790585E-3</v>
      </c>
      <c r="AF1035">
        <v>13</v>
      </c>
      <c r="AH1035" t="str">
        <f t="shared" si="50"/>
        <v>Laldiyara</v>
      </c>
      <c r="AJ1035" s="72">
        <v>0</v>
      </c>
      <c r="AK1035" s="72"/>
      <c r="AL1035" s="72"/>
      <c r="AM1035" s="72"/>
    </row>
    <row r="1036" spans="1:39" x14ac:dyDescent="0.25">
      <c r="A1036" s="37" t="s">
        <v>62</v>
      </c>
      <c r="B1036" s="66" t="s">
        <v>1638</v>
      </c>
      <c r="C1036" s="41">
        <v>1002</v>
      </c>
      <c r="D1036" s="41" t="s">
        <v>103</v>
      </c>
      <c r="E1036" s="41">
        <v>10020058</v>
      </c>
      <c r="F1036" s="85" t="s">
        <v>131</v>
      </c>
      <c r="G1036" s="39" t="s">
        <v>92</v>
      </c>
      <c r="H1036" s="52" t="s">
        <v>93</v>
      </c>
      <c r="I1036" s="52">
        <v>710.80000000000007</v>
      </c>
      <c r="J1036" s="49">
        <v>29683.9</v>
      </c>
      <c r="K1036" s="58">
        <v>509.57000000000011</v>
      </c>
      <c r="L1036" s="58">
        <v>22434.800000000003</v>
      </c>
      <c r="M1036" s="58">
        <v>179.92000000000002</v>
      </c>
      <c r="N1036" s="58">
        <v>6967.38</v>
      </c>
      <c r="O1036" s="65">
        <v>689.49000000000012</v>
      </c>
      <c r="P1036" s="65">
        <v>29402.180000000004</v>
      </c>
      <c r="Q1036" s="50">
        <v>29402.180000000004</v>
      </c>
      <c r="R1036" s="65">
        <v>0</v>
      </c>
      <c r="S1036" s="65">
        <v>213.10000000000002</v>
      </c>
      <c r="T1036" s="65">
        <v>0</v>
      </c>
      <c r="U1036" s="65">
        <v>0</v>
      </c>
      <c r="V1036" s="65">
        <v>0</v>
      </c>
      <c r="W1036" s="65">
        <v>0</v>
      </c>
      <c r="X1036" s="65">
        <v>22436</v>
      </c>
      <c r="Y1036" s="65">
        <v>6754</v>
      </c>
      <c r="Z1036" s="65">
        <v>0</v>
      </c>
      <c r="AA1036" s="51">
        <v>281</v>
      </c>
      <c r="AB1036" s="102">
        <v>0</v>
      </c>
      <c r="AC1036" s="81">
        <f t="shared" si="51"/>
        <v>0</v>
      </c>
      <c r="AD1036" s="82">
        <f t="shared" si="52"/>
        <v>0</v>
      </c>
      <c r="AE1036" s="218">
        <v>9.4906666576830365E-3</v>
      </c>
      <c r="AF1036">
        <v>9</v>
      </c>
      <c r="AH1036" t="str">
        <f t="shared" si="50"/>
        <v>Laldiyara</v>
      </c>
      <c r="AJ1036" s="72">
        <v>0</v>
      </c>
      <c r="AK1036" s="72"/>
      <c r="AL1036" s="72"/>
      <c r="AM1036" s="72"/>
    </row>
    <row r="1037" spans="1:39" x14ac:dyDescent="0.25">
      <c r="A1037" s="37" t="s">
        <v>62</v>
      </c>
      <c r="B1037" s="66" t="s">
        <v>1638</v>
      </c>
      <c r="C1037" s="41">
        <v>1002</v>
      </c>
      <c r="D1037" s="41" t="s">
        <v>103</v>
      </c>
      <c r="E1037" s="41">
        <v>10020059</v>
      </c>
      <c r="F1037" s="85" t="s">
        <v>132</v>
      </c>
      <c r="G1037" s="39" t="s">
        <v>92</v>
      </c>
      <c r="H1037" s="52" t="s">
        <v>93</v>
      </c>
      <c r="I1037" s="52">
        <v>1198.3</v>
      </c>
      <c r="J1037" s="49">
        <v>52631.020000000004</v>
      </c>
      <c r="K1037" s="58">
        <v>896.83999999999992</v>
      </c>
      <c r="L1037" s="58">
        <v>37420.5</v>
      </c>
      <c r="M1037" s="58">
        <v>344.32000000000005</v>
      </c>
      <c r="N1037" s="58">
        <v>14911.33</v>
      </c>
      <c r="O1037" s="65">
        <v>1241.1599999999999</v>
      </c>
      <c r="P1037" s="65">
        <v>52331.83</v>
      </c>
      <c r="Q1037" s="50">
        <v>52331.83</v>
      </c>
      <c r="R1037" s="65">
        <v>0</v>
      </c>
      <c r="S1037" s="65">
        <v>418.15</v>
      </c>
      <c r="T1037" s="65">
        <v>0</v>
      </c>
      <c r="U1037" s="65">
        <v>0</v>
      </c>
      <c r="V1037" s="65">
        <v>0</v>
      </c>
      <c r="W1037" s="65">
        <v>0</v>
      </c>
      <c r="X1037" s="65">
        <v>37419</v>
      </c>
      <c r="Y1037" s="65">
        <v>14493</v>
      </c>
      <c r="Z1037" s="65">
        <v>0</v>
      </c>
      <c r="AA1037" s="51">
        <v>301</v>
      </c>
      <c r="AB1037" s="102">
        <v>0</v>
      </c>
      <c r="AC1037" s="81">
        <f t="shared" si="51"/>
        <v>0</v>
      </c>
      <c r="AD1037" s="82">
        <f t="shared" si="52"/>
        <v>0</v>
      </c>
      <c r="AE1037" s="218">
        <v>5.6846703711993856E-3</v>
      </c>
      <c r="AF1037">
        <v>10</v>
      </c>
      <c r="AH1037" t="str">
        <f t="shared" si="50"/>
        <v>Laldiyara</v>
      </c>
      <c r="AJ1037" s="72">
        <v>0</v>
      </c>
      <c r="AK1037" s="72"/>
      <c r="AL1037" s="72"/>
      <c r="AM1037" s="72"/>
    </row>
    <row r="1038" spans="1:39" x14ac:dyDescent="0.25">
      <c r="A1038" s="37" t="s">
        <v>62</v>
      </c>
      <c r="B1038" s="66" t="s">
        <v>1638</v>
      </c>
      <c r="C1038" s="41">
        <v>1002</v>
      </c>
      <c r="D1038" s="41" t="s">
        <v>103</v>
      </c>
      <c r="E1038" s="41">
        <v>10020062</v>
      </c>
      <c r="F1038" s="85" t="s">
        <v>133</v>
      </c>
      <c r="G1038" s="39" t="s">
        <v>92</v>
      </c>
      <c r="H1038" s="52" t="s">
        <v>93</v>
      </c>
      <c r="I1038" s="52">
        <v>232.5</v>
      </c>
      <c r="J1038" s="49">
        <v>9927.2100000000009</v>
      </c>
      <c r="K1038" s="58">
        <v>233.83</v>
      </c>
      <c r="L1038" s="58">
        <v>10050.74</v>
      </c>
      <c r="M1038" s="58">
        <v>3.52</v>
      </c>
      <c r="N1038" s="58">
        <v>150.03</v>
      </c>
      <c r="O1038" s="65">
        <v>237.35000000000002</v>
      </c>
      <c r="P1038" s="65">
        <v>10200.77</v>
      </c>
      <c r="Q1038" s="50">
        <v>9927.2100000000009</v>
      </c>
      <c r="R1038" s="65">
        <v>0</v>
      </c>
      <c r="S1038" s="65">
        <v>150.03</v>
      </c>
      <c r="T1038" s="65">
        <v>273.55999999999949</v>
      </c>
      <c r="U1038" s="65">
        <v>0</v>
      </c>
      <c r="V1038" s="65">
        <v>0</v>
      </c>
      <c r="W1038" s="65">
        <v>0</v>
      </c>
      <c r="X1038" s="65">
        <v>9777</v>
      </c>
      <c r="Y1038" s="65">
        <v>0</v>
      </c>
      <c r="Z1038" s="65">
        <v>0</v>
      </c>
      <c r="AA1038" s="51">
        <v>0</v>
      </c>
      <c r="AB1038" s="102">
        <v>0</v>
      </c>
      <c r="AC1038" s="81">
        <f t="shared" si="51"/>
        <v>399.22328387096775</v>
      </c>
      <c r="AD1038" s="82">
        <f t="shared" si="52"/>
        <v>33.214285714285715</v>
      </c>
      <c r="AE1038" s="218">
        <v>-2.7556584377685118E-2</v>
      </c>
      <c r="AF1038">
        <v>10</v>
      </c>
      <c r="AH1038" t="str">
        <f t="shared" si="50"/>
        <v>Laldiyara</v>
      </c>
      <c r="AJ1038" s="72">
        <v>0</v>
      </c>
      <c r="AK1038" s="72"/>
      <c r="AL1038" s="72"/>
      <c r="AM1038" s="72"/>
    </row>
    <row r="1039" spans="1:39" x14ac:dyDescent="0.25">
      <c r="A1039" s="37" t="s">
        <v>62</v>
      </c>
      <c r="B1039" s="66" t="s">
        <v>1638</v>
      </c>
      <c r="C1039" s="41">
        <v>1002</v>
      </c>
      <c r="D1039" s="41" t="s">
        <v>103</v>
      </c>
      <c r="E1039" s="41">
        <v>10020063</v>
      </c>
      <c r="F1039" s="85" t="s">
        <v>134</v>
      </c>
      <c r="G1039" s="39" t="s">
        <v>92</v>
      </c>
      <c r="H1039" s="52" t="s">
        <v>93</v>
      </c>
      <c r="I1039" s="52">
        <v>983.89999999999986</v>
      </c>
      <c r="J1039" s="49">
        <v>45712.78</v>
      </c>
      <c r="K1039" s="58">
        <v>480.19000000000011</v>
      </c>
      <c r="L1039" s="58">
        <v>25033.79</v>
      </c>
      <c r="M1039" s="58">
        <v>551.94999999999993</v>
      </c>
      <c r="N1039" s="58">
        <v>23971.520000000004</v>
      </c>
      <c r="O1039" s="65">
        <v>1032.1400000000001</v>
      </c>
      <c r="P1039" s="65">
        <v>49005.310000000005</v>
      </c>
      <c r="Q1039" s="50">
        <v>45712.78</v>
      </c>
      <c r="R1039" s="65">
        <v>0</v>
      </c>
      <c r="S1039" s="65">
        <v>292.87</v>
      </c>
      <c r="T1039" s="65">
        <v>3292.5300000000061</v>
      </c>
      <c r="U1039" s="65">
        <v>0</v>
      </c>
      <c r="V1039" s="65">
        <v>0</v>
      </c>
      <c r="W1039" s="65">
        <v>0</v>
      </c>
      <c r="X1039" s="65">
        <v>21741</v>
      </c>
      <c r="Y1039" s="65">
        <v>23679</v>
      </c>
      <c r="Z1039" s="65">
        <v>0</v>
      </c>
      <c r="AA1039" s="51">
        <v>0</v>
      </c>
      <c r="AB1039" s="102">
        <v>0</v>
      </c>
      <c r="AC1039" s="81">
        <f t="shared" si="51"/>
        <v>0</v>
      </c>
      <c r="AD1039" s="82">
        <f t="shared" si="52"/>
        <v>0</v>
      </c>
      <c r="AE1039" s="218">
        <v>-7.2026466121728014E-2</v>
      </c>
      <c r="AF1039">
        <v>10</v>
      </c>
      <c r="AH1039" t="str">
        <f t="shared" si="50"/>
        <v>Laldiyara</v>
      </c>
      <c r="AJ1039" s="72">
        <v>0</v>
      </c>
      <c r="AK1039" s="72"/>
      <c r="AL1039" s="72"/>
      <c r="AM1039" s="72"/>
    </row>
    <row r="1040" spans="1:39" x14ac:dyDescent="0.25">
      <c r="A1040" s="37" t="s">
        <v>62</v>
      </c>
      <c r="B1040" s="66" t="s">
        <v>1638</v>
      </c>
      <c r="C1040" s="41">
        <v>1002</v>
      </c>
      <c r="D1040" s="41" t="s">
        <v>103</v>
      </c>
      <c r="E1040" s="41">
        <v>10020064</v>
      </c>
      <c r="F1040" s="85" t="s">
        <v>135</v>
      </c>
      <c r="G1040" s="39" t="s">
        <v>1610</v>
      </c>
      <c r="H1040" s="52" t="s">
        <v>98</v>
      </c>
      <c r="I1040" s="52">
        <v>1064.2</v>
      </c>
      <c r="J1040" s="49">
        <v>44909.299999999981</v>
      </c>
      <c r="K1040" s="58">
        <v>0</v>
      </c>
      <c r="L1040" s="58">
        <v>0</v>
      </c>
      <c r="M1040" s="58">
        <v>0</v>
      </c>
      <c r="N1040" s="58">
        <v>0</v>
      </c>
      <c r="O1040" s="65">
        <v>0</v>
      </c>
      <c r="P1040" s="65">
        <v>0</v>
      </c>
      <c r="Q1040" s="50">
        <v>44909.299999999981</v>
      </c>
      <c r="R1040" s="65">
        <v>0</v>
      </c>
      <c r="S1040" s="65">
        <v>0</v>
      </c>
      <c r="T1040" s="65">
        <v>0</v>
      </c>
      <c r="U1040" s="65">
        <v>0</v>
      </c>
      <c r="V1040" s="65">
        <v>0</v>
      </c>
      <c r="W1040" s="65">
        <v>0</v>
      </c>
      <c r="X1040" s="65">
        <v>0</v>
      </c>
      <c r="Y1040" s="65">
        <v>0</v>
      </c>
      <c r="Z1040" s="65">
        <v>44909.299999999981</v>
      </c>
      <c r="AA1040" s="51">
        <v>0</v>
      </c>
      <c r="AB1040" s="102">
        <v>0</v>
      </c>
      <c r="AC1040" s="81">
        <f t="shared" si="51"/>
        <v>0</v>
      </c>
      <c r="AD1040" s="82">
        <f t="shared" si="52"/>
        <v>0</v>
      </c>
      <c r="AE1040" s="218">
        <v>0</v>
      </c>
      <c r="AF1040">
        <v>0</v>
      </c>
      <c r="AH1040" t="str">
        <f t="shared" si="50"/>
        <v>Laldiyara</v>
      </c>
      <c r="AJ1040" s="72">
        <v>0</v>
      </c>
      <c r="AK1040" s="72"/>
      <c r="AL1040" s="72"/>
      <c r="AM1040" s="72"/>
    </row>
    <row r="1041" spans="1:39" x14ac:dyDescent="0.25">
      <c r="A1041" s="37" t="s">
        <v>62</v>
      </c>
      <c r="B1041" s="66" t="s">
        <v>1638</v>
      </c>
      <c r="C1041" s="41">
        <v>1002</v>
      </c>
      <c r="D1041" s="41" t="s">
        <v>103</v>
      </c>
      <c r="E1041" s="41">
        <v>10020067</v>
      </c>
      <c r="F1041" s="85" t="s">
        <v>136</v>
      </c>
      <c r="G1041" s="39" t="s">
        <v>1610</v>
      </c>
      <c r="H1041" s="52" t="s">
        <v>98</v>
      </c>
      <c r="I1041" s="52">
        <v>1294.3999999999999</v>
      </c>
      <c r="J1041" s="49">
        <v>53787.579999999994</v>
      </c>
      <c r="K1041" s="58">
        <v>0</v>
      </c>
      <c r="L1041" s="58">
        <v>0</v>
      </c>
      <c r="M1041" s="58">
        <v>0</v>
      </c>
      <c r="N1041" s="58">
        <v>0</v>
      </c>
      <c r="O1041" s="65">
        <v>0</v>
      </c>
      <c r="P1041" s="65">
        <v>0</v>
      </c>
      <c r="Q1041" s="50">
        <v>53787.579999999994</v>
      </c>
      <c r="R1041" s="65">
        <v>0</v>
      </c>
      <c r="S1041" s="65">
        <v>0</v>
      </c>
      <c r="T1041" s="65">
        <v>0</v>
      </c>
      <c r="U1041" s="65">
        <v>0</v>
      </c>
      <c r="V1041" s="65">
        <v>0</v>
      </c>
      <c r="W1041" s="65">
        <v>0</v>
      </c>
      <c r="X1041" s="65">
        <v>0</v>
      </c>
      <c r="Y1041" s="65">
        <v>0</v>
      </c>
      <c r="Z1041" s="65">
        <v>0</v>
      </c>
      <c r="AA1041" s="51">
        <v>53788</v>
      </c>
      <c r="AB1041" s="102" t="s">
        <v>65</v>
      </c>
      <c r="AC1041" s="81">
        <f t="shared" si="51"/>
        <v>0</v>
      </c>
      <c r="AD1041" s="82">
        <f t="shared" si="52"/>
        <v>0</v>
      </c>
      <c r="AE1041" s="218">
        <v>0</v>
      </c>
      <c r="AF1041">
        <v>0</v>
      </c>
      <c r="AH1041" t="str">
        <f t="shared" si="50"/>
        <v>Laldiyara</v>
      </c>
      <c r="AJ1041" s="72">
        <v>0</v>
      </c>
      <c r="AK1041" s="72"/>
      <c r="AL1041" s="72"/>
      <c r="AM1041" s="72"/>
    </row>
    <row r="1042" spans="1:39" x14ac:dyDescent="0.25">
      <c r="A1042" s="37" t="s">
        <v>62</v>
      </c>
      <c r="B1042" s="66" t="s">
        <v>1638</v>
      </c>
      <c r="C1042" s="41">
        <v>1002</v>
      </c>
      <c r="D1042" s="41" t="s">
        <v>103</v>
      </c>
      <c r="E1042" s="41">
        <v>10020068</v>
      </c>
      <c r="F1042" s="85" t="s">
        <v>106</v>
      </c>
      <c r="G1042" s="39" t="s">
        <v>92</v>
      </c>
      <c r="H1042" s="52" t="s">
        <v>93</v>
      </c>
      <c r="I1042" s="52">
        <v>1488.2</v>
      </c>
      <c r="J1042" s="49">
        <v>64820.509999999995</v>
      </c>
      <c r="K1042" s="58">
        <v>1569.82</v>
      </c>
      <c r="L1042" s="58">
        <v>70151.45</v>
      </c>
      <c r="M1042" s="58">
        <v>0</v>
      </c>
      <c r="N1042" s="58">
        <v>0</v>
      </c>
      <c r="O1042" s="65">
        <v>1569.82</v>
      </c>
      <c r="P1042" s="65">
        <v>70151.45</v>
      </c>
      <c r="Q1042" s="50">
        <v>64820.509999999995</v>
      </c>
      <c r="R1042" s="65">
        <v>0</v>
      </c>
      <c r="S1042" s="65">
        <v>0</v>
      </c>
      <c r="T1042" s="65">
        <v>5330.9400000000023</v>
      </c>
      <c r="U1042" s="65">
        <v>0</v>
      </c>
      <c r="V1042" s="65">
        <v>0</v>
      </c>
      <c r="W1042" s="65">
        <v>0</v>
      </c>
      <c r="X1042" s="65">
        <v>64821</v>
      </c>
      <c r="Y1042" s="65">
        <v>0</v>
      </c>
      <c r="Z1042" s="65">
        <v>0</v>
      </c>
      <c r="AA1042" s="51">
        <v>0</v>
      </c>
      <c r="AB1042" s="102">
        <v>0</v>
      </c>
      <c r="AC1042" s="81">
        <f t="shared" si="51"/>
        <v>0</v>
      </c>
      <c r="AD1042" s="82">
        <f t="shared" si="52"/>
        <v>0</v>
      </c>
      <c r="AE1042" s="218">
        <v>-8.2241562122852829E-2</v>
      </c>
      <c r="AF1042">
        <v>35</v>
      </c>
      <c r="AH1042" t="str">
        <f t="shared" si="50"/>
        <v>Laldiyara</v>
      </c>
      <c r="AJ1042" s="72">
        <v>0</v>
      </c>
      <c r="AK1042" s="72"/>
      <c r="AL1042" s="72"/>
      <c r="AM1042" s="72"/>
    </row>
    <row r="1043" spans="1:39" x14ac:dyDescent="0.25">
      <c r="A1043" s="37" t="s">
        <v>62</v>
      </c>
      <c r="B1043" s="66" t="s">
        <v>1638</v>
      </c>
      <c r="C1043" s="41">
        <v>1002</v>
      </c>
      <c r="D1043" s="41" t="s">
        <v>103</v>
      </c>
      <c r="E1043" s="41">
        <v>10020069</v>
      </c>
      <c r="F1043" s="85" t="s">
        <v>448</v>
      </c>
      <c r="G1043" s="39" t="s">
        <v>92</v>
      </c>
      <c r="H1043" s="52" t="s">
        <v>93</v>
      </c>
      <c r="I1043" s="52">
        <v>201.4</v>
      </c>
      <c r="J1043" s="49">
        <v>8488.0899999999983</v>
      </c>
      <c r="K1043" s="58">
        <v>344.62</v>
      </c>
      <c r="L1043" s="58">
        <v>14053.330000000002</v>
      </c>
      <c r="M1043" s="58">
        <v>0.04</v>
      </c>
      <c r="N1043" s="58">
        <v>1.76</v>
      </c>
      <c r="O1043" s="65">
        <v>344.66</v>
      </c>
      <c r="P1043" s="65">
        <v>14055.090000000002</v>
      </c>
      <c r="Q1043" s="50">
        <v>8488.0899999999983</v>
      </c>
      <c r="R1043" s="65">
        <v>0</v>
      </c>
      <c r="S1043" s="65">
        <v>1.76</v>
      </c>
      <c r="T1043" s="65">
        <v>5567.0000000000036</v>
      </c>
      <c r="U1043" s="65">
        <v>0</v>
      </c>
      <c r="V1043" s="65">
        <v>500</v>
      </c>
      <c r="W1043" s="65">
        <v>0</v>
      </c>
      <c r="X1043" s="65">
        <v>7986</v>
      </c>
      <c r="Y1043" s="65">
        <v>0</v>
      </c>
      <c r="Z1043" s="65">
        <v>0</v>
      </c>
      <c r="AA1043" s="51">
        <v>0</v>
      </c>
      <c r="AB1043" s="102">
        <v>0</v>
      </c>
      <c r="AC1043" s="81">
        <f t="shared" si="51"/>
        <v>420.27424766633561</v>
      </c>
      <c r="AD1043" s="82">
        <f t="shared" si="52"/>
        <v>28.771428571428572</v>
      </c>
      <c r="AE1043" s="218">
        <v>-0.65586015228396555</v>
      </c>
      <c r="AF1043">
        <v>2</v>
      </c>
      <c r="AH1043" t="str">
        <f t="shared" si="50"/>
        <v>Laldiyara</v>
      </c>
      <c r="AJ1043" s="72">
        <v>500</v>
      </c>
      <c r="AK1043" s="72"/>
      <c r="AL1043" s="72"/>
      <c r="AM1043" s="72"/>
    </row>
    <row r="1044" spans="1:39" x14ac:dyDescent="0.25">
      <c r="A1044" s="37" t="s">
        <v>62</v>
      </c>
      <c r="B1044" s="66" t="s">
        <v>1638</v>
      </c>
      <c r="C1044" s="41">
        <v>1002</v>
      </c>
      <c r="D1044" s="41" t="s">
        <v>103</v>
      </c>
      <c r="E1044" s="41">
        <v>10020070</v>
      </c>
      <c r="F1044" s="85" t="s">
        <v>466</v>
      </c>
      <c r="G1044" s="39" t="s">
        <v>92</v>
      </c>
      <c r="H1044" s="52" t="s">
        <v>93</v>
      </c>
      <c r="I1044" s="52">
        <v>769.20000000000016</v>
      </c>
      <c r="J1044" s="49">
        <v>30744.489999999998</v>
      </c>
      <c r="K1044" s="58">
        <v>765.6</v>
      </c>
      <c r="L1044" s="58">
        <v>35119.14</v>
      </c>
      <c r="M1044" s="58">
        <v>0</v>
      </c>
      <c r="N1044" s="58">
        <v>0</v>
      </c>
      <c r="O1044" s="65">
        <v>765.6</v>
      </c>
      <c r="P1044" s="65">
        <v>35119.14</v>
      </c>
      <c r="Q1044" s="50">
        <v>30744.489999999998</v>
      </c>
      <c r="R1044" s="65">
        <v>0</v>
      </c>
      <c r="S1044" s="65">
        <v>0</v>
      </c>
      <c r="T1044" s="65">
        <v>4374.6500000000015</v>
      </c>
      <c r="U1044" s="65">
        <v>0</v>
      </c>
      <c r="V1044" s="65">
        <v>0</v>
      </c>
      <c r="W1044" s="65">
        <v>0</v>
      </c>
      <c r="X1044" s="65">
        <v>30744</v>
      </c>
      <c r="Y1044" s="65">
        <v>0</v>
      </c>
      <c r="Z1044" s="65">
        <v>0</v>
      </c>
      <c r="AA1044" s="51">
        <v>0</v>
      </c>
      <c r="AB1044" s="102" t="s">
        <v>1366</v>
      </c>
      <c r="AC1044" s="81">
        <f t="shared" si="51"/>
        <v>0</v>
      </c>
      <c r="AD1044" s="82">
        <f t="shared" si="52"/>
        <v>0</v>
      </c>
      <c r="AE1044" s="218">
        <v>-0.14229053726375041</v>
      </c>
      <c r="AF1044">
        <v>9</v>
      </c>
      <c r="AH1044" t="str">
        <f t="shared" si="50"/>
        <v>Laldiyara</v>
      </c>
      <c r="AJ1044" s="72">
        <v>0</v>
      </c>
      <c r="AK1044" s="72"/>
      <c r="AL1044" s="72"/>
      <c r="AM1044" s="72"/>
    </row>
    <row r="1045" spans="1:39" x14ac:dyDescent="0.25">
      <c r="A1045" s="37" t="s">
        <v>62</v>
      </c>
      <c r="B1045" s="66" t="s">
        <v>1638</v>
      </c>
      <c r="C1045" s="41">
        <v>1002</v>
      </c>
      <c r="D1045" s="41" t="s">
        <v>103</v>
      </c>
      <c r="E1045" s="41">
        <v>10020073</v>
      </c>
      <c r="F1045" s="85" t="s">
        <v>483</v>
      </c>
      <c r="G1045" s="39" t="s">
        <v>1610</v>
      </c>
      <c r="H1045" s="52" t="s">
        <v>98</v>
      </c>
      <c r="I1045" s="52">
        <v>1129.1999999999998</v>
      </c>
      <c r="J1045" s="49">
        <v>44550.270000000004</v>
      </c>
      <c r="K1045" s="58">
        <v>0</v>
      </c>
      <c r="L1045" s="58">
        <v>0</v>
      </c>
      <c r="M1045" s="58">
        <v>0</v>
      </c>
      <c r="N1045" s="58">
        <v>0</v>
      </c>
      <c r="O1045" s="65">
        <v>0</v>
      </c>
      <c r="P1045" s="65">
        <v>0</v>
      </c>
      <c r="Q1045" s="50">
        <v>44550.270000000004</v>
      </c>
      <c r="R1045" s="65">
        <v>0</v>
      </c>
      <c r="S1045" s="65">
        <v>0</v>
      </c>
      <c r="T1045" s="65">
        <v>0</v>
      </c>
      <c r="U1045" s="65">
        <v>0</v>
      </c>
      <c r="V1045" s="65">
        <v>0</v>
      </c>
      <c r="W1045" s="65">
        <v>0</v>
      </c>
      <c r="X1045" s="65">
        <v>0</v>
      </c>
      <c r="Y1045" s="65">
        <v>0</v>
      </c>
      <c r="Z1045" s="65">
        <v>44550.270000000004</v>
      </c>
      <c r="AA1045" s="51">
        <v>0</v>
      </c>
      <c r="AB1045" s="102">
        <v>0</v>
      </c>
      <c r="AC1045" s="81">
        <f t="shared" si="51"/>
        <v>0</v>
      </c>
      <c r="AD1045" s="82">
        <f t="shared" si="52"/>
        <v>0</v>
      </c>
      <c r="AE1045" s="218">
        <v>0</v>
      </c>
      <c r="AF1045">
        <v>0</v>
      </c>
      <c r="AH1045" t="str">
        <f t="shared" si="50"/>
        <v>Laldiyara</v>
      </c>
      <c r="AJ1045" s="72">
        <v>0</v>
      </c>
      <c r="AK1045" s="72"/>
      <c r="AL1045" s="72"/>
      <c r="AM1045" s="72"/>
    </row>
    <row r="1046" spans="1:39" x14ac:dyDescent="0.25">
      <c r="A1046" s="37" t="s">
        <v>62</v>
      </c>
      <c r="B1046" s="66" t="s">
        <v>1638</v>
      </c>
      <c r="C1046" s="41">
        <v>1002</v>
      </c>
      <c r="D1046" s="41" t="s">
        <v>103</v>
      </c>
      <c r="E1046" s="41">
        <v>10020075</v>
      </c>
      <c r="F1046" s="85" t="s">
        <v>262</v>
      </c>
      <c r="G1046" s="39" t="s">
        <v>92</v>
      </c>
      <c r="H1046" s="52" t="s">
        <v>93</v>
      </c>
      <c r="I1046" s="52">
        <v>233</v>
      </c>
      <c r="J1046" s="49">
        <v>10699.43</v>
      </c>
      <c r="K1046" s="58">
        <v>241.77</v>
      </c>
      <c r="L1046" s="58">
        <v>11419.95</v>
      </c>
      <c r="M1046" s="58">
        <v>0</v>
      </c>
      <c r="N1046" s="58">
        <v>0</v>
      </c>
      <c r="O1046" s="65">
        <v>241.77</v>
      </c>
      <c r="P1046" s="65">
        <v>11419.95</v>
      </c>
      <c r="Q1046" s="50">
        <v>10699.43</v>
      </c>
      <c r="R1046" s="65">
        <v>0</v>
      </c>
      <c r="S1046" s="65">
        <v>0</v>
      </c>
      <c r="T1046" s="65">
        <v>720.52000000000044</v>
      </c>
      <c r="U1046" s="65">
        <v>0</v>
      </c>
      <c r="V1046" s="65">
        <v>0</v>
      </c>
      <c r="W1046" s="65">
        <v>0</v>
      </c>
      <c r="X1046" s="65">
        <v>10699</v>
      </c>
      <c r="Y1046" s="65">
        <v>0</v>
      </c>
      <c r="Z1046" s="65">
        <v>0</v>
      </c>
      <c r="AA1046" s="51">
        <v>0</v>
      </c>
      <c r="AB1046" s="102" t="s">
        <v>1366</v>
      </c>
      <c r="AC1046" s="81">
        <f t="shared" si="51"/>
        <v>428.8956060085838</v>
      </c>
      <c r="AD1046" s="82">
        <f t="shared" si="52"/>
        <v>33.285714285714285</v>
      </c>
      <c r="AE1046" s="218">
        <v>-6.7341905129525634E-2</v>
      </c>
      <c r="AF1046">
        <v>7</v>
      </c>
      <c r="AH1046" t="str">
        <f t="shared" si="50"/>
        <v>Laldiyara</v>
      </c>
      <c r="AJ1046" s="72">
        <v>0</v>
      </c>
      <c r="AK1046" s="72"/>
      <c r="AL1046" s="72"/>
      <c r="AM1046" s="72"/>
    </row>
    <row r="1047" spans="1:39" x14ac:dyDescent="0.25">
      <c r="A1047" s="37" t="s">
        <v>62</v>
      </c>
      <c r="B1047" s="66" t="s">
        <v>1638</v>
      </c>
      <c r="C1047" s="41">
        <v>1002</v>
      </c>
      <c r="D1047" s="41" t="s">
        <v>103</v>
      </c>
      <c r="E1047" s="41">
        <v>10020077</v>
      </c>
      <c r="F1047" s="85" t="s">
        <v>1129</v>
      </c>
      <c r="G1047" s="39" t="s">
        <v>92</v>
      </c>
      <c r="H1047" s="52" t="s">
        <v>93</v>
      </c>
      <c r="I1047" s="52">
        <v>301.39999999999998</v>
      </c>
      <c r="J1047" s="49">
        <v>15171.849999999999</v>
      </c>
      <c r="K1047" s="58">
        <v>301.39999999999998</v>
      </c>
      <c r="L1047" s="58">
        <v>15191.850000000002</v>
      </c>
      <c r="M1047" s="58">
        <v>0</v>
      </c>
      <c r="N1047" s="58">
        <v>0</v>
      </c>
      <c r="O1047" s="65">
        <v>301.39999999999998</v>
      </c>
      <c r="P1047" s="65">
        <v>15191.850000000002</v>
      </c>
      <c r="Q1047" s="50">
        <v>15171.849999999999</v>
      </c>
      <c r="R1047" s="65">
        <v>0</v>
      </c>
      <c r="S1047" s="65">
        <v>0</v>
      </c>
      <c r="T1047" s="65">
        <v>20.000000000003638</v>
      </c>
      <c r="U1047" s="65">
        <v>0</v>
      </c>
      <c r="V1047" s="65">
        <v>500</v>
      </c>
      <c r="W1047" s="65">
        <v>0</v>
      </c>
      <c r="X1047" s="65">
        <v>14672</v>
      </c>
      <c r="Y1047" s="65">
        <v>0</v>
      </c>
      <c r="Z1047" s="65">
        <v>0</v>
      </c>
      <c r="AA1047" s="51">
        <v>0</v>
      </c>
      <c r="AB1047" s="102">
        <v>0</v>
      </c>
      <c r="AC1047" s="81">
        <f t="shared" si="51"/>
        <v>401.29392236230927</v>
      </c>
      <c r="AD1047" s="82">
        <f t="shared" si="52"/>
        <v>43.057142857142857</v>
      </c>
      <c r="AE1047" s="218">
        <v>-1.3182308024402851E-3</v>
      </c>
      <c r="AF1047">
        <v>1</v>
      </c>
      <c r="AH1047" t="str">
        <f t="shared" si="50"/>
        <v>Laldiyara</v>
      </c>
      <c r="AJ1047" s="72">
        <v>500</v>
      </c>
      <c r="AK1047" s="72"/>
      <c r="AL1047" s="72"/>
      <c r="AM1047" s="72"/>
    </row>
    <row r="1048" spans="1:39" x14ac:dyDescent="0.25">
      <c r="A1048" s="37" t="s">
        <v>62</v>
      </c>
      <c r="B1048" s="66" t="s">
        <v>1638</v>
      </c>
      <c r="C1048" s="41">
        <v>1002</v>
      </c>
      <c r="D1048" s="41" t="s">
        <v>103</v>
      </c>
      <c r="E1048" s="41">
        <v>10020078</v>
      </c>
      <c r="F1048" s="85" t="s">
        <v>1130</v>
      </c>
      <c r="G1048" s="39" t="s">
        <v>92</v>
      </c>
      <c r="H1048" s="52" t="s">
        <v>93</v>
      </c>
      <c r="I1048" s="52">
        <v>567.30000000000007</v>
      </c>
      <c r="J1048" s="49">
        <v>25026.57</v>
      </c>
      <c r="K1048" s="58">
        <v>566.96</v>
      </c>
      <c r="L1048" s="58">
        <v>32405.119999999999</v>
      </c>
      <c r="M1048" s="58">
        <v>0</v>
      </c>
      <c r="N1048" s="58">
        <v>0</v>
      </c>
      <c r="O1048" s="65">
        <v>566.96</v>
      </c>
      <c r="P1048" s="65">
        <v>32405.119999999999</v>
      </c>
      <c r="Q1048" s="50">
        <v>25026.57</v>
      </c>
      <c r="R1048" s="65">
        <v>0</v>
      </c>
      <c r="S1048" s="65">
        <v>0</v>
      </c>
      <c r="T1048" s="65">
        <v>7378.5499999999993</v>
      </c>
      <c r="U1048" s="65">
        <v>0</v>
      </c>
      <c r="V1048" s="65">
        <v>0</v>
      </c>
      <c r="W1048" s="65">
        <v>0</v>
      </c>
      <c r="X1048" s="65">
        <v>25027</v>
      </c>
      <c r="Y1048" s="65">
        <v>0</v>
      </c>
      <c r="Z1048" s="65">
        <v>0</v>
      </c>
      <c r="AA1048" s="51">
        <v>0</v>
      </c>
      <c r="AB1048" s="102">
        <v>0</v>
      </c>
      <c r="AC1048" s="81">
        <f t="shared" si="51"/>
        <v>117.0818205182442</v>
      </c>
      <c r="AD1048" s="82">
        <f t="shared" si="52"/>
        <v>81.042857142857159</v>
      </c>
      <c r="AE1048" s="218">
        <v>-0.29482865610429232</v>
      </c>
      <c r="AF1048">
        <v>2</v>
      </c>
      <c r="AH1048" t="str">
        <f t="shared" si="50"/>
        <v>Laldiyara</v>
      </c>
      <c r="AJ1048" s="72">
        <v>0</v>
      </c>
      <c r="AK1048" s="72"/>
      <c r="AL1048" s="72"/>
      <c r="AM1048" s="72"/>
    </row>
    <row r="1049" spans="1:39" x14ac:dyDescent="0.25">
      <c r="A1049" s="37" t="s">
        <v>62</v>
      </c>
      <c r="B1049" s="66" t="s">
        <v>1638</v>
      </c>
      <c r="C1049" s="41">
        <v>1002</v>
      </c>
      <c r="D1049" s="41" t="s">
        <v>103</v>
      </c>
      <c r="E1049" s="41">
        <v>10020079</v>
      </c>
      <c r="F1049" s="85" t="s">
        <v>1131</v>
      </c>
      <c r="G1049" s="39" t="s">
        <v>92</v>
      </c>
      <c r="H1049" s="52" t="s">
        <v>93</v>
      </c>
      <c r="I1049" s="111">
        <v>146.9</v>
      </c>
      <c r="J1049" s="49">
        <v>6555.1400000000012</v>
      </c>
      <c r="K1049" s="58">
        <v>146.61999999999998</v>
      </c>
      <c r="L1049" s="58">
        <v>7282.55</v>
      </c>
      <c r="M1049" s="58">
        <v>0</v>
      </c>
      <c r="N1049" s="58">
        <v>0</v>
      </c>
      <c r="O1049" s="65">
        <v>146.61999999999998</v>
      </c>
      <c r="P1049" s="65">
        <v>7282.55</v>
      </c>
      <c r="Q1049" s="50">
        <v>6555.1400000000012</v>
      </c>
      <c r="R1049" s="65">
        <v>0</v>
      </c>
      <c r="S1049" s="65">
        <v>0</v>
      </c>
      <c r="T1049" s="65">
        <v>727.40999999999894</v>
      </c>
      <c r="U1049" s="65">
        <v>0</v>
      </c>
      <c r="V1049" s="65">
        <v>500</v>
      </c>
      <c r="W1049" s="65">
        <v>0</v>
      </c>
      <c r="X1049" s="65">
        <v>6055</v>
      </c>
      <c r="Y1049" s="65">
        <v>0</v>
      </c>
      <c r="Z1049" s="65">
        <v>0</v>
      </c>
      <c r="AA1049" s="51">
        <v>0</v>
      </c>
      <c r="AB1049" s="102">
        <v>0</v>
      </c>
      <c r="AC1049" s="81">
        <f t="shared" si="51"/>
        <v>493.62122995234853</v>
      </c>
      <c r="AD1049" s="82">
        <f t="shared" si="52"/>
        <v>20.985714285714288</v>
      </c>
      <c r="AE1049" s="218">
        <v>-0.11096788169283933</v>
      </c>
      <c r="AF1049">
        <v>3</v>
      </c>
      <c r="AH1049" t="str">
        <f t="shared" si="50"/>
        <v>Laldiyara</v>
      </c>
      <c r="AJ1049" s="72">
        <v>500</v>
      </c>
      <c r="AK1049" s="72"/>
      <c r="AL1049" s="72"/>
      <c r="AM1049" s="72"/>
    </row>
    <row r="1050" spans="1:39" x14ac:dyDescent="0.25">
      <c r="A1050" s="37" t="s">
        <v>62</v>
      </c>
      <c r="B1050" s="66" t="s">
        <v>1638</v>
      </c>
      <c r="C1050" s="41">
        <v>1002</v>
      </c>
      <c r="D1050" s="41" t="s">
        <v>103</v>
      </c>
      <c r="E1050" s="41">
        <v>10020081</v>
      </c>
      <c r="F1050" s="85" t="s">
        <v>1169</v>
      </c>
      <c r="G1050" s="39" t="s">
        <v>92</v>
      </c>
      <c r="H1050" s="52" t="s">
        <v>98</v>
      </c>
      <c r="I1050" s="52">
        <v>2188.1999999999998</v>
      </c>
      <c r="J1050" s="49">
        <v>92601.700000000012</v>
      </c>
      <c r="K1050" s="58">
        <v>0</v>
      </c>
      <c r="L1050" s="58">
        <v>0</v>
      </c>
      <c r="M1050" s="58">
        <v>0</v>
      </c>
      <c r="N1050" s="58">
        <v>0</v>
      </c>
      <c r="O1050" s="65">
        <v>0</v>
      </c>
      <c r="P1050" s="65">
        <v>0</v>
      </c>
      <c r="Q1050" s="50">
        <v>92601.700000000012</v>
      </c>
      <c r="R1050" s="65">
        <v>0</v>
      </c>
      <c r="S1050" s="65">
        <v>0</v>
      </c>
      <c r="T1050" s="65">
        <v>0</v>
      </c>
      <c r="U1050" s="65">
        <v>0</v>
      </c>
      <c r="V1050" s="65">
        <v>0</v>
      </c>
      <c r="W1050" s="65">
        <v>0</v>
      </c>
      <c r="X1050" s="65">
        <v>0</v>
      </c>
      <c r="Y1050" s="65">
        <v>0</v>
      </c>
      <c r="Z1050" s="65">
        <v>92601.700000000012</v>
      </c>
      <c r="AA1050" s="51">
        <v>0</v>
      </c>
      <c r="AB1050" s="102">
        <v>0</v>
      </c>
      <c r="AC1050" s="81">
        <f t="shared" si="51"/>
        <v>0</v>
      </c>
      <c r="AD1050" s="82">
        <f t="shared" si="52"/>
        <v>0</v>
      </c>
      <c r="AE1050" s="218">
        <v>0</v>
      </c>
      <c r="AF1050">
        <v>0</v>
      </c>
      <c r="AH1050" t="str">
        <f t="shared" si="50"/>
        <v>Laldiyara</v>
      </c>
      <c r="AJ1050" s="72">
        <v>0</v>
      </c>
      <c r="AK1050" s="72"/>
      <c r="AL1050" s="72"/>
      <c r="AM1050" s="72"/>
    </row>
    <row r="1051" spans="1:39" x14ac:dyDescent="0.25">
      <c r="A1051" s="37" t="s">
        <v>62</v>
      </c>
      <c r="B1051" s="66" t="s">
        <v>1638</v>
      </c>
      <c r="C1051" s="41">
        <v>1002</v>
      </c>
      <c r="D1051" s="41" t="s">
        <v>103</v>
      </c>
      <c r="E1051" s="41">
        <v>10020082</v>
      </c>
      <c r="F1051" s="85" t="s">
        <v>1170</v>
      </c>
      <c r="G1051" s="39" t="s">
        <v>92</v>
      </c>
      <c r="H1051" s="52" t="s">
        <v>98</v>
      </c>
      <c r="I1051" s="49">
        <v>1663.5999999999997</v>
      </c>
      <c r="J1051" s="49">
        <v>71853.179999999978</v>
      </c>
      <c r="K1051" s="58">
        <v>0</v>
      </c>
      <c r="L1051" s="58">
        <v>0</v>
      </c>
      <c r="M1051" s="58">
        <v>0</v>
      </c>
      <c r="N1051" s="58">
        <v>0</v>
      </c>
      <c r="O1051" s="65">
        <v>0</v>
      </c>
      <c r="P1051" s="65">
        <v>0</v>
      </c>
      <c r="Q1051" s="50">
        <v>71853.179999999978</v>
      </c>
      <c r="R1051" s="65">
        <v>0</v>
      </c>
      <c r="S1051" s="65">
        <v>0</v>
      </c>
      <c r="T1051" s="65">
        <v>0</v>
      </c>
      <c r="U1051" s="65">
        <v>0</v>
      </c>
      <c r="V1051" s="65">
        <v>0</v>
      </c>
      <c r="W1051" s="65">
        <v>0</v>
      </c>
      <c r="X1051" s="65">
        <v>0</v>
      </c>
      <c r="Y1051" s="65">
        <v>0</v>
      </c>
      <c r="Z1051" s="65">
        <v>71853.179999999978</v>
      </c>
      <c r="AA1051" s="51">
        <v>0</v>
      </c>
      <c r="AB1051" s="102">
        <v>0</v>
      </c>
      <c r="AC1051" s="81">
        <f t="shared" si="51"/>
        <v>0</v>
      </c>
      <c r="AD1051" s="82">
        <f t="shared" si="52"/>
        <v>0</v>
      </c>
      <c r="AE1051" s="218">
        <v>0</v>
      </c>
      <c r="AF1051">
        <v>0</v>
      </c>
      <c r="AH1051" t="str">
        <f t="shared" si="50"/>
        <v>Laldiyara</v>
      </c>
      <c r="AJ1051" s="72">
        <v>0</v>
      </c>
      <c r="AK1051" s="72"/>
      <c r="AL1051" s="72"/>
      <c r="AM1051" s="72"/>
    </row>
    <row r="1052" spans="1:39" x14ac:dyDescent="0.25">
      <c r="A1052" s="37" t="s">
        <v>62</v>
      </c>
      <c r="B1052" s="66" t="s">
        <v>1638</v>
      </c>
      <c r="C1052" s="41">
        <v>1002</v>
      </c>
      <c r="D1052" s="41" t="s">
        <v>103</v>
      </c>
      <c r="E1052" s="41">
        <v>10020083</v>
      </c>
      <c r="F1052" s="85" t="s">
        <v>1225</v>
      </c>
      <c r="G1052" s="39" t="s">
        <v>92</v>
      </c>
      <c r="H1052" s="52" t="s">
        <v>93</v>
      </c>
      <c r="I1052" s="52">
        <v>588.59999999999991</v>
      </c>
      <c r="J1052" s="49">
        <v>23408.129999999997</v>
      </c>
      <c r="K1052" s="58">
        <v>589.79999999999995</v>
      </c>
      <c r="L1052" s="58">
        <v>24923.8</v>
      </c>
      <c r="M1052" s="58">
        <v>0</v>
      </c>
      <c r="N1052" s="58">
        <v>0</v>
      </c>
      <c r="O1052" s="65">
        <v>589.79999999999995</v>
      </c>
      <c r="P1052" s="65">
        <v>24923.8</v>
      </c>
      <c r="Q1052" s="50">
        <v>23408.129999999997</v>
      </c>
      <c r="R1052" s="65">
        <v>0</v>
      </c>
      <c r="S1052" s="65">
        <v>0</v>
      </c>
      <c r="T1052" s="65">
        <v>1515.6700000000019</v>
      </c>
      <c r="U1052" s="65">
        <v>0</v>
      </c>
      <c r="V1052" s="65">
        <v>0</v>
      </c>
      <c r="W1052" s="65">
        <v>0</v>
      </c>
      <c r="X1052" s="65">
        <v>23408</v>
      </c>
      <c r="Y1052" s="65">
        <v>0</v>
      </c>
      <c r="Z1052" s="65">
        <v>0</v>
      </c>
      <c r="AA1052" s="51">
        <v>0</v>
      </c>
      <c r="AB1052" s="102">
        <v>0</v>
      </c>
      <c r="AC1052" s="81">
        <f t="shared" si="51"/>
        <v>88.605697655453682</v>
      </c>
      <c r="AD1052" s="82">
        <f t="shared" si="52"/>
        <v>84.085714285714275</v>
      </c>
      <c r="AE1052" s="218">
        <v>-6.474972584311528E-2</v>
      </c>
      <c r="AF1052">
        <v>2</v>
      </c>
      <c r="AH1052" t="str">
        <f t="shared" si="50"/>
        <v>Laldiyara</v>
      </c>
      <c r="AJ1052" s="72">
        <v>0</v>
      </c>
      <c r="AK1052" s="72"/>
      <c r="AL1052" s="72"/>
      <c r="AM1052" s="72"/>
    </row>
    <row r="1053" spans="1:39" x14ac:dyDescent="0.25">
      <c r="A1053" s="37" t="s">
        <v>62</v>
      </c>
      <c r="B1053" s="66" t="s">
        <v>1638</v>
      </c>
      <c r="C1053" s="41">
        <v>1002</v>
      </c>
      <c r="D1053" s="41" t="s">
        <v>103</v>
      </c>
      <c r="E1053" s="41">
        <v>10020084</v>
      </c>
      <c r="F1053" s="85" t="s">
        <v>1217</v>
      </c>
      <c r="G1053" s="39" t="s">
        <v>92</v>
      </c>
      <c r="H1053" s="52" t="s">
        <v>93</v>
      </c>
      <c r="I1053" s="52">
        <v>611.40000000000009</v>
      </c>
      <c r="J1053" s="49">
        <v>25937.98</v>
      </c>
      <c r="K1053" s="58">
        <v>143.38</v>
      </c>
      <c r="L1053" s="58">
        <v>5690.52</v>
      </c>
      <c r="M1053" s="58">
        <v>469.97</v>
      </c>
      <c r="N1053" s="58">
        <v>18951.050000000003</v>
      </c>
      <c r="O1053" s="65">
        <v>613.35</v>
      </c>
      <c r="P1053" s="65">
        <v>24641.570000000003</v>
      </c>
      <c r="Q1053" s="50">
        <v>24641.570000000003</v>
      </c>
      <c r="R1053" s="65">
        <v>0</v>
      </c>
      <c r="S1053" s="65">
        <v>0</v>
      </c>
      <c r="T1053" s="65">
        <v>0</v>
      </c>
      <c r="U1053" s="65">
        <v>0</v>
      </c>
      <c r="V1053" s="65">
        <v>0</v>
      </c>
      <c r="W1053" s="65">
        <v>0</v>
      </c>
      <c r="X1053" s="65">
        <v>5691</v>
      </c>
      <c r="Y1053" s="65">
        <v>18953</v>
      </c>
      <c r="Z1053" s="65">
        <v>0</v>
      </c>
      <c r="AA1053" s="51">
        <v>1294</v>
      </c>
      <c r="AB1053" s="102">
        <v>0</v>
      </c>
      <c r="AC1053" s="81">
        <f t="shared" si="51"/>
        <v>75.175172652927628</v>
      </c>
      <c r="AD1053" s="82">
        <f t="shared" si="52"/>
        <v>87.342857142857156</v>
      </c>
      <c r="AE1053" s="218">
        <v>4.9981147336839504E-2</v>
      </c>
      <c r="AF1053">
        <v>26</v>
      </c>
      <c r="AH1053" t="str">
        <f t="shared" si="50"/>
        <v>Laldiyara</v>
      </c>
      <c r="AJ1053" s="72">
        <v>0</v>
      </c>
      <c r="AK1053" s="72"/>
      <c r="AL1053" s="72"/>
      <c r="AM1053" s="72"/>
    </row>
    <row r="1054" spans="1:39" x14ac:dyDescent="0.25">
      <c r="A1054" s="37" t="s">
        <v>62</v>
      </c>
      <c r="B1054" s="66" t="s">
        <v>1638</v>
      </c>
      <c r="C1054" s="41">
        <v>1002</v>
      </c>
      <c r="D1054" s="41" t="s">
        <v>103</v>
      </c>
      <c r="E1054" s="41">
        <v>10020087</v>
      </c>
      <c r="F1054" s="85" t="s">
        <v>1498</v>
      </c>
      <c r="G1054" s="39" t="s">
        <v>92</v>
      </c>
      <c r="H1054" s="52" t="s">
        <v>93</v>
      </c>
      <c r="I1054" s="52">
        <v>744.39999999999986</v>
      </c>
      <c r="J1054" s="49">
        <v>31546.06</v>
      </c>
      <c r="K1054" s="58">
        <v>760.48999999999978</v>
      </c>
      <c r="L1054" s="58">
        <v>30856.18</v>
      </c>
      <c r="M1054" s="58">
        <v>0</v>
      </c>
      <c r="N1054" s="58">
        <v>0</v>
      </c>
      <c r="O1054" s="65">
        <v>760.48999999999978</v>
      </c>
      <c r="P1054" s="65">
        <v>30856.18</v>
      </c>
      <c r="Q1054" s="50">
        <v>30856.18</v>
      </c>
      <c r="R1054" s="65">
        <v>0</v>
      </c>
      <c r="S1054" s="65">
        <v>0</v>
      </c>
      <c r="T1054" s="65">
        <v>0</v>
      </c>
      <c r="U1054" s="65">
        <v>0</v>
      </c>
      <c r="V1054" s="65">
        <v>0</v>
      </c>
      <c r="W1054" s="65">
        <v>0</v>
      </c>
      <c r="X1054" s="65">
        <v>30856</v>
      </c>
      <c r="Y1054" s="65">
        <v>0</v>
      </c>
      <c r="Z1054" s="65">
        <v>0</v>
      </c>
      <c r="AA1054" s="51">
        <v>690</v>
      </c>
      <c r="AB1054" s="102">
        <v>0</v>
      </c>
      <c r="AC1054" s="81">
        <f t="shared" si="51"/>
        <v>0</v>
      </c>
      <c r="AD1054" s="82">
        <f t="shared" si="52"/>
        <v>0</v>
      </c>
      <c r="AE1054" s="218">
        <v>2.1868975079613776E-2</v>
      </c>
      <c r="AF1054">
        <v>3</v>
      </c>
      <c r="AH1054" t="str">
        <f t="shared" si="50"/>
        <v>Laldiyara</v>
      </c>
      <c r="AJ1054" s="72">
        <v>0</v>
      </c>
      <c r="AK1054" s="72"/>
      <c r="AL1054" s="72"/>
      <c r="AM1054" s="72"/>
    </row>
    <row r="1055" spans="1:39" x14ac:dyDescent="0.25">
      <c r="A1055" s="37" t="s">
        <v>62</v>
      </c>
      <c r="B1055" s="66" t="s">
        <v>1638</v>
      </c>
      <c r="C1055" s="41">
        <v>1002</v>
      </c>
      <c r="D1055" s="41" t="s">
        <v>103</v>
      </c>
      <c r="E1055" s="41">
        <v>10020088</v>
      </c>
      <c r="F1055" s="85" t="s">
        <v>1535</v>
      </c>
      <c r="G1055" s="39" t="s">
        <v>92</v>
      </c>
      <c r="H1055" s="52" t="s">
        <v>93</v>
      </c>
      <c r="I1055" s="52">
        <v>285.8</v>
      </c>
      <c r="J1055" s="49">
        <v>11502.990000000002</v>
      </c>
      <c r="K1055" s="58">
        <v>284.6099999999999</v>
      </c>
      <c r="L1055" s="58">
        <v>11860.199999999997</v>
      </c>
      <c r="M1055" s="58">
        <v>0</v>
      </c>
      <c r="N1055" s="58">
        <v>0</v>
      </c>
      <c r="O1055" s="65">
        <v>284.6099999999999</v>
      </c>
      <c r="P1055" s="65">
        <v>11860.199999999997</v>
      </c>
      <c r="Q1055" s="50">
        <v>11502.990000000002</v>
      </c>
      <c r="R1055" s="65">
        <v>0</v>
      </c>
      <c r="S1055" s="65">
        <v>0</v>
      </c>
      <c r="T1055" s="65">
        <v>357.20999999999549</v>
      </c>
      <c r="U1055" s="65">
        <v>0</v>
      </c>
      <c r="V1055" s="65">
        <v>0</v>
      </c>
      <c r="W1055" s="65">
        <v>0</v>
      </c>
      <c r="X1055" s="65">
        <v>11503</v>
      </c>
      <c r="Y1055" s="65">
        <v>0</v>
      </c>
      <c r="Z1055" s="65">
        <v>0</v>
      </c>
      <c r="AA1055" s="51">
        <v>0</v>
      </c>
      <c r="AB1055" s="102">
        <v>0</v>
      </c>
      <c r="AC1055" s="81">
        <f t="shared" si="51"/>
        <v>333.41766675997206</v>
      </c>
      <c r="AD1055" s="82">
        <f t="shared" si="52"/>
        <v>40.828571428571429</v>
      </c>
      <c r="AE1055" s="218">
        <v>-3.1053665177488241E-2</v>
      </c>
      <c r="AF1055">
        <v>1</v>
      </c>
      <c r="AH1055" t="str">
        <f t="shared" si="50"/>
        <v>Laldiyara</v>
      </c>
      <c r="AJ1055" s="72">
        <v>0</v>
      </c>
      <c r="AK1055" s="72"/>
      <c r="AL1055" s="72"/>
      <c r="AM1055" s="72"/>
    </row>
    <row r="1056" spans="1:39" x14ac:dyDescent="0.25">
      <c r="A1056" s="37" t="s">
        <v>62</v>
      </c>
      <c r="B1056" s="66" t="s">
        <v>1638</v>
      </c>
      <c r="C1056" s="41">
        <v>1003</v>
      </c>
      <c r="D1056" s="41" t="s">
        <v>137</v>
      </c>
      <c r="E1056" s="41">
        <v>10030002</v>
      </c>
      <c r="F1056" s="85" t="s">
        <v>113</v>
      </c>
      <c r="G1056" s="39" t="s">
        <v>1610</v>
      </c>
      <c r="H1056" s="52" t="s">
        <v>98</v>
      </c>
      <c r="I1056" s="52">
        <v>537.5</v>
      </c>
      <c r="J1056" s="49">
        <v>22637.35</v>
      </c>
      <c r="K1056" s="58">
        <v>0</v>
      </c>
      <c r="L1056" s="58">
        <v>0</v>
      </c>
      <c r="M1056" s="58">
        <v>0</v>
      </c>
      <c r="N1056" s="58">
        <v>0</v>
      </c>
      <c r="O1056" s="65">
        <v>0</v>
      </c>
      <c r="P1056" s="65">
        <v>0</v>
      </c>
      <c r="Q1056" s="50">
        <v>22637.35</v>
      </c>
      <c r="R1056" s="65">
        <v>0</v>
      </c>
      <c r="S1056" s="65">
        <v>0</v>
      </c>
      <c r="T1056" s="65">
        <v>0</v>
      </c>
      <c r="U1056" s="65">
        <v>0</v>
      </c>
      <c r="V1056" s="65">
        <v>0</v>
      </c>
      <c r="W1056" s="65">
        <v>0</v>
      </c>
      <c r="X1056" s="65">
        <v>0</v>
      </c>
      <c r="Y1056" s="65">
        <v>0</v>
      </c>
      <c r="Z1056" s="65">
        <v>22637.35</v>
      </c>
      <c r="AA1056" s="51">
        <v>0</v>
      </c>
      <c r="AB1056" s="102">
        <v>0</v>
      </c>
      <c r="AC1056" s="81">
        <f t="shared" si="51"/>
        <v>136.87699999999995</v>
      </c>
      <c r="AD1056" s="82">
        <f t="shared" si="52"/>
        <v>76.785714285714292</v>
      </c>
      <c r="AE1056" s="218">
        <v>0</v>
      </c>
      <c r="AF1056">
        <v>0</v>
      </c>
      <c r="AH1056" t="str">
        <f t="shared" si="50"/>
        <v>Asarganj</v>
      </c>
      <c r="AJ1056" s="72">
        <v>0</v>
      </c>
      <c r="AK1056" s="72"/>
      <c r="AL1056" s="72"/>
      <c r="AM1056" s="72"/>
    </row>
    <row r="1057" spans="1:39" x14ac:dyDescent="0.25">
      <c r="A1057" s="37" t="s">
        <v>62</v>
      </c>
      <c r="B1057" s="66" t="s">
        <v>1638</v>
      </c>
      <c r="C1057" s="41">
        <v>1003</v>
      </c>
      <c r="D1057" s="41" t="s">
        <v>137</v>
      </c>
      <c r="E1057" s="41">
        <v>10030003</v>
      </c>
      <c r="F1057" s="85" t="s">
        <v>138</v>
      </c>
      <c r="G1057" s="39" t="s">
        <v>92</v>
      </c>
      <c r="H1057" s="52" t="s">
        <v>93</v>
      </c>
      <c r="I1057" s="52">
        <v>1841.4</v>
      </c>
      <c r="J1057" s="49">
        <v>90312.349999999977</v>
      </c>
      <c r="K1057" s="58">
        <v>1821.9999999999993</v>
      </c>
      <c r="L1057" s="58">
        <v>88528.35</v>
      </c>
      <c r="M1057" s="58">
        <v>28.8</v>
      </c>
      <c r="N1057" s="58">
        <v>2097.6499999999996</v>
      </c>
      <c r="O1057" s="65">
        <v>1850.7999999999993</v>
      </c>
      <c r="P1057" s="65">
        <v>90626</v>
      </c>
      <c r="Q1057" s="50">
        <v>90312.349999999977</v>
      </c>
      <c r="R1057" s="65">
        <v>0</v>
      </c>
      <c r="S1057" s="65">
        <v>2097.6499999999996</v>
      </c>
      <c r="T1057" s="65">
        <v>313.65000000002328</v>
      </c>
      <c r="U1057" s="65">
        <v>0</v>
      </c>
      <c r="V1057" s="65">
        <v>0</v>
      </c>
      <c r="W1057" s="65">
        <v>0</v>
      </c>
      <c r="X1057" s="65">
        <v>88215</v>
      </c>
      <c r="Y1057" s="65">
        <v>0</v>
      </c>
      <c r="Z1057" s="65">
        <v>0</v>
      </c>
      <c r="AA1057" s="51">
        <v>0</v>
      </c>
      <c r="AB1057" s="102">
        <v>0</v>
      </c>
      <c r="AC1057" s="81">
        <f t="shared" si="51"/>
        <v>0</v>
      </c>
      <c r="AD1057" s="82">
        <f t="shared" si="52"/>
        <v>0</v>
      </c>
      <c r="AE1057" s="218">
        <v>-3.4729469446872258E-3</v>
      </c>
      <c r="AF1057">
        <v>70</v>
      </c>
      <c r="AH1057" t="str">
        <f t="shared" si="50"/>
        <v>Asarganj</v>
      </c>
      <c r="AJ1057" s="72">
        <v>0</v>
      </c>
      <c r="AK1057" s="72"/>
      <c r="AL1057" s="72"/>
      <c r="AM1057" s="72"/>
    </row>
    <row r="1058" spans="1:39" x14ac:dyDescent="0.25">
      <c r="A1058" s="37" t="s">
        <v>62</v>
      </c>
      <c r="B1058" s="66" t="s">
        <v>1638</v>
      </c>
      <c r="C1058" s="41">
        <v>1003</v>
      </c>
      <c r="D1058" s="41" t="s">
        <v>137</v>
      </c>
      <c r="E1058" s="41">
        <v>10030007</v>
      </c>
      <c r="F1058" s="85" t="s">
        <v>139</v>
      </c>
      <c r="G1058" s="39" t="s">
        <v>1610</v>
      </c>
      <c r="H1058" s="52" t="s">
        <v>98</v>
      </c>
      <c r="I1058" s="52">
        <v>802.25000000000011</v>
      </c>
      <c r="J1058" s="49">
        <v>23901.95</v>
      </c>
      <c r="K1058" s="58">
        <v>0</v>
      </c>
      <c r="L1058" s="58">
        <v>0</v>
      </c>
      <c r="M1058" s="58">
        <v>0</v>
      </c>
      <c r="N1058" s="58">
        <v>0</v>
      </c>
      <c r="O1058" s="65">
        <v>0</v>
      </c>
      <c r="P1058" s="65">
        <v>0</v>
      </c>
      <c r="Q1058" s="50">
        <v>23901.95</v>
      </c>
      <c r="R1058" s="65">
        <v>0</v>
      </c>
      <c r="S1058" s="65">
        <v>0</v>
      </c>
      <c r="T1058" s="65">
        <v>0</v>
      </c>
      <c r="U1058" s="65">
        <v>0</v>
      </c>
      <c r="V1058" s="65">
        <v>0</v>
      </c>
      <c r="W1058" s="65">
        <v>0</v>
      </c>
      <c r="X1058" s="65">
        <v>0</v>
      </c>
      <c r="Y1058" s="65">
        <v>0</v>
      </c>
      <c r="Z1058" s="65">
        <v>23901.95</v>
      </c>
      <c r="AA1058" s="51">
        <v>0</v>
      </c>
      <c r="AB1058" s="102">
        <v>0</v>
      </c>
      <c r="AC1058" s="81">
        <f t="shared" si="51"/>
        <v>0</v>
      </c>
      <c r="AD1058" s="82">
        <f t="shared" si="52"/>
        <v>0</v>
      </c>
      <c r="AE1058" s="218">
        <v>0</v>
      </c>
      <c r="AF1058">
        <v>0</v>
      </c>
      <c r="AH1058" t="str">
        <f t="shared" si="50"/>
        <v>Asarganj</v>
      </c>
      <c r="AJ1058" s="72">
        <v>0</v>
      </c>
      <c r="AK1058" s="72"/>
      <c r="AL1058" s="72"/>
      <c r="AM1058" s="72"/>
    </row>
    <row r="1059" spans="1:39" x14ac:dyDescent="0.25">
      <c r="A1059" s="37" t="s">
        <v>62</v>
      </c>
      <c r="B1059" s="66" t="s">
        <v>1638</v>
      </c>
      <c r="C1059" s="41">
        <v>1003</v>
      </c>
      <c r="D1059" s="41" t="s">
        <v>137</v>
      </c>
      <c r="E1059" s="41">
        <v>10030009</v>
      </c>
      <c r="F1059" s="85" t="s">
        <v>140</v>
      </c>
      <c r="G1059" s="39" t="s">
        <v>1610</v>
      </c>
      <c r="H1059" s="52" t="s">
        <v>98</v>
      </c>
      <c r="I1059" s="52">
        <v>16526.099999999999</v>
      </c>
      <c r="J1059" s="49">
        <v>694071.55999999982</v>
      </c>
      <c r="K1059" s="58">
        <v>0</v>
      </c>
      <c r="L1059" s="58">
        <v>0</v>
      </c>
      <c r="M1059" s="58">
        <v>0</v>
      </c>
      <c r="N1059" s="58">
        <v>0</v>
      </c>
      <c r="O1059" s="65">
        <v>0</v>
      </c>
      <c r="P1059" s="65">
        <v>0</v>
      </c>
      <c r="Q1059" s="50">
        <v>694071.55999999982</v>
      </c>
      <c r="R1059" s="65">
        <v>0</v>
      </c>
      <c r="S1059" s="65">
        <v>0</v>
      </c>
      <c r="T1059" s="65">
        <v>0</v>
      </c>
      <c r="U1059" s="65">
        <v>0</v>
      </c>
      <c r="V1059" s="65">
        <v>0</v>
      </c>
      <c r="W1059" s="65">
        <v>0</v>
      </c>
      <c r="X1059" s="65">
        <v>0</v>
      </c>
      <c r="Y1059" s="65">
        <v>0</v>
      </c>
      <c r="Z1059" s="65">
        <v>694071.55999999982</v>
      </c>
      <c r="AA1059" s="51">
        <v>0</v>
      </c>
      <c r="AB1059" s="102">
        <v>0</v>
      </c>
      <c r="AC1059" s="81">
        <f t="shared" si="51"/>
        <v>0</v>
      </c>
      <c r="AD1059" s="82">
        <f t="shared" si="52"/>
        <v>0</v>
      </c>
      <c r="AE1059" s="218">
        <v>0</v>
      </c>
      <c r="AF1059">
        <v>0</v>
      </c>
      <c r="AH1059" t="str">
        <f t="shared" si="50"/>
        <v>Asarganj</v>
      </c>
      <c r="AJ1059" s="72">
        <v>0</v>
      </c>
      <c r="AK1059" s="72"/>
      <c r="AL1059" s="72"/>
      <c r="AM1059" s="72"/>
    </row>
    <row r="1060" spans="1:39" x14ac:dyDescent="0.25">
      <c r="A1060" s="37" t="s">
        <v>62</v>
      </c>
      <c r="B1060" s="66" t="s">
        <v>1638</v>
      </c>
      <c r="C1060" s="41">
        <v>1003</v>
      </c>
      <c r="D1060" s="41" t="s">
        <v>137</v>
      </c>
      <c r="E1060" s="41">
        <v>10030010</v>
      </c>
      <c r="F1060" s="85" t="s">
        <v>141</v>
      </c>
      <c r="G1060" s="39" t="s">
        <v>92</v>
      </c>
      <c r="H1060" s="52" t="s">
        <v>93</v>
      </c>
      <c r="I1060" s="52">
        <v>214.3</v>
      </c>
      <c r="J1060" s="49">
        <v>7595.98</v>
      </c>
      <c r="K1060" s="58">
        <v>269.39999999999998</v>
      </c>
      <c r="L1060" s="58">
        <v>10289.929999999998</v>
      </c>
      <c r="M1060" s="58">
        <v>0</v>
      </c>
      <c r="N1060" s="58">
        <v>0</v>
      </c>
      <c r="O1060" s="65">
        <v>269.39999999999998</v>
      </c>
      <c r="P1060" s="65">
        <v>10289.929999999998</v>
      </c>
      <c r="Q1060" s="50">
        <v>7595.98</v>
      </c>
      <c r="R1060" s="65">
        <v>0</v>
      </c>
      <c r="S1060" s="65">
        <v>0</v>
      </c>
      <c r="T1060" s="65">
        <v>2693.9499999999989</v>
      </c>
      <c r="U1060" s="65">
        <v>0</v>
      </c>
      <c r="V1060" s="65">
        <v>0</v>
      </c>
      <c r="W1060" s="65">
        <v>0</v>
      </c>
      <c r="X1060" s="65">
        <v>7596</v>
      </c>
      <c r="Y1060" s="65">
        <v>0</v>
      </c>
      <c r="Z1060" s="65">
        <v>0</v>
      </c>
      <c r="AA1060" s="51">
        <v>0</v>
      </c>
      <c r="AB1060" s="102">
        <v>0</v>
      </c>
      <c r="AC1060" s="81">
        <f t="shared" si="51"/>
        <v>344.31801082594495</v>
      </c>
      <c r="AD1060" s="82">
        <f t="shared" si="52"/>
        <v>30.614285714285717</v>
      </c>
      <c r="AE1060" s="218">
        <v>-0.35465469893285645</v>
      </c>
      <c r="AF1060">
        <v>1</v>
      </c>
      <c r="AH1060" t="str">
        <f t="shared" si="50"/>
        <v>Asarganj</v>
      </c>
      <c r="AJ1060" s="72">
        <v>0</v>
      </c>
      <c r="AK1060" s="72"/>
      <c r="AL1060" s="72"/>
      <c r="AM1060" s="72"/>
    </row>
    <row r="1061" spans="1:39" x14ac:dyDescent="0.25">
      <c r="A1061" s="37" t="s">
        <v>62</v>
      </c>
      <c r="B1061" s="66" t="s">
        <v>1638</v>
      </c>
      <c r="C1061" s="41">
        <v>1003</v>
      </c>
      <c r="D1061" s="41" t="s">
        <v>137</v>
      </c>
      <c r="E1061" s="41">
        <v>10030011</v>
      </c>
      <c r="F1061" s="85" t="s">
        <v>142</v>
      </c>
      <c r="G1061" s="39" t="s">
        <v>92</v>
      </c>
      <c r="H1061" s="52" t="s">
        <v>93</v>
      </c>
      <c r="I1061" s="52">
        <v>1504.6</v>
      </c>
      <c r="J1061" s="49">
        <v>63998.63</v>
      </c>
      <c r="K1061" s="58">
        <v>1476.2</v>
      </c>
      <c r="L1061" s="58">
        <v>62698.659999999989</v>
      </c>
      <c r="M1061" s="58">
        <v>6.9</v>
      </c>
      <c r="N1061" s="58">
        <v>295.53999999999996</v>
      </c>
      <c r="O1061" s="65">
        <v>1483.1000000000001</v>
      </c>
      <c r="P1061" s="65">
        <v>62994.19999999999</v>
      </c>
      <c r="Q1061" s="50">
        <v>62994.19999999999</v>
      </c>
      <c r="R1061" s="65">
        <v>0</v>
      </c>
      <c r="S1061" s="65">
        <v>295.53999999999996</v>
      </c>
      <c r="T1061" s="65">
        <v>0</v>
      </c>
      <c r="U1061" s="65">
        <v>0</v>
      </c>
      <c r="V1061" s="65">
        <v>0</v>
      </c>
      <c r="W1061" s="65">
        <v>0</v>
      </c>
      <c r="X1061" s="65">
        <v>62702</v>
      </c>
      <c r="Y1061" s="65">
        <v>0</v>
      </c>
      <c r="Z1061" s="65">
        <v>0</v>
      </c>
      <c r="AA1061" s="51">
        <v>1001</v>
      </c>
      <c r="AB1061" s="102">
        <v>0</v>
      </c>
      <c r="AC1061" s="81">
        <f t="shared" si="51"/>
        <v>0</v>
      </c>
      <c r="AD1061" s="82">
        <f t="shared" si="52"/>
        <v>0</v>
      </c>
      <c r="AE1061" s="218">
        <v>1.5694554711561913E-2</v>
      </c>
      <c r="AF1061">
        <v>17</v>
      </c>
      <c r="AH1061" t="str">
        <f t="shared" si="50"/>
        <v>Asarganj</v>
      </c>
      <c r="AJ1061" s="72">
        <v>0</v>
      </c>
      <c r="AK1061" s="72"/>
      <c r="AL1061" s="72"/>
      <c r="AM1061" s="72"/>
    </row>
    <row r="1062" spans="1:39" x14ac:dyDescent="0.25">
      <c r="A1062" s="37" t="s">
        <v>62</v>
      </c>
      <c r="B1062" s="66" t="s">
        <v>1638</v>
      </c>
      <c r="C1062" s="41">
        <v>1003</v>
      </c>
      <c r="D1062" s="41" t="s">
        <v>137</v>
      </c>
      <c r="E1062" s="41">
        <v>10030012</v>
      </c>
      <c r="F1062" s="85" t="s">
        <v>467</v>
      </c>
      <c r="G1062" s="39" t="s">
        <v>1610</v>
      </c>
      <c r="H1062" s="52" t="s">
        <v>98</v>
      </c>
      <c r="I1062" s="52">
        <v>171.3</v>
      </c>
      <c r="J1062" s="49">
        <v>7188.99</v>
      </c>
      <c r="K1062" s="58">
        <v>0</v>
      </c>
      <c r="L1062" s="58">
        <v>0</v>
      </c>
      <c r="M1062" s="58">
        <v>0</v>
      </c>
      <c r="N1062" s="58">
        <v>0</v>
      </c>
      <c r="O1062" s="65">
        <v>0</v>
      </c>
      <c r="P1062" s="65">
        <v>0</v>
      </c>
      <c r="Q1062" s="50">
        <v>7188.99</v>
      </c>
      <c r="R1062" s="65">
        <v>0</v>
      </c>
      <c r="S1062" s="65">
        <v>0</v>
      </c>
      <c r="T1062" s="65">
        <v>0</v>
      </c>
      <c r="U1062" s="65">
        <v>0</v>
      </c>
      <c r="V1062" s="65">
        <v>0</v>
      </c>
      <c r="W1062" s="65">
        <v>0</v>
      </c>
      <c r="X1062" s="65">
        <v>0</v>
      </c>
      <c r="Y1062" s="65">
        <v>0</v>
      </c>
      <c r="Z1062" s="65">
        <v>7188.99</v>
      </c>
      <c r="AA1062" s="51">
        <v>0</v>
      </c>
      <c r="AB1062" s="102">
        <v>0</v>
      </c>
      <c r="AC1062" s="81">
        <f t="shared" si="51"/>
        <v>443.76170612959714</v>
      </c>
      <c r="AD1062" s="82">
        <f t="shared" si="52"/>
        <v>24.471428571428572</v>
      </c>
      <c r="AE1062" s="218">
        <v>0</v>
      </c>
      <c r="AF1062">
        <v>0</v>
      </c>
      <c r="AH1062" t="str">
        <f t="shared" si="50"/>
        <v>Asarganj</v>
      </c>
      <c r="AJ1062" s="72">
        <v>0</v>
      </c>
      <c r="AK1062" s="72"/>
      <c r="AL1062" s="72"/>
      <c r="AM1062" s="72"/>
    </row>
    <row r="1063" spans="1:39" x14ac:dyDescent="0.25">
      <c r="A1063" s="37" t="s">
        <v>62</v>
      </c>
      <c r="B1063" s="66" t="s">
        <v>1638</v>
      </c>
      <c r="C1063" s="41">
        <v>1003</v>
      </c>
      <c r="D1063" s="41" t="s">
        <v>137</v>
      </c>
      <c r="E1063" s="41">
        <v>10030013</v>
      </c>
      <c r="F1063" s="85" t="s">
        <v>143</v>
      </c>
      <c r="G1063" s="39" t="s">
        <v>92</v>
      </c>
      <c r="H1063" s="52" t="s">
        <v>93</v>
      </c>
      <c r="I1063" s="52">
        <v>681.19999999999993</v>
      </c>
      <c r="J1063" s="49">
        <v>37356.89</v>
      </c>
      <c r="K1063" s="58">
        <v>645.75999999999988</v>
      </c>
      <c r="L1063" s="58">
        <v>37136.200000000004</v>
      </c>
      <c r="M1063" s="58">
        <v>17.739999999999998</v>
      </c>
      <c r="N1063" s="58">
        <v>986.4000000000002</v>
      </c>
      <c r="O1063" s="65">
        <v>663.49999999999989</v>
      </c>
      <c r="P1063" s="65">
        <v>38122.600000000006</v>
      </c>
      <c r="Q1063" s="50">
        <v>37356.89</v>
      </c>
      <c r="R1063" s="65">
        <v>0</v>
      </c>
      <c r="S1063" s="65">
        <v>986.4000000000002</v>
      </c>
      <c r="T1063" s="65">
        <v>765.7100000000064</v>
      </c>
      <c r="U1063" s="65">
        <v>0</v>
      </c>
      <c r="V1063" s="65">
        <v>0</v>
      </c>
      <c r="W1063" s="65">
        <v>0</v>
      </c>
      <c r="X1063" s="65">
        <v>36370</v>
      </c>
      <c r="Y1063" s="65">
        <v>0</v>
      </c>
      <c r="Z1063" s="65">
        <v>0</v>
      </c>
      <c r="AA1063" s="51">
        <v>0</v>
      </c>
      <c r="AB1063" s="102">
        <v>0</v>
      </c>
      <c r="AC1063" s="81">
        <f t="shared" si="51"/>
        <v>20.619774867880306</v>
      </c>
      <c r="AD1063" s="82">
        <f t="shared" si="52"/>
        <v>97.314285714285703</v>
      </c>
      <c r="AE1063" s="218">
        <v>-2.0497155946332963E-2</v>
      </c>
      <c r="AF1063">
        <v>12</v>
      </c>
      <c r="AH1063" t="str">
        <f t="shared" si="50"/>
        <v>Asarganj</v>
      </c>
      <c r="AJ1063" s="72">
        <v>0</v>
      </c>
      <c r="AK1063" s="72"/>
      <c r="AL1063" s="72"/>
      <c r="AM1063" s="72"/>
    </row>
    <row r="1064" spans="1:39" x14ac:dyDescent="0.25">
      <c r="A1064" s="37" t="s">
        <v>62</v>
      </c>
      <c r="B1064" s="66" t="s">
        <v>1638</v>
      </c>
      <c r="C1064" s="41">
        <v>1003</v>
      </c>
      <c r="D1064" s="41" t="s">
        <v>137</v>
      </c>
      <c r="E1064" s="41">
        <v>10030015</v>
      </c>
      <c r="F1064" s="85" t="s">
        <v>144</v>
      </c>
      <c r="G1064" s="39" t="s">
        <v>92</v>
      </c>
      <c r="H1064" s="52" t="s">
        <v>93</v>
      </c>
      <c r="I1064" s="52">
        <v>206.7</v>
      </c>
      <c r="J1064" s="49">
        <v>8120.51</v>
      </c>
      <c r="K1064" s="58">
        <v>0</v>
      </c>
      <c r="L1064" s="58">
        <v>0</v>
      </c>
      <c r="M1064" s="58">
        <v>0</v>
      </c>
      <c r="N1064" s="58">
        <v>0</v>
      </c>
      <c r="O1064" s="65">
        <v>0</v>
      </c>
      <c r="P1064" s="65">
        <v>0</v>
      </c>
      <c r="Q1064" s="50">
        <v>0</v>
      </c>
      <c r="R1064" s="65">
        <v>0</v>
      </c>
      <c r="S1064" s="65">
        <v>0</v>
      </c>
      <c r="T1064" s="65">
        <v>0</v>
      </c>
      <c r="U1064" s="65">
        <v>0</v>
      </c>
      <c r="V1064" s="65">
        <v>0</v>
      </c>
      <c r="W1064" s="65">
        <v>0</v>
      </c>
      <c r="X1064" s="65">
        <v>0</v>
      </c>
      <c r="Y1064" s="65">
        <v>0</v>
      </c>
      <c r="Z1064" s="65">
        <v>0</v>
      </c>
      <c r="AA1064" s="51">
        <v>8121</v>
      </c>
      <c r="AB1064" s="102">
        <v>0</v>
      </c>
      <c r="AC1064" s="81">
        <f t="shared" si="51"/>
        <v>387.60015316884375</v>
      </c>
      <c r="AD1064" s="82">
        <f t="shared" si="52"/>
        <v>29.528571428571428</v>
      </c>
      <c r="AE1064" s="218">
        <v>1</v>
      </c>
      <c r="AF1064">
        <v>0</v>
      </c>
      <c r="AH1064" t="str">
        <f t="shared" si="50"/>
        <v>Asarganj</v>
      </c>
      <c r="AJ1064" s="72">
        <v>0</v>
      </c>
      <c r="AK1064" s="72"/>
      <c r="AL1064" s="72"/>
      <c r="AM1064" s="72"/>
    </row>
    <row r="1065" spans="1:39" x14ac:dyDescent="0.25">
      <c r="A1065" s="37" t="s">
        <v>62</v>
      </c>
      <c r="B1065" s="66" t="s">
        <v>1638</v>
      </c>
      <c r="C1065" s="41">
        <v>1003</v>
      </c>
      <c r="D1065" s="41" t="s">
        <v>137</v>
      </c>
      <c r="E1065" s="41">
        <v>10030016</v>
      </c>
      <c r="F1065" s="85" t="s">
        <v>145</v>
      </c>
      <c r="G1065" s="39" t="s">
        <v>92</v>
      </c>
      <c r="H1065" s="52" t="s">
        <v>93</v>
      </c>
      <c r="I1065" s="52">
        <v>1346.05</v>
      </c>
      <c r="J1065" s="49">
        <v>59696.129999999976</v>
      </c>
      <c r="K1065" s="58">
        <v>224.97</v>
      </c>
      <c r="L1065" s="58">
        <v>11700.300000000001</v>
      </c>
      <c r="M1065" s="58">
        <v>1127.21</v>
      </c>
      <c r="N1065" s="58">
        <v>49706.26</v>
      </c>
      <c r="O1065" s="65">
        <v>1352.18</v>
      </c>
      <c r="P1065" s="65">
        <v>61406.560000000005</v>
      </c>
      <c r="Q1065" s="50">
        <v>59696.129999999976</v>
      </c>
      <c r="R1065" s="65">
        <v>0</v>
      </c>
      <c r="S1065" s="65">
        <v>367.24</v>
      </c>
      <c r="T1065" s="65">
        <v>1710.4300000000294</v>
      </c>
      <c r="U1065" s="65">
        <v>0</v>
      </c>
      <c r="V1065" s="65">
        <v>0</v>
      </c>
      <c r="W1065" s="65">
        <v>0</v>
      </c>
      <c r="X1065" s="65">
        <v>9990</v>
      </c>
      <c r="Y1065" s="65">
        <v>49339</v>
      </c>
      <c r="Z1065" s="65">
        <v>0</v>
      </c>
      <c r="AA1065" s="51">
        <v>0</v>
      </c>
      <c r="AB1065" s="102">
        <v>0</v>
      </c>
      <c r="AC1065" s="81">
        <f t="shared" si="51"/>
        <v>0</v>
      </c>
      <c r="AD1065" s="82">
        <f t="shared" si="52"/>
        <v>0</v>
      </c>
      <c r="AE1065" s="218">
        <v>-2.8652276119072208E-2</v>
      </c>
      <c r="AF1065">
        <v>13</v>
      </c>
      <c r="AH1065" t="str">
        <f t="shared" si="50"/>
        <v>Asarganj</v>
      </c>
      <c r="AJ1065" s="72">
        <v>0</v>
      </c>
      <c r="AK1065" s="72"/>
      <c r="AL1065" s="72"/>
      <c r="AM1065" s="72"/>
    </row>
    <row r="1066" spans="1:39" x14ac:dyDescent="0.25">
      <c r="A1066" s="37" t="s">
        <v>62</v>
      </c>
      <c r="B1066" s="66" t="s">
        <v>1638</v>
      </c>
      <c r="C1066" s="41">
        <v>1003</v>
      </c>
      <c r="D1066" s="41" t="s">
        <v>137</v>
      </c>
      <c r="E1066" s="41">
        <v>10030017</v>
      </c>
      <c r="F1066" s="85" t="s">
        <v>146</v>
      </c>
      <c r="G1066" s="39" t="s">
        <v>92</v>
      </c>
      <c r="H1066" s="52" t="s">
        <v>93</v>
      </c>
      <c r="I1066" s="52">
        <v>1434.55</v>
      </c>
      <c r="J1066" s="49">
        <v>76499.87000000001</v>
      </c>
      <c r="K1066" s="58">
        <v>1420.5799999999997</v>
      </c>
      <c r="L1066" s="58">
        <v>74606.66</v>
      </c>
      <c r="M1066" s="58">
        <v>36.339999999999996</v>
      </c>
      <c r="N1066" s="58">
        <v>1966.8699999999994</v>
      </c>
      <c r="O1066" s="65">
        <v>1456.9199999999996</v>
      </c>
      <c r="P1066" s="65">
        <v>76573.53</v>
      </c>
      <c r="Q1066" s="50">
        <v>76499.87000000001</v>
      </c>
      <c r="R1066" s="65">
        <v>0</v>
      </c>
      <c r="S1066" s="65">
        <v>1966.8699999999994</v>
      </c>
      <c r="T1066" s="65">
        <v>73.659999999988941</v>
      </c>
      <c r="U1066" s="65">
        <v>0</v>
      </c>
      <c r="V1066" s="65">
        <v>0</v>
      </c>
      <c r="W1066" s="65">
        <v>0</v>
      </c>
      <c r="X1066" s="65">
        <v>74533</v>
      </c>
      <c r="Y1066" s="65">
        <v>0</v>
      </c>
      <c r="Z1066" s="65">
        <v>0</v>
      </c>
      <c r="AA1066" s="51">
        <v>0</v>
      </c>
      <c r="AB1066" s="102">
        <v>0</v>
      </c>
      <c r="AC1066" s="81">
        <f t="shared" si="51"/>
        <v>0</v>
      </c>
      <c r="AD1066" s="82">
        <f t="shared" si="52"/>
        <v>0</v>
      </c>
      <c r="AE1066" s="218">
        <v>-9.6287745325565827E-4</v>
      </c>
      <c r="AF1066">
        <v>36</v>
      </c>
      <c r="AH1066" t="str">
        <f t="shared" si="50"/>
        <v>Asarganj</v>
      </c>
      <c r="AJ1066" s="72">
        <v>0</v>
      </c>
      <c r="AK1066" s="72"/>
      <c r="AL1066" s="72"/>
      <c r="AM1066" s="72"/>
    </row>
    <row r="1067" spans="1:39" x14ac:dyDescent="0.25">
      <c r="A1067" s="37" t="s">
        <v>62</v>
      </c>
      <c r="B1067" s="66" t="s">
        <v>1638</v>
      </c>
      <c r="C1067" s="41">
        <v>1003</v>
      </c>
      <c r="D1067" s="41" t="s">
        <v>137</v>
      </c>
      <c r="E1067" s="41">
        <v>10030018</v>
      </c>
      <c r="F1067" s="85" t="s">
        <v>147</v>
      </c>
      <c r="G1067" s="39" t="s">
        <v>92</v>
      </c>
      <c r="H1067" s="52" t="s">
        <v>93</v>
      </c>
      <c r="I1067" s="52">
        <v>703.55000000000007</v>
      </c>
      <c r="J1067" s="49">
        <v>29662.989999999998</v>
      </c>
      <c r="K1067" s="58">
        <v>676.43</v>
      </c>
      <c r="L1067" s="58">
        <v>30403.219999999998</v>
      </c>
      <c r="M1067" s="58">
        <v>24.840000000000003</v>
      </c>
      <c r="N1067" s="58">
        <v>1048.9699999999998</v>
      </c>
      <c r="O1067" s="65">
        <v>701.27</v>
      </c>
      <c r="P1067" s="65">
        <v>31452.19</v>
      </c>
      <c r="Q1067" s="50">
        <v>29662.989999999998</v>
      </c>
      <c r="R1067" s="65">
        <v>0</v>
      </c>
      <c r="S1067" s="65">
        <v>1048.9699999999998</v>
      </c>
      <c r="T1067" s="65">
        <v>1789.2000000000007</v>
      </c>
      <c r="U1067" s="65">
        <v>0</v>
      </c>
      <c r="V1067" s="65">
        <v>0</v>
      </c>
      <c r="W1067" s="65">
        <v>0</v>
      </c>
      <c r="X1067" s="65">
        <v>28614</v>
      </c>
      <c r="Y1067" s="65">
        <v>0</v>
      </c>
      <c r="Z1067" s="65">
        <v>0</v>
      </c>
      <c r="AA1067" s="51">
        <v>0</v>
      </c>
      <c r="AB1067" s="102" t="s">
        <v>1366</v>
      </c>
      <c r="AC1067" s="81">
        <f t="shared" si="51"/>
        <v>0</v>
      </c>
      <c r="AD1067" s="82">
        <f t="shared" si="52"/>
        <v>0</v>
      </c>
      <c r="AE1067" s="218">
        <v>-6.0317587674067953E-2</v>
      </c>
      <c r="AF1067">
        <v>21</v>
      </c>
      <c r="AH1067" t="str">
        <f t="shared" si="50"/>
        <v>Asarganj</v>
      </c>
      <c r="AJ1067" s="72">
        <v>0</v>
      </c>
      <c r="AK1067" s="72"/>
      <c r="AL1067" s="72"/>
      <c r="AM1067" s="72"/>
    </row>
    <row r="1068" spans="1:39" x14ac:dyDescent="0.25">
      <c r="A1068" s="37" t="s">
        <v>62</v>
      </c>
      <c r="B1068" s="66" t="s">
        <v>1638</v>
      </c>
      <c r="C1068" s="41">
        <v>1003</v>
      </c>
      <c r="D1068" s="41" t="s">
        <v>137</v>
      </c>
      <c r="E1068" s="41">
        <v>10030019</v>
      </c>
      <c r="F1068" s="85" t="s">
        <v>148</v>
      </c>
      <c r="G1068" s="39" t="s">
        <v>92</v>
      </c>
      <c r="H1068" s="52" t="s">
        <v>93</v>
      </c>
      <c r="I1068" s="52">
        <v>418.89999999999992</v>
      </c>
      <c r="J1068" s="49">
        <v>18600.870000000003</v>
      </c>
      <c r="K1068" s="58">
        <v>397.9</v>
      </c>
      <c r="L1068" s="58">
        <v>18096.66</v>
      </c>
      <c r="M1068" s="58">
        <v>17.5</v>
      </c>
      <c r="N1068" s="58">
        <v>1157.6999999999998</v>
      </c>
      <c r="O1068" s="65">
        <v>415.4</v>
      </c>
      <c r="P1068" s="65">
        <v>19254.36</v>
      </c>
      <c r="Q1068" s="50">
        <v>18600.870000000003</v>
      </c>
      <c r="R1068" s="65">
        <v>0</v>
      </c>
      <c r="S1068" s="65">
        <v>1157.6999999999998</v>
      </c>
      <c r="T1068" s="65">
        <v>653.48999999999796</v>
      </c>
      <c r="U1068" s="65">
        <v>0</v>
      </c>
      <c r="V1068" s="65">
        <v>0</v>
      </c>
      <c r="W1068" s="65">
        <v>0</v>
      </c>
      <c r="X1068" s="65">
        <v>17443</v>
      </c>
      <c r="Y1068" s="65">
        <v>0</v>
      </c>
      <c r="Z1068" s="65">
        <v>0</v>
      </c>
      <c r="AA1068" s="51">
        <v>0</v>
      </c>
      <c r="AB1068" s="102">
        <v>0</v>
      </c>
      <c r="AC1068" s="81">
        <f t="shared" si="51"/>
        <v>249.63974967772754</v>
      </c>
      <c r="AD1068" s="82">
        <f t="shared" si="52"/>
        <v>59.842857142857135</v>
      </c>
      <c r="AE1068" s="218">
        <v>-3.5132227686124243E-2</v>
      </c>
      <c r="AF1068">
        <v>7</v>
      </c>
      <c r="AH1068" t="str">
        <f t="shared" ref="AH1068:AH1130" si="53">TEXT(D1068,"0000")</f>
        <v>Asarganj</v>
      </c>
      <c r="AJ1068" s="72">
        <v>0</v>
      </c>
      <c r="AK1068" s="72"/>
      <c r="AL1068" s="72"/>
      <c r="AM1068" s="72"/>
    </row>
    <row r="1069" spans="1:39" x14ac:dyDescent="0.25">
      <c r="A1069" s="37" t="s">
        <v>62</v>
      </c>
      <c r="B1069" s="66" t="s">
        <v>1638</v>
      </c>
      <c r="C1069" s="41">
        <v>1003</v>
      </c>
      <c r="D1069" s="41" t="s">
        <v>137</v>
      </c>
      <c r="E1069" s="41">
        <v>10030021</v>
      </c>
      <c r="F1069" s="85" t="s">
        <v>149</v>
      </c>
      <c r="G1069" s="39" t="s">
        <v>92</v>
      </c>
      <c r="H1069" s="52" t="s">
        <v>93</v>
      </c>
      <c r="I1069" s="52">
        <v>574.45000000000005</v>
      </c>
      <c r="J1069" s="49">
        <v>23642.300000000003</v>
      </c>
      <c r="K1069" s="58">
        <v>622.78000000000009</v>
      </c>
      <c r="L1069" s="58">
        <v>26947.33</v>
      </c>
      <c r="M1069" s="58">
        <v>23.23</v>
      </c>
      <c r="N1069" s="58">
        <v>994.5</v>
      </c>
      <c r="O1069" s="65">
        <v>646.0100000000001</v>
      </c>
      <c r="P1069" s="65">
        <v>27941.83</v>
      </c>
      <c r="Q1069" s="50">
        <v>23642.300000000003</v>
      </c>
      <c r="R1069" s="65">
        <v>0</v>
      </c>
      <c r="S1069" s="65">
        <v>994.5</v>
      </c>
      <c r="T1069" s="65">
        <v>4299.5299999999988</v>
      </c>
      <c r="U1069" s="65">
        <v>0</v>
      </c>
      <c r="V1069" s="65">
        <v>0</v>
      </c>
      <c r="W1069" s="65">
        <v>0</v>
      </c>
      <c r="X1069" s="65">
        <v>22648</v>
      </c>
      <c r="Y1069" s="65">
        <v>0</v>
      </c>
      <c r="Z1069" s="65">
        <v>0</v>
      </c>
      <c r="AA1069" s="51">
        <v>0</v>
      </c>
      <c r="AB1069" s="102">
        <v>0</v>
      </c>
      <c r="AC1069" s="81">
        <f t="shared" si="51"/>
        <v>103.34374671424841</v>
      </c>
      <c r="AD1069" s="82">
        <f t="shared" si="52"/>
        <v>82.064285714285717</v>
      </c>
      <c r="AE1069" s="218">
        <v>-0.18185751809257131</v>
      </c>
      <c r="AF1069">
        <v>8</v>
      </c>
      <c r="AH1069" t="str">
        <f t="shared" si="53"/>
        <v>Asarganj</v>
      </c>
      <c r="AJ1069" s="72">
        <v>0</v>
      </c>
      <c r="AK1069" s="72"/>
      <c r="AL1069" s="72"/>
      <c r="AM1069" s="72"/>
    </row>
    <row r="1070" spans="1:39" x14ac:dyDescent="0.25">
      <c r="A1070" s="37" t="s">
        <v>62</v>
      </c>
      <c r="B1070" s="66" t="s">
        <v>1638</v>
      </c>
      <c r="C1070" s="41">
        <v>1003</v>
      </c>
      <c r="D1070" s="41" t="s">
        <v>137</v>
      </c>
      <c r="E1070" s="41">
        <v>10030022</v>
      </c>
      <c r="F1070" s="85" t="s">
        <v>150</v>
      </c>
      <c r="G1070" s="39" t="s">
        <v>92</v>
      </c>
      <c r="H1070" s="52" t="s">
        <v>93</v>
      </c>
      <c r="I1070" s="52">
        <v>1659.7</v>
      </c>
      <c r="J1070" s="49">
        <v>68862.989999999991</v>
      </c>
      <c r="K1070" s="58">
        <v>1522.3</v>
      </c>
      <c r="L1070" s="58">
        <v>64348.639999999999</v>
      </c>
      <c r="M1070" s="58">
        <v>168.63</v>
      </c>
      <c r="N1070" s="58">
        <v>6765.18</v>
      </c>
      <c r="O1070" s="65">
        <v>1690.9299999999998</v>
      </c>
      <c r="P1070" s="65">
        <v>71113.820000000007</v>
      </c>
      <c r="Q1070" s="50">
        <v>68862.989999999991</v>
      </c>
      <c r="R1070" s="65">
        <v>0</v>
      </c>
      <c r="S1070" s="65">
        <v>624.56000000000006</v>
      </c>
      <c r="T1070" s="65">
        <v>2250.8300000000163</v>
      </c>
      <c r="U1070" s="65">
        <v>0</v>
      </c>
      <c r="V1070" s="65">
        <v>0</v>
      </c>
      <c r="W1070" s="65">
        <v>0</v>
      </c>
      <c r="X1070" s="65">
        <v>62098</v>
      </c>
      <c r="Y1070" s="65">
        <v>6140</v>
      </c>
      <c r="Z1070" s="65">
        <v>0</v>
      </c>
      <c r="AA1070" s="51">
        <v>0</v>
      </c>
      <c r="AB1070" s="102">
        <v>0</v>
      </c>
      <c r="AC1070" s="81">
        <f t="shared" si="51"/>
        <v>0</v>
      </c>
      <c r="AD1070" s="82">
        <f t="shared" si="52"/>
        <v>0</v>
      </c>
      <c r="AE1070" s="218">
        <v>-3.2685626923838432E-2</v>
      </c>
      <c r="AF1070">
        <v>24</v>
      </c>
      <c r="AH1070" t="str">
        <f t="shared" si="53"/>
        <v>Asarganj</v>
      </c>
      <c r="AJ1070" s="72">
        <v>0</v>
      </c>
      <c r="AK1070" s="72"/>
      <c r="AL1070" s="72"/>
      <c r="AM1070" s="72"/>
    </row>
    <row r="1071" spans="1:39" x14ac:dyDescent="0.25">
      <c r="A1071" s="37" t="s">
        <v>62</v>
      </c>
      <c r="B1071" s="66" t="s">
        <v>1638</v>
      </c>
      <c r="C1071" s="41">
        <v>1003</v>
      </c>
      <c r="D1071" s="41" t="s">
        <v>137</v>
      </c>
      <c r="E1071" s="41">
        <v>10030023</v>
      </c>
      <c r="F1071" s="85" t="s">
        <v>151</v>
      </c>
      <c r="G1071" s="39" t="s">
        <v>92</v>
      </c>
      <c r="H1071" s="52" t="s">
        <v>93</v>
      </c>
      <c r="I1071" s="52">
        <v>446.90000000000003</v>
      </c>
      <c r="J1071" s="49">
        <v>18715.669999999998</v>
      </c>
      <c r="K1071" s="58">
        <v>430.37000000000012</v>
      </c>
      <c r="L1071" s="58">
        <v>18374.439999999999</v>
      </c>
      <c r="M1071" s="58">
        <v>12.08</v>
      </c>
      <c r="N1071" s="58">
        <v>526.04999999999995</v>
      </c>
      <c r="O1071" s="65">
        <v>442.4500000000001</v>
      </c>
      <c r="P1071" s="65">
        <v>18900.489999999998</v>
      </c>
      <c r="Q1071" s="50">
        <v>18715.669999999998</v>
      </c>
      <c r="R1071" s="65">
        <v>0</v>
      </c>
      <c r="S1071" s="65">
        <v>526.04999999999995</v>
      </c>
      <c r="T1071" s="65">
        <v>184.81999999999971</v>
      </c>
      <c r="U1071" s="65">
        <v>0</v>
      </c>
      <c r="V1071" s="65">
        <v>0</v>
      </c>
      <c r="W1071" s="65">
        <v>0</v>
      </c>
      <c r="X1071" s="65">
        <v>18190</v>
      </c>
      <c r="Y1071" s="65">
        <v>0</v>
      </c>
      <c r="Z1071" s="65">
        <v>0</v>
      </c>
      <c r="AA1071" s="51">
        <v>0</v>
      </c>
      <c r="AB1071" s="102">
        <v>0</v>
      </c>
      <c r="AC1071" s="81">
        <f t="shared" si="51"/>
        <v>211.99087388677552</v>
      </c>
      <c r="AD1071" s="82">
        <f t="shared" si="52"/>
        <v>63.842857142857149</v>
      </c>
      <c r="AE1071" s="218">
        <v>-9.8751474032187855E-3</v>
      </c>
      <c r="AF1071">
        <v>15</v>
      </c>
      <c r="AH1071" t="str">
        <f t="shared" si="53"/>
        <v>Asarganj</v>
      </c>
      <c r="AJ1071" s="72">
        <v>0</v>
      </c>
      <c r="AK1071" s="72"/>
      <c r="AL1071" s="72"/>
      <c r="AM1071" s="72"/>
    </row>
    <row r="1072" spans="1:39" x14ac:dyDescent="0.25">
      <c r="A1072" s="37" t="s">
        <v>62</v>
      </c>
      <c r="B1072" s="66" t="s">
        <v>1638</v>
      </c>
      <c r="C1072" s="41">
        <v>1003</v>
      </c>
      <c r="D1072" s="41" t="s">
        <v>137</v>
      </c>
      <c r="E1072" s="41">
        <v>10030025</v>
      </c>
      <c r="F1072" s="85" t="s">
        <v>152</v>
      </c>
      <c r="G1072" s="39" t="s">
        <v>92</v>
      </c>
      <c r="H1072" s="52" t="s">
        <v>93</v>
      </c>
      <c r="I1072" s="52">
        <v>839.69999999999982</v>
      </c>
      <c r="J1072" s="49">
        <v>33398.350000000006</v>
      </c>
      <c r="K1072" s="58">
        <v>846.95</v>
      </c>
      <c r="L1072" s="58">
        <v>33601.789999999994</v>
      </c>
      <c r="M1072" s="58">
        <v>8.5499999999999989</v>
      </c>
      <c r="N1072" s="58">
        <v>342.76000000000005</v>
      </c>
      <c r="O1072" s="65">
        <v>855.5</v>
      </c>
      <c r="P1072" s="65">
        <v>33944.549999999996</v>
      </c>
      <c r="Q1072" s="50">
        <v>33398.350000000006</v>
      </c>
      <c r="R1072" s="65">
        <v>0</v>
      </c>
      <c r="S1072" s="65">
        <v>342.76000000000005</v>
      </c>
      <c r="T1072" s="65">
        <v>546.19999999998981</v>
      </c>
      <c r="U1072" s="65">
        <v>0</v>
      </c>
      <c r="V1072" s="65">
        <v>0</v>
      </c>
      <c r="W1072" s="65">
        <v>0</v>
      </c>
      <c r="X1072" s="65">
        <v>33056</v>
      </c>
      <c r="Y1072" s="65">
        <v>0</v>
      </c>
      <c r="Z1072" s="65">
        <v>0</v>
      </c>
      <c r="AA1072" s="51">
        <v>0</v>
      </c>
      <c r="AB1072" s="102">
        <v>0</v>
      </c>
      <c r="AC1072" s="81">
        <f t="shared" si="51"/>
        <v>0</v>
      </c>
      <c r="AD1072" s="82">
        <f t="shared" si="52"/>
        <v>0</v>
      </c>
      <c r="AE1072" s="218">
        <v>-1.6354101325364568E-2</v>
      </c>
      <c r="AF1072">
        <v>8</v>
      </c>
      <c r="AH1072" t="str">
        <f t="shared" si="53"/>
        <v>Asarganj</v>
      </c>
      <c r="AJ1072" s="72">
        <v>0</v>
      </c>
      <c r="AK1072" s="72"/>
      <c r="AL1072" s="72"/>
      <c r="AM1072" s="72"/>
    </row>
    <row r="1073" spans="1:39" x14ac:dyDescent="0.25">
      <c r="A1073" s="37" t="s">
        <v>62</v>
      </c>
      <c r="B1073" s="66" t="s">
        <v>1638</v>
      </c>
      <c r="C1073" s="41">
        <v>1003</v>
      </c>
      <c r="D1073" s="41" t="s">
        <v>137</v>
      </c>
      <c r="E1073" s="41">
        <v>10030026</v>
      </c>
      <c r="F1073" s="85" t="s">
        <v>153</v>
      </c>
      <c r="G1073" s="39" t="s">
        <v>92</v>
      </c>
      <c r="H1073" s="52" t="s">
        <v>93</v>
      </c>
      <c r="I1073" s="52">
        <v>1434.8</v>
      </c>
      <c r="J1073" s="49">
        <v>58830.22</v>
      </c>
      <c r="K1073" s="58">
        <v>1426.9800000000002</v>
      </c>
      <c r="L1073" s="58">
        <v>59852.12</v>
      </c>
      <c r="M1073" s="58">
        <v>15.18</v>
      </c>
      <c r="N1073" s="58">
        <v>1158.4299999999998</v>
      </c>
      <c r="O1073" s="65">
        <v>1442.1600000000003</v>
      </c>
      <c r="P1073" s="65">
        <v>61010.55</v>
      </c>
      <c r="Q1073" s="50">
        <v>58830.22</v>
      </c>
      <c r="R1073" s="65">
        <v>0</v>
      </c>
      <c r="S1073" s="65">
        <v>1158.4299999999998</v>
      </c>
      <c r="T1073" s="65">
        <v>2180.3300000000017</v>
      </c>
      <c r="U1073" s="65">
        <v>0</v>
      </c>
      <c r="V1073" s="65">
        <v>0</v>
      </c>
      <c r="W1073" s="65">
        <v>0</v>
      </c>
      <c r="X1073" s="65">
        <v>57672</v>
      </c>
      <c r="Y1073" s="65">
        <v>0</v>
      </c>
      <c r="Z1073" s="65">
        <v>0</v>
      </c>
      <c r="AA1073" s="51">
        <v>0</v>
      </c>
      <c r="AB1073" s="102" t="s">
        <v>1366</v>
      </c>
      <c r="AC1073" s="81">
        <f t="shared" si="51"/>
        <v>0</v>
      </c>
      <c r="AD1073" s="82">
        <f t="shared" si="52"/>
        <v>0</v>
      </c>
      <c r="AE1073" s="218">
        <v>-3.706139463697402E-2</v>
      </c>
      <c r="AF1073">
        <v>44</v>
      </c>
      <c r="AH1073" t="str">
        <f t="shared" si="53"/>
        <v>Asarganj</v>
      </c>
      <c r="AJ1073" s="72">
        <v>0</v>
      </c>
      <c r="AK1073" s="72"/>
      <c r="AL1073" s="72"/>
      <c r="AM1073" s="72"/>
    </row>
    <row r="1074" spans="1:39" x14ac:dyDescent="0.25">
      <c r="A1074" s="37" t="s">
        <v>62</v>
      </c>
      <c r="B1074" s="66" t="s">
        <v>1638</v>
      </c>
      <c r="C1074" s="41">
        <v>1003</v>
      </c>
      <c r="D1074" s="41" t="s">
        <v>137</v>
      </c>
      <c r="E1074" s="41">
        <v>10030027</v>
      </c>
      <c r="F1074" s="85" t="s">
        <v>154</v>
      </c>
      <c r="G1074" s="39" t="s">
        <v>92</v>
      </c>
      <c r="H1074" s="52" t="s">
        <v>93</v>
      </c>
      <c r="I1074" s="52">
        <v>1088.2500000000002</v>
      </c>
      <c r="J1074" s="49">
        <v>42130.080000000002</v>
      </c>
      <c r="K1074" s="58">
        <v>1025.2000000000003</v>
      </c>
      <c r="L1074" s="58">
        <v>40365.400000000009</v>
      </c>
      <c r="M1074" s="58">
        <v>28.099999999999998</v>
      </c>
      <c r="N1074" s="58">
        <v>1161.3</v>
      </c>
      <c r="O1074" s="65">
        <v>1053.3000000000002</v>
      </c>
      <c r="P1074" s="65">
        <v>41526.700000000012</v>
      </c>
      <c r="Q1074" s="50">
        <v>41526.700000000012</v>
      </c>
      <c r="R1074" s="65">
        <v>0</v>
      </c>
      <c r="S1074" s="65">
        <v>1161.3</v>
      </c>
      <c r="T1074" s="65">
        <v>0</v>
      </c>
      <c r="U1074" s="65">
        <v>0</v>
      </c>
      <c r="V1074" s="65">
        <v>0</v>
      </c>
      <c r="W1074" s="65">
        <v>0</v>
      </c>
      <c r="X1074" s="65">
        <v>40369</v>
      </c>
      <c r="Y1074" s="65">
        <v>0</v>
      </c>
      <c r="Z1074" s="65">
        <v>0</v>
      </c>
      <c r="AA1074" s="51">
        <v>600</v>
      </c>
      <c r="AB1074" s="102">
        <v>0</v>
      </c>
      <c r="AC1074" s="81">
        <f t="shared" si="51"/>
        <v>0</v>
      </c>
      <c r="AD1074" s="82">
        <f t="shared" si="52"/>
        <v>0</v>
      </c>
      <c r="AE1074" s="218">
        <v>1.4321833711210376E-2</v>
      </c>
      <c r="AF1074">
        <v>45</v>
      </c>
      <c r="AH1074" t="str">
        <f t="shared" si="53"/>
        <v>Asarganj</v>
      </c>
      <c r="AJ1074" s="72">
        <v>0</v>
      </c>
      <c r="AK1074" s="72"/>
      <c r="AL1074" s="72"/>
      <c r="AM1074" s="72"/>
    </row>
    <row r="1075" spans="1:39" x14ac:dyDescent="0.25">
      <c r="A1075" s="37" t="s">
        <v>62</v>
      </c>
      <c r="B1075" s="66" t="s">
        <v>1638</v>
      </c>
      <c r="C1075" s="41">
        <v>1003</v>
      </c>
      <c r="D1075" s="41" t="s">
        <v>137</v>
      </c>
      <c r="E1075" s="41">
        <v>10030028</v>
      </c>
      <c r="F1075" s="85" t="s">
        <v>155</v>
      </c>
      <c r="G1075" s="39" t="s">
        <v>92</v>
      </c>
      <c r="H1075" s="52" t="s">
        <v>93</v>
      </c>
      <c r="I1075" s="52">
        <v>1232.3</v>
      </c>
      <c r="J1075" s="49">
        <v>51909.81</v>
      </c>
      <c r="K1075" s="58">
        <v>1208.6000000000001</v>
      </c>
      <c r="L1075" s="58">
        <v>52150.049999999996</v>
      </c>
      <c r="M1075" s="58">
        <v>22.5</v>
      </c>
      <c r="N1075" s="58">
        <v>895.78000000000009</v>
      </c>
      <c r="O1075" s="65">
        <v>1231.1000000000001</v>
      </c>
      <c r="P1075" s="65">
        <v>53045.829999999994</v>
      </c>
      <c r="Q1075" s="50">
        <v>51909.81</v>
      </c>
      <c r="R1075" s="65">
        <v>0</v>
      </c>
      <c r="S1075" s="65">
        <v>895.78000000000009</v>
      </c>
      <c r="T1075" s="65">
        <v>1136.0199999999968</v>
      </c>
      <c r="U1075" s="65">
        <v>0</v>
      </c>
      <c r="V1075" s="65">
        <v>0</v>
      </c>
      <c r="W1075" s="65">
        <v>0</v>
      </c>
      <c r="X1075" s="65">
        <v>51014</v>
      </c>
      <c r="Y1075" s="65">
        <v>0</v>
      </c>
      <c r="Z1075" s="65">
        <v>0</v>
      </c>
      <c r="AA1075" s="51">
        <v>0</v>
      </c>
      <c r="AB1075" s="102">
        <v>0</v>
      </c>
      <c r="AC1075" s="81">
        <f t="shared" si="51"/>
        <v>0</v>
      </c>
      <c r="AD1075" s="82">
        <f t="shared" si="52"/>
        <v>0</v>
      </c>
      <c r="AE1075" s="218">
        <v>-2.1884495435448459E-2</v>
      </c>
      <c r="AF1075">
        <v>47</v>
      </c>
      <c r="AH1075" t="str">
        <f t="shared" si="53"/>
        <v>Asarganj</v>
      </c>
      <c r="AJ1075" s="72">
        <v>0</v>
      </c>
      <c r="AK1075" s="72"/>
      <c r="AL1075" s="72"/>
      <c r="AM1075" s="72"/>
    </row>
    <row r="1076" spans="1:39" x14ac:dyDescent="0.25">
      <c r="A1076" s="37" t="s">
        <v>62</v>
      </c>
      <c r="B1076" s="66" t="s">
        <v>1638</v>
      </c>
      <c r="C1076" s="41">
        <v>1003</v>
      </c>
      <c r="D1076" s="41" t="s">
        <v>137</v>
      </c>
      <c r="E1076" s="41">
        <v>10030030</v>
      </c>
      <c r="F1076" s="85" t="s">
        <v>1612</v>
      </c>
      <c r="G1076" s="39" t="s">
        <v>92</v>
      </c>
      <c r="H1076" s="52" t="s">
        <v>93</v>
      </c>
      <c r="I1076" s="52">
        <v>174.29999999999995</v>
      </c>
      <c r="J1076" s="49">
        <v>8049.829999999999</v>
      </c>
      <c r="K1076" s="58">
        <v>185</v>
      </c>
      <c r="L1076" s="58">
        <v>8075.25</v>
      </c>
      <c r="M1076" s="58">
        <v>0</v>
      </c>
      <c r="N1076" s="58">
        <v>0</v>
      </c>
      <c r="O1076" s="65">
        <v>185</v>
      </c>
      <c r="P1076" s="65">
        <v>8075.25</v>
      </c>
      <c r="Q1076" s="50">
        <v>8049.829999999999</v>
      </c>
      <c r="R1076" s="65">
        <v>0</v>
      </c>
      <c r="S1076" s="65">
        <v>0</v>
      </c>
      <c r="T1076" s="65">
        <v>25.420000000000982</v>
      </c>
      <c r="U1076" s="65">
        <v>0</v>
      </c>
      <c r="V1076" s="65">
        <v>0</v>
      </c>
      <c r="W1076" s="65">
        <v>0</v>
      </c>
      <c r="X1076" s="65">
        <v>8050</v>
      </c>
      <c r="Y1076" s="65">
        <v>0</v>
      </c>
      <c r="Z1076" s="65">
        <v>0</v>
      </c>
      <c r="AA1076" s="51">
        <v>0</v>
      </c>
      <c r="AB1076" s="102">
        <v>0</v>
      </c>
      <c r="AC1076" s="81">
        <f t="shared" si="51"/>
        <v>485.57609076305238</v>
      </c>
      <c r="AD1076" s="82">
        <f t="shared" si="52"/>
        <v>24.899999999999995</v>
      </c>
      <c r="AE1076" s="218">
        <v>-3.1578306622625555E-3</v>
      </c>
      <c r="AF1076">
        <v>1</v>
      </c>
      <c r="AH1076" t="str">
        <f t="shared" si="53"/>
        <v>Asarganj</v>
      </c>
      <c r="AJ1076" s="72">
        <v>0</v>
      </c>
      <c r="AK1076" s="72"/>
      <c r="AL1076" s="72"/>
      <c r="AM1076" s="72"/>
    </row>
    <row r="1077" spans="1:39" x14ac:dyDescent="0.25">
      <c r="A1077" s="37" t="s">
        <v>62</v>
      </c>
      <c r="B1077" s="66" t="s">
        <v>1638</v>
      </c>
      <c r="C1077" s="41">
        <v>1003</v>
      </c>
      <c r="D1077" s="41" t="s">
        <v>137</v>
      </c>
      <c r="E1077" s="41">
        <v>10030031</v>
      </c>
      <c r="F1077" s="85" t="s">
        <v>156</v>
      </c>
      <c r="G1077" s="39" t="s">
        <v>92</v>
      </c>
      <c r="H1077" s="52" t="s">
        <v>93</v>
      </c>
      <c r="I1077" s="52">
        <v>846.54999999999984</v>
      </c>
      <c r="J1077" s="49">
        <v>32891.660000000003</v>
      </c>
      <c r="K1077" s="58">
        <v>866.96</v>
      </c>
      <c r="L1077" s="58">
        <v>33510.730000000003</v>
      </c>
      <c r="M1077" s="58">
        <v>0</v>
      </c>
      <c r="N1077" s="58">
        <v>0</v>
      </c>
      <c r="O1077" s="65">
        <v>866.96</v>
      </c>
      <c r="P1077" s="65">
        <v>33510.730000000003</v>
      </c>
      <c r="Q1077" s="50">
        <v>32891.660000000003</v>
      </c>
      <c r="R1077" s="65">
        <v>0</v>
      </c>
      <c r="S1077" s="65">
        <v>0</v>
      </c>
      <c r="T1077" s="65">
        <v>619.06999999999971</v>
      </c>
      <c r="U1077" s="65">
        <v>0</v>
      </c>
      <c r="V1077" s="65">
        <v>0</v>
      </c>
      <c r="W1077" s="65">
        <v>0</v>
      </c>
      <c r="X1077" s="65">
        <v>32892</v>
      </c>
      <c r="Y1077" s="65">
        <v>0</v>
      </c>
      <c r="Z1077" s="65">
        <v>0</v>
      </c>
      <c r="AA1077" s="51">
        <v>0</v>
      </c>
      <c r="AB1077" s="102">
        <v>0</v>
      </c>
      <c r="AC1077" s="81">
        <f t="shared" si="51"/>
        <v>0</v>
      </c>
      <c r="AD1077" s="82">
        <f t="shared" si="52"/>
        <v>0</v>
      </c>
      <c r="AE1077" s="218">
        <v>-1.8821488486747084E-2</v>
      </c>
      <c r="AF1077">
        <v>24</v>
      </c>
      <c r="AH1077" t="str">
        <f t="shared" si="53"/>
        <v>Asarganj</v>
      </c>
      <c r="AJ1077" s="72">
        <v>0</v>
      </c>
      <c r="AK1077" s="72"/>
      <c r="AL1077" s="72"/>
      <c r="AM1077" s="72"/>
    </row>
    <row r="1078" spans="1:39" x14ac:dyDescent="0.25">
      <c r="A1078" s="37" t="s">
        <v>62</v>
      </c>
      <c r="B1078" s="66" t="s">
        <v>1638</v>
      </c>
      <c r="C1078" s="41">
        <v>1003</v>
      </c>
      <c r="D1078" s="41" t="s">
        <v>137</v>
      </c>
      <c r="E1078" s="41">
        <v>10030032</v>
      </c>
      <c r="F1078" s="85" t="s">
        <v>157</v>
      </c>
      <c r="G1078" s="39" t="s">
        <v>92</v>
      </c>
      <c r="H1078" s="52" t="s">
        <v>93</v>
      </c>
      <c r="I1078" s="52">
        <v>1369.9</v>
      </c>
      <c r="J1078" s="49">
        <v>51056.239999999991</v>
      </c>
      <c r="K1078" s="58">
        <v>1344</v>
      </c>
      <c r="L1078" s="58">
        <v>50313.77</v>
      </c>
      <c r="M1078" s="58">
        <v>0</v>
      </c>
      <c r="N1078" s="58">
        <v>0</v>
      </c>
      <c r="O1078" s="65">
        <v>1344</v>
      </c>
      <c r="P1078" s="65">
        <v>50313.77</v>
      </c>
      <c r="Q1078" s="50">
        <v>50313.77</v>
      </c>
      <c r="R1078" s="65">
        <v>0</v>
      </c>
      <c r="S1078" s="65">
        <v>0</v>
      </c>
      <c r="T1078" s="65">
        <v>0</v>
      </c>
      <c r="U1078" s="65">
        <v>0</v>
      </c>
      <c r="V1078" s="65">
        <v>0</v>
      </c>
      <c r="W1078" s="65">
        <v>0</v>
      </c>
      <c r="X1078" s="65">
        <v>50313</v>
      </c>
      <c r="Y1078" s="65">
        <v>0</v>
      </c>
      <c r="Z1078" s="65">
        <v>0</v>
      </c>
      <c r="AA1078" s="51">
        <v>743</v>
      </c>
      <c r="AB1078" s="102" t="s">
        <v>68</v>
      </c>
      <c r="AC1078" s="81">
        <f t="shared" si="51"/>
        <v>0</v>
      </c>
      <c r="AD1078" s="82">
        <f t="shared" si="52"/>
        <v>0</v>
      </c>
      <c r="AE1078" s="218">
        <v>1.4542198955504636E-2</v>
      </c>
      <c r="AF1078">
        <v>3</v>
      </c>
      <c r="AH1078" t="str">
        <f t="shared" si="53"/>
        <v>Asarganj</v>
      </c>
      <c r="AJ1078" s="72">
        <v>0</v>
      </c>
      <c r="AK1078" s="72"/>
      <c r="AL1078" s="72"/>
      <c r="AM1078" s="72"/>
    </row>
    <row r="1079" spans="1:39" x14ac:dyDescent="0.25">
      <c r="A1079" s="37" t="s">
        <v>62</v>
      </c>
      <c r="B1079" s="66" t="s">
        <v>1638</v>
      </c>
      <c r="C1079" s="41">
        <v>1003</v>
      </c>
      <c r="D1079" s="41" t="s">
        <v>137</v>
      </c>
      <c r="E1079" s="41">
        <v>10030034</v>
      </c>
      <c r="F1079" s="85" t="s">
        <v>158</v>
      </c>
      <c r="G1079" s="39" t="s">
        <v>92</v>
      </c>
      <c r="H1079" s="52" t="s">
        <v>93</v>
      </c>
      <c r="I1079" s="52">
        <v>1268.0499999999997</v>
      </c>
      <c r="J1079" s="49">
        <v>55435.680000000015</v>
      </c>
      <c r="K1079" s="58">
        <v>1244.5699999999997</v>
      </c>
      <c r="L1079" s="58">
        <v>52968.92</v>
      </c>
      <c r="M1079" s="58">
        <v>0</v>
      </c>
      <c r="N1079" s="58">
        <v>0</v>
      </c>
      <c r="O1079" s="65">
        <v>1244.5699999999997</v>
      </c>
      <c r="P1079" s="65">
        <v>52968.92</v>
      </c>
      <c r="Q1079" s="50">
        <v>52968.92</v>
      </c>
      <c r="R1079" s="65">
        <v>0</v>
      </c>
      <c r="S1079" s="65">
        <v>0</v>
      </c>
      <c r="T1079" s="65">
        <v>0</v>
      </c>
      <c r="U1079" s="65">
        <v>0</v>
      </c>
      <c r="V1079" s="65">
        <v>0</v>
      </c>
      <c r="W1079" s="65">
        <v>0</v>
      </c>
      <c r="X1079" s="65">
        <v>52969</v>
      </c>
      <c r="Y1079" s="65">
        <v>0</v>
      </c>
      <c r="Z1079" s="65">
        <v>0</v>
      </c>
      <c r="AA1079" s="51">
        <v>2467</v>
      </c>
      <c r="AB1079" s="102">
        <v>0</v>
      </c>
      <c r="AC1079" s="81">
        <f t="shared" si="51"/>
        <v>0</v>
      </c>
      <c r="AD1079" s="82">
        <f t="shared" si="52"/>
        <v>0</v>
      </c>
      <c r="AE1079" s="218">
        <v>4.4497695347112474E-2</v>
      </c>
      <c r="AF1079">
        <v>36</v>
      </c>
      <c r="AH1079" t="str">
        <f t="shared" si="53"/>
        <v>Asarganj</v>
      </c>
      <c r="AJ1079" s="72">
        <v>0</v>
      </c>
      <c r="AK1079" s="72"/>
      <c r="AL1079" s="72"/>
      <c r="AM1079" s="72"/>
    </row>
    <row r="1080" spans="1:39" x14ac:dyDescent="0.25">
      <c r="A1080" s="37" t="s">
        <v>62</v>
      </c>
      <c r="B1080" s="66" t="s">
        <v>1638</v>
      </c>
      <c r="C1080" s="41">
        <v>1003</v>
      </c>
      <c r="D1080" s="41" t="s">
        <v>137</v>
      </c>
      <c r="E1080" s="41">
        <v>10030035</v>
      </c>
      <c r="F1080" s="85" t="s">
        <v>159</v>
      </c>
      <c r="G1080" s="39" t="s">
        <v>92</v>
      </c>
      <c r="H1080" s="52" t="s">
        <v>93</v>
      </c>
      <c r="I1080" s="52">
        <v>734.25</v>
      </c>
      <c r="J1080" s="49">
        <v>30693.889999999996</v>
      </c>
      <c r="K1080" s="58">
        <v>725.73999999999978</v>
      </c>
      <c r="L1080" s="58">
        <v>30203.750000000004</v>
      </c>
      <c r="M1080" s="58">
        <v>3.54</v>
      </c>
      <c r="N1080" s="58">
        <v>149.57000000000002</v>
      </c>
      <c r="O1080" s="65">
        <v>729.27999999999975</v>
      </c>
      <c r="P1080" s="65">
        <v>30353.320000000003</v>
      </c>
      <c r="Q1080" s="50">
        <v>30353.320000000003</v>
      </c>
      <c r="R1080" s="65">
        <v>0</v>
      </c>
      <c r="S1080" s="65">
        <v>149.57000000000002</v>
      </c>
      <c r="T1080" s="65">
        <v>0</v>
      </c>
      <c r="U1080" s="65">
        <v>0</v>
      </c>
      <c r="V1080" s="65">
        <v>0</v>
      </c>
      <c r="W1080" s="65">
        <v>0</v>
      </c>
      <c r="X1080" s="65">
        <v>30204</v>
      </c>
      <c r="Y1080" s="65">
        <v>0</v>
      </c>
      <c r="Z1080" s="65">
        <v>0</v>
      </c>
      <c r="AA1080" s="51">
        <v>340</v>
      </c>
      <c r="AB1080" s="102">
        <v>0</v>
      </c>
      <c r="AC1080" s="81">
        <f t="shared" si="51"/>
        <v>0</v>
      </c>
      <c r="AD1080" s="82">
        <f t="shared" si="52"/>
        <v>0</v>
      </c>
      <c r="AE1080" s="218">
        <v>1.1095693638049542E-2</v>
      </c>
      <c r="AF1080">
        <v>8</v>
      </c>
      <c r="AH1080" t="str">
        <f t="shared" si="53"/>
        <v>Asarganj</v>
      </c>
      <c r="AJ1080" s="72">
        <v>0</v>
      </c>
      <c r="AK1080" s="72"/>
      <c r="AL1080" s="72"/>
      <c r="AM1080" s="72"/>
    </row>
    <row r="1081" spans="1:39" x14ac:dyDescent="0.25">
      <c r="A1081" s="37" t="s">
        <v>62</v>
      </c>
      <c r="B1081" s="66" t="s">
        <v>1638</v>
      </c>
      <c r="C1081" s="41">
        <v>1003</v>
      </c>
      <c r="D1081" s="41" t="s">
        <v>137</v>
      </c>
      <c r="E1081" s="41">
        <v>10030037</v>
      </c>
      <c r="F1081" s="85" t="s">
        <v>160</v>
      </c>
      <c r="G1081" s="39" t="s">
        <v>92</v>
      </c>
      <c r="H1081" s="52" t="s">
        <v>93</v>
      </c>
      <c r="I1081" s="52">
        <v>1538.2</v>
      </c>
      <c r="J1081" s="49">
        <v>59166.78</v>
      </c>
      <c r="K1081" s="58">
        <v>1557.8500000000001</v>
      </c>
      <c r="L1081" s="58">
        <v>60550.439999999988</v>
      </c>
      <c r="M1081" s="58">
        <v>16.79</v>
      </c>
      <c r="N1081" s="58">
        <v>642.54999999999995</v>
      </c>
      <c r="O1081" s="65">
        <v>1574.64</v>
      </c>
      <c r="P1081" s="65">
        <v>61192.989999999991</v>
      </c>
      <c r="Q1081" s="50">
        <v>59166.78</v>
      </c>
      <c r="R1081" s="65">
        <v>0</v>
      </c>
      <c r="S1081" s="65">
        <v>642.54999999999995</v>
      </c>
      <c r="T1081" s="65">
        <v>2026.2099999999919</v>
      </c>
      <c r="U1081" s="65">
        <v>13500</v>
      </c>
      <c r="V1081" s="65">
        <v>0</v>
      </c>
      <c r="W1081" s="65">
        <v>0</v>
      </c>
      <c r="X1081" s="65">
        <v>45024</v>
      </c>
      <c r="Y1081" s="65">
        <v>0</v>
      </c>
      <c r="Z1081" s="65">
        <v>0</v>
      </c>
      <c r="AA1081" s="51">
        <v>0</v>
      </c>
      <c r="AB1081" s="102" t="s">
        <v>68</v>
      </c>
      <c r="AC1081" s="81">
        <f t="shared" si="51"/>
        <v>0</v>
      </c>
      <c r="AD1081" s="82">
        <f t="shared" si="52"/>
        <v>0</v>
      </c>
      <c r="AE1081" s="218">
        <v>-3.4245737219432797E-2</v>
      </c>
      <c r="AF1081">
        <v>16</v>
      </c>
      <c r="AH1081" t="str">
        <f t="shared" si="53"/>
        <v>Asarganj</v>
      </c>
      <c r="AJ1081" s="72">
        <v>0</v>
      </c>
      <c r="AK1081" s="72"/>
      <c r="AL1081" s="72"/>
      <c r="AM1081" s="72"/>
    </row>
    <row r="1082" spans="1:39" x14ac:dyDescent="0.25">
      <c r="A1082" s="37" t="s">
        <v>62</v>
      </c>
      <c r="B1082" s="66" t="s">
        <v>1638</v>
      </c>
      <c r="C1082" s="41">
        <v>1003</v>
      </c>
      <c r="D1082" s="41" t="s">
        <v>137</v>
      </c>
      <c r="E1082" s="41">
        <v>10030038</v>
      </c>
      <c r="F1082" s="85" t="s">
        <v>161</v>
      </c>
      <c r="G1082" s="39" t="s">
        <v>92</v>
      </c>
      <c r="H1082" s="52" t="s">
        <v>93</v>
      </c>
      <c r="I1082" s="52">
        <v>584.75</v>
      </c>
      <c r="J1082" s="49">
        <v>24862.329999999998</v>
      </c>
      <c r="K1082" s="58">
        <v>588.8599999999999</v>
      </c>
      <c r="L1082" s="58">
        <v>30175.19</v>
      </c>
      <c r="M1082" s="58">
        <v>0</v>
      </c>
      <c r="N1082" s="58">
        <v>0</v>
      </c>
      <c r="O1082" s="65">
        <v>588.8599999999999</v>
      </c>
      <c r="P1082" s="65">
        <v>30175.19</v>
      </c>
      <c r="Q1082" s="50">
        <v>24862.329999999998</v>
      </c>
      <c r="R1082" s="65">
        <v>0</v>
      </c>
      <c r="S1082" s="65">
        <v>0</v>
      </c>
      <c r="T1082" s="65">
        <v>5312.8600000000006</v>
      </c>
      <c r="U1082" s="65">
        <v>0</v>
      </c>
      <c r="V1082" s="65">
        <v>0</v>
      </c>
      <c r="W1082" s="65">
        <v>0</v>
      </c>
      <c r="X1082" s="65">
        <v>24862</v>
      </c>
      <c r="Y1082" s="65">
        <v>0</v>
      </c>
      <c r="Z1082" s="65">
        <v>0</v>
      </c>
      <c r="AA1082" s="51">
        <v>0</v>
      </c>
      <c r="AB1082" s="102" t="s">
        <v>1366</v>
      </c>
      <c r="AC1082" s="81">
        <f t="shared" si="51"/>
        <v>98.003712099187652</v>
      </c>
      <c r="AD1082" s="82">
        <f t="shared" si="52"/>
        <v>83.535714285714292</v>
      </c>
      <c r="AE1082" s="218">
        <v>-0.21369115444932157</v>
      </c>
      <c r="AF1082">
        <v>20</v>
      </c>
      <c r="AH1082" t="str">
        <f t="shared" si="53"/>
        <v>Asarganj</v>
      </c>
      <c r="AJ1082" s="72">
        <v>0</v>
      </c>
      <c r="AK1082" s="72"/>
      <c r="AL1082" s="72"/>
      <c r="AM1082" s="72"/>
    </row>
    <row r="1083" spans="1:39" x14ac:dyDescent="0.25">
      <c r="A1083" s="37" t="s">
        <v>62</v>
      </c>
      <c r="B1083" s="66" t="s">
        <v>1638</v>
      </c>
      <c r="C1083" s="41">
        <v>1003</v>
      </c>
      <c r="D1083" s="41" t="s">
        <v>137</v>
      </c>
      <c r="E1083" s="41">
        <v>10030040</v>
      </c>
      <c r="F1083" s="85" t="s">
        <v>162</v>
      </c>
      <c r="G1083" s="39" t="s">
        <v>1610</v>
      </c>
      <c r="H1083" s="52" t="s">
        <v>98</v>
      </c>
      <c r="I1083" s="52">
        <v>365.4</v>
      </c>
      <c r="J1083" s="49">
        <v>16497.68</v>
      </c>
      <c r="K1083" s="58">
        <v>0</v>
      </c>
      <c r="L1083" s="58">
        <v>0</v>
      </c>
      <c r="M1083" s="58">
        <v>0</v>
      </c>
      <c r="N1083" s="58">
        <v>0</v>
      </c>
      <c r="O1083" s="65">
        <v>0</v>
      </c>
      <c r="P1083" s="65">
        <v>0</v>
      </c>
      <c r="Q1083" s="50">
        <v>16497.68</v>
      </c>
      <c r="R1083" s="65">
        <v>0</v>
      </c>
      <c r="S1083" s="65">
        <v>0</v>
      </c>
      <c r="T1083" s="65">
        <v>0</v>
      </c>
      <c r="U1083" s="65">
        <v>0</v>
      </c>
      <c r="V1083" s="65">
        <v>0</v>
      </c>
      <c r="W1083" s="65">
        <v>0</v>
      </c>
      <c r="X1083" s="65">
        <v>0</v>
      </c>
      <c r="Y1083" s="65">
        <v>0</v>
      </c>
      <c r="Z1083" s="65">
        <v>16497.68</v>
      </c>
      <c r="AA1083" s="51">
        <v>0</v>
      </c>
      <c r="AB1083" s="102">
        <v>0</v>
      </c>
      <c r="AC1083" s="81">
        <f t="shared" si="51"/>
        <v>302.14141915708819</v>
      </c>
      <c r="AD1083" s="82">
        <f t="shared" si="52"/>
        <v>52.199999999999996</v>
      </c>
      <c r="AE1083" s="218">
        <v>0</v>
      </c>
      <c r="AF1083">
        <v>0</v>
      </c>
      <c r="AH1083" t="str">
        <f t="shared" si="53"/>
        <v>Asarganj</v>
      </c>
      <c r="AJ1083" s="72">
        <v>0</v>
      </c>
      <c r="AK1083" s="72"/>
      <c r="AL1083" s="72"/>
      <c r="AM1083" s="72"/>
    </row>
    <row r="1084" spans="1:39" x14ac:dyDescent="0.25">
      <c r="A1084" s="37" t="s">
        <v>62</v>
      </c>
      <c r="B1084" s="66" t="s">
        <v>1638</v>
      </c>
      <c r="C1084" s="41">
        <v>1003</v>
      </c>
      <c r="D1084" s="41" t="s">
        <v>137</v>
      </c>
      <c r="E1084" s="41">
        <v>10030041</v>
      </c>
      <c r="F1084" s="85" t="s">
        <v>163</v>
      </c>
      <c r="G1084" s="39" t="s">
        <v>1610</v>
      </c>
      <c r="H1084" s="52" t="s">
        <v>98</v>
      </c>
      <c r="I1084" s="52">
        <v>1137.8</v>
      </c>
      <c r="J1084" s="49">
        <v>45751.380000000005</v>
      </c>
      <c r="K1084" s="58">
        <v>0</v>
      </c>
      <c r="L1084" s="58">
        <v>0</v>
      </c>
      <c r="M1084" s="58">
        <v>0</v>
      </c>
      <c r="N1084" s="58">
        <v>0</v>
      </c>
      <c r="O1084" s="65">
        <v>0</v>
      </c>
      <c r="P1084" s="65">
        <v>0</v>
      </c>
      <c r="Q1084" s="50">
        <v>45751.380000000005</v>
      </c>
      <c r="R1084" s="65">
        <v>0</v>
      </c>
      <c r="S1084" s="65">
        <v>0</v>
      </c>
      <c r="T1084" s="65">
        <v>0</v>
      </c>
      <c r="U1084" s="65">
        <v>0</v>
      </c>
      <c r="V1084" s="65">
        <v>0</v>
      </c>
      <c r="W1084" s="65">
        <v>0</v>
      </c>
      <c r="X1084" s="65">
        <v>0</v>
      </c>
      <c r="Y1084" s="65">
        <v>0</v>
      </c>
      <c r="Z1084" s="65">
        <v>45751.380000000005</v>
      </c>
      <c r="AA1084" s="51">
        <v>0</v>
      </c>
      <c r="AB1084" s="102">
        <v>0</v>
      </c>
      <c r="AC1084" s="81">
        <f t="shared" si="51"/>
        <v>0</v>
      </c>
      <c r="AD1084" s="82">
        <f t="shared" si="52"/>
        <v>0</v>
      </c>
      <c r="AE1084" s="218">
        <v>0</v>
      </c>
      <c r="AF1084">
        <v>0</v>
      </c>
      <c r="AH1084" t="str">
        <f t="shared" si="53"/>
        <v>Asarganj</v>
      </c>
      <c r="AJ1084" s="72">
        <v>0</v>
      </c>
      <c r="AK1084" s="72"/>
      <c r="AL1084" s="72"/>
      <c r="AM1084" s="72"/>
    </row>
    <row r="1085" spans="1:39" x14ac:dyDescent="0.25">
      <c r="A1085" s="37" t="s">
        <v>62</v>
      </c>
      <c r="B1085" s="66" t="s">
        <v>1638</v>
      </c>
      <c r="C1085" s="41">
        <v>1003</v>
      </c>
      <c r="D1085" s="41" t="s">
        <v>137</v>
      </c>
      <c r="E1085" s="41">
        <v>10030042</v>
      </c>
      <c r="F1085" s="85" t="s">
        <v>164</v>
      </c>
      <c r="G1085" s="39" t="s">
        <v>1610</v>
      </c>
      <c r="H1085" s="52" t="s">
        <v>98</v>
      </c>
      <c r="I1085" s="52">
        <v>506.6</v>
      </c>
      <c r="J1085" s="49">
        <v>21430.95</v>
      </c>
      <c r="K1085" s="58">
        <v>0</v>
      </c>
      <c r="L1085" s="58">
        <v>0</v>
      </c>
      <c r="M1085" s="58">
        <v>0</v>
      </c>
      <c r="N1085" s="58">
        <v>0</v>
      </c>
      <c r="O1085" s="65">
        <v>0</v>
      </c>
      <c r="P1085" s="65">
        <v>0</v>
      </c>
      <c r="Q1085" s="50">
        <v>21430.95</v>
      </c>
      <c r="R1085" s="65">
        <v>0</v>
      </c>
      <c r="S1085" s="65">
        <v>0</v>
      </c>
      <c r="T1085" s="65">
        <v>0</v>
      </c>
      <c r="U1085" s="65">
        <v>0</v>
      </c>
      <c r="V1085" s="65">
        <v>0</v>
      </c>
      <c r="W1085" s="65">
        <v>0</v>
      </c>
      <c r="X1085" s="65">
        <v>0</v>
      </c>
      <c r="Y1085" s="65">
        <v>0</v>
      </c>
      <c r="Z1085" s="65">
        <v>21430.95</v>
      </c>
      <c r="AA1085" s="51">
        <v>0</v>
      </c>
      <c r="AB1085" s="102">
        <v>0</v>
      </c>
      <c r="AC1085" s="81">
        <f t="shared" si="51"/>
        <v>163.62991433083295</v>
      </c>
      <c r="AD1085" s="82">
        <f t="shared" si="52"/>
        <v>72.371428571428581</v>
      </c>
      <c r="AE1085" s="218">
        <v>0</v>
      </c>
      <c r="AF1085">
        <v>0</v>
      </c>
      <c r="AH1085" t="str">
        <f t="shared" si="53"/>
        <v>Asarganj</v>
      </c>
      <c r="AJ1085" s="72">
        <v>0</v>
      </c>
      <c r="AK1085" s="72"/>
      <c r="AL1085" s="72"/>
      <c r="AM1085" s="72"/>
    </row>
    <row r="1086" spans="1:39" x14ac:dyDescent="0.25">
      <c r="A1086" s="37" t="s">
        <v>62</v>
      </c>
      <c r="B1086" s="66" t="s">
        <v>1638</v>
      </c>
      <c r="C1086" s="41">
        <v>1003</v>
      </c>
      <c r="D1086" s="41" t="s">
        <v>137</v>
      </c>
      <c r="E1086" s="41">
        <v>10030043</v>
      </c>
      <c r="F1086" s="85" t="s">
        <v>165</v>
      </c>
      <c r="G1086" s="39" t="s">
        <v>1610</v>
      </c>
      <c r="H1086" s="52" t="s">
        <v>98</v>
      </c>
      <c r="I1086" s="52">
        <v>15695.1</v>
      </c>
      <c r="J1086" s="49">
        <v>659591.50999999989</v>
      </c>
      <c r="K1086" s="58">
        <v>0</v>
      </c>
      <c r="L1086" s="58">
        <v>0</v>
      </c>
      <c r="M1086" s="58">
        <v>0</v>
      </c>
      <c r="N1086" s="58">
        <v>0</v>
      </c>
      <c r="O1086" s="65">
        <v>0</v>
      </c>
      <c r="P1086" s="65">
        <v>0</v>
      </c>
      <c r="Q1086" s="50">
        <v>659591.50999999989</v>
      </c>
      <c r="R1086" s="65">
        <v>0</v>
      </c>
      <c r="S1086" s="65">
        <v>0</v>
      </c>
      <c r="T1086" s="65">
        <v>0</v>
      </c>
      <c r="U1086" s="65">
        <v>0</v>
      </c>
      <c r="V1086" s="65">
        <v>0</v>
      </c>
      <c r="W1086" s="65">
        <v>0</v>
      </c>
      <c r="X1086" s="65">
        <v>0</v>
      </c>
      <c r="Y1086" s="65">
        <v>0</v>
      </c>
      <c r="Z1086" s="65">
        <v>659591.50999999989</v>
      </c>
      <c r="AA1086" s="51">
        <v>0</v>
      </c>
      <c r="AB1086" s="102">
        <v>0</v>
      </c>
      <c r="AC1086" s="81">
        <f t="shared" si="51"/>
        <v>0</v>
      </c>
      <c r="AD1086" s="82">
        <f t="shared" si="52"/>
        <v>0</v>
      </c>
      <c r="AE1086" s="218">
        <v>0</v>
      </c>
      <c r="AF1086">
        <v>0</v>
      </c>
      <c r="AH1086" t="str">
        <f t="shared" si="53"/>
        <v>Asarganj</v>
      </c>
      <c r="AJ1086" s="72">
        <v>0</v>
      </c>
      <c r="AK1086" s="72"/>
      <c r="AL1086" s="72"/>
      <c r="AM1086" s="72"/>
    </row>
    <row r="1087" spans="1:39" x14ac:dyDescent="0.25">
      <c r="A1087" s="37" t="s">
        <v>62</v>
      </c>
      <c r="B1087" s="66" t="s">
        <v>1638</v>
      </c>
      <c r="C1087" s="41">
        <v>1003</v>
      </c>
      <c r="D1087" s="41" t="s">
        <v>137</v>
      </c>
      <c r="E1087" s="41">
        <v>10030044</v>
      </c>
      <c r="F1087" s="85" t="s">
        <v>166</v>
      </c>
      <c r="G1087" s="39" t="s">
        <v>1610</v>
      </c>
      <c r="H1087" s="52" t="s">
        <v>98</v>
      </c>
      <c r="I1087" s="52">
        <v>15695.1</v>
      </c>
      <c r="J1087" s="49">
        <v>659591.50999999989</v>
      </c>
      <c r="K1087" s="58">
        <v>0</v>
      </c>
      <c r="L1087" s="58">
        <v>0</v>
      </c>
      <c r="M1087" s="58">
        <v>0</v>
      </c>
      <c r="N1087" s="58">
        <v>0</v>
      </c>
      <c r="O1087" s="65">
        <v>0</v>
      </c>
      <c r="P1087" s="65">
        <v>0</v>
      </c>
      <c r="Q1087" s="50">
        <v>659591.50999999989</v>
      </c>
      <c r="R1087" s="65">
        <v>0</v>
      </c>
      <c r="S1087" s="65">
        <v>0</v>
      </c>
      <c r="T1087" s="65">
        <v>0</v>
      </c>
      <c r="U1087" s="65">
        <v>0</v>
      </c>
      <c r="V1087" s="65">
        <v>0</v>
      </c>
      <c r="W1087" s="65">
        <v>0</v>
      </c>
      <c r="X1087" s="65">
        <v>0</v>
      </c>
      <c r="Y1087" s="65">
        <v>0</v>
      </c>
      <c r="Z1087" s="65">
        <v>659591.50999999989</v>
      </c>
      <c r="AA1087" s="51">
        <v>0</v>
      </c>
      <c r="AB1087" s="102">
        <v>0</v>
      </c>
      <c r="AC1087" s="81">
        <f t="shared" si="51"/>
        <v>0</v>
      </c>
      <c r="AD1087" s="82">
        <f t="shared" si="52"/>
        <v>0</v>
      </c>
      <c r="AE1087" s="218">
        <v>0</v>
      </c>
      <c r="AF1087">
        <v>0</v>
      </c>
      <c r="AH1087" t="str">
        <f t="shared" si="53"/>
        <v>Asarganj</v>
      </c>
      <c r="AJ1087" s="72">
        <v>0</v>
      </c>
      <c r="AK1087" s="72"/>
      <c r="AL1087" s="72"/>
      <c r="AM1087" s="72"/>
    </row>
    <row r="1088" spans="1:39" x14ac:dyDescent="0.25">
      <c r="A1088" s="37" t="s">
        <v>62</v>
      </c>
      <c r="B1088" s="66" t="s">
        <v>1638</v>
      </c>
      <c r="C1088" s="41">
        <v>1003</v>
      </c>
      <c r="D1088" s="41" t="s">
        <v>137</v>
      </c>
      <c r="E1088" s="41">
        <v>10030045</v>
      </c>
      <c r="F1088" s="85" t="s">
        <v>167</v>
      </c>
      <c r="G1088" s="39" t="s">
        <v>1610</v>
      </c>
      <c r="H1088" s="52" t="s">
        <v>98</v>
      </c>
      <c r="I1088" s="52">
        <v>726.35</v>
      </c>
      <c r="J1088" s="49">
        <v>30118.809999999998</v>
      </c>
      <c r="K1088" s="58">
        <v>0</v>
      </c>
      <c r="L1088" s="58">
        <v>0</v>
      </c>
      <c r="M1088" s="58">
        <v>0</v>
      </c>
      <c r="N1088" s="58">
        <v>0</v>
      </c>
      <c r="O1088" s="65">
        <v>0</v>
      </c>
      <c r="P1088" s="65">
        <v>0</v>
      </c>
      <c r="Q1088" s="50">
        <v>30118.809999999998</v>
      </c>
      <c r="R1088" s="65">
        <v>0</v>
      </c>
      <c r="S1088" s="65">
        <v>0</v>
      </c>
      <c r="T1088" s="65">
        <v>0</v>
      </c>
      <c r="U1088" s="65">
        <v>0</v>
      </c>
      <c r="V1088" s="65">
        <v>0</v>
      </c>
      <c r="W1088" s="65">
        <v>0</v>
      </c>
      <c r="X1088" s="65">
        <v>0</v>
      </c>
      <c r="Y1088" s="65">
        <v>0</v>
      </c>
      <c r="Z1088" s="65">
        <v>30118.809999999998</v>
      </c>
      <c r="AA1088" s="51">
        <v>0</v>
      </c>
      <c r="AB1088" s="102">
        <v>0</v>
      </c>
      <c r="AC1088" s="81">
        <f t="shared" si="51"/>
        <v>0</v>
      </c>
      <c r="AD1088" s="82">
        <f t="shared" si="52"/>
        <v>0</v>
      </c>
      <c r="AE1088" s="218">
        <v>0</v>
      </c>
      <c r="AF1088">
        <v>0</v>
      </c>
      <c r="AH1088" t="str">
        <f t="shared" si="53"/>
        <v>Asarganj</v>
      </c>
      <c r="AJ1088" s="72">
        <v>0</v>
      </c>
      <c r="AK1088" s="72"/>
      <c r="AL1088" s="72"/>
      <c r="AM1088" s="72"/>
    </row>
    <row r="1089" spans="1:39" x14ac:dyDescent="0.25">
      <c r="A1089" s="37" t="s">
        <v>62</v>
      </c>
      <c r="B1089" s="66" t="s">
        <v>1638</v>
      </c>
      <c r="C1089" s="41">
        <v>1003</v>
      </c>
      <c r="D1089" s="41" t="s">
        <v>137</v>
      </c>
      <c r="E1089" s="41">
        <v>10030046</v>
      </c>
      <c r="F1089" s="85" t="s">
        <v>168</v>
      </c>
      <c r="G1089" s="39" t="s">
        <v>1610</v>
      </c>
      <c r="H1089" s="52" t="s">
        <v>98</v>
      </c>
      <c r="I1089" s="52">
        <v>506.6</v>
      </c>
      <c r="J1089" s="49">
        <v>21430.95</v>
      </c>
      <c r="K1089" s="58">
        <v>0</v>
      </c>
      <c r="L1089" s="58">
        <v>0</v>
      </c>
      <c r="M1089" s="58">
        <v>0</v>
      </c>
      <c r="N1089" s="58">
        <v>0</v>
      </c>
      <c r="O1089" s="65">
        <v>0</v>
      </c>
      <c r="P1089" s="65">
        <v>0</v>
      </c>
      <c r="Q1089" s="50">
        <v>21430.95</v>
      </c>
      <c r="R1089" s="65">
        <v>0</v>
      </c>
      <c r="S1089" s="65">
        <v>0</v>
      </c>
      <c r="T1089" s="65">
        <v>0</v>
      </c>
      <c r="U1089" s="65">
        <v>0</v>
      </c>
      <c r="V1089" s="65">
        <v>0</v>
      </c>
      <c r="W1089" s="65">
        <v>0</v>
      </c>
      <c r="X1089" s="65">
        <v>0</v>
      </c>
      <c r="Y1089" s="65">
        <v>0</v>
      </c>
      <c r="Z1089" s="65">
        <v>21430.95</v>
      </c>
      <c r="AA1089" s="51">
        <v>0</v>
      </c>
      <c r="AB1089" s="102">
        <v>0</v>
      </c>
      <c r="AC1089" s="81">
        <f t="shared" ref="AC1089:AC1152" si="54">((IF(AD1089=0,0,100-AD1089))*7*(J1089/I1089))*2%</f>
        <v>163.62991433083295</v>
      </c>
      <c r="AD1089" s="82">
        <f t="shared" ref="AD1089:AD1152" si="55">IF((I1089/7)&gt;100,0,(I1089/7))</f>
        <v>72.371428571428581</v>
      </c>
      <c r="AE1089" s="218">
        <v>0</v>
      </c>
      <c r="AF1089">
        <v>0</v>
      </c>
      <c r="AH1089" t="str">
        <f t="shared" si="53"/>
        <v>Asarganj</v>
      </c>
      <c r="AJ1089" s="72">
        <v>0</v>
      </c>
      <c r="AK1089" s="72"/>
      <c r="AL1089" s="72"/>
      <c r="AM1089" s="72"/>
    </row>
    <row r="1090" spans="1:39" x14ac:dyDescent="0.25">
      <c r="A1090" s="37" t="s">
        <v>62</v>
      </c>
      <c r="B1090" s="66" t="s">
        <v>1638</v>
      </c>
      <c r="C1090" s="41">
        <v>1003</v>
      </c>
      <c r="D1090" s="41" t="s">
        <v>137</v>
      </c>
      <c r="E1090" s="41">
        <v>10030047</v>
      </c>
      <c r="F1090" s="85" t="s">
        <v>169</v>
      </c>
      <c r="G1090" s="39" t="s">
        <v>1610</v>
      </c>
      <c r="H1090" s="52" t="s">
        <v>98</v>
      </c>
      <c r="I1090" s="52">
        <v>506.6</v>
      </c>
      <c r="J1090" s="49">
        <v>21430.95</v>
      </c>
      <c r="K1090" s="58">
        <v>0</v>
      </c>
      <c r="L1090" s="58">
        <v>0</v>
      </c>
      <c r="M1090" s="58">
        <v>0</v>
      </c>
      <c r="N1090" s="58">
        <v>0</v>
      </c>
      <c r="O1090" s="65">
        <v>0</v>
      </c>
      <c r="P1090" s="65">
        <v>0</v>
      </c>
      <c r="Q1090" s="50">
        <v>21430.95</v>
      </c>
      <c r="R1090" s="65">
        <v>0</v>
      </c>
      <c r="S1090" s="65">
        <v>0</v>
      </c>
      <c r="T1090" s="65">
        <v>0</v>
      </c>
      <c r="U1090" s="65">
        <v>0</v>
      </c>
      <c r="V1090" s="65">
        <v>0</v>
      </c>
      <c r="W1090" s="65">
        <v>0</v>
      </c>
      <c r="X1090" s="65">
        <v>0</v>
      </c>
      <c r="Y1090" s="65">
        <v>0</v>
      </c>
      <c r="Z1090" s="65">
        <v>21430.95</v>
      </c>
      <c r="AA1090" s="51">
        <v>0</v>
      </c>
      <c r="AB1090" s="102">
        <v>0</v>
      </c>
      <c r="AC1090" s="81">
        <f t="shared" si="54"/>
        <v>163.62991433083295</v>
      </c>
      <c r="AD1090" s="82">
        <f t="shared" si="55"/>
        <v>72.371428571428581</v>
      </c>
      <c r="AE1090" s="218">
        <v>0</v>
      </c>
      <c r="AF1090">
        <v>0</v>
      </c>
      <c r="AH1090" t="str">
        <f t="shared" si="53"/>
        <v>Asarganj</v>
      </c>
      <c r="AJ1090" s="72">
        <v>0</v>
      </c>
      <c r="AK1090" s="72"/>
      <c r="AL1090" s="72"/>
      <c r="AM1090" s="72"/>
    </row>
    <row r="1091" spans="1:39" x14ac:dyDescent="0.25">
      <c r="A1091" s="37" t="s">
        <v>62</v>
      </c>
      <c r="B1091" s="66" t="s">
        <v>1638</v>
      </c>
      <c r="C1091" s="41">
        <v>1003</v>
      </c>
      <c r="D1091" s="41" t="s">
        <v>137</v>
      </c>
      <c r="E1091" s="41">
        <v>10030048</v>
      </c>
      <c r="F1091" s="85" t="s">
        <v>170</v>
      </c>
      <c r="G1091" s="39" t="s">
        <v>1610</v>
      </c>
      <c r="H1091" s="52" t="s">
        <v>98</v>
      </c>
      <c r="I1091" s="52">
        <v>506.6</v>
      </c>
      <c r="J1091" s="49">
        <v>21430.95</v>
      </c>
      <c r="K1091" s="58">
        <v>0</v>
      </c>
      <c r="L1091" s="58">
        <v>0</v>
      </c>
      <c r="M1091" s="58">
        <v>0</v>
      </c>
      <c r="N1091" s="58">
        <v>0</v>
      </c>
      <c r="O1091" s="65">
        <v>0</v>
      </c>
      <c r="P1091" s="65">
        <v>0</v>
      </c>
      <c r="Q1091" s="50">
        <v>21430.95</v>
      </c>
      <c r="R1091" s="65">
        <v>0</v>
      </c>
      <c r="S1091" s="65">
        <v>0</v>
      </c>
      <c r="T1091" s="65">
        <v>0</v>
      </c>
      <c r="U1091" s="65">
        <v>0</v>
      </c>
      <c r="V1091" s="65">
        <v>0</v>
      </c>
      <c r="W1091" s="65">
        <v>0</v>
      </c>
      <c r="X1091" s="65">
        <v>0</v>
      </c>
      <c r="Y1091" s="65">
        <v>0</v>
      </c>
      <c r="Z1091" s="65">
        <v>21430.95</v>
      </c>
      <c r="AA1091" s="51">
        <v>0</v>
      </c>
      <c r="AB1091" s="102">
        <v>0</v>
      </c>
      <c r="AC1091" s="81">
        <f t="shared" si="54"/>
        <v>163.62991433083295</v>
      </c>
      <c r="AD1091" s="82">
        <f t="shared" si="55"/>
        <v>72.371428571428581</v>
      </c>
      <c r="AE1091" s="218">
        <v>0</v>
      </c>
      <c r="AF1091">
        <v>0</v>
      </c>
      <c r="AH1091" t="str">
        <f t="shared" si="53"/>
        <v>Asarganj</v>
      </c>
      <c r="AJ1091" s="72">
        <v>0</v>
      </c>
      <c r="AK1091" s="72"/>
      <c r="AL1091" s="72"/>
      <c r="AM1091" s="72"/>
    </row>
    <row r="1092" spans="1:39" x14ac:dyDescent="0.25">
      <c r="A1092" s="37" t="s">
        <v>62</v>
      </c>
      <c r="B1092" s="66" t="s">
        <v>1638</v>
      </c>
      <c r="C1092" s="41">
        <v>1003</v>
      </c>
      <c r="D1092" s="41" t="s">
        <v>137</v>
      </c>
      <c r="E1092" s="41">
        <v>10030050</v>
      </c>
      <c r="F1092" s="85" t="s">
        <v>171</v>
      </c>
      <c r="G1092" s="39" t="s">
        <v>92</v>
      </c>
      <c r="H1092" s="52" t="s">
        <v>93</v>
      </c>
      <c r="I1092" s="52">
        <v>622.29999999999995</v>
      </c>
      <c r="J1092" s="49">
        <v>22693.389999999996</v>
      </c>
      <c r="K1092" s="58">
        <v>605.45999999999992</v>
      </c>
      <c r="L1092" s="58">
        <v>24615.37</v>
      </c>
      <c r="M1092" s="58">
        <v>2.7300000000000004</v>
      </c>
      <c r="N1092" s="58">
        <v>112.44999999999999</v>
      </c>
      <c r="O1092" s="65">
        <v>608.18999999999994</v>
      </c>
      <c r="P1092" s="65">
        <v>24727.82</v>
      </c>
      <c r="Q1092" s="50">
        <v>22693.389999999996</v>
      </c>
      <c r="R1092" s="65">
        <v>0</v>
      </c>
      <c r="S1092" s="65">
        <v>112.44999999999999</v>
      </c>
      <c r="T1092" s="65">
        <v>2034.4300000000039</v>
      </c>
      <c r="U1092" s="65">
        <v>0</v>
      </c>
      <c r="V1092" s="65">
        <v>0</v>
      </c>
      <c r="W1092" s="65">
        <v>0</v>
      </c>
      <c r="X1092" s="65">
        <v>22581</v>
      </c>
      <c r="Y1092" s="65">
        <v>0</v>
      </c>
      <c r="Z1092" s="65">
        <v>0</v>
      </c>
      <c r="AA1092" s="51">
        <v>0</v>
      </c>
      <c r="AB1092" s="102">
        <v>0</v>
      </c>
      <c r="AC1092" s="81">
        <f t="shared" si="54"/>
        <v>56.669657817772816</v>
      </c>
      <c r="AD1092" s="82">
        <f t="shared" si="55"/>
        <v>88.899999999999991</v>
      </c>
      <c r="AE1092" s="218">
        <v>-8.9648571676598524E-2</v>
      </c>
      <c r="AF1092">
        <v>10</v>
      </c>
      <c r="AH1092" t="str">
        <f t="shared" si="53"/>
        <v>Asarganj</v>
      </c>
      <c r="AJ1092" s="72">
        <v>0</v>
      </c>
      <c r="AK1092" s="72"/>
      <c r="AL1092" s="72"/>
      <c r="AM1092" s="72"/>
    </row>
    <row r="1093" spans="1:39" x14ac:dyDescent="0.25">
      <c r="A1093" s="37" t="s">
        <v>62</v>
      </c>
      <c r="B1093" s="66" t="s">
        <v>1638</v>
      </c>
      <c r="C1093" s="41">
        <v>1003</v>
      </c>
      <c r="D1093" s="41" t="s">
        <v>137</v>
      </c>
      <c r="E1093" s="41">
        <v>10030051</v>
      </c>
      <c r="F1093" s="85" t="s">
        <v>172</v>
      </c>
      <c r="G1093" s="39" t="s">
        <v>92</v>
      </c>
      <c r="H1093" s="52" t="s">
        <v>93</v>
      </c>
      <c r="I1093" s="52">
        <v>3744.5000000000005</v>
      </c>
      <c r="J1093" s="49">
        <v>140783.65000000002</v>
      </c>
      <c r="K1093" s="58">
        <v>3671.6299999999992</v>
      </c>
      <c r="L1093" s="58">
        <v>139253.05999999997</v>
      </c>
      <c r="M1093" s="58">
        <v>82.81</v>
      </c>
      <c r="N1093" s="58">
        <v>3120.28</v>
      </c>
      <c r="O1093" s="65">
        <v>3754.4399999999991</v>
      </c>
      <c r="P1093" s="65">
        <v>142373.33999999997</v>
      </c>
      <c r="Q1093" s="50">
        <v>140783.65000000002</v>
      </c>
      <c r="R1093" s="65">
        <v>0</v>
      </c>
      <c r="S1093" s="65">
        <v>3120.28</v>
      </c>
      <c r="T1093" s="65">
        <v>1589.6899999999441</v>
      </c>
      <c r="U1093" s="65">
        <v>0</v>
      </c>
      <c r="V1093" s="65">
        <v>0</v>
      </c>
      <c r="W1093" s="65">
        <v>0</v>
      </c>
      <c r="X1093" s="65">
        <v>137663</v>
      </c>
      <c r="Y1093" s="65">
        <v>0</v>
      </c>
      <c r="Z1093" s="65">
        <v>0</v>
      </c>
      <c r="AA1093" s="51">
        <v>0</v>
      </c>
      <c r="AB1093" s="102">
        <v>0</v>
      </c>
      <c r="AC1093" s="81">
        <f t="shared" si="54"/>
        <v>0</v>
      </c>
      <c r="AD1093" s="82">
        <f t="shared" si="55"/>
        <v>0</v>
      </c>
      <c r="AE1093" s="218">
        <v>-1.1291723151089944E-2</v>
      </c>
      <c r="AF1093">
        <v>7</v>
      </c>
      <c r="AH1093" t="str">
        <f t="shared" si="53"/>
        <v>Asarganj</v>
      </c>
      <c r="AJ1093" s="72">
        <v>0</v>
      </c>
      <c r="AK1093" s="72"/>
      <c r="AL1093" s="72"/>
      <c r="AM1093" s="72"/>
    </row>
    <row r="1094" spans="1:39" x14ac:dyDescent="0.25">
      <c r="A1094" s="37" t="s">
        <v>62</v>
      </c>
      <c r="B1094" s="66" t="s">
        <v>1638</v>
      </c>
      <c r="C1094" s="41">
        <v>1003</v>
      </c>
      <c r="D1094" s="41" t="s">
        <v>137</v>
      </c>
      <c r="E1094" s="41">
        <v>10030053</v>
      </c>
      <c r="F1094" s="85" t="s">
        <v>173</v>
      </c>
      <c r="G1094" s="39" t="s">
        <v>92</v>
      </c>
      <c r="H1094" s="52" t="s">
        <v>93</v>
      </c>
      <c r="I1094" s="52">
        <v>228.45000000000002</v>
      </c>
      <c r="J1094" s="49">
        <v>8975.42</v>
      </c>
      <c r="K1094" s="58">
        <v>225.09999999999997</v>
      </c>
      <c r="L1094" s="58">
        <v>8386.91</v>
      </c>
      <c r="M1094" s="58">
        <v>3.15</v>
      </c>
      <c r="N1094" s="58">
        <v>117.69</v>
      </c>
      <c r="O1094" s="65">
        <v>228.24999999999997</v>
      </c>
      <c r="P1094" s="65">
        <v>8504.6</v>
      </c>
      <c r="Q1094" s="50">
        <v>8504.6</v>
      </c>
      <c r="R1094" s="65">
        <v>0</v>
      </c>
      <c r="S1094" s="65">
        <v>117.69</v>
      </c>
      <c r="T1094" s="65">
        <v>0</v>
      </c>
      <c r="U1094" s="65">
        <v>0</v>
      </c>
      <c r="V1094" s="65">
        <v>0</v>
      </c>
      <c r="W1094" s="65">
        <v>0</v>
      </c>
      <c r="X1094" s="65">
        <v>8387</v>
      </c>
      <c r="Y1094" s="65">
        <v>0</v>
      </c>
      <c r="Z1094" s="65">
        <v>0</v>
      </c>
      <c r="AA1094" s="51">
        <v>471</v>
      </c>
      <c r="AB1094" s="102">
        <v>0</v>
      </c>
      <c r="AC1094" s="81">
        <f t="shared" si="54"/>
        <v>370.52828198730577</v>
      </c>
      <c r="AD1094" s="82">
        <f t="shared" si="55"/>
        <v>32.635714285714286</v>
      </c>
      <c r="AE1094" s="218">
        <v>5.2456598131340897E-2</v>
      </c>
      <c r="AF1094">
        <v>7</v>
      </c>
      <c r="AH1094" t="str">
        <f t="shared" si="53"/>
        <v>Asarganj</v>
      </c>
      <c r="AJ1094" s="72">
        <v>0</v>
      </c>
      <c r="AK1094" s="72"/>
      <c r="AL1094" s="72"/>
      <c r="AM1094" s="72"/>
    </row>
    <row r="1095" spans="1:39" x14ac:dyDescent="0.25">
      <c r="A1095" s="37" t="s">
        <v>62</v>
      </c>
      <c r="B1095" s="66" t="s">
        <v>1638</v>
      </c>
      <c r="C1095" s="41">
        <v>1003</v>
      </c>
      <c r="D1095" s="41" t="s">
        <v>137</v>
      </c>
      <c r="E1095" s="41">
        <v>10030055</v>
      </c>
      <c r="F1095" s="85" t="s">
        <v>174</v>
      </c>
      <c r="G1095" s="39" t="s">
        <v>92</v>
      </c>
      <c r="H1095" s="52" t="s">
        <v>93</v>
      </c>
      <c r="I1095" s="52">
        <v>239.45</v>
      </c>
      <c r="J1095" s="49">
        <v>10394.400000000001</v>
      </c>
      <c r="K1095" s="58">
        <v>230.61999999999995</v>
      </c>
      <c r="L1095" s="58">
        <v>10246.94</v>
      </c>
      <c r="M1095" s="58">
        <v>2.65</v>
      </c>
      <c r="N1095" s="58">
        <v>117.33</v>
      </c>
      <c r="O1095" s="65">
        <v>233.26999999999995</v>
      </c>
      <c r="P1095" s="65">
        <v>10364.27</v>
      </c>
      <c r="Q1095" s="50">
        <v>10364.27</v>
      </c>
      <c r="R1095" s="65">
        <v>0</v>
      </c>
      <c r="S1095" s="65">
        <v>117.33</v>
      </c>
      <c r="T1095" s="65">
        <v>0</v>
      </c>
      <c r="U1095" s="65">
        <v>0</v>
      </c>
      <c r="V1095" s="65">
        <v>0</v>
      </c>
      <c r="W1095" s="65">
        <v>0</v>
      </c>
      <c r="X1095" s="65">
        <v>10248</v>
      </c>
      <c r="Y1095" s="65">
        <v>0</v>
      </c>
      <c r="Z1095" s="65">
        <v>0</v>
      </c>
      <c r="AA1095" s="51">
        <v>29</v>
      </c>
      <c r="AB1095" s="102">
        <v>0</v>
      </c>
      <c r="AC1095" s="81">
        <f t="shared" si="54"/>
        <v>399.84472081854261</v>
      </c>
      <c r="AD1095" s="82">
        <f t="shared" si="55"/>
        <v>34.207142857142856</v>
      </c>
      <c r="AE1095" s="218">
        <v>2.8986762102671646E-3</v>
      </c>
      <c r="AF1095">
        <v>5</v>
      </c>
      <c r="AH1095" t="str">
        <f t="shared" si="53"/>
        <v>Asarganj</v>
      </c>
      <c r="AJ1095" s="72">
        <v>0</v>
      </c>
      <c r="AK1095" s="72"/>
      <c r="AL1095" s="72"/>
      <c r="AM1095" s="72"/>
    </row>
    <row r="1096" spans="1:39" x14ac:dyDescent="0.25">
      <c r="A1096" s="37" t="s">
        <v>62</v>
      </c>
      <c r="B1096" s="66" t="s">
        <v>1638</v>
      </c>
      <c r="C1096" s="41">
        <v>1003</v>
      </c>
      <c r="D1096" s="41" t="s">
        <v>137</v>
      </c>
      <c r="E1096" s="41">
        <v>10030056</v>
      </c>
      <c r="F1096" s="85" t="s">
        <v>175</v>
      </c>
      <c r="G1096" s="39" t="s">
        <v>92</v>
      </c>
      <c r="H1096" s="52" t="s">
        <v>93</v>
      </c>
      <c r="I1096" s="52">
        <v>255.30000000000004</v>
      </c>
      <c r="J1096" s="49">
        <v>9157.02</v>
      </c>
      <c r="K1096" s="58">
        <v>360</v>
      </c>
      <c r="L1096" s="58">
        <v>17332.900000000001</v>
      </c>
      <c r="M1096" s="58">
        <v>0</v>
      </c>
      <c r="N1096" s="58">
        <v>0</v>
      </c>
      <c r="O1096" s="65">
        <v>360</v>
      </c>
      <c r="P1096" s="65">
        <v>17332.900000000001</v>
      </c>
      <c r="Q1096" s="50">
        <v>9157.02</v>
      </c>
      <c r="R1096" s="65">
        <v>0</v>
      </c>
      <c r="S1096" s="65">
        <v>0</v>
      </c>
      <c r="T1096" s="65">
        <v>8175.880000000001</v>
      </c>
      <c r="U1096" s="65">
        <v>0</v>
      </c>
      <c r="V1096" s="65">
        <v>500</v>
      </c>
      <c r="W1096" s="65">
        <v>0</v>
      </c>
      <c r="X1096" s="65">
        <v>8657</v>
      </c>
      <c r="Y1096" s="65">
        <v>0</v>
      </c>
      <c r="Z1096" s="65">
        <v>0</v>
      </c>
      <c r="AA1096" s="51">
        <v>0</v>
      </c>
      <c r="AB1096" s="102" t="s">
        <v>1366</v>
      </c>
      <c r="AC1096" s="81">
        <f t="shared" si="54"/>
        <v>319.00719106933013</v>
      </c>
      <c r="AD1096" s="82">
        <f t="shared" si="55"/>
        <v>36.471428571428575</v>
      </c>
      <c r="AE1096" s="218">
        <v>-0.89285378867797605</v>
      </c>
      <c r="AF1096">
        <v>1</v>
      </c>
      <c r="AH1096" t="str">
        <f t="shared" si="53"/>
        <v>Asarganj</v>
      </c>
      <c r="AJ1096" s="72">
        <v>500</v>
      </c>
      <c r="AK1096" s="72"/>
      <c r="AL1096" s="72"/>
      <c r="AM1096" s="72"/>
    </row>
    <row r="1097" spans="1:39" x14ac:dyDescent="0.25">
      <c r="A1097" s="37" t="s">
        <v>62</v>
      </c>
      <c r="B1097" s="66" t="s">
        <v>1638</v>
      </c>
      <c r="C1097" s="41">
        <v>1003</v>
      </c>
      <c r="D1097" s="41" t="s">
        <v>137</v>
      </c>
      <c r="E1097" s="41">
        <v>10030059</v>
      </c>
      <c r="F1097" s="85" t="s">
        <v>176</v>
      </c>
      <c r="G1097" s="39" t="s">
        <v>92</v>
      </c>
      <c r="H1097" s="52" t="s">
        <v>93</v>
      </c>
      <c r="I1097" s="52">
        <v>730.05</v>
      </c>
      <c r="J1097" s="49">
        <v>31375.55</v>
      </c>
      <c r="K1097" s="58">
        <v>724.65999999999985</v>
      </c>
      <c r="L1097" s="58">
        <v>33682</v>
      </c>
      <c r="M1097" s="58">
        <v>0</v>
      </c>
      <c r="N1097" s="58">
        <v>0</v>
      </c>
      <c r="O1097" s="65">
        <v>724.65999999999985</v>
      </c>
      <c r="P1097" s="65">
        <v>33682</v>
      </c>
      <c r="Q1097" s="50">
        <v>31375.55</v>
      </c>
      <c r="R1097" s="65">
        <v>0</v>
      </c>
      <c r="S1097" s="65">
        <v>0</v>
      </c>
      <c r="T1097" s="65">
        <v>2306.4500000000007</v>
      </c>
      <c r="U1097" s="65">
        <v>0</v>
      </c>
      <c r="V1097" s="65">
        <v>0</v>
      </c>
      <c r="W1097" s="65">
        <v>0</v>
      </c>
      <c r="X1097" s="65">
        <v>31376</v>
      </c>
      <c r="Y1097" s="65">
        <v>0</v>
      </c>
      <c r="Z1097" s="65">
        <v>0</v>
      </c>
      <c r="AA1097" s="51">
        <v>0</v>
      </c>
      <c r="AB1097" s="102">
        <v>0</v>
      </c>
      <c r="AC1097" s="81">
        <f t="shared" si="54"/>
        <v>0</v>
      </c>
      <c r="AD1097" s="82">
        <f t="shared" si="55"/>
        <v>0</v>
      </c>
      <c r="AE1097" s="218">
        <v>-7.3511061957479654E-2</v>
      </c>
      <c r="AF1097">
        <v>11</v>
      </c>
      <c r="AH1097" t="str">
        <f t="shared" si="53"/>
        <v>Asarganj</v>
      </c>
      <c r="AJ1097" s="72">
        <v>0</v>
      </c>
      <c r="AK1097" s="72"/>
      <c r="AL1097" s="72"/>
      <c r="AM1097" s="72"/>
    </row>
    <row r="1098" spans="1:39" x14ac:dyDescent="0.25">
      <c r="A1098" s="37" t="s">
        <v>62</v>
      </c>
      <c r="B1098" s="66" t="s">
        <v>1638</v>
      </c>
      <c r="C1098" s="41">
        <v>1003</v>
      </c>
      <c r="D1098" s="41" t="s">
        <v>137</v>
      </c>
      <c r="E1098" s="41">
        <v>10030060</v>
      </c>
      <c r="F1098" s="85" t="s">
        <v>177</v>
      </c>
      <c r="G1098" s="39" t="s">
        <v>92</v>
      </c>
      <c r="H1098" s="52" t="s">
        <v>93</v>
      </c>
      <c r="I1098" s="52">
        <v>682.3</v>
      </c>
      <c r="J1098" s="49">
        <v>24325.499999999996</v>
      </c>
      <c r="K1098" s="58">
        <v>682.19999999999993</v>
      </c>
      <c r="L1098" s="58">
        <v>24321.67</v>
      </c>
      <c r="M1098" s="58">
        <v>7</v>
      </c>
      <c r="N1098" s="58">
        <v>248.89999999999998</v>
      </c>
      <c r="O1098" s="65">
        <v>689.19999999999993</v>
      </c>
      <c r="P1098" s="65">
        <v>24570.57</v>
      </c>
      <c r="Q1098" s="50">
        <v>24325.499999999996</v>
      </c>
      <c r="R1098" s="65">
        <v>0</v>
      </c>
      <c r="S1098" s="65">
        <v>248.89999999999998</v>
      </c>
      <c r="T1098" s="65">
        <v>245.07000000000335</v>
      </c>
      <c r="U1098" s="65">
        <v>0</v>
      </c>
      <c r="V1098" s="65">
        <v>0</v>
      </c>
      <c r="W1098" s="65">
        <v>0</v>
      </c>
      <c r="X1098" s="65">
        <v>24077</v>
      </c>
      <c r="Y1098" s="65">
        <v>0</v>
      </c>
      <c r="Z1098" s="65">
        <v>0</v>
      </c>
      <c r="AA1098" s="51">
        <v>0</v>
      </c>
      <c r="AB1098" s="102">
        <v>0</v>
      </c>
      <c r="AC1098" s="81">
        <f t="shared" si="54"/>
        <v>12.620880844203482</v>
      </c>
      <c r="AD1098" s="82">
        <f t="shared" si="55"/>
        <v>97.471428571428561</v>
      </c>
      <c r="AE1098" s="218">
        <v>-1.0074613060368888E-2</v>
      </c>
      <c r="AF1098">
        <v>2</v>
      </c>
      <c r="AH1098" t="str">
        <f t="shared" si="53"/>
        <v>Asarganj</v>
      </c>
      <c r="AJ1098" s="72">
        <v>0</v>
      </c>
      <c r="AK1098" s="72"/>
      <c r="AL1098" s="72"/>
      <c r="AM1098" s="72"/>
    </row>
    <row r="1099" spans="1:39" x14ac:dyDescent="0.25">
      <c r="A1099" s="37" t="s">
        <v>62</v>
      </c>
      <c r="B1099" s="66" t="s">
        <v>1638</v>
      </c>
      <c r="C1099" s="41">
        <v>1003</v>
      </c>
      <c r="D1099" s="41" t="s">
        <v>137</v>
      </c>
      <c r="E1099" s="41">
        <v>10030061</v>
      </c>
      <c r="F1099" s="85" t="s">
        <v>178</v>
      </c>
      <c r="G1099" s="39" t="s">
        <v>92</v>
      </c>
      <c r="H1099" s="52" t="s">
        <v>93</v>
      </c>
      <c r="I1099" s="52">
        <v>389.00000000000006</v>
      </c>
      <c r="J1099" s="49">
        <v>15527.929999999998</v>
      </c>
      <c r="K1099" s="58">
        <v>373.95</v>
      </c>
      <c r="L1099" s="58">
        <v>13681.8</v>
      </c>
      <c r="M1099" s="58">
        <v>7.32</v>
      </c>
      <c r="N1099" s="58">
        <v>279.40999999999997</v>
      </c>
      <c r="O1099" s="65">
        <v>381.27</v>
      </c>
      <c r="P1099" s="65">
        <v>13961.21</v>
      </c>
      <c r="Q1099" s="50">
        <v>13961.21</v>
      </c>
      <c r="R1099" s="65">
        <v>0</v>
      </c>
      <c r="S1099" s="65">
        <v>279.40999999999997</v>
      </c>
      <c r="T1099" s="65">
        <v>0</v>
      </c>
      <c r="U1099" s="65">
        <v>0</v>
      </c>
      <c r="V1099" s="65">
        <v>0</v>
      </c>
      <c r="W1099" s="65">
        <v>0</v>
      </c>
      <c r="X1099" s="65">
        <v>13680</v>
      </c>
      <c r="Y1099" s="65">
        <v>0</v>
      </c>
      <c r="Z1099" s="65">
        <v>0</v>
      </c>
      <c r="AA1099" s="51">
        <v>1569</v>
      </c>
      <c r="AB1099" s="102">
        <v>0</v>
      </c>
      <c r="AC1099" s="81">
        <f t="shared" si="54"/>
        <v>248.28720976863744</v>
      </c>
      <c r="AD1099" s="82">
        <f t="shared" si="55"/>
        <v>55.571428571428577</v>
      </c>
      <c r="AE1099" s="218">
        <v>0.10089689997314513</v>
      </c>
      <c r="AF1099">
        <v>9</v>
      </c>
      <c r="AH1099" t="str">
        <f t="shared" si="53"/>
        <v>Asarganj</v>
      </c>
      <c r="AJ1099" s="72">
        <v>0</v>
      </c>
      <c r="AK1099" s="72"/>
      <c r="AL1099" s="72"/>
      <c r="AM1099" s="72"/>
    </row>
    <row r="1100" spans="1:39" x14ac:dyDescent="0.25">
      <c r="A1100" s="37" t="s">
        <v>62</v>
      </c>
      <c r="B1100" s="66" t="s">
        <v>1638</v>
      </c>
      <c r="C1100" s="41">
        <v>1003</v>
      </c>
      <c r="D1100" s="41" t="s">
        <v>137</v>
      </c>
      <c r="E1100" s="41">
        <v>10030063</v>
      </c>
      <c r="F1100" s="85" t="s">
        <v>437</v>
      </c>
      <c r="G1100" s="39" t="s">
        <v>92</v>
      </c>
      <c r="H1100" s="52" t="s">
        <v>93</v>
      </c>
      <c r="I1100" s="52">
        <v>1776.6</v>
      </c>
      <c r="J1100" s="49">
        <v>74735.009999999995</v>
      </c>
      <c r="K1100" s="58">
        <v>1878.9799999999996</v>
      </c>
      <c r="L1100" s="58">
        <v>78775.030000000013</v>
      </c>
      <c r="M1100" s="58">
        <v>11.2</v>
      </c>
      <c r="N1100" s="58">
        <v>485.87</v>
      </c>
      <c r="O1100" s="65">
        <v>1890.1799999999996</v>
      </c>
      <c r="P1100" s="65">
        <v>79260.900000000009</v>
      </c>
      <c r="Q1100" s="50">
        <v>74735.009999999995</v>
      </c>
      <c r="R1100" s="65">
        <v>0</v>
      </c>
      <c r="S1100" s="65">
        <v>485.87</v>
      </c>
      <c r="T1100" s="65">
        <v>4525.890000000014</v>
      </c>
      <c r="U1100" s="65">
        <v>0</v>
      </c>
      <c r="V1100" s="65">
        <v>0</v>
      </c>
      <c r="W1100" s="65">
        <v>0</v>
      </c>
      <c r="X1100" s="65">
        <v>74249</v>
      </c>
      <c r="Y1100" s="65">
        <v>0</v>
      </c>
      <c r="Z1100" s="65">
        <v>0</v>
      </c>
      <c r="AA1100" s="51">
        <v>0</v>
      </c>
      <c r="AB1100" s="102">
        <v>0</v>
      </c>
      <c r="AC1100" s="81">
        <f t="shared" si="54"/>
        <v>0</v>
      </c>
      <c r="AD1100" s="82">
        <f t="shared" si="55"/>
        <v>0</v>
      </c>
      <c r="AE1100" s="218">
        <v>-6.0559167651145218E-2</v>
      </c>
      <c r="AF1100">
        <v>8</v>
      </c>
      <c r="AH1100" t="str">
        <f t="shared" si="53"/>
        <v>Asarganj</v>
      </c>
      <c r="AJ1100" s="72">
        <v>0</v>
      </c>
      <c r="AK1100" s="72"/>
      <c r="AL1100" s="72"/>
      <c r="AM1100" s="72"/>
    </row>
    <row r="1101" spans="1:39" x14ac:dyDescent="0.25">
      <c r="A1101" s="37" t="s">
        <v>62</v>
      </c>
      <c r="B1101" s="66" t="s">
        <v>1638</v>
      </c>
      <c r="C1101" s="41">
        <v>1003</v>
      </c>
      <c r="D1101" s="41" t="s">
        <v>137</v>
      </c>
      <c r="E1101" s="41">
        <v>10030064</v>
      </c>
      <c r="F1101" s="85" t="s">
        <v>427</v>
      </c>
      <c r="G1101" s="39" t="s">
        <v>92</v>
      </c>
      <c r="H1101" s="52" t="s">
        <v>93</v>
      </c>
      <c r="I1101" s="52">
        <v>1242.0999999999999</v>
      </c>
      <c r="J1101" s="49">
        <v>50757.16</v>
      </c>
      <c r="K1101" s="58">
        <v>1236.3000000000002</v>
      </c>
      <c r="L1101" s="58">
        <v>54960.070000000007</v>
      </c>
      <c r="M1101" s="58">
        <v>0</v>
      </c>
      <c r="N1101" s="58">
        <v>0</v>
      </c>
      <c r="O1101" s="65">
        <v>1236.3000000000002</v>
      </c>
      <c r="P1101" s="65">
        <v>54960.070000000007</v>
      </c>
      <c r="Q1101" s="50">
        <v>50757.16</v>
      </c>
      <c r="R1101" s="65">
        <v>0</v>
      </c>
      <c r="S1101" s="65">
        <v>0</v>
      </c>
      <c r="T1101" s="65">
        <v>4202.9100000000035</v>
      </c>
      <c r="U1101" s="65">
        <v>22500</v>
      </c>
      <c r="V1101" s="65">
        <v>0</v>
      </c>
      <c r="W1101" s="65">
        <v>0</v>
      </c>
      <c r="X1101" s="65">
        <v>28257</v>
      </c>
      <c r="Y1101" s="65">
        <v>0</v>
      </c>
      <c r="Z1101" s="65">
        <v>0</v>
      </c>
      <c r="AA1101" s="51">
        <v>0</v>
      </c>
      <c r="AB1101" s="102" t="s">
        <v>68</v>
      </c>
      <c r="AC1101" s="81">
        <f t="shared" si="54"/>
        <v>0</v>
      </c>
      <c r="AD1101" s="82">
        <f t="shared" si="55"/>
        <v>0</v>
      </c>
      <c r="AE1101" s="218">
        <v>-8.2804278253550898E-2</v>
      </c>
      <c r="AF1101">
        <v>3</v>
      </c>
      <c r="AH1101" t="str">
        <f t="shared" si="53"/>
        <v>Asarganj</v>
      </c>
      <c r="AJ1101" s="72">
        <v>0</v>
      </c>
      <c r="AK1101" s="72"/>
      <c r="AL1101" s="72"/>
      <c r="AM1101" s="72"/>
    </row>
    <row r="1102" spans="1:39" x14ac:dyDescent="0.25">
      <c r="A1102" s="37" t="s">
        <v>62</v>
      </c>
      <c r="B1102" s="66" t="s">
        <v>1638</v>
      </c>
      <c r="C1102" s="41">
        <v>1003</v>
      </c>
      <c r="D1102" s="41" t="s">
        <v>137</v>
      </c>
      <c r="E1102" s="41">
        <v>10030065</v>
      </c>
      <c r="F1102" s="85" t="s">
        <v>470</v>
      </c>
      <c r="G1102" s="39" t="s">
        <v>92</v>
      </c>
      <c r="H1102" s="52" t="s">
        <v>93</v>
      </c>
      <c r="I1102" s="52">
        <v>357.5</v>
      </c>
      <c r="J1102" s="49">
        <v>13845.570000000003</v>
      </c>
      <c r="K1102" s="58">
        <v>390.36</v>
      </c>
      <c r="L1102" s="58">
        <v>14218.55</v>
      </c>
      <c r="M1102" s="58">
        <v>3.6099999999999985</v>
      </c>
      <c r="N1102" s="58">
        <v>132.13999999999999</v>
      </c>
      <c r="O1102" s="65">
        <v>393.97</v>
      </c>
      <c r="P1102" s="65">
        <v>14350.689999999999</v>
      </c>
      <c r="Q1102" s="50">
        <v>13845.570000000003</v>
      </c>
      <c r="R1102" s="65">
        <v>0</v>
      </c>
      <c r="S1102" s="65">
        <v>132.13999999999999</v>
      </c>
      <c r="T1102" s="65">
        <v>505.11999999999534</v>
      </c>
      <c r="U1102" s="65">
        <v>0</v>
      </c>
      <c r="V1102" s="65">
        <v>500</v>
      </c>
      <c r="W1102" s="65">
        <v>0</v>
      </c>
      <c r="X1102" s="65">
        <v>13213</v>
      </c>
      <c r="Y1102" s="65">
        <v>0</v>
      </c>
      <c r="Z1102" s="65">
        <v>0</v>
      </c>
      <c r="AA1102" s="51">
        <v>0</v>
      </c>
      <c r="AB1102" s="102">
        <v>0</v>
      </c>
      <c r="AC1102" s="81">
        <f t="shared" si="54"/>
        <v>265.29273986013993</v>
      </c>
      <c r="AD1102" s="82">
        <f t="shared" si="55"/>
        <v>51.071428571428569</v>
      </c>
      <c r="AE1102" s="218">
        <v>-3.6482427231236791E-2</v>
      </c>
      <c r="AF1102">
        <v>4</v>
      </c>
      <c r="AH1102" t="str">
        <f t="shared" si="53"/>
        <v>Asarganj</v>
      </c>
      <c r="AJ1102" s="72">
        <v>500</v>
      </c>
      <c r="AK1102" s="72"/>
      <c r="AL1102" s="72"/>
      <c r="AM1102" s="72"/>
    </row>
    <row r="1103" spans="1:39" x14ac:dyDescent="0.25">
      <c r="A1103" s="37" t="s">
        <v>62</v>
      </c>
      <c r="B1103" s="66" t="s">
        <v>1638</v>
      </c>
      <c r="C1103" s="41">
        <v>1003</v>
      </c>
      <c r="D1103" s="41" t="s">
        <v>137</v>
      </c>
      <c r="E1103" s="41">
        <v>10030066</v>
      </c>
      <c r="F1103" s="85" t="s">
        <v>471</v>
      </c>
      <c r="G1103" s="39" t="s">
        <v>92</v>
      </c>
      <c r="H1103" s="52" t="s">
        <v>93</v>
      </c>
      <c r="I1103" s="52">
        <v>3584.9999999999995</v>
      </c>
      <c r="J1103" s="49">
        <v>156041.21</v>
      </c>
      <c r="K1103" s="58">
        <v>2277.7399999999998</v>
      </c>
      <c r="L1103" s="58">
        <v>104649.19999999998</v>
      </c>
      <c r="M1103" s="58">
        <v>1336.53</v>
      </c>
      <c r="N1103" s="58">
        <v>55371.73</v>
      </c>
      <c r="O1103" s="65">
        <v>3614.2699999999995</v>
      </c>
      <c r="P1103" s="65">
        <v>160020.93</v>
      </c>
      <c r="Q1103" s="50">
        <v>156041.21</v>
      </c>
      <c r="R1103" s="65">
        <v>0</v>
      </c>
      <c r="S1103" s="65">
        <v>861.18999999999994</v>
      </c>
      <c r="T1103" s="65">
        <v>3979.7200000000012</v>
      </c>
      <c r="U1103" s="65">
        <v>0</v>
      </c>
      <c r="V1103" s="65">
        <v>0</v>
      </c>
      <c r="W1103" s="65">
        <v>0</v>
      </c>
      <c r="X1103" s="65">
        <v>100671</v>
      </c>
      <c r="Y1103" s="65">
        <v>54509</v>
      </c>
      <c r="Z1103" s="65">
        <v>0</v>
      </c>
      <c r="AA1103" s="51">
        <v>0</v>
      </c>
      <c r="AB1103" s="102">
        <v>0</v>
      </c>
      <c r="AC1103" s="81">
        <f t="shared" si="54"/>
        <v>0</v>
      </c>
      <c r="AD1103" s="82">
        <f t="shared" si="55"/>
        <v>0</v>
      </c>
      <c r="AE1103" s="218">
        <v>-2.5504288258210772E-2</v>
      </c>
      <c r="AF1103">
        <v>19</v>
      </c>
      <c r="AH1103" t="str">
        <f t="shared" si="53"/>
        <v>Asarganj</v>
      </c>
      <c r="AJ1103" s="72">
        <v>0</v>
      </c>
      <c r="AK1103" s="72"/>
      <c r="AL1103" s="72"/>
      <c r="AM1103" s="72"/>
    </row>
    <row r="1104" spans="1:39" x14ac:dyDescent="0.25">
      <c r="A1104" s="37" t="s">
        <v>62</v>
      </c>
      <c r="B1104" s="66" t="s">
        <v>1638</v>
      </c>
      <c r="C1104" s="41">
        <v>1003</v>
      </c>
      <c r="D1104" s="41" t="s">
        <v>137</v>
      </c>
      <c r="E1104" s="41">
        <v>10030068</v>
      </c>
      <c r="F1104" s="85" t="s">
        <v>1230</v>
      </c>
      <c r="G1104" s="39" t="s">
        <v>92</v>
      </c>
      <c r="H1104" s="52" t="s">
        <v>93</v>
      </c>
      <c r="I1104" s="52">
        <v>1103.8499999999999</v>
      </c>
      <c r="J1104" s="49">
        <v>40216.569999999992</v>
      </c>
      <c r="K1104" s="58">
        <v>1200.3099999999997</v>
      </c>
      <c r="L1104" s="58">
        <v>49635.629999999983</v>
      </c>
      <c r="M1104" s="58">
        <v>40.550000000000004</v>
      </c>
      <c r="N1104" s="58">
        <v>2094.7600000000002</v>
      </c>
      <c r="O1104" s="65">
        <v>1240.8599999999997</v>
      </c>
      <c r="P1104" s="65">
        <v>51730.389999999985</v>
      </c>
      <c r="Q1104" s="50">
        <v>40216.569999999992</v>
      </c>
      <c r="R1104" s="65">
        <v>0</v>
      </c>
      <c r="S1104" s="65">
        <v>2094.7600000000002</v>
      </c>
      <c r="T1104" s="65">
        <v>11513.819999999992</v>
      </c>
      <c r="U1104" s="65">
        <v>0</v>
      </c>
      <c r="V1104" s="65">
        <v>0</v>
      </c>
      <c r="W1104" s="65">
        <v>0</v>
      </c>
      <c r="X1104" s="65">
        <v>38122</v>
      </c>
      <c r="Y1104" s="65">
        <v>0</v>
      </c>
      <c r="Z1104" s="65">
        <v>0</v>
      </c>
      <c r="AA1104" s="51">
        <v>0</v>
      </c>
      <c r="AB1104" s="102">
        <v>0</v>
      </c>
      <c r="AC1104" s="81">
        <f t="shared" si="54"/>
        <v>0</v>
      </c>
      <c r="AD1104" s="82">
        <f t="shared" si="55"/>
        <v>0</v>
      </c>
      <c r="AE1104" s="218">
        <v>-0.28629542499521948</v>
      </c>
      <c r="AF1104">
        <v>10</v>
      </c>
      <c r="AH1104" t="str">
        <f t="shared" si="53"/>
        <v>Asarganj</v>
      </c>
      <c r="AJ1104" s="72">
        <v>0</v>
      </c>
      <c r="AK1104" s="72"/>
      <c r="AL1104" s="72"/>
      <c r="AM1104" s="72"/>
    </row>
    <row r="1105" spans="1:39" x14ac:dyDescent="0.25">
      <c r="A1105" s="37" t="s">
        <v>62</v>
      </c>
      <c r="B1105" s="66" t="s">
        <v>1638</v>
      </c>
      <c r="C1105" s="41">
        <v>1003</v>
      </c>
      <c r="D1105" s="41" t="s">
        <v>137</v>
      </c>
      <c r="E1105" s="41">
        <v>10030069</v>
      </c>
      <c r="F1105" s="85" t="s">
        <v>512</v>
      </c>
      <c r="G1105" s="39" t="s">
        <v>92</v>
      </c>
      <c r="H1105" s="52" t="s">
        <v>98</v>
      </c>
      <c r="I1105" s="52">
        <v>1115.2</v>
      </c>
      <c r="J1105" s="49">
        <v>39376.060000000005</v>
      </c>
      <c r="K1105" s="58">
        <v>0</v>
      </c>
      <c r="L1105" s="58">
        <v>0</v>
      </c>
      <c r="M1105" s="58">
        <v>0</v>
      </c>
      <c r="N1105" s="58">
        <v>0</v>
      </c>
      <c r="O1105" s="65">
        <v>0</v>
      </c>
      <c r="P1105" s="65">
        <v>0</v>
      </c>
      <c r="Q1105" s="50">
        <v>39376.060000000005</v>
      </c>
      <c r="R1105" s="65">
        <v>0</v>
      </c>
      <c r="S1105" s="65">
        <v>0</v>
      </c>
      <c r="T1105" s="65">
        <v>0</v>
      </c>
      <c r="U1105" s="65">
        <v>0</v>
      </c>
      <c r="V1105" s="65">
        <v>0</v>
      </c>
      <c r="W1105" s="65">
        <v>0</v>
      </c>
      <c r="X1105" s="65">
        <v>0</v>
      </c>
      <c r="Y1105" s="65">
        <v>0</v>
      </c>
      <c r="Z1105" s="65">
        <v>39376.060000000005</v>
      </c>
      <c r="AA1105" s="51">
        <v>0</v>
      </c>
      <c r="AB1105" s="102">
        <v>0</v>
      </c>
      <c r="AC1105" s="81">
        <f t="shared" si="54"/>
        <v>0</v>
      </c>
      <c r="AD1105" s="82">
        <f t="shared" si="55"/>
        <v>0</v>
      </c>
      <c r="AE1105" s="218">
        <v>0</v>
      </c>
      <c r="AF1105">
        <v>0</v>
      </c>
      <c r="AH1105" t="str">
        <f t="shared" si="53"/>
        <v>Asarganj</v>
      </c>
      <c r="AJ1105" s="72">
        <v>0</v>
      </c>
      <c r="AK1105" s="72"/>
      <c r="AL1105" s="72"/>
      <c r="AM1105" s="72"/>
    </row>
    <row r="1106" spans="1:39" x14ac:dyDescent="0.25">
      <c r="A1106" s="37" t="s">
        <v>62</v>
      </c>
      <c r="B1106" s="66" t="s">
        <v>1638</v>
      </c>
      <c r="C1106" s="41">
        <v>1003</v>
      </c>
      <c r="D1106" s="41" t="s">
        <v>137</v>
      </c>
      <c r="E1106" s="41">
        <v>10030070</v>
      </c>
      <c r="F1106" s="85" t="s">
        <v>554</v>
      </c>
      <c r="G1106" s="39" t="s">
        <v>92</v>
      </c>
      <c r="H1106" s="52" t="s">
        <v>93</v>
      </c>
      <c r="I1106" s="52">
        <v>677.25</v>
      </c>
      <c r="J1106" s="49">
        <v>28879.840000000004</v>
      </c>
      <c r="K1106" s="58">
        <v>682.8</v>
      </c>
      <c r="L1106" s="58">
        <v>30751.940000000002</v>
      </c>
      <c r="M1106" s="58">
        <v>13.600000000000001</v>
      </c>
      <c r="N1106" s="58">
        <v>615.39999999999986</v>
      </c>
      <c r="O1106" s="65">
        <v>696.4</v>
      </c>
      <c r="P1106" s="65">
        <v>31367.340000000004</v>
      </c>
      <c r="Q1106" s="50">
        <v>28879.840000000004</v>
      </c>
      <c r="R1106" s="65">
        <v>0</v>
      </c>
      <c r="S1106" s="65">
        <v>615.39999999999986</v>
      </c>
      <c r="T1106" s="65">
        <v>2487.5</v>
      </c>
      <c r="U1106" s="65">
        <v>0</v>
      </c>
      <c r="V1106" s="65">
        <v>0</v>
      </c>
      <c r="W1106" s="65">
        <v>0</v>
      </c>
      <c r="X1106" s="65">
        <v>28264</v>
      </c>
      <c r="Y1106" s="65">
        <v>0</v>
      </c>
      <c r="Z1106" s="65">
        <v>0</v>
      </c>
      <c r="AA1106" s="51">
        <v>0</v>
      </c>
      <c r="AB1106" s="102">
        <v>0</v>
      </c>
      <c r="AC1106" s="81">
        <f t="shared" si="54"/>
        <v>19.402476485788117</v>
      </c>
      <c r="AD1106" s="82">
        <f t="shared" si="55"/>
        <v>96.75</v>
      </c>
      <c r="AE1106" s="218">
        <v>-8.6132748657887295E-2</v>
      </c>
      <c r="AF1106">
        <v>5</v>
      </c>
      <c r="AH1106" t="str">
        <f t="shared" si="53"/>
        <v>Asarganj</v>
      </c>
      <c r="AJ1106" s="72">
        <v>0</v>
      </c>
      <c r="AK1106" s="72"/>
      <c r="AL1106" s="72"/>
      <c r="AM1106" s="72"/>
    </row>
    <row r="1107" spans="1:39" x14ac:dyDescent="0.25">
      <c r="A1107" s="37" t="s">
        <v>62</v>
      </c>
      <c r="B1107" s="66" t="s">
        <v>1638</v>
      </c>
      <c r="C1107" s="41">
        <v>1003</v>
      </c>
      <c r="D1107" s="41" t="s">
        <v>137</v>
      </c>
      <c r="E1107" s="41">
        <v>10030071</v>
      </c>
      <c r="F1107" s="85" t="s">
        <v>555</v>
      </c>
      <c r="G1107" s="39" t="s">
        <v>92</v>
      </c>
      <c r="H1107" s="52" t="s">
        <v>93</v>
      </c>
      <c r="I1107" s="52">
        <v>215.7</v>
      </c>
      <c r="J1107" s="49">
        <v>9438.6299999999992</v>
      </c>
      <c r="K1107" s="58">
        <v>219.29999999999998</v>
      </c>
      <c r="L1107" s="58">
        <v>9608.9599999999991</v>
      </c>
      <c r="M1107" s="58">
        <v>0</v>
      </c>
      <c r="N1107" s="58">
        <v>0</v>
      </c>
      <c r="O1107" s="65">
        <v>219.29999999999998</v>
      </c>
      <c r="P1107" s="65">
        <v>9608.9599999999991</v>
      </c>
      <c r="Q1107" s="50">
        <v>9438.6299999999992</v>
      </c>
      <c r="R1107" s="65">
        <v>0</v>
      </c>
      <c r="S1107" s="65">
        <v>0</v>
      </c>
      <c r="T1107" s="65">
        <v>170.32999999999993</v>
      </c>
      <c r="U1107" s="65">
        <v>0</v>
      </c>
      <c r="V1107" s="65">
        <v>500</v>
      </c>
      <c r="W1107" s="65">
        <v>0</v>
      </c>
      <c r="X1107" s="65">
        <v>8939</v>
      </c>
      <c r="Y1107" s="65">
        <v>0</v>
      </c>
      <c r="Z1107" s="65">
        <v>0</v>
      </c>
      <c r="AA1107" s="51">
        <v>0</v>
      </c>
      <c r="AB1107" s="102">
        <v>0</v>
      </c>
      <c r="AC1107" s="81">
        <f t="shared" si="54"/>
        <v>423.84130820584136</v>
      </c>
      <c r="AD1107" s="82">
        <f t="shared" si="55"/>
        <v>30.814285714285713</v>
      </c>
      <c r="AE1107" s="218">
        <v>-1.8046051174799727E-2</v>
      </c>
      <c r="AF1107">
        <v>1</v>
      </c>
      <c r="AH1107" t="str">
        <f t="shared" si="53"/>
        <v>Asarganj</v>
      </c>
      <c r="AJ1107" s="72">
        <v>500</v>
      </c>
      <c r="AK1107" s="72"/>
      <c r="AL1107" s="72"/>
      <c r="AM1107" s="72"/>
    </row>
    <row r="1108" spans="1:39" x14ac:dyDescent="0.25">
      <c r="A1108" s="37" t="s">
        <v>62</v>
      </c>
      <c r="B1108" s="66" t="s">
        <v>1638</v>
      </c>
      <c r="C1108" s="41">
        <v>1003</v>
      </c>
      <c r="D1108" s="41" t="s">
        <v>137</v>
      </c>
      <c r="E1108" s="41">
        <v>10030072</v>
      </c>
      <c r="F1108" s="85" t="s">
        <v>1102</v>
      </c>
      <c r="G1108" s="39" t="s">
        <v>92</v>
      </c>
      <c r="H1108" s="52" t="s">
        <v>93</v>
      </c>
      <c r="I1108" s="52">
        <v>1300.7</v>
      </c>
      <c r="J1108" s="49">
        <v>53118.49</v>
      </c>
      <c r="K1108" s="58">
        <v>1273.04</v>
      </c>
      <c r="L1108" s="58">
        <v>53223.740000000013</v>
      </c>
      <c r="M1108" s="58">
        <v>14.1</v>
      </c>
      <c r="N1108" s="58">
        <v>596.53</v>
      </c>
      <c r="O1108" s="65">
        <v>1287.1399999999999</v>
      </c>
      <c r="P1108" s="65">
        <v>53820.270000000011</v>
      </c>
      <c r="Q1108" s="50">
        <v>53118.49</v>
      </c>
      <c r="R1108" s="65">
        <v>0</v>
      </c>
      <c r="S1108" s="65">
        <v>596.53</v>
      </c>
      <c r="T1108" s="65">
        <v>701.78000000001339</v>
      </c>
      <c r="U1108" s="65">
        <v>0</v>
      </c>
      <c r="V1108" s="65">
        <v>0</v>
      </c>
      <c r="W1108" s="65">
        <v>0</v>
      </c>
      <c r="X1108" s="65">
        <v>52522</v>
      </c>
      <c r="Y1108" s="65">
        <v>0</v>
      </c>
      <c r="Z1108" s="65">
        <v>0</v>
      </c>
      <c r="AA1108" s="51">
        <v>0</v>
      </c>
      <c r="AB1108" s="102">
        <v>0</v>
      </c>
      <c r="AC1108" s="81">
        <f t="shared" si="54"/>
        <v>0</v>
      </c>
      <c r="AD1108" s="82">
        <f t="shared" si="55"/>
        <v>0</v>
      </c>
      <c r="AE1108" s="218">
        <v>-1.3211595435036151E-2</v>
      </c>
      <c r="AF1108">
        <v>24</v>
      </c>
      <c r="AH1108" t="str">
        <f t="shared" si="53"/>
        <v>Asarganj</v>
      </c>
      <c r="AJ1108" s="72">
        <v>0</v>
      </c>
      <c r="AK1108" s="72"/>
      <c r="AL1108" s="72"/>
      <c r="AM1108" s="72"/>
    </row>
    <row r="1109" spans="1:39" x14ac:dyDescent="0.25">
      <c r="A1109" s="37" t="s">
        <v>62</v>
      </c>
      <c r="B1109" s="66" t="s">
        <v>1638</v>
      </c>
      <c r="C1109" s="41">
        <v>1003</v>
      </c>
      <c r="D1109" s="41" t="s">
        <v>137</v>
      </c>
      <c r="E1109" s="41">
        <v>10030074</v>
      </c>
      <c r="F1109" s="85" t="s">
        <v>1162</v>
      </c>
      <c r="G1109" s="39" t="s">
        <v>92</v>
      </c>
      <c r="H1109" s="52" t="s">
        <v>93</v>
      </c>
      <c r="I1109" s="52">
        <v>1959.9</v>
      </c>
      <c r="J1109" s="49">
        <v>82320.029999999984</v>
      </c>
      <c r="K1109" s="58">
        <v>2058.73</v>
      </c>
      <c r="L1109" s="58">
        <v>89252.239999999991</v>
      </c>
      <c r="M1109" s="58">
        <v>14.57</v>
      </c>
      <c r="N1109" s="58">
        <v>573.77</v>
      </c>
      <c r="O1109" s="65">
        <v>2073.3000000000002</v>
      </c>
      <c r="P1109" s="65">
        <v>89826.01</v>
      </c>
      <c r="Q1109" s="50">
        <v>82320.029999999984</v>
      </c>
      <c r="R1109" s="65">
        <v>0</v>
      </c>
      <c r="S1109" s="65">
        <v>573.77</v>
      </c>
      <c r="T1109" s="65">
        <v>7505.9800000000105</v>
      </c>
      <c r="U1109" s="65">
        <v>0</v>
      </c>
      <c r="V1109" s="65">
        <v>0</v>
      </c>
      <c r="W1109" s="65">
        <v>0</v>
      </c>
      <c r="X1109" s="65">
        <v>81746</v>
      </c>
      <c r="Y1109" s="65">
        <v>0</v>
      </c>
      <c r="Z1109" s="65">
        <v>0</v>
      </c>
      <c r="AA1109" s="51">
        <v>0</v>
      </c>
      <c r="AB1109" s="102">
        <v>0</v>
      </c>
      <c r="AC1109" s="81">
        <f t="shared" si="54"/>
        <v>0</v>
      </c>
      <c r="AD1109" s="82">
        <f t="shared" si="55"/>
        <v>0</v>
      </c>
      <c r="AE1109" s="218">
        <v>-9.1180481834129704E-2</v>
      </c>
      <c r="AF1109">
        <v>4</v>
      </c>
      <c r="AH1109" t="str">
        <f t="shared" si="53"/>
        <v>Asarganj</v>
      </c>
      <c r="AJ1109" s="72">
        <v>0</v>
      </c>
      <c r="AK1109" s="72"/>
      <c r="AL1109" s="72"/>
      <c r="AM1109" s="72"/>
    </row>
    <row r="1110" spans="1:39" x14ac:dyDescent="0.25">
      <c r="A1110" s="37" t="s">
        <v>62</v>
      </c>
      <c r="B1110" s="66" t="s">
        <v>1638</v>
      </c>
      <c r="C1110" s="41">
        <v>1003</v>
      </c>
      <c r="D1110" s="41" t="s">
        <v>137</v>
      </c>
      <c r="E1110" s="41">
        <v>10030075</v>
      </c>
      <c r="F1110" s="85" t="s">
        <v>1132</v>
      </c>
      <c r="G1110" s="39" t="s">
        <v>92</v>
      </c>
      <c r="H1110" s="52" t="s">
        <v>93</v>
      </c>
      <c r="I1110" s="52">
        <v>501.75</v>
      </c>
      <c r="J1110" s="49">
        <v>22351.79</v>
      </c>
      <c r="K1110" s="58">
        <v>505.14</v>
      </c>
      <c r="L1110" s="58">
        <v>23375.96</v>
      </c>
      <c r="M1110" s="58">
        <v>0</v>
      </c>
      <c r="N1110" s="58">
        <v>0</v>
      </c>
      <c r="O1110" s="65">
        <v>505.14</v>
      </c>
      <c r="P1110" s="65">
        <v>23375.96</v>
      </c>
      <c r="Q1110" s="50">
        <v>22351.79</v>
      </c>
      <c r="R1110" s="65">
        <v>0</v>
      </c>
      <c r="S1110" s="65">
        <v>0</v>
      </c>
      <c r="T1110" s="65">
        <v>1024.1699999999983</v>
      </c>
      <c r="U1110" s="65">
        <v>0</v>
      </c>
      <c r="V1110" s="65">
        <v>0</v>
      </c>
      <c r="W1110" s="65">
        <v>0</v>
      </c>
      <c r="X1110" s="65">
        <v>22352</v>
      </c>
      <c r="Y1110" s="65">
        <v>0</v>
      </c>
      <c r="Z1110" s="65">
        <v>0</v>
      </c>
      <c r="AA1110" s="51">
        <v>0</v>
      </c>
      <c r="AB1110" s="102">
        <v>0</v>
      </c>
      <c r="AC1110" s="81">
        <f t="shared" si="54"/>
        <v>176.63148450423517</v>
      </c>
      <c r="AD1110" s="82">
        <f t="shared" si="55"/>
        <v>71.678571428571431</v>
      </c>
      <c r="AE1110" s="218">
        <v>-4.5820491334251E-2</v>
      </c>
      <c r="AF1110">
        <v>8</v>
      </c>
      <c r="AH1110" t="str">
        <f t="shared" si="53"/>
        <v>Asarganj</v>
      </c>
      <c r="AJ1110" s="72">
        <v>0</v>
      </c>
      <c r="AK1110" s="72"/>
      <c r="AL1110" s="72"/>
      <c r="AM1110" s="72"/>
    </row>
    <row r="1111" spans="1:39" x14ac:dyDescent="0.25">
      <c r="A1111" s="37" t="s">
        <v>62</v>
      </c>
      <c r="B1111" s="66" t="s">
        <v>1638</v>
      </c>
      <c r="C1111" s="41">
        <v>1003</v>
      </c>
      <c r="D1111" s="41" t="s">
        <v>137</v>
      </c>
      <c r="E1111" s="41">
        <v>10030077</v>
      </c>
      <c r="F1111" s="85" t="s">
        <v>1171</v>
      </c>
      <c r="G1111" s="39" t="s">
        <v>1610</v>
      </c>
      <c r="H1111" s="52" t="s">
        <v>98</v>
      </c>
      <c r="I1111" s="52">
        <v>156.25</v>
      </c>
      <c r="J1111" s="49">
        <v>5794.07</v>
      </c>
      <c r="K1111" s="58">
        <v>0</v>
      </c>
      <c r="L1111" s="58">
        <v>0</v>
      </c>
      <c r="M1111" s="58">
        <v>0</v>
      </c>
      <c r="N1111" s="58">
        <v>0</v>
      </c>
      <c r="O1111" s="65">
        <v>0</v>
      </c>
      <c r="P1111" s="65">
        <v>0</v>
      </c>
      <c r="Q1111" s="50">
        <v>5794.07</v>
      </c>
      <c r="R1111" s="65">
        <v>0</v>
      </c>
      <c r="S1111" s="65">
        <v>0</v>
      </c>
      <c r="T1111" s="65">
        <v>0</v>
      </c>
      <c r="U1111" s="65">
        <v>0</v>
      </c>
      <c r="V1111" s="65">
        <v>0</v>
      </c>
      <c r="W1111" s="65">
        <v>0</v>
      </c>
      <c r="X1111" s="65">
        <v>0</v>
      </c>
      <c r="Y1111" s="65">
        <v>0</v>
      </c>
      <c r="Z1111" s="65">
        <v>5794.07</v>
      </c>
      <c r="AA1111" s="51">
        <v>0</v>
      </c>
      <c r="AB1111" s="102">
        <v>0</v>
      </c>
      <c r="AC1111" s="81">
        <f t="shared" si="54"/>
        <v>403.26727200000005</v>
      </c>
      <c r="AD1111" s="82">
        <f t="shared" si="55"/>
        <v>22.321428571428573</v>
      </c>
      <c r="AE1111" s="218">
        <v>0</v>
      </c>
      <c r="AF1111">
        <v>0</v>
      </c>
      <c r="AH1111" t="str">
        <f t="shared" si="53"/>
        <v>Asarganj</v>
      </c>
      <c r="AJ1111" s="72">
        <v>0</v>
      </c>
      <c r="AK1111" s="72"/>
      <c r="AL1111" s="72"/>
      <c r="AM1111" s="72"/>
    </row>
    <row r="1112" spans="1:39" x14ac:dyDescent="0.25">
      <c r="A1112" s="37" t="s">
        <v>62</v>
      </c>
      <c r="B1112" s="66" t="s">
        <v>1638</v>
      </c>
      <c r="C1112" s="41">
        <v>1003</v>
      </c>
      <c r="D1112" s="41" t="s">
        <v>137</v>
      </c>
      <c r="E1112" s="41">
        <v>10030078</v>
      </c>
      <c r="F1112" s="85" t="s">
        <v>1218</v>
      </c>
      <c r="G1112" s="39" t="s">
        <v>92</v>
      </c>
      <c r="H1112" s="52" t="s">
        <v>93</v>
      </c>
      <c r="I1112" s="52">
        <v>746.84999999999991</v>
      </c>
      <c r="J1112" s="49">
        <v>35228.07</v>
      </c>
      <c r="K1112" s="58">
        <v>743.68</v>
      </c>
      <c r="L1112" s="58">
        <v>37235.06</v>
      </c>
      <c r="M1112" s="58">
        <v>0</v>
      </c>
      <c r="N1112" s="58">
        <v>0</v>
      </c>
      <c r="O1112" s="65">
        <v>743.68</v>
      </c>
      <c r="P1112" s="65">
        <v>37235.06</v>
      </c>
      <c r="Q1112" s="50">
        <v>35228.07</v>
      </c>
      <c r="R1112" s="65">
        <v>0</v>
      </c>
      <c r="S1112" s="65">
        <v>0</v>
      </c>
      <c r="T1112" s="65">
        <v>2006.989999999998</v>
      </c>
      <c r="U1112" s="65">
        <v>0</v>
      </c>
      <c r="V1112" s="65">
        <v>0</v>
      </c>
      <c r="W1112" s="65">
        <v>0</v>
      </c>
      <c r="X1112" s="65">
        <v>35228</v>
      </c>
      <c r="Y1112" s="65">
        <v>0</v>
      </c>
      <c r="Z1112" s="65">
        <v>0</v>
      </c>
      <c r="AA1112" s="51">
        <v>0</v>
      </c>
      <c r="AB1112" s="102">
        <v>0</v>
      </c>
      <c r="AC1112" s="81">
        <f t="shared" si="54"/>
        <v>0</v>
      </c>
      <c r="AD1112" s="82">
        <f t="shared" si="55"/>
        <v>0</v>
      </c>
      <c r="AE1112" s="218">
        <v>-5.6971329964996605E-2</v>
      </c>
      <c r="AF1112">
        <v>5</v>
      </c>
      <c r="AH1112" t="str">
        <f t="shared" si="53"/>
        <v>Asarganj</v>
      </c>
      <c r="AJ1112" s="72">
        <v>0</v>
      </c>
      <c r="AK1112" s="72"/>
      <c r="AL1112" s="72"/>
      <c r="AM1112" s="72"/>
    </row>
    <row r="1113" spans="1:39" x14ac:dyDescent="0.25">
      <c r="A1113" s="37" t="s">
        <v>62</v>
      </c>
      <c r="B1113" s="66" t="s">
        <v>1638</v>
      </c>
      <c r="C1113" s="41">
        <v>1003</v>
      </c>
      <c r="D1113" s="41" t="s">
        <v>137</v>
      </c>
      <c r="E1113" s="41">
        <v>10030080</v>
      </c>
      <c r="F1113" s="85" t="s">
        <v>1226</v>
      </c>
      <c r="G1113" s="39" t="s">
        <v>92</v>
      </c>
      <c r="H1113" s="52" t="s">
        <v>93</v>
      </c>
      <c r="I1113" s="52">
        <v>926.00000000000011</v>
      </c>
      <c r="J1113" s="49">
        <v>38135.96</v>
      </c>
      <c r="K1113" s="58">
        <v>923.16999999999985</v>
      </c>
      <c r="L1113" s="58">
        <v>35943.79</v>
      </c>
      <c r="M1113" s="58">
        <v>0</v>
      </c>
      <c r="N1113" s="58">
        <v>0</v>
      </c>
      <c r="O1113" s="65">
        <v>923.16999999999985</v>
      </c>
      <c r="P1113" s="65">
        <v>35943.79</v>
      </c>
      <c r="Q1113" s="50">
        <v>35943.79</v>
      </c>
      <c r="R1113" s="65">
        <v>0</v>
      </c>
      <c r="S1113" s="65">
        <v>0</v>
      </c>
      <c r="T1113" s="65">
        <v>0</v>
      </c>
      <c r="U1113" s="65">
        <v>0</v>
      </c>
      <c r="V1113" s="65">
        <v>0</v>
      </c>
      <c r="W1113" s="65">
        <v>0</v>
      </c>
      <c r="X1113" s="65">
        <v>35943</v>
      </c>
      <c r="Y1113" s="65">
        <v>0</v>
      </c>
      <c r="Z1113" s="65">
        <v>0</v>
      </c>
      <c r="AA1113" s="51">
        <v>2193</v>
      </c>
      <c r="AB1113" s="102">
        <v>0</v>
      </c>
      <c r="AC1113" s="81">
        <f t="shared" si="54"/>
        <v>0</v>
      </c>
      <c r="AD1113" s="82">
        <f t="shared" si="55"/>
        <v>0</v>
      </c>
      <c r="AE1113" s="218">
        <v>5.7483016030014669E-2</v>
      </c>
      <c r="AF1113">
        <v>26</v>
      </c>
      <c r="AH1113" t="str">
        <f t="shared" si="53"/>
        <v>Asarganj</v>
      </c>
      <c r="AJ1113" s="72">
        <v>0</v>
      </c>
      <c r="AK1113" s="72"/>
      <c r="AL1113" s="72"/>
      <c r="AM1113" s="72"/>
    </row>
    <row r="1114" spans="1:39" x14ac:dyDescent="0.25">
      <c r="A1114" s="37" t="s">
        <v>62</v>
      </c>
      <c r="B1114" s="66" t="s">
        <v>1638</v>
      </c>
      <c r="C1114" s="41">
        <v>1003</v>
      </c>
      <c r="D1114" s="41" t="s">
        <v>137</v>
      </c>
      <c r="E1114" s="41">
        <v>10030082</v>
      </c>
      <c r="F1114" s="85" t="s">
        <v>1278</v>
      </c>
      <c r="G1114" s="39" t="s">
        <v>92</v>
      </c>
      <c r="H1114" s="52" t="s">
        <v>93</v>
      </c>
      <c r="I1114" s="52">
        <v>619.65</v>
      </c>
      <c r="J1114" s="49">
        <v>25572.890000000007</v>
      </c>
      <c r="K1114" s="58">
        <v>614.30999999999995</v>
      </c>
      <c r="L1114" s="58">
        <v>25396.860000000004</v>
      </c>
      <c r="M1114" s="58">
        <v>0</v>
      </c>
      <c r="N1114" s="58">
        <v>0</v>
      </c>
      <c r="O1114" s="65">
        <v>614.30999999999995</v>
      </c>
      <c r="P1114" s="65">
        <v>25396.860000000004</v>
      </c>
      <c r="Q1114" s="50">
        <v>25396.860000000004</v>
      </c>
      <c r="R1114" s="65">
        <v>0</v>
      </c>
      <c r="S1114" s="65">
        <v>0</v>
      </c>
      <c r="T1114" s="65">
        <v>0</v>
      </c>
      <c r="U1114" s="65">
        <v>0</v>
      </c>
      <c r="V1114" s="65">
        <v>0</v>
      </c>
      <c r="W1114" s="65">
        <v>0</v>
      </c>
      <c r="X1114" s="65">
        <v>25397</v>
      </c>
      <c r="Y1114" s="65">
        <v>0</v>
      </c>
      <c r="Z1114" s="65">
        <v>0</v>
      </c>
      <c r="AA1114" s="51">
        <v>176</v>
      </c>
      <c r="AB1114" s="102">
        <v>0</v>
      </c>
      <c r="AC1114" s="81">
        <f t="shared" si="54"/>
        <v>66.320720132332781</v>
      </c>
      <c r="AD1114" s="82">
        <f t="shared" si="55"/>
        <v>88.521428571428572</v>
      </c>
      <c r="AE1114" s="218">
        <v>6.8834613530188585E-3</v>
      </c>
      <c r="AF1114">
        <v>1</v>
      </c>
      <c r="AH1114" t="str">
        <f t="shared" si="53"/>
        <v>Asarganj</v>
      </c>
      <c r="AJ1114" s="72">
        <v>0</v>
      </c>
      <c r="AK1114" s="72"/>
      <c r="AL1114" s="72"/>
      <c r="AM1114" s="72"/>
    </row>
    <row r="1115" spans="1:39" x14ac:dyDescent="0.25">
      <c r="A1115" s="37" t="s">
        <v>62</v>
      </c>
      <c r="B1115" s="66" t="s">
        <v>1638</v>
      </c>
      <c r="C1115" s="41">
        <v>1003</v>
      </c>
      <c r="D1115" s="41" t="s">
        <v>137</v>
      </c>
      <c r="E1115" s="41">
        <v>10030084</v>
      </c>
      <c r="F1115" s="85" t="s">
        <v>1285</v>
      </c>
      <c r="G1115" s="39" t="s">
        <v>92</v>
      </c>
      <c r="H1115" s="52" t="s">
        <v>93</v>
      </c>
      <c r="I1115" s="52">
        <v>358.2</v>
      </c>
      <c r="J1115" s="49">
        <v>14977.17</v>
      </c>
      <c r="K1115" s="58">
        <v>347.47</v>
      </c>
      <c r="L1115" s="58">
        <v>15537.039999999999</v>
      </c>
      <c r="M1115" s="58">
        <v>0</v>
      </c>
      <c r="N1115" s="58">
        <v>0</v>
      </c>
      <c r="O1115" s="65">
        <v>347.47</v>
      </c>
      <c r="P1115" s="65">
        <v>15537.039999999999</v>
      </c>
      <c r="Q1115" s="50">
        <v>14977.17</v>
      </c>
      <c r="R1115" s="65">
        <v>0</v>
      </c>
      <c r="S1115" s="65">
        <v>0</v>
      </c>
      <c r="T1115" s="65">
        <v>559.86999999999898</v>
      </c>
      <c r="U1115" s="65">
        <v>0</v>
      </c>
      <c r="V1115" s="65">
        <v>0</v>
      </c>
      <c r="W1115" s="65">
        <v>0</v>
      </c>
      <c r="X1115" s="65">
        <v>14977</v>
      </c>
      <c r="Y1115" s="65">
        <v>0</v>
      </c>
      <c r="Z1115" s="65">
        <v>0</v>
      </c>
      <c r="AA1115" s="51">
        <v>0</v>
      </c>
      <c r="AB1115" s="102">
        <v>0</v>
      </c>
      <c r="AC1115" s="81">
        <f t="shared" si="54"/>
        <v>285.82896180904527</v>
      </c>
      <c r="AD1115" s="82">
        <f t="shared" si="55"/>
        <v>51.171428571428571</v>
      </c>
      <c r="AE1115" s="218">
        <v>-3.7381561403122147E-2</v>
      </c>
      <c r="AF1115">
        <v>1</v>
      </c>
      <c r="AH1115" t="str">
        <f t="shared" si="53"/>
        <v>Asarganj</v>
      </c>
      <c r="AJ1115" s="72">
        <v>0</v>
      </c>
      <c r="AK1115" s="72"/>
      <c r="AL1115" s="72"/>
      <c r="AM1115" s="72"/>
    </row>
    <row r="1116" spans="1:39" x14ac:dyDescent="0.25">
      <c r="A1116" s="37" t="s">
        <v>62</v>
      </c>
      <c r="B1116" s="66" t="s">
        <v>1638</v>
      </c>
      <c r="C1116" s="41">
        <v>1003</v>
      </c>
      <c r="D1116" s="41" t="s">
        <v>137</v>
      </c>
      <c r="E1116" s="41">
        <v>10030085</v>
      </c>
      <c r="F1116" s="85" t="s">
        <v>1286</v>
      </c>
      <c r="G1116" s="39" t="s">
        <v>92</v>
      </c>
      <c r="H1116" s="52" t="s">
        <v>93</v>
      </c>
      <c r="I1116" s="52">
        <v>1153.5</v>
      </c>
      <c r="J1116" s="49">
        <v>54283.710000000006</v>
      </c>
      <c r="K1116" s="58">
        <v>1144.3899999999996</v>
      </c>
      <c r="L1116" s="58">
        <v>57040.03</v>
      </c>
      <c r="M1116" s="58">
        <v>0</v>
      </c>
      <c r="N1116" s="58">
        <v>0</v>
      </c>
      <c r="O1116" s="65">
        <v>1144.3899999999996</v>
      </c>
      <c r="P1116" s="65">
        <v>57040.03</v>
      </c>
      <c r="Q1116" s="50">
        <v>54283.710000000006</v>
      </c>
      <c r="R1116" s="65">
        <v>0</v>
      </c>
      <c r="S1116" s="65">
        <v>0</v>
      </c>
      <c r="T1116" s="65">
        <v>2756.3199999999924</v>
      </c>
      <c r="U1116" s="65">
        <v>0</v>
      </c>
      <c r="V1116" s="65">
        <v>0</v>
      </c>
      <c r="W1116" s="65">
        <v>0</v>
      </c>
      <c r="X1116" s="65">
        <v>54284</v>
      </c>
      <c r="Y1116" s="65">
        <v>0</v>
      </c>
      <c r="Z1116" s="65">
        <v>0</v>
      </c>
      <c r="AA1116" s="51">
        <v>0</v>
      </c>
      <c r="AB1116" s="102">
        <v>0</v>
      </c>
      <c r="AC1116" s="81">
        <f t="shared" si="54"/>
        <v>0</v>
      </c>
      <c r="AD1116" s="82">
        <f t="shared" si="55"/>
        <v>0</v>
      </c>
      <c r="AE1116" s="218">
        <v>-5.0776190499875418E-2</v>
      </c>
      <c r="AF1116">
        <v>1</v>
      </c>
      <c r="AH1116" t="str">
        <f t="shared" si="53"/>
        <v>Asarganj</v>
      </c>
      <c r="AJ1116" s="72">
        <v>0</v>
      </c>
      <c r="AK1116" s="72"/>
      <c r="AL1116" s="72"/>
      <c r="AM1116" s="72"/>
    </row>
    <row r="1117" spans="1:39" x14ac:dyDescent="0.25">
      <c r="A1117" s="37" t="s">
        <v>62</v>
      </c>
      <c r="B1117" s="66" t="s">
        <v>1638</v>
      </c>
      <c r="C1117" s="41">
        <v>1003</v>
      </c>
      <c r="D1117" s="41" t="s">
        <v>137</v>
      </c>
      <c r="E1117" s="41">
        <v>10030087</v>
      </c>
      <c r="F1117" s="85" t="s">
        <v>1489</v>
      </c>
      <c r="G1117" s="39" t="s">
        <v>92</v>
      </c>
      <c r="H1117" s="52" t="s">
        <v>93</v>
      </c>
      <c r="I1117" s="52">
        <v>465.5</v>
      </c>
      <c r="J1117" s="49">
        <v>24432.35</v>
      </c>
      <c r="K1117" s="58">
        <v>499.31999999999994</v>
      </c>
      <c r="L1117" s="58">
        <v>29648.100000000002</v>
      </c>
      <c r="M1117" s="58">
        <v>0</v>
      </c>
      <c r="N1117" s="58">
        <v>0</v>
      </c>
      <c r="O1117" s="65">
        <v>499.31999999999994</v>
      </c>
      <c r="P1117" s="65">
        <v>29648.100000000002</v>
      </c>
      <c r="Q1117" s="50">
        <v>24432.35</v>
      </c>
      <c r="R1117" s="65">
        <v>0</v>
      </c>
      <c r="S1117" s="65">
        <v>0</v>
      </c>
      <c r="T1117" s="65">
        <v>5215.7500000000036</v>
      </c>
      <c r="U1117" s="65">
        <v>0</v>
      </c>
      <c r="V1117" s="65">
        <v>0</v>
      </c>
      <c r="W1117" s="65">
        <v>0</v>
      </c>
      <c r="X1117" s="65">
        <v>24432</v>
      </c>
      <c r="Y1117" s="65">
        <v>0</v>
      </c>
      <c r="Z1117" s="65">
        <v>0</v>
      </c>
      <c r="AA1117" s="51">
        <v>0</v>
      </c>
      <c r="AB1117" s="102">
        <v>0</v>
      </c>
      <c r="AC1117" s="81">
        <f t="shared" si="54"/>
        <v>246.16051879699248</v>
      </c>
      <c r="AD1117" s="82">
        <f t="shared" si="55"/>
        <v>66.5</v>
      </c>
      <c r="AE1117" s="218">
        <v>-0.21347721361228061</v>
      </c>
      <c r="AF1117">
        <v>1</v>
      </c>
      <c r="AH1117" t="str">
        <f t="shared" si="53"/>
        <v>Asarganj</v>
      </c>
      <c r="AJ1117" s="72">
        <v>0</v>
      </c>
      <c r="AK1117" s="72"/>
      <c r="AL1117" s="72"/>
      <c r="AM1117" s="72"/>
    </row>
    <row r="1118" spans="1:39" x14ac:dyDescent="0.25">
      <c r="A1118" s="37" t="s">
        <v>62</v>
      </c>
      <c r="B1118" s="66" t="s">
        <v>1638</v>
      </c>
      <c r="C1118" s="41">
        <v>1003</v>
      </c>
      <c r="D1118" s="41" t="s">
        <v>137</v>
      </c>
      <c r="E1118" s="41">
        <v>10030088</v>
      </c>
      <c r="F1118" s="85" t="s">
        <v>1490</v>
      </c>
      <c r="G1118" s="39" t="s">
        <v>92</v>
      </c>
      <c r="H1118" s="52" t="s">
        <v>93</v>
      </c>
      <c r="I1118" s="52">
        <v>437.3</v>
      </c>
      <c r="J1118" s="49">
        <v>16462.830000000002</v>
      </c>
      <c r="K1118" s="58">
        <v>407.2</v>
      </c>
      <c r="L1118" s="58">
        <v>15117.85</v>
      </c>
      <c r="M1118" s="58">
        <v>0</v>
      </c>
      <c r="N1118" s="58">
        <v>0</v>
      </c>
      <c r="O1118" s="65">
        <v>407.2</v>
      </c>
      <c r="P1118" s="65">
        <v>15117.85</v>
      </c>
      <c r="Q1118" s="50">
        <v>15117.85</v>
      </c>
      <c r="R1118" s="65">
        <v>0</v>
      </c>
      <c r="S1118" s="65">
        <v>0</v>
      </c>
      <c r="T1118" s="65">
        <v>0</v>
      </c>
      <c r="U1118" s="65">
        <v>0</v>
      </c>
      <c r="V1118" s="65">
        <v>0</v>
      </c>
      <c r="W1118" s="65">
        <v>0</v>
      </c>
      <c r="X1118" s="65">
        <v>15118</v>
      </c>
      <c r="Y1118" s="65">
        <v>0</v>
      </c>
      <c r="Z1118" s="65">
        <v>0</v>
      </c>
      <c r="AA1118" s="51">
        <v>1345</v>
      </c>
      <c r="AB1118" s="102">
        <v>0</v>
      </c>
      <c r="AC1118" s="81">
        <f t="shared" si="54"/>
        <v>197.79489782757835</v>
      </c>
      <c r="AD1118" s="82">
        <f t="shared" si="55"/>
        <v>62.471428571428575</v>
      </c>
      <c r="AE1118" s="218">
        <v>8.1697982667621627E-2</v>
      </c>
      <c r="AF1118">
        <v>1</v>
      </c>
      <c r="AH1118" t="str">
        <f t="shared" si="53"/>
        <v>Asarganj</v>
      </c>
      <c r="AJ1118" s="72">
        <v>0</v>
      </c>
      <c r="AK1118" s="72"/>
      <c r="AL1118" s="72"/>
      <c r="AM1118" s="72"/>
    </row>
    <row r="1119" spans="1:39" x14ac:dyDescent="0.25">
      <c r="A1119" s="37" t="s">
        <v>62</v>
      </c>
      <c r="B1119" s="66" t="s">
        <v>1638</v>
      </c>
      <c r="C1119" s="41">
        <v>1003</v>
      </c>
      <c r="D1119" s="41" t="s">
        <v>137</v>
      </c>
      <c r="E1119" s="41">
        <v>10030089</v>
      </c>
      <c r="F1119" s="85" t="s">
        <v>1491</v>
      </c>
      <c r="G1119" s="39" t="s">
        <v>92</v>
      </c>
      <c r="H1119" s="52" t="s">
        <v>93</v>
      </c>
      <c r="I1119" s="52">
        <v>1006.6999999999999</v>
      </c>
      <c r="J1119" s="49">
        <v>52231.699999999983</v>
      </c>
      <c r="K1119" s="58">
        <v>1073.3499999999999</v>
      </c>
      <c r="L1119" s="58">
        <v>55901.020000000004</v>
      </c>
      <c r="M1119" s="58">
        <v>0</v>
      </c>
      <c r="N1119" s="58">
        <v>0</v>
      </c>
      <c r="O1119" s="65">
        <v>1073.3499999999999</v>
      </c>
      <c r="P1119" s="65">
        <v>55901.020000000004</v>
      </c>
      <c r="Q1119" s="50">
        <v>52231.699999999983</v>
      </c>
      <c r="R1119" s="65">
        <v>0</v>
      </c>
      <c r="S1119" s="65">
        <v>0</v>
      </c>
      <c r="T1119" s="65">
        <v>3669.3200000000215</v>
      </c>
      <c r="U1119" s="65">
        <v>0</v>
      </c>
      <c r="V1119" s="65">
        <v>0</v>
      </c>
      <c r="W1119" s="65">
        <v>0</v>
      </c>
      <c r="X1119" s="65">
        <v>52232</v>
      </c>
      <c r="Y1119" s="65">
        <v>0</v>
      </c>
      <c r="Z1119" s="65">
        <v>0</v>
      </c>
      <c r="AA1119" s="51">
        <v>0</v>
      </c>
      <c r="AB1119" s="102">
        <v>0</v>
      </c>
      <c r="AC1119" s="81">
        <f t="shared" si="54"/>
        <v>0</v>
      </c>
      <c r="AD1119" s="82">
        <f t="shared" si="55"/>
        <v>0</v>
      </c>
      <c r="AE1119" s="218">
        <v>-7.0250824690753375E-2</v>
      </c>
      <c r="AF1119">
        <v>2</v>
      </c>
      <c r="AH1119" t="str">
        <f t="shared" si="53"/>
        <v>Asarganj</v>
      </c>
      <c r="AJ1119" s="72">
        <v>0</v>
      </c>
      <c r="AK1119" s="72"/>
      <c r="AL1119" s="72"/>
      <c r="AM1119" s="72"/>
    </row>
    <row r="1120" spans="1:39" x14ac:dyDescent="0.25">
      <c r="A1120" s="37" t="s">
        <v>62</v>
      </c>
      <c r="B1120" s="66" t="s">
        <v>1638</v>
      </c>
      <c r="C1120" s="41">
        <v>1003</v>
      </c>
      <c r="D1120" s="41" t="s">
        <v>137</v>
      </c>
      <c r="E1120" s="41">
        <v>10030090</v>
      </c>
      <c r="F1120" s="85" t="s">
        <v>1492</v>
      </c>
      <c r="G1120" s="39" t="s">
        <v>92</v>
      </c>
      <c r="H1120" s="52" t="s">
        <v>93</v>
      </c>
      <c r="I1120" s="52">
        <v>595.35</v>
      </c>
      <c r="J1120" s="49">
        <v>25844.98</v>
      </c>
      <c r="K1120" s="58">
        <v>570.86</v>
      </c>
      <c r="L1120" s="58">
        <v>25254.160000000003</v>
      </c>
      <c r="M1120" s="58">
        <v>0</v>
      </c>
      <c r="N1120" s="58">
        <v>0</v>
      </c>
      <c r="O1120" s="65">
        <v>570.86</v>
      </c>
      <c r="P1120" s="65">
        <v>25254.160000000003</v>
      </c>
      <c r="Q1120" s="50">
        <v>25254.160000000003</v>
      </c>
      <c r="R1120" s="65">
        <v>0</v>
      </c>
      <c r="S1120" s="65">
        <v>0</v>
      </c>
      <c r="T1120" s="65">
        <v>0</v>
      </c>
      <c r="U1120" s="65">
        <v>0</v>
      </c>
      <c r="V1120" s="65">
        <v>0</v>
      </c>
      <c r="W1120" s="65">
        <v>0</v>
      </c>
      <c r="X1120" s="65">
        <v>25254</v>
      </c>
      <c r="Y1120" s="65">
        <v>0</v>
      </c>
      <c r="Z1120" s="65">
        <v>0</v>
      </c>
      <c r="AA1120" s="51">
        <v>591</v>
      </c>
      <c r="AB1120" s="102">
        <v>0</v>
      </c>
      <c r="AC1120" s="81">
        <f t="shared" si="54"/>
        <v>90.860070781893029</v>
      </c>
      <c r="AD1120" s="82">
        <f t="shared" si="55"/>
        <v>85.05</v>
      </c>
      <c r="AE1120" s="218">
        <v>2.2860145374459413E-2</v>
      </c>
      <c r="AF1120">
        <v>1</v>
      </c>
      <c r="AH1120" t="str">
        <f t="shared" si="53"/>
        <v>Asarganj</v>
      </c>
      <c r="AJ1120" s="72">
        <v>0</v>
      </c>
      <c r="AK1120" s="72"/>
      <c r="AL1120" s="72"/>
      <c r="AM1120" s="72"/>
    </row>
    <row r="1121" spans="1:39" x14ac:dyDescent="0.25">
      <c r="A1121" s="37" t="s">
        <v>62</v>
      </c>
      <c r="B1121" s="66" t="s">
        <v>1638</v>
      </c>
      <c r="C1121" s="41">
        <v>1006</v>
      </c>
      <c r="D1121" s="41" t="s">
        <v>179</v>
      </c>
      <c r="E1121" s="41">
        <v>10060002</v>
      </c>
      <c r="F1121" s="85" t="s">
        <v>805</v>
      </c>
      <c r="G1121" s="39" t="s">
        <v>1610</v>
      </c>
      <c r="H1121" s="52" t="s">
        <v>98</v>
      </c>
      <c r="I1121" s="52">
        <v>1295.8</v>
      </c>
      <c r="J1121" s="49">
        <v>55273.250000000007</v>
      </c>
      <c r="K1121" s="58">
        <v>0</v>
      </c>
      <c r="L1121" s="58">
        <v>0</v>
      </c>
      <c r="M1121" s="58">
        <v>0</v>
      </c>
      <c r="N1121" s="58">
        <v>0</v>
      </c>
      <c r="O1121" s="65">
        <v>0</v>
      </c>
      <c r="P1121" s="65">
        <v>0</v>
      </c>
      <c r="Q1121" s="50">
        <v>55273.250000000007</v>
      </c>
      <c r="R1121" s="65">
        <v>0</v>
      </c>
      <c r="S1121" s="65">
        <v>0</v>
      </c>
      <c r="T1121" s="65">
        <v>0</v>
      </c>
      <c r="U1121" s="65">
        <v>0</v>
      </c>
      <c r="V1121" s="65">
        <v>0</v>
      </c>
      <c r="W1121" s="65">
        <v>0</v>
      </c>
      <c r="X1121" s="65">
        <v>0</v>
      </c>
      <c r="Y1121" s="65">
        <v>0</v>
      </c>
      <c r="Z1121" s="65">
        <v>55273.250000000007</v>
      </c>
      <c r="AA1121" s="51">
        <v>0</v>
      </c>
      <c r="AB1121" s="102">
        <v>0</v>
      </c>
      <c r="AC1121" s="81">
        <f t="shared" si="54"/>
        <v>0</v>
      </c>
      <c r="AD1121" s="82">
        <f t="shared" si="55"/>
        <v>0</v>
      </c>
      <c r="AE1121" s="218">
        <v>0</v>
      </c>
      <c r="AF1121">
        <v>0</v>
      </c>
      <c r="AH1121" t="str">
        <f t="shared" si="53"/>
        <v>Sonvarsha</v>
      </c>
      <c r="AJ1121" s="72">
        <v>0</v>
      </c>
      <c r="AK1121" s="72"/>
      <c r="AL1121" s="72"/>
      <c r="AM1121" s="72"/>
    </row>
    <row r="1122" spans="1:39" x14ac:dyDescent="0.25">
      <c r="A1122" s="37" t="s">
        <v>62</v>
      </c>
      <c r="B1122" s="66" t="s">
        <v>1638</v>
      </c>
      <c r="C1122" s="41">
        <v>1006</v>
      </c>
      <c r="D1122" s="41" t="s">
        <v>179</v>
      </c>
      <c r="E1122" s="41">
        <v>10060003</v>
      </c>
      <c r="F1122" s="85" t="s">
        <v>180</v>
      </c>
      <c r="G1122" s="39" t="s">
        <v>1610</v>
      </c>
      <c r="H1122" s="52" t="s">
        <v>98</v>
      </c>
      <c r="I1122" s="52">
        <v>1635.7999999999997</v>
      </c>
      <c r="J1122" s="49">
        <v>66516.83</v>
      </c>
      <c r="K1122" s="58">
        <v>0</v>
      </c>
      <c r="L1122" s="58">
        <v>0</v>
      </c>
      <c r="M1122" s="58">
        <v>0</v>
      </c>
      <c r="N1122" s="58">
        <v>0</v>
      </c>
      <c r="O1122" s="65">
        <v>0</v>
      </c>
      <c r="P1122" s="65">
        <v>0</v>
      </c>
      <c r="Q1122" s="50">
        <v>66516.83</v>
      </c>
      <c r="R1122" s="65">
        <v>0</v>
      </c>
      <c r="S1122" s="65">
        <v>0</v>
      </c>
      <c r="T1122" s="65">
        <v>0</v>
      </c>
      <c r="U1122" s="65">
        <v>0</v>
      </c>
      <c r="V1122" s="65">
        <v>0</v>
      </c>
      <c r="W1122" s="65">
        <v>0</v>
      </c>
      <c r="X1122" s="65">
        <v>0</v>
      </c>
      <c r="Y1122" s="65">
        <v>0</v>
      </c>
      <c r="Z1122" s="65">
        <v>66516.83</v>
      </c>
      <c r="AA1122" s="51">
        <v>0</v>
      </c>
      <c r="AB1122" s="102">
        <v>0</v>
      </c>
      <c r="AC1122" s="81">
        <f t="shared" si="54"/>
        <v>0</v>
      </c>
      <c r="AD1122" s="82">
        <f t="shared" si="55"/>
        <v>0</v>
      </c>
      <c r="AE1122" s="218">
        <v>0</v>
      </c>
      <c r="AF1122">
        <v>0</v>
      </c>
      <c r="AH1122" t="str">
        <f t="shared" si="53"/>
        <v>Sonvarsha</v>
      </c>
      <c r="AJ1122" s="72">
        <v>0</v>
      </c>
      <c r="AK1122" s="72"/>
      <c r="AL1122" s="72"/>
      <c r="AM1122" s="72"/>
    </row>
    <row r="1123" spans="1:39" x14ac:dyDescent="0.25">
      <c r="A1123" s="37" t="s">
        <v>62</v>
      </c>
      <c r="B1123" s="66" t="s">
        <v>1638</v>
      </c>
      <c r="C1123" s="41">
        <v>1006</v>
      </c>
      <c r="D1123" s="41" t="s">
        <v>179</v>
      </c>
      <c r="E1123" s="41">
        <v>10060004</v>
      </c>
      <c r="F1123" s="85" t="s">
        <v>181</v>
      </c>
      <c r="G1123" s="39" t="s">
        <v>92</v>
      </c>
      <c r="H1123" s="52" t="s">
        <v>98</v>
      </c>
      <c r="I1123" s="52">
        <v>2460.5000000000005</v>
      </c>
      <c r="J1123" s="49">
        <v>100402.25</v>
      </c>
      <c r="K1123" s="58">
        <v>0</v>
      </c>
      <c r="L1123" s="58">
        <v>0</v>
      </c>
      <c r="M1123" s="58">
        <v>0</v>
      </c>
      <c r="N1123" s="58">
        <v>0</v>
      </c>
      <c r="O1123" s="65">
        <v>0</v>
      </c>
      <c r="P1123" s="65">
        <v>0</v>
      </c>
      <c r="Q1123" s="50">
        <v>100402.25</v>
      </c>
      <c r="R1123" s="65">
        <v>0</v>
      </c>
      <c r="S1123" s="65">
        <v>0</v>
      </c>
      <c r="T1123" s="65">
        <v>0</v>
      </c>
      <c r="U1123" s="65">
        <v>0</v>
      </c>
      <c r="V1123" s="65">
        <v>0</v>
      </c>
      <c r="W1123" s="65">
        <v>0</v>
      </c>
      <c r="X1123" s="65">
        <v>0</v>
      </c>
      <c r="Y1123" s="65">
        <v>0</v>
      </c>
      <c r="Z1123" s="65">
        <v>100402.25</v>
      </c>
      <c r="AA1123" s="51">
        <v>0</v>
      </c>
      <c r="AB1123" s="102">
        <v>0</v>
      </c>
      <c r="AC1123" s="81">
        <f t="shared" si="54"/>
        <v>0</v>
      </c>
      <c r="AD1123" s="82">
        <f t="shared" si="55"/>
        <v>0</v>
      </c>
      <c r="AE1123" s="218">
        <v>0</v>
      </c>
      <c r="AF1123">
        <v>0</v>
      </c>
      <c r="AH1123" t="str">
        <f t="shared" si="53"/>
        <v>Sonvarsha</v>
      </c>
      <c r="AJ1123" s="72">
        <v>0</v>
      </c>
      <c r="AK1123" s="72"/>
      <c r="AL1123" s="72"/>
      <c r="AM1123" s="72"/>
    </row>
    <row r="1124" spans="1:39" x14ac:dyDescent="0.25">
      <c r="A1124" s="37" t="s">
        <v>62</v>
      </c>
      <c r="B1124" s="66" t="s">
        <v>1638</v>
      </c>
      <c r="C1124" s="41">
        <v>1006</v>
      </c>
      <c r="D1124" s="41" t="s">
        <v>179</v>
      </c>
      <c r="E1124" s="41">
        <v>10060005</v>
      </c>
      <c r="F1124" s="85" t="s">
        <v>182</v>
      </c>
      <c r="G1124" s="39" t="s">
        <v>1610</v>
      </c>
      <c r="H1124" s="52" t="s">
        <v>98</v>
      </c>
      <c r="I1124" s="52">
        <v>853.59999999999991</v>
      </c>
      <c r="J1124" s="49">
        <v>35592.26</v>
      </c>
      <c r="K1124" s="58">
        <v>0</v>
      </c>
      <c r="L1124" s="58">
        <v>0</v>
      </c>
      <c r="M1124" s="58">
        <v>0</v>
      </c>
      <c r="N1124" s="58">
        <v>0</v>
      </c>
      <c r="O1124" s="65">
        <v>0</v>
      </c>
      <c r="P1124" s="65">
        <v>0</v>
      </c>
      <c r="Q1124" s="50">
        <v>35592.26</v>
      </c>
      <c r="R1124" s="65">
        <v>0</v>
      </c>
      <c r="S1124" s="65">
        <v>0</v>
      </c>
      <c r="T1124" s="65">
        <v>0</v>
      </c>
      <c r="U1124" s="65">
        <v>0</v>
      </c>
      <c r="V1124" s="65">
        <v>0</v>
      </c>
      <c r="W1124" s="65">
        <v>0</v>
      </c>
      <c r="X1124" s="65">
        <v>0</v>
      </c>
      <c r="Y1124" s="65">
        <v>0</v>
      </c>
      <c r="Z1124" s="65">
        <v>35592.26</v>
      </c>
      <c r="AA1124" s="51">
        <v>0</v>
      </c>
      <c r="AB1124" s="102">
        <v>0</v>
      </c>
      <c r="AC1124" s="81">
        <f t="shared" si="54"/>
        <v>0</v>
      </c>
      <c r="AD1124" s="82">
        <f t="shared" si="55"/>
        <v>0</v>
      </c>
      <c r="AE1124" s="218">
        <v>0</v>
      </c>
      <c r="AF1124">
        <v>0</v>
      </c>
      <c r="AH1124" t="str">
        <f t="shared" si="53"/>
        <v>Sonvarsha</v>
      </c>
      <c r="AJ1124" s="72">
        <v>0</v>
      </c>
      <c r="AK1124" s="72"/>
      <c r="AL1124" s="72"/>
      <c r="AM1124" s="72"/>
    </row>
    <row r="1125" spans="1:39" x14ac:dyDescent="0.25">
      <c r="A1125" s="37" t="s">
        <v>62</v>
      </c>
      <c r="B1125" s="66" t="s">
        <v>1638</v>
      </c>
      <c r="C1125" s="41">
        <v>1006</v>
      </c>
      <c r="D1125" s="41" t="s">
        <v>179</v>
      </c>
      <c r="E1125" s="41">
        <v>10060007</v>
      </c>
      <c r="F1125" s="85" t="s">
        <v>183</v>
      </c>
      <c r="G1125" s="39" t="s">
        <v>1610</v>
      </c>
      <c r="H1125" s="52" t="s">
        <v>98</v>
      </c>
      <c r="I1125" s="52">
        <v>611.20000000000005</v>
      </c>
      <c r="J1125" s="49">
        <v>23110.78</v>
      </c>
      <c r="K1125" s="58">
        <v>0</v>
      </c>
      <c r="L1125" s="58">
        <v>0</v>
      </c>
      <c r="M1125" s="58">
        <v>0</v>
      </c>
      <c r="N1125" s="58">
        <v>0</v>
      </c>
      <c r="O1125" s="65">
        <v>0</v>
      </c>
      <c r="P1125" s="65">
        <v>0</v>
      </c>
      <c r="Q1125" s="50">
        <v>23110.78</v>
      </c>
      <c r="R1125" s="65">
        <v>0</v>
      </c>
      <c r="S1125" s="65">
        <v>0</v>
      </c>
      <c r="T1125" s="65">
        <v>0</v>
      </c>
      <c r="U1125" s="65">
        <v>0</v>
      </c>
      <c r="V1125" s="65">
        <v>0</v>
      </c>
      <c r="W1125" s="65">
        <v>0</v>
      </c>
      <c r="X1125" s="65">
        <v>0</v>
      </c>
      <c r="Y1125" s="65">
        <v>0</v>
      </c>
      <c r="Z1125" s="65">
        <v>23110.78</v>
      </c>
      <c r="AA1125" s="51">
        <v>0</v>
      </c>
      <c r="AB1125" s="102">
        <v>0</v>
      </c>
      <c r="AC1125" s="81">
        <f t="shared" si="54"/>
        <v>67.154360732984273</v>
      </c>
      <c r="AD1125" s="82">
        <f t="shared" si="55"/>
        <v>87.314285714285717</v>
      </c>
      <c r="AE1125" s="218">
        <v>0</v>
      </c>
      <c r="AF1125">
        <v>0</v>
      </c>
      <c r="AH1125" t="str">
        <f t="shared" si="53"/>
        <v>Sonvarsha</v>
      </c>
      <c r="AJ1125" s="72">
        <v>0</v>
      </c>
      <c r="AK1125" s="72"/>
      <c r="AL1125" s="72"/>
      <c r="AM1125" s="72"/>
    </row>
    <row r="1126" spans="1:39" x14ac:dyDescent="0.25">
      <c r="A1126" s="37" t="s">
        <v>62</v>
      </c>
      <c r="B1126" s="66" t="s">
        <v>1638</v>
      </c>
      <c r="C1126" s="41">
        <v>1006</v>
      </c>
      <c r="D1126" s="41" t="s">
        <v>179</v>
      </c>
      <c r="E1126" s="41">
        <v>10060008</v>
      </c>
      <c r="F1126" s="85" t="s">
        <v>184</v>
      </c>
      <c r="G1126" s="39" t="s">
        <v>1610</v>
      </c>
      <c r="H1126" s="52" t="s">
        <v>98</v>
      </c>
      <c r="I1126" s="52">
        <v>388.4</v>
      </c>
      <c r="J1126" s="49">
        <v>15647.960000000001</v>
      </c>
      <c r="K1126" s="58">
        <v>0</v>
      </c>
      <c r="L1126" s="58">
        <v>0</v>
      </c>
      <c r="M1126" s="58">
        <v>0</v>
      </c>
      <c r="N1126" s="58">
        <v>0</v>
      </c>
      <c r="O1126" s="65">
        <v>0</v>
      </c>
      <c r="P1126" s="65">
        <v>0</v>
      </c>
      <c r="Q1126" s="50">
        <v>15647.960000000001</v>
      </c>
      <c r="R1126" s="65">
        <v>0</v>
      </c>
      <c r="S1126" s="65">
        <v>0</v>
      </c>
      <c r="T1126" s="65">
        <v>0</v>
      </c>
      <c r="U1126" s="65">
        <v>0</v>
      </c>
      <c r="V1126" s="65">
        <v>0</v>
      </c>
      <c r="W1126" s="65">
        <v>0</v>
      </c>
      <c r="X1126" s="65">
        <v>0</v>
      </c>
      <c r="Y1126" s="65">
        <v>0</v>
      </c>
      <c r="Z1126" s="65">
        <v>15647.960000000001</v>
      </c>
      <c r="AA1126" s="51">
        <v>0</v>
      </c>
      <c r="AB1126" s="102">
        <v>0</v>
      </c>
      <c r="AC1126" s="81">
        <f t="shared" si="54"/>
        <v>251.07643336766225</v>
      </c>
      <c r="AD1126" s="82">
        <f t="shared" si="55"/>
        <v>55.48571428571428</v>
      </c>
      <c r="AE1126" s="218">
        <v>0</v>
      </c>
      <c r="AF1126">
        <v>0</v>
      </c>
      <c r="AH1126" t="str">
        <f t="shared" si="53"/>
        <v>Sonvarsha</v>
      </c>
      <c r="AJ1126" s="72">
        <v>0</v>
      </c>
      <c r="AK1126" s="72"/>
      <c r="AL1126" s="72"/>
      <c r="AM1126" s="72"/>
    </row>
    <row r="1127" spans="1:39" x14ac:dyDescent="0.25">
      <c r="A1127" s="37" t="s">
        <v>62</v>
      </c>
      <c r="B1127" s="66" t="s">
        <v>1638</v>
      </c>
      <c r="C1127" s="41">
        <v>1006</v>
      </c>
      <c r="D1127" s="41" t="s">
        <v>179</v>
      </c>
      <c r="E1127" s="41">
        <v>10060009</v>
      </c>
      <c r="F1127" s="85" t="s">
        <v>185</v>
      </c>
      <c r="G1127" s="39" t="s">
        <v>1610</v>
      </c>
      <c r="H1127" s="52" t="s">
        <v>98</v>
      </c>
      <c r="I1127" s="52">
        <v>1382.8999999999999</v>
      </c>
      <c r="J1127" s="49">
        <v>61002.12</v>
      </c>
      <c r="K1127" s="58">
        <v>0</v>
      </c>
      <c r="L1127" s="58">
        <v>0</v>
      </c>
      <c r="M1127" s="58">
        <v>0</v>
      </c>
      <c r="N1127" s="58">
        <v>0</v>
      </c>
      <c r="O1127" s="65">
        <v>0</v>
      </c>
      <c r="P1127" s="65">
        <v>0</v>
      </c>
      <c r="Q1127" s="50">
        <v>61002.12</v>
      </c>
      <c r="R1127" s="65">
        <v>0</v>
      </c>
      <c r="S1127" s="65">
        <v>0</v>
      </c>
      <c r="T1127" s="65">
        <v>0</v>
      </c>
      <c r="U1127" s="65">
        <v>0</v>
      </c>
      <c r="V1127" s="65">
        <v>0</v>
      </c>
      <c r="W1127" s="65">
        <v>0</v>
      </c>
      <c r="X1127" s="65">
        <v>0</v>
      </c>
      <c r="Y1127" s="65">
        <v>0</v>
      </c>
      <c r="Z1127" s="65">
        <v>61002.12</v>
      </c>
      <c r="AA1127" s="51">
        <v>0</v>
      </c>
      <c r="AB1127" s="102">
        <v>0</v>
      </c>
      <c r="AC1127" s="81">
        <f t="shared" si="54"/>
        <v>0</v>
      </c>
      <c r="AD1127" s="82">
        <f t="shared" si="55"/>
        <v>0</v>
      </c>
      <c r="AE1127" s="218">
        <v>0</v>
      </c>
      <c r="AF1127">
        <v>0</v>
      </c>
      <c r="AH1127" t="str">
        <f t="shared" si="53"/>
        <v>Sonvarsha</v>
      </c>
      <c r="AJ1127" s="72">
        <v>0</v>
      </c>
      <c r="AK1127" s="72"/>
      <c r="AL1127" s="72"/>
      <c r="AM1127" s="72"/>
    </row>
    <row r="1128" spans="1:39" x14ac:dyDescent="0.25">
      <c r="A1128" s="37" t="s">
        <v>62</v>
      </c>
      <c r="B1128" s="66" t="s">
        <v>1638</v>
      </c>
      <c r="C1128" s="41">
        <v>1006</v>
      </c>
      <c r="D1128" s="41" t="s">
        <v>179</v>
      </c>
      <c r="E1128" s="41">
        <v>10060010</v>
      </c>
      <c r="F1128" s="85" t="s">
        <v>186</v>
      </c>
      <c r="G1128" s="39" t="s">
        <v>1610</v>
      </c>
      <c r="H1128" s="52" t="s">
        <v>98</v>
      </c>
      <c r="I1128" s="52">
        <v>2076.1999999999998</v>
      </c>
      <c r="J1128" s="49">
        <v>88969.170000000013</v>
      </c>
      <c r="K1128" s="58">
        <v>0</v>
      </c>
      <c r="L1128" s="58">
        <v>0</v>
      </c>
      <c r="M1128" s="58">
        <v>0</v>
      </c>
      <c r="N1128" s="58">
        <v>0</v>
      </c>
      <c r="O1128" s="65">
        <v>0</v>
      </c>
      <c r="P1128" s="65">
        <v>0</v>
      </c>
      <c r="Q1128" s="50">
        <v>88969.170000000013</v>
      </c>
      <c r="R1128" s="65">
        <v>0</v>
      </c>
      <c r="S1128" s="65">
        <v>0</v>
      </c>
      <c r="T1128" s="65">
        <v>0</v>
      </c>
      <c r="U1128" s="65">
        <v>0</v>
      </c>
      <c r="V1128" s="65">
        <v>0</v>
      </c>
      <c r="W1128" s="65">
        <v>0</v>
      </c>
      <c r="X1128" s="65">
        <v>0</v>
      </c>
      <c r="Y1128" s="65">
        <v>0</v>
      </c>
      <c r="Z1128" s="65">
        <v>88969.170000000013</v>
      </c>
      <c r="AA1128" s="51">
        <v>0</v>
      </c>
      <c r="AB1128" s="102">
        <v>0</v>
      </c>
      <c r="AC1128" s="81">
        <f t="shared" si="54"/>
        <v>0</v>
      </c>
      <c r="AD1128" s="82">
        <f t="shared" si="55"/>
        <v>0</v>
      </c>
      <c r="AE1128" s="218">
        <v>0</v>
      </c>
      <c r="AF1128">
        <v>0</v>
      </c>
      <c r="AH1128" t="str">
        <f t="shared" si="53"/>
        <v>Sonvarsha</v>
      </c>
      <c r="AJ1128" s="72">
        <v>0</v>
      </c>
      <c r="AK1128" s="72"/>
      <c r="AL1128" s="72"/>
      <c r="AM1128" s="72"/>
    </row>
    <row r="1129" spans="1:39" x14ac:dyDescent="0.25">
      <c r="A1129" s="37" t="s">
        <v>62</v>
      </c>
      <c r="B1129" s="66" t="s">
        <v>1638</v>
      </c>
      <c r="C1129" s="41">
        <v>1059</v>
      </c>
      <c r="D1129" s="41" t="s">
        <v>1299</v>
      </c>
      <c r="E1129" s="41">
        <v>10060011</v>
      </c>
      <c r="F1129" s="85" t="s">
        <v>187</v>
      </c>
      <c r="G1129" s="39" t="s">
        <v>92</v>
      </c>
      <c r="H1129" s="52" t="s">
        <v>93</v>
      </c>
      <c r="I1129" s="52">
        <v>523.79999999999995</v>
      </c>
      <c r="J1129" s="49">
        <v>26366.620000000003</v>
      </c>
      <c r="K1129" s="58">
        <v>521.55000000000007</v>
      </c>
      <c r="L1129" s="58">
        <v>25455.09</v>
      </c>
      <c r="M1129" s="58">
        <v>10.439999999999998</v>
      </c>
      <c r="N1129" s="58">
        <v>508.31</v>
      </c>
      <c r="O1129" s="65">
        <v>531.99</v>
      </c>
      <c r="P1129" s="65">
        <v>25963.4</v>
      </c>
      <c r="Q1129" s="50">
        <v>25963.4</v>
      </c>
      <c r="R1129" s="65">
        <v>0</v>
      </c>
      <c r="S1129" s="65">
        <v>508.31</v>
      </c>
      <c r="T1129" s="65">
        <v>0</v>
      </c>
      <c r="U1129" s="65">
        <v>0</v>
      </c>
      <c r="V1129" s="65">
        <v>0</v>
      </c>
      <c r="W1129" s="65">
        <v>0</v>
      </c>
      <c r="X1129" s="65">
        <v>25455</v>
      </c>
      <c r="Y1129" s="65">
        <v>0</v>
      </c>
      <c r="Z1129" s="65">
        <v>0</v>
      </c>
      <c r="AA1129" s="51">
        <v>403</v>
      </c>
      <c r="AB1129" s="102">
        <v>0</v>
      </c>
      <c r="AC1129" s="81">
        <f t="shared" si="54"/>
        <v>177.38825673921355</v>
      </c>
      <c r="AD1129" s="82">
        <f t="shared" si="55"/>
        <v>74.828571428571422</v>
      </c>
      <c r="AE1129" s="218">
        <v>1.5292820998671849E-2</v>
      </c>
      <c r="AF1129">
        <v>23</v>
      </c>
      <c r="AH1129" t="str">
        <f t="shared" si="53"/>
        <v>Gopalpur Bmc</v>
      </c>
      <c r="AJ1129" s="72">
        <v>0</v>
      </c>
      <c r="AK1129" s="72"/>
      <c r="AL1129" s="72"/>
      <c r="AM1129" s="72"/>
    </row>
    <row r="1130" spans="1:39" x14ac:dyDescent="0.25">
      <c r="A1130" s="37" t="s">
        <v>62</v>
      </c>
      <c r="B1130" s="66" t="s">
        <v>1638</v>
      </c>
      <c r="C1130" s="41">
        <v>1006</v>
      </c>
      <c r="D1130" s="41" t="s">
        <v>179</v>
      </c>
      <c r="E1130" s="41">
        <v>10060014</v>
      </c>
      <c r="F1130" s="85" t="s">
        <v>188</v>
      </c>
      <c r="G1130" s="39" t="s">
        <v>1610</v>
      </c>
      <c r="H1130" s="52" t="s">
        <v>98</v>
      </c>
      <c r="I1130" s="52">
        <v>168</v>
      </c>
      <c r="J1130" s="49">
        <v>6871.88</v>
      </c>
      <c r="K1130" s="58">
        <v>0</v>
      </c>
      <c r="L1130" s="58">
        <v>0</v>
      </c>
      <c r="M1130" s="58">
        <v>0</v>
      </c>
      <c r="N1130" s="58">
        <v>0</v>
      </c>
      <c r="O1130" s="65">
        <v>0</v>
      </c>
      <c r="P1130" s="65">
        <v>0</v>
      </c>
      <c r="Q1130" s="50">
        <v>6871.88</v>
      </c>
      <c r="R1130" s="65">
        <v>0</v>
      </c>
      <c r="S1130" s="65">
        <v>0</v>
      </c>
      <c r="T1130" s="65">
        <v>0</v>
      </c>
      <c r="U1130" s="65">
        <v>0</v>
      </c>
      <c r="V1130" s="65">
        <v>0</v>
      </c>
      <c r="W1130" s="65">
        <v>0</v>
      </c>
      <c r="X1130" s="65">
        <v>0</v>
      </c>
      <c r="Y1130" s="65">
        <v>0</v>
      </c>
      <c r="Z1130" s="65">
        <v>6871.88</v>
      </c>
      <c r="AA1130" s="51">
        <v>0</v>
      </c>
      <c r="AB1130" s="102">
        <v>0</v>
      </c>
      <c r="AC1130" s="81">
        <f t="shared" si="54"/>
        <v>435.21906666666661</v>
      </c>
      <c r="AD1130" s="82">
        <f t="shared" si="55"/>
        <v>24</v>
      </c>
      <c r="AE1130" s="218">
        <v>0</v>
      </c>
      <c r="AF1130">
        <v>0</v>
      </c>
      <c r="AH1130" t="str">
        <f t="shared" si="53"/>
        <v>Sonvarsha</v>
      </c>
      <c r="AJ1130" s="72">
        <v>0</v>
      </c>
      <c r="AK1130" s="72"/>
      <c r="AL1130" s="72"/>
      <c r="AM1130" s="72"/>
    </row>
    <row r="1131" spans="1:39" x14ac:dyDescent="0.25">
      <c r="A1131" s="37" t="s">
        <v>62</v>
      </c>
      <c r="B1131" s="66" t="s">
        <v>1638</v>
      </c>
      <c r="C1131" s="41">
        <v>1006</v>
      </c>
      <c r="D1131" s="41" t="s">
        <v>179</v>
      </c>
      <c r="E1131" s="41">
        <v>10060015</v>
      </c>
      <c r="F1131" s="85" t="s">
        <v>189</v>
      </c>
      <c r="G1131" s="39" t="s">
        <v>1610</v>
      </c>
      <c r="H1131" s="52" t="s">
        <v>98</v>
      </c>
      <c r="I1131" s="52">
        <v>153.6</v>
      </c>
      <c r="J1131" s="49">
        <v>6973.43</v>
      </c>
      <c r="K1131" s="58">
        <v>0</v>
      </c>
      <c r="L1131" s="58">
        <v>0</v>
      </c>
      <c r="M1131" s="58">
        <v>0</v>
      </c>
      <c r="N1131" s="58">
        <v>0</v>
      </c>
      <c r="O1131" s="65">
        <v>0</v>
      </c>
      <c r="P1131" s="65">
        <v>0</v>
      </c>
      <c r="Q1131" s="50">
        <v>6973.43</v>
      </c>
      <c r="R1131" s="65">
        <v>0</v>
      </c>
      <c r="S1131" s="65">
        <v>0</v>
      </c>
      <c r="T1131" s="65">
        <v>0</v>
      </c>
      <c r="U1131" s="65">
        <v>0</v>
      </c>
      <c r="V1131" s="65">
        <v>0</v>
      </c>
      <c r="W1131" s="65">
        <v>0</v>
      </c>
      <c r="X1131" s="65">
        <v>0</v>
      </c>
      <c r="Y1131" s="65">
        <v>0</v>
      </c>
      <c r="Z1131" s="65">
        <v>6973.43</v>
      </c>
      <c r="AA1131" s="51">
        <v>0</v>
      </c>
      <c r="AB1131" s="102">
        <v>0</v>
      </c>
      <c r="AC1131" s="81">
        <f t="shared" si="54"/>
        <v>496.13048854166669</v>
      </c>
      <c r="AD1131" s="82">
        <f t="shared" si="55"/>
        <v>21.942857142857143</v>
      </c>
      <c r="AE1131" s="218">
        <v>0</v>
      </c>
      <c r="AF1131">
        <v>0</v>
      </c>
      <c r="AH1131" t="str">
        <f t="shared" ref="AH1131:AH1192" si="56">TEXT(D1131,"0000")</f>
        <v>Sonvarsha</v>
      </c>
      <c r="AJ1131" s="72">
        <v>0</v>
      </c>
      <c r="AK1131" s="72"/>
      <c r="AL1131" s="72"/>
      <c r="AM1131" s="72"/>
    </row>
    <row r="1132" spans="1:39" x14ac:dyDescent="0.25">
      <c r="A1132" s="37" t="s">
        <v>62</v>
      </c>
      <c r="B1132" s="66" t="s">
        <v>1638</v>
      </c>
      <c r="C1132" s="41">
        <v>1006</v>
      </c>
      <c r="D1132" s="41" t="s">
        <v>179</v>
      </c>
      <c r="E1132" s="41">
        <v>10060020</v>
      </c>
      <c r="F1132" s="85" t="s">
        <v>190</v>
      </c>
      <c r="G1132" s="39" t="s">
        <v>1610</v>
      </c>
      <c r="H1132" s="52" t="s">
        <v>98</v>
      </c>
      <c r="I1132" s="52">
        <v>1307</v>
      </c>
      <c r="J1132" s="49">
        <v>50749.900000000009</v>
      </c>
      <c r="K1132" s="58">
        <v>0</v>
      </c>
      <c r="L1132" s="58">
        <v>0</v>
      </c>
      <c r="M1132" s="58">
        <v>0</v>
      </c>
      <c r="N1132" s="58">
        <v>0</v>
      </c>
      <c r="O1132" s="65">
        <v>0</v>
      </c>
      <c r="P1132" s="65">
        <v>0</v>
      </c>
      <c r="Q1132" s="50">
        <v>50749.900000000009</v>
      </c>
      <c r="R1132" s="65">
        <v>0</v>
      </c>
      <c r="S1132" s="65">
        <v>0</v>
      </c>
      <c r="T1132" s="65">
        <v>0</v>
      </c>
      <c r="U1132" s="65">
        <v>0</v>
      </c>
      <c r="V1132" s="65">
        <v>0</v>
      </c>
      <c r="W1132" s="65">
        <v>0</v>
      </c>
      <c r="X1132" s="65">
        <v>0</v>
      </c>
      <c r="Y1132" s="65">
        <v>0</v>
      </c>
      <c r="Z1132" s="65">
        <v>50749.900000000009</v>
      </c>
      <c r="AA1132" s="51">
        <v>0</v>
      </c>
      <c r="AB1132" s="102">
        <v>0</v>
      </c>
      <c r="AC1132" s="81">
        <f t="shared" si="54"/>
        <v>0</v>
      </c>
      <c r="AD1132" s="82">
        <f t="shared" si="55"/>
        <v>0</v>
      </c>
      <c r="AE1132" s="218">
        <v>0</v>
      </c>
      <c r="AF1132">
        <v>0</v>
      </c>
      <c r="AH1132" t="str">
        <f t="shared" si="56"/>
        <v>Sonvarsha</v>
      </c>
      <c r="AJ1132" s="72">
        <v>0</v>
      </c>
      <c r="AK1132" s="72"/>
      <c r="AL1132" s="72"/>
      <c r="AM1132" s="72"/>
    </row>
    <row r="1133" spans="1:39" x14ac:dyDescent="0.25">
      <c r="A1133" s="37" t="s">
        <v>62</v>
      </c>
      <c r="B1133" s="66" t="s">
        <v>1638</v>
      </c>
      <c r="C1133" s="41">
        <v>1006</v>
      </c>
      <c r="D1133" s="41" t="s">
        <v>179</v>
      </c>
      <c r="E1133" s="41">
        <v>10060021</v>
      </c>
      <c r="F1133" s="85" t="s">
        <v>191</v>
      </c>
      <c r="G1133" s="39" t="s">
        <v>1610</v>
      </c>
      <c r="H1133" s="52" t="s">
        <v>98</v>
      </c>
      <c r="I1133" s="52">
        <v>2278.3000000000006</v>
      </c>
      <c r="J1133" s="49">
        <v>101323.78000000001</v>
      </c>
      <c r="K1133" s="58">
        <v>0</v>
      </c>
      <c r="L1133" s="58">
        <v>0</v>
      </c>
      <c r="M1133" s="58">
        <v>0</v>
      </c>
      <c r="N1133" s="58">
        <v>0</v>
      </c>
      <c r="O1133" s="65">
        <v>0</v>
      </c>
      <c r="P1133" s="65">
        <v>0</v>
      </c>
      <c r="Q1133" s="50">
        <v>101323.78000000001</v>
      </c>
      <c r="R1133" s="65">
        <v>0</v>
      </c>
      <c r="S1133" s="65">
        <v>0</v>
      </c>
      <c r="T1133" s="65">
        <v>0</v>
      </c>
      <c r="U1133" s="65">
        <v>14000</v>
      </c>
      <c r="V1133" s="65">
        <v>0</v>
      </c>
      <c r="W1133" s="65">
        <v>0</v>
      </c>
      <c r="X1133" s="65">
        <v>0</v>
      </c>
      <c r="Y1133" s="65">
        <v>0</v>
      </c>
      <c r="Z1133" s="65">
        <v>87323.780000000013</v>
      </c>
      <c r="AA1133" s="51">
        <v>0</v>
      </c>
      <c r="AB1133" s="102">
        <v>0</v>
      </c>
      <c r="AC1133" s="81">
        <f t="shared" si="54"/>
        <v>0</v>
      </c>
      <c r="AD1133" s="82">
        <f t="shared" si="55"/>
        <v>0</v>
      </c>
      <c r="AE1133" s="218">
        <v>0</v>
      </c>
      <c r="AF1133">
        <v>0</v>
      </c>
      <c r="AH1133" t="str">
        <f t="shared" si="56"/>
        <v>Sonvarsha</v>
      </c>
      <c r="AJ1133" s="72">
        <v>0</v>
      </c>
      <c r="AK1133" s="72"/>
      <c r="AL1133" s="72"/>
      <c r="AM1133" s="72"/>
    </row>
    <row r="1134" spans="1:39" x14ac:dyDescent="0.25">
      <c r="A1134" s="37" t="s">
        <v>62</v>
      </c>
      <c r="B1134" s="66" t="s">
        <v>1638</v>
      </c>
      <c r="C1134" s="41">
        <v>1006</v>
      </c>
      <c r="D1134" s="41" t="s">
        <v>179</v>
      </c>
      <c r="E1134" s="41">
        <v>10060022</v>
      </c>
      <c r="F1134" s="85" t="s">
        <v>599</v>
      </c>
      <c r="G1134" s="39" t="s">
        <v>92</v>
      </c>
      <c r="H1134" s="52" t="s">
        <v>93</v>
      </c>
      <c r="I1134" s="52">
        <v>969.30000000000007</v>
      </c>
      <c r="J1134" s="49">
        <v>37804.29</v>
      </c>
      <c r="K1134" s="58">
        <v>531.29999999999995</v>
      </c>
      <c r="L1134" s="58">
        <v>21443.47</v>
      </c>
      <c r="M1134" s="58">
        <v>492.80000000000007</v>
      </c>
      <c r="N1134" s="58">
        <v>19526.740000000002</v>
      </c>
      <c r="O1134" s="65">
        <v>1024.0999999999999</v>
      </c>
      <c r="P1134" s="65">
        <v>40970.210000000006</v>
      </c>
      <c r="Q1134" s="50">
        <v>37804.29</v>
      </c>
      <c r="R1134" s="65">
        <v>0</v>
      </c>
      <c r="S1134" s="65">
        <v>598.37999999999988</v>
      </c>
      <c r="T1134" s="65">
        <v>3165.9200000000055</v>
      </c>
      <c r="U1134" s="65">
        <v>8894</v>
      </c>
      <c r="V1134" s="65">
        <v>0</v>
      </c>
      <c r="W1134" s="65">
        <v>0</v>
      </c>
      <c r="X1134" s="65">
        <v>18278</v>
      </c>
      <c r="Y1134" s="65">
        <v>10033</v>
      </c>
      <c r="Z1134" s="65">
        <v>0</v>
      </c>
      <c r="AA1134" s="51">
        <v>1</v>
      </c>
      <c r="AB1134" s="102" t="s">
        <v>68</v>
      </c>
      <c r="AC1134" s="81">
        <f t="shared" si="54"/>
        <v>0</v>
      </c>
      <c r="AD1134" s="82">
        <f t="shared" si="55"/>
        <v>0</v>
      </c>
      <c r="AE1134" s="218">
        <v>-8.3744992962439063E-2</v>
      </c>
      <c r="AF1134">
        <v>26</v>
      </c>
      <c r="AH1134" t="str">
        <f t="shared" si="56"/>
        <v>Sonvarsha</v>
      </c>
      <c r="AJ1134" s="72">
        <v>0</v>
      </c>
      <c r="AK1134" s="72"/>
      <c r="AL1134" s="72"/>
      <c r="AM1134" s="72"/>
    </row>
    <row r="1135" spans="1:39" x14ac:dyDescent="0.25">
      <c r="A1135" s="37" t="s">
        <v>62</v>
      </c>
      <c r="B1135" s="66" t="s">
        <v>1638</v>
      </c>
      <c r="C1135" s="41">
        <v>1006</v>
      </c>
      <c r="D1135" s="41" t="s">
        <v>179</v>
      </c>
      <c r="E1135" s="41">
        <v>10060023</v>
      </c>
      <c r="F1135" s="85" t="s">
        <v>192</v>
      </c>
      <c r="G1135" s="39" t="s">
        <v>92</v>
      </c>
      <c r="H1135" s="52" t="s">
        <v>98</v>
      </c>
      <c r="I1135" s="52">
        <v>154.19999999999999</v>
      </c>
      <c r="J1135" s="49">
        <v>6912.829999999999</v>
      </c>
      <c r="K1135" s="58">
        <v>0</v>
      </c>
      <c r="L1135" s="58">
        <v>0</v>
      </c>
      <c r="M1135" s="58">
        <v>0</v>
      </c>
      <c r="N1135" s="58">
        <v>0</v>
      </c>
      <c r="O1135" s="65">
        <v>0</v>
      </c>
      <c r="P1135" s="65">
        <v>0</v>
      </c>
      <c r="Q1135" s="50">
        <v>6912.829999999999</v>
      </c>
      <c r="R1135" s="65">
        <v>0</v>
      </c>
      <c r="S1135" s="65">
        <v>0</v>
      </c>
      <c r="T1135" s="65">
        <v>0</v>
      </c>
      <c r="U1135" s="65">
        <v>0</v>
      </c>
      <c r="V1135" s="65">
        <v>0</v>
      </c>
      <c r="W1135" s="65">
        <v>0</v>
      </c>
      <c r="X1135" s="65">
        <v>0</v>
      </c>
      <c r="Y1135" s="65">
        <v>0</v>
      </c>
      <c r="Z1135" s="65">
        <v>6912.829999999999</v>
      </c>
      <c r="AA1135" s="51">
        <v>0</v>
      </c>
      <c r="AB1135" s="102">
        <v>0</v>
      </c>
      <c r="AC1135" s="81">
        <f t="shared" si="54"/>
        <v>489.36739481193257</v>
      </c>
      <c r="AD1135" s="82">
        <f t="shared" si="55"/>
        <v>22.028571428571428</v>
      </c>
      <c r="AE1135" s="218">
        <v>0</v>
      </c>
      <c r="AF1135">
        <v>0</v>
      </c>
      <c r="AH1135" t="str">
        <f t="shared" si="56"/>
        <v>Sonvarsha</v>
      </c>
      <c r="AJ1135" s="72">
        <v>0</v>
      </c>
      <c r="AK1135" s="72"/>
      <c r="AL1135" s="72"/>
      <c r="AM1135" s="72"/>
    </row>
    <row r="1136" spans="1:39" x14ac:dyDescent="0.25">
      <c r="A1136" s="37" t="s">
        <v>62</v>
      </c>
      <c r="B1136" s="66" t="s">
        <v>1638</v>
      </c>
      <c r="C1136" s="41">
        <v>1006</v>
      </c>
      <c r="D1136" s="41" t="s">
        <v>179</v>
      </c>
      <c r="E1136" s="41">
        <v>10060026</v>
      </c>
      <c r="F1136" s="85" t="s">
        <v>193</v>
      </c>
      <c r="G1136" s="39" t="s">
        <v>92</v>
      </c>
      <c r="H1136" s="52" t="s">
        <v>93</v>
      </c>
      <c r="I1136" s="52">
        <v>954.80000000000007</v>
      </c>
      <c r="J1136" s="49">
        <v>52723.869999999995</v>
      </c>
      <c r="K1136" s="58">
        <v>664.65</v>
      </c>
      <c r="L1136" s="58">
        <v>37032.49</v>
      </c>
      <c r="M1136" s="58">
        <v>293.79999999999995</v>
      </c>
      <c r="N1136" s="58">
        <v>15477.369999999999</v>
      </c>
      <c r="O1136" s="65">
        <v>958.44999999999993</v>
      </c>
      <c r="P1136" s="65">
        <v>52509.86</v>
      </c>
      <c r="Q1136" s="50">
        <v>52509.86</v>
      </c>
      <c r="R1136" s="65">
        <v>0</v>
      </c>
      <c r="S1136" s="65">
        <v>0</v>
      </c>
      <c r="T1136" s="65">
        <v>0</v>
      </c>
      <c r="U1136" s="65">
        <v>0</v>
      </c>
      <c r="V1136" s="65">
        <v>0</v>
      </c>
      <c r="W1136" s="65">
        <v>0</v>
      </c>
      <c r="X1136" s="65">
        <v>37033</v>
      </c>
      <c r="Y1136" s="65">
        <v>15478</v>
      </c>
      <c r="Z1136" s="65">
        <v>0</v>
      </c>
      <c r="AA1136" s="51">
        <v>213</v>
      </c>
      <c r="AB1136" s="102">
        <v>0</v>
      </c>
      <c r="AC1136" s="81">
        <f t="shared" si="54"/>
        <v>0</v>
      </c>
      <c r="AD1136" s="82">
        <f t="shared" si="55"/>
        <v>0</v>
      </c>
      <c r="AE1136" s="218">
        <v>4.0590722949585224E-3</v>
      </c>
      <c r="AF1136">
        <v>11</v>
      </c>
      <c r="AH1136" t="str">
        <f t="shared" si="56"/>
        <v>Sonvarsha</v>
      </c>
      <c r="AJ1136" s="72">
        <v>0</v>
      </c>
      <c r="AK1136" s="72"/>
      <c r="AL1136" s="72"/>
      <c r="AM1136" s="72"/>
    </row>
    <row r="1137" spans="1:39" x14ac:dyDescent="0.25">
      <c r="A1137" s="37" t="s">
        <v>62</v>
      </c>
      <c r="B1137" s="66" t="s">
        <v>1638</v>
      </c>
      <c r="C1137" s="47">
        <v>1059</v>
      </c>
      <c r="D1137" s="47" t="s">
        <v>1299</v>
      </c>
      <c r="E1137" s="47">
        <v>10060027</v>
      </c>
      <c r="F1137" s="46" t="s">
        <v>194</v>
      </c>
      <c r="G1137" s="48" t="s">
        <v>92</v>
      </c>
      <c r="H1137" s="48" t="s">
        <v>93</v>
      </c>
      <c r="I1137" s="49">
        <v>1715.4</v>
      </c>
      <c r="J1137" s="49">
        <v>76645.969999999987</v>
      </c>
      <c r="K1137" s="65">
        <v>1698.7399999999996</v>
      </c>
      <c r="L1137" s="65">
        <v>76860.049999999988</v>
      </c>
      <c r="M1137" s="65">
        <v>25.72</v>
      </c>
      <c r="N1137" s="65">
        <v>1152.2299999999998</v>
      </c>
      <c r="O1137" s="65">
        <v>1724.4599999999996</v>
      </c>
      <c r="P1137" s="65">
        <v>78012.279999999984</v>
      </c>
      <c r="Q1137" s="50">
        <v>76645.969999999987</v>
      </c>
      <c r="R1137" s="65">
        <v>0</v>
      </c>
      <c r="S1137" s="65">
        <v>1152.2299999999998</v>
      </c>
      <c r="T1137" s="65">
        <v>1366.3099999999977</v>
      </c>
      <c r="U1137" s="65">
        <v>0</v>
      </c>
      <c r="V1137" s="65">
        <v>0</v>
      </c>
      <c r="W1137" s="65">
        <v>0</v>
      </c>
      <c r="X1137" s="65">
        <v>75494</v>
      </c>
      <c r="Y1137" s="65">
        <v>0</v>
      </c>
      <c r="Z1137" s="65">
        <v>0</v>
      </c>
      <c r="AA1137" s="51">
        <v>0</v>
      </c>
      <c r="AB1137" s="102">
        <v>0</v>
      </c>
      <c r="AC1137" s="81">
        <f t="shared" si="54"/>
        <v>0</v>
      </c>
      <c r="AD1137" s="82">
        <f t="shared" si="55"/>
        <v>0</v>
      </c>
      <c r="AE1137" s="218">
        <v>-1.7826247094269901E-2</v>
      </c>
      <c r="AF1137">
        <v>82</v>
      </c>
      <c r="AH1137" t="str">
        <f t="shared" si="56"/>
        <v>Gopalpur Bmc</v>
      </c>
      <c r="AJ1137" s="72">
        <v>0</v>
      </c>
      <c r="AK1137" s="72"/>
      <c r="AL1137" s="72"/>
      <c r="AM1137" s="72"/>
    </row>
    <row r="1138" spans="1:39" x14ac:dyDescent="0.25">
      <c r="A1138" s="37" t="s">
        <v>62</v>
      </c>
      <c r="B1138" s="66" t="s">
        <v>1638</v>
      </c>
      <c r="C1138" s="47">
        <v>1006</v>
      </c>
      <c r="D1138" s="47" t="s">
        <v>179</v>
      </c>
      <c r="E1138" s="47">
        <v>10060028</v>
      </c>
      <c r="F1138" s="46" t="s">
        <v>195</v>
      </c>
      <c r="G1138" s="48" t="s">
        <v>1610</v>
      </c>
      <c r="H1138" s="48" t="s">
        <v>98</v>
      </c>
      <c r="I1138" s="49">
        <v>357.4</v>
      </c>
      <c r="J1138" s="49">
        <v>13804.1</v>
      </c>
      <c r="K1138" s="65">
        <v>0</v>
      </c>
      <c r="L1138" s="65">
        <v>0</v>
      </c>
      <c r="M1138" s="65">
        <v>0</v>
      </c>
      <c r="N1138" s="65">
        <v>0</v>
      </c>
      <c r="O1138" s="65">
        <v>0</v>
      </c>
      <c r="P1138" s="65">
        <v>0</v>
      </c>
      <c r="Q1138" s="50">
        <v>13804.1</v>
      </c>
      <c r="R1138" s="65">
        <v>0</v>
      </c>
      <c r="S1138" s="65">
        <v>0</v>
      </c>
      <c r="T1138" s="65">
        <v>0</v>
      </c>
      <c r="U1138" s="65">
        <v>0</v>
      </c>
      <c r="V1138" s="65">
        <v>0</v>
      </c>
      <c r="W1138" s="65">
        <v>0</v>
      </c>
      <c r="X1138" s="65">
        <v>0</v>
      </c>
      <c r="Y1138" s="65">
        <v>0</v>
      </c>
      <c r="Z1138" s="65">
        <v>13804.1</v>
      </c>
      <c r="AA1138" s="51">
        <v>0</v>
      </c>
      <c r="AB1138" s="102">
        <v>0</v>
      </c>
      <c r="AC1138" s="81">
        <f t="shared" si="54"/>
        <v>264.64939339675436</v>
      </c>
      <c r="AD1138" s="82">
        <f t="shared" si="55"/>
        <v>51.057142857142857</v>
      </c>
      <c r="AE1138" s="218">
        <v>0</v>
      </c>
      <c r="AF1138">
        <v>0</v>
      </c>
      <c r="AH1138" t="str">
        <f t="shared" si="56"/>
        <v>Sonvarsha</v>
      </c>
      <c r="AJ1138" s="72">
        <v>0</v>
      </c>
      <c r="AK1138" s="72"/>
      <c r="AL1138" s="72"/>
      <c r="AM1138" s="72"/>
    </row>
    <row r="1139" spans="1:39" x14ac:dyDescent="0.25">
      <c r="A1139" s="37" t="s">
        <v>62</v>
      </c>
      <c r="B1139" s="66" t="s">
        <v>1638</v>
      </c>
      <c r="C1139" s="47">
        <v>1006</v>
      </c>
      <c r="D1139" s="47" t="s">
        <v>179</v>
      </c>
      <c r="E1139" s="41">
        <v>10060029</v>
      </c>
      <c r="F1139" s="46" t="s">
        <v>196</v>
      </c>
      <c r="G1139" s="39" t="s">
        <v>92</v>
      </c>
      <c r="H1139" s="48" t="s">
        <v>93</v>
      </c>
      <c r="I1139" s="52">
        <v>2634.099999999999</v>
      </c>
      <c r="J1139" s="49">
        <v>134034.12000000002</v>
      </c>
      <c r="K1139" s="65">
        <v>2180.3100000000004</v>
      </c>
      <c r="L1139" s="65">
        <v>110203.48</v>
      </c>
      <c r="M1139" s="65">
        <v>477.98</v>
      </c>
      <c r="N1139" s="65">
        <v>23920.410000000003</v>
      </c>
      <c r="O1139" s="65">
        <v>2658.2900000000004</v>
      </c>
      <c r="P1139" s="65">
        <v>134123.89000000001</v>
      </c>
      <c r="Q1139" s="50">
        <v>134034.12000000002</v>
      </c>
      <c r="R1139" s="65">
        <v>0</v>
      </c>
      <c r="S1139" s="65">
        <v>1246.79</v>
      </c>
      <c r="T1139" s="65">
        <v>89.769999999989523</v>
      </c>
      <c r="U1139" s="65">
        <v>0</v>
      </c>
      <c r="V1139" s="65">
        <v>0</v>
      </c>
      <c r="W1139" s="65">
        <v>0</v>
      </c>
      <c r="X1139" s="65">
        <v>110113</v>
      </c>
      <c r="Y1139" s="65">
        <v>22674</v>
      </c>
      <c r="Z1139" s="65">
        <v>0</v>
      </c>
      <c r="AA1139" s="51">
        <v>0</v>
      </c>
      <c r="AB1139" s="102">
        <v>0</v>
      </c>
      <c r="AC1139" s="81">
        <f t="shared" si="54"/>
        <v>0</v>
      </c>
      <c r="AD1139" s="82">
        <f t="shared" si="55"/>
        <v>0</v>
      </c>
      <c r="AE1139" s="218">
        <v>-6.6975483555970308E-4</v>
      </c>
      <c r="AF1139">
        <v>39</v>
      </c>
      <c r="AH1139" t="str">
        <f t="shared" si="56"/>
        <v>Sonvarsha</v>
      </c>
      <c r="AJ1139" s="72">
        <v>0</v>
      </c>
      <c r="AK1139" s="72"/>
      <c r="AL1139" s="72"/>
      <c r="AM1139" s="72"/>
    </row>
    <row r="1140" spans="1:39" x14ac:dyDescent="0.25">
      <c r="A1140" s="37" t="s">
        <v>62</v>
      </c>
      <c r="B1140" s="66" t="s">
        <v>1638</v>
      </c>
      <c r="C1140" s="47">
        <v>1006</v>
      </c>
      <c r="D1140" s="47" t="s">
        <v>179</v>
      </c>
      <c r="E1140" s="41">
        <v>10060031</v>
      </c>
      <c r="F1140" s="46" t="s">
        <v>197</v>
      </c>
      <c r="G1140" s="39" t="s">
        <v>92</v>
      </c>
      <c r="H1140" s="48" t="s">
        <v>93</v>
      </c>
      <c r="I1140" s="52">
        <v>488.09999999999997</v>
      </c>
      <c r="J1140" s="49">
        <v>20762.120000000003</v>
      </c>
      <c r="K1140" s="65">
        <v>496.77</v>
      </c>
      <c r="L1140" s="65">
        <v>22755.02</v>
      </c>
      <c r="M1140" s="65">
        <v>0</v>
      </c>
      <c r="N1140" s="65">
        <v>0</v>
      </c>
      <c r="O1140" s="65">
        <v>496.77</v>
      </c>
      <c r="P1140" s="65">
        <v>22755.02</v>
      </c>
      <c r="Q1140" s="50">
        <v>20762.120000000003</v>
      </c>
      <c r="R1140" s="65">
        <v>0</v>
      </c>
      <c r="S1140" s="65">
        <v>0</v>
      </c>
      <c r="T1140" s="65">
        <v>1992.8999999999978</v>
      </c>
      <c r="U1140" s="65">
        <v>4228</v>
      </c>
      <c r="V1140" s="65">
        <v>0</v>
      </c>
      <c r="W1140" s="65">
        <v>0</v>
      </c>
      <c r="X1140" s="65">
        <v>16534</v>
      </c>
      <c r="Y1140" s="65">
        <v>0</v>
      </c>
      <c r="Z1140" s="65">
        <v>0</v>
      </c>
      <c r="AA1140" s="51">
        <v>0</v>
      </c>
      <c r="AB1140" s="102" t="s">
        <v>68</v>
      </c>
      <c r="AC1140" s="81">
        <f t="shared" si="54"/>
        <v>180.27015890186442</v>
      </c>
      <c r="AD1140" s="82">
        <f t="shared" si="55"/>
        <v>69.728571428571428</v>
      </c>
      <c r="AE1140" s="218">
        <v>-9.5987307654516865E-2</v>
      </c>
      <c r="AF1140">
        <v>11</v>
      </c>
      <c r="AH1140" t="str">
        <f t="shared" si="56"/>
        <v>Sonvarsha</v>
      </c>
      <c r="AJ1140" s="72">
        <v>0</v>
      </c>
      <c r="AK1140" s="72"/>
      <c r="AL1140" s="72"/>
      <c r="AM1140" s="72"/>
    </row>
    <row r="1141" spans="1:39" x14ac:dyDescent="0.25">
      <c r="A1141" s="37" t="s">
        <v>62</v>
      </c>
      <c r="B1141" s="66" t="s">
        <v>1638</v>
      </c>
      <c r="C1141" s="47">
        <v>1059</v>
      </c>
      <c r="D1141" s="47" t="s">
        <v>1299</v>
      </c>
      <c r="E1141" s="41">
        <v>10060032</v>
      </c>
      <c r="F1141" s="46" t="s">
        <v>198</v>
      </c>
      <c r="G1141" s="39" t="s">
        <v>92</v>
      </c>
      <c r="H1141" s="48" t="s">
        <v>93</v>
      </c>
      <c r="I1141" s="52">
        <v>3662.0000000000005</v>
      </c>
      <c r="J1141" s="49">
        <v>196456.95999999999</v>
      </c>
      <c r="K1141" s="65">
        <v>3752.2199999999993</v>
      </c>
      <c r="L1141" s="65">
        <v>200243.37</v>
      </c>
      <c r="M1141" s="65">
        <v>33.79</v>
      </c>
      <c r="N1141" s="65">
        <v>2267.86</v>
      </c>
      <c r="O1141" s="65">
        <v>3786.0099999999993</v>
      </c>
      <c r="P1141" s="65">
        <v>202511.22999999998</v>
      </c>
      <c r="Q1141" s="50">
        <v>196456.95999999999</v>
      </c>
      <c r="R1141" s="65">
        <v>0</v>
      </c>
      <c r="S1141" s="65">
        <v>2267.86</v>
      </c>
      <c r="T1141" s="65">
        <v>6054.2699999999895</v>
      </c>
      <c r="U1141" s="65">
        <v>15000</v>
      </c>
      <c r="V1141" s="65">
        <v>0</v>
      </c>
      <c r="W1141" s="65">
        <v>0</v>
      </c>
      <c r="X1141" s="65">
        <v>179189</v>
      </c>
      <c r="Y1141" s="65">
        <v>0</v>
      </c>
      <c r="Z1141" s="65">
        <v>0</v>
      </c>
      <c r="AA1141" s="51">
        <v>0</v>
      </c>
      <c r="AB1141" s="102" t="s">
        <v>68</v>
      </c>
      <c r="AC1141" s="81">
        <f t="shared" si="54"/>
        <v>0</v>
      </c>
      <c r="AD1141" s="82">
        <f t="shared" si="55"/>
        <v>0</v>
      </c>
      <c r="AE1141" s="218">
        <v>-3.0817284355820176E-2</v>
      </c>
      <c r="AF1141">
        <v>60</v>
      </c>
      <c r="AH1141" t="str">
        <f t="shared" si="56"/>
        <v>Gopalpur Bmc</v>
      </c>
      <c r="AJ1141" s="72">
        <v>0</v>
      </c>
      <c r="AK1141" s="72"/>
      <c r="AL1141" s="72"/>
      <c r="AM1141" s="72"/>
    </row>
    <row r="1142" spans="1:39" x14ac:dyDescent="0.25">
      <c r="A1142" s="37" t="s">
        <v>62</v>
      </c>
      <c r="B1142" s="66" t="s">
        <v>1638</v>
      </c>
      <c r="C1142" s="47">
        <v>1006</v>
      </c>
      <c r="D1142" s="47" t="s">
        <v>179</v>
      </c>
      <c r="E1142" s="41">
        <v>10060036</v>
      </c>
      <c r="F1142" s="46" t="s">
        <v>1521</v>
      </c>
      <c r="G1142" s="39" t="s">
        <v>92</v>
      </c>
      <c r="H1142" s="48" t="s">
        <v>93</v>
      </c>
      <c r="I1142" s="52">
        <v>912.5</v>
      </c>
      <c r="J1142" s="49">
        <v>47769.38</v>
      </c>
      <c r="K1142" s="65">
        <v>660.18999999999994</v>
      </c>
      <c r="L1142" s="65">
        <v>37697.69999999999</v>
      </c>
      <c r="M1142" s="65">
        <v>2161.1000000000004</v>
      </c>
      <c r="N1142" s="65">
        <v>119790.95</v>
      </c>
      <c r="O1142" s="65">
        <v>2821.2900000000004</v>
      </c>
      <c r="P1142" s="65">
        <v>157488.65</v>
      </c>
      <c r="Q1142" s="50">
        <v>47769.38</v>
      </c>
      <c r="R1142" s="65">
        <v>0</v>
      </c>
      <c r="S1142" s="65">
        <v>0</v>
      </c>
      <c r="T1142" s="65">
        <v>109719.26999999999</v>
      </c>
      <c r="U1142" s="65">
        <v>0</v>
      </c>
      <c r="V1142" s="65">
        <v>0</v>
      </c>
      <c r="W1142" s="65">
        <v>0</v>
      </c>
      <c r="X1142" s="65">
        <v>2080</v>
      </c>
      <c r="Y1142" s="65">
        <v>45689</v>
      </c>
      <c r="Z1142" s="65">
        <v>0</v>
      </c>
      <c r="AA1142" s="51">
        <v>0</v>
      </c>
      <c r="AB1142" s="102" t="s">
        <v>1366</v>
      </c>
      <c r="AC1142" s="81">
        <f t="shared" si="54"/>
        <v>0</v>
      </c>
      <c r="AD1142" s="82">
        <f t="shared" si="55"/>
        <v>0</v>
      </c>
      <c r="AE1142" s="218">
        <v>-2.2968535492819875</v>
      </c>
      <c r="AF1142">
        <v>13</v>
      </c>
      <c r="AH1142" t="str">
        <f t="shared" si="56"/>
        <v>Sonvarsha</v>
      </c>
      <c r="AJ1142" s="72">
        <v>0</v>
      </c>
      <c r="AK1142" s="72"/>
      <c r="AL1142" s="72"/>
      <c r="AM1142" s="72"/>
    </row>
    <row r="1143" spans="1:39" x14ac:dyDescent="0.25">
      <c r="A1143" s="37" t="s">
        <v>62</v>
      </c>
      <c r="B1143" s="66" t="s">
        <v>1638</v>
      </c>
      <c r="C1143" s="47">
        <v>1006</v>
      </c>
      <c r="D1143" s="47" t="s">
        <v>179</v>
      </c>
      <c r="E1143" s="41">
        <v>10060041</v>
      </c>
      <c r="F1143" s="46" t="s">
        <v>199</v>
      </c>
      <c r="G1143" s="39" t="s">
        <v>1610</v>
      </c>
      <c r="H1143" s="48" t="s">
        <v>98</v>
      </c>
      <c r="I1143" s="52">
        <v>225.40000000000003</v>
      </c>
      <c r="J1143" s="49">
        <v>9805</v>
      </c>
      <c r="K1143" s="65">
        <v>0</v>
      </c>
      <c r="L1143" s="65">
        <v>0</v>
      </c>
      <c r="M1143" s="65">
        <v>0</v>
      </c>
      <c r="N1143" s="65">
        <v>0</v>
      </c>
      <c r="O1143" s="65">
        <v>0</v>
      </c>
      <c r="P1143" s="65">
        <v>0</v>
      </c>
      <c r="Q1143" s="50">
        <v>9805</v>
      </c>
      <c r="R1143" s="65">
        <v>0</v>
      </c>
      <c r="S1143" s="65">
        <v>0</v>
      </c>
      <c r="T1143" s="65">
        <v>0</v>
      </c>
      <c r="U1143" s="65">
        <v>0</v>
      </c>
      <c r="V1143" s="65">
        <v>0</v>
      </c>
      <c r="W1143" s="65">
        <v>0</v>
      </c>
      <c r="X1143" s="65">
        <v>0</v>
      </c>
      <c r="Y1143" s="65">
        <v>0</v>
      </c>
      <c r="Z1143" s="65">
        <v>9805</v>
      </c>
      <c r="AA1143" s="51">
        <v>0</v>
      </c>
      <c r="AB1143" s="102">
        <v>0</v>
      </c>
      <c r="AC1143" s="81">
        <f t="shared" si="54"/>
        <v>412.90621118012416</v>
      </c>
      <c r="AD1143" s="82">
        <f t="shared" si="55"/>
        <v>32.200000000000003</v>
      </c>
      <c r="AE1143" s="218">
        <v>0</v>
      </c>
      <c r="AF1143">
        <v>0</v>
      </c>
      <c r="AH1143" t="str">
        <f t="shared" si="56"/>
        <v>Sonvarsha</v>
      </c>
      <c r="AJ1143" s="72">
        <v>0</v>
      </c>
      <c r="AK1143" s="72"/>
      <c r="AL1143" s="72"/>
      <c r="AM1143" s="72"/>
    </row>
    <row r="1144" spans="1:39" x14ac:dyDescent="0.25">
      <c r="A1144" s="37" t="s">
        <v>62</v>
      </c>
      <c r="B1144" s="66" t="s">
        <v>1638</v>
      </c>
      <c r="C1144" s="47">
        <v>1006</v>
      </c>
      <c r="D1144" s="47" t="s">
        <v>179</v>
      </c>
      <c r="E1144" s="41">
        <v>10060045</v>
      </c>
      <c r="F1144" s="46" t="s">
        <v>1613</v>
      </c>
      <c r="G1144" s="39" t="s">
        <v>1610</v>
      </c>
      <c r="H1144" s="48" t="s">
        <v>98</v>
      </c>
      <c r="I1144" s="52">
        <v>127.2</v>
      </c>
      <c r="J1144" s="49">
        <v>5463.35</v>
      </c>
      <c r="K1144" s="65">
        <v>0</v>
      </c>
      <c r="L1144" s="65">
        <v>0</v>
      </c>
      <c r="M1144" s="65">
        <v>0</v>
      </c>
      <c r="N1144" s="65">
        <v>0</v>
      </c>
      <c r="O1144" s="65">
        <v>0</v>
      </c>
      <c r="P1144" s="65">
        <v>0</v>
      </c>
      <c r="Q1144" s="50">
        <v>5463.35</v>
      </c>
      <c r="R1144" s="65">
        <v>0</v>
      </c>
      <c r="S1144" s="65">
        <v>0</v>
      </c>
      <c r="T1144" s="65">
        <v>0</v>
      </c>
      <c r="U1144" s="65">
        <v>0</v>
      </c>
      <c r="V1144" s="65">
        <v>0</v>
      </c>
      <c r="W1144" s="65">
        <v>0</v>
      </c>
      <c r="X1144" s="65">
        <v>0</v>
      </c>
      <c r="Y1144" s="65">
        <v>0</v>
      </c>
      <c r="Z1144" s="65">
        <v>5463.35</v>
      </c>
      <c r="AA1144" s="51">
        <v>0</v>
      </c>
      <c r="AB1144" s="102">
        <v>0</v>
      </c>
      <c r="AC1144" s="81">
        <f t="shared" si="54"/>
        <v>492.04510691823896</v>
      </c>
      <c r="AD1144" s="82">
        <f t="shared" si="55"/>
        <v>18.171428571428571</v>
      </c>
      <c r="AE1144" s="218">
        <v>0</v>
      </c>
      <c r="AF1144">
        <v>0</v>
      </c>
      <c r="AH1144" t="str">
        <f t="shared" si="56"/>
        <v>Sonvarsha</v>
      </c>
      <c r="AJ1144" s="72">
        <v>0</v>
      </c>
      <c r="AK1144" s="72"/>
      <c r="AL1144" s="72"/>
      <c r="AM1144" s="72"/>
    </row>
    <row r="1145" spans="1:39" x14ac:dyDescent="0.25">
      <c r="A1145" s="37" t="s">
        <v>62</v>
      </c>
      <c r="B1145" s="66" t="s">
        <v>1638</v>
      </c>
      <c r="C1145" s="47">
        <v>1059</v>
      </c>
      <c r="D1145" s="47" t="s">
        <v>1299</v>
      </c>
      <c r="E1145" s="41">
        <v>10060049</v>
      </c>
      <c r="F1145" s="46" t="s">
        <v>200</v>
      </c>
      <c r="G1145" s="39" t="s">
        <v>92</v>
      </c>
      <c r="H1145" s="48" t="s">
        <v>93</v>
      </c>
      <c r="I1145" s="52">
        <v>714.89999999999986</v>
      </c>
      <c r="J1145" s="49">
        <v>34083.539999999994</v>
      </c>
      <c r="K1145" s="65">
        <v>721.61</v>
      </c>
      <c r="L1145" s="65">
        <v>34031.490000000013</v>
      </c>
      <c r="M1145" s="65">
        <v>8.41</v>
      </c>
      <c r="N1145" s="65">
        <v>484.42</v>
      </c>
      <c r="O1145" s="65">
        <v>730.02</v>
      </c>
      <c r="P1145" s="65">
        <v>34515.910000000011</v>
      </c>
      <c r="Q1145" s="50">
        <v>34083.539999999994</v>
      </c>
      <c r="R1145" s="65">
        <v>0</v>
      </c>
      <c r="S1145" s="65">
        <v>484.42</v>
      </c>
      <c r="T1145" s="65">
        <v>432.37000000001717</v>
      </c>
      <c r="U1145" s="65">
        <v>0</v>
      </c>
      <c r="V1145" s="65">
        <v>0</v>
      </c>
      <c r="W1145" s="65">
        <v>0</v>
      </c>
      <c r="X1145" s="65">
        <v>33599</v>
      </c>
      <c r="Y1145" s="65">
        <v>0</v>
      </c>
      <c r="Z1145" s="65">
        <v>0</v>
      </c>
      <c r="AA1145" s="51">
        <v>0</v>
      </c>
      <c r="AB1145" s="102">
        <v>0</v>
      </c>
      <c r="AC1145" s="81">
        <f t="shared" si="54"/>
        <v>0</v>
      </c>
      <c r="AD1145" s="82">
        <f t="shared" si="55"/>
        <v>0</v>
      </c>
      <c r="AE1145" s="218">
        <v>-1.2685595451646667E-2</v>
      </c>
      <c r="AF1145">
        <v>32</v>
      </c>
      <c r="AH1145" t="str">
        <f t="shared" si="56"/>
        <v>Gopalpur Bmc</v>
      </c>
      <c r="AJ1145" s="72">
        <v>0</v>
      </c>
      <c r="AK1145" s="72"/>
      <c r="AL1145" s="72"/>
      <c r="AM1145" s="72"/>
    </row>
    <row r="1146" spans="1:39" x14ac:dyDescent="0.25">
      <c r="A1146" s="37" t="s">
        <v>62</v>
      </c>
      <c r="B1146" s="66" t="s">
        <v>1638</v>
      </c>
      <c r="C1146" s="47">
        <v>1059</v>
      </c>
      <c r="D1146" s="47" t="s">
        <v>1299</v>
      </c>
      <c r="E1146" s="41">
        <v>10060050</v>
      </c>
      <c r="F1146" s="46" t="s">
        <v>201</v>
      </c>
      <c r="G1146" s="39" t="s">
        <v>92</v>
      </c>
      <c r="H1146" s="48" t="s">
        <v>93</v>
      </c>
      <c r="I1146" s="52">
        <v>715.4</v>
      </c>
      <c r="J1146" s="49">
        <v>34889.35</v>
      </c>
      <c r="K1146" s="65">
        <v>696.25</v>
      </c>
      <c r="L1146" s="65">
        <v>32323.799999999996</v>
      </c>
      <c r="M1146" s="65">
        <v>10.45</v>
      </c>
      <c r="N1146" s="65">
        <v>478.09</v>
      </c>
      <c r="O1146" s="65">
        <v>706.7</v>
      </c>
      <c r="P1146" s="65">
        <v>32801.889999999992</v>
      </c>
      <c r="Q1146" s="50">
        <v>32801.889999999992</v>
      </c>
      <c r="R1146" s="65">
        <v>0</v>
      </c>
      <c r="S1146" s="65">
        <v>478.09</v>
      </c>
      <c r="T1146" s="65">
        <v>0</v>
      </c>
      <c r="U1146" s="65">
        <v>0</v>
      </c>
      <c r="V1146" s="65">
        <v>0</v>
      </c>
      <c r="W1146" s="65">
        <v>0</v>
      </c>
      <c r="X1146" s="65">
        <v>32325</v>
      </c>
      <c r="Y1146" s="65">
        <v>0</v>
      </c>
      <c r="Z1146" s="65">
        <v>0</v>
      </c>
      <c r="AA1146" s="51">
        <v>2086</v>
      </c>
      <c r="AB1146" s="102">
        <v>0</v>
      </c>
      <c r="AC1146" s="81">
        <f t="shared" si="54"/>
        <v>0</v>
      </c>
      <c r="AD1146" s="82">
        <f t="shared" si="55"/>
        <v>0</v>
      </c>
      <c r="AE1146" s="218">
        <v>5.9830865292704122E-2</v>
      </c>
      <c r="AF1146">
        <v>21</v>
      </c>
      <c r="AH1146" t="str">
        <f t="shared" si="56"/>
        <v>Gopalpur Bmc</v>
      </c>
      <c r="AJ1146" s="72">
        <v>0</v>
      </c>
      <c r="AK1146" s="72"/>
      <c r="AL1146" s="72"/>
      <c r="AM1146" s="72"/>
    </row>
    <row r="1147" spans="1:39" x14ac:dyDescent="0.25">
      <c r="A1147" s="37" t="s">
        <v>62</v>
      </c>
      <c r="B1147" s="66" t="s">
        <v>1638</v>
      </c>
      <c r="C1147" s="47">
        <v>1006</v>
      </c>
      <c r="D1147" s="47" t="s">
        <v>179</v>
      </c>
      <c r="E1147" s="41">
        <v>10060051</v>
      </c>
      <c r="F1147" s="46" t="s">
        <v>1361</v>
      </c>
      <c r="G1147" s="39" t="s">
        <v>1610</v>
      </c>
      <c r="H1147" s="48" t="s">
        <v>98</v>
      </c>
      <c r="I1147" s="52">
        <v>69.900000000000006</v>
      </c>
      <c r="J1147" s="49">
        <v>2768.7200000000003</v>
      </c>
      <c r="K1147" s="65">
        <v>0</v>
      </c>
      <c r="L1147" s="65">
        <v>0</v>
      </c>
      <c r="M1147" s="65">
        <v>0</v>
      </c>
      <c r="N1147" s="65">
        <v>0</v>
      </c>
      <c r="O1147" s="65">
        <v>0</v>
      </c>
      <c r="P1147" s="65">
        <v>0</v>
      </c>
      <c r="Q1147" s="50">
        <v>2768.7200000000003</v>
      </c>
      <c r="R1147" s="65">
        <v>0</v>
      </c>
      <c r="S1147" s="65">
        <v>0</v>
      </c>
      <c r="T1147" s="65">
        <v>0</v>
      </c>
      <c r="U1147" s="65">
        <v>0</v>
      </c>
      <c r="V1147" s="65">
        <v>0</v>
      </c>
      <c r="W1147" s="65">
        <v>0</v>
      </c>
      <c r="X1147" s="65">
        <v>0</v>
      </c>
      <c r="Y1147" s="65">
        <v>0</v>
      </c>
      <c r="Z1147" s="65">
        <v>2768.7200000000003</v>
      </c>
      <c r="AA1147" s="51">
        <v>0</v>
      </c>
      <c r="AB1147" s="102">
        <v>0</v>
      </c>
      <c r="AC1147" s="81">
        <f t="shared" si="54"/>
        <v>499.1617945636624</v>
      </c>
      <c r="AD1147" s="82">
        <f t="shared" si="55"/>
        <v>9.9857142857142858</v>
      </c>
      <c r="AE1147" s="218">
        <v>0</v>
      </c>
      <c r="AF1147">
        <v>0</v>
      </c>
      <c r="AH1147" t="str">
        <f t="shared" si="56"/>
        <v>Sonvarsha</v>
      </c>
      <c r="AJ1147" s="72">
        <v>0</v>
      </c>
      <c r="AK1147" s="72"/>
      <c r="AL1147" s="72"/>
      <c r="AM1147" s="72"/>
    </row>
    <row r="1148" spans="1:39" x14ac:dyDescent="0.25">
      <c r="A1148" s="37" t="s">
        <v>62</v>
      </c>
      <c r="B1148" s="66" t="s">
        <v>1638</v>
      </c>
      <c r="C1148" s="47">
        <v>1006</v>
      </c>
      <c r="D1148" s="47" t="s">
        <v>179</v>
      </c>
      <c r="E1148" s="41">
        <v>10060055</v>
      </c>
      <c r="F1148" s="46" t="s">
        <v>1373</v>
      </c>
      <c r="G1148" s="39" t="s">
        <v>1610</v>
      </c>
      <c r="H1148" s="48" t="s">
        <v>98</v>
      </c>
      <c r="I1148" s="52">
        <v>104.7</v>
      </c>
      <c r="J1148" s="49">
        <v>4052.68</v>
      </c>
      <c r="K1148" s="65">
        <v>0</v>
      </c>
      <c r="L1148" s="65">
        <v>0</v>
      </c>
      <c r="M1148" s="65">
        <v>0</v>
      </c>
      <c r="N1148" s="65">
        <v>0</v>
      </c>
      <c r="O1148" s="65">
        <v>0</v>
      </c>
      <c r="P1148" s="65">
        <v>0</v>
      </c>
      <c r="Q1148" s="50">
        <v>4052.68</v>
      </c>
      <c r="R1148" s="65">
        <v>0</v>
      </c>
      <c r="S1148" s="65">
        <v>0</v>
      </c>
      <c r="T1148" s="65">
        <v>0</v>
      </c>
      <c r="U1148" s="65">
        <v>0</v>
      </c>
      <c r="V1148" s="65">
        <v>0</v>
      </c>
      <c r="W1148" s="65">
        <v>0</v>
      </c>
      <c r="X1148" s="65">
        <v>0</v>
      </c>
      <c r="Y1148" s="65">
        <v>0</v>
      </c>
      <c r="Z1148" s="65">
        <v>4052.68</v>
      </c>
      <c r="AA1148" s="51">
        <v>0</v>
      </c>
      <c r="AB1148" s="102">
        <v>0</v>
      </c>
      <c r="AC1148" s="81">
        <f t="shared" si="54"/>
        <v>460.85203514804198</v>
      </c>
      <c r="AD1148" s="82">
        <f t="shared" si="55"/>
        <v>14.957142857142857</v>
      </c>
      <c r="AE1148" s="218">
        <v>0</v>
      </c>
      <c r="AF1148">
        <v>0</v>
      </c>
      <c r="AH1148" t="str">
        <f t="shared" si="56"/>
        <v>Sonvarsha</v>
      </c>
      <c r="AJ1148" s="72">
        <v>0</v>
      </c>
      <c r="AK1148" s="72"/>
      <c r="AL1148" s="72"/>
      <c r="AM1148" s="72"/>
    </row>
    <row r="1149" spans="1:39" x14ac:dyDescent="0.25">
      <c r="A1149" s="37" t="s">
        <v>62</v>
      </c>
      <c r="B1149" s="66" t="s">
        <v>1638</v>
      </c>
      <c r="C1149" s="47">
        <v>1006</v>
      </c>
      <c r="D1149" s="47" t="s">
        <v>179</v>
      </c>
      <c r="E1149" s="41">
        <v>10060058</v>
      </c>
      <c r="F1149" s="46" t="s">
        <v>202</v>
      </c>
      <c r="G1149" s="39" t="s">
        <v>92</v>
      </c>
      <c r="H1149" s="48" t="s">
        <v>93</v>
      </c>
      <c r="I1149" s="52">
        <v>458.2</v>
      </c>
      <c r="J1149" s="49">
        <v>18214.270000000004</v>
      </c>
      <c r="K1149" s="65">
        <v>260.45000000000005</v>
      </c>
      <c r="L1149" s="65">
        <v>10621.33</v>
      </c>
      <c r="M1149" s="65">
        <v>201.07000000000002</v>
      </c>
      <c r="N1149" s="65">
        <v>8224.1500000000015</v>
      </c>
      <c r="O1149" s="65">
        <v>461.5200000000001</v>
      </c>
      <c r="P1149" s="65">
        <v>18845.480000000003</v>
      </c>
      <c r="Q1149" s="50">
        <v>18214.270000000004</v>
      </c>
      <c r="R1149" s="65">
        <v>0</v>
      </c>
      <c r="S1149" s="65">
        <v>168.22000000000003</v>
      </c>
      <c r="T1149" s="65">
        <v>631.20999999999913</v>
      </c>
      <c r="U1149" s="65">
        <v>0</v>
      </c>
      <c r="V1149" s="65">
        <v>0</v>
      </c>
      <c r="W1149" s="65">
        <v>0</v>
      </c>
      <c r="X1149" s="65">
        <v>9990</v>
      </c>
      <c r="Y1149" s="65">
        <v>8056</v>
      </c>
      <c r="Z1149" s="65">
        <v>0</v>
      </c>
      <c r="AA1149" s="51">
        <v>0</v>
      </c>
      <c r="AB1149" s="102">
        <v>0</v>
      </c>
      <c r="AC1149" s="81">
        <f t="shared" si="54"/>
        <v>192.239654561327</v>
      </c>
      <c r="AD1149" s="82">
        <f t="shared" si="55"/>
        <v>65.457142857142856</v>
      </c>
      <c r="AE1149" s="218">
        <v>-3.4654696564836197E-2</v>
      </c>
      <c r="AF1149">
        <v>6</v>
      </c>
      <c r="AH1149" t="str">
        <f t="shared" si="56"/>
        <v>Sonvarsha</v>
      </c>
      <c r="AJ1149" s="72">
        <v>0</v>
      </c>
      <c r="AK1149" s="72"/>
      <c r="AL1149" s="72"/>
      <c r="AM1149" s="72"/>
    </row>
    <row r="1150" spans="1:39" x14ac:dyDescent="0.25">
      <c r="A1150" s="37" t="s">
        <v>62</v>
      </c>
      <c r="B1150" s="66" t="s">
        <v>1638</v>
      </c>
      <c r="C1150" s="47">
        <v>1006</v>
      </c>
      <c r="D1150" s="47" t="s">
        <v>179</v>
      </c>
      <c r="E1150" s="41">
        <v>10060061</v>
      </c>
      <c r="F1150" s="46" t="s">
        <v>1387</v>
      </c>
      <c r="G1150" s="39" t="s">
        <v>1610</v>
      </c>
      <c r="H1150" s="48" t="s">
        <v>98</v>
      </c>
      <c r="I1150" s="52">
        <v>167.3</v>
      </c>
      <c r="J1150" s="49">
        <v>6537.3700000000008</v>
      </c>
      <c r="K1150" s="65">
        <v>0</v>
      </c>
      <c r="L1150" s="65">
        <v>0</v>
      </c>
      <c r="M1150" s="65">
        <v>0</v>
      </c>
      <c r="N1150" s="65">
        <v>0</v>
      </c>
      <c r="O1150" s="65">
        <v>0</v>
      </c>
      <c r="P1150" s="65">
        <v>0</v>
      </c>
      <c r="Q1150" s="50">
        <v>6537.3700000000008</v>
      </c>
      <c r="R1150" s="65">
        <v>0</v>
      </c>
      <c r="S1150" s="65">
        <v>0</v>
      </c>
      <c r="T1150" s="65">
        <v>0</v>
      </c>
      <c r="U1150" s="65">
        <v>0</v>
      </c>
      <c r="V1150" s="65">
        <v>0</v>
      </c>
      <c r="W1150" s="65">
        <v>0</v>
      </c>
      <c r="X1150" s="65">
        <v>0</v>
      </c>
      <c r="Y1150" s="65">
        <v>0</v>
      </c>
      <c r="Z1150" s="65">
        <v>6537.3700000000008</v>
      </c>
      <c r="AA1150" s="51">
        <v>0</v>
      </c>
      <c r="AB1150" s="102">
        <v>0</v>
      </c>
      <c r="AC1150" s="81">
        <f t="shared" si="54"/>
        <v>416.31285104602512</v>
      </c>
      <c r="AD1150" s="82">
        <f t="shared" si="55"/>
        <v>23.900000000000002</v>
      </c>
      <c r="AE1150" s="218">
        <v>0</v>
      </c>
      <c r="AF1150">
        <v>0</v>
      </c>
      <c r="AH1150" t="str">
        <f t="shared" si="56"/>
        <v>Sonvarsha</v>
      </c>
      <c r="AJ1150" s="72">
        <v>0</v>
      </c>
      <c r="AK1150" s="72"/>
      <c r="AL1150" s="72"/>
      <c r="AM1150" s="72"/>
    </row>
    <row r="1151" spans="1:39" x14ac:dyDescent="0.25">
      <c r="A1151" s="37" t="s">
        <v>62</v>
      </c>
      <c r="B1151" s="66" t="s">
        <v>1638</v>
      </c>
      <c r="C1151" s="47">
        <v>1006</v>
      </c>
      <c r="D1151" s="47" t="s">
        <v>179</v>
      </c>
      <c r="E1151" s="41">
        <v>10060062</v>
      </c>
      <c r="F1151" s="46" t="s">
        <v>472</v>
      </c>
      <c r="G1151" s="39" t="s">
        <v>1610</v>
      </c>
      <c r="H1151" s="48" t="s">
        <v>98</v>
      </c>
      <c r="I1151" s="52">
        <v>313.50000000000006</v>
      </c>
      <c r="J1151" s="49">
        <v>13339.880000000001</v>
      </c>
      <c r="K1151" s="65">
        <v>0</v>
      </c>
      <c r="L1151" s="65">
        <v>0</v>
      </c>
      <c r="M1151" s="65">
        <v>0</v>
      </c>
      <c r="N1151" s="65">
        <v>0</v>
      </c>
      <c r="O1151" s="65">
        <v>0</v>
      </c>
      <c r="P1151" s="65">
        <v>0</v>
      </c>
      <c r="Q1151" s="50">
        <v>13339.880000000001</v>
      </c>
      <c r="R1151" s="65">
        <v>0</v>
      </c>
      <c r="S1151" s="65">
        <v>0</v>
      </c>
      <c r="T1151" s="65">
        <v>0</v>
      </c>
      <c r="U1151" s="65">
        <v>0</v>
      </c>
      <c r="V1151" s="65">
        <v>0</v>
      </c>
      <c r="W1151" s="65">
        <v>0</v>
      </c>
      <c r="X1151" s="65">
        <v>0</v>
      </c>
      <c r="Y1151" s="65">
        <v>0</v>
      </c>
      <c r="Z1151" s="65">
        <v>13339.880000000001</v>
      </c>
      <c r="AA1151" s="51">
        <v>0</v>
      </c>
      <c r="AB1151" s="102">
        <v>0</v>
      </c>
      <c r="AC1151" s="81">
        <f t="shared" si="54"/>
        <v>328.92271897926628</v>
      </c>
      <c r="AD1151" s="82">
        <f t="shared" si="55"/>
        <v>44.785714285714292</v>
      </c>
      <c r="AE1151" s="218">
        <v>0</v>
      </c>
      <c r="AF1151">
        <v>0</v>
      </c>
      <c r="AH1151" t="str">
        <f t="shared" si="56"/>
        <v>Sonvarsha</v>
      </c>
      <c r="AJ1151" s="72">
        <v>0</v>
      </c>
      <c r="AK1151" s="72"/>
      <c r="AL1151" s="72"/>
      <c r="AM1151" s="72"/>
    </row>
    <row r="1152" spans="1:39" x14ac:dyDescent="0.25">
      <c r="A1152" s="37" t="s">
        <v>62</v>
      </c>
      <c r="B1152" s="66" t="s">
        <v>1638</v>
      </c>
      <c r="C1152" s="47">
        <v>1059</v>
      </c>
      <c r="D1152" s="47" t="s">
        <v>1299</v>
      </c>
      <c r="E1152" s="41">
        <v>10060069</v>
      </c>
      <c r="F1152" s="46" t="s">
        <v>439</v>
      </c>
      <c r="G1152" s="39" t="s">
        <v>92</v>
      </c>
      <c r="H1152" s="48" t="s">
        <v>93</v>
      </c>
      <c r="I1152" s="52">
        <v>296</v>
      </c>
      <c r="J1152" s="49">
        <v>14306.16</v>
      </c>
      <c r="K1152" s="65">
        <v>296</v>
      </c>
      <c r="L1152" s="65">
        <v>14306.16</v>
      </c>
      <c r="M1152" s="65">
        <v>0</v>
      </c>
      <c r="N1152" s="65">
        <v>0</v>
      </c>
      <c r="O1152" s="65">
        <v>296</v>
      </c>
      <c r="P1152" s="65">
        <v>14306.16</v>
      </c>
      <c r="Q1152" s="50">
        <v>14306.16</v>
      </c>
      <c r="R1152" s="65">
        <v>0</v>
      </c>
      <c r="S1152" s="65">
        <v>0</v>
      </c>
      <c r="T1152" s="65">
        <v>0</v>
      </c>
      <c r="U1152" s="65">
        <v>0</v>
      </c>
      <c r="V1152" s="65">
        <v>0</v>
      </c>
      <c r="W1152" s="65">
        <v>0</v>
      </c>
      <c r="X1152" s="65">
        <v>14306</v>
      </c>
      <c r="Y1152" s="65">
        <v>0</v>
      </c>
      <c r="Z1152" s="65">
        <v>0</v>
      </c>
      <c r="AA1152" s="51">
        <v>0</v>
      </c>
      <c r="AB1152" s="102">
        <v>0</v>
      </c>
      <c r="AC1152" s="81">
        <f t="shared" si="54"/>
        <v>390.51950270270277</v>
      </c>
      <c r="AD1152" s="82">
        <f t="shared" si="55"/>
        <v>42.285714285714285</v>
      </c>
      <c r="AE1152" s="218">
        <v>0</v>
      </c>
      <c r="AF1152">
        <v>1</v>
      </c>
      <c r="AH1152" t="str">
        <f t="shared" si="56"/>
        <v>Gopalpur Bmc</v>
      </c>
      <c r="AJ1152" s="72">
        <v>0</v>
      </c>
      <c r="AK1152" s="72"/>
      <c r="AL1152" s="72"/>
      <c r="AM1152" s="72"/>
    </row>
    <row r="1153" spans="1:39" x14ac:dyDescent="0.25">
      <c r="A1153" s="37" t="s">
        <v>62</v>
      </c>
      <c r="B1153" s="66" t="s">
        <v>1638</v>
      </c>
      <c r="C1153" s="47">
        <v>1059</v>
      </c>
      <c r="D1153" s="47" t="s">
        <v>1299</v>
      </c>
      <c r="E1153" s="41">
        <v>10060074</v>
      </c>
      <c r="F1153" s="46" t="s">
        <v>473</v>
      </c>
      <c r="G1153" s="39" t="s">
        <v>92</v>
      </c>
      <c r="H1153" s="48" t="s">
        <v>93</v>
      </c>
      <c r="I1153" s="52">
        <v>394.5</v>
      </c>
      <c r="J1153" s="49">
        <v>18028.509999999998</v>
      </c>
      <c r="K1153" s="65">
        <v>380.8</v>
      </c>
      <c r="L1153" s="65">
        <v>18006.13</v>
      </c>
      <c r="M1153" s="65">
        <v>6.49</v>
      </c>
      <c r="N1153" s="65">
        <v>295.41000000000003</v>
      </c>
      <c r="O1153" s="65">
        <v>387.29</v>
      </c>
      <c r="P1153" s="65">
        <v>18301.54</v>
      </c>
      <c r="Q1153" s="50">
        <v>18028.509999999998</v>
      </c>
      <c r="R1153" s="65">
        <v>0</v>
      </c>
      <c r="S1153" s="65">
        <v>295.41000000000003</v>
      </c>
      <c r="T1153" s="65">
        <v>273.03000000000247</v>
      </c>
      <c r="U1153" s="65">
        <v>3500</v>
      </c>
      <c r="V1153" s="65">
        <v>0</v>
      </c>
      <c r="W1153" s="65">
        <v>0</v>
      </c>
      <c r="X1153" s="65">
        <v>14233</v>
      </c>
      <c r="Y1153" s="65">
        <v>0</v>
      </c>
      <c r="Z1153" s="65">
        <v>0</v>
      </c>
      <c r="AA1153" s="51">
        <v>0</v>
      </c>
      <c r="AB1153" s="102" t="s">
        <v>68</v>
      </c>
      <c r="AC1153" s="81">
        <f t="shared" ref="AC1153:AC1216" si="57">((IF(AD1153=0,0,100-AD1153))*7*(J1153/I1153))*2%</f>
        <v>279.22483168567805</v>
      </c>
      <c r="AD1153" s="82">
        <f t="shared" ref="AD1153:AD1216" si="58">IF((I1153/7)&gt;100,0,(I1153/7))</f>
        <v>56.357142857142854</v>
      </c>
      <c r="AE1153" s="218">
        <v>-1.5144346371386348E-2</v>
      </c>
      <c r="AF1153">
        <v>10</v>
      </c>
      <c r="AH1153" t="str">
        <f t="shared" si="56"/>
        <v>Gopalpur Bmc</v>
      </c>
      <c r="AJ1153" s="72">
        <v>0</v>
      </c>
      <c r="AK1153" s="72"/>
      <c r="AL1153" s="72"/>
      <c r="AM1153" s="72"/>
    </row>
    <row r="1154" spans="1:39" x14ac:dyDescent="0.25">
      <c r="A1154" s="37" t="s">
        <v>62</v>
      </c>
      <c r="B1154" s="66" t="s">
        <v>1638</v>
      </c>
      <c r="C1154" s="47">
        <v>1006</v>
      </c>
      <c r="D1154" s="47" t="s">
        <v>179</v>
      </c>
      <c r="E1154" s="41">
        <v>10060076</v>
      </c>
      <c r="F1154" s="46" t="s">
        <v>505</v>
      </c>
      <c r="G1154" s="39" t="s">
        <v>92</v>
      </c>
      <c r="H1154" s="48" t="s">
        <v>93</v>
      </c>
      <c r="I1154" s="52">
        <v>397.5</v>
      </c>
      <c r="J1154" s="49">
        <v>16796.240000000002</v>
      </c>
      <c r="K1154" s="65">
        <v>397.49999999999994</v>
      </c>
      <c r="L1154" s="65">
        <v>16781.830000000002</v>
      </c>
      <c r="M1154" s="65">
        <v>0</v>
      </c>
      <c r="N1154" s="65">
        <v>0</v>
      </c>
      <c r="O1154" s="65">
        <v>397.49999999999994</v>
      </c>
      <c r="P1154" s="65">
        <v>16781.830000000002</v>
      </c>
      <c r="Q1154" s="50">
        <v>16781.830000000002</v>
      </c>
      <c r="R1154" s="65">
        <v>0</v>
      </c>
      <c r="S1154" s="65">
        <v>0</v>
      </c>
      <c r="T1154" s="65">
        <v>0</v>
      </c>
      <c r="U1154" s="65">
        <v>0</v>
      </c>
      <c r="V1154" s="65">
        <v>0</v>
      </c>
      <c r="W1154" s="65">
        <v>0</v>
      </c>
      <c r="X1154" s="65">
        <v>16782</v>
      </c>
      <c r="Y1154" s="65">
        <v>0</v>
      </c>
      <c r="Z1154" s="65">
        <v>0</v>
      </c>
      <c r="AA1154" s="51">
        <v>14</v>
      </c>
      <c r="AB1154" s="102">
        <v>0</v>
      </c>
      <c r="AC1154" s="81">
        <f t="shared" si="57"/>
        <v>255.64088553459126</v>
      </c>
      <c r="AD1154" s="82">
        <f t="shared" si="58"/>
        <v>56.785714285714285</v>
      </c>
      <c r="AE1154" s="218">
        <v>8.5793010816705725E-4</v>
      </c>
      <c r="AF1154">
        <v>1</v>
      </c>
      <c r="AH1154" t="str">
        <f t="shared" si="56"/>
        <v>Sonvarsha</v>
      </c>
      <c r="AJ1154" s="72">
        <v>0</v>
      </c>
      <c r="AK1154" s="72"/>
      <c r="AL1154" s="72"/>
      <c r="AM1154" s="72"/>
    </row>
    <row r="1155" spans="1:39" x14ac:dyDescent="0.25">
      <c r="A1155" s="37" t="s">
        <v>62</v>
      </c>
      <c r="B1155" s="66" t="s">
        <v>1638</v>
      </c>
      <c r="C1155" s="47">
        <v>1006</v>
      </c>
      <c r="D1155" s="47" t="s">
        <v>179</v>
      </c>
      <c r="E1155" s="41">
        <v>10060077</v>
      </c>
      <c r="F1155" s="46" t="s">
        <v>494</v>
      </c>
      <c r="G1155" s="39" t="s">
        <v>92</v>
      </c>
      <c r="H1155" s="48" t="s">
        <v>93</v>
      </c>
      <c r="I1155" s="52">
        <v>1524.0000000000002</v>
      </c>
      <c r="J1155" s="49">
        <v>66211.67</v>
      </c>
      <c r="K1155" s="65">
        <v>1374.32</v>
      </c>
      <c r="L1155" s="65">
        <v>56274.530000000013</v>
      </c>
      <c r="M1155" s="65">
        <v>195.04000000000002</v>
      </c>
      <c r="N1155" s="65">
        <v>8954.4500000000007</v>
      </c>
      <c r="O1155" s="65">
        <v>1569.36</v>
      </c>
      <c r="P1155" s="65">
        <v>65228.98000000001</v>
      </c>
      <c r="Q1155" s="50">
        <v>65228.98000000001</v>
      </c>
      <c r="R1155" s="65">
        <v>0</v>
      </c>
      <c r="S1155" s="65">
        <v>819.31000000000006</v>
      </c>
      <c r="T1155" s="65">
        <v>0</v>
      </c>
      <c r="U1155" s="65">
        <v>0</v>
      </c>
      <c r="V1155" s="65">
        <v>0</v>
      </c>
      <c r="W1155" s="65">
        <v>0</v>
      </c>
      <c r="X1155" s="65">
        <v>56279</v>
      </c>
      <c r="Y1155" s="65">
        <v>8134</v>
      </c>
      <c r="Z1155" s="65">
        <v>0</v>
      </c>
      <c r="AA1155" s="51">
        <v>979</v>
      </c>
      <c r="AB1155" s="102">
        <v>0</v>
      </c>
      <c r="AC1155" s="81">
        <f t="shared" si="57"/>
        <v>0</v>
      </c>
      <c r="AD1155" s="82">
        <f t="shared" si="58"/>
        <v>0</v>
      </c>
      <c r="AE1155" s="218">
        <v>1.4841643474632007E-2</v>
      </c>
      <c r="AF1155">
        <v>37</v>
      </c>
      <c r="AH1155" t="str">
        <f t="shared" si="56"/>
        <v>Sonvarsha</v>
      </c>
      <c r="AJ1155" s="72">
        <v>0</v>
      </c>
      <c r="AK1155" s="72"/>
      <c r="AL1155" s="72"/>
      <c r="AM1155" s="72"/>
    </row>
    <row r="1156" spans="1:39" x14ac:dyDescent="0.25">
      <c r="A1156" s="37" t="s">
        <v>62</v>
      </c>
      <c r="B1156" s="66" t="s">
        <v>1638</v>
      </c>
      <c r="C1156" s="47">
        <v>1006</v>
      </c>
      <c r="D1156" s="47" t="s">
        <v>179</v>
      </c>
      <c r="E1156" s="41">
        <v>10060083</v>
      </c>
      <c r="F1156" s="46" t="s">
        <v>490</v>
      </c>
      <c r="G1156" s="39" t="s">
        <v>1610</v>
      </c>
      <c r="H1156" s="48" t="s">
        <v>98</v>
      </c>
      <c r="I1156" s="52">
        <v>2343.4</v>
      </c>
      <c r="J1156" s="49">
        <v>94597.73000000001</v>
      </c>
      <c r="K1156" s="65">
        <v>0</v>
      </c>
      <c r="L1156" s="65">
        <v>0</v>
      </c>
      <c r="M1156" s="65">
        <v>0</v>
      </c>
      <c r="N1156" s="65">
        <v>0</v>
      </c>
      <c r="O1156" s="65">
        <v>0</v>
      </c>
      <c r="P1156" s="65">
        <v>0</v>
      </c>
      <c r="Q1156" s="50">
        <v>94597.73000000001</v>
      </c>
      <c r="R1156" s="65">
        <v>0</v>
      </c>
      <c r="S1156" s="65">
        <v>0</v>
      </c>
      <c r="T1156" s="65">
        <v>0</v>
      </c>
      <c r="U1156" s="65">
        <v>0</v>
      </c>
      <c r="V1156" s="65">
        <v>0</v>
      </c>
      <c r="W1156" s="65">
        <v>0</v>
      </c>
      <c r="X1156" s="65">
        <v>0</v>
      </c>
      <c r="Y1156" s="65">
        <v>0</v>
      </c>
      <c r="Z1156" s="65">
        <v>94597.73000000001</v>
      </c>
      <c r="AA1156" s="51">
        <v>0</v>
      </c>
      <c r="AB1156" s="102">
        <v>0</v>
      </c>
      <c r="AC1156" s="81">
        <f t="shared" si="57"/>
        <v>0</v>
      </c>
      <c r="AD1156" s="82">
        <f t="shared" si="58"/>
        <v>0</v>
      </c>
      <c r="AE1156" s="218">
        <v>0</v>
      </c>
      <c r="AF1156">
        <v>0</v>
      </c>
      <c r="AH1156" t="str">
        <f t="shared" si="56"/>
        <v>Sonvarsha</v>
      </c>
      <c r="AJ1156" s="72">
        <v>0</v>
      </c>
      <c r="AK1156" s="72"/>
      <c r="AL1156" s="72"/>
      <c r="AM1156" s="72"/>
    </row>
    <row r="1157" spans="1:39" x14ac:dyDescent="0.25">
      <c r="A1157" s="37" t="s">
        <v>62</v>
      </c>
      <c r="B1157" s="66" t="s">
        <v>1638</v>
      </c>
      <c r="C1157" s="47">
        <v>1006</v>
      </c>
      <c r="D1157" s="47" t="s">
        <v>179</v>
      </c>
      <c r="E1157" s="41">
        <v>10060089</v>
      </c>
      <c r="F1157" s="46" t="s">
        <v>1522</v>
      </c>
      <c r="G1157" s="39" t="s">
        <v>1610</v>
      </c>
      <c r="H1157" s="48" t="s">
        <v>98</v>
      </c>
      <c r="I1157" s="52">
        <v>253.4</v>
      </c>
      <c r="J1157" s="49">
        <v>9067.86</v>
      </c>
      <c r="K1157" s="65">
        <v>0</v>
      </c>
      <c r="L1157" s="65">
        <v>0</v>
      </c>
      <c r="M1157" s="65">
        <v>0</v>
      </c>
      <c r="N1157" s="65">
        <v>0</v>
      </c>
      <c r="O1157" s="65">
        <v>0</v>
      </c>
      <c r="P1157" s="65">
        <v>0</v>
      </c>
      <c r="Q1157" s="50">
        <v>9067.86</v>
      </c>
      <c r="R1157" s="65">
        <v>0</v>
      </c>
      <c r="S1157" s="65">
        <v>0</v>
      </c>
      <c r="T1157" s="65">
        <v>0</v>
      </c>
      <c r="U1157" s="65">
        <v>0</v>
      </c>
      <c r="V1157" s="65">
        <v>0</v>
      </c>
      <c r="W1157" s="65">
        <v>0</v>
      </c>
      <c r="X1157" s="65">
        <v>0</v>
      </c>
      <c r="Y1157" s="65">
        <v>0</v>
      </c>
      <c r="Z1157" s="65">
        <v>9067.86</v>
      </c>
      <c r="AA1157" s="51">
        <v>0</v>
      </c>
      <c r="AB1157" s="102">
        <v>0</v>
      </c>
      <c r="AC1157" s="81">
        <f t="shared" si="57"/>
        <v>319.62954033149174</v>
      </c>
      <c r="AD1157" s="82">
        <f t="shared" si="58"/>
        <v>36.200000000000003</v>
      </c>
      <c r="AE1157" s="218">
        <v>0</v>
      </c>
      <c r="AF1157">
        <v>0</v>
      </c>
      <c r="AH1157" t="str">
        <f t="shared" si="56"/>
        <v>Sonvarsha</v>
      </c>
      <c r="AJ1157" s="72">
        <v>0</v>
      </c>
      <c r="AK1157" s="72"/>
      <c r="AL1157" s="72"/>
      <c r="AM1157" s="72"/>
    </row>
    <row r="1158" spans="1:39" x14ac:dyDescent="0.25">
      <c r="A1158" s="37" t="s">
        <v>62</v>
      </c>
      <c r="B1158" s="66" t="s">
        <v>1638</v>
      </c>
      <c r="C1158" s="47">
        <v>1059</v>
      </c>
      <c r="D1158" s="47" t="s">
        <v>1299</v>
      </c>
      <c r="E1158" s="41">
        <v>10060090</v>
      </c>
      <c r="F1158" s="46" t="s">
        <v>520</v>
      </c>
      <c r="G1158" s="39" t="s">
        <v>92</v>
      </c>
      <c r="H1158" s="48" t="s">
        <v>93</v>
      </c>
      <c r="I1158" s="52">
        <v>659.59999999999991</v>
      </c>
      <c r="J1158" s="49">
        <v>32091.460000000003</v>
      </c>
      <c r="K1158" s="65">
        <v>659.6</v>
      </c>
      <c r="L1158" s="65">
        <v>32124.92</v>
      </c>
      <c r="M1158" s="65">
        <v>0</v>
      </c>
      <c r="N1158" s="65">
        <v>0</v>
      </c>
      <c r="O1158" s="65">
        <v>659.6</v>
      </c>
      <c r="P1158" s="65">
        <v>32124.92</v>
      </c>
      <c r="Q1158" s="50">
        <v>32091.460000000003</v>
      </c>
      <c r="R1158" s="65">
        <v>0</v>
      </c>
      <c r="S1158" s="65">
        <v>0</v>
      </c>
      <c r="T1158" s="65">
        <v>33.459999999995489</v>
      </c>
      <c r="U1158" s="65">
        <v>0</v>
      </c>
      <c r="V1158" s="65">
        <v>0</v>
      </c>
      <c r="W1158" s="65">
        <v>0</v>
      </c>
      <c r="X1158" s="65">
        <v>32091</v>
      </c>
      <c r="Y1158" s="65">
        <v>0</v>
      </c>
      <c r="Z1158" s="65">
        <v>0</v>
      </c>
      <c r="AA1158" s="51">
        <v>0</v>
      </c>
      <c r="AB1158" s="102">
        <v>0</v>
      </c>
      <c r="AC1158" s="81">
        <f t="shared" si="57"/>
        <v>39.311551970891564</v>
      </c>
      <c r="AD1158" s="82">
        <f t="shared" si="58"/>
        <v>94.228571428571414</v>
      </c>
      <c r="AE1158" s="218">
        <v>-1.0426449902869949E-3</v>
      </c>
      <c r="AF1158">
        <v>3</v>
      </c>
      <c r="AH1158" t="str">
        <f t="shared" si="56"/>
        <v>Gopalpur Bmc</v>
      </c>
      <c r="AJ1158" s="72">
        <v>0</v>
      </c>
      <c r="AK1158" s="72"/>
      <c r="AL1158" s="72"/>
      <c r="AM1158" s="72"/>
    </row>
    <row r="1159" spans="1:39" x14ac:dyDescent="0.25">
      <c r="A1159" s="37" t="s">
        <v>62</v>
      </c>
      <c r="B1159" s="66" t="s">
        <v>1638</v>
      </c>
      <c r="C1159" s="47">
        <v>1006</v>
      </c>
      <c r="D1159" s="47" t="s">
        <v>179</v>
      </c>
      <c r="E1159" s="41">
        <v>10060096</v>
      </c>
      <c r="F1159" s="46" t="s">
        <v>521</v>
      </c>
      <c r="G1159" s="39" t="s">
        <v>1610</v>
      </c>
      <c r="H1159" s="48" t="s">
        <v>98</v>
      </c>
      <c r="I1159" s="52">
        <v>1107.4999999999998</v>
      </c>
      <c r="J1159" s="49">
        <v>43506.02</v>
      </c>
      <c r="K1159" s="65">
        <v>0</v>
      </c>
      <c r="L1159" s="65">
        <v>0</v>
      </c>
      <c r="M1159" s="65">
        <v>0</v>
      </c>
      <c r="N1159" s="65">
        <v>0</v>
      </c>
      <c r="O1159" s="65">
        <v>0</v>
      </c>
      <c r="P1159" s="65">
        <v>0</v>
      </c>
      <c r="Q1159" s="50">
        <v>43506.02</v>
      </c>
      <c r="R1159" s="65">
        <v>0</v>
      </c>
      <c r="S1159" s="65">
        <v>0</v>
      </c>
      <c r="T1159" s="65">
        <v>0</v>
      </c>
      <c r="U1159" s="65">
        <v>0</v>
      </c>
      <c r="V1159" s="65">
        <v>0</v>
      </c>
      <c r="W1159" s="65">
        <v>0</v>
      </c>
      <c r="X1159" s="65">
        <v>0</v>
      </c>
      <c r="Y1159" s="65">
        <v>0</v>
      </c>
      <c r="Z1159" s="65">
        <v>43506.02</v>
      </c>
      <c r="AA1159" s="51">
        <v>0</v>
      </c>
      <c r="AB1159" s="102">
        <v>0</v>
      </c>
      <c r="AC1159" s="81">
        <f t="shared" si="57"/>
        <v>0</v>
      </c>
      <c r="AD1159" s="82">
        <f t="shared" si="58"/>
        <v>0</v>
      </c>
      <c r="AE1159" s="218">
        <v>0</v>
      </c>
      <c r="AF1159">
        <v>0</v>
      </c>
      <c r="AH1159" t="str">
        <f t="shared" si="56"/>
        <v>Sonvarsha</v>
      </c>
      <c r="AJ1159" s="72">
        <v>0</v>
      </c>
      <c r="AK1159" s="72"/>
      <c r="AL1159" s="72"/>
      <c r="AM1159" s="72"/>
    </row>
    <row r="1160" spans="1:39" x14ac:dyDescent="0.25">
      <c r="A1160" s="37" t="s">
        <v>62</v>
      </c>
      <c r="B1160" s="66" t="s">
        <v>1638</v>
      </c>
      <c r="C1160" s="47">
        <v>1006</v>
      </c>
      <c r="D1160" s="47" t="s">
        <v>179</v>
      </c>
      <c r="E1160" s="41">
        <v>10060097</v>
      </c>
      <c r="F1160" s="46" t="s">
        <v>556</v>
      </c>
      <c r="G1160" s="39" t="s">
        <v>1610</v>
      </c>
      <c r="H1160" s="48" t="s">
        <v>98</v>
      </c>
      <c r="I1160" s="52">
        <v>1312.7999999999997</v>
      </c>
      <c r="J1160" s="49">
        <v>53514.18</v>
      </c>
      <c r="K1160" s="65">
        <v>0</v>
      </c>
      <c r="L1160" s="65">
        <v>0</v>
      </c>
      <c r="M1160" s="65">
        <v>0</v>
      </c>
      <c r="N1160" s="65">
        <v>0</v>
      </c>
      <c r="O1160" s="65">
        <v>0</v>
      </c>
      <c r="P1160" s="65">
        <v>0</v>
      </c>
      <c r="Q1160" s="50">
        <v>53514.18</v>
      </c>
      <c r="R1160" s="65">
        <v>0</v>
      </c>
      <c r="S1160" s="65">
        <v>0</v>
      </c>
      <c r="T1160" s="65">
        <v>0</v>
      </c>
      <c r="U1160" s="65">
        <v>0</v>
      </c>
      <c r="V1160" s="65">
        <v>0</v>
      </c>
      <c r="W1160" s="65">
        <v>0</v>
      </c>
      <c r="X1160" s="65">
        <v>0</v>
      </c>
      <c r="Y1160" s="65">
        <v>0</v>
      </c>
      <c r="Z1160" s="65">
        <v>53514.18</v>
      </c>
      <c r="AA1160" s="51">
        <v>0</v>
      </c>
      <c r="AB1160" s="102">
        <v>0</v>
      </c>
      <c r="AC1160" s="81">
        <f t="shared" si="57"/>
        <v>0</v>
      </c>
      <c r="AD1160" s="82">
        <f t="shared" si="58"/>
        <v>0</v>
      </c>
      <c r="AE1160" s="218">
        <v>0</v>
      </c>
      <c r="AF1160">
        <v>0</v>
      </c>
      <c r="AH1160" t="str">
        <f t="shared" si="56"/>
        <v>Sonvarsha</v>
      </c>
      <c r="AJ1160" s="72">
        <v>0</v>
      </c>
      <c r="AK1160" s="72"/>
      <c r="AL1160" s="72"/>
      <c r="AM1160" s="72"/>
    </row>
    <row r="1161" spans="1:39" x14ac:dyDescent="0.25">
      <c r="A1161" s="37" t="s">
        <v>62</v>
      </c>
      <c r="B1161" s="66" t="s">
        <v>1638</v>
      </c>
      <c r="C1161" s="47">
        <v>1006</v>
      </c>
      <c r="D1161" s="47" t="s">
        <v>179</v>
      </c>
      <c r="E1161" s="41">
        <v>10060098</v>
      </c>
      <c r="F1161" s="46" t="s">
        <v>645</v>
      </c>
      <c r="G1161" s="39" t="s">
        <v>92</v>
      </c>
      <c r="H1161" s="48" t="s">
        <v>93</v>
      </c>
      <c r="I1161" s="52">
        <v>1439.1</v>
      </c>
      <c r="J1161" s="49">
        <v>68412.75</v>
      </c>
      <c r="K1161" s="65">
        <v>1052.9599999999998</v>
      </c>
      <c r="L1161" s="65">
        <v>52358.04</v>
      </c>
      <c r="M1161" s="65">
        <v>403.41</v>
      </c>
      <c r="N1161" s="65">
        <v>16619.25</v>
      </c>
      <c r="O1161" s="65">
        <v>1456.37</v>
      </c>
      <c r="P1161" s="65">
        <v>68977.290000000008</v>
      </c>
      <c r="Q1161" s="50">
        <v>68412.75</v>
      </c>
      <c r="R1161" s="65">
        <v>0</v>
      </c>
      <c r="S1161" s="65">
        <v>438.97000000000008</v>
      </c>
      <c r="T1161" s="65">
        <v>564.54000000000815</v>
      </c>
      <c r="U1161" s="65">
        <v>2700</v>
      </c>
      <c r="V1161" s="65">
        <v>0</v>
      </c>
      <c r="W1161" s="65">
        <v>0</v>
      </c>
      <c r="X1161" s="65">
        <v>51794</v>
      </c>
      <c r="Y1161" s="65">
        <v>13480</v>
      </c>
      <c r="Z1161" s="65">
        <v>0</v>
      </c>
      <c r="AA1161" s="51">
        <v>0</v>
      </c>
      <c r="AB1161" s="102" t="s">
        <v>68</v>
      </c>
      <c r="AC1161" s="81">
        <f t="shared" si="57"/>
        <v>0</v>
      </c>
      <c r="AD1161" s="82">
        <f t="shared" si="58"/>
        <v>0</v>
      </c>
      <c r="AE1161" s="218">
        <v>-8.251970575660357E-3</v>
      </c>
      <c r="AF1161">
        <v>18</v>
      </c>
      <c r="AH1161" t="str">
        <f t="shared" si="56"/>
        <v>Sonvarsha</v>
      </c>
      <c r="AJ1161" s="72">
        <v>0</v>
      </c>
      <c r="AK1161" s="72"/>
      <c r="AL1161" s="72"/>
      <c r="AM1161" s="72"/>
    </row>
    <row r="1162" spans="1:39" x14ac:dyDescent="0.25">
      <c r="A1162" s="37" t="s">
        <v>62</v>
      </c>
      <c r="B1162" s="66" t="s">
        <v>1638</v>
      </c>
      <c r="C1162" s="47">
        <v>1006</v>
      </c>
      <c r="D1162" s="47" t="s">
        <v>179</v>
      </c>
      <c r="E1162" s="41">
        <v>10060104</v>
      </c>
      <c r="F1162" s="46" t="s">
        <v>650</v>
      </c>
      <c r="G1162" s="39" t="s">
        <v>1610</v>
      </c>
      <c r="H1162" s="48" t="s">
        <v>98</v>
      </c>
      <c r="I1162" s="52">
        <v>1569.6</v>
      </c>
      <c r="J1162" s="49">
        <v>56422.23</v>
      </c>
      <c r="K1162" s="65">
        <v>0</v>
      </c>
      <c r="L1162" s="65">
        <v>0</v>
      </c>
      <c r="M1162" s="65">
        <v>0</v>
      </c>
      <c r="N1162" s="65">
        <v>0</v>
      </c>
      <c r="O1162" s="65">
        <v>0</v>
      </c>
      <c r="P1162" s="65">
        <v>0</v>
      </c>
      <c r="Q1162" s="50">
        <v>56422.23</v>
      </c>
      <c r="R1162" s="65">
        <v>0</v>
      </c>
      <c r="S1162" s="65">
        <v>0</v>
      </c>
      <c r="T1162" s="65">
        <v>0</v>
      </c>
      <c r="U1162" s="65">
        <v>0</v>
      </c>
      <c r="V1162" s="65">
        <v>0</v>
      </c>
      <c r="W1162" s="65">
        <v>0</v>
      </c>
      <c r="X1162" s="65">
        <v>0</v>
      </c>
      <c r="Y1162" s="65">
        <v>0</v>
      </c>
      <c r="Z1162" s="65">
        <v>56422.23</v>
      </c>
      <c r="AA1162" s="51">
        <v>0</v>
      </c>
      <c r="AB1162" s="102">
        <v>0</v>
      </c>
      <c r="AC1162" s="81">
        <f t="shared" si="57"/>
        <v>0</v>
      </c>
      <c r="AD1162" s="82">
        <f t="shared" si="58"/>
        <v>0</v>
      </c>
      <c r="AE1162" s="218">
        <v>0</v>
      </c>
      <c r="AF1162">
        <v>0</v>
      </c>
      <c r="AH1162" t="str">
        <f t="shared" si="56"/>
        <v>Sonvarsha</v>
      </c>
      <c r="AJ1162" s="72">
        <v>0</v>
      </c>
      <c r="AK1162" s="72"/>
      <c r="AL1162" s="72"/>
      <c r="AM1162" s="72"/>
    </row>
    <row r="1163" spans="1:39" x14ac:dyDescent="0.25">
      <c r="A1163" s="37" t="s">
        <v>62</v>
      </c>
      <c r="B1163" s="66" t="s">
        <v>1638</v>
      </c>
      <c r="C1163" s="47">
        <v>1006</v>
      </c>
      <c r="D1163" s="47" t="s">
        <v>179</v>
      </c>
      <c r="E1163" s="41">
        <v>10060106</v>
      </c>
      <c r="F1163" s="46" t="s">
        <v>678</v>
      </c>
      <c r="G1163" s="39" t="s">
        <v>92</v>
      </c>
      <c r="H1163" s="48" t="s">
        <v>93</v>
      </c>
      <c r="I1163" s="52">
        <v>716.49999999999989</v>
      </c>
      <c r="J1163" s="49">
        <v>36191.89</v>
      </c>
      <c r="K1163" s="65">
        <v>706.84</v>
      </c>
      <c r="L1163" s="65">
        <v>37210.880000000012</v>
      </c>
      <c r="M1163" s="65">
        <v>8.2099999999999991</v>
      </c>
      <c r="N1163" s="65">
        <v>361.62000000000006</v>
      </c>
      <c r="O1163" s="65">
        <v>715.05000000000007</v>
      </c>
      <c r="P1163" s="65">
        <v>37572.500000000015</v>
      </c>
      <c r="Q1163" s="50">
        <v>36191.89</v>
      </c>
      <c r="R1163" s="65">
        <v>0</v>
      </c>
      <c r="S1163" s="65">
        <v>361.62000000000006</v>
      </c>
      <c r="T1163" s="65">
        <v>1380.6100000000151</v>
      </c>
      <c r="U1163" s="65">
        <v>0</v>
      </c>
      <c r="V1163" s="65">
        <v>0</v>
      </c>
      <c r="W1163" s="65">
        <v>0</v>
      </c>
      <c r="X1163" s="65">
        <v>35830</v>
      </c>
      <c r="Y1163" s="65">
        <v>0</v>
      </c>
      <c r="Z1163" s="65">
        <v>0</v>
      </c>
      <c r="AA1163" s="51">
        <v>0</v>
      </c>
      <c r="AB1163" s="102">
        <v>0</v>
      </c>
      <c r="AC1163" s="81">
        <f t="shared" si="57"/>
        <v>0</v>
      </c>
      <c r="AD1163" s="82">
        <f t="shared" si="58"/>
        <v>0</v>
      </c>
      <c r="AE1163" s="218">
        <v>-3.8146943970044533E-2</v>
      </c>
      <c r="AF1163">
        <v>11</v>
      </c>
      <c r="AH1163" t="str">
        <f t="shared" si="56"/>
        <v>Sonvarsha</v>
      </c>
      <c r="AJ1163" s="72">
        <v>0</v>
      </c>
      <c r="AK1163" s="72"/>
      <c r="AL1163" s="72"/>
      <c r="AM1163" s="72"/>
    </row>
    <row r="1164" spans="1:39" x14ac:dyDescent="0.25">
      <c r="A1164" s="37" t="s">
        <v>62</v>
      </c>
      <c r="B1164" s="66" t="s">
        <v>1638</v>
      </c>
      <c r="C1164" s="47">
        <v>1006</v>
      </c>
      <c r="D1164" s="47" t="s">
        <v>179</v>
      </c>
      <c r="E1164" s="41">
        <v>10060107</v>
      </c>
      <c r="F1164" s="46" t="s">
        <v>642</v>
      </c>
      <c r="G1164" s="39" t="s">
        <v>1610</v>
      </c>
      <c r="H1164" s="48" t="s">
        <v>98</v>
      </c>
      <c r="I1164" s="52">
        <v>1073.8</v>
      </c>
      <c r="J1164" s="49">
        <v>43373.729999999996</v>
      </c>
      <c r="K1164" s="65">
        <v>0</v>
      </c>
      <c r="L1164" s="65">
        <v>0</v>
      </c>
      <c r="M1164" s="65">
        <v>0</v>
      </c>
      <c r="N1164" s="65">
        <v>0</v>
      </c>
      <c r="O1164" s="65">
        <v>0</v>
      </c>
      <c r="P1164" s="65">
        <v>0</v>
      </c>
      <c r="Q1164" s="50">
        <v>43373.729999999996</v>
      </c>
      <c r="R1164" s="65">
        <v>0</v>
      </c>
      <c r="S1164" s="65">
        <v>0</v>
      </c>
      <c r="T1164" s="65">
        <v>0</v>
      </c>
      <c r="U1164" s="65">
        <v>0</v>
      </c>
      <c r="V1164" s="65">
        <v>0</v>
      </c>
      <c r="W1164" s="65">
        <v>0</v>
      </c>
      <c r="X1164" s="65">
        <v>0</v>
      </c>
      <c r="Y1164" s="65">
        <v>0</v>
      </c>
      <c r="Z1164" s="65">
        <v>43373.729999999996</v>
      </c>
      <c r="AA1164" s="51">
        <v>0</v>
      </c>
      <c r="AB1164" s="102">
        <v>0</v>
      </c>
      <c r="AC1164" s="81">
        <f t="shared" si="57"/>
        <v>0</v>
      </c>
      <c r="AD1164" s="82">
        <f t="shared" si="58"/>
        <v>0</v>
      </c>
      <c r="AE1164" s="218">
        <v>0</v>
      </c>
      <c r="AF1164">
        <v>0</v>
      </c>
      <c r="AH1164" t="str">
        <f t="shared" si="56"/>
        <v>Sonvarsha</v>
      </c>
      <c r="AJ1164" s="72">
        <v>0</v>
      </c>
      <c r="AK1164" s="72"/>
      <c r="AL1164" s="72"/>
      <c r="AM1164" s="72"/>
    </row>
    <row r="1165" spans="1:39" x14ac:dyDescent="0.25">
      <c r="A1165" s="37" t="s">
        <v>62</v>
      </c>
      <c r="B1165" s="66" t="s">
        <v>1638</v>
      </c>
      <c r="C1165" s="47">
        <v>1006</v>
      </c>
      <c r="D1165" s="47" t="s">
        <v>179</v>
      </c>
      <c r="E1165" s="41">
        <v>10060110</v>
      </c>
      <c r="F1165" s="46" t="s">
        <v>823</v>
      </c>
      <c r="G1165" s="39" t="s">
        <v>92</v>
      </c>
      <c r="H1165" s="48" t="s">
        <v>93</v>
      </c>
      <c r="I1165" s="52">
        <v>486.5</v>
      </c>
      <c r="J1165" s="49">
        <v>20480.000000000004</v>
      </c>
      <c r="K1165" s="65">
        <v>436.10000000000008</v>
      </c>
      <c r="L1165" s="65">
        <v>18282.73</v>
      </c>
      <c r="M1165" s="65">
        <v>42.099999999999994</v>
      </c>
      <c r="N1165" s="65">
        <v>1760.28</v>
      </c>
      <c r="O1165" s="65">
        <v>478.20000000000005</v>
      </c>
      <c r="P1165" s="65">
        <v>20043.009999999998</v>
      </c>
      <c r="Q1165" s="50">
        <v>20043.009999999998</v>
      </c>
      <c r="R1165" s="65">
        <v>0</v>
      </c>
      <c r="S1165" s="65">
        <v>12.26</v>
      </c>
      <c r="T1165" s="65">
        <v>0</v>
      </c>
      <c r="U1165" s="65">
        <v>0</v>
      </c>
      <c r="V1165" s="65">
        <v>500</v>
      </c>
      <c r="W1165" s="65">
        <v>0</v>
      </c>
      <c r="X1165" s="65">
        <v>17783</v>
      </c>
      <c r="Y1165" s="65">
        <v>1748</v>
      </c>
      <c r="Z1165" s="65">
        <v>0</v>
      </c>
      <c r="AA1165" s="51">
        <v>437</v>
      </c>
      <c r="AB1165" s="102">
        <v>0</v>
      </c>
      <c r="AC1165" s="81">
        <f t="shared" si="57"/>
        <v>179.75251798561152</v>
      </c>
      <c r="AD1165" s="82">
        <f t="shared" si="58"/>
        <v>69.5</v>
      </c>
      <c r="AE1165" s="218">
        <v>2.1337402343750252E-2</v>
      </c>
      <c r="AF1165">
        <v>3</v>
      </c>
      <c r="AH1165" t="str">
        <f t="shared" si="56"/>
        <v>Sonvarsha</v>
      </c>
      <c r="AJ1165" s="72">
        <v>500</v>
      </c>
      <c r="AK1165" s="72"/>
      <c r="AL1165" s="72"/>
      <c r="AM1165" s="72"/>
    </row>
    <row r="1166" spans="1:39" x14ac:dyDescent="0.25">
      <c r="A1166" s="37" t="s">
        <v>62</v>
      </c>
      <c r="B1166" s="66" t="s">
        <v>1638</v>
      </c>
      <c r="C1166" s="47">
        <v>1006</v>
      </c>
      <c r="D1166" s="47" t="s">
        <v>179</v>
      </c>
      <c r="E1166" s="41">
        <v>10060111</v>
      </c>
      <c r="F1166" s="46" t="s">
        <v>824</v>
      </c>
      <c r="G1166" s="39" t="s">
        <v>92</v>
      </c>
      <c r="H1166" s="48" t="s">
        <v>93</v>
      </c>
      <c r="I1166" s="52">
        <v>457.5</v>
      </c>
      <c r="J1166" s="49">
        <v>19915.64</v>
      </c>
      <c r="K1166" s="65">
        <v>441.51000000000005</v>
      </c>
      <c r="L1166" s="65">
        <v>20108.659999999996</v>
      </c>
      <c r="M1166" s="65">
        <v>0</v>
      </c>
      <c r="N1166" s="65">
        <v>0</v>
      </c>
      <c r="O1166" s="65">
        <v>441.51000000000005</v>
      </c>
      <c r="P1166" s="65">
        <v>20108.659999999996</v>
      </c>
      <c r="Q1166" s="50">
        <v>19915.64</v>
      </c>
      <c r="R1166" s="65">
        <v>0</v>
      </c>
      <c r="S1166" s="65">
        <v>0</v>
      </c>
      <c r="T1166" s="65">
        <v>193.0199999999968</v>
      </c>
      <c r="U1166" s="65">
        <v>0</v>
      </c>
      <c r="V1166" s="65">
        <v>0</v>
      </c>
      <c r="W1166" s="65">
        <v>0</v>
      </c>
      <c r="X1166" s="65">
        <v>19916</v>
      </c>
      <c r="Y1166" s="65">
        <v>0</v>
      </c>
      <c r="Z1166" s="65">
        <v>0</v>
      </c>
      <c r="AA1166" s="51">
        <v>0</v>
      </c>
      <c r="AB1166" s="102" t="s">
        <v>1366</v>
      </c>
      <c r="AC1166" s="81">
        <f t="shared" si="57"/>
        <v>211.12754972677595</v>
      </c>
      <c r="AD1166" s="82">
        <f t="shared" si="58"/>
        <v>65.357142857142861</v>
      </c>
      <c r="AE1166" s="218">
        <v>-9.6918803513217147E-3</v>
      </c>
      <c r="AF1166">
        <v>2</v>
      </c>
      <c r="AH1166" t="str">
        <f t="shared" si="56"/>
        <v>Sonvarsha</v>
      </c>
      <c r="AJ1166" s="72">
        <v>0</v>
      </c>
      <c r="AK1166" s="72"/>
      <c r="AL1166" s="72"/>
      <c r="AM1166" s="72"/>
    </row>
    <row r="1167" spans="1:39" x14ac:dyDescent="0.25">
      <c r="A1167" s="37" t="s">
        <v>62</v>
      </c>
      <c r="B1167" s="66" t="s">
        <v>1638</v>
      </c>
      <c r="C1167" s="47">
        <v>1006</v>
      </c>
      <c r="D1167" s="47" t="s">
        <v>179</v>
      </c>
      <c r="E1167" s="41">
        <v>10060113</v>
      </c>
      <c r="F1167" s="46" t="s">
        <v>825</v>
      </c>
      <c r="G1167" s="39" t="s">
        <v>1610</v>
      </c>
      <c r="H1167" s="48" t="s">
        <v>98</v>
      </c>
      <c r="I1167" s="52">
        <v>906.5</v>
      </c>
      <c r="J1167" s="49">
        <v>36661.65</v>
      </c>
      <c r="K1167" s="65">
        <v>0</v>
      </c>
      <c r="L1167" s="65">
        <v>0</v>
      </c>
      <c r="M1167" s="65">
        <v>0</v>
      </c>
      <c r="N1167" s="65">
        <v>0</v>
      </c>
      <c r="O1167" s="65">
        <v>0</v>
      </c>
      <c r="P1167" s="65">
        <v>0</v>
      </c>
      <c r="Q1167" s="50">
        <v>36661.65</v>
      </c>
      <c r="R1167" s="65">
        <v>0</v>
      </c>
      <c r="S1167" s="65">
        <v>0</v>
      </c>
      <c r="T1167" s="65">
        <v>0</v>
      </c>
      <c r="U1167" s="65">
        <v>0</v>
      </c>
      <c r="V1167" s="65">
        <v>0</v>
      </c>
      <c r="W1167" s="65">
        <v>0</v>
      </c>
      <c r="X1167" s="65">
        <v>0</v>
      </c>
      <c r="Y1167" s="65">
        <v>0</v>
      </c>
      <c r="Z1167" s="65">
        <v>36661.65</v>
      </c>
      <c r="AA1167" s="51">
        <v>0</v>
      </c>
      <c r="AB1167" s="102">
        <v>0</v>
      </c>
      <c r="AC1167" s="81">
        <f t="shared" si="57"/>
        <v>0</v>
      </c>
      <c r="AD1167" s="82">
        <f t="shared" si="58"/>
        <v>0</v>
      </c>
      <c r="AE1167" s="218">
        <v>0</v>
      </c>
      <c r="AF1167">
        <v>0</v>
      </c>
      <c r="AH1167" t="str">
        <f t="shared" si="56"/>
        <v>Sonvarsha</v>
      </c>
      <c r="AJ1167" s="72">
        <v>0</v>
      </c>
      <c r="AK1167" s="72"/>
      <c r="AL1167" s="72"/>
      <c r="AM1167" s="72"/>
    </row>
    <row r="1168" spans="1:39" x14ac:dyDescent="0.25">
      <c r="A1168" s="37" t="s">
        <v>62</v>
      </c>
      <c r="B1168" s="66" t="s">
        <v>1638</v>
      </c>
      <c r="C1168" s="47">
        <v>1006</v>
      </c>
      <c r="D1168" s="47" t="s">
        <v>179</v>
      </c>
      <c r="E1168" s="41">
        <v>10060114</v>
      </c>
      <c r="F1168" s="46" t="s">
        <v>1106</v>
      </c>
      <c r="G1168" s="39" t="s">
        <v>92</v>
      </c>
      <c r="H1168" s="48" t="s">
        <v>93</v>
      </c>
      <c r="I1168" s="52">
        <v>313.89999999999998</v>
      </c>
      <c r="J1168" s="49">
        <v>14192.88</v>
      </c>
      <c r="K1168" s="65">
        <v>313.89999999999992</v>
      </c>
      <c r="L1168" s="65">
        <v>14192.89</v>
      </c>
      <c r="M1168" s="65">
        <v>0</v>
      </c>
      <c r="N1168" s="65">
        <v>0</v>
      </c>
      <c r="O1168" s="65">
        <v>313.89999999999992</v>
      </c>
      <c r="P1168" s="65">
        <v>14192.89</v>
      </c>
      <c r="Q1168" s="50">
        <v>14192.88</v>
      </c>
      <c r="R1168" s="65">
        <v>0</v>
      </c>
      <c r="S1168" s="65">
        <v>0</v>
      </c>
      <c r="T1168" s="65">
        <v>1.0000000000218279E-2</v>
      </c>
      <c r="U1168" s="65">
        <v>0</v>
      </c>
      <c r="V1168" s="65">
        <v>0</v>
      </c>
      <c r="W1168" s="65">
        <v>0</v>
      </c>
      <c r="X1168" s="65">
        <v>14193</v>
      </c>
      <c r="Y1168" s="65">
        <v>0</v>
      </c>
      <c r="Z1168" s="65">
        <v>0</v>
      </c>
      <c r="AA1168" s="51">
        <v>0</v>
      </c>
      <c r="AB1168" s="102">
        <v>0</v>
      </c>
      <c r="AC1168" s="81">
        <f t="shared" si="57"/>
        <v>349.14756087926094</v>
      </c>
      <c r="AD1168" s="82">
        <f t="shared" si="58"/>
        <v>44.842857142857142</v>
      </c>
      <c r="AE1168" s="218">
        <v>-7.0457863380922541E-7</v>
      </c>
      <c r="AF1168">
        <v>1</v>
      </c>
      <c r="AH1168" t="str">
        <f t="shared" si="56"/>
        <v>Sonvarsha</v>
      </c>
      <c r="AJ1168" s="72">
        <v>0</v>
      </c>
      <c r="AK1168" s="72"/>
      <c r="AL1168" s="72"/>
      <c r="AM1168" s="72"/>
    </row>
    <row r="1169" spans="1:39" x14ac:dyDescent="0.25">
      <c r="A1169" s="37" t="s">
        <v>62</v>
      </c>
      <c r="B1169" s="66" t="s">
        <v>1638</v>
      </c>
      <c r="C1169" s="47">
        <v>1006</v>
      </c>
      <c r="D1169" s="47" t="s">
        <v>179</v>
      </c>
      <c r="E1169" s="41">
        <v>10060115</v>
      </c>
      <c r="F1169" s="46" t="s">
        <v>1536</v>
      </c>
      <c r="G1169" s="39" t="s">
        <v>92</v>
      </c>
      <c r="H1169" s="48" t="s">
        <v>93</v>
      </c>
      <c r="I1169" s="52">
        <v>545.69999999999993</v>
      </c>
      <c r="J1169" s="49">
        <v>28442.339999999997</v>
      </c>
      <c r="K1169" s="65">
        <v>588.68000000000006</v>
      </c>
      <c r="L1169" s="65">
        <v>30838.190000000002</v>
      </c>
      <c r="M1169" s="65">
        <v>0</v>
      </c>
      <c r="N1169" s="65">
        <v>0</v>
      </c>
      <c r="O1169" s="65">
        <v>588.68000000000006</v>
      </c>
      <c r="P1169" s="65">
        <v>30838.190000000002</v>
      </c>
      <c r="Q1169" s="50">
        <v>28442.339999999997</v>
      </c>
      <c r="R1169" s="65">
        <v>0</v>
      </c>
      <c r="S1169" s="65">
        <v>0</v>
      </c>
      <c r="T1169" s="65">
        <v>2395.8500000000058</v>
      </c>
      <c r="U1169" s="65">
        <v>0</v>
      </c>
      <c r="V1169" s="65">
        <v>500</v>
      </c>
      <c r="W1169" s="65">
        <v>0</v>
      </c>
      <c r="X1169" s="65">
        <v>27942</v>
      </c>
      <c r="Y1169" s="65">
        <v>0</v>
      </c>
      <c r="Z1169" s="65">
        <v>0</v>
      </c>
      <c r="AA1169" s="51">
        <v>0</v>
      </c>
      <c r="AB1169" s="102">
        <v>0</v>
      </c>
      <c r="AC1169" s="81">
        <f t="shared" si="57"/>
        <v>160.84489873556913</v>
      </c>
      <c r="AD1169" s="82">
        <f t="shared" si="58"/>
        <v>77.957142857142841</v>
      </c>
      <c r="AE1169" s="218">
        <v>-8.4235333661014045E-2</v>
      </c>
      <c r="AF1169">
        <v>3</v>
      </c>
      <c r="AH1169" t="str">
        <f t="shared" si="56"/>
        <v>Sonvarsha</v>
      </c>
      <c r="AJ1169" s="72">
        <v>500</v>
      </c>
      <c r="AK1169" s="72"/>
      <c r="AL1169" s="72"/>
      <c r="AM1169" s="72"/>
    </row>
    <row r="1170" spans="1:39" x14ac:dyDescent="0.25">
      <c r="A1170" s="37" t="s">
        <v>62</v>
      </c>
      <c r="B1170" s="66" t="s">
        <v>1638</v>
      </c>
      <c r="C1170" s="47">
        <v>1006</v>
      </c>
      <c r="D1170" s="47" t="s">
        <v>179</v>
      </c>
      <c r="E1170" s="41">
        <v>10060116</v>
      </c>
      <c r="F1170" s="46" t="s">
        <v>1163</v>
      </c>
      <c r="G1170" s="39" t="s">
        <v>92</v>
      </c>
      <c r="H1170" s="48" t="s">
        <v>93</v>
      </c>
      <c r="I1170" s="52">
        <v>122</v>
      </c>
      <c r="J1170" s="49">
        <v>4559.6200000000008</v>
      </c>
      <c r="K1170" s="65">
        <v>121.60000000000001</v>
      </c>
      <c r="L1170" s="65">
        <v>4669.67</v>
      </c>
      <c r="M1170" s="65">
        <v>1.4</v>
      </c>
      <c r="N1170" s="65">
        <v>55.59</v>
      </c>
      <c r="O1170" s="65">
        <v>123.00000000000001</v>
      </c>
      <c r="P1170" s="65">
        <v>4725.26</v>
      </c>
      <c r="Q1170" s="50">
        <v>4559.6200000000008</v>
      </c>
      <c r="R1170" s="65">
        <v>0</v>
      </c>
      <c r="S1170" s="65">
        <v>55.59</v>
      </c>
      <c r="T1170" s="65">
        <v>165.63999999999942</v>
      </c>
      <c r="U1170" s="65">
        <v>0</v>
      </c>
      <c r="V1170" s="65">
        <v>0</v>
      </c>
      <c r="W1170" s="65">
        <v>0</v>
      </c>
      <c r="X1170" s="65">
        <v>4504</v>
      </c>
      <c r="Y1170" s="65">
        <v>0</v>
      </c>
      <c r="Z1170" s="65">
        <v>0</v>
      </c>
      <c r="AA1170" s="51">
        <v>0</v>
      </c>
      <c r="AB1170" s="102">
        <v>0</v>
      </c>
      <c r="AC1170" s="81">
        <f t="shared" si="57"/>
        <v>432.04268196721324</v>
      </c>
      <c r="AD1170" s="82">
        <f t="shared" si="58"/>
        <v>17.428571428571427</v>
      </c>
      <c r="AE1170" s="218">
        <v>-3.6327588702567186E-2</v>
      </c>
      <c r="AF1170">
        <v>2</v>
      </c>
      <c r="AH1170" t="str">
        <f t="shared" si="56"/>
        <v>Sonvarsha</v>
      </c>
      <c r="AJ1170" s="72">
        <v>0</v>
      </c>
      <c r="AK1170" s="72"/>
      <c r="AL1170" s="72"/>
      <c r="AM1170" s="72"/>
    </row>
    <row r="1171" spans="1:39" x14ac:dyDescent="0.25">
      <c r="A1171" s="37" t="s">
        <v>62</v>
      </c>
      <c r="B1171" s="66" t="s">
        <v>1638</v>
      </c>
      <c r="C1171" s="47">
        <v>1006</v>
      </c>
      <c r="D1171" s="47" t="s">
        <v>179</v>
      </c>
      <c r="E1171" s="41">
        <v>10060118</v>
      </c>
      <c r="F1171" s="46" t="s">
        <v>1167</v>
      </c>
      <c r="G1171" s="39" t="s">
        <v>92</v>
      </c>
      <c r="H1171" s="48" t="s">
        <v>93</v>
      </c>
      <c r="I1171" s="52">
        <v>147</v>
      </c>
      <c r="J1171" s="49">
        <v>9057.380000000001</v>
      </c>
      <c r="K1171" s="65">
        <v>26.740000000000002</v>
      </c>
      <c r="L1171" s="65">
        <v>1451.75</v>
      </c>
      <c r="M1171" s="65">
        <v>140.94</v>
      </c>
      <c r="N1171" s="65">
        <v>9356.34</v>
      </c>
      <c r="O1171" s="65">
        <v>167.68</v>
      </c>
      <c r="P1171" s="65">
        <v>10808.09</v>
      </c>
      <c r="Q1171" s="50">
        <v>9057.380000000001</v>
      </c>
      <c r="R1171" s="65">
        <v>0</v>
      </c>
      <c r="S1171" s="65">
        <v>0</v>
      </c>
      <c r="T1171" s="65">
        <v>1750.7099999999991</v>
      </c>
      <c r="U1171" s="65">
        <v>0</v>
      </c>
      <c r="V1171" s="65">
        <v>0</v>
      </c>
      <c r="W1171" s="65">
        <v>0</v>
      </c>
      <c r="X1171" s="65">
        <v>0</v>
      </c>
      <c r="Y1171" s="65">
        <v>9057</v>
      </c>
      <c r="Z1171" s="65">
        <v>0</v>
      </c>
      <c r="AA1171" s="51">
        <v>0</v>
      </c>
      <c r="AB1171" s="102" t="s">
        <v>1366</v>
      </c>
      <c r="AC1171" s="81">
        <f t="shared" si="57"/>
        <v>681.4600190476192</v>
      </c>
      <c r="AD1171" s="82">
        <f t="shared" si="58"/>
        <v>21</v>
      </c>
      <c r="AE1171" s="218">
        <v>-0.19329099585089715</v>
      </c>
      <c r="AF1171">
        <v>5</v>
      </c>
      <c r="AH1171" t="str">
        <f t="shared" si="56"/>
        <v>Sonvarsha</v>
      </c>
      <c r="AJ1171" s="72">
        <v>0</v>
      </c>
      <c r="AK1171" s="72"/>
      <c r="AL1171" s="72"/>
      <c r="AM1171" s="72"/>
    </row>
    <row r="1172" spans="1:39" x14ac:dyDescent="0.25">
      <c r="A1172" s="37" t="s">
        <v>62</v>
      </c>
      <c r="B1172" s="66" t="s">
        <v>1638</v>
      </c>
      <c r="C1172" s="47">
        <v>1006</v>
      </c>
      <c r="D1172" s="47" t="s">
        <v>179</v>
      </c>
      <c r="E1172" s="41">
        <v>10060122</v>
      </c>
      <c r="F1172" s="46" t="s">
        <v>1186</v>
      </c>
      <c r="G1172" s="39" t="s">
        <v>1610</v>
      </c>
      <c r="H1172" s="48" t="s">
        <v>98</v>
      </c>
      <c r="I1172" s="52">
        <v>64.8</v>
      </c>
      <c r="J1172" s="49">
        <v>2521.2799999999997</v>
      </c>
      <c r="K1172" s="65">
        <v>0</v>
      </c>
      <c r="L1172" s="65">
        <v>0</v>
      </c>
      <c r="M1172" s="65">
        <v>0</v>
      </c>
      <c r="N1172" s="65">
        <v>0</v>
      </c>
      <c r="O1172" s="65">
        <v>0</v>
      </c>
      <c r="P1172" s="65">
        <v>0</v>
      </c>
      <c r="Q1172" s="50">
        <v>2521.2799999999997</v>
      </c>
      <c r="R1172" s="65">
        <v>0</v>
      </c>
      <c r="S1172" s="65">
        <v>0</v>
      </c>
      <c r="T1172" s="65">
        <v>0</v>
      </c>
      <c r="U1172" s="65">
        <v>0</v>
      </c>
      <c r="V1172" s="65">
        <v>0</v>
      </c>
      <c r="W1172" s="65">
        <v>0</v>
      </c>
      <c r="X1172" s="65">
        <v>0</v>
      </c>
      <c r="Y1172" s="65">
        <v>0</v>
      </c>
      <c r="Z1172" s="65">
        <v>2521.2799999999997</v>
      </c>
      <c r="AA1172" s="51">
        <v>0</v>
      </c>
      <c r="AB1172" s="102">
        <v>0</v>
      </c>
      <c r="AC1172" s="81">
        <f t="shared" si="57"/>
        <v>494.29538765432102</v>
      </c>
      <c r="AD1172" s="82">
        <f t="shared" si="58"/>
        <v>9.2571428571428562</v>
      </c>
      <c r="AE1172" s="218">
        <v>0</v>
      </c>
      <c r="AF1172">
        <v>0</v>
      </c>
      <c r="AH1172" t="str">
        <f t="shared" si="56"/>
        <v>Sonvarsha</v>
      </c>
      <c r="AJ1172" s="72">
        <v>0</v>
      </c>
      <c r="AK1172" s="72"/>
      <c r="AL1172" s="72"/>
      <c r="AM1172" s="72"/>
    </row>
    <row r="1173" spans="1:39" x14ac:dyDescent="0.25">
      <c r="A1173" s="37" t="s">
        <v>62</v>
      </c>
      <c r="B1173" s="66" t="s">
        <v>1638</v>
      </c>
      <c r="C1173" s="47">
        <v>1006</v>
      </c>
      <c r="D1173" s="47" t="s">
        <v>179</v>
      </c>
      <c r="E1173" s="41">
        <v>10060125</v>
      </c>
      <c r="F1173" s="46" t="s">
        <v>1267</v>
      </c>
      <c r="G1173" s="39" t="s">
        <v>1610</v>
      </c>
      <c r="H1173" s="48" t="s">
        <v>98</v>
      </c>
      <c r="I1173" s="52">
        <v>137</v>
      </c>
      <c r="J1173" s="49">
        <v>5616.99</v>
      </c>
      <c r="K1173" s="65">
        <v>0</v>
      </c>
      <c r="L1173" s="65">
        <v>0</v>
      </c>
      <c r="M1173" s="65">
        <v>0</v>
      </c>
      <c r="N1173" s="65">
        <v>0</v>
      </c>
      <c r="O1173" s="65">
        <v>0</v>
      </c>
      <c r="P1173" s="65">
        <v>0</v>
      </c>
      <c r="Q1173" s="50">
        <v>5616.99</v>
      </c>
      <c r="R1173" s="65">
        <v>0</v>
      </c>
      <c r="S1173" s="65">
        <v>0</v>
      </c>
      <c r="T1173" s="65">
        <v>0</v>
      </c>
      <c r="U1173" s="65">
        <v>0</v>
      </c>
      <c r="V1173" s="65">
        <v>0</v>
      </c>
      <c r="W1173" s="65">
        <v>0</v>
      </c>
      <c r="X1173" s="65">
        <v>0</v>
      </c>
      <c r="Y1173" s="65">
        <v>0</v>
      </c>
      <c r="Z1173" s="65">
        <v>5616.99</v>
      </c>
      <c r="AA1173" s="51">
        <v>0</v>
      </c>
      <c r="AB1173" s="102">
        <v>0</v>
      </c>
      <c r="AC1173" s="81">
        <f t="shared" si="57"/>
        <v>461.6591781021898</v>
      </c>
      <c r="AD1173" s="82">
        <f t="shared" si="58"/>
        <v>19.571428571428573</v>
      </c>
      <c r="AE1173" s="218">
        <v>0</v>
      </c>
      <c r="AF1173">
        <v>0</v>
      </c>
      <c r="AH1173" t="str">
        <f t="shared" si="56"/>
        <v>Sonvarsha</v>
      </c>
      <c r="AJ1173" s="72">
        <v>0</v>
      </c>
      <c r="AK1173" s="72"/>
      <c r="AL1173" s="72"/>
      <c r="AM1173" s="72"/>
    </row>
    <row r="1174" spans="1:39" x14ac:dyDescent="0.25">
      <c r="A1174" s="37" t="s">
        <v>62</v>
      </c>
      <c r="B1174" s="66" t="s">
        <v>1638</v>
      </c>
      <c r="C1174" s="47">
        <v>1006</v>
      </c>
      <c r="D1174" s="47" t="s">
        <v>179</v>
      </c>
      <c r="E1174" s="41">
        <v>10060126</v>
      </c>
      <c r="F1174" s="46" t="s">
        <v>1268</v>
      </c>
      <c r="G1174" s="39" t="s">
        <v>92</v>
      </c>
      <c r="H1174" s="48" t="s">
        <v>93</v>
      </c>
      <c r="I1174" s="52">
        <v>1004.0999999999999</v>
      </c>
      <c r="J1174" s="49">
        <v>35914.630000000005</v>
      </c>
      <c r="K1174" s="65">
        <v>527.20000000000005</v>
      </c>
      <c r="L1174" s="65">
        <v>18960.46</v>
      </c>
      <c r="M1174" s="65">
        <v>498.9</v>
      </c>
      <c r="N1174" s="65">
        <v>18463.330000000002</v>
      </c>
      <c r="O1174" s="65">
        <v>1026.0999999999999</v>
      </c>
      <c r="P1174" s="65">
        <v>37423.79</v>
      </c>
      <c r="Q1174" s="50">
        <v>35914.630000000005</v>
      </c>
      <c r="R1174" s="65">
        <v>0</v>
      </c>
      <c r="S1174" s="65">
        <v>0</v>
      </c>
      <c r="T1174" s="65">
        <v>1509.1599999999962</v>
      </c>
      <c r="U1174" s="65">
        <v>0</v>
      </c>
      <c r="V1174" s="65">
        <v>0</v>
      </c>
      <c r="W1174" s="65">
        <v>0</v>
      </c>
      <c r="X1174" s="65">
        <v>17451</v>
      </c>
      <c r="Y1174" s="65">
        <v>18464</v>
      </c>
      <c r="Z1174" s="65">
        <v>0</v>
      </c>
      <c r="AA1174" s="51">
        <v>0</v>
      </c>
      <c r="AB1174" s="102">
        <v>0</v>
      </c>
      <c r="AC1174" s="81">
        <f t="shared" si="57"/>
        <v>0</v>
      </c>
      <c r="AD1174" s="82">
        <f t="shared" si="58"/>
        <v>0</v>
      </c>
      <c r="AE1174" s="218">
        <v>-4.2020758671326867E-2</v>
      </c>
      <c r="AF1174">
        <v>6</v>
      </c>
      <c r="AH1174" t="str">
        <f t="shared" si="56"/>
        <v>Sonvarsha</v>
      </c>
      <c r="AJ1174" s="72">
        <v>0</v>
      </c>
      <c r="AK1174" s="72"/>
      <c r="AL1174" s="72"/>
      <c r="AM1174" s="72"/>
    </row>
    <row r="1175" spans="1:39" x14ac:dyDescent="0.25">
      <c r="A1175" s="37" t="s">
        <v>62</v>
      </c>
      <c r="B1175" s="66" t="s">
        <v>1638</v>
      </c>
      <c r="C1175" s="47">
        <v>1006</v>
      </c>
      <c r="D1175" s="47" t="s">
        <v>179</v>
      </c>
      <c r="E1175" s="41">
        <v>10060129</v>
      </c>
      <c r="F1175" s="46" t="s">
        <v>1347</v>
      </c>
      <c r="G1175" s="39" t="s">
        <v>92</v>
      </c>
      <c r="H1175" s="48" t="s">
        <v>93</v>
      </c>
      <c r="I1175" s="52">
        <v>522.10000000000014</v>
      </c>
      <c r="J1175" s="49">
        <v>22775.160000000007</v>
      </c>
      <c r="K1175" s="65">
        <v>330.1</v>
      </c>
      <c r="L1175" s="65">
        <v>14974.4</v>
      </c>
      <c r="M1175" s="65">
        <v>206.70000000000002</v>
      </c>
      <c r="N1175" s="65">
        <v>8569.0600000000013</v>
      </c>
      <c r="O1175" s="65">
        <v>536.80000000000007</v>
      </c>
      <c r="P1175" s="65">
        <v>23543.46</v>
      </c>
      <c r="Q1175" s="50">
        <v>22775.160000000007</v>
      </c>
      <c r="R1175" s="65">
        <v>0</v>
      </c>
      <c r="S1175" s="65">
        <v>136.30000000000001</v>
      </c>
      <c r="T1175" s="65">
        <v>768.299999999992</v>
      </c>
      <c r="U1175" s="65">
        <v>0</v>
      </c>
      <c r="V1175" s="65">
        <v>0</v>
      </c>
      <c r="W1175" s="65">
        <v>0</v>
      </c>
      <c r="X1175" s="65">
        <v>14205</v>
      </c>
      <c r="Y1175" s="65">
        <v>8434</v>
      </c>
      <c r="Z1175" s="65">
        <v>0</v>
      </c>
      <c r="AA1175" s="51">
        <v>0</v>
      </c>
      <c r="AB1175" s="102">
        <v>0</v>
      </c>
      <c r="AC1175" s="81">
        <f t="shared" si="57"/>
        <v>155.2078515226967</v>
      </c>
      <c r="AD1175" s="82">
        <f t="shared" si="58"/>
        <v>74.585714285714303</v>
      </c>
      <c r="AE1175" s="218">
        <v>-3.3734120857987021E-2</v>
      </c>
      <c r="AF1175">
        <v>8</v>
      </c>
      <c r="AH1175" t="str">
        <f t="shared" si="56"/>
        <v>Sonvarsha</v>
      </c>
      <c r="AJ1175" s="72">
        <v>0</v>
      </c>
      <c r="AK1175" s="72"/>
      <c r="AL1175" s="72"/>
      <c r="AM1175" s="72"/>
    </row>
    <row r="1176" spans="1:39" x14ac:dyDescent="0.25">
      <c r="A1176" s="37" t="s">
        <v>62</v>
      </c>
      <c r="B1176" s="66" t="s">
        <v>1638</v>
      </c>
      <c r="C1176" s="47">
        <v>1006</v>
      </c>
      <c r="D1176" s="47" t="s">
        <v>179</v>
      </c>
      <c r="E1176" s="41">
        <v>10060130</v>
      </c>
      <c r="F1176" s="46" t="s">
        <v>1332</v>
      </c>
      <c r="G1176" s="39" t="s">
        <v>92</v>
      </c>
      <c r="H1176" s="48" t="s">
        <v>93</v>
      </c>
      <c r="I1176" s="52">
        <v>2000.1000000000001</v>
      </c>
      <c r="J1176" s="49">
        <v>90538.890000000043</v>
      </c>
      <c r="K1176" s="65">
        <v>1420.41</v>
      </c>
      <c r="L1176" s="65">
        <v>67499</v>
      </c>
      <c r="M1176" s="65">
        <v>570.79999999999995</v>
      </c>
      <c r="N1176" s="65">
        <v>28554.43</v>
      </c>
      <c r="O1176" s="65">
        <v>1991.21</v>
      </c>
      <c r="P1176" s="65">
        <v>96053.43</v>
      </c>
      <c r="Q1176" s="50">
        <v>90538.890000000043</v>
      </c>
      <c r="R1176" s="65">
        <v>0</v>
      </c>
      <c r="S1176" s="65">
        <v>0</v>
      </c>
      <c r="T1176" s="65">
        <v>5514.5399999999499</v>
      </c>
      <c r="U1176" s="65">
        <v>0</v>
      </c>
      <c r="V1176" s="65">
        <v>0</v>
      </c>
      <c r="W1176" s="65">
        <v>0</v>
      </c>
      <c r="X1176" s="65">
        <v>61985</v>
      </c>
      <c r="Y1176" s="65">
        <v>28554</v>
      </c>
      <c r="Z1176" s="65">
        <v>0</v>
      </c>
      <c r="AA1176" s="51">
        <v>0</v>
      </c>
      <c r="AB1176" s="102">
        <v>0</v>
      </c>
      <c r="AC1176" s="81">
        <f t="shared" si="57"/>
        <v>0</v>
      </c>
      <c r="AD1176" s="82">
        <f t="shared" si="58"/>
        <v>0</v>
      </c>
      <c r="AE1176" s="218">
        <v>-6.0907970044695128E-2</v>
      </c>
      <c r="AF1176">
        <v>21</v>
      </c>
      <c r="AH1176" t="str">
        <f t="shared" si="56"/>
        <v>Sonvarsha</v>
      </c>
      <c r="AJ1176" s="72">
        <v>0</v>
      </c>
      <c r="AK1176" s="72"/>
      <c r="AL1176" s="72"/>
      <c r="AM1176" s="72"/>
    </row>
    <row r="1177" spans="1:39" x14ac:dyDescent="0.25">
      <c r="A1177" s="37" t="s">
        <v>62</v>
      </c>
      <c r="B1177" s="66" t="s">
        <v>1638</v>
      </c>
      <c r="C1177" s="47">
        <v>1006</v>
      </c>
      <c r="D1177" s="47" t="s">
        <v>179</v>
      </c>
      <c r="E1177" s="41">
        <v>10060133</v>
      </c>
      <c r="F1177" s="46" t="s">
        <v>1463</v>
      </c>
      <c r="G1177" s="39" t="s">
        <v>1610</v>
      </c>
      <c r="H1177" s="48" t="s">
        <v>98</v>
      </c>
      <c r="I1177" s="52">
        <v>871.69999999999993</v>
      </c>
      <c r="J1177" s="49">
        <v>33882.799999999996</v>
      </c>
      <c r="K1177" s="65">
        <v>0</v>
      </c>
      <c r="L1177" s="65">
        <v>0</v>
      </c>
      <c r="M1177" s="65">
        <v>0</v>
      </c>
      <c r="N1177" s="65">
        <v>0</v>
      </c>
      <c r="O1177" s="65">
        <v>0</v>
      </c>
      <c r="P1177" s="65">
        <v>0</v>
      </c>
      <c r="Q1177" s="50">
        <v>33882.799999999996</v>
      </c>
      <c r="R1177" s="65">
        <v>0</v>
      </c>
      <c r="S1177" s="65">
        <v>0</v>
      </c>
      <c r="T1177" s="65">
        <v>0</v>
      </c>
      <c r="U1177" s="65">
        <v>0</v>
      </c>
      <c r="V1177" s="65">
        <v>0</v>
      </c>
      <c r="W1177" s="65">
        <v>0</v>
      </c>
      <c r="X1177" s="65">
        <v>0</v>
      </c>
      <c r="Y1177" s="65">
        <v>0</v>
      </c>
      <c r="Z1177" s="65">
        <v>33882.799999999996</v>
      </c>
      <c r="AA1177" s="51">
        <v>0</v>
      </c>
      <c r="AB1177" s="102">
        <v>0</v>
      </c>
      <c r="AC1177" s="81">
        <f t="shared" si="57"/>
        <v>0</v>
      </c>
      <c r="AD1177" s="82">
        <f t="shared" si="58"/>
        <v>0</v>
      </c>
      <c r="AE1177" s="218">
        <v>0</v>
      </c>
      <c r="AF1177">
        <v>0</v>
      </c>
      <c r="AH1177" t="str">
        <f t="shared" si="56"/>
        <v>Sonvarsha</v>
      </c>
      <c r="AJ1177" s="72">
        <v>0</v>
      </c>
      <c r="AK1177" s="72"/>
      <c r="AL1177" s="72"/>
      <c r="AM1177" s="72"/>
    </row>
    <row r="1178" spans="1:39" x14ac:dyDescent="0.25">
      <c r="A1178" s="37" t="s">
        <v>62</v>
      </c>
      <c r="B1178" s="66" t="s">
        <v>1638</v>
      </c>
      <c r="C1178" s="47">
        <v>1006</v>
      </c>
      <c r="D1178" s="47" t="s">
        <v>179</v>
      </c>
      <c r="E1178" s="41">
        <v>10060135</v>
      </c>
      <c r="F1178" s="46" t="s">
        <v>1614</v>
      </c>
      <c r="G1178" s="39" t="s">
        <v>1610</v>
      </c>
      <c r="H1178" s="48" t="s">
        <v>93</v>
      </c>
      <c r="I1178" s="52">
        <v>365.8</v>
      </c>
      <c r="J1178" s="49">
        <v>15538.160000000002</v>
      </c>
      <c r="K1178" s="65">
        <v>305.77999999999997</v>
      </c>
      <c r="L1178" s="65">
        <v>12517.829999999998</v>
      </c>
      <c r="M1178" s="65">
        <v>63.629999999999995</v>
      </c>
      <c r="N1178" s="65">
        <v>2441.6400000000003</v>
      </c>
      <c r="O1178" s="65">
        <v>369.40999999999997</v>
      </c>
      <c r="P1178" s="65">
        <v>14959.469999999998</v>
      </c>
      <c r="Q1178" s="50">
        <v>14959.469999999998</v>
      </c>
      <c r="R1178" s="65">
        <v>0</v>
      </c>
      <c r="S1178" s="65">
        <v>0</v>
      </c>
      <c r="T1178" s="65">
        <v>0</v>
      </c>
      <c r="U1178" s="65">
        <v>0</v>
      </c>
      <c r="V1178" s="65">
        <v>0</v>
      </c>
      <c r="W1178" s="65">
        <v>0</v>
      </c>
      <c r="X1178" s="65">
        <v>12518</v>
      </c>
      <c r="Y1178" s="65">
        <v>2441</v>
      </c>
      <c r="Z1178" s="65">
        <v>0</v>
      </c>
      <c r="AA1178" s="51">
        <v>579</v>
      </c>
      <c r="AB1178" s="102">
        <v>0</v>
      </c>
      <c r="AC1178" s="81">
        <f t="shared" si="57"/>
        <v>283.9176091853472</v>
      </c>
      <c r="AD1178" s="82">
        <f t="shared" si="58"/>
        <v>52.25714285714286</v>
      </c>
      <c r="AE1178" s="218">
        <v>3.7243148480901475E-2</v>
      </c>
      <c r="AF1178">
        <v>7</v>
      </c>
      <c r="AH1178" t="str">
        <f t="shared" si="56"/>
        <v>Sonvarsha</v>
      </c>
      <c r="AJ1178" s="72">
        <v>0</v>
      </c>
      <c r="AK1178" s="72"/>
      <c r="AL1178" s="72"/>
      <c r="AM1178" s="72"/>
    </row>
    <row r="1179" spans="1:39" x14ac:dyDescent="0.25">
      <c r="A1179" s="37" t="s">
        <v>62</v>
      </c>
      <c r="B1179" s="66" t="s">
        <v>1638</v>
      </c>
      <c r="C1179" s="47">
        <v>1006</v>
      </c>
      <c r="D1179" s="47" t="s">
        <v>179</v>
      </c>
      <c r="E1179" s="41">
        <v>10060136</v>
      </c>
      <c r="F1179" s="46" t="s">
        <v>1577</v>
      </c>
      <c r="G1179" s="39" t="s">
        <v>1610</v>
      </c>
      <c r="H1179" s="48" t="s">
        <v>98</v>
      </c>
      <c r="I1179" s="52">
        <v>818.59999999999991</v>
      </c>
      <c r="J1179" s="49">
        <v>28914.679999999997</v>
      </c>
      <c r="K1179" s="65">
        <v>0</v>
      </c>
      <c r="L1179" s="65">
        <v>0</v>
      </c>
      <c r="M1179" s="65">
        <v>0</v>
      </c>
      <c r="N1179" s="65">
        <v>0</v>
      </c>
      <c r="O1179" s="65">
        <v>0</v>
      </c>
      <c r="P1179" s="65">
        <v>0</v>
      </c>
      <c r="Q1179" s="50">
        <v>28914.679999999997</v>
      </c>
      <c r="R1179" s="65">
        <v>0</v>
      </c>
      <c r="S1179" s="65">
        <v>0</v>
      </c>
      <c r="T1179" s="65">
        <v>0</v>
      </c>
      <c r="U1179" s="65">
        <v>0</v>
      </c>
      <c r="V1179" s="65">
        <v>0</v>
      </c>
      <c r="W1179" s="65">
        <v>0</v>
      </c>
      <c r="X1179" s="65">
        <v>0</v>
      </c>
      <c r="Y1179" s="65">
        <v>0</v>
      </c>
      <c r="Z1179" s="65">
        <v>28914.679999999997</v>
      </c>
      <c r="AA1179" s="51">
        <v>0</v>
      </c>
      <c r="AB1179" s="102">
        <v>0</v>
      </c>
      <c r="AC1179" s="81">
        <f t="shared" si="57"/>
        <v>0</v>
      </c>
      <c r="AD1179" s="82">
        <f t="shared" si="58"/>
        <v>0</v>
      </c>
      <c r="AE1179" s="218">
        <v>0</v>
      </c>
      <c r="AF1179">
        <v>0</v>
      </c>
      <c r="AH1179" t="str">
        <f t="shared" si="56"/>
        <v>Sonvarsha</v>
      </c>
      <c r="AJ1179" s="72">
        <v>0</v>
      </c>
      <c r="AK1179" s="72"/>
      <c r="AL1179" s="72"/>
      <c r="AM1179" s="72"/>
    </row>
    <row r="1180" spans="1:39" x14ac:dyDescent="0.25">
      <c r="A1180" s="37" t="s">
        <v>62</v>
      </c>
      <c r="B1180" s="66" t="s">
        <v>1638</v>
      </c>
      <c r="C1180" s="47">
        <v>1007</v>
      </c>
      <c r="D1180" s="47" t="s">
        <v>203</v>
      </c>
      <c r="E1180" s="41">
        <v>10070002</v>
      </c>
      <c r="F1180" s="46" t="s">
        <v>204</v>
      </c>
      <c r="G1180" s="39" t="s">
        <v>1610</v>
      </c>
      <c r="H1180" s="48" t="s">
        <v>98</v>
      </c>
      <c r="I1180" s="52">
        <v>4740.2</v>
      </c>
      <c r="J1180" s="49">
        <v>186073.28999999998</v>
      </c>
      <c r="K1180" s="65">
        <v>0</v>
      </c>
      <c r="L1180" s="65">
        <v>0</v>
      </c>
      <c r="M1180" s="65">
        <v>0</v>
      </c>
      <c r="N1180" s="65">
        <v>0</v>
      </c>
      <c r="O1180" s="65">
        <v>0</v>
      </c>
      <c r="P1180" s="65">
        <v>0</v>
      </c>
      <c r="Q1180" s="50">
        <v>186073.28999999998</v>
      </c>
      <c r="R1180" s="65">
        <v>0</v>
      </c>
      <c r="S1180" s="65">
        <v>0</v>
      </c>
      <c r="T1180" s="65">
        <v>0</v>
      </c>
      <c r="U1180" s="65">
        <v>0</v>
      </c>
      <c r="V1180" s="65">
        <v>0</v>
      </c>
      <c r="W1180" s="65">
        <v>0</v>
      </c>
      <c r="X1180" s="65">
        <v>0</v>
      </c>
      <c r="Y1180" s="65">
        <v>0</v>
      </c>
      <c r="Z1180" s="65">
        <v>186073.28999999998</v>
      </c>
      <c r="AA1180" s="51">
        <v>0</v>
      </c>
      <c r="AB1180" s="102">
        <v>0</v>
      </c>
      <c r="AC1180" s="81">
        <f t="shared" si="57"/>
        <v>0</v>
      </c>
      <c r="AD1180" s="82">
        <f t="shared" si="58"/>
        <v>0</v>
      </c>
      <c r="AE1180" s="218">
        <v>0</v>
      </c>
      <c r="AF1180">
        <v>0</v>
      </c>
      <c r="AH1180" t="str">
        <f t="shared" si="56"/>
        <v>Araria</v>
      </c>
      <c r="AJ1180" s="72">
        <v>0</v>
      </c>
      <c r="AK1180" s="72"/>
      <c r="AL1180" s="72"/>
      <c r="AM1180" s="72"/>
    </row>
    <row r="1181" spans="1:39" x14ac:dyDescent="0.25">
      <c r="A1181" s="37" t="s">
        <v>62</v>
      </c>
      <c r="B1181" s="66" t="s">
        <v>1638</v>
      </c>
      <c r="C1181" s="47">
        <v>1007</v>
      </c>
      <c r="D1181" s="47" t="s">
        <v>203</v>
      </c>
      <c r="E1181" s="41">
        <v>10070003</v>
      </c>
      <c r="F1181" s="46" t="s">
        <v>205</v>
      </c>
      <c r="G1181" s="39" t="s">
        <v>1610</v>
      </c>
      <c r="H1181" s="48" t="s">
        <v>98</v>
      </c>
      <c r="I1181" s="52">
        <v>933.89999999999986</v>
      </c>
      <c r="J1181" s="49">
        <v>32172.020000000004</v>
      </c>
      <c r="K1181" s="65">
        <v>0</v>
      </c>
      <c r="L1181" s="65">
        <v>0</v>
      </c>
      <c r="M1181" s="65">
        <v>0</v>
      </c>
      <c r="N1181" s="65">
        <v>0</v>
      </c>
      <c r="O1181" s="65">
        <v>0</v>
      </c>
      <c r="P1181" s="65">
        <v>0</v>
      </c>
      <c r="Q1181" s="50">
        <v>32172.020000000004</v>
      </c>
      <c r="R1181" s="65">
        <v>0</v>
      </c>
      <c r="S1181" s="65">
        <v>0</v>
      </c>
      <c r="T1181" s="65">
        <v>0</v>
      </c>
      <c r="U1181" s="65">
        <v>13500</v>
      </c>
      <c r="V1181" s="65">
        <v>0</v>
      </c>
      <c r="W1181" s="65">
        <v>0</v>
      </c>
      <c r="X1181" s="65">
        <v>0</v>
      </c>
      <c r="Y1181" s="65">
        <v>0</v>
      </c>
      <c r="Z1181" s="65">
        <v>18672.020000000004</v>
      </c>
      <c r="AA1181" s="51">
        <v>0</v>
      </c>
      <c r="AB1181" s="102">
        <v>0</v>
      </c>
      <c r="AC1181" s="81">
        <f t="shared" si="57"/>
        <v>0</v>
      </c>
      <c r="AD1181" s="82">
        <f t="shared" si="58"/>
        <v>0</v>
      </c>
      <c r="AE1181" s="218">
        <v>0</v>
      </c>
      <c r="AF1181">
        <v>0</v>
      </c>
      <c r="AH1181" t="str">
        <f t="shared" si="56"/>
        <v>Araria</v>
      </c>
      <c r="AJ1181" s="72">
        <v>0</v>
      </c>
      <c r="AK1181" s="72"/>
      <c r="AL1181" s="72"/>
      <c r="AM1181" s="72"/>
    </row>
    <row r="1182" spans="1:39" x14ac:dyDescent="0.25">
      <c r="A1182" s="37" t="s">
        <v>62</v>
      </c>
      <c r="B1182" s="66" t="s">
        <v>1638</v>
      </c>
      <c r="C1182" s="47">
        <v>1056</v>
      </c>
      <c r="D1182" s="47" t="s">
        <v>816</v>
      </c>
      <c r="E1182" s="41">
        <v>10070004</v>
      </c>
      <c r="F1182" s="46" t="s">
        <v>206</v>
      </c>
      <c r="G1182" s="39" t="s">
        <v>92</v>
      </c>
      <c r="H1182" s="48" t="s">
        <v>98</v>
      </c>
      <c r="I1182" s="52">
        <v>160.57999999999998</v>
      </c>
      <c r="J1182" s="49">
        <v>5510.48</v>
      </c>
      <c r="K1182" s="65">
        <v>0</v>
      </c>
      <c r="L1182" s="65">
        <v>0</v>
      </c>
      <c r="M1182" s="65">
        <v>0</v>
      </c>
      <c r="N1182" s="65">
        <v>0</v>
      </c>
      <c r="O1182" s="65">
        <v>0</v>
      </c>
      <c r="P1182" s="65">
        <v>0</v>
      </c>
      <c r="Q1182" s="50">
        <v>5510.48</v>
      </c>
      <c r="R1182" s="65">
        <v>0</v>
      </c>
      <c r="S1182" s="65">
        <v>0</v>
      </c>
      <c r="T1182" s="65">
        <v>0</v>
      </c>
      <c r="U1182" s="65">
        <v>0</v>
      </c>
      <c r="V1182" s="65">
        <v>0</v>
      </c>
      <c r="W1182" s="65">
        <v>0</v>
      </c>
      <c r="X1182" s="65">
        <v>0</v>
      </c>
      <c r="Y1182" s="65">
        <v>0</v>
      </c>
      <c r="Z1182" s="65">
        <v>5510.48</v>
      </c>
      <c r="AA1182" s="51">
        <v>0</v>
      </c>
      <c r="AB1182" s="102">
        <v>0</v>
      </c>
      <c r="AC1182" s="81">
        <f t="shared" si="57"/>
        <v>370.21585771578037</v>
      </c>
      <c r="AD1182" s="82">
        <f t="shared" si="58"/>
        <v>22.939999999999998</v>
      </c>
      <c r="AE1182" s="218">
        <v>0</v>
      </c>
      <c r="AF1182">
        <v>0</v>
      </c>
      <c r="AH1182" t="str">
        <f t="shared" si="56"/>
        <v>Chautham</v>
      </c>
      <c r="AJ1182" s="72">
        <v>0</v>
      </c>
      <c r="AK1182" s="72"/>
      <c r="AL1182" s="72"/>
      <c r="AM1182" s="72"/>
    </row>
    <row r="1183" spans="1:39" x14ac:dyDescent="0.25">
      <c r="A1183" s="37" t="s">
        <v>62</v>
      </c>
      <c r="B1183" s="66" t="s">
        <v>1638</v>
      </c>
      <c r="C1183" s="47">
        <v>1056</v>
      </c>
      <c r="D1183" s="47" t="s">
        <v>816</v>
      </c>
      <c r="E1183" s="41">
        <v>10070008</v>
      </c>
      <c r="F1183" s="46" t="s">
        <v>207</v>
      </c>
      <c r="G1183" s="39" t="s">
        <v>92</v>
      </c>
      <c r="H1183" s="48" t="s">
        <v>98</v>
      </c>
      <c r="I1183" s="52">
        <v>269.66000000000003</v>
      </c>
      <c r="J1183" s="49">
        <v>9435.67</v>
      </c>
      <c r="K1183" s="65">
        <v>0</v>
      </c>
      <c r="L1183" s="65">
        <v>0</v>
      </c>
      <c r="M1183" s="65">
        <v>0</v>
      </c>
      <c r="N1183" s="65">
        <v>0</v>
      </c>
      <c r="O1183" s="65">
        <v>0</v>
      </c>
      <c r="P1183" s="65">
        <v>0</v>
      </c>
      <c r="Q1183" s="50">
        <v>9435.67</v>
      </c>
      <c r="R1183" s="65">
        <v>0</v>
      </c>
      <c r="S1183" s="65">
        <v>0</v>
      </c>
      <c r="T1183" s="65">
        <v>0</v>
      </c>
      <c r="U1183" s="65">
        <v>0</v>
      </c>
      <c r="V1183" s="65">
        <v>0</v>
      </c>
      <c r="W1183" s="65">
        <v>0</v>
      </c>
      <c r="X1183" s="65">
        <v>0</v>
      </c>
      <c r="Y1183" s="65">
        <v>0</v>
      </c>
      <c r="Z1183" s="65">
        <v>9435.67</v>
      </c>
      <c r="AA1183" s="51">
        <v>0</v>
      </c>
      <c r="AB1183" s="102">
        <v>0</v>
      </c>
      <c r="AC1183" s="81">
        <f t="shared" si="57"/>
        <v>301.16044113327888</v>
      </c>
      <c r="AD1183" s="82">
        <f t="shared" si="58"/>
        <v>38.522857142857148</v>
      </c>
      <c r="AE1183" s="218">
        <v>0</v>
      </c>
      <c r="AF1183">
        <v>0</v>
      </c>
      <c r="AH1183" t="str">
        <f t="shared" si="56"/>
        <v>Chautham</v>
      </c>
      <c r="AJ1183" s="72">
        <v>0</v>
      </c>
      <c r="AK1183" s="72"/>
      <c r="AL1183" s="72"/>
      <c r="AM1183" s="72"/>
    </row>
    <row r="1184" spans="1:39" x14ac:dyDescent="0.25">
      <c r="A1184" s="37" t="s">
        <v>62</v>
      </c>
      <c r="B1184" s="66" t="s">
        <v>1638</v>
      </c>
      <c r="C1184" s="47">
        <v>1007</v>
      </c>
      <c r="D1184" s="47" t="s">
        <v>203</v>
      </c>
      <c r="E1184" s="41">
        <v>10070013</v>
      </c>
      <c r="F1184" s="46" t="s">
        <v>208</v>
      </c>
      <c r="G1184" s="39" t="s">
        <v>92</v>
      </c>
      <c r="H1184" s="48" t="s">
        <v>93</v>
      </c>
      <c r="I1184" s="52">
        <v>213.10000000000002</v>
      </c>
      <c r="J1184" s="49">
        <v>8680.6999999999989</v>
      </c>
      <c r="K1184" s="65">
        <v>186.92000000000002</v>
      </c>
      <c r="L1184" s="65">
        <v>7552.07</v>
      </c>
      <c r="M1184" s="65">
        <v>26.18</v>
      </c>
      <c r="N1184" s="65">
        <v>1058.8</v>
      </c>
      <c r="O1184" s="65">
        <v>213.10000000000002</v>
      </c>
      <c r="P1184" s="65">
        <v>8610.869999999999</v>
      </c>
      <c r="Q1184" s="50">
        <v>8610.869999999999</v>
      </c>
      <c r="R1184" s="65">
        <v>0</v>
      </c>
      <c r="S1184" s="65">
        <v>154.86000000000001</v>
      </c>
      <c r="T1184" s="65">
        <v>0</v>
      </c>
      <c r="U1184" s="65">
        <v>0</v>
      </c>
      <c r="V1184" s="65">
        <v>0</v>
      </c>
      <c r="W1184" s="65">
        <v>0</v>
      </c>
      <c r="X1184" s="65">
        <v>7552</v>
      </c>
      <c r="Y1184" s="65">
        <v>904</v>
      </c>
      <c r="Z1184" s="65">
        <v>0</v>
      </c>
      <c r="AA1184" s="51">
        <v>70</v>
      </c>
      <c r="AB1184" s="102">
        <v>0</v>
      </c>
      <c r="AC1184" s="81">
        <f t="shared" si="57"/>
        <v>396.68069732519928</v>
      </c>
      <c r="AD1184" s="82">
        <f t="shared" si="58"/>
        <v>30.442857142857147</v>
      </c>
      <c r="AE1184" s="218">
        <v>8.044282143145131E-3</v>
      </c>
      <c r="AF1184">
        <v>10</v>
      </c>
      <c r="AH1184" t="str">
        <f t="shared" si="56"/>
        <v>Araria</v>
      </c>
      <c r="AJ1184" s="72">
        <v>0</v>
      </c>
      <c r="AK1184" s="72"/>
      <c r="AL1184" s="72"/>
      <c r="AM1184" s="72"/>
    </row>
    <row r="1185" spans="1:39" x14ac:dyDescent="0.25">
      <c r="A1185" s="37" t="s">
        <v>62</v>
      </c>
      <c r="B1185" s="66" t="s">
        <v>1638</v>
      </c>
      <c r="C1185" s="47">
        <v>1007</v>
      </c>
      <c r="D1185" s="47" t="s">
        <v>203</v>
      </c>
      <c r="E1185" s="41">
        <v>10070016</v>
      </c>
      <c r="F1185" s="46" t="s">
        <v>209</v>
      </c>
      <c r="G1185" s="39" t="s">
        <v>92</v>
      </c>
      <c r="H1185" s="48" t="s">
        <v>93</v>
      </c>
      <c r="I1185" s="52">
        <v>177.49999999999997</v>
      </c>
      <c r="J1185" s="49">
        <v>7404.4699999999993</v>
      </c>
      <c r="K1185" s="65">
        <v>176.7</v>
      </c>
      <c r="L1185" s="65">
        <v>7341.96</v>
      </c>
      <c r="M1185" s="65">
        <v>1.3200000000000003</v>
      </c>
      <c r="N1185" s="65">
        <v>55.099999999999994</v>
      </c>
      <c r="O1185" s="65">
        <v>178.01999999999998</v>
      </c>
      <c r="P1185" s="65">
        <v>7397.06</v>
      </c>
      <c r="Q1185" s="50">
        <v>7397.06</v>
      </c>
      <c r="R1185" s="65">
        <v>0</v>
      </c>
      <c r="S1185" s="65">
        <v>55.099999999999994</v>
      </c>
      <c r="T1185" s="65">
        <v>0</v>
      </c>
      <c r="U1185" s="65">
        <v>0</v>
      </c>
      <c r="V1185" s="65">
        <v>0</v>
      </c>
      <c r="W1185" s="65">
        <v>0</v>
      </c>
      <c r="X1185" s="65">
        <v>7343</v>
      </c>
      <c r="Y1185" s="65">
        <v>0</v>
      </c>
      <c r="Z1185" s="65">
        <v>0</v>
      </c>
      <c r="AA1185" s="51">
        <v>6</v>
      </c>
      <c r="AB1185" s="102">
        <v>0</v>
      </c>
      <c r="AC1185" s="81">
        <f t="shared" si="57"/>
        <v>435.92513521126762</v>
      </c>
      <c r="AD1185" s="82">
        <f t="shared" si="58"/>
        <v>25.357142857142854</v>
      </c>
      <c r="AE1185" s="218">
        <v>1.000746846161703E-3</v>
      </c>
      <c r="AF1185">
        <v>5</v>
      </c>
      <c r="AH1185" t="str">
        <f t="shared" si="56"/>
        <v>Araria</v>
      </c>
      <c r="AJ1185" s="72">
        <v>0</v>
      </c>
      <c r="AK1185" s="72"/>
      <c r="AL1185" s="72"/>
      <c r="AM1185" s="72"/>
    </row>
    <row r="1186" spans="1:39" x14ac:dyDescent="0.25">
      <c r="A1186" s="37" t="s">
        <v>62</v>
      </c>
      <c r="B1186" s="66" t="s">
        <v>1638</v>
      </c>
      <c r="C1186" s="47">
        <v>1007</v>
      </c>
      <c r="D1186" s="47" t="s">
        <v>203</v>
      </c>
      <c r="E1186" s="41">
        <v>10070018</v>
      </c>
      <c r="F1186" s="46" t="s">
        <v>210</v>
      </c>
      <c r="G1186" s="39" t="s">
        <v>1610</v>
      </c>
      <c r="H1186" s="48" t="s">
        <v>98</v>
      </c>
      <c r="I1186" s="52">
        <v>11954.2</v>
      </c>
      <c r="J1186" s="49">
        <v>473209.06000000006</v>
      </c>
      <c r="K1186" s="65">
        <v>0</v>
      </c>
      <c r="L1186" s="65">
        <v>0</v>
      </c>
      <c r="M1186" s="65">
        <v>0</v>
      </c>
      <c r="N1186" s="65">
        <v>0</v>
      </c>
      <c r="O1186" s="65">
        <v>0</v>
      </c>
      <c r="P1186" s="65">
        <v>0</v>
      </c>
      <c r="Q1186" s="50">
        <v>473209.06000000006</v>
      </c>
      <c r="R1186" s="65">
        <v>0</v>
      </c>
      <c r="S1186" s="65">
        <v>0</v>
      </c>
      <c r="T1186" s="65">
        <v>0</v>
      </c>
      <c r="U1186" s="65">
        <v>0</v>
      </c>
      <c r="V1186" s="65">
        <v>0</v>
      </c>
      <c r="W1186" s="65">
        <v>0</v>
      </c>
      <c r="X1186" s="65">
        <v>0</v>
      </c>
      <c r="Y1186" s="65">
        <v>0</v>
      </c>
      <c r="Z1186" s="65">
        <v>473209.06000000006</v>
      </c>
      <c r="AA1186" s="51">
        <v>0</v>
      </c>
      <c r="AB1186" s="102">
        <v>0</v>
      </c>
      <c r="AC1186" s="81">
        <f t="shared" si="57"/>
        <v>0</v>
      </c>
      <c r="AD1186" s="82">
        <f t="shared" si="58"/>
        <v>0</v>
      </c>
      <c r="AE1186" s="218">
        <v>0</v>
      </c>
      <c r="AF1186">
        <v>0</v>
      </c>
      <c r="AH1186" t="str">
        <f t="shared" si="56"/>
        <v>Araria</v>
      </c>
      <c r="AJ1186" s="72">
        <v>0</v>
      </c>
      <c r="AK1186" s="72"/>
      <c r="AL1186" s="72"/>
      <c r="AM1186" s="72"/>
    </row>
    <row r="1187" spans="1:39" x14ac:dyDescent="0.25">
      <c r="A1187" s="37" t="s">
        <v>62</v>
      </c>
      <c r="B1187" s="66" t="s">
        <v>1638</v>
      </c>
      <c r="C1187" s="47">
        <v>1007</v>
      </c>
      <c r="D1187" s="47" t="s">
        <v>203</v>
      </c>
      <c r="E1187" s="41">
        <v>10070019</v>
      </c>
      <c r="F1187" s="46" t="s">
        <v>211</v>
      </c>
      <c r="G1187" s="39" t="s">
        <v>1610</v>
      </c>
      <c r="H1187" s="48" t="s">
        <v>98</v>
      </c>
      <c r="I1187" s="52">
        <v>6873.8000000000011</v>
      </c>
      <c r="J1187" s="49">
        <v>267196.21999999997</v>
      </c>
      <c r="K1187" s="65">
        <v>0</v>
      </c>
      <c r="L1187" s="65">
        <v>0</v>
      </c>
      <c r="M1187" s="65">
        <v>0</v>
      </c>
      <c r="N1187" s="65">
        <v>0</v>
      </c>
      <c r="O1187" s="65">
        <v>0</v>
      </c>
      <c r="P1187" s="65">
        <v>0</v>
      </c>
      <c r="Q1187" s="50">
        <v>267196.21999999997</v>
      </c>
      <c r="R1187" s="65">
        <v>0</v>
      </c>
      <c r="S1187" s="65">
        <v>0</v>
      </c>
      <c r="T1187" s="65">
        <v>0</v>
      </c>
      <c r="U1187" s="65">
        <v>0</v>
      </c>
      <c r="V1187" s="65">
        <v>0</v>
      </c>
      <c r="W1187" s="65">
        <v>0</v>
      </c>
      <c r="X1187" s="65">
        <v>0</v>
      </c>
      <c r="Y1187" s="65">
        <v>0</v>
      </c>
      <c r="Z1187" s="65">
        <v>267196.21999999997</v>
      </c>
      <c r="AA1187" s="51">
        <v>0</v>
      </c>
      <c r="AB1187" s="102">
        <v>0</v>
      </c>
      <c r="AC1187" s="81">
        <f t="shared" si="57"/>
        <v>0</v>
      </c>
      <c r="AD1187" s="82">
        <f t="shared" si="58"/>
        <v>0</v>
      </c>
      <c r="AE1187" s="218">
        <v>0</v>
      </c>
      <c r="AF1187">
        <v>0</v>
      </c>
      <c r="AH1187" t="str">
        <f t="shared" si="56"/>
        <v>Araria</v>
      </c>
      <c r="AJ1187" s="72">
        <v>0</v>
      </c>
      <c r="AK1187" s="72"/>
      <c r="AL1187" s="72"/>
      <c r="AM1187" s="72"/>
    </row>
    <row r="1188" spans="1:39" x14ac:dyDescent="0.25">
      <c r="A1188" s="37" t="s">
        <v>62</v>
      </c>
      <c r="B1188" s="66" t="s">
        <v>1638</v>
      </c>
      <c r="C1188" s="47">
        <v>1007</v>
      </c>
      <c r="D1188" s="47" t="s">
        <v>203</v>
      </c>
      <c r="E1188" s="41">
        <v>10070020</v>
      </c>
      <c r="F1188" s="46" t="s">
        <v>212</v>
      </c>
      <c r="G1188" s="39" t="s">
        <v>1610</v>
      </c>
      <c r="H1188" s="48" t="s">
        <v>98</v>
      </c>
      <c r="I1188" s="52">
        <v>5898.6</v>
      </c>
      <c r="J1188" s="49">
        <v>223941.18000000002</v>
      </c>
      <c r="K1188" s="65">
        <v>0</v>
      </c>
      <c r="L1188" s="65">
        <v>0</v>
      </c>
      <c r="M1188" s="65">
        <v>0</v>
      </c>
      <c r="N1188" s="65">
        <v>0</v>
      </c>
      <c r="O1188" s="65">
        <v>0</v>
      </c>
      <c r="P1188" s="65">
        <v>0</v>
      </c>
      <c r="Q1188" s="50">
        <v>223941.18000000002</v>
      </c>
      <c r="R1188" s="65">
        <v>0</v>
      </c>
      <c r="S1188" s="65">
        <v>0</v>
      </c>
      <c r="T1188" s="65">
        <v>0</v>
      </c>
      <c r="U1188" s="65">
        <v>0</v>
      </c>
      <c r="V1188" s="65">
        <v>0</v>
      </c>
      <c r="W1188" s="65">
        <v>0</v>
      </c>
      <c r="X1188" s="65">
        <v>0</v>
      </c>
      <c r="Y1188" s="65">
        <v>0</v>
      </c>
      <c r="Z1188" s="65">
        <v>223941.18000000002</v>
      </c>
      <c r="AA1188" s="51">
        <v>0</v>
      </c>
      <c r="AB1188" s="102">
        <v>0</v>
      </c>
      <c r="AC1188" s="81">
        <f t="shared" si="57"/>
        <v>0</v>
      </c>
      <c r="AD1188" s="82">
        <f t="shared" si="58"/>
        <v>0</v>
      </c>
      <c r="AE1188" s="218">
        <v>0</v>
      </c>
      <c r="AF1188">
        <v>0</v>
      </c>
      <c r="AH1188" t="str">
        <f t="shared" si="56"/>
        <v>Araria</v>
      </c>
      <c r="AJ1188" s="72">
        <v>0</v>
      </c>
      <c r="AK1188" s="72"/>
      <c r="AL1188" s="72"/>
      <c r="AM1188" s="72"/>
    </row>
    <row r="1189" spans="1:39" x14ac:dyDescent="0.25">
      <c r="A1189" s="37" t="s">
        <v>62</v>
      </c>
      <c r="B1189" s="66" t="s">
        <v>1638</v>
      </c>
      <c r="C1189" s="47">
        <v>1007</v>
      </c>
      <c r="D1189" s="47" t="s">
        <v>203</v>
      </c>
      <c r="E1189" s="41">
        <v>10070024</v>
      </c>
      <c r="F1189" s="46" t="s">
        <v>213</v>
      </c>
      <c r="G1189" s="39" t="s">
        <v>1610</v>
      </c>
      <c r="H1189" s="48" t="s">
        <v>98</v>
      </c>
      <c r="I1189" s="52">
        <v>779.4</v>
      </c>
      <c r="J1189" s="49">
        <v>30214.720000000005</v>
      </c>
      <c r="K1189" s="65">
        <v>0</v>
      </c>
      <c r="L1189" s="65">
        <v>0</v>
      </c>
      <c r="M1189" s="65">
        <v>0</v>
      </c>
      <c r="N1189" s="65">
        <v>0</v>
      </c>
      <c r="O1189" s="65">
        <v>0</v>
      </c>
      <c r="P1189" s="65">
        <v>0</v>
      </c>
      <c r="Q1189" s="50">
        <v>30214.720000000005</v>
      </c>
      <c r="R1189" s="65">
        <v>0</v>
      </c>
      <c r="S1189" s="65">
        <v>0</v>
      </c>
      <c r="T1189" s="65">
        <v>0</v>
      </c>
      <c r="U1189" s="65">
        <v>0</v>
      </c>
      <c r="V1189" s="65">
        <v>0</v>
      </c>
      <c r="W1189" s="65">
        <v>0</v>
      </c>
      <c r="X1189" s="65">
        <v>0</v>
      </c>
      <c r="Y1189" s="65">
        <v>0</v>
      </c>
      <c r="Z1189" s="65">
        <v>30214.720000000005</v>
      </c>
      <c r="AA1189" s="51">
        <v>0</v>
      </c>
      <c r="AB1189" s="102">
        <v>0</v>
      </c>
      <c r="AC1189" s="81">
        <f t="shared" si="57"/>
        <v>0</v>
      </c>
      <c r="AD1189" s="82">
        <f t="shared" si="58"/>
        <v>0</v>
      </c>
      <c r="AE1189" s="218">
        <v>0</v>
      </c>
      <c r="AF1189">
        <v>0</v>
      </c>
      <c r="AH1189" t="str">
        <f t="shared" si="56"/>
        <v>Araria</v>
      </c>
      <c r="AJ1189" s="72">
        <v>0</v>
      </c>
      <c r="AK1189" s="72"/>
      <c r="AL1189" s="72"/>
      <c r="AM1189" s="72"/>
    </row>
    <row r="1190" spans="1:39" x14ac:dyDescent="0.25">
      <c r="A1190" s="37" t="s">
        <v>62</v>
      </c>
      <c r="B1190" s="66" t="s">
        <v>1638</v>
      </c>
      <c r="C1190" s="47">
        <v>1007</v>
      </c>
      <c r="D1190" s="47" t="s">
        <v>203</v>
      </c>
      <c r="E1190" s="41">
        <v>10070026</v>
      </c>
      <c r="F1190" s="46" t="s">
        <v>214</v>
      </c>
      <c r="G1190" s="39" t="s">
        <v>1610</v>
      </c>
      <c r="H1190" s="48" t="s">
        <v>98</v>
      </c>
      <c r="I1190" s="52">
        <v>4131.3999999999996</v>
      </c>
      <c r="J1190" s="49">
        <v>158835.52999999997</v>
      </c>
      <c r="K1190" s="65">
        <v>0</v>
      </c>
      <c r="L1190" s="65">
        <v>0</v>
      </c>
      <c r="M1190" s="65">
        <v>0</v>
      </c>
      <c r="N1190" s="65">
        <v>0</v>
      </c>
      <c r="O1190" s="65">
        <v>0</v>
      </c>
      <c r="P1190" s="65">
        <v>0</v>
      </c>
      <c r="Q1190" s="50">
        <v>158835.52999999997</v>
      </c>
      <c r="R1190" s="65">
        <v>0</v>
      </c>
      <c r="S1190" s="65">
        <v>0</v>
      </c>
      <c r="T1190" s="65">
        <v>0</v>
      </c>
      <c r="U1190" s="65">
        <v>0</v>
      </c>
      <c r="V1190" s="65">
        <v>0</v>
      </c>
      <c r="W1190" s="65">
        <v>0</v>
      </c>
      <c r="X1190" s="65">
        <v>0</v>
      </c>
      <c r="Y1190" s="65">
        <v>0</v>
      </c>
      <c r="Z1190" s="65">
        <v>158835.52999999997</v>
      </c>
      <c r="AA1190" s="51">
        <v>0</v>
      </c>
      <c r="AB1190" s="102">
        <v>0</v>
      </c>
      <c r="AC1190" s="81">
        <f t="shared" si="57"/>
        <v>0</v>
      </c>
      <c r="AD1190" s="82">
        <f t="shared" si="58"/>
        <v>0</v>
      </c>
      <c r="AE1190" s="218">
        <v>0</v>
      </c>
      <c r="AF1190">
        <v>0</v>
      </c>
      <c r="AH1190" t="str">
        <f t="shared" si="56"/>
        <v>Araria</v>
      </c>
      <c r="AJ1190" s="72">
        <v>0</v>
      </c>
      <c r="AK1190" s="72"/>
      <c r="AL1190" s="72"/>
      <c r="AM1190" s="72"/>
    </row>
    <row r="1191" spans="1:39" x14ac:dyDescent="0.25">
      <c r="A1191" s="37" t="s">
        <v>62</v>
      </c>
      <c r="B1191" s="66" t="s">
        <v>1638</v>
      </c>
      <c r="C1191" s="47">
        <v>1010</v>
      </c>
      <c r="D1191" s="47" t="s">
        <v>1311</v>
      </c>
      <c r="E1191" s="41">
        <v>10070033</v>
      </c>
      <c r="F1191" s="46" t="s">
        <v>215</v>
      </c>
      <c r="G1191" s="39" t="s">
        <v>92</v>
      </c>
      <c r="H1191" s="48" t="s">
        <v>93</v>
      </c>
      <c r="I1191" s="52">
        <v>489</v>
      </c>
      <c r="J1191" s="49">
        <v>25835.62</v>
      </c>
      <c r="K1191" s="65">
        <v>489</v>
      </c>
      <c r="L1191" s="65">
        <v>25206.42</v>
      </c>
      <c r="M1191" s="65">
        <v>0</v>
      </c>
      <c r="N1191" s="65">
        <v>0</v>
      </c>
      <c r="O1191" s="65">
        <v>489</v>
      </c>
      <c r="P1191" s="65">
        <v>25206.42</v>
      </c>
      <c r="Q1191" s="50">
        <v>25206.42</v>
      </c>
      <c r="R1191" s="65">
        <v>0</v>
      </c>
      <c r="S1191" s="65">
        <v>0</v>
      </c>
      <c r="T1191" s="65">
        <v>0</v>
      </c>
      <c r="U1191" s="65">
        <v>0</v>
      </c>
      <c r="V1191" s="65">
        <v>0</v>
      </c>
      <c r="W1191" s="65">
        <v>0</v>
      </c>
      <c r="X1191" s="65">
        <v>25207</v>
      </c>
      <c r="Y1191" s="65">
        <v>0</v>
      </c>
      <c r="Z1191" s="65">
        <v>0</v>
      </c>
      <c r="AA1191" s="51">
        <v>629</v>
      </c>
      <c r="AB1191" s="102">
        <v>0</v>
      </c>
      <c r="AC1191" s="81">
        <f t="shared" si="57"/>
        <v>222.95770224948873</v>
      </c>
      <c r="AD1191" s="82">
        <f t="shared" si="58"/>
        <v>69.857142857142861</v>
      </c>
      <c r="AE1191" s="218">
        <v>2.4353973312813887E-2</v>
      </c>
      <c r="AF1191">
        <v>2</v>
      </c>
      <c r="AH1191" t="str">
        <f t="shared" si="56"/>
        <v>Parbatta</v>
      </c>
      <c r="AJ1191" s="72">
        <v>0</v>
      </c>
      <c r="AK1191" s="72"/>
      <c r="AL1191" s="72"/>
      <c r="AM1191" s="72"/>
    </row>
    <row r="1192" spans="1:39" x14ac:dyDescent="0.25">
      <c r="A1192" s="37" t="s">
        <v>62</v>
      </c>
      <c r="B1192" s="66" t="s">
        <v>1638</v>
      </c>
      <c r="C1192" s="47">
        <v>1056</v>
      </c>
      <c r="D1192" s="47" t="s">
        <v>816</v>
      </c>
      <c r="E1192" s="41">
        <v>10070036</v>
      </c>
      <c r="F1192" s="46" t="s">
        <v>1615</v>
      </c>
      <c r="G1192" s="39" t="s">
        <v>92</v>
      </c>
      <c r="H1192" s="48" t="s">
        <v>98</v>
      </c>
      <c r="I1192" s="52">
        <v>19.899999999999999</v>
      </c>
      <c r="J1192" s="49">
        <v>998.18</v>
      </c>
      <c r="K1192" s="65">
        <v>0</v>
      </c>
      <c r="L1192" s="65">
        <v>0</v>
      </c>
      <c r="M1192" s="65">
        <v>0</v>
      </c>
      <c r="N1192" s="65">
        <v>0</v>
      </c>
      <c r="O1192" s="65">
        <v>0</v>
      </c>
      <c r="P1192" s="65">
        <v>0</v>
      </c>
      <c r="Q1192" s="50">
        <v>998.18</v>
      </c>
      <c r="R1192" s="65">
        <v>0</v>
      </c>
      <c r="S1192" s="65">
        <v>0</v>
      </c>
      <c r="T1192" s="65">
        <v>0</v>
      </c>
      <c r="U1192" s="65">
        <v>0</v>
      </c>
      <c r="V1192" s="65">
        <v>0</v>
      </c>
      <c r="W1192" s="65">
        <v>0</v>
      </c>
      <c r="X1192" s="65">
        <v>0</v>
      </c>
      <c r="Y1192" s="65">
        <v>0</v>
      </c>
      <c r="Z1192" s="65">
        <v>998.18</v>
      </c>
      <c r="AA1192" s="51">
        <v>0</v>
      </c>
      <c r="AB1192" s="102">
        <v>0</v>
      </c>
      <c r="AC1192" s="81">
        <f t="shared" si="57"/>
        <v>682.27358592964822</v>
      </c>
      <c r="AD1192" s="82">
        <f t="shared" si="58"/>
        <v>2.8428571428571425</v>
      </c>
      <c r="AE1192" s="218">
        <v>0</v>
      </c>
      <c r="AF1192">
        <v>0</v>
      </c>
      <c r="AH1192" t="str">
        <f t="shared" si="56"/>
        <v>Chautham</v>
      </c>
      <c r="AJ1192" s="72">
        <v>0</v>
      </c>
      <c r="AK1192" s="72"/>
      <c r="AL1192" s="72"/>
      <c r="AM1192" s="72"/>
    </row>
    <row r="1193" spans="1:39" x14ac:dyDescent="0.25">
      <c r="A1193" s="37" t="s">
        <v>62</v>
      </c>
      <c r="B1193" s="66" t="s">
        <v>1638</v>
      </c>
      <c r="C1193" s="47">
        <v>1056</v>
      </c>
      <c r="D1193" s="47" t="s">
        <v>816</v>
      </c>
      <c r="E1193" s="41">
        <v>10070039</v>
      </c>
      <c r="F1193" s="46" t="s">
        <v>1219</v>
      </c>
      <c r="G1193" s="39" t="s">
        <v>1610</v>
      </c>
      <c r="H1193" s="48" t="s">
        <v>98</v>
      </c>
      <c r="I1193" s="52">
        <v>130.18</v>
      </c>
      <c r="J1193" s="49">
        <v>4599.5999999999995</v>
      </c>
      <c r="K1193" s="65">
        <v>0</v>
      </c>
      <c r="L1193" s="65">
        <v>0</v>
      </c>
      <c r="M1193" s="65">
        <v>0</v>
      </c>
      <c r="N1193" s="65">
        <v>0</v>
      </c>
      <c r="O1193" s="65">
        <v>0</v>
      </c>
      <c r="P1193" s="65">
        <v>0</v>
      </c>
      <c r="Q1193" s="50">
        <v>4599.5999999999995</v>
      </c>
      <c r="R1193" s="65">
        <v>0</v>
      </c>
      <c r="S1193" s="65">
        <v>0</v>
      </c>
      <c r="T1193" s="65">
        <v>0</v>
      </c>
      <c r="U1193" s="65">
        <v>0</v>
      </c>
      <c r="V1193" s="65">
        <v>0</v>
      </c>
      <c r="W1193" s="65">
        <v>0</v>
      </c>
      <c r="X1193" s="65">
        <v>0</v>
      </c>
      <c r="Y1193" s="65">
        <v>0</v>
      </c>
      <c r="Z1193" s="65">
        <v>4599.5999999999995</v>
      </c>
      <c r="AA1193" s="51">
        <v>0</v>
      </c>
      <c r="AB1193" s="102">
        <v>0</v>
      </c>
      <c r="AC1193" s="81">
        <f t="shared" si="57"/>
        <v>402.66462928253191</v>
      </c>
      <c r="AD1193" s="82">
        <f t="shared" si="58"/>
        <v>18.59714285714286</v>
      </c>
      <c r="AE1193" s="218">
        <v>0</v>
      </c>
      <c r="AF1193">
        <v>0</v>
      </c>
      <c r="AH1193" t="str">
        <f t="shared" ref="AH1193:AH1252" si="59">TEXT(D1193,"0000")</f>
        <v>Chautham</v>
      </c>
      <c r="AJ1193" s="72">
        <v>0</v>
      </c>
      <c r="AK1193" s="72"/>
      <c r="AL1193" s="72"/>
      <c r="AM1193" s="72"/>
    </row>
    <row r="1194" spans="1:39" x14ac:dyDescent="0.25">
      <c r="A1194" s="37" t="s">
        <v>62</v>
      </c>
      <c r="B1194" s="66" t="s">
        <v>1638</v>
      </c>
      <c r="C1194" s="47">
        <v>1007</v>
      </c>
      <c r="D1194" s="47" t="s">
        <v>203</v>
      </c>
      <c r="E1194" s="41">
        <v>10070042</v>
      </c>
      <c r="F1194" s="46" t="s">
        <v>216</v>
      </c>
      <c r="G1194" s="39" t="s">
        <v>92</v>
      </c>
      <c r="H1194" s="48" t="s">
        <v>93</v>
      </c>
      <c r="I1194" s="52">
        <v>193.59999999999997</v>
      </c>
      <c r="J1194" s="49">
        <v>7936.1100000000006</v>
      </c>
      <c r="K1194" s="65">
        <v>193.6</v>
      </c>
      <c r="L1194" s="65">
        <v>7966.64</v>
      </c>
      <c r="M1194" s="65">
        <v>0</v>
      </c>
      <c r="N1194" s="65">
        <v>0</v>
      </c>
      <c r="O1194" s="65">
        <v>193.6</v>
      </c>
      <c r="P1194" s="65">
        <v>7966.64</v>
      </c>
      <c r="Q1194" s="50">
        <v>7936.1100000000006</v>
      </c>
      <c r="R1194" s="65">
        <v>0</v>
      </c>
      <c r="S1194" s="65">
        <v>0</v>
      </c>
      <c r="T1194" s="65">
        <v>30.529999999999745</v>
      </c>
      <c r="U1194" s="65">
        <v>0</v>
      </c>
      <c r="V1194" s="65">
        <v>0</v>
      </c>
      <c r="W1194" s="65">
        <v>0</v>
      </c>
      <c r="X1194" s="65">
        <v>7936</v>
      </c>
      <c r="Y1194" s="65">
        <v>0</v>
      </c>
      <c r="Z1194" s="65">
        <v>0</v>
      </c>
      <c r="AA1194" s="51">
        <v>0</v>
      </c>
      <c r="AB1194" s="102">
        <v>0</v>
      </c>
      <c r="AC1194" s="81">
        <f t="shared" si="57"/>
        <v>415.17005206611589</v>
      </c>
      <c r="AD1194" s="82">
        <f t="shared" si="58"/>
        <v>27.657142857142851</v>
      </c>
      <c r="AE1194" s="218">
        <v>-3.8469728872205329E-3</v>
      </c>
      <c r="AF1194">
        <v>1</v>
      </c>
      <c r="AH1194" t="str">
        <f t="shared" si="59"/>
        <v>Araria</v>
      </c>
      <c r="AJ1194" s="72">
        <v>0</v>
      </c>
      <c r="AK1194" s="72"/>
      <c r="AL1194" s="72"/>
      <c r="AM1194" s="72"/>
    </row>
    <row r="1195" spans="1:39" x14ac:dyDescent="0.25">
      <c r="A1195" s="37" t="s">
        <v>62</v>
      </c>
      <c r="B1195" s="66" t="s">
        <v>1638</v>
      </c>
      <c r="C1195" s="47">
        <v>1007</v>
      </c>
      <c r="D1195" s="47" t="s">
        <v>203</v>
      </c>
      <c r="E1195" s="41">
        <v>10070043</v>
      </c>
      <c r="F1195" s="46" t="s">
        <v>203</v>
      </c>
      <c r="G1195" s="39" t="s">
        <v>1610</v>
      </c>
      <c r="H1195" s="48" t="s">
        <v>98</v>
      </c>
      <c r="I1195" s="52">
        <v>14258.600000000002</v>
      </c>
      <c r="J1195" s="49">
        <v>564637.75999999989</v>
      </c>
      <c r="K1195" s="65">
        <v>0</v>
      </c>
      <c r="L1195" s="65">
        <v>0</v>
      </c>
      <c r="M1195" s="65">
        <v>0</v>
      </c>
      <c r="N1195" s="65">
        <v>0</v>
      </c>
      <c r="O1195" s="65">
        <v>0</v>
      </c>
      <c r="P1195" s="65">
        <v>0</v>
      </c>
      <c r="Q1195" s="50">
        <v>564637.75999999989</v>
      </c>
      <c r="R1195" s="65">
        <v>0</v>
      </c>
      <c r="S1195" s="65">
        <v>0</v>
      </c>
      <c r="T1195" s="65">
        <v>0</v>
      </c>
      <c r="U1195" s="65">
        <v>0</v>
      </c>
      <c r="V1195" s="65">
        <v>0</v>
      </c>
      <c r="W1195" s="65">
        <v>0</v>
      </c>
      <c r="X1195" s="65">
        <v>0</v>
      </c>
      <c r="Y1195" s="65">
        <v>0</v>
      </c>
      <c r="Z1195" s="65">
        <v>564637.75999999989</v>
      </c>
      <c r="AA1195" s="51">
        <v>0</v>
      </c>
      <c r="AB1195" s="102">
        <v>0</v>
      </c>
      <c r="AC1195" s="81">
        <f t="shared" si="57"/>
        <v>0</v>
      </c>
      <c r="AD1195" s="82">
        <f t="shared" si="58"/>
        <v>0</v>
      </c>
      <c r="AE1195" s="218">
        <v>0</v>
      </c>
      <c r="AF1195">
        <v>0</v>
      </c>
      <c r="AH1195" t="str">
        <f t="shared" si="59"/>
        <v>Araria</v>
      </c>
      <c r="AJ1195" s="72">
        <v>0</v>
      </c>
      <c r="AK1195" s="72"/>
      <c r="AL1195" s="72"/>
      <c r="AM1195" s="72"/>
    </row>
    <row r="1196" spans="1:39" x14ac:dyDescent="0.25">
      <c r="A1196" s="37" t="s">
        <v>62</v>
      </c>
      <c r="B1196" s="66" t="s">
        <v>1638</v>
      </c>
      <c r="C1196" s="47">
        <v>1007</v>
      </c>
      <c r="D1196" s="47" t="s">
        <v>203</v>
      </c>
      <c r="E1196" s="41">
        <v>10070045</v>
      </c>
      <c r="F1196" s="46" t="s">
        <v>209</v>
      </c>
      <c r="G1196" s="39" t="s">
        <v>92</v>
      </c>
      <c r="H1196" s="48" t="s">
        <v>93</v>
      </c>
      <c r="I1196" s="52">
        <v>30.3</v>
      </c>
      <c r="J1196" s="49">
        <v>1154.43</v>
      </c>
      <c r="K1196" s="65">
        <v>30.3</v>
      </c>
      <c r="L1196" s="65">
        <v>1183.52</v>
      </c>
      <c r="M1196" s="65">
        <v>0</v>
      </c>
      <c r="N1196" s="65">
        <v>0</v>
      </c>
      <c r="O1196" s="65">
        <v>30.3</v>
      </c>
      <c r="P1196" s="65">
        <v>1183.52</v>
      </c>
      <c r="Q1196" s="50">
        <v>1154.43</v>
      </c>
      <c r="R1196" s="65">
        <v>0</v>
      </c>
      <c r="S1196" s="65">
        <v>0</v>
      </c>
      <c r="T1196" s="65">
        <v>29.089999999999918</v>
      </c>
      <c r="U1196" s="65">
        <v>0</v>
      </c>
      <c r="V1196" s="65">
        <v>0</v>
      </c>
      <c r="W1196" s="65">
        <v>0</v>
      </c>
      <c r="X1196" s="65">
        <v>1154</v>
      </c>
      <c r="Y1196" s="65">
        <v>0</v>
      </c>
      <c r="Z1196" s="65">
        <v>0</v>
      </c>
      <c r="AA1196" s="51">
        <v>0</v>
      </c>
      <c r="AB1196" s="102">
        <v>0</v>
      </c>
      <c r="AC1196" s="81">
        <f t="shared" si="57"/>
        <v>510.31140000000011</v>
      </c>
      <c r="AD1196" s="82">
        <f t="shared" si="58"/>
        <v>4.3285714285714283</v>
      </c>
      <c r="AE1196" s="218">
        <v>-2.5198582850410954E-2</v>
      </c>
      <c r="AF1196">
        <v>1</v>
      </c>
      <c r="AH1196" t="str">
        <f t="shared" si="59"/>
        <v>Araria</v>
      </c>
      <c r="AJ1196" s="72">
        <v>0</v>
      </c>
      <c r="AK1196" s="72"/>
      <c r="AL1196" s="72"/>
      <c r="AM1196" s="72"/>
    </row>
    <row r="1197" spans="1:39" x14ac:dyDescent="0.25">
      <c r="A1197" s="37" t="s">
        <v>62</v>
      </c>
      <c r="B1197" s="66" t="s">
        <v>1638</v>
      </c>
      <c r="C1197" s="47">
        <v>1056</v>
      </c>
      <c r="D1197" s="47" t="s">
        <v>816</v>
      </c>
      <c r="E1197" s="41">
        <v>10070046</v>
      </c>
      <c r="F1197" s="46" t="s">
        <v>491</v>
      </c>
      <c r="G1197" s="39" t="s">
        <v>92</v>
      </c>
      <c r="H1197" s="48" t="s">
        <v>93</v>
      </c>
      <c r="I1197" s="52">
        <v>1678.12</v>
      </c>
      <c r="J1197" s="49">
        <v>66635.739999999991</v>
      </c>
      <c r="K1197" s="65">
        <v>1759.36</v>
      </c>
      <c r="L1197" s="65">
        <v>71915.47</v>
      </c>
      <c r="M1197" s="65">
        <v>5.6000000000000005</v>
      </c>
      <c r="N1197" s="65">
        <v>203.99</v>
      </c>
      <c r="O1197" s="65">
        <v>1764.9599999999998</v>
      </c>
      <c r="P1197" s="65">
        <v>72119.460000000006</v>
      </c>
      <c r="Q1197" s="50">
        <v>66635.739999999991</v>
      </c>
      <c r="R1197" s="65">
        <v>0</v>
      </c>
      <c r="S1197" s="65">
        <v>203.99</v>
      </c>
      <c r="T1197" s="65">
        <v>5483.7200000000157</v>
      </c>
      <c r="U1197" s="65">
        <v>0</v>
      </c>
      <c r="V1197" s="65">
        <v>0</v>
      </c>
      <c r="W1197" s="65">
        <v>0</v>
      </c>
      <c r="X1197" s="65">
        <v>66432</v>
      </c>
      <c r="Y1197" s="65">
        <v>0</v>
      </c>
      <c r="Z1197" s="65">
        <v>0</v>
      </c>
      <c r="AA1197" s="51">
        <v>0</v>
      </c>
      <c r="AB1197" s="102">
        <v>0</v>
      </c>
      <c r="AC1197" s="81">
        <f t="shared" si="57"/>
        <v>0</v>
      </c>
      <c r="AD1197" s="82">
        <f t="shared" si="58"/>
        <v>0</v>
      </c>
      <c r="AE1197" s="218">
        <v>-8.2293976175548081E-2</v>
      </c>
      <c r="AF1197">
        <v>7</v>
      </c>
      <c r="AH1197" t="str">
        <f t="shared" si="59"/>
        <v>Chautham</v>
      </c>
      <c r="AJ1197" s="72">
        <v>0</v>
      </c>
      <c r="AK1197" s="72"/>
      <c r="AL1197" s="72"/>
      <c r="AM1197" s="72"/>
    </row>
    <row r="1198" spans="1:39" x14ac:dyDescent="0.25">
      <c r="A1198" s="37" t="s">
        <v>62</v>
      </c>
      <c r="B1198" s="66" t="s">
        <v>1638</v>
      </c>
      <c r="C1198" s="47">
        <v>1010</v>
      </c>
      <c r="D1198" s="47" t="s">
        <v>1311</v>
      </c>
      <c r="E1198" s="41">
        <v>10070048</v>
      </c>
      <c r="F1198" s="46" t="s">
        <v>513</v>
      </c>
      <c r="G1198" s="39" t="s">
        <v>92</v>
      </c>
      <c r="H1198" s="48" t="s">
        <v>93</v>
      </c>
      <c r="I1198" s="52">
        <v>1645.8000000000002</v>
      </c>
      <c r="J1198" s="49">
        <v>66806.73</v>
      </c>
      <c r="K1198" s="65">
        <v>1663.4599999999998</v>
      </c>
      <c r="L1198" s="65">
        <v>69750.289999999994</v>
      </c>
      <c r="M1198" s="65">
        <v>0</v>
      </c>
      <c r="N1198" s="65">
        <v>0</v>
      </c>
      <c r="O1198" s="65">
        <v>1663.4599999999998</v>
      </c>
      <c r="P1198" s="65">
        <v>69750.289999999994</v>
      </c>
      <c r="Q1198" s="50">
        <v>66806.73</v>
      </c>
      <c r="R1198" s="65">
        <v>0</v>
      </c>
      <c r="S1198" s="65">
        <v>0</v>
      </c>
      <c r="T1198" s="65">
        <v>2943.5599999999977</v>
      </c>
      <c r="U1198" s="65">
        <v>0</v>
      </c>
      <c r="V1198" s="65">
        <v>0</v>
      </c>
      <c r="W1198" s="65">
        <v>0</v>
      </c>
      <c r="X1198" s="65">
        <v>66807</v>
      </c>
      <c r="Y1198" s="65">
        <v>0</v>
      </c>
      <c r="Z1198" s="65">
        <v>0</v>
      </c>
      <c r="AA1198" s="51">
        <v>0</v>
      </c>
      <c r="AB1198" s="102">
        <v>0</v>
      </c>
      <c r="AC1198" s="81">
        <f t="shared" si="57"/>
        <v>0</v>
      </c>
      <c r="AD1198" s="82">
        <f t="shared" si="58"/>
        <v>0</v>
      </c>
      <c r="AE1198" s="218">
        <v>-4.4060830398374502E-2</v>
      </c>
      <c r="AF1198">
        <v>8</v>
      </c>
      <c r="AH1198" t="str">
        <f t="shared" si="59"/>
        <v>Parbatta</v>
      </c>
      <c r="AJ1198" s="72">
        <v>0</v>
      </c>
      <c r="AK1198" s="72"/>
      <c r="AL1198" s="72"/>
      <c r="AM1198" s="72"/>
    </row>
    <row r="1199" spans="1:39" x14ac:dyDescent="0.25">
      <c r="A1199" s="37" t="s">
        <v>62</v>
      </c>
      <c r="B1199" s="66" t="s">
        <v>1638</v>
      </c>
      <c r="C1199" s="47">
        <v>1056</v>
      </c>
      <c r="D1199" s="47" t="s">
        <v>816</v>
      </c>
      <c r="E1199" s="41">
        <v>10070053</v>
      </c>
      <c r="F1199" s="46" t="s">
        <v>1262</v>
      </c>
      <c r="G1199" s="39" t="s">
        <v>92</v>
      </c>
      <c r="H1199" s="48" t="s">
        <v>93</v>
      </c>
      <c r="I1199" s="52">
        <v>245.39999999999998</v>
      </c>
      <c r="J1199" s="49">
        <v>9101.91</v>
      </c>
      <c r="K1199" s="65">
        <v>257.54000000000002</v>
      </c>
      <c r="L1199" s="65">
        <v>11065.34</v>
      </c>
      <c r="M1199" s="65">
        <v>0</v>
      </c>
      <c r="N1199" s="65">
        <v>0</v>
      </c>
      <c r="O1199" s="65">
        <v>257.54000000000002</v>
      </c>
      <c r="P1199" s="65">
        <v>11065.34</v>
      </c>
      <c r="Q1199" s="50">
        <v>9101.91</v>
      </c>
      <c r="R1199" s="65">
        <v>0</v>
      </c>
      <c r="S1199" s="65">
        <v>0</v>
      </c>
      <c r="T1199" s="65">
        <v>1963.4300000000003</v>
      </c>
      <c r="U1199" s="65">
        <v>0</v>
      </c>
      <c r="V1199" s="65">
        <v>0</v>
      </c>
      <c r="W1199" s="65">
        <v>0</v>
      </c>
      <c r="X1199" s="65">
        <v>9102</v>
      </c>
      <c r="Y1199" s="65">
        <v>0</v>
      </c>
      <c r="Z1199" s="65">
        <v>0</v>
      </c>
      <c r="AA1199" s="51">
        <v>0</v>
      </c>
      <c r="AB1199" s="102" t="s">
        <v>1366</v>
      </c>
      <c r="AC1199" s="81">
        <f t="shared" si="57"/>
        <v>337.22316919315409</v>
      </c>
      <c r="AD1199" s="82">
        <f t="shared" si="58"/>
        <v>35.057142857142857</v>
      </c>
      <c r="AE1199" s="218">
        <v>-0.21571626175165437</v>
      </c>
      <c r="AF1199">
        <v>2</v>
      </c>
      <c r="AH1199" t="str">
        <f t="shared" si="59"/>
        <v>Chautham</v>
      </c>
      <c r="AJ1199" s="72">
        <v>0</v>
      </c>
      <c r="AK1199" s="72"/>
      <c r="AL1199" s="72"/>
      <c r="AM1199" s="72"/>
    </row>
    <row r="1200" spans="1:39" x14ac:dyDescent="0.25">
      <c r="A1200" s="37" t="s">
        <v>62</v>
      </c>
      <c r="B1200" s="66" t="s">
        <v>1638</v>
      </c>
      <c r="C1200" s="47">
        <v>1056</v>
      </c>
      <c r="D1200" s="47" t="s">
        <v>816</v>
      </c>
      <c r="E1200" s="41">
        <v>10070056</v>
      </c>
      <c r="F1200" s="46" t="s">
        <v>524</v>
      </c>
      <c r="G1200" s="39" t="s">
        <v>1610</v>
      </c>
      <c r="H1200" s="48" t="s">
        <v>98</v>
      </c>
      <c r="I1200" s="52">
        <v>183.71999999999997</v>
      </c>
      <c r="J1200" s="49">
        <v>7814.01</v>
      </c>
      <c r="K1200" s="65">
        <v>0</v>
      </c>
      <c r="L1200" s="65">
        <v>0</v>
      </c>
      <c r="M1200" s="65">
        <v>0</v>
      </c>
      <c r="N1200" s="65">
        <v>0</v>
      </c>
      <c r="O1200" s="65">
        <v>0</v>
      </c>
      <c r="P1200" s="65">
        <v>0</v>
      </c>
      <c r="Q1200" s="50">
        <v>7814.01</v>
      </c>
      <c r="R1200" s="65">
        <v>0</v>
      </c>
      <c r="S1200" s="65">
        <v>0</v>
      </c>
      <c r="T1200" s="65">
        <v>0</v>
      </c>
      <c r="U1200" s="65">
        <v>0</v>
      </c>
      <c r="V1200" s="65">
        <v>0</v>
      </c>
      <c r="W1200" s="65">
        <v>0</v>
      </c>
      <c r="X1200" s="65">
        <v>0</v>
      </c>
      <c r="Y1200" s="65">
        <v>0</v>
      </c>
      <c r="Z1200" s="65">
        <v>7814.01</v>
      </c>
      <c r="AA1200" s="51">
        <v>0</v>
      </c>
      <c r="AB1200" s="102">
        <v>0</v>
      </c>
      <c r="AC1200" s="81">
        <f t="shared" si="57"/>
        <v>439.17015924232533</v>
      </c>
      <c r="AD1200" s="82">
        <f t="shared" si="58"/>
        <v>26.245714285714282</v>
      </c>
      <c r="AE1200" s="218">
        <v>0</v>
      </c>
      <c r="AF1200">
        <v>0</v>
      </c>
      <c r="AH1200" t="str">
        <f t="shared" si="59"/>
        <v>Chautham</v>
      </c>
      <c r="AJ1200" s="72">
        <v>0</v>
      </c>
      <c r="AK1200" s="72"/>
      <c r="AL1200" s="72"/>
      <c r="AM1200" s="72"/>
    </row>
    <row r="1201" spans="1:39" x14ac:dyDescent="0.25">
      <c r="A1201" s="37" t="s">
        <v>62</v>
      </c>
      <c r="B1201" s="66" t="s">
        <v>1638</v>
      </c>
      <c r="C1201" s="47">
        <v>1056</v>
      </c>
      <c r="D1201" s="47" t="s">
        <v>816</v>
      </c>
      <c r="E1201" s="41">
        <v>10070058</v>
      </c>
      <c r="F1201" s="46" t="s">
        <v>1254</v>
      </c>
      <c r="G1201" s="39" t="s">
        <v>1610</v>
      </c>
      <c r="H1201" s="48" t="s">
        <v>98</v>
      </c>
      <c r="I1201" s="52">
        <v>165.26</v>
      </c>
      <c r="J1201" s="49">
        <v>5666.2000000000007</v>
      </c>
      <c r="K1201" s="65">
        <v>0</v>
      </c>
      <c r="L1201" s="65">
        <v>0</v>
      </c>
      <c r="M1201" s="65">
        <v>0</v>
      </c>
      <c r="N1201" s="65">
        <v>0</v>
      </c>
      <c r="O1201" s="65">
        <v>0</v>
      </c>
      <c r="P1201" s="65">
        <v>0</v>
      </c>
      <c r="Q1201" s="50">
        <v>5666.2000000000007</v>
      </c>
      <c r="R1201" s="65">
        <v>0</v>
      </c>
      <c r="S1201" s="65">
        <v>0</v>
      </c>
      <c r="T1201" s="65">
        <v>0</v>
      </c>
      <c r="U1201" s="65">
        <v>0</v>
      </c>
      <c r="V1201" s="65">
        <v>0</v>
      </c>
      <c r="W1201" s="65">
        <v>0</v>
      </c>
      <c r="X1201" s="65">
        <v>0</v>
      </c>
      <c r="Y1201" s="65">
        <v>0</v>
      </c>
      <c r="Z1201" s="65">
        <v>5666.2000000000007</v>
      </c>
      <c r="AA1201" s="51">
        <v>0</v>
      </c>
      <c r="AB1201" s="102">
        <v>0</v>
      </c>
      <c r="AC1201" s="81">
        <f t="shared" si="57"/>
        <v>366.68810214207923</v>
      </c>
      <c r="AD1201" s="82">
        <f t="shared" si="58"/>
        <v>23.608571428571427</v>
      </c>
      <c r="AE1201" s="218">
        <v>0</v>
      </c>
      <c r="AF1201">
        <v>0</v>
      </c>
      <c r="AH1201" t="str">
        <f t="shared" si="59"/>
        <v>Chautham</v>
      </c>
      <c r="AJ1201" s="72">
        <v>0</v>
      </c>
      <c r="AK1201" s="72"/>
      <c r="AL1201" s="72"/>
      <c r="AM1201" s="72"/>
    </row>
    <row r="1202" spans="1:39" x14ac:dyDescent="0.25">
      <c r="A1202" s="37" t="s">
        <v>62</v>
      </c>
      <c r="B1202" s="66" t="s">
        <v>1638</v>
      </c>
      <c r="C1202" s="47">
        <v>1056</v>
      </c>
      <c r="D1202" s="47" t="s">
        <v>816</v>
      </c>
      <c r="E1202" s="41">
        <v>10070059</v>
      </c>
      <c r="F1202" s="46" t="s">
        <v>552</v>
      </c>
      <c r="G1202" s="39" t="s">
        <v>1610</v>
      </c>
      <c r="H1202" s="48" t="s">
        <v>98</v>
      </c>
      <c r="I1202" s="52">
        <v>480.21999999999997</v>
      </c>
      <c r="J1202" s="49">
        <v>18927.22</v>
      </c>
      <c r="K1202" s="65">
        <v>0</v>
      </c>
      <c r="L1202" s="65">
        <v>0</v>
      </c>
      <c r="M1202" s="65">
        <v>0</v>
      </c>
      <c r="N1202" s="65">
        <v>0</v>
      </c>
      <c r="O1202" s="65">
        <v>0</v>
      </c>
      <c r="P1202" s="65">
        <v>0</v>
      </c>
      <c r="Q1202" s="50">
        <v>18927.22</v>
      </c>
      <c r="R1202" s="65">
        <v>0</v>
      </c>
      <c r="S1202" s="65">
        <v>0</v>
      </c>
      <c r="T1202" s="65">
        <v>0</v>
      </c>
      <c r="U1202" s="65">
        <v>0</v>
      </c>
      <c r="V1202" s="65">
        <v>0</v>
      </c>
      <c r="W1202" s="65">
        <v>0</v>
      </c>
      <c r="X1202" s="65">
        <v>0</v>
      </c>
      <c r="Y1202" s="65">
        <v>0</v>
      </c>
      <c r="Z1202" s="65">
        <v>18927.22</v>
      </c>
      <c r="AA1202" s="51">
        <v>0</v>
      </c>
      <c r="AB1202" s="102">
        <v>0</v>
      </c>
      <c r="AC1202" s="81">
        <f t="shared" si="57"/>
        <v>173.24661245262595</v>
      </c>
      <c r="AD1202" s="82">
        <f t="shared" si="58"/>
        <v>68.602857142857133</v>
      </c>
      <c r="AE1202" s="218">
        <v>0</v>
      </c>
      <c r="AF1202">
        <v>0</v>
      </c>
      <c r="AH1202" t="str">
        <f t="shared" si="59"/>
        <v>Chautham</v>
      </c>
      <c r="AJ1202" s="72">
        <v>0</v>
      </c>
      <c r="AK1202" s="72"/>
      <c r="AL1202" s="72"/>
      <c r="AM1202" s="72"/>
    </row>
    <row r="1203" spans="1:39" x14ac:dyDescent="0.25">
      <c r="A1203" s="37" t="s">
        <v>62</v>
      </c>
      <c r="B1203" s="66" t="s">
        <v>1638</v>
      </c>
      <c r="C1203" s="47">
        <v>1056</v>
      </c>
      <c r="D1203" s="47" t="s">
        <v>816</v>
      </c>
      <c r="E1203" s="41">
        <v>10070060</v>
      </c>
      <c r="F1203" s="46" t="s">
        <v>1300</v>
      </c>
      <c r="G1203" s="39" t="s">
        <v>1610</v>
      </c>
      <c r="H1203" s="48" t="s">
        <v>98</v>
      </c>
      <c r="I1203" s="52">
        <v>152.19999999999999</v>
      </c>
      <c r="J1203" s="49">
        <v>5880.23</v>
      </c>
      <c r="K1203" s="65">
        <v>0</v>
      </c>
      <c r="L1203" s="65">
        <v>0</v>
      </c>
      <c r="M1203" s="65">
        <v>0</v>
      </c>
      <c r="N1203" s="65">
        <v>0</v>
      </c>
      <c r="O1203" s="65">
        <v>0</v>
      </c>
      <c r="P1203" s="65">
        <v>0</v>
      </c>
      <c r="Q1203" s="50">
        <v>5880.23</v>
      </c>
      <c r="R1203" s="65">
        <v>0</v>
      </c>
      <c r="S1203" s="65">
        <v>0</v>
      </c>
      <c r="T1203" s="65">
        <v>0</v>
      </c>
      <c r="U1203" s="65">
        <v>0</v>
      </c>
      <c r="V1203" s="65">
        <v>0</v>
      </c>
      <c r="W1203" s="65">
        <v>0</v>
      </c>
      <c r="X1203" s="65">
        <v>0</v>
      </c>
      <c r="Y1203" s="65">
        <v>0</v>
      </c>
      <c r="Z1203" s="65">
        <v>5880.23</v>
      </c>
      <c r="AA1203" s="51">
        <v>0</v>
      </c>
      <c r="AB1203" s="102">
        <v>0</v>
      </c>
      <c r="AC1203" s="81">
        <f t="shared" si="57"/>
        <v>423.2838362680684</v>
      </c>
      <c r="AD1203" s="82">
        <f t="shared" si="58"/>
        <v>21.74285714285714</v>
      </c>
      <c r="AE1203" s="218">
        <v>0</v>
      </c>
      <c r="AF1203">
        <v>0</v>
      </c>
      <c r="AH1203" t="str">
        <f t="shared" si="59"/>
        <v>Chautham</v>
      </c>
      <c r="AJ1203" s="72">
        <v>0</v>
      </c>
      <c r="AK1203" s="72"/>
      <c r="AL1203" s="72"/>
      <c r="AM1203" s="72"/>
    </row>
    <row r="1204" spans="1:39" x14ac:dyDescent="0.25">
      <c r="A1204" s="37" t="s">
        <v>62</v>
      </c>
      <c r="B1204" s="66" t="s">
        <v>1638</v>
      </c>
      <c r="C1204" s="47">
        <v>1007</v>
      </c>
      <c r="D1204" s="47" t="s">
        <v>203</v>
      </c>
      <c r="E1204" s="41">
        <v>10070061</v>
      </c>
      <c r="F1204" s="46" t="s">
        <v>557</v>
      </c>
      <c r="G1204" s="39" t="s">
        <v>1610</v>
      </c>
      <c r="H1204" s="48" t="s">
        <v>98</v>
      </c>
      <c r="I1204" s="52">
        <v>345.3</v>
      </c>
      <c r="J1204" s="49">
        <v>13156.59</v>
      </c>
      <c r="K1204" s="65">
        <v>0</v>
      </c>
      <c r="L1204" s="65">
        <v>0</v>
      </c>
      <c r="M1204" s="65">
        <v>0</v>
      </c>
      <c r="N1204" s="65">
        <v>0</v>
      </c>
      <c r="O1204" s="65">
        <v>0</v>
      </c>
      <c r="P1204" s="65">
        <v>0</v>
      </c>
      <c r="Q1204" s="50">
        <v>13156.59</v>
      </c>
      <c r="R1204" s="65">
        <v>0</v>
      </c>
      <c r="S1204" s="65">
        <v>0</v>
      </c>
      <c r="T1204" s="65">
        <v>0</v>
      </c>
      <c r="U1204" s="65">
        <v>0</v>
      </c>
      <c r="V1204" s="65">
        <v>0</v>
      </c>
      <c r="W1204" s="65">
        <v>0</v>
      </c>
      <c r="X1204" s="65">
        <v>0</v>
      </c>
      <c r="Y1204" s="65">
        <v>0</v>
      </c>
      <c r="Z1204" s="65">
        <v>13156.59</v>
      </c>
      <c r="AA1204" s="51">
        <v>0</v>
      </c>
      <c r="AB1204" s="102">
        <v>0</v>
      </c>
      <c r="AC1204" s="81">
        <f t="shared" si="57"/>
        <v>270.29495933970458</v>
      </c>
      <c r="AD1204" s="82">
        <f t="shared" si="58"/>
        <v>49.328571428571429</v>
      </c>
      <c r="AE1204" s="218">
        <v>0</v>
      </c>
      <c r="AF1204">
        <v>0</v>
      </c>
      <c r="AH1204" t="str">
        <f t="shared" si="59"/>
        <v>Araria</v>
      </c>
      <c r="AJ1204" s="72">
        <v>0</v>
      </c>
      <c r="AK1204" s="72"/>
      <c r="AL1204" s="72"/>
      <c r="AM1204" s="72"/>
    </row>
    <row r="1205" spans="1:39" x14ac:dyDescent="0.25">
      <c r="A1205" s="37" t="s">
        <v>62</v>
      </c>
      <c r="B1205" s="66" t="s">
        <v>1638</v>
      </c>
      <c r="C1205" s="47">
        <v>1010</v>
      </c>
      <c r="D1205" s="47" t="s">
        <v>1311</v>
      </c>
      <c r="E1205" s="41">
        <v>10070063</v>
      </c>
      <c r="F1205" s="46" t="s">
        <v>623</v>
      </c>
      <c r="G1205" s="39" t="s">
        <v>92</v>
      </c>
      <c r="H1205" s="48" t="s">
        <v>93</v>
      </c>
      <c r="I1205" s="52">
        <v>341.79999999999995</v>
      </c>
      <c r="J1205" s="49">
        <v>14026.690000000002</v>
      </c>
      <c r="K1205" s="65">
        <v>341</v>
      </c>
      <c r="L1205" s="65">
        <v>14187.66</v>
      </c>
      <c r="M1205" s="65">
        <v>0</v>
      </c>
      <c r="N1205" s="65">
        <v>0</v>
      </c>
      <c r="O1205" s="65">
        <v>341</v>
      </c>
      <c r="P1205" s="65">
        <v>14187.66</v>
      </c>
      <c r="Q1205" s="50">
        <v>14026.690000000002</v>
      </c>
      <c r="R1205" s="65">
        <v>0</v>
      </c>
      <c r="S1205" s="65">
        <v>0</v>
      </c>
      <c r="T1205" s="65">
        <v>160.96999999999753</v>
      </c>
      <c r="U1205" s="65">
        <v>6750</v>
      </c>
      <c r="V1205" s="65">
        <v>0</v>
      </c>
      <c r="W1205" s="65">
        <v>0</v>
      </c>
      <c r="X1205" s="65">
        <v>7277</v>
      </c>
      <c r="Y1205" s="65">
        <v>0</v>
      </c>
      <c r="Z1205" s="65">
        <v>0</v>
      </c>
      <c r="AA1205" s="51">
        <v>0</v>
      </c>
      <c r="AB1205" s="102">
        <v>0</v>
      </c>
      <c r="AC1205" s="81">
        <f t="shared" si="57"/>
        <v>293.99416957284978</v>
      </c>
      <c r="AD1205" s="82">
        <f t="shared" si="58"/>
        <v>48.828571428571422</v>
      </c>
      <c r="AE1205" s="218">
        <v>-1.1475979008589874E-2</v>
      </c>
      <c r="AF1205">
        <v>1</v>
      </c>
      <c r="AH1205" t="str">
        <f t="shared" si="59"/>
        <v>Parbatta</v>
      </c>
      <c r="AJ1205" s="72">
        <v>0</v>
      </c>
      <c r="AK1205" s="72"/>
      <c r="AL1205" s="72"/>
      <c r="AM1205" s="72"/>
    </row>
    <row r="1206" spans="1:39" x14ac:dyDescent="0.25">
      <c r="A1206" s="37" t="s">
        <v>62</v>
      </c>
      <c r="B1206" s="66" t="s">
        <v>1638</v>
      </c>
      <c r="C1206" s="47">
        <v>1056</v>
      </c>
      <c r="D1206" s="47" t="s">
        <v>816</v>
      </c>
      <c r="E1206" s="41">
        <v>10070064</v>
      </c>
      <c r="F1206" s="46" t="s">
        <v>624</v>
      </c>
      <c r="G1206" s="39" t="s">
        <v>92</v>
      </c>
      <c r="H1206" s="48" t="s">
        <v>93</v>
      </c>
      <c r="I1206" s="52">
        <v>679.56</v>
      </c>
      <c r="J1206" s="49">
        <v>28372.559999999998</v>
      </c>
      <c r="K1206" s="65">
        <v>660.18000000000006</v>
      </c>
      <c r="L1206" s="65">
        <v>27462.89</v>
      </c>
      <c r="M1206" s="65">
        <v>28.560000000000006</v>
      </c>
      <c r="N1206" s="65">
        <v>1217.1899999999998</v>
      </c>
      <c r="O1206" s="65">
        <v>688.74000000000012</v>
      </c>
      <c r="P1206" s="65">
        <v>28680.079999999998</v>
      </c>
      <c r="Q1206" s="50">
        <v>28372.559999999998</v>
      </c>
      <c r="R1206" s="65">
        <v>0</v>
      </c>
      <c r="S1206" s="65">
        <v>1217.1899999999998</v>
      </c>
      <c r="T1206" s="65">
        <v>307.52000000000044</v>
      </c>
      <c r="U1206" s="65">
        <v>0</v>
      </c>
      <c r="V1206" s="65">
        <v>0</v>
      </c>
      <c r="W1206" s="65">
        <v>0</v>
      </c>
      <c r="X1206" s="65">
        <v>27155</v>
      </c>
      <c r="Y1206" s="65">
        <v>0</v>
      </c>
      <c r="Z1206" s="65">
        <v>0</v>
      </c>
      <c r="AA1206" s="51">
        <v>0</v>
      </c>
      <c r="AB1206" s="102">
        <v>0</v>
      </c>
      <c r="AC1206" s="81">
        <f t="shared" si="57"/>
        <v>17.067959456118675</v>
      </c>
      <c r="AD1206" s="82">
        <f t="shared" si="58"/>
        <v>97.08</v>
      </c>
      <c r="AE1206" s="218">
        <v>-1.0838641278756674E-2</v>
      </c>
      <c r="AF1206">
        <v>2</v>
      </c>
      <c r="AH1206" t="str">
        <f t="shared" si="59"/>
        <v>Chautham</v>
      </c>
      <c r="AJ1206" s="72">
        <v>0</v>
      </c>
      <c r="AK1206" s="72"/>
      <c r="AL1206" s="72"/>
      <c r="AM1206" s="72"/>
    </row>
    <row r="1207" spans="1:39" x14ac:dyDescent="0.25">
      <c r="A1207" s="37" t="s">
        <v>62</v>
      </c>
      <c r="B1207" s="66" t="s">
        <v>1638</v>
      </c>
      <c r="C1207" s="47">
        <v>1007</v>
      </c>
      <c r="D1207" s="47" t="s">
        <v>203</v>
      </c>
      <c r="E1207" s="41">
        <v>10070067</v>
      </c>
      <c r="F1207" s="46" t="s">
        <v>1530</v>
      </c>
      <c r="G1207" s="39" t="s">
        <v>1610</v>
      </c>
      <c r="H1207" s="48" t="s">
        <v>98</v>
      </c>
      <c r="I1207" s="52">
        <v>1570.8</v>
      </c>
      <c r="J1207" s="49">
        <v>62102.310000000005</v>
      </c>
      <c r="K1207" s="65">
        <v>0</v>
      </c>
      <c r="L1207" s="65">
        <v>0</v>
      </c>
      <c r="M1207" s="65">
        <v>0</v>
      </c>
      <c r="N1207" s="65">
        <v>0</v>
      </c>
      <c r="O1207" s="65">
        <v>0</v>
      </c>
      <c r="P1207" s="65">
        <v>0</v>
      </c>
      <c r="Q1207" s="50">
        <v>62102.310000000005</v>
      </c>
      <c r="R1207" s="65">
        <v>0</v>
      </c>
      <c r="S1207" s="65">
        <v>0</v>
      </c>
      <c r="T1207" s="65">
        <v>0</v>
      </c>
      <c r="U1207" s="65">
        <v>0</v>
      </c>
      <c r="V1207" s="65">
        <v>0</v>
      </c>
      <c r="W1207" s="65">
        <v>0</v>
      </c>
      <c r="X1207" s="65">
        <v>0</v>
      </c>
      <c r="Y1207" s="65">
        <v>0</v>
      </c>
      <c r="Z1207" s="65">
        <v>62102.310000000005</v>
      </c>
      <c r="AA1207" s="51">
        <v>0</v>
      </c>
      <c r="AB1207" s="102">
        <v>0</v>
      </c>
      <c r="AC1207" s="81">
        <f t="shared" si="57"/>
        <v>0</v>
      </c>
      <c r="AD1207" s="82">
        <f t="shared" si="58"/>
        <v>0</v>
      </c>
      <c r="AE1207" s="218">
        <v>0</v>
      </c>
      <c r="AF1207">
        <v>0</v>
      </c>
      <c r="AH1207" t="str">
        <f t="shared" si="59"/>
        <v>Araria</v>
      </c>
      <c r="AJ1207" s="72">
        <v>0</v>
      </c>
      <c r="AK1207" s="72"/>
      <c r="AL1207" s="72"/>
      <c r="AM1207" s="72"/>
    </row>
    <row r="1208" spans="1:39" x14ac:dyDescent="0.25">
      <c r="A1208" s="37" t="s">
        <v>62</v>
      </c>
      <c r="B1208" s="66" t="s">
        <v>1638</v>
      </c>
      <c r="C1208" s="47">
        <v>1007</v>
      </c>
      <c r="D1208" s="47" t="s">
        <v>203</v>
      </c>
      <c r="E1208" s="41">
        <v>10070074</v>
      </c>
      <c r="F1208" s="46" t="s">
        <v>1133</v>
      </c>
      <c r="G1208" s="39" t="s">
        <v>1610</v>
      </c>
      <c r="H1208" s="48" t="s">
        <v>98</v>
      </c>
      <c r="I1208" s="52">
        <v>329.90000000000003</v>
      </c>
      <c r="J1208" s="49">
        <v>12064.61</v>
      </c>
      <c r="K1208" s="65">
        <v>0</v>
      </c>
      <c r="L1208" s="65">
        <v>0</v>
      </c>
      <c r="M1208" s="65">
        <v>0</v>
      </c>
      <c r="N1208" s="65">
        <v>0</v>
      </c>
      <c r="O1208" s="65">
        <v>0</v>
      </c>
      <c r="P1208" s="65">
        <v>0</v>
      </c>
      <c r="Q1208" s="50">
        <v>12064.61</v>
      </c>
      <c r="R1208" s="65">
        <v>0</v>
      </c>
      <c r="S1208" s="65">
        <v>0</v>
      </c>
      <c r="T1208" s="65">
        <v>0</v>
      </c>
      <c r="U1208" s="65">
        <v>0</v>
      </c>
      <c r="V1208" s="65">
        <v>0</v>
      </c>
      <c r="W1208" s="65">
        <v>0</v>
      </c>
      <c r="X1208" s="65">
        <v>0</v>
      </c>
      <c r="Y1208" s="65">
        <v>0</v>
      </c>
      <c r="Z1208" s="65">
        <v>12064.61</v>
      </c>
      <c r="AA1208" s="51">
        <v>0</v>
      </c>
      <c r="AB1208" s="102">
        <v>0</v>
      </c>
      <c r="AC1208" s="81">
        <f t="shared" si="57"/>
        <v>270.69488699605938</v>
      </c>
      <c r="AD1208" s="82">
        <f t="shared" si="58"/>
        <v>47.128571428571433</v>
      </c>
      <c r="AE1208" s="218">
        <v>0</v>
      </c>
      <c r="AF1208">
        <v>0</v>
      </c>
      <c r="AH1208" t="str">
        <f t="shared" si="59"/>
        <v>Araria</v>
      </c>
      <c r="AJ1208" s="72">
        <v>0</v>
      </c>
      <c r="AK1208" s="72"/>
      <c r="AL1208" s="72"/>
      <c r="AM1208" s="72"/>
    </row>
    <row r="1209" spans="1:39" x14ac:dyDescent="0.25">
      <c r="A1209" s="37" t="s">
        <v>62</v>
      </c>
      <c r="B1209" s="66" t="s">
        <v>1638</v>
      </c>
      <c r="C1209" s="47">
        <v>1007</v>
      </c>
      <c r="D1209" s="47" t="s">
        <v>203</v>
      </c>
      <c r="E1209" s="41">
        <v>10070077</v>
      </c>
      <c r="F1209" s="46" t="s">
        <v>1301</v>
      </c>
      <c r="G1209" s="39" t="s">
        <v>92</v>
      </c>
      <c r="H1209" s="48" t="s">
        <v>93</v>
      </c>
      <c r="I1209" s="52">
        <v>361.09999999999997</v>
      </c>
      <c r="J1209" s="49">
        <v>12288.710000000001</v>
      </c>
      <c r="K1209" s="65">
        <v>361.1</v>
      </c>
      <c r="L1209" s="65">
        <v>12461.56</v>
      </c>
      <c r="M1209" s="65">
        <v>0</v>
      </c>
      <c r="N1209" s="65">
        <v>0</v>
      </c>
      <c r="O1209" s="65">
        <v>361.1</v>
      </c>
      <c r="P1209" s="65">
        <v>12461.56</v>
      </c>
      <c r="Q1209" s="50">
        <v>12288.710000000001</v>
      </c>
      <c r="R1209" s="65">
        <v>0</v>
      </c>
      <c r="S1209" s="65">
        <v>0</v>
      </c>
      <c r="T1209" s="65">
        <v>172.84999999999854</v>
      </c>
      <c r="U1209" s="65">
        <v>0</v>
      </c>
      <c r="V1209" s="65">
        <v>500</v>
      </c>
      <c r="W1209" s="65">
        <v>0</v>
      </c>
      <c r="X1209" s="65">
        <v>11789</v>
      </c>
      <c r="Y1209" s="65">
        <v>0</v>
      </c>
      <c r="Z1209" s="65">
        <v>0</v>
      </c>
      <c r="AA1209" s="51">
        <v>0</v>
      </c>
      <c r="AB1209" s="102">
        <v>0</v>
      </c>
      <c r="AC1209" s="81">
        <f t="shared" si="57"/>
        <v>230.6642934921075</v>
      </c>
      <c r="AD1209" s="82">
        <f t="shared" si="58"/>
        <v>51.585714285714282</v>
      </c>
      <c r="AE1209" s="218">
        <v>-1.4065756291750602E-2</v>
      </c>
      <c r="AF1209">
        <v>1</v>
      </c>
      <c r="AH1209" t="str">
        <f t="shared" si="59"/>
        <v>Araria</v>
      </c>
      <c r="AJ1209" s="72">
        <v>500</v>
      </c>
      <c r="AK1209" s="72"/>
      <c r="AL1209" s="72"/>
      <c r="AM1209" s="72"/>
    </row>
    <row r="1210" spans="1:39" x14ac:dyDescent="0.25">
      <c r="A1210" s="37" t="s">
        <v>62</v>
      </c>
      <c r="B1210" s="66" t="s">
        <v>1638</v>
      </c>
      <c r="C1210" s="47">
        <v>1007</v>
      </c>
      <c r="D1210" s="47" t="s">
        <v>203</v>
      </c>
      <c r="E1210" s="41">
        <v>10070078</v>
      </c>
      <c r="F1210" s="46" t="s">
        <v>1302</v>
      </c>
      <c r="G1210" s="39" t="s">
        <v>92</v>
      </c>
      <c r="H1210" s="48" t="s">
        <v>93</v>
      </c>
      <c r="I1210" s="52">
        <v>890.5</v>
      </c>
      <c r="J1210" s="49">
        <v>33150.97</v>
      </c>
      <c r="K1210" s="65">
        <v>890.5</v>
      </c>
      <c r="L1210" s="65">
        <v>33545.14</v>
      </c>
      <c r="M1210" s="65">
        <v>0</v>
      </c>
      <c r="N1210" s="65">
        <v>0</v>
      </c>
      <c r="O1210" s="65">
        <v>890.5</v>
      </c>
      <c r="P1210" s="65">
        <v>33545.14</v>
      </c>
      <c r="Q1210" s="50">
        <v>33150.97</v>
      </c>
      <c r="R1210" s="65">
        <v>0</v>
      </c>
      <c r="S1210" s="65">
        <v>0</v>
      </c>
      <c r="T1210" s="65">
        <v>394.16999999999825</v>
      </c>
      <c r="U1210" s="65">
        <v>0</v>
      </c>
      <c r="V1210" s="65">
        <v>0</v>
      </c>
      <c r="W1210" s="65">
        <v>0</v>
      </c>
      <c r="X1210" s="65">
        <v>33151</v>
      </c>
      <c r="Y1210" s="65">
        <v>0</v>
      </c>
      <c r="Z1210" s="65">
        <v>0</v>
      </c>
      <c r="AA1210" s="51">
        <v>0</v>
      </c>
      <c r="AB1210" s="102">
        <v>0</v>
      </c>
      <c r="AC1210" s="81">
        <f t="shared" si="57"/>
        <v>0</v>
      </c>
      <c r="AD1210" s="82">
        <f t="shared" si="58"/>
        <v>0</v>
      </c>
      <c r="AE1210" s="218">
        <v>-1.1890149820653761E-2</v>
      </c>
      <c r="AF1210">
        <v>1</v>
      </c>
      <c r="AH1210" t="str">
        <f t="shared" si="59"/>
        <v>Araria</v>
      </c>
      <c r="AJ1210" s="72">
        <v>0</v>
      </c>
      <c r="AK1210" s="72"/>
      <c r="AL1210" s="72"/>
      <c r="AM1210" s="72"/>
    </row>
    <row r="1211" spans="1:39" x14ac:dyDescent="0.25">
      <c r="A1211" s="37" t="s">
        <v>62</v>
      </c>
      <c r="B1211" s="66" t="s">
        <v>1638</v>
      </c>
      <c r="C1211" s="47">
        <v>1007</v>
      </c>
      <c r="D1211" s="47" t="s">
        <v>203</v>
      </c>
      <c r="E1211" s="41">
        <v>10070079</v>
      </c>
      <c r="F1211" s="46" t="s">
        <v>1537</v>
      </c>
      <c r="G1211" s="39" t="s">
        <v>1610</v>
      </c>
      <c r="H1211" s="48" t="s">
        <v>98</v>
      </c>
      <c r="I1211" s="52">
        <v>169.29999999999998</v>
      </c>
      <c r="J1211" s="49">
        <v>8197.58</v>
      </c>
      <c r="K1211" s="65">
        <v>0</v>
      </c>
      <c r="L1211" s="65">
        <v>0</v>
      </c>
      <c r="M1211" s="65">
        <v>0</v>
      </c>
      <c r="N1211" s="65">
        <v>0</v>
      </c>
      <c r="O1211" s="65">
        <v>0</v>
      </c>
      <c r="P1211" s="65">
        <v>0</v>
      </c>
      <c r="Q1211" s="50">
        <v>8197.58</v>
      </c>
      <c r="R1211" s="65">
        <v>0</v>
      </c>
      <c r="S1211" s="65">
        <v>0</v>
      </c>
      <c r="T1211" s="65">
        <v>0</v>
      </c>
      <c r="U1211" s="65">
        <v>0</v>
      </c>
      <c r="V1211" s="65">
        <v>0</v>
      </c>
      <c r="W1211" s="65">
        <v>0</v>
      </c>
      <c r="X1211" s="65">
        <v>0</v>
      </c>
      <c r="Y1211" s="65">
        <v>0</v>
      </c>
      <c r="Z1211" s="65">
        <v>8197.58</v>
      </c>
      <c r="AA1211" s="51">
        <v>0</v>
      </c>
      <c r="AB1211" s="102">
        <v>0</v>
      </c>
      <c r="AC1211" s="81">
        <f t="shared" si="57"/>
        <v>513.93451931482582</v>
      </c>
      <c r="AD1211" s="82">
        <f t="shared" si="58"/>
        <v>24.185714285714283</v>
      </c>
      <c r="AE1211" s="218">
        <v>0</v>
      </c>
      <c r="AF1211">
        <v>0</v>
      </c>
      <c r="AH1211" t="str">
        <f t="shared" si="59"/>
        <v>Araria</v>
      </c>
      <c r="AJ1211" s="72">
        <v>0</v>
      </c>
      <c r="AK1211" s="72"/>
      <c r="AL1211" s="72"/>
      <c r="AM1211" s="72"/>
    </row>
    <row r="1212" spans="1:39" x14ac:dyDescent="0.25">
      <c r="A1212" s="37" t="s">
        <v>62</v>
      </c>
      <c r="B1212" s="66" t="s">
        <v>1638</v>
      </c>
      <c r="C1212" s="47">
        <v>1055</v>
      </c>
      <c r="D1212" s="47" t="s">
        <v>1125</v>
      </c>
      <c r="E1212" s="41">
        <v>10080001</v>
      </c>
      <c r="F1212" s="46" t="s">
        <v>600</v>
      </c>
      <c r="G1212" s="39" t="s">
        <v>1610</v>
      </c>
      <c r="H1212" s="48" t="s">
        <v>98</v>
      </c>
      <c r="I1212" s="52">
        <v>623.9</v>
      </c>
      <c r="J1212" s="49">
        <v>23956.62</v>
      </c>
      <c r="K1212" s="65">
        <v>0</v>
      </c>
      <c r="L1212" s="65">
        <v>0</v>
      </c>
      <c r="M1212" s="65">
        <v>0</v>
      </c>
      <c r="N1212" s="65">
        <v>0</v>
      </c>
      <c r="O1212" s="65">
        <v>0</v>
      </c>
      <c r="P1212" s="65">
        <v>0</v>
      </c>
      <c r="Q1212" s="50">
        <v>23956.62</v>
      </c>
      <c r="R1212" s="65">
        <v>0</v>
      </c>
      <c r="S1212" s="65">
        <v>0</v>
      </c>
      <c r="T1212" s="65">
        <v>0</v>
      </c>
      <c r="U1212" s="65">
        <v>0</v>
      </c>
      <c r="V1212" s="65">
        <v>0</v>
      </c>
      <c r="W1212" s="65">
        <v>0</v>
      </c>
      <c r="X1212" s="65">
        <v>0</v>
      </c>
      <c r="Y1212" s="65">
        <v>0</v>
      </c>
      <c r="Z1212" s="65">
        <v>23956.62</v>
      </c>
      <c r="AA1212" s="51">
        <v>0</v>
      </c>
      <c r="AB1212" s="102">
        <v>0</v>
      </c>
      <c r="AC1212" s="81">
        <f t="shared" si="57"/>
        <v>58.442018977400274</v>
      </c>
      <c r="AD1212" s="82">
        <f t="shared" si="58"/>
        <v>89.128571428571419</v>
      </c>
      <c r="AE1212" s="218">
        <v>0</v>
      </c>
      <c r="AF1212">
        <v>0</v>
      </c>
      <c r="AH1212" t="str">
        <f t="shared" si="59"/>
        <v>Matihani</v>
      </c>
      <c r="AJ1212" s="72">
        <v>0</v>
      </c>
      <c r="AK1212" s="72"/>
      <c r="AL1212" s="72"/>
      <c r="AM1212" s="72"/>
    </row>
    <row r="1213" spans="1:39" x14ac:dyDescent="0.25">
      <c r="A1213" s="37" t="s">
        <v>62</v>
      </c>
      <c r="B1213" s="66" t="s">
        <v>1638</v>
      </c>
      <c r="C1213" s="47">
        <v>1008</v>
      </c>
      <c r="D1213" s="47" t="s">
        <v>217</v>
      </c>
      <c r="E1213" s="41">
        <v>10080002</v>
      </c>
      <c r="F1213" s="46" t="s">
        <v>218</v>
      </c>
      <c r="G1213" s="39" t="s">
        <v>92</v>
      </c>
      <c r="H1213" s="48" t="s">
        <v>98</v>
      </c>
      <c r="I1213" s="52">
        <v>301.59999999999997</v>
      </c>
      <c r="J1213" s="49">
        <v>11342.439999999999</v>
      </c>
      <c r="K1213" s="65">
        <v>0</v>
      </c>
      <c r="L1213" s="65">
        <v>0</v>
      </c>
      <c r="M1213" s="65">
        <v>0</v>
      </c>
      <c r="N1213" s="65">
        <v>0</v>
      </c>
      <c r="O1213" s="65">
        <v>0</v>
      </c>
      <c r="P1213" s="65">
        <v>0</v>
      </c>
      <c r="Q1213" s="50">
        <v>11342.439999999999</v>
      </c>
      <c r="R1213" s="65">
        <v>0</v>
      </c>
      <c r="S1213" s="65">
        <v>0</v>
      </c>
      <c r="T1213" s="65">
        <v>0</v>
      </c>
      <c r="U1213" s="65">
        <v>0</v>
      </c>
      <c r="V1213" s="65">
        <v>0</v>
      </c>
      <c r="W1213" s="65">
        <v>0</v>
      </c>
      <c r="X1213" s="65">
        <v>0</v>
      </c>
      <c r="Y1213" s="65">
        <v>0</v>
      </c>
      <c r="Z1213" s="65">
        <v>11342.439999999999</v>
      </c>
      <c r="AA1213" s="51">
        <v>0</v>
      </c>
      <c r="AB1213" s="102">
        <v>0</v>
      </c>
      <c r="AC1213" s="81">
        <f t="shared" si="57"/>
        <v>299.6570355437666</v>
      </c>
      <c r="AD1213" s="82">
        <f t="shared" si="58"/>
        <v>43.085714285714282</v>
      </c>
      <c r="AE1213" s="218">
        <v>0</v>
      </c>
      <c r="AF1213">
        <v>0</v>
      </c>
      <c r="AH1213" t="str">
        <f t="shared" si="59"/>
        <v>Teghra</v>
      </c>
      <c r="AJ1213" s="72">
        <v>0</v>
      </c>
      <c r="AK1213" s="72"/>
      <c r="AL1213" s="72"/>
      <c r="AM1213" s="72"/>
    </row>
    <row r="1214" spans="1:39" x14ac:dyDescent="0.25">
      <c r="A1214" s="37" t="s">
        <v>62</v>
      </c>
      <c r="B1214" s="66" t="s">
        <v>1638</v>
      </c>
      <c r="C1214" s="47">
        <v>1008</v>
      </c>
      <c r="D1214" s="47" t="s">
        <v>217</v>
      </c>
      <c r="E1214" s="41">
        <v>10080003</v>
      </c>
      <c r="F1214" s="46" t="s">
        <v>219</v>
      </c>
      <c r="G1214" s="39" t="s">
        <v>1610</v>
      </c>
      <c r="H1214" s="48" t="s">
        <v>98</v>
      </c>
      <c r="I1214" s="52">
        <v>27.699999999999996</v>
      </c>
      <c r="J1214" s="49">
        <v>902.93999999999994</v>
      </c>
      <c r="K1214" s="65">
        <v>0</v>
      </c>
      <c r="L1214" s="65">
        <v>0</v>
      </c>
      <c r="M1214" s="65">
        <v>0</v>
      </c>
      <c r="N1214" s="65">
        <v>0</v>
      </c>
      <c r="O1214" s="65">
        <v>0</v>
      </c>
      <c r="P1214" s="65">
        <v>0</v>
      </c>
      <c r="Q1214" s="50">
        <v>902.93999999999994</v>
      </c>
      <c r="R1214" s="65">
        <v>0</v>
      </c>
      <c r="S1214" s="65">
        <v>0</v>
      </c>
      <c r="T1214" s="65">
        <v>0</v>
      </c>
      <c r="U1214" s="65">
        <v>0</v>
      </c>
      <c r="V1214" s="65">
        <v>0</v>
      </c>
      <c r="W1214" s="65">
        <v>0</v>
      </c>
      <c r="X1214" s="65">
        <v>0</v>
      </c>
      <c r="Y1214" s="65">
        <v>0</v>
      </c>
      <c r="Z1214" s="65">
        <v>902.93999999999994</v>
      </c>
      <c r="AA1214" s="51">
        <v>0</v>
      </c>
      <c r="AB1214" s="102">
        <v>0</v>
      </c>
      <c r="AC1214" s="81">
        <f t="shared" si="57"/>
        <v>438.30076678700362</v>
      </c>
      <c r="AD1214" s="82">
        <f t="shared" si="58"/>
        <v>3.9571428571428564</v>
      </c>
      <c r="AE1214" s="218">
        <v>0</v>
      </c>
      <c r="AF1214">
        <v>0</v>
      </c>
      <c r="AH1214" t="str">
        <f t="shared" si="59"/>
        <v>Teghra</v>
      </c>
      <c r="AJ1214" s="72">
        <v>0</v>
      </c>
      <c r="AK1214" s="72"/>
      <c r="AL1214" s="72"/>
      <c r="AM1214" s="72"/>
    </row>
    <row r="1215" spans="1:39" x14ac:dyDescent="0.25">
      <c r="A1215" s="37" t="s">
        <v>62</v>
      </c>
      <c r="B1215" s="66" t="s">
        <v>1638</v>
      </c>
      <c r="C1215" s="47">
        <v>1008</v>
      </c>
      <c r="D1215" s="47" t="s">
        <v>217</v>
      </c>
      <c r="E1215" s="41">
        <v>10080004</v>
      </c>
      <c r="F1215" s="46" t="s">
        <v>220</v>
      </c>
      <c r="G1215" s="39" t="s">
        <v>1610</v>
      </c>
      <c r="H1215" s="48" t="s">
        <v>98</v>
      </c>
      <c r="I1215" s="52">
        <v>13.65</v>
      </c>
      <c r="J1215" s="49">
        <v>489.48</v>
      </c>
      <c r="K1215" s="65">
        <v>0</v>
      </c>
      <c r="L1215" s="65">
        <v>0</v>
      </c>
      <c r="M1215" s="65">
        <v>0</v>
      </c>
      <c r="N1215" s="65">
        <v>0</v>
      </c>
      <c r="O1215" s="65">
        <v>0</v>
      </c>
      <c r="P1215" s="65">
        <v>0</v>
      </c>
      <c r="Q1215" s="50">
        <v>489.48</v>
      </c>
      <c r="R1215" s="65">
        <v>0</v>
      </c>
      <c r="S1215" s="65">
        <v>0</v>
      </c>
      <c r="T1215" s="65">
        <v>0</v>
      </c>
      <c r="U1215" s="65">
        <v>0</v>
      </c>
      <c r="V1215" s="65">
        <v>0</v>
      </c>
      <c r="W1215" s="65">
        <v>0</v>
      </c>
      <c r="X1215" s="65">
        <v>0</v>
      </c>
      <c r="Y1215" s="65">
        <v>0</v>
      </c>
      <c r="Z1215" s="65">
        <v>489.48</v>
      </c>
      <c r="AA1215" s="51">
        <v>0</v>
      </c>
      <c r="AB1215" s="102">
        <v>0</v>
      </c>
      <c r="AC1215" s="81">
        <f t="shared" si="57"/>
        <v>492.24116923076923</v>
      </c>
      <c r="AD1215" s="82">
        <f t="shared" si="58"/>
        <v>1.95</v>
      </c>
      <c r="AE1215" s="218">
        <v>0</v>
      </c>
      <c r="AF1215">
        <v>0</v>
      </c>
      <c r="AH1215" t="str">
        <f t="shared" si="59"/>
        <v>Teghra</v>
      </c>
      <c r="AJ1215" s="72">
        <v>0</v>
      </c>
      <c r="AK1215" s="72"/>
      <c r="AL1215" s="72"/>
      <c r="AM1215" s="72"/>
    </row>
    <row r="1216" spans="1:39" x14ac:dyDescent="0.25">
      <c r="A1216" s="37" t="s">
        <v>62</v>
      </c>
      <c r="B1216" s="66" t="s">
        <v>1638</v>
      </c>
      <c r="C1216" s="47">
        <v>1008</v>
      </c>
      <c r="D1216" s="47" t="s">
        <v>217</v>
      </c>
      <c r="E1216" s="41">
        <v>10080006</v>
      </c>
      <c r="F1216" s="46" t="s">
        <v>221</v>
      </c>
      <c r="G1216" s="39" t="s">
        <v>1610</v>
      </c>
      <c r="H1216" s="48" t="s">
        <v>98</v>
      </c>
      <c r="I1216" s="52">
        <v>368.4</v>
      </c>
      <c r="J1216" s="49">
        <v>13260.48</v>
      </c>
      <c r="K1216" s="65">
        <v>0</v>
      </c>
      <c r="L1216" s="65">
        <v>0</v>
      </c>
      <c r="M1216" s="65">
        <v>0</v>
      </c>
      <c r="N1216" s="65">
        <v>0</v>
      </c>
      <c r="O1216" s="65">
        <v>0</v>
      </c>
      <c r="P1216" s="65">
        <v>0</v>
      </c>
      <c r="Q1216" s="50">
        <v>13260.48</v>
      </c>
      <c r="R1216" s="65">
        <v>0</v>
      </c>
      <c r="S1216" s="65">
        <v>0</v>
      </c>
      <c r="T1216" s="65">
        <v>0</v>
      </c>
      <c r="U1216" s="65">
        <v>0</v>
      </c>
      <c r="V1216" s="65">
        <v>0</v>
      </c>
      <c r="W1216" s="65">
        <v>0</v>
      </c>
      <c r="X1216" s="65">
        <v>0</v>
      </c>
      <c r="Y1216" s="65">
        <v>0</v>
      </c>
      <c r="Z1216" s="65">
        <v>13260.48</v>
      </c>
      <c r="AA1216" s="51">
        <v>0</v>
      </c>
      <c r="AB1216" s="102">
        <v>0</v>
      </c>
      <c r="AC1216" s="81">
        <f t="shared" si="57"/>
        <v>238.71743583061888</v>
      </c>
      <c r="AD1216" s="82">
        <f t="shared" si="58"/>
        <v>52.628571428571426</v>
      </c>
      <c r="AE1216" s="218">
        <v>0</v>
      </c>
      <c r="AF1216">
        <v>0</v>
      </c>
      <c r="AH1216" t="str">
        <f t="shared" si="59"/>
        <v>Teghra</v>
      </c>
      <c r="AJ1216" s="72">
        <v>0</v>
      </c>
      <c r="AK1216" s="72"/>
      <c r="AL1216" s="72"/>
      <c r="AM1216" s="72"/>
    </row>
    <row r="1217" spans="1:39" x14ac:dyDescent="0.25">
      <c r="A1217" s="37" t="s">
        <v>62</v>
      </c>
      <c r="B1217" s="66" t="s">
        <v>1638</v>
      </c>
      <c r="C1217" s="47">
        <v>1008</v>
      </c>
      <c r="D1217" s="47" t="s">
        <v>217</v>
      </c>
      <c r="E1217" s="41">
        <v>10080007</v>
      </c>
      <c r="F1217" s="46" t="s">
        <v>222</v>
      </c>
      <c r="G1217" s="39" t="s">
        <v>1610</v>
      </c>
      <c r="H1217" s="48" t="s">
        <v>98</v>
      </c>
      <c r="I1217" s="52">
        <v>719</v>
      </c>
      <c r="J1217" s="49">
        <v>25714.54</v>
      </c>
      <c r="K1217" s="65">
        <v>0</v>
      </c>
      <c r="L1217" s="65">
        <v>0</v>
      </c>
      <c r="M1217" s="65">
        <v>0</v>
      </c>
      <c r="N1217" s="65">
        <v>0</v>
      </c>
      <c r="O1217" s="65">
        <v>0</v>
      </c>
      <c r="P1217" s="65">
        <v>0</v>
      </c>
      <c r="Q1217" s="50">
        <v>25714.54</v>
      </c>
      <c r="R1217" s="65">
        <v>0</v>
      </c>
      <c r="S1217" s="65">
        <v>0</v>
      </c>
      <c r="T1217" s="65">
        <v>0</v>
      </c>
      <c r="U1217" s="65">
        <v>0</v>
      </c>
      <c r="V1217" s="65">
        <v>0</v>
      </c>
      <c r="W1217" s="65">
        <v>0</v>
      </c>
      <c r="X1217" s="65">
        <v>0</v>
      </c>
      <c r="Y1217" s="65">
        <v>0</v>
      </c>
      <c r="Z1217" s="65">
        <v>25714.54</v>
      </c>
      <c r="AA1217" s="51">
        <v>0</v>
      </c>
      <c r="AB1217" s="102">
        <v>0</v>
      </c>
      <c r="AC1217" s="81">
        <f t="shared" ref="AC1217:AC1280" si="60">((IF(AD1217=0,0,100-AD1217))*7*(J1217/I1217))*2%</f>
        <v>0</v>
      </c>
      <c r="AD1217" s="82">
        <f t="shared" ref="AD1217:AD1280" si="61">IF((I1217/7)&gt;100,0,(I1217/7))</f>
        <v>0</v>
      </c>
      <c r="AE1217" s="218">
        <v>0</v>
      </c>
      <c r="AF1217">
        <v>0</v>
      </c>
      <c r="AH1217" t="str">
        <f t="shared" si="59"/>
        <v>Teghra</v>
      </c>
      <c r="AJ1217" s="72">
        <v>0</v>
      </c>
      <c r="AK1217" s="72"/>
      <c r="AL1217" s="72"/>
      <c r="AM1217" s="72"/>
    </row>
    <row r="1218" spans="1:39" x14ac:dyDescent="0.25">
      <c r="A1218" s="37" t="s">
        <v>62</v>
      </c>
      <c r="B1218" s="66" t="s">
        <v>1638</v>
      </c>
      <c r="C1218" s="47">
        <v>1008</v>
      </c>
      <c r="D1218" s="47" t="s">
        <v>217</v>
      </c>
      <c r="E1218" s="41">
        <v>10080012</v>
      </c>
      <c r="F1218" s="46" t="s">
        <v>1199</v>
      </c>
      <c r="G1218" s="39" t="s">
        <v>1610</v>
      </c>
      <c r="H1218" s="48" t="s">
        <v>98</v>
      </c>
      <c r="I1218" s="52">
        <v>813.75</v>
      </c>
      <c r="J1218" s="49">
        <v>31102.399999999998</v>
      </c>
      <c r="K1218" s="65">
        <v>0</v>
      </c>
      <c r="L1218" s="65">
        <v>0</v>
      </c>
      <c r="M1218" s="65">
        <v>0</v>
      </c>
      <c r="N1218" s="65">
        <v>0</v>
      </c>
      <c r="O1218" s="65">
        <v>0</v>
      </c>
      <c r="P1218" s="65">
        <v>0</v>
      </c>
      <c r="Q1218" s="50">
        <v>31102.399999999998</v>
      </c>
      <c r="R1218" s="65">
        <v>0</v>
      </c>
      <c r="S1218" s="65">
        <v>0</v>
      </c>
      <c r="T1218" s="65">
        <v>0</v>
      </c>
      <c r="U1218" s="65">
        <v>0</v>
      </c>
      <c r="V1218" s="65">
        <v>0</v>
      </c>
      <c r="W1218" s="65">
        <v>0</v>
      </c>
      <c r="X1218" s="65">
        <v>0</v>
      </c>
      <c r="Y1218" s="65">
        <v>0</v>
      </c>
      <c r="Z1218" s="65">
        <v>31102.399999999998</v>
      </c>
      <c r="AA1218" s="51">
        <v>0</v>
      </c>
      <c r="AB1218" s="102">
        <v>0</v>
      </c>
      <c r="AC1218" s="81">
        <f t="shared" si="60"/>
        <v>0</v>
      </c>
      <c r="AD1218" s="82">
        <f t="shared" si="61"/>
        <v>0</v>
      </c>
      <c r="AE1218" s="218">
        <v>0</v>
      </c>
      <c r="AF1218">
        <v>0</v>
      </c>
      <c r="AH1218" t="str">
        <f t="shared" si="59"/>
        <v>Teghra</v>
      </c>
      <c r="AJ1218" s="72">
        <v>0</v>
      </c>
      <c r="AK1218" s="72"/>
      <c r="AL1218" s="72"/>
      <c r="AM1218" s="72"/>
    </row>
    <row r="1219" spans="1:39" x14ac:dyDescent="0.25">
      <c r="A1219" s="37" t="s">
        <v>62</v>
      </c>
      <c r="B1219" s="66" t="s">
        <v>1638</v>
      </c>
      <c r="C1219" s="47">
        <v>1008</v>
      </c>
      <c r="D1219" s="47" t="s">
        <v>217</v>
      </c>
      <c r="E1219" s="41">
        <v>10080013</v>
      </c>
      <c r="F1219" s="46" t="s">
        <v>223</v>
      </c>
      <c r="G1219" s="39" t="s">
        <v>1610</v>
      </c>
      <c r="H1219" s="48" t="s">
        <v>98</v>
      </c>
      <c r="I1219" s="52">
        <v>423.65000000000003</v>
      </c>
      <c r="J1219" s="49">
        <v>17074.84</v>
      </c>
      <c r="K1219" s="65">
        <v>0</v>
      </c>
      <c r="L1219" s="65">
        <v>0</v>
      </c>
      <c r="M1219" s="65">
        <v>0</v>
      </c>
      <c r="N1219" s="65">
        <v>0</v>
      </c>
      <c r="O1219" s="65">
        <v>0</v>
      </c>
      <c r="P1219" s="65">
        <v>0</v>
      </c>
      <c r="Q1219" s="50">
        <v>17074.84</v>
      </c>
      <c r="R1219" s="65">
        <v>0</v>
      </c>
      <c r="S1219" s="65">
        <v>0</v>
      </c>
      <c r="T1219" s="65">
        <v>0</v>
      </c>
      <c r="U1219" s="65">
        <v>0</v>
      </c>
      <c r="V1219" s="65">
        <v>0</v>
      </c>
      <c r="W1219" s="65">
        <v>0</v>
      </c>
      <c r="X1219" s="65">
        <v>0</v>
      </c>
      <c r="Y1219" s="65">
        <v>0</v>
      </c>
      <c r="Z1219" s="65">
        <v>17074.84</v>
      </c>
      <c r="AA1219" s="51">
        <v>0</v>
      </c>
      <c r="AB1219" s="102">
        <v>0</v>
      </c>
      <c r="AC1219" s="81">
        <f t="shared" si="60"/>
        <v>222.76086552578775</v>
      </c>
      <c r="AD1219" s="82">
        <f t="shared" si="61"/>
        <v>60.521428571428579</v>
      </c>
      <c r="AE1219" s="218">
        <v>0</v>
      </c>
      <c r="AF1219">
        <v>0</v>
      </c>
      <c r="AH1219" t="str">
        <f t="shared" si="59"/>
        <v>Teghra</v>
      </c>
      <c r="AJ1219" s="72">
        <v>0</v>
      </c>
      <c r="AK1219" s="72"/>
      <c r="AL1219" s="72"/>
      <c r="AM1219" s="72"/>
    </row>
    <row r="1220" spans="1:39" x14ac:dyDescent="0.25">
      <c r="A1220" s="37" t="s">
        <v>62</v>
      </c>
      <c r="B1220" s="66" t="s">
        <v>1638</v>
      </c>
      <c r="C1220" s="47">
        <v>1008</v>
      </c>
      <c r="D1220" s="47" t="s">
        <v>217</v>
      </c>
      <c r="E1220" s="41">
        <v>10080014</v>
      </c>
      <c r="F1220" s="46" t="s">
        <v>224</v>
      </c>
      <c r="G1220" s="39" t="s">
        <v>1610</v>
      </c>
      <c r="H1220" s="48" t="s">
        <v>98</v>
      </c>
      <c r="I1220" s="52">
        <v>674.85</v>
      </c>
      <c r="J1220" s="49">
        <v>27723.909999999996</v>
      </c>
      <c r="K1220" s="65">
        <v>0</v>
      </c>
      <c r="L1220" s="65">
        <v>0</v>
      </c>
      <c r="M1220" s="65">
        <v>0</v>
      </c>
      <c r="N1220" s="65">
        <v>0</v>
      </c>
      <c r="O1220" s="65">
        <v>0</v>
      </c>
      <c r="P1220" s="65">
        <v>0</v>
      </c>
      <c r="Q1220" s="50">
        <v>27723.909999999996</v>
      </c>
      <c r="R1220" s="65">
        <v>0</v>
      </c>
      <c r="S1220" s="65">
        <v>0</v>
      </c>
      <c r="T1220" s="65">
        <v>0</v>
      </c>
      <c r="U1220" s="65">
        <v>0</v>
      </c>
      <c r="V1220" s="65">
        <v>0</v>
      </c>
      <c r="W1220" s="65">
        <v>0</v>
      </c>
      <c r="X1220" s="65">
        <v>0</v>
      </c>
      <c r="Y1220" s="65">
        <v>0</v>
      </c>
      <c r="Z1220" s="65">
        <v>27723.909999999996</v>
      </c>
      <c r="AA1220" s="51">
        <v>0</v>
      </c>
      <c r="AB1220" s="102">
        <v>0</v>
      </c>
      <c r="AC1220" s="81">
        <f t="shared" si="60"/>
        <v>20.664039016077638</v>
      </c>
      <c r="AD1220" s="82">
        <f t="shared" si="61"/>
        <v>96.407142857142858</v>
      </c>
      <c r="AE1220" s="218">
        <v>0</v>
      </c>
      <c r="AF1220">
        <v>0</v>
      </c>
      <c r="AH1220" t="str">
        <f t="shared" si="59"/>
        <v>Teghra</v>
      </c>
      <c r="AJ1220" s="72">
        <v>0</v>
      </c>
      <c r="AK1220" s="72"/>
      <c r="AL1220" s="72"/>
      <c r="AM1220" s="72"/>
    </row>
    <row r="1221" spans="1:39" x14ac:dyDescent="0.25">
      <c r="A1221" s="37" t="s">
        <v>62</v>
      </c>
      <c r="B1221" s="66" t="s">
        <v>1638</v>
      </c>
      <c r="C1221" s="47">
        <v>1008</v>
      </c>
      <c r="D1221" s="47" t="s">
        <v>217</v>
      </c>
      <c r="E1221" s="41">
        <v>10080015</v>
      </c>
      <c r="F1221" s="46" t="s">
        <v>225</v>
      </c>
      <c r="G1221" s="39" t="s">
        <v>92</v>
      </c>
      <c r="H1221" s="48" t="s">
        <v>93</v>
      </c>
      <c r="I1221" s="52">
        <v>1000.6499999999999</v>
      </c>
      <c r="J1221" s="49">
        <v>37165.360000000001</v>
      </c>
      <c r="K1221" s="65">
        <v>1015.5</v>
      </c>
      <c r="L1221" s="65">
        <v>38300.31</v>
      </c>
      <c r="M1221" s="65">
        <v>2.3000000000000003</v>
      </c>
      <c r="N1221" s="65">
        <v>82.940000000000012</v>
      </c>
      <c r="O1221" s="65">
        <v>1017.8</v>
      </c>
      <c r="P1221" s="65">
        <v>38383.25</v>
      </c>
      <c r="Q1221" s="50">
        <v>37165.360000000001</v>
      </c>
      <c r="R1221" s="65">
        <v>0</v>
      </c>
      <c r="S1221" s="65">
        <v>82.940000000000012</v>
      </c>
      <c r="T1221" s="65">
        <v>1217.8899999999994</v>
      </c>
      <c r="U1221" s="65">
        <v>0</v>
      </c>
      <c r="V1221" s="65">
        <v>0</v>
      </c>
      <c r="W1221" s="65">
        <v>0</v>
      </c>
      <c r="X1221" s="65">
        <v>37082</v>
      </c>
      <c r="Y1221" s="65">
        <v>0</v>
      </c>
      <c r="Z1221" s="65">
        <v>0</v>
      </c>
      <c r="AA1221" s="51">
        <v>0</v>
      </c>
      <c r="AB1221" s="102">
        <v>0</v>
      </c>
      <c r="AC1221" s="81">
        <f t="shared" si="60"/>
        <v>0</v>
      </c>
      <c r="AD1221" s="82">
        <f t="shared" si="61"/>
        <v>0</v>
      </c>
      <c r="AE1221" s="218">
        <v>-3.2769492882619711E-2</v>
      </c>
      <c r="AF1221">
        <v>7</v>
      </c>
      <c r="AH1221" t="str">
        <f t="shared" si="59"/>
        <v>Teghra</v>
      </c>
      <c r="AJ1221" s="72">
        <v>0</v>
      </c>
      <c r="AK1221" s="72"/>
      <c r="AL1221" s="72"/>
      <c r="AM1221" s="72"/>
    </row>
    <row r="1222" spans="1:39" x14ac:dyDescent="0.25">
      <c r="A1222" s="37" t="s">
        <v>62</v>
      </c>
      <c r="B1222" s="66" t="s">
        <v>1638</v>
      </c>
      <c r="C1222" s="47">
        <v>1008</v>
      </c>
      <c r="D1222" s="47" t="s">
        <v>217</v>
      </c>
      <c r="E1222" s="41">
        <v>10080016</v>
      </c>
      <c r="F1222" s="46" t="s">
        <v>226</v>
      </c>
      <c r="G1222" s="39" t="s">
        <v>92</v>
      </c>
      <c r="H1222" s="48" t="s">
        <v>93</v>
      </c>
      <c r="I1222" s="52">
        <v>117.24999999999999</v>
      </c>
      <c r="J1222" s="49">
        <v>4390.2999999999993</v>
      </c>
      <c r="K1222" s="65">
        <v>117</v>
      </c>
      <c r="L1222" s="65">
        <v>4382.6100000000006</v>
      </c>
      <c r="M1222" s="65">
        <v>0.7</v>
      </c>
      <c r="N1222" s="65">
        <v>24.06</v>
      </c>
      <c r="O1222" s="65">
        <v>117.7</v>
      </c>
      <c r="P1222" s="65">
        <v>4406.670000000001</v>
      </c>
      <c r="Q1222" s="50">
        <v>4390.2999999999993</v>
      </c>
      <c r="R1222" s="65">
        <v>0</v>
      </c>
      <c r="S1222" s="65">
        <v>24.06</v>
      </c>
      <c r="T1222" s="65">
        <v>16.37000000000171</v>
      </c>
      <c r="U1222" s="65">
        <v>0</v>
      </c>
      <c r="V1222" s="65">
        <v>500</v>
      </c>
      <c r="W1222" s="65">
        <v>0</v>
      </c>
      <c r="X1222" s="65">
        <v>3866</v>
      </c>
      <c r="Y1222" s="65">
        <v>0</v>
      </c>
      <c r="Z1222" s="65">
        <v>0</v>
      </c>
      <c r="AA1222" s="51">
        <v>0</v>
      </c>
      <c r="AB1222" s="102">
        <v>0</v>
      </c>
      <c r="AC1222" s="81">
        <f t="shared" si="60"/>
        <v>436.40892537313425</v>
      </c>
      <c r="AD1222" s="82">
        <f t="shared" si="61"/>
        <v>16.749999999999996</v>
      </c>
      <c r="AE1222" s="218">
        <v>-3.7286745780474484E-3</v>
      </c>
      <c r="AF1222">
        <v>4</v>
      </c>
      <c r="AH1222" t="str">
        <f t="shared" si="59"/>
        <v>Teghra</v>
      </c>
      <c r="AJ1222" s="72">
        <v>500</v>
      </c>
      <c r="AK1222" s="72"/>
      <c r="AL1222" s="72"/>
      <c r="AM1222" s="72"/>
    </row>
    <row r="1223" spans="1:39" x14ac:dyDescent="0.25">
      <c r="A1223" s="37" t="s">
        <v>62</v>
      </c>
      <c r="B1223" s="66" t="s">
        <v>1638</v>
      </c>
      <c r="C1223" s="47">
        <v>1008</v>
      </c>
      <c r="D1223" s="47" t="s">
        <v>217</v>
      </c>
      <c r="E1223" s="41">
        <v>10080022</v>
      </c>
      <c r="F1223" s="46" t="s">
        <v>228</v>
      </c>
      <c r="G1223" s="39" t="s">
        <v>92</v>
      </c>
      <c r="H1223" s="48" t="s">
        <v>93</v>
      </c>
      <c r="I1223" s="52">
        <v>207.35000000000002</v>
      </c>
      <c r="J1223" s="49">
        <v>9307.2199999999993</v>
      </c>
      <c r="K1223" s="65">
        <v>206.54</v>
      </c>
      <c r="L1223" s="65">
        <v>9208.2800000000025</v>
      </c>
      <c r="M1223" s="65">
        <v>3.44</v>
      </c>
      <c r="N1223" s="65">
        <v>147.34</v>
      </c>
      <c r="O1223" s="65">
        <v>209.98</v>
      </c>
      <c r="P1223" s="65">
        <v>9355.6200000000026</v>
      </c>
      <c r="Q1223" s="50">
        <v>9307.2199999999993</v>
      </c>
      <c r="R1223" s="65">
        <v>0</v>
      </c>
      <c r="S1223" s="65">
        <v>147.34</v>
      </c>
      <c r="T1223" s="65">
        <v>48.400000000003274</v>
      </c>
      <c r="U1223" s="65">
        <v>0</v>
      </c>
      <c r="V1223" s="65">
        <v>0</v>
      </c>
      <c r="W1223" s="65">
        <v>0</v>
      </c>
      <c r="X1223" s="65">
        <v>9160</v>
      </c>
      <c r="Y1223" s="65">
        <v>0</v>
      </c>
      <c r="Z1223" s="65">
        <v>0</v>
      </c>
      <c r="AA1223" s="51">
        <v>0</v>
      </c>
      <c r="AB1223" s="102">
        <v>0</v>
      </c>
      <c r="AC1223" s="81">
        <f t="shared" si="60"/>
        <v>442.26688526645762</v>
      </c>
      <c r="AD1223" s="82">
        <f t="shared" si="61"/>
        <v>29.621428571428574</v>
      </c>
      <c r="AE1223" s="218">
        <v>-5.2002638811592802E-3</v>
      </c>
      <c r="AF1223">
        <v>6</v>
      </c>
      <c r="AH1223" t="str">
        <f t="shared" si="59"/>
        <v>Teghra</v>
      </c>
      <c r="AJ1223" s="72">
        <v>0</v>
      </c>
      <c r="AK1223" s="72"/>
      <c r="AL1223" s="72"/>
      <c r="AM1223" s="72"/>
    </row>
    <row r="1224" spans="1:39" x14ac:dyDescent="0.25">
      <c r="A1224" s="37" t="s">
        <v>62</v>
      </c>
      <c r="B1224" s="66" t="s">
        <v>1638</v>
      </c>
      <c r="C1224" s="47">
        <v>1008</v>
      </c>
      <c r="D1224" s="47" t="s">
        <v>217</v>
      </c>
      <c r="E1224" s="41">
        <v>10080024</v>
      </c>
      <c r="F1224" s="46" t="s">
        <v>230</v>
      </c>
      <c r="G1224" s="39" t="s">
        <v>1610</v>
      </c>
      <c r="H1224" s="48" t="s">
        <v>98</v>
      </c>
      <c r="I1224" s="52">
        <v>3656.6</v>
      </c>
      <c r="J1224" s="49">
        <v>145726.48000000001</v>
      </c>
      <c r="K1224" s="65">
        <v>0</v>
      </c>
      <c r="L1224" s="65">
        <v>0</v>
      </c>
      <c r="M1224" s="65">
        <v>0</v>
      </c>
      <c r="N1224" s="65">
        <v>0</v>
      </c>
      <c r="O1224" s="65">
        <v>0</v>
      </c>
      <c r="P1224" s="65">
        <v>0</v>
      </c>
      <c r="Q1224" s="50">
        <v>145726.48000000001</v>
      </c>
      <c r="R1224" s="65">
        <v>0</v>
      </c>
      <c r="S1224" s="65">
        <v>0</v>
      </c>
      <c r="T1224" s="65">
        <v>0</v>
      </c>
      <c r="U1224" s="65">
        <v>0</v>
      </c>
      <c r="V1224" s="65">
        <v>0</v>
      </c>
      <c r="W1224" s="65">
        <v>0</v>
      </c>
      <c r="X1224" s="65">
        <v>0</v>
      </c>
      <c r="Y1224" s="65">
        <v>0</v>
      </c>
      <c r="Z1224" s="65">
        <v>145726.48000000001</v>
      </c>
      <c r="AA1224" s="51">
        <v>0</v>
      </c>
      <c r="AB1224" s="102">
        <v>0</v>
      </c>
      <c r="AC1224" s="81">
        <f t="shared" si="60"/>
        <v>0</v>
      </c>
      <c r="AD1224" s="82">
        <f t="shared" si="61"/>
        <v>0</v>
      </c>
      <c r="AE1224" s="218">
        <v>0</v>
      </c>
      <c r="AF1224">
        <v>0</v>
      </c>
      <c r="AH1224" t="str">
        <f t="shared" si="59"/>
        <v>Teghra</v>
      </c>
      <c r="AJ1224" s="72">
        <v>0</v>
      </c>
      <c r="AK1224" s="72"/>
      <c r="AL1224" s="72"/>
      <c r="AM1224" s="72"/>
    </row>
    <row r="1225" spans="1:39" x14ac:dyDescent="0.25">
      <c r="A1225" s="37" t="s">
        <v>62</v>
      </c>
      <c r="B1225" s="66" t="s">
        <v>1638</v>
      </c>
      <c r="C1225" s="47">
        <v>1008</v>
      </c>
      <c r="D1225" s="47" t="s">
        <v>217</v>
      </c>
      <c r="E1225" s="41">
        <v>10080025</v>
      </c>
      <c r="F1225" s="46" t="s">
        <v>231</v>
      </c>
      <c r="G1225" s="39" t="s">
        <v>92</v>
      </c>
      <c r="H1225" s="48" t="s">
        <v>93</v>
      </c>
      <c r="I1225" s="52">
        <v>769.74999999999989</v>
      </c>
      <c r="J1225" s="49">
        <v>28216.62</v>
      </c>
      <c r="K1225" s="65">
        <v>812.55999999999983</v>
      </c>
      <c r="L1225" s="65">
        <v>30759.509999999995</v>
      </c>
      <c r="M1225" s="65">
        <v>7.1499999999999995</v>
      </c>
      <c r="N1225" s="65">
        <v>268.19</v>
      </c>
      <c r="O1225" s="65">
        <v>819.70999999999981</v>
      </c>
      <c r="P1225" s="65">
        <v>31027.699999999993</v>
      </c>
      <c r="Q1225" s="50">
        <v>28216.62</v>
      </c>
      <c r="R1225" s="65">
        <v>0</v>
      </c>
      <c r="S1225" s="65">
        <v>268.19</v>
      </c>
      <c r="T1225" s="65">
        <v>2811.0799999999945</v>
      </c>
      <c r="U1225" s="65">
        <v>0</v>
      </c>
      <c r="V1225" s="65">
        <v>0</v>
      </c>
      <c r="W1225" s="65">
        <v>0</v>
      </c>
      <c r="X1225" s="65">
        <v>27948</v>
      </c>
      <c r="Y1225" s="65">
        <v>0</v>
      </c>
      <c r="Z1225" s="65">
        <v>0</v>
      </c>
      <c r="AA1225" s="51">
        <v>0</v>
      </c>
      <c r="AB1225" s="102" t="s">
        <v>1366</v>
      </c>
      <c r="AC1225" s="81">
        <f t="shared" si="60"/>
        <v>0</v>
      </c>
      <c r="AD1225" s="82">
        <f t="shared" si="61"/>
        <v>0</v>
      </c>
      <c r="AE1225" s="218">
        <v>-9.9624972799718561E-2</v>
      </c>
      <c r="AF1225">
        <v>25</v>
      </c>
      <c r="AH1225" t="str">
        <f t="shared" si="59"/>
        <v>Teghra</v>
      </c>
      <c r="AJ1225" s="72">
        <v>0</v>
      </c>
      <c r="AK1225" s="72"/>
      <c r="AL1225" s="72"/>
      <c r="AM1225" s="72"/>
    </row>
    <row r="1226" spans="1:39" x14ac:dyDescent="0.25">
      <c r="A1226" s="37" t="s">
        <v>62</v>
      </c>
      <c r="B1226" s="66" t="s">
        <v>1638</v>
      </c>
      <c r="C1226" s="47">
        <v>1008</v>
      </c>
      <c r="D1226" s="47" t="s">
        <v>217</v>
      </c>
      <c r="E1226" s="41">
        <v>10080032</v>
      </c>
      <c r="F1226" s="46" t="s">
        <v>233</v>
      </c>
      <c r="G1226" s="39" t="s">
        <v>92</v>
      </c>
      <c r="H1226" s="48" t="s">
        <v>93</v>
      </c>
      <c r="I1226" s="52">
        <v>176.14999999999998</v>
      </c>
      <c r="J1226" s="49">
        <v>7886.24</v>
      </c>
      <c r="K1226" s="65">
        <v>203.91</v>
      </c>
      <c r="L1226" s="65">
        <v>9292.2799999999988</v>
      </c>
      <c r="M1226" s="65">
        <v>133.51</v>
      </c>
      <c r="N1226" s="65">
        <v>6031.11</v>
      </c>
      <c r="O1226" s="65">
        <v>337.41999999999996</v>
      </c>
      <c r="P1226" s="65">
        <v>15323.39</v>
      </c>
      <c r="Q1226" s="50">
        <v>7886.24</v>
      </c>
      <c r="R1226" s="65">
        <v>0</v>
      </c>
      <c r="S1226" s="65">
        <v>180.23000000000002</v>
      </c>
      <c r="T1226" s="65">
        <v>7437.15</v>
      </c>
      <c r="U1226" s="65">
        <v>0</v>
      </c>
      <c r="V1226" s="65">
        <v>0</v>
      </c>
      <c r="W1226" s="65">
        <v>0</v>
      </c>
      <c r="X1226" s="65">
        <v>1856</v>
      </c>
      <c r="Y1226" s="65">
        <v>5850</v>
      </c>
      <c r="Z1226" s="65">
        <v>0</v>
      </c>
      <c r="AA1226" s="51">
        <v>0</v>
      </c>
      <c r="AB1226" s="102">
        <v>0</v>
      </c>
      <c r="AC1226" s="81">
        <f t="shared" si="60"/>
        <v>469.05555764973042</v>
      </c>
      <c r="AD1226" s="82">
        <f t="shared" si="61"/>
        <v>25.164285714285711</v>
      </c>
      <c r="AE1226" s="218">
        <v>-0.94305397756091625</v>
      </c>
      <c r="AF1226">
        <v>14</v>
      </c>
      <c r="AH1226" t="str">
        <f t="shared" si="59"/>
        <v>Teghra</v>
      </c>
      <c r="AJ1226" s="72">
        <v>0</v>
      </c>
      <c r="AK1226" s="72"/>
      <c r="AL1226" s="72"/>
      <c r="AM1226" s="72"/>
    </row>
    <row r="1227" spans="1:39" x14ac:dyDescent="0.25">
      <c r="A1227" s="37" t="s">
        <v>62</v>
      </c>
      <c r="B1227" s="66" t="s">
        <v>1638</v>
      </c>
      <c r="C1227" s="47">
        <v>1008</v>
      </c>
      <c r="D1227" s="47" t="s">
        <v>217</v>
      </c>
      <c r="E1227" s="41">
        <v>10080037</v>
      </c>
      <c r="F1227" s="46" t="s">
        <v>1546</v>
      </c>
      <c r="G1227" s="39" t="s">
        <v>1610</v>
      </c>
      <c r="H1227" s="48" t="s">
        <v>98</v>
      </c>
      <c r="I1227" s="52">
        <v>67.2</v>
      </c>
      <c r="J1227" s="49">
        <v>2902.29</v>
      </c>
      <c r="K1227" s="65">
        <v>0</v>
      </c>
      <c r="L1227" s="65">
        <v>0</v>
      </c>
      <c r="M1227" s="65">
        <v>0</v>
      </c>
      <c r="N1227" s="65">
        <v>0</v>
      </c>
      <c r="O1227" s="65">
        <v>0</v>
      </c>
      <c r="P1227" s="65">
        <v>0</v>
      </c>
      <c r="Q1227" s="50">
        <v>2902.29</v>
      </c>
      <c r="R1227" s="65">
        <v>0</v>
      </c>
      <c r="S1227" s="65">
        <v>0</v>
      </c>
      <c r="T1227" s="65">
        <v>0</v>
      </c>
      <c r="U1227" s="65">
        <v>0</v>
      </c>
      <c r="V1227" s="65">
        <v>0</v>
      </c>
      <c r="W1227" s="65">
        <v>0</v>
      </c>
      <c r="X1227" s="65">
        <v>0</v>
      </c>
      <c r="Y1227" s="65">
        <v>0</v>
      </c>
      <c r="Z1227" s="65">
        <v>2902.29</v>
      </c>
      <c r="AA1227" s="51">
        <v>0</v>
      </c>
      <c r="AB1227" s="102">
        <v>0</v>
      </c>
      <c r="AC1227" s="81">
        <f t="shared" si="60"/>
        <v>546.59794999999997</v>
      </c>
      <c r="AD1227" s="82">
        <f t="shared" si="61"/>
        <v>9.6</v>
      </c>
      <c r="AE1227" s="218">
        <v>0</v>
      </c>
      <c r="AF1227">
        <v>0</v>
      </c>
      <c r="AH1227" t="str">
        <f t="shared" si="59"/>
        <v>Teghra</v>
      </c>
      <c r="AJ1227" s="72">
        <v>0</v>
      </c>
      <c r="AK1227" s="72"/>
      <c r="AL1227" s="72"/>
      <c r="AM1227" s="72"/>
    </row>
    <row r="1228" spans="1:39" x14ac:dyDescent="0.25">
      <c r="A1228" s="37" t="s">
        <v>62</v>
      </c>
      <c r="B1228" s="66" t="s">
        <v>1638</v>
      </c>
      <c r="C1228" s="47">
        <v>1008</v>
      </c>
      <c r="D1228" s="47" t="s">
        <v>217</v>
      </c>
      <c r="E1228" s="41">
        <v>10080039</v>
      </c>
      <c r="F1228" s="46" t="s">
        <v>558</v>
      </c>
      <c r="G1228" s="39" t="s">
        <v>1610</v>
      </c>
      <c r="H1228" s="48" t="s">
        <v>98</v>
      </c>
      <c r="I1228" s="52">
        <v>8689.6000000000022</v>
      </c>
      <c r="J1228" s="49">
        <v>328994.44999999995</v>
      </c>
      <c r="K1228" s="65">
        <v>0</v>
      </c>
      <c r="L1228" s="65">
        <v>0</v>
      </c>
      <c r="M1228" s="65">
        <v>0</v>
      </c>
      <c r="N1228" s="65">
        <v>0</v>
      </c>
      <c r="O1228" s="65">
        <v>0</v>
      </c>
      <c r="P1228" s="65">
        <v>0</v>
      </c>
      <c r="Q1228" s="50">
        <v>328994.44999999995</v>
      </c>
      <c r="R1228" s="65">
        <v>0</v>
      </c>
      <c r="S1228" s="65">
        <v>0</v>
      </c>
      <c r="T1228" s="65">
        <v>0</v>
      </c>
      <c r="U1228" s="65">
        <v>0</v>
      </c>
      <c r="V1228" s="65">
        <v>0</v>
      </c>
      <c r="W1228" s="65">
        <v>0</v>
      </c>
      <c r="X1228" s="65">
        <v>0</v>
      </c>
      <c r="Y1228" s="65">
        <v>0</v>
      </c>
      <c r="Z1228" s="65">
        <v>328994.44999999995</v>
      </c>
      <c r="AA1228" s="51">
        <v>0</v>
      </c>
      <c r="AB1228" s="102">
        <v>0</v>
      </c>
      <c r="AC1228" s="81">
        <f t="shared" si="60"/>
        <v>0</v>
      </c>
      <c r="AD1228" s="82">
        <f t="shared" si="61"/>
        <v>0</v>
      </c>
      <c r="AE1228" s="218">
        <v>0</v>
      </c>
      <c r="AF1228">
        <v>0</v>
      </c>
      <c r="AH1228" t="str">
        <f t="shared" si="59"/>
        <v>Teghra</v>
      </c>
      <c r="AJ1228" s="72">
        <v>0</v>
      </c>
      <c r="AK1228" s="72"/>
      <c r="AL1228" s="72"/>
      <c r="AM1228" s="72"/>
    </row>
    <row r="1229" spans="1:39" x14ac:dyDescent="0.25">
      <c r="A1229" s="37" t="s">
        <v>62</v>
      </c>
      <c r="B1229" s="66" t="s">
        <v>1638</v>
      </c>
      <c r="C1229" s="47">
        <v>1008</v>
      </c>
      <c r="D1229" s="47" t="s">
        <v>217</v>
      </c>
      <c r="E1229" s="41">
        <v>10080040</v>
      </c>
      <c r="F1229" s="46" t="s">
        <v>234</v>
      </c>
      <c r="G1229" s="39" t="s">
        <v>1610</v>
      </c>
      <c r="H1229" s="48" t="s">
        <v>98</v>
      </c>
      <c r="I1229" s="52">
        <v>940.05000000000007</v>
      </c>
      <c r="J1229" s="49">
        <v>37909.279999999999</v>
      </c>
      <c r="K1229" s="65">
        <v>0</v>
      </c>
      <c r="L1229" s="65">
        <v>0</v>
      </c>
      <c r="M1229" s="65">
        <v>0</v>
      </c>
      <c r="N1229" s="65">
        <v>0</v>
      </c>
      <c r="O1229" s="65">
        <v>0</v>
      </c>
      <c r="P1229" s="65">
        <v>0</v>
      </c>
      <c r="Q1229" s="50">
        <v>37909.279999999999</v>
      </c>
      <c r="R1229" s="65">
        <v>0</v>
      </c>
      <c r="S1229" s="65">
        <v>0</v>
      </c>
      <c r="T1229" s="65">
        <v>0</v>
      </c>
      <c r="U1229" s="65">
        <v>0</v>
      </c>
      <c r="V1229" s="65">
        <v>0</v>
      </c>
      <c r="W1229" s="65">
        <v>0</v>
      </c>
      <c r="X1229" s="65">
        <v>0</v>
      </c>
      <c r="Y1229" s="65">
        <v>0</v>
      </c>
      <c r="Z1229" s="65">
        <v>37909.279999999999</v>
      </c>
      <c r="AA1229" s="51">
        <v>0</v>
      </c>
      <c r="AB1229" s="102">
        <v>0</v>
      </c>
      <c r="AC1229" s="81">
        <f t="shared" si="60"/>
        <v>0</v>
      </c>
      <c r="AD1229" s="82">
        <f t="shared" si="61"/>
        <v>0</v>
      </c>
      <c r="AE1229" s="218">
        <v>0</v>
      </c>
      <c r="AF1229">
        <v>0</v>
      </c>
      <c r="AH1229" t="str">
        <f t="shared" si="59"/>
        <v>Teghra</v>
      </c>
      <c r="AJ1229" s="72">
        <v>0</v>
      </c>
      <c r="AK1229" s="72"/>
      <c r="AL1229" s="72"/>
      <c r="AM1229" s="72"/>
    </row>
    <row r="1230" spans="1:39" x14ac:dyDescent="0.25">
      <c r="A1230" s="37" t="s">
        <v>62</v>
      </c>
      <c r="B1230" s="66" t="s">
        <v>1638</v>
      </c>
      <c r="C1230" s="47">
        <v>1008</v>
      </c>
      <c r="D1230" s="47" t="s">
        <v>217</v>
      </c>
      <c r="E1230" s="41">
        <v>10080041</v>
      </c>
      <c r="F1230" s="46" t="s">
        <v>1538</v>
      </c>
      <c r="G1230" s="39" t="s">
        <v>1610</v>
      </c>
      <c r="H1230" s="48" t="s">
        <v>98</v>
      </c>
      <c r="I1230" s="52">
        <v>273.54999999999995</v>
      </c>
      <c r="J1230" s="49">
        <v>10876.47</v>
      </c>
      <c r="K1230" s="65">
        <v>0</v>
      </c>
      <c r="L1230" s="65">
        <v>0</v>
      </c>
      <c r="M1230" s="65">
        <v>0</v>
      </c>
      <c r="N1230" s="65">
        <v>0</v>
      </c>
      <c r="O1230" s="65">
        <v>0</v>
      </c>
      <c r="P1230" s="65">
        <v>0</v>
      </c>
      <c r="Q1230" s="50">
        <v>10876.47</v>
      </c>
      <c r="R1230" s="65">
        <v>0</v>
      </c>
      <c r="S1230" s="65">
        <v>0</v>
      </c>
      <c r="T1230" s="65">
        <v>0</v>
      </c>
      <c r="U1230" s="65">
        <v>0</v>
      </c>
      <c r="V1230" s="65">
        <v>0</v>
      </c>
      <c r="W1230" s="65">
        <v>0</v>
      </c>
      <c r="X1230" s="65">
        <v>0</v>
      </c>
      <c r="Y1230" s="65">
        <v>0</v>
      </c>
      <c r="Z1230" s="65">
        <v>10876.47</v>
      </c>
      <c r="AA1230" s="51">
        <v>0</v>
      </c>
      <c r="AB1230" s="102">
        <v>0</v>
      </c>
      <c r="AC1230" s="81">
        <f t="shared" si="60"/>
        <v>339.11684383110952</v>
      </c>
      <c r="AD1230" s="82">
        <f t="shared" si="61"/>
        <v>39.078571428571422</v>
      </c>
      <c r="AE1230" s="218">
        <v>0</v>
      </c>
      <c r="AF1230">
        <v>0</v>
      </c>
      <c r="AH1230" t="str">
        <f t="shared" si="59"/>
        <v>Teghra</v>
      </c>
      <c r="AJ1230" s="72">
        <v>0</v>
      </c>
      <c r="AK1230" s="72"/>
      <c r="AL1230" s="72"/>
      <c r="AM1230" s="72"/>
    </row>
    <row r="1231" spans="1:39" x14ac:dyDescent="0.25">
      <c r="A1231" s="37" t="s">
        <v>62</v>
      </c>
      <c r="B1231" s="66" t="s">
        <v>1638</v>
      </c>
      <c r="C1231" s="47">
        <v>1008</v>
      </c>
      <c r="D1231" s="47" t="s">
        <v>217</v>
      </c>
      <c r="E1231" s="41">
        <v>10080048</v>
      </c>
      <c r="F1231" s="46" t="s">
        <v>235</v>
      </c>
      <c r="G1231" s="39" t="s">
        <v>92</v>
      </c>
      <c r="H1231" s="48" t="s">
        <v>93</v>
      </c>
      <c r="I1231" s="52">
        <v>424.75000000000006</v>
      </c>
      <c r="J1231" s="49">
        <v>19249.21</v>
      </c>
      <c r="K1231" s="65">
        <v>379.15</v>
      </c>
      <c r="L1231" s="65">
        <v>17869.68</v>
      </c>
      <c r="M1231" s="65">
        <v>50.37</v>
      </c>
      <c r="N1231" s="65">
        <v>2161.7799999999997</v>
      </c>
      <c r="O1231" s="65">
        <v>429.52</v>
      </c>
      <c r="P1231" s="65">
        <v>20031.46</v>
      </c>
      <c r="Q1231" s="50">
        <v>19249.21</v>
      </c>
      <c r="R1231" s="65">
        <v>0</v>
      </c>
      <c r="S1231" s="65">
        <v>131.84</v>
      </c>
      <c r="T1231" s="65">
        <v>782.25</v>
      </c>
      <c r="U1231" s="65">
        <v>0</v>
      </c>
      <c r="V1231" s="65">
        <v>500</v>
      </c>
      <c r="W1231" s="65">
        <v>0</v>
      </c>
      <c r="X1231" s="65">
        <v>16587</v>
      </c>
      <c r="Y1231" s="65">
        <v>2030</v>
      </c>
      <c r="Z1231" s="65">
        <v>0</v>
      </c>
      <c r="AA1231" s="51">
        <v>0</v>
      </c>
      <c r="AB1231" s="102">
        <v>0</v>
      </c>
      <c r="AC1231" s="81">
        <f t="shared" si="60"/>
        <v>249.48063814008231</v>
      </c>
      <c r="AD1231" s="82">
        <f t="shared" si="61"/>
        <v>60.678571428571438</v>
      </c>
      <c r="AE1231" s="218">
        <v>-4.0638031378950099E-2</v>
      </c>
      <c r="AF1231">
        <v>9</v>
      </c>
      <c r="AH1231" t="str">
        <f t="shared" si="59"/>
        <v>Teghra</v>
      </c>
      <c r="AJ1231" s="72">
        <v>500</v>
      </c>
      <c r="AK1231" s="72"/>
      <c r="AL1231" s="72"/>
      <c r="AM1231" s="72"/>
    </row>
    <row r="1232" spans="1:39" x14ac:dyDescent="0.25">
      <c r="A1232" s="37" t="s">
        <v>62</v>
      </c>
      <c r="B1232" s="66" t="s">
        <v>1638</v>
      </c>
      <c r="C1232" s="47">
        <v>1008</v>
      </c>
      <c r="D1232" s="47" t="s">
        <v>217</v>
      </c>
      <c r="E1232" s="41">
        <v>10080052</v>
      </c>
      <c r="F1232" s="46" t="s">
        <v>237</v>
      </c>
      <c r="G1232" s="39" t="s">
        <v>92</v>
      </c>
      <c r="H1232" s="48" t="s">
        <v>93</v>
      </c>
      <c r="I1232" s="52">
        <v>447.2</v>
      </c>
      <c r="J1232" s="49">
        <v>17689.21</v>
      </c>
      <c r="K1232" s="65">
        <v>444.98</v>
      </c>
      <c r="L1232" s="65">
        <v>17864.069999999996</v>
      </c>
      <c r="M1232" s="65">
        <v>1.3400000000000003</v>
      </c>
      <c r="N1232" s="65">
        <v>53.67</v>
      </c>
      <c r="O1232" s="65">
        <v>446.32</v>
      </c>
      <c r="P1232" s="65">
        <v>17917.739999999994</v>
      </c>
      <c r="Q1232" s="50">
        <v>17689.21</v>
      </c>
      <c r="R1232" s="65">
        <v>0</v>
      </c>
      <c r="S1232" s="65">
        <v>53.67</v>
      </c>
      <c r="T1232" s="65">
        <v>228.5299999999952</v>
      </c>
      <c r="U1232" s="65">
        <v>0</v>
      </c>
      <c r="V1232" s="65">
        <v>0</v>
      </c>
      <c r="W1232" s="65">
        <v>0</v>
      </c>
      <c r="X1232" s="65">
        <v>17636</v>
      </c>
      <c r="Y1232" s="65">
        <v>0</v>
      </c>
      <c r="Z1232" s="65">
        <v>0</v>
      </c>
      <c r="AA1232" s="51">
        <v>0</v>
      </c>
      <c r="AB1232" s="102">
        <v>0</v>
      </c>
      <c r="AC1232" s="81">
        <f t="shared" si="60"/>
        <v>199.99249946332742</v>
      </c>
      <c r="AD1232" s="82">
        <f t="shared" si="61"/>
        <v>63.885714285714286</v>
      </c>
      <c r="AE1232" s="218">
        <v>-1.2919175022513454E-2</v>
      </c>
      <c r="AF1232">
        <v>4</v>
      </c>
      <c r="AH1232" t="str">
        <f t="shared" si="59"/>
        <v>Teghra</v>
      </c>
      <c r="AJ1232" s="72">
        <v>0</v>
      </c>
      <c r="AK1232" s="72"/>
      <c r="AL1232" s="72"/>
      <c r="AM1232" s="72"/>
    </row>
    <row r="1233" spans="1:39" x14ac:dyDescent="0.25">
      <c r="A1233" s="37" t="s">
        <v>62</v>
      </c>
      <c r="B1233" s="66" t="s">
        <v>1638</v>
      </c>
      <c r="C1233" s="47">
        <v>1008</v>
      </c>
      <c r="D1233" s="47" t="s">
        <v>217</v>
      </c>
      <c r="E1233" s="41">
        <v>10080053</v>
      </c>
      <c r="F1233" s="46" t="s">
        <v>238</v>
      </c>
      <c r="G1233" s="39" t="s">
        <v>92</v>
      </c>
      <c r="H1233" s="48" t="s">
        <v>93</v>
      </c>
      <c r="I1233" s="52">
        <v>52.8</v>
      </c>
      <c r="J1233" s="49">
        <v>2003.09</v>
      </c>
      <c r="K1233" s="65">
        <v>54.28</v>
      </c>
      <c r="L1233" s="65">
        <v>2124.9499999999998</v>
      </c>
      <c r="M1233" s="65">
        <v>0</v>
      </c>
      <c r="N1233" s="65">
        <v>0</v>
      </c>
      <c r="O1233" s="65">
        <v>54.28</v>
      </c>
      <c r="P1233" s="65">
        <v>2124.9499999999998</v>
      </c>
      <c r="Q1233" s="50">
        <v>2003.09</v>
      </c>
      <c r="R1233" s="65">
        <v>0</v>
      </c>
      <c r="S1233" s="65">
        <v>0</v>
      </c>
      <c r="T1233" s="65">
        <v>121.8599999999999</v>
      </c>
      <c r="U1233" s="65">
        <v>0</v>
      </c>
      <c r="V1233" s="65">
        <v>0</v>
      </c>
      <c r="W1233" s="65">
        <v>0</v>
      </c>
      <c r="X1233" s="65">
        <v>2003</v>
      </c>
      <c r="Y1233" s="65">
        <v>0</v>
      </c>
      <c r="Z1233" s="65">
        <v>0</v>
      </c>
      <c r="AA1233" s="51">
        <v>0</v>
      </c>
      <c r="AB1233" s="102">
        <v>0</v>
      </c>
      <c r="AC1233" s="81">
        <f t="shared" si="60"/>
        <v>491.06054848484854</v>
      </c>
      <c r="AD1233" s="82">
        <f t="shared" si="61"/>
        <v>7.5428571428571427</v>
      </c>
      <c r="AE1233" s="218">
        <v>-6.0836008367072827E-2</v>
      </c>
      <c r="AF1233">
        <v>1</v>
      </c>
      <c r="AH1233" t="str">
        <f t="shared" si="59"/>
        <v>Teghra</v>
      </c>
      <c r="AJ1233" s="72">
        <v>0</v>
      </c>
      <c r="AK1233" s="72"/>
      <c r="AL1233" s="72"/>
      <c r="AM1233" s="72"/>
    </row>
    <row r="1234" spans="1:39" x14ac:dyDescent="0.25">
      <c r="A1234" s="37" t="s">
        <v>62</v>
      </c>
      <c r="B1234" s="66" t="s">
        <v>1638</v>
      </c>
      <c r="C1234" s="47">
        <v>1008</v>
      </c>
      <c r="D1234" s="47" t="s">
        <v>217</v>
      </c>
      <c r="E1234" s="41">
        <v>10080054</v>
      </c>
      <c r="F1234" s="46" t="s">
        <v>239</v>
      </c>
      <c r="G1234" s="39" t="s">
        <v>1610</v>
      </c>
      <c r="H1234" s="48" t="s">
        <v>98</v>
      </c>
      <c r="I1234" s="52">
        <v>1201.9499999999998</v>
      </c>
      <c r="J1234" s="49">
        <v>44843.42</v>
      </c>
      <c r="K1234" s="65">
        <v>0</v>
      </c>
      <c r="L1234" s="65">
        <v>0</v>
      </c>
      <c r="M1234" s="65">
        <v>0</v>
      </c>
      <c r="N1234" s="65">
        <v>0</v>
      </c>
      <c r="O1234" s="65">
        <v>0</v>
      </c>
      <c r="P1234" s="65">
        <v>0</v>
      </c>
      <c r="Q1234" s="50">
        <v>44843.42</v>
      </c>
      <c r="R1234" s="65">
        <v>0</v>
      </c>
      <c r="S1234" s="65">
        <v>0</v>
      </c>
      <c r="T1234" s="65">
        <v>0</v>
      </c>
      <c r="U1234" s="65">
        <v>0</v>
      </c>
      <c r="V1234" s="65">
        <v>0</v>
      </c>
      <c r="W1234" s="65">
        <v>0</v>
      </c>
      <c r="X1234" s="65">
        <v>0</v>
      </c>
      <c r="Y1234" s="65">
        <v>0</v>
      </c>
      <c r="Z1234" s="65">
        <v>44843.42</v>
      </c>
      <c r="AA1234" s="51">
        <v>0</v>
      </c>
      <c r="AB1234" s="102">
        <v>0</v>
      </c>
      <c r="AC1234" s="81">
        <f t="shared" si="60"/>
        <v>0</v>
      </c>
      <c r="AD1234" s="82">
        <f t="shared" si="61"/>
        <v>0</v>
      </c>
      <c r="AE1234" s="218">
        <v>0</v>
      </c>
      <c r="AF1234">
        <v>0</v>
      </c>
      <c r="AH1234" t="str">
        <f t="shared" si="59"/>
        <v>Teghra</v>
      </c>
      <c r="AJ1234" s="72">
        <v>0</v>
      </c>
      <c r="AK1234" s="72"/>
      <c r="AL1234" s="72"/>
      <c r="AM1234" s="72"/>
    </row>
    <row r="1235" spans="1:39" x14ac:dyDescent="0.25">
      <c r="A1235" s="37" t="s">
        <v>62</v>
      </c>
      <c r="B1235" s="66" t="s">
        <v>1638</v>
      </c>
      <c r="C1235" s="47">
        <v>1008</v>
      </c>
      <c r="D1235" s="47" t="s">
        <v>217</v>
      </c>
      <c r="E1235" s="41">
        <v>10080055</v>
      </c>
      <c r="F1235" s="46" t="s">
        <v>240</v>
      </c>
      <c r="G1235" s="39" t="s">
        <v>92</v>
      </c>
      <c r="H1235" s="48" t="s">
        <v>93</v>
      </c>
      <c r="I1235" s="52">
        <v>749</v>
      </c>
      <c r="J1235" s="49">
        <v>28453.64</v>
      </c>
      <c r="K1235" s="65">
        <v>358.15000000000003</v>
      </c>
      <c r="L1235" s="65">
        <v>15316.36</v>
      </c>
      <c r="M1235" s="65">
        <v>401.8</v>
      </c>
      <c r="N1235" s="65">
        <v>17430.080000000002</v>
      </c>
      <c r="O1235" s="65">
        <v>759.95</v>
      </c>
      <c r="P1235" s="65">
        <v>32746.440000000002</v>
      </c>
      <c r="Q1235" s="50">
        <v>28453.64</v>
      </c>
      <c r="R1235" s="65">
        <v>0</v>
      </c>
      <c r="S1235" s="65">
        <v>0</v>
      </c>
      <c r="T1235" s="65">
        <v>4292.8000000000029</v>
      </c>
      <c r="U1235" s="65">
        <v>0</v>
      </c>
      <c r="V1235" s="65">
        <v>0</v>
      </c>
      <c r="W1235" s="65">
        <v>0</v>
      </c>
      <c r="X1235" s="65">
        <v>11023</v>
      </c>
      <c r="Y1235" s="65">
        <v>17431</v>
      </c>
      <c r="Z1235" s="65">
        <v>0</v>
      </c>
      <c r="AA1235" s="51">
        <v>0</v>
      </c>
      <c r="AB1235" s="102">
        <v>0</v>
      </c>
      <c r="AC1235" s="81">
        <f t="shared" si="60"/>
        <v>0</v>
      </c>
      <c r="AD1235" s="82">
        <f t="shared" si="61"/>
        <v>0</v>
      </c>
      <c r="AE1235" s="218">
        <v>-0.15086997656538859</v>
      </c>
      <c r="AF1235">
        <v>12</v>
      </c>
      <c r="AH1235" t="str">
        <f t="shared" si="59"/>
        <v>Teghra</v>
      </c>
      <c r="AJ1235" s="72">
        <v>0</v>
      </c>
      <c r="AK1235" s="72"/>
      <c r="AL1235" s="72"/>
      <c r="AM1235" s="72"/>
    </row>
    <row r="1236" spans="1:39" x14ac:dyDescent="0.25">
      <c r="A1236" s="37" t="s">
        <v>62</v>
      </c>
      <c r="B1236" s="66" t="s">
        <v>1638</v>
      </c>
      <c r="C1236" s="47">
        <v>1008</v>
      </c>
      <c r="D1236" s="47" t="s">
        <v>217</v>
      </c>
      <c r="E1236" s="41">
        <v>10080061</v>
      </c>
      <c r="F1236" s="46" t="s">
        <v>241</v>
      </c>
      <c r="G1236" s="39" t="s">
        <v>1610</v>
      </c>
      <c r="H1236" s="48" t="s">
        <v>93</v>
      </c>
      <c r="I1236" s="52">
        <v>213.79999999999998</v>
      </c>
      <c r="J1236" s="49">
        <v>7686.9</v>
      </c>
      <c r="K1236" s="65">
        <v>213.5</v>
      </c>
      <c r="L1236" s="65">
        <v>7675.9</v>
      </c>
      <c r="M1236" s="65">
        <v>0</v>
      </c>
      <c r="N1236" s="65">
        <v>0</v>
      </c>
      <c r="O1236" s="65">
        <v>213.5</v>
      </c>
      <c r="P1236" s="65">
        <v>7675.9</v>
      </c>
      <c r="Q1236" s="50">
        <v>7675.9</v>
      </c>
      <c r="R1236" s="65">
        <v>0</v>
      </c>
      <c r="S1236" s="65">
        <v>0</v>
      </c>
      <c r="T1236" s="65">
        <v>0</v>
      </c>
      <c r="U1236" s="65">
        <v>0</v>
      </c>
      <c r="V1236" s="65">
        <v>0</v>
      </c>
      <c r="W1236" s="65">
        <v>0</v>
      </c>
      <c r="X1236" s="65">
        <v>7676</v>
      </c>
      <c r="Y1236" s="65">
        <v>0</v>
      </c>
      <c r="Z1236" s="65">
        <v>0</v>
      </c>
      <c r="AA1236" s="51">
        <v>11</v>
      </c>
      <c r="AB1236" s="102">
        <v>0</v>
      </c>
      <c r="AC1236" s="81">
        <f t="shared" si="60"/>
        <v>349.61373058933583</v>
      </c>
      <c r="AD1236" s="82">
        <f t="shared" si="61"/>
        <v>30.542857142857141</v>
      </c>
      <c r="AE1236" s="218">
        <v>1.431005997216043E-3</v>
      </c>
      <c r="AF1236">
        <v>1</v>
      </c>
      <c r="AH1236" t="str">
        <f t="shared" si="59"/>
        <v>Teghra</v>
      </c>
      <c r="AJ1236" s="72">
        <v>0</v>
      </c>
      <c r="AK1236" s="72"/>
      <c r="AL1236" s="72"/>
      <c r="AM1236" s="72"/>
    </row>
    <row r="1237" spans="1:39" x14ac:dyDescent="0.25">
      <c r="A1237" s="37" t="s">
        <v>62</v>
      </c>
      <c r="B1237" s="66" t="s">
        <v>1638</v>
      </c>
      <c r="C1237" s="47">
        <v>1008</v>
      </c>
      <c r="D1237" s="47" t="s">
        <v>217</v>
      </c>
      <c r="E1237" s="41">
        <v>10080065</v>
      </c>
      <c r="F1237" s="46" t="s">
        <v>242</v>
      </c>
      <c r="G1237" s="39" t="s">
        <v>92</v>
      </c>
      <c r="H1237" s="48" t="s">
        <v>93</v>
      </c>
      <c r="I1237" s="52">
        <v>381.85</v>
      </c>
      <c r="J1237" s="49">
        <v>14920.05</v>
      </c>
      <c r="K1237" s="65">
        <v>368.48999999999995</v>
      </c>
      <c r="L1237" s="65">
        <v>14775.48</v>
      </c>
      <c r="M1237" s="65">
        <v>28.680000000000007</v>
      </c>
      <c r="N1237" s="65">
        <v>1151.98</v>
      </c>
      <c r="O1237" s="65">
        <v>397.16999999999996</v>
      </c>
      <c r="P1237" s="65">
        <v>15927.46</v>
      </c>
      <c r="Q1237" s="50">
        <v>14920.05</v>
      </c>
      <c r="R1237" s="65">
        <v>0</v>
      </c>
      <c r="S1237" s="65">
        <v>1151.98</v>
      </c>
      <c r="T1237" s="65">
        <v>1007.4099999999999</v>
      </c>
      <c r="U1237" s="65">
        <v>0</v>
      </c>
      <c r="V1237" s="65">
        <v>500</v>
      </c>
      <c r="W1237" s="65">
        <v>0</v>
      </c>
      <c r="X1237" s="65">
        <v>13268</v>
      </c>
      <c r="Y1237" s="65">
        <v>0</v>
      </c>
      <c r="Z1237" s="65">
        <v>0</v>
      </c>
      <c r="AA1237" s="51">
        <v>0</v>
      </c>
      <c r="AB1237" s="102">
        <v>0</v>
      </c>
      <c r="AC1237" s="81">
        <f t="shared" si="60"/>
        <v>248.62191475710355</v>
      </c>
      <c r="AD1237" s="82">
        <f t="shared" si="61"/>
        <v>54.550000000000004</v>
      </c>
      <c r="AE1237" s="218">
        <v>-6.7520551204587109E-2</v>
      </c>
      <c r="AF1237">
        <v>2</v>
      </c>
      <c r="AH1237" t="str">
        <f t="shared" si="59"/>
        <v>Teghra</v>
      </c>
      <c r="AJ1237" s="72">
        <v>500</v>
      </c>
      <c r="AK1237" s="72"/>
      <c r="AL1237" s="72"/>
      <c r="AM1237" s="72"/>
    </row>
    <row r="1238" spans="1:39" x14ac:dyDescent="0.25">
      <c r="A1238" s="37" t="s">
        <v>62</v>
      </c>
      <c r="B1238" s="66" t="s">
        <v>1638</v>
      </c>
      <c r="C1238" s="47">
        <v>1008</v>
      </c>
      <c r="D1238" s="47" t="s">
        <v>217</v>
      </c>
      <c r="E1238" s="41">
        <v>10080067</v>
      </c>
      <c r="F1238" s="46" t="s">
        <v>243</v>
      </c>
      <c r="G1238" s="39" t="s">
        <v>92</v>
      </c>
      <c r="H1238" s="48" t="s">
        <v>93</v>
      </c>
      <c r="I1238" s="52">
        <v>124.65000000000002</v>
      </c>
      <c r="J1238" s="49">
        <v>5271.96</v>
      </c>
      <c r="K1238" s="65">
        <v>130.16999999999999</v>
      </c>
      <c r="L1238" s="65">
        <v>5194.6100000000006</v>
      </c>
      <c r="M1238" s="65">
        <v>0</v>
      </c>
      <c r="N1238" s="65">
        <v>0</v>
      </c>
      <c r="O1238" s="65">
        <v>130.16999999999999</v>
      </c>
      <c r="P1238" s="65">
        <v>5194.6100000000006</v>
      </c>
      <c r="Q1238" s="50">
        <v>5194.6100000000006</v>
      </c>
      <c r="R1238" s="65">
        <v>0</v>
      </c>
      <c r="S1238" s="65">
        <v>0</v>
      </c>
      <c r="T1238" s="65">
        <v>0</v>
      </c>
      <c r="U1238" s="65">
        <v>0</v>
      </c>
      <c r="V1238" s="65">
        <v>500</v>
      </c>
      <c r="W1238" s="65">
        <v>0</v>
      </c>
      <c r="X1238" s="65">
        <v>4694</v>
      </c>
      <c r="Y1238" s="65">
        <v>0</v>
      </c>
      <c r="Z1238" s="65">
        <v>0</v>
      </c>
      <c r="AA1238" s="51">
        <v>78</v>
      </c>
      <c r="AB1238" s="102">
        <v>0</v>
      </c>
      <c r="AC1238" s="81">
        <f t="shared" si="60"/>
        <v>486.67824885679892</v>
      </c>
      <c r="AD1238" s="82">
        <f t="shared" si="61"/>
        <v>17.80714285714286</v>
      </c>
      <c r="AE1238" s="218">
        <v>1.4671962609731382E-2</v>
      </c>
      <c r="AF1238">
        <v>4</v>
      </c>
      <c r="AH1238" t="str">
        <f t="shared" si="59"/>
        <v>Teghra</v>
      </c>
      <c r="AJ1238" s="72">
        <v>500</v>
      </c>
      <c r="AK1238" s="72"/>
      <c r="AL1238" s="72"/>
      <c r="AM1238" s="72"/>
    </row>
    <row r="1239" spans="1:39" x14ac:dyDescent="0.25">
      <c r="A1239" s="37" t="s">
        <v>62</v>
      </c>
      <c r="B1239" s="66" t="s">
        <v>1638</v>
      </c>
      <c r="C1239" s="47">
        <v>1008</v>
      </c>
      <c r="D1239" s="47" t="s">
        <v>217</v>
      </c>
      <c r="E1239" s="41">
        <v>10080073</v>
      </c>
      <c r="F1239" s="46" t="s">
        <v>1523</v>
      </c>
      <c r="G1239" s="39" t="s">
        <v>1610</v>
      </c>
      <c r="H1239" s="48" t="s">
        <v>98</v>
      </c>
      <c r="I1239" s="52">
        <v>1736.1</v>
      </c>
      <c r="J1239" s="49">
        <v>70213.989999999991</v>
      </c>
      <c r="K1239" s="65">
        <v>0</v>
      </c>
      <c r="L1239" s="65">
        <v>0</v>
      </c>
      <c r="M1239" s="65">
        <v>0</v>
      </c>
      <c r="N1239" s="65">
        <v>0</v>
      </c>
      <c r="O1239" s="65">
        <v>0</v>
      </c>
      <c r="P1239" s="65">
        <v>0</v>
      </c>
      <c r="Q1239" s="50">
        <v>70213.989999999991</v>
      </c>
      <c r="R1239" s="65">
        <v>0</v>
      </c>
      <c r="S1239" s="65">
        <v>0</v>
      </c>
      <c r="T1239" s="65">
        <v>0</v>
      </c>
      <c r="U1239" s="65">
        <v>0</v>
      </c>
      <c r="V1239" s="65">
        <v>0</v>
      </c>
      <c r="W1239" s="65">
        <v>0</v>
      </c>
      <c r="X1239" s="65">
        <v>0</v>
      </c>
      <c r="Y1239" s="65">
        <v>0</v>
      </c>
      <c r="Z1239" s="65">
        <v>70213.989999999991</v>
      </c>
      <c r="AA1239" s="51">
        <v>0</v>
      </c>
      <c r="AB1239" s="102">
        <v>0</v>
      </c>
      <c r="AC1239" s="81">
        <f t="shared" si="60"/>
        <v>0</v>
      </c>
      <c r="AD1239" s="82">
        <f t="shared" si="61"/>
        <v>0</v>
      </c>
      <c r="AE1239" s="218">
        <v>0</v>
      </c>
      <c r="AF1239">
        <v>0</v>
      </c>
      <c r="AH1239" t="str">
        <f t="shared" si="59"/>
        <v>Teghra</v>
      </c>
      <c r="AJ1239" s="72">
        <v>0</v>
      </c>
      <c r="AK1239" s="72"/>
      <c r="AL1239" s="72"/>
      <c r="AM1239" s="72"/>
    </row>
    <row r="1240" spans="1:39" x14ac:dyDescent="0.25">
      <c r="A1240" s="37" t="s">
        <v>62</v>
      </c>
      <c r="B1240" s="66" t="s">
        <v>1638</v>
      </c>
      <c r="C1240" s="47">
        <v>1008</v>
      </c>
      <c r="D1240" s="47" t="s">
        <v>217</v>
      </c>
      <c r="E1240" s="41">
        <v>10080076</v>
      </c>
      <c r="F1240" s="46" t="s">
        <v>461</v>
      </c>
      <c r="G1240" s="39" t="s">
        <v>1610</v>
      </c>
      <c r="H1240" s="48" t="s">
        <v>98</v>
      </c>
      <c r="I1240" s="52">
        <v>285.79999999999995</v>
      </c>
      <c r="J1240" s="49">
        <v>10495.199999999997</v>
      </c>
      <c r="K1240" s="65">
        <v>0</v>
      </c>
      <c r="L1240" s="65">
        <v>0</v>
      </c>
      <c r="M1240" s="65">
        <v>0</v>
      </c>
      <c r="N1240" s="65">
        <v>0</v>
      </c>
      <c r="O1240" s="65">
        <v>0</v>
      </c>
      <c r="P1240" s="65">
        <v>0</v>
      </c>
      <c r="Q1240" s="50">
        <v>10495.199999999997</v>
      </c>
      <c r="R1240" s="65">
        <v>0</v>
      </c>
      <c r="S1240" s="65">
        <v>0</v>
      </c>
      <c r="T1240" s="65">
        <v>0</v>
      </c>
      <c r="U1240" s="65">
        <v>0</v>
      </c>
      <c r="V1240" s="65">
        <v>0</v>
      </c>
      <c r="W1240" s="65">
        <v>0</v>
      </c>
      <c r="X1240" s="65">
        <v>0</v>
      </c>
      <c r="Y1240" s="65">
        <v>0</v>
      </c>
      <c r="Z1240" s="65">
        <v>10495.199999999997</v>
      </c>
      <c r="AA1240" s="51">
        <v>0</v>
      </c>
      <c r="AB1240" s="102">
        <v>0</v>
      </c>
      <c r="AC1240" s="81">
        <f t="shared" si="60"/>
        <v>304.20656682995099</v>
      </c>
      <c r="AD1240" s="82">
        <f t="shared" si="61"/>
        <v>40.828571428571422</v>
      </c>
      <c r="AE1240" s="218">
        <v>0</v>
      </c>
      <c r="AF1240">
        <v>0</v>
      </c>
      <c r="AH1240" t="str">
        <f t="shared" si="59"/>
        <v>Teghra</v>
      </c>
      <c r="AJ1240" s="72">
        <v>0</v>
      </c>
      <c r="AK1240" s="72"/>
      <c r="AL1240" s="72"/>
      <c r="AM1240" s="72"/>
    </row>
    <row r="1241" spans="1:39" x14ac:dyDescent="0.25">
      <c r="A1241" s="37" t="s">
        <v>62</v>
      </c>
      <c r="B1241" s="66" t="s">
        <v>1638</v>
      </c>
      <c r="C1241" s="47">
        <v>1008</v>
      </c>
      <c r="D1241" s="47" t="s">
        <v>217</v>
      </c>
      <c r="E1241" s="41">
        <v>10080077</v>
      </c>
      <c r="F1241" s="46" t="s">
        <v>463</v>
      </c>
      <c r="G1241" s="39" t="s">
        <v>92</v>
      </c>
      <c r="H1241" s="48" t="s">
        <v>93</v>
      </c>
      <c r="I1241" s="52">
        <v>270.7</v>
      </c>
      <c r="J1241" s="49">
        <v>10213.19</v>
      </c>
      <c r="K1241" s="65">
        <v>288.06</v>
      </c>
      <c r="L1241" s="65">
        <v>10390.49</v>
      </c>
      <c r="M1241" s="65">
        <v>0.85000000000000009</v>
      </c>
      <c r="N1241" s="65">
        <v>30.82</v>
      </c>
      <c r="O1241" s="65">
        <v>288.91000000000003</v>
      </c>
      <c r="P1241" s="65">
        <v>10421.31</v>
      </c>
      <c r="Q1241" s="50">
        <v>10213.19</v>
      </c>
      <c r="R1241" s="65">
        <v>0</v>
      </c>
      <c r="S1241" s="65">
        <v>30.82</v>
      </c>
      <c r="T1241" s="65">
        <v>208.11999999999898</v>
      </c>
      <c r="U1241" s="65">
        <v>0</v>
      </c>
      <c r="V1241" s="65">
        <v>0</v>
      </c>
      <c r="W1241" s="65">
        <v>0</v>
      </c>
      <c r="X1241" s="65">
        <v>10182</v>
      </c>
      <c r="Y1241" s="65">
        <v>0</v>
      </c>
      <c r="Z1241" s="65">
        <v>0</v>
      </c>
      <c r="AA1241" s="51">
        <v>0</v>
      </c>
      <c r="AB1241" s="102">
        <v>0</v>
      </c>
      <c r="AC1241" s="81">
        <f t="shared" si="60"/>
        <v>323.93959859623203</v>
      </c>
      <c r="AD1241" s="82">
        <f t="shared" si="61"/>
        <v>38.671428571428571</v>
      </c>
      <c r="AE1241" s="218">
        <v>-2.0377570572955066E-2</v>
      </c>
      <c r="AF1241">
        <v>6</v>
      </c>
      <c r="AH1241" t="str">
        <f t="shared" si="59"/>
        <v>Teghra</v>
      </c>
      <c r="AJ1241" s="72">
        <v>0</v>
      </c>
      <c r="AK1241" s="72"/>
      <c r="AL1241" s="72"/>
      <c r="AM1241" s="72"/>
    </row>
    <row r="1242" spans="1:39" x14ac:dyDescent="0.25">
      <c r="A1242" s="37" t="s">
        <v>62</v>
      </c>
      <c r="B1242" s="66" t="s">
        <v>1638</v>
      </c>
      <c r="C1242" s="47">
        <v>1008</v>
      </c>
      <c r="D1242" s="47" t="s">
        <v>217</v>
      </c>
      <c r="E1242" s="41">
        <v>10080078</v>
      </c>
      <c r="F1242" s="46" t="s">
        <v>601</v>
      </c>
      <c r="G1242" s="39" t="s">
        <v>1610</v>
      </c>
      <c r="H1242" s="48" t="s">
        <v>98</v>
      </c>
      <c r="I1242" s="52">
        <v>78.599999999999994</v>
      </c>
      <c r="J1242" s="49">
        <v>3012.54</v>
      </c>
      <c r="K1242" s="65">
        <v>0</v>
      </c>
      <c r="L1242" s="65">
        <v>0</v>
      </c>
      <c r="M1242" s="65">
        <v>0</v>
      </c>
      <c r="N1242" s="65">
        <v>0</v>
      </c>
      <c r="O1242" s="65">
        <v>0</v>
      </c>
      <c r="P1242" s="65">
        <v>0</v>
      </c>
      <c r="Q1242" s="50">
        <v>3012.54</v>
      </c>
      <c r="R1242" s="65">
        <v>0</v>
      </c>
      <c r="S1242" s="65">
        <v>0</v>
      </c>
      <c r="T1242" s="65">
        <v>0</v>
      </c>
      <c r="U1242" s="65">
        <v>0</v>
      </c>
      <c r="V1242" s="65">
        <v>0</v>
      </c>
      <c r="W1242" s="65">
        <v>0</v>
      </c>
      <c r="X1242" s="65">
        <v>0</v>
      </c>
      <c r="Y1242" s="65">
        <v>0</v>
      </c>
      <c r="Z1242" s="65">
        <v>3012.54</v>
      </c>
      <c r="AA1242" s="51">
        <v>0</v>
      </c>
      <c r="AB1242" s="102">
        <v>0</v>
      </c>
      <c r="AC1242" s="81">
        <f t="shared" si="60"/>
        <v>476.33393282442756</v>
      </c>
      <c r="AD1242" s="82">
        <f t="shared" si="61"/>
        <v>11.228571428571428</v>
      </c>
      <c r="AE1242" s="218">
        <v>0</v>
      </c>
      <c r="AF1242">
        <v>0</v>
      </c>
      <c r="AH1242" t="str">
        <f t="shared" si="59"/>
        <v>Teghra</v>
      </c>
      <c r="AJ1242" s="72">
        <v>0</v>
      </c>
      <c r="AK1242" s="72"/>
      <c r="AL1242" s="72"/>
      <c r="AM1242" s="72"/>
    </row>
    <row r="1243" spans="1:39" x14ac:dyDescent="0.25">
      <c r="A1243" s="37" t="s">
        <v>62</v>
      </c>
      <c r="B1243" s="66" t="s">
        <v>1638</v>
      </c>
      <c r="C1243" s="47">
        <v>1008</v>
      </c>
      <c r="D1243" s="47" t="s">
        <v>217</v>
      </c>
      <c r="E1243" s="43">
        <v>10080080</v>
      </c>
      <c r="F1243" s="46" t="s">
        <v>485</v>
      </c>
      <c r="G1243" s="39" t="s">
        <v>1610</v>
      </c>
      <c r="H1243" s="48" t="s">
        <v>98</v>
      </c>
      <c r="I1243" s="52">
        <v>433.90000000000009</v>
      </c>
      <c r="J1243" s="49">
        <v>15986.56</v>
      </c>
      <c r="K1243" s="65">
        <v>0</v>
      </c>
      <c r="L1243" s="65">
        <v>0</v>
      </c>
      <c r="M1243" s="65">
        <v>0</v>
      </c>
      <c r="N1243" s="65">
        <v>0</v>
      </c>
      <c r="O1243" s="65">
        <v>0</v>
      </c>
      <c r="P1243" s="65">
        <v>0</v>
      </c>
      <c r="Q1243" s="50">
        <v>15986.56</v>
      </c>
      <c r="R1243" s="65">
        <v>0</v>
      </c>
      <c r="S1243" s="65">
        <v>0</v>
      </c>
      <c r="T1243" s="65">
        <v>0</v>
      </c>
      <c r="U1243" s="65">
        <v>0</v>
      </c>
      <c r="V1243" s="65">
        <v>0</v>
      </c>
      <c r="W1243" s="65">
        <v>0</v>
      </c>
      <c r="X1243" s="65">
        <v>0</v>
      </c>
      <c r="Y1243" s="65">
        <v>0</v>
      </c>
      <c r="Z1243" s="65">
        <v>15986.56</v>
      </c>
      <c r="AA1243" s="51">
        <v>0</v>
      </c>
      <c r="AB1243" s="102">
        <v>0</v>
      </c>
      <c r="AC1243" s="81">
        <f t="shared" si="60"/>
        <v>196.0831351002534</v>
      </c>
      <c r="AD1243" s="82">
        <f t="shared" si="61"/>
        <v>61.985714285714302</v>
      </c>
      <c r="AE1243" s="218">
        <v>0</v>
      </c>
      <c r="AF1243">
        <v>0</v>
      </c>
      <c r="AH1243" t="str">
        <f t="shared" si="59"/>
        <v>Teghra</v>
      </c>
      <c r="AJ1243" s="72">
        <v>0</v>
      </c>
      <c r="AK1243" s="72"/>
      <c r="AL1243" s="72"/>
      <c r="AM1243" s="72"/>
    </row>
    <row r="1244" spans="1:39" x14ac:dyDescent="0.25">
      <c r="A1244" s="37" t="s">
        <v>62</v>
      </c>
      <c r="B1244" s="66" t="s">
        <v>1638</v>
      </c>
      <c r="C1244" s="47">
        <v>1008</v>
      </c>
      <c r="D1244" s="47" t="s">
        <v>217</v>
      </c>
      <c r="E1244" s="41">
        <v>10080082</v>
      </c>
      <c r="F1244" s="46" t="s">
        <v>486</v>
      </c>
      <c r="G1244" s="39" t="s">
        <v>1610</v>
      </c>
      <c r="H1244" s="48" t="s">
        <v>98</v>
      </c>
      <c r="I1244" s="52">
        <v>63.2</v>
      </c>
      <c r="J1244" s="49">
        <v>2541.4700000000003</v>
      </c>
      <c r="K1244" s="65">
        <v>0</v>
      </c>
      <c r="L1244" s="65">
        <v>0</v>
      </c>
      <c r="M1244" s="65">
        <v>0</v>
      </c>
      <c r="N1244" s="65">
        <v>0</v>
      </c>
      <c r="O1244" s="65">
        <v>0</v>
      </c>
      <c r="P1244" s="65">
        <v>0</v>
      </c>
      <c r="Q1244" s="50">
        <v>2541.4700000000003</v>
      </c>
      <c r="R1244" s="65">
        <v>0</v>
      </c>
      <c r="S1244" s="65">
        <v>0</v>
      </c>
      <c r="T1244" s="65">
        <v>0</v>
      </c>
      <c r="U1244" s="65">
        <v>0</v>
      </c>
      <c r="V1244" s="65">
        <v>0</v>
      </c>
      <c r="W1244" s="65">
        <v>0</v>
      </c>
      <c r="X1244" s="65">
        <v>0</v>
      </c>
      <c r="Y1244" s="65">
        <v>0</v>
      </c>
      <c r="Z1244" s="65">
        <v>2541.4700000000003</v>
      </c>
      <c r="AA1244" s="51">
        <v>0</v>
      </c>
      <c r="AB1244" s="102">
        <v>0</v>
      </c>
      <c r="AC1244" s="81">
        <f t="shared" si="60"/>
        <v>512.15446075949376</v>
      </c>
      <c r="AD1244" s="82">
        <f t="shared" si="61"/>
        <v>9.0285714285714285</v>
      </c>
      <c r="AE1244" s="218">
        <v>0</v>
      </c>
      <c r="AF1244">
        <v>0</v>
      </c>
      <c r="AH1244" t="str">
        <f t="shared" si="59"/>
        <v>Teghra</v>
      </c>
      <c r="AJ1244" s="72">
        <v>0</v>
      </c>
      <c r="AK1244" s="72"/>
      <c r="AL1244" s="72"/>
      <c r="AM1244" s="72"/>
    </row>
    <row r="1245" spans="1:39" x14ac:dyDescent="0.25">
      <c r="A1245" s="37" t="s">
        <v>62</v>
      </c>
      <c r="B1245" s="66" t="s">
        <v>1638</v>
      </c>
      <c r="C1245" s="47">
        <v>1008</v>
      </c>
      <c r="D1245" s="47" t="s">
        <v>217</v>
      </c>
      <c r="E1245" s="41">
        <v>10080083</v>
      </c>
      <c r="F1245" s="46" t="s">
        <v>487</v>
      </c>
      <c r="G1245" s="39" t="s">
        <v>1610</v>
      </c>
      <c r="H1245" s="48" t="s">
        <v>98</v>
      </c>
      <c r="I1245" s="52">
        <v>314.3</v>
      </c>
      <c r="J1245" s="49">
        <v>11070.99</v>
      </c>
      <c r="K1245" s="65">
        <v>0</v>
      </c>
      <c r="L1245" s="65">
        <v>0</v>
      </c>
      <c r="M1245" s="65">
        <v>0</v>
      </c>
      <c r="N1245" s="65">
        <v>0</v>
      </c>
      <c r="O1245" s="65">
        <v>0</v>
      </c>
      <c r="P1245" s="65">
        <v>0</v>
      </c>
      <c r="Q1245" s="50">
        <v>11070.99</v>
      </c>
      <c r="R1245" s="65">
        <v>0</v>
      </c>
      <c r="S1245" s="65">
        <v>0</v>
      </c>
      <c r="T1245" s="65">
        <v>0</v>
      </c>
      <c r="U1245" s="65">
        <v>0</v>
      </c>
      <c r="V1245" s="65">
        <v>0</v>
      </c>
      <c r="W1245" s="65">
        <v>0</v>
      </c>
      <c r="X1245" s="65">
        <v>0</v>
      </c>
      <c r="Y1245" s="65">
        <v>0</v>
      </c>
      <c r="Z1245" s="65">
        <v>11070.99</v>
      </c>
      <c r="AA1245" s="51">
        <v>0</v>
      </c>
      <c r="AB1245" s="102">
        <v>0</v>
      </c>
      <c r="AC1245" s="81">
        <f t="shared" si="60"/>
        <v>271.72006636971042</v>
      </c>
      <c r="AD1245" s="82">
        <f t="shared" si="61"/>
        <v>44.9</v>
      </c>
      <c r="AE1245" s="218">
        <v>0</v>
      </c>
      <c r="AF1245">
        <v>0</v>
      </c>
      <c r="AH1245" t="str">
        <f t="shared" si="59"/>
        <v>Teghra</v>
      </c>
      <c r="AJ1245" s="72">
        <v>0</v>
      </c>
      <c r="AK1245" s="72"/>
      <c r="AL1245" s="72"/>
      <c r="AM1245" s="72"/>
    </row>
    <row r="1246" spans="1:39" x14ac:dyDescent="0.25">
      <c r="A1246" s="37" t="s">
        <v>62</v>
      </c>
      <c r="B1246" s="66" t="s">
        <v>1638</v>
      </c>
      <c r="C1246" s="47">
        <v>1008</v>
      </c>
      <c r="D1246" s="47" t="s">
        <v>217</v>
      </c>
      <c r="E1246" s="41">
        <v>10080086</v>
      </c>
      <c r="F1246" s="46" t="s">
        <v>547</v>
      </c>
      <c r="G1246" s="39" t="s">
        <v>92</v>
      </c>
      <c r="H1246" s="48" t="s">
        <v>93</v>
      </c>
      <c r="I1246" s="52">
        <v>211.25</v>
      </c>
      <c r="J1246" s="49">
        <v>8247.58</v>
      </c>
      <c r="K1246" s="65">
        <v>226.9</v>
      </c>
      <c r="L1246" s="65">
        <v>8848.7000000000007</v>
      </c>
      <c r="M1246" s="65">
        <v>6</v>
      </c>
      <c r="N1246" s="65">
        <v>235.78</v>
      </c>
      <c r="O1246" s="65">
        <v>232.9</v>
      </c>
      <c r="P1246" s="65">
        <v>9084.4800000000014</v>
      </c>
      <c r="Q1246" s="50">
        <v>8247.58</v>
      </c>
      <c r="R1246" s="65">
        <v>0</v>
      </c>
      <c r="S1246" s="65">
        <v>235.78</v>
      </c>
      <c r="T1246" s="65">
        <v>836.90000000000146</v>
      </c>
      <c r="U1246" s="65">
        <v>0</v>
      </c>
      <c r="V1246" s="65">
        <v>500</v>
      </c>
      <c r="W1246" s="65">
        <v>0</v>
      </c>
      <c r="X1246" s="65">
        <v>7512</v>
      </c>
      <c r="Y1246" s="65">
        <v>0</v>
      </c>
      <c r="Z1246" s="65">
        <v>0</v>
      </c>
      <c r="AA1246" s="51">
        <v>0</v>
      </c>
      <c r="AB1246" s="102">
        <v>0</v>
      </c>
      <c r="AC1246" s="81">
        <f t="shared" si="60"/>
        <v>381.63358343195267</v>
      </c>
      <c r="AD1246" s="82">
        <f t="shared" si="61"/>
        <v>30.178571428571427</v>
      </c>
      <c r="AE1246" s="218">
        <v>-0.10147218941798702</v>
      </c>
      <c r="AF1246">
        <v>3</v>
      </c>
      <c r="AH1246" t="str">
        <f t="shared" si="59"/>
        <v>Teghra</v>
      </c>
      <c r="AJ1246" s="72">
        <v>500</v>
      </c>
      <c r="AK1246" s="72"/>
      <c r="AL1246" s="72"/>
      <c r="AM1246" s="72"/>
    </row>
    <row r="1247" spans="1:39" x14ac:dyDescent="0.25">
      <c r="A1247" s="37" t="s">
        <v>62</v>
      </c>
      <c r="B1247" s="66" t="s">
        <v>1638</v>
      </c>
      <c r="C1247" s="47">
        <v>1008</v>
      </c>
      <c r="D1247" s="47" t="s">
        <v>217</v>
      </c>
      <c r="E1247" s="41">
        <v>10080087</v>
      </c>
      <c r="F1247" s="46" t="s">
        <v>568</v>
      </c>
      <c r="G1247" s="39" t="s">
        <v>92</v>
      </c>
      <c r="H1247" s="48" t="s">
        <v>93</v>
      </c>
      <c r="I1247" s="52">
        <v>543.90000000000009</v>
      </c>
      <c r="J1247" s="49">
        <v>21855.26</v>
      </c>
      <c r="K1247" s="65">
        <v>546.28</v>
      </c>
      <c r="L1247" s="65">
        <v>21639.710000000003</v>
      </c>
      <c r="M1247" s="65">
        <v>0.69000000000000006</v>
      </c>
      <c r="N1247" s="65">
        <v>27.970000000000002</v>
      </c>
      <c r="O1247" s="65">
        <v>546.97</v>
      </c>
      <c r="P1247" s="65">
        <v>21667.680000000004</v>
      </c>
      <c r="Q1247" s="50">
        <v>21667.680000000004</v>
      </c>
      <c r="R1247" s="65">
        <v>0</v>
      </c>
      <c r="S1247" s="65">
        <v>27.970000000000002</v>
      </c>
      <c r="T1247" s="65">
        <v>0</v>
      </c>
      <c r="U1247" s="65">
        <v>0</v>
      </c>
      <c r="V1247" s="65">
        <v>0</v>
      </c>
      <c r="W1247" s="65">
        <v>0</v>
      </c>
      <c r="X1247" s="65">
        <v>21639</v>
      </c>
      <c r="Y1247" s="65">
        <v>0</v>
      </c>
      <c r="Z1247" s="65">
        <v>0</v>
      </c>
      <c r="AA1247" s="51">
        <v>188</v>
      </c>
      <c r="AB1247" s="102">
        <v>0</v>
      </c>
      <c r="AC1247" s="81">
        <f t="shared" si="60"/>
        <v>125.44975495495483</v>
      </c>
      <c r="AD1247" s="82">
        <f t="shared" si="61"/>
        <v>77.700000000000017</v>
      </c>
      <c r="AE1247" s="218">
        <v>8.5828308608542972E-3</v>
      </c>
      <c r="AF1247">
        <v>3</v>
      </c>
      <c r="AH1247" t="str">
        <f t="shared" si="59"/>
        <v>Teghra</v>
      </c>
      <c r="AJ1247" s="72">
        <v>0</v>
      </c>
      <c r="AK1247" s="72"/>
      <c r="AL1247" s="72"/>
      <c r="AM1247" s="72"/>
    </row>
    <row r="1248" spans="1:39" x14ac:dyDescent="0.25">
      <c r="A1248" s="37" t="s">
        <v>62</v>
      </c>
      <c r="B1248" s="66" t="s">
        <v>1638</v>
      </c>
      <c r="C1248" s="47">
        <v>1008</v>
      </c>
      <c r="D1248" s="47" t="s">
        <v>217</v>
      </c>
      <c r="E1248" s="41">
        <v>10080088</v>
      </c>
      <c r="F1248" s="46" t="s">
        <v>569</v>
      </c>
      <c r="G1248" s="39" t="s">
        <v>92</v>
      </c>
      <c r="H1248" s="48" t="s">
        <v>93</v>
      </c>
      <c r="I1248" s="52">
        <v>541.30000000000007</v>
      </c>
      <c r="J1248" s="49">
        <v>18119.190000000002</v>
      </c>
      <c r="K1248" s="65">
        <v>546</v>
      </c>
      <c r="L1248" s="65">
        <v>17080.39</v>
      </c>
      <c r="M1248" s="65">
        <v>2.8000000000000003</v>
      </c>
      <c r="N1248" s="65">
        <v>86.61999999999999</v>
      </c>
      <c r="O1248" s="65">
        <v>548.79999999999995</v>
      </c>
      <c r="P1248" s="65">
        <v>17167.009999999998</v>
      </c>
      <c r="Q1248" s="50">
        <v>17167.009999999998</v>
      </c>
      <c r="R1248" s="65">
        <v>0</v>
      </c>
      <c r="S1248" s="65">
        <v>86.61999999999999</v>
      </c>
      <c r="T1248" s="65">
        <v>0</v>
      </c>
      <c r="U1248" s="65">
        <v>0</v>
      </c>
      <c r="V1248" s="65">
        <v>0</v>
      </c>
      <c r="W1248" s="65">
        <v>0</v>
      </c>
      <c r="X1248" s="65">
        <v>17080</v>
      </c>
      <c r="Y1248" s="65">
        <v>0</v>
      </c>
      <c r="Z1248" s="65">
        <v>0</v>
      </c>
      <c r="AA1248" s="51">
        <v>953</v>
      </c>
      <c r="AB1248" s="102">
        <v>0</v>
      </c>
      <c r="AC1248" s="81">
        <f t="shared" si="60"/>
        <v>106.24479782006279</v>
      </c>
      <c r="AD1248" s="82">
        <f t="shared" si="61"/>
        <v>77.328571428571436</v>
      </c>
      <c r="AE1248" s="218">
        <v>5.2550914251685857E-2</v>
      </c>
      <c r="AF1248">
        <v>7</v>
      </c>
      <c r="AH1248" t="str">
        <f t="shared" si="59"/>
        <v>Teghra</v>
      </c>
      <c r="AJ1248" s="72">
        <v>0</v>
      </c>
      <c r="AK1248" s="72"/>
      <c r="AL1248" s="72"/>
      <c r="AM1248" s="72"/>
    </row>
    <row r="1249" spans="1:39" x14ac:dyDescent="0.25">
      <c r="A1249" s="37" t="s">
        <v>62</v>
      </c>
      <c r="B1249" s="66" t="s">
        <v>1638</v>
      </c>
      <c r="C1249" s="47">
        <v>1008</v>
      </c>
      <c r="D1249" s="47" t="s">
        <v>217</v>
      </c>
      <c r="E1249" s="41">
        <v>10080090</v>
      </c>
      <c r="F1249" s="46" t="s">
        <v>630</v>
      </c>
      <c r="G1249" s="39" t="s">
        <v>1610</v>
      </c>
      <c r="H1249" s="48" t="s">
        <v>98</v>
      </c>
      <c r="I1249" s="52">
        <v>143.04999999999998</v>
      </c>
      <c r="J1249" s="49">
        <v>5290.8499999999995</v>
      </c>
      <c r="K1249" s="65">
        <v>0</v>
      </c>
      <c r="L1249" s="65">
        <v>0</v>
      </c>
      <c r="M1249" s="65">
        <v>0</v>
      </c>
      <c r="N1249" s="65">
        <v>0</v>
      </c>
      <c r="O1249" s="65">
        <v>0</v>
      </c>
      <c r="P1249" s="65">
        <v>0</v>
      </c>
      <c r="Q1249" s="50">
        <v>5290.8499999999995</v>
      </c>
      <c r="R1249" s="65">
        <v>0</v>
      </c>
      <c r="S1249" s="65">
        <v>0</v>
      </c>
      <c r="T1249" s="65">
        <v>0</v>
      </c>
      <c r="U1249" s="65">
        <v>0</v>
      </c>
      <c r="V1249" s="65">
        <v>0</v>
      </c>
      <c r="W1249" s="65">
        <v>0</v>
      </c>
      <c r="X1249" s="65">
        <v>0</v>
      </c>
      <c r="Y1249" s="65">
        <v>0</v>
      </c>
      <c r="Z1249" s="65">
        <v>5290.8499999999995</v>
      </c>
      <c r="AA1249" s="51">
        <v>0</v>
      </c>
      <c r="AB1249" s="102">
        <v>0</v>
      </c>
      <c r="AC1249" s="81">
        <f t="shared" si="60"/>
        <v>411.98726424327162</v>
      </c>
      <c r="AD1249" s="82">
        <f t="shared" si="61"/>
        <v>20.435714285714283</v>
      </c>
      <c r="AE1249" s="218">
        <v>0</v>
      </c>
      <c r="AF1249">
        <v>0</v>
      </c>
      <c r="AH1249" t="str">
        <f t="shared" si="59"/>
        <v>Teghra</v>
      </c>
      <c r="AJ1249" s="72">
        <v>0</v>
      </c>
      <c r="AK1249" s="72"/>
      <c r="AL1249" s="72"/>
      <c r="AM1249" s="72"/>
    </row>
    <row r="1250" spans="1:39" x14ac:dyDescent="0.25">
      <c r="A1250" s="37" t="s">
        <v>62</v>
      </c>
      <c r="B1250" s="66" t="s">
        <v>1638</v>
      </c>
      <c r="C1250" s="47">
        <v>1008</v>
      </c>
      <c r="D1250" s="47" t="s">
        <v>217</v>
      </c>
      <c r="E1250" s="41">
        <v>10080093</v>
      </c>
      <c r="F1250" s="46" t="s">
        <v>806</v>
      </c>
      <c r="G1250" s="39" t="s">
        <v>92</v>
      </c>
      <c r="H1250" s="48" t="s">
        <v>93</v>
      </c>
      <c r="I1250" s="52">
        <v>397.6</v>
      </c>
      <c r="J1250" s="49">
        <v>14479.759999999998</v>
      </c>
      <c r="K1250" s="65">
        <v>397.2</v>
      </c>
      <c r="L1250" s="65">
        <v>14632.85</v>
      </c>
      <c r="M1250" s="65">
        <v>0</v>
      </c>
      <c r="N1250" s="65">
        <v>0</v>
      </c>
      <c r="O1250" s="65">
        <v>397.2</v>
      </c>
      <c r="P1250" s="65">
        <v>14632.85</v>
      </c>
      <c r="Q1250" s="50">
        <v>14479.759999999998</v>
      </c>
      <c r="R1250" s="65">
        <v>0</v>
      </c>
      <c r="S1250" s="65">
        <v>0</v>
      </c>
      <c r="T1250" s="65">
        <v>153.09000000000196</v>
      </c>
      <c r="U1250" s="65">
        <v>0</v>
      </c>
      <c r="V1250" s="65">
        <v>0</v>
      </c>
      <c r="W1250" s="65">
        <v>0</v>
      </c>
      <c r="X1250" s="65">
        <v>14480</v>
      </c>
      <c r="Y1250" s="65">
        <v>0</v>
      </c>
      <c r="Z1250" s="65">
        <v>0</v>
      </c>
      <c r="AA1250" s="51">
        <v>0</v>
      </c>
      <c r="AB1250" s="102">
        <v>0</v>
      </c>
      <c r="AC1250" s="81">
        <f t="shared" si="60"/>
        <v>220.25550422535207</v>
      </c>
      <c r="AD1250" s="82">
        <f t="shared" si="61"/>
        <v>56.800000000000004</v>
      </c>
      <c r="AE1250" s="218">
        <v>-1.057268905009489E-2</v>
      </c>
      <c r="AF1250">
        <v>1</v>
      </c>
      <c r="AH1250" t="str">
        <f t="shared" si="59"/>
        <v>Teghra</v>
      </c>
      <c r="AJ1250" s="72">
        <v>0</v>
      </c>
      <c r="AK1250" s="72"/>
      <c r="AL1250" s="72"/>
      <c r="AM1250" s="72"/>
    </row>
    <row r="1251" spans="1:39" x14ac:dyDescent="0.25">
      <c r="A1251" s="37" t="s">
        <v>62</v>
      </c>
      <c r="B1251" s="66" t="s">
        <v>1638</v>
      </c>
      <c r="C1251" s="47">
        <v>1008</v>
      </c>
      <c r="D1251" s="47" t="s">
        <v>217</v>
      </c>
      <c r="E1251" s="41">
        <v>10080097</v>
      </c>
      <c r="F1251" s="46" t="s">
        <v>643</v>
      </c>
      <c r="G1251" s="39" t="s">
        <v>1610</v>
      </c>
      <c r="H1251" s="48" t="s">
        <v>98</v>
      </c>
      <c r="I1251" s="52">
        <v>177.94999999999996</v>
      </c>
      <c r="J1251" s="49">
        <v>6852.09</v>
      </c>
      <c r="K1251" s="65">
        <v>0</v>
      </c>
      <c r="L1251" s="65">
        <v>0</v>
      </c>
      <c r="M1251" s="65">
        <v>0</v>
      </c>
      <c r="N1251" s="65">
        <v>0</v>
      </c>
      <c r="O1251" s="65">
        <v>0</v>
      </c>
      <c r="P1251" s="65">
        <v>0</v>
      </c>
      <c r="Q1251" s="50">
        <v>6852.09</v>
      </c>
      <c r="R1251" s="65">
        <v>0</v>
      </c>
      <c r="S1251" s="65">
        <v>0</v>
      </c>
      <c r="T1251" s="65">
        <v>0</v>
      </c>
      <c r="U1251" s="65">
        <v>0</v>
      </c>
      <c r="V1251" s="65">
        <v>0</v>
      </c>
      <c r="W1251" s="65">
        <v>0</v>
      </c>
      <c r="X1251" s="65">
        <v>0</v>
      </c>
      <c r="Y1251" s="65">
        <v>0</v>
      </c>
      <c r="Z1251" s="65">
        <v>6852.09</v>
      </c>
      <c r="AA1251" s="51">
        <v>0</v>
      </c>
      <c r="AB1251" s="102">
        <v>0</v>
      </c>
      <c r="AC1251" s="81">
        <f t="shared" si="60"/>
        <v>402.03805389154275</v>
      </c>
      <c r="AD1251" s="82">
        <f t="shared" si="61"/>
        <v>25.421428571428567</v>
      </c>
      <c r="AE1251" s="218">
        <v>0</v>
      </c>
      <c r="AF1251">
        <v>0</v>
      </c>
      <c r="AH1251" t="str">
        <f t="shared" si="59"/>
        <v>Teghra</v>
      </c>
      <c r="AJ1251" s="72">
        <v>0</v>
      </c>
      <c r="AK1251" s="72"/>
      <c r="AL1251" s="72"/>
      <c r="AM1251" s="72"/>
    </row>
    <row r="1252" spans="1:39" x14ac:dyDescent="0.25">
      <c r="A1252" s="37" t="s">
        <v>62</v>
      </c>
      <c r="B1252" s="66" t="s">
        <v>1638</v>
      </c>
      <c r="C1252" s="47">
        <v>1008</v>
      </c>
      <c r="D1252" s="47" t="s">
        <v>217</v>
      </c>
      <c r="E1252" s="41">
        <v>10080099</v>
      </c>
      <c r="F1252" s="46" t="s">
        <v>807</v>
      </c>
      <c r="G1252" s="39" t="s">
        <v>92</v>
      </c>
      <c r="H1252" s="48" t="s">
        <v>93</v>
      </c>
      <c r="I1252" s="52">
        <v>335.3</v>
      </c>
      <c r="J1252" s="49">
        <v>11878.36</v>
      </c>
      <c r="K1252" s="65">
        <v>335</v>
      </c>
      <c r="L1252" s="65">
        <v>11738.4</v>
      </c>
      <c r="M1252" s="65">
        <v>0</v>
      </c>
      <c r="N1252" s="65">
        <v>0</v>
      </c>
      <c r="O1252" s="65">
        <v>335</v>
      </c>
      <c r="P1252" s="65">
        <v>11738.4</v>
      </c>
      <c r="Q1252" s="50">
        <v>11738.4</v>
      </c>
      <c r="R1252" s="65">
        <v>0</v>
      </c>
      <c r="S1252" s="65">
        <v>0</v>
      </c>
      <c r="T1252" s="65">
        <v>0</v>
      </c>
      <c r="U1252" s="65">
        <v>0</v>
      </c>
      <c r="V1252" s="65">
        <v>0</v>
      </c>
      <c r="W1252" s="65">
        <v>0</v>
      </c>
      <c r="X1252" s="65">
        <v>11738</v>
      </c>
      <c r="Y1252" s="65">
        <v>0</v>
      </c>
      <c r="Z1252" s="65">
        <v>0</v>
      </c>
      <c r="AA1252" s="51">
        <v>140</v>
      </c>
      <c r="AB1252" s="102">
        <v>0</v>
      </c>
      <c r="AC1252" s="81">
        <f t="shared" si="60"/>
        <v>258.39772693110649</v>
      </c>
      <c r="AD1252" s="82">
        <f t="shared" si="61"/>
        <v>47.9</v>
      </c>
      <c r="AE1252" s="218">
        <v>1.1782771359009235E-2</v>
      </c>
      <c r="AF1252">
        <v>1</v>
      </c>
      <c r="AH1252" t="str">
        <f t="shared" si="59"/>
        <v>Teghra</v>
      </c>
      <c r="AJ1252" s="72">
        <v>0</v>
      </c>
      <c r="AK1252" s="72"/>
      <c r="AL1252" s="72"/>
      <c r="AM1252" s="72"/>
    </row>
    <row r="1253" spans="1:39" x14ac:dyDescent="0.25">
      <c r="A1253" s="37" t="s">
        <v>62</v>
      </c>
      <c r="B1253" s="66" t="s">
        <v>1638</v>
      </c>
      <c r="C1253" s="47">
        <v>1008</v>
      </c>
      <c r="D1253" s="47" t="s">
        <v>217</v>
      </c>
      <c r="E1253" s="41">
        <v>10080100</v>
      </c>
      <c r="F1253" s="46" t="s">
        <v>1117</v>
      </c>
      <c r="G1253" s="39" t="s">
        <v>92</v>
      </c>
      <c r="H1253" s="48" t="s">
        <v>93</v>
      </c>
      <c r="I1253" s="52">
        <v>15.4</v>
      </c>
      <c r="J1253" s="49">
        <v>567.62</v>
      </c>
      <c r="K1253" s="65">
        <v>15.4</v>
      </c>
      <c r="L1253" s="65">
        <v>565.33000000000004</v>
      </c>
      <c r="M1253" s="65">
        <v>0</v>
      </c>
      <c r="N1253" s="65">
        <v>0</v>
      </c>
      <c r="O1253" s="65">
        <v>15.4</v>
      </c>
      <c r="P1253" s="65">
        <v>565.33000000000004</v>
      </c>
      <c r="Q1253" s="50">
        <v>565.33000000000004</v>
      </c>
      <c r="R1253" s="65">
        <v>0</v>
      </c>
      <c r="S1253" s="65">
        <v>0</v>
      </c>
      <c r="T1253" s="65">
        <v>0</v>
      </c>
      <c r="U1253" s="65">
        <v>0</v>
      </c>
      <c r="V1253" s="65">
        <v>500</v>
      </c>
      <c r="W1253" s="65">
        <v>0</v>
      </c>
      <c r="X1253" s="65">
        <v>65</v>
      </c>
      <c r="Y1253" s="65">
        <v>0</v>
      </c>
      <c r="Z1253" s="65">
        <v>0</v>
      </c>
      <c r="AA1253" s="51">
        <v>3</v>
      </c>
      <c r="AB1253" s="102">
        <v>0</v>
      </c>
      <c r="AC1253" s="81">
        <f t="shared" si="60"/>
        <v>504.66578181818181</v>
      </c>
      <c r="AD1253" s="82">
        <f t="shared" si="61"/>
        <v>2.2000000000000002</v>
      </c>
      <c r="AE1253" s="218">
        <v>4.0343892040448958E-3</v>
      </c>
      <c r="AF1253">
        <v>1</v>
      </c>
      <c r="AH1253" t="str">
        <f t="shared" ref="AH1253:AH1314" si="62">TEXT(D1253,"0000")</f>
        <v>Teghra</v>
      </c>
      <c r="AJ1253" s="72">
        <v>500</v>
      </c>
      <c r="AK1253" s="72"/>
      <c r="AL1253" s="72"/>
      <c r="AM1253" s="72"/>
    </row>
    <row r="1254" spans="1:39" x14ac:dyDescent="0.25">
      <c r="A1254" s="37" t="s">
        <v>62</v>
      </c>
      <c r="B1254" s="66" t="s">
        <v>1638</v>
      </c>
      <c r="C1254" s="47">
        <v>1008</v>
      </c>
      <c r="D1254" s="47" t="s">
        <v>217</v>
      </c>
      <c r="E1254" s="41">
        <v>10080107</v>
      </c>
      <c r="F1254" s="46" t="s">
        <v>317</v>
      </c>
      <c r="G1254" s="39" t="s">
        <v>1610</v>
      </c>
      <c r="H1254" s="48" t="s">
        <v>98</v>
      </c>
      <c r="I1254" s="52">
        <v>1068.45</v>
      </c>
      <c r="J1254" s="49">
        <v>39153.24</v>
      </c>
      <c r="K1254" s="65">
        <v>0</v>
      </c>
      <c r="L1254" s="65">
        <v>0</v>
      </c>
      <c r="M1254" s="65">
        <v>0</v>
      </c>
      <c r="N1254" s="65">
        <v>0</v>
      </c>
      <c r="O1254" s="65">
        <v>0</v>
      </c>
      <c r="P1254" s="65">
        <v>0</v>
      </c>
      <c r="Q1254" s="50">
        <v>39153.24</v>
      </c>
      <c r="R1254" s="65">
        <v>0</v>
      </c>
      <c r="S1254" s="65">
        <v>0</v>
      </c>
      <c r="T1254" s="65">
        <v>0</v>
      </c>
      <c r="U1254" s="65">
        <v>0</v>
      </c>
      <c r="V1254" s="65">
        <v>0</v>
      </c>
      <c r="W1254" s="65">
        <v>0</v>
      </c>
      <c r="X1254" s="65">
        <v>0</v>
      </c>
      <c r="Y1254" s="65">
        <v>0</v>
      </c>
      <c r="Z1254" s="65">
        <v>39153.24</v>
      </c>
      <c r="AA1254" s="51">
        <v>0</v>
      </c>
      <c r="AB1254" s="102">
        <v>0</v>
      </c>
      <c r="AC1254" s="81">
        <f t="shared" si="60"/>
        <v>0</v>
      </c>
      <c r="AD1254" s="82">
        <f t="shared" si="61"/>
        <v>0</v>
      </c>
      <c r="AE1254" s="218">
        <v>0</v>
      </c>
      <c r="AF1254">
        <v>0</v>
      </c>
      <c r="AH1254" t="str">
        <f t="shared" si="62"/>
        <v>Teghra</v>
      </c>
      <c r="AJ1254" s="72">
        <v>0</v>
      </c>
      <c r="AK1254" s="72"/>
      <c r="AL1254" s="72"/>
      <c r="AM1254" s="72"/>
    </row>
    <row r="1255" spans="1:39" x14ac:dyDescent="0.25">
      <c r="A1255" s="37" t="s">
        <v>62</v>
      </c>
      <c r="B1255" s="66" t="s">
        <v>1638</v>
      </c>
      <c r="C1255" s="47">
        <v>1065</v>
      </c>
      <c r="D1255" s="47" t="s">
        <v>1407</v>
      </c>
      <c r="E1255" s="41">
        <v>10080112</v>
      </c>
      <c r="F1255" s="46" t="s">
        <v>1190</v>
      </c>
      <c r="G1255" s="39" t="s">
        <v>1610</v>
      </c>
      <c r="H1255" s="48" t="s">
        <v>98</v>
      </c>
      <c r="I1255" s="52">
        <v>1138.5</v>
      </c>
      <c r="J1255" s="49">
        <v>47609.679999999993</v>
      </c>
      <c r="K1255" s="65">
        <v>0</v>
      </c>
      <c r="L1255" s="65">
        <v>0</v>
      </c>
      <c r="M1255" s="65">
        <v>0</v>
      </c>
      <c r="N1255" s="65">
        <v>0</v>
      </c>
      <c r="O1255" s="65">
        <v>0</v>
      </c>
      <c r="P1255" s="65">
        <v>0</v>
      </c>
      <c r="Q1255" s="50">
        <v>47609.679999999993</v>
      </c>
      <c r="R1255" s="65">
        <v>0</v>
      </c>
      <c r="S1255" s="65">
        <v>0</v>
      </c>
      <c r="T1255" s="65">
        <v>0</v>
      </c>
      <c r="U1255" s="65">
        <v>0</v>
      </c>
      <c r="V1255" s="65">
        <v>0</v>
      </c>
      <c r="W1255" s="65">
        <v>0</v>
      </c>
      <c r="X1255" s="65">
        <v>0</v>
      </c>
      <c r="Y1255" s="65">
        <v>0</v>
      </c>
      <c r="Z1255" s="65">
        <v>47609.679999999993</v>
      </c>
      <c r="AA1255" s="51">
        <v>0</v>
      </c>
      <c r="AB1255" s="102">
        <v>0</v>
      </c>
      <c r="AC1255" s="81">
        <f t="shared" si="60"/>
        <v>0</v>
      </c>
      <c r="AD1255" s="82">
        <f t="shared" si="61"/>
        <v>0</v>
      </c>
      <c r="AE1255" s="218">
        <v>0</v>
      </c>
      <c r="AF1255">
        <v>0</v>
      </c>
      <c r="AH1255" t="str">
        <f t="shared" si="62"/>
        <v>Bachhwara BMC</v>
      </c>
      <c r="AJ1255" s="72">
        <v>0</v>
      </c>
      <c r="AK1255" s="72"/>
      <c r="AL1255" s="72"/>
      <c r="AM1255" s="72"/>
    </row>
    <row r="1256" spans="1:39" x14ac:dyDescent="0.25">
      <c r="A1256" s="37" t="s">
        <v>62</v>
      </c>
      <c r="B1256" s="66" t="s">
        <v>1638</v>
      </c>
      <c r="C1256" s="47">
        <v>1008</v>
      </c>
      <c r="D1256" s="47" t="s">
        <v>217</v>
      </c>
      <c r="E1256" s="41">
        <v>10080113</v>
      </c>
      <c r="F1256" s="46" t="s">
        <v>1191</v>
      </c>
      <c r="G1256" s="39" t="s">
        <v>1610</v>
      </c>
      <c r="H1256" s="48" t="s">
        <v>98</v>
      </c>
      <c r="I1256" s="52">
        <v>396.45</v>
      </c>
      <c r="J1256" s="49">
        <v>14385.559999999998</v>
      </c>
      <c r="K1256" s="65">
        <v>0</v>
      </c>
      <c r="L1256" s="65">
        <v>0</v>
      </c>
      <c r="M1256" s="65">
        <v>0</v>
      </c>
      <c r="N1256" s="65">
        <v>0</v>
      </c>
      <c r="O1256" s="65">
        <v>0</v>
      </c>
      <c r="P1256" s="65">
        <v>0</v>
      </c>
      <c r="Q1256" s="50">
        <v>14385.559999999998</v>
      </c>
      <c r="R1256" s="65">
        <v>0</v>
      </c>
      <c r="S1256" s="65">
        <v>0</v>
      </c>
      <c r="T1256" s="65">
        <v>0</v>
      </c>
      <c r="U1256" s="65">
        <v>0</v>
      </c>
      <c r="V1256" s="65">
        <v>0</v>
      </c>
      <c r="W1256" s="65">
        <v>0</v>
      </c>
      <c r="X1256" s="65">
        <v>0</v>
      </c>
      <c r="Y1256" s="65">
        <v>0</v>
      </c>
      <c r="Z1256" s="65">
        <v>14385.559999999998</v>
      </c>
      <c r="AA1256" s="51">
        <v>0</v>
      </c>
      <c r="AB1256" s="102">
        <v>0</v>
      </c>
      <c r="AC1256" s="81">
        <f t="shared" si="60"/>
        <v>220.29192775885986</v>
      </c>
      <c r="AD1256" s="82">
        <f t="shared" si="61"/>
        <v>56.635714285714286</v>
      </c>
      <c r="AE1256" s="218">
        <v>0</v>
      </c>
      <c r="AF1256">
        <v>0</v>
      </c>
      <c r="AH1256" t="str">
        <f t="shared" si="62"/>
        <v>Teghra</v>
      </c>
      <c r="AJ1256" s="72">
        <v>0</v>
      </c>
      <c r="AK1256" s="72"/>
      <c r="AL1256" s="72"/>
      <c r="AM1256" s="72"/>
    </row>
    <row r="1257" spans="1:39" x14ac:dyDescent="0.25">
      <c r="A1257" s="37" t="s">
        <v>62</v>
      </c>
      <c r="B1257" s="66" t="s">
        <v>1638</v>
      </c>
      <c r="C1257" s="47">
        <v>1008</v>
      </c>
      <c r="D1257" s="47" t="s">
        <v>217</v>
      </c>
      <c r="E1257" s="41">
        <v>10080115</v>
      </c>
      <c r="F1257" s="46" t="s">
        <v>1231</v>
      </c>
      <c r="G1257" s="39" t="s">
        <v>92</v>
      </c>
      <c r="H1257" s="48" t="s">
        <v>93</v>
      </c>
      <c r="I1257" s="52">
        <v>376.04999999999995</v>
      </c>
      <c r="J1257" s="49">
        <v>14027.56</v>
      </c>
      <c r="K1257" s="65">
        <v>376</v>
      </c>
      <c r="L1257" s="65">
        <v>13953.36</v>
      </c>
      <c r="M1257" s="65">
        <v>0</v>
      </c>
      <c r="N1257" s="65">
        <v>0</v>
      </c>
      <c r="O1257" s="65">
        <v>376</v>
      </c>
      <c r="P1257" s="65">
        <v>13953.36</v>
      </c>
      <c r="Q1257" s="50">
        <v>13953.36</v>
      </c>
      <c r="R1257" s="65">
        <v>0</v>
      </c>
      <c r="S1257" s="65">
        <v>0</v>
      </c>
      <c r="T1257" s="65">
        <v>0</v>
      </c>
      <c r="U1257" s="65">
        <v>0</v>
      </c>
      <c r="V1257" s="65">
        <v>0</v>
      </c>
      <c r="W1257" s="65">
        <v>0</v>
      </c>
      <c r="X1257" s="65">
        <v>13953</v>
      </c>
      <c r="Y1257" s="65">
        <v>0</v>
      </c>
      <c r="Z1257" s="65">
        <v>0</v>
      </c>
      <c r="AA1257" s="51">
        <v>75</v>
      </c>
      <c r="AB1257" s="102">
        <v>0</v>
      </c>
      <c r="AC1257" s="81">
        <f t="shared" si="60"/>
        <v>241.6821200372292</v>
      </c>
      <c r="AD1257" s="82">
        <f t="shared" si="61"/>
        <v>53.721428571428568</v>
      </c>
      <c r="AE1257" s="218">
        <v>5.2895870700249304E-3</v>
      </c>
      <c r="AF1257">
        <v>1</v>
      </c>
      <c r="AH1257" t="str">
        <f t="shared" si="62"/>
        <v>Teghra</v>
      </c>
      <c r="AJ1257" s="72">
        <v>0</v>
      </c>
      <c r="AK1257" s="72"/>
      <c r="AL1257" s="72"/>
      <c r="AM1257" s="72"/>
    </row>
    <row r="1258" spans="1:39" x14ac:dyDescent="0.25">
      <c r="A1258" s="37" t="s">
        <v>62</v>
      </c>
      <c r="B1258" s="66" t="s">
        <v>1638</v>
      </c>
      <c r="C1258" s="47">
        <v>1008</v>
      </c>
      <c r="D1258" s="47" t="s">
        <v>217</v>
      </c>
      <c r="E1258" s="41">
        <v>10080119</v>
      </c>
      <c r="F1258" s="46" t="s">
        <v>1279</v>
      </c>
      <c r="G1258" s="39" t="s">
        <v>92</v>
      </c>
      <c r="H1258" s="48" t="s">
        <v>93</v>
      </c>
      <c r="I1258" s="52">
        <v>62.85</v>
      </c>
      <c r="J1258" s="49">
        <v>2165.8700000000003</v>
      </c>
      <c r="K1258" s="65">
        <v>122.53</v>
      </c>
      <c r="L1258" s="65">
        <v>4079.9300000000003</v>
      </c>
      <c r="M1258" s="65">
        <v>0</v>
      </c>
      <c r="N1258" s="65">
        <v>0</v>
      </c>
      <c r="O1258" s="65">
        <v>122.53</v>
      </c>
      <c r="P1258" s="65">
        <v>4079.9300000000003</v>
      </c>
      <c r="Q1258" s="50">
        <v>2165.8700000000003</v>
      </c>
      <c r="R1258" s="65">
        <v>0</v>
      </c>
      <c r="S1258" s="65">
        <v>0</v>
      </c>
      <c r="T1258" s="65">
        <v>1914.06</v>
      </c>
      <c r="U1258" s="65">
        <v>0</v>
      </c>
      <c r="V1258" s="65">
        <v>0</v>
      </c>
      <c r="W1258" s="65">
        <v>0</v>
      </c>
      <c r="X1258" s="65">
        <v>2166</v>
      </c>
      <c r="Y1258" s="65">
        <v>0</v>
      </c>
      <c r="Z1258" s="65">
        <v>0</v>
      </c>
      <c r="AA1258" s="51">
        <v>0</v>
      </c>
      <c r="AB1258" s="102">
        <v>0</v>
      </c>
      <c r="AC1258" s="81">
        <f t="shared" si="60"/>
        <v>439.13574240254582</v>
      </c>
      <c r="AD1258" s="82">
        <f t="shared" si="61"/>
        <v>8.9785714285714295</v>
      </c>
      <c r="AE1258" s="218">
        <v>-0.88373725108155132</v>
      </c>
      <c r="AF1258">
        <v>2</v>
      </c>
      <c r="AH1258" t="str">
        <f t="shared" si="62"/>
        <v>Teghra</v>
      </c>
      <c r="AJ1258" s="72">
        <v>0</v>
      </c>
      <c r="AK1258" s="72"/>
      <c r="AL1258" s="72"/>
      <c r="AM1258" s="72"/>
    </row>
    <row r="1259" spans="1:39" x14ac:dyDescent="0.25">
      <c r="A1259" s="37" t="s">
        <v>62</v>
      </c>
      <c r="B1259" s="66" t="s">
        <v>1638</v>
      </c>
      <c r="C1259" s="47">
        <v>1008</v>
      </c>
      <c r="D1259" s="47" t="s">
        <v>217</v>
      </c>
      <c r="E1259" s="41">
        <v>10080120</v>
      </c>
      <c r="F1259" s="46" t="s">
        <v>1336</v>
      </c>
      <c r="G1259" s="39" t="s">
        <v>92</v>
      </c>
      <c r="H1259" s="48" t="s">
        <v>93</v>
      </c>
      <c r="I1259" s="52">
        <v>576.54999999999995</v>
      </c>
      <c r="J1259" s="49">
        <v>22749.32</v>
      </c>
      <c r="K1259" s="65">
        <v>517.21999999999991</v>
      </c>
      <c r="L1259" s="65">
        <v>19985.879999999997</v>
      </c>
      <c r="M1259" s="65">
        <v>69.149999999999991</v>
      </c>
      <c r="N1259" s="65">
        <v>2605.21</v>
      </c>
      <c r="O1259" s="65">
        <v>586.36999999999989</v>
      </c>
      <c r="P1259" s="65">
        <v>22591.089999999997</v>
      </c>
      <c r="Q1259" s="50">
        <v>22591.089999999997</v>
      </c>
      <c r="R1259" s="65">
        <v>0</v>
      </c>
      <c r="S1259" s="65">
        <v>0</v>
      </c>
      <c r="T1259" s="65">
        <v>0</v>
      </c>
      <c r="U1259" s="65">
        <v>0</v>
      </c>
      <c r="V1259" s="65">
        <v>0</v>
      </c>
      <c r="W1259" s="65">
        <v>0</v>
      </c>
      <c r="X1259" s="65">
        <v>19987</v>
      </c>
      <c r="Y1259" s="65">
        <v>2605</v>
      </c>
      <c r="Z1259" s="65">
        <v>0</v>
      </c>
      <c r="AA1259" s="51">
        <v>157</v>
      </c>
      <c r="AB1259" s="102">
        <v>0</v>
      </c>
      <c r="AC1259" s="81">
        <f t="shared" si="60"/>
        <v>97.420988778076506</v>
      </c>
      <c r="AD1259" s="82">
        <f t="shared" si="61"/>
        <v>82.364285714285714</v>
      </c>
      <c r="AE1259" s="218">
        <v>6.9553727320202626E-3</v>
      </c>
      <c r="AF1259">
        <v>11</v>
      </c>
      <c r="AH1259" t="str">
        <f t="shared" si="62"/>
        <v>Teghra</v>
      </c>
      <c r="AJ1259" s="72">
        <v>0</v>
      </c>
      <c r="AK1259" s="72"/>
      <c r="AL1259" s="72"/>
      <c r="AM1259" s="72"/>
    </row>
    <row r="1260" spans="1:39" x14ac:dyDescent="0.25">
      <c r="A1260" s="37" t="s">
        <v>62</v>
      </c>
      <c r="B1260" s="66" t="s">
        <v>1638</v>
      </c>
      <c r="C1260" s="47">
        <v>1008</v>
      </c>
      <c r="D1260" s="47" t="s">
        <v>217</v>
      </c>
      <c r="E1260" s="41">
        <v>10080122</v>
      </c>
      <c r="F1260" s="46" t="s">
        <v>1348</v>
      </c>
      <c r="G1260" s="39" t="s">
        <v>92</v>
      </c>
      <c r="H1260" s="48" t="s">
        <v>93</v>
      </c>
      <c r="I1260" s="52">
        <v>635.54999999999995</v>
      </c>
      <c r="J1260" s="49">
        <v>24750.180000000004</v>
      </c>
      <c r="K1260" s="65">
        <v>635</v>
      </c>
      <c r="L1260" s="65">
        <v>24447.5</v>
      </c>
      <c r="M1260" s="65">
        <v>0</v>
      </c>
      <c r="N1260" s="65">
        <v>0</v>
      </c>
      <c r="O1260" s="65">
        <v>635</v>
      </c>
      <c r="P1260" s="65">
        <v>24447.5</v>
      </c>
      <c r="Q1260" s="50">
        <v>24447.5</v>
      </c>
      <c r="R1260" s="65">
        <v>0</v>
      </c>
      <c r="S1260" s="65">
        <v>0</v>
      </c>
      <c r="T1260" s="65">
        <v>0</v>
      </c>
      <c r="U1260" s="65">
        <v>0</v>
      </c>
      <c r="V1260" s="65">
        <v>0</v>
      </c>
      <c r="W1260" s="65">
        <v>0</v>
      </c>
      <c r="X1260" s="65">
        <v>24448</v>
      </c>
      <c r="Y1260" s="65">
        <v>0</v>
      </c>
      <c r="Z1260" s="65">
        <v>0</v>
      </c>
      <c r="AA1260" s="51">
        <v>302</v>
      </c>
      <c r="AB1260" s="102">
        <v>0</v>
      </c>
      <c r="AC1260" s="81">
        <f t="shared" si="60"/>
        <v>50.197438470616078</v>
      </c>
      <c r="AD1260" s="82">
        <f t="shared" si="61"/>
        <v>90.79285714285713</v>
      </c>
      <c r="AE1260" s="218">
        <v>1.22294060083605E-2</v>
      </c>
      <c r="AF1260">
        <v>1</v>
      </c>
      <c r="AH1260" t="str">
        <f t="shared" si="62"/>
        <v>Teghra</v>
      </c>
      <c r="AJ1260" s="72">
        <v>0</v>
      </c>
      <c r="AK1260" s="72"/>
      <c r="AL1260" s="72"/>
      <c r="AM1260" s="72"/>
    </row>
    <row r="1261" spans="1:39" x14ac:dyDescent="0.25">
      <c r="A1261" s="37" t="s">
        <v>62</v>
      </c>
      <c r="B1261" s="66" t="s">
        <v>1638</v>
      </c>
      <c r="C1261" s="47">
        <v>1008</v>
      </c>
      <c r="D1261" s="47" t="s">
        <v>217</v>
      </c>
      <c r="E1261" s="41">
        <v>10080124</v>
      </c>
      <c r="F1261" s="46" t="s">
        <v>1362</v>
      </c>
      <c r="G1261" s="39" t="s">
        <v>92</v>
      </c>
      <c r="H1261" s="48" t="s">
        <v>93</v>
      </c>
      <c r="I1261" s="52">
        <v>314.55</v>
      </c>
      <c r="J1261" s="49">
        <v>12687.550000000001</v>
      </c>
      <c r="K1261" s="65">
        <v>314</v>
      </c>
      <c r="L1261" s="65">
        <v>12525.46</v>
      </c>
      <c r="M1261" s="65">
        <v>0</v>
      </c>
      <c r="N1261" s="65">
        <v>0</v>
      </c>
      <c r="O1261" s="65">
        <v>314</v>
      </c>
      <c r="P1261" s="65">
        <v>12525.46</v>
      </c>
      <c r="Q1261" s="50">
        <v>12525.46</v>
      </c>
      <c r="R1261" s="65">
        <v>0</v>
      </c>
      <c r="S1261" s="65">
        <v>0</v>
      </c>
      <c r="T1261" s="65">
        <v>0</v>
      </c>
      <c r="U1261" s="65">
        <v>0</v>
      </c>
      <c r="V1261" s="65">
        <v>0</v>
      </c>
      <c r="W1261" s="65">
        <v>0</v>
      </c>
      <c r="X1261" s="65">
        <v>12525</v>
      </c>
      <c r="Y1261" s="65">
        <v>0</v>
      </c>
      <c r="Z1261" s="65">
        <v>0</v>
      </c>
      <c r="AA1261" s="51">
        <v>163</v>
      </c>
      <c r="AB1261" s="102">
        <v>0</v>
      </c>
      <c r="AC1261" s="81">
        <f t="shared" si="60"/>
        <v>310.94682228580513</v>
      </c>
      <c r="AD1261" s="82">
        <f t="shared" si="61"/>
        <v>44.93571428571429</v>
      </c>
      <c r="AE1261" s="218">
        <v>1.2775516155601511E-2</v>
      </c>
      <c r="AF1261">
        <v>1</v>
      </c>
      <c r="AH1261" t="str">
        <f t="shared" si="62"/>
        <v>Teghra</v>
      </c>
      <c r="AJ1261" s="72">
        <v>0</v>
      </c>
      <c r="AK1261" s="72"/>
      <c r="AL1261" s="72"/>
      <c r="AM1261" s="72"/>
    </row>
    <row r="1262" spans="1:39" x14ac:dyDescent="0.25">
      <c r="A1262" s="37" t="s">
        <v>62</v>
      </c>
      <c r="B1262" s="66" t="s">
        <v>1638</v>
      </c>
      <c r="C1262" s="47">
        <v>1008</v>
      </c>
      <c r="D1262" s="47" t="s">
        <v>217</v>
      </c>
      <c r="E1262" s="41">
        <v>10080126</v>
      </c>
      <c r="F1262" s="46" t="s">
        <v>1423</v>
      </c>
      <c r="G1262" s="39" t="s">
        <v>92</v>
      </c>
      <c r="H1262" s="48" t="s">
        <v>93</v>
      </c>
      <c r="I1262" s="52">
        <v>198.04999999999998</v>
      </c>
      <c r="J1262" s="49">
        <v>7447.4999999999991</v>
      </c>
      <c r="K1262" s="65">
        <v>198</v>
      </c>
      <c r="L1262" s="65">
        <v>7458.66</v>
      </c>
      <c r="M1262" s="65">
        <v>0</v>
      </c>
      <c r="N1262" s="65">
        <v>0</v>
      </c>
      <c r="O1262" s="65">
        <v>198</v>
      </c>
      <c r="P1262" s="65">
        <v>7458.66</v>
      </c>
      <c r="Q1262" s="50">
        <v>7447.4999999999991</v>
      </c>
      <c r="R1262" s="65">
        <v>0</v>
      </c>
      <c r="S1262" s="65">
        <v>0</v>
      </c>
      <c r="T1262" s="65">
        <v>11.160000000000764</v>
      </c>
      <c r="U1262" s="65">
        <v>0</v>
      </c>
      <c r="V1262" s="65">
        <v>0</v>
      </c>
      <c r="W1262" s="65">
        <v>0</v>
      </c>
      <c r="X1262" s="65">
        <v>7447</v>
      </c>
      <c r="Y1262" s="65">
        <v>0</v>
      </c>
      <c r="Z1262" s="65">
        <v>0</v>
      </c>
      <c r="AA1262" s="51">
        <v>0</v>
      </c>
      <c r="AB1262" s="102">
        <v>0</v>
      </c>
      <c r="AC1262" s="81">
        <f t="shared" si="60"/>
        <v>377.50796516031306</v>
      </c>
      <c r="AD1262" s="82">
        <f t="shared" si="61"/>
        <v>28.292857142857141</v>
      </c>
      <c r="AE1262" s="218">
        <v>-1.4984894259819758E-3</v>
      </c>
      <c r="AF1262">
        <v>1</v>
      </c>
      <c r="AH1262" t="str">
        <f t="shared" si="62"/>
        <v>Teghra</v>
      </c>
      <c r="AJ1262" s="72">
        <v>0</v>
      </c>
      <c r="AK1262" s="72"/>
      <c r="AL1262" s="72"/>
      <c r="AM1262" s="72"/>
    </row>
    <row r="1263" spans="1:39" x14ac:dyDescent="0.25">
      <c r="A1263" s="37" t="s">
        <v>62</v>
      </c>
      <c r="B1263" s="66" t="s">
        <v>1638</v>
      </c>
      <c r="C1263" s="47">
        <v>1008</v>
      </c>
      <c r="D1263" s="47" t="s">
        <v>217</v>
      </c>
      <c r="E1263" s="41">
        <v>10080128</v>
      </c>
      <c r="F1263" s="46" t="s">
        <v>1599</v>
      </c>
      <c r="G1263" s="39" t="s">
        <v>92</v>
      </c>
      <c r="H1263" s="48" t="s">
        <v>98</v>
      </c>
      <c r="I1263" s="52">
        <v>236.49999999999997</v>
      </c>
      <c r="J1263" s="49">
        <v>9252.9</v>
      </c>
      <c r="K1263" s="65">
        <v>0</v>
      </c>
      <c r="L1263" s="65">
        <v>0</v>
      </c>
      <c r="M1263" s="65">
        <v>0</v>
      </c>
      <c r="N1263" s="65">
        <v>0</v>
      </c>
      <c r="O1263" s="65">
        <v>0</v>
      </c>
      <c r="P1263" s="65">
        <v>0</v>
      </c>
      <c r="Q1263" s="50">
        <v>9252.9</v>
      </c>
      <c r="R1263" s="65">
        <v>0</v>
      </c>
      <c r="S1263" s="65">
        <v>0</v>
      </c>
      <c r="T1263" s="65">
        <v>0</v>
      </c>
      <c r="U1263" s="65">
        <v>0</v>
      </c>
      <c r="V1263" s="65">
        <v>0</v>
      </c>
      <c r="W1263" s="65">
        <v>0</v>
      </c>
      <c r="X1263" s="65">
        <v>0</v>
      </c>
      <c r="Y1263" s="65">
        <v>0</v>
      </c>
      <c r="Z1263" s="65">
        <v>9252.9</v>
      </c>
      <c r="AA1263" s="51">
        <v>0</v>
      </c>
      <c r="AB1263" s="102">
        <v>0</v>
      </c>
      <c r="AC1263" s="81">
        <f t="shared" si="60"/>
        <v>362.68238054968299</v>
      </c>
      <c r="AD1263" s="82">
        <f t="shared" si="61"/>
        <v>33.785714285714285</v>
      </c>
      <c r="AE1263" s="218">
        <v>0</v>
      </c>
      <c r="AF1263">
        <v>0</v>
      </c>
      <c r="AH1263" t="str">
        <f t="shared" si="62"/>
        <v>Teghra</v>
      </c>
      <c r="AJ1263" s="72">
        <v>0</v>
      </c>
      <c r="AK1263" s="72"/>
      <c r="AL1263" s="72"/>
      <c r="AM1263" s="72"/>
    </row>
    <row r="1264" spans="1:39" x14ac:dyDescent="0.25">
      <c r="A1264" s="37" t="s">
        <v>62</v>
      </c>
      <c r="B1264" s="66" t="s">
        <v>1638</v>
      </c>
      <c r="C1264" s="47">
        <v>1009</v>
      </c>
      <c r="D1264" s="47" t="s">
        <v>244</v>
      </c>
      <c r="E1264" s="41">
        <v>10090001</v>
      </c>
      <c r="F1264" s="46" t="s">
        <v>245</v>
      </c>
      <c r="G1264" s="39" t="s">
        <v>92</v>
      </c>
      <c r="H1264" s="48" t="s">
        <v>98</v>
      </c>
      <c r="I1264" s="52">
        <v>738.5</v>
      </c>
      <c r="J1264" s="49">
        <v>31689.480000000007</v>
      </c>
      <c r="K1264" s="65">
        <v>0</v>
      </c>
      <c r="L1264" s="65">
        <v>0</v>
      </c>
      <c r="M1264" s="65">
        <v>0</v>
      </c>
      <c r="N1264" s="65">
        <v>0</v>
      </c>
      <c r="O1264" s="65">
        <v>0</v>
      </c>
      <c r="P1264" s="65">
        <v>0</v>
      </c>
      <c r="Q1264" s="50">
        <v>31689.480000000007</v>
      </c>
      <c r="R1264" s="65">
        <v>0</v>
      </c>
      <c r="S1264" s="65">
        <v>0</v>
      </c>
      <c r="T1264" s="65">
        <v>0</v>
      </c>
      <c r="U1264" s="65">
        <v>0</v>
      </c>
      <c r="V1264" s="65">
        <v>0</v>
      </c>
      <c r="W1264" s="65">
        <v>0</v>
      </c>
      <c r="X1264" s="65">
        <v>0</v>
      </c>
      <c r="Y1264" s="65">
        <v>0</v>
      </c>
      <c r="Z1264" s="65">
        <v>31689.480000000007</v>
      </c>
      <c r="AA1264" s="51">
        <v>0</v>
      </c>
      <c r="AB1264" s="102">
        <v>0</v>
      </c>
      <c r="AC1264" s="81">
        <f t="shared" si="60"/>
        <v>0</v>
      </c>
      <c r="AD1264" s="82">
        <f t="shared" si="61"/>
        <v>0</v>
      </c>
      <c r="AE1264" s="218">
        <v>0</v>
      </c>
      <c r="AF1264">
        <v>0</v>
      </c>
      <c r="AH1264" t="str">
        <f t="shared" si="62"/>
        <v>Halsi</v>
      </c>
      <c r="AJ1264" s="72">
        <v>0</v>
      </c>
      <c r="AK1264" s="72"/>
      <c r="AL1264" s="72"/>
      <c r="AM1264" s="72"/>
    </row>
    <row r="1265" spans="1:39" x14ac:dyDescent="0.25">
      <c r="A1265" s="37" t="s">
        <v>62</v>
      </c>
      <c r="B1265" s="66" t="s">
        <v>1638</v>
      </c>
      <c r="C1265" s="47">
        <v>1009</v>
      </c>
      <c r="D1265" s="47" t="s">
        <v>244</v>
      </c>
      <c r="E1265" s="41">
        <v>10090002</v>
      </c>
      <c r="F1265" s="46" t="s">
        <v>246</v>
      </c>
      <c r="G1265" s="39" t="s">
        <v>92</v>
      </c>
      <c r="H1265" s="48" t="s">
        <v>93</v>
      </c>
      <c r="I1265" s="52">
        <v>1748.3999999999996</v>
      </c>
      <c r="J1265" s="49">
        <v>76410.930000000008</v>
      </c>
      <c r="K1265" s="65">
        <v>1316.8899999999996</v>
      </c>
      <c r="L1265" s="65">
        <v>57398.2</v>
      </c>
      <c r="M1265" s="65">
        <v>420.83000000000004</v>
      </c>
      <c r="N1265" s="65">
        <v>18034.07</v>
      </c>
      <c r="O1265" s="65">
        <v>1737.7199999999998</v>
      </c>
      <c r="P1265" s="65">
        <v>75432.26999999999</v>
      </c>
      <c r="Q1265" s="50">
        <v>75432.26999999999</v>
      </c>
      <c r="R1265" s="65">
        <v>0</v>
      </c>
      <c r="S1265" s="65">
        <v>592.62000000000012</v>
      </c>
      <c r="T1265" s="65">
        <v>0</v>
      </c>
      <c r="U1265" s="65">
        <v>0</v>
      </c>
      <c r="V1265" s="65">
        <v>0</v>
      </c>
      <c r="W1265" s="65">
        <v>0</v>
      </c>
      <c r="X1265" s="65">
        <v>57399</v>
      </c>
      <c r="Y1265" s="65">
        <v>17442</v>
      </c>
      <c r="Z1265" s="65">
        <v>0</v>
      </c>
      <c r="AA1265" s="51">
        <v>977</v>
      </c>
      <c r="AB1265" s="102">
        <v>0</v>
      </c>
      <c r="AC1265" s="81">
        <f t="shared" si="60"/>
        <v>0</v>
      </c>
      <c r="AD1265" s="82">
        <f t="shared" si="61"/>
        <v>0</v>
      </c>
      <c r="AE1265" s="218">
        <v>1.2807853536137016E-2</v>
      </c>
      <c r="AF1265">
        <v>14</v>
      </c>
      <c r="AH1265" t="str">
        <f t="shared" si="62"/>
        <v>Halsi</v>
      </c>
      <c r="AJ1265" s="72">
        <v>0</v>
      </c>
      <c r="AK1265" s="72"/>
      <c r="AL1265" s="72"/>
      <c r="AM1265" s="72"/>
    </row>
    <row r="1266" spans="1:39" x14ac:dyDescent="0.25">
      <c r="A1266" s="37" t="s">
        <v>62</v>
      </c>
      <c r="B1266" s="66" t="s">
        <v>1638</v>
      </c>
      <c r="C1266" s="47">
        <v>1009</v>
      </c>
      <c r="D1266" s="47" t="s">
        <v>244</v>
      </c>
      <c r="E1266" s="41">
        <v>10090003</v>
      </c>
      <c r="F1266" s="46" t="s">
        <v>247</v>
      </c>
      <c r="G1266" s="39" t="s">
        <v>92</v>
      </c>
      <c r="H1266" s="48" t="s">
        <v>93</v>
      </c>
      <c r="I1266" s="52">
        <v>68.5</v>
      </c>
      <c r="J1266" s="49">
        <v>2422.6000000000004</v>
      </c>
      <c r="K1266" s="65">
        <v>68.2</v>
      </c>
      <c r="L1266" s="65">
        <v>2510.38</v>
      </c>
      <c r="M1266" s="65">
        <v>0.7</v>
      </c>
      <c r="N1266" s="65">
        <v>25.550000000000004</v>
      </c>
      <c r="O1266" s="65">
        <v>68.900000000000006</v>
      </c>
      <c r="P1266" s="65">
        <v>2535.9300000000003</v>
      </c>
      <c r="Q1266" s="50">
        <v>2422.6000000000004</v>
      </c>
      <c r="R1266" s="65">
        <v>0</v>
      </c>
      <c r="S1266" s="65">
        <v>25.550000000000004</v>
      </c>
      <c r="T1266" s="65">
        <v>113.32999999999993</v>
      </c>
      <c r="U1266" s="65">
        <v>0</v>
      </c>
      <c r="V1266" s="65">
        <v>0</v>
      </c>
      <c r="W1266" s="65">
        <v>0</v>
      </c>
      <c r="X1266" s="65">
        <v>2397</v>
      </c>
      <c r="Y1266" s="65">
        <v>0</v>
      </c>
      <c r="Z1266" s="65">
        <v>0</v>
      </c>
      <c r="AA1266" s="51">
        <v>0</v>
      </c>
      <c r="AB1266" s="102">
        <v>0</v>
      </c>
      <c r="AC1266" s="81">
        <f t="shared" si="60"/>
        <v>446.67792700729939</v>
      </c>
      <c r="AD1266" s="82">
        <f t="shared" si="61"/>
        <v>9.7857142857142865</v>
      </c>
      <c r="AE1266" s="218">
        <v>-4.678031866589611E-2</v>
      </c>
      <c r="AF1266">
        <v>3</v>
      </c>
      <c r="AH1266" t="str">
        <f t="shared" si="62"/>
        <v>Halsi</v>
      </c>
      <c r="AJ1266" s="72">
        <v>0</v>
      </c>
      <c r="AK1266" s="72"/>
      <c r="AL1266" s="72"/>
      <c r="AM1266" s="72"/>
    </row>
    <row r="1267" spans="1:39" x14ac:dyDescent="0.25">
      <c r="A1267" s="37" t="s">
        <v>62</v>
      </c>
      <c r="B1267" s="66" t="s">
        <v>1638</v>
      </c>
      <c r="C1267" s="47">
        <v>1009</v>
      </c>
      <c r="D1267" s="47" t="s">
        <v>244</v>
      </c>
      <c r="E1267" s="41">
        <v>10090005</v>
      </c>
      <c r="F1267" s="46" t="s">
        <v>248</v>
      </c>
      <c r="G1267" s="39" t="s">
        <v>92</v>
      </c>
      <c r="H1267" s="48" t="s">
        <v>98</v>
      </c>
      <c r="I1267" s="52">
        <v>83.600000000000009</v>
      </c>
      <c r="J1267" s="49">
        <v>3680.11</v>
      </c>
      <c r="K1267" s="65">
        <v>0</v>
      </c>
      <c r="L1267" s="65">
        <v>0</v>
      </c>
      <c r="M1267" s="65">
        <v>0</v>
      </c>
      <c r="N1267" s="65">
        <v>0</v>
      </c>
      <c r="O1267" s="65">
        <v>0</v>
      </c>
      <c r="P1267" s="65">
        <v>0</v>
      </c>
      <c r="Q1267" s="50">
        <v>3680.11</v>
      </c>
      <c r="R1267" s="65">
        <v>0</v>
      </c>
      <c r="S1267" s="65">
        <v>0</v>
      </c>
      <c r="T1267" s="65">
        <v>0</v>
      </c>
      <c r="U1267" s="65">
        <v>0</v>
      </c>
      <c r="V1267" s="65">
        <v>0</v>
      </c>
      <c r="W1267" s="65">
        <v>0</v>
      </c>
      <c r="X1267" s="65">
        <v>0</v>
      </c>
      <c r="Y1267" s="65">
        <v>0</v>
      </c>
      <c r="Z1267" s="65">
        <v>3680.11</v>
      </c>
      <c r="AA1267" s="51">
        <v>0</v>
      </c>
      <c r="AB1267" s="102">
        <v>0</v>
      </c>
      <c r="AC1267" s="81">
        <f t="shared" si="60"/>
        <v>542.68416363636356</v>
      </c>
      <c r="AD1267" s="82">
        <f t="shared" si="61"/>
        <v>11.942857142857145</v>
      </c>
      <c r="AE1267" s="218">
        <v>0</v>
      </c>
      <c r="AF1267">
        <v>0</v>
      </c>
      <c r="AH1267" t="str">
        <f t="shared" si="62"/>
        <v>Halsi</v>
      </c>
      <c r="AJ1267" s="72">
        <v>0</v>
      </c>
      <c r="AK1267" s="72"/>
      <c r="AL1267" s="72"/>
      <c r="AM1267" s="72"/>
    </row>
    <row r="1268" spans="1:39" x14ac:dyDescent="0.25">
      <c r="A1268" s="37" t="s">
        <v>62</v>
      </c>
      <c r="B1268" s="66" t="s">
        <v>1638</v>
      </c>
      <c r="C1268" s="47">
        <v>1009</v>
      </c>
      <c r="D1268" s="47" t="s">
        <v>244</v>
      </c>
      <c r="E1268" s="41">
        <v>10090006</v>
      </c>
      <c r="F1268" s="46" t="s">
        <v>249</v>
      </c>
      <c r="G1268" s="39" t="s">
        <v>92</v>
      </c>
      <c r="H1268" s="48" t="s">
        <v>93</v>
      </c>
      <c r="I1268" s="52">
        <v>1510.6999999999998</v>
      </c>
      <c r="J1268" s="49">
        <v>64892.739999999991</v>
      </c>
      <c r="K1268" s="65">
        <v>1513.8999999999999</v>
      </c>
      <c r="L1268" s="65">
        <v>68802.58</v>
      </c>
      <c r="M1268" s="65">
        <v>0</v>
      </c>
      <c r="N1268" s="65">
        <v>0</v>
      </c>
      <c r="O1268" s="65">
        <v>1513.8999999999999</v>
      </c>
      <c r="P1268" s="65">
        <v>68802.58</v>
      </c>
      <c r="Q1268" s="50">
        <v>64892.739999999991</v>
      </c>
      <c r="R1268" s="65">
        <v>0</v>
      </c>
      <c r="S1268" s="65">
        <v>0</v>
      </c>
      <c r="T1268" s="65">
        <v>3909.8400000000111</v>
      </c>
      <c r="U1268" s="65">
        <v>0</v>
      </c>
      <c r="V1268" s="65">
        <v>0</v>
      </c>
      <c r="W1268" s="65">
        <v>0</v>
      </c>
      <c r="X1268" s="65">
        <v>64893</v>
      </c>
      <c r="Y1268" s="65">
        <v>0</v>
      </c>
      <c r="Z1268" s="65">
        <v>0</v>
      </c>
      <c r="AA1268" s="51">
        <v>0</v>
      </c>
      <c r="AB1268" s="102">
        <v>0</v>
      </c>
      <c r="AC1268" s="81">
        <f t="shared" si="60"/>
        <v>0</v>
      </c>
      <c r="AD1268" s="82">
        <f t="shared" si="61"/>
        <v>0</v>
      </c>
      <c r="AE1268" s="218">
        <v>-6.025080771747366E-2</v>
      </c>
      <c r="AF1268">
        <v>9</v>
      </c>
      <c r="AH1268" t="str">
        <f t="shared" si="62"/>
        <v>Halsi</v>
      </c>
      <c r="AJ1268" s="72">
        <v>0</v>
      </c>
      <c r="AK1268" s="72"/>
      <c r="AL1268" s="72"/>
      <c r="AM1268" s="72"/>
    </row>
    <row r="1269" spans="1:39" x14ac:dyDescent="0.25">
      <c r="A1269" s="37" t="s">
        <v>62</v>
      </c>
      <c r="B1269" s="66" t="s">
        <v>1638</v>
      </c>
      <c r="C1269" s="47">
        <v>1009</v>
      </c>
      <c r="D1269" s="47" t="s">
        <v>244</v>
      </c>
      <c r="E1269" s="41">
        <v>10090007</v>
      </c>
      <c r="F1269" s="46" t="s">
        <v>250</v>
      </c>
      <c r="G1269" s="39" t="s">
        <v>92</v>
      </c>
      <c r="H1269" s="48" t="s">
        <v>93</v>
      </c>
      <c r="I1269" s="52">
        <v>623.50000000000011</v>
      </c>
      <c r="J1269" s="49">
        <v>23090.7</v>
      </c>
      <c r="K1269" s="65">
        <v>695.2</v>
      </c>
      <c r="L1269" s="65">
        <v>28384.48</v>
      </c>
      <c r="M1269" s="65">
        <v>1.8</v>
      </c>
      <c r="N1269" s="65">
        <v>68.960000000000008</v>
      </c>
      <c r="O1269" s="65">
        <v>697</v>
      </c>
      <c r="P1269" s="65">
        <v>28453.439999999999</v>
      </c>
      <c r="Q1269" s="50">
        <v>23090.7</v>
      </c>
      <c r="R1269" s="65">
        <v>0</v>
      </c>
      <c r="S1269" s="65">
        <v>68.960000000000008</v>
      </c>
      <c r="T1269" s="65">
        <v>5362.739999999998</v>
      </c>
      <c r="U1269" s="65">
        <v>0</v>
      </c>
      <c r="V1269" s="65">
        <v>0</v>
      </c>
      <c r="W1269" s="65">
        <v>0</v>
      </c>
      <c r="X1269" s="65">
        <v>23022</v>
      </c>
      <c r="Y1269" s="65">
        <v>0</v>
      </c>
      <c r="Z1269" s="65">
        <v>0</v>
      </c>
      <c r="AA1269" s="51">
        <v>0</v>
      </c>
      <c r="AB1269" s="102">
        <v>0</v>
      </c>
      <c r="AC1269" s="81">
        <f t="shared" si="60"/>
        <v>56.662022453889271</v>
      </c>
      <c r="AD1269" s="82">
        <f t="shared" si="61"/>
        <v>89.071428571428584</v>
      </c>
      <c r="AE1269" s="218">
        <v>-0.23224674869103135</v>
      </c>
      <c r="AF1269">
        <v>6</v>
      </c>
      <c r="AH1269" t="str">
        <f t="shared" si="62"/>
        <v>Halsi</v>
      </c>
      <c r="AJ1269" s="72">
        <v>0</v>
      </c>
      <c r="AK1269" s="72"/>
      <c r="AL1269" s="72"/>
      <c r="AM1269" s="72"/>
    </row>
    <row r="1270" spans="1:39" x14ac:dyDescent="0.25">
      <c r="A1270" s="37" t="s">
        <v>62</v>
      </c>
      <c r="B1270" s="66" t="s">
        <v>1638</v>
      </c>
      <c r="C1270" s="47">
        <v>1009</v>
      </c>
      <c r="D1270" s="47" t="s">
        <v>244</v>
      </c>
      <c r="E1270" s="41">
        <v>10090008</v>
      </c>
      <c r="F1270" s="46" t="s">
        <v>251</v>
      </c>
      <c r="G1270" s="39" t="s">
        <v>92</v>
      </c>
      <c r="H1270" s="48" t="s">
        <v>93</v>
      </c>
      <c r="I1270" s="52">
        <v>889.09999999999991</v>
      </c>
      <c r="J1270" s="49">
        <v>36371.299999999996</v>
      </c>
      <c r="K1270" s="65">
        <v>910.0999999999998</v>
      </c>
      <c r="L1270" s="65">
        <v>35894.06</v>
      </c>
      <c r="M1270" s="65">
        <v>13.200000000000001</v>
      </c>
      <c r="N1270" s="65">
        <v>513.8900000000001</v>
      </c>
      <c r="O1270" s="65">
        <v>923.29999999999984</v>
      </c>
      <c r="P1270" s="65">
        <v>36407.949999999997</v>
      </c>
      <c r="Q1270" s="50">
        <v>36371.299999999996</v>
      </c>
      <c r="R1270" s="65">
        <v>0</v>
      </c>
      <c r="S1270" s="65">
        <v>513.8900000000001</v>
      </c>
      <c r="T1270" s="65">
        <v>36.650000000001455</v>
      </c>
      <c r="U1270" s="65">
        <v>0</v>
      </c>
      <c r="V1270" s="65">
        <v>0</v>
      </c>
      <c r="W1270" s="65">
        <v>0</v>
      </c>
      <c r="X1270" s="65">
        <v>35857</v>
      </c>
      <c r="Y1270" s="65">
        <v>0</v>
      </c>
      <c r="Z1270" s="65">
        <v>0</v>
      </c>
      <c r="AA1270" s="51">
        <v>0</v>
      </c>
      <c r="AB1270" s="102">
        <v>0</v>
      </c>
      <c r="AC1270" s="81">
        <f t="shared" si="60"/>
        <v>0</v>
      </c>
      <c r="AD1270" s="82">
        <f t="shared" si="61"/>
        <v>0</v>
      </c>
      <c r="AE1270" s="218">
        <v>-1.007662635099693E-3</v>
      </c>
      <c r="AF1270">
        <v>28</v>
      </c>
      <c r="AH1270" t="str">
        <f t="shared" si="62"/>
        <v>Halsi</v>
      </c>
      <c r="AJ1270" s="72">
        <v>0</v>
      </c>
      <c r="AK1270" s="72"/>
      <c r="AL1270" s="72"/>
      <c r="AM1270" s="72"/>
    </row>
    <row r="1271" spans="1:39" x14ac:dyDescent="0.25">
      <c r="A1271" s="37" t="s">
        <v>62</v>
      </c>
      <c r="B1271" s="66" t="s">
        <v>1638</v>
      </c>
      <c r="C1271" s="47">
        <v>1009</v>
      </c>
      <c r="D1271" s="47" t="s">
        <v>244</v>
      </c>
      <c r="E1271" s="41">
        <v>10090009</v>
      </c>
      <c r="F1271" s="46" t="s">
        <v>252</v>
      </c>
      <c r="G1271" s="39" t="s">
        <v>92</v>
      </c>
      <c r="H1271" s="48" t="s">
        <v>93</v>
      </c>
      <c r="I1271" s="52">
        <v>639.60000000000014</v>
      </c>
      <c r="J1271" s="49">
        <v>25519.910000000007</v>
      </c>
      <c r="K1271" s="65">
        <v>656.39999999999986</v>
      </c>
      <c r="L1271" s="65">
        <v>26408.68</v>
      </c>
      <c r="M1271" s="65">
        <v>4.4999999999999991</v>
      </c>
      <c r="N1271" s="65">
        <v>189.96</v>
      </c>
      <c r="O1271" s="65">
        <v>660.89999999999986</v>
      </c>
      <c r="P1271" s="65">
        <v>26598.639999999999</v>
      </c>
      <c r="Q1271" s="50">
        <v>25519.910000000007</v>
      </c>
      <c r="R1271" s="65">
        <v>0</v>
      </c>
      <c r="S1271" s="65">
        <v>189.96</v>
      </c>
      <c r="T1271" s="65">
        <v>1078.7299999999923</v>
      </c>
      <c r="U1271" s="65">
        <v>0</v>
      </c>
      <c r="V1271" s="65">
        <v>0</v>
      </c>
      <c r="W1271" s="65">
        <v>0</v>
      </c>
      <c r="X1271" s="65">
        <v>25330</v>
      </c>
      <c r="Y1271" s="65">
        <v>0</v>
      </c>
      <c r="Z1271" s="65">
        <v>0</v>
      </c>
      <c r="AA1271" s="51">
        <v>0</v>
      </c>
      <c r="AB1271" s="102">
        <v>0</v>
      </c>
      <c r="AC1271" s="81">
        <f t="shared" si="60"/>
        <v>48.198954471544596</v>
      </c>
      <c r="AD1271" s="82">
        <f t="shared" si="61"/>
        <v>91.371428571428595</v>
      </c>
      <c r="AE1271" s="218">
        <v>-4.2270133397805554E-2</v>
      </c>
      <c r="AF1271">
        <v>10</v>
      </c>
      <c r="AH1271" t="str">
        <f t="shared" si="62"/>
        <v>Halsi</v>
      </c>
      <c r="AJ1271" s="72">
        <v>0</v>
      </c>
      <c r="AK1271" s="72"/>
      <c r="AL1271" s="72"/>
      <c r="AM1271" s="72"/>
    </row>
    <row r="1272" spans="1:39" x14ac:dyDescent="0.25">
      <c r="A1272" s="37" t="s">
        <v>62</v>
      </c>
      <c r="B1272" s="66" t="s">
        <v>1638</v>
      </c>
      <c r="C1272" s="47">
        <v>1009</v>
      </c>
      <c r="D1272" s="47" t="s">
        <v>244</v>
      </c>
      <c r="E1272" s="41">
        <v>10090011</v>
      </c>
      <c r="F1272" s="46" t="s">
        <v>253</v>
      </c>
      <c r="G1272" s="39" t="s">
        <v>1610</v>
      </c>
      <c r="H1272" s="48" t="s">
        <v>98</v>
      </c>
      <c r="I1272" s="52">
        <v>750</v>
      </c>
      <c r="J1272" s="49">
        <v>28864</v>
      </c>
      <c r="K1272" s="65">
        <v>0</v>
      </c>
      <c r="L1272" s="65">
        <v>0</v>
      </c>
      <c r="M1272" s="65">
        <v>0</v>
      </c>
      <c r="N1272" s="65">
        <v>0</v>
      </c>
      <c r="O1272" s="65">
        <v>0</v>
      </c>
      <c r="P1272" s="65">
        <v>0</v>
      </c>
      <c r="Q1272" s="50">
        <v>28864</v>
      </c>
      <c r="R1272" s="65">
        <v>0</v>
      </c>
      <c r="S1272" s="65">
        <v>0</v>
      </c>
      <c r="T1272" s="65">
        <v>0</v>
      </c>
      <c r="U1272" s="65">
        <v>0</v>
      </c>
      <c r="V1272" s="65">
        <v>0</v>
      </c>
      <c r="W1272" s="65">
        <v>0</v>
      </c>
      <c r="X1272" s="65">
        <v>0</v>
      </c>
      <c r="Y1272" s="65">
        <v>0</v>
      </c>
      <c r="Z1272" s="65">
        <v>28864</v>
      </c>
      <c r="AA1272" s="51">
        <v>0</v>
      </c>
      <c r="AB1272" s="102">
        <v>0</v>
      </c>
      <c r="AC1272" s="81">
        <f t="shared" si="60"/>
        <v>0</v>
      </c>
      <c r="AD1272" s="82">
        <f t="shared" si="61"/>
        <v>0</v>
      </c>
      <c r="AE1272" s="218">
        <v>0</v>
      </c>
      <c r="AF1272">
        <v>0</v>
      </c>
      <c r="AH1272" t="str">
        <f t="shared" si="62"/>
        <v>Halsi</v>
      </c>
      <c r="AJ1272" s="72">
        <v>0</v>
      </c>
      <c r="AK1272" s="72"/>
      <c r="AL1272" s="72"/>
      <c r="AM1272" s="72"/>
    </row>
    <row r="1273" spans="1:39" x14ac:dyDescent="0.25">
      <c r="A1273" s="37" t="s">
        <v>62</v>
      </c>
      <c r="B1273" s="66" t="s">
        <v>1638</v>
      </c>
      <c r="C1273" s="47">
        <v>1009</v>
      </c>
      <c r="D1273" s="47" t="s">
        <v>244</v>
      </c>
      <c r="E1273" s="41">
        <v>10090012</v>
      </c>
      <c r="F1273" s="46" t="s">
        <v>254</v>
      </c>
      <c r="G1273" s="39" t="s">
        <v>1610</v>
      </c>
      <c r="H1273" s="48" t="s">
        <v>98</v>
      </c>
      <c r="I1273" s="52">
        <v>1000</v>
      </c>
      <c r="J1273" s="49">
        <v>38552</v>
      </c>
      <c r="K1273" s="65">
        <v>0</v>
      </c>
      <c r="L1273" s="65">
        <v>0</v>
      </c>
      <c r="M1273" s="65">
        <v>0</v>
      </c>
      <c r="N1273" s="65">
        <v>0</v>
      </c>
      <c r="O1273" s="65">
        <v>0</v>
      </c>
      <c r="P1273" s="65">
        <v>0</v>
      </c>
      <c r="Q1273" s="50">
        <v>38552</v>
      </c>
      <c r="R1273" s="65">
        <v>0</v>
      </c>
      <c r="S1273" s="65">
        <v>0</v>
      </c>
      <c r="T1273" s="65">
        <v>0</v>
      </c>
      <c r="U1273" s="65">
        <v>0</v>
      </c>
      <c r="V1273" s="65">
        <v>0</v>
      </c>
      <c r="W1273" s="65">
        <v>0</v>
      </c>
      <c r="X1273" s="65">
        <v>0</v>
      </c>
      <c r="Y1273" s="65">
        <v>0</v>
      </c>
      <c r="Z1273" s="65">
        <v>38552</v>
      </c>
      <c r="AA1273" s="51">
        <v>0</v>
      </c>
      <c r="AB1273" s="102">
        <v>0</v>
      </c>
      <c r="AC1273" s="81">
        <f t="shared" si="60"/>
        <v>0</v>
      </c>
      <c r="AD1273" s="82">
        <f t="shared" si="61"/>
        <v>0</v>
      </c>
      <c r="AE1273" s="218">
        <v>0</v>
      </c>
      <c r="AF1273">
        <v>0</v>
      </c>
      <c r="AH1273" t="str">
        <f t="shared" si="62"/>
        <v>Halsi</v>
      </c>
      <c r="AJ1273" s="72">
        <v>0</v>
      </c>
      <c r="AK1273" s="72"/>
      <c r="AL1273" s="72"/>
      <c r="AM1273" s="72"/>
    </row>
    <row r="1274" spans="1:39" x14ac:dyDescent="0.25">
      <c r="A1274" s="37" t="s">
        <v>62</v>
      </c>
      <c r="B1274" s="66" t="s">
        <v>1638</v>
      </c>
      <c r="C1274" s="47">
        <v>1009</v>
      </c>
      <c r="D1274" s="47" t="s">
        <v>244</v>
      </c>
      <c r="E1274" s="41">
        <v>10090014</v>
      </c>
      <c r="F1274" s="46" t="s">
        <v>255</v>
      </c>
      <c r="G1274" s="39" t="s">
        <v>1610</v>
      </c>
      <c r="H1274" s="48" t="s">
        <v>98</v>
      </c>
      <c r="I1274" s="52">
        <v>765.3</v>
      </c>
      <c r="J1274" s="49">
        <v>32719.920000000002</v>
      </c>
      <c r="K1274" s="65">
        <v>0</v>
      </c>
      <c r="L1274" s="65">
        <v>0</v>
      </c>
      <c r="M1274" s="65">
        <v>0</v>
      </c>
      <c r="N1274" s="65">
        <v>0</v>
      </c>
      <c r="O1274" s="65">
        <v>0</v>
      </c>
      <c r="P1274" s="65">
        <v>0</v>
      </c>
      <c r="Q1274" s="50">
        <v>32719.920000000002</v>
      </c>
      <c r="R1274" s="65">
        <v>0</v>
      </c>
      <c r="S1274" s="65">
        <v>0</v>
      </c>
      <c r="T1274" s="65">
        <v>0</v>
      </c>
      <c r="U1274" s="65">
        <v>0</v>
      </c>
      <c r="V1274" s="65">
        <v>0</v>
      </c>
      <c r="W1274" s="65">
        <v>0</v>
      </c>
      <c r="X1274" s="65">
        <v>0</v>
      </c>
      <c r="Y1274" s="65">
        <v>0</v>
      </c>
      <c r="Z1274" s="65">
        <v>32719.920000000002</v>
      </c>
      <c r="AA1274" s="51">
        <v>0</v>
      </c>
      <c r="AB1274" s="102">
        <v>0</v>
      </c>
      <c r="AC1274" s="81">
        <f t="shared" si="60"/>
        <v>0</v>
      </c>
      <c r="AD1274" s="82">
        <f t="shared" si="61"/>
        <v>0</v>
      </c>
      <c r="AE1274" s="218">
        <v>0</v>
      </c>
      <c r="AF1274">
        <v>0</v>
      </c>
      <c r="AH1274" t="str">
        <f t="shared" si="62"/>
        <v>Halsi</v>
      </c>
      <c r="AJ1274" s="72">
        <v>0</v>
      </c>
      <c r="AK1274" s="72"/>
      <c r="AL1274" s="72"/>
      <c r="AM1274" s="72"/>
    </row>
    <row r="1275" spans="1:39" x14ac:dyDescent="0.25">
      <c r="A1275" s="37" t="s">
        <v>62</v>
      </c>
      <c r="B1275" s="66" t="s">
        <v>1638</v>
      </c>
      <c r="C1275" s="47">
        <v>1009</v>
      </c>
      <c r="D1275" s="47" t="s">
        <v>244</v>
      </c>
      <c r="E1275" s="41">
        <v>10090015</v>
      </c>
      <c r="F1275" s="46" t="s">
        <v>256</v>
      </c>
      <c r="G1275" s="39" t="s">
        <v>92</v>
      </c>
      <c r="H1275" s="48" t="s">
        <v>98</v>
      </c>
      <c r="I1275" s="52">
        <v>606.20000000000005</v>
      </c>
      <c r="J1275" s="49">
        <v>26853.040000000001</v>
      </c>
      <c r="K1275" s="65">
        <v>0</v>
      </c>
      <c r="L1275" s="65">
        <v>0</v>
      </c>
      <c r="M1275" s="65">
        <v>0</v>
      </c>
      <c r="N1275" s="65">
        <v>0</v>
      </c>
      <c r="O1275" s="65">
        <v>0</v>
      </c>
      <c r="P1275" s="65">
        <v>0</v>
      </c>
      <c r="Q1275" s="50">
        <v>26853.040000000001</v>
      </c>
      <c r="R1275" s="65">
        <v>0</v>
      </c>
      <c r="S1275" s="65">
        <v>0</v>
      </c>
      <c r="T1275" s="65">
        <v>0</v>
      </c>
      <c r="U1275" s="65">
        <v>0</v>
      </c>
      <c r="V1275" s="65">
        <v>0</v>
      </c>
      <c r="W1275" s="65">
        <v>0</v>
      </c>
      <c r="X1275" s="65">
        <v>0</v>
      </c>
      <c r="Y1275" s="65">
        <v>0</v>
      </c>
      <c r="Z1275" s="65">
        <v>26853.040000000001</v>
      </c>
      <c r="AA1275" s="51">
        <v>0</v>
      </c>
      <c r="AB1275" s="102">
        <v>0</v>
      </c>
      <c r="AC1275" s="81">
        <f t="shared" si="60"/>
        <v>83.101786605080775</v>
      </c>
      <c r="AD1275" s="82">
        <f t="shared" si="61"/>
        <v>86.600000000000009</v>
      </c>
      <c r="AE1275" s="218">
        <v>0</v>
      </c>
      <c r="AF1275">
        <v>0</v>
      </c>
      <c r="AH1275" t="str">
        <f t="shared" si="62"/>
        <v>Halsi</v>
      </c>
      <c r="AJ1275" s="72">
        <v>0</v>
      </c>
      <c r="AK1275" s="72"/>
      <c r="AL1275" s="72"/>
      <c r="AM1275" s="72"/>
    </row>
    <row r="1276" spans="1:39" x14ac:dyDescent="0.25">
      <c r="A1276" s="37" t="s">
        <v>62</v>
      </c>
      <c r="B1276" s="66" t="s">
        <v>1638</v>
      </c>
      <c r="C1276" s="47">
        <v>1009</v>
      </c>
      <c r="D1276" s="47" t="s">
        <v>244</v>
      </c>
      <c r="E1276" s="41">
        <v>10090017</v>
      </c>
      <c r="F1276" s="46" t="s">
        <v>257</v>
      </c>
      <c r="G1276" s="39" t="s">
        <v>1610</v>
      </c>
      <c r="H1276" s="48" t="s">
        <v>98</v>
      </c>
      <c r="I1276" s="52">
        <v>5463.8000000000011</v>
      </c>
      <c r="J1276" s="49">
        <v>204460.89</v>
      </c>
      <c r="K1276" s="65">
        <v>0</v>
      </c>
      <c r="L1276" s="65">
        <v>0</v>
      </c>
      <c r="M1276" s="65">
        <v>0</v>
      </c>
      <c r="N1276" s="65">
        <v>0</v>
      </c>
      <c r="O1276" s="65">
        <v>0</v>
      </c>
      <c r="P1276" s="65">
        <v>0</v>
      </c>
      <c r="Q1276" s="50">
        <v>204460.89</v>
      </c>
      <c r="R1276" s="65">
        <v>0</v>
      </c>
      <c r="S1276" s="65">
        <v>0</v>
      </c>
      <c r="T1276" s="65">
        <v>0</v>
      </c>
      <c r="U1276" s="65">
        <v>0</v>
      </c>
      <c r="V1276" s="65">
        <v>0</v>
      </c>
      <c r="W1276" s="65">
        <v>0</v>
      </c>
      <c r="X1276" s="65">
        <v>0</v>
      </c>
      <c r="Y1276" s="65">
        <v>0</v>
      </c>
      <c r="Z1276" s="65">
        <v>204460.89</v>
      </c>
      <c r="AA1276" s="51">
        <v>0</v>
      </c>
      <c r="AB1276" s="102">
        <v>0</v>
      </c>
      <c r="AC1276" s="81">
        <f t="shared" si="60"/>
        <v>0</v>
      </c>
      <c r="AD1276" s="82">
        <f t="shared" si="61"/>
        <v>0</v>
      </c>
      <c r="AE1276" s="218">
        <v>0</v>
      </c>
      <c r="AF1276">
        <v>0</v>
      </c>
      <c r="AH1276" t="str">
        <f t="shared" si="62"/>
        <v>Halsi</v>
      </c>
      <c r="AJ1276" s="72">
        <v>0</v>
      </c>
      <c r="AK1276" s="72"/>
      <c r="AL1276" s="72"/>
      <c r="AM1276" s="72"/>
    </row>
    <row r="1277" spans="1:39" x14ac:dyDescent="0.25">
      <c r="A1277" s="37" t="s">
        <v>62</v>
      </c>
      <c r="B1277" s="66" t="s">
        <v>1638</v>
      </c>
      <c r="C1277" s="47">
        <v>1009</v>
      </c>
      <c r="D1277" s="47" t="s">
        <v>244</v>
      </c>
      <c r="E1277" s="41">
        <v>10090018</v>
      </c>
      <c r="F1277" s="46" t="s">
        <v>1172</v>
      </c>
      <c r="G1277" s="39" t="s">
        <v>1610</v>
      </c>
      <c r="H1277" s="48" t="s">
        <v>98</v>
      </c>
      <c r="I1277" s="52">
        <v>600.40000000000009</v>
      </c>
      <c r="J1277" s="49">
        <v>23977.159999999996</v>
      </c>
      <c r="K1277" s="65">
        <v>0</v>
      </c>
      <c r="L1277" s="65">
        <v>0</v>
      </c>
      <c r="M1277" s="65">
        <v>0</v>
      </c>
      <c r="N1277" s="65">
        <v>0</v>
      </c>
      <c r="O1277" s="65">
        <v>0</v>
      </c>
      <c r="P1277" s="65">
        <v>0</v>
      </c>
      <c r="Q1277" s="50">
        <v>23977.159999999996</v>
      </c>
      <c r="R1277" s="65">
        <v>0</v>
      </c>
      <c r="S1277" s="65">
        <v>0</v>
      </c>
      <c r="T1277" s="65">
        <v>0</v>
      </c>
      <c r="U1277" s="65">
        <v>0</v>
      </c>
      <c r="V1277" s="65">
        <v>0</v>
      </c>
      <c r="W1277" s="65">
        <v>0</v>
      </c>
      <c r="X1277" s="65">
        <v>0</v>
      </c>
      <c r="Y1277" s="65">
        <v>0</v>
      </c>
      <c r="Z1277" s="65">
        <v>23977.159999999996</v>
      </c>
      <c r="AA1277" s="51">
        <v>0</v>
      </c>
      <c r="AB1277" s="102">
        <v>0</v>
      </c>
      <c r="AC1277" s="81">
        <f t="shared" si="60"/>
        <v>79.551137108594162</v>
      </c>
      <c r="AD1277" s="82">
        <f t="shared" si="61"/>
        <v>85.771428571428586</v>
      </c>
      <c r="AE1277" s="218">
        <v>0</v>
      </c>
      <c r="AF1277">
        <v>0</v>
      </c>
      <c r="AH1277" t="str">
        <f t="shared" si="62"/>
        <v>Halsi</v>
      </c>
      <c r="AJ1277" s="72">
        <v>0</v>
      </c>
      <c r="AK1277" s="72"/>
      <c r="AL1277" s="72"/>
      <c r="AM1277" s="72"/>
    </row>
    <row r="1278" spans="1:39" x14ac:dyDescent="0.25">
      <c r="A1278" s="37" t="s">
        <v>62</v>
      </c>
      <c r="B1278" s="66" t="s">
        <v>1638</v>
      </c>
      <c r="C1278" s="47">
        <v>1009</v>
      </c>
      <c r="D1278" s="47" t="s">
        <v>244</v>
      </c>
      <c r="E1278" s="41">
        <v>10090021</v>
      </c>
      <c r="F1278" s="46" t="s">
        <v>258</v>
      </c>
      <c r="G1278" s="39" t="s">
        <v>92</v>
      </c>
      <c r="H1278" s="48" t="s">
        <v>93</v>
      </c>
      <c r="I1278" s="52">
        <v>1501.4999999999998</v>
      </c>
      <c r="J1278" s="49">
        <v>70184.23</v>
      </c>
      <c r="K1278" s="65">
        <v>1583.1000000000004</v>
      </c>
      <c r="L1278" s="65">
        <v>75713.77</v>
      </c>
      <c r="M1278" s="65">
        <v>1.6999999999999997</v>
      </c>
      <c r="N1278" s="65">
        <v>77.34</v>
      </c>
      <c r="O1278" s="65">
        <v>1584.8000000000004</v>
      </c>
      <c r="P1278" s="65">
        <v>75791.11</v>
      </c>
      <c r="Q1278" s="50">
        <v>70184.23</v>
      </c>
      <c r="R1278" s="65">
        <v>0</v>
      </c>
      <c r="S1278" s="65">
        <v>77.34</v>
      </c>
      <c r="T1278" s="65">
        <v>5606.8800000000047</v>
      </c>
      <c r="U1278" s="65">
        <v>0</v>
      </c>
      <c r="V1278" s="65">
        <v>0</v>
      </c>
      <c r="W1278" s="65">
        <v>0</v>
      </c>
      <c r="X1278" s="65">
        <v>70107</v>
      </c>
      <c r="Y1278" s="65">
        <v>0</v>
      </c>
      <c r="Z1278" s="65">
        <v>0</v>
      </c>
      <c r="AA1278" s="51">
        <v>0</v>
      </c>
      <c r="AB1278" s="102">
        <v>0</v>
      </c>
      <c r="AC1278" s="81">
        <f t="shared" si="60"/>
        <v>0</v>
      </c>
      <c r="AD1278" s="82">
        <f t="shared" si="61"/>
        <v>0</v>
      </c>
      <c r="AE1278" s="218">
        <v>-7.9888031827092851E-2</v>
      </c>
      <c r="AF1278">
        <v>8</v>
      </c>
      <c r="AH1278" t="str">
        <f t="shared" si="62"/>
        <v>Halsi</v>
      </c>
      <c r="AJ1278" s="72">
        <v>0</v>
      </c>
      <c r="AK1278" s="72"/>
      <c r="AL1278" s="72"/>
      <c r="AM1278" s="72"/>
    </row>
    <row r="1279" spans="1:39" x14ac:dyDescent="0.25">
      <c r="A1279" s="37" t="s">
        <v>62</v>
      </c>
      <c r="B1279" s="66" t="s">
        <v>1638</v>
      </c>
      <c r="C1279" s="47">
        <v>1009</v>
      </c>
      <c r="D1279" s="47" t="s">
        <v>244</v>
      </c>
      <c r="E1279" s="41">
        <v>10090022</v>
      </c>
      <c r="F1279" s="46" t="s">
        <v>259</v>
      </c>
      <c r="G1279" s="39" t="s">
        <v>92</v>
      </c>
      <c r="H1279" s="48" t="s">
        <v>98</v>
      </c>
      <c r="I1279" s="52">
        <v>483.29999999999995</v>
      </c>
      <c r="J1279" s="49">
        <v>19918.25</v>
      </c>
      <c r="K1279" s="65">
        <v>0</v>
      </c>
      <c r="L1279" s="65">
        <v>0</v>
      </c>
      <c r="M1279" s="65">
        <v>0</v>
      </c>
      <c r="N1279" s="65">
        <v>0</v>
      </c>
      <c r="O1279" s="65">
        <v>0</v>
      </c>
      <c r="P1279" s="65">
        <v>0</v>
      </c>
      <c r="Q1279" s="50">
        <v>19918.25</v>
      </c>
      <c r="R1279" s="65">
        <v>0</v>
      </c>
      <c r="S1279" s="65">
        <v>0</v>
      </c>
      <c r="T1279" s="65">
        <v>0</v>
      </c>
      <c r="U1279" s="65">
        <v>0</v>
      </c>
      <c r="V1279" s="65">
        <v>0</v>
      </c>
      <c r="W1279" s="65">
        <v>0</v>
      </c>
      <c r="X1279" s="65">
        <v>0</v>
      </c>
      <c r="Y1279" s="65">
        <v>0</v>
      </c>
      <c r="Z1279" s="65">
        <v>19918.25</v>
      </c>
      <c r="AA1279" s="51">
        <v>0</v>
      </c>
      <c r="AB1279" s="102">
        <v>0</v>
      </c>
      <c r="AC1279" s="81">
        <f t="shared" si="60"/>
        <v>178.61720566935659</v>
      </c>
      <c r="AD1279" s="82">
        <f t="shared" si="61"/>
        <v>69.04285714285713</v>
      </c>
      <c r="AE1279" s="218">
        <v>0</v>
      </c>
      <c r="AF1279">
        <v>0</v>
      </c>
      <c r="AH1279" t="str">
        <f t="shared" si="62"/>
        <v>Halsi</v>
      </c>
      <c r="AJ1279" s="72">
        <v>0</v>
      </c>
      <c r="AK1279" s="72"/>
      <c r="AL1279" s="72"/>
      <c r="AM1279" s="72"/>
    </row>
    <row r="1280" spans="1:39" x14ac:dyDescent="0.25">
      <c r="A1280" s="37" t="s">
        <v>62</v>
      </c>
      <c r="B1280" s="66" t="s">
        <v>1638</v>
      </c>
      <c r="C1280" s="47">
        <v>1009</v>
      </c>
      <c r="D1280" s="47" t="s">
        <v>244</v>
      </c>
      <c r="E1280" s="41">
        <v>10090024</v>
      </c>
      <c r="F1280" s="46" t="s">
        <v>260</v>
      </c>
      <c r="G1280" s="39" t="s">
        <v>92</v>
      </c>
      <c r="H1280" s="48" t="s">
        <v>98</v>
      </c>
      <c r="I1280" s="52">
        <v>162.20000000000002</v>
      </c>
      <c r="J1280" s="49">
        <v>6482.42</v>
      </c>
      <c r="K1280" s="65">
        <v>0</v>
      </c>
      <c r="L1280" s="65">
        <v>0</v>
      </c>
      <c r="M1280" s="65">
        <v>0</v>
      </c>
      <c r="N1280" s="65">
        <v>0</v>
      </c>
      <c r="O1280" s="65">
        <v>0</v>
      </c>
      <c r="P1280" s="65">
        <v>0</v>
      </c>
      <c r="Q1280" s="50">
        <v>6482.42</v>
      </c>
      <c r="R1280" s="65">
        <v>0</v>
      </c>
      <c r="S1280" s="65">
        <v>0</v>
      </c>
      <c r="T1280" s="65">
        <v>0</v>
      </c>
      <c r="U1280" s="65">
        <v>0</v>
      </c>
      <c r="V1280" s="65">
        <v>0</v>
      </c>
      <c r="W1280" s="65">
        <v>0</v>
      </c>
      <c r="X1280" s="65">
        <v>0</v>
      </c>
      <c r="Y1280" s="65">
        <v>0</v>
      </c>
      <c r="Z1280" s="65">
        <v>6482.42</v>
      </c>
      <c r="AA1280" s="51">
        <v>0</v>
      </c>
      <c r="AB1280" s="102">
        <v>0</v>
      </c>
      <c r="AC1280" s="81">
        <f t="shared" si="60"/>
        <v>429.86997237977801</v>
      </c>
      <c r="AD1280" s="82">
        <f t="shared" si="61"/>
        <v>23.171428571428574</v>
      </c>
      <c r="AE1280" s="218">
        <v>0</v>
      </c>
      <c r="AF1280">
        <v>0</v>
      </c>
      <c r="AH1280" t="str">
        <f t="shared" si="62"/>
        <v>Halsi</v>
      </c>
      <c r="AJ1280" s="72">
        <v>0</v>
      </c>
      <c r="AK1280" s="72"/>
      <c r="AL1280" s="72"/>
      <c r="AM1280" s="72"/>
    </row>
    <row r="1281" spans="1:39" x14ac:dyDescent="0.25">
      <c r="A1281" s="37" t="s">
        <v>62</v>
      </c>
      <c r="B1281" s="66" t="s">
        <v>1638</v>
      </c>
      <c r="C1281" s="47">
        <v>1009</v>
      </c>
      <c r="D1281" s="47" t="s">
        <v>244</v>
      </c>
      <c r="E1281" s="41">
        <v>10090025</v>
      </c>
      <c r="F1281" s="46" t="s">
        <v>484</v>
      </c>
      <c r="G1281" s="39" t="s">
        <v>1610</v>
      </c>
      <c r="H1281" s="48" t="s">
        <v>98</v>
      </c>
      <c r="I1281" s="52">
        <v>461.9</v>
      </c>
      <c r="J1281" s="49">
        <v>17868.82</v>
      </c>
      <c r="K1281" s="65">
        <v>0</v>
      </c>
      <c r="L1281" s="65">
        <v>0</v>
      </c>
      <c r="M1281" s="65">
        <v>0</v>
      </c>
      <c r="N1281" s="65">
        <v>0</v>
      </c>
      <c r="O1281" s="65">
        <v>0</v>
      </c>
      <c r="P1281" s="65">
        <v>0</v>
      </c>
      <c r="Q1281" s="50">
        <v>17868.82</v>
      </c>
      <c r="R1281" s="65">
        <v>0</v>
      </c>
      <c r="S1281" s="65">
        <v>0</v>
      </c>
      <c r="T1281" s="65">
        <v>0</v>
      </c>
      <c r="U1281" s="65">
        <v>0</v>
      </c>
      <c r="V1281" s="65">
        <v>0</v>
      </c>
      <c r="W1281" s="65">
        <v>0</v>
      </c>
      <c r="X1281" s="65">
        <v>0</v>
      </c>
      <c r="Y1281" s="65">
        <v>0</v>
      </c>
      <c r="Z1281" s="65">
        <v>17868.82</v>
      </c>
      <c r="AA1281" s="51">
        <v>0</v>
      </c>
      <c r="AB1281" s="102">
        <v>0</v>
      </c>
      <c r="AC1281" s="81">
        <f t="shared" ref="AC1281:AC1344" si="63">((IF(AD1281=0,0,100-AD1281))*7*(J1281/I1281))*2%</f>
        <v>184.2202226455943</v>
      </c>
      <c r="AD1281" s="82">
        <f t="shared" ref="AD1281:AD1344" si="64">IF((I1281/7)&gt;100,0,(I1281/7))</f>
        <v>65.98571428571428</v>
      </c>
      <c r="AE1281" s="218">
        <v>0</v>
      </c>
      <c r="AF1281">
        <v>0</v>
      </c>
      <c r="AH1281" t="str">
        <f t="shared" si="62"/>
        <v>Halsi</v>
      </c>
      <c r="AJ1281" s="72">
        <v>0</v>
      </c>
      <c r="AK1281" s="72"/>
      <c r="AL1281" s="72"/>
      <c r="AM1281" s="72"/>
    </row>
    <row r="1282" spans="1:39" x14ac:dyDescent="0.25">
      <c r="A1282" s="37" t="s">
        <v>62</v>
      </c>
      <c r="B1282" s="66" t="s">
        <v>1638</v>
      </c>
      <c r="C1282" s="47">
        <v>1009</v>
      </c>
      <c r="D1282" s="47" t="s">
        <v>244</v>
      </c>
      <c r="E1282" s="41">
        <v>10090027</v>
      </c>
      <c r="F1282" s="46" t="s">
        <v>261</v>
      </c>
      <c r="G1282" s="39" t="s">
        <v>1610</v>
      </c>
      <c r="H1282" s="48" t="s">
        <v>98</v>
      </c>
      <c r="I1282" s="52">
        <v>1871.6</v>
      </c>
      <c r="J1282" s="49">
        <v>81154.809999999983</v>
      </c>
      <c r="K1282" s="65">
        <v>0</v>
      </c>
      <c r="L1282" s="65">
        <v>0</v>
      </c>
      <c r="M1282" s="65">
        <v>0</v>
      </c>
      <c r="N1282" s="65">
        <v>0</v>
      </c>
      <c r="O1282" s="65">
        <v>0</v>
      </c>
      <c r="P1282" s="65">
        <v>0</v>
      </c>
      <c r="Q1282" s="50">
        <v>81154.809999999983</v>
      </c>
      <c r="R1282" s="65">
        <v>0</v>
      </c>
      <c r="S1282" s="65">
        <v>0</v>
      </c>
      <c r="T1282" s="65">
        <v>0</v>
      </c>
      <c r="U1282" s="65">
        <v>0</v>
      </c>
      <c r="V1282" s="65">
        <v>0</v>
      </c>
      <c r="W1282" s="65">
        <v>0</v>
      </c>
      <c r="X1282" s="65">
        <v>0</v>
      </c>
      <c r="Y1282" s="65">
        <v>0</v>
      </c>
      <c r="Z1282" s="65">
        <v>81154.809999999983</v>
      </c>
      <c r="AA1282" s="51">
        <v>0</v>
      </c>
      <c r="AB1282" s="102">
        <v>0</v>
      </c>
      <c r="AC1282" s="81">
        <f t="shared" si="63"/>
        <v>0</v>
      </c>
      <c r="AD1282" s="82">
        <f t="shared" si="64"/>
        <v>0</v>
      </c>
      <c r="AE1282" s="218">
        <v>0</v>
      </c>
      <c r="AF1282">
        <v>0</v>
      </c>
      <c r="AH1282" t="str">
        <f t="shared" si="62"/>
        <v>Halsi</v>
      </c>
      <c r="AJ1282" s="72">
        <v>0</v>
      </c>
      <c r="AK1282" s="72"/>
      <c r="AL1282" s="72"/>
      <c r="AM1282" s="72"/>
    </row>
    <row r="1283" spans="1:39" x14ac:dyDescent="0.25">
      <c r="A1283" s="37" t="s">
        <v>62</v>
      </c>
      <c r="B1283" s="66" t="s">
        <v>1638</v>
      </c>
      <c r="C1283" s="47">
        <v>1009</v>
      </c>
      <c r="D1283" s="47" t="s">
        <v>244</v>
      </c>
      <c r="E1283" s="41">
        <v>10090029</v>
      </c>
      <c r="F1283" s="46" t="s">
        <v>262</v>
      </c>
      <c r="G1283" s="39" t="s">
        <v>92</v>
      </c>
      <c r="H1283" s="48" t="s">
        <v>93</v>
      </c>
      <c r="I1283" s="52">
        <v>851.2</v>
      </c>
      <c r="J1283" s="49">
        <v>38492.99</v>
      </c>
      <c r="K1283" s="65">
        <v>884.04999999999984</v>
      </c>
      <c r="L1283" s="65">
        <v>38285.999999999993</v>
      </c>
      <c r="M1283" s="65">
        <v>6.11</v>
      </c>
      <c r="N1283" s="65">
        <v>225.09</v>
      </c>
      <c r="O1283" s="65">
        <v>890.15999999999985</v>
      </c>
      <c r="P1283" s="65">
        <v>38511.089999999989</v>
      </c>
      <c r="Q1283" s="50">
        <v>38492.99</v>
      </c>
      <c r="R1283" s="65">
        <v>0</v>
      </c>
      <c r="S1283" s="65">
        <v>225.09</v>
      </c>
      <c r="T1283" s="65">
        <v>18.099999999991269</v>
      </c>
      <c r="U1283" s="65">
        <v>0</v>
      </c>
      <c r="V1283" s="65">
        <v>0</v>
      </c>
      <c r="W1283" s="65">
        <v>0</v>
      </c>
      <c r="X1283" s="65">
        <v>38268</v>
      </c>
      <c r="Y1283" s="65">
        <v>0</v>
      </c>
      <c r="Z1283" s="65">
        <v>0</v>
      </c>
      <c r="AA1283" s="51">
        <v>0</v>
      </c>
      <c r="AB1283" s="102">
        <v>0</v>
      </c>
      <c r="AC1283" s="81">
        <f t="shared" si="63"/>
        <v>0</v>
      </c>
      <c r="AD1283" s="82">
        <f t="shared" si="64"/>
        <v>0</v>
      </c>
      <c r="AE1283" s="218">
        <v>-4.7021548598826098E-4</v>
      </c>
      <c r="AF1283">
        <v>17</v>
      </c>
      <c r="AH1283" t="str">
        <f t="shared" si="62"/>
        <v>Halsi</v>
      </c>
      <c r="AJ1283" s="72">
        <v>0</v>
      </c>
      <c r="AK1283" s="72"/>
      <c r="AL1283" s="72"/>
      <c r="AM1283" s="72"/>
    </row>
    <row r="1284" spans="1:39" x14ac:dyDescent="0.25">
      <c r="A1284" s="37" t="s">
        <v>62</v>
      </c>
      <c r="B1284" s="66" t="s">
        <v>1638</v>
      </c>
      <c r="C1284" s="47">
        <v>1009</v>
      </c>
      <c r="D1284" s="47" t="s">
        <v>244</v>
      </c>
      <c r="E1284" s="41">
        <v>10090033</v>
      </c>
      <c r="F1284" s="46" t="s">
        <v>263</v>
      </c>
      <c r="G1284" s="39" t="s">
        <v>92</v>
      </c>
      <c r="H1284" s="48" t="s">
        <v>93</v>
      </c>
      <c r="I1284" s="52">
        <v>1078.9000000000001</v>
      </c>
      <c r="J1284" s="49">
        <v>50211.53</v>
      </c>
      <c r="K1284" s="65">
        <v>1074.01</v>
      </c>
      <c r="L1284" s="65">
        <v>51075.169999999991</v>
      </c>
      <c r="M1284" s="65">
        <v>4.04</v>
      </c>
      <c r="N1284" s="65">
        <v>189.43999999999997</v>
      </c>
      <c r="O1284" s="65">
        <v>1078.05</v>
      </c>
      <c r="P1284" s="65">
        <v>51264.609999999993</v>
      </c>
      <c r="Q1284" s="50">
        <v>50211.53</v>
      </c>
      <c r="R1284" s="65">
        <v>0</v>
      </c>
      <c r="S1284" s="65">
        <v>189.43999999999997</v>
      </c>
      <c r="T1284" s="65">
        <v>1053.0799999999945</v>
      </c>
      <c r="U1284" s="65">
        <v>0</v>
      </c>
      <c r="V1284" s="65">
        <v>0</v>
      </c>
      <c r="W1284" s="65">
        <v>0</v>
      </c>
      <c r="X1284" s="65">
        <v>50022</v>
      </c>
      <c r="Y1284" s="65">
        <v>0</v>
      </c>
      <c r="Z1284" s="65">
        <v>0</v>
      </c>
      <c r="AA1284" s="51">
        <v>0</v>
      </c>
      <c r="AB1284" s="102">
        <v>0</v>
      </c>
      <c r="AC1284" s="81">
        <f t="shared" si="63"/>
        <v>0</v>
      </c>
      <c r="AD1284" s="82">
        <f t="shared" si="64"/>
        <v>0</v>
      </c>
      <c r="AE1284" s="218">
        <v>-2.0972872167010138E-2</v>
      </c>
      <c r="AF1284">
        <v>10</v>
      </c>
      <c r="AH1284" t="str">
        <f t="shared" si="62"/>
        <v>Halsi</v>
      </c>
      <c r="AJ1284" s="72">
        <v>0</v>
      </c>
      <c r="AK1284" s="72"/>
      <c r="AL1284" s="72"/>
      <c r="AM1284" s="72"/>
    </row>
    <row r="1285" spans="1:39" x14ac:dyDescent="0.25">
      <c r="A1285" s="37" t="s">
        <v>62</v>
      </c>
      <c r="B1285" s="66" t="s">
        <v>1638</v>
      </c>
      <c r="C1285" s="47">
        <v>1009</v>
      </c>
      <c r="D1285" s="47" t="s">
        <v>244</v>
      </c>
      <c r="E1285" s="41">
        <v>10090036</v>
      </c>
      <c r="F1285" s="46" t="s">
        <v>264</v>
      </c>
      <c r="G1285" s="39" t="s">
        <v>92</v>
      </c>
      <c r="H1285" s="48" t="s">
        <v>93</v>
      </c>
      <c r="I1285" s="52">
        <v>1736.3999999999996</v>
      </c>
      <c r="J1285" s="49">
        <v>78014.69</v>
      </c>
      <c r="K1285" s="65">
        <v>1729.8600000000001</v>
      </c>
      <c r="L1285" s="65">
        <v>76838.530000000013</v>
      </c>
      <c r="M1285" s="65">
        <v>12.379999999999999</v>
      </c>
      <c r="N1285" s="65">
        <v>552.13</v>
      </c>
      <c r="O1285" s="65">
        <v>1742.2400000000002</v>
      </c>
      <c r="P1285" s="65">
        <v>77390.660000000018</v>
      </c>
      <c r="Q1285" s="50">
        <v>77390.660000000018</v>
      </c>
      <c r="R1285" s="65">
        <v>0</v>
      </c>
      <c r="S1285" s="65">
        <v>552.13</v>
      </c>
      <c r="T1285" s="65">
        <v>0</v>
      </c>
      <c r="U1285" s="65">
        <v>0</v>
      </c>
      <c r="V1285" s="65">
        <v>0</v>
      </c>
      <c r="W1285" s="65">
        <v>0</v>
      </c>
      <c r="X1285" s="65">
        <v>76838</v>
      </c>
      <c r="Y1285" s="65">
        <v>0</v>
      </c>
      <c r="Z1285" s="65">
        <v>0</v>
      </c>
      <c r="AA1285" s="51">
        <v>625</v>
      </c>
      <c r="AB1285" s="102">
        <v>0</v>
      </c>
      <c r="AC1285" s="81">
        <f t="shared" si="63"/>
        <v>0</v>
      </c>
      <c r="AD1285" s="82">
        <f t="shared" si="64"/>
        <v>0</v>
      </c>
      <c r="AE1285" s="218">
        <v>7.9988781599976133E-3</v>
      </c>
      <c r="AF1285">
        <v>36</v>
      </c>
      <c r="AH1285" t="str">
        <f t="shared" si="62"/>
        <v>Halsi</v>
      </c>
      <c r="AJ1285" s="72">
        <v>0</v>
      </c>
      <c r="AK1285" s="72"/>
      <c r="AL1285" s="72"/>
      <c r="AM1285" s="72"/>
    </row>
    <row r="1286" spans="1:39" x14ac:dyDescent="0.25">
      <c r="A1286" s="37" t="s">
        <v>62</v>
      </c>
      <c r="B1286" s="66" t="s">
        <v>1638</v>
      </c>
      <c r="C1286" s="47">
        <v>1009</v>
      </c>
      <c r="D1286" s="47" t="s">
        <v>244</v>
      </c>
      <c r="E1286" s="41">
        <v>10090037</v>
      </c>
      <c r="F1286" s="46" t="s">
        <v>265</v>
      </c>
      <c r="G1286" s="39" t="s">
        <v>92</v>
      </c>
      <c r="H1286" s="48" t="s">
        <v>93</v>
      </c>
      <c r="I1286" s="52">
        <v>748.4</v>
      </c>
      <c r="J1286" s="49">
        <v>38458.780000000006</v>
      </c>
      <c r="K1286" s="65">
        <v>537.19999999999993</v>
      </c>
      <c r="L1286" s="65">
        <v>27475.059999999994</v>
      </c>
      <c r="M1286" s="65">
        <v>221.64999999999998</v>
      </c>
      <c r="N1286" s="65">
        <v>13466.76</v>
      </c>
      <c r="O1286" s="65">
        <v>758.84999999999991</v>
      </c>
      <c r="P1286" s="65">
        <v>40941.819999999992</v>
      </c>
      <c r="Q1286" s="50">
        <v>38458.780000000006</v>
      </c>
      <c r="R1286" s="65">
        <v>0</v>
      </c>
      <c r="S1286" s="65">
        <v>294.25</v>
      </c>
      <c r="T1286" s="65">
        <v>2483.0399999999863</v>
      </c>
      <c r="U1286" s="65">
        <v>0</v>
      </c>
      <c r="V1286" s="65">
        <v>0</v>
      </c>
      <c r="W1286" s="65">
        <v>0</v>
      </c>
      <c r="X1286" s="65">
        <v>24992</v>
      </c>
      <c r="Y1286" s="65">
        <v>13173</v>
      </c>
      <c r="Z1286" s="65">
        <v>0</v>
      </c>
      <c r="AA1286" s="51">
        <v>0</v>
      </c>
      <c r="AB1286" s="102" t="s">
        <v>1366</v>
      </c>
      <c r="AC1286" s="81">
        <f t="shared" si="63"/>
        <v>0</v>
      </c>
      <c r="AD1286" s="82">
        <f t="shared" si="64"/>
        <v>0</v>
      </c>
      <c r="AE1286" s="218">
        <v>-6.4563670506448359E-2</v>
      </c>
      <c r="AF1286">
        <v>10</v>
      </c>
      <c r="AH1286" t="str">
        <f t="shared" si="62"/>
        <v>Halsi</v>
      </c>
      <c r="AJ1286" s="72">
        <v>0</v>
      </c>
      <c r="AK1286" s="72"/>
      <c r="AL1286" s="72"/>
      <c r="AM1286" s="72"/>
    </row>
    <row r="1287" spans="1:39" x14ac:dyDescent="0.25">
      <c r="A1287" s="37" t="s">
        <v>62</v>
      </c>
      <c r="B1287" s="66" t="s">
        <v>1638</v>
      </c>
      <c r="C1287" s="47">
        <v>1009</v>
      </c>
      <c r="D1287" s="47" t="s">
        <v>244</v>
      </c>
      <c r="E1287" s="41">
        <v>10090039</v>
      </c>
      <c r="F1287" s="46" t="s">
        <v>1578</v>
      </c>
      <c r="G1287" s="39" t="s">
        <v>1610</v>
      </c>
      <c r="H1287" s="48" t="s">
        <v>93</v>
      </c>
      <c r="I1287" s="52">
        <v>227.5</v>
      </c>
      <c r="J1287" s="49">
        <v>9431.5699999999979</v>
      </c>
      <c r="K1287" s="65">
        <v>210.28999999999994</v>
      </c>
      <c r="L1287" s="65">
        <v>8320.25</v>
      </c>
      <c r="M1287" s="65">
        <v>0</v>
      </c>
      <c r="N1287" s="65">
        <v>0</v>
      </c>
      <c r="O1287" s="65">
        <v>210.28999999999994</v>
      </c>
      <c r="P1287" s="65">
        <v>8320.25</v>
      </c>
      <c r="Q1287" s="50">
        <v>8320.25</v>
      </c>
      <c r="R1287" s="65">
        <v>0</v>
      </c>
      <c r="S1287" s="65">
        <v>0</v>
      </c>
      <c r="T1287" s="65">
        <v>0</v>
      </c>
      <c r="U1287" s="65">
        <v>0</v>
      </c>
      <c r="V1287" s="65">
        <v>0</v>
      </c>
      <c r="W1287" s="65">
        <v>0</v>
      </c>
      <c r="X1287" s="65">
        <v>8321</v>
      </c>
      <c r="Y1287" s="65">
        <v>0</v>
      </c>
      <c r="Z1287" s="65">
        <v>0</v>
      </c>
      <c r="AA1287" s="51">
        <v>1111</v>
      </c>
      <c r="AB1287" s="102">
        <v>0</v>
      </c>
      <c r="AC1287" s="81">
        <f t="shared" si="63"/>
        <v>391.77290769230763</v>
      </c>
      <c r="AD1287" s="82">
        <f t="shared" si="64"/>
        <v>32.5</v>
      </c>
      <c r="AE1287" s="218">
        <v>0.11782979928050136</v>
      </c>
      <c r="AF1287">
        <v>6</v>
      </c>
      <c r="AH1287" t="str">
        <f t="shared" si="62"/>
        <v>Halsi</v>
      </c>
      <c r="AJ1287" s="72">
        <v>0</v>
      </c>
      <c r="AK1287" s="72"/>
      <c r="AL1287" s="72"/>
      <c r="AM1287" s="72"/>
    </row>
    <row r="1288" spans="1:39" x14ac:dyDescent="0.25">
      <c r="A1288" s="37" t="s">
        <v>62</v>
      </c>
      <c r="B1288" s="66" t="s">
        <v>1638</v>
      </c>
      <c r="C1288" s="47">
        <v>1009</v>
      </c>
      <c r="D1288" s="47" t="s">
        <v>244</v>
      </c>
      <c r="E1288" s="41">
        <v>10090041</v>
      </c>
      <c r="F1288" s="46" t="s">
        <v>266</v>
      </c>
      <c r="G1288" s="39" t="s">
        <v>1610</v>
      </c>
      <c r="H1288" s="48" t="s">
        <v>98</v>
      </c>
      <c r="I1288" s="52">
        <v>375.1</v>
      </c>
      <c r="J1288" s="49">
        <v>9570.75</v>
      </c>
      <c r="K1288" s="65">
        <v>0</v>
      </c>
      <c r="L1288" s="65">
        <v>0</v>
      </c>
      <c r="M1288" s="65">
        <v>0</v>
      </c>
      <c r="N1288" s="65">
        <v>0</v>
      </c>
      <c r="O1288" s="65">
        <v>0</v>
      </c>
      <c r="P1288" s="65">
        <v>0</v>
      </c>
      <c r="Q1288" s="50">
        <v>9570.75</v>
      </c>
      <c r="R1288" s="65">
        <v>0</v>
      </c>
      <c r="S1288" s="65">
        <v>0</v>
      </c>
      <c r="T1288" s="65">
        <v>0</v>
      </c>
      <c r="U1288" s="65">
        <v>0</v>
      </c>
      <c r="V1288" s="65">
        <v>0</v>
      </c>
      <c r="W1288" s="65">
        <v>0</v>
      </c>
      <c r="X1288" s="65">
        <v>0</v>
      </c>
      <c r="Y1288" s="65">
        <v>0</v>
      </c>
      <c r="Z1288" s="65">
        <v>9570.75</v>
      </c>
      <c r="AA1288" s="51">
        <v>0</v>
      </c>
      <c r="AB1288" s="102">
        <v>0</v>
      </c>
      <c r="AC1288" s="81">
        <f t="shared" si="63"/>
        <v>165.79774326846172</v>
      </c>
      <c r="AD1288" s="82">
        <f t="shared" si="64"/>
        <v>53.585714285714289</v>
      </c>
      <c r="AE1288" s="218">
        <v>0</v>
      </c>
      <c r="AF1288">
        <v>0</v>
      </c>
      <c r="AH1288" t="str">
        <f t="shared" si="62"/>
        <v>Halsi</v>
      </c>
      <c r="AJ1288" s="72">
        <v>0</v>
      </c>
      <c r="AK1288" s="72"/>
      <c r="AL1288" s="72"/>
      <c r="AM1288" s="72"/>
    </row>
    <row r="1289" spans="1:39" x14ac:dyDescent="0.25">
      <c r="A1289" s="37" t="s">
        <v>62</v>
      </c>
      <c r="B1289" s="66" t="s">
        <v>1638</v>
      </c>
      <c r="C1289" s="47">
        <v>1009</v>
      </c>
      <c r="D1289" s="47" t="s">
        <v>244</v>
      </c>
      <c r="E1289" s="41">
        <v>10090042</v>
      </c>
      <c r="F1289" s="46" t="s">
        <v>267</v>
      </c>
      <c r="G1289" s="39" t="s">
        <v>92</v>
      </c>
      <c r="H1289" s="48" t="s">
        <v>93</v>
      </c>
      <c r="I1289" s="52">
        <v>983.40000000000009</v>
      </c>
      <c r="J1289" s="49">
        <v>43907.229999999996</v>
      </c>
      <c r="K1289" s="65">
        <v>994.62</v>
      </c>
      <c r="L1289" s="65">
        <v>45693.8</v>
      </c>
      <c r="M1289" s="65">
        <v>2.41</v>
      </c>
      <c r="N1289" s="65">
        <v>108.78</v>
      </c>
      <c r="O1289" s="65">
        <v>997.03</v>
      </c>
      <c r="P1289" s="65">
        <v>45802.58</v>
      </c>
      <c r="Q1289" s="50">
        <v>43907.229999999996</v>
      </c>
      <c r="R1289" s="65">
        <v>0</v>
      </c>
      <c r="S1289" s="65">
        <v>108.78</v>
      </c>
      <c r="T1289" s="65">
        <v>1895.3500000000058</v>
      </c>
      <c r="U1289" s="65">
        <v>0</v>
      </c>
      <c r="V1289" s="65">
        <v>0</v>
      </c>
      <c r="W1289" s="65">
        <v>0</v>
      </c>
      <c r="X1289" s="65">
        <v>43798</v>
      </c>
      <c r="Y1289" s="65">
        <v>0</v>
      </c>
      <c r="Z1289" s="65">
        <v>0</v>
      </c>
      <c r="AA1289" s="51">
        <v>0</v>
      </c>
      <c r="AB1289" s="102">
        <v>0</v>
      </c>
      <c r="AC1289" s="81">
        <f t="shared" si="63"/>
        <v>0</v>
      </c>
      <c r="AD1289" s="82">
        <f t="shared" si="64"/>
        <v>0</v>
      </c>
      <c r="AE1289" s="218">
        <v>-4.3167150375917722E-2</v>
      </c>
      <c r="AF1289">
        <v>5</v>
      </c>
      <c r="AH1289" t="str">
        <f t="shared" si="62"/>
        <v>Halsi</v>
      </c>
      <c r="AJ1289" s="72">
        <v>0</v>
      </c>
      <c r="AK1289" s="72"/>
      <c r="AL1289" s="72"/>
      <c r="AM1289" s="72"/>
    </row>
    <row r="1290" spans="1:39" x14ac:dyDescent="0.25">
      <c r="A1290" s="37" t="s">
        <v>62</v>
      </c>
      <c r="B1290" s="66" t="s">
        <v>1638</v>
      </c>
      <c r="C1290" s="47">
        <v>1009</v>
      </c>
      <c r="D1290" s="47" t="s">
        <v>244</v>
      </c>
      <c r="E1290" s="41">
        <v>10090045</v>
      </c>
      <c r="F1290" s="46" t="s">
        <v>1269</v>
      </c>
      <c r="G1290" s="39" t="s">
        <v>92</v>
      </c>
      <c r="H1290" s="48" t="s">
        <v>93</v>
      </c>
      <c r="I1290" s="52">
        <v>123.9</v>
      </c>
      <c r="J1290" s="49">
        <v>5271.29</v>
      </c>
      <c r="K1290" s="65">
        <v>124.1</v>
      </c>
      <c r="L1290" s="65">
        <v>5245.0999999999995</v>
      </c>
      <c r="M1290" s="65">
        <v>0</v>
      </c>
      <c r="N1290" s="65">
        <v>0</v>
      </c>
      <c r="O1290" s="65">
        <v>124.1</v>
      </c>
      <c r="P1290" s="65">
        <v>5245.0999999999995</v>
      </c>
      <c r="Q1290" s="50">
        <v>5245.0999999999995</v>
      </c>
      <c r="R1290" s="65">
        <v>0</v>
      </c>
      <c r="S1290" s="65">
        <v>0</v>
      </c>
      <c r="T1290" s="65">
        <v>0</v>
      </c>
      <c r="U1290" s="65">
        <v>0</v>
      </c>
      <c r="V1290" s="65">
        <v>0</v>
      </c>
      <c r="W1290" s="65">
        <v>0</v>
      </c>
      <c r="X1290" s="65">
        <v>5245</v>
      </c>
      <c r="Y1290" s="65">
        <v>0</v>
      </c>
      <c r="Z1290" s="65">
        <v>0</v>
      </c>
      <c r="AA1290" s="51">
        <v>26</v>
      </c>
      <c r="AB1290" s="102">
        <v>0</v>
      </c>
      <c r="AC1290" s="81">
        <f t="shared" si="63"/>
        <v>490.20018870056498</v>
      </c>
      <c r="AD1290" s="82">
        <f t="shared" si="64"/>
        <v>17.7</v>
      </c>
      <c r="AE1290" s="218">
        <v>4.9684232891759909E-3</v>
      </c>
      <c r="AF1290">
        <v>2</v>
      </c>
      <c r="AH1290" t="str">
        <f t="shared" si="62"/>
        <v>Halsi</v>
      </c>
      <c r="AJ1290" s="72">
        <v>0</v>
      </c>
      <c r="AK1290" s="72"/>
      <c r="AL1290" s="72"/>
      <c r="AM1290" s="72"/>
    </row>
    <row r="1291" spans="1:39" x14ac:dyDescent="0.25">
      <c r="A1291" s="37" t="s">
        <v>62</v>
      </c>
      <c r="B1291" s="66" t="s">
        <v>1638</v>
      </c>
      <c r="C1291" s="47">
        <v>1009</v>
      </c>
      <c r="D1291" s="47" t="s">
        <v>244</v>
      </c>
      <c r="E1291" s="41">
        <v>10090046</v>
      </c>
      <c r="F1291" s="46" t="s">
        <v>268</v>
      </c>
      <c r="G1291" s="39" t="s">
        <v>92</v>
      </c>
      <c r="H1291" s="48" t="s">
        <v>93</v>
      </c>
      <c r="I1291" s="52">
        <v>603.4</v>
      </c>
      <c r="J1291" s="49">
        <v>28712.48</v>
      </c>
      <c r="K1291" s="65">
        <v>619.44000000000005</v>
      </c>
      <c r="L1291" s="65">
        <v>30447.350000000006</v>
      </c>
      <c r="M1291" s="65">
        <v>0</v>
      </c>
      <c r="N1291" s="65">
        <v>0</v>
      </c>
      <c r="O1291" s="65">
        <v>619.44000000000005</v>
      </c>
      <c r="P1291" s="65">
        <v>30447.350000000006</v>
      </c>
      <c r="Q1291" s="50">
        <v>28712.48</v>
      </c>
      <c r="R1291" s="65">
        <v>0</v>
      </c>
      <c r="S1291" s="65">
        <v>0</v>
      </c>
      <c r="T1291" s="65">
        <v>1734.8700000000063</v>
      </c>
      <c r="U1291" s="65">
        <v>0</v>
      </c>
      <c r="V1291" s="65">
        <v>0</v>
      </c>
      <c r="W1291" s="65">
        <v>0</v>
      </c>
      <c r="X1291" s="65">
        <v>28712</v>
      </c>
      <c r="Y1291" s="65">
        <v>0</v>
      </c>
      <c r="Z1291" s="65">
        <v>0</v>
      </c>
      <c r="AA1291" s="51">
        <v>0</v>
      </c>
      <c r="AB1291" s="102">
        <v>0</v>
      </c>
      <c r="AC1291" s="81">
        <f t="shared" si="63"/>
        <v>91.933230626450097</v>
      </c>
      <c r="AD1291" s="82">
        <f t="shared" si="64"/>
        <v>86.2</v>
      </c>
      <c r="AE1291" s="218">
        <v>-6.0422157890924304E-2</v>
      </c>
      <c r="AF1291">
        <v>4</v>
      </c>
      <c r="AH1291" t="str">
        <f t="shared" si="62"/>
        <v>Halsi</v>
      </c>
      <c r="AJ1291" s="72">
        <v>0</v>
      </c>
      <c r="AK1291" s="72"/>
      <c r="AL1291" s="72"/>
      <c r="AM1291" s="72"/>
    </row>
    <row r="1292" spans="1:39" x14ac:dyDescent="0.25">
      <c r="A1292" s="37" t="s">
        <v>62</v>
      </c>
      <c r="B1292" s="66" t="s">
        <v>1638</v>
      </c>
      <c r="C1292" s="47">
        <v>1009</v>
      </c>
      <c r="D1292" s="47" t="s">
        <v>244</v>
      </c>
      <c r="E1292" s="41">
        <v>10090047</v>
      </c>
      <c r="F1292" s="46" t="s">
        <v>269</v>
      </c>
      <c r="G1292" s="39" t="s">
        <v>92</v>
      </c>
      <c r="H1292" s="48" t="s">
        <v>93</v>
      </c>
      <c r="I1292" s="52">
        <v>309.2</v>
      </c>
      <c r="J1292" s="49">
        <v>14159.680000000002</v>
      </c>
      <c r="K1292" s="65">
        <v>315.90000000000003</v>
      </c>
      <c r="L1292" s="65">
        <v>14293.470000000001</v>
      </c>
      <c r="M1292" s="65">
        <v>6.6000000000000005</v>
      </c>
      <c r="N1292" s="65">
        <v>295.31</v>
      </c>
      <c r="O1292" s="65">
        <v>322.50000000000006</v>
      </c>
      <c r="P1292" s="65">
        <v>14588.78</v>
      </c>
      <c r="Q1292" s="50">
        <v>14159.680000000002</v>
      </c>
      <c r="R1292" s="65">
        <v>0</v>
      </c>
      <c r="S1292" s="65">
        <v>295.31</v>
      </c>
      <c r="T1292" s="65">
        <v>429.09999999999854</v>
      </c>
      <c r="U1292" s="65">
        <v>0</v>
      </c>
      <c r="V1292" s="65">
        <v>0</v>
      </c>
      <c r="W1292" s="65">
        <v>0</v>
      </c>
      <c r="X1292" s="65">
        <v>13864</v>
      </c>
      <c r="Y1292" s="65">
        <v>0</v>
      </c>
      <c r="Z1292" s="65">
        <v>0</v>
      </c>
      <c r="AA1292" s="51">
        <v>0</v>
      </c>
      <c r="AB1292" s="102">
        <v>0</v>
      </c>
      <c r="AC1292" s="81">
        <f t="shared" si="63"/>
        <v>357.93033272962492</v>
      </c>
      <c r="AD1292" s="82">
        <f t="shared" si="64"/>
        <v>44.171428571428571</v>
      </c>
      <c r="AE1292" s="218">
        <v>-3.0304357160613693E-2</v>
      </c>
      <c r="AF1292">
        <v>16</v>
      </c>
      <c r="AH1292" t="str">
        <f t="shared" si="62"/>
        <v>Halsi</v>
      </c>
      <c r="AJ1292" s="72">
        <v>0</v>
      </c>
      <c r="AK1292" s="72"/>
      <c r="AL1292" s="72"/>
      <c r="AM1292" s="72"/>
    </row>
    <row r="1293" spans="1:39" x14ac:dyDescent="0.25">
      <c r="A1293" s="37" t="s">
        <v>62</v>
      </c>
      <c r="B1293" s="66" t="s">
        <v>1638</v>
      </c>
      <c r="C1293" s="47">
        <v>1009</v>
      </c>
      <c r="D1293" s="47" t="s">
        <v>244</v>
      </c>
      <c r="E1293" s="41">
        <v>10090049</v>
      </c>
      <c r="F1293" s="46" t="s">
        <v>270</v>
      </c>
      <c r="G1293" s="39" t="s">
        <v>92</v>
      </c>
      <c r="H1293" s="48" t="s">
        <v>93</v>
      </c>
      <c r="I1293" s="52">
        <v>815.2</v>
      </c>
      <c r="J1293" s="49">
        <v>44274.780000000006</v>
      </c>
      <c r="K1293" s="65">
        <v>809.96</v>
      </c>
      <c r="L1293" s="65">
        <v>46831.46</v>
      </c>
      <c r="M1293" s="65">
        <v>6.2600000000000016</v>
      </c>
      <c r="N1293" s="65">
        <v>379.68000000000006</v>
      </c>
      <c r="O1293" s="65">
        <v>816.22</v>
      </c>
      <c r="P1293" s="65">
        <v>47211.14</v>
      </c>
      <c r="Q1293" s="50">
        <v>44274.780000000006</v>
      </c>
      <c r="R1293" s="65">
        <v>0</v>
      </c>
      <c r="S1293" s="65">
        <v>379.68000000000006</v>
      </c>
      <c r="T1293" s="65">
        <v>2936.3599999999933</v>
      </c>
      <c r="U1293" s="65">
        <v>0</v>
      </c>
      <c r="V1293" s="65">
        <v>0</v>
      </c>
      <c r="W1293" s="65">
        <v>0</v>
      </c>
      <c r="X1293" s="65">
        <v>43895</v>
      </c>
      <c r="Y1293" s="65">
        <v>0</v>
      </c>
      <c r="Z1293" s="65">
        <v>0</v>
      </c>
      <c r="AA1293" s="51">
        <v>0</v>
      </c>
      <c r="AB1293" s="102">
        <v>0</v>
      </c>
      <c r="AC1293" s="81">
        <f t="shared" si="63"/>
        <v>0</v>
      </c>
      <c r="AD1293" s="82">
        <f t="shared" si="64"/>
        <v>0</v>
      </c>
      <c r="AE1293" s="218">
        <v>-6.6321278163324421E-2</v>
      </c>
      <c r="AF1293">
        <v>11</v>
      </c>
      <c r="AH1293" t="str">
        <f t="shared" si="62"/>
        <v>Halsi</v>
      </c>
      <c r="AJ1293" s="72">
        <v>0</v>
      </c>
      <c r="AK1293" s="72"/>
      <c r="AL1293" s="72"/>
      <c r="AM1293" s="72"/>
    </row>
    <row r="1294" spans="1:39" x14ac:dyDescent="0.25">
      <c r="A1294" s="37" t="s">
        <v>62</v>
      </c>
      <c r="B1294" s="66" t="s">
        <v>1638</v>
      </c>
      <c r="C1294" s="47">
        <v>1009</v>
      </c>
      <c r="D1294" s="47" t="s">
        <v>244</v>
      </c>
      <c r="E1294" s="41">
        <v>10090055</v>
      </c>
      <c r="F1294" s="46" t="s">
        <v>453</v>
      </c>
      <c r="G1294" s="39" t="s">
        <v>1610</v>
      </c>
      <c r="H1294" s="48" t="s">
        <v>98</v>
      </c>
      <c r="I1294" s="52">
        <v>360.69999999999993</v>
      </c>
      <c r="J1294" s="49">
        <v>13542.22</v>
      </c>
      <c r="K1294" s="65">
        <v>0</v>
      </c>
      <c r="L1294" s="65">
        <v>0</v>
      </c>
      <c r="M1294" s="65">
        <v>0</v>
      </c>
      <c r="N1294" s="65">
        <v>0</v>
      </c>
      <c r="O1294" s="65">
        <v>0</v>
      </c>
      <c r="P1294" s="65">
        <v>0</v>
      </c>
      <c r="Q1294" s="50">
        <v>13542.22</v>
      </c>
      <c r="R1294" s="65">
        <v>0</v>
      </c>
      <c r="S1294" s="65">
        <v>0</v>
      </c>
      <c r="T1294" s="65">
        <v>0</v>
      </c>
      <c r="U1294" s="65">
        <v>0</v>
      </c>
      <c r="V1294" s="65">
        <v>0</v>
      </c>
      <c r="W1294" s="65">
        <v>0</v>
      </c>
      <c r="X1294" s="65">
        <v>0</v>
      </c>
      <c r="Y1294" s="65">
        <v>0</v>
      </c>
      <c r="Z1294" s="65">
        <v>13542.22</v>
      </c>
      <c r="AA1294" s="51">
        <v>0</v>
      </c>
      <c r="AB1294" s="102">
        <v>0</v>
      </c>
      <c r="AC1294" s="81">
        <f t="shared" si="63"/>
        <v>254.77545029110075</v>
      </c>
      <c r="AD1294" s="82">
        <f t="shared" si="64"/>
        <v>51.528571428571418</v>
      </c>
      <c r="AE1294" s="218">
        <v>0</v>
      </c>
      <c r="AF1294">
        <v>0</v>
      </c>
      <c r="AH1294" t="str">
        <f t="shared" si="62"/>
        <v>Halsi</v>
      </c>
      <c r="AJ1294" s="72">
        <v>0</v>
      </c>
      <c r="AK1294" s="72"/>
      <c r="AL1294" s="72"/>
      <c r="AM1294" s="72"/>
    </row>
    <row r="1295" spans="1:39" x14ac:dyDescent="0.25">
      <c r="A1295" s="37" t="s">
        <v>62</v>
      </c>
      <c r="B1295" s="66" t="s">
        <v>1638</v>
      </c>
      <c r="C1295" s="47">
        <v>1009</v>
      </c>
      <c r="D1295" s="47" t="s">
        <v>244</v>
      </c>
      <c r="E1295" s="41">
        <v>10090056</v>
      </c>
      <c r="F1295" s="46" t="s">
        <v>464</v>
      </c>
      <c r="G1295" s="39" t="s">
        <v>92</v>
      </c>
      <c r="H1295" s="48" t="s">
        <v>93</v>
      </c>
      <c r="I1295" s="52">
        <v>346.8</v>
      </c>
      <c r="J1295" s="49">
        <v>15308.07</v>
      </c>
      <c r="K1295" s="65">
        <v>434.1</v>
      </c>
      <c r="L1295" s="65">
        <v>18879.75</v>
      </c>
      <c r="M1295" s="65">
        <v>1.59</v>
      </c>
      <c r="N1295" s="65">
        <v>70.94</v>
      </c>
      <c r="O1295" s="65">
        <v>435.69</v>
      </c>
      <c r="P1295" s="65">
        <v>18950.689999999999</v>
      </c>
      <c r="Q1295" s="50">
        <v>15308.07</v>
      </c>
      <c r="R1295" s="65">
        <v>0</v>
      </c>
      <c r="S1295" s="65">
        <v>70.94</v>
      </c>
      <c r="T1295" s="65">
        <v>3642.619999999999</v>
      </c>
      <c r="U1295" s="65">
        <v>0</v>
      </c>
      <c r="V1295" s="65">
        <v>0</v>
      </c>
      <c r="W1295" s="65">
        <v>0</v>
      </c>
      <c r="X1295" s="65">
        <v>15237</v>
      </c>
      <c r="Y1295" s="65">
        <v>0</v>
      </c>
      <c r="Z1295" s="65">
        <v>0</v>
      </c>
      <c r="AA1295" s="51">
        <v>0</v>
      </c>
      <c r="AB1295" s="102">
        <v>0</v>
      </c>
      <c r="AC1295" s="81">
        <f t="shared" si="63"/>
        <v>311.81143737024217</v>
      </c>
      <c r="AD1295" s="82">
        <f t="shared" si="64"/>
        <v>49.542857142857144</v>
      </c>
      <c r="AE1295" s="218">
        <v>-0.23795422937052149</v>
      </c>
      <c r="AF1295">
        <v>4</v>
      </c>
      <c r="AH1295" t="str">
        <f t="shared" si="62"/>
        <v>Halsi</v>
      </c>
      <c r="AJ1295" s="72">
        <v>0</v>
      </c>
      <c r="AK1295" s="72"/>
      <c r="AL1295" s="72"/>
      <c r="AM1295" s="72"/>
    </row>
    <row r="1296" spans="1:39" x14ac:dyDescent="0.25">
      <c r="A1296" s="37" t="s">
        <v>62</v>
      </c>
      <c r="B1296" s="66" t="s">
        <v>1638</v>
      </c>
      <c r="C1296" s="47">
        <v>1009</v>
      </c>
      <c r="D1296" s="47" t="s">
        <v>244</v>
      </c>
      <c r="E1296" s="41">
        <v>10090058</v>
      </c>
      <c r="F1296" s="46" t="s">
        <v>514</v>
      </c>
      <c r="G1296" s="39" t="s">
        <v>92</v>
      </c>
      <c r="H1296" s="48" t="s">
        <v>93</v>
      </c>
      <c r="I1296" s="52">
        <v>876.30000000000007</v>
      </c>
      <c r="J1296" s="49">
        <v>39920.740000000005</v>
      </c>
      <c r="K1296" s="65">
        <v>844.4</v>
      </c>
      <c r="L1296" s="65">
        <v>42139.070000000007</v>
      </c>
      <c r="M1296" s="65">
        <v>0</v>
      </c>
      <c r="N1296" s="65">
        <v>0</v>
      </c>
      <c r="O1296" s="65">
        <v>844.4</v>
      </c>
      <c r="P1296" s="65">
        <v>42139.070000000007</v>
      </c>
      <c r="Q1296" s="50">
        <v>39920.740000000005</v>
      </c>
      <c r="R1296" s="65">
        <v>0</v>
      </c>
      <c r="S1296" s="65">
        <v>0</v>
      </c>
      <c r="T1296" s="65">
        <v>2218.3300000000017</v>
      </c>
      <c r="U1296" s="65">
        <v>0</v>
      </c>
      <c r="V1296" s="65">
        <v>0</v>
      </c>
      <c r="W1296" s="65">
        <v>0</v>
      </c>
      <c r="X1296" s="65">
        <v>39921</v>
      </c>
      <c r="Y1296" s="65">
        <v>0</v>
      </c>
      <c r="Z1296" s="65">
        <v>0</v>
      </c>
      <c r="AA1296" s="51">
        <v>0</v>
      </c>
      <c r="AB1296" s="102">
        <v>0</v>
      </c>
      <c r="AC1296" s="81">
        <f t="shared" si="63"/>
        <v>0</v>
      </c>
      <c r="AD1296" s="82">
        <f t="shared" si="64"/>
        <v>0</v>
      </c>
      <c r="AE1296" s="218">
        <v>-5.5568358702769577E-2</v>
      </c>
      <c r="AF1296">
        <v>4</v>
      </c>
      <c r="AH1296" t="str">
        <f t="shared" si="62"/>
        <v>Halsi</v>
      </c>
      <c r="AJ1296" s="72">
        <v>0</v>
      </c>
      <c r="AK1296" s="72"/>
      <c r="AL1296" s="72"/>
      <c r="AM1296" s="72"/>
    </row>
    <row r="1297" spans="1:39" x14ac:dyDescent="0.25">
      <c r="A1297" s="37" t="s">
        <v>62</v>
      </c>
      <c r="B1297" s="66" t="s">
        <v>1638</v>
      </c>
      <c r="C1297" s="47">
        <v>1009</v>
      </c>
      <c r="D1297" s="47" t="s">
        <v>244</v>
      </c>
      <c r="E1297" s="41">
        <v>10090059</v>
      </c>
      <c r="F1297" s="46" t="s">
        <v>1197</v>
      </c>
      <c r="G1297" s="39" t="s">
        <v>92</v>
      </c>
      <c r="H1297" s="48" t="s">
        <v>93</v>
      </c>
      <c r="I1297" s="52">
        <v>303.50000000000006</v>
      </c>
      <c r="J1297" s="49">
        <v>14024.25</v>
      </c>
      <c r="K1297" s="65">
        <v>487.36</v>
      </c>
      <c r="L1297" s="65">
        <v>37376.680000000008</v>
      </c>
      <c r="M1297" s="65">
        <v>0</v>
      </c>
      <c r="N1297" s="65">
        <v>0</v>
      </c>
      <c r="O1297" s="65">
        <v>487.36</v>
      </c>
      <c r="P1297" s="65">
        <v>37376.680000000008</v>
      </c>
      <c r="Q1297" s="50">
        <v>14024.25</v>
      </c>
      <c r="R1297" s="65">
        <v>0</v>
      </c>
      <c r="S1297" s="65">
        <v>0</v>
      </c>
      <c r="T1297" s="65">
        <v>23352.430000000008</v>
      </c>
      <c r="U1297" s="65">
        <v>0</v>
      </c>
      <c r="V1297" s="65">
        <v>0</v>
      </c>
      <c r="W1297" s="65">
        <v>0</v>
      </c>
      <c r="X1297" s="65">
        <v>14024</v>
      </c>
      <c r="Y1297" s="65">
        <v>0</v>
      </c>
      <c r="Z1297" s="65">
        <v>0</v>
      </c>
      <c r="AA1297" s="51">
        <v>0</v>
      </c>
      <c r="AB1297" s="102">
        <v>0</v>
      </c>
      <c r="AC1297" s="81">
        <f t="shared" si="63"/>
        <v>366.43262767710041</v>
      </c>
      <c r="AD1297" s="82">
        <f t="shared" si="64"/>
        <v>43.357142857142868</v>
      </c>
      <c r="AE1297" s="218">
        <v>-1.6651464427687761</v>
      </c>
      <c r="AF1297">
        <v>7</v>
      </c>
      <c r="AH1297" t="str">
        <f t="shared" si="62"/>
        <v>Halsi</v>
      </c>
      <c r="AJ1297" s="72">
        <v>0</v>
      </c>
      <c r="AK1297" s="72"/>
      <c r="AL1297" s="72"/>
      <c r="AM1297" s="72"/>
    </row>
    <row r="1298" spans="1:39" x14ac:dyDescent="0.25">
      <c r="A1298" s="37" t="s">
        <v>62</v>
      </c>
      <c r="B1298" s="66" t="s">
        <v>1638</v>
      </c>
      <c r="C1298" s="47">
        <v>1009</v>
      </c>
      <c r="D1298" s="47" t="s">
        <v>244</v>
      </c>
      <c r="E1298" s="41">
        <v>10090060</v>
      </c>
      <c r="F1298" s="46" t="s">
        <v>522</v>
      </c>
      <c r="G1298" s="39" t="s">
        <v>92</v>
      </c>
      <c r="H1298" s="48" t="s">
        <v>93</v>
      </c>
      <c r="I1298" s="52">
        <v>214.30000000000004</v>
      </c>
      <c r="J1298" s="49">
        <v>10357.869999999999</v>
      </c>
      <c r="K1298" s="65">
        <v>214.6</v>
      </c>
      <c r="L1298" s="65">
        <v>10370.89</v>
      </c>
      <c r="M1298" s="65">
        <v>0</v>
      </c>
      <c r="N1298" s="65">
        <v>0</v>
      </c>
      <c r="O1298" s="65">
        <v>214.6</v>
      </c>
      <c r="P1298" s="65">
        <v>10370.89</v>
      </c>
      <c r="Q1298" s="50">
        <v>10357.869999999999</v>
      </c>
      <c r="R1298" s="65">
        <v>0</v>
      </c>
      <c r="S1298" s="65">
        <v>0</v>
      </c>
      <c r="T1298" s="65">
        <v>13.020000000000437</v>
      </c>
      <c r="U1298" s="65">
        <v>0</v>
      </c>
      <c r="V1298" s="65">
        <v>500</v>
      </c>
      <c r="W1298" s="65">
        <v>0</v>
      </c>
      <c r="X1298" s="65">
        <v>9858</v>
      </c>
      <c r="Y1298" s="65">
        <v>0</v>
      </c>
      <c r="Z1298" s="65">
        <v>0</v>
      </c>
      <c r="AA1298" s="51">
        <v>0</v>
      </c>
      <c r="AB1298" s="102">
        <v>0</v>
      </c>
      <c r="AC1298" s="81">
        <f t="shared" si="63"/>
        <v>469.51166206252896</v>
      </c>
      <c r="AD1298" s="82">
        <f t="shared" si="64"/>
        <v>30.614285714285721</v>
      </c>
      <c r="AE1298" s="218">
        <v>-1.2570151971399949E-3</v>
      </c>
      <c r="AF1298">
        <v>1</v>
      </c>
      <c r="AH1298" t="str">
        <f t="shared" si="62"/>
        <v>Halsi</v>
      </c>
      <c r="AJ1298" s="72">
        <v>500</v>
      </c>
      <c r="AK1298" s="72"/>
      <c r="AL1298" s="72"/>
      <c r="AM1298" s="72"/>
    </row>
    <row r="1299" spans="1:39" x14ac:dyDescent="0.25">
      <c r="A1299" s="37" t="s">
        <v>62</v>
      </c>
      <c r="B1299" s="66" t="s">
        <v>1638</v>
      </c>
      <c r="C1299" s="47">
        <v>1009</v>
      </c>
      <c r="D1299" s="47" t="s">
        <v>244</v>
      </c>
      <c r="E1299" s="41">
        <v>10090061</v>
      </c>
      <c r="F1299" s="46" t="s">
        <v>548</v>
      </c>
      <c r="G1299" s="39" t="s">
        <v>92</v>
      </c>
      <c r="H1299" s="48" t="s">
        <v>93</v>
      </c>
      <c r="I1299" s="52">
        <v>263.20000000000005</v>
      </c>
      <c r="J1299" s="49">
        <v>12031.519999999999</v>
      </c>
      <c r="K1299" s="65">
        <v>274.19000000000005</v>
      </c>
      <c r="L1299" s="65">
        <v>12626.68</v>
      </c>
      <c r="M1299" s="65">
        <v>0</v>
      </c>
      <c r="N1299" s="65">
        <v>0</v>
      </c>
      <c r="O1299" s="65">
        <v>274.19000000000005</v>
      </c>
      <c r="P1299" s="65">
        <v>12626.68</v>
      </c>
      <c r="Q1299" s="50">
        <v>12031.519999999999</v>
      </c>
      <c r="R1299" s="65">
        <v>0</v>
      </c>
      <c r="S1299" s="65">
        <v>0</v>
      </c>
      <c r="T1299" s="65">
        <v>595.16000000000167</v>
      </c>
      <c r="U1299" s="65">
        <v>0</v>
      </c>
      <c r="V1299" s="65">
        <v>500</v>
      </c>
      <c r="W1299" s="65">
        <v>0</v>
      </c>
      <c r="X1299" s="65">
        <v>11532</v>
      </c>
      <c r="Y1299" s="65">
        <v>0</v>
      </c>
      <c r="Z1299" s="65">
        <v>0</v>
      </c>
      <c r="AA1299" s="51">
        <v>0</v>
      </c>
      <c r="AB1299" s="102">
        <v>0</v>
      </c>
      <c r="AC1299" s="81">
        <f t="shared" si="63"/>
        <v>399.3440680851063</v>
      </c>
      <c r="AD1299" s="82">
        <f t="shared" si="64"/>
        <v>37.600000000000009</v>
      </c>
      <c r="AE1299" s="218">
        <v>-4.9466734045241309E-2</v>
      </c>
      <c r="AF1299">
        <v>3</v>
      </c>
      <c r="AH1299" t="str">
        <f t="shared" si="62"/>
        <v>Halsi</v>
      </c>
      <c r="AJ1299" s="72">
        <v>500</v>
      </c>
      <c r="AK1299" s="72"/>
      <c r="AL1299" s="72"/>
      <c r="AM1299" s="72"/>
    </row>
    <row r="1300" spans="1:39" x14ac:dyDescent="0.25">
      <c r="A1300" s="37" t="s">
        <v>62</v>
      </c>
      <c r="B1300" s="66" t="s">
        <v>1638</v>
      </c>
      <c r="C1300" s="47">
        <v>1009</v>
      </c>
      <c r="D1300" s="47" t="s">
        <v>244</v>
      </c>
      <c r="E1300" s="41">
        <v>10090063</v>
      </c>
      <c r="F1300" s="46" t="s">
        <v>570</v>
      </c>
      <c r="G1300" s="39" t="s">
        <v>92</v>
      </c>
      <c r="H1300" s="48" t="s">
        <v>93</v>
      </c>
      <c r="I1300" s="52">
        <v>195.1</v>
      </c>
      <c r="J1300" s="49">
        <v>10760.570000000002</v>
      </c>
      <c r="K1300" s="65">
        <v>204</v>
      </c>
      <c r="L1300" s="65">
        <v>11372.77</v>
      </c>
      <c r="M1300" s="65">
        <v>0</v>
      </c>
      <c r="N1300" s="65">
        <v>0</v>
      </c>
      <c r="O1300" s="65">
        <v>204</v>
      </c>
      <c r="P1300" s="65">
        <v>11372.77</v>
      </c>
      <c r="Q1300" s="50">
        <v>10760.570000000002</v>
      </c>
      <c r="R1300" s="65">
        <v>0</v>
      </c>
      <c r="S1300" s="65">
        <v>0</v>
      </c>
      <c r="T1300" s="65">
        <v>612.19999999999891</v>
      </c>
      <c r="U1300" s="65">
        <v>0</v>
      </c>
      <c r="V1300" s="65">
        <v>500</v>
      </c>
      <c r="W1300" s="65">
        <v>0</v>
      </c>
      <c r="X1300" s="65">
        <v>10261</v>
      </c>
      <c r="Y1300" s="65">
        <v>0</v>
      </c>
      <c r="Z1300" s="65">
        <v>0</v>
      </c>
      <c r="AA1300" s="51">
        <v>0</v>
      </c>
      <c r="AB1300" s="102">
        <v>0</v>
      </c>
      <c r="AC1300" s="81">
        <f t="shared" si="63"/>
        <v>556.94636524859061</v>
      </c>
      <c r="AD1300" s="82">
        <f t="shared" si="64"/>
        <v>27.87142857142857</v>
      </c>
      <c r="AE1300" s="218">
        <v>-5.689289693761565E-2</v>
      </c>
      <c r="AF1300">
        <v>1</v>
      </c>
      <c r="AH1300" t="str">
        <f t="shared" si="62"/>
        <v>Halsi</v>
      </c>
      <c r="AJ1300" s="72">
        <v>500</v>
      </c>
      <c r="AK1300" s="72"/>
      <c r="AL1300" s="72"/>
      <c r="AM1300" s="72"/>
    </row>
    <row r="1301" spans="1:39" x14ac:dyDescent="0.25">
      <c r="A1301" s="37" t="s">
        <v>62</v>
      </c>
      <c r="B1301" s="66" t="s">
        <v>1638</v>
      </c>
      <c r="C1301" s="47">
        <v>1009</v>
      </c>
      <c r="D1301" s="47" t="s">
        <v>244</v>
      </c>
      <c r="E1301" s="41">
        <v>10090064</v>
      </c>
      <c r="F1301" s="46" t="s">
        <v>571</v>
      </c>
      <c r="G1301" s="39" t="s">
        <v>92</v>
      </c>
      <c r="H1301" s="48" t="s">
        <v>93</v>
      </c>
      <c r="I1301" s="52">
        <v>450.9</v>
      </c>
      <c r="J1301" s="49">
        <v>21932.789999999997</v>
      </c>
      <c r="K1301" s="65">
        <v>450.90000000000009</v>
      </c>
      <c r="L1301" s="65">
        <v>21936.070000000003</v>
      </c>
      <c r="M1301" s="65">
        <v>0</v>
      </c>
      <c r="N1301" s="65">
        <v>0</v>
      </c>
      <c r="O1301" s="65">
        <v>450.90000000000009</v>
      </c>
      <c r="P1301" s="65">
        <v>21936.070000000003</v>
      </c>
      <c r="Q1301" s="50">
        <v>21932.789999999997</v>
      </c>
      <c r="R1301" s="65">
        <v>0</v>
      </c>
      <c r="S1301" s="65">
        <v>0</v>
      </c>
      <c r="T1301" s="65">
        <v>3.2800000000061118</v>
      </c>
      <c r="U1301" s="65">
        <v>0</v>
      </c>
      <c r="V1301" s="65">
        <v>0</v>
      </c>
      <c r="W1301" s="65">
        <v>0</v>
      </c>
      <c r="X1301" s="65">
        <v>21933</v>
      </c>
      <c r="Y1301" s="65">
        <v>0</v>
      </c>
      <c r="Z1301" s="65">
        <v>0</v>
      </c>
      <c r="AA1301" s="51">
        <v>0</v>
      </c>
      <c r="AB1301" s="102">
        <v>0</v>
      </c>
      <c r="AC1301" s="81">
        <f t="shared" si="63"/>
        <v>242.33568369926812</v>
      </c>
      <c r="AD1301" s="82">
        <f t="shared" si="64"/>
        <v>64.414285714285711</v>
      </c>
      <c r="AE1301" s="218">
        <v>-1.4954777755160707E-4</v>
      </c>
      <c r="AF1301">
        <v>1</v>
      </c>
      <c r="AH1301" t="str">
        <f t="shared" si="62"/>
        <v>Halsi</v>
      </c>
      <c r="AJ1301" s="72">
        <v>0</v>
      </c>
      <c r="AK1301" s="72"/>
      <c r="AL1301" s="72"/>
      <c r="AM1301" s="72"/>
    </row>
    <row r="1302" spans="1:39" x14ac:dyDescent="0.25">
      <c r="A1302" s="37" t="s">
        <v>62</v>
      </c>
      <c r="B1302" s="66" t="s">
        <v>1638</v>
      </c>
      <c r="C1302" s="47">
        <v>1009</v>
      </c>
      <c r="D1302" s="47" t="s">
        <v>244</v>
      </c>
      <c r="E1302" s="41">
        <v>10090065</v>
      </c>
      <c r="F1302" s="46" t="s">
        <v>647</v>
      </c>
      <c r="G1302" s="39" t="s">
        <v>92</v>
      </c>
      <c r="H1302" s="48" t="s">
        <v>93</v>
      </c>
      <c r="I1302" s="52">
        <v>711.79999999999984</v>
      </c>
      <c r="J1302" s="49">
        <v>30107.22</v>
      </c>
      <c r="K1302" s="65">
        <v>714.9</v>
      </c>
      <c r="L1302" s="65">
        <v>32216.01</v>
      </c>
      <c r="M1302" s="65">
        <v>0</v>
      </c>
      <c r="N1302" s="65">
        <v>0</v>
      </c>
      <c r="O1302" s="65">
        <v>714.9</v>
      </c>
      <c r="P1302" s="65">
        <v>32216.01</v>
      </c>
      <c r="Q1302" s="50">
        <v>30107.22</v>
      </c>
      <c r="R1302" s="65">
        <v>0</v>
      </c>
      <c r="S1302" s="65">
        <v>0</v>
      </c>
      <c r="T1302" s="65">
        <v>2108.7899999999972</v>
      </c>
      <c r="U1302" s="65">
        <v>0</v>
      </c>
      <c r="V1302" s="65">
        <v>0</v>
      </c>
      <c r="W1302" s="65">
        <v>0</v>
      </c>
      <c r="X1302" s="65">
        <v>30107</v>
      </c>
      <c r="Y1302" s="65">
        <v>0</v>
      </c>
      <c r="Z1302" s="65">
        <v>0</v>
      </c>
      <c r="AA1302" s="51">
        <v>0</v>
      </c>
      <c r="AB1302" s="102">
        <v>0</v>
      </c>
      <c r="AC1302" s="81">
        <f t="shared" si="63"/>
        <v>0</v>
      </c>
      <c r="AD1302" s="82">
        <f t="shared" si="64"/>
        <v>0</v>
      </c>
      <c r="AE1302" s="218">
        <v>-7.0042667506332271E-2</v>
      </c>
      <c r="AF1302">
        <v>2</v>
      </c>
      <c r="AH1302" t="str">
        <f t="shared" si="62"/>
        <v>Halsi</v>
      </c>
      <c r="AJ1302" s="72">
        <v>0</v>
      </c>
      <c r="AK1302" s="72"/>
      <c r="AL1302" s="72"/>
      <c r="AM1302" s="72"/>
    </row>
    <row r="1303" spans="1:39" x14ac:dyDescent="0.25">
      <c r="A1303" s="37" t="s">
        <v>62</v>
      </c>
      <c r="B1303" s="66" t="s">
        <v>1638</v>
      </c>
      <c r="C1303" s="47">
        <v>1009</v>
      </c>
      <c r="D1303" s="47" t="s">
        <v>244</v>
      </c>
      <c r="E1303" s="41">
        <v>10090069</v>
      </c>
      <c r="F1303" s="46" t="s">
        <v>1559</v>
      </c>
      <c r="G1303" s="39" t="s">
        <v>1610</v>
      </c>
      <c r="H1303" s="48" t="s">
        <v>98</v>
      </c>
      <c r="I1303" s="52">
        <v>918.4</v>
      </c>
      <c r="J1303" s="49">
        <v>41669.94999999999</v>
      </c>
      <c r="K1303" s="65">
        <v>0</v>
      </c>
      <c r="L1303" s="65">
        <v>0</v>
      </c>
      <c r="M1303" s="65">
        <v>0</v>
      </c>
      <c r="N1303" s="65">
        <v>0</v>
      </c>
      <c r="O1303" s="65">
        <v>0</v>
      </c>
      <c r="P1303" s="65">
        <v>0</v>
      </c>
      <c r="Q1303" s="50">
        <v>41669.94999999999</v>
      </c>
      <c r="R1303" s="65">
        <v>0</v>
      </c>
      <c r="S1303" s="65">
        <v>0</v>
      </c>
      <c r="T1303" s="65">
        <v>0</v>
      </c>
      <c r="U1303" s="65">
        <v>0</v>
      </c>
      <c r="V1303" s="65">
        <v>0</v>
      </c>
      <c r="W1303" s="65">
        <v>0</v>
      </c>
      <c r="X1303" s="65">
        <v>0</v>
      </c>
      <c r="Y1303" s="65">
        <v>0</v>
      </c>
      <c r="Z1303" s="65">
        <v>41669.94999999999</v>
      </c>
      <c r="AA1303" s="51">
        <v>0</v>
      </c>
      <c r="AB1303" s="102">
        <v>0</v>
      </c>
      <c r="AC1303" s="81">
        <f t="shared" si="63"/>
        <v>0</v>
      </c>
      <c r="AD1303" s="82">
        <f t="shared" si="64"/>
        <v>0</v>
      </c>
      <c r="AE1303" s="218">
        <v>0</v>
      </c>
      <c r="AF1303">
        <v>0</v>
      </c>
      <c r="AH1303" t="str">
        <f t="shared" si="62"/>
        <v>Halsi</v>
      </c>
      <c r="AJ1303" s="72">
        <v>0</v>
      </c>
      <c r="AK1303" s="72"/>
      <c r="AL1303" s="72"/>
      <c r="AM1303" s="72"/>
    </row>
    <row r="1304" spans="1:39" x14ac:dyDescent="0.25">
      <c r="A1304" s="37" t="s">
        <v>62</v>
      </c>
      <c r="B1304" s="66" t="s">
        <v>1638</v>
      </c>
      <c r="C1304" s="47">
        <v>1009</v>
      </c>
      <c r="D1304" s="47" t="s">
        <v>244</v>
      </c>
      <c r="E1304" s="41">
        <v>10090072</v>
      </c>
      <c r="F1304" s="46" t="s">
        <v>1255</v>
      </c>
      <c r="G1304" s="39" t="s">
        <v>92</v>
      </c>
      <c r="H1304" s="48" t="s">
        <v>93</v>
      </c>
      <c r="I1304" s="52">
        <v>394.90000000000003</v>
      </c>
      <c r="J1304" s="49">
        <v>15577.480000000005</v>
      </c>
      <c r="K1304" s="65">
        <v>393.29</v>
      </c>
      <c r="L1304" s="65">
        <v>15377.18</v>
      </c>
      <c r="M1304" s="65">
        <v>0</v>
      </c>
      <c r="N1304" s="65">
        <v>0</v>
      </c>
      <c r="O1304" s="65">
        <v>393.29</v>
      </c>
      <c r="P1304" s="65">
        <v>15377.18</v>
      </c>
      <c r="Q1304" s="50">
        <v>15377.18</v>
      </c>
      <c r="R1304" s="65">
        <v>0</v>
      </c>
      <c r="S1304" s="65">
        <v>0</v>
      </c>
      <c r="T1304" s="65">
        <v>0</v>
      </c>
      <c r="U1304" s="65">
        <v>0</v>
      </c>
      <c r="V1304" s="65">
        <v>0</v>
      </c>
      <c r="W1304" s="65">
        <v>0</v>
      </c>
      <c r="X1304" s="65">
        <v>15377</v>
      </c>
      <c r="Y1304" s="65">
        <v>0</v>
      </c>
      <c r="Z1304" s="65">
        <v>0</v>
      </c>
      <c r="AA1304" s="51">
        <v>200</v>
      </c>
      <c r="AB1304" s="102">
        <v>0</v>
      </c>
      <c r="AC1304" s="81">
        <f t="shared" si="63"/>
        <v>240.7034260825526</v>
      </c>
      <c r="AD1304" s="82">
        <f t="shared" si="64"/>
        <v>56.414285714285718</v>
      </c>
      <c r="AE1304" s="218">
        <v>1.2858305707983875E-2</v>
      </c>
      <c r="AF1304">
        <v>1</v>
      </c>
      <c r="AH1304" t="str">
        <f t="shared" si="62"/>
        <v>Halsi</v>
      </c>
      <c r="AJ1304" s="72">
        <v>0</v>
      </c>
      <c r="AK1304" s="72"/>
      <c r="AL1304" s="72"/>
      <c r="AM1304" s="72"/>
    </row>
    <row r="1305" spans="1:39" x14ac:dyDescent="0.25">
      <c r="A1305" s="37" t="s">
        <v>62</v>
      </c>
      <c r="B1305" s="66" t="s">
        <v>1638</v>
      </c>
      <c r="C1305" s="47">
        <v>1009</v>
      </c>
      <c r="D1305" s="47" t="s">
        <v>244</v>
      </c>
      <c r="E1305" s="41">
        <v>10090074</v>
      </c>
      <c r="F1305" s="46" t="s">
        <v>1270</v>
      </c>
      <c r="G1305" s="39" t="s">
        <v>92</v>
      </c>
      <c r="H1305" s="48" t="s">
        <v>93</v>
      </c>
      <c r="I1305" s="52">
        <v>380.30000000000007</v>
      </c>
      <c r="J1305" s="49">
        <v>16097.48</v>
      </c>
      <c r="K1305" s="65">
        <v>433.9</v>
      </c>
      <c r="L1305" s="65">
        <v>18378.960000000003</v>
      </c>
      <c r="M1305" s="65">
        <v>0</v>
      </c>
      <c r="N1305" s="65">
        <v>0</v>
      </c>
      <c r="O1305" s="65">
        <v>433.9</v>
      </c>
      <c r="P1305" s="65">
        <v>18378.960000000003</v>
      </c>
      <c r="Q1305" s="50">
        <v>16097.48</v>
      </c>
      <c r="R1305" s="65">
        <v>0</v>
      </c>
      <c r="S1305" s="65">
        <v>0</v>
      </c>
      <c r="T1305" s="65">
        <v>2281.4800000000032</v>
      </c>
      <c r="U1305" s="65">
        <v>0</v>
      </c>
      <c r="V1305" s="65">
        <v>0</v>
      </c>
      <c r="W1305" s="65">
        <v>0</v>
      </c>
      <c r="X1305" s="65">
        <v>16097</v>
      </c>
      <c r="Y1305" s="65">
        <v>0</v>
      </c>
      <c r="Z1305" s="65">
        <v>0</v>
      </c>
      <c r="AA1305" s="51">
        <v>0</v>
      </c>
      <c r="AB1305" s="102">
        <v>0</v>
      </c>
      <c r="AC1305" s="81">
        <f t="shared" si="63"/>
        <v>270.64761272679453</v>
      </c>
      <c r="AD1305" s="82">
        <f t="shared" si="64"/>
        <v>54.328571428571436</v>
      </c>
      <c r="AE1305" s="218">
        <v>-0.14172901597020174</v>
      </c>
      <c r="AF1305">
        <v>3</v>
      </c>
      <c r="AH1305" t="str">
        <f t="shared" si="62"/>
        <v>Halsi</v>
      </c>
      <c r="AJ1305" s="72">
        <v>0</v>
      </c>
      <c r="AK1305" s="72"/>
      <c r="AL1305" s="72"/>
      <c r="AM1305" s="72"/>
    </row>
    <row r="1306" spans="1:39" x14ac:dyDescent="0.25">
      <c r="A1306" s="37" t="s">
        <v>62</v>
      </c>
      <c r="B1306" s="66" t="s">
        <v>1638</v>
      </c>
      <c r="C1306" s="47">
        <v>1009</v>
      </c>
      <c r="D1306" s="47" t="s">
        <v>244</v>
      </c>
      <c r="E1306" s="41">
        <v>10090075</v>
      </c>
      <c r="F1306" s="46" t="s">
        <v>1280</v>
      </c>
      <c r="G1306" s="39" t="s">
        <v>92</v>
      </c>
      <c r="H1306" s="48" t="s">
        <v>93</v>
      </c>
      <c r="I1306" s="52">
        <v>533.29999999999995</v>
      </c>
      <c r="J1306" s="49">
        <v>21343.35</v>
      </c>
      <c r="K1306" s="65">
        <v>574.80000000000018</v>
      </c>
      <c r="L1306" s="65">
        <v>25379.540000000005</v>
      </c>
      <c r="M1306" s="65">
        <v>0</v>
      </c>
      <c r="N1306" s="65">
        <v>0</v>
      </c>
      <c r="O1306" s="65">
        <v>574.80000000000018</v>
      </c>
      <c r="P1306" s="65">
        <v>25379.540000000005</v>
      </c>
      <c r="Q1306" s="50">
        <v>21343.35</v>
      </c>
      <c r="R1306" s="65">
        <v>0</v>
      </c>
      <c r="S1306" s="65">
        <v>0</v>
      </c>
      <c r="T1306" s="65">
        <v>4036.190000000006</v>
      </c>
      <c r="U1306" s="65">
        <v>0</v>
      </c>
      <c r="V1306" s="65">
        <v>0</v>
      </c>
      <c r="W1306" s="65">
        <v>0</v>
      </c>
      <c r="X1306" s="65">
        <v>21343</v>
      </c>
      <c r="Y1306" s="65">
        <v>0</v>
      </c>
      <c r="Z1306" s="65">
        <v>0</v>
      </c>
      <c r="AA1306" s="51">
        <v>0</v>
      </c>
      <c r="AB1306" s="102">
        <v>0</v>
      </c>
      <c r="AC1306" s="81">
        <f t="shared" si="63"/>
        <v>133.43095612225767</v>
      </c>
      <c r="AD1306" s="82">
        <f t="shared" si="64"/>
        <v>76.185714285714283</v>
      </c>
      <c r="AE1306" s="218">
        <v>-0.18910761431546624</v>
      </c>
      <c r="AF1306">
        <v>1</v>
      </c>
      <c r="AH1306" t="str">
        <f t="shared" si="62"/>
        <v>Halsi</v>
      </c>
      <c r="AJ1306" s="72">
        <v>0</v>
      </c>
      <c r="AK1306" s="72"/>
      <c r="AL1306" s="72"/>
      <c r="AM1306" s="72"/>
    </row>
    <row r="1307" spans="1:39" x14ac:dyDescent="0.25">
      <c r="A1307" s="37" t="s">
        <v>62</v>
      </c>
      <c r="B1307" s="66" t="s">
        <v>1638</v>
      </c>
      <c r="C1307" s="47">
        <v>1009</v>
      </c>
      <c r="D1307" s="47" t="s">
        <v>244</v>
      </c>
      <c r="E1307" s="41">
        <v>10090076</v>
      </c>
      <c r="F1307" s="46" t="s">
        <v>1287</v>
      </c>
      <c r="G1307" s="39" t="s">
        <v>1610</v>
      </c>
      <c r="H1307" s="48" t="s">
        <v>98</v>
      </c>
      <c r="I1307" s="52">
        <v>8000</v>
      </c>
      <c r="J1307" s="49">
        <v>328200</v>
      </c>
      <c r="K1307" s="65">
        <v>0</v>
      </c>
      <c r="L1307" s="65">
        <v>0</v>
      </c>
      <c r="M1307" s="65">
        <v>0</v>
      </c>
      <c r="N1307" s="65">
        <v>0</v>
      </c>
      <c r="O1307" s="65">
        <v>0</v>
      </c>
      <c r="P1307" s="65">
        <v>0</v>
      </c>
      <c r="Q1307" s="50">
        <v>328200</v>
      </c>
      <c r="R1307" s="65">
        <v>0</v>
      </c>
      <c r="S1307" s="65">
        <v>0</v>
      </c>
      <c r="T1307" s="65">
        <v>0</v>
      </c>
      <c r="U1307" s="65">
        <v>0</v>
      </c>
      <c r="V1307" s="65">
        <v>0</v>
      </c>
      <c r="W1307" s="65">
        <v>0</v>
      </c>
      <c r="X1307" s="65">
        <v>0</v>
      </c>
      <c r="Y1307" s="65">
        <v>0</v>
      </c>
      <c r="Z1307" s="65">
        <v>328200</v>
      </c>
      <c r="AA1307" s="51">
        <v>0</v>
      </c>
      <c r="AB1307" s="102">
        <v>0</v>
      </c>
      <c r="AC1307" s="81">
        <f t="shared" si="63"/>
        <v>0</v>
      </c>
      <c r="AD1307" s="82">
        <f t="shared" si="64"/>
        <v>0</v>
      </c>
      <c r="AE1307" s="218">
        <v>0</v>
      </c>
      <c r="AF1307">
        <v>0</v>
      </c>
      <c r="AH1307" t="str">
        <f t="shared" si="62"/>
        <v>Halsi</v>
      </c>
      <c r="AJ1307" s="72">
        <v>0</v>
      </c>
      <c r="AK1307" s="72"/>
      <c r="AL1307" s="72"/>
      <c r="AM1307" s="72"/>
    </row>
    <row r="1308" spans="1:39" x14ac:dyDescent="0.25">
      <c r="A1308" s="37" t="s">
        <v>62</v>
      </c>
      <c r="B1308" s="66" t="s">
        <v>1638</v>
      </c>
      <c r="C1308" s="47">
        <v>1009</v>
      </c>
      <c r="D1308" s="47" t="s">
        <v>244</v>
      </c>
      <c r="E1308" s="41">
        <v>10090077</v>
      </c>
      <c r="F1308" s="46" t="s">
        <v>1288</v>
      </c>
      <c r="G1308" s="39" t="s">
        <v>1610</v>
      </c>
      <c r="H1308" s="48" t="s">
        <v>98</v>
      </c>
      <c r="I1308" s="52">
        <v>8000</v>
      </c>
      <c r="J1308" s="49">
        <v>327085</v>
      </c>
      <c r="K1308" s="65">
        <v>0</v>
      </c>
      <c r="L1308" s="65">
        <v>0</v>
      </c>
      <c r="M1308" s="65">
        <v>0</v>
      </c>
      <c r="N1308" s="65">
        <v>0</v>
      </c>
      <c r="O1308" s="65">
        <v>0</v>
      </c>
      <c r="P1308" s="65">
        <v>0</v>
      </c>
      <c r="Q1308" s="50">
        <v>327085</v>
      </c>
      <c r="R1308" s="65">
        <v>0</v>
      </c>
      <c r="S1308" s="65">
        <v>0</v>
      </c>
      <c r="T1308" s="65">
        <v>0</v>
      </c>
      <c r="U1308" s="65">
        <v>0</v>
      </c>
      <c r="V1308" s="65">
        <v>0</v>
      </c>
      <c r="W1308" s="65">
        <v>0</v>
      </c>
      <c r="X1308" s="65">
        <v>0</v>
      </c>
      <c r="Y1308" s="65">
        <v>0</v>
      </c>
      <c r="Z1308" s="65">
        <v>327085</v>
      </c>
      <c r="AA1308" s="51">
        <v>0</v>
      </c>
      <c r="AB1308" s="102">
        <v>0</v>
      </c>
      <c r="AC1308" s="81">
        <f t="shared" si="63"/>
        <v>0</v>
      </c>
      <c r="AD1308" s="82">
        <f t="shared" si="64"/>
        <v>0</v>
      </c>
      <c r="AE1308" s="218">
        <v>0</v>
      </c>
      <c r="AF1308">
        <v>0</v>
      </c>
      <c r="AH1308" t="str">
        <f t="shared" si="62"/>
        <v>Halsi</v>
      </c>
      <c r="AJ1308" s="72">
        <v>0</v>
      </c>
      <c r="AK1308" s="72"/>
      <c r="AL1308" s="72"/>
      <c r="AM1308" s="72"/>
    </row>
    <row r="1309" spans="1:39" x14ac:dyDescent="0.25">
      <c r="A1309" s="37" t="s">
        <v>62</v>
      </c>
      <c r="B1309" s="66" t="s">
        <v>1638</v>
      </c>
      <c r="C1309" s="47">
        <v>1009</v>
      </c>
      <c r="D1309" s="47" t="s">
        <v>244</v>
      </c>
      <c r="E1309" s="41">
        <v>10090078</v>
      </c>
      <c r="F1309" s="46" t="s">
        <v>1317</v>
      </c>
      <c r="G1309" s="39" t="s">
        <v>92</v>
      </c>
      <c r="H1309" s="48" t="s">
        <v>93</v>
      </c>
      <c r="I1309" s="52">
        <v>299.7</v>
      </c>
      <c r="J1309" s="49">
        <v>10654.58</v>
      </c>
      <c r="K1309" s="65">
        <v>329.90000000000003</v>
      </c>
      <c r="L1309" s="65">
        <v>11810.979999999998</v>
      </c>
      <c r="M1309" s="65">
        <v>0</v>
      </c>
      <c r="N1309" s="65">
        <v>0</v>
      </c>
      <c r="O1309" s="65">
        <v>329.90000000000003</v>
      </c>
      <c r="P1309" s="65">
        <v>11810.979999999998</v>
      </c>
      <c r="Q1309" s="50">
        <v>10654.58</v>
      </c>
      <c r="R1309" s="65">
        <v>0</v>
      </c>
      <c r="S1309" s="65">
        <v>0</v>
      </c>
      <c r="T1309" s="65">
        <v>1156.3999999999978</v>
      </c>
      <c r="U1309" s="65">
        <v>0</v>
      </c>
      <c r="V1309" s="65">
        <v>0</v>
      </c>
      <c r="W1309" s="65">
        <v>0</v>
      </c>
      <c r="X1309" s="65">
        <v>10655</v>
      </c>
      <c r="Y1309" s="65">
        <v>0</v>
      </c>
      <c r="Z1309" s="65">
        <v>0</v>
      </c>
      <c r="AA1309" s="51">
        <v>0</v>
      </c>
      <c r="AB1309" s="102">
        <v>0</v>
      </c>
      <c r="AC1309" s="81">
        <f t="shared" si="63"/>
        <v>284.61984477811149</v>
      </c>
      <c r="AD1309" s="82">
        <f t="shared" si="64"/>
        <v>42.81428571428571</v>
      </c>
      <c r="AE1309" s="218">
        <v>-0.10853548427061394</v>
      </c>
      <c r="AF1309">
        <v>1</v>
      </c>
      <c r="AH1309" t="str">
        <f t="shared" si="62"/>
        <v>Halsi</v>
      </c>
      <c r="AJ1309" s="72">
        <v>0</v>
      </c>
      <c r="AK1309" s="72"/>
      <c r="AL1309" s="72"/>
      <c r="AM1309" s="72"/>
    </row>
    <row r="1310" spans="1:39" x14ac:dyDescent="0.25">
      <c r="A1310" s="37" t="s">
        <v>62</v>
      </c>
      <c r="B1310" s="66" t="s">
        <v>1638</v>
      </c>
      <c r="C1310" s="47">
        <v>1009</v>
      </c>
      <c r="D1310" s="47" t="s">
        <v>244</v>
      </c>
      <c r="E1310" s="41">
        <v>10090079</v>
      </c>
      <c r="F1310" s="46" t="s">
        <v>1424</v>
      </c>
      <c r="G1310" s="39" t="s">
        <v>92</v>
      </c>
      <c r="H1310" s="48" t="s">
        <v>93</v>
      </c>
      <c r="I1310" s="52">
        <v>288.10000000000002</v>
      </c>
      <c r="J1310" s="49">
        <v>11235.06</v>
      </c>
      <c r="K1310" s="65">
        <v>288.40000000000003</v>
      </c>
      <c r="L1310" s="65">
        <v>11281.460000000003</v>
      </c>
      <c r="M1310" s="65">
        <v>0</v>
      </c>
      <c r="N1310" s="65">
        <v>0</v>
      </c>
      <c r="O1310" s="65">
        <v>288.40000000000003</v>
      </c>
      <c r="P1310" s="65">
        <v>11281.460000000003</v>
      </c>
      <c r="Q1310" s="50">
        <v>11235.06</v>
      </c>
      <c r="R1310" s="65">
        <v>0</v>
      </c>
      <c r="S1310" s="65">
        <v>0</v>
      </c>
      <c r="T1310" s="65">
        <v>46.400000000003274</v>
      </c>
      <c r="U1310" s="65">
        <v>0</v>
      </c>
      <c r="V1310" s="65">
        <v>0</v>
      </c>
      <c r="W1310" s="65">
        <v>0</v>
      </c>
      <c r="X1310" s="65">
        <v>11235</v>
      </c>
      <c r="Y1310" s="65">
        <v>0</v>
      </c>
      <c r="Z1310" s="65">
        <v>0</v>
      </c>
      <c r="AA1310" s="51">
        <v>0</v>
      </c>
      <c r="AB1310" s="102">
        <v>0</v>
      </c>
      <c r="AC1310" s="81">
        <f t="shared" si="63"/>
        <v>321.25798083998603</v>
      </c>
      <c r="AD1310" s="82">
        <f t="shared" si="64"/>
        <v>41.157142857142858</v>
      </c>
      <c r="AE1310" s="218">
        <v>-4.1299289901436465E-3</v>
      </c>
      <c r="AF1310">
        <v>1</v>
      </c>
      <c r="AH1310" t="str">
        <f t="shared" si="62"/>
        <v>Halsi</v>
      </c>
      <c r="AJ1310" s="72">
        <v>0</v>
      </c>
      <c r="AK1310" s="72"/>
      <c r="AL1310" s="72"/>
      <c r="AM1310" s="72"/>
    </row>
    <row r="1311" spans="1:39" x14ac:dyDescent="0.25">
      <c r="A1311" s="37" t="s">
        <v>62</v>
      </c>
      <c r="B1311" s="66" t="s">
        <v>1638</v>
      </c>
      <c r="C1311" s="47">
        <v>1009</v>
      </c>
      <c r="D1311" s="47" t="s">
        <v>244</v>
      </c>
      <c r="E1311" s="41">
        <v>10090080</v>
      </c>
      <c r="F1311" s="46" t="s">
        <v>1493</v>
      </c>
      <c r="G1311" s="39" t="s">
        <v>92</v>
      </c>
      <c r="H1311" s="48" t="s">
        <v>93</v>
      </c>
      <c r="I1311" s="52">
        <v>565.1</v>
      </c>
      <c r="J1311" s="49">
        <v>29059.620000000006</v>
      </c>
      <c r="K1311" s="65">
        <v>470.79999999999995</v>
      </c>
      <c r="L1311" s="65">
        <v>24634.93</v>
      </c>
      <c r="M1311" s="65">
        <v>94.9</v>
      </c>
      <c r="N1311" s="65">
        <v>4451.6500000000005</v>
      </c>
      <c r="O1311" s="65">
        <v>565.69999999999993</v>
      </c>
      <c r="P1311" s="65">
        <v>29086.58</v>
      </c>
      <c r="Q1311" s="50">
        <v>29059.620000000006</v>
      </c>
      <c r="R1311" s="65">
        <v>0</v>
      </c>
      <c r="S1311" s="65">
        <v>0</v>
      </c>
      <c r="T1311" s="65">
        <v>26.959999999995489</v>
      </c>
      <c r="U1311" s="65">
        <v>0</v>
      </c>
      <c r="V1311" s="65">
        <v>0</v>
      </c>
      <c r="W1311" s="65">
        <v>0</v>
      </c>
      <c r="X1311" s="65">
        <v>24608</v>
      </c>
      <c r="Y1311" s="65">
        <v>4452</v>
      </c>
      <c r="Z1311" s="65">
        <v>0</v>
      </c>
      <c r="AA1311" s="51">
        <v>0</v>
      </c>
      <c r="AB1311" s="102">
        <v>0</v>
      </c>
      <c r="AC1311" s="81">
        <f t="shared" si="63"/>
        <v>138.74155859139978</v>
      </c>
      <c r="AD1311" s="82">
        <f t="shared" si="64"/>
        <v>80.728571428571428</v>
      </c>
      <c r="AE1311" s="218">
        <v>-9.2774785079761826E-4</v>
      </c>
      <c r="AF1311">
        <v>3</v>
      </c>
      <c r="AH1311" t="str">
        <f t="shared" si="62"/>
        <v>Halsi</v>
      </c>
      <c r="AJ1311" s="72">
        <v>0</v>
      </c>
      <c r="AK1311" s="72"/>
      <c r="AL1311" s="72"/>
      <c r="AM1311" s="72"/>
    </row>
    <row r="1312" spans="1:39" x14ac:dyDescent="0.25">
      <c r="A1312" s="37" t="s">
        <v>62</v>
      </c>
      <c r="B1312" s="66" t="s">
        <v>1638</v>
      </c>
      <c r="C1312" s="47">
        <v>1010</v>
      </c>
      <c r="D1312" s="47" t="s">
        <v>1311</v>
      </c>
      <c r="E1312" s="41">
        <v>10100001</v>
      </c>
      <c r="F1312" s="46" t="s">
        <v>602</v>
      </c>
      <c r="G1312" s="39" t="s">
        <v>92</v>
      </c>
      <c r="H1312" s="48" t="s">
        <v>93</v>
      </c>
      <c r="I1312" s="52">
        <v>876.60000000000014</v>
      </c>
      <c r="J1312" s="49">
        <v>35774.82</v>
      </c>
      <c r="K1312" s="65">
        <v>891.92</v>
      </c>
      <c r="L1312" s="65">
        <v>36941.11</v>
      </c>
      <c r="M1312" s="65">
        <v>3.0300000000000002</v>
      </c>
      <c r="N1312" s="65">
        <v>130.26</v>
      </c>
      <c r="O1312" s="65">
        <v>894.94999999999993</v>
      </c>
      <c r="P1312" s="65">
        <v>37071.370000000003</v>
      </c>
      <c r="Q1312" s="50">
        <v>35774.82</v>
      </c>
      <c r="R1312" s="65">
        <v>0</v>
      </c>
      <c r="S1312" s="65">
        <v>130.26</v>
      </c>
      <c r="T1312" s="65">
        <v>1296.5500000000029</v>
      </c>
      <c r="U1312" s="65">
        <v>0</v>
      </c>
      <c r="V1312" s="65">
        <v>0</v>
      </c>
      <c r="W1312" s="65">
        <v>0</v>
      </c>
      <c r="X1312" s="65">
        <v>35645</v>
      </c>
      <c r="Y1312" s="65">
        <v>0</v>
      </c>
      <c r="Z1312" s="65">
        <v>0</v>
      </c>
      <c r="AA1312" s="51">
        <v>0</v>
      </c>
      <c r="AB1312" s="102">
        <v>0</v>
      </c>
      <c r="AC1312" s="81">
        <f t="shared" si="63"/>
        <v>0</v>
      </c>
      <c r="AD1312" s="82">
        <f t="shared" si="64"/>
        <v>0</v>
      </c>
      <c r="AE1312" s="218">
        <v>-3.6241971308311347E-2</v>
      </c>
      <c r="AF1312">
        <v>10</v>
      </c>
      <c r="AH1312" t="str">
        <f t="shared" si="62"/>
        <v>Parbatta</v>
      </c>
      <c r="AJ1312" s="72">
        <v>0</v>
      </c>
      <c r="AK1312" s="72"/>
      <c r="AL1312" s="72"/>
      <c r="AM1312" s="72"/>
    </row>
    <row r="1313" spans="1:39" x14ac:dyDescent="0.25">
      <c r="A1313" s="37" t="s">
        <v>62</v>
      </c>
      <c r="B1313" s="66" t="s">
        <v>1638</v>
      </c>
      <c r="C1313" s="47">
        <v>1010</v>
      </c>
      <c r="D1313" s="47" t="s">
        <v>1311</v>
      </c>
      <c r="E1313" s="41">
        <v>10100003</v>
      </c>
      <c r="F1313" s="46" t="s">
        <v>271</v>
      </c>
      <c r="G1313" s="39" t="s">
        <v>92</v>
      </c>
      <c r="H1313" s="48" t="s">
        <v>93</v>
      </c>
      <c r="I1313" s="52">
        <v>1817.6999999999998</v>
      </c>
      <c r="J1313" s="49">
        <v>77463.86</v>
      </c>
      <c r="K1313" s="65">
        <v>1836.6</v>
      </c>
      <c r="L1313" s="65">
        <v>82800.100000000006</v>
      </c>
      <c r="M1313" s="65">
        <v>6.9</v>
      </c>
      <c r="N1313" s="65">
        <v>339.46999999999997</v>
      </c>
      <c r="O1313" s="65">
        <v>1843.5</v>
      </c>
      <c r="P1313" s="65">
        <v>83139.570000000007</v>
      </c>
      <c r="Q1313" s="50">
        <v>77463.86</v>
      </c>
      <c r="R1313" s="65">
        <v>0</v>
      </c>
      <c r="S1313" s="65">
        <v>339.46999999999997</v>
      </c>
      <c r="T1313" s="65">
        <v>5675.7100000000064</v>
      </c>
      <c r="U1313" s="65">
        <v>13500</v>
      </c>
      <c r="V1313" s="65">
        <v>0</v>
      </c>
      <c r="W1313" s="65">
        <v>0</v>
      </c>
      <c r="X1313" s="65">
        <v>63624</v>
      </c>
      <c r="Y1313" s="65">
        <v>0</v>
      </c>
      <c r="Z1313" s="65">
        <v>0</v>
      </c>
      <c r="AA1313" s="51">
        <v>0</v>
      </c>
      <c r="AB1313" s="102">
        <v>0</v>
      </c>
      <c r="AC1313" s="81">
        <f t="shared" si="63"/>
        <v>0</v>
      </c>
      <c r="AD1313" s="82">
        <f t="shared" si="64"/>
        <v>0</v>
      </c>
      <c r="AE1313" s="218">
        <v>-7.3269134793954319E-2</v>
      </c>
      <c r="AF1313">
        <v>5</v>
      </c>
      <c r="AH1313" t="str">
        <f t="shared" si="62"/>
        <v>Parbatta</v>
      </c>
      <c r="AJ1313" s="72">
        <v>0</v>
      </c>
      <c r="AK1313" s="72"/>
      <c r="AL1313" s="72"/>
      <c r="AM1313" s="72"/>
    </row>
    <row r="1314" spans="1:39" x14ac:dyDescent="0.25">
      <c r="A1314" s="37" t="s">
        <v>62</v>
      </c>
      <c r="B1314" s="66" t="s">
        <v>1638</v>
      </c>
      <c r="C1314" s="47">
        <v>1010</v>
      </c>
      <c r="D1314" s="47" t="s">
        <v>1311</v>
      </c>
      <c r="E1314" s="41">
        <v>10100004</v>
      </c>
      <c r="F1314" s="46" t="s">
        <v>272</v>
      </c>
      <c r="G1314" s="39" t="s">
        <v>1610</v>
      </c>
      <c r="H1314" s="48" t="s">
        <v>98</v>
      </c>
      <c r="I1314" s="52">
        <v>104.60000000000001</v>
      </c>
      <c r="J1314" s="49">
        <v>4106.37</v>
      </c>
      <c r="K1314" s="65">
        <v>0</v>
      </c>
      <c r="L1314" s="65">
        <v>0</v>
      </c>
      <c r="M1314" s="65">
        <v>0</v>
      </c>
      <c r="N1314" s="65">
        <v>0</v>
      </c>
      <c r="O1314" s="65">
        <v>0</v>
      </c>
      <c r="P1314" s="65">
        <v>0</v>
      </c>
      <c r="Q1314" s="50">
        <v>4106.37</v>
      </c>
      <c r="R1314" s="65">
        <v>0</v>
      </c>
      <c r="S1314" s="65">
        <v>0</v>
      </c>
      <c r="T1314" s="65">
        <v>0</v>
      </c>
      <c r="U1314" s="65">
        <v>0</v>
      </c>
      <c r="V1314" s="65">
        <v>0</v>
      </c>
      <c r="W1314" s="65">
        <v>0</v>
      </c>
      <c r="X1314" s="65">
        <v>0</v>
      </c>
      <c r="Y1314" s="65">
        <v>0</v>
      </c>
      <c r="Z1314" s="65">
        <v>4106.37</v>
      </c>
      <c r="AA1314" s="51">
        <v>0</v>
      </c>
      <c r="AB1314" s="102">
        <v>0</v>
      </c>
      <c r="AC1314" s="81">
        <f t="shared" si="63"/>
        <v>467.48235143403434</v>
      </c>
      <c r="AD1314" s="82">
        <f t="shared" si="64"/>
        <v>14.942857142857145</v>
      </c>
      <c r="AE1314" s="218">
        <v>0</v>
      </c>
      <c r="AF1314">
        <v>0</v>
      </c>
      <c r="AH1314" t="str">
        <f t="shared" si="62"/>
        <v>Parbatta</v>
      </c>
      <c r="AJ1314" s="72">
        <v>0</v>
      </c>
      <c r="AK1314" s="72"/>
      <c r="AL1314" s="72"/>
      <c r="AM1314" s="72"/>
    </row>
    <row r="1315" spans="1:39" x14ac:dyDescent="0.25">
      <c r="A1315" s="37" t="s">
        <v>62</v>
      </c>
      <c r="B1315" s="66" t="s">
        <v>1638</v>
      </c>
      <c r="C1315" s="47">
        <v>1010</v>
      </c>
      <c r="D1315" s="47" t="s">
        <v>1311</v>
      </c>
      <c r="E1315" s="41">
        <v>10100009</v>
      </c>
      <c r="F1315" s="46" t="s">
        <v>274</v>
      </c>
      <c r="G1315" s="39" t="s">
        <v>92</v>
      </c>
      <c r="H1315" s="48" t="s">
        <v>93</v>
      </c>
      <c r="I1315" s="52">
        <v>1418.6000000000001</v>
      </c>
      <c r="J1315" s="49">
        <v>56654.979999999996</v>
      </c>
      <c r="K1315" s="65">
        <v>1455.45</v>
      </c>
      <c r="L1315" s="65">
        <v>62721.57</v>
      </c>
      <c r="M1315" s="65">
        <v>0</v>
      </c>
      <c r="N1315" s="65">
        <v>0</v>
      </c>
      <c r="O1315" s="65">
        <v>1455.45</v>
      </c>
      <c r="P1315" s="65">
        <v>62721.57</v>
      </c>
      <c r="Q1315" s="50">
        <v>56654.979999999996</v>
      </c>
      <c r="R1315" s="65">
        <v>0</v>
      </c>
      <c r="S1315" s="65">
        <v>0</v>
      </c>
      <c r="T1315" s="65">
        <v>6066.5900000000038</v>
      </c>
      <c r="U1315" s="65">
        <v>0</v>
      </c>
      <c r="V1315" s="65">
        <v>0</v>
      </c>
      <c r="W1315" s="65">
        <v>0</v>
      </c>
      <c r="X1315" s="65">
        <v>56655</v>
      </c>
      <c r="Y1315" s="65">
        <v>0</v>
      </c>
      <c r="Z1315" s="65">
        <v>0</v>
      </c>
      <c r="AA1315" s="51">
        <v>0</v>
      </c>
      <c r="AB1315" s="102">
        <v>0</v>
      </c>
      <c r="AC1315" s="81">
        <f t="shared" si="63"/>
        <v>0</v>
      </c>
      <c r="AD1315" s="82">
        <f t="shared" si="64"/>
        <v>0</v>
      </c>
      <c r="AE1315" s="218">
        <v>-0.10707955417158393</v>
      </c>
      <c r="AF1315">
        <v>3</v>
      </c>
      <c r="AH1315" t="str">
        <f t="shared" ref="AH1315:AH1378" si="65">TEXT(D1315,"0000")</f>
        <v>Parbatta</v>
      </c>
      <c r="AJ1315" s="72">
        <v>0</v>
      </c>
      <c r="AK1315" s="72"/>
      <c r="AL1315" s="72"/>
      <c r="AM1315" s="72"/>
    </row>
    <row r="1316" spans="1:39" x14ac:dyDescent="0.25">
      <c r="A1316" s="37" t="s">
        <v>62</v>
      </c>
      <c r="B1316" s="66" t="s">
        <v>1638</v>
      </c>
      <c r="C1316" s="47">
        <v>1010</v>
      </c>
      <c r="D1316" s="47" t="s">
        <v>1311</v>
      </c>
      <c r="E1316" s="41">
        <v>10100014</v>
      </c>
      <c r="F1316" s="46" t="s">
        <v>1207</v>
      </c>
      <c r="G1316" s="39" t="s">
        <v>92</v>
      </c>
      <c r="H1316" s="48" t="s">
        <v>93</v>
      </c>
      <c r="I1316" s="52">
        <v>399.6</v>
      </c>
      <c r="J1316" s="49">
        <v>16723.649999999994</v>
      </c>
      <c r="K1316" s="65">
        <v>411.01000000000005</v>
      </c>
      <c r="L1316" s="65">
        <v>17010.5</v>
      </c>
      <c r="M1316" s="65">
        <v>0</v>
      </c>
      <c r="N1316" s="65">
        <v>0</v>
      </c>
      <c r="O1316" s="65">
        <v>411.01000000000005</v>
      </c>
      <c r="P1316" s="65">
        <v>17010.5</v>
      </c>
      <c r="Q1316" s="50">
        <v>16723.649999999994</v>
      </c>
      <c r="R1316" s="65">
        <v>0</v>
      </c>
      <c r="S1316" s="65">
        <v>0</v>
      </c>
      <c r="T1316" s="65">
        <v>286.85000000000582</v>
      </c>
      <c r="U1316" s="65">
        <v>0</v>
      </c>
      <c r="V1316" s="65">
        <v>0</v>
      </c>
      <c r="W1316" s="65">
        <v>0</v>
      </c>
      <c r="X1316" s="65">
        <v>16724</v>
      </c>
      <c r="Y1316" s="65">
        <v>0</v>
      </c>
      <c r="Z1316" s="65">
        <v>0</v>
      </c>
      <c r="AA1316" s="51">
        <v>0</v>
      </c>
      <c r="AB1316" s="102" t="s">
        <v>1366</v>
      </c>
      <c r="AC1316" s="81">
        <f t="shared" si="63"/>
        <v>251.44066366366351</v>
      </c>
      <c r="AD1316" s="82">
        <f t="shared" si="64"/>
        <v>57.085714285714289</v>
      </c>
      <c r="AE1316" s="218">
        <v>-1.7152356094513214E-2</v>
      </c>
      <c r="AF1316">
        <v>4</v>
      </c>
      <c r="AH1316" t="str">
        <f t="shared" si="65"/>
        <v>Parbatta</v>
      </c>
      <c r="AJ1316" s="72">
        <v>0</v>
      </c>
      <c r="AK1316" s="72"/>
      <c r="AL1316" s="72"/>
      <c r="AM1316" s="72"/>
    </row>
    <row r="1317" spans="1:39" x14ac:dyDescent="0.25">
      <c r="A1317" s="37" t="s">
        <v>62</v>
      </c>
      <c r="B1317" s="66" t="s">
        <v>1638</v>
      </c>
      <c r="C1317" s="47">
        <v>1010</v>
      </c>
      <c r="D1317" s="47" t="s">
        <v>1311</v>
      </c>
      <c r="E1317" s="41">
        <v>10100016</v>
      </c>
      <c r="F1317" s="46" t="s">
        <v>1248</v>
      </c>
      <c r="G1317" s="39" t="s">
        <v>92</v>
      </c>
      <c r="H1317" s="48" t="s">
        <v>93</v>
      </c>
      <c r="I1317" s="52">
        <v>271.70000000000005</v>
      </c>
      <c r="J1317" s="49">
        <v>11689.539999999999</v>
      </c>
      <c r="K1317" s="65">
        <v>66.2</v>
      </c>
      <c r="L1317" s="65">
        <v>2806.88</v>
      </c>
      <c r="M1317" s="65">
        <v>210</v>
      </c>
      <c r="N1317" s="65">
        <v>9078.2999999999993</v>
      </c>
      <c r="O1317" s="65">
        <v>276.2</v>
      </c>
      <c r="P1317" s="65">
        <v>11885.18</v>
      </c>
      <c r="Q1317" s="50">
        <v>11689.539999999999</v>
      </c>
      <c r="R1317" s="65">
        <v>0</v>
      </c>
      <c r="S1317" s="65">
        <v>9078.2999999999993</v>
      </c>
      <c r="T1317" s="65">
        <v>195.64000000000124</v>
      </c>
      <c r="U1317" s="65">
        <v>0</v>
      </c>
      <c r="V1317" s="65">
        <v>0</v>
      </c>
      <c r="W1317" s="65">
        <v>0</v>
      </c>
      <c r="X1317" s="65">
        <v>2611</v>
      </c>
      <c r="Y1317" s="65">
        <v>0</v>
      </c>
      <c r="Z1317" s="65">
        <v>0</v>
      </c>
      <c r="AA1317" s="51">
        <v>0</v>
      </c>
      <c r="AB1317" s="102" t="s">
        <v>1366</v>
      </c>
      <c r="AC1317" s="81">
        <f t="shared" si="63"/>
        <v>368.54103658446803</v>
      </c>
      <c r="AD1317" s="82">
        <f t="shared" si="64"/>
        <v>38.814285714285724</v>
      </c>
      <c r="AE1317" s="218">
        <v>-1.6736330086556121E-2</v>
      </c>
      <c r="AF1317">
        <v>3</v>
      </c>
      <c r="AH1317" t="str">
        <f t="shared" si="65"/>
        <v>Parbatta</v>
      </c>
      <c r="AJ1317" s="72">
        <v>0</v>
      </c>
      <c r="AK1317" s="72"/>
      <c r="AL1317" s="72"/>
      <c r="AM1317" s="72"/>
    </row>
    <row r="1318" spans="1:39" x14ac:dyDescent="0.25">
      <c r="A1318" s="37" t="s">
        <v>62</v>
      </c>
      <c r="B1318" s="66" t="s">
        <v>1638</v>
      </c>
      <c r="C1318" s="47">
        <v>1010</v>
      </c>
      <c r="D1318" s="47" t="s">
        <v>1311</v>
      </c>
      <c r="E1318" s="41">
        <v>10100021</v>
      </c>
      <c r="F1318" s="46" t="s">
        <v>276</v>
      </c>
      <c r="G1318" s="39" t="s">
        <v>92</v>
      </c>
      <c r="H1318" s="48" t="s">
        <v>93</v>
      </c>
      <c r="I1318" s="52">
        <v>533.59999999999991</v>
      </c>
      <c r="J1318" s="49">
        <v>22506.18</v>
      </c>
      <c r="K1318" s="65">
        <v>532.6</v>
      </c>
      <c r="L1318" s="65">
        <v>22498.53</v>
      </c>
      <c r="M1318" s="65">
        <v>1.3</v>
      </c>
      <c r="N1318" s="65">
        <v>55.730000000000004</v>
      </c>
      <c r="O1318" s="65">
        <v>533.9</v>
      </c>
      <c r="P1318" s="65">
        <v>22554.26</v>
      </c>
      <c r="Q1318" s="50">
        <v>22506.18</v>
      </c>
      <c r="R1318" s="65">
        <v>0</v>
      </c>
      <c r="S1318" s="65">
        <v>55.730000000000004</v>
      </c>
      <c r="T1318" s="65">
        <v>48.079999999998108</v>
      </c>
      <c r="U1318" s="65">
        <v>0</v>
      </c>
      <c r="V1318" s="65">
        <v>0</v>
      </c>
      <c r="W1318" s="65">
        <v>0</v>
      </c>
      <c r="X1318" s="65">
        <v>22450</v>
      </c>
      <c r="Y1318" s="65">
        <v>0</v>
      </c>
      <c r="Z1318" s="65">
        <v>0</v>
      </c>
      <c r="AA1318" s="51">
        <v>0</v>
      </c>
      <c r="AB1318" s="102">
        <v>0</v>
      </c>
      <c r="AC1318" s="81">
        <f t="shared" si="63"/>
        <v>140.36837901049486</v>
      </c>
      <c r="AD1318" s="82">
        <f t="shared" si="64"/>
        <v>76.228571428571414</v>
      </c>
      <c r="AE1318" s="218">
        <v>-2.1363021179070865E-3</v>
      </c>
      <c r="AF1318">
        <v>4</v>
      </c>
      <c r="AH1318" t="str">
        <f t="shared" si="65"/>
        <v>Parbatta</v>
      </c>
      <c r="AJ1318" s="72">
        <v>0</v>
      </c>
      <c r="AK1318" s="72"/>
      <c r="AL1318" s="72"/>
      <c r="AM1318" s="72"/>
    </row>
    <row r="1319" spans="1:39" x14ac:dyDescent="0.25">
      <c r="A1319" s="37" t="s">
        <v>62</v>
      </c>
      <c r="B1319" s="66" t="s">
        <v>1638</v>
      </c>
      <c r="C1319" s="47">
        <v>1010</v>
      </c>
      <c r="D1319" s="47" t="s">
        <v>1311</v>
      </c>
      <c r="E1319" s="41">
        <v>10100026</v>
      </c>
      <c r="F1319" s="46" t="s">
        <v>1312</v>
      </c>
      <c r="G1319" s="39" t="s">
        <v>1610</v>
      </c>
      <c r="H1319" s="48" t="s">
        <v>98</v>
      </c>
      <c r="I1319" s="52">
        <v>899.7</v>
      </c>
      <c r="J1319" s="49">
        <v>39901.170000000006</v>
      </c>
      <c r="K1319" s="65">
        <v>0</v>
      </c>
      <c r="L1319" s="65">
        <v>0</v>
      </c>
      <c r="M1319" s="65">
        <v>0</v>
      </c>
      <c r="N1319" s="65">
        <v>0</v>
      </c>
      <c r="O1319" s="65">
        <v>0</v>
      </c>
      <c r="P1319" s="65">
        <v>0</v>
      </c>
      <c r="Q1319" s="50">
        <v>39901.170000000006</v>
      </c>
      <c r="R1319" s="65">
        <v>0</v>
      </c>
      <c r="S1319" s="65">
        <v>0</v>
      </c>
      <c r="T1319" s="65">
        <v>0</v>
      </c>
      <c r="U1319" s="65">
        <v>0</v>
      </c>
      <c r="V1319" s="65">
        <v>0</v>
      </c>
      <c r="W1319" s="65">
        <v>0</v>
      </c>
      <c r="X1319" s="65">
        <v>0</v>
      </c>
      <c r="Y1319" s="65">
        <v>0</v>
      </c>
      <c r="Z1319" s="65">
        <v>39901.170000000006</v>
      </c>
      <c r="AA1319" s="51">
        <v>0</v>
      </c>
      <c r="AB1319" s="102">
        <v>0</v>
      </c>
      <c r="AC1319" s="81">
        <f t="shared" si="63"/>
        <v>0</v>
      </c>
      <c r="AD1319" s="82">
        <f t="shared" si="64"/>
        <v>0</v>
      </c>
      <c r="AE1319" s="218">
        <v>0</v>
      </c>
      <c r="AF1319">
        <v>0</v>
      </c>
      <c r="AH1319" t="str">
        <f t="shared" si="65"/>
        <v>Parbatta</v>
      </c>
      <c r="AJ1319" s="72">
        <v>0</v>
      </c>
      <c r="AK1319" s="72"/>
      <c r="AL1319" s="72"/>
      <c r="AM1319" s="72"/>
    </row>
    <row r="1320" spans="1:39" x14ac:dyDescent="0.25">
      <c r="A1320" s="37" t="s">
        <v>62</v>
      </c>
      <c r="B1320" s="66" t="s">
        <v>1638</v>
      </c>
      <c r="C1320" s="47">
        <v>1010</v>
      </c>
      <c r="D1320" s="47" t="s">
        <v>1311</v>
      </c>
      <c r="E1320" s="41">
        <v>10100028</v>
      </c>
      <c r="F1320" s="46" t="s">
        <v>1499</v>
      </c>
      <c r="G1320" s="39" t="s">
        <v>1610</v>
      </c>
      <c r="H1320" s="48" t="s">
        <v>98</v>
      </c>
      <c r="I1320" s="52">
        <v>406.9</v>
      </c>
      <c r="J1320" s="49">
        <v>14124.920000000002</v>
      </c>
      <c r="K1320" s="65">
        <v>0</v>
      </c>
      <c r="L1320" s="65">
        <v>0</v>
      </c>
      <c r="M1320" s="65">
        <v>0</v>
      </c>
      <c r="N1320" s="65">
        <v>0</v>
      </c>
      <c r="O1320" s="65">
        <v>0</v>
      </c>
      <c r="P1320" s="65">
        <v>0</v>
      </c>
      <c r="Q1320" s="50">
        <v>14124.920000000002</v>
      </c>
      <c r="R1320" s="65">
        <v>0</v>
      </c>
      <c r="S1320" s="65">
        <v>0</v>
      </c>
      <c r="T1320" s="65">
        <v>0</v>
      </c>
      <c r="U1320" s="65">
        <v>0</v>
      </c>
      <c r="V1320" s="65">
        <v>0</v>
      </c>
      <c r="W1320" s="65">
        <v>0</v>
      </c>
      <c r="X1320" s="65">
        <v>0</v>
      </c>
      <c r="Y1320" s="65">
        <v>0</v>
      </c>
      <c r="Z1320" s="65">
        <v>14124.920000000002</v>
      </c>
      <c r="AA1320" s="51">
        <v>0</v>
      </c>
      <c r="AB1320" s="102">
        <v>0</v>
      </c>
      <c r="AC1320" s="81">
        <f t="shared" si="63"/>
        <v>203.49049161956259</v>
      </c>
      <c r="AD1320" s="82">
        <f t="shared" si="64"/>
        <v>58.128571428571426</v>
      </c>
      <c r="AE1320" s="218">
        <v>0</v>
      </c>
      <c r="AF1320">
        <v>0</v>
      </c>
      <c r="AH1320" t="str">
        <f t="shared" si="65"/>
        <v>Parbatta</v>
      </c>
      <c r="AJ1320" s="72">
        <v>0</v>
      </c>
      <c r="AK1320" s="72"/>
      <c r="AL1320" s="72"/>
      <c r="AM1320" s="72"/>
    </row>
    <row r="1321" spans="1:39" x14ac:dyDescent="0.25">
      <c r="A1321" s="37" t="s">
        <v>62</v>
      </c>
      <c r="B1321" s="66" t="s">
        <v>1638</v>
      </c>
      <c r="C1321" s="47">
        <v>1007</v>
      </c>
      <c r="D1321" s="47" t="s">
        <v>203</v>
      </c>
      <c r="E1321" s="41">
        <v>10100033</v>
      </c>
      <c r="F1321" s="46" t="s">
        <v>278</v>
      </c>
      <c r="G1321" s="39" t="s">
        <v>1610</v>
      </c>
      <c r="H1321" s="48" t="s">
        <v>98</v>
      </c>
      <c r="I1321" s="52">
        <v>126.10000000000001</v>
      </c>
      <c r="J1321" s="49">
        <v>4912.0200000000004</v>
      </c>
      <c r="K1321" s="65">
        <v>0</v>
      </c>
      <c r="L1321" s="65">
        <v>0</v>
      </c>
      <c r="M1321" s="65">
        <v>0</v>
      </c>
      <c r="N1321" s="65">
        <v>0</v>
      </c>
      <c r="O1321" s="65">
        <v>0</v>
      </c>
      <c r="P1321" s="65">
        <v>0</v>
      </c>
      <c r="Q1321" s="50">
        <v>4912.0200000000004</v>
      </c>
      <c r="R1321" s="65">
        <v>0</v>
      </c>
      <c r="S1321" s="65">
        <v>0</v>
      </c>
      <c r="T1321" s="65">
        <v>0</v>
      </c>
      <c r="U1321" s="65">
        <v>0</v>
      </c>
      <c r="V1321" s="65">
        <v>0</v>
      </c>
      <c r="W1321" s="65">
        <v>0</v>
      </c>
      <c r="X1321" s="65">
        <v>0</v>
      </c>
      <c r="Y1321" s="65">
        <v>0</v>
      </c>
      <c r="Z1321" s="65">
        <v>4912.0200000000004</v>
      </c>
      <c r="AA1321" s="51">
        <v>0</v>
      </c>
      <c r="AB1321" s="102">
        <v>0</v>
      </c>
      <c r="AC1321" s="81">
        <f t="shared" si="63"/>
        <v>447.10678477398892</v>
      </c>
      <c r="AD1321" s="82">
        <f t="shared" si="64"/>
        <v>18.014285714285716</v>
      </c>
      <c r="AE1321" s="218">
        <v>0</v>
      </c>
      <c r="AF1321">
        <v>0</v>
      </c>
      <c r="AH1321" t="str">
        <f t="shared" si="65"/>
        <v>Araria</v>
      </c>
      <c r="AJ1321" s="72">
        <v>0</v>
      </c>
      <c r="AK1321" s="72"/>
      <c r="AL1321" s="72"/>
      <c r="AM1321" s="72"/>
    </row>
    <row r="1322" spans="1:39" x14ac:dyDescent="0.25">
      <c r="A1322" s="37" t="s">
        <v>62</v>
      </c>
      <c r="B1322" s="66" t="s">
        <v>1638</v>
      </c>
      <c r="C1322" s="47">
        <v>1007</v>
      </c>
      <c r="D1322" s="47" t="s">
        <v>203</v>
      </c>
      <c r="E1322" s="41">
        <v>10100035</v>
      </c>
      <c r="F1322" s="46" t="s">
        <v>279</v>
      </c>
      <c r="G1322" s="39" t="s">
        <v>92</v>
      </c>
      <c r="H1322" s="48" t="s">
        <v>93</v>
      </c>
      <c r="I1322" s="52">
        <v>518.29999999999995</v>
      </c>
      <c r="J1322" s="49">
        <v>24712.57</v>
      </c>
      <c r="K1322" s="65">
        <v>545</v>
      </c>
      <c r="L1322" s="65">
        <v>28973.620000000003</v>
      </c>
      <c r="M1322" s="65">
        <v>0</v>
      </c>
      <c r="N1322" s="65">
        <v>0</v>
      </c>
      <c r="O1322" s="65">
        <v>545</v>
      </c>
      <c r="P1322" s="65">
        <v>28973.620000000003</v>
      </c>
      <c r="Q1322" s="50">
        <v>24712.57</v>
      </c>
      <c r="R1322" s="65">
        <v>0</v>
      </c>
      <c r="S1322" s="65">
        <v>0</v>
      </c>
      <c r="T1322" s="65">
        <v>4261.0500000000029</v>
      </c>
      <c r="U1322" s="65">
        <v>0</v>
      </c>
      <c r="V1322" s="65">
        <v>500</v>
      </c>
      <c r="W1322" s="65">
        <v>0</v>
      </c>
      <c r="X1322" s="65">
        <v>24213</v>
      </c>
      <c r="Y1322" s="65">
        <v>0</v>
      </c>
      <c r="Z1322" s="65">
        <v>0</v>
      </c>
      <c r="AA1322" s="51">
        <v>0</v>
      </c>
      <c r="AB1322" s="102">
        <v>0</v>
      </c>
      <c r="AC1322" s="81">
        <f t="shared" si="63"/>
        <v>173.26930229596772</v>
      </c>
      <c r="AD1322" s="82">
        <f t="shared" si="64"/>
        <v>74.04285714285713</v>
      </c>
      <c r="AE1322" s="218">
        <v>-0.17242439778622795</v>
      </c>
      <c r="AF1322">
        <v>2</v>
      </c>
      <c r="AH1322" t="str">
        <f t="shared" si="65"/>
        <v>Araria</v>
      </c>
      <c r="AJ1322" s="72">
        <v>500</v>
      </c>
      <c r="AK1322" s="72"/>
      <c r="AL1322" s="72"/>
      <c r="AM1322" s="72"/>
    </row>
    <row r="1323" spans="1:39" x14ac:dyDescent="0.25">
      <c r="A1323" s="37" t="s">
        <v>62</v>
      </c>
      <c r="B1323" s="66" t="s">
        <v>1638</v>
      </c>
      <c r="C1323" s="47">
        <v>1010</v>
      </c>
      <c r="D1323" s="47" t="s">
        <v>1311</v>
      </c>
      <c r="E1323" s="41">
        <v>10100037</v>
      </c>
      <c r="F1323" s="46" t="s">
        <v>280</v>
      </c>
      <c r="G1323" s="39" t="s">
        <v>92</v>
      </c>
      <c r="H1323" s="48" t="s">
        <v>93</v>
      </c>
      <c r="I1323" s="52">
        <v>206.3</v>
      </c>
      <c r="J1323" s="49">
        <v>9829.61</v>
      </c>
      <c r="K1323" s="65">
        <v>333.4</v>
      </c>
      <c r="L1323" s="65">
        <v>16396.740000000002</v>
      </c>
      <c r="M1323" s="65">
        <v>0</v>
      </c>
      <c r="N1323" s="65">
        <v>0</v>
      </c>
      <c r="O1323" s="65">
        <v>333.4</v>
      </c>
      <c r="P1323" s="65">
        <v>16396.740000000002</v>
      </c>
      <c r="Q1323" s="50">
        <v>9829.61</v>
      </c>
      <c r="R1323" s="65">
        <v>0</v>
      </c>
      <c r="S1323" s="65">
        <v>0</v>
      </c>
      <c r="T1323" s="65">
        <v>6567.130000000001</v>
      </c>
      <c r="U1323" s="65">
        <v>0</v>
      </c>
      <c r="V1323" s="65">
        <v>500</v>
      </c>
      <c r="W1323" s="65">
        <v>0</v>
      </c>
      <c r="X1323" s="65">
        <v>9330</v>
      </c>
      <c r="Y1323" s="65">
        <v>0</v>
      </c>
      <c r="Z1323" s="65">
        <v>0</v>
      </c>
      <c r="AA1323" s="51">
        <v>0</v>
      </c>
      <c r="AB1323" s="102">
        <v>0</v>
      </c>
      <c r="AC1323" s="81">
        <f t="shared" si="63"/>
        <v>470.46810053320405</v>
      </c>
      <c r="AD1323" s="82">
        <f t="shared" si="64"/>
        <v>29.471428571428572</v>
      </c>
      <c r="AE1323" s="218">
        <v>-0.66809669966560226</v>
      </c>
      <c r="AF1323">
        <v>2</v>
      </c>
      <c r="AH1323" t="str">
        <f t="shared" si="65"/>
        <v>Parbatta</v>
      </c>
      <c r="AJ1323" s="72">
        <v>500</v>
      </c>
      <c r="AK1323" s="72"/>
      <c r="AL1323" s="72"/>
      <c r="AM1323" s="72"/>
    </row>
    <row r="1324" spans="1:39" x14ac:dyDescent="0.25">
      <c r="A1324" s="37" t="s">
        <v>62</v>
      </c>
      <c r="B1324" s="66" t="s">
        <v>1638</v>
      </c>
      <c r="C1324" s="47">
        <v>1007</v>
      </c>
      <c r="D1324" s="47" t="s">
        <v>203</v>
      </c>
      <c r="E1324" s="41">
        <v>10100044</v>
      </c>
      <c r="F1324" s="46" t="s">
        <v>1249</v>
      </c>
      <c r="G1324" s="39" t="s">
        <v>1610</v>
      </c>
      <c r="H1324" s="48" t="s">
        <v>98</v>
      </c>
      <c r="I1324" s="52">
        <v>990.8</v>
      </c>
      <c r="J1324" s="49">
        <v>38659.29</v>
      </c>
      <c r="K1324" s="65">
        <v>0</v>
      </c>
      <c r="L1324" s="65">
        <v>0</v>
      </c>
      <c r="M1324" s="65">
        <v>0</v>
      </c>
      <c r="N1324" s="65">
        <v>0</v>
      </c>
      <c r="O1324" s="65">
        <v>0</v>
      </c>
      <c r="P1324" s="65">
        <v>0</v>
      </c>
      <c r="Q1324" s="50">
        <v>38659.29</v>
      </c>
      <c r="R1324" s="65">
        <v>0</v>
      </c>
      <c r="S1324" s="65">
        <v>0</v>
      </c>
      <c r="T1324" s="65">
        <v>0</v>
      </c>
      <c r="U1324" s="65">
        <v>0</v>
      </c>
      <c r="V1324" s="65">
        <v>0</v>
      </c>
      <c r="W1324" s="65">
        <v>0</v>
      </c>
      <c r="X1324" s="65">
        <v>0</v>
      </c>
      <c r="Y1324" s="65">
        <v>0</v>
      </c>
      <c r="Z1324" s="65">
        <v>38659.29</v>
      </c>
      <c r="AA1324" s="51">
        <v>0</v>
      </c>
      <c r="AB1324" s="102">
        <v>0</v>
      </c>
      <c r="AC1324" s="81">
        <f t="shared" si="63"/>
        <v>0</v>
      </c>
      <c r="AD1324" s="82">
        <f t="shared" si="64"/>
        <v>0</v>
      </c>
      <c r="AE1324" s="218">
        <v>0</v>
      </c>
      <c r="AF1324">
        <v>0</v>
      </c>
      <c r="AH1324" t="str">
        <f t="shared" si="65"/>
        <v>Araria</v>
      </c>
      <c r="AJ1324" s="72">
        <v>0</v>
      </c>
      <c r="AK1324" s="72"/>
      <c r="AL1324" s="72"/>
      <c r="AM1324" s="72"/>
    </row>
    <row r="1325" spans="1:39" x14ac:dyDescent="0.25">
      <c r="A1325" s="37" t="s">
        <v>62</v>
      </c>
      <c r="B1325" s="66" t="s">
        <v>1638</v>
      </c>
      <c r="C1325" s="47">
        <v>1010</v>
      </c>
      <c r="D1325" s="47" t="s">
        <v>1311</v>
      </c>
      <c r="E1325" s="41">
        <v>10100045</v>
      </c>
      <c r="F1325" s="46" t="s">
        <v>423</v>
      </c>
      <c r="G1325" s="39" t="s">
        <v>92</v>
      </c>
      <c r="H1325" s="48" t="s">
        <v>93</v>
      </c>
      <c r="I1325" s="52">
        <v>1711.8999999999996</v>
      </c>
      <c r="J1325" s="49">
        <v>64158.11</v>
      </c>
      <c r="K1325" s="65">
        <v>1715.43</v>
      </c>
      <c r="L1325" s="65">
        <v>65783.760000000009</v>
      </c>
      <c r="M1325" s="65">
        <v>4.4400000000000004</v>
      </c>
      <c r="N1325" s="65">
        <v>171.11</v>
      </c>
      <c r="O1325" s="65">
        <v>1719.8700000000001</v>
      </c>
      <c r="P1325" s="65">
        <v>65954.87000000001</v>
      </c>
      <c r="Q1325" s="50">
        <v>64158.11</v>
      </c>
      <c r="R1325" s="65">
        <v>0</v>
      </c>
      <c r="S1325" s="65">
        <v>171.11</v>
      </c>
      <c r="T1325" s="65">
        <v>1796.7600000000093</v>
      </c>
      <c r="U1325" s="65">
        <v>0</v>
      </c>
      <c r="V1325" s="65">
        <v>0</v>
      </c>
      <c r="W1325" s="65">
        <v>0</v>
      </c>
      <c r="X1325" s="65">
        <v>63987</v>
      </c>
      <c r="Y1325" s="65">
        <v>0</v>
      </c>
      <c r="Z1325" s="65">
        <v>0</v>
      </c>
      <c r="AA1325" s="51">
        <v>0</v>
      </c>
      <c r="AB1325" s="102">
        <v>0</v>
      </c>
      <c r="AC1325" s="81">
        <f t="shared" si="63"/>
        <v>0</v>
      </c>
      <c r="AD1325" s="82">
        <f t="shared" si="64"/>
        <v>0</v>
      </c>
      <c r="AE1325" s="218">
        <v>-2.8005189055600441E-2</v>
      </c>
      <c r="AF1325">
        <v>4</v>
      </c>
      <c r="AH1325" t="str">
        <f t="shared" si="65"/>
        <v>Parbatta</v>
      </c>
      <c r="AJ1325" s="72">
        <v>0</v>
      </c>
      <c r="AK1325" s="72"/>
      <c r="AL1325" s="72"/>
      <c r="AM1325" s="72"/>
    </row>
    <row r="1326" spans="1:39" x14ac:dyDescent="0.25">
      <c r="A1326" s="37" t="s">
        <v>62</v>
      </c>
      <c r="B1326" s="66" t="s">
        <v>1638</v>
      </c>
      <c r="C1326" s="47">
        <v>1007</v>
      </c>
      <c r="D1326" s="47" t="s">
        <v>203</v>
      </c>
      <c r="E1326" s="41">
        <v>10100049</v>
      </c>
      <c r="F1326" s="46" t="s">
        <v>603</v>
      </c>
      <c r="G1326" s="39" t="s">
        <v>92</v>
      </c>
      <c r="H1326" s="48" t="s">
        <v>93</v>
      </c>
      <c r="I1326" s="52">
        <v>971.30000000000007</v>
      </c>
      <c r="J1326" s="49">
        <v>37439.569999999992</v>
      </c>
      <c r="K1326" s="65">
        <v>971.3</v>
      </c>
      <c r="L1326" s="65">
        <v>37395.050000000003</v>
      </c>
      <c r="M1326" s="65">
        <v>0</v>
      </c>
      <c r="N1326" s="65">
        <v>0</v>
      </c>
      <c r="O1326" s="65">
        <v>971.3</v>
      </c>
      <c r="P1326" s="65">
        <v>37395.050000000003</v>
      </c>
      <c r="Q1326" s="50">
        <v>37395.050000000003</v>
      </c>
      <c r="R1326" s="65">
        <v>0</v>
      </c>
      <c r="S1326" s="65">
        <v>0</v>
      </c>
      <c r="T1326" s="65">
        <v>0</v>
      </c>
      <c r="U1326" s="65">
        <v>0</v>
      </c>
      <c r="V1326" s="65">
        <v>0</v>
      </c>
      <c r="W1326" s="65">
        <v>0</v>
      </c>
      <c r="X1326" s="65">
        <v>37395</v>
      </c>
      <c r="Y1326" s="65">
        <v>0</v>
      </c>
      <c r="Z1326" s="65">
        <v>0</v>
      </c>
      <c r="AA1326" s="51">
        <v>45</v>
      </c>
      <c r="AB1326" s="102">
        <v>0</v>
      </c>
      <c r="AC1326" s="81">
        <f t="shared" si="63"/>
        <v>0</v>
      </c>
      <c r="AD1326" s="82">
        <f t="shared" si="64"/>
        <v>0</v>
      </c>
      <c r="AE1326" s="218">
        <v>1.1891162211529014E-3</v>
      </c>
      <c r="AF1326">
        <v>1</v>
      </c>
      <c r="AH1326" t="str">
        <f t="shared" si="65"/>
        <v>Araria</v>
      </c>
      <c r="AJ1326" s="72">
        <v>0</v>
      </c>
      <c r="AK1326" s="72"/>
      <c r="AL1326" s="72"/>
      <c r="AM1326" s="72"/>
    </row>
    <row r="1327" spans="1:39" x14ac:dyDescent="0.25">
      <c r="A1327" s="37" t="s">
        <v>62</v>
      </c>
      <c r="B1327" s="66" t="s">
        <v>1638</v>
      </c>
      <c r="C1327" s="47">
        <v>1007</v>
      </c>
      <c r="D1327" s="47" t="s">
        <v>203</v>
      </c>
      <c r="E1327" s="41">
        <v>10100051</v>
      </c>
      <c r="F1327" s="46" t="s">
        <v>440</v>
      </c>
      <c r="G1327" s="39" t="s">
        <v>92</v>
      </c>
      <c r="H1327" s="48" t="s">
        <v>93</v>
      </c>
      <c r="I1327" s="52">
        <v>1826.7</v>
      </c>
      <c r="J1327" s="49">
        <v>71184.42</v>
      </c>
      <c r="K1327" s="65">
        <v>2063.6999999999998</v>
      </c>
      <c r="L1327" s="65">
        <v>81769.179999999993</v>
      </c>
      <c r="M1327" s="65">
        <v>0</v>
      </c>
      <c r="N1327" s="65">
        <v>0</v>
      </c>
      <c r="O1327" s="65">
        <v>2063.6999999999998</v>
      </c>
      <c r="P1327" s="65">
        <v>81769.179999999993</v>
      </c>
      <c r="Q1327" s="50">
        <v>71184.42</v>
      </c>
      <c r="R1327" s="65">
        <v>0</v>
      </c>
      <c r="S1327" s="65">
        <v>0</v>
      </c>
      <c r="T1327" s="65">
        <v>10584.759999999995</v>
      </c>
      <c r="U1327" s="65">
        <v>0</v>
      </c>
      <c r="V1327" s="65">
        <v>0</v>
      </c>
      <c r="W1327" s="65">
        <v>0</v>
      </c>
      <c r="X1327" s="65">
        <v>71184</v>
      </c>
      <c r="Y1327" s="65">
        <v>0</v>
      </c>
      <c r="Z1327" s="65">
        <v>0</v>
      </c>
      <c r="AA1327" s="51">
        <v>0</v>
      </c>
      <c r="AB1327" s="102">
        <v>0</v>
      </c>
      <c r="AC1327" s="81">
        <f t="shared" si="63"/>
        <v>0</v>
      </c>
      <c r="AD1327" s="82">
        <f t="shared" si="64"/>
        <v>0</v>
      </c>
      <c r="AE1327" s="218">
        <v>-0.14869489700133814</v>
      </c>
      <c r="AF1327">
        <v>3</v>
      </c>
      <c r="AH1327" t="str">
        <f t="shared" si="65"/>
        <v>Araria</v>
      </c>
      <c r="AJ1327" s="72">
        <v>0</v>
      </c>
      <c r="AK1327" s="72"/>
      <c r="AL1327" s="72"/>
      <c r="AM1327" s="72"/>
    </row>
    <row r="1328" spans="1:39" x14ac:dyDescent="0.25">
      <c r="A1328" s="37" t="s">
        <v>62</v>
      </c>
      <c r="B1328" s="66" t="s">
        <v>1638</v>
      </c>
      <c r="C1328" s="47">
        <v>1010</v>
      </c>
      <c r="D1328" s="47" t="s">
        <v>1311</v>
      </c>
      <c r="E1328" s="41">
        <v>10100054</v>
      </c>
      <c r="F1328" s="46" t="s">
        <v>495</v>
      </c>
      <c r="G1328" s="39" t="s">
        <v>92</v>
      </c>
      <c r="H1328" s="48" t="s">
        <v>93</v>
      </c>
      <c r="I1328" s="52">
        <v>340.40000000000003</v>
      </c>
      <c r="J1328" s="49">
        <v>15276.92</v>
      </c>
      <c r="K1328" s="65">
        <v>499.84</v>
      </c>
      <c r="L1328" s="65">
        <v>21429.000000000004</v>
      </c>
      <c r="M1328" s="65">
        <v>3.0700000000000003</v>
      </c>
      <c r="N1328" s="65">
        <v>130.86999999999998</v>
      </c>
      <c r="O1328" s="65">
        <v>502.90999999999997</v>
      </c>
      <c r="P1328" s="65">
        <v>21559.870000000003</v>
      </c>
      <c r="Q1328" s="50">
        <v>15276.92</v>
      </c>
      <c r="R1328" s="65">
        <v>0</v>
      </c>
      <c r="S1328" s="65">
        <v>130.86999999999998</v>
      </c>
      <c r="T1328" s="65">
        <v>6282.9500000000025</v>
      </c>
      <c r="U1328" s="65">
        <v>0</v>
      </c>
      <c r="V1328" s="65">
        <v>0</v>
      </c>
      <c r="W1328" s="65">
        <v>0</v>
      </c>
      <c r="X1328" s="65">
        <v>15146</v>
      </c>
      <c r="Y1328" s="65">
        <v>0</v>
      </c>
      <c r="Z1328" s="65">
        <v>0</v>
      </c>
      <c r="AA1328" s="51">
        <v>0</v>
      </c>
      <c r="AB1328" s="102">
        <v>0</v>
      </c>
      <c r="AC1328" s="81">
        <f t="shared" si="63"/>
        <v>322.77205828437121</v>
      </c>
      <c r="AD1328" s="82">
        <f t="shared" si="64"/>
        <v>48.628571428571433</v>
      </c>
      <c r="AE1328" s="218">
        <v>-0.41127072734556458</v>
      </c>
      <c r="AF1328">
        <v>5</v>
      </c>
      <c r="AH1328" t="str">
        <f t="shared" si="65"/>
        <v>Parbatta</v>
      </c>
      <c r="AJ1328" s="72">
        <v>0</v>
      </c>
      <c r="AK1328" s="72"/>
      <c r="AL1328" s="72"/>
      <c r="AM1328" s="72"/>
    </row>
    <row r="1329" spans="1:39" x14ac:dyDescent="0.25">
      <c r="A1329" s="37" t="s">
        <v>62</v>
      </c>
      <c r="B1329" s="66" t="s">
        <v>1638</v>
      </c>
      <c r="C1329" s="47">
        <v>1010</v>
      </c>
      <c r="D1329" s="47" t="s">
        <v>1311</v>
      </c>
      <c r="E1329" s="41">
        <v>10100059</v>
      </c>
      <c r="F1329" s="46" t="s">
        <v>1616</v>
      </c>
      <c r="G1329" s="39" t="s">
        <v>1610</v>
      </c>
      <c r="H1329" s="48" t="s">
        <v>98</v>
      </c>
      <c r="I1329" s="52">
        <v>1042.5</v>
      </c>
      <c r="J1329" s="49">
        <v>50229</v>
      </c>
      <c r="K1329" s="65">
        <v>0</v>
      </c>
      <c r="L1329" s="65">
        <v>0</v>
      </c>
      <c r="M1329" s="65">
        <v>0</v>
      </c>
      <c r="N1329" s="65">
        <v>0</v>
      </c>
      <c r="O1329" s="65">
        <v>0</v>
      </c>
      <c r="P1329" s="65">
        <v>0</v>
      </c>
      <c r="Q1329" s="50">
        <v>50229</v>
      </c>
      <c r="R1329" s="65">
        <v>0</v>
      </c>
      <c r="S1329" s="65">
        <v>0</v>
      </c>
      <c r="T1329" s="65">
        <v>0</v>
      </c>
      <c r="U1329" s="65">
        <v>0</v>
      </c>
      <c r="V1329" s="65">
        <v>0</v>
      </c>
      <c r="W1329" s="65">
        <v>0</v>
      </c>
      <c r="X1329" s="65">
        <v>0</v>
      </c>
      <c r="Y1329" s="65">
        <v>0</v>
      </c>
      <c r="Z1329" s="65">
        <v>50229</v>
      </c>
      <c r="AA1329" s="51">
        <v>0</v>
      </c>
      <c r="AB1329" s="102">
        <v>0</v>
      </c>
      <c r="AC1329" s="81">
        <f t="shared" si="63"/>
        <v>0</v>
      </c>
      <c r="AD1329" s="82">
        <f t="shared" si="64"/>
        <v>0</v>
      </c>
      <c r="AE1329" s="218">
        <v>0</v>
      </c>
      <c r="AF1329">
        <v>0</v>
      </c>
      <c r="AH1329" t="str">
        <f t="shared" si="65"/>
        <v>Parbatta</v>
      </c>
      <c r="AJ1329" s="72">
        <v>0</v>
      </c>
      <c r="AK1329" s="72"/>
      <c r="AL1329" s="72"/>
      <c r="AM1329" s="72"/>
    </row>
    <row r="1330" spans="1:39" x14ac:dyDescent="0.25">
      <c r="A1330" s="37" t="s">
        <v>62</v>
      </c>
      <c r="B1330" s="66" t="s">
        <v>1638</v>
      </c>
      <c r="C1330" s="47">
        <v>1007</v>
      </c>
      <c r="D1330" s="47" t="s">
        <v>203</v>
      </c>
      <c r="E1330" s="41">
        <v>10100060</v>
      </c>
      <c r="F1330" s="46" t="s">
        <v>496</v>
      </c>
      <c r="G1330" s="39" t="s">
        <v>92</v>
      </c>
      <c r="H1330" s="48" t="s">
        <v>93</v>
      </c>
      <c r="I1330" s="52">
        <v>217.4</v>
      </c>
      <c r="J1330" s="49">
        <v>8483.19</v>
      </c>
      <c r="K1330" s="65">
        <v>216.70000000000002</v>
      </c>
      <c r="L1330" s="65">
        <v>8440.2100000000009</v>
      </c>
      <c r="M1330" s="65">
        <v>0.30000000000000004</v>
      </c>
      <c r="N1330" s="65">
        <v>11.59</v>
      </c>
      <c r="O1330" s="65">
        <v>217.00000000000003</v>
      </c>
      <c r="P1330" s="65">
        <v>8451.8000000000011</v>
      </c>
      <c r="Q1330" s="50">
        <v>8451.8000000000011</v>
      </c>
      <c r="R1330" s="65">
        <v>0</v>
      </c>
      <c r="S1330" s="65">
        <v>11.59</v>
      </c>
      <c r="T1330" s="65">
        <v>0</v>
      </c>
      <c r="U1330" s="65">
        <v>2024</v>
      </c>
      <c r="V1330" s="65">
        <v>0</v>
      </c>
      <c r="W1330" s="65">
        <v>0</v>
      </c>
      <c r="X1330" s="65">
        <v>6417</v>
      </c>
      <c r="Y1330" s="65">
        <v>0</v>
      </c>
      <c r="Z1330" s="65">
        <v>0</v>
      </c>
      <c r="AA1330" s="51">
        <v>31</v>
      </c>
      <c r="AB1330" s="102">
        <v>0</v>
      </c>
      <c r="AC1330" s="81">
        <f t="shared" si="63"/>
        <v>376.631784176633</v>
      </c>
      <c r="AD1330" s="82">
        <f t="shared" si="64"/>
        <v>31.057142857142857</v>
      </c>
      <c r="AE1330" s="218">
        <v>3.7002589827646692E-3</v>
      </c>
      <c r="AF1330">
        <v>6</v>
      </c>
      <c r="AH1330" t="str">
        <f t="shared" si="65"/>
        <v>Araria</v>
      </c>
      <c r="AJ1330" s="72">
        <v>0</v>
      </c>
      <c r="AK1330" s="72"/>
      <c r="AL1330" s="72"/>
      <c r="AM1330" s="72"/>
    </row>
    <row r="1331" spans="1:39" x14ac:dyDescent="0.25">
      <c r="A1331" s="37" t="s">
        <v>62</v>
      </c>
      <c r="B1331" s="66" t="s">
        <v>1638</v>
      </c>
      <c r="C1331" s="47">
        <v>1010</v>
      </c>
      <c r="D1331" s="47" t="s">
        <v>1311</v>
      </c>
      <c r="E1331" s="41">
        <v>10100062</v>
      </c>
      <c r="F1331" s="46" t="s">
        <v>1313</v>
      </c>
      <c r="G1331" s="39" t="s">
        <v>1610</v>
      </c>
      <c r="H1331" s="48" t="s">
        <v>98</v>
      </c>
      <c r="I1331" s="52">
        <v>9225.2000000000007</v>
      </c>
      <c r="J1331" s="49">
        <v>382501.74000000005</v>
      </c>
      <c r="K1331" s="65">
        <v>0</v>
      </c>
      <c r="L1331" s="65">
        <v>0</v>
      </c>
      <c r="M1331" s="65">
        <v>0</v>
      </c>
      <c r="N1331" s="65">
        <v>0</v>
      </c>
      <c r="O1331" s="65">
        <v>0</v>
      </c>
      <c r="P1331" s="65">
        <v>0</v>
      </c>
      <c r="Q1331" s="50">
        <v>382501.74000000005</v>
      </c>
      <c r="R1331" s="65">
        <v>0</v>
      </c>
      <c r="S1331" s="65">
        <v>0</v>
      </c>
      <c r="T1331" s="65">
        <v>0</v>
      </c>
      <c r="U1331" s="65">
        <v>0</v>
      </c>
      <c r="V1331" s="65">
        <v>0</v>
      </c>
      <c r="W1331" s="65">
        <v>0</v>
      </c>
      <c r="X1331" s="65">
        <v>0</v>
      </c>
      <c r="Y1331" s="65">
        <v>0</v>
      </c>
      <c r="Z1331" s="65">
        <v>382501.74000000005</v>
      </c>
      <c r="AA1331" s="51">
        <v>0</v>
      </c>
      <c r="AB1331" s="102">
        <v>0</v>
      </c>
      <c r="AC1331" s="81">
        <f t="shared" si="63"/>
        <v>0</v>
      </c>
      <c r="AD1331" s="82">
        <f t="shared" si="64"/>
        <v>0</v>
      </c>
      <c r="AE1331" s="218">
        <v>0</v>
      </c>
      <c r="AF1331">
        <v>0</v>
      </c>
      <c r="AH1331" t="str">
        <f t="shared" si="65"/>
        <v>Parbatta</v>
      </c>
      <c r="AJ1331" s="72">
        <v>0</v>
      </c>
      <c r="AK1331" s="72"/>
      <c r="AL1331" s="72"/>
      <c r="AM1331" s="72"/>
    </row>
    <row r="1332" spans="1:39" x14ac:dyDescent="0.25">
      <c r="A1332" s="37" t="s">
        <v>62</v>
      </c>
      <c r="B1332" s="66" t="s">
        <v>1638</v>
      </c>
      <c r="C1332" s="47">
        <v>1010</v>
      </c>
      <c r="D1332" s="47" t="s">
        <v>1311</v>
      </c>
      <c r="E1332" s="41">
        <v>10100065</v>
      </c>
      <c r="F1332" s="46" t="s">
        <v>1333</v>
      </c>
      <c r="G1332" s="39" t="s">
        <v>1610</v>
      </c>
      <c r="H1332" s="48" t="s">
        <v>98</v>
      </c>
      <c r="I1332" s="52">
        <v>1206.3000000000002</v>
      </c>
      <c r="J1332" s="49">
        <v>47119.570000000007</v>
      </c>
      <c r="K1332" s="65">
        <v>0</v>
      </c>
      <c r="L1332" s="65">
        <v>0</v>
      </c>
      <c r="M1332" s="65">
        <v>0</v>
      </c>
      <c r="N1332" s="65">
        <v>0</v>
      </c>
      <c r="O1332" s="65">
        <v>0</v>
      </c>
      <c r="P1332" s="65">
        <v>0</v>
      </c>
      <c r="Q1332" s="50">
        <v>47119.570000000007</v>
      </c>
      <c r="R1332" s="65">
        <v>0</v>
      </c>
      <c r="S1332" s="65">
        <v>0</v>
      </c>
      <c r="T1332" s="65">
        <v>0</v>
      </c>
      <c r="U1332" s="65">
        <v>0</v>
      </c>
      <c r="V1332" s="65">
        <v>0</v>
      </c>
      <c r="W1332" s="65">
        <v>0</v>
      </c>
      <c r="X1332" s="65">
        <v>0</v>
      </c>
      <c r="Y1332" s="65">
        <v>0</v>
      </c>
      <c r="Z1332" s="65">
        <v>47119.570000000007</v>
      </c>
      <c r="AA1332" s="51">
        <v>0</v>
      </c>
      <c r="AB1332" s="102">
        <v>0</v>
      </c>
      <c r="AC1332" s="81">
        <f t="shared" si="63"/>
        <v>0</v>
      </c>
      <c r="AD1332" s="82">
        <f t="shared" si="64"/>
        <v>0</v>
      </c>
      <c r="AE1332" s="218">
        <v>0</v>
      </c>
      <c r="AF1332">
        <v>0</v>
      </c>
      <c r="AH1332" t="str">
        <f t="shared" si="65"/>
        <v>Parbatta</v>
      </c>
      <c r="AJ1332" s="72">
        <v>0</v>
      </c>
      <c r="AK1332" s="72"/>
      <c r="AL1332" s="72"/>
      <c r="AM1332" s="72"/>
    </row>
    <row r="1333" spans="1:39" x14ac:dyDescent="0.25">
      <c r="A1333" s="37" t="s">
        <v>62</v>
      </c>
      <c r="B1333" s="66" t="s">
        <v>1638</v>
      </c>
      <c r="C1333" s="47">
        <v>1010</v>
      </c>
      <c r="D1333" s="47" t="s">
        <v>1311</v>
      </c>
      <c r="E1333" s="41">
        <v>10100069</v>
      </c>
      <c r="F1333" s="46" t="s">
        <v>1425</v>
      </c>
      <c r="G1333" s="39" t="s">
        <v>1610</v>
      </c>
      <c r="H1333" s="48" t="s">
        <v>98</v>
      </c>
      <c r="I1333" s="52">
        <v>709.59999999999991</v>
      </c>
      <c r="J1333" s="49">
        <v>33267.08</v>
      </c>
      <c r="K1333" s="65">
        <v>0</v>
      </c>
      <c r="L1333" s="65">
        <v>0</v>
      </c>
      <c r="M1333" s="65">
        <v>0</v>
      </c>
      <c r="N1333" s="65">
        <v>0</v>
      </c>
      <c r="O1333" s="65">
        <v>0</v>
      </c>
      <c r="P1333" s="65">
        <v>0</v>
      </c>
      <c r="Q1333" s="50">
        <v>33267.08</v>
      </c>
      <c r="R1333" s="65">
        <v>0</v>
      </c>
      <c r="S1333" s="65">
        <v>0</v>
      </c>
      <c r="T1333" s="65">
        <v>0</v>
      </c>
      <c r="U1333" s="65">
        <v>0</v>
      </c>
      <c r="V1333" s="65">
        <v>0</v>
      </c>
      <c r="W1333" s="65">
        <v>0</v>
      </c>
      <c r="X1333" s="65">
        <v>0</v>
      </c>
      <c r="Y1333" s="65">
        <v>0</v>
      </c>
      <c r="Z1333" s="65">
        <v>33267.08</v>
      </c>
      <c r="AA1333" s="51">
        <v>0</v>
      </c>
      <c r="AB1333" s="102">
        <v>0</v>
      </c>
      <c r="AC1333" s="81">
        <f t="shared" si="63"/>
        <v>0</v>
      </c>
      <c r="AD1333" s="82">
        <f t="shared" si="64"/>
        <v>0</v>
      </c>
      <c r="AE1333" s="218">
        <v>0</v>
      </c>
      <c r="AF1333">
        <v>0</v>
      </c>
      <c r="AH1333" t="str">
        <f t="shared" si="65"/>
        <v>Parbatta</v>
      </c>
      <c r="AJ1333" s="72">
        <v>0</v>
      </c>
      <c r="AK1333" s="72"/>
      <c r="AL1333" s="72"/>
      <c r="AM1333" s="72"/>
    </row>
    <row r="1334" spans="1:39" x14ac:dyDescent="0.25">
      <c r="A1334" s="37" t="s">
        <v>62</v>
      </c>
      <c r="B1334" s="66" t="s">
        <v>1638</v>
      </c>
      <c r="C1334" s="47">
        <v>1010</v>
      </c>
      <c r="D1334" s="47" t="s">
        <v>1311</v>
      </c>
      <c r="E1334" s="41">
        <v>10100070</v>
      </c>
      <c r="F1334" s="46" t="s">
        <v>1426</v>
      </c>
      <c r="G1334" s="39" t="s">
        <v>1610</v>
      </c>
      <c r="H1334" s="48" t="s">
        <v>98</v>
      </c>
      <c r="I1334" s="52">
        <v>2709.7</v>
      </c>
      <c r="J1334" s="49">
        <v>140982.76</v>
      </c>
      <c r="K1334" s="65">
        <v>0</v>
      </c>
      <c r="L1334" s="65">
        <v>0</v>
      </c>
      <c r="M1334" s="65">
        <v>0</v>
      </c>
      <c r="N1334" s="65">
        <v>0</v>
      </c>
      <c r="O1334" s="65">
        <v>0</v>
      </c>
      <c r="P1334" s="65">
        <v>0</v>
      </c>
      <c r="Q1334" s="50">
        <v>140982.76</v>
      </c>
      <c r="R1334" s="65">
        <v>0</v>
      </c>
      <c r="S1334" s="65">
        <v>0</v>
      </c>
      <c r="T1334" s="65">
        <v>0</v>
      </c>
      <c r="U1334" s="65">
        <v>0</v>
      </c>
      <c r="V1334" s="65">
        <v>0</v>
      </c>
      <c r="W1334" s="65">
        <v>0</v>
      </c>
      <c r="X1334" s="65">
        <v>0</v>
      </c>
      <c r="Y1334" s="65">
        <v>0</v>
      </c>
      <c r="Z1334" s="65">
        <v>140982.76</v>
      </c>
      <c r="AA1334" s="51">
        <v>0</v>
      </c>
      <c r="AB1334" s="102">
        <v>0</v>
      </c>
      <c r="AC1334" s="81">
        <f t="shared" si="63"/>
        <v>0</v>
      </c>
      <c r="AD1334" s="82">
        <f t="shared" si="64"/>
        <v>0</v>
      </c>
      <c r="AE1334" s="218">
        <v>0</v>
      </c>
      <c r="AF1334">
        <v>0</v>
      </c>
      <c r="AH1334" t="str">
        <f t="shared" si="65"/>
        <v>Parbatta</v>
      </c>
      <c r="AJ1334" s="72">
        <v>0</v>
      </c>
      <c r="AK1334" s="72"/>
      <c r="AL1334" s="72"/>
      <c r="AM1334" s="72"/>
    </row>
    <row r="1335" spans="1:39" x14ac:dyDescent="0.25">
      <c r="A1335" s="37" t="s">
        <v>62</v>
      </c>
      <c r="B1335" s="66" t="s">
        <v>1638</v>
      </c>
      <c r="C1335" s="47">
        <v>1010</v>
      </c>
      <c r="D1335" s="47" t="s">
        <v>1311</v>
      </c>
      <c r="E1335" s="41">
        <v>10100071</v>
      </c>
      <c r="F1335" s="46" t="s">
        <v>1524</v>
      </c>
      <c r="G1335" s="39" t="s">
        <v>1610</v>
      </c>
      <c r="H1335" s="48" t="s">
        <v>98</v>
      </c>
      <c r="I1335" s="52">
        <v>4760.3</v>
      </c>
      <c r="J1335" s="49">
        <v>240561.53</v>
      </c>
      <c r="K1335" s="65">
        <v>0</v>
      </c>
      <c r="L1335" s="65">
        <v>0</v>
      </c>
      <c r="M1335" s="65">
        <v>0</v>
      </c>
      <c r="N1335" s="65">
        <v>0</v>
      </c>
      <c r="O1335" s="65">
        <v>0</v>
      </c>
      <c r="P1335" s="65">
        <v>0</v>
      </c>
      <c r="Q1335" s="50">
        <v>240561.53</v>
      </c>
      <c r="R1335" s="65">
        <v>0</v>
      </c>
      <c r="S1335" s="65">
        <v>0</v>
      </c>
      <c r="T1335" s="65">
        <v>0</v>
      </c>
      <c r="U1335" s="65">
        <v>0</v>
      </c>
      <c r="V1335" s="65">
        <v>0</v>
      </c>
      <c r="W1335" s="65">
        <v>0</v>
      </c>
      <c r="X1335" s="65">
        <v>0</v>
      </c>
      <c r="Y1335" s="65">
        <v>0</v>
      </c>
      <c r="Z1335" s="65">
        <v>240561.53</v>
      </c>
      <c r="AA1335" s="51">
        <v>0</v>
      </c>
      <c r="AB1335" s="102">
        <v>0</v>
      </c>
      <c r="AC1335" s="81">
        <f t="shared" si="63"/>
        <v>0</v>
      </c>
      <c r="AD1335" s="82">
        <f t="shared" si="64"/>
        <v>0</v>
      </c>
      <c r="AE1335" s="218">
        <v>0</v>
      </c>
      <c r="AF1335">
        <v>0</v>
      </c>
      <c r="AH1335" t="str">
        <f t="shared" si="65"/>
        <v>Parbatta</v>
      </c>
      <c r="AJ1335" s="72">
        <v>0</v>
      </c>
      <c r="AK1335" s="72"/>
      <c r="AL1335" s="72"/>
      <c r="AM1335" s="72"/>
    </row>
    <row r="1336" spans="1:39" x14ac:dyDescent="0.25">
      <c r="A1336" s="37" t="s">
        <v>62</v>
      </c>
      <c r="B1336" s="66" t="s">
        <v>1638</v>
      </c>
      <c r="C1336" s="47">
        <v>1055</v>
      </c>
      <c r="D1336" s="47" t="s">
        <v>1125</v>
      </c>
      <c r="E1336" s="41">
        <v>10110001</v>
      </c>
      <c r="F1336" s="46" t="s">
        <v>282</v>
      </c>
      <c r="G1336" s="39" t="s">
        <v>92</v>
      </c>
      <c r="H1336" s="48" t="s">
        <v>93</v>
      </c>
      <c r="I1336" s="52">
        <v>2078.4</v>
      </c>
      <c r="J1336" s="49">
        <v>86264.43</v>
      </c>
      <c r="K1336" s="65">
        <v>1992.4</v>
      </c>
      <c r="L1336" s="65">
        <v>86172.989999999962</v>
      </c>
      <c r="M1336" s="65">
        <v>42</v>
      </c>
      <c r="N1336" s="65">
        <v>1823.1600000000005</v>
      </c>
      <c r="O1336" s="65">
        <v>2034.4</v>
      </c>
      <c r="P1336" s="65">
        <v>87996.149999999965</v>
      </c>
      <c r="Q1336" s="50">
        <v>86264.43</v>
      </c>
      <c r="R1336" s="65">
        <v>0</v>
      </c>
      <c r="S1336" s="65">
        <v>1823.1600000000005</v>
      </c>
      <c r="T1336" s="65">
        <v>1731.7199999999721</v>
      </c>
      <c r="U1336" s="65">
        <v>0</v>
      </c>
      <c r="V1336" s="65">
        <v>0</v>
      </c>
      <c r="W1336" s="65">
        <v>0</v>
      </c>
      <c r="X1336" s="65">
        <v>84441</v>
      </c>
      <c r="Y1336" s="65">
        <v>0</v>
      </c>
      <c r="Z1336" s="65">
        <v>0</v>
      </c>
      <c r="AA1336" s="51">
        <v>0</v>
      </c>
      <c r="AB1336" s="102">
        <v>0</v>
      </c>
      <c r="AC1336" s="81">
        <f t="shared" si="63"/>
        <v>0</v>
      </c>
      <c r="AD1336" s="82">
        <f t="shared" si="64"/>
        <v>0</v>
      </c>
      <c r="AE1336" s="218">
        <v>-2.0074554483232223E-2</v>
      </c>
      <c r="AF1336">
        <v>16</v>
      </c>
      <c r="AH1336" t="str">
        <f t="shared" si="65"/>
        <v>Matihani</v>
      </c>
      <c r="AJ1336" s="72">
        <v>0</v>
      </c>
      <c r="AK1336" s="72"/>
      <c r="AL1336" s="72"/>
      <c r="AM1336" s="72"/>
    </row>
    <row r="1337" spans="1:39" x14ac:dyDescent="0.25">
      <c r="A1337" s="37" t="s">
        <v>62</v>
      </c>
      <c r="B1337" s="66" t="s">
        <v>1638</v>
      </c>
      <c r="C1337" s="47">
        <v>1055</v>
      </c>
      <c r="D1337" s="47" t="s">
        <v>1125</v>
      </c>
      <c r="E1337" s="41">
        <v>10110002</v>
      </c>
      <c r="F1337" s="46" t="s">
        <v>283</v>
      </c>
      <c r="G1337" s="39" t="s">
        <v>1610</v>
      </c>
      <c r="H1337" s="48" t="s">
        <v>93</v>
      </c>
      <c r="I1337" s="52">
        <v>606.69999999999993</v>
      </c>
      <c r="J1337" s="49">
        <v>23469.760000000006</v>
      </c>
      <c r="K1337" s="65">
        <v>654.79999999999995</v>
      </c>
      <c r="L1337" s="65">
        <v>25447.14</v>
      </c>
      <c r="M1337" s="65">
        <v>0</v>
      </c>
      <c r="N1337" s="65">
        <v>0</v>
      </c>
      <c r="O1337" s="65">
        <v>654.79999999999995</v>
      </c>
      <c r="P1337" s="65">
        <v>25447.14</v>
      </c>
      <c r="Q1337" s="50">
        <v>23469.760000000006</v>
      </c>
      <c r="R1337" s="65">
        <v>0</v>
      </c>
      <c r="S1337" s="65">
        <v>0</v>
      </c>
      <c r="T1337" s="65">
        <v>1977.3799999999937</v>
      </c>
      <c r="U1337" s="65">
        <v>0</v>
      </c>
      <c r="V1337" s="65">
        <v>0</v>
      </c>
      <c r="W1337" s="65">
        <v>0</v>
      </c>
      <c r="X1337" s="65">
        <v>23470</v>
      </c>
      <c r="Y1337" s="65">
        <v>0</v>
      </c>
      <c r="Z1337" s="65">
        <v>0</v>
      </c>
      <c r="AA1337" s="51">
        <v>0</v>
      </c>
      <c r="AB1337" s="102">
        <v>0</v>
      </c>
      <c r="AC1337" s="81">
        <f t="shared" si="63"/>
        <v>72.184889006098643</v>
      </c>
      <c r="AD1337" s="82">
        <f t="shared" si="64"/>
        <v>86.671428571428564</v>
      </c>
      <c r="AE1337" s="218">
        <v>-8.4252246294806307E-2</v>
      </c>
      <c r="AF1337">
        <v>2</v>
      </c>
      <c r="AH1337" t="str">
        <f t="shared" si="65"/>
        <v>Matihani</v>
      </c>
      <c r="AJ1337" s="72">
        <v>0</v>
      </c>
      <c r="AK1337" s="72"/>
      <c r="AL1337" s="72"/>
      <c r="AM1337" s="72"/>
    </row>
    <row r="1338" spans="1:39" x14ac:dyDescent="0.25">
      <c r="A1338" s="37" t="s">
        <v>62</v>
      </c>
      <c r="B1338" s="66" t="s">
        <v>1638</v>
      </c>
      <c r="C1338" s="47">
        <v>1011</v>
      </c>
      <c r="D1338" s="47" t="s">
        <v>281</v>
      </c>
      <c r="E1338" s="41">
        <v>10110004</v>
      </c>
      <c r="F1338" s="46" t="s">
        <v>284</v>
      </c>
      <c r="G1338" s="39" t="s">
        <v>92</v>
      </c>
      <c r="H1338" s="48" t="s">
        <v>93</v>
      </c>
      <c r="I1338" s="52">
        <v>536.20000000000005</v>
      </c>
      <c r="J1338" s="49">
        <v>20551.030000000002</v>
      </c>
      <c r="K1338" s="65">
        <v>536.5</v>
      </c>
      <c r="L1338" s="65">
        <v>20631.399999999998</v>
      </c>
      <c r="M1338" s="65">
        <v>0.99999999999999989</v>
      </c>
      <c r="N1338" s="65">
        <v>38.590000000000003</v>
      </c>
      <c r="O1338" s="65">
        <v>537.5</v>
      </c>
      <c r="P1338" s="65">
        <v>20669.989999999998</v>
      </c>
      <c r="Q1338" s="50">
        <v>20551.030000000002</v>
      </c>
      <c r="R1338" s="65">
        <v>0</v>
      </c>
      <c r="S1338" s="65">
        <v>38.590000000000003</v>
      </c>
      <c r="T1338" s="65">
        <v>118.95999999999549</v>
      </c>
      <c r="U1338" s="65">
        <v>0</v>
      </c>
      <c r="V1338" s="65">
        <v>0</v>
      </c>
      <c r="W1338" s="65">
        <v>0</v>
      </c>
      <c r="X1338" s="65">
        <v>20512</v>
      </c>
      <c r="Y1338" s="65">
        <v>0</v>
      </c>
      <c r="Z1338" s="65">
        <v>0</v>
      </c>
      <c r="AA1338" s="51">
        <v>0</v>
      </c>
      <c r="AB1338" s="102">
        <v>0</v>
      </c>
      <c r="AC1338" s="81">
        <f t="shared" si="63"/>
        <v>125.55981775456917</v>
      </c>
      <c r="AD1338" s="82">
        <f t="shared" si="64"/>
        <v>76.600000000000009</v>
      </c>
      <c r="AE1338" s="218">
        <v>-5.7885176558058393E-3</v>
      </c>
      <c r="AF1338">
        <v>3</v>
      </c>
      <c r="AH1338" t="str">
        <f t="shared" si="65"/>
        <v>Sahibpur Kamal</v>
      </c>
      <c r="AJ1338" s="72">
        <v>0</v>
      </c>
      <c r="AK1338" s="72"/>
      <c r="AL1338" s="72"/>
      <c r="AM1338" s="72"/>
    </row>
    <row r="1339" spans="1:39" x14ac:dyDescent="0.25">
      <c r="A1339" s="37" t="s">
        <v>62</v>
      </c>
      <c r="B1339" s="66" t="s">
        <v>1638</v>
      </c>
      <c r="C1339" s="47">
        <v>1055</v>
      </c>
      <c r="D1339" s="47" t="s">
        <v>1125</v>
      </c>
      <c r="E1339" s="41">
        <v>10110005</v>
      </c>
      <c r="F1339" s="46" t="s">
        <v>285</v>
      </c>
      <c r="G1339" s="39" t="s">
        <v>92</v>
      </c>
      <c r="H1339" s="48" t="s">
        <v>93</v>
      </c>
      <c r="I1339" s="52">
        <v>3538.9999999999995</v>
      </c>
      <c r="J1339" s="49">
        <v>150551.14000000001</v>
      </c>
      <c r="K1339" s="65">
        <v>3511.5099999999998</v>
      </c>
      <c r="L1339" s="65">
        <v>149622.56999999998</v>
      </c>
      <c r="M1339" s="65">
        <v>29.2</v>
      </c>
      <c r="N1339" s="65">
        <v>1899.7300000000005</v>
      </c>
      <c r="O1339" s="65">
        <v>3540.7099999999996</v>
      </c>
      <c r="P1339" s="65">
        <v>151522.29999999999</v>
      </c>
      <c r="Q1339" s="50">
        <v>150551.14000000001</v>
      </c>
      <c r="R1339" s="65">
        <v>0</v>
      </c>
      <c r="S1339" s="65">
        <v>1899.7300000000005</v>
      </c>
      <c r="T1339" s="65">
        <v>971.15999999997439</v>
      </c>
      <c r="U1339" s="65">
        <v>0</v>
      </c>
      <c r="V1339" s="65">
        <v>0</v>
      </c>
      <c r="W1339" s="65">
        <v>0</v>
      </c>
      <c r="X1339" s="65">
        <v>148651</v>
      </c>
      <c r="Y1339" s="65">
        <v>0</v>
      </c>
      <c r="Z1339" s="65">
        <v>0</v>
      </c>
      <c r="AA1339" s="51">
        <v>0</v>
      </c>
      <c r="AB1339" s="102">
        <v>0</v>
      </c>
      <c r="AC1339" s="81">
        <f t="shared" si="63"/>
        <v>0</v>
      </c>
      <c r="AD1339" s="82">
        <f t="shared" si="64"/>
        <v>0</v>
      </c>
      <c r="AE1339" s="218">
        <v>-6.4506984138411327E-3</v>
      </c>
      <c r="AF1339">
        <v>33</v>
      </c>
      <c r="AH1339" t="str">
        <f t="shared" si="65"/>
        <v>Matihani</v>
      </c>
      <c r="AJ1339" s="72">
        <v>0</v>
      </c>
      <c r="AK1339" s="72"/>
      <c r="AL1339" s="72"/>
      <c r="AM1339" s="72"/>
    </row>
    <row r="1340" spans="1:39" x14ac:dyDescent="0.25">
      <c r="A1340" s="37" t="s">
        <v>62</v>
      </c>
      <c r="B1340" s="66" t="s">
        <v>1638</v>
      </c>
      <c r="C1340" s="47">
        <v>1011</v>
      </c>
      <c r="D1340" s="47" t="s">
        <v>281</v>
      </c>
      <c r="E1340" s="41">
        <v>10110007</v>
      </c>
      <c r="F1340" s="46" t="s">
        <v>286</v>
      </c>
      <c r="G1340" s="39" t="s">
        <v>92</v>
      </c>
      <c r="H1340" s="48" t="s">
        <v>93</v>
      </c>
      <c r="I1340" s="52">
        <v>383.29999999999995</v>
      </c>
      <c r="J1340" s="49">
        <v>14482.990000000003</v>
      </c>
      <c r="K1340" s="65">
        <v>380.59999999999997</v>
      </c>
      <c r="L1340" s="65">
        <v>14524.259999999998</v>
      </c>
      <c r="M1340" s="65">
        <v>2.6</v>
      </c>
      <c r="N1340" s="65">
        <v>99.060000000000016</v>
      </c>
      <c r="O1340" s="65">
        <v>383.2</v>
      </c>
      <c r="P1340" s="65">
        <v>14623.319999999998</v>
      </c>
      <c r="Q1340" s="50">
        <v>14482.990000000003</v>
      </c>
      <c r="R1340" s="65">
        <v>0</v>
      </c>
      <c r="S1340" s="65">
        <v>99.060000000000016</v>
      </c>
      <c r="T1340" s="65">
        <v>140.32999999999447</v>
      </c>
      <c r="U1340" s="65">
        <v>0</v>
      </c>
      <c r="V1340" s="65">
        <v>0</v>
      </c>
      <c r="W1340" s="65">
        <v>0</v>
      </c>
      <c r="X1340" s="65">
        <v>14384</v>
      </c>
      <c r="Y1340" s="65">
        <v>0</v>
      </c>
      <c r="Z1340" s="65">
        <v>0</v>
      </c>
      <c r="AA1340" s="51">
        <v>0</v>
      </c>
      <c r="AB1340" s="102">
        <v>0</v>
      </c>
      <c r="AC1340" s="81">
        <f t="shared" si="63"/>
        <v>239.33018173754252</v>
      </c>
      <c r="AD1340" s="82">
        <f t="shared" si="64"/>
        <v>54.757142857142853</v>
      </c>
      <c r="AE1340" s="218">
        <v>-9.689297582888232E-3</v>
      </c>
      <c r="AF1340">
        <v>5</v>
      </c>
      <c r="AH1340" t="str">
        <f t="shared" si="65"/>
        <v>Sahibpur Kamal</v>
      </c>
      <c r="AJ1340" s="72">
        <v>0</v>
      </c>
      <c r="AK1340" s="72"/>
      <c r="AL1340" s="72"/>
      <c r="AM1340" s="72"/>
    </row>
    <row r="1341" spans="1:39" x14ac:dyDescent="0.25">
      <c r="A1341" s="37" t="s">
        <v>62</v>
      </c>
      <c r="B1341" s="66" t="s">
        <v>1638</v>
      </c>
      <c r="C1341" s="47">
        <v>1011</v>
      </c>
      <c r="D1341" s="47" t="s">
        <v>281</v>
      </c>
      <c r="E1341" s="41">
        <v>10110008</v>
      </c>
      <c r="F1341" s="46" t="s">
        <v>604</v>
      </c>
      <c r="G1341" s="39" t="s">
        <v>92</v>
      </c>
      <c r="H1341" s="48" t="s">
        <v>98</v>
      </c>
      <c r="I1341" s="52">
        <v>8703</v>
      </c>
      <c r="J1341" s="49">
        <v>349268.81</v>
      </c>
      <c r="K1341" s="65">
        <v>0</v>
      </c>
      <c r="L1341" s="65">
        <v>0</v>
      </c>
      <c r="M1341" s="65">
        <v>0</v>
      </c>
      <c r="N1341" s="65">
        <v>0</v>
      </c>
      <c r="O1341" s="65">
        <v>0</v>
      </c>
      <c r="P1341" s="65">
        <v>0</v>
      </c>
      <c r="Q1341" s="50">
        <v>349268.81</v>
      </c>
      <c r="R1341" s="65">
        <v>0</v>
      </c>
      <c r="S1341" s="65">
        <v>0</v>
      </c>
      <c r="T1341" s="65">
        <v>0</v>
      </c>
      <c r="U1341" s="65">
        <v>0</v>
      </c>
      <c r="V1341" s="65">
        <v>0</v>
      </c>
      <c r="W1341" s="65">
        <v>0</v>
      </c>
      <c r="X1341" s="65">
        <v>0</v>
      </c>
      <c r="Y1341" s="65">
        <v>0</v>
      </c>
      <c r="Z1341" s="65">
        <v>349268.81</v>
      </c>
      <c r="AA1341" s="51">
        <v>0</v>
      </c>
      <c r="AB1341" s="102">
        <v>0</v>
      </c>
      <c r="AC1341" s="81">
        <f t="shared" si="63"/>
        <v>0</v>
      </c>
      <c r="AD1341" s="82">
        <f t="shared" si="64"/>
        <v>0</v>
      </c>
      <c r="AE1341" s="218">
        <v>0</v>
      </c>
      <c r="AF1341">
        <v>0</v>
      </c>
      <c r="AH1341" t="str">
        <f t="shared" si="65"/>
        <v>Sahibpur Kamal</v>
      </c>
      <c r="AJ1341" s="72">
        <v>0</v>
      </c>
      <c r="AK1341" s="72"/>
      <c r="AL1341" s="72"/>
      <c r="AM1341" s="72"/>
    </row>
    <row r="1342" spans="1:39" x14ac:dyDescent="0.25">
      <c r="A1342" s="37" t="s">
        <v>62</v>
      </c>
      <c r="B1342" s="66" t="s">
        <v>1638</v>
      </c>
      <c r="C1342" s="47">
        <v>1011</v>
      </c>
      <c r="D1342" s="47" t="s">
        <v>281</v>
      </c>
      <c r="E1342" s="41">
        <v>10110013</v>
      </c>
      <c r="F1342" s="46" t="s">
        <v>287</v>
      </c>
      <c r="G1342" s="39" t="s">
        <v>92</v>
      </c>
      <c r="H1342" s="48" t="s">
        <v>93</v>
      </c>
      <c r="I1342" s="52">
        <v>956.59999999999991</v>
      </c>
      <c r="J1342" s="49">
        <v>36467.879999999997</v>
      </c>
      <c r="K1342" s="65">
        <v>958</v>
      </c>
      <c r="L1342" s="65">
        <v>37047.75</v>
      </c>
      <c r="M1342" s="65">
        <v>1.2</v>
      </c>
      <c r="N1342" s="65">
        <v>46.2</v>
      </c>
      <c r="O1342" s="65">
        <v>959.2</v>
      </c>
      <c r="P1342" s="65">
        <v>37093.949999999997</v>
      </c>
      <c r="Q1342" s="50">
        <v>36467.879999999997</v>
      </c>
      <c r="R1342" s="65">
        <v>0</v>
      </c>
      <c r="S1342" s="65">
        <v>46.2</v>
      </c>
      <c r="T1342" s="65">
        <v>626.06999999999971</v>
      </c>
      <c r="U1342" s="65">
        <v>1350</v>
      </c>
      <c r="V1342" s="65">
        <v>0</v>
      </c>
      <c r="W1342" s="65">
        <v>0</v>
      </c>
      <c r="X1342" s="65">
        <v>35072</v>
      </c>
      <c r="Y1342" s="65">
        <v>0</v>
      </c>
      <c r="Z1342" s="65">
        <v>0</v>
      </c>
      <c r="AA1342" s="51">
        <v>0</v>
      </c>
      <c r="AB1342" s="102">
        <v>0</v>
      </c>
      <c r="AC1342" s="81">
        <f t="shared" si="63"/>
        <v>0</v>
      </c>
      <c r="AD1342" s="82">
        <f t="shared" si="64"/>
        <v>0</v>
      </c>
      <c r="AE1342" s="218">
        <v>-1.7167710324811854E-2</v>
      </c>
      <c r="AF1342">
        <v>6</v>
      </c>
      <c r="AH1342" t="str">
        <f t="shared" si="65"/>
        <v>Sahibpur Kamal</v>
      </c>
      <c r="AJ1342" s="72">
        <v>0</v>
      </c>
      <c r="AK1342" s="72"/>
      <c r="AL1342" s="72"/>
      <c r="AM1342" s="72"/>
    </row>
    <row r="1343" spans="1:39" x14ac:dyDescent="0.25">
      <c r="A1343" s="37" t="s">
        <v>62</v>
      </c>
      <c r="B1343" s="66" t="s">
        <v>1638</v>
      </c>
      <c r="C1343" s="47">
        <v>1011</v>
      </c>
      <c r="D1343" s="47" t="s">
        <v>281</v>
      </c>
      <c r="E1343" s="41">
        <v>10110014</v>
      </c>
      <c r="F1343" s="46" t="s">
        <v>288</v>
      </c>
      <c r="G1343" s="39" t="s">
        <v>92</v>
      </c>
      <c r="H1343" s="48" t="s">
        <v>93</v>
      </c>
      <c r="I1343" s="52">
        <v>1233.8000000000004</v>
      </c>
      <c r="J1343" s="49">
        <v>55381.580000000009</v>
      </c>
      <c r="K1343" s="65">
        <v>1213.5999999999997</v>
      </c>
      <c r="L1343" s="65">
        <v>53556.210000000014</v>
      </c>
      <c r="M1343" s="65">
        <v>40.700000000000003</v>
      </c>
      <c r="N1343" s="65">
        <v>1700.0500000000002</v>
      </c>
      <c r="O1343" s="65">
        <v>1254.2999999999997</v>
      </c>
      <c r="P1343" s="65">
        <v>55256.260000000017</v>
      </c>
      <c r="Q1343" s="50">
        <v>55256.260000000017</v>
      </c>
      <c r="R1343" s="65">
        <v>0</v>
      </c>
      <c r="S1343" s="65">
        <v>1700.0500000000002</v>
      </c>
      <c r="T1343" s="65">
        <v>0</v>
      </c>
      <c r="U1343" s="65">
        <v>0</v>
      </c>
      <c r="V1343" s="65">
        <v>0</v>
      </c>
      <c r="W1343" s="65">
        <v>0</v>
      </c>
      <c r="X1343" s="65">
        <v>53556</v>
      </c>
      <c r="Y1343" s="65">
        <v>0</v>
      </c>
      <c r="Z1343" s="65">
        <v>0</v>
      </c>
      <c r="AA1343" s="51">
        <v>126</v>
      </c>
      <c r="AB1343" s="102">
        <v>0</v>
      </c>
      <c r="AC1343" s="81">
        <f t="shared" si="63"/>
        <v>0</v>
      </c>
      <c r="AD1343" s="82">
        <f t="shared" si="64"/>
        <v>0</v>
      </c>
      <c r="AE1343" s="218">
        <v>2.2628462387673377E-3</v>
      </c>
      <c r="AF1343">
        <v>39</v>
      </c>
      <c r="AH1343" t="str">
        <f t="shared" si="65"/>
        <v>Sahibpur Kamal</v>
      </c>
      <c r="AJ1343" s="72">
        <v>0</v>
      </c>
      <c r="AK1343" s="72"/>
      <c r="AL1343" s="72"/>
      <c r="AM1343" s="72"/>
    </row>
    <row r="1344" spans="1:39" x14ac:dyDescent="0.25">
      <c r="A1344" s="37" t="s">
        <v>62</v>
      </c>
      <c r="B1344" s="66" t="s">
        <v>1638</v>
      </c>
      <c r="C1344" s="47">
        <v>1055</v>
      </c>
      <c r="D1344" s="47" t="s">
        <v>1125</v>
      </c>
      <c r="E1344" s="41">
        <v>10110015</v>
      </c>
      <c r="F1344" s="46" t="s">
        <v>289</v>
      </c>
      <c r="G1344" s="39" t="s">
        <v>92</v>
      </c>
      <c r="H1344" s="48" t="s">
        <v>93</v>
      </c>
      <c r="I1344" s="52">
        <v>662.80000000000007</v>
      </c>
      <c r="J1344" s="49">
        <v>28897.78</v>
      </c>
      <c r="K1344" s="65">
        <v>688.79</v>
      </c>
      <c r="L1344" s="65">
        <v>29437.940000000002</v>
      </c>
      <c r="M1344" s="65">
        <v>0</v>
      </c>
      <c r="N1344" s="65">
        <v>0</v>
      </c>
      <c r="O1344" s="65">
        <v>688.79</v>
      </c>
      <c r="P1344" s="65">
        <v>29437.940000000002</v>
      </c>
      <c r="Q1344" s="50">
        <v>28897.78</v>
      </c>
      <c r="R1344" s="65">
        <v>0</v>
      </c>
      <c r="S1344" s="65">
        <v>0</v>
      </c>
      <c r="T1344" s="65">
        <v>540.16000000000349</v>
      </c>
      <c r="U1344" s="65">
        <v>0</v>
      </c>
      <c r="V1344" s="65">
        <v>0</v>
      </c>
      <c r="W1344" s="65">
        <v>0</v>
      </c>
      <c r="X1344" s="65">
        <v>28898</v>
      </c>
      <c r="Y1344" s="65">
        <v>0</v>
      </c>
      <c r="Z1344" s="65">
        <v>0</v>
      </c>
      <c r="AA1344" s="51">
        <v>0</v>
      </c>
      <c r="AB1344" s="102">
        <v>0</v>
      </c>
      <c r="AC1344" s="81">
        <f t="shared" si="63"/>
        <v>32.438063246831547</v>
      </c>
      <c r="AD1344" s="82">
        <f t="shared" si="64"/>
        <v>94.685714285714297</v>
      </c>
      <c r="AE1344" s="218">
        <v>-1.8692093302669046E-2</v>
      </c>
      <c r="AF1344">
        <v>7</v>
      </c>
      <c r="AH1344" t="str">
        <f t="shared" si="65"/>
        <v>Matihani</v>
      </c>
      <c r="AJ1344" s="72">
        <v>0</v>
      </c>
      <c r="AK1344" s="72"/>
      <c r="AL1344" s="72"/>
      <c r="AM1344" s="72"/>
    </row>
    <row r="1345" spans="1:39" x14ac:dyDescent="0.25">
      <c r="A1345" s="37" t="s">
        <v>62</v>
      </c>
      <c r="B1345" s="66" t="s">
        <v>1638</v>
      </c>
      <c r="C1345" s="47">
        <v>1055</v>
      </c>
      <c r="D1345" s="47" t="s">
        <v>1125</v>
      </c>
      <c r="E1345" s="41">
        <v>10110016</v>
      </c>
      <c r="F1345" s="46" t="s">
        <v>290</v>
      </c>
      <c r="G1345" s="39" t="s">
        <v>92</v>
      </c>
      <c r="H1345" s="48" t="s">
        <v>93</v>
      </c>
      <c r="I1345" s="52">
        <v>611.4</v>
      </c>
      <c r="J1345" s="49">
        <v>25608.06</v>
      </c>
      <c r="K1345" s="65">
        <v>608.6</v>
      </c>
      <c r="L1345" s="65">
        <v>25628.53</v>
      </c>
      <c r="M1345" s="65">
        <v>3.5</v>
      </c>
      <c r="N1345" s="65">
        <v>147.99</v>
      </c>
      <c r="O1345" s="65">
        <v>612.1</v>
      </c>
      <c r="P1345" s="65">
        <v>25776.52</v>
      </c>
      <c r="Q1345" s="50">
        <v>25608.06</v>
      </c>
      <c r="R1345" s="65">
        <v>0</v>
      </c>
      <c r="S1345" s="65">
        <v>147.99</v>
      </c>
      <c r="T1345" s="65">
        <v>168.45999999999913</v>
      </c>
      <c r="U1345" s="65">
        <v>0</v>
      </c>
      <c r="V1345" s="65">
        <v>0</v>
      </c>
      <c r="W1345" s="65">
        <v>0</v>
      </c>
      <c r="X1345" s="65">
        <v>25460</v>
      </c>
      <c r="Y1345" s="65">
        <v>0</v>
      </c>
      <c r="Z1345" s="65">
        <v>0</v>
      </c>
      <c r="AA1345" s="51">
        <v>0</v>
      </c>
      <c r="AB1345" s="102">
        <v>0</v>
      </c>
      <c r="AC1345" s="81">
        <f t="shared" ref="AC1345:AC1408" si="66">((IF(AD1345=0,0,100-AD1345))*7*(J1345/I1345))*2%</f>
        <v>74.218976643768414</v>
      </c>
      <c r="AD1345" s="82">
        <f t="shared" ref="AD1345:AD1408" si="67">IF((I1345/7)&gt;100,0,(I1345/7))</f>
        <v>87.342857142857142</v>
      </c>
      <c r="AE1345" s="218">
        <v>-6.5783975826360572E-3</v>
      </c>
      <c r="AF1345">
        <v>6</v>
      </c>
      <c r="AJ1345" s="72">
        <v>0</v>
      </c>
      <c r="AK1345" s="72"/>
      <c r="AL1345" s="72"/>
      <c r="AM1345" s="72"/>
    </row>
    <row r="1346" spans="1:39" x14ac:dyDescent="0.25">
      <c r="A1346" s="37" t="s">
        <v>62</v>
      </c>
      <c r="B1346" s="66" t="s">
        <v>1638</v>
      </c>
      <c r="C1346" s="47">
        <v>1011</v>
      </c>
      <c r="D1346" s="47" t="s">
        <v>281</v>
      </c>
      <c r="E1346" s="41">
        <v>10110021</v>
      </c>
      <c r="F1346" s="46" t="s">
        <v>291</v>
      </c>
      <c r="G1346" s="39" t="s">
        <v>92</v>
      </c>
      <c r="H1346" s="48" t="s">
        <v>93</v>
      </c>
      <c r="I1346" s="52">
        <v>125.39999999999999</v>
      </c>
      <c r="J1346" s="49">
        <v>5432.11</v>
      </c>
      <c r="K1346" s="65">
        <v>130.77000000000001</v>
      </c>
      <c r="L1346" s="65">
        <v>5962.51</v>
      </c>
      <c r="M1346" s="65">
        <v>1.48</v>
      </c>
      <c r="N1346" s="65">
        <v>66.279999999999987</v>
      </c>
      <c r="O1346" s="65">
        <v>132.25</v>
      </c>
      <c r="P1346" s="65">
        <v>6028.79</v>
      </c>
      <c r="Q1346" s="50">
        <v>5432.11</v>
      </c>
      <c r="R1346" s="65">
        <v>0</v>
      </c>
      <c r="S1346" s="65">
        <v>66.279999999999987</v>
      </c>
      <c r="T1346" s="65">
        <v>596.68000000000029</v>
      </c>
      <c r="U1346" s="65">
        <v>0</v>
      </c>
      <c r="V1346" s="65">
        <v>0</v>
      </c>
      <c r="W1346" s="65">
        <v>0</v>
      </c>
      <c r="X1346" s="65">
        <v>5366</v>
      </c>
      <c r="Y1346" s="65">
        <v>0</v>
      </c>
      <c r="Z1346" s="65">
        <v>0</v>
      </c>
      <c r="AA1346" s="51">
        <v>0</v>
      </c>
      <c r="AB1346" s="102" t="s">
        <v>1366</v>
      </c>
      <c r="AC1346" s="81">
        <f t="shared" si="66"/>
        <v>497.81346188197773</v>
      </c>
      <c r="AD1346" s="82">
        <f t="shared" si="67"/>
        <v>17.914285714285715</v>
      </c>
      <c r="AE1346" s="218">
        <v>-0.10984313646078601</v>
      </c>
      <c r="AF1346">
        <v>5</v>
      </c>
      <c r="AH1346" t="str">
        <f t="shared" si="65"/>
        <v>Sahibpur Kamal</v>
      </c>
      <c r="AJ1346" s="72">
        <v>0</v>
      </c>
      <c r="AK1346" s="72"/>
      <c r="AL1346" s="72"/>
      <c r="AM1346" s="72"/>
    </row>
    <row r="1347" spans="1:39" x14ac:dyDescent="0.25">
      <c r="A1347" s="37" t="s">
        <v>62</v>
      </c>
      <c r="B1347" s="66" t="s">
        <v>1638</v>
      </c>
      <c r="C1347" s="47">
        <v>1011</v>
      </c>
      <c r="D1347" s="47" t="s">
        <v>281</v>
      </c>
      <c r="E1347" s="41">
        <v>10110032</v>
      </c>
      <c r="F1347" s="46" t="s">
        <v>1232</v>
      </c>
      <c r="G1347" s="39" t="s">
        <v>92</v>
      </c>
      <c r="H1347" s="48" t="s">
        <v>93</v>
      </c>
      <c r="I1347" s="52">
        <v>118.2</v>
      </c>
      <c r="J1347" s="49">
        <v>4575.6200000000008</v>
      </c>
      <c r="K1347" s="65">
        <v>117.4</v>
      </c>
      <c r="L1347" s="65">
        <v>4453.87</v>
      </c>
      <c r="M1347" s="65">
        <v>0.60000000000000009</v>
      </c>
      <c r="N1347" s="65">
        <v>22.91</v>
      </c>
      <c r="O1347" s="65">
        <v>118</v>
      </c>
      <c r="P1347" s="65">
        <v>4476.78</v>
      </c>
      <c r="Q1347" s="50">
        <v>4476.78</v>
      </c>
      <c r="R1347" s="65">
        <v>0</v>
      </c>
      <c r="S1347" s="65">
        <v>22.91</v>
      </c>
      <c r="T1347" s="65">
        <v>0</v>
      </c>
      <c r="U1347" s="65">
        <v>0</v>
      </c>
      <c r="V1347" s="65">
        <v>500</v>
      </c>
      <c r="W1347" s="65">
        <v>0</v>
      </c>
      <c r="X1347" s="65">
        <v>3954</v>
      </c>
      <c r="Y1347" s="65">
        <v>0</v>
      </c>
      <c r="Z1347" s="65">
        <v>0</v>
      </c>
      <c r="AA1347" s="51">
        <v>99</v>
      </c>
      <c r="AB1347" s="102">
        <v>0</v>
      </c>
      <c r="AC1347" s="81">
        <f t="shared" si="66"/>
        <v>450.43920744500849</v>
      </c>
      <c r="AD1347" s="82">
        <f t="shared" si="67"/>
        <v>16.885714285714286</v>
      </c>
      <c r="AE1347" s="218">
        <v>2.1601444175871475E-2</v>
      </c>
      <c r="AF1347">
        <v>2</v>
      </c>
      <c r="AH1347" t="str">
        <f t="shared" si="65"/>
        <v>Sahibpur Kamal</v>
      </c>
      <c r="AJ1347" s="72">
        <v>500</v>
      </c>
      <c r="AK1347" s="72"/>
      <c r="AL1347" s="72"/>
      <c r="AM1347" s="72"/>
    </row>
    <row r="1348" spans="1:39" x14ac:dyDescent="0.25">
      <c r="A1348" s="37" t="s">
        <v>62</v>
      </c>
      <c r="B1348" s="66" t="s">
        <v>1638</v>
      </c>
      <c r="C1348" s="47">
        <v>1055</v>
      </c>
      <c r="D1348" s="47" t="s">
        <v>1125</v>
      </c>
      <c r="E1348" s="41">
        <v>10110042</v>
      </c>
      <c r="F1348" s="46" t="s">
        <v>293</v>
      </c>
      <c r="G1348" s="39" t="s">
        <v>1610</v>
      </c>
      <c r="H1348" s="48" t="s">
        <v>98</v>
      </c>
      <c r="I1348" s="52">
        <v>513.20000000000005</v>
      </c>
      <c r="J1348" s="49">
        <v>20507.04</v>
      </c>
      <c r="K1348" s="65">
        <v>0</v>
      </c>
      <c r="L1348" s="65">
        <v>0</v>
      </c>
      <c r="M1348" s="65">
        <v>0</v>
      </c>
      <c r="N1348" s="65">
        <v>0</v>
      </c>
      <c r="O1348" s="65">
        <v>0</v>
      </c>
      <c r="P1348" s="65">
        <v>0</v>
      </c>
      <c r="Q1348" s="50">
        <v>20507.04</v>
      </c>
      <c r="R1348" s="65">
        <v>0</v>
      </c>
      <c r="S1348" s="65">
        <v>0</v>
      </c>
      <c r="T1348" s="65">
        <v>0</v>
      </c>
      <c r="U1348" s="65">
        <v>0</v>
      </c>
      <c r="V1348" s="65">
        <v>0</v>
      </c>
      <c r="W1348" s="65">
        <v>0</v>
      </c>
      <c r="X1348" s="65">
        <v>0</v>
      </c>
      <c r="Y1348" s="65">
        <v>0</v>
      </c>
      <c r="Z1348" s="65">
        <v>20507.04</v>
      </c>
      <c r="AA1348" s="51">
        <v>0</v>
      </c>
      <c r="AB1348" s="102">
        <v>0</v>
      </c>
      <c r="AC1348" s="81">
        <f t="shared" si="66"/>
        <v>149.28741512081058</v>
      </c>
      <c r="AD1348" s="82">
        <f t="shared" si="67"/>
        <v>73.314285714285717</v>
      </c>
      <c r="AE1348" s="218">
        <v>0</v>
      </c>
      <c r="AF1348">
        <v>0</v>
      </c>
      <c r="AH1348" t="str">
        <f t="shared" si="65"/>
        <v>Matihani</v>
      </c>
      <c r="AJ1348" s="72">
        <v>0</v>
      </c>
      <c r="AK1348" s="72"/>
      <c r="AL1348" s="72"/>
      <c r="AM1348" s="72"/>
    </row>
    <row r="1349" spans="1:39" x14ac:dyDescent="0.25">
      <c r="A1349" s="37" t="s">
        <v>62</v>
      </c>
      <c r="B1349" s="66" t="s">
        <v>1638</v>
      </c>
      <c r="C1349" s="47">
        <v>1011</v>
      </c>
      <c r="D1349" s="47" t="s">
        <v>281</v>
      </c>
      <c r="E1349" s="41">
        <v>10110043</v>
      </c>
      <c r="F1349" s="46" t="s">
        <v>294</v>
      </c>
      <c r="G1349" s="39" t="s">
        <v>92</v>
      </c>
      <c r="H1349" s="48" t="s">
        <v>98</v>
      </c>
      <c r="I1349" s="52">
        <v>1461</v>
      </c>
      <c r="J1349" s="49">
        <v>63438.160000000011</v>
      </c>
      <c r="K1349" s="65">
        <v>0</v>
      </c>
      <c r="L1349" s="65">
        <v>0</v>
      </c>
      <c r="M1349" s="65">
        <v>0</v>
      </c>
      <c r="N1349" s="65">
        <v>0</v>
      </c>
      <c r="O1349" s="65">
        <v>0</v>
      </c>
      <c r="P1349" s="65">
        <v>0</v>
      </c>
      <c r="Q1349" s="50">
        <v>63438.160000000011</v>
      </c>
      <c r="R1349" s="65">
        <v>0</v>
      </c>
      <c r="S1349" s="65">
        <v>0</v>
      </c>
      <c r="T1349" s="65">
        <v>0</v>
      </c>
      <c r="U1349" s="65">
        <v>0</v>
      </c>
      <c r="V1349" s="65">
        <v>0</v>
      </c>
      <c r="W1349" s="65">
        <v>0</v>
      </c>
      <c r="X1349" s="65">
        <v>0</v>
      </c>
      <c r="Y1349" s="65">
        <v>0</v>
      </c>
      <c r="Z1349" s="65">
        <v>63438.160000000011</v>
      </c>
      <c r="AA1349" s="51">
        <v>0</v>
      </c>
      <c r="AB1349" s="102">
        <v>0</v>
      </c>
      <c r="AC1349" s="81">
        <f t="shared" si="66"/>
        <v>0</v>
      </c>
      <c r="AD1349" s="82">
        <f t="shared" si="67"/>
        <v>0</v>
      </c>
      <c r="AE1349" s="218">
        <v>0</v>
      </c>
      <c r="AF1349">
        <v>0</v>
      </c>
      <c r="AH1349" t="str">
        <f t="shared" si="65"/>
        <v>Sahibpur Kamal</v>
      </c>
      <c r="AJ1349" s="72">
        <v>0</v>
      </c>
      <c r="AK1349" s="72"/>
      <c r="AL1349" s="72"/>
      <c r="AM1349" s="72"/>
    </row>
    <row r="1350" spans="1:39" x14ac:dyDescent="0.25">
      <c r="A1350" s="37" t="s">
        <v>62</v>
      </c>
      <c r="B1350" s="66" t="s">
        <v>1638</v>
      </c>
      <c r="C1350" s="47">
        <v>1011</v>
      </c>
      <c r="D1350" s="47" t="s">
        <v>281</v>
      </c>
      <c r="E1350" s="41">
        <v>10110049</v>
      </c>
      <c r="F1350" s="46" t="s">
        <v>1318</v>
      </c>
      <c r="G1350" s="39" t="s">
        <v>92</v>
      </c>
      <c r="H1350" s="48" t="s">
        <v>93</v>
      </c>
      <c r="I1350" s="52">
        <v>818.40000000000009</v>
      </c>
      <c r="J1350" s="49">
        <v>31875.93</v>
      </c>
      <c r="K1350" s="65">
        <v>822.10000000000014</v>
      </c>
      <c r="L1350" s="65">
        <v>32977.699999999997</v>
      </c>
      <c r="M1350" s="65">
        <v>3.9999999999999996</v>
      </c>
      <c r="N1350" s="65">
        <v>159.68</v>
      </c>
      <c r="O1350" s="65">
        <v>826.10000000000014</v>
      </c>
      <c r="P1350" s="65">
        <v>33137.379999999997</v>
      </c>
      <c r="Q1350" s="50">
        <v>31875.93</v>
      </c>
      <c r="R1350" s="65">
        <v>0</v>
      </c>
      <c r="S1350" s="65">
        <v>159.68</v>
      </c>
      <c r="T1350" s="65">
        <v>1261.4499999999971</v>
      </c>
      <c r="U1350" s="65">
        <v>0</v>
      </c>
      <c r="V1350" s="65">
        <v>0</v>
      </c>
      <c r="W1350" s="65">
        <v>0</v>
      </c>
      <c r="X1350" s="65">
        <v>31716</v>
      </c>
      <c r="Y1350" s="65">
        <v>0</v>
      </c>
      <c r="Z1350" s="65">
        <v>0</v>
      </c>
      <c r="AA1350" s="51">
        <v>0</v>
      </c>
      <c r="AB1350" s="102">
        <v>0</v>
      </c>
      <c r="AC1350" s="81">
        <f t="shared" si="66"/>
        <v>0</v>
      </c>
      <c r="AD1350" s="82">
        <f t="shared" si="67"/>
        <v>0</v>
      </c>
      <c r="AE1350" s="218">
        <v>-3.9573747338508936E-2</v>
      </c>
      <c r="AF1350">
        <v>5</v>
      </c>
      <c r="AH1350" t="str">
        <f t="shared" si="65"/>
        <v>Sahibpur Kamal</v>
      </c>
      <c r="AJ1350" s="72">
        <v>0</v>
      </c>
      <c r="AK1350" s="72"/>
      <c r="AL1350" s="72"/>
      <c r="AM1350" s="72"/>
    </row>
    <row r="1351" spans="1:39" x14ac:dyDescent="0.25">
      <c r="A1351" s="37" t="s">
        <v>62</v>
      </c>
      <c r="B1351" s="66" t="s">
        <v>1638</v>
      </c>
      <c r="C1351" s="47">
        <v>1011</v>
      </c>
      <c r="D1351" s="47" t="s">
        <v>281</v>
      </c>
      <c r="E1351" s="41">
        <v>10110050</v>
      </c>
      <c r="F1351" s="46" t="s">
        <v>296</v>
      </c>
      <c r="G1351" s="39" t="s">
        <v>92</v>
      </c>
      <c r="H1351" s="48" t="s">
        <v>93</v>
      </c>
      <c r="I1351" s="52">
        <v>1103.6000000000001</v>
      </c>
      <c r="J1351" s="49">
        <v>50601.41</v>
      </c>
      <c r="K1351" s="65">
        <v>1113</v>
      </c>
      <c r="L1351" s="65">
        <v>50897.49</v>
      </c>
      <c r="M1351" s="65">
        <v>0</v>
      </c>
      <c r="N1351" s="65">
        <v>0</v>
      </c>
      <c r="O1351" s="65">
        <v>1113</v>
      </c>
      <c r="P1351" s="65">
        <v>50897.49</v>
      </c>
      <c r="Q1351" s="50">
        <v>50601.41</v>
      </c>
      <c r="R1351" s="65">
        <v>0</v>
      </c>
      <c r="S1351" s="65">
        <v>0</v>
      </c>
      <c r="T1351" s="65">
        <v>296.07999999999447</v>
      </c>
      <c r="U1351" s="65">
        <v>1350</v>
      </c>
      <c r="V1351" s="65">
        <v>0</v>
      </c>
      <c r="W1351" s="65">
        <v>0</v>
      </c>
      <c r="X1351" s="65">
        <v>49251</v>
      </c>
      <c r="Y1351" s="65">
        <v>0</v>
      </c>
      <c r="Z1351" s="65">
        <v>0</v>
      </c>
      <c r="AA1351" s="51">
        <v>0</v>
      </c>
      <c r="AB1351" s="102">
        <v>0</v>
      </c>
      <c r="AC1351" s="81">
        <f t="shared" si="66"/>
        <v>0</v>
      </c>
      <c r="AD1351" s="82">
        <f t="shared" si="67"/>
        <v>0</v>
      </c>
      <c r="AE1351" s="218">
        <v>-5.8512203513695462E-3</v>
      </c>
      <c r="AF1351">
        <v>1</v>
      </c>
      <c r="AH1351" t="str">
        <f t="shared" si="65"/>
        <v>Sahibpur Kamal</v>
      </c>
      <c r="AJ1351" s="72">
        <v>0</v>
      </c>
      <c r="AK1351" s="72"/>
      <c r="AL1351" s="72"/>
      <c r="AM1351" s="72"/>
    </row>
    <row r="1352" spans="1:39" x14ac:dyDescent="0.25">
      <c r="A1352" s="37" t="s">
        <v>62</v>
      </c>
      <c r="B1352" s="66" t="s">
        <v>1638</v>
      </c>
      <c r="C1352" s="47">
        <v>1011</v>
      </c>
      <c r="D1352" s="47" t="s">
        <v>281</v>
      </c>
      <c r="E1352" s="41">
        <v>10110053</v>
      </c>
      <c r="F1352" s="46" t="s">
        <v>297</v>
      </c>
      <c r="G1352" s="39" t="s">
        <v>92</v>
      </c>
      <c r="H1352" s="48" t="s">
        <v>93</v>
      </c>
      <c r="I1352" s="52">
        <v>349.9</v>
      </c>
      <c r="J1352" s="49">
        <v>15102.249999999998</v>
      </c>
      <c r="K1352" s="65">
        <v>348.3</v>
      </c>
      <c r="L1352" s="65">
        <v>14993.080000000002</v>
      </c>
      <c r="M1352" s="65">
        <v>1.5999999999999999</v>
      </c>
      <c r="N1352" s="65">
        <v>69.42</v>
      </c>
      <c r="O1352" s="65">
        <v>349.90000000000003</v>
      </c>
      <c r="P1352" s="65">
        <v>15062.500000000002</v>
      </c>
      <c r="Q1352" s="50">
        <v>15062.500000000002</v>
      </c>
      <c r="R1352" s="65">
        <v>0</v>
      </c>
      <c r="S1352" s="65">
        <v>69.42</v>
      </c>
      <c r="T1352" s="65">
        <v>0</v>
      </c>
      <c r="U1352" s="65">
        <v>0</v>
      </c>
      <c r="V1352" s="65">
        <v>500</v>
      </c>
      <c r="W1352" s="65">
        <v>0</v>
      </c>
      <c r="X1352" s="65">
        <v>14493</v>
      </c>
      <c r="Y1352" s="65">
        <v>0</v>
      </c>
      <c r="Z1352" s="65">
        <v>0</v>
      </c>
      <c r="AA1352" s="51">
        <v>40</v>
      </c>
      <c r="AB1352" s="102">
        <v>0</v>
      </c>
      <c r="AC1352" s="81">
        <f t="shared" si="66"/>
        <v>302.21764647042011</v>
      </c>
      <c r="AD1352" s="82">
        <f t="shared" si="67"/>
        <v>49.98571428571428</v>
      </c>
      <c r="AE1352" s="218">
        <v>2.6320581370323209E-3</v>
      </c>
      <c r="AF1352">
        <v>2</v>
      </c>
      <c r="AH1352" t="str">
        <f t="shared" si="65"/>
        <v>Sahibpur Kamal</v>
      </c>
      <c r="AJ1352" s="72">
        <v>500</v>
      </c>
      <c r="AK1352" s="72"/>
      <c r="AL1352" s="72"/>
      <c r="AM1352" s="72"/>
    </row>
    <row r="1353" spans="1:39" x14ac:dyDescent="0.25">
      <c r="A1353" s="37" t="s">
        <v>62</v>
      </c>
      <c r="B1353" s="66" t="s">
        <v>1638</v>
      </c>
      <c r="C1353" s="47">
        <v>1011</v>
      </c>
      <c r="D1353" s="47" t="s">
        <v>281</v>
      </c>
      <c r="E1353" s="41">
        <v>10110055</v>
      </c>
      <c r="F1353" s="46" t="s">
        <v>298</v>
      </c>
      <c r="G1353" s="39" t="s">
        <v>92</v>
      </c>
      <c r="H1353" s="48" t="s">
        <v>93</v>
      </c>
      <c r="I1353" s="52">
        <v>881.4</v>
      </c>
      <c r="J1353" s="49">
        <v>40375.43</v>
      </c>
      <c r="K1353" s="65">
        <v>715</v>
      </c>
      <c r="L1353" s="65">
        <v>32773.9</v>
      </c>
      <c r="M1353" s="65">
        <v>180</v>
      </c>
      <c r="N1353" s="65">
        <v>8230.35</v>
      </c>
      <c r="O1353" s="65">
        <v>895</v>
      </c>
      <c r="P1353" s="65">
        <v>41004.25</v>
      </c>
      <c r="Q1353" s="50">
        <v>40375.43</v>
      </c>
      <c r="R1353" s="65">
        <v>0</v>
      </c>
      <c r="S1353" s="65">
        <v>0</v>
      </c>
      <c r="T1353" s="65">
        <v>628.81999999999971</v>
      </c>
      <c r="U1353" s="65">
        <v>0</v>
      </c>
      <c r="V1353" s="65">
        <v>0</v>
      </c>
      <c r="W1353" s="65">
        <v>0</v>
      </c>
      <c r="X1353" s="65">
        <v>32145</v>
      </c>
      <c r="Y1353" s="65">
        <v>8230</v>
      </c>
      <c r="Z1353" s="65">
        <v>0</v>
      </c>
      <c r="AA1353" s="51">
        <v>0</v>
      </c>
      <c r="AB1353" s="102">
        <v>0</v>
      </c>
      <c r="AC1353" s="81">
        <f t="shared" si="66"/>
        <v>0</v>
      </c>
      <c r="AD1353" s="82">
        <f t="shared" si="67"/>
        <v>0</v>
      </c>
      <c r="AE1353" s="218">
        <v>-1.5574323295132701E-2</v>
      </c>
      <c r="AF1353">
        <v>5</v>
      </c>
      <c r="AH1353" t="str">
        <f t="shared" si="65"/>
        <v>Sahibpur Kamal</v>
      </c>
      <c r="AJ1353" s="72">
        <v>0</v>
      </c>
      <c r="AK1353" s="72"/>
      <c r="AL1353" s="72"/>
      <c r="AM1353" s="72"/>
    </row>
    <row r="1354" spans="1:39" x14ac:dyDescent="0.25">
      <c r="A1354" s="37" t="s">
        <v>62</v>
      </c>
      <c r="B1354" s="66" t="s">
        <v>1638</v>
      </c>
      <c r="C1354" s="47">
        <v>1011</v>
      </c>
      <c r="D1354" s="47" t="s">
        <v>281</v>
      </c>
      <c r="E1354" s="41">
        <v>10110057</v>
      </c>
      <c r="F1354" s="46" t="s">
        <v>299</v>
      </c>
      <c r="G1354" s="39" t="s">
        <v>1610</v>
      </c>
      <c r="H1354" s="48" t="s">
        <v>93</v>
      </c>
      <c r="I1354" s="52">
        <v>257.3</v>
      </c>
      <c r="J1354" s="49">
        <v>11458.01</v>
      </c>
      <c r="K1354" s="65">
        <v>257</v>
      </c>
      <c r="L1354" s="65">
        <v>11431.36</v>
      </c>
      <c r="M1354" s="65">
        <v>0</v>
      </c>
      <c r="N1354" s="65">
        <v>0</v>
      </c>
      <c r="O1354" s="65">
        <v>257</v>
      </c>
      <c r="P1354" s="65">
        <v>11431.36</v>
      </c>
      <c r="Q1354" s="50">
        <v>11431.36</v>
      </c>
      <c r="R1354" s="65">
        <v>0</v>
      </c>
      <c r="S1354" s="65">
        <v>0</v>
      </c>
      <c r="T1354" s="65">
        <v>0</v>
      </c>
      <c r="U1354" s="65">
        <v>0</v>
      </c>
      <c r="V1354" s="65">
        <v>0</v>
      </c>
      <c r="W1354" s="65">
        <v>0</v>
      </c>
      <c r="X1354" s="65">
        <v>11431</v>
      </c>
      <c r="Y1354" s="65">
        <v>0</v>
      </c>
      <c r="Z1354" s="65">
        <v>0</v>
      </c>
      <c r="AA1354" s="51">
        <v>27</v>
      </c>
      <c r="AB1354" s="102">
        <v>0</v>
      </c>
      <c r="AC1354" s="81">
        <f t="shared" si="66"/>
        <v>394.28379533618346</v>
      </c>
      <c r="AD1354" s="82">
        <f t="shared" si="67"/>
        <v>36.75714285714286</v>
      </c>
      <c r="AE1354" s="218">
        <v>2.3258838140305022E-3</v>
      </c>
      <c r="AF1354">
        <v>1</v>
      </c>
      <c r="AH1354" t="str">
        <f t="shared" si="65"/>
        <v>Sahibpur Kamal</v>
      </c>
      <c r="AJ1354" s="72">
        <v>0</v>
      </c>
      <c r="AK1354" s="72"/>
      <c r="AL1354" s="72"/>
      <c r="AM1354" s="72"/>
    </row>
    <row r="1355" spans="1:39" x14ac:dyDescent="0.25">
      <c r="A1355" s="37" t="s">
        <v>62</v>
      </c>
      <c r="B1355" s="66" t="s">
        <v>1638</v>
      </c>
      <c r="C1355" s="47">
        <v>1011</v>
      </c>
      <c r="D1355" s="47" t="s">
        <v>281</v>
      </c>
      <c r="E1355" s="41">
        <v>10110065</v>
      </c>
      <c r="F1355" s="46" t="s">
        <v>300</v>
      </c>
      <c r="G1355" s="39" t="s">
        <v>92</v>
      </c>
      <c r="H1355" s="48" t="s">
        <v>93</v>
      </c>
      <c r="I1355" s="52">
        <v>762.49999999999989</v>
      </c>
      <c r="J1355" s="49">
        <v>30414.44</v>
      </c>
      <c r="K1355" s="65">
        <v>756.4</v>
      </c>
      <c r="L1355" s="65">
        <v>29771.56</v>
      </c>
      <c r="M1355" s="65">
        <v>3.36</v>
      </c>
      <c r="N1355" s="65">
        <v>138.25000000000003</v>
      </c>
      <c r="O1355" s="65">
        <v>759.76</v>
      </c>
      <c r="P1355" s="65">
        <v>29909.81</v>
      </c>
      <c r="Q1355" s="50">
        <v>29909.81</v>
      </c>
      <c r="R1355" s="65">
        <v>0</v>
      </c>
      <c r="S1355" s="65">
        <v>138.25000000000003</v>
      </c>
      <c r="T1355" s="65">
        <v>0</v>
      </c>
      <c r="U1355" s="65">
        <v>4426</v>
      </c>
      <c r="V1355" s="65">
        <v>0</v>
      </c>
      <c r="W1355" s="65">
        <v>0</v>
      </c>
      <c r="X1355" s="65">
        <v>25347</v>
      </c>
      <c r="Y1355" s="65">
        <v>0</v>
      </c>
      <c r="Z1355" s="65">
        <v>0</v>
      </c>
      <c r="AA1355" s="51">
        <v>503</v>
      </c>
      <c r="AB1355" s="102" t="s">
        <v>68</v>
      </c>
      <c r="AC1355" s="81">
        <f t="shared" si="66"/>
        <v>0</v>
      </c>
      <c r="AD1355" s="82">
        <f t="shared" si="67"/>
        <v>0</v>
      </c>
      <c r="AE1355" s="218">
        <v>1.6591789952404103E-2</v>
      </c>
      <c r="AF1355">
        <v>18</v>
      </c>
      <c r="AH1355" t="str">
        <f t="shared" si="65"/>
        <v>Sahibpur Kamal</v>
      </c>
      <c r="AJ1355" s="72">
        <v>0</v>
      </c>
      <c r="AK1355" s="72"/>
      <c r="AL1355" s="72"/>
      <c r="AM1355" s="72"/>
    </row>
    <row r="1356" spans="1:39" x14ac:dyDescent="0.25">
      <c r="A1356" s="37" t="s">
        <v>62</v>
      </c>
      <c r="B1356" s="66" t="s">
        <v>1638</v>
      </c>
      <c r="C1356" s="47">
        <v>1011</v>
      </c>
      <c r="D1356" s="47" t="s">
        <v>281</v>
      </c>
      <c r="E1356" s="41">
        <v>10110066</v>
      </c>
      <c r="F1356" s="46" t="s">
        <v>301</v>
      </c>
      <c r="G1356" s="39" t="s">
        <v>92</v>
      </c>
      <c r="H1356" s="48" t="s">
        <v>93</v>
      </c>
      <c r="I1356" s="52">
        <v>911.69999999999993</v>
      </c>
      <c r="J1356" s="49">
        <v>38518.28</v>
      </c>
      <c r="K1356" s="65">
        <v>909.34000000000026</v>
      </c>
      <c r="L1356" s="65">
        <v>38899.520000000004</v>
      </c>
      <c r="M1356" s="65">
        <v>6.16</v>
      </c>
      <c r="N1356" s="65">
        <v>251.24</v>
      </c>
      <c r="O1356" s="65">
        <v>915.50000000000023</v>
      </c>
      <c r="P1356" s="65">
        <v>39150.76</v>
      </c>
      <c r="Q1356" s="50">
        <v>38518.28</v>
      </c>
      <c r="R1356" s="65">
        <v>0</v>
      </c>
      <c r="S1356" s="65">
        <v>251.24</v>
      </c>
      <c r="T1356" s="65">
        <v>632.4800000000032</v>
      </c>
      <c r="U1356" s="65">
        <v>0</v>
      </c>
      <c r="V1356" s="65">
        <v>0</v>
      </c>
      <c r="W1356" s="65">
        <v>0</v>
      </c>
      <c r="X1356" s="65">
        <v>38267</v>
      </c>
      <c r="Y1356" s="65">
        <v>0</v>
      </c>
      <c r="Z1356" s="65">
        <v>0</v>
      </c>
      <c r="AA1356" s="51">
        <v>0</v>
      </c>
      <c r="AB1356" s="102">
        <v>0</v>
      </c>
      <c r="AC1356" s="81">
        <f t="shared" si="66"/>
        <v>0</v>
      </c>
      <c r="AD1356" s="82">
        <f t="shared" si="67"/>
        <v>0</v>
      </c>
      <c r="AE1356" s="218">
        <v>-1.6420255525428529E-2</v>
      </c>
      <c r="AF1356">
        <v>16</v>
      </c>
      <c r="AH1356" t="str">
        <f t="shared" si="65"/>
        <v>Sahibpur Kamal</v>
      </c>
      <c r="AJ1356" s="72">
        <v>0</v>
      </c>
      <c r="AK1356" s="72"/>
      <c r="AL1356" s="72"/>
      <c r="AM1356" s="72"/>
    </row>
    <row r="1357" spans="1:39" x14ac:dyDescent="0.25">
      <c r="A1357" s="37" t="s">
        <v>62</v>
      </c>
      <c r="B1357" s="66" t="s">
        <v>1638</v>
      </c>
      <c r="C1357" s="47">
        <v>1011</v>
      </c>
      <c r="D1357" s="47" t="s">
        <v>281</v>
      </c>
      <c r="E1357" s="41">
        <v>10110071</v>
      </c>
      <c r="F1357" s="46" t="s">
        <v>302</v>
      </c>
      <c r="G1357" s="39" t="s">
        <v>92</v>
      </c>
      <c r="H1357" s="48" t="s">
        <v>93</v>
      </c>
      <c r="I1357" s="52">
        <v>282.89999999999998</v>
      </c>
      <c r="J1357" s="49">
        <v>10188.460000000001</v>
      </c>
      <c r="K1357" s="65">
        <v>360.6</v>
      </c>
      <c r="L1357" s="65">
        <v>14156.36</v>
      </c>
      <c r="M1357" s="65">
        <v>0</v>
      </c>
      <c r="N1357" s="65">
        <v>0</v>
      </c>
      <c r="O1357" s="65">
        <v>360.6</v>
      </c>
      <c r="P1357" s="65">
        <v>14156.36</v>
      </c>
      <c r="Q1357" s="50">
        <v>10188.460000000001</v>
      </c>
      <c r="R1357" s="65">
        <v>0</v>
      </c>
      <c r="S1357" s="65">
        <v>0</v>
      </c>
      <c r="T1357" s="65">
        <v>3967.8999999999996</v>
      </c>
      <c r="U1357" s="65">
        <v>0</v>
      </c>
      <c r="V1357" s="65">
        <v>500</v>
      </c>
      <c r="W1357" s="65">
        <v>0</v>
      </c>
      <c r="X1357" s="65">
        <v>9688</v>
      </c>
      <c r="Y1357" s="65">
        <v>0</v>
      </c>
      <c r="Z1357" s="65">
        <v>0</v>
      </c>
      <c r="AA1357" s="51">
        <v>0</v>
      </c>
      <c r="AB1357" s="102">
        <v>0</v>
      </c>
      <c r="AC1357" s="81">
        <f t="shared" si="66"/>
        <v>300.43171905266888</v>
      </c>
      <c r="AD1357" s="82">
        <f t="shared" si="67"/>
        <v>40.414285714285711</v>
      </c>
      <c r="AE1357" s="218">
        <v>-0.38945041743305653</v>
      </c>
      <c r="AF1357">
        <v>1</v>
      </c>
      <c r="AH1357" t="str">
        <f t="shared" si="65"/>
        <v>Sahibpur Kamal</v>
      </c>
      <c r="AJ1357" s="72">
        <v>500</v>
      </c>
      <c r="AK1357" s="72"/>
      <c r="AL1357" s="72"/>
      <c r="AM1357" s="72"/>
    </row>
    <row r="1358" spans="1:39" x14ac:dyDescent="0.25">
      <c r="A1358" s="37" t="s">
        <v>62</v>
      </c>
      <c r="B1358" s="66" t="s">
        <v>1638</v>
      </c>
      <c r="C1358" s="47">
        <v>1011</v>
      </c>
      <c r="D1358" s="47" t="s">
        <v>281</v>
      </c>
      <c r="E1358" s="41">
        <v>10110073</v>
      </c>
      <c r="F1358" s="46" t="s">
        <v>605</v>
      </c>
      <c r="G1358" s="39" t="s">
        <v>92</v>
      </c>
      <c r="H1358" s="48" t="s">
        <v>93</v>
      </c>
      <c r="I1358" s="52">
        <v>287.39999999999998</v>
      </c>
      <c r="J1358" s="49">
        <v>10589.32</v>
      </c>
      <c r="K1358" s="65">
        <v>285.45000000000005</v>
      </c>
      <c r="L1358" s="65">
        <v>10701.89</v>
      </c>
      <c r="M1358" s="65">
        <v>0</v>
      </c>
      <c r="N1358" s="65">
        <v>0</v>
      </c>
      <c r="O1358" s="65">
        <v>285.45000000000005</v>
      </c>
      <c r="P1358" s="65">
        <v>10701.89</v>
      </c>
      <c r="Q1358" s="50">
        <v>10589.32</v>
      </c>
      <c r="R1358" s="65">
        <v>0</v>
      </c>
      <c r="S1358" s="65">
        <v>0</v>
      </c>
      <c r="T1358" s="65">
        <v>112.56999999999971</v>
      </c>
      <c r="U1358" s="65">
        <v>0</v>
      </c>
      <c r="V1358" s="65">
        <v>500</v>
      </c>
      <c r="W1358" s="65">
        <v>0</v>
      </c>
      <c r="X1358" s="65">
        <v>10089</v>
      </c>
      <c r="Y1358" s="65">
        <v>0</v>
      </c>
      <c r="Z1358" s="65">
        <v>0</v>
      </c>
      <c r="AA1358" s="51">
        <v>0</v>
      </c>
      <c r="AB1358" s="102">
        <v>0</v>
      </c>
      <c r="AC1358" s="81">
        <f t="shared" si="66"/>
        <v>304.04686374391099</v>
      </c>
      <c r="AD1358" s="82">
        <f t="shared" si="67"/>
        <v>41.057142857142857</v>
      </c>
      <c r="AE1358" s="218">
        <v>-1.0630522073183142E-2</v>
      </c>
      <c r="AF1358">
        <v>2</v>
      </c>
      <c r="AH1358" t="str">
        <f t="shared" si="65"/>
        <v>Sahibpur Kamal</v>
      </c>
      <c r="AJ1358" s="72">
        <v>500</v>
      </c>
      <c r="AK1358" s="72"/>
      <c r="AL1358" s="72"/>
      <c r="AM1358" s="72"/>
    </row>
    <row r="1359" spans="1:39" x14ac:dyDescent="0.25">
      <c r="A1359" s="37" t="s">
        <v>62</v>
      </c>
      <c r="B1359" s="66" t="s">
        <v>1638</v>
      </c>
      <c r="C1359" s="47">
        <v>1011</v>
      </c>
      <c r="D1359" s="47" t="s">
        <v>281</v>
      </c>
      <c r="E1359" s="41">
        <v>10110076</v>
      </c>
      <c r="F1359" s="46" t="s">
        <v>303</v>
      </c>
      <c r="G1359" s="39" t="s">
        <v>92</v>
      </c>
      <c r="H1359" s="48" t="s">
        <v>93</v>
      </c>
      <c r="I1359" s="52">
        <v>2068.1</v>
      </c>
      <c r="J1359" s="49">
        <v>86624.550000000017</v>
      </c>
      <c r="K1359" s="65">
        <v>1470.5200000000002</v>
      </c>
      <c r="L1359" s="65">
        <v>67421.510000000009</v>
      </c>
      <c r="M1359" s="65">
        <v>628.56000000000006</v>
      </c>
      <c r="N1359" s="65">
        <v>27831.21</v>
      </c>
      <c r="O1359" s="65">
        <v>2099.0800000000004</v>
      </c>
      <c r="P1359" s="65">
        <v>95252.72</v>
      </c>
      <c r="Q1359" s="50">
        <v>86624.550000000017</v>
      </c>
      <c r="R1359" s="65">
        <v>0</v>
      </c>
      <c r="S1359" s="65">
        <v>273.74</v>
      </c>
      <c r="T1359" s="65">
        <v>8628.1699999999837</v>
      </c>
      <c r="U1359" s="65">
        <v>0</v>
      </c>
      <c r="V1359" s="65">
        <v>0</v>
      </c>
      <c r="W1359" s="65">
        <v>0</v>
      </c>
      <c r="X1359" s="65">
        <v>58794</v>
      </c>
      <c r="Y1359" s="65">
        <v>27557</v>
      </c>
      <c r="Z1359" s="65">
        <v>0</v>
      </c>
      <c r="AA1359" s="51">
        <v>0</v>
      </c>
      <c r="AB1359" s="102">
        <v>0</v>
      </c>
      <c r="AC1359" s="81">
        <f t="shared" si="66"/>
        <v>0</v>
      </c>
      <c r="AD1359" s="82">
        <f t="shared" si="67"/>
        <v>0</v>
      </c>
      <c r="AE1359" s="218">
        <v>-9.9604211508169241E-2</v>
      </c>
      <c r="AF1359">
        <v>13</v>
      </c>
      <c r="AH1359" t="str">
        <f t="shared" si="65"/>
        <v>Sahibpur Kamal</v>
      </c>
      <c r="AJ1359" s="72">
        <v>0</v>
      </c>
      <c r="AK1359" s="72"/>
      <c r="AL1359" s="72"/>
      <c r="AM1359" s="72"/>
    </row>
    <row r="1360" spans="1:39" x14ac:dyDescent="0.25">
      <c r="A1360" s="37" t="s">
        <v>62</v>
      </c>
      <c r="B1360" s="66" t="s">
        <v>1638</v>
      </c>
      <c r="C1360" s="47">
        <v>1011</v>
      </c>
      <c r="D1360" s="47" t="s">
        <v>281</v>
      </c>
      <c r="E1360" s="41">
        <v>10110078</v>
      </c>
      <c r="F1360" s="46" t="s">
        <v>304</v>
      </c>
      <c r="G1360" s="39" t="s">
        <v>1610</v>
      </c>
      <c r="H1360" s="48" t="s">
        <v>93</v>
      </c>
      <c r="I1360" s="52">
        <v>246.30000000000004</v>
      </c>
      <c r="J1360" s="49">
        <v>9235.18</v>
      </c>
      <c r="K1360" s="65">
        <v>246</v>
      </c>
      <c r="L1360" s="65">
        <v>9266.82</v>
      </c>
      <c r="M1360" s="65">
        <v>0</v>
      </c>
      <c r="N1360" s="65">
        <v>0</v>
      </c>
      <c r="O1360" s="65">
        <v>246</v>
      </c>
      <c r="P1360" s="65">
        <v>9266.82</v>
      </c>
      <c r="Q1360" s="50">
        <v>9235.18</v>
      </c>
      <c r="R1360" s="65">
        <v>0</v>
      </c>
      <c r="S1360" s="65">
        <v>0</v>
      </c>
      <c r="T1360" s="65">
        <v>31.639999999999418</v>
      </c>
      <c r="U1360" s="65">
        <v>0</v>
      </c>
      <c r="V1360" s="65">
        <v>0</v>
      </c>
      <c r="W1360" s="65">
        <v>0</v>
      </c>
      <c r="X1360" s="65">
        <v>9235</v>
      </c>
      <c r="Y1360" s="65">
        <v>0</v>
      </c>
      <c r="Z1360" s="65">
        <v>0</v>
      </c>
      <c r="AA1360" s="51">
        <v>0</v>
      </c>
      <c r="AB1360" s="102">
        <v>0</v>
      </c>
      <c r="AC1360" s="81">
        <f t="shared" si="66"/>
        <v>340.23557986195692</v>
      </c>
      <c r="AD1360" s="82">
        <f t="shared" si="67"/>
        <v>35.18571428571429</v>
      </c>
      <c r="AE1360" s="218">
        <v>-3.4260295955248752E-3</v>
      </c>
      <c r="AF1360">
        <v>1</v>
      </c>
      <c r="AH1360" t="str">
        <f t="shared" si="65"/>
        <v>Sahibpur Kamal</v>
      </c>
      <c r="AJ1360" s="72">
        <v>0</v>
      </c>
      <c r="AK1360" s="72"/>
      <c r="AL1360" s="72"/>
      <c r="AM1360" s="72"/>
    </row>
    <row r="1361" spans="1:39" x14ac:dyDescent="0.25">
      <c r="A1361" s="37" t="s">
        <v>62</v>
      </c>
      <c r="B1361" s="66" t="s">
        <v>1638</v>
      </c>
      <c r="C1361" s="47">
        <v>1011</v>
      </c>
      <c r="D1361" s="47" t="s">
        <v>281</v>
      </c>
      <c r="E1361" s="41">
        <v>10110083</v>
      </c>
      <c r="F1361" s="46" t="s">
        <v>424</v>
      </c>
      <c r="G1361" s="39" t="s">
        <v>92</v>
      </c>
      <c r="H1361" s="48" t="s">
        <v>93</v>
      </c>
      <c r="I1361" s="52">
        <v>232.50000000000003</v>
      </c>
      <c r="J1361" s="49">
        <v>9048.1799999999985</v>
      </c>
      <c r="K1361" s="65">
        <v>232</v>
      </c>
      <c r="L1361" s="65">
        <v>9449.36</v>
      </c>
      <c r="M1361" s="65">
        <v>0</v>
      </c>
      <c r="N1361" s="65">
        <v>0</v>
      </c>
      <c r="O1361" s="65">
        <v>232</v>
      </c>
      <c r="P1361" s="65">
        <v>9449.36</v>
      </c>
      <c r="Q1361" s="50">
        <v>9048.1799999999985</v>
      </c>
      <c r="R1361" s="65">
        <v>0</v>
      </c>
      <c r="S1361" s="65">
        <v>0</v>
      </c>
      <c r="T1361" s="65">
        <v>401.18000000000211</v>
      </c>
      <c r="U1361" s="65">
        <v>0</v>
      </c>
      <c r="V1361" s="65">
        <v>0</v>
      </c>
      <c r="W1361" s="65">
        <v>0</v>
      </c>
      <c r="X1361" s="65">
        <v>9048</v>
      </c>
      <c r="Y1361" s="65">
        <v>0</v>
      </c>
      <c r="Z1361" s="65">
        <v>0</v>
      </c>
      <c r="AA1361" s="51">
        <v>0</v>
      </c>
      <c r="AB1361" s="102">
        <v>0</v>
      </c>
      <c r="AC1361" s="81">
        <f t="shared" si="66"/>
        <v>363.87304516129024</v>
      </c>
      <c r="AD1361" s="82">
        <f t="shared" si="67"/>
        <v>33.214285714285715</v>
      </c>
      <c r="AE1361" s="218">
        <v>-4.4338198400120488E-2</v>
      </c>
      <c r="AF1361">
        <v>1</v>
      </c>
      <c r="AH1361" t="str">
        <f t="shared" si="65"/>
        <v>Sahibpur Kamal</v>
      </c>
      <c r="AJ1361" s="72">
        <v>0</v>
      </c>
      <c r="AK1361" s="72"/>
      <c r="AL1361" s="72"/>
      <c r="AM1361" s="72"/>
    </row>
    <row r="1362" spans="1:39" x14ac:dyDescent="0.25">
      <c r="A1362" s="37" t="s">
        <v>62</v>
      </c>
      <c r="B1362" s="66" t="s">
        <v>1638</v>
      </c>
      <c r="C1362" s="47">
        <v>1011</v>
      </c>
      <c r="D1362" s="47" t="s">
        <v>281</v>
      </c>
      <c r="E1362" s="41">
        <v>10110086</v>
      </c>
      <c r="F1362" s="46" t="s">
        <v>428</v>
      </c>
      <c r="G1362" s="39" t="s">
        <v>92</v>
      </c>
      <c r="H1362" s="48" t="s">
        <v>93</v>
      </c>
      <c r="I1362" s="52">
        <v>469.1</v>
      </c>
      <c r="J1362" s="49">
        <v>19722.48</v>
      </c>
      <c r="K1362" s="65">
        <v>486.1</v>
      </c>
      <c r="L1362" s="65">
        <v>21017.08</v>
      </c>
      <c r="M1362" s="65">
        <v>1.8</v>
      </c>
      <c r="N1362" s="65">
        <v>77.28</v>
      </c>
      <c r="O1362" s="65">
        <v>487.90000000000003</v>
      </c>
      <c r="P1362" s="65">
        <v>21094.36</v>
      </c>
      <c r="Q1362" s="50">
        <v>19722.48</v>
      </c>
      <c r="R1362" s="65">
        <v>0</v>
      </c>
      <c r="S1362" s="65">
        <v>77.28</v>
      </c>
      <c r="T1362" s="65">
        <v>1371.880000000001</v>
      </c>
      <c r="U1362" s="65">
        <v>3486.8</v>
      </c>
      <c r="V1362" s="65">
        <v>0</v>
      </c>
      <c r="W1362" s="65">
        <v>0</v>
      </c>
      <c r="X1362" s="65">
        <v>16158</v>
      </c>
      <c r="Y1362" s="65">
        <v>0</v>
      </c>
      <c r="Z1362" s="65">
        <v>0</v>
      </c>
      <c r="AA1362" s="51">
        <v>0</v>
      </c>
      <c r="AB1362" s="102">
        <v>0</v>
      </c>
      <c r="AC1362" s="81">
        <f t="shared" si="66"/>
        <v>194.15564408441693</v>
      </c>
      <c r="AD1362" s="82">
        <f t="shared" si="67"/>
        <v>67.01428571428572</v>
      </c>
      <c r="AE1362" s="218">
        <v>-6.9559203507875325E-2</v>
      </c>
      <c r="AF1362">
        <v>5</v>
      </c>
      <c r="AH1362" t="str">
        <f t="shared" si="65"/>
        <v>Sahibpur Kamal</v>
      </c>
      <c r="AJ1362" s="72">
        <v>0</v>
      </c>
      <c r="AK1362" s="72"/>
      <c r="AL1362" s="72"/>
      <c r="AM1362" s="72"/>
    </row>
    <row r="1363" spans="1:39" x14ac:dyDescent="0.25">
      <c r="A1363" s="37" t="s">
        <v>62</v>
      </c>
      <c r="B1363" s="66" t="s">
        <v>1638</v>
      </c>
      <c r="C1363" s="47">
        <v>1054</v>
      </c>
      <c r="D1363" s="47" t="s">
        <v>808</v>
      </c>
      <c r="E1363" s="41">
        <v>10110093</v>
      </c>
      <c r="F1363" s="46" t="s">
        <v>475</v>
      </c>
      <c r="G1363" s="39" t="s">
        <v>92</v>
      </c>
      <c r="H1363" s="48" t="s">
        <v>93</v>
      </c>
      <c r="I1363" s="52">
        <v>474.59999999999997</v>
      </c>
      <c r="J1363" s="49">
        <v>18734.530000000002</v>
      </c>
      <c r="K1363" s="65">
        <v>476.09999999999997</v>
      </c>
      <c r="L1363" s="65">
        <v>19219.55</v>
      </c>
      <c r="M1363" s="65">
        <v>14</v>
      </c>
      <c r="N1363" s="65">
        <v>564.84</v>
      </c>
      <c r="O1363" s="65">
        <v>490.09999999999997</v>
      </c>
      <c r="P1363" s="65">
        <v>19784.39</v>
      </c>
      <c r="Q1363" s="50">
        <v>18734.530000000002</v>
      </c>
      <c r="R1363" s="65">
        <v>0</v>
      </c>
      <c r="S1363" s="65">
        <v>564.84</v>
      </c>
      <c r="T1363" s="65">
        <v>1049.8599999999969</v>
      </c>
      <c r="U1363" s="65">
        <v>0</v>
      </c>
      <c r="V1363" s="65">
        <v>0</v>
      </c>
      <c r="W1363" s="65">
        <v>0</v>
      </c>
      <c r="X1363" s="65">
        <v>18170</v>
      </c>
      <c r="Y1363" s="65">
        <v>0</v>
      </c>
      <c r="Z1363" s="65">
        <v>0</v>
      </c>
      <c r="AA1363" s="51">
        <v>0</v>
      </c>
      <c r="AB1363" s="102">
        <v>0</v>
      </c>
      <c r="AC1363" s="81">
        <f t="shared" si="66"/>
        <v>177.95040294985259</v>
      </c>
      <c r="AD1363" s="82">
        <f t="shared" si="67"/>
        <v>67.8</v>
      </c>
      <c r="AE1363" s="218">
        <v>-5.6038769053720419E-2</v>
      </c>
      <c r="AF1363">
        <v>3</v>
      </c>
      <c r="AH1363" t="str">
        <f t="shared" si="65"/>
        <v xml:space="preserve">Alauli </v>
      </c>
      <c r="AJ1363" s="72">
        <v>0</v>
      </c>
      <c r="AK1363" s="72"/>
      <c r="AL1363" s="72"/>
      <c r="AM1363" s="72"/>
    </row>
    <row r="1364" spans="1:39" x14ac:dyDescent="0.25">
      <c r="A1364" s="37" t="s">
        <v>62</v>
      </c>
      <c r="B1364" s="66" t="s">
        <v>1638</v>
      </c>
      <c r="C1364" s="47">
        <v>1011</v>
      </c>
      <c r="D1364" s="47" t="s">
        <v>281</v>
      </c>
      <c r="E1364" s="41">
        <v>10110094</v>
      </c>
      <c r="F1364" s="46" t="s">
        <v>476</v>
      </c>
      <c r="G1364" s="39" t="s">
        <v>92</v>
      </c>
      <c r="H1364" s="48" t="s">
        <v>93</v>
      </c>
      <c r="I1364" s="52">
        <v>409.90000000000003</v>
      </c>
      <c r="J1364" s="49">
        <v>16408.18</v>
      </c>
      <c r="K1364" s="65">
        <v>404.09999999999997</v>
      </c>
      <c r="L1364" s="65">
        <v>16083.280000000002</v>
      </c>
      <c r="M1364" s="65">
        <v>6.05</v>
      </c>
      <c r="N1364" s="65">
        <v>239.91</v>
      </c>
      <c r="O1364" s="65">
        <v>410.15</v>
      </c>
      <c r="P1364" s="65">
        <v>16323.190000000002</v>
      </c>
      <c r="Q1364" s="50">
        <v>16323.190000000002</v>
      </c>
      <c r="R1364" s="65">
        <v>0</v>
      </c>
      <c r="S1364" s="65">
        <v>239.91</v>
      </c>
      <c r="T1364" s="65">
        <v>0</v>
      </c>
      <c r="U1364" s="65">
        <v>0</v>
      </c>
      <c r="V1364" s="65">
        <v>0</v>
      </c>
      <c r="W1364" s="65">
        <v>0</v>
      </c>
      <c r="X1364" s="65">
        <v>16083</v>
      </c>
      <c r="Y1364" s="65">
        <v>0</v>
      </c>
      <c r="Z1364" s="65">
        <v>0</v>
      </c>
      <c r="AA1364" s="51">
        <v>85</v>
      </c>
      <c r="AB1364" s="102">
        <v>0</v>
      </c>
      <c r="AC1364" s="81">
        <f t="shared" si="66"/>
        <v>232.25240390339104</v>
      </c>
      <c r="AD1364" s="82">
        <f t="shared" si="67"/>
        <v>58.557142857142864</v>
      </c>
      <c r="AE1364" s="218">
        <v>5.1797335231572273E-3</v>
      </c>
      <c r="AF1364">
        <v>11</v>
      </c>
      <c r="AH1364" t="str">
        <f t="shared" si="65"/>
        <v>Sahibpur Kamal</v>
      </c>
      <c r="AJ1364" s="72">
        <v>0</v>
      </c>
      <c r="AK1364" s="72"/>
      <c r="AL1364" s="72"/>
      <c r="AM1364" s="72"/>
    </row>
    <row r="1365" spans="1:39" x14ac:dyDescent="0.25">
      <c r="A1365" s="37" t="s">
        <v>62</v>
      </c>
      <c r="B1365" s="66" t="s">
        <v>1638</v>
      </c>
      <c r="C1365" s="47">
        <v>1011</v>
      </c>
      <c r="D1365" s="47" t="s">
        <v>281</v>
      </c>
      <c r="E1365" s="41">
        <v>10110095</v>
      </c>
      <c r="F1365" s="46" t="s">
        <v>477</v>
      </c>
      <c r="G1365" s="39" t="s">
        <v>92</v>
      </c>
      <c r="H1365" s="48" t="s">
        <v>93</v>
      </c>
      <c r="I1365" s="52">
        <v>372.1</v>
      </c>
      <c r="J1365" s="49">
        <v>17115.03</v>
      </c>
      <c r="K1365" s="65">
        <v>379.26</v>
      </c>
      <c r="L1365" s="65">
        <v>18412.32</v>
      </c>
      <c r="M1365" s="65">
        <v>6.3900000000000006</v>
      </c>
      <c r="N1365" s="65">
        <v>291.19</v>
      </c>
      <c r="O1365" s="65">
        <v>385.65</v>
      </c>
      <c r="P1365" s="65">
        <v>18703.509999999998</v>
      </c>
      <c r="Q1365" s="50">
        <v>17115.03</v>
      </c>
      <c r="R1365" s="65">
        <v>0</v>
      </c>
      <c r="S1365" s="65">
        <v>291.19</v>
      </c>
      <c r="T1365" s="65">
        <v>1588.4799999999996</v>
      </c>
      <c r="U1365" s="65">
        <v>0</v>
      </c>
      <c r="V1365" s="65">
        <v>0</v>
      </c>
      <c r="W1365" s="65">
        <v>0</v>
      </c>
      <c r="X1365" s="65">
        <v>16824</v>
      </c>
      <c r="Y1365" s="65">
        <v>0</v>
      </c>
      <c r="Z1365" s="65">
        <v>0</v>
      </c>
      <c r="AA1365" s="51">
        <v>0</v>
      </c>
      <c r="AB1365" s="102">
        <v>0</v>
      </c>
      <c r="AC1365" s="81">
        <f t="shared" si="66"/>
        <v>301.64032985756512</v>
      </c>
      <c r="AD1365" s="82">
        <f t="shared" si="67"/>
        <v>53.157142857142858</v>
      </c>
      <c r="AE1365" s="218">
        <v>-9.2811990396744828E-2</v>
      </c>
      <c r="AF1365">
        <v>12</v>
      </c>
      <c r="AH1365" t="str">
        <f t="shared" si="65"/>
        <v>Sahibpur Kamal</v>
      </c>
      <c r="AJ1365" s="72">
        <v>0</v>
      </c>
      <c r="AK1365" s="72"/>
      <c r="AL1365" s="72"/>
      <c r="AM1365" s="72"/>
    </row>
    <row r="1366" spans="1:39" x14ac:dyDescent="0.25">
      <c r="A1366" s="37" t="s">
        <v>62</v>
      </c>
      <c r="B1366" s="66" t="s">
        <v>1638</v>
      </c>
      <c r="C1366" s="47">
        <v>1054</v>
      </c>
      <c r="D1366" s="47" t="s">
        <v>808</v>
      </c>
      <c r="E1366" s="41">
        <v>10110098</v>
      </c>
      <c r="F1366" s="46" t="s">
        <v>497</v>
      </c>
      <c r="G1366" s="39" t="s">
        <v>92</v>
      </c>
      <c r="H1366" s="48" t="s">
        <v>93</v>
      </c>
      <c r="I1366" s="52">
        <v>155.70000000000002</v>
      </c>
      <c r="J1366" s="49">
        <v>5819.52</v>
      </c>
      <c r="K1366" s="65">
        <v>170</v>
      </c>
      <c r="L1366" s="65">
        <v>6957</v>
      </c>
      <c r="M1366" s="65">
        <v>7.6</v>
      </c>
      <c r="N1366" s="65">
        <v>294.76</v>
      </c>
      <c r="O1366" s="65">
        <v>177.6</v>
      </c>
      <c r="P1366" s="65">
        <v>7251.76</v>
      </c>
      <c r="Q1366" s="50">
        <v>5819.52</v>
      </c>
      <c r="R1366" s="65">
        <v>0</v>
      </c>
      <c r="S1366" s="65">
        <v>0</v>
      </c>
      <c r="T1366" s="65">
        <v>1432.2399999999998</v>
      </c>
      <c r="U1366" s="65">
        <v>5026</v>
      </c>
      <c r="V1366" s="65">
        <v>500</v>
      </c>
      <c r="W1366" s="65">
        <v>0</v>
      </c>
      <c r="X1366" s="65">
        <v>0</v>
      </c>
      <c r="Y1366" s="65">
        <v>294</v>
      </c>
      <c r="Z1366" s="65">
        <v>0</v>
      </c>
      <c r="AA1366" s="51">
        <v>0</v>
      </c>
      <c r="AB1366" s="102" t="s">
        <v>68</v>
      </c>
      <c r="AC1366" s="81">
        <f t="shared" si="66"/>
        <v>406.88050558766861</v>
      </c>
      <c r="AD1366" s="82">
        <f t="shared" si="67"/>
        <v>22.242857142857144</v>
      </c>
      <c r="AE1366" s="218">
        <v>-0.24610964478170017</v>
      </c>
      <c r="AF1366">
        <v>4</v>
      </c>
      <c r="AH1366" t="str">
        <f t="shared" si="65"/>
        <v xml:space="preserve">Alauli </v>
      </c>
      <c r="AJ1366" s="72">
        <v>500</v>
      </c>
      <c r="AK1366" s="72"/>
      <c r="AL1366" s="72"/>
      <c r="AM1366" s="72"/>
    </row>
    <row r="1367" spans="1:39" x14ac:dyDescent="0.25">
      <c r="A1367" s="37" t="s">
        <v>62</v>
      </c>
      <c r="B1367" s="66" t="s">
        <v>1638</v>
      </c>
      <c r="C1367" s="47">
        <v>1054</v>
      </c>
      <c r="D1367" s="47" t="s">
        <v>808</v>
      </c>
      <c r="E1367" s="41">
        <v>10110100</v>
      </c>
      <c r="F1367" s="46" t="s">
        <v>498</v>
      </c>
      <c r="G1367" s="39" t="s">
        <v>92</v>
      </c>
      <c r="H1367" s="48" t="s">
        <v>93</v>
      </c>
      <c r="I1367" s="52">
        <v>3727.8999999999996</v>
      </c>
      <c r="J1367" s="49">
        <v>151973.16999999998</v>
      </c>
      <c r="K1367" s="65">
        <v>3630.2</v>
      </c>
      <c r="L1367" s="65">
        <v>152153.91</v>
      </c>
      <c r="M1367" s="65">
        <v>0</v>
      </c>
      <c r="N1367" s="65">
        <v>0</v>
      </c>
      <c r="O1367" s="65">
        <v>3630.2</v>
      </c>
      <c r="P1367" s="65">
        <v>152153.91</v>
      </c>
      <c r="Q1367" s="50">
        <v>151973.16999999998</v>
      </c>
      <c r="R1367" s="65">
        <v>0</v>
      </c>
      <c r="S1367" s="65">
        <v>0</v>
      </c>
      <c r="T1367" s="65">
        <v>180.74000000001979</v>
      </c>
      <c r="U1367" s="65">
        <v>3707</v>
      </c>
      <c r="V1367" s="65">
        <v>0</v>
      </c>
      <c r="W1367" s="65">
        <v>0</v>
      </c>
      <c r="X1367" s="65">
        <v>148266</v>
      </c>
      <c r="Y1367" s="65">
        <v>0</v>
      </c>
      <c r="Z1367" s="65">
        <v>0</v>
      </c>
      <c r="AA1367" s="51">
        <v>0</v>
      </c>
      <c r="AB1367" s="102">
        <v>0</v>
      </c>
      <c r="AC1367" s="81">
        <f t="shared" si="66"/>
        <v>0</v>
      </c>
      <c r="AD1367" s="82">
        <f t="shared" si="67"/>
        <v>0</v>
      </c>
      <c r="AE1367" s="218">
        <v>-1.189288872503086E-3</v>
      </c>
      <c r="AF1367">
        <v>16</v>
      </c>
      <c r="AH1367" t="str">
        <f t="shared" si="65"/>
        <v xml:space="preserve">Alauli </v>
      </c>
      <c r="AJ1367" s="72">
        <v>0</v>
      </c>
      <c r="AK1367" s="72"/>
      <c r="AL1367" s="72"/>
      <c r="AM1367" s="72"/>
    </row>
    <row r="1368" spans="1:39" x14ac:dyDescent="0.25">
      <c r="A1368" s="37" t="s">
        <v>62</v>
      </c>
      <c r="B1368" s="66" t="s">
        <v>1638</v>
      </c>
      <c r="C1368" s="47">
        <v>1054</v>
      </c>
      <c r="D1368" s="47" t="s">
        <v>808</v>
      </c>
      <c r="E1368" s="41">
        <v>10110101</v>
      </c>
      <c r="F1368" s="46" t="s">
        <v>508</v>
      </c>
      <c r="G1368" s="39" t="s">
        <v>92</v>
      </c>
      <c r="H1368" s="48" t="s">
        <v>93</v>
      </c>
      <c r="I1368" s="52">
        <v>268.10000000000002</v>
      </c>
      <c r="J1368" s="49">
        <v>12288.979999999998</v>
      </c>
      <c r="K1368" s="65">
        <v>263.19</v>
      </c>
      <c r="L1368" s="65">
        <v>14706.74</v>
      </c>
      <c r="M1368" s="65">
        <v>0</v>
      </c>
      <c r="N1368" s="65">
        <v>0</v>
      </c>
      <c r="O1368" s="65">
        <v>263.19</v>
      </c>
      <c r="P1368" s="65">
        <v>14706.74</v>
      </c>
      <c r="Q1368" s="50">
        <v>12288.979999999998</v>
      </c>
      <c r="R1368" s="65">
        <v>0</v>
      </c>
      <c r="S1368" s="65">
        <v>0</v>
      </c>
      <c r="T1368" s="65">
        <v>2417.760000000002</v>
      </c>
      <c r="U1368" s="65">
        <v>7000</v>
      </c>
      <c r="V1368" s="65">
        <v>0</v>
      </c>
      <c r="W1368" s="65">
        <v>0</v>
      </c>
      <c r="X1368" s="65">
        <v>6448</v>
      </c>
      <c r="Y1368" s="65">
        <v>0</v>
      </c>
      <c r="Z1368" s="65">
        <v>0</v>
      </c>
      <c r="AA1368" s="51">
        <v>-1159</v>
      </c>
      <c r="AB1368" s="102" t="s">
        <v>66</v>
      </c>
      <c r="AC1368" s="81">
        <f t="shared" si="66"/>
        <v>395.94259321148814</v>
      </c>
      <c r="AD1368" s="82">
        <f t="shared" si="67"/>
        <v>38.300000000000004</v>
      </c>
      <c r="AE1368" s="218">
        <v>-0.19674212180343711</v>
      </c>
      <c r="AF1368">
        <v>9</v>
      </c>
      <c r="AH1368" t="str">
        <f t="shared" si="65"/>
        <v xml:space="preserve">Alauli </v>
      </c>
      <c r="AJ1368" s="72">
        <v>0</v>
      </c>
      <c r="AK1368" s="72"/>
      <c r="AL1368" s="72"/>
      <c r="AM1368" s="72"/>
    </row>
    <row r="1369" spans="1:39" x14ac:dyDescent="0.25">
      <c r="A1369" s="37" t="s">
        <v>62</v>
      </c>
      <c r="B1369" s="66" t="s">
        <v>1638</v>
      </c>
      <c r="C1369" s="47">
        <v>1011</v>
      </c>
      <c r="D1369" s="47" t="s">
        <v>281</v>
      </c>
      <c r="E1369" s="41">
        <v>10110106</v>
      </c>
      <c r="F1369" s="46" t="s">
        <v>606</v>
      </c>
      <c r="G1369" s="39" t="s">
        <v>92</v>
      </c>
      <c r="H1369" s="48" t="s">
        <v>93</v>
      </c>
      <c r="I1369" s="52">
        <v>7237.4999999999982</v>
      </c>
      <c r="J1369" s="49">
        <v>294899.38</v>
      </c>
      <c r="K1369" s="65">
        <v>1258.82</v>
      </c>
      <c r="L1369" s="65">
        <v>52765.009999999987</v>
      </c>
      <c r="M1369" s="65">
        <v>5976.380000000001</v>
      </c>
      <c r="N1369" s="65">
        <v>243021.58000000007</v>
      </c>
      <c r="O1369" s="65">
        <v>7235.2000000000007</v>
      </c>
      <c r="P1369" s="65">
        <v>295786.59000000008</v>
      </c>
      <c r="Q1369" s="50">
        <v>294899.38</v>
      </c>
      <c r="R1369" s="65">
        <v>0</v>
      </c>
      <c r="S1369" s="65">
        <v>623.30999999999995</v>
      </c>
      <c r="T1369" s="65">
        <v>887.21000000007916</v>
      </c>
      <c r="U1369" s="65">
        <v>0</v>
      </c>
      <c r="V1369" s="65">
        <v>0</v>
      </c>
      <c r="W1369" s="65">
        <v>0</v>
      </c>
      <c r="X1369" s="65">
        <v>51878</v>
      </c>
      <c r="Y1369" s="65">
        <v>242398</v>
      </c>
      <c r="Z1369" s="65">
        <v>0</v>
      </c>
      <c r="AA1369" s="51">
        <v>0</v>
      </c>
      <c r="AB1369" s="102">
        <v>0</v>
      </c>
      <c r="AC1369" s="81">
        <f t="shared" si="66"/>
        <v>0</v>
      </c>
      <c r="AD1369" s="82">
        <f t="shared" si="67"/>
        <v>0</v>
      </c>
      <c r="AE1369" s="218">
        <v>-3.0085176849136783E-3</v>
      </c>
      <c r="AF1369">
        <v>22</v>
      </c>
      <c r="AH1369" t="str">
        <f t="shared" si="65"/>
        <v>Sahibpur Kamal</v>
      </c>
      <c r="AJ1369" s="72">
        <v>0</v>
      </c>
      <c r="AK1369" s="72"/>
      <c r="AL1369" s="72"/>
      <c r="AM1369" s="72"/>
    </row>
    <row r="1370" spans="1:39" x14ac:dyDescent="0.25">
      <c r="A1370" s="37" t="s">
        <v>62</v>
      </c>
      <c r="B1370" s="66" t="s">
        <v>1638</v>
      </c>
      <c r="C1370" s="47">
        <v>1054</v>
      </c>
      <c r="D1370" s="47" t="s">
        <v>808</v>
      </c>
      <c r="E1370" s="41">
        <v>10110109</v>
      </c>
      <c r="F1370" s="46" t="s">
        <v>1297</v>
      </c>
      <c r="G1370" s="39" t="s">
        <v>92</v>
      </c>
      <c r="H1370" s="48" t="s">
        <v>93</v>
      </c>
      <c r="I1370" s="52">
        <v>797</v>
      </c>
      <c r="J1370" s="49">
        <v>31278.44</v>
      </c>
      <c r="K1370" s="65">
        <v>791.13000000000011</v>
      </c>
      <c r="L1370" s="65">
        <v>31192.39</v>
      </c>
      <c r="M1370" s="65">
        <v>1.4100000000000004</v>
      </c>
      <c r="N1370" s="65">
        <v>55.800000000000011</v>
      </c>
      <c r="O1370" s="65">
        <v>792.54000000000008</v>
      </c>
      <c r="P1370" s="65">
        <v>31248.19</v>
      </c>
      <c r="Q1370" s="50">
        <v>31248.19</v>
      </c>
      <c r="R1370" s="65">
        <v>0</v>
      </c>
      <c r="S1370" s="65">
        <v>55.800000000000011</v>
      </c>
      <c r="T1370" s="65">
        <v>0</v>
      </c>
      <c r="U1370" s="65">
        <v>0</v>
      </c>
      <c r="V1370" s="65">
        <v>0</v>
      </c>
      <c r="W1370" s="65">
        <v>0</v>
      </c>
      <c r="X1370" s="65">
        <v>31193</v>
      </c>
      <c r="Y1370" s="65">
        <v>0</v>
      </c>
      <c r="Z1370" s="65">
        <v>0</v>
      </c>
      <c r="AA1370" s="51">
        <v>30</v>
      </c>
      <c r="AB1370" s="102">
        <v>0</v>
      </c>
      <c r="AC1370" s="81">
        <f t="shared" si="66"/>
        <v>0</v>
      </c>
      <c r="AD1370" s="82">
        <f t="shared" si="67"/>
        <v>0</v>
      </c>
      <c r="AE1370" s="218">
        <v>9.6711984357276135E-4</v>
      </c>
      <c r="AF1370">
        <v>4</v>
      </c>
      <c r="AH1370" t="str">
        <f t="shared" si="65"/>
        <v xml:space="preserve">Alauli </v>
      </c>
      <c r="AJ1370" s="72">
        <v>0</v>
      </c>
      <c r="AK1370" s="72"/>
      <c r="AL1370" s="72"/>
      <c r="AM1370" s="72"/>
    </row>
    <row r="1371" spans="1:39" x14ac:dyDescent="0.25">
      <c r="A1371" s="37" t="s">
        <v>62</v>
      </c>
      <c r="B1371" s="66" t="s">
        <v>1638</v>
      </c>
      <c r="C1371" s="47">
        <v>1055</v>
      </c>
      <c r="D1371" s="47" t="s">
        <v>1125</v>
      </c>
      <c r="E1371" s="41">
        <v>10110110</v>
      </c>
      <c r="F1371" s="46" t="s">
        <v>572</v>
      </c>
      <c r="G1371" s="39" t="s">
        <v>92</v>
      </c>
      <c r="H1371" s="48" t="s">
        <v>93</v>
      </c>
      <c r="I1371" s="52">
        <v>65.199999999999989</v>
      </c>
      <c r="J1371" s="49">
        <v>2796.13</v>
      </c>
      <c r="K1371" s="65">
        <v>65.300000000000011</v>
      </c>
      <c r="L1371" s="65">
        <v>2807.0600000000004</v>
      </c>
      <c r="M1371" s="65">
        <v>0</v>
      </c>
      <c r="N1371" s="65">
        <v>0</v>
      </c>
      <c r="O1371" s="65">
        <v>65.300000000000011</v>
      </c>
      <c r="P1371" s="65">
        <v>2807.0600000000004</v>
      </c>
      <c r="Q1371" s="50">
        <v>2796.13</v>
      </c>
      <c r="R1371" s="65">
        <v>0</v>
      </c>
      <c r="S1371" s="65">
        <v>0</v>
      </c>
      <c r="T1371" s="65">
        <v>10.930000000000291</v>
      </c>
      <c r="U1371" s="65">
        <v>0</v>
      </c>
      <c r="V1371" s="65">
        <v>500</v>
      </c>
      <c r="W1371" s="65">
        <v>0</v>
      </c>
      <c r="X1371" s="65">
        <v>2296</v>
      </c>
      <c r="Y1371" s="65">
        <v>0</v>
      </c>
      <c r="Z1371" s="65">
        <v>0</v>
      </c>
      <c r="AA1371" s="51">
        <v>0</v>
      </c>
      <c r="AB1371" s="102">
        <v>0</v>
      </c>
      <c r="AC1371" s="81">
        <f t="shared" si="66"/>
        <v>544.47341226993876</v>
      </c>
      <c r="AD1371" s="82">
        <f t="shared" si="67"/>
        <v>9.3142857142857132</v>
      </c>
      <c r="AE1371" s="218">
        <v>-3.9089741893260652E-3</v>
      </c>
      <c r="AF1371">
        <v>2</v>
      </c>
      <c r="AH1371" t="str">
        <f t="shared" si="65"/>
        <v>Matihani</v>
      </c>
      <c r="AJ1371" s="72">
        <v>500</v>
      </c>
      <c r="AK1371" s="72"/>
      <c r="AL1371" s="72"/>
      <c r="AM1371" s="72"/>
    </row>
    <row r="1372" spans="1:39" x14ac:dyDescent="0.25">
      <c r="A1372" s="37" t="s">
        <v>62</v>
      </c>
      <c r="B1372" s="66" t="s">
        <v>1638</v>
      </c>
      <c r="C1372" s="47">
        <v>1055</v>
      </c>
      <c r="D1372" s="47" t="s">
        <v>1125</v>
      </c>
      <c r="E1372" s="41">
        <v>10110111</v>
      </c>
      <c r="F1372" s="46" t="s">
        <v>549</v>
      </c>
      <c r="G1372" s="39" t="s">
        <v>92</v>
      </c>
      <c r="H1372" s="48" t="s">
        <v>93</v>
      </c>
      <c r="I1372" s="52">
        <v>117.30000000000001</v>
      </c>
      <c r="J1372" s="49">
        <v>6113.53</v>
      </c>
      <c r="K1372" s="65">
        <v>119.42</v>
      </c>
      <c r="L1372" s="65">
        <v>6284.2800000000007</v>
      </c>
      <c r="M1372" s="65">
        <v>6.1800000000000006</v>
      </c>
      <c r="N1372" s="65">
        <v>346.89999999999992</v>
      </c>
      <c r="O1372" s="65">
        <v>125.60000000000001</v>
      </c>
      <c r="P1372" s="65">
        <v>6631.18</v>
      </c>
      <c r="Q1372" s="50">
        <v>6113.53</v>
      </c>
      <c r="R1372" s="65">
        <v>0</v>
      </c>
      <c r="S1372" s="65">
        <v>346.89999999999992</v>
      </c>
      <c r="T1372" s="65">
        <v>517.65000000000055</v>
      </c>
      <c r="U1372" s="65">
        <v>0</v>
      </c>
      <c r="V1372" s="65">
        <v>0</v>
      </c>
      <c r="W1372" s="65">
        <v>0</v>
      </c>
      <c r="X1372" s="65">
        <v>5767</v>
      </c>
      <c r="Y1372" s="65">
        <v>0</v>
      </c>
      <c r="Z1372" s="65">
        <v>0</v>
      </c>
      <c r="AA1372" s="51">
        <v>0</v>
      </c>
      <c r="AB1372" s="102">
        <v>0</v>
      </c>
      <c r="AC1372" s="81">
        <f t="shared" si="66"/>
        <v>607.39197459505522</v>
      </c>
      <c r="AD1372" s="82">
        <f t="shared" si="67"/>
        <v>16.75714285714286</v>
      </c>
      <c r="AE1372" s="218">
        <v>-8.4672848583388083E-2</v>
      </c>
      <c r="AF1372">
        <v>4</v>
      </c>
      <c r="AH1372" t="str">
        <f t="shared" si="65"/>
        <v>Matihani</v>
      </c>
      <c r="AJ1372" s="72">
        <v>0</v>
      </c>
      <c r="AK1372" s="72"/>
      <c r="AL1372" s="72"/>
      <c r="AM1372" s="72"/>
    </row>
    <row r="1373" spans="1:39" x14ac:dyDescent="0.25">
      <c r="A1373" s="37" t="s">
        <v>62</v>
      </c>
      <c r="B1373" s="66" t="s">
        <v>1638</v>
      </c>
      <c r="C1373" s="47">
        <v>1054</v>
      </c>
      <c r="D1373" s="47" t="s">
        <v>808</v>
      </c>
      <c r="E1373" s="41">
        <v>10110112</v>
      </c>
      <c r="F1373" s="46" t="s">
        <v>694</v>
      </c>
      <c r="G1373" s="39" t="s">
        <v>92</v>
      </c>
      <c r="H1373" s="48" t="s">
        <v>93</v>
      </c>
      <c r="I1373" s="52">
        <v>57.2</v>
      </c>
      <c r="J1373" s="49">
        <v>2110.6999999999998</v>
      </c>
      <c r="K1373" s="65">
        <v>57.02</v>
      </c>
      <c r="L1373" s="65">
        <v>2464.9699999999998</v>
      </c>
      <c r="M1373" s="65">
        <v>0</v>
      </c>
      <c r="N1373" s="65">
        <v>0</v>
      </c>
      <c r="O1373" s="65">
        <v>57.02</v>
      </c>
      <c r="P1373" s="65">
        <v>2464.9699999999998</v>
      </c>
      <c r="Q1373" s="50">
        <v>2110.6999999999998</v>
      </c>
      <c r="R1373" s="65">
        <v>0</v>
      </c>
      <c r="S1373" s="65">
        <v>0</v>
      </c>
      <c r="T1373" s="65">
        <v>354.27</v>
      </c>
      <c r="U1373" s="65">
        <v>0</v>
      </c>
      <c r="V1373" s="65">
        <v>500</v>
      </c>
      <c r="W1373" s="65">
        <v>0</v>
      </c>
      <c r="X1373" s="65">
        <v>1611</v>
      </c>
      <c r="Y1373" s="65">
        <v>0</v>
      </c>
      <c r="Z1373" s="65">
        <v>0</v>
      </c>
      <c r="AA1373" s="51">
        <v>0</v>
      </c>
      <c r="AB1373" s="102">
        <v>0</v>
      </c>
      <c r="AC1373" s="81">
        <f t="shared" si="66"/>
        <v>474.39089510489504</v>
      </c>
      <c r="AD1373" s="82">
        <f t="shared" si="67"/>
        <v>8.1714285714285726</v>
      </c>
      <c r="AE1373" s="218">
        <v>-0.1678447908276875</v>
      </c>
      <c r="AF1373">
        <v>1</v>
      </c>
      <c r="AH1373" t="str">
        <f t="shared" si="65"/>
        <v xml:space="preserve">Alauli </v>
      </c>
      <c r="AJ1373" s="72">
        <v>500</v>
      </c>
      <c r="AK1373" s="72"/>
      <c r="AL1373" s="72"/>
      <c r="AM1373" s="72"/>
    </row>
    <row r="1374" spans="1:39" x14ac:dyDescent="0.25">
      <c r="A1374" s="37" t="s">
        <v>62</v>
      </c>
      <c r="B1374" s="66" t="s">
        <v>1638</v>
      </c>
      <c r="C1374" s="47">
        <v>1054</v>
      </c>
      <c r="D1374" s="47" t="s">
        <v>808</v>
      </c>
      <c r="E1374" s="41">
        <v>10110114</v>
      </c>
      <c r="F1374" s="46" t="s">
        <v>573</v>
      </c>
      <c r="G1374" s="39" t="s">
        <v>92</v>
      </c>
      <c r="H1374" s="48" t="s">
        <v>93</v>
      </c>
      <c r="I1374" s="52">
        <v>267.39999999999998</v>
      </c>
      <c r="J1374" s="49">
        <v>11076.939999999999</v>
      </c>
      <c r="K1374" s="65">
        <v>286.67</v>
      </c>
      <c r="L1374" s="65">
        <v>11466.449999999999</v>
      </c>
      <c r="M1374" s="65">
        <v>0</v>
      </c>
      <c r="N1374" s="65">
        <v>0</v>
      </c>
      <c r="O1374" s="65">
        <v>286.67</v>
      </c>
      <c r="P1374" s="65">
        <v>11466.449999999999</v>
      </c>
      <c r="Q1374" s="50">
        <v>11076.939999999999</v>
      </c>
      <c r="R1374" s="65">
        <v>0</v>
      </c>
      <c r="S1374" s="65">
        <v>0</v>
      </c>
      <c r="T1374" s="65">
        <v>389.51000000000022</v>
      </c>
      <c r="U1374" s="65">
        <v>0</v>
      </c>
      <c r="V1374" s="65">
        <v>0</v>
      </c>
      <c r="W1374" s="65">
        <v>0</v>
      </c>
      <c r="X1374" s="65">
        <v>11077</v>
      </c>
      <c r="Y1374" s="65">
        <v>0</v>
      </c>
      <c r="Z1374" s="65">
        <v>0</v>
      </c>
      <c r="AA1374" s="51">
        <v>0</v>
      </c>
      <c r="AB1374" s="102">
        <v>0</v>
      </c>
      <c r="AC1374" s="81">
        <f t="shared" si="66"/>
        <v>358.40570261780101</v>
      </c>
      <c r="AD1374" s="82">
        <f t="shared" si="67"/>
        <v>38.199999999999996</v>
      </c>
      <c r="AE1374" s="218">
        <v>-3.516404349937801E-2</v>
      </c>
      <c r="AF1374">
        <v>2</v>
      </c>
      <c r="AH1374" t="str">
        <f t="shared" si="65"/>
        <v xml:space="preserve">Alauli </v>
      </c>
      <c r="AJ1374" s="72">
        <v>0</v>
      </c>
      <c r="AK1374" s="72"/>
      <c r="AL1374" s="72"/>
      <c r="AM1374" s="72"/>
    </row>
    <row r="1375" spans="1:39" x14ac:dyDescent="0.25">
      <c r="A1375" s="37" t="s">
        <v>62</v>
      </c>
      <c r="B1375" s="66" t="s">
        <v>1638</v>
      </c>
      <c r="C1375" s="47">
        <v>1054</v>
      </c>
      <c r="D1375" s="47" t="s">
        <v>808</v>
      </c>
      <c r="E1375" s="41">
        <v>10110116</v>
      </c>
      <c r="F1375" s="46" t="s">
        <v>531</v>
      </c>
      <c r="G1375" s="39" t="s">
        <v>92</v>
      </c>
      <c r="H1375" s="48" t="s">
        <v>93</v>
      </c>
      <c r="I1375" s="52">
        <v>737.99999999999989</v>
      </c>
      <c r="J1375" s="49">
        <v>27981.119999999999</v>
      </c>
      <c r="K1375" s="65">
        <v>391.20000000000005</v>
      </c>
      <c r="L1375" s="65">
        <v>14867.17</v>
      </c>
      <c r="M1375" s="65">
        <v>346.5</v>
      </c>
      <c r="N1375" s="65">
        <v>13111.84</v>
      </c>
      <c r="O1375" s="65">
        <v>737.7</v>
      </c>
      <c r="P1375" s="65">
        <v>27979.010000000002</v>
      </c>
      <c r="Q1375" s="50">
        <v>27979.010000000002</v>
      </c>
      <c r="R1375" s="65">
        <v>0</v>
      </c>
      <c r="S1375" s="65">
        <v>0</v>
      </c>
      <c r="T1375" s="65">
        <v>0</v>
      </c>
      <c r="U1375" s="65">
        <v>0</v>
      </c>
      <c r="V1375" s="65">
        <v>0</v>
      </c>
      <c r="W1375" s="65">
        <v>0</v>
      </c>
      <c r="X1375" s="65">
        <v>14867</v>
      </c>
      <c r="Y1375" s="65">
        <v>13111</v>
      </c>
      <c r="Z1375" s="65">
        <v>0</v>
      </c>
      <c r="AA1375" s="51">
        <v>3</v>
      </c>
      <c r="AB1375" s="102">
        <v>0</v>
      </c>
      <c r="AC1375" s="81">
        <f t="shared" si="66"/>
        <v>0</v>
      </c>
      <c r="AD1375" s="82">
        <f t="shared" si="67"/>
        <v>0</v>
      </c>
      <c r="AE1375" s="218">
        <v>7.5407989387020396E-5</v>
      </c>
      <c r="AF1375">
        <v>10</v>
      </c>
      <c r="AH1375" t="str">
        <f t="shared" si="65"/>
        <v xml:space="preserve">Alauli </v>
      </c>
      <c r="AJ1375" s="72">
        <v>0</v>
      </c>
      <c r="AK1375" s="72"/>
      <c r="AL1375" s="72"/>
      <c r="AM1375" s="72"/>
    </row>
    <row r="1376" spans="1:39" x14ac:dyDescent="0.25">
      <c r="A1376" s="37" t="s">
        <v>62</v>
      </c>
      <c r="B1376" s="66" t="s">
        <v>1638</v>
      </c>
      <c r="C1376" s="47">
        <v>1054</v>
      </c>
      <c r="D1376" s="47" t="s">
        <v>808</v>
      </c>
      <c r="E1376" s="41">
        <v>10110118</v>
      </c>
      <c r="F1376" s="46" t="s">
        <v>575</v>
      </c>
      <c r="G1376" s="39" t="s">
        <v>92</v>
      </c>
      <c r="H1376" s="48" t="s">
        <v>93</v>
      </c>
      <c r="I1376" s="52">
        <v>442.79999999999995</v>
      </c>
      <c r="J1376" s="49">
        <v>18244.34</v>
      </c>
      <c r="K1376" s="65">
        <v>197.28</v>
      </c>
      <c r="L1376" s="65">
        <v>8544.82</v>
      </c>
      <c r="M1376" s="65">
        <v>255.98999999999998</v>
      </c>
      <c r="N1376" s="65">
        <v>9719.0300000000007</v>
      </c>
      <c r="O1376" s="65">
        <v>453.27</v>
      </c>
      <c r="P1376" s="65">
        <v>18263.849999999999</v>
      </c>
      <c r="Q1376" s="50">
        <v>18244.34</v>
      </c>
      <c r="R1376" s="65">
        <v>0</v>
      </c>
      <c r="S1376" s="65">
        <v>522.46</v>
      </c>
      <c r="T1376" s="65">
        <v>19.509999999998399</v>
      </c>
      <c r="U1376" s="65">
        <v>0</v>
      </c>
      <c r="V1376" s="65">
        <v>0</v>
      </c>
      <c r="W1376" s="65">
        <v>0</v>
      </c>
      <c r="X1376" s="65">
        <v>8525</v>
      </c>
      <c r="Y1376" s="65">
        <v>9197</v>
      </c>
      <c r="Z1376" s="65">
        <v>0</v>
      </c>
      <c r="AA1376" s="51">
        <v>0</v>
      </c>
      <c r="AB1376" s="102">
        <v>0</v>
      </c>
      <c r="AC1376" s="81">
        <f t="shared" si="66"/>
        <v>211.94418464317982</v>
      </c>
      <c r="AD1376" s="82">
        <f t="shared" si="67"/>
        <v>63.257142857142853</v>
      </c>
      <c r="AE1376" s="218">
        <v>-1.0693727479315995E-3</v>
      </c>
      <c r="AF1376">
        <v>14</v>
      </c>
      <c r="AH1376" t="str">
        <f t="shared" si="65"/>
        <v xml:space="preserve">Alauli </v>
      </c>
      <c r="AJ1376" s="72">
        <v>0</v>
      </c>
      <c r="AK1376" s="72"/>
      <c r="AL1376" s="72"/>
      <c r="AM1376" s="72"/>
    </row>
    <row r="1377" spans="1:39" x14ac:dyDescent="0.25">
      <c r="A1377" s="37" t="s">
        <v>62</v>
      </c>
      <c r="B1377" s="66" t="s">
        <v>1638</v>
      </c>
      <c r="C1377" s="47">
        <v>1054</v>
      </c>
      <c r="D1377" s="47" t="s">
        <v>808</v>
      </c>
      <c r="E1377" s="41">
        <v>10110119</v>
      </c>
      <c r="F1377" s="46" t="s">
        <v>576</v>
      </c>
      <c r="G1377" s="39" t="s">
        <v>92</v>
      </c>
      <c r="H1377" s="48" t="s">
        <v>93</v>
      </c>
      <c r="I1377" s="52">
        <v>391.5</v>
      </c>
      <c r="J1377" s="49">
        <v>14835.099999999999</v>
      </c>
      <c r="K1377" s="65">
        <v>406.20999999999992</v>
      </c>
      <c r="L1377" s="65">
        <v>14843.49</v>
      </c>
      <c r="M1377" s="65">
        <v>0</v>
      </c>
      <c r="N1377" s="65">
        <v>0</v>
      </c>
      <c r="O1377" s="65">
        <v>406.20999999999992</v>
      </c>
      <c r="P1377" s="65">
        <v>14843.49</v>
      </c>
      <c r="Q1377" s="50">
        <v>14835.099999999999</v>
      </c>
      <c r="R1377" s="65">
        <v>0</v>
      </c>
      <c r="S1377" s="65">
        <v>0</v>
      </c>
      <c r="T1377" s="65">
        <v>8.3900000000012369</v>
      </c>
      <c r="U1377" s="65">
        <v>0</v>
      </c>
      <c r="V1377" s="65">
        <v>0</v>
      </c>
      <c r="W1377" s="65">
        <v>0</v>
      </c>
      <c r="X1377" s="65">
        <v>14835</v>
      </c>
      <c r="Y1377" s="65">
        <v>0</v>
      </c>
      <c r="Z1377" s="65">
        <v>0</v>
      </c>
      <c r="AA1377" s="51">
        <v>0</v>
      </c>
      <c r="AB1377" s="102">
        <v>0</v>
      </c>
      <c r="AC1377" s="81">
        <f t="shared" si="66"/>
        <v>233.79966028097061</v>
      </c>
      <c r="AD1377" s="82">
        <f t="shared" si="67"/>
        <v>55.928571428571431</v>
      </c>
      <c r="AE1377" s="218">
        <v>-5.6555061981390339E-4</v>
      </c>
      <c r="AF1377">
        <v>13</v>
      </c>
      <c r="AH1377" t="str">
        <f t="shared" si="65"/>
        <v xml:space="preserve">Alauli </v>
      </c>
      <c r="AJ1377" s="72">
        <v>0</v>
      </c>
      <c r="AK1377" s="72"/>
      <c r="AL1377" s="72"/>
      <c r="AM1377" s="72"/>
    </row>
    <row r="1378" spans="1:39" x14ac:dyDescent="0.25">
      <c r="A1378" s="37" t="s">
        <v>62</v>
      </c>
      <c r="B1378" s="66" t="s">
        <v>1638</v>
      </c>
      <c r="C1378" s="47">
        <v>1054</v>
      </c>
      <c r="D1378" s="47" t="s">
        <v>808</v>
      </c>
      <c r="E1378" s="41">
        <v>10110120</v>
      </c>
      <c r="F1378" s="46" t="s">
        <v>810</v>
      </c>
      <c r="G1378" s="39" t="s">
        <v>92</v>
      </c>
      <c r="H1378" s="48" t="s">
        <v>93</v>
      </c>
      <c r="I1378" s="52">
        <v>991.19999999999982</v>
      </c>
      <c r="J1378" s="49">
        <v>47054.69</v>
      </c>
      <c r="K1378" s="65">
        <v>30.299999999999997</v>
      </c>
      <c r="L1378" s="65">
        <v>1429.8600000000001</v>
      </c>
      <c r="M1378" s="65">
        <v>961</v>
      </c>
      <c r="N1378" s="65">
        <v>45630.03</v>
      </c>
      <c r="O1378" s="65">
        <v>991.3</v>
      </c>
      <c r="P1378" s="65">
        <v>47059.89</v>
      </c>
      <c r="Q1378" s="50">
        <v>47054.69</v>
      </c>
      <c r="R1378" s="65">
        <v>0</v>
      </c>
      <c r="S1378" s="65">
        <v>0</v>
      </c>
      <c r="T1378" s="65">
        <v>5.1999999999970896</v>
      </c>
      <c r="U1378" s="65">
        <v>0</v>
      </c>
      <c r="V1378" s="65">
        <v>0</v>
      </c>
      <c r="W1378" s="65">
        <v>0</v>
      </c>
      <c r="X1378" s="65">
        <v>1423</v>
      </c>
      <c r="Y1378" s="65">
        <v>45632</v>
      </c>
      <c r="Z1378" s="65">
        <v>0</v>
      </c>
      <c r="AA1378" s="51">
        <v>0</v>
      </c>
      <c r="AB1378" s="102">
        <v>0</v>
      </c>
      <c r="AC1378" s="81">
        <f t="shared" si="66"/>
        <v>0</v>
      </c>
      <c r="AD1378" s="82">
        <f t="shared" si="67"/>
        <v>0</v>
      </c>
      <c r="AE1378" s="218">
        <v>-1.1050970689631765E-4</v>
      </c>
      <c r="AF1378">
        <v>10</v>
      </c>
      <c r="AH1378" t="str">
        <f t="shared" si="65"/>
        <v xml:space="preserve">Alauli </v>
      </c>
      <c r="AJ1378" s="72">
        <v>0</v>
      </c>
      <c r="AK1378" s="72"/>
      <c r="AL1378" s="72"/>
      <c r="AM1378" s="72"/>
    </row>
    <row r="1379" spans="1:39" x14ac:dyDescent="0.25">
      <c r="A1379" s="37" t="s">
        <v>62</v>
      </c>
      <c r="B1379" s="66" t="s">
        <v>1638</v>
      </c>
      <c r="C1379" s="47">
        <v>1054</v>
      </c>
      <c r="D1379" s="47" t="s">
        <v>808</v>
      </c>
      <c r="E1379" s="41">
        <v>10110121</v>
      </c>
      <c r="F1379" s="46" t="s">
        <v>577</v>
      </c>
      <c r="G1379" s="39" t="s">
        <v>92</v>
      </c>
      <c r="H1379" s="48" t="s">
        <v>93</v>
      </c>
      <c r="I1379" s="52">
        <v>346.40000000000003</v>
      </c>
      <c r="J1379" s="49">
        <v>13364.28</v>
      </c>
      <c r="K1379" s="65">
        <v>347.23999999999995</v>
      </c>
      <c r="L1379" s="65">
        <v>13407.119999999997</v>
      </c>
      <c r="M1379" s="65">
        <v>0</v>
      </c>
      <c r="N1379" s="65">
        <v>0</v>
      </c>
      <c r="O1379" s="65">
        <v>347.23999999999995</v>
      </c>
      <c r="P1379" s="65">
        <v>13407.119999999997</v>
      </c>
      <c r="Q1379" s="50">
        <v>13364.28</v>
      </c>
      <c r="R1379" s="65">
        <v>0</v>
      </c>
      <c r="S1379" s="65">
        <v>0</v>
      </c>
      <c r="T1379" s="65">
        <v>42.839999999996508</v>
      </c>
      <c r="U1379" s="65">
        <v>0</v>
      </c>
      <c r="V1379" s="65">
        <v>0</v>
      </c>
      <c r="W1379" s="65">
        <v>0</v>
      </c>
      <c r="X1379" s="65">
        <v>13364</v>
      </c>
      <c r="Y1379" s="65">
        <v>0</v>
      </c>
      <c r="Z1379" s="65">
        <v>0</v>
      </c>
      <c r="AA1379" s="51">
        <v>0</v>
      </c>
      <c r="AB1379" s="102">
        <v>0</v>
      </c>
      <c r="AC1379" s="81">
        <f t="shared" si="66"/>
        <v>272.84118983833713</v>
      </c>
      <c r="AD1379" s="82">
        <f t="shared" si="67"/>
        <v>49.485714285714288</v>
      </c>
      <c r="AE1379" s="218">
        <v>-3.2055598954823235E-3</v>
      </c>
      <c r="AF1379">
        <v>1</v>
      </c>
      <c r="AH1379" t="str">
        <f t="shared" ref="AH1379:AH1442" si="68">TEXT(D1379,"0000")</f>
        <v xml:space="preserve">Alauli </v>
      </c>
      <c r="AJ1379" s="72">
        <v>0</v>
      </c>
      <c r="AK1379" s="72"/>
      <c r="AL1379" s="72"/>
      <c r="AM1379" s="72"/>
    </row>
    <row r="1380" spans="1:39" x14ac:dyDescent="0.25">
      <c r="A1380" s="37" t="s">
        <v>62</v>
      </c>
      <c r="B1380" s="66" t="s">
        <v>1638</v>
      </c>
      <c r="C1380" s="47">
        <v>1055</v>
      </c>
      <c r="D1380" s="47" t="s">
        <v>1125</v>
      </c>
      <c r="E1380" s="41">
        <v>10110123</v>
      </c>
      <c r="F1380" s="46" t="s">
        <v>578</v>
      </c>
      <c r="G1380" s="39" t="s">
        <v>92</v>
      </c>
      <c r="H1380" s="48" t="s">
        <v>93</v>
      </c>
      <c r="I1380" s="52">
        <v>942.39999999999986</v>
      </c>
      <c r="J1380" s="49">
        <v>39749.79</v>
      </c>
      <c r="K1380" s="65">
        <v>963.73000000000025</v>
      </c>
      <c r="L1380" s="65">
        <v>40293.429999999993</v>
      </c>
      <c r="M1380" s="65">
        <v>11.14</v>
      </c>
      <c r="N1380" s="65">
        <v>441.09999999999997</v>
      </c>
      <c r="O1380" s="65">
        <v>974.87000000000023</v>
      </c>
      <c r="P1380" s="65">
        <v>40734.529999999992</v>
      </c>
      <c r="Q1380" s="50">
        <v>39749.79</v>
      </c>
      <c r="R1380" s="65">
        <v>0</v>
      </c>
      <c r="S1380" s="65">
        <v>441.09999999999997</v>
      </c>
      <c r="T1380" s="65">
        <v>984.73999999999069</v>
      </c>
      <c r="U1380" s="65">
        <v>0</v>
      </c>
      <c r="V1380" s="65">
        <v>0</v>
      </c>
      <c r="W1380" s="65">
        <v>0</v>
      </c>
      <c r="X1380" s="65">
        <v>39309</v>
      </c>
      <c r="Y1380" s="65">
        <v>0</v>
      </c>
      <c r="Z1380" s="65">
        <v>0</v>
      </c>
      <c r="AA1380" s="51">
        <v>0</v>
      </c>
      <c r="AB1380" s="102">
        <v>0</v>
      </c>
      <c r="AC1380" s="81">
        <f t="shared" si="66"/>
        <v>0</v>
      </c>
      <c r="AD1380" s="82">
        <f t="shared" si="67"/>
        <v>0</v>
      </c>
      <c r="AE1380" s="218">
        <v>-2.4773464212011955E-2</v>
      </c>
      <c r="AF1380">
        <v>15</v>
      </c>
      <c r="AH1380" t="str">
        <f t="shared" si="68"/>
        <v>Matihani</v>
      </c>
      <c r="AJ1380" s="72">
        <v>0</v>
      </c>
      <c r="AK1380" s="72"/>
      <c r="AL1380" s="72"/>
      <c r="AM1380" s="72"/>
    </row>
    <row r="1381" spans="1:39" x14ac:dyDescent="0.25">
      <c r="A1381" s="37" t="s">
        <v>62</v>
      </c>
      <c r="B1381" s="66" t="s">
        <v>1638</v>
      </c>
      <c r="C1381" s="47">
        <v>1055</v>
      </c>
      <c r="D1381" s="47" t="s">
        <v>1125</v>
      </c>
      <c r="E1381" s="41">
        <v>10110124</v>
      </c>
      <c r="F1381" s="46" t="s">
        <v>579</v>
      </c>
      <c r="G1381" s="39" t="s">
        <v>92</v>
      </c>
      <c r="H1381" s="48" t="s">
        <v>93</v>
      </c>
      <c r="I1381" s="52">
        <v>1144.1999999999998</v>
      </c>
      <c r="J1381" s="49">
        <v>49419.62000000001</v>
      </c>
      <c r="K1381" s="65">
        <v>1134.9899999999998</v>
      </c>
      <c r="L1381" s="65">
        <v>48480.92</v>
      </c>
      <c r="M1381" s="65">
        <v>9.1700000000000017</v>
      </c>
      <c r="N1381" s="65">
        <v>365.34000000000003</v>
      </c>
      <c r="O1381" s="65">
        <v>1144.1599999999999</v>
      </c>
      <c r="P1381" s="65">
        <v>48846.259999999995</v>
      </c>
      <c r="Q1381" s="50">
        <v>48846.259999999995</v>
      </c>
      <c r="R1381" s="65">
        <v>0</v>
      </c>
      <c r="S1381" s="65">
        <v>365.34000000000003</v>
      </c>
      <c r="T1381" s="65">
        <v>0</v>
      </c>
      <c r="U1381" s="65">
        <v>0</v>
      </c>
      <c r="V1381" s="65">
        <v>0</v>
      </c>
      <c r="W1381" s="65">
        <v>0</v>
      </c>
      <c r="X1381" s="65">
        <v>48481</v>
      </c>
      <c r="Y1381" s="65">
        <v>0</v>
      </c>
      <c r="Z1381" s="65">
        <v>0</v>
      </c>
      <c r="AA1381" s="51">
        <v>573</v>
      </c>
      <c r="AB1381" s="102">
        <v>0</v>
      </c>
      <c r="AC1381" s="81">
        <f t="shared" si="66"/>
        <v>0</v>
      </c>
      <c r="AD1381" s="82">
        <f t="shared" si="67"/>
        <v>0</v>
      </c>
      <c r="AE1381" s="218">
        <v>1.1601869864641108E-2</v>
      </c>
      <c r="AF1381">
        <v>15</v>
      </c>
      <c r="AH1381" t="str">
        <f t="shared" si="68"/>
        <v>Matihani</v>
      </c>
      <c r="AJ1381" s="72">
        <v>0</v>
      </c>
      <c r="AK1381" s="72"/>
      <c r="AL1381" s="72"/>
      <c r="AM1381" s="72"/>
    </row>
    <row r="1382" spans="1:39" x14ac:dyDescent="0.25">
      <c r="A1382" s="37" t="s">
        <v>62</v>
      </c>
      <c r="B1382" s="66" t="s">
        <v>1638</v>
      </c>
      <c r="C1382" s="47">
        <v>1055</v>
      </c>
      <c r="D1382" s="47" t="s">
        <v>1125</v>
      </c>
      <c r="E1382" s="41">
        <v>10110128</v>
      </c>
      <c r="F1382" s="46" t="s">
        <v>580</v>
      </c>
      <c r="G1382" s="39" t="s">
        <v>92</v>
      </c>
      <c r="H1382" s="48" t="s">
        <v>93</v>
      </c>
      <c r="I1382" s="52">
        <v>518.80000000000007</v>
      </c>
      <c r="J1382" s="49">
        <v>21239.31</v>
      </c>
      <c r="K1382" s="65">
        <v>515.01</v>
      </c>
      <c r="L1382" s="65">
        <v>21152.95</v>
      </c>
      <c r="M1382" s="65">
        <v>3.33</v>
      </c>
      <c r="N1382" s="65">
        <v>128.16999999999999</v>
      </c>
      <c r="O1382" s="65">
        <v>518.34</v>
      </c>
      <c r="P1382" s="65">
        <v>21281.119999999999</v>
      </c>
      <c r="Q1382" s="50">
        <v>21239.31</v>
      </c>
      <c r="R1382" s="65">
        <v>0</v>
      </c>
      <c r="S1382" s="65">
        <v>128.16999999999999</v>
      </c>
      <c r="T1382" s="65">
        <v>41.809999999997672</v>
      </c>
      <c r="U1382" s="65">
        <v>0</v>
      </c>
      <c r="V1382" s="65">
        <v>0</v>
      </c>
      <c r="W1382" s="65">
        <v>0</v>
      </c>
      <c r="X1382" s="65">
        <v>21111</v>
      </c>
      <c r="Y1382" s="65">
        <v>0</v>
      </c>
      <c r="Z1382" s="65">
        <v>0</v>
      </c>
      <c r="AA1382" s="51">
        <v>0</v>
      </c>
      <c r="AB1382" s="102">
        <v>0</v>
      </c>
      <c r="AC1382" s="81">
        <f t="shared" si="66"/>
        <v>148.36403130300684</v>
      </c>
      <c r="AD1382" s="82">
        <f t="shared" si="67"/>
        <v>74.114285714285728</v>
      </c>
      <c r="AE1382" s="218">
        <v>-1.9685196929654339E-3</v>
      </c>
      <c r="AF1382">
        <v>9</v>
      </c>
      <c r="AH1382" t="str">
        <f t="shared" si="68"/>
        <v>Matihani</v>
      </c>
      <c r="AJ1382" s="72">
        <v>0</v>
      </c>
      <c r="AK1382" s="72"/>
      <c r="AL1382" s="72"/>
      <c r="AM1382" s="72"/>
    </row>
    <row r="1383" spans="1:39" x14ac:dyDescent="0.25">
      <c r="A1383" s="37" t="s">
        <v>62</v>
      </c>
      <c r="B1383" s="66" t="s">
        <v>1638</v>
      </c>
      <c r="C1383" s="47">
        <v>1054</v>
      </c>
      <c r="D1383" s="47" t="s">
        <v>808</v>
      </c>
      <c r="E1383" s="41">
        <v>10110129</v>
      </c>
      <c r="F1383" s="46" t="s">
        <v>690</v>
      </c>
      <c r="G1383" s="39" t="s">
        <v>92</v>
      </c>
      <c r="H1383" s="48" t="s">
        <v>93</v>
      </c>
      <c r="I1383" s="52">
        <v>795.2</v>
      </c>
      <c r="J1383" s="49">
        <v>30165.08</v>
      </c>
      <c r="K1383" s="65">
        <v>790.2</v>
      </c>
      <c r="L1383" s="65">
        <v>33296.629999999997</v>
      </c>
      <c r="M1383" s="65">
        <v>0</v>
      </c>
      <c r="N1383" s="65">
        <v>0</v>
      </c>
      <c r="O1383" s="65">
        <v>790.2</v>
      </c>
      <c r="P1383" s="65">
        <v>33296.629999999997</v>
      </c>
      <c r="Q1383" s="50">
        <v>30165.08</v>
      </c>
      <c r="R1383" s="65">
        <v>0</v>
      </c>
      <c r="S1383" s="65">
        <v>0</v>
      </c>
      <c r="T1383" s="65">
        <v>3131.5499999999956</v>
      </c>
      <c r="U1383" s="65">
        <v>0</v>
      </c>
      <c r="V1383" s="65">
        <v>0</v>
      </c>
      <c r="W1383" s="65">
        <v>0</v>
      </c>
      <c r="X1383" s="65">
        <v>30165</v>
      </c>
      <c r="Y1383" s="65">
        <v>0</v>
      </c>
      <c r="Z1383" s="65">
        <v>0</v>
      </c>
      <c r="AA1383" s="51">
        <v>0</v>
      </c>
      <c r="AB1383" s="102">
        <v>0</v>
      </c>
      <c r="AC1383" s="81">
        <f t="shared" si="66"/>
        <v>0</v>
      </c>
      <c r="AD1383" s="82">
        <f t="shared" si="67"/>
        <v>0</v>
      </c>
      <c r="AE1383" s="218">
        <v>-0.10381374755180478</v>
      </c>
      <c r="AF1383">
        <v>3</v>
      </c>
      <c r="AH1383" t="str">
        <f t="shared" si="68"/>
        <v xml:space="preserve">Alauli </v>
      </c>
      <c r="AJ1383" s="72">
        <v>0</v>
      </c>
      <c r="AK1383" s="72"/>
      <c r="AL1383" s="72"/>
      <c r="AM1383" s="72"/>
    </row>
    <row r="1384" spans="1:39" x14ac:dyDescent="0.25">
      <c r="A1384" s="37" t="s">
        <v>62</v>
      </c>
      <c r="B1384" s="66" t="s">
        <v>1638</v>
      </c>
      <c r="C1384" s="47">
        <v>1054</v>
      </c>
      <c r="D1384" s="47" t="s">
        <v>808</v>
      </c>
      <c r="E1384" s="41">
        <v>10110132</v>
      </c>
      <c r="F1384" s="46" t="s">
        <v>631</v>
      </c>
      <c r="G1384" s="39" t="s">
        <v>92</v>
      </c>
      <c r="H1384" s="48" t="s">
        <v>93</v>
      </c>
      <c r="I1384" s="52">
        <v>355.9</v>
      </c>
      <c r="J1384" s="49">
        <v>14404.990000000002</v>
      </c>
      <c r="K1384" s="65">
        <v>367.64</v>
      </c>
      <c r="L1384" s="65">
        <v>15159.36</v>
      </c>
      <c r="M1384" s="65">
        <v>19.740000000000002</v>
      </c>
      <c r="N1384" s="65">
        <v>795.58</v>
      </c>
      <c r="O1384" s="65">
        <v>387.38</v>
      </c>
      <c r="P1384" s="65">
        <v>15954.94</v>
      </c>
      <c r="Q1384" s="50">
        <v>14404.990000000002</v>
      </c>
      <c r="R1384" s="65">
        <v>0</v>
      </c>
      <c r="S1384" s="65">
        <v>0</v>
      </c>
      <c r="T1384" s="65">
        <v>1549.9499999999989</v>
      </c>
      <c r="U1384" s="65">
        <v>0</v>
      </c>
      <c r="V1384" s="65">
        <v>500</v>
      </c>
      <c r="W1384" s="65">
        <v>0</v>
      </c>
      <c r="X1384" s="65">
        <v>13109</v>
      </c>
      <c r="Y1384" s="65">
        <v>796</v>
      </c>
      <c r="Z1384" s="65">
        <v>0</v>
      </c>
      <c r="AA1384" s="51">
        <v>0</v>
      </c>
      <c r="AB1384" s="102">
        <v>0</v>
      </c>
      <c r="AC1384" s="81">
        <f t="shared" si="66"/>
        <v>278.54774144422601</v>
      </c>
      <c r="AD1384" s="82">
        <f t="shared" si="67"/>
        <v>50.842857142857142</v>
      </c>
      <c r="AE1384" s="218">
        <v>-0.10759813092546394</v>
      </c>
      <c r="AF1384">
        <v>7</v>
      </c>
      <c r="AH1384" t="str">
        <f t="shared" si="68"/>
        <v xml:space="preserve">Alauli </v>
      </c>
      <c r="AJ1384" s="72">
        <v>500</v>
      </c>
      <c r="AK1384" s="72"/>
      <c r="AL1384" s="72"/>
      <c r="AM1384" s="72"/>
    </row>
    <row r="1385" spans="1:39" x14ac:dyDescent="0.25">
      <c r="A1385" s="37" t="s">
        <v>62</v>
      </c>
      <c r="B1385" s="66" t="s">
        <v>1638</v>
      </c>
      <c r="C1385" s="47">
        <v>1054</v>
      </c>
      <c r="D1385" s="47" t="s">
        <v>808</v>
      </c>
      <c r="E1385" s="41">
        <v>10110133</v>
      </c>
      <c r="F1385" s="46" t="s">
        <v>656</v>
      </c>
      <c r="G1385" s="39" t="s">
        <v>92</v>
      </c>
      <c r="H1385" s="48" t="s">
        <v>93</v>
      </c>
      <c r="I1385" s="52">
        <v>2858.8</v>
      </c>
      <c r="J1385" s="49">
        <v>108702.20000000001</v>
      </c>
      <c r="K1385" s="65">
        <v>2856.2999999999997</v>
      </c>
      <c r="L1385" s="65">
        <v>108602.8</v>
      </c>
      <c r="M1385" s="65">
        <v>0</v>
      </c>
      <c r="N1385" s="65">
        <v>0</v>
      </c>
      <c r="O1385" s="65">
        <v>2856.2999999999997</v>
      </c>
      <c r="P1385" s="65">
        <v>108602.8</v>
      </c>
      <c r="Q1385" s="50">
        <v>108602.8</v>
      </c>
      <c r="R1385" s="65">
        <v>0</v>
      </c>
      <c r="S1385" s="65">
        <v>0</v>
      </c>
      <c r="T1385" s="65">
        <v>0</v>
      </c>
      <c r="U1385" s="65">
        <v>0</v>
      </c>
      <c r="V1385" s="65">
        <v>0</v>
      </c>
      <c r="W1385" s="65">
        <v>0</v>
      </c>
      <c r="X1385" s="65">
        <v>108603</v>
      </c>
      <c r="Y1385" s="65">
        <v>0</v>
      </c>
      <c r="Z1385" s="65">
        <v>0</v>
      </c>
      <c r="AA1385" s="51">
        <v>99</v>
      </c>
      <c r="AB1385" s="102">
        <v>0</v>
      </c>
      <c r="AC1385" s="81">
        <f t="shared" si="66"/>
        <v>0</v>
      </c>
      <c r="AD1385" s="82">
        <f t="shared" si="67"/>
        <v>0</v>
      </c>
      <c r="AE1385" s="218">
        <v>9.1442491504319806E-4</v>
      </c>
      <c r="AF1385">
        <v>1</v>
      </c>
      <c r="AH1385" t="str">
        <f t="shared" si="68"/>
        <v xml:space="preserve">Alauli </v>
      </c>
      <c r="AJ1385" s="72">
        <v>0</v>
      </c>
      <c r="AK1385" s="72"/>
      <c r="AL1385" s="72"/>
      <c r="AM1385" s="72"/>
    </row>
    <row r="1386" spans="1:39" x14ac:dyDescent="0.25">
      <c r="A1386" s="37" t="s">
        <v>62</v>
      </c>
      <c r="B1386" s="66" t="s">
        <v>1638</v>
      </c>
      <c r="C1386" s="47">
        <v>1054</v>
      </c>
      <c r="D1386" s="47" t="s">
        <v>808</v>
      </c>
      <c r="E1386" s="41">
        <v>10110134</v>
      </c>
      <c r="F1386" s="46" t="s">
        <v>231</v>
      </c>
      <c r="G1386" s="39" t="s">
        <v>92</v>
      </c>
      <c r="H1386" s="48" t="s">
        <v>93</v>
      </c>
      <c r="I1386" s="52">
        <v>302.2</v>
      </c>
      <c r="J1386" s="49">
        <v>12850.630000000003</v>
      </c>
      <c r="K1386" s="65">
        <v>306.42</v>
      </c>
      <c r="L1386" s="65">
        <v>12700.34</v>
      </c>
      <c r="M1386" s="65">
        <v>4.3499999999999996</v>
      </c>
      <c r="N1386" s="65">
        <v>180.64999999999995</v>
      </c>
      <c r="O1386" s="65">
        <v>310.77000000000004</v>
      </c>
      <c r="P1386" s="65">
        <v>12880.99</v>
      </c>
      <c r="Q1386" s="50">
        <v>12850.630000000003</v>
      </c>
      <c r="R1386" s="65">
        <v>0</v>
      </c>
      <c r="S1386" s="65">
        <v>180.64999999999995</v>
      </c>
      <c r="T1386" s="65">
        <v>30.359999999996944</v>
      </c>
      <c r="U1386" s="65">
        <v>0</v>
      </c>
      <c r="V1386" s="65">
        <v>0</v>
      </c>
      <c r="W1386" s="65">
        <v>0</v>
      </c>
      <c r="X1386" s="65">
        <v>12670</v>
      </c>
      <c r="Y1386" s="65">
        <v>0</v>
      </c>
      <c r="Z1386" s="65">
        <v>0</v>
      </c>
      <c r="AA1386" s="51">
        <v>0</v>
      </c>
      <c r="AB1386" s="102">
        <v>0</v>
      </c>
      <c r="AC1386" s="81">
        <f t="shared" si="66"/>
        <v>338.31771105228336</v>
      </c>
      <c r="AD1386" s="82">
        <f t="shared" si="67"/>
        <v>43.171428571428571</v>
      </c>
      <c r="AE1386" s="218">
        <v>-2.3625300860733627E-3</v>
      </c>
      <c r="AF1386">
        <v>8</v>
      </c>
      <c r="AH1386" t="str">
        <f t="shared" si="68"/>
        <v xml:space="preserve">Alauli </v>
      </c>
      <c r="AJ1386" s="72">
        <v>0</v>
      </c>
      <c r="AK1386" s="72"/>
      <c r="AL1386" s="72"/>
      <c r="AM1386" s="72"/>
    </row>
    <row r="1387" spans="1:39" x14ac:dyDescent="0.25">
      <c r="A1387" s="37" t="s">
        <v>62</v>
      </c>
      <c r="B1387" s="66" t="s">
        <v>1638</v>
      </c>
      <c r="C1387" s="47">
        <v>1054</v>
      </c>
      <c r="D1387" s="47" t="s">
        <v>808</v>
      </c>
      <c r="E1387" s="41">
        <v>10110135</v>
      </c>
      <c r="F1387" s="46" t="s">
        <v>625</v>
      </c>
      <c r="G1387" s="39" t="s">
        <v>92</v>
      </c>
      <c r="H1387" s="48" t="s">
        <v>93</v>
      </c>
      <c r="I1387" s="52">
        <v>612.6</v>
      </c>
      <c r="J1387" s="49">
        <v>24091.69</v>
      </c>
      <c r="K1387" s="65">
        <v>552.82000000000005</v>
      </c>
      <c r="L1387" s="65">
        <v>21268.050000000003</v>
      </c>
      <c r="M1387" s="65">
        <v>64.040000000000006</v>
      </c>
      <c r="N1387" s="65">
        <v>2930.2099999999996</v>
      </c>
      <c r="O1387" s="65">
        <v>616.86</v>
      </c>
      <c r="P1387" s="65">
        <v>24198.260000000002</v>
      </c>
      <c r="Q1387" s="50">
        <v>24091.69</v>
      </c>
      <c r="R1387" s="65">
        <v>0</v>
      </c>
      <c r="S1387" s="65">
        <v>0</v>
      </c>
      <c r="T1387" s="65">
        <v>106.57000000000335</v>
      </c>
      <c r="U1387" s="65">
        <v>0</v>
      </c>
      <c r="V1387" s="65">
        <v>0</v>
      </c>
      <c r="W1387" s="65">
        <v>0</v>
      </c>
      <c r="X1387" s="65">
        <v>21162</v>
      </c>
      <c r="Y1387" s="65">
        <v>2930</v>
      </c>
      <c r="Z1387" s="65">
        <v>0</v>
      </c>
      <c r="AA1387" s="51">
        <v>0</v>
      </c>
      <c r="AB1387" s="102" t="s">
        <v>1366</v>
      </c>
      <c r="AC1387" s="81">
        <f t="shared" si="66"/>
        <v>68.743509826966999</v>
      </c>
      <c r="AD1387" s="82">
        <f t="shared" si="67"/>
        <v>87.51428571428572</v>
      </c>
      <c r="AE1387" s="218">
        <v>-4.4235169886381303E-3</v>
      </c>
      <c r="AF1387">
        <v>13</v>
      </c>
      <c r="AH1387" t="str">
        <f t="shared" si="68"/>
        <v xml:space="preserve">Alauli </v>
      </c>
      <c r="AJ1387" s="72">
        <v>0</v>
      </c>
      <c r="AK1387" s="72"/>
      <c r="AL1387" s="72"/>
      <c r="AM1387" s="72"/>
    </row>
    <row r="1388" spans="1:39" x14ac:dyDescent="0.25">
      <c r="A1388" s="37" t="s">
        <v>62</v>
      </c>
      <c r="B1388" s="66" t="s">
        <v>1638</v>
      </c>
      <c r="C1388" s="47">
        <v>1054</v>
      </c>
      <c r="D1388" s="47" t="s">
        <v>808</v>
      </c>
      <c r="E1388" s="41">
        <v>10110140</v>
      </c>
      <c r="F1388" s="46" t="s">
        <v>657</v>
      </c>
      <c r="G1388" s="39" t="s">
        <v>92</v>
      </c>
      <c r="H1388" s="48" t="s">
        <v>93</v>
      </c>
      <c r="I1388" s="52">
        <v>105.10000000000001</v>
      </c>
      <c r="J1388" s="49">
        <v>5707.7400000000007</v>
      </c>
      <c r="K1388" s="65">
        <v>133.37</v>
      </c>
      <c r="L1388" s="65">
        <v>6690.82</v>
      </c>
      <c r="M1388" s="65">
        <v>1.4500000000000002</v>
      </c>
      <c r="N1388" s="65">
        <v>78.960000000000008</v>
      </c>
      <c r="O1388" s="65">
        <v>134.82</v>
      </c>
      <c r="P1388" s="65">
        <v>6769.78</v>
      </c>
      <c r="Q1388" s="50">
        <v>5707.7400000000007</v>
      </c>
      <c r="R1388" s="65">
        <v>0</v>
      </c>
      <c r="S1388" s="65">
        <v>78.960000000000008</v>
      </c>
      <c r="T1388" s="65">
        <v>1062.0399999999991</v>
      </c>
      <c r="U1388" s="65">
        <v>0</v>
      </c>
      <c r="V1388" s="65">
        <v>0</v>
      </c>
      <c r="W1388" s="65">
        <v>0</v>
      </c>
      <c r="X1388" s="65">
        <v>5629</v>
      </c>
      <c r="Y1388" s="65">
        <v>0</v>
      </c>
      <c r="Z1388" s="65">
        <v>0</v>
      </c>
      <c r="AA1388" s="51">
        <v>0</v>
      </c>
      <c r="AB1388" s="102">
        <v>0</v>
      </c>
      <c r="AC1388" s="81">
        <f t="shared" si="66"/>
        <v>646.15309724072313</v>
      </c>
      <c r="AD1388" s="82">
        <f t="shared" si="67"/>
        <v>15.014285714285716</v>
      </c>
      <c r="AE1388" s="218">
        <v>-0.18607014334920632</v>
      </c>
      <c r="AF1388">
        <v>4</v>
      </c>
      <c r="AH1388" t="str">
        <f t="shared" si="68"/>
        <v xml:space="preserve">Alauli </v>
      </c>
      <c r="AJ1388" s="72">
        <v>0</v>
      </c>
      <c r="AK1388" s="72"/>
      <c r="AL1388" s="72"/>
      <c r="AM1388" s="72"/>
    </row>
    <row r="1389" spans="1:39" x14ac:dyDescent="0.25">
      <c r="A1389" s="37" t="s">
        <v>62</v>
      </c>
      <c r="B1389" s="66" t="s">
        <v>1638</v>
      </c>
      <c r="C1389" s="47">
        <v>1054</v>
      </c>
      <c r="D1389" s="47" t="s">
        <v>808</v>
      </c>
      <c r="E1389" s="41">
        <v>10110141</v>
      </c>
      <c r="F1389" s="46" t="s">
        <v>658</v>
      </c>
      <c r="G1389" s="39" t="s">
        <v>92</v>
      </c>
      <c r="H1389" s="48" t="s">
        <v>93</v>
      </c>
      <c r="I1389" s="52">
        <v>763.4</v>
      </c>
      <c r="J1389" s="49">
        <v>31634.739999999998</v>
      </c>
      <c r="K1389" s="65">
        <v>746.8499999999998</v>
      </c>
      <c r="L1389" s="65">
        <v>31425.06</v>
      </c>
      <c r="M1389" s="65">
        <v>9.1399999999999988</v>
      </c>
      <c r="N1389" s="65">
        <v>388.09</v>
      </c>
      <c r="O1389" s="65">
        <v>755.98999999999978</v>
      </c>
      <c r="P1389" s="65">
        <v>31813.15</v>
      </c>
      <c r="Q1389" s="50">
        <v>31634.739999999998</v>
      </c>
      <c r="R1389" s="65">
        <v>0</v>
      </c>
      <c r="S1389" s="65">
        <v>388.09</v>
      </c>
      <c r="T1389" s="65">
        <v>178.41000000000349</v>
      </c>
      <c r="U1389" s="65">
        <v>0</v>
      </c>
      <c r="V1389" s="65">
        <v>0</v>
      </c>
      <c r="W1389" s="65">
        <v>0</v>
      </c>
      <c r="X1389" s="65">
        <v>31247</v>
      </c>
      <c r="Y1389" s="65">
        <v>0</v>
      </c>
      <c r="Z1389" s="65">
        <v>0</v>
      </c>
      <c r="AA1389" s="51">
        <v>0</v>
      </c>
      <c r="AB1389" s="102">
        <v>0</v>
      </c>
      <c r="AC1389" s="81">
        <f t="shared" si="66"/>
        <v>0</v>
      </c>
      <c r="AD1389" s="82">
        <f t="shared" si="67"/>
        <v>0</v>
      </c>
      <c r="AE1389" s="218">
        <v>-5.6396859907811318E-3</v>
      </c>
      <c r="AF1389">
        <v>17</v>
      </c>
      <c r="AH1389" t="str">
        <f t="shared" si="68"/>
        <v xml:space="preserve">Alauli </v>
      </c>
      <c r="AJ1389" s="72">
        <v>0</v>
      </c>
      <c r="AK1389" s="72"/>
      <c r="AL1389" s="72"/>
      <c r="AM1389" s="72"/>
    </row>
    <row r="1390" spans="1:39" x14ac:dyDescent="0.25">
      <c r="A1390" s="37" t="s">
        <v>62</v>
      </c>
      <c r="B1390" s="66" t="s">
        <v>1638</v>
      </c>
      <c r="C1390" s="47">
        <v>1054</v>
      </c>
      <c r="D1390" s="47" t="s">
        <v>808</v>
      </c>
      <c r="E1390" s="41">
        <v>10110143</v>
      </c>
      <c r="F1390" s="46" t="s">
        <v>659</v>
      </c>
      <c r="G1390" s="39" t="s">
        <v>92</v>
      </c>
      <c r="H1390" s="48" t="s">
        <v>93</v>
      </c>
      <c r="I1390" s="52">
        <v>705.2</v>
      </c>
      <c r="J1390" s="49">
        <v>27385.760000000006</v>
      </c>
      <c r="K1390" s="65">
        <v>717.14</v>
      </c>
      <c r="L1390" s="65">
        <v>29312.510000000006</v>
      </c>
      <c r="M1390" s="65">
        <v>0</v>
      </c>
      <c r="N1390" s="65">
        <v>0</v>
      </c>
      <c r="O1390" s="65">
        <v>717.14</v>
      </c>
      <c r="P1390" s="65">
        <v>29312.510000000006</v>
      </c>
      <c r="Q1390" s="50">
        <v>27385.760000000006</v>
      </c>
      <c r="R1390" s="65">
        <v>0</v>
      </c>
      <c r="S1390" s="65">
        <v>0</v>
      </c>
      <c r="T1390" s="65">
        <v>1926.75</v>
      </c>
      <c r="U1390" s="65">
        <v>0</v>
      </c>
      <c r="V1390" s="65">
        <v>0</v>
      </c>
      <c r="W1390" s="65">
        <v>0</v>
      </c>
      <c r="X1390" s="65">
        <v>27386</v>
      </c>
      <c r="Y1390" s="65">
        <v>0</v>
      </c>
      <c r="Z1390" s="65">
        <v>0</v>
      </c>
      <c r="AA1390" s="51">
        <v>0</v>
      </c>
      <c r="AB1390" s="102">
        <v>0</v>
      </c>
      <c r="AC1390" s="81">
        <f t="shared" si="66"/>
        <v>0</v>
      </c>
      <c r="AD1390" s="82">
        <f t="shared" si="67"/>
        <v>0</v>
      </c>
      <c r="AE1390" s="218">
        <v>-7.0355907595772385E-2</v>
      </c>
      <c r="AF1390">
        <v>4</v>
      </c>
      <c r="AH1390" t="str">
        <f t="shared" si="68"/>
        <v xml:space="preserve">Alauli </v>
      </c>
      <c r="AJ1390" s="72">
        <v>0</v>
      </c>
      <c r="AK1390" s="72"/>
      <c r="AL1390" s="72"/>
      <c r="AM1390" s="72"/>
    </row>
    <row r="1391" spans="1:39" x14ac:dyDescent="0.25">
      <c r="A1391" s="37" t="s">
        <v>62</v>
      </c>
      <c r="B1391" s="66" t="s">
        <v>1638</v>
      </c>
      <c r="C1391" s="47">
        <v>1054</v>
      </c>
      <c r="D1391" s="47" t="s">
        <v>808</v>
      </c>
      <c r="E1391" s="41">
        <v>10110144</v>
      </c>
      <c r="F1391" s="46" t="s">
        <v>660</v>
      </c>
      <c r="G1391" s="39" t="s">
        <v>92</v>
      </c>
      <c r="H1391" s="48" t="s">
        <v>93</v>
      </c>
      <c r="I1391" s="52">
        <v>722.2</v>
      </c>
      <c r="J1391" s="49">
        <v>27902.120000000003</v>
      </c>
      <c r="K1391" s="65">
        <v>802.15000000000009</v>
      </c>
      <c r="L1391" s="65">
        <v>31160.23</v>
      </c>
      <c r="M1391" s="65">
        <v>0</v>
      </c>
      <c r="N1391" s="65">
        <v>0</v>
      </c>
      <c r="O1391" s="65">
        <v>802.15000000000009</v>
      </c>
      <c r="P1391" s="65">
        <v>31160.23</v>
      </c>
      <c r="Q1391" s="50">
        <v>27902.120000000003</v>
      </c>
      <c r="R1391" s="65">
        <v>0</v>
      </c>
      <c r="S1391" s="65">
        <v>0</v>
      </c>
      <c r="T1391" s="65">
        <v>3258.1099999999969</v>
      </c>
      <c r="U1391" s="65">
        <v>6149</v>
      </c>
      <c r="V1391" s="65">
        <v>0</v>
      </c>
      <c r="W1391" s="65">
        <v>0</v>
      </c>
      <c r="X1391" s="65">
        <v>21753</v>
      </c>
      <c r="Y1391" s="65">
        <v>0</v>
      </c>
      <c r="Z1391" s="65">
        <v>0</v>
      </c>
      <c r="AA1391" s="51">
        <v>0</v>
      </c>
      <c r="AB1391" s="102">
        <v>0</v>
      </c>
      <c r="AC1391" s="81">
        <f t="shared" si="66"/>
        <v>0</v>
      </c>
      <c r="AD1391" s="82">
        <f t="shared" si="67"/>
        <v>0</v>
      </c>
      <c r="AE1391" s="218">
        <v>-0.1167692634108088</v>
      </c>
      <c r="AF1391">
        <v>6</v>
      </c>
      <c r="AH1391" t="str">
        <f t="shared" si="68"/>
        <v xml:space="preserve">Alauli </v>
      </c>
      <c r="AJ1391" s="72">
        <v>0</v>
      </c>
      <c r="AK1391" s="72"/>
      <c r="AL1391" s="72"/>
      <c r="AM1391" s="72"/>
    </row>
    <row r="1392" spans="1:39" x14ac:dyDescent="0.25">
      <c r="A1392" s="37" t="s">
        <v>62</v>
      </c>
      <c r="B1392" s="66" t="s">
        <v>1638</v>
      </c>
      <c r="C1392" s="47">
        <v>1011</v>
      </c>
      <c r="D1392" s="47" t="s">
        <v>281</v>
      </c>
      <c r="E1392" s="41">
        <v>10110146</v>
      </c>
      <c r="F1392" s="46" t="s">
        <v>626</v>
      </c>
      <c r="G1392" s="39" t="s">
        <v>92</v>
      </c>
      <c r="H1392" s="48" t="s">
        <v>93</v>
      </c>
      <c r="I1392" s="52">
        <v>1520.5</v>
      </c>
      <c r="J1392" s="49">
        <v>61630.33</v>
      </c>
      <c r="K1392" s="65">
        <v>1479.6</v>
      </c>
      <c r="L1392" s="65">
        <v>60147.740000000005</v>
      </c>
      <c r="M1392" s="65">
        <v>41</v>
      </c>
      <c r="N1392" s="65">
        <v>1624.42</v>
      </c>
      <c r="O1392" s="65">
        <v>1520.6</v>
      </c>
      <c r="P1392" s="65">
        <v>61772.160000000003</v>
      </c>
      <c r="Q1392" s="50">
        <v>61630.33</v>
      </c>
      <c r="R1392" s="65">
        <v>0</v>
      </c>
      <c r="S1392" s="65">
        <v>1624.42</v>
      </c>
      <c r="T1392" s="65">
        <v>141.83000000000175</v>
      </c>
      <c r="U1392" s="65">
        <v>0</v>
      </c>
      <c r="V1392" s="65">
        <v>0</v>
      </c>
      <c r="W1392" s="65">
        <v>0</v>
      </c>
      <c r="X1392" s="65">
        <v>60006</v>
      </c>
      <c r="Y1392" s="65">
        <v>0</v>
      </c>
      <c r="Z1392" s="65">
        <v>0</v>
      </c>
      <c r="AA1392" s="51">
        <v>0</v>
      </c>
      <c r="AB1392" s="102">
        <v>0</v>
      </c>
      <c r="AC1392" s="81">
        <f t="shared" si="66"/>
        <v>0</v>
      </c>
      <c r="AD1392" s="82">
        <f t="shared" si="67"/>
        <v>0</v>
      </c>
      <c r="AE1392" s="218">
        <v>-2.3013019725839816E-3</v>
      </c>
      <c r="AF1392">
        <v>3</v>
      </c>
      <c r="AH1392" t="str">
        <f t="shared" si="68"/>
        <v>Sahibpur Kamal</v>
      </c>
      <c r="AJ1392" s="72">
        <v>0</v>
      </c>
      <c r="AK1392" s="72"/>
      <c r="AL1392" s="72"/>
      <c r="AM1392" s="72"/>
    </row>
    <row r="1393" spans="1:39" x14ac:dyDescent="0.25">
      <c r="A1393" s="37" t="s">
        <v>62</v>
      </c>
      <c r="B1393" s="66" t="s">
        <v>1638</v>
      </c>
      <c r="C1393" s="47">
        <v>1054</v>
      </c>
      <c r="D1393" s="47" t="s">
        <v>808</v>
      </c>
      <c r="E1393" s="41">
        <v>10110149</v>
      </c>
      <c r="F1393" s="46" t="s">
        <v>664</v>
      </c>
      <c r="G1393" s="39" t="s">
        <v>92</v>
      </c>
      <c r="H1393" s="48" t="s">
        <v>93</v>
      </c>
      <c r="I1393" s="52">
        <v>651.5</v>
      </c>
      <c r="J1393" s="49">
        <v>26189.040000000001</v>
      </c>
      <c r="K1393" s="65">
        <v>163.82</v>
      </c>
      <c r="L1393" s="65">
        <v>7312.46</v>
      </c>
      <c r="M1393" s="65">
        <v>491.27</v>
      </c>
      <c r="N1393" s="65">
        <v>20327.650000000001</v>
      </c>
      <c r="O1393" s="65">
        <v>655.08999999999992</v>
      </c>
      <c r="P1393" s="65">
        <v>27640.11</v>
      </c>
      <c r="Q1393" s="50">
        <v>26189.040000000001</v>
      </c>
      <c r="R1393" s="65">
        <v>0</v>
      </c>
      <c r="S1393" s="65">
        <v>0</v>
      </c>
      <c r="T1393" s="65">
        <v>1451.0699999999997</v>
      </c>
      <c r="U1393" s="65">
        <v>11461</v>
      </c>
      <c r="V1393" s="65">
        <v>0</v>
      </c>
      <c r="W1393" s="65">
        <v>0</v>
      </c>
      <c r="X1393" s="65">
        <v>0</v>
      </c>
      <c r="Y1393" s="65">
        <v>14728</v>
      </c>
      <c r="Z1393" s="65">
        <v>0</v>
      </c>
      <c r="AA1393" s="51">
        <v>0</v>
      </c>
      <c r="AB1393" s="102">
        <v>0</v>
      </c>
      <c r="AC1393" s="81">
        <f t="shared" si="66"/>
        <v>38.992124021488884</v>
      </c>
      <c r="AD1393" s="82">
        <f t="shared" si="67"/>
        <v>93.071428571428569</v>
      </c>
      <c r="AE1393" s="218">
        <v>-5.5407529256513398E-2</v>
      </c>
      <c r="AF1393">
        <v>4</v>
      </c>
      <c r="AH1393" t="str">
        <f t="shared" si="68"/>
        <v xml:space="preserve">Alauli </v>
      </c>
      <c r="AJ1393" s="72">
        <v>0</v>
      </c>
      <c r="AK1393" s="72"/>
      <c r="AL1393" s="72"/>
      <c r="AM1393" s="72"/>
    </row>
    <row r="1394" spans="1:39" x14ac:dyDescent="0.25">
      <c r="A1394" s="37" t="s">
        <v>62</v>
      </c>
      <c r="B1394" s="66" t="s">
        <v>1638</v>
      </c>
      <c r="C1394" s="47">
        <v>1011</v>
      </c>
      <c r="D1394" s="47" t="s">
        <v>281</v>
      </c>
      <c r="E1394" s="41">
        <v>10110153</v>
      </c>
      <c r="F1394" s="46" t="s">
        <v>812</v>
      </c>
      <c r="G1394" s="39" t="s">
        <v>1610</v>
      </c>
      <c r="H1394" s="48" t="s">
        <v>98</v>
      </c>
      <c r="I1394" s="52">
        <v>2684.0000000000005</v>
      </c>
      <c r="J1394" s="49">
        <v>110226.79000000001</v>
      </c>
      <c r="K1394" s="65">
        <v>0</v>
      </c>
      <c r="L1394" s="65">
        <v>0</v>
      </c>
      <c r="M1394" s="65">
        <v>0</v>
      </c>
      <c r="N1394" s="65">
        <v>0</v>
      </c>
      <c r="O1394" s="65">
        <v>0</v>
      </c>
      <c r="P1394" s="65">
        <v>0</v>
      </c>
      <c r="Q1394" s="50">
        <v>110226.79000000001</v>
      </c>
      <c r="R1394" s="65">
        <v>0</v>
      </c>
      <c r="S1394" s="65">
        <v>0</v>
      </c>
      <c r="T1394" s="65">
        <v>0</v>
      </c>
      <c r="U1394" s="65">
        <v>1350</v>
      </c>
      <c r="V1394" s="65">
        <v>0</v>
      </c>
      <c r="W1394" s="65">
        <v>0</v>
      </c>
      <c r="X1394" s="65">
        <v>0</v>
      </c>
      <c r="Y1394" s="65">
        <v>0</v>
      </c>
      <c r="Z1394" s="65">
        <v>108876.79000000001</v>
      </c>
      <c r="AA1394" s="51">
        <v>0</v>
      </c>
      <c r="AB1394" s="102">
        <v>0</v>
      </c>
      <c r="AC1394" s="81">
        <f t="shared" si="66"/>
        <v>0</v>
      </c>
      <c r="AD1394" s="82">
        <f t="shared" si="67"/>
        <v>0</v>
      </c>
      <c r="AE1394" s="218">
        <v>0</v>
      </c>
      <c r="AF1394">
        <v>0</v>
      </c>
      <c r="AH1394" t="str">
        <f t="shared" si="68"/>
        <v>Sahibpur Kamal</v>
      </c>
      <c r="AJ1394" s="72">
        <v>0</v>
      </c>
      <c r="AK1394" s="72"/>
      <c r="AL1394" s="72"/>
      <c r="AM1394" s="72"/>
    </row>
    <row r="1395" spans="1:39" x14ac:dyDescent="0.25">
      <c r="A1395" s="37" t="s">
        <v>62</v>
      </c>
      <c r="B1395" s="66" t="s">
        <v>1638</v>
      </c>
      <c r="C1395" s="47">
        <v>1055</v>
      </c>
      <c r="D1395" s="47" t="s">
        <v>1125</v>
      </c>
      <c r="E1395" s="41">
        <v>10110155</v>
      </c>
      <c r="F1395" s="46" t="s">
        <v>817</v>
      </c>
      <c r="G1395" s="39" t="s">
        <v>1610</v>
      </c>
      <c r="H1395" s="48" t="s">
        <v>98</v>
      </c>
      <c r="I1395" s="52">
        <v>395.6</v>
      </c>
      <c r="J1395" s="49">
        <v>15489.96</v>
      </c>
      <c r="K1395" s="65">
        <v>0</v>
      </c>
      <c r="L1395" s="65">
        <v>0</v>
      </c>
      <c r="M1395" s="65">
        <v>0</v>
      </c>
      <c r="N1395" s="65">
        <v>0</v>
      </c>
      <c r="O1395" s="65">
        <v>0</v>
      </c>
      <c r="P1395" s="65">
        <v>0</v>
      </c>
      <c r="Q1395" s="50">
        <v>15489.96</v>
      </c>
      <c r="R1395" s="65">
        <v>0</v>
      </c>
      <c r="S1395" s="65">
        <v>0</v>
      </c>
      <c r="T1395" s="65">
        <v>0</v>
      </c>
      <c r="U1395" s="65">
        <v>0</v>
      </c>
      <c r="V1395" s="65">
        <v>0</v>
      </c>
      <c r="W1395" s="65">
        <v>0</v>
      </c>
      <c r="X1395" s="65">
        <v>0</v>
      </c>
      <c r="Y1395" s="65">
        <v>0</v>
      </c>
      <c r="Z1395" s="65">
        <v>15489.96</v>
      </c>
      <c r="AA1395" s="51">
        <v>0</v>
      </c>
      <c r="AB1395" s="102">
        <v>0</v>
      </c>
      <c r="AC1395" s="81">
        <f t="shared" si="66"/>
        <v>238.37936420626892</v>
      </c>
      <c r="AD1395" s="82">
        <f t="shared" si="67"/>
        <v>56.51428571428572</v>
      </c>
      <c r="AE1395" s="218">
        <v>0</v>
      </c>
      <c r="AF1395">
        <v>0</v>
      </c>
      <c r="AH1395" t="str">
        <f t="shared" si="68"/>
        <v>Matihani</v>
      </c>
      <c r="AJ1395" s="72">
        <v>0</v>
      </c>
      <c r="AK1395" s="72"/>
      <c r="AL1395" s="72"/>
      <c r="AM1395" s="72"/>
    </row>
    <row r="1396" spans="1:39" x14ac:dyDescent="0.25">
      <c r="A1396" s="37" t="s">
        <v>62</v>
      </c>
      <c r="B1396" s="66" t="s">
        <v>1638</v>
      </c>
      <c r="C1396" s="47">
        <v>1011</v>
      </c>
      <c r="D1396" s="47" t="s">
        <v>281</v>
      </c>
      <c r="E1396" s="41">
        <v>10110158</v>
      </c>
      <c r="F1396" s="46" t="s">
        <v>1118</v>
      </c>
      <c r="G1396" s="39" t="s">
        <v>92</v>
      </c>
      <c r="H1396" s="48" t="s">
        <v>93</v>
      </c>
      <c r="I1396" s="52">
        <v>6716.7</v>
      </c>
      <c r="J1396" s="49">
        <v>262952.64999999997</v>
      </c>
      <c r="K1396" s="65">
        <v>5513.9600000000028</v>
      </c>
      <c r="L1396" s="65">
        <v>215567.13</v>
      </c>
      <c r="M1396" s="65">
        <v>1199.46</v>
      </c>
      <c r="N1396" s="65">
        <v>48378.750000000007</v>
      </c>
      <c r="O1396" s="65">
        <v>6713.4200000000028</v>
      </c>
      <c r="P1396" s="65">
        <v>263945.88</v>
      </c>
      <c r="Q1396" s="50">
        <v>262952.64999999997</v>
      </c>
      <c r="R1396" s="65">
        <v>0</v>
      </c>
      <c r="S1396" s="65">
        <v>0</v>
      </c>
      <c r="T1396" s="65">
        <v>993.23000000003958</v>
      </c>
      <c r="U1396" s="65">
        <v>0</v>
      </c>
      <c r="V1396" s="65">
        <v>0</v>
      </c>
      <c r="W1396" s="65">
        <v>0</v>
      </c>
      <c r="X1396" s="65">
        <v>214576</v>
      </c>
      <c r="Y1396" s="65">
        <v>48377</v>
      </c>
      <c r="Z1396" s="65">
        <v>0</v>
      </c>
      <c r="AA1396" s="51">
        <v>0</v>
      </c>
      <c r="AB1396" s="102">
        <v>0</v>
      </c>
      <c r="AC1396" s="81">
        <f t="shared" si="66"/>
        <v>0</v>
      </c>
      <c r="AD1396" s="82">
        <f t="shared" si="67"/>
        <v>0</v>
      </c>
      <c r="AE1396" s="218">
        <v>-3.7772199671691452E-3</v>
      </c>
      <c r="AF1396">
        <v>40</v>
      </c>
      <c r="AH1396" t="str">
        <f t="shared" si="68"/>
        <v>Sahibpur Kamal</v>
      </c>
      <c r="AJ1396" s="72">
        <v>0</v>
      </c>
      <c r="AK1396" s="72"/>
      <c r="AL1396" s="72"/>
      <c r="AM1396" s="72"/>
    </row>
    <row r="1397" spans="1:39" x14ac:dyDescent="0.25">
      <c r="A1397" s="37" t="s">
        <v>62</v>
      </c>
      <c r="B1397" s="66" t="s">
        <v>1638</v>
      </c>
      <c r="C1397" s="47">
        <v>1011</v>
      </c>
      <c r="D1397" s="47" t="s">
        <v>281</v>
      </c>
      <c r="E1397" s="41">
        <v>10110159</v>
      </c>
      <c r="F1397" s="46" t="s">
        <v>826</v>
      </c>
      <c r="G1397" s="39" t="s">
        <v>92</v>
      </c>
      <c r="H1397" s="48" t="s">
        <v>93</v>
      </c>
      <c r="I1397" s="52">
        <v>1947</v>
      </c>
      <c r="J1397" s="49">
        <v>76705.58</v>
      </c>
      <c r="K1397" s="65">
        <v>841.2</v>
      </c>
      <c r="L1397" s="65">
        <v>33134.89</v>
      </c>
      <c r="M1397" s="65">
        <v>1105.8000000000002</v>
      </c>
      <c r="N1397" s="65">
        <v>43580.01</v>
      </c>
      <c r="O1397" s="65">
        <v>1947.0000000000002</v>
      </c>
      <c r="P1397" s="65">
        <v>76714.899999999994</v>
      </c>
      <c r="Q1397" s="50">
        <v>76705.58</v>
      </c>
      <c r="R1397" s="65">
        <v>0</v>
      </c>
      <c r="S1397" s="65">
        <v>165.52000000000004</v>
      </c>
      <c r="T1397" s="65">
        <v>9.319999999992433</v>
      </c>
      <c r="U1397" s="65">
        <v>0</v>
      </c>
      <c r="V1397" s="65">
        <v>0</v>
      </c>
      <c r="W1397" s="65">
        <v>0</v>
      </c>
      <c r="X1397" s="65">
        <v>33125</v>
      </c>
      <c r="Y1397" s="65">
        <v>43415</v>
      </c>
      <c r="Z1397" s="65">
        <v>0</v>
      </c>
      <c r="AA1397" s="51">
        <v>0</v>
      </c>
      <c r="AB1397" s="102">
        <v>0</v>
      </c>
      <c r="AC1397" s="81">
        <f t="shared" si="66"/>
        <v>0</v>
      </c>
      <c r="AD1397" s="82">
        <f t="shared" si="67"/>
        <v>0</v>
      </c>
      <c r="AE1397" s="218">
        <v>-1.2150354641725456E-4</v>
      </c>
      <c r="AF1397">
        <v>8</v>
      </c>
      <c r="AH1397" t="str">
        <f t="shared" si="68"/>
        <v>Sahibpur Kamal</v>
      </c>
      <c r="AJ1397" s="72">
        <v>0</v>
      </c>
      <c r="AK1397" s="72"/>
      <c r="AL1397" s="72"/>
      <c r="AM1397" s="72"/>
    </row>
    <row r="1398" spans="1:39" x14ac:dyDescent="0.25">
      <c r="A1398" s="37" t="s">
        <v>62</v>
      </c>
      <c r="B1398" s="66" t="s">
        <v>1638</v>
      </c>
      <c r="C1398" s="47">
        <v>1011</v>
      </c>
      <c r="D1398" s="47" t="s">
        <v>281</v>
      </c>
      <c r="E1398" s="41">
        <v>10110160</v>
      </c>
      <c r="F1398" s="46" t="s">
        <v>1121</v>
      </c>
      <c r="G1398" s="39" t="s">
        <v>1610</v>
      </c>
      <c r="H1398" s="48" t="s">
        <v>98</v>
      </c>
      <c r="I1398" s="52">
        <v>470.90000000000009</v>
      </c>
      <c r="J1398" s="49">
        <v>17249.579999999998</v>
      </c>
      <c r="K1398" s="65">
        <v>0</v>
      </c>
      <c r="L1398" s="65">
        <v>0</v>
      </c>
      <c r="M1398" s="65">
        <v>0</v>
      </c>
      <c r="N1398" s="65">
        <v>0</v>
      </c>
      <c r="O1398" s="65">
        <v>0</v>
      </c>
      <c r="P1398" s="65">
        <v>0</v>
      </c>
      <c r="Q1398" s="50">
        <v>17249.579999999998</v>
      </c>
      <c r="R1398" s="65">
        <v>0</v>
      </c>
      <c r="S1398" s="65">
        <v>0</v>
      </c>
      <c r="T1398" s="65">
        <v>0</v>
      </c>
      <c r="U1398" s="65">
        <v>0</v>
      </c>
      <c r="V1398" s="65">
        <v>0</v>
      </c>
      <c r="W1398" s="65">
        <v>0</v>
      </c>
      <c r="X1398" s="65">
        <v>0</v>
      </c>
      <c r="Y1398" s="65">
        <v>0</v>
      </c>
      <c r="Z1398" s="65">
        <v>17249.579999999998</v>
      </c>
      <c r="AA1398" s="51">
        <v>0</v>
      </c>
      <c r="AB1398" s="102">
        <v>0</v>
      </c>
      <c r="AC1398" s="81">
        <f t="shared" si="66"/>
        <v>167.84365164578455</v>
      </c>
      <c r="AD1398" s="82">
        <f t="shared" si="67"/>
        <v>67.271428571428586</v>
      </c>
      <c r="AE1398" s="218">
        <v>0</v>
      </c>
      <c r="AF1398">
        <v>0</v>
      </c>
      <c r="AH1398" t="str">
        <f t="shared" si="68"/>
        <v>Sahibpur Kamal</v>
      </c>
      <c r="AJ1398" s="72">
        <v>0</v>
      </c>
      <c r="AK1398" s="72"/>
      <c r="AL1398" s="72"/>
      <c r="AM1398" s="72"/>
    </row>
    <row r="1399" spans="1:39" x14ac:dyDescent="0.25">
      <c r="A1399" s="37" t="s">
        <v>62</v>
      </c>
      <c r="B1399" s="66" t="s">
        <v>1638</v>
      </c>
      <c r="C1399" s="47">
        <v>1011</v>
      </c>
      <c r="D1399" s="47" t="s">
        <v>281</v>
      </c>
      <c r="E1399" s="41">
        <v>10110161</v>
      </c>
      <c r="F1399" s="46" t="s">
        <v>1122</v>
      </c>
      <c r="G1399" s="39" t="s">
        <v>1610</v>
      </c>
      <c r="H1399" s="48" t="s">
        <v>98</v>
      </c>
      <c r="I1399" s="52">
        <v>797.40000000000009</v>
      </c>
      <c r="J1399" s="49">
        <v>29547.03</v>
      </c>
      <c r="K1399" s="65">
        <v>0</v>
      </c>
      <c r="L1399" s="65">
        <v>0</v>
      </c>
      <c r="M1399" s="65">
        <v>0</v>
      </c>
      <c r="N1399" s="65">
        <v>0</v>
      </c>
      <c r="O1399" s="65">
        <v>0</v>
      </c>
      <c r="P1399" s="65">
        <v>0</v>
      </c>
      <c r="Q1399" s="50">
        <v>29547.03</v>
      </c>
      <c r="R1399" s="65">
        <v>0</v>
      </c>
      <c r="S1399" s="65">
        <v>0</v>
      </c>
      <c r="T1399" s="65">
        <v>0</v>
      </c>
      <c r="U1399" s="65">
        <v>1350.03</v>
      </c>
      <c r="V1399" s="65">
        <v>0</v>
      </c>
      <c r="W1399" s="65">
        <v>0</v>
      </c>
      <c r="X1399" s="65">
        <v>0</v>
      </c>
      <c r="Y1399" s="65">
        <v>0</v>
      </c>
      <c r="Z1399" s="65">
        <v>28197</v>
      </c>
      <c r="AA1399" s="51">
        <v>0</v>
      </c>
      <c r="AB1399" s="102">
        <v>0</v>
      </c>
      <c r="AC1399" s="81">
        <f t="shared" si="66"/>
        <v>0</v>
      </c>
      <c r="AD1399" s="82">
        <f t="shared" si="67"/>
        <v>0</v>
      </c>
      <c r="AE1399" s="218">
        <v>0</v>
      </c>
      <c r="AF1399">
        <v>0</v>
      </c>
      <c r="AH1399" t="str">
        <f t="shared" si="68"/>
        <v>Sahibpur Kamal</v>
      </c>
      <c r="AJ1399" s="72">
        <v>0</v>
      </c>
      <c r="AK1399" s="72"/>
      <c r="AL1399" s="72"/>
      <c r="AM1399" s="72"/>
    </row>
    <row r="1400" spans="1:39" x14ac:dyDescent="0.25">
      <c r="A1400" s="37" t="s">
        <v>62</v>
      </c>
      <c r="B1400" s="66" t="s">
        <v>1638</v>
      </c>
      <c r="C1400" s="47">
        <v>1011</v>
      </c>
      <c r="D1400" s="47" t="s">
        <v>281</v>
      </c>
      <c r="E1400" s="41">
        <v>10110164</v>
      </c>
      <c r="F1400" s="46" t="s">
        <v>1220</v>
      </c>
      <c r="G1400" s="39" t="s">
        <v>92</v>
      </c>
      <c r="H1400" s="48" t="s">
        <v>93</v>
      </c>
      <c r="I1400" s="52">
        <v>238.10000000000002</v>
      </c>
      <c r="J1400" s="49">
        <v>9510.39</v>
      </c>
      <c r="K1400" s="65">
        <v>238</v>
      </c>
      <c r="L1400" s="65">
        <v>9748.16</v>
      </c>
      <c r="M1400" s="65">
        <v>0</v>
      </c>
      <c r="N1400" s="65">
        <v>0</v>
      </c>
      <c r="O1400" s="65">
        <v>238</v>
      </c>
      <c r="P1400" s="65">
        <v>9748.16</v>
      </c>
      <c r="Q1400" s="50">
        <v>9510.39</v>
      </c>
      <c r="R1400" s="65">
        <v>0</v>
      </c>
      <c r="S1400" s="65">
        <v>0</v>
      </c>
      <c r="T1400" s="65">
        <v>237.77000000000044</v>
      </c>
      <c r="U1400" s="65">
        <v>0</v>
      </c>
      <c r="V1400" s="65">
        <v>0</v>
      </c>
      <c r="W1400" s="65">
        <v>0</v>
      </c>
      <c r="X1400" s="65">
        <v>9510</v>
      </c>
      <c r="Y1400" s="65">
        <v>0</v>
      </c>
      <c r="Z1400" s="65">
        <v>0</v>
      </c>
      <c r="AA1400" s="51">
        <v>0</v>
      </c>
      <c r="AB1400" s="102">
        <v>0</v>
      </c>
      <c r="AC1400" s="81">
        <f t="shared" si="66"/>
        <v>368.99194800503983</v>
      </c>
      <c r="AD1400" s="82">
        <f t="shared" si="67"/>
        <v>34.01428571428572</v>
      </c>
      <c r="AE1400" s="218">
        <v>-2.5001077768629934E-2</v>
      </c>
      <c r="AF1400">
        <v>4</v>
      </c>
      <c r="AH1400" t="str">
        <f t="shared" si="68"/>
        <v>Sahibpur Kamal</v>
      </c>
      <c r="AJ1400" s="72">
        <v>0</v>
      </c>
      <c r="AK1400" s="72"/>
      <c r="AL1400" s="72"/>
      <c r="AM1400" s="72"/>
    </row>
    <row r="1401" spans="1:39" x14ac:dyDescent="0.25">
      <c r="A1401" s="37" t="s">
        <v>62</v>
      </c>
      <c r="B1401" s="66" t="s">
        <v>1638</v>
      </c>
      <c r="C1401" s="47">
        <v>1011</v>
      </c>
      <c r="D1401" s="47" t="s">
        <v>281</v>
      </c>
      <c r="E1401" s="41">
        <v>10110166</v>
      </c>
      <c r="F1401" s="46" t="s">
        <v>1601</v>
      </c>
      <c r="G1401" s="39" t="s">
        <v>1610</v>
      </c>
      <c r="H1401" s="48" t="s">
        <v>98</v>
      </c>
      <c r="I1401" s="52">
        <v>21</v>
      </c>
      <c r="J1401" s="49">
        <v>800.31</v>
      </c>
      <c r="K1401" s="65">
        <v>0</v>
      </c>
      <c r="L1401" s="65">
        <v>0</v>
      </c>
      <c r="M1401" s="65">
        <v>0</v>
      </c>
      <c r="N1401" s="65">
        <v>0</v>
      </c>
      <c r="O1401" s="65">
        <v>0</v>
      </c>
      <c r="P1401" s="65">
        <v>0</v>
      </c>
      <c r="Q1401" s="50">
        <v>800.31</v>
      </c>
      <c r="R1401" s="65">
        <v>0</v>
      </c>
      <c r="S1401" s="65">
        <v>0</v>
      </c>
      <c r="T1401" s="65">
        <v>0</v>
      </c>
      <c r="U1401" s="65">
        <v>0</v>
      </c>
      <c r="V1401" s="65">
        <v>0</v>
      </c>
      <c r="W1401" s="65">
        <v>0</v>
      </c>
      <c r="X1401" s="65">
        <v>0</v>
      </c>
      <c r="Y1401" s="65">
        <v>0</v>
      </c>
      <c r="Z1401" s="65">
        <v>800.31</v>
      </c>
      <c r="AA1401" s="51">
        <v>0</v>
      </c>
      <c r="AB1401" s="102">
        <v>0</v>
      </c>
      <c r="AC1401" s="81">
        <f t="shared" si="66"/>
        <v>517.53379999999993</v>
      </c>
      <c r="AD1401" s="82">
        <f t="shared" si="67"/>
        <v>3</v>
      </c>
      <c r="AE1401" s="218">
        <v>0</v>
      </c>
      <c r="AF1401">
        <v>0</v>
      </c>
      <c r="AH1401" t="str">
        <f t="shared" si="68"/>
        <v>Sahibpur Kamal</v>
      </c>
      <c r="AJ1401" s="72">
        <v>0</v>
      </c>
      <c r="AK1401" s="72"/>
      <c r="AL1401" s="72"/>
      <c r="AM1401" s="72"/>
    </row>
    <row r="1402" spans="1:39" x14ac:dyDescent="0.25">
      <c r="A1402" s="37" t="s">
        <v>62</v>
      </c>
      <c r="B1402" s="66" t="s">
        <v>1638</v>
      </c>
      <c r="C1402" s="47">
        <v>1011</v>
      </c>
      <c r="D1402" s="47" t="s">
        <v>281</v>
      </c>
      <c r="E1402" s="41">
        <v>10110168</v>
      </c>
      <c r="F1402" s="46" t="s">
        <v>1221</v>
      </c>
      <c r="G1402" s="39" t="s">
        <v>92</v>
      </c>
      <c r="H1402" s="48" t="s">
        <v>93</v>
      </c>
      <c r="I1402" s="52">
        <v>1636.9999999999998</v>
      </c>
      <c r="J1402" s="49">
        <v>62235.45</v>
      </c>
      <c r="K1402" s="65">
        <v>1637.1</v>
      </c>
      <c r="L1402" s="65">
        <v>64228.590000000004</v>
      </c>
      <c r="M1402" s="65">
        <v>2.2000000000000002</v>
      </c>
      <c r="N1402" s="65">
        <v>85.92</v>
      </c>
      <c r="O1402" s="65">
        <v>1639.3</v>
      </c>
      <c r="P1402" s="65">
        <v>64314.51</v>
      </c>
      <c r="Q1402" s="50">
        <v>62235.45</v>
      </c>
      <c r="R1402" s="65">
        <v>0</v>
      </c>
      <c r="S1402" s="65">
        <v>85.92</v>
      </c>
      <c r="T1402" s="65">
        <v>2079.0600000000049</v>
      </c>
      <c r="U1402" s="65">
        <v>10800</v>
      </c>
      <c r="V1402" s="65">
        <v>0</v>
      </c>
      <c r="W1402" s="65">
        <v>0</v>
      </c>
      <c r="X1402" s="65">
        <v>51350</v>
      </c>
      <c r="Y1402" s="65">
        <v>0</v>
      </c>
      <c r="Z1402" s="65">
        <v>0</v>
      </c>
      <c r="AA1402" s="51">
        <v>0</v>
      </c>
      <c r="AB1402" s="102">
        <v>0</v>
      </c>
      <c r="AC1402" s="81">
        <f t="shared" si="66"/>
        <v>0</v>
      </c>
      <c r="AD1402" s="82">
        <f t="shared" si="67"/>
        <v>0</v>
      </c>
      <c r="AE1402" s="218">
        <v>-3.34063624509826E-2</v>
      </c>
      <c r="AF1402">
        <v>3</v>
      </c>
      <c r="AH1402" t="str">
        <f t="shared" si="68"/>
        <v>Sahibpur Kamal</v>
      </c>
      <c r="AJ1402" s="72">
        <v>0</v>
      </c>
      <c r="AK1402" s="72"/>
      <c r="AL1402" s="72"/>
      <c r="AM1402" s="72"/>
    </row>
    <row r="1403" spans="1:39" x14ac:dyDescent="0.25">
      <c r="A1403" s="37" t="s">
        <v>62</v>
      </c>
      <c r="B1403" s="66" t="s">
        <v>1638</v>
      </c>
      <c r="C1403" s="47">
        <v>1011</v>
      </c>
      <c r="D1403" s="47" t="s">
        <v>281</v>
      </c>
      <c r="E1403" s="41">
        <v>10110172</v>
      </c>
      <c r="F1403" s="46" t="s">
        <v>1233</v>
      </c>
      <c r="G1403" s="39" t="s">
        <v>92</v>
      </c>
      <c r="H1403" s="48" t="s">
        <v>93</v>
      </c>
      <c r="I1403" s="52">
        <v>232.6</v>
      </c>
      <c r="J1403" s="49">
        <v>8915.77</v>
      </c>
      <c r="K1403" s="65">
        <v>232</v>
      </c>
      <c r="L1403" s="65">
        <v>8836.8799999999992</v>
      </c>
      <c r="M1403" s="65">
        <v>0</v>
      </c>
      <c r="N1403" s="65">
        <v>0</v>
      </c>
      <c r="O1403" s="65">
        <v>232</v>
      </c>
      <c r="P1403" s="65">
        <v>8836.8799999999992</v>
      </c>
      <c r="Q1403" s="50">
        <v>8836.8799999999992</v>
      </c>
      <c r="R1403" s="65">
        <v>0</v>
      </c>
      <c r="S1403" s="65">
        <v>0</v>
      </c>
      <c r="T1403" s="65">
        <v>0</v>
      </c>
      <c r="U1403" s="65">
        <v>0</v>
      </c>
      <c r="V1403" s="65">
        <v>0</v>
      </c>
      <c r="W1403" s="65">
        <v>0</v>
      </c>
      <c r="X1403" s="65">
        <v>8837</v>
      </c>
      <c r="Y1403" s="65">
        <v>0</v>
      </c>
      <c r="Z1403" s="65">
        <v>0</v>
      </c>
      <c r="AA1403" s="51">
        <v>79</v>
      </c>
      <c r="AB1403" s="102">
        <v>0</v>
      </c>
      <c r="AC1403" s="81">
        <f t="shared" si="66"/>
        <v>358.31736010318144</v>
      </c>
      <c r="AD1403" s="82">
        <f t="shared" si="67"/>
        <v>33.228571428571428</v>
      </c>
      <c r="AE1403" s="218">
        <v>8.8483664338583467E-3</v>
      </c>
      <c r="AF1403">
        <v>1</v>
      </c>
      <c r="AH1403" t="str">
        <f t="shared" si="68"/>
        <v>Sahibpur Kamal</v>
      </c>
      <c r="AJ1403" s="72">
        <v>0</v>
      </c>
      <c r="AK1403" s="72"/>
      <c r="AL1403" s="72"/>
      <c r="AM1403" s="72"/>
    </row>
    <row r="1404" spans="1:39" x14ac:dyDescent="0.25">
      <c r="A1404" s="37" t="s">
        <v>62</v>
      </c>
      <c r="B1404" s="66" t="s">
        <v>1638</v>
      </c>
      <c r="C1404" s="47">
        <v>1011</v>
      </c>
      <c r="D1404" s="47" t="s">
        <v>281</v>
      </c>
      <c r="E1404" s="41">
        <v>10110173</v>
      </c>
      <c r="F1404" s="46" t="s">
        <v>1222</v>
      </c>
      <c r="G1404" s="39" t="s">
        <v>1610</v>
      </c>
      <c r="H1404" s="48" t="s">
        <v>98</v>
      </c>
      <c r="I1404" s="52">
        <v>1193.1000000000001</v>
      </c>
      <c r="J1404" s="49">
        <v>52235.51</v>
      </c>
      <c r="K1404" s="65">
        <v>0</v>
      </c>
      <c r="L1404" s="65">
        <v>0</v>
      </c>
      <c r="M1404" s="65">
        <v>0</v>
      </c>
      <c r="N1404" s="65">
        <v>0</v>
      </c>
      <c r="O1404" s="65">
        <v>0</v>
      </c>
      <c r="P1404" s="65">
        <v>0</v>
      </c>
      <c r="Q1404" s="50">
        <v>52235.51</v>
      </c>
      <c r="R1404" s="65">
        <v>0</v>
      </c>
      <c r="S1404" s="65">
        <v>0</v>
      </c>
      <c r="T1404" s="65">
        <v>0</v>
      </c>
      <c r="U1404" s="65">
        <v>0</v>
      </c>
      <c r="V1404" s="65">
        <v>0</v>
      </c>
      <c r="W1404" s="65">
        <v>0</v>
      </c>
      <c r="X1404" s="65">
        <v>0</v>
      </c>
      <c r="Y1404" s="65">
        <v>0</v>
      </c>
      <c r="Z1404" s="65">
        <v>52235.51</v>
      </c>
      <c r="AA1404" s="51">
        <v>0</v>
      </c>
      <c r="AB1404" s="102">
        <v>0</v>
      </c>
      <c r="AC1404" s="81">
        <f t="shared" si="66"/>
        <v>0</v>
      </c>
      <c r="AD1404" s="82">
        <f t="shared" si="67"/>
        <v>0</v>
      </c>
      <c r="AE1404" s="218">
        <v>0</v>
      </c>
      <c r="AF1404">
        <v>0</v>
      </c>
      <c r="AH1404" t="str">
        <f t="shared" si="68"/>
        <v>Sahibpur Kamal</v>
      </c>
      <c r="AJ1404" s="72">
        <v>0</v>
      </c>
      <c r="AK1404" s="72"/>
      <c r="AL1404" s="72"/>
      <c r="AM1404" s="72"/>
    </row>
    <row r="1405" spans="1:39" x14ac:dyDescent="0.25">
      <c r="A1405" s="37" t="s">
        <v>62</v>
      </c>
      <c r="B1405" s="66" t="s">
        <v>1638</v>
      </c>
      <c r="C1405" s="47">
        <v>1011</v>
      </c>
      <c r="D1405" s="47" t="s">
        <v>281</v>
      </c>
      <c r="E1405" s="41">
        <v>10110176</v>
      </c>
      <c r="F1405" s="46" t="s">
        <v>1250</v>
      </c>
      <c r="G1405" s="39" t="s">
        <v>1610</v>
      </c>
      <c r="H1405" s="48" t="s">
        <v>98</v>
      </c>
      <c r="I1405" s="52">
        <v>551.20000000000005</v>
      </c>
      <c r="J1405" s="49">
        <v>23708.479999999996</v>
      </c>
      <c r="K1405" s="65">
        <v>0</v>
      </c>
      <c r="L1405" s="65">
        <v>0</v>
      </c>
      <c r="M1405" s="65">
        <v>0</v>
      </c>
      <c r="N1405" s="65">
        <v>0</v>
      </c>
      <c r="O1405" s="65">
        <v>0</v>
      </c>
      <c r="P1405" s="65">
        <v>0</v>
      </c>
      <c r="Q1405" s="50">
        <v>23708.479999999996</v>
      </c>
      <c r="R1405" s="65">
        <v>0</v>
      </c>
      <c r="S1405" s="65">
        <v>0</v>
      </c>
      <c r="T1405" s="65">
        <v>0</v>
      </c>
      <c r="U1405" s="65">
        <v>0</v>
      </c>
      <c r="V1405" s="65">
        <v>0</v>
      </c>
      <c r="W1405" s="65">
        <v>0</v>
      </c>
      <c r="X1405" s="65">
        <v>0</v>
      </c>
      <c r="Y1405" s="65">
        <v>0</v>
      </c>
      <c r="Z1405" s="65">
        <v>23708.479999999996</v>
      </c>
      <c r="AA1405" s="51">
        <v>0</v>
      </c>
      <c r="AB1405" s="102">
        <v>0</v>
      </c>
      <c r="AC1405" s="81">
        <f t="shared" si="66"/>
        <v>128.00514600870821</v>
      </c>
      <c r="AD1405" s="82">
        <f t="shared" si="67"/>
        <v>78.742857142857147</v>
      </c>
      <c r="AE1405" s="218">
        <v>0</v>
      </c>
      <c r="AF1405">
        <v>0</v>
      </c>
      <c r="AH1405" t="str">
        <f t="shared" si="68"/>
        <v>Sahibpur Kamal</v>
      </c>
      <c r="AJ1405" s="72">
        <v>0</v>
      </c>
      <c r="AK1405" s="72"/>
      <c r="AL1405" s="72"/>
      <c r="AM1405" s="72"/>
    </row>
    <row r="1406" spans="1:39" x14ac:dyDescent="0.25">
      <c r="A1406" s="37" t="s">
        <v>62</v>
      </c>
      <c r="B1406" s="66" t="s">
        <v>1638</v>
      </c>
      <c r="C1406" s="47">
        <v>1011</v>
      </c>
      <c r="D1406" s="47" t="s">
        <v>281</v>
      </c>
      <c r="E1406" s="41">
        <v>10110177</v>
      </c>
      <c r="F1406" s="46" t="s">
        <v>1337</v>
      </c>
      <c r="G1406" s="39" t="s">
        <v>92</v>
      </c>
      <c r="H1406" s="48" t="s">
        <v>93</v>
      </c>
      <c r="I1406" s="52">
        <v>690.5</v>
      </c>
      <c r="J1406" s="49">
        <v>30648.240000000002</v>
      </c>
      <c r="K1406" s="65">
        <v>687.4</v>
      </c>
      <c r="L1406" s="65">
        <v>30833.84</v>
      </c>
      <c r="M1406" s="65">
        <v>2.7</v>
      </c>
      <c r="N1406" s="65">
        <v>133.03</v>
      </c>
      <c r="O1406" s="65">
        <v>690.1</v>
      </c>
      <c r="P1406" s="65">
        <v>30966.87</v>
      </c>
      <c r="Q1406" s="50">
        <v>30648.240000000002</v>
      </c>
      <c r="R1406" s="65">
        <v>0</v>
      </c>
      <c r="S1406" s="65">
        <v>133.03</v>
      </c>
      <c r="T1406" s="65">
        <v>318.62999999999738</v>
      </c>
      <c r="U1406" s="65">
        <v>0</v>
      </c>
      <c r="V1406" s="65">
        <v>0</v>
      </c>
      <c r="W1406" s="65">
        <v>0</v>
      </c>
      <c r="X1406" s="65">
        <v>30515</v>
      </c>
      <c r="Y1406" s="65">
        <v>0</v>
      </c>
      <c r="Z1406" s="65">
        <v>0</v>
      </c>
      <c r="AA1406" s="51">
        <v>0</v>
      </c>
      <c r="AB1406" s="102">
        <v>0</v>
      </c>
      <c r="AC1406" s="81">
        <f t="shared" si="66"/>
        <v>8.4332593772628783</v>
      </c>
      <c r="AD1406" s="82">
        <f t="shared" si="67"/>
        <v>98.642857142857139</v>
      </c>
      <c r="AE1406" s="218">
        <v>-1.0396355549290836E-2</v>
      </c>
      <c r="AF1406">
        <v>3</v>
      </c>
      <c r="AH1406" t="str">
        <f t="shared" si="68"/>
        <v>Sahibpur Kamal</v>
      </c>
      <c r="AJ1406" s="72">
        <v>0</v>
      </c>
      <c r="AK1406" s="72"/>
      <c r="AL1406" s="72"/>
      <c r="AM1406" s="72"/>
    </row>
    <row r="1407" spans="1:39" x14ac:dyDescent="0.25">
      <c r="A1407" s="37" t="s">
        <v>62</v>
      </c>
      <c r="B1407" s="66" t="s">
        <v>1638</v>
      </c>
      <c r="C1407" s="47">
        <v>1011</v>
      </c>
      <c r="D1407" s="47" t="s">
        <v>281</v>
      </c>
      <c r="E1407" s="41">
        <v>10110178</v>
      </c>
      <c r="F1407" s="46" t="s">
        <v>1263</v>
      </c>
      <c r="G1407" s="39" t="s">
        <v>1610</v>
      </c>
      <c r="H1407" s="48" t="s">
        <v>98</v>
      </c>
      <c r="I1407" s="52">
        <v>16692.399999999998</v>
      </c>
      <c r="J1407" s="49">
        <v>662024.19999999995</v>
      </c>
      <c r="K1407" s="65">
        <v>0</v>
      </c>
      <c r="L1407" s="65">
        <v>0</v>
      </c>
      <c r="M1407" s="65">
        <v>0</v>
      </c>
      <c r="N1407" s="65">
        <v>0</v>
      </c>
      <c r="O1407" s="65">
        <v>0</v>
      </c>
      <c r="P1407" s="65">
        <v>0</v>
      </c>
      <c r="Q1407" s="50">
        <v>662024.19999999995</v>
      </c>
      <c r="R1407" s="65">
        <v>0</v>
      </c>
      <c r="S1407" s="65">
        <v>0</v>
      </c>
      <c r="T1407" s="65">
        <v>0</v>
      </c>
      <c r="U1407" s="65">
        <v>0</v>
      </c>
      <c r="V1407" s="65">
        <v>0</v>
      </c>
      <c r="W1407" s="65">
        <v>0</v>
      </c>
      <c r="X1407" s="65">
        <v>0</v>
      </c>
      <c r="Y1407" s="65">
        <v>0</v>
      </c>
      <c r="Z1407" s="65">
        <v>662024.19999999995</v>
      </c>
      <c r="AA1407" s="51">
        <v>0</v>
      </c>
      <c r="AB1407" s="102">
        <v>0</v>
      </c>
      <c r="AC1407" s="81">
        <f t="shared" si="66"/>
        <v>0</v>
      </c>
      <c r="AD1407" s="82">
        <f t="shared" si="67"/>
        <v>0</v>
      </c>
      <c r="AE1407" s="218">
        <v>0</v>
      </c>
      <c r="AF1407">
        <v>0</v>
      </c>
      <c r="AH1407" t="str">
        <f t="shared" si="68"/>
        <v>Sahibpur Kamal</v>
      </c>
      <c r="AJ1407" s="72">
        <v>0</v>
      </c>
      <c r="AK1407" s="72"/>
      <c r="AL1407" s="72"/>
      <c r="AM1407" s="72"/>
    </row>
    <row r="1408" spans="1:39" x14ac:dyDescent="0.25">
      <c r="A1408" s="37" t="s">
        <v>62</v>
      </c>
      <c r="B1408" s="66" t="s">
        <v>1638</v>
      </c>
      <c r="C1408" s="47">
        <v>1011</v>
      </c>
      <c r="D1408" s="47" t="s">
        <v>281</v>
      </c>
      <c r="E1408" s="41">
        <v>10110179</v>
      </c>
      <c r="F1408" s="46" t="s">
        <v>1617</v>
      </c>
      <c r="G1408" s="39" t="s">
        <v>1610</v>
      </c>
      <c r="H1408" s="48" t="s">
        <v>98</v>
      </c>
      <c r="I1408" s="52">
        <v>164.9</v>
      </c>
      <c r="J1408" s="49">
        <v>6931.91</v>
      </c>
      <c r="K1408" s="65">
        <v>0</v>
      </c>
      <c r="L1408" s="65">
        <v>0</v>
      </c>
      <c r="M1408" s="65">
        <v>0</v>
      </c>
      <c r="N1408" s="65">
        <v>0</v>
      </c>
      <c r="O1408" s="65">
        <v>0</v>
      </c>
      <c r="P1408" s="65">
        <v>0</v>
      </c>
      <c r="Q1408" s="50">
        <v>6931.91</v>
      </c>
      <c r="R1408" s="65">
        <v>0</v>
      </c>
      <c r="S1408" s="65">
        <v>0</v>
      </c>
      <c r="T1408" s="65">
        <v>0</v>
      </c>
      <c r="U1408" s="65">
        <v>0</v>
      </c>
      <c r="V1408" s="65">
        <v>0</v>
      </c>
      <c r="W1408" s="65">
        <v>0</v>
      </c>
      <c r="X1408" s="65">
        <v>0</v>
      </c>
      <c r="Y1408" s="65">
        <v>0</v>
      </c>
      <c r="Z1408" s="65">
        <v>6931.91</v>
      </c>
      <c r="AA1408" s="51">
        <v>0</v>
      </c>
      <c r="AB1408" s="102">
        <v>0</v>
      </c>
      <c r="AC1408" s="81">
        <f t="shared" si="66"/>
        <v>449.88053862947243</v>
      </c>
      <c r="AD1408" s="82">
        <f t="shared" si="67"/>
        <v>23.557142857142857</v>
      </c>
      <c r="AE1408" s="218">
        <v>0</v>
      </c>
      <c r="AF1408">
        <v>0</v>
      </c>
      <c r="AH1408" t="str">
        <f t="shared" si="68"/>
        <v>Sahibpur Kamal</v>
      </c>
      <c r="AJ1408" s="72">
        <v>0</v>
      </c>
      <c r="AK1408" s="72"/>
      <c r="AL1408" s="72"/>
      <c r="AM1408" s="72"/>
    </row>
    <row r="1409" spans="1:39" x14ac:dyDescent="0.25">
      <c r="A1409" s="37" t="s">
        <v>62</v>
      </c>
      <c r="B1409" s="66" t="s">
        <v>1638</v>
      </c>
      <c r="C1409" s="47">
        <v>1011</v>
      </c>
      <c r="D1409" s="47" t="s">
        <v>281</v>
      </c>
      <c r="E1409" s="41">
        <v>10110183</v>
      </c>
      <c r="F1409" s="46" t="s">
        <v>1349</v>
      </c>
      <c r="G1409" s="39" t="s">
        <v>1610</v>
      </c>
      <c r="H1409" s="48" t="s">
        <v>98</v>
      </c>
      <c r="I1409" s="52">
        <v>3200.5999999999995</v>
      </c>
      <c r="J1409" s="49">
        <v>133771.85999999999</v>
      </c>
      <c r="K1409" s="65">
        <v>0</v>
      </c>
      <c r="L1409" s="65">
        <v>0</v>
      </c>
      <c r="M1409" s="65">
        <v>0</v>
      </c>
      <c r="N1409" s="65">
        <v>0</v>
      </c>
      <c r="O1409" s="65">
        <v>0</v>
      </c>
      <c r="P1409" s="65">
        <v>0</v>
      </c>
      <c r="Q1409" s="50">
        <v>133771.85999999999</v>
      </c>
      <c r="R1409" s="65">
        <v>0</v>
      </c>
      <c r="S1409" s="65">
        <v>0</v>
      </c>
      <c r="T1409" s="65">
        <v>0</v>
      </c>
      <c r="U1409" s="65">
        <v>1350</v>
      </c>
      <c r="V1409" s="65">
        <v>0</v>
      </c>
      <c r="W1409" s="65">
        <v>0</v>
      </c>
      <c r="X1409" s="65">
        <v>0</v>
      </c>
      <c r="Y1409" s="65">
        <v>0</v>
      </c>
      <c r="Z1409" s="65">
        <v>132421.85999999999</v>
      </c>
      <c r="AA1409" s="51">
        <v>0</v>
      </c>
      <c r="AB1409" s="102">
        <v>0</v>
      </c>
      <c r="AC1409" s="81">
        <f t="shared" ref="AC1409:AC1472" si="69">((IF(AD1409=0,0,100-AD1409))*7*(J1409/I1409))*2%</f>
        <v>0</v>
      </c>
      <c r="AD1409" s="82">
        <f t="shared" ref="AD1409:AD1472" si="70">IF((I1409/7)&gt;100,0,(I1409/7))</f>
        <v>0</v>
      </c>
      <c r="AE1409" s="218">
        <v>0</v>
      </c>
      <c r="AF1409">
        <v>0</v>
      </c>
      <c r="AH1409" t="str">
        <f t="shared" si="68"/>
        <v>Sahibpur Kamal</v>
      </c>
      <c r="AJ1409" s="72">
        <v>0</v>
      </c>
      <c r="AK1409" s="72"/>
      <c r="AL1409" s="72"/>
      <c r="AM1409" s="72"/>
    </row>
    <row r="1410" spans="1:39" x14ac:dyDescent="0.25">
      <c r="A1410" s="37" t="s">
        <v>62</v>
      </c>
      <c r="B1410" s="66" t="s">
        <v>1638</v>
      </c>
      <c r="C1410" s="47">
        <v>1011</v>
      </c>
      <c r="D1410" s="47" t="s">
        <v>281</v>
      </c>
      <c r="E1410" s="41">
        <v>10110184</v>
      </c>
      <c r="F1410" s="46" t="s">
        <v>1350</v>
      </c>
      <c r="G1410" s="39" t="s">
        <v>1610</v>
      </c>
      <c r="H1410" s="48" t="s">
        <v>93</v>
      </c>
      <c r="I1410" s="52">
        <v>613.29999999999995</v>
      </c>
      <c r="J1410" s="49">
        <v>27331.400000000005</v>
      </c>
      <c r="K1410" s="65">
        <v>0</v>
      </c>
      <c r="L1410" s="65">
        <v>0</v>
      </c>
      <c r="M1410" s="65">
        <v>0</v>
      </c>
      <c r="N1410" s="65">
        <v>0</v>
      </c>
      <c r="O1410" s="65">
        <v>0</v>
      </c>
      <c r="P1410" s="65">
        <v>0</v>
      </c>
      <c r="Q1410" s="50">
        <v>0</v>
      </c>
      <c r="R1410" s="65">
        <v>0</v>
      </c>
      <c r="S1410" s="65">
        <v>0</v>
      </c>
      <c r="T1410" s="65">
        <v>0</v>
      </c>
      <c r="U1410" s="65">
        <v>0</v>
      </c>
      <c r="V1410" s="65">
        <v>0</v>
      </c>
      <c r="W1410" s="65">
        <v>0</v>
      </c>
      <c r="X1410" s="65">
        <v>0</v>
      </c>
      <c r="Y1410" s="65">
        <v>0</v>
      </c>
      <c r="Z1410" s="65">
        <v>27331</v>
      </c>
      <c r="AA1410" s="51">
        <v>0</v>
      </c>
      <c r="AB1410" s="102">
        <v>0</v>
      </c>
      <c r="AC1410" s="81">
        <f t="shared" si="69"/>
        <v>77.274820805478583</v>
      </c>
      <c r="AD1410" s="82">
        <f t="shared" si="70"/>
        <v>87.614285714285714</v>
      </c>
      <c r="AE1410" s="218">
        <v>1</v>
      </c>
      <c r="AF1410">
        <v>0</v>
      </c>
      <c r="AH1410" t="str">
        <f t="shared" si="68"/>
        <v>Sahibpur Kamal</v>
      </c>
      <c r="AJ1410" s="72">
        <v>0</v>
      </c>
      <c r="AK1410" s="72"/>
      <c r="AL1410" s="72"/>
      <c r="AM1410" s="72"/>
    </row>
    <row r="1411" spans="1:39" x14ac:dyDescent="0.25">
      <c r="A1411" s="37" t="s">
        <v>62</v>
      </c>
      <c r="B1411" s="66" t="s">
        <v>1638</v>
      </c>
      <c r="C1411" s="47">
        <v>1011</v>
      </c>
      <c r="D1411" s="47" t="s">
        <v>281</v>
      </c>
      <c r="E1411" s="41">
        <v>10110185</v>
      </c>
      <c r="F1411" s="46" t="s">
        <v>1363</v>
      </c>
      <c r="G1411" s="39" t="s">
        <v>1610</v>
      </c>
      <c r="H1411" s="48" t="s">
        <v>98</v>
      </c>
      <c r="I1411" s="52">
        <v>320</v>
      </c>
      <c r="J1411" s="49">
        <v>13176.930000000002</v>
      </c>
      <c r="K1411" s="65">
        <v>0</v>
      </c>
      <c r="L1411" s="65">
        <v>0</v>
      </c>
      <c r="M1411" s="65">
        <v>0</v>
      </c>
      <c r="N1411" s="65">
        <v>0</v>
      </c>
      <c r="O1411" s="65">
        <v>0</v>
      </c>
      <c r="P1411" s="65">
        <v>0</v>
      </c>
      <c r="Q1411" s="50">
        <v>13176.930000000002</v>
      </c>
      <c r="R1411" s="65">
        <v>0</v>
      </c>
      <c r="S1411" s="65">
        <v>0</v>
      </c>
      <c r="T1411" s="65">
        <v>0</v>
      </c>
      <c r="U1411" s="65">
        <v>0</v>
      </c>
      <c r="V1411" s="65">
        <v>0</v>
      </c>
      <c r="W1411" s="65">
        <v>0</v>
      </c>
      <c r="X1411" s="65">
        <v>0</v>
      </c>
      <c r="Y1411" s="65">
        <v>0</v>
      </c>
      <c r="Z1411" s="65">
        <v>13176.930000000002</v>
      </c>
      <c r="AA1411" s="51">
        <v>0</v>
      </c>
      <c r="AB1411" s="102">
        <v>0</v>
      </c>
      <c r="AC1411" s="81">
        <f t="shared" si="69"/>
        <v>312.95208750000006</v>
      </c>
      <c r="AD1411" s="82">
        <f t="shared" si="70"/>
        <v>45.714285714285715</v>
      </c>
      <c r="AE1411" s="218">
        <v>0</v>
      </c>
      <c r="AF1411">
        <v>0</v>
      </c>
      <c r="AH1411" t="str">
        <f t="shared" si="68"/>
        <v>Sahibpur Kamal</v>
      </c>
      <c r="AJ1411" s="72">
        <v>0</v>
      </c>
      <c r="AK1411" s="72"/>
      <c r="AL1411" s="72"/>
      <c r="AM1411" s="72"/>
    </row>
    <row r="1412" spans="1:39" x14ac:dyDescent="0.25">
      <c r="A1412" s="37" t="s">
        <v>62</v>
      </c>
      <c r="B1412" s="66" t="s">
        <v>1638</v>
      </c>
      <c r="C1412" s="47">
        <v>1011</v>
      </c>
      <c r="D1412" s="47" t="s">
        <v>281</v>
      </c>
      <c r="E1412" s="41">
        <v>10110187</v>
      </c>
      <c r="F1412" s="46" t="s">
        <v>1427</v>
      </c>
      <c r="G1412" s="39" t="s">
        <v>1610</v>
      </c>
      <c r="H1412" s="48" t="s">
        <v>93</v>
      </c>
      <c r="I1412" s="52">
        <v>810.00000000000011</v>
      </c>
      <c r="J1412" s="49">
        <v>30906.41</v>
      </c>
      <c r="K1412" s="65">
        <v>810</v>
      </c>
      <c r="L1412" s="65">
        <v>30852.9</v>
      </c>
      <c r="M1412" s="65">
        <v>0</v>
      </c>
      <c r="N1412" s="65">
        <v>0</v>
      </c>
      <c r="O1412" s="65">
        <v>810</v>
      </c>
      <c r="P1412" s="65">
        <v>30852.9</v>
      </c>
      <c r="Q1412" s="50">
        <v>30852.9</v>
      </c>
      <c r="R1412" s="65">
        <v>0</v>
      </c>
      <c r="S1412" s="65">
        <v>0</v>
      </c>
      <c r="T1412" s="65">
        <v>0</v>
      </c>
      <c r="U1412" s="65">
        <v>0</v>
      </c>
      <c r="V1412" s="65">
        <v>0</v>
      </c>
      <c r="W1412" s="65">
        <v>0</v>
      </c>
      <c r="X1412" s="65">
        <v>30853</v>
      </c>
      <c r="Y1412" s="65">
        <v>0</v>
      </c>
      <c r="Z1412" s="65">
        <v>0</v>
      </c>
      <c r="AA1412" s="51">
        <v>53</v>
      </c>
      <c r="AB1412" s="102">
        <v>0</v>
      </c>
      <c r="AC1412" s="81">
        <f t="shared" si="69"/>
        <v>0</v>
      </c>
      <c r="AD1412" s="82">
        <f t="shared" si="70"/>
        <v>0</v>
      </c>
      <c r="AE1412" s="218">
        <v>1.7313560520292846E-3</v>
      </c>
      <c r="AF1412">
        <v>1</v>
      </c>
      <c r="AH1412" t="str">
        <f t="shared" si="68"/>
        <v>Sahibpur Kamal</v>
      </c>
      <c r="AJ1412" s="72">
        <v>0</v>
      </c>
      <c r="AK1412" s="72"/>
      <c r="AL1412" s="72"/>
      <c r="AM1412" s="72"/>
    </row>
    <row r="1413" spans="1:39" x14ac:dyDescent="0.25">
      <c r="A1413" s="37" t="s">
        <v>62</v>
      </c>
      <c r="B1413" s="66" t="s">
        <v>1638</v>
      </c>
      <c r="C1413" s="47">
        <v>1011</v>
      </c>
      <c r="D1413" s="47" t="s">
        <v>281</v>
      </c>
      <c r="E1413" s="41">
        <v>10110188</v>
      </c>
      <c r="F1413" s="46" t="s">
        <v>1410</v>
      </c>
      <c r="G1413" s="39" t="s">
        <v>1610</v>
      </c>
      <c r="H1413" s="48" t="s">
        <v>98</v>
      </c>
      <c r="I1413" s="52">
        <v>164.6</v>
      </c>
      <c r="J1413" s="49">
        <v>6120.43</v>
      </c>
      <c r="K1413" s="65">
        <v>0</v>
      </c>
      <c r="L1413" s="65">
        <v>0</v>
      </c>
      <c r="M1413" s="65">
        <v>0</v>
      </c>
      <c r="N1413" s="65">
        <v>0</v>
      </c>
      <c r="O1413" s="65">
        <v>0</v>
      </c>
      <c r="P1413" s="65">
        <v>0</v>
      </c>
      <c r="Q1413" s="50">
        <v>6120.43</v>
      </c>
      <c r="R1413" s="65">
        <v>0</v>
      </c>
      <c r="S1413" s="65">
        <v>0</v>
      </c>
      <c r="T1413" s="65">
        <v>0</v>
      </c>
      <c r="U1413" s="65">
        <v>0</v>
      </c>
      <c r="V1413" s="65">
        <v>0</v>
      </c>
      <c r="W1413" s="65">
        <v>0</v>
      </c>
      <c r="X1413" s="65">
        <v>0</v>
      </c>
      <c r="Y1413" s="65">
        <v>0</v>
      </c>
      <c r="Z1413" s="65">
        <v>6120.43</v>
      </c>
      <c r="AA1413" s="51">
        <v>0</v>
      </c>
      <c r="AB1413" s="102">
        <v>0</v>
      </c>
      <c r="AC1413" s="81">
        <f t="shared" si="69"/>
        <v>398.16260291616049</v>
      </c>
      <c r="AD1413" s="82">
        <f t="shared" si="70"/>
        <v>23.514285714285712</v>
      </c>
      <c r="AE1413" s="218">
        <v>0</v>
      </c>
      <c r="AF1413">
        <v>0</v>
      </c>
      <c r="AH1413" t="str">
        <f t="shared" si="68"/>
        <v>Sahibpur Kamal</v>
      </c>
      <c r="AJ1413" s="72">
        <v>0</v>
      </c>
      <c r="AK1413" s="72"/>
      <c r="AL1413" s="72"/>
      <c r="AM1413" s="72"/>
    </row>
    <row r="1414" spans="1:39" x14ac:dyDescent="0.25">
      <c r="A1414" s="37" t="s">
        <v>62</v>
      </c>
      <c r="B1414" s="66" t="s">
        <v>1638</v>
      </c>
      <c r="C1414" s="47">
        <v>1011</v>
      </c>
      <c r="D1414" s="47" t="s">
        <v>281</v>
      </c>
      <c r="E1414" s="41">
        <v>10110190</v>
      </c>
      <c r="F1414" s="46" t="s">
        <v>1579</v>
      </c>
      <c r="G1414" s="39" t="s">
        <v>1610</v>
      </c>
      <c r="H1414" s="48" t="s">
        <v>98</v>
      </c>
      <c r="I1414" s="52">
        <v>6454.9</v>
      </c>
      <c r="J1414" s="49">
        <v>254795.43000000002</v>
      </c>
      <c r="K1414" s="65">
        <v>0</v>
      </c>
      <c r="L1414" s="65">
        <v>0</v>
      </c>
      <c r="M1414" s="65">
        <v>0</v>
      </c>
      <c r="N1414" s="65">
        <v>0</v>
      </c>
      <c r="O1414" s="65">
        <v>0</v>
      </c>
      <c r="P1414" s="65">
        <v>0</v>
      </c>
      <c r="Q1414" s="50">
        <v>254795.43000000002</v>
      </c>
      <c r="R1414" s="65">
        <v>0</v>
      </c>
      <c r="S1414" s="65">
        <v>0</v>
      </c>
      <c r="T1414" s="65">
        <v>0</v>
      </c>
      <c r="U1414" s="65">
        <v>0</v>
      </c>
      <c r="V1414" s="65">
        <v>0</v>
      </c>
      <c r="W1414" s="65">
        <v>0</v>
      </c>
      <c r="X1414" s="65">
        <v>0</v>
      </c>
      <c r="Y1414" s="65">
        <v>0</v>
      </c>
      <c r="Z1414" s="65">
        <v>254795.43000000002</v>
      </c>
      <c r="AA1414" s="51">
        <v>0</v>
      </c>
      <c r="AB1414" s="102">
        <v>0</v>
      </c>
      <c r="AC1414" s="81">
        <f t="shared" si="69"/>
        <v>0</v>
      </c>
      <c r="AD1414" s="82">
        <f t="shared" si="70"/>
        <v>0</v>
      </c>
      <c r="AE1414" s="218">
        <v>0</v>
      </c>
      <c r="AF1414">
        <v>0</v>
      </c>
      <c r="AH1414" t="str">
        <f t="shared" si="68"/>
        <v>Sahibpur Kamal</v>
      </c>
      <c r="AJ1414" s="72">
        <v>0</v>
      </c>
      <c r="AK1414" s="72"/>
      <c r="AL1414" s="72"/>
      <c r="AM1414" s="72"/>
    </row>
    <row r="1415" spans="1:39" x14ac:dyDescent="0.25">
      <c r="A1415" s="37" t="s">
        <v>62</v>
      </c>
      <c r="B1415" s="66" t="s">
        <v>1638</v>
      </c>
      <c r="C1415" s="47">
        <v>1012</v>
      </c>
      <c r="D1415" s="47" t="s">
        <v>306</v>
      </c>
      <c r="E1415" s="41">
        <v>10120001</v>
      </c>
      <c r="F1415" s="46" t="s">
        <v>307</v>
      </c>
      <c r="G1415" s="39" t="s">
        <v>92</v>
      </c>
      <c r="H1415" s="48" t="s">
        <v>98</v>
      </c>
      <c r="I1415" s="52">
        <v>231.15000000000003</v>
      </c>
      <c r="J1415" s="49">
        <v>9063.0500000000011</v>
      </c>
      <c r="K1415" s="65">
        <v>0</v>
      </c>
      <c r="L1415" s="65">
        <v>0</v>
      </c>
      <c r="M1415" s="65">
        <v>0</v>
      </c>
      <c r="N1415" s="65">
        <v>0</v>
      </c>
      <c r="O1415" s="65">
        <v>0</v>
      </c>
      <c r="P1415" s="65">
        <v>0</v>
      </c>
      <c r="Q1415" s="50">
        <v>9063.0500000000011</v>
      </c>
      <c r="R1415" s="65">
        <v>0</v>
      </c>
      <c r="S1415" s="65">
        <v>0</v>
      </c>
      <c r="T1415" s="65">
        <v>0</v>
      </c>
      <c r="U1415" s="65">
        <v>0</v>
      </c>
      <c r="V1415" s="65">
        <v>0</v>
      </c>
      <c r="W1415" s="65">
        <v>0</v>
      </c>
      <c r="X1415" s="65">
        <v>0</v>
      </c>
      <c r="Y1415" s="65">
        <v>0</v>
      </c>
      <c r="Z1415" s="65">
        <v>9063.0500000000011</v>
      </c>
      <c r="AA1415" s="51">
        <v>0</v>
      </c>
      <c r="AB1415" s="102">
        <v>0</v>
      </c>
      <c r="AC1415" s="81">
        <f t="shared" si="69"/>
        <v>367.65831646117243</v>
      </c>
      <c r="AD1415" s="82">
        <f t="shared" si="70"/>
        <v>33.021428571428579</v>
      </c>
      <c r="AE1415" s="218">
        <v>0</v>
      </c>
      <c r="AF1415">
        <v>0</v>
      </c>
      <c r="AH1415" t="str">
        <f t="shared" si="68"/>
        <v>DalsinghSarai</v>
      </c>
      <c r="AJ1415" s="72">
        <v>0</v>
      </c>
      <c r="AK1415" s="72"/>
      <c r="AL1415" s="72"/>
      <c r="AM1415" s="72"/>
    </row>
    <row r="1416" spans="1:39" x14ac:dyDescent="0.25">
      <c r="A1416" s="37" t="s">
        <v>62</v>
      </c>
      <c r="B1416" s="66" t="s">
        <v>1638</v>
      </c>
      <c r="C1416" s="47">
        <v>1012</v>
      </c>
      <c r="D1416" s="47" t="s">
        <v>306</v>
      </c>
      <c r="E1416" s="41">
        <v>10120002</v>
      </c>
      <c r="F1416" s="46" t="s">
        <v>308</v>
      </c>
      <c r="G1416" s="39" t="s">
        <v>92</v>
      </c>
      <c r="H1416" s="48" t="s">
        <v>98</v>
      </c>
      <c r="I1416" s="52">
        <v>466.95000000000005</v>
      </c>
      <c r="J1416" s="49">
        <v>18663.239999999998</v>
      </c>
      <c r="K1416" s="65">
        <v>0</v>
      </c>
      <c r="L1416" s="65">
        <v>0</v>
      </c>
      <c r="M1416" s="65">
        <v>0</v>
      </c>
      <c r="N1416" s="65">
        <v>0</v>
      </c>
      <c r="O1416" s="65">
        <v>0</v>
      </c>
      <c r="P1416" s="65">
        <v>0</v>
      </c>
      <c r="Q1416" s="50">
        <v>18663.239999999998</v>
      </c>
      <c r="R1416" s="65">
        <v>0</v>
      </c>
      <c r="S1416" s="65">
        <v>0</v>
      </c>
      <c r="T1416" s="65">
        <v>0</v>
      </c>
      <c r="U1416" s="65">
        <v>0</v>
      </c>
      <c r="V1416" s="65">
        <v>0</v>
      </c>
      <c r="W1416" s="65">
        <v>0</v>
      </c>
      <c r="X1416" s="65">
        <v>0</v>
      </c>
      <c r="Y1416" s="65">
        <v>0</v>
      </c>
      <c r="Z1416" s="65">
        <v>18663.239999999998</v>
      </c>
      <c r="AA1416" s="51">
        <v>0</v>
      </c>
      <c r="AB1416" s="102">
        <v>0</v>
      </c>
      <c r="AC1416" s="81">
        <f t="shared" si="69"/>
        <v>186.29266867973004</v>
      </c>
      <c r="AD1416" s="82">
        <f t="shared" si="70"/>
        <v>66.70714285714287</v>
      </c>
      <c r="AE1416" s="218">
        <v>0</v>
      </c>
      <c r="AF1416">
        <v>0</v>
      </c>
      <c r="AH1416" t="str">
        <f t="shared" si="68"/>
        <v>DalsinghSarai</v>
      </c>
      <c r="AJ1416" s="72">
        <v>0</v>
      </c>
      <c r="AK1416" s="72"/>
      <c r="AL1416" s="72"/>
      <c r="AM1416" s="72"/>
    </row>
    <row r="1417" spans="1:39" x14ac:dyDescent="0.25">
      <c r="A1417" s="37" t="s">
        <v>62</v>
      </c>
      <c r="B1417" s="66" t="s">
        <v>1638</v>
      </c>
      <c r="C1417" s="47">
        <v>1012</v>
      </c>
      <c r="D1417" s="47" t="s">
        <v>306</v>
      </c>
      <c r="E1417" s="41">
        <v>10120005</v>
      </c>
      <c r="F1417" s="46" t="s">
        <v>309</v>
      </c>
      <c r="G1417" s="39" t="s">
        <v>92</v>
      </c>
      <c r="H1417" s="48" t="s">
        <v>93</v>
      </c>
      <c r="I1417" s="52">
        <v>544.44999999999993</v>
      </c>
      <c r="J1417" s="49">
        <v>21051.5</v>
      </c>
      <c r="K1417" s="65">
        <v>533.9</v>
      </c>
      <c r="L1417" s="65">
        <v>21051.440000000002</v>
      </c>
      <c r="M1417" s="65">
        <v>0</v>
      </c>
      <c r="N1417" s="65">
        <v>0</v>
      </c>
      <c r="O1417" s="65">
        <v>533.9</v>
      </c>
      <c r="P1417" s="65">
        <v>21051.440000000002</v>
      </c>
      <c r="Q1417" s="50">
        <v>21051.440000000002</v>
      </c>
      <c r="R1417" s="65">
        <v>0</v>
      </c>
      <c r="S1417" s="65">
        <v>0</v>
      </c>
      <c r="T1417" s="65">
        <v>0</v>
      </c>
      <c r="U1417" s="65">
        <v>0</v>
      </c>
      <c r="V1417" s="65">
        <v>0</v>
      </c>
      <c r="W1417" s="65">
        <v>0</v>
      </c>
      <c r="X1417" s="65">
        <v>21051</v>
      </c>
      <c r="Y1417" s="65">
        <v>0</v>
      </c>
      <c r="Z1417" s="65">
        <v>0</v>
      </c>
      <c r="AA1417" s="51">
        <v>1</v>
      </c>
      <c r="AB1417" s="102">
        <v>0</v>
      </c>
      <c r="AC1417" s="81">
        <f t="shared" si="69"/>
        <v>120.28876205344847</v>
      </c>
      <c r="AD1417" s="82">
        <f t="shared" si="70"/>
        <v>77.778571428571425</v>
      </c>
      <c r="AE1417" s="218">
        <v>2.8501531956236703E-6</v>
      </c>
      <c r="AF1417">
        <v>5</v>
      </c>
      <c r="AH1417" t="str">
        <f t="shared" si="68"/>
        <v>DalsinghSarai</v>
      </c>
      <c r="AJ1417" s="72">
        <v>0</v>
      </c>
      <c r="AK1417" s="72"/>
      <c r="AL1417" s="72"/>
      <c r="AM1417" s="72"/>
    </row>
    <row r="1418" spans="1:39" x14ac:dyDescent="0.25">
      <c r="A1418" s="37" t="s">
        <v>62</v>
      </c>
      <c r="B1418" s="66" t="s">
        <v>1638</v>
      </c>
      <c r="C1418" s="47">
        <v>1012</v>
      </c>
      <c r="D1418" s="47" t="s">
        <v>306</v>
      </c>
      <c r="E1418" s="41">
        <v>10120006</v>
      </c>
      <c r="F1418" s="46" t="s">
        <v>310</v>
      </c>
      <c r="G1418" s="39" t="s">
        <v>92</v>
      </c>
      <c r="H1418" s="48" t="s">
        <v>93</v>
      </c>
      <c r="I1418" s="52">
        <v>389.05000000000007</v>
      </c>
      <c r="J1418" s="49">
        <v>14720.180000000002</v>
      </c>
      <c r="K1418" s="65">
        <v>234.05000000000004</v>
      </c>
      <c r="L1418" s="65">
        <v>9436.5</v>
      </c>
      <c r="M1418" s="65">
        <v>133.9</v>
      </c>
      <c r="N1418" s="65">
        <v>5258.43</v>
      </c>
      <c r="O1418" s="65">
        <v>367.95000000000005</v>
      </c>
      <c r="P1418" s="65">
        <v>14694.93</v>
      </c>
      <c r="Q1418" s="50">
        <v>14694.93</v>
      </c>
      <c r="R1418" s="65">
        <v>0</v>
      </c>
      <c r="S1418" s="65">
        <v>181.85000000000002</v>
      </c>
      <c r="T1418" s="65">
        <v>0</v>
      </c>
      <c r="U1418" s="65">
        <v>0</v>
      </c>
      <c r="V1418" s="65">
        <v>0</v>
      </c>
      <c r="W1418" s="65">
        <v>0</v>
      </c>
      <c r="X1418" s="65">
        <v>9436</v>
      </c>
      <c r="Y1418" s="65">
        <v>5076</v>
      </c>
      <c r="Z1418" s="65">
        <v>0</v>
      </c>
      <c r="AA1418" s="51">
        <v>26</v>
      </c>
      <c r="AB1418" s="102">
        <v>0</v>
      </c>
      <c r="AC1418" s="81">
        <f t="shared" si="69"/>
        <v>235.3034299447371</v>
      </c>
      <c r="AD1418" s="82">
        <f t="shared" si="70"/>
        <v>55.578571428571436</v>
      </c>
      <c r="AE1418" s="218">
        <v>1.7153322853390254E-3</v>
      </c>
      <c r="AF1418">
        <v>12</v>
      </c>
      <c r="AH1418" t="str">
        <f t="shared" si="68"/>
        <v>DalsinghSarai</v>
      </c>
      <c r="AJ1418" s="72">
        <v>0</v>
      </c>
      <c r="AK1418" s="72"/>
      <c r="AL1418" s="72"/>
      <c r="AM1418" s="72"/>
    </row>
    <row r="1419" spans="1:39" x14ac:dyDescent="0.25">
      <c r="A1419" s="37" t="s">
        <v>62</v>
      </c>
      <c r="B1419" s="66" t="s">
        <v>1638</v>
      </c>
      <c r="C1419" s="47">
        <v>1012</v>
      </c>
      <c r="D1419" s="47" t="s">
        <v>306</v>
      </c>
      <c r="E1419" s="41">
        <v>10120007</v>
      </c>
      <c r="F1419" s="46" t="s">
        <v>311</v>
      </c>
      <c r="G1419" s="39" t="s">
        <v>92</v>
      </c>
      <c r="H1419" s="48" t="s">
        <v>93</v>
      </c>
      <c r="I1419" s="52">
        <v>1155.25</v>
      </c>
      <c r="J1419" s="49">
        <v>47396.600000000006</v>
      </c>
      <c r="K1419" s="65">
        <v>1150.71</v>
      </c>
      <c r="L1419" s="65">
        <v>46787.85000000002</v>
      </c>
      <c r="M1419" s="65">
        <v>14.400000000000002</v>
      </c>
      <c r="N1419" s="65">
        <v>587.4899999999999</v>
      </c>
      <c r="O1419" s="65">
        <v>1165.1100000000001</v>
      </c>
      <c r="P1419" s="65">
        <v>47375.340000000018</v>
      </c>
      <c r="Q1419" s="50">
        <v>47375.340000000018</v>
      </c>
      <c r="R1419" s="65">
        <v>0</v>
      </c>
      <c r="S1419" s="65">
        <v>587.4899999999999</v>
      </c>
      <c r="T1419" s="65">
        <v>0</v>
      </c>
      <c r="U1419" s="65">
        <v>6213</v>
      </c>
      <c r="V1419" s="65">
        <v>0</v>
      </c>
      <c r="W1419" s="65">
        <v>0</v>
      </c>
      <c r="X1419" s="65">
        <v>40576</v>
      </c>
      <c r="Y1419" s="65">
        <v>0</v>
      </c>
      <c r="Z1419" s="65">
        <v>0</v>
      </c>
      <c r="AA1419" s="51">
        <v>20</v>
      </c>
      <c r="AB1419" s="102">
        <v>0</v>
      </c>
      <c r="AC1419" s="81">
        <f t="shared" si="69"/>
        <v>0</v>
      </c>
      <c r="AD1419" s="82">
        <f t="shared" si="70"/>
        <v>0</v>
      </c>
      <c r="AE1419" s="218">
        <v>4.4855538160938721E-4</v>
      </c>
      <c r="AF1419">
        <v>29</v>
      </c>
      <c r="AH1419" t="str">
        <f t="shared" si="68"/>
        <v>DalsinghSarai</v>
      </c>
      <c r="AJ1419" s="72">
        <v>0</v>
      </c>
      <c r="AK1419" s="72"/>
      <c r="AL1419" s="72"/>
      <c r="AM1419" s="72"/>
    </row>
    <row r="1420" spans="1:39" x14ac:dyDescent="0.25">
      <c r="A1420" s="37" t="s">
        <v>62</v>
      </c>
      <c r="B1420" s="66" t="s">
        <v>1638</v>
      </c>
      <c r="C1420" s="47">
        <v>1012</v>
      </c>
      <c r="D1420" s="47" t="s">
        <v>306</v>
      </c>
      <c r="E1420" s="41">
        <v>10120008</v>
      </c>
      <c r="F1420" s="46" t="s">
        <v>312</v>
      </c>
      <c r="G1420" s="39" t="s">
        <v>92</v>
      </c>
      <c r="H1420" s="48" t="s">
        <v>98</v>
      </c>
      <c r="I1420" s="52">
        <v>59.7</v>
      </c>
      <c r="J1420" s="49">
        <v>2055.08</v>
      </c>
      <c r="K1420" s="65">
        <v>0</v>
      </c>
      <c r="L1420" s="65">
        <v>0</v>
      </c>
      <c r="M1420" s="65">
        <v>0</v>
      </c>
      <c r="N1420" s="65">
        <v>0</v>
      </c>
      <c r="O1420" s="65">
        <v>0</v>
      </c>
      <c r="P1420" s="65">
        <v>0</v>
      </c>
      <c r="Q1420" s="50">
        <v>2055.08</v>
      </c>
      <c r="R1420" s="65">
        <v>0</v>
      </c>
      <c r="S1420" s="65">
        <v>0</v>
      </c>
      <c r="T1420" s="65">
        <v>0</v>
      </c>
      <c r="U1420" s="65">
        <v>0</v>
      </c>
      <c r="V1420" s="65">
        <v>0</v>
      </c>
      <c r="W1420" s="65">
        <v>0</v>
      </c>
      <c r="X1420" s="65">
        <v>0</v>
      </c>
      <c r="Y1420" s="65">
        <v>0</v>
      </c>
      <c r="Z1420" s="65">
        <v>2055.08</v>
      </c>
      <c r="AA1420" s="51">
        <v>0</v>
      </c>
      <c r="AB1420" s="102">
        <v>0</v>
      </c>
      <c r="AC1420" s="81">
        <f t="shared" si="69"/>
        <v>440.82670820770522</v>
      </c>
      <c r="AD1420" s="82">
        <f t="shared" si="70"/>
        <v>8.5285714285714285</v>
      </c>
      <c r="AE1420" s="218">
        <v>0</v>
      </c>
      <c r="AF1420">
        <v>0</v>
      </c>
      <c r="AH1420" t="str">
        <f t="shared" si="68"/>
        <v>DalsinghSarai</v>
      </c>
      <c r="AJ1420" s="72">
        <v>0</v>
      </c>
      <c r="AK1420" s="72"/>
      <c r="AL1420" s="72"/>
      <c r="AM1420" s="72"/>
    </row>
    <row r="1421" spans="1:39" x14ac:dyDescent="0.25">
      <c r="A1421" s="37" t="s">
        <v>62</v>
      </c>
      <c r="B1421" s="66" t="s">
        <v>1638</v>
      </c>
      <c r="C1421" s="47">
        <v>1012</v>
      </c>
      <c r="D1421" s="47" t="s">
        <v>306</v>
      </c>
      <c r="E1421" s="41">
        <v>10120010</v>
      </c>
      <c r="F1421" s="46" t="s">
        <v>313</v>
      </c>
      <c r="G1421" s="39" t="s">
        <v>92</v>
      </c>
      <c r="H1421" s="48" t="s">
        <v>98</v>
      </c>
      <c r="I1421" s="52">
        <v>2022.5500000000006</v>
      </c>
      <c r="J1421" s="49">
        <v>86165.680000000022</v>
      </c>
      <c r="K1421" s="65">
        <v>0</v>
      </c>
      <c r="L1421" s="65">
        <v>0</v>
      </c>
      <c r="M1421" s="65">
        <v>0</v>
      </c>
      <c r="N1421" s="65">
        <v>0</v>
      </c>
      <c r="O1421" s="65">
        <v>0</v>
      </c>
      <c r="P1421" s="65">
        <v>0</v>
      </c>
      <c r="Q1421" s="50">
        <v>86165.680000000022</v>
      </c>
      <c r="R1421" s="65">
        <v>0</v>
      </c>
      <c r="S1421" s="65">
        <v>0</v>
      </c>
      <c r="T1421" s="65">
        <v>0</v>
      </c>
      <c r="U1421" s="65">
        <v>0</v>
      </c>
      <c r="V1421" s="65">
        <v>0</v>
      </c>
      <c r="W1421" s="65">
        <v>0</v>
      </c>
      <c r="X1421" s="65">
        <v>0</v>
      </c>
      <c r="Y1421" s="65">
        <v>0</v>
      </c>
      <c r="Z1421" s="65">
        <v>86165.680000000022</v>
      </c>
      <c r="AA1421" s="51">
        <v>0</v>
      </c>
      <c r="AB1421" s="102">
        <v>0</v>
      </c>
      <c r="AC1421" s="81">
        <f t="shared" si="69"/>
        <v>0</v>
      </c>
      <c r="AD1421" s="82">
        <f t="shared" si="70"/>
        <v>0</v>
      </c>
      <c r="AE1421" s="218">
        <v>0</v>
      </c>
      <c r="AF1421">
        <v>0</v>
      </c>
      <c r="AH1421" t="str">
        <f t="shared" si="68"/>
        <v>DalsinghSarai</v>
      </c>
      <c r="AJ1421" s="72">
        <v>0</v>
      </c>
      <c r="AK1421" s="72"/>
      <c r="AL1421" s="72"/>
      <c r="AM1421" s="72"/>
    </row>
    <row r="1422" spans="1:39" x14ac:dyDescent="0.25">
      <c r="A1422" s="37" t="s">
        <v>62</v>
      </c>
      <c r="B1422" s="66" t="s">
        <v>1638</v>
      </c>
      <c r="C1422" s="47">
        <v>1012</v>
      </c>
      <c r="D1422" s="47" t="s">
        <v>306</v>
      </c>
      <c r="E1422" s="41">
        <v>10120011</v>
      </c>
      <c r="F1422" s="46" t="s">
        <v>607</v>
      </c>
      <c r="G1422" s="39" t="s">
        <v>92</v>
      </c>
      <c r="H1422" s="48" t="s">
        <v>98</v>
      </c>
      <c r="I1422" s="52">
        <v>389.20000000000005</v>
      </c>
      <c r="J1422" s="49">
        <v>15908.85</v>
      </c>
      <c r="K1422" s="65">
        <v>0</v>
      </c>
      <c r="L1422" s="65">
        <v>0</v>
      </c>
      <c r="M1422" s="65">
        <v>0</v>
      </c>
      <c r="N1422" s="65">
        <v>0</v>
      </c>
      <c r="O1422" s="65">
        <v>0</v>
      </c>
      <c r="P1422" s="65">
        <v>0</v>
      </c>
      <c r="Q1422" s="50">
        <v>15908.85</v>
      </c>
      <c r="R1422" s="65">
        <v>0</v>
      </c>
      <c r="S1422" s="65">
        <v>0</v>
      </c>
      <c r="T1422" s="65">
        <v>0</v>
      </c>
      <c r="U1422" s="65">
        <v>0</v>
      </c>
      <c r="V1422" s="65">
        <v>0</v>
      </c>
      <c r="W1422" s="65">
        <v>0</v>
      </c>
      <c r="X1422" s="65">
        <v>0</v>
      </c>
      <c r="Y1422" s="65">
        <v>0</v>
      </c>
      <c r="Z1422" s="65">
        <v>15908.85</v>
      </c>
      <c r="AA1422" s="51">
        <v>0</v>
      </c>
      <c r="AB1422" s="102">
        <v>0</v>
      </c>
      <c r="AC1422" s="81">
        <f t="shared" si="69"/>
        <v>254.08379136690641</v>
      </c>
      <c r="AD1422" s="82">
        <f t="shared" si="70"/>
        <v>55.600000000000009</v>
      </c>
      <c r="AE1422" s="218">
        <v>0</v>
      </c>
      <c r="AF1422">
        <v>0</v>
      </c>
      <c r="AH1422" t="str">
        <f t="shared" si="68"/>
        <v>DalsinghSarai</v>
      </c>
      <c r="AJ1422" s="72">
        <v>0</v>
      </c>
      <c r="AK1422" s="72"/>
      <c r="AL1422" s="72"/>
      <c r="AM1422" s="72"/>
    </row>
    <row r="1423" spans="1:39" x14ac:dyDescent="0.25">
      <c r="A1423" s="37" t="s">
        <v>62</v>
      </c>
      <c r="B1423" s="66" t="s">
        <v>1638</v>
      </c>
      <c r="C1423" s="47">
        <v>1012</v>
      </c>
      <c r="D1423" s="47" t="s">
        <v>306</v>
      </c>
      <c r="E1423" s="41">
        <v>10120012</v>
      </c>
      <c r="F1423" s="46" t="s">
        <v>314</v>
      </c>
      <c r="G1423" s="39" t="s">
        <v>92</v>
      </c>
      <c r="H1423" s="48" t="s">
        <v>93</v>
      </c>
      <c r="I1423" s="52">
        <v>665.2</v>
      </c>
      <c r="J1423" s="49">
        <v>31831.600000000002</v>
      </c>
      <c r="K1423" s="65">
        <v>660.8</v>
      </c>
      <c r="L1423" s="65">
        <v>31291.420000000002</v>
      </c>
      <c r="M1423" s="65">
        <v>11.700000000000001</v>
      </c>
      <c r="N1423" s="65">
        <v>537.29</v>
      </c>
      <c r="O1423" s="65">
        <v>672.5</v>
      </c>
      <c r="P1423" s="65">
        <v>31828.710000000003</v>
      </c>
      <c r="Q1423" s="50">
        <v>31828.710000000003</v>
      </c>
      <c r="R1423" s="65">
        <v>0</v>
      </c>
      <c r="S1423" s="65">
        <v>537.29</v>
      </c>
      <c r="T1423" s="65">
        <v>0</v>
      </c>
      <c r="U1423" s="65">
        <v>0</v>
      </c>
      <c r="V1423" s="65">
        <v>0</v>
      </c>
      <c r="W1423" s="65">
        <v>0</v>
      </c>
      <c r="X1423" s="65">
        <v>31292</v>
      </c>
      <c r="Y1423" s="65">
        <v>0</v>
      </c>
      <c r="Z1423" s="65">
        <v>0</v>
      </c>
      <c r="AA1423" s="51">
        <v>2</v>
      </c>
      <c r="AB1423" s="102">
        <v>0</v>
      </c>
      <c r="AC1423" s="81">
        <f t="shared" si="69"/>
        <v>33.305462417318033</v>
      </c>
      <c r="AD1423" s="82">
        <f t="shared" si="70"/>
        <v>95.028571428571439</v>
      </c>
      <c r="AE1423" s="218">
        <v>9.0790283868841576E-5</v>
      </c>
      <c r="AF1423">
        <v>18</v>
      </c>
      <c r="AH1423" t="str">
        <f t="shared" si="68"/>
        <v>DalsinghSarai</v>
      </c>
      <c r="AJ1423" s="72">
        <v>0</v>
      </c>
      <c r="AK1423" s="72"/>
      <c r="AL1423" s="72"/>
      <c r="AM1423" s="72"/>
    </row>
    <row r="1424" spans="1:39" x14ac:dyDescent="0.25">
      <c r="A1424" s="37" t="s">
        <v>62</v>
      </c>
      <c r="B1424" s="66" t="s">
        <v>1638</v>
      </c>
      <c r="C1424" s="47">
        <v>1012</v>
      </c>
      <c r="D1424" s="47" t="s">
        <v>306</v>
      </c>
      <c r="E1424" s="41">
        <v>10120013</v>
      </c>
      <c r="F1424" s="46" t="s">
        <v>315</v>
      </c>
      <c r="G1424" s="39" t="s">
        <v>92</v>
      </c>
      <c r="H1424" s="48" t="s">
        <v>98</v>
      </c>
      <c r="I1424" s="52">
        <v>469.85000000000008</v>
      </c>
      <c r="J1424" s="49">
        <v>16687.479999999996</v>
      </c>
      <c r="K1424" s="65">
        <v>0</v>
      </c>
      <c r="L1424" s="65">
        <v>0</v>
      </c>
      <c r="M1424" s="65">
        <v>0</v>
      </c>
      <c r="N1424" s="65">
        <v>0</v>
      </c>
      <c r="O1424" s="65">
        <v>0</v>
      </c>
      <c r="P1424" s="65">
        <v>0</v>
      </c>
      <c r="Q1424" s="50">
        <v>16687.479999999996</v>
      </c>
      <c r="R1424" s="65">
        <v>0</v>
      </c>
      <c r="S1424" s="65">
        <v>0</v>
      </c>
      <c r="T1424" s="65">
        <v>0</v>
      </c>
      <c r="U1424" s="65">
        <v>2800</v>
      </c>
      <c r="V1424" s="65">
        <v>0</v>
      </c>
      <c r="W1424" s="65">
        <v>0</v>
      </c>
      <c r="X1424" s="65">
        <v>0</v>
      </c>
      <c r="Y1424" s="65">
        <v>0</v>
      </c>
      <c r="Z1424" s="65">
        <v>13887.479999999996</v>
      </c>
      <c r="AA1424" s="51">
        <v>0</v>
      </c>
      <c r="AB1424" s="102">
        <v>0</v>
      </c>
      <c r="AC1424" s="81">
        <f t="shared" si="69"/>
        <v>163.48296358412247</v>
      </c>
      <c r="AD1424" s="82">
        <f t="shared" si="70"/>
        <v>67.121428571428581</v>
      </c>
      <c r="AE1424" s="218">
        <v>0</v>
      </c>
      <c r="AF1424">
        <v>0</v>
      </c>
      <c r="AH1424" t="str">
        <f t="shared" si="68"/>
        <v>DalsinghSarai</v>
      </c>
      <c r="AJ1424" s="72">
        <v>0</v>
      </c>
      <c r="AK1424" s="72"/>
      <c r="AL1424" s="72"/>
      <c r="AM1424" s="72"/>
    </row>
    <row r="1425" spans="1:39" x14ac:dyDescent="0.25">
      <c r="A1425" s="37" t="s">
        <v>62</v>
      </c>
      <c r="B1425" s="66" t="s">
        <v>1638</v>
      </c>
      <c r="C1425" s="47">
        <v>1012</v>
      </c>
      <c r="D1425" s="47" t="s">
        <v>306</v>
      </c>
      <c r="E1425" s="41">
        <v>10120014</v>
      </c>
      <c r="F1425" s="46" t="s">
        <v>316</v>
      </c>
      <c r="G1425" s="39" t="s">
        <v>92</v>
      </c>
      <c r="H1425" s="48" t="s">
        <v>93</v>
      </c>
      <c r="I1425" s="52">
        <v>1104</v>
      </c>
      <c r="J1425" s="49">
        <v>47052.039999999994</v>
      </c>
      <c r="K1425" s="65">
        <v>326.89999999999998</v>
      </c>
      <c r="L1425" s="65">
        <v>16821.899999999998</v>
      </c>
      <c r="M1425" s="65">
        <v>705</v>
      </c>
      <c r="N1425" s="65">
        <v>30228.009999999991</v>
      </c>
      <c r="O1425" s="65">
        <v>1031.9000000000001</v>
      </c>
      <c r="P1425" s="65">
        <v>47049.909999999989</v>
      </c>
      <c r="Q1425" s="50">
        <v>47049.909999999989</v>
      </c>
      <c r="R1425" s="65">
        <v>0</v>
      </c>
      <c r="S1425" s="65">
        <v>0</v>
      </c>
      <c r="T1425" s="65">
        <v>0</v>
      </c>
      <c r="U1425" s="65">
        <v>0</v>
      </c>
      <c r="V1425" s="65">
        <v>0</v>
      </c>
      <c r="W1425" s="65">
        <v>0</v>
      </c>
      <c r="X1425" s="65">
        <v>16822</v>
      </c>
      <c r="Y1425" s="65">
        <v>30228</v>
      </c>
      <c r="Z1425" s="65">
        <v>0</v>
      </c>
      <c r="AA1425" s="51">
        <v>2</v>
      </c>
      <c r="AB1425" s="102">
        <v>0</v>
      </c>
      <c r="AC1425" s="81">
        <f t="shared" si="69"/>
        <v>0</v>
      </c>
      <c r="AD1425" s="82">
        <f t="shared" si="70"/>
        <v>0</v>
      </c>
      <c r="AE1425" s="218">
        <v>4.5269025530129127E-5</v>
      </c>
      <c r="AF1425">
        <v>19</v>
      </c>
      <c r="AH1425" t="str">
        <f t="shared" si="68"/>
        <v>DalsinghSarai</v>
      </c>
      <c r="AJ1425" s="72">
        <v>0</v>
      </c>
      <c r="AK1425" s="72"/>
      <c r="AL1425" s="72"/>
      <c r="AM1425" s="72"/>
    </row>
    <row r="1426" spans="1:39" x14ac:dyDescent="0.25">
      <c r="A1426" s="37" t="s">
        <v>62</v>
      </c>
      <c r="B1426" s="66" t="s">
        <v>1638</v>
      </c>
      <c r="C1426" s="47">
        <v>1012</v>
      </c>
      <c r="D1426" s="47" t="s">
        <v>306</v>
      </c>
      <c r="E1426" s="41">
        <v>10120015</v>
      </c>
      <c r="F1426" s="46" t="s">
        <v>317</v>
      </c>
      <c r="G1426" s="39" t="s">
        <v>92</v>
      </c>
      <c r="H1426" s="48" t="s">
        <v>93</v>
      </c>
      <c r="I1426" s="52">
        <v>1151</v>
      </c>
      <c r="J1426" s="49">
        <v>43772.82</v>
      </c>
      <c r="K1426" s="65">
        <v>940.63</v>
      </c>
      <c r="L1426" s="65">
        <v>35592.9</v>
      </c>
      <c r="M1426" s="65">
        <v>212</v>
      </c>
      <c r="N1426" s="65">
        <v>8178.9</v>
      </c>
      <c r="O1426" s="65">
        <v>1152.6300000000001</v>
      </c>
      <c r="P1426" s="65">
        <v>43771.8</v>
      </c>
      <c r="Q1426" s="50">
        <v>43771.8</v>
      </c>
      <c r="R1426" s="65">
        <v>0</v>
      </c>
      <c r="S1426" s="65">
        <v>0</v>
      </c>
      <c r="T1426" s="65">
        <v>0</v>
      </c>
      <c r="U1426" s="65">
        <v>1400</v>
      </c>
      <c r="V1426" s="65">
        <v>0</v>
      </c>
      <c r="W1426" s="65">
        <v>0</v>
      </c>
      <c r="X1426" s="65">
        <v>34192</v>
      </c>
      <c r="Y1426" s="65">
        <v>8178</v>
      </c>
      <c r="Z1426" s="65">
        <v>0</v>
      </c>
      <c r="AA1426" s="51">
        <v>3</v>
      </c>
      <c r="AB1426" s="102">
        <v>0</v>
      </c>
      <c r="AC1426" s="81">
        <f t="shared" si="69"/>
        <v>0</v>
      </c>
      <c r="AD1426" s="82">
        <f t="shared" si="70"/>
        <v>0</v>
      </c>
      <c r="AE1426" s="218">
        <v>2.3302131322514716E-5</v>
      </c>
      <c r="AF1426">
        <v>16</v>
      </c>
      <c r="AH1426" t="str">
        <f t="shared" si="68"/>
        <v>DalsinghSarai</v>
      </c>
      <c r="AJ1426" s="72">
        <v>0</v>
      </c>
      <c r="AK1426" s="72"/>
      <c r="AL1426" s="72"/>
      <c r="AM1426" s="72"/>
    </row>
    <row r="1427" spans="1:39" x14ac:dyDescent="0.25">
      <c r="A1427" s="37" t="s">
        <v>62</v>
      </c>
      <c r="B1427" s="66" t="s">
        <v>1638</v>
      </c>
      <c r="C1427" s="47">
        <v>1012</v>
      </c>
      <c r="D1427" s="47" t="s">
        <v>306</v>
      </c>
      <c r="E1427" s="41">
        <v>10120016</v>
      </c>
      <c r="F1427" s="104" t="s">
        <v>318</v>
      </c>
      <c r="G1427" s="105" t="s">
        <v>92</v>
      </c>
      <c r="H1427" s="48" t="s">
        <v>93</v>
      </c>
      <c r="I1427" s="106">
        <v>194.8</v>
      </c>
      <c r="J1427" s="49">
        <v>7075.74</v>
      </c>
      <c r="K1427" s="107">
        <v>193.70000000000005</v>
      </c>
      <c r="L1427" s="107">
        <v>7006.99</v>
      </c>
      <c r="M1427" s="107">
        <v>1.8399999999999996</v>
      </c>
      <c r="N1427" s="107">
        <v>67.260000000000005</v>
      </c>
      <c r="O1427" s="107">
        <v>195.54000000000005</v>
      </c>
      <c r="P1427" s="107">
        <v>7074.25</v>
      </c>
      <c r="Q1427" s="108">
        <v>7074.25</v>
      </c>
      <c r="R1427" s="65">
        <v>0</v>
      </c>
      <c r="S1427" s="65">
        <v>67.260000000000005</v>
      </c>
      <c r="T1427" s="107">
        <v>0</v>
      </c>
      <c r="U1427" s="65">
        <v>0</v>
      </c>
      <c r="V1427" s="65">
        <v>0</v>
      </c>
      <c r="W1427" s="65">
        <v>0</v>
      </c>
      <c r="X1427" s="65">
        <v>7008</v>
      </c>
      <c r="Y1427" s="65">
        <v>0</v>
      </c>
      <c r="Z1427" s="65">
        <v>0</v>
      </c>
      <c r="AA1427" s="51">
        <v>0</v>
      </c>
      <c r="AB1427" s="102">
        <v>0</v>
      </c>
      <c r="AC1427" s="81">
        <f t="shared" si="69"/>
        <v>367.00860862422996</v>
      </c>
      <c r="AD1427" s="82">
        <f t="shared" si="70"/>
        <v>27.828571428571429</v>
      </c>
      <c r="AE1427" s="218">
        <v>2.1057868152303248E-4</v>
      </c>
      <c r="AF1427">
        <v>5</v>
      </c>
      <c r="AH1427" t="str">
        <f t="shared" si="68"/>
        <v>DalsinghSarai</v>
      </c>
      <c r="AJ1427" s="72">
        <v>0</v>
      </c>
      <c r="AK1427" s="72"/>
      <c r="AL1427" s="72"/>
      <c r="AM1427" s="72"/>
    </row>
    <row r="1428" spans="1:39" x14ac:dyDescent="0.25">
      <c r="A1428" s="37" t="s">
        <v>62</v>
      </c>
      <c r="B1428" s="66" t="s">
        <v>1638</v>
      </c>
      <c r="C1428" s="47">
        <v>1012</v>
      </c>
      <c r="D1428" s="47" t="s">
        <v>306</v>
      </c>
      <c r="E1428" s="41">
        <v>10120017</v>
      </c>
      <c r="F1428" s="46" t="s">
        <v>319</v>
      </c>
      <c r="G1428" s="39" t="s">
        <v>92</v>
      </c>
      <c r="H1428" s="48" t="s">
        <v>93</v>
      </c>
      <c r="I1428" s="52">
        <v>470.4</v>
      </c>
      <c r="J1428" s="49">
        <v>18861.8</v>
      </c>
      <c r="K1428" s="65">
        <v>460.2</v>
      </c>
      <c r="L1428" s="65">
        <v>18470.21</v>
      </c>
      <c r="M1428" s="65">
        <v>10.199999999999999</v>
      </c>
      <c r="N1428" s="65">
        <v>379.09</v>
      </c>
      <c r="O1428" s="65">
        <v>470.4</v>
      </c>
      <c r="P1428" s="65">
        <v>18849.3</v>
      </c>
      <c r="Q1428" s="50">
        <v>18849.3</v>
      </c>
      <c r="R1428" s="65">
        <v>0</v>
      </c>
      <c r="S1428" s="65">
        <v>0</v>
      </c>
      <c r="T1428" s="65">
        <v>0</v>
      </c>
      <c r="U1428" s="65">
        <v>0</v>
      </c>
      <c r="V1428" s="65">
        <v>0</v>
      </c>
      <c r="W1428" s="65">
        <v>0</v>
      </c>
      <c r="X1428" s="65">
        <v>18469</v>
      </c>
      <c r="Y1428" s="65">
        <v>379</v>
      </c>
      <c r="Z1428" s="65">
        <v>0</v>
      </c>
      <c r="AA1428" s="51">
        <v>14</v>
      </c>
      <c r="AB1428" s="102">
        <v>0</v>
      </c>
      <c r="AC1428" s="81">
        <f t="shared" si="69"/>
        <v>184.12709523809522</v>
      </c>
      <c r="AD1428" s="82">
        <f t="shared" si="70"/>
        <v>67.2</v>
      </c>
      <c r="AE1428" s="218">
        <v>6.6271511732708438E-4</v>
      </c>
      <c r="AF1428">
        <v>10</v>
      </c>
      <c r="AH1428" t="str">
        <f t="shared" si="68"/>
        <v>DalsinghSarai</v>
      </c>
      <c r="AJ1428" s="72">
        <v>0</v>
      </c>
      <c r="AK1428" s="72"/>
      <c r="AL1428" s="72"/>
      <c r="AM1428" s="72"/>
    </row>
    <row r="1429" spans="1:39" x14ac:dyDescent="0.25">
      <c r="A1429" s="37" t="s">
        <v>62</v>
      </c>
      <c r="B1429" s="66" t="s">
        <v>1638</v>
      </c>
      <c r="C1429" s="47">
        <v>1012</v>
      </c>
      <c r="D1429" s="47" t="s">
        <v>306</v>
      </c>
      <c r="E1429" s="41">
        <v>10120018</v>
      </c>
      <c r="F1429" s="46" t="s">
        <v>320</v>
      </c>
      <c r="G1429" s="39" t="s">
        <v>92</v>
      </c>
      <c r="H1429" s="48" t="s">
        <v>93</v>
      </c>
      <c r="I1429" s="52">
        <v>446.60000000000008</v>
      </c>
      <c r="J1429" s="49">
        <v>19301.219999999998</v>
      </c>
      <c r="K1429" s="65">
        <v>407.55</v>
      </c>
      <c r="L1429" s="65">
        <v>17789.560000000001</v>
      </c>
      <c r="M1429" s="65">
        <v>34.6</v>
      </c>
      <c r="N1429" s="65">
        <v>1510.29</v>
      </c>
      <c r="O1429" s="65">
        <v>442.15000000000003</v>
      </c>
      <c r="P1429" s="65">
        <v>19299.850000000002</v>
      </c>
      <c r="Q1429" s="50">
        <v>19299.850000000002</v>
      </c>
      <c r="R1429" s="65">
        <v>0</v>
      </c>
      <c r="S1429" s="65">
        <v>419.04</v>
      </c>
      <c r="T1429" s="65">
        <v>0</v>
      </c>
      <c r="U1429" s="65">
        <v>0</v>
      </c>
      <c r="V1429" s="65">
        <v>0</v>
      </c>
      <c r="W1429" s="65">
        <v>0</v>
      </c>
      <c r="X1429" s="65">
        <v>17789</v>
      </c>
      <c r="Y1429" s="65">
        <v>1091</v>
      </c>
      <c r="Z1429" s="65">
        <v>0</v>
      </c>
      <c r="AA1429" s="51">
        <v>2</v>
      </c>
      <c r="AB1429" s="102">
        <v>0</v>
      </c>
      <c r="AC1429" s="81">
        <f t="shared" si="69"/>
        <v>219.02951849529768</v>
      </c>
      <c r="AD1429" s="82">
        <f t="shared" si="70"/>
        <v>63.800000000000011</v>
      </c>
      <c r="AE1429" s="218">
        <v>7.0979969141605738E-5</v>
      </c>
      <c r="AF1429">
        <v>4</v>
      </c>
      <c r="AH1429" t="str">
        <f t="shared" si="68"/>
        <v>DalsinghSarai</v>
      </c>
      <c r="AJ1429" s="72">
        <v>0</v>
      </c>
      <c r="AK1429" s="72"/>
      <c r="AL1429" s="72"/>
      <c r="AM1429" s="72"/>
    </row>
    <row r="1430" spans="1:39" x14ac:dyDescent="0.25">
      <c r="A1430" s="37" t="s">
        <v>62</v>
      </c>
      <c r="B1430" s="66" t="s">
        <v>1638</v>
      </c>
      <c r="C1430" s="47">
        <v>1012</v>
      </c>
      <c r="D1430" s="47" t="s">
        <v>306</v>
      </c>
      <c r="E1430" s="41">
        <v>10120019</v>
      </c>
      <c r="F1430" s="46" t="s">
        <v>321</v>
      </c>
      <c r="G1430" s="39" t="s">
        <v>92</v>
      </c>
      <c r="H1430" s="48" t="s">
        <v>93</v>
      </c>
      <c r="I1430" s="52">
        <v>250.35</v>
      </c>
      <c r="J1430" s="49">
        <v>10534.78</v>
      </c>
      <c r="K1430" s="65">
        <v>132.97999999999999</v>
      </c>
      <c r="L1430" s="65">
        <v>5832.92</v>
      </c>
      <c r="M1430" s="65">
        <v>106.94999999999999</v>
      </c>
      <c r="N1430" s="65">
        <v>4700.55</v>
      </c>
      <c r="O1430" s="65">
        <v>239.92999999999998</v>
      </c>
      <c r="P1430" s="65">
        <v>10533.470000000001</v>
      </c>
      <c r="Q1430" s="50">
        <v>10533.470000000001</v>
      </c>
      <c r="R1430" s="65">
        <v>0</v>
      </c>
      <c r="S1430" s="65">
        <v>153.53000000000003</v>
      </c>
      <c r="T1430" s="65">
        <v>0</v>
      </c>
      <c r="U1430" s="65">
        <v>0</v>
      </c>
      <c r="V1430" s="65">
        <v>0</v>
      </c>
      <c r="W1430" s="65">
        <v>0</v>
      </c>
      <c r="X1430" s="65">
        <v>5833</v>
      </c>
      <c r="Y1430" s="65">
        <v>4547</v>
      </c>
      <c r="Z1430" s="65">
        <v>0</v>
      </c>
      <c r="AA1430" s="51">
        <v>1</v>
      </c>
      <c r="AB1430" s="102">
        <v>0</v>
      </c>
      <c r="AC1430" s="81">
        <f t="shared" si="69"/>
        <v>378.42730792889967</v>
      </c>
      <c r="AD1430" s="82">
        <f t="shared" si="70"/>
        <v>35.764285714285712</v>
      </c>
      <c r="AE1430" s="218">
        <v>1.2435001015678453E-4</v>
      </c>
      <c r="AF1430">
        <v>6</v>
      </c>
      <c r="AH1430" t="str">
        <f t="shared" si="68"/>
        <v>DalsinghSarai</v>
      </c>
      <c r="AJ1430" s="72">
        <v>0</v>
      </c>
      <c r="AK1430" s="72"/>
      <c r="AL1430" s="72"/>
      <c r="AM1430" s="72"/>
    </row>
    <row r="1431" spans="1:39" x14ac:dyDescent="0.25">
      <c r="A1431" s="37" t="s">
        <v>62</v>
      </c>
      <c r="B1431" s="66" t="s">
        <v>1638</v>
      </c>
      <c r="C1431" s="47">
        <v>1012</v>
      </c>
      <c r="D1431" s="47" t="s">
        <v>306</v>
      </c>
      <c r="E1431" s="41">
        <v>10120022</v>
      </c>
      <c r="F1431" s="104" t="s">
        <v>322</v>
      </c>
      <c r="G1431" s="105" t="s">
        <v>92</v>
      </c>
      <c r="H1431" s="48" t="s">
        <v>98</v>
      </c>
      <c r="I1431" s="106">
        <v>170.64999999999998</v>
      </c>
      <c r="J1431" s="49">
        <v>7942.7300000000005</v>
      </c>
      <c r="K1431" s="107">
        <v>0</v>
      </c>
      <c r="L1431" s="107">
        <v>0</v>
      </c>
      <c r="M1431" s="107">
        <v>0</v>
      </c>
      <c r="N1431" s="107">
        <v>0</v>
      </c>
      <c r="O1431" s="107">
        <v>0</v>
      </c>
      <c r="P1431" s="107">
        <v>0</v>
      </c>
      <c r="Q1431" s="108">
        <v>7942.7300000000005</v>
      </c>
      <c r="R1431" s="65">
        <v>0</v>
      </c>
      <c r="S1431" s="65">
        <v>0</v>
      </c>
      <c r="T1431" s="107">
        <v>0</v>
      </c>
      <c r="U1431" s="65">
        <v>0</v>
      </c>
      <c r="V1431" s="65">
        <v>0</v>
      </c>
      <c r="W1431" s="65">
        <v>0</v>
      </c>
      <c r="X1431" s="65">
        <v>0</v>
      </c>
      <c r="Y1431" s="65">
        <v>0</v>
      </c>
      <c r="Z1431" s="65">
        <v>7942.7300000000005</v>
      </c>
      <c r="AA1431" s="51">
        <v>0</v>
      </c>
      <c r="AB1431" s="102">
        <v>0</v>
      </c>
      <c r="AC1431" s="81">
        <f t="shared" si="69"/>
        <v>492.7611046586581</v>
      </c>
      <c r="AD1431" s="82">
        <f t="shared" si="70"/>
        <v>24.378571428571426</v>
      </c>
      <c r="AE1431" s="218">
        <v>0</v>
      </c>
      <c r="AF1431">
        <v>0</v>
      </c>
      <c r="AH1431" t="str">
        <f t="shared" si="68"/>
        <v>DalsinghSarai</v>
      </c>
      <c r="AJ1431" s="72">
        <v>0</v>
      </c>
      <c r="AK1431" s="72"/>
      <c r="AL1431" s="72"/>
      <c r="AM1431" s="72"/>
    </row>
    <row r="1432" spans="1:39" x14ac:dyDescent="0.25">
      <c r="A1432" s="37" t="s">
        <v>62</v>
      </c>
      <c r="B1432" s="66" t="s">
        <v>1638</v>
      </c>
      <c r="C1432" s="47">
        <v>1012</v>
      </c>
      <c r="D1432" s="47" t="s">
        <v>306</v>
      </c>
      <c r="E1432" s="41">
        <v>10120023</v>
      </c>
      <c r="F1432" s="46" t="s">
        <v>323</v>
      </c>
      <c r="G1432" s="39" t="s">
        <v>92</v>
      </c>
      <c r="H1432" s="48" t="s">
        <v>98</v>
      </c>
      <c r="I1432" s="52">
        <v>246.60000000000002</v>
      </c>
      <c r="J1432" s="49">
        <v>9502.7199999999993</v>
      </c>
      <c r="K1432" s="65">
        <v>0</v>
      </c>
      <c r="L1432" s="65">
        <v>0</v>
      </c>
      <c r="M1432" s="65">
        <v>0</v>
      </c>
      <c r="N1432" s="65">
        <v>0</v>
      </c>
      <c r="O1432" s="65">
        <v>0</v>
      </c>
      <c r="P1432" s="65">
        <v>0</v>
      </c>
      <c r="Q1432" s="50">
        <v>9502.7199999999993</v>
      </c>
      <c r="R1432" s="65">
        <v>0</v>
      </c>
      <c r="S1432" s="65">
        <v>0</v>
      </c>
      <c r="T1432" s="65">
        <v>0</v>
      </c>
      <c r="U1432" s="65">
        <v>1400</v>
      </c>
      <c r="V1432" s="65">
        <v>0</v>
      </c>
      <c r="W1432" s="65">
        <v>0</v>
      </c>
      <c r="X1432" s="65">
        <v>0</v>
      </c>
      <c r="Y1432" s="65">
        <v>0</v>
      </c>
      <c r="Z1432" s="65">
        <v>8102.7199999999993</v>
      </c>
      <c r="AA1432" s="51">
        <v>0</v>
      </c>
      <c r="AB1432" s="102">
        <v>0</v>
      </c>
      <c r="AC1432" s="81">
        <f t="shared" si="69"/>
        <v>349.43497550689369</v>
      </c>
      <c r="AD1432" s="82">
        <f t="shared" si="70"/>
        <v>35.228571428571435</v>
      </c>
      <c r="AE1432" s="218">
        <v>0</v>
      </c>
      <c r="AF1432">
        <v>0</v>
      </c>
      <c r="AH1432" t="str">
        <f t="shared" si="68"/>
        <v>DalsinghSarai</v>
      </c>
      <c r="AJ1432" s="72">
        <v>0</v>
      </c>
      <c r="AK1432" s="72"/>
      <c r="AL1432" s="72"/>
      <c r="AM1432" s="72"/>
    </row>
    <row r="1433" spans="1:39" x14ac:dyDescent="0.25">
      <c r="A1433" s="37" t="s">
        <v>62</v>
      </c>
      <c r="B1433" s="66" t="s">
        <v>1638</v>
      </c>
      <c r="C1433" s="47">
        <v>1012</v>
      </c>
      <c r="D1433" s="47" t="s">
        <v>306</v>
      </c>
      <c r="E1433" s="41">
        <v>10120024</v>
      </c>
      <c r="F1433" s="46" t="s">
        <v>324</v>
      </c>
      <c r="G1433" s="39" t="s">
        <v>92</v>
      </c>
      <c r="H1433" s="48" t="s">
        <v>98</v>
      </c>
      <c r="I1433" s="52">
        <v>173.35000000000002</v>
      </c>
      <c r="J1433" s="49">
        <v>6077.3899999999994</v>
      </c>
      <c r="K1433" s="65">
        <v>0</v>
      </c>
      <c r="L1433" s="65">
        <v>0</v>
      </c>
      <c r="M1433" s="65">
        <v>0</v>
      </c>
      <c r="N1433" s="65">
        <v>0</v>
      </c>
      <c r="O1433" s="65">
        <v>0</v>
      </c>
      <c r="P1433" s="65">
        <v>0</v>
      </c>
      <c r="Q1433" s="50">
        <v>6077.3899999999994</v>
      </c>
      <c r="R1433" s="65">
        <v>0</v>
      </c>
      <c r="S1433" s="65">
        <v>0</v>
      </c>
      <c r="T1433" s="65">
        <v>0</v>
      </c>
      <c r="U1433" s="65">
        <v>0</v>
      </c>
      <c r="V1433" s="65">
        <v>0</v>
      </c>
      <c r="W1433" s="65">
        <v>0</v>
      </c>
      <c r="X1433" s="65">
        <v>0</v>
      </c>
      <c r="Y1433" s="65">
        <v>0</v>
      </c>
      <c r="Z1433" s="65">
        <v>6077.3899999999994</v>
      </c>
      <c r="AA1433" s="51">
        <v>0</v>
      </c>
      <c r="AB1433" s="102">
        <v>0</v>
      </c>
      <c r="AC1433" s="81">
        <f t="shared" si="69"/>
        <v>369.27112125757128</v>
      </c>
      <c r="AD1433" s="82">
        <f t="shared" si="70"/>
        <v>24.764285714285716</v>
      </c>
      <c r="AE1433" s="218">
        <v>0</v>
      </c>
      <c r="AF1433">
        <v>0</v>
      </c>
      <c r="AH1433" t="str">
        <f t="shared" si="68"/>
        <v>DalsinghSarai</v>
      </c>
      <c r="AJ1433" s="72">
        <v>0</v>
      </c>
      <c r="AK1433" s="72"/>
      <c r="AL1433" s="72"/>
      <c r="AM1433" s="72"/>
    </row>
    <row r="1434" spans="1:39" x14ac:dyDescent="0.25">
      <c r="A1434" s="37" t="s">
        <v>62</v>
      </c>
      <c r="B1434" s="66" t="s">
        <v>1638</v>
      </c>
      <c r="C1434" s="47">
        <v>1012</v>
      </c>
      <c r="D1434" s="47" t="s">
        <v>306</v>
      </c>
      <c r="E1434" s="41">
        <v>10120025</v>
      </c>
      <c r="F1434" s="104" t="s">
        <v>325</v>
      </c>
      <c r="G1434" s="105" t="s">
        <v>92</v>
      </c>
      <c r="H1434" s="48" t="s">
        <v>93</v>
      </c>
      <c r="I1434" s="106">
        <v>2482.6500000000005</v>
      </c>
      <c r="J1434" s="49">
        <v>104464.04999999999</v>
      </c>
      <c r="K1434" s="107">
        <v>1579.25</v>
      </c>
      <c r="L1434" s="107">
        <v>71345.53</v>
      </c>
      <c r="M1434" s="107">
        <v>784.89</v>
      </c>
      <c r="N1434" s="107">
        <v>33116.18</v>
      </c>
      <c r="O1434" s="107">
        <v>2364.14</v>
      </c>
      <c r="P1434" s="107">
        <v>104461.70999999999</v>
      </c>
      <c r="Q1434" s="108">
        <v>104461.70999999999</v>
      </c>
      <c r="R1434" s="65">
        <v>0</v>
      </c>
      <c r="S1434" s="65">
        <v>739.67</v>
      </c>
      <c r="T1434" s="107">
        <v>0</v>
      </c>
      <c r="U1434" s="65">
        <v>0</v>
      </c>
      <c r="V1434" s="65">
        <v>0</v>
      </c>
      <c r="W1434" s="65">
        <v>0</v>
      </c>
      <c r="X1434" s="65">
        <v>71346</v>
      </c>
      <c r="Y1434" s="65">
        <v>32375</v>
      </c>
      <c r="Z1434" s="65">
        <v>0</v>
      </c>
      <c r="AA1434" s="51">
        <v>3</v>
      </c>
      <c r="AB1434" s="102">
        <v>0</v>
      </c>
      <c r="AC1434" s="81">
        <f t="shared" si="69"/>
        <v>0</v>
      </c>
      <c r="AD1434" s="82">
        <f t="shared" si="70"/>
        <v>0</v>
      </c>
      <c r="AE1434" s="218">
        <v>2.240005054367036E-5</v>
      </c>
      <c r="AF1434">
        <v>28</v>
      </c>
      <c r="AH1434" t="str">
        <f t="shared" si="68"/>
        <v>DalsinghSarai</v>
      </c>
      <c r="AJ1434" s="72">
        <v>0</v>
      </c>
      <c r="AK1434" s="72"/>
      <c r="AL1434" s="72"/>
      <c r="AM1434" s="72"/>
    </row>
    <row r="1435" spans="1:39" x14ac:dyDescent="0.25">
      <c r="A1435" s="37" t="s">
        <v>62</v>
      </c>
      <c r="B1435" s="66" t="s">
        <v>1638</v>
      </c>
      <c r="C1435" s="47">
        <v>1012</v>
      </c>
      <c r="D1435" s="47" t="s">
        <v>306</v>
      </c>
      <c r="E1435" s="41">
        <v>10120026</v>
      </c>
      <c r="F1435" s="46" t="s">
        <v>640</v>
      </c>
      <c r="G1435" s="39" t="s">
        <v>92</v>
      </c>
      <c r="H1435" s="48" t="s">
        <v>98</v>
      </c>
      <c r="I1435" s="52">
        <v>46.7</v>
      </c>
      <c r="J1435" s="49">
        <v>1659.43</v>
      </c>
      <c r="K1435" s="65">
        <v>0</v>
      </c>
      <c r="L1435" s="65">
        <v>0</v>
      </c>
      <c r="M1435" s="65">
        <v>0</v>
      </c>
      <c r="N1435" s="65">
        <v>0</v>
      </c>
      <c r="O1435" s="65">
        <v>0</v>
      </c>
      <c r="P1435" s="65">
        <v>0</v>
      </c>
      <c r="Q1435" s="50">
        <v>1659.43</v>
      </c>
      <c r="R1435" s="65">
        <v>0</v>
      </c>
      <c r="S1435" s="65">
        <v>0</v>
      </c>
      <c r="T1435" s="65">
        <v>0</v>
      </c>
      <c r="U1435" s="65">
        <v>0</v>
      </c>
      <c r="V1435" s="65">
        <v>0</v>
      </c>
      <c r="W1435" s="65">
        <v>0</v>
      </c>
      <c r="X1435" s="65">
        <v>0</v>
      </c>
      <c r="Y1435" s="65">
        <v>0</v>
      </c>
      <c r="Z1435" s="65">
        <v>1659.43</v>
      </c>
      <c r="AA1435" s="51">
        <v>0</v>
      </c>
      <c r="AB1435" s="102">
        <v>0</v>
      </c>
      <c r="AC1435" s="81">
        <f t="shared" si="69"/>
        <v>464.28506167023551</v>
      </c>
      <c r="AD1435" s="82">
        <f t="shared" si="70"/>
        <v>6.6714285714285717</v>
      </c>
      <c r="AE1435" s="218">
        <v>0</v>
      </c>
      <c r="AF1435">
        <v>0</v>
      </c>
      <c r="AH1435" t="str">
        <f t="shared" si="68"/>
        <v>DalsinghSarai</v>
      </c>
      <c r="AJ1435" s="72">
        <v>0</v>
      </c>
      <c r="AK1435" s="72"/>
      <c r="AL1435" s="72"/>
      <c r="AM1435" s="72"/>
    </row>
    <row r="1436" spans="1:39" x14ac:dyDescent="0.25">
      <c r="A1436" s="37" t="s">
        <v>62</v>
      </c>
      <c r="B1436" s="66" t="s">
        <v>1638</v>
      </c>
      <c r="C1436" s="47">
        <v>1012</v>
      </c>
      <c r="D1436" s="47" t="s">
        <v>306</v>
      </c>
      <c r="E1436" s="41">
        <v>10120029</v>
      </c>
      <c r="F1436" s="46" t="s">
        <v>326</v>
      </c>
      <c r="G1436" s="39" t="s">
        <v>92</v>
      </c>
      <c r="H1436" s="48" t="s">
        <v>93</v>
      </c>
      <c r="I1436" s="52">
        <v>630.90000000000009</v>
      </c>
      <c r="J1436" s="49">
        <v>24652.310000000005</v>
      </c>
      <c r="K1436" s="65">
        <v>430.84000000000003</v>
      </c>
      <c r="L1436" s="65">
        <v>16951.79</v>
      </c>
      <c r="M1436" s="65">
        <v>199.82</v>
      </c>
      <c r="N1436" s="65">
        <v>7697.6399999999994</v>
      </c>
      <c r="O1436" s="65">
        <v>630.66000000000008</v>
      </c>
      <c r="P1436" s="65">
        <v>24649.43</v>
      </c>
      <c r="Q1436" s="50">
        <v>24649.43</v>
      </c>
      <c r="R1436" s="65">
        <v>0</v>
      </c>
      <c r="S1436" s="65">
        <v>203.9</v>
      </c>
      <c r="T1436" s="65">
        <v>0</v>
      </c>
      <c r="U1436" s="65">
        <v>0</v>
      </c>
      <c r="V1436" s="65">
        <v>0</v>
      </c>
      <c r="W1436" s="65">
        <v>0</v>
      </c>
      <c r="X1436" s="65">
        <v>16952</v>
      </c>
      <c r="Y1436" s="65">
        <v>7494</v>
      </c>
      <c r="Z1436" s="65">
        <v>0</v>
      </c>
      <c r="AA1436" s="51">
        <v>2</v>
      </c>
      <c r="AB1436" s="102">
        <v>0</v>
      </c>
      <c r="AC1436" s="81">
        <f t="shared" si="69"/>
        <v>54.001414518941104</v>
      </c>
      <c r="AD1436" s="82">
        <f t="shared" si="70"/>
        <v>90.128571428571448</v>
      </c>
      <c r="AE1436" s="218">
        <v>1.1682475191998868E-4</v>
      </c>
      <c r="AF1436">
        <v>15</v>
      </c>
      <c r="AH1436" t="str">
        <f t="shared" si="68"/>
        <v>DalsinghSarai</v>
      </c>
      <c r="AJ1436" s="72">
        <v>0</v>
      </c>
      <c r="AK1436" s="72"/>
      <c r="AL1436" s="72"/>
      <c r="AM1436" s="72"/>
    </row>
    <row r="1437" spans="1:39" x14ac:dyDescent="0.25">
      <c r="A1437" s="37" t="s">
        <v>62</v>
      </c>
      <c r="B1437" s="66" t="s">
        <v>1638</v>
      </c>
      <c r="C1437" s="47">
        <v>1012</v>
      </c>
      <c r="D1437" s="47" t="s">
        <v>306</v>
      </c>
      <c r="E1437" s="41">
        <v>10120031</v>
      </c>
      <c r="F1437" s="46" t="s">
        <v>328</v>
      </c>
      <c r="G1437" s="39" t="s">
        <v>92</v>
      </c>
      <c r="H1437" s="48" t="s">
        <v>93</v>
      </c>
      <c r="I1437" s="52">
        <v>488.74999999999994</v>
      </c>
      <c r="J1437" s="49">
        <v>20368.099999999999</v>
      </c>
      <c r="K1437" s="65">
        <v>264.05</v>
      </c>
      <c r="L1437" s="65">
        <v>11511.859999999999</v>
      </c>
      <c r="M1437" s="65">
        <v>197.89999999999998</v>
      </c>
      <c r="N1437" s="65">
        <v>8849.8100000000013</v>
      </c>
      <c r="O1437" s="65">
        <v>461.95</v>
      </c>
      <c r="P1437" s="65">
        <v>20361.669999999998</v>
      </c>
      <c r="Q1437" s="50">
        <v>20361.669999999998</v>
      </c>
      <c r="R1437" s="65">
        <v>0</v>
      </c>
      <c r="S1437" s="65">
        <v>111.00999999999999</v>
      </c>
      <c r="T1437" s="65">
        <v>0</v>
      </c>
      <c r="U1437" s="65">
        <v>0</v>
      </c>
      <c r="V1437" s="65">
        <v>0</v>
      </c>
      <c r="W1437" s="65">
        <v>0</v>
      </c>
      <c r="X1437" s="65">
        <v>11512</v>
      </c>
      <c r="Y1437" s="65">
        <v>8738</v>
      </c>
      <c r="Z1437" s="65">
        <v>0</v>
      </c>
      <c r="AA1437" s="51">
        <v>7</v>
      </c>
      <c r="AB1437" s="102">
        <v>0</v>
      </c>
      <c r="AC1437" s="81">
        <f t="shared" si="69"/>
        <v>176.07206649616367</v>
      </c>
      <c r="AD1437" s="82">
        <f t="shared" si="70"/>
        <v>69.821428571428569</v>
      </c>
      <c r="AE1437" s="218">
        <v>3.1568973050997843E-4</v>
      </c>
      <c r="AF1437">
        <v>7</v>
      </c>
      <c r="AH1437" t="str">
        <f t="shared" si="68"/>
        <v>DalsinghSarai</v>
      </c>
      <c r="AJ1437" s="72">
        <v>0</v>
      </c>
      <c r="AK1437" s="72"/>
      <c r="AL1437" s="72"/>
      <c r="AM1437" s="72"/>
    </row>
    <row r="1438" spans="1:39" x14ac:dyDescent="0.25">
      <c r="A1438" s="37" t="s">
        <v>62</v>
      </c>
      <c r="B1438" s="66" t="s">
        <v>1638</v>
      </c>
      <c r="C1438" s="47">
        <v>1012</v>
      </c>
      <c r="D1438" s="47" t="s">
        <v>306</v>
      </c>
      <c r="E1438" s="41">
        <v>10120034</v>
      </c>
      <c r="F1438" s="46" t="s">
        <v>329</v>
      </c>
      <c r="G1438" s="39" t="s">
        <v>92</v>
      </c>
      <c r="H1438" s="48" t="s">
        <v>93</v>
      </c>
      <c r="I1438" s="52">
        <v>209.8</v>
      </c>
      <c r="J1438" s="49">
        <v>8244.7899999999991</v>
      </c>
      <c r="K1438" s="65">
        <v>88.640000000000015</v>
      </c>
      <c r="L1438" s="65">
        <v>3469.65</v>
      </c>
      <c r="M1438" s="65">
        <v>127.74</v>
      </c>
      <c r="N1438" s="65">
        <v>4770.7699999999995</v>
      </c>
      <c r="O1438" s="65">
        <v>216.38</v>
      </c>
      <c r="P1438" s="65">
        <v>8240.42</v>
      </c>
      <c r="Q1438" s="50">
        <v>8240.42</v>
      </c>
      <c r="R1438" s="65">
        <v>0</v>
      </c>
      <c r="S1438" s="65">
        <v>0</v>
      </c>
      <c r="T1438" s="65">
        <v>0</v>
      </c>
      <c r="U1438" s="65">
        <v>0</v>
      </c>
      <c r="V1438" s="65">
        <v>0</v>
      </c>
      <c r="W1438" s="65">
        <v>0</v>
      </c>
      <c r="X1438" s="65">
        <v>3470</v>
      </c>
      <c r="Y1438" s="65">
        <v>4771</v>
      </c>
      <c r="Z1438" s="65">
        <v>0</v>
      </c>
      <c r="AA1438" s="51">
        <v>4</v>
      </c>
      <c r="AB1438" s="102">
        <v>0</v>
      </c>
      <c r="AC1438" s="81">
        <f t="shared" si="69"/>
        <v>385.28084442326019</v>
      </c>
      <c r="AD1438" s="82">
        <f t="shared" si="70"/>
        <v>29.971428571428572</v>
      </c>
      <c r="AE1438" s="218">
        <v>5.3003169274159578E-4</v>
      </c>
      <c r="AF1438">
        <v>4</v>
      </c>
      <c r="AH1438" t="str">
        <f t="shared" si="68"/>
        <v>DalsinghSarai</v>
      </c>
      <c r="AJ1438" s="72">
        <v>0</v>
      </c>
      <c r="AK1438" s="72"/>
      <c r="AL1438" s="72"/>
      <c r="AM1438" s="72"/>
    </row>
    <row r="1439" spans="1:39" x14ac:dyDescent="0.25">
      <c r="A1439" s="37" t="s">
        <v>62</v>
      </c>
      <c r="B1439" s="66" t="s">
        <v>1638</v>
      </c>
      <c r="C1439" s="47">
        <v>1012</v>
      </c>
      <c r="D1439" s="47" t="s">
        <v>306</v>
      </c>
      <c r="E1439" s="41">
        <v>10120035</v>
      </c>
      <c r="F1439" s="46" t="s">
        <v>330</v>
      </c>
      <c r="G1439" s="39" t="s">
        <v>92</v>
      </c>
      <c r="H1439" s="48" t="s">
        <v>98</v>
      </c>
      <c r="I1439" s="52">
        <v>355.05000000000007</v>
      </c>
      <c r="J1439" s="49">
        <v>15839.390000000003</v>
      </c>
      <c r="K1439" s="65">
        <v>0</v>
      </c>
      <c r="L1439" s="65">
        <v>0</v>
      </c>
      <c r="M1439" s="65">
        <v>0</v>
      </c>
      <c r="N1439" s="65">
        <v>0</v>
      </c>
      <c r="O1439" s="65">
        <v>0</v>
      </c>
      <c r="P1439" s="65">
        <v>0</v>
      </c>
      <c r="Q1439" s="50">
        <v>15839.390000000003</v>
      </c>
      <c r="R1439" s="65">
        <v>0</v>
      </c>
      <c r="S1439" s="65">
        <v>0</v>
      </c>
      <c r="T1439" s="65">
        <v>0</v>
      </c>
      <c r="U1439" s="65">
        <v>0</v>
      </c>
      <c r="V1439" s="65">
        <v>0</v>
      </c>
      <c r="W1439" s="65">
        <v>0</v>
      </c>
      <c r="X1439" s="65">
        <v>0</v>
      </c>
      <c r="Y1439" s="65">
        <v>0</v>
      </c>
      <c r="Z1439" s="65">
        <v>15839.390000000003</v>
      </c>
      <c r="AA1439" s="51">
        <v>0</v>
      </c>
      <c r="AB1439" s="102">
        <v>0</v>
      </c>
      <c r="AC1439" s="81">
        <f t="shared" si="69"/>
        <v>307.77623323475564</v>
      </c>
      <c r="AD1439" s="82">
        <f t="shared" si="70"/>
        <v>50.721428571428582</v>
      </c>
      <c r="AE1439" s="218">
        <v>0</v>
      </c>
      <c r="AF1439">
        <v>0</v>
      </c>
      <c r="AH1439" t="str">
        <f t="shared" si="68"/>
        <v>DalsinghSarai</v>
      </c>
      <c r="AJ1439" s="72">
        <v>0</v>
      </c>
      <c r="AK1439" s="72"/>
      <c r="AL1439" s="72"/>
      <c r="AM1439" s="72"/>
    </row>
    <row r="1440" spans="1:39" x14ac:dyDescent="0.25">
      <c r="A1440" s="37" t="s">
        <v>62</v>
      </c>
      <c r="B1440" s="66" t="s">
        <v>1638</v>
      </c>
      <c r="C1440" s="47">
        <v>1012</v>
      </c>
      <c r="D1440" s="47" t="s">
        <v>306</v>
      </c>
      <c r="E1440" s="41">
        <v>10120043</v>
      </c>
      <c r="F1440" s="46" t="s">
        <v>331</v>
      </c>
      <c r="G1440" s="39" t="s">
        <v>92</v>
      </c>
      <c r="H1440" s="48" t="s">
        <v>93</v>
      </c>
      <c r="I1440" s="52">
        <v>196.20000000000002</v>
      </c>
      <c r="J1440" s="49">
        <v>9622.67</v>
      </c>
      <c r="K1440" s="65">
        <v>191.20000000000002</v>
      </c>
      <c r="L1440" s="65">
        <v>9349.5399999999991</v>
      </c>
      <c r="M1440" s="65">
        <v>6.2</v>
      </c>
      <c r="N1440" s="65">
        <v>254.33</v>
      </c>
      <c r="O1440" s="65">
        <v>197.4</v>
      </c>
      <c r="P1440" s="65">
        <v>9603.869999999999</v>
      </c>
      <c r="Q1440" s="50">
        <v>9603.869999999999</v>
      </c>
      <c r="R1440" s="65">
        <v>0</v>
      </c>
      <c r="S1440" s="65">
        <v>0</v>
      </c>
      <c r="T1440" s="65">
        <v>0</v>
      </c>
      <c r="U1440" s="65">
        <v>0</v>
      </c>
      <c r="V1440" s="65">
        <v>500</v>
      </c>
      <c r="W1440" s="65">
        <v>0</v>
      </c>
      <c r="X1440" s="65">
        <v>8850</v>
      </c>
      <c r="Y1440" s="65">
        <v>254</v>
      </c>
      <c r="Z1440" s="65">
        <v>0</v>
      </c>
      <c r="AA1440" s="51">
        <v>19</v>
      </c>
      <c r="AB1440" s="102">
        <v>0</v>
      </c>
      <c r="AC1440" s="81">
        <f t="shared" si="69"/>
        <v>494.17952558613655</v>
      </c>
      <c r="AD1440" s="82">
        <f t="shared" si="70"/>
        <v>28.028571428571432</v>
      </c>
      <c r="AE1440" s="218">
        <v>1.9537197056535339E-3</v>
      </c>
      <c r="AF1440">
        <v>8</v>
      </c>
      <c r="AH1440" t="str">
        <f t="shared" si="68"/>
        <v>DalsinghSarai</v>
      </c>
      <c r="AJ1440" s="72">
        <v>500</v>
      </c>
      <c r="AK1440" s="72"/>
      <c r="AL1440" s="72"/>
      <c r="AM1440" s="72"/>
    </row>
    <row r="1441" spans="1:39" x14ac:dyDescent="0.25">
      <c r="A1441" s="37" t="s">
        <v>62</v>
      </c>
      <c r="B1441" s="66" t="s">
        <v>1638</v>
      </c>
      <c r="C1441" s="47">
        <v>1012</v>
      </c>
      <c r="D1441" s="47" t="s">
        <v>306</v>
      </c>
      <c r="E1441" s="41">
        <v>10120046</v>
      </c>
      <c r="F1441" s="46" t="s">
        <v>332</v>
      </c>
      <c r="G1441" s="39" t="s">
        <v>92</v>
      </c>
      <c r="H1441" s="48" t="s">
        <v>93</v>
      </c>
      <c r="I1441" s="52">
        <v>2284.3500000000004</v>
      </c>
      <c r="J1441" s="49">
        <v>90904.66</v>
      </c>
      <c r="K1441" s="65">
        <v>1693.8999999999996</v>
      </c>
      <c r="L1441" s="65">
        <v>67090.159999999989</v>
      </c>
      <c r="M1441" s="65">
        <v>582</v>
      </c>
      <c r="N1441" s="65">
        <v>23795.670000000002</v>
      </c>
      <c r="O1441" s="65">
        <v>2275.8999999999996</v>
      </c>
      <c r="P1441" s="65">
        <v>90885.829999999987</v>
      </c>
      <c r="Q1441" s="50">
        <v>90885.829999999987</v>
      </c>
      <c r="R1441" s="65">
        <v>0</v>
      </c>
      <c r="S1441" s="65">
        <v>729.28000000000009</v>
      </c>
      <c r="T1441" s="65">
        <v>0</v>
      </c>
      <c r="U1441" s="65">
        <v>0</v>
      </c>
      <c r="V1441" s="65">
        <v>0</v>
      </c>
      <c r="W1441" s="65">
        <v>0</v>
      </c>
      <c r="X1441" s="65">
        <v>67089</v>
      </c>
      <c r="Y1441" s="65">
        <v>23065</v>
      </c>
      <c r="Z1441" s="65">
        <v>0</v>
      </c>
      <c r="AA1441" s="51">
        <v>21</v>
      </c>
      <c r="AB1441" s="102">
        <v>0</v>
      </c>
      <c r="AC1441" s="81">
        <f t="shared" si="69"/>
        <v>0</v>
      </c>
      <c r="AD1441" s="82">
        <f t="shared" si="70"/>
        <v>0</v>
      </c>
      <c r="AE1441" s="218">
        <v>2.0714009600845872E-4</v>
      </c>
      <c r="AF1441">
        <v>34</v>
      </c>
      <c r="AH1441" t="str">
        <f t="shared" si="68"/>
        <v>DalsinghSarai</v>
      </c>
      <c r="AJ1441" s="72">
        <v>0</v>
      </c>
      <c r="AK1441" s="72"/>
      <c r="AL1441" s="72"/>
      <c r="AM1441" s="72"/>
    </row>
    <row r="1442" spans="1:39" x14ac:dyDescent="0.25">
      <c r="A1442" s="37" t="s">
        <v>62</v>
      </c>
      <c r="B1442" s="66" t="s">
        <v>1638</v>
      </c>
      <c r="C1442" s="47">
        <v>1012</v>
      </c>
      <c r="D1442" s="47" t="s">
        <v>306</v>
      </c>
      <c r="E1442" s="41">
        <v>10120049</v>
      </c>
      <c r="F1442" s="46" t="s">
        <v>333</v>
      </c>
      <c r="G1442" s="39" t="s">
        <v>1610</v>
      </c>
      <c r="H1442" s="48" t="s">
        <v>98</v>
      </c>
      <c r="I1442" s="52">
        <v>366.84999999999997</v>
      </c>
      <c r="J1442" s="49">
        <v>16689.34</v>
      </c>
      <c r="K1442" s="65">
        <v>0</v>
      </c>
      <c r="L1442" s="65">
        <v>0</v>
      </c>
      <c r="M1442" s="65">
        <v>0</v>
      </c>
      <c r="N1442" s="65">
        <v>0</v>
      </c>
      <c r="O1442" s="65">
        <v>0</v>
      </c>
      <c r="P1442" s="65">
        <v>0</v>
      </c>
      <c r="Q1442" s="50">
        <v>16689.34</v>
      </c>
      <c r="R1442" s="65">
        <v>0</v>
      </c>
      <c r="S1442" s="65">
        <v>0</v>
      </c>
      <c r="T1442" s="65">
        <v>0</v>
      </c>
      <c r="U1442" s="65">
        <v>3100</v>
      </c>
      <c r="V1442" s="65">
        <v>0</v>
      </c>
      <c r="W1442" s="65">
        <v>0</v>
      </c>
      <c r="X1442" s="65">
        <v>0</v>
      </c>
      <c r="Y1442" s="65">
        <v>0</v>
      </c>
      <c r="Z1442" s="65">
        <v>13589.34</v>
      </c>
      <c r="AA1442" s="51">
        <v>0</v>
      </c>
      <c r="AB1442" s="102">
        <v>0</v>
      </c>
      <c r="AC1442" s="81">
        <f t="shared" si="69"/>
        <v>303.12409000954074</v>
      </c>
      <c r="AD1442" s="82">
        <f t="shared" si="70"/>
        <v>52.407142857142851</v>
      </c>
      <c r="AE1442" s="218">
        <v>0</v>
      </c>
      <c r="AF1442">
        <v>0</v>
      </c>
      <c r="AH1442" t="str">
        <f t="shared" si="68"/>
        <v>DalsinghSarai</v>
      </c>
      <c r="AJ1442" s="72">
        <v>0</v>
      </c>
      <c r="AK1442" s="72"/>
      <c r="AL1442" s="72"/>
      <c r="AM1442" s="72"/>
    </row>
    <row r="1443" spans="1:39" x14ac:dyDescent="0.25">
      <c r="A1443" s="37" t="s">
        <v>62</v>
      </c>
      <c r="B1443" s="66" t="s">
        <v>1638</v>
      </c>
      <c r="C1443" s="47">
        <v>1012</v>
      </c>
      <c r="D1443" s="47" t="s">
        <v>306</v>
      </c>
      <c r="E1443" s="41">
        <v>10120050</v>
      </c>
      <c r="F1443" s="46" t="s">
        <v>334</v>
      </c>
      <c r="G1443" s="39" t="s">
        <v>1610</v>
      </c>
      <c r="H1443" s="48" t="s">
        <v>98</v>
      </c>
      <c r="I1443" s="52">
        <v>6394</v>
      </c>
      <c r="J1443" s="49">
        <v>246779.08000000002</v>
      </c>
      <c r="K1443" s="65">
        <v>0</v>
      </c>
      <c r="L1443" s="65">
        <v>0</v>
      </c>
      <c r="M1443" s="65">
        <v>0</v>
      </c>
      <c r="N1443" s="65">
        <v>0</v>
      </c>
      <c r="O1443" s="65">
        <v>0</v>
      </c>
      <c r="P1443" s="65">
        <v>0</v>
      </c>
      <c r="Q1443" s="50">
        <v>246779.08000000002</v>
      </c>
      <c r="R1443" s="65">
        <v>0</v>
      </c>
      <c r="S1443" s="65">
        <v>0</v>
      </c>
      <c r="T1443" s="65">
        <v>0</v>
      </c>
      <c r="U1443" s="65">
        <v>0</v>
      </c>
      <c r="V1443" s="65">
        <v>0</v>
      </c>
      <c r="W1443" s="65">
        <v>0</v>
      </c>
      <c r="X1443" s="65">
        <v>0</v>
      </c>
      <c r="Y1443" s="65">
        <v>0</v>
      </c>
      <c r="Z1443" s="65">
        <v>246779.08000000002</v>
      </c>
      <c r="AA1443" s="51">
        <v>0</v>
      </c>
      <c r="AB1443" s="102">
        <v>0</v>
      </c>
      <c r="AC1443" s="81">
        <f t="shared" si="69"/>
        <v>0</v>
      </c>
      <c r="AD1443" s="82">
        <f t="shared" si="70"/>
        <v>0</v>
      </c>
      <c r="AE1443" s="218">
        <v>0</v>
      </c>
      <c r="AF1443">
        <v>0</v>
      </c>
      <c r="AH1443" t="str">
        <f t="shared" ref="AH1443:AH1505" si="71">TEXT(D1443,"0000")</f>
        <v>DalsinghSarai</v>
      </c>
      <c r="AJ1443" s="72">
        <v>0</v>
      </c>
      <c r="AK1443" s="72"/>
      <c r="AL1443" s="72"/>
      <c r="AM1443" s="72"/>
    </row>
    <row r="1444" spans="1:39" x14ac:dyDescent="0.25">
      <c r="A1444" s="37" t="s">
        <v>62</v>
      </c>
      <c r="B1444" s="66" t="s">
        <v>1638</v>
      </c>
      <c r="C1444" s="47">
        <v>1012</v>
      </c>
      <c r="D1444" s="47" t="s">
        <v>306</v>
      </c>
      <c r="E1444" s="41">
        <v>10120051</v>
      </c>
      <c r="F1444" s="46" t="s">
        <v>335</v>
      </c>
      <c r="G1444" s="39" t="s">
        <v>92</v>
      </c>
      <c r="H1444" s="48" t="s">
        <v>93</v>
      </c>
      <c r="I1444" s="52">
        <v>229.60000000000002</v>
      </c>
      <c r="J1444" s="49">
        <v>10018.330000000002</v>
      </c>
      <c r="K1444" s="65">
        <v>56.71</v>
      </c>
      <c r="L1444" s="65">
        <v>2367.54</v>
      </c>
      <c r="M1444" s="65">
        <v>161.37</v>
      </c>
      <c r="N1444" s="65">
        <v>7646.47</v>
      </c>
      <c r="O1444" s="65">
        <v>218.08</v>
      </c>
      <c r="P1444" s="65">
        <v>10014.01</v>
      </c>
      <c r="Q1444" s="50">
        <v>10014.01</v>
      </c>
      <c r="R1444" s="65">
        <v>0</v>
      </c>
      <c r="S1444" s="65">
        <v>0</v>
      </c>
      <c r="T1444" s="65">
        <v>0</v>
      </c>
      <c r="U1444" s="65">
        <v>0</v>
      </c>
      <c r="V1444" s="65">
        <v>0</v>
      </c>
      <c r="W1444" s="65">
        <v>0</v>
      </c>
      <c r="X1444" s="65">
        <v>2367</v>
      </c>
      <c r="Y1444" s="65">
        <v>7646</v>
      </c>
      <c r="Z1444" s="65">
        <v>0</v>
      </c>
      <c r="AA1444" s="51">
        <v>5</v>
      </c>
      <c r="AB1444" s="102">
        <v>0</v>
      </c>
      <c r="AC1444" s="81">
        <f t="shared" si="69"/>
        <v>410.50718048780487</v>
      </c>
      <c r="AD1444" s="82">
        <f t="shared" si="70"/>
        <v>32.800000000000004</v>
      </c>
      <c r="AE1444" s="218">
        <v>4.3120959281652005E-4</v>
      </c>
      <c r="AF1444">
        <v>10</v>
      </c>
      <c r="AH1444" t="str">
        <f t="shared" si="71"/>
        <v>DalsinghSarai</v>
      </c>
      <c r="AJ1444" s="72">
        <v>0</v>
      </c>
      <c r="AK1444" s="72"/>
      <c r="AL1444" s="72"/>
      <c r="AM1444" s="72"/>
    </row>
    <row r="1445" spans="1:39" x14ac:dyDescent="0.25">
      <c r="A1445" s="37" t="s">
        <v>62</v>
      </c>
      <c r="B1445" s="66" t="s">
        <v>1638</v>
      </c>
      <c r="C1445" s="47">
        <v>1012</v>
      </c>
      <c r="D1445" s="47" t="s">
        <v>306</v>
      </c>
      <c r="E1445" s="41">
        <v>10120052</v>
      </c>
      <c r="F1445" s="46" t="s">
        <v>336</v>
      </c>
      <c r="G1445" s="39" t="s">
        <v>92</v>
      </c>
      <c r="H1445" s="48" t="s">
        <v>93</v>
      </c>
      <c r="I1445" s="52">
        <v>1653.8</v>
      </c>
      <c r="J1445" s="49">
        <v>65749.330000000016</v>
      </c>
      <c r="K1445" s="65">
        <v>925.79</v>
      </c>
      <c r="L1445" s="65">
        <v>37814.949999999997</v>
      </c>
      <c r="M1445" s="65">
        <v>704.46999999999991</v>
      </c>
      <c r="N1445" s="65">
        <v>27931.429999999993</v>
      </c>
      <c r="O1445" s="65">
        <v>1630.2599999999998</v>
      </c>
      <c r="P1445" s="65">
        <v>65746.37999999999</v>
      </c>
      <c r="Q1445" s="50">
        <v>65746.37999999999</v>
      </c>
      <c r="R1445" s="65">
        <v>0</v>
      </c>
      <c r="S1445" s="65">
        <v>247.63</v>
      </c>
      <c r="T1445" s="65">
        <v>0</v>
      </c>
      <c r="U1445" s="65">
        <v>0</v>
      </c>
      <c r="V1445" s="65">
        <v>0</v>
      </c>
      <c r="W1445" s="65">
        <v>0</v>
      </c>
      <c r="X1445" s="65">
        <v>37815</v>
      </c>
      <c r="Y1445" s="65">
        <v>27687</v>
      </c>
      <c r="Z1445" s="65">
        <v>0</v>
      </c>
      <c r="AA1445" s="51">
        <v>0</v>
      </c>
      <c r="AB1445" s="102">
        <v>0</v>
      </c>
      <c r="AC1445" s="81">
        <f t="shared" si="69"/>
        <v>0</v>
      </c>
      <c r="AD1445" s="82">
        <f t="shared" si="70"/>
        <v>0</v>
      </c>
      <c r="AE1445" s="218">
        <v>4.4867377356182837E-5</v>
      </c>
      <c r="AF1445">
        <v>34</v>
      </c>
      <c r="AH1445" t="str">
        <f t="shared" si="71"/>
        <v>DalsinghSarai</v>
      </c>
      <c r="AJ1445" s="72">
        <v>0</v>
      </c>
      <c r="AK1445" s="72"/>
      <c r="AL1445" s="72"/>
      <c r="AM1445" s="72"/>
    </row>
    <row r="1446" spans="1:39" x14ac:dyDescent="0.25">
      <c r="A1446" s="37" t="s">
        <v>62</v>
      </c>
      <c r="B1446" s="66" t="s">
        <v>1638</v>
      </c>
      <c r="C1446" s="47">
        <v>1012</v>
      </c>
      <c r="D1446" s="47" t="s">
        <v>306</v>
      </c>
      <c r="E1446" s="41">
        <v>10120053</v>
      </c>
      <c r="F1446" s="46" t="s">
        <v>337</v>
      </c>
      <c r="G1446" s="39" t="s">
        <v>92</v>
      </c>
      <c r="H1446" s="48" t="s">
        <v>93</v>
      </c>
      <c r="I1446" s="52">
        <v>192.54999999999998</v>
      </c>
      <c r="J1446" s="49">
        <v>7572.3899999999985</v>
      </c>
      <c r="K1446" s="65">
        <v>202.06</v>
      </c>
      <c r="L1446" s="65">
        <v>7569.0499999999993</v>
      </c>
      <c r="M1446" s="65">
        <v>0</v>
      </c>
      <c r="N1446" s="65">
        <v>0</v>
      </c>
      <c r="O1446" s="65">
        <v>202.06</v>
      </c>
      <c r="P1446" s="65">
        <v>7569.0499999999993</v>
      </c>
      <c r="Q1446" s="50">
        <v>7569.0499999999993</v>
      </c>
      <c r="R1446" s="65">
        <v>0</v>
      </c>
      <c r="S1446" s="65">
        <v>0</v>
      </c>
      <c r="T1446" s="65">
        <v>0</v>
      </c>
      <c r="U1446" s="65">
        <v>0</v>
      </c>
      <c r="V1446" s="65">
        <v>0</v>
      </c>
      <c r="W1446" s="65">
        <v>0</v>
      </c>
      <c r="X1446" s="65">
        <v>7569</v>
      </c>
      <c r="Y1446" s="65">
        <v>0</v>
      </c>
      <c r="Z1446" s="65">
        <v>0</v>
      </c>
      <c r="AA1446" s="51">
        <v>3</v>
      </c>
      <c r="AB1446" s="102">
        <v>0</v>
      </c>
      <c r="AC1446" s="81">
        <f t="shared" si="69"/>
        <v>399.12846590495974</v>
      </c>
      <c r="AD1446" s="82">
        <f t="shared" si="70"/>
        <v>27.507142857142856</v>
      </c>
      <c r="AE1446" s="218">
        <v>4.4107606713326134E-4</v>
      </c>
      <c r="AF1446">
        <v>8</v>
      </c>
      <c r="AH1446" t="str">
        <f t="shared" si="71"/>
        <v>DalsinghSarai</v>
      </c>
      <c r="AJ1446" s="72">
        <v>0</v>
      </c>
      <c r="AK1446" s="72"/>
      <c r="AL1446" s="72"/>
      <c r="AM1446" s="72"/>
    </row>
    <row r="1447" spans="1:39" x14ac:dyDescent="0.25">
      <c r="A1447" s="37" t="s">
        <v>62</v>
      </c>
      <c r="B1447" s="66" t="s">
        <v>1638</v>
      </c>
      <c r="C1447" s="47">
        <v>1012</v>
      </c>
      <c r="D1447" s="47" t="s">
        <v>306</v>
      </c>
      <c r="E1447" s="41">
        <v>10120060</v>
      </c>
      <c r="F1447" s="46" t="s">
        <v>339</v>
      </c>
      <c r="G1447" s="39" t="s">
        <v>1610</v>
      </c>
      <c r="H1447" s="48" t="s">
        <v>98</v>
      </c>
      <c r="I1447" s="52">
        <v>3323.55</v>
      </c>
      <c r="J1447" s="49">
        <v>128275.28</v>
      </c>
      <c r="K1447" s="65">
        <v>0</v>
      </c>
      <c r="L1447" s="65">
        <v>0</v>
      </c>
      <c r="M1447" s="65">
        <v>0</v>
      </c>
      <c r="N1447" s="65">
        <v>0</v>
      </c>
      <c r="O1447" s="65">
        <v>0</v>
      </c>
      <c r="P1447" s="65">
        <v>0</v>
      </c>
      <c r="Q1447" s="50">
        <v>128275.28</v>
      </c>
      <c r="R1447" s="65">
        <v>0</v>
      </c>
      <c r="S1447" s="65">
        <v>0</v>
      </c>
      <c r="T1447" s="65">
        <v>0</v>
      </c>
      <c r="U1447" s="65">
        <v>0</v>
      </c>
      <c r="V1447" s="65">
        <v>0</v>
      </c>
      <c r="W1447" s="65">
        <v>0</v>
      </c>
      <c r="X1447" s="65">
        <v>0</v>
      </c>
      <c r="Y1447" s="65">
        <v>0</v>
      </c>
      <c r="Z1447" s="65">
        <v>128275.28</v>
      </c>
      <c r="AA1447" s="51">
        <v>0</v>
      </c>
      <c r="AB1447" s="102">
        <v>0</v>
      </c>
      <c r="AC1447" s="81">
        <f t="shared" si="69"/>
        <v>0</v>
      </c>
      <c r="AD1447" s="82">
        <f t="shared" si="70"/>
        <v>0</v>
      </c>
      <c r="AE1447" s="218">
        <v>0</v>
      </c>
      <c r="AF1447">
        <v>0</v>
      </c>
      <c r="AH1447" t="str">
        <f t="shared" si="71"/>
        <v>DalsinghSarai</v>
      </c>
      <c r="AJ1447" s="72">
        <v>0</v>
      </c>
      <c r="AK1447" s="72"/>
      <c r="AL1447" s="72"/>
      <c r="AM1447" s="72"/>
    </row>
    <row r="1448" spans="1:39" x14ac:dyDescent="0.25">
      <c r="A1448" s="37" t="s">
        <v>62</v>
      </c>
      <c r="B1448" s="66" t="s">
        <v>1638</v>
      </c>
      <c r="C1448" s="47">
        <v>1012</v>
      </c>
      <c r="D1448" s="47" t="s">
        <v>306</v>
      </c>
      <c r="E1448" s="41">
        <v>10120066</v>
      </c>
      <c r="F1448" s="46" t="s">
        <v>340</v>
      </c>
      <c r="G1448" s="39" t="s">
        <v>1610</v>
      </c>
      <c r="H1448" s="48" t="s">
        <v>98</v>
      </c>
      <c r="I1448" s="52">
        <v>7.5</v>
      </c>
      <c r="J1448" s="49">
        <v>267.89999999999998</v>
      </c>
      <c r="K1448" s="65">
        <v>0</v>
      </c>
      <c r="L1448" s="65">
        <v>0</v>
      </c>
      <c r="M1448" s="65">
        <v>0</v>
      </c>
      <c r="N1448" s="65">
        <v>0</v>
      </c>
      <c r="O1448" s="65">
        <v>0</v>
      </c>
      <c r="P1448" s="65">
        <v>0</v>
      </c>
      <c r="Q1448" s="50">
        <v>267.89999999999998</v>
      </c>
      <c r="R1448" s="65">
        <v>0</v>
      </c>
      <c r="S1448" s="65">
        <v>0</v>
      </c>
      <c r="T1448" s="65">
        <v>0</v>
      </c>
      <c r="U1448" s="65">
        <v>0</v>
      </c>
      <c r="V1448" s="65">
        <v>0</v>
      </c>
      <c r="W1448" s="65">
        <v>0</v>
      </c>
      <c r="X1448" s="65">
        <v>0</v>
      </c>
      <c r="Y1448" s="65">
        <v>0</v>
      </c>
      <c r="Z1448" s="65">
        <v>267.89999999999998</v>
      </c>
      <c r="AA1448" s="51">
        <v>0</v>
      </c>
      <c r="AB1448" s="102">
        <v>0</v>
      </c>
      <c r="AC1448" s="81">
        <f t="shared" si="69"/>
        <v>494.72199999999998</v>
      </c>
      <c r="AD1448" s="82">
        <f t="shared" si="70"/>
        <v>1.0714285714285714</v>
      </c>
      <c r="AE1448" s="218">
        <v>0</v>
      </c>
      <c r="AF1448">
        <v>0</v>
      </c>
      <c r="AH1448" t="str">
        <f t="shared" si="71"/>
        <v>DalsinghSarai</v>
      </c>
      <c r="AJ1448" s="72">
        <v>0</v>
      </c>
      <c r="AK1448" s="72"/>
      <c r="AL1448" s="72"/>
      <c r="AM1448" s="72"/>
    </row>
    <row r="1449" spans="1:39" x14ac:dyDescent="0.25">
      <c r="A1449" s="37" t="s">
        <v>62</v>
      </c>
      <c r="B1449" s="66" t="s">
        <v>1638</v>
      </c>
      <c r="C1449" s="47">
        <v>1012</v>
      </c>
      <c r="D1449" s="47" t="s">
        <v>306</v>
      </c>
      <c r="E1449" s="41">
        <v>10120067</v>
      </c>
      <c r="F1449" s="46" t="s">
        <v>1566</v>
      </c>
      <c r="G1449" s="39" t="s">
        <v>1610</v>
      </c>
      <c r="H1449" s="48" t="s">
        <v>98</v>
      </c>
      <c r="I1449" s="52">
        <v>420.45</v>
      </c>
      <c r="J1449" s="49">
        <v>15202.42</v>
      </c>
      <c r="K1449" s="65">
        <v>0</v>
      </c>
      <c r="L1449" s="65">
        <v>0</v>
      </c>
      <c r="M1449" s="65">
        <v>0</v>
      </c>
      <c r="N1449" s="65">
        <v>0</v>
      </c>
      <c r="O1449" s="65">
        <v>0</v>
      </c>
      <c r="P1449" s="65">
        <v>0</v>
      </c>
      <c r="Q1449" s="50">
        <v>15202.42</v>
      </c>
      <c r="R1449" s="65">
        <v>0</v>
      </c>
      <c r="S1449" s="65">
        <v>0</v>
      </c>
      <c r="T1449" s="65">
        <v>0</v>
      </c>
      <c r="U1449" s="65">
        <v>0</v>
      </c>
      <c r="V1449" s="65">
        <v>0</v>
      </c>
      <c r="W1449" s="65">
        <v>0</v>
      </c>
      <c r="X1449" s="65">
        <v>0</v>
      </c>
      <c r="Y1449" s="65">
        <v>0</v>
      </c>
      <c r="Z1449" s="65">
        <v>15202.42</v>
      </c>
      <c r="AA1449" s="51">
        <v>0</v>
      </c>
      <c r="AB1449" s="102">
        <v>0</v>
      </c>
      <c r="AC1449" s="81">
        <f t="shared" si="69"/>
        <v>202.15657086454991</v>
      </c>
      <c r="AD1449" s="82">
        <f t="shared" si="70"/>
        <v>60.06428571428571</v>
      </c>
      <c r="AE1449" s="218">
        <v>0</v>
      </c>
      <c r="AF1449">
        <v>0</v>
      </c>
      <c r="AH1449" t="str">
        <f t="shared" si="71"/>
        <v>DalsinghSarai</v>
      </c>
      <c r="AJ1449" s="72">
        <v>0</v>
      </c>
      <c r="AK1449" s="72"/>
      <c r="AL1449" s="72"/>
      <c r="AM1449" s="72"/>
    </row>
    <row r="1450" spans="1:39" x14ac:dyDescent="0.25">
      <c r="A1450" s="37" t="s">
        <v>62</v>
      </c>
      <c r="B1450" s="66" t="s">
        <v>1638</v>
      </c>
      <c r="C1450" s="47">
        <v>1012</v>
      </c>
      <c r="D1450" s="47" t="s">
        <v>306</v>
      </c>
      <c r="E1450" s="41">
        <v>10120071</v>
      </c>
      <c r="F1450" s="46" t="s">
        <v>341</v>
      </c>
      <c r="G1450" s="39" t="s">
        <v>92</v>
      </c>
      <c r="H1450" s="48" t="s">
        <v>93</v>
      </c>
      <c r="I1450" s="52">
        <v>990.99999999999989</v>
      </c>
      <c r="J1450" s="49">
        <v>39062.939999999995</v>
      </c>
      <c r="K1450" s="65">
        <v>211.14000000000001</v>
      </c>
      <c r="L1450" s="65">
        <v>8338.7000000000007</v>
      </c>
      <c r="M1450" s="65">
        <v>783.66</v>
      </c>
      <c r="N1450" s="65">
        <v>30719.66</v>
      </c>
      <c r="O1450" s="65">
        <v>994.8</v>
      </c>
      <c r="P1450" s="65">
        <v>39058.36</v>
      </c>
      <c r="Q1450" s="50">
        <v>39058.36</v>
      </c>
      <c r="R1450" s="65">
        <v>0</v>
      </c>
      <c r="S1450" s="65">
        <v>75.97</v>
      </c>
      <c r="T1450" s="65">
        <v>0</v>
      </c>
      <c r="U1450" s="65">
        <v>0</v>
      </c>
      <c r="V1450" s="65">
        <v>0</v>
      </c>
      <c r="W1450" s="65">
        <v>0</v>
      </c>
      <c r="X1450" s="65">
        <v>8339</v>
      </c>
      <c r="Y1450" s="65">
        <v>30643</v>
      </c>
      <c r="Z1450" s="65">
        <v>0</v>
      </c>
      <c r="AA1450" s="51">
        <v>5</v>
      </c>
      <c r="AB1450" s="102">
        <v>0</v>
      </c>
      <c r="AC1450" s="81">
        <f t="shared" si="69"/>
        <v>0</v>
      </c>
      <c r="AD1450" s="82">
        <f t="shared" si="70"/>
        <v>0</v>
      </c>
      <c r="AE1450" s="218">
        <v>1.1724667933326245E-4</v>
      </c>
      <c r="AF1450">
        <v>14</v>
      </c>
      <c r="AH1450" t="str">
        <f t="shared" si="71"/>
        <v>DalsinghSarai</v>
      </c>
      <c r="AJ1450" s="72">
        <v>0</v>
      </c>
      <c r="AK1450" s="72"/>
      <c r="AL1450" s="72"/>
      <c r="AM1450" s="72"/>
    </row>
    <row r="1451" spans="1:39" x14ac:dyDescent="0.25">
      <c r="A1451" s="37" t="s">
        <v>62</v>
      </c>
      <c r="B1451" s="66" t="s">
        <v>1638</v>
      </c>
      <c r="C1451" s="47">
        <v>1012</v>
      </c>
      <c r="D1451" s="47" t="s">
        <v>306</v>
      </c>
      <c r="E1451" s="41">
        <v>10120083</v>
      </c>
      <c r="F1451" s="46" t="s">
        <v>430</v>
      </c>
      <c r="G1451" s="39" t="s">
        <v>92</v>
      </c>
      <c r="H1451" s="48" t="s">
        <v>93</v>
      </c>
      <c r="I1451" s="52">
        <v>450.59999999999997</v>
      </c>
      <c r="J1451" s="49">
        <v>18498.5</v>
      </c>
      <c r="K1451" s="65">
        <v>435.34999999999997</v>
      </c>
      <c r="L1451" s="65">
        <v>17622.240000000002</v>
      </c>
      <c r="M1451" s="65">
        <v>23.8</v>
      </c>
      <c r="N1451" s="65">
        <v>873.4899999999999</v>
      </c>
      <c r="O1451" s="65">
        <v>459.15</v>
      </c>
      <c r="P1451" s="65">
        <v>18495.730000000003</v>
      </c>
      <c r="Q1451" s="50">
        <v>18495.730000000003</v>
      </c>
      <c r="R1451" s="65">
        <v>0</v>
      </c>
      <c r="S1451" s="65">
        <v>0</v>
      </c>
      <c r="T1451" s="65">
        <v>0</v>
      </c>
      <c r="U1451" s="65">
        <v>16204</v>
      </c>
      <c r="V1451" s="65">
        <v>0</v>
      </c>
      <c r="W1451" s="65">
        <v>0</v>
      </c>
      <c r="X1451" s="65">
        <v>1418</v>
      </c>
      <c r="Y1451" s="65">
        <v>874</v>
      </c>
      <c r="Z1451" s="65">
        <v>0</v>
      </c>
      <c r="AA1451" s="51">
        <v>3</v>
      </c>
      <c r="AB1451" s="102">
        <v>0</v>
      </c>
      <c r="AC1451" s="81">
        <f t="shared" si="69"/>
        <v>204.77256546826459</v>
      </c>
      <c r="AD1451" s="82">
        <f t="shared" si="70"/>
        <v>64.371428571428567</v>
      </c>
      <c r="AE1451" s="218">
        <v>1.4974187096233741E-4</v>
      </c>
      <c r="AF1451">
        <v>14</v>
      </c>
      <c r="AH1451" t="str">
        <f t="shared" si="71"/>
        <v>DalsinghSarai</v>
      </c>
      <c r="AJ1451" s="72">
        <v>0</v>
      </c>
      <c r="AK1451" s="72"/>
      <c r="AL1451" s="72"/>
      <c r="AM1451" s="72"/>
    </row>
    <row r="1452" spans="1:39" x14ac:dyDescent="0.25">
      <c r="A1452" s="37" t="s">
        <v>62</v>
      </c>
      <c r="B1452" s="66" t="s">
        <v>1638</v>
      </c>
      <c r="C1452" s="47">
        <v>1012</v>
      </c>
      <c r="D1452" s="47" t="s">
        <v>306</v>
      </c>
      <c r="E1452" s="41">
        <v>10120084</v>
      </c>
      <c r="F1452" s="46" t="s">
        <v>435</v>
      </c>
      <c r="G1452" s="39" t="s">
        <v>92</v>
      </c>
      <c r="H1452" s="48" t="s">
        <v>93</v>
      </c>
      <c r="I1452" s="52">
        <v>2419.3000000000002</v>
      </c>
      <c r="J1452" s="49">
        <v>122019.63</v>
      </c>
      <c r="K1452" s="65">
        <v>705.74000000000012</v>
      </c>
      <c r="L1452" s="65">
        <v>38581.870000000003</v>
      </c>
      <c r="M1452" s="65">
        <v>1555.8799999999997</v>
      </c>
      <c r="N1452" s="65">
        <v>83435.66</v>
      </c>
      <c r="O1452" s="65">
        <v>2261.62</v>
      </c>
      <c r="P1452" s="65">
        <v>122017.53</v>
      </c>
      <c r="Q1452" s="50">
        <v>122017.53</v>
      </c>
      <c r="R1452" s="65">
        <v>0</v>
      </c>
      <c r="S1452" s="65">
        <v>0</v>
      </c>
      <c r="T1452" s="65">
        <v>0</v>
      </c>
      <c r="U1452" s="65">
        <v>0</v>
      </c>
      <c r="V1452" s="65">
        <v>0</v>
      </c>
      <c r="W1452" s="65">
        <v>0</v>
      </c>
      <c r="X1452" s="65">
        <v>38582</v>
      </c>
      <c r="Y1452" s="65">
        <v>83437</v>
      </c>
      <c r="Z1452" s="65">
        <v>0</v>
      </c>
      <c r="AA1452" s="51">
        <v>1</v>
      </c>
      <c r="AB1452" s="102">
        <v>0</v>
      </c>
      <c r="AC1452" s="81">
        <f t="shared" si="69"/>
        <v>0</v>
      </c>
      <c r="AD1452" s="82">
        <f t="shared" si="70"/>
        <v>0</v>
      </c>
      <c r="AE1452" s="218">
        <v>1.7210345581328354E-5</v>
      </c>
      <c r="AF1452">
        <v>29</v>
      </c>
      <c r="AH1452" t="str">
        <f t="shared" si="71"/>
        <v>DalsinghSarai</v>
      </c>
      <c r="AJ1452" s="72">
        <v>0</v>
      </c>
      <c r="AK1452" s="72"/>
      <c r="AL1452" s="72"/>
      <c r="AM1452" s="72"/>
    </row>
    <row r="1453" spans="1:39" x14ac:dyDescent="0.25">
      <c r="A1453" s="37" t="s">
        <v>62</v>
      </c>
      <c r="B1453" s="66" t="s">
        <v>1638</v>
      </c>
      <c r="C1453" s="47">
        <v>1062</v>
      </c>
      <c r="D1453" s="47" t="s">
        <v>1381</v>
      </c>
      <c r="E1453" s="41">
        <v>10120088</v>
      </c>
      <c r="F1453" s="46" t="s">
        <v>1338</v>
      </c>
      <c r="G1453" s="39" t="s">
        <v>1610</v>
      </c>
      <c r="H1453" s="48" t="s">
        <v>98</v>
      </c>
      <c r="I1453" s="52">
        <v>5780.58</v>
      </c>
      <c r="J1453" s="49">
        <v>245906.85000000003</v>
      </c>
      <c r="K1453" s="65">
        <v>0</v>
      </c>
      <c r="L1453" s="65">
        <v>0</v>
      </c>
      <c r="M1453" s="65">
        <v>0</v>
      </c>
      <c r="N1453" s="65">
        <v>0</v>
      </c>
      <c r="O1453" s="65">
        <v>0</v>
      </c>
      <c r="P1453" s="65">
        <v>0</v>
      </c>
      <c r="Q1453" s="50">
        <v>245906.85000000003</v>
      </c>
      <c r="R1453" s="65">
        <v>0</v>
      </c>
      <c r="S1453" s="65">
        <v>0</v>
      </c>
      <c r="T1453" s="65">
        <v>0</v>
      </c>
      <c r="U1453" s="65">
        <v>0</v>
      </c>
      <c r="V1453" s="65">
        <v>0</v>
      </c>
      <c r="W1453" s="65">
        <v>0</v>
      </c>
      <c r="X1453" s="65">
        <v>0</v>
      </c>
      <c r="Y1453" s="65">
        <v>0</v>
      </c>
      <c r="Z1453" s="65">
        <v>245906.85000000003</v>
      </c>
      <c r="AA1453" s="51">
        <v>0</v>
      </c>
      <c r="AB1453" s="102">
        <v>0</v>
      </c>
      <c r="AC1453" s="81">
        <f t="shared" si="69"/>
        <v>0</v>
      </c>
      <c r="AD1453" s="82">
        <f t="shared" si="70"/>
        <v>0</v>
      </c>
      <c r="AE1453" s="218">
        <v>0</v>
      </c>
      <c r="AF1453">
        <v>0</v>
      </c>
      <c r="AH1453" t="str">
        <f t="shared" si="71"/>
        <v>Singhia BMC</v>
      </c>
      <c r="AJ1453" s="72">
        <v>0</v>
      </c>
      <c r="AK1453" s="72"/>
      <c r="AL1453" s="72"/>
      <c r="AM1453" s="72"/>
    </row>
    <row r="1454" spans="1:39" x14ac:dyDescent="0.25">
      <c r="A1454" s="37" t="s">
        <v>62</v>
      </c>
      <c r="B1454" s="66" t="s">
        <v>1638</v>
      </c>
      <c r="C1454" s="47">
        <v>1012</v>
      </c>
      <c r="D1454" s="47" t="s">
        <v>306</v>
      </c>
      <c r="E1454" s="41">
        <v>10120089</v>
      </c>
      <c r="F1454" s="46" t="s">
        <v>493</v>
      </c>
      <c r="G1454" s="39" t="s">
        <v>92</v>
      </c>
      <c r="H1454" s="48" t="s">
        <v>93</v>
      </c>
      <c r="I1454" s="52">
        <v>702.1</v>
      </c>
      <c r="J1454" s="49">
        <v>27533.26</v>
      </c>
      <c r="K1454" s="65">
        <v>652.62</v>
      </c>
      <c r="L1454" s="65">
        <v>27291.190000000002</v>
      </c>
      <c r="M1454" s="65">
        <v>6.099999999999997</v>
      </c>
      <c r="N1454" s="65">
        <v>240.65999999999997</v>
      </c>
      <c r="O1454" s="65">
        <v>658.72</v>
      </c>
      <c r="P1454" s="65">
        <v>27531.850000000002</v>
      </c>
      <c r="Q1454" s="50">
        <v>27531.850000000002</v>
      </c>
      <c r="R1454" s="65">
        <v>0</v>
      </c>
      <c r="S1454" s="65">
        <v>58.640000000000008</v>
      </c>
      <c r="T1454" s="65">
        <v>0</v>
      </c>
      <c r="U1454" s="65">
        <v>2800</v>
      </c>
      <c r="V1454" s="65">
        <v>0</v>
      </c>
      <c r="W1454" s="65">
        <v>0</v>
      </c>
      <c r="X1454" s="65">
        <v>24490</v>
      </c>
      <c r="Y1454" s="65">
        <v>185</v>
      </c>
      <c r="Z1454" s="65">
        <v>0</v>
      </c>
      <c r="AA1454" s="51">
        <v>0</v>
      </c>
      <c r="AB1454" s="102">
        <v>0</v>
      </c>
      <c r="AC1454" s="81">
        <f t="shared" si="69"/>
        <v>0</v>
      </c>
      <c r="AD1454" s="82">
        <f t="shared" si="70"/>
        <v>0</v>
      </c>
      <c r="AE1454" s="218">
        <v>5.121079014966686E-5</v>
      </c>
      <c r="AF1454">
        <v>12</v>
      </c>
      <c r="AH1454" t="str">
        <f t="shared" si="71"/>
        <v>DalsinghSarai</v>
      </c>
      <c r="AJ1454" s="72">
        <v>0</v>
      </c>
      <c r="AK1454" s="72"/>
      <c r="AL1454" s="72"/>
      <c r="AM1454" s="72"/>
    </row>
    <row r="1455" spans="1:39" x14ac:dyDescent="0.25">
      <c r="A1455" s="37" t="s">
        <v>62</v>
      </c>
      <c r="B1455" s="66" t="s">
        <v>1638</v>
      </c>
      <c r="C1455" s="47">
        <v>1012</v>
      </c>
      <c r="D1455" s="47" t="s">
        <v>306</v>
      </c>
      <c r="E1455" s="41">
        <v>10120091</v>
      </c>
      <c r="F1455" s="46" t="s">
        <v>499</v>
      </c>
      <c r="G1455" s="39" t="s">
        <v>92</v>
      </c>
      <c r="H1455" s="48" t="s">
        <v>93</v>
      </c>
      <c r="I1455" s="52">
        <v>425.05</v>
      </c>
      <c r="J1455" s="49">
        <v>16456.78</v>
      </c>
      <c r="K1455" s="65">
        <v>116.35</v>
      </c>
      <c r="L1455" s="65">
        <v>4388.92</v>
      </c>
      <c r="M1455" s="65">
        <v>308.99</v>
      </c>
      <c r="N1455" s="65">
        <v>12015</v>
      </c>
      <c r="O1455" s="65">
        <v>425.34000000000003</v>
      </c>
      <c r="P1455" s="65">
        <v>16403.919999999998</v>
      </c>
      <c r="Q1455" s="50">
        <v>16403.919999999998</v>
      </c>
      <c r="R1455" s="65">
        <v>0</v>
      </c>
      <c r="S1455" s="65">
        <v>306.97000000000003</v>
      </c>
      <c r="T1455" s="65">
        <v>0</v>
      </c>
      <c r="U1455" s="65">
        <v>0</v>
      </c>
      <c r="V1455" s="65">
        <v>0</v>
      </c>
      <c r="W1455" s="65">
        <v>0</v>
      </c>
      <c r="X1455" s="65">
        <v>4389</v>
      </c>
      <c r="Y1455" s="65">
        <v>11709</v>
      </c>
      <c r="Z1455" s="65">
        <v>0</v>
      </c>
      <c r="AA1455" s="51">
        <v>52</v>
      </c>
      <c r="AB1455" s="102">
        <v>0</v>
      </c>
      <c r="AC1455" s="81">
        <f t="shared" si="69"/>
        <v>212.90632447947297</v>
      </c>
      <c r="AD1455" s="82">
        <f t="shared" si="70"/>
        <v>60.721428571428575</v>
      </c>
      <c r="AE1455" s="218">
        <v>3.212049987907755E-3</v>
      </c>
      <c r="AF1455">
        <v>11</v>
      </c>
      <c r="AH1455" t="str">
        <f t="shared" si="71"/>
        <v>DalsinghSarai</v>
      </c>
      <c r="AJ1455" s="72">
        <v>0</v>
      </c>
      <c r="AK1455" s="72"/>
      <c r="AL1455" s="72"/>
      <c r="AM1455" s="72"/>
    </row>
    <row r="1456" spans="1:39" x14ac:dyDescent="0.25">
      <c r="A1456" s="37" t="s">
        <v>62</v>
      </c>
      <c r="B1456" s="66" t="s">
        <v>1638</v>
      </c>
      <c r="C1456" s="47">
        <v>1012</v>
      </c>
      <c r="D1456" s="47" t="s">
        <v>306</v>
      </c>
      <c r="E1456" s="41">
        <v>10120094</v>
      </c>
      <c r="F1456" s="46" t="s">
        <v>506</v>
      </c>
      <c r="G1456" s="39" t="s">
        <v>92</v>
      </c>
      <c r="H1456" s="48" t="s">
        <v>93</v>
      </c>
      <c r="I1456" s="52">
        <v>1220.0500000000002</v>
      </c>
      <c r="J1456" s="49">
        <v>54093.34</v>
      </c>
      <c r="K1456" s="65">
        <v>205.54</v>
      </c>
      <c r="L1456" s="65">
        <v>8786.73</v>
      </c>
      <c r="M1456" s="65">
        <v>1035.0700000000002</v>
      </c>
      <c r="N1456" s="65">
        <v>45304.740000000005</v>
      </c>
      <c r="O1456" s="65">
        <v>1240.6100000000001</v>
      </c>
      <c r="P1456" s="65">
        <v>54091.47</v>
      </c>
      <c r="Q1456" s="50">
        <v>54091.47</v>
      </c>
      <c r="R1456" s="65">
        <v>0</v>
      </c>
      <c r="S1456" s="65">
        <v>0</v>
      </c>
      <c r="T1456" s="65">
        <v>0</v>
      </c>
      <c r="U1456" s="65">
        <v>0</v>
      </c>
      <c r="V1456" s="65">
        <v>0</v>
      </c>
      <c r="W1456" s="65">
        <v>0</v>
      </c>
      <c r="X1456" s="65">
        <v>8786</v>
      </c>
      <c r="Y1456" s="65">
        <v>45304</v>
      </c>
      <c r="Z1456" s="65">
        <v>0</v>
      </c>
      <c r="AA1456" s="51">
        <v>3</v>
      </c>
      <c r="AB1456" s="102">
        <v>0</v>
      </c>
      <c r="AC1456" s="81">
        <f t="shared" si="69"/>
        <v>0</v>
      </c>
      <c r="AD1456" s="82">
        <f t="shared" si="70"/>
        <v>0</v>
      </c>
      <c r="AE1456" s="218">
        <v>3.4569874960491321E-5</v>
      </c>
      <c r="AF1456">
        <v>24</v>
      </c>
      <c r="AH1456" t="str">
        <f t="shared" si="71"/>
        <v>DalsinghSarai</v>
      </c>
      <c r="AJ1456" s="72">
        <v>0</v>
      </c>
      <c r="AK1456" s="72"/>
      <c r="AL1456" s="72"/>
      <c r="AM1456" s="72"/>
    </row>
    <row r="1457" spans="1:39" x14ac:dyDescent="0.25">
      <c r="A1457" s="37" t="s">
        <v>62</v>
      </c>
      <c r="B1457" s="66" t="s">
        <v>1638</v>
      </c>
      <c r="C1457" s="47">
        <v>1012</v>
      </c>
      <c r="D1457" s="47" t="s">
        <v>306</v>
      </c>
      <c r="E1457" s="41">
        <v>10120095</v>
      </c>
      <c r="F1457" s="46" t="s">
        <v>523</v>
      </c>
      <c r="G1457" s="39" t="s">
        <v>92</v>
      </c>
      <c r="H1457" s="48" t="s">
        <v>93</v>
      </c>
      <c r="I1457" s="52">
        <v>233.59999999999997</v>
      </c>
      <c r="J1457" s="49">
        <v>9587.41</v>
      </c>
      <c r="K1457" s="65">
        <v>147.61000000000001</v>
      </c>
      <c r="L1457" s="65">
        <v>6266.29</v>
      </c>
      <c r="M1457" s="65">
        <v>94.7</v>
      </c>
      <c r="N1457" s="65">
        <v>3824.4300000000003</v>
      </c>
      <c r="O1457" s="65">
        <v>242.31</v>
      </c>
      <c r="P1457" s="65">
        <v>10090.720000000001</v>
      </c>
      <c r="Q1457" s="50">
        <v>9587.41</v>
      </c>
      <c r="R1457" s="65">
        <v>0</v>
      </c>
      <c r="S1457" s="65">
        <v>0</v>
      </c>
      <c r="T1457" s="65">
        <v>503.31000000000131</v>
      </c>
      <c r="U1457" s="65">
        <v>0</v>
      </c>
      <c r="V1457" s="65">
        <v>500</v>
      </c>
      <c r="W1457" s="65">
        <v>0</v>
      </c>
      <c r="X1457" s="65">
        <v>5263</v>
      </c>
      <c r="Y1457" s="65">
        <v>3824</v>
      </c>
      <c r="Z1457" s="65">
        <v>0</v>
      </c>
      <c r="AA1457" s="51">
        <v>0</v>
      </c>
      <c r="AB1457" s="102">
        <v>0</v>
      </c>
      <c r="AC1457" s="81">
        <f t="shared" si="69"/>
        <v>382.83972808219187</v>
      </c>
      <c r="AD1457" s="82">
        <f t="shared" si="70"/>
        <v>33.371428571428567</v>
      </c>
      <c r="AE1457" s="218">
        <v>-5.2496972592180925E-2</v>
      </c>
      <c r="AF1457">
        <v>7</v>
      </c>
      <c r="AH1457" t="str">
        <f t="shared" si="71"/>
        <v>DalsinghSarai</v>
      </c>
      <c r="AJ1457" s="72">
        <v>500</v>
      </c>
      <c r="AK1457" s="72"/>
      <c r="AL1457" s="72"/>
      <c r="AM1457" s="72"/>
    </row>
    <row r="1458" spans="1:39" x14ac:dyDescent="0.25">
      <c r="A1458" s="37" t="s">
        <v>62</v>
      </c>
      <c r="B1458" s="66" t="s">
        <v>1638</v>
      </c>
      <c r="C1458" s="47">
        <v>1012</v>
      </c>
      <c r="D1458" s="47" t="s">
        <v>306</v>
      </c>
      <c r="E1458" s="41">
        <v>10120096</v>
      </c>
      <c r="F1458" s="46" t="s">
        <v>507</v>
      </c>
      <c r="G1458" s="39" t="s">
        <v>1610</v>
      </c>
      <c r="H1458" s="48" t="s">
        <v>98</v>
      </c>
      <c r="I1458" s="52">
        <v>1161.5999999999999</v>
      </c>
      <c r="J1458" s="49">
        <v>47523.689999999995</v>
      </c>
      <c r="K1458" s="65">
        <v>0</v>
      </c>
      <c r="L1458" s="65">
        <v>0</v>
      </c>
      <c r="M1458" s="65">
        <v>0</v>
      </c>
      <c r="N1458" s="65">
        <v>0</v>
      </c>
      <c r="O1458" s="65">
        <v>0</v>
      </c>
      <c r="P1458" s="65">
        <v>0</v>
      </c>
      <c r="Q1458" s="50">
        <v>47523.689999999995</v>
      </c>
      <c r="R1458" s="65">
        <v>0</v>
      </c>
      <c r="S1458" s="65">
        <v>0</v>
      </c>
      <c r="T1458" s="65">
        <v>0</v>
      </c>
      <c r="U1458" s="65">
        <v>0</v>
      </c>
      <c r="V1458" s="65">
        <v>0</v>
      </c>
      <c r="W1458" s="65">
        <v>0</v>
      </c>
      <c r="X1458" s="65">
        <v>0</v>
      </c>
      <c r="Y1458" s="65">
        <v>0</v>
      </c>
      <c r="Z1458" s="65">
        <v>47523.689999999995</v>
      </c>
      <c r="AA1458" s="51">
        <v>0</v>
      </c>
      <c r="AB1458" s="102">
        <v>0</v>
      </c>
      <c r="AC1458" s="81">
        <f t="shared" si="69"/>
        <v>0</v>
      </c>
      <c r="AD1458" s="82">
        <f t="shared" si="70"/>
        <v>0</v>
      </c>
      <c r="AE1458" s="218">
        <v>0</v>
      </c>
      <c r="AF1458">
        <v>0</v>
      </c>
      <c r="AH1458" t="str">
        <f t="shared" si="71"/>
        <v>DalsinghSarai</v>
      </c>
      <c r="AJ1458" s="72">
        <v>0</v>
      </c>
      <c r="AK1458" s="72"/>
      <c r="AL1458" s="72"/>
      <c r="AM1458" s="72"/>
    </row>
    <row r="1459" spans="1:39" x14ac:dyDescent="0.25">
      <c r="A1459" s="37" t="s">
        <v>62</v>
      </c>
      <c r="B1459" s="66" t="s">
        <v>1638</v>
      </c>
      <c r="C1459" s="47">
        <v>1012</v>
      </c>
      <c r="D1459" s="47" t="s">
        <v>306</v>
      </c>
      <c r="E1459" s="41">
        <v>10120099</v>
      </c>
      <c r="F1459" s="46" t="s">
        <v>525</v>
      </c>
      <c r="G1459" s="39" t="s">
        <v>1610</v>
      </c>
      <c r="H1459" s="48" t="s">
        <v>98</v>
      </c>
      <c r="I1459" s="52">
        <v>10232</v>
      </c>
      <c r="J1459" s="49">
        <v>411308.54000000004</v>
      </c>
      <c r="K1459" s="65">
        <v>0</v>
      </c>
      <c r="L1459" s="65">
        <v>0</v>
      </c>
      <c r="M1459" s="65">
        <v>0</v>
      </c>
      <c r="N1459" s="65">
        <v>0</v>
      </c>
      <c r="O1459" s="65">
        <v>0</v>
      </c>
      <c r="P1459" s="65">
        <v>0</v>
      </c>
      <c r="Q1459" s="50">
        <v>411308.54000000004</v>
      </c>
      <c r="R1459" s="65">
        <v>0</v>
      </c>
      <c r="S1459" s="65">
        <v>0</v>
      </c>
      <c r="T1459" s="65">
        <v>0</v>
      </c>
      <c r="U1459" s="65">
        <v>0</v>
      </c>
      <c r="V1459" s="65">
        <v>0</v>
      </c>
      <c r="W1459" s="65">
        <v>0</v>
      </c>
      <c r="X1459" s="65">
        <v>0</v>
      </c>
      <c r="Y1459" s="65">
        <v>0</v>
      </c>
      <c r="Z1459" s="65">
        <v>411308.54000000004</v>
      </c>
      <c r="AA1459" s="51">
        <v>0</v>
      </c>
      <c r="AB1459" s="102">
        <v>0</v>
      </c>
      <c r="AC1459" s="81">
        <f t="shared" si="69"/>
        <v>0</v>
      </c>
      <c r="AD1459" s="82">
        <f t="shared" si="70"/>
        <v>0</v>
      </c>
      <c r="AE1459" s="218">
        <v>0</v>
      </c>
      <c r="AF1459">
        <v>0</v>
      </c>
      <c r="AH1459" t="str">
        <f t="shared" si="71"/>
        <v>DalsinghSarai</v>
      </c>
      <c r="AJ1459" s="72">
        <v>0</v>
      </c>
      <c r="AK1459" s="72"/>
      <c r="AL1459" s="72"/>
      <c r="AM1459" s="72"/>
    </row>
    <row r="1460" spans="1:39" x14ac:dyDescent="0.25">
      <c r="A1460" s="37" t="s">
        <v>62</v>
      </c>
      <c r="B1460" s="66" t="s">
        <v>1638</v>
      </c>
      <c r="C1460" s="47">
        <v>1012</v>
      </c>
      <c r="D1460" s="47" t="s">
        <v>306</v>
      </c>
      <c r="E1460" s="41">
        <v>10120103</v>
      </c>
      <c r="F1460" s="46" t="s">
        <v>560</v>
      </c>
      <c r="G1460" s="39" t="s">
        <v>1610</v>
      </c>
      <c r="H1460" s="48" t="s">
        <v>98</v>
      </c>
      <c r="I1460" s="52">
        <v>1562.4</v>
      </c>
      <c r="J1460" s="49">
        <v>62505.51</v>
      </c>
      <c r="K1460" s="65">
        <v>0</v>
      </c>
      <c r="L1460" s="65">
        <v>0</v>
      </c>
      <c r="M1460" s="65">
        <v>0</v>
      </c>
      <c r="N1460" s="65">
        <v>0</v>
      </c>
      <c r="O1460" s="65">
        <v>0</v>
      </c>
      <c r="P1460" s="65">
        <v>0</v>
      </c>
      <c r="Q1460" s="50">
        <v>62505.51</v>
      </c>
      <c r="R1460" s="65">
        <v>0</v>
      </c>
      <c r="S1460" s="65">
        <v>0</v>
      </c>
      <c r="T1460" s="65">
        <v>0</v>
      </c>
      <c r="U1460" s="65">
        <v>0</v>
      </c>
      <c r="V1460" s="65">
        <v>0</v>
      </c>
      <c r="W1460" s="65">
        <v>0</v>
      </c>
      <c r="X1460" s="65">
        <v>0</v>
      </c>
      <c r="Y1460" s="65">
        <v>0</v>
      </c>
      <c r="Z1460" s="65">
        <v>62505.51</v>
      </c>
      <c r="AA1460" s="51">
        <v>0</v>
      </c>
      <c r="AB1460" s="102">
        <v>0</v>
      </c>
      <c r="AC1460" s="81">
        <f t="shared" si="69"/>
        <v>0</v>
      </c>
      <c r="AD1460" s="82">
        <f t="shared" si="70"/>
        <v>0</v>
      </c>
      <c r="AE1460" s="218">
        <v>0</v>
      </c>
      <c r="AF1460">
        <v>0</v>
      </c>
      <c r="AH1460" t="str">
        <f t="shared" si="71"/>
        <v>DalsinghSarai</v>
      </c>
      <c r="AJ1460" s="72">
        <v>0</v>
      </c>
      <c r="AK1460" s="72"/>
      <c r="AL1460" s="72"/>
      <c r="AM1460" s="72"/>
    </row>
    <row r="1461" spans="1:39" x14ac:dyDescent="0.25">
      <c r="A1461" s="37" t="s">
        <v>62</v>
      </c>
      <c r="B1461" s="66" t="s">
        <v>1638</v>
      </c>
      <c r="C1461" s="47">
        <v>1012</v>
      </c>
      <c r="D1461" s="47" t="s">
        <v>306</v>
      </c>
      <c r="E1461" s="41">
        <v>10120104</v>
      </c>
      <c r="F1461" s="46" t="s">
        <v>648</v>
      </c>
      <c r="G1461" s="39" t="s">
        <v>92</v>
      </c>
      <c r="H1461" s="48" t="s">
        <v>93</v>
      </c>
      <c r="I1461" s="52">
        <v>1064.6000000000001</v>
      </c>
      <c r="J1461" s="49">
        <v>42279.12999999999</v>
      </c>
      <c r="K1461" s="65">
        <v>204.09</v>
      </c>
      <c r="L1461" s="65">
        <v>8237.67</v>
      </c>
      <c r="M1461" s="65">
        <v>856.72000000000014</v>
      </c>
      <c r="N1461" s="65">
        <v>34039.860000000008</v>
      </c>
      <c r="O1461" s="65">
        <v>1060.8100000000002</v>
      </c>
      <c r="P1461" s="65">
        <v>42277.530000000006</v>
      </c>
      <c r="Q1461" s="50">
        <v>42277.530000000006</v>
      </c>
      <c r="R1461" s="65">
        <v>0</v>
      </c>
      <c r="S1461" s="65">
        <v>311.36</v>
      </c>
      <c r="T1461" s="65">
        <v>0</v>
      </c>
      <c r="U1461" s="65">
        <v>2800</v>
      </c>
      <c r="V1461" s="65">
        <v>0</v>
      </c>
      <c r="W1461" s="65">
        <v>0</v>
      </c>
      <c r="X1461" s="65">
        <v>5437</v>
      </c>
      <c r="Y1461" s="65">
        <v>33730</v>
      </c>
      <c r="Z1461" s="65">
        <v>0</v>
      </c>
      <c r="AA1461" s="51">
        <v>1</v>
      </c>
      <c r="AB1461" s="102">
        <v>0</v>
      </c>
      <c r="AC1461" s="81">
        <f t="shared" si="69"/>
        <v>0</v>
      </c>
      <c r="AD1461" s="82">
        <f t="shared" si="70"/>
        <v>0</v>
      </c>
      <c r="AE1461" s="218">
        <v>3.7843730464273822E-5</v>
      </c>
      <c r="AF1461">
        <v>19</v>
      </c>
      <c r="AH1461" t="str">
        <f t="shared" si="71"/>
        <v>DalsinghSarai</v>
      </c>
      <c r="AJ1461" s="72">
        <v>0</v>
      </c>
      <c r="AK1461" s="72"/>
      <c r="AL1461" s="72"/>
      <c r="AM1461" s="72"/>
    </row>
    <row r="1462" spans="1:39" x14ac:dyDescent="0.25">
      <c r="A1462" s="37" t="s">
        <v>62</v>
      </c>
      <c r="B1462" s="66" t="s">
        <v>1638</v>
      </c>
      <c r="C1462" s="47">
        <v>1012</v>
      </c>
      <c r="D1462" s="47" t="s">
        <v>306</v>
      </c>
      <c r="E1462" s="41">
        <v>10120106</v>
      </c>
      <c r="F1462" s="46" t="s">
        <v>641</v>
      </c>
      <c r="G1462" s="39" t="s">
        <v>1610</v>
      </c>
      <c r="H1462" s="48" t="s">
        <v>98</v>
      </c>
      <c r="I1462" s="52">
        <v>1840</v>
      </c>
      <c r="J1462" s="49">
        <v>69617.7</v>
      </c>
      <c r="K1462" s="65">
        <v>0</v>
      </c>
      <c r="L1462" s="65">
        <v>0</v>
      </c>
      <c r="M1462" s="65">
        <v>0</v>
      </c>
      <c r="N1462" s="65">
        <v>0</v>
      </c>
      <c r="O1462" s="65">
        <v>0</v>
      </c>
      <c r="P1462" s="65">
        <v>0</v>
      </c>
      <c r="Q1462" s="50">
        <v>69617.7</v>
      </c>
      <c r="R1462" s="65">
        <v>0</v>
      </c>
      <c r="S1462" s="65">
        <v>0</v>
      </c>
      <c r="T1462" s="65">
        <v>0</v>
      </c>
      <c r="U1462" s="65">
        <v>0</v>
      </c>
      <c r="V1462" s="65">
        <v>0</v>
      </c>
      <c r="W1462" s="65">
        <v>0</v>
      </c>
      <c r="X1462" s="65">
        <v>0</v>
      </c>
      <c r="Y1462" s="65">
        <v>0</v>
      </c>
      <c r="Z1462" s="65">
        <v>69617.7</v>
      </c>
      <c r="AA1462" s="51">
        <v>0</v>
      </c>
      <c r="AB1462" s="102">
        <v>0</v>
      </c>
      <c r="AC1462" s="81">
        <f t="shared" si="69"/>
        <v>0</v>
      </c>
      <c r="AD1462" s="82">
        <f t="shared" si="70"/>
        <v>0</v>
      </c>
      <c r="AE1462" s="218">
        <v>0</v>
      </c>
      <c r="AF1462">
        <v>0</v>
      </c>
      <c r="AH1462" t="str">
        <f t="shared" si="71"/>
        <v>DalsinghSarai</v>
      </c>
      <c r="AJ1462" s="72">
        <v>0</v>
      </c>
      <c r="AK1462" s="72"/>
      <c r="AL1462" s="72"/>
      <c r="AM1462" s="72"/>
    </row>
    <row r="1463" spans="1:39" x14ac:dyDescent="0.25">
      <c r="A1463" s="37" t="s">
        <v>62</v>
      </c>
      <c r="B1463" s="66" t="s">
        <v>1638</v>
      </c>
      <c r="C1463" s="47">
        <v>1012</v>
      </c>
      <c r="D1463" s="47" t="s">
        <v>306</v>
      </c>
      <c r="E1463" s="41">
        <v>10120107</v>
      </c>
      <c r="F1463" s="46" t="s">
        <v>649</v>
      </c>
      <c r="G1463" s="39" t="s">
        <v>92</v>
      </c>
      <c r="H1463" s="48" t="s">
        <v>93</v>
      </c>
      <c r="I1463" s="52">
        <v>810.60000000000014</v>
      </c>
      <c r="J1463" s="49">
        <v>32635.809999999998</v>
      </c>
      <c r="K1463" s="65">
        <v>793.69999999999993</v>
      </c>
      <c r="L1463" s="65">
        <v>31977.809999999998</v>
      </c>
      <c r="M1463" s="65">
        <v>16.8</v>
      </c>
      <c r="N1463" s="65">
        <v>620.6099999999999</v>
      </c>
      <c r="O1463" s="65">
        <v>810.49999999999989</v>
      </c>
      <c r="P1463" s="65">
        <v>32598.42</v>
      </c>
      <c r="Q1463" s="50">
        <v>32598.42</v>
      </c>
      <c r="R1463" s="65">
        <v>0</v>
      </c>
      <c r="S1463" s="65">
        <v>0</v>
      </c>
      <c r="T1463" s="65">
        <v>0</v>
      </c>
      <c r="U1463" s="65">
        <v>0</v>
      </c>
      <c r="V1463" s="65">
        <v>0</v>
      </c>
      <c r="W1463" s="65">
        <v>0</v>
      </c>
      <c r="X1463" s="65">
        <v>31978</v>
      </c>
      <c r="Y1463" s="65">
        <v>620</v>
      </c>
      <c r="Z1463" s="65">
        <v>0</v>
      </c>
      <c r="AA1463" s="51">
        <v>38</v>
      </c>
      <c r="AB1463" s="102">
        <v>0</v>
      </c>
      <c r="AC1463" s="81">
        <f t="shared" si="69"/>
        <v>0</v>
      </c>
      <c r="AD1463" s="82">
        <f t="shared" si="70"/>
        <v>0</v>
      </c>
      <c r="AE1463" s="218">
        <v>1.1456740310719857E-3</v>
      </c>
      <c r="AF1463">
        <v>12</v>
      </c>
      <c r="AH1463" t="str">
        <f t="shared" si="71"/>
        <v>DalsinghSarai</v>
      </c>
      <c r="AJ1463" s="72">
        <v>0</v>
      </c>
      <c r="AK1463" s="72"/>
      <c r="AL1463" s="72"/>
      <c r="AM1463" s="72"/>
    </row>
    <row r="1464" spans="1:39" x14ac:dyDescent="0.25">
      <c r="A1464" s="37" t="s">
        <v>62</v>
      </c>
      <c r="B1464" s="66" t="s">
        <v>1638</v>
      </c>
      <c r="C1464" s="47">
        <v>1012</v>
      </c>
      <c r="D1464" s="47" t="s">
        <v>306</v>
      </c>
      <c r="E1464" s="41">
        <v>10120108</v>
      </c>
      <c r="F1464" s="46" t="s">
        <v>1099</v>
      </c>
      <c r="G1464" s="39" t="s">
        <v>92</v>
      </c>
      <c r="H1464" s="48" t="s">
        <v>93</v>
      </c>
      <c r="I1464" s="52">
        <v>636.45000000000005</v>
      </c>
      <c r="J1464" s="49">
        <v>24361.75</v>
      </c>
      <c r="K1464" s="65">
        <v>381.82</v>
      </c>
      <c r="L1464" s="65">
        <v>15783.93</v>
      </c>
      <c r="M1464" s="65">
        <v>203.7</v>
      </c>
      <c r="N1464" s="65">
        <v>8578.1700000000019</v>
      </c>
      <c r="O1464" s="65">
        <v>585.52</v>
      </c>
      <c r="P1464" s="65">
        <v>24362.100000000002</v>
      </c>
      <c r="Q1464" s="50">
        <v>24361.75</v>
      </c>
      <c r="R1464" s="65">
        <v>0</v>
      </c>
      <c r="S1464" s="65">
        <v>0</v>
      </c>
      <c r="T1464" s="65">
        <v>0.35000000000218279</v>
      </c>
      <c r="U1464" s="65">
        <v>0</v>
      </c>
      <c r="V1464" s="65">
        <v>0</v>
      </c>
      <c r="W1464" s="65">
        <v>0</v>
      </c>
      <c r="X1464" s="65">
        <v>15783</v>
      </c>
      <c r="Y1464" s="65">
        <v>8579</v>
      </c>
      <c r="Z1464" s="65">
        <v>0</v>
      </c>
      <c r="AA1464" s="51">
        <v>0</v>
      </c>
      <c r="AB1464" s="102">
        <v>0</v>
      </c>
      <c r="AC1464" s="81">
        <f t="shared" si="69"/>
        <v>48.650772645140982</v>
      </c>
      <c r="AD1464" s="82">
        <f t="shared" si="70"/>
        <v>90.921428571428578</v>
      </c>
      <c r="AE1464" s="218">
        <v>-1.4366783995492229E-5</v>
      </c>
      <c r="AF1464">
        <v>14</v>
      </c>
      <c r="AH1464" t="str">
        <f t="shared" si="71"/>
        <v>DalsinghSarai</v>
      </c>
      <c r="AJ1464" s="72">
        <v>0</v>
      </c>
      <c r="AK1464" s="72"/>
      <c r="AL1464" s="72"/>
      <c r="AM1464" s="72"/>
    </row>
    <row r="1465" spans="1:39" x14ac:dyDescent="0.25">
      <c r="A1465" s="37" t="s">
        <v>62</v>
      </c>
      <c r="B1465" s="66" t="s">
        <v>1638</v>
      </c>
      <c r="C1465" s="47">
        <v>1012</v>
      </c>
      <c r="D1465" s="47" t="s">
        <v>306</v>
      </c>
      <c r="E1465" s="41">
        <v>10120109</v>
      </c>
      <c r="F1465" s="46" t="s">
        <v>1428</v>
      </c>
      <c r="G1465" s="39" t="s">
        <v>1610</v>
      </c>
      <c r="H1465" s="48" t="s">
        <v>98</v>
      </c>
      <c r="I1465" s="52">
        <v>1374.8000000000002</v>
      </c>
      <c r="J1465" s="49">
        <v>51226.01999999999</v>
      </c>
      <c r="K1465" s="65">
        <v>0</v>
      </c>
      <c r="L1465" s="65">
        <v>0</v>
      </c>
      <c r="M1465" s="65">
        <v>0</v>
      </c>
      <c r="N1465" s="65">
        <v>0</v>
      </c>
      <c r="O1465" s="65">
        <v>0</v>
      </c>
      <c r="P1465" s="65">
        <v>0</v>
      </c>
      <c r="Q1465" s="50">
        <v>51226.01999999999</v>
      </c>
      <c r="R1465" s="65">
        <v>0</v>
      </c>
      <c r="S1465" s="65">
        <v>0</v>
      </c>
      <c r="T1465" s="65">
        <v>0</v>
      </c>
      <c r="U1465" s="65">
        <v>0</v>
      </c>
      <c r="V1465" s="65">
        <v>0</v>
      </c>
      <c r="W1465" s="65">
        <v>0</v>
      </c>
      <c r="X1465" s="65">
        <v>0</v>
      </c>
      <c r="Y1465" s="65">
        <v>0</v>
      </c>
      <c r="Z1465" s="65">
        <v>51226.01999999999</v>
      </c>
      <c r="AA1465" s="51">
        <v>0</v>
      </c>
      <c r="AB1465" s="102">
        <v>0</v>
      </c>
      <c r="AC1465" s="81">
        <f t="shared" si="69"/>
        <v>0</v>
      </c>
      <c r="AD1465" s="82">
        <f t="shared" si="70"/>
        <v>0</v>
      </c>
      <c r="AE1465" s="218">
        <v>0</v>
      </c>
      <c r="AF1465">
        <v>0</v>
      </c>
      <c r="AH1465" t="str">
        <f t="shared" si="71"/>
        <v>DalsinghSarai</v>
      </c>
      <c r="AJ1465" s="72">
        <v>0</v>
      </c>
      <c r="AK1465" s="72"/>
      <c r="AL1465" s="72"/>
      <c r="AM1465" s="72"/>
    </row>
    <row r="1466" spans="1:39" x14ac:dyDescent="0.25">
      <c r="A1466" s="37" t="s">
        <v>62</v>
      </c>
      <c r="B1466" s="66" t="s">
        <v>1638</v>
      </c>
      <c r="C1466" s="47">
        <v>1012</v>
      </c>
      <c r="D1466" s="47" t="s">
        <v>306</v>
      </c>
      <c r="E1466" s="41">
        <v>10120111</v>
      </c>
      <c r="F1466" s="46" t="s">
        <v>1152</v>
      </c>
      <c r="G1466" s="39" t="s">
        <v>92</v>
      </c>
      <c r="H1466" s="48" t="s">
        <v>93</v>
      </c>
      <c r="I1466" s="52">
        <v>1078.4000000000001</v>
      </c>
      <c r="J1466" s="49">
        <v>43505.01</v>
      </c>
      <c r="K1466" s="65">
        <v>148.34000000000003</v>
      </c>
      <c r="L1466" s="65">
        <v>5955.89</v>
      </c>
      <c r="M1466" s="65">
        <v>929.7</v>
      </c>
      <c r="N1466" s="65">
        <v>37547.340000000004</v>
      </c>
      <c r="O1466" s="65">
        <v>1078.04</v>
      </c>
      <c r="P1466" s="65">
        <v>43503.23</v>
      </c>
      <c r="Q1466" s="50">
        <v>43503.23</v>
      </c>
      <c r="R1466" s="65">
        <v>0</v>
      </c>
      <c r="S1466" s="65">
        <v>0</v>
      </c>
      <c r="T1466" s="65">
        <v>0</v>
      </c>
      <c r="U1466" s="65">
        <v>0</v>
      </c>
      <c r="V1466" s="65">
        <v>0</v>
      </c>
      <c r="W1466" s="65">
        <v>0</v>
      </c>
      <c r="X1466" s="65">
        <v>5956</v>
      </c>
      <c r="Y1466" s="65">
        <v>37547</v>
      </c>
      <c r="Z1466" s="65">
        <v>0</v>
      </c>
      <c r="AA1466" s="51">
        <v>2</v>
      </c>
      <c r="AB1466" s="102">
        <v>0</v>
      </c>
      <c r="AC1466" s="81">
        <f t="shared" si="69"/>
        <v>0</v>
      </c>
      <c r="AD1466" s="82">
        <f t="shared" si="70"/>
        <v>0</v>
      </c>
      <c r="AE1466" s="218">
        <v>4.0914827970361016E-5</v>
      </c>
      <c r="AF1466">
        <v>10</v>
      </c>
      <c r="AH1466" t="str">
        <f t="shared" si="71"/>
        <v>DalsinghSarai</v>
      </c>
      <c r="AJ1466" s="72">
        <v>0</v>
      </c>
      <c r="AK1466" s="72"/>
      <c r="AL1466" s="72"/>
      <c r="AM1466" s="72"/>
    </row>
    <row r="1467" spans="1:39" x14ac:dyDescent="0.25">
      <c r="A1467" s="37" t="s">
        <v>62</v>
      </c>
      <c r="B1467" s="66" t="s">
        <v>1638</v>
      </c>
      <c r="C1467" s="47">
        <v>1012</v>
      </c>
      <c r="D1467" s="47" t="s">
        <v>306</v>
      </c>
      <c r="E1467" s="41">
        <v>10120113</v>
      </c>
      <c r="F1467" s="46" t="s">
        <v>1227</v>
      </c>
      <c r="G1467" s="39" t="s">
        <v>92</v>
      </c>
      <c r="H1467" s="48" t="s">
        <v>93</v>
      </c>
      <c r="I1467" s="52">
        <v>92.75</v>
      </c>
      <c r="J1467" s="49">
        <v>3677.2400000000002</v>
      </c>
      <c r="K1467" s="65">
        <v>93.91</v>
      </c>
      <c r="L1467" s="65">
        <v>3618.09</v>
      </c>
      <c r="M1467" s="65">
        <v>0</v>
      </c>
      <c r="N1467" s="65">
        <v>0</v>
      </c>
      <c r="O1467" s="65">
        <v>93.91</v>
      </c>
      <c r="P1467" s="65">
        <v>3618.09</v>
      </c>
      <c r="Q1467" s="50">
        <v>3618.09</v>
      </c>
      <c r="R1467" s="65">
        <v>0</v>
      </c>
      <c r="S1467" s="65">
        <v>0</v>
      </c>
      <c r="T1467" s="65">
        <v>0</v>
      </c>
      <c r="U1467" s="65">
        <v>0</v>
      </c>
      <c r="V1467" s="65">
        <v>500</v>
      </c>
      <c r="W1467" s="65">
        <v>0</v>
      </c>
      <c r="X1467" s="65">
        <v>3118</v>
      </c>
      <c r="Y1467" s="65">
        <v>0</v>
      </c>
      <c r="Z1467" s="65">
        <v>0</v>
      </c>
      <c r="AA1467" s="51">
        <v>59</v>
      </c>
      <c r="AB1467" s="102">
        <v>0</v>
      </c>
      <c r="AC1467" s="81">
        <f t="shared" si="69"/>
        <v>481.51029433962265</v>
      </c>
      <c r="AD1467" s="82">
        <f t="shared" si="70"/>
        <v>13.25</v>
      </c>
      <c r="AE1467" s="218">
        <v>1.608543364044775E-2</v>
      </c>
      <c r="AF1467">
        <v>2</v>
      </c>
      <c r="AH1467" t="str">
        <f t="shared" si="71"/>
        <v>DalsinghSarai</v>
      </c>
      <c r="AJ1467" s="72">
        <v>500</v>
      </c>
      <c r="AK1467" s="72"/>
      <c r="AL1467" s="72"/>
      <c r="AM1467" s="72"/>
    </row>
    <row r="1468" spans="1:39" x14ac:dyDescent="0.25">
      <c r="A1468" s="37" t="s">
        <v>62</v>
      </c>
      <c r="B1468" s="66" t="s">
        <v>1638</v>
      </c>
      <c r="C1468" s="47">
        <v>1012</v>
      </c>
      <c r="D1468" s="47" t="s">
        <v>306</v>
      </c>
      <c r="E1468" s="41">
        <v>10120114</v>
      </c>
      <c r="F1468" s="46" t="s">
        <v>1187</v>
      </c>
      <c r="G1468" s="39" t="s">
        <v>92</v>
      </c>
      <c r="H1468" s="48" t="s">
        <v>93</v>
      </c>
      <c r="I1468" s="52">
        <v>182.65</v>
      </c>
      <c r="J1468" s="49">
        <v>7662.84</v>
      </c>
      <c r="K1468" s="65">
        <v>124.10000000000001</v>
      </c>
      <c r="L1468" s="65">
        <v>5213.4399999999996</v>
      </c>
      <c r="M1468" s="65">
        <v>66.300000000000011</v>
      </c>
      <c r="N1468" s="65">
        <v>2445.5299999999997</v>
      </c>
      <c r="O1468" s="65">
        <v>190.40000000000003</v>
      </c>
      <c r="P1468" s="65">
        <v>7658.9699999999993</v>
      </c>
      <c r="Q1468" s="50">
        <v>7658.9699999999993</v>
      </c>
      <c r="R1468" s="65">
        <v>0</v>
      </c>
      <c r="S1468" s="65">
        <v>0</v>
      </c>
      <c r="T1468" s="65">
        <v>0</v>
      </c>
      <c r="U1468" s="65">
        <v>0</v>
      </c>
      <c r="V1468" s="65">
        <v>500</v>
      </c>
      <c r="W1468" s="65">
        <v>0</v>
      </c>
      <c r="X1468" s="65">
        <v>4713</v>
      </c>
      <c r="Y1468" s="65">
        <v>2446</v>
      </c>
      <c r="Z1468" s="65">
        <v>0</v>
      </c>
      <c r="AA1468" s="51">
        <v>4</v>
      </c>
      <c r="AB1468" s="102">
        <v>0</v>
      </c>
      <c r="AC1468" s="81">
        <f t="shared" si="69"/>
        <v>434.0947466739666</v>
      </c>
      <c r="AD1468" s="82">
        <f t="shared" si="70"/>
        <v>26.092857142857145</v>
      </c>
      <c r="AE1468" s="218">
        <v>5.0503468687859861E-4</v>
      </c>
      <c r="AF1468">
        <v>5</v>
      </c>
      <c r="AH1468" t="str">
        <f t="shared" si="71"/>
        <v>DalsinghSarai</v>
      </c>
      <c r="AJ1468" s="72">
        <v>500</v>
      </c>
      <c r="AK1468" s="72"/>
      <c r="AL1468" s="72"/>
      <c r="AM1468" s="72"/>
    </row>
    <row r="1469" spans="1:39" x14ac:dyDescent="0.25">
      <c r="A1469" s="37" t="s">
        <v>62</v>
      </c>
      <c r="B1469" s="66" t="s">
        <v>1638</v>
      </c>
      <c r="C1469" s="47">
        <v>1012</v>
      </c>
      <c r="D1469" s="47" t="s">
        <v>306</v>
      </c>
      <c r="E1469" s="41">
        <v>10120115</v>
      </c>
      <c r="F1469" s="46" t="s">
        <v>1192</v>
      </c>
      <c r="G1469" s="39" t="s">
        <v>1610</v>
      </c>
      <c r="H1469" s="48" t="s">
        <v>98</v>
      </c>
      <c r="I1469" s="52">
        <v>1725.9</v>
      </c>
      <c r="J1469" s="49">
        <v>66496.289999999994</v>
      </c>
      <c r="K1469" s="65">
        <v>0</v>
      </c>
      <c r="L1469" s="65">
        <v>0</v>
      </c>
      <c r="M1469" s="65">
        <v>0</v>
      </c>
      <c r="N1469" s="65">
        <v>0</v>
      </c>
      <c r="O1469" s="65">
        <v>0</v>
      </c>
      <c r="P1469" s="65">
        <v>0</v>
      </c>
      <c r="Q1469" s="50">
        <v>66496.289999999994</v>
      </c>
      <c r="R1469" s="65">
        <v>0</v>
      </c>
      <c r="S1469" s="65">
        <v>0</v>
      </c>
      <c r="T1469" s="65">
        <v>0</v>
      </c>
      <c r="U1469" s="65">
        <v>0</v>
      </c>
      <c r="V1469" s="65">
        <v>0</v>
      </c>
      <c r="W1469" s="65">
        <v>0</v>
      </c>
      <c r="X1469" s="65">
        <v>0</v>
      </c>
      <c r="Y1469" s="65">
        <v>0</v>
      </c>
      <c r="Z1469" s="65">
        <v>66496.289999999994</v>
      </c>
      <c r="AA1469" s="51">
        <v>0</v>
      </c>
      <c r="AB1469" s="102">
        <v>0</v>
      </c>
      <c r="AC1469" s="81">
        <f t="shared" si="69"/>
        <v>0</v>
      </c>
      <c r="AD1469" s="82">
        <f t="shared" si="70"/>
        <v>0</v>
      </c>
      <c r="AE1469" s="218">
        <v>0</v>
      </c>
      <c r="AF1469">
        <v>0</v>
      </c>
      <c r="AH1469" t="str">
        <f t="shared" si="71"/>
        <v>DalsinghSarai</v>
      </c>
      <c r="AJ1469" s="72">
        <v>0</v>
      </c>
      <c r="AK1469" s="72"/>
      <c r="AL1469" s="72"/>
      <c r="AM1469" s="72"/>
    </row>
    <row r="1470" spans="1:39" x14ac:dyDescent="0.25">
      <c r="A1470" s="37" t="s">
        <v>62</v>
      </c>
      <c r="B1470" s="66" t="s">
        <v>1638</v>
      </c>
      <c r="C1470" s="47">
        <v>1012</v>
      </c>
      <c r="D1470" s="47" t="s">
        <v>306</v>
      </c>
      <c r="E1470" s="41">
        <v>10120116</v>
      </c>
      <c r="F1470" s="46" t="s">
        <v>1234</v>
      </c>
      <c r="G1470" s="39" t="s">
        <v>92</v>
      </c>
      <c r="H1470" s="48" t="s">
        <v>93</v>
      </c>
      <c r="I1470" s="52">
        <v>1378.2000000000005</v>
      </c>
      <c r="J1470" s="49">
        <v>59559.659999999989</v>
      </c>
      <c r="K1470" s="65">
        <v>346.8</v>
      </c>
      <c r="L1470" s="65">
        <v>13795.53</v>
      </c>
      <c r="M1470" s="65">
        <v>1056.3000000000002</v>
      </c>
      <c r="N1470" s="65">
        <v>45751.34</v>
      </c>
      <c r="O1470" s="65">
        <v>1403.1000000000001</v>
      </c>
      <c r="P1470" s="65">
        <v>59546.869999999995</v>
      </c>
      <c r="Q1470" s="50">
        <v>59546.869999999995</v>
      </c>
      <c r="R1470" s="65">
        <v>0</v>
      </c>
      <c r="S1470" s="65">
        <v>1767.5800000000002</v>
      </c>
      <c r="T1470" s="65">
        <v>0</v>
      </c>
      <c r="U1470" s="65">
        <v>1066.5</v>
      </c>
      <c r="V1470" s="65">
        <v>0</v>
      </c>
      <c r="W1470" s="65">
        <v>0</v>
      </c>
      <c r="X1470" s="65">
        <v>13795</v>
      </c>
      <c r="Y1470" s="65">
        <v>42919</v>
      </c>
      <c r="Z1470" s="65">
        <v>0</v>
      </c>
      <c r="AA1470" s="51">
        <v>12</v>
      </c>
      <c r="AB1470" s="102">
        <v>0</v>
      </c>
      <c r="AC1470" s="81">
        <f t="shared" si="69"/>
        <v>0</v>
      </c>
      <c r="AD1470" s="82">
        <f t="shared" si="70"/>
        <v>0</v>
      </c>
      <c r="AE1470" s="218">
        <v>2.1474266307083687E-4</v>
      </c>
      <c r="AF1470">
        <v>27</v>
      </c>
      <c r="AH1470" t="str">
        <f t="shared" si="71"/>
        <v>DalsinghSarai</v>
      </c>
      <c r="AJ1470" s="72">
        <v>0</v>
      </c>
      <c r="AK1470" s="72"/>
      <c r="AL1470" s="72"/>
      <c r="AM1470" s="72"/>
    </row>
    <row r="1471" spans="1:39" x14ac:dyDescent="0.25">
      <c r="A1471" s="37" t="s">
        <v>62</v>
      </c>
      <c r="B1471" s="66" t="s">
        <v>1638</v>
      </c>
      <c r="C1471" s="47">
        <v>1012</v>
      </c>
      <c r="D1471" s="47" t="s">
        <v>306</v>
      </c>
      <c r="E1471" s="41">
        <v>10120119</v>
      </c>
      <c r="F1471" s="46" t="s">
        <v>1271</v>
      </c>
      <c r="G1471" s="39" t="s">
        <v>1610</v>
      </c>
      <c r="H1471" s="48" t="s">
        <v>98</v>
      </c>
      <c r="I1471" s="52">
        <v>500</v>
      </c>
      <c r="J1471" s="49">
        <v>19390</v>
      </c>
      <c r="K1471" s="65">
        <v>0</v>
      </c>
      <c r="L1471" s="65">
        <v>0</v>
      </c>
      <c r="M1471" s="65">
        <v>0</v>
      </c>
      <c r="N1471" s="65">
        <v>0</v>
      </c>
      <c r="O1471" s="65">
        <v>0</v>
      </c>
      <c r="P1471" s="65">
        <v>0</v>
      </c>
      <c r="Q1471" s="50">
        <v>19390</v>
      </c>
      <c r="R1471" s="65">
        <v>0</v>
      </c>
      <c r="S1471" s="65">
        <v>0</v>
      </c>
      <c r="T1471" s="65">
        <v>0</v>
      </c>
      <c r="U1471" s="65">
        <v>0</v>
      </c>
      <c r="V1471" s="65">
        <v>0</v>
      </c>
      <c r="W1471" s="65">
        <v>0</v>
      </c>
      <c r="X1471" s="65">
        <v>0</v>
      </c>
      <c r="Y1471" s="65">
        <v>0</v>
      </c>
      <c r="Z1471" s="65">
        <v>19390</v>
      </c>
      <c r="AA1471" s="51">
        <v>0</v>
      </c>
      <c r="AB1471" s="102">
        <v>0</v>
      </c>
      <c r="AC1471" s="81">
        <f t="shared" si="69"/>
        <v>155.12</v>
      </c>
      <c r="AD1471" s="82">
        <f t="shared" si="70"/>
        <v>71.428571428571431</v>
      </c>
      <c r="AE1471" s="218">
        <v>0</v>
      </c>
      <c r="AF1471">
        <v>0</v>
      </c>
      <c r="AH1471" t="str">
        <f t="shared" si="71"/>
        <v>DalsinghSarai</v>
      </c>
      <c r="AJ1471" s="72">
        <v>0</v>
      </c>
      <c r="AK1471" s="72"/>
      <c r="AL1471" s="72"/>
      <c r="AM1471" s="72"/>
    </row>
    <row r="1472" spans="1:39" x14ac:dyDescent="0.25">
      <c r="A1472" s="37" t="s">
        <v>62</v>
      </c>
      <c r="B1472" s="66" t="s">
        <v>1638</v>
      </c>
      <c r="C1472" s="47">
        <v>1012</v>
      </c>
      <c r="D1472" s="47" t="s">
        <v>306</v>
      </c>
      <c r="E1472" s="41">
        <v>10120120</v>
      </c>
      <c r="F1472" s="46" t="s">
        <v>1364</v>
      </c>
      <c r="G1472" s="39" t="s">
        <v>92</v>
      </c>
      <c r="H1472" s="48" t="s">
        <v>93</v>
      </c>
      <c r="I1472" s="52">
        <v>409</v>
      </c>
      <c r="J1472" s="49">
        <v>17149.370000000003</v>
      </c>
      <c r="K1472" s="65">
        <v>102.03</v>
      </c>
      <c r="L1472" s="65">
        <v>4329.0999999999995</v>
      </c>
      <c r="M1472" s="65">
        <v>307.87</v>
      </c>
      <c r="N1472" s="65">
        <v>12795.420000000002</v>
      </c>
      <c r="O1472" s="65">
        <v>409.9</v>
      </c>
      <c r="P1472" s="65">
        <v>17124.52</v>
      </c>
      <c r="Q1472" s="50">
        <v>17124.52</v>
      </c>
      <c r="R1472" s="65">
        <v>0</v>
      </c>
      <c r="S1472" s="65">
        <v>0</v>
      </c>
      <c r="T1472" s="65">
        <v>0</v>
      </c>
      <c r="U1472" s="65">
        <v>208</v>
      </c>
      <c r="V1472" s="65">
        <v>0</v>
      </c>
      <c r="W1472" s="65">
        <v>0</v>
      </c>
      <c r="X1472" s="65">
        <v>4121</v>
      </c>
      <c r="Y1472" s="65">
        <v>12796</v>
      </c>
      <c r="Z1472" s="65">
        <v>0</v>
      </c>
      <c r="AA1472" s="51">
        <v>24</v>
      </c>
      <c r="AB1472" s="102">
        <v>0</v>
      </c>
      <c r="AC1472" s="81">
        <f t="shared" si="69"/>
        <v>244.03260000000006</v>
      </c>
      <c r="AD1472" s="82">
        <f t="shared" si="70"/>
        <v>58.428571428571431</v>
      </c>
      <c r="AE1472" s="218">
        <v>1.4490328216139822E-3</v>
      </c>
      <c r="AF1472">
        <v>11</v>
      </c>
      <c r="AH1472" t="str">
        <f t="shared" si="71"/>
        <v>DalsinghSarai</v>
      </c>
      <c r="AJ1472" s="72">
        <v>0</v>
      </c>
      <c r="AK1472" s="72"/>
      <c r="AL1472" s="72"/>
      <c r="AM1472" s="72"/>
    </row>
    <row r="1473" spans="1:39" x14ac:dyDescent="0.25">
      <c r="A1473" s="37" t="s">
        <v>62</v>
      </c>
      <c r="B1473" s="66" t="s">
        <v>1638</v>
      </c>
      <c r="C1473" s="47">
        <v>1012</v>
      </c>
      <c r="D1473" s="47" t="s">
        <v>306</v>
      </c>
      <c r="E1473" s="41">
        <v>10120122</v>
      </c>
      <c r="F1473" s="46" t="s">
        <v>1314</v>
      </c>
      <c r="G1473" s="39" t="s">
        <v>92</v>
      </c>
      <c r="H1473" s="48" t="s">
        <v>93</v>
      </c>
      <c r="I1473" s="52">
        <v>1204.2000000000003</v>
      </c>
      <c r="J1473" s="49">
        <v>51717.750000000007</v>
      </c>
      <c r="K1473" s="65">
        <v>697.26</v>
      </c>
      <c r="L1473" s="65">
        <v>29820</v>
      </c>
      <c r="M1473" s="65">
        <v>506.51</v>
      </c>
      <c r="N1473" s="65">
        <v>21892.969999999998</v>
      </c>
      <c r="O1473" s="65">
        <v>1203.77</v>
      </c>
      <c r="P1473" s="65">
        <v>51712.97</v>
      </c>
      <c r="Q1473" s="50">
        <v>51712.97</v>
      </c>
      <c r="R1473" s="65">
        <v>0</v>
      </c>
      <c r="S1473" s="65">
        <v>0</v>
      </c>
      <c r="T1473" s="65">
        <v>0</v>
      </c>
      <c r="U1473" s="65">
        <v>7000</v>
      </c>
      <c r="V1473" s="65">
        <v>0</v>
      </c>
      <c r="W1473" s="65">
        <v>0</v>
      </c>
      <c r="X1473" s="65">
        <v>22820</v>
      </c>
      <c r="Y1473" s="65">
        <v>21893</v>
      </c>
      <c r="Z1473" s="65">
        <v>0</v>
      </c>
      <c r="AA1473" s="51">
        <v>5</v>
      </c>
      <c r="AB1473" s="102">
        <v>0</v>
      </c>
      <c r="AC1473" s="81">
        <f t="shared" ref="AC1473:AC1536" si="72">((IF(AD1473=0,0,100-AD1473))*7*(J1473/I1473))*2%</f>
        <v>0</v>
      </c>
      <c r="AD1473" s="82">
        <f t="shared" ref="AD1473:AD1536" si="73">IF((I1473/7)&gt;100,0,(I1473/7))</f>
        <v>0</v>
      </c>
      <c r="AE1473" s="218">
        <v>9.2424747789803517E-5</v>
      </c>
      <c r="AF1473">
        <v>19</v>
      </c>
      <c r="AH1473" t="str">
        <f t="shared" si="71"/>
        <v>DalsinghSarai</v>
      </c>
      <c r="AJ1473" s="72">
        <v>0</v>
      </c>
      <c r="AK1473" s="72"/>
      <c r="AL1473" s="72"/>
      <c r="AM1473" s="72"/>
    </row>
    <row r="1474" spans="1:39" x14ac:dyDescent="0.25">
      <c r="A1474" s="37" t="s">
        <v>62</v>
      </c>
      <c r="B1474" s="66" t="s">
        <v>1638</v>
      </c>
      <c r="C1474" s="47">
        <v>1012</v>
      </c>
      <c r="D1474" s="47" t="s">
        <v>306</v>
      </c>
      <c r="E1474" s="41">
        <v>10120123</v>
      </c>
      <c r="F1474" s="46" t="s">
        <v>1365</v>
      </c>
      <c r="G1474" s="39" t="s">
        <v>92</v>
      </c>
      <c r="H1474" s="48" t="s">
        <v>93</v>
      </c>
      <c r="I1474" s="52">
        <v>972.30000000000007</v>
      </c>
      <c r="J1474" s="49">
        <v>38148.239999999998</v>
      </c>
      <c r="K1474" s="65">
        <v>593.63999999999987</v>
      </c>
      <c r="L1474" s="65">
        <v>24153.360000000001</v>
      </c>
      <c r="M1474" s="65">
        <v>365.40999999999997</v>
      </c>
      <c r="N1474" s="65">
        <v>13994.48</v>
      </c>
      <c r="O1474" s="65">
        <v>959.04999999999984</v>
      </c>
      <c r="P1474" s="65">
        <v>38147.839999999997</v>
      </c>
      <c r="Q1474" s="50">
        <v>38147.839999999997</v>
      </c>
      <c r="R1474" s="65">
        <v>0</v>
      </c>
      <c r="S1474" s="65">
        <v>153.36000000000001</v>
      </c>
      <c r="T1474" s="65">
        <v>0</v>
      </c>
      <c r="U1474" s="65">
        <v>0</v>
      </c>
      <c r="V1474" s="65">
        <v>0</v>
      </c>
      <c r="W1474" s="65">
        <v>0</v>
      </c>
      <c r="X1474" s="65">
        <v>24154</v>
      </c>
      <c r="Y1474" s="65">
        <v>13841</v>
      </c>
      <c r="Z1474" s="65">
        <v>0</v>
      </c>
      <c r="AA1474" s="51">
        <v>0</v>
      </c>
      <c r="AB1474" s="102">
        <v>0</v>
      </c>
      <c r="AC1474" s="81">
        <f t="shared" si="72"/>
        <v>0</v>
      </c>
      <c r="AD1474" s="82">
        <f t="shared" si="73"/>
        <v>0</v>
      </c>
      <c r="AE1474" s="218">
        <v>1.0485411646813987E-5</v>
      </c>
      <c r="AF1474">
        <v>20</v>
      </c>
      <c r="AH1474" t="str">
        <f t="shared" si="71"/>
        <v>DalsinghSarai</v>
      </c>
      <c r="AJ1474" s="72">
        <v>0</v>
      </c>
      <c r="AK1474" s="72"/>
      <c r="AL1474" s="72"/>
      <c r="AM1474" s="72"/>
    </row>
    <row r="1475" spans="1:39" x14ac:dyDescent="0.25">
      <c r="A1475" s="37" t="s">
        <v>62</v>
      </c>
      <c r="B1475" s="66" t="s">
        <v>1638</v>
      </c>
      <c r="C1475" s="47">
        <v>1012</v>
      </c>
      <c r="D1475" s="47" t="s">
        <v>306</v>
      </c>
      <c r="E1475" s="41">
        <v>10120124</v>
      </c>
      <c r="F1475" s="46" t="s">
        <v>1567</v>
      </c>
      <c r="G1475" s="39" t="s">
        <v>1610</v>
      </c>
      <c r="H1475" s="48" t="s">
        <v>98</v>
      </c>
      <c r="I1475" s="52">
        <v>980.55000000000007</v>
      </c>
      <c r="J1475" s="49">
        <v>40176.82</v>
      </c>
      <c r="K1475" s="65">
        <v>0</v>
      </c>
      <c r="L1475" s="65">
        <v>0</v>
      </c>
      <c r="M1475" s="65">
        <v>0</v>
      </c>
      <c r="N1475" s="65">
        <v>0</v>
      </c>
      <c r="O1475" s="65">
        <v>0</v>
      </c>
      <c r="P1475" s="65">
        <v>0</v>
      </c>
      <c r="Q1475" s="50">
        <v>40176.82</v>
      </c>
      <c r="R1475" s="65">
        <v>0</v>
      </c>
      <c r="S1475" s="65">
        <v>0</v>
      </c>
      <c r="T1475" s="65">
        <v>0</v>
      </c>
      <c r="U1475" s="65">
        <v>0</v>
      </c>
      <c r="V1475" s="65">
        <v>0</v>
      </c>
      <c r="W1475" s="65">
        <v>0</v>
      </c>
      <c r="X1475" s="65">
        <v>0</v>
      </c>
      <c r="Y1475" s="65">
        <v>0</v>
      </c>
      <c r="Z1475" s="65">
        <v>40176.82</v>
      </c>
      <c r="AA1475" s="51">
        <v>0</v>
      </c>
      <c r="AB1475" s="102">
        <v>0</v>
      </c>
      <c r="AC1475" s="81">
        <f t="shared" si="72"/>
        <v>0</v>
      </c>
      <c r="AD1475" s="82">
        <f t="shared" si="73"/>
        <v>0</v>
      </c>
      <c r="AE1475" s="218">
        <v>0</v>
      </c>
      <c r="AF1475">
        <v>0</v>
      </c>
      <c r="AH1475" t="str">
        <f t="shared" si="71"/>
        <v>DalsinghSarai</v>
      </c>
      <c r="AJ1475" s="72">
        <v>0</v>
      </c>
      <c r="AK1475" s="72"/>
      <c r="AL1475" s="72"/>
      <c r="AM1475" s="72"/>
    </row>
    <row r="1476" spans="1:39" x14ac:dyDescent="0.25">
      <c r="A1476" s="37" t="s">
        <v>62</v>
      </c>
      <c r="B1476" s="66" t="s">
        <v>1638</v>
      </c>
      <c r="C1476" s="47">
        <v>1013</v>
      </c>
      <c r="D1476" s="47" t="s">
        <v>343</v>
      </c>
      <c r="E1476" s="41">
        <v>10130001</v>
      </c>
      <c r="F1476" s="46" t="s">
        <v>344</v>
      </c>
      <c r="G1476" s="39" t="s">
        <v>92</v>
      </c>
      <c r="H1476" s="48" t="s">
        <v>93</v>
      </c>
      <c r="I1476" s="52">
        <v>710.00000000000011</v>
      </c>
      <c r="J1476" s="49">
        <v>26537.71</v>
      </c>
      <c r="K1476" s="65">
        <v>145.22</v>
      </c>
      <c r="L1476" s="65">
        <v>5310.3200000000006</v>
      </c>
      <c r="M1476" s="65">
        <v>623.1</v>
      </c>
      <c r="N1476" s="65">
        <v>23247.030000000002</v>
      </c>
      <c r="O1476" s="65">
        <v>768.32</v>
      </c>
      <c r="P1476" s="65">
        <v>28557.350000000002</v>
      </c>
      <c r="Q1476" s="50">
        <v>26537.71</v>
      </c>
      <c r="R1476" s="65">
        <v>0</v>
      </c>
      <c r="S1476" s="65">
        <v>83.759999999999991</v>
      </c>
      <c r="T1476" s="65">
        <v>2019.6400000000031</v>
      </c>
      <c r="U1476" s="65">
        <v>0</v>
      </c>
      <c r="V1476" s="65">
        <v>0</v>
      </c>
      <c r="W1476" s="65">
        <v>0</v>
      </c>
      <c r="X1476" s="65">
        <v>3290</v>
      </c>
      <c r="Y1476" s="65">
        <v>23164</v>
      </c>
      <c r="Z1476" s="65">
        <v>0</v>
      </c>
      <c r="AA1476" s="51">
        <v>0</v>
      </c>
      <c r="AB1476" s="102">
        <v>0</v>
      </c>
      <c r="AC1476" s="81">
        <f t="shared" si="72"/>
        <v>0</v>
      </c>
      <c r="AD1476" s="82">
        <f t="shared" si="73"/>
        <v>0</v>
      </c>
      <c r="AE1476" s="218">
        <v>-7.6104532003703526E-2</v>
      </c>
      <c r="AF1476">
        <v>16</v>
      </c>
      <c r="AH1476" t="str">
        <f t="shared" si="71"/>
        <v>Musrigharari</v>
      </c>
      <c r="AJ1476" s="72">
        <v>0</v>
      </c>
      <c r="AK1476" s="72"/>
      <c r="AL1476" s="72"/>
      <c r="AM1476" s="72"/>
    </row>
    <row r="1477" spans="1:39" x14ac:dyDescent="0.25">
      <c r="A1477" s="37" t="s">
        <v>62</v>
      </c>
      <c r="B1477" s="66" t="s">
        <v>1638</v>
      </c>
      <c r="C1477" s="47">
        <v>1013</v>
      </c>
      <c r="D1477" s="47" t="s">
        <v>343</v>
      </c>
      <c r="E1477" s="41">
        <v>10130002</v>
      </c>
      <c r="F1477" s="46" t="s">
        <v>345</v>
      </c>
      <c r="G1477" s="39" t="s">
        <v>1610</v>
      </c>
      <c r="H1477" s="48" t="s">
        <v>98</v>
      </c>
      <c r="I1477" s="52">
        <v>195.5</v>
      </c>
      <c r="J1477" s="49">
        <v>6898.59</v>
      </c>
      <c r="K1477" s="65">
        <v>0</v>
      </c>
      <c r="L1477" s="65">
        <v>0</v>
      </c>
      <c r="M1477" s="65">
        <v>0</v>
      </c>
      <c r="N1477" s="65">
        <v>0</v>
      </c>
      <c r="O1477" s="65">
        <v>0</v>
      </c>
      <c r="P1477" s="65">
        <v>0</v>
      </c>
      <c r="Q1477" s="50">
        <v>6898.59</v>
      </c>
      <c r="R1477" s="65">
        <v>0</v>
      </c>
      <c r="S1477" s="65">
        <v>0</v>
      </c>
      <c r="T1477" s="65">
        <v>0</v>
      </c>
      <c r="U1477" s="65">
        <v>0</v>
      </c>
      <c r="V1477" s="65">
        <v>0</v>
      </c>
      <c r="W1477" s="65">
        <v>0</v>
      </c>
      <c r="X1477" s="65">
        <v>0</v>
      </c>
      <c r="Y1477" s="65">
        <v>0</v>
      </c>
      <c r="Z1477" s="65">
        <v>6898.59</v>
      </c>
      <c r="AA1477" s="51">
        <v>0</v>
      </c>
      <c r="AB1477" s="102">
        <v>0</v>
      </c>
      <c r="AC1477" s="81">
        <f t="shared" si="72"/>
        <v>356.04487519181589</v>
      </c>
      <c r="AD1477" s="82">
        <f t="shared" si="73"/>
        <v>27.928571428571427</v>
      </c>
      <c r="AE1477" s="218">
        <v>0</v>
      </c>
      <c r="AF1477">
        <v>0</v>
      </c>
      <c r="AH1477" t="str">
        <f t="shared" si="71"/>
        <v>Musrigharari</v>
      </c>
      <c r="AJ1477" s="72">
        <v>0</v>
      </c>
      <c r="AK1477" s="72"/>
      <c r="AL1477" s="72"/>
      <c r="AM1477" s="72"/>
    </row>
    <row r="1478" spans="1:39" x14ac:dyDescent="0.25">
      <c r="A1478" s="37" t="s">
        <v>62</v>
      </c>
      <c r="B1478" s="66" t="s">
        <v>1638</v>
      </c>
      <c r="C1478" s="47">
        <v>1013</v>
      </c>
      <c r="D1478" s="47" t="s">
        <v>343</v>
      </c>
      <c r="E1478" s="41">
        <v>10130003</v>
      </c>
      <c r="F1478" s="46" t="s">
        <v>346</v>
      </c>
      <c r="G1478" s="39" t="s">
        <v>92</v>
      </c>
      <c r="H1478" s="48" t="s">
        <v>93</v>
      </c>
      <c r="I1478" s="52">
        <v>114.10000000000001</v>
      </c>
      <c r="J1478" s="49">
        <v>3704.16</v>
      </c>
      <c r="K1478" s="65">
        <v>113.03</v>
      </c>
      <c r="L1478" s="65">
        <v>3653.38</v>
      </c>
      <c r="M1478" s="65">
        <v>1.1000000000000001</v>
      </c>
      <c r="N1478" s="65">
        <v>33.380000000000003</v>
      </c>
      <c r="O1478" s="65">
        <v>114.13</v>
      </c>
      <c r="P1478" s="65">
        <v>3686.76</v>
      </c>
      <c r="Q1478" s="50">
        <v>3686.76</v>
      </c>
      <c r="R1478" s="65">
        <v>0</v>
      </c>
      <c r="S1478" s="65">
        <v>33.380000000000003</v>
      </c>
      <c r="T1478" s="65">
        <v>0</v>
      </c>
      <c r="U1478" s="65">
        <v>0</v>
      </c>
      <c r="V1478" s="65">
        <v>0</v>
      </c>
      <c r="W1478" s="65">
        <v>0</v>
      </c>
      <c r="X1478" s="65">
        <v>3654</v>
      </c>
      <c r="Y1478" s="65">
        <v>0</v>
      </c>
      <c r="Z1478" s="65">
        <v>0</v>
      </c>
      <c r="AA1478" s="51">
        <v>17</v>
      </c>
      <c r="AB1478" s="102">
        <v>0</v>
      </c>
      <c r="AC1478" s="81">
        <f t="shared" si="72"/>
        <v>380.41495950920239</v>
      </c>
      <c r="AD1478" s="82">
        <f t="shared" si="73"/>
        <v>16.3</v>
      </c>
      <c r="AE1478" s="218">
        <v>4.6974212776984894E-3</v>
      </c>
      <c r="AF1478">
        <v>5</v>
      </c>
      <c r="AH1478" t="str">
        <f t="shared" si="71"/>
        <v>Musrigharari</v>
      </c>
      <c r="AJ1478" s="72">
        <v>0</v>
      </c>
      <c r="AK1478" s="72"/>
      <c r="AL1478" s="72"/>
      <c r="AM1478" s="72"/>
    </row>
    <row r="1479" spans="1:39" x14ac:dyDescent="0.25">
      <c r="A1479" s="37" t="s">
        <v>62</v>
      </c>
      <c r="B1479" s="66" t="s">
        <v>1638</v>
      </c>
      <c r="C1479" s="47">
        <v>1013</v>
      </c>
      <c r="D1479" s="47" t="s">
        <v>343</v>
      </c>
      <c r="E1479" s="41">
        <v>10130005</v>
      </c>
      <c r="F1479" s="46" t="s">
        <v>347</v>
      </c>
      <c r="G1479" s="39" t="s">
        <v>92</v>
      </c>
      <c r="H1479" s="48" t="s">
        <v>98</v>
      </c>
      <c r="I1479" s="52">
        <v>38.900000000000006</v>
      </c>
      <c r="J1479" s="49">
        <v>1376.89</v>
      </c>
      <c r="K1479" s="65">
        <v>0</v>
      </c>
      <c r="L1479" s="65">
        <v>0</v>
      </c>
      <c r="M1479" s="65">
        <v>0</v>
      </c>
      <c r="N1479" s="65">
        <v>0</v>
      </c>
      <c r="O1479" s="65">
        <v>0</v>
      </c>
      <c r="P1479" s="65">
        <v>0</v>
      </c>
      <c r="Q1479" s="50">
        <v>1376.89</v>
      </c>
      <c r="R1479" s="65">
        <v>0</v>
      </c>
      <c r="S1479" s="65">
        <v>0</v>
      </c>
      <c r="T1479" s="65">
        <v>0</v>
      </c>
      <c r="U1479" s="65">
        <v>1377</v>
      </c>
      <c r="V1479" s="65">
        <v>0</v>
      </c>
      <c r="W1479" s="65">
        <v>0</v>
      </c>
      <c r="X1479" s="65">
        <v>0</v>
      </c>
      <c r="Y1479" s="65">
        <v>0</v>
      </c>
      <c r="Z1479" s="65">
        <v>-0.10999999999989996</v>
      </c>
      <c r="AA1479" s="51">
        <v>0</v>
      </c>
      <c r="AB1479" s="102">
        <v>0</v>
      </c>
      <c r="AC1479" s="81">
        <f t="shared" si="72"/>
        <v>468.00101748071967</v>
      </c>
      <c r="AD1479" s="82">
        <f t="shared" si="73"/>
        <v>5.5571428571428578</v>
      </c>
      <c r="AE1479" s="218">
        <v>0</v>
      </c>
      <c r="AF1479">
        <v>0</v>
      </c>
      <c r="AH1479" t="str">
        <f t="shared" si="71"/>
        <v>Musrigharari</v>
      </c>
      <c r="AJ1479" s="72">
        <v>0</v>
      </c>
      <c r="AK1479" s="72"/>
      <c r="AL1479" s="72"/>
      <c r="AM1479" s="72"/>
    </row>
    <row r="1480" spans="1:39" x14ac:dyDescent="0.25">
      <c r="A1480" s="37" t="s">
        <v>62</v>
      </c>
      <c r="B1480" s="66" t="s">
        <v>1638</v>
      </c>
      <c r="C1480" s="47">
        <v>1013</v>
      </c>
      <c r="D1480" s="47" t="s">
        <v>343</v>
      </c>
      <c r="E1480" s="41">
        <v>10130006</v>
      </c>
      <c r="F1480" s="46" t="s">
        <v>348</v>
      </c>
      <c r="G1480" s="39" t="s">
        <v>92</v>
      </c>
      <c r="H1480" s="48" t="s">
        <v>93</v>
      </c>
      <c r="I1480" s="52">
        <v>545.59999999999991</v>
      </c>
      <c r="J1480" s="49">
        <v>21084.700000000004</v>
      </c>
      <c r="K1480" s="65">
        <v>556.78</v>
      </c>
      <c r="L1480" s="65">
        <v>21054.25</v>
      </c>
      <c r="M1480" s="65">
        <v>0</v>
      </c>
      <c r="N1480" s="65">
        <v>0</v>
      </c>
      <c r="O1480" s="65">
        <v>556.78</v>
      </c>
      <c r="P1480" s="65">
        <v>21054.25</v>
      </c>
      <c r="Q1480" s="50">
        <v>21054.25</v>
      </c>
      <c r="R1480" s="65">
        <v>0</v>
      </c>
      <c r="S1480" s="65">
        <v>0</v>
      </c>
      <c r="T1480" s="65">
        <v>0</v>
      </c>
      <c r="U1480" s="65">
        <v>884</v>
      </c>
      <c r="V1480" s="65">
        <v>0</v>
      </c>
      <c r="W1480" s="65">
        <v>0</v>
      </c>
      <c r="X1480" s="65">
        <v>20169</v>
      </c>
      <c r="Y1480" s="65">
        <v>0</v>
      </c>
      <c r="Z1480" s="65">
        <v>0</v>
      </c>
      <c r="AA1480" s="51">
        <v>32</v>
      </c>
      <c r="AB1480" s="102">
        <v>0</v>
      </c>
      <c r="AC1480" s="81">
        <f t="shared" si="72"/>
        <v>119.33569208211151</v>
      </c>
      <c r="AD1480" s="82">
        <f t="shared" si="73"/>
        <v>77.942857142857136</v>
      </c>
      <c r="AE1480" s="218">
        <v>1.4441751601874514E-3</v>
      </c>
      <c r="AF1480">
        <v>10</v>
      </c>
      <c r="AH1480" t="str">
        <f t="shared" si="71"/>
        <v>Musrigharari</v>
      </c>
      <c r="AJ1480" s="72">
        <v>0</v>
      </c>
      <c r="AK1480" s="72"/>
      <c r="AL1480" s="72"/>
      <c r="AM1480" s="72"/>
    </row>
    <row r="1481" spans="1:39" x14ac:dyDescent="0.25">
      <c r="A1481" s="37" t="s">
        <v>62</v>
      </c>
      <c r="B1481" s="66" t="s">
        <v>1638</v>
      </c>
      <c r="C1481" s="47">
        <v>1013</v>
      </c>
      <c r="D1481" s="47" t="s">
        <v>343</v>
      </c>
      <c r="E1481" s="41">
        <v>10130008</v>
      </c>
      <c r="F1481" s="46" t="s">
        <v>349</v>
      </c>
      <c r="G1481" s="39" t="s">
        <v>92</v>
      </c>
      <c r="H1481" s="48" t="s">
        <v>93</v>
      </c>
      <c r="I1481" s="52">
        <v>362.19999999999993</v>
      </c>
      <c r="J1481" s="49">
        <v>14373.220000000001</v>
      </c>
      <c r="K1481" s="65">
        <v>309.77000000000004</v>
      </c>
      <c r="L1481" s="65">
        <v>13273.2</v>
      </c>
      <c r="M1481" s="65">
        <v>18.649999999999999</v>
      </c>
      <c r="N1481" s="65">
        <v>768.75</v>
      </c>
      <c r="O1481" s="65">
        <v>328.42</v>
      </c>
      <c r="P1481" s="65">
        <v>14041.95</v>
      </c>
      <c r="Q1481" s="50">
        <v>14041.95</v>
      </c>
      <c r="R1481" s="65">
        <v>0</v>
      </c>
      <c r="S1481" s="65">
        <v>152.64000000000001</v>
      </c>
      <c r="T1481" s="65">
        <v>0</v>
      </c>
      <c r="U1481" s="65">
        <v>0</v>
      </c>
      <c r="V1481" s="65">
        <v>0</v>
      </c>
      <c r="W1481" s="65">
        <v>0</v>
      </c>
      <c r="X1481" s="65">
        <v>13274</v>
      </c>
      <c r="Y1481" s="65">
        <v>616</v>
      </c>
      <c r="Z1481" s="65">
        <v>0</v>
      </c>
      <c r="AA1481" s="51">
        <v>331</v>
      </c>
      <c r="AB1481" s="102">
        <v>0</v>
      </c>
      <c r="AC1481" s="81">
        <f t="shared" si="72"/>
        <v>268.09904561016026</v>
      </c>
      <c r="AD1481" s="82">
        <f t="shared" si="73"/>
        <v>51.742857142857133</v>
      </c>
      <c r="AE1481" s="218">
        <v>2.304772347462854E-2</v>
      </c>
      <c r="AF1481">
        <v>10</v>
      </c>
      <c r="AH1481" t="str">
        <f t="shared" si="71"/>
        <v>Musrigharari</v>
      </c>
      <c r="AJ1481" s="72">
        <v>0</v>
      </c>
      <c r="AK1481" s="72"/>
      <c r="AL1481" s="72"/>
      <c r="AM1481" s="72"/>
    </row>
    <row r="1482" spans="1:39" x14ac:dyDescent="0.25">
      <c r="A1482" s="37" t="s">
        <v>62</v>
      </c>
      <c r="B1482" s="66" t="s">
        <v>1638</v>
      </c>
      <c r="C1482" s="47">
        <v>1013</v>
      </c>
      <c r="D1482" s="47" t="s">
        <v>343</v>
      </c>
      <c r="E1482" s="41">
        <v>10130012</v>
      </c>
      <c r="F1482" s="46" t="s">
        <v>350</v>
      </c>
      <c r="G1482" s="39" t="s">
        <v>92</v>
      </c>
      <c r="H1482" s="48" t="s">
        <v>93</v>
      </c>
      <c r="I1482" s="52">
        <v>3104.2999999999997</v>
      </c>
      <c r="J1482" s="49">
        <v>117323.11999999997</v>
      </c>
      <c r="K1482" s="65">
        <v>1640.8999999999999</v>
      </c>
      <c r="L1482" s="65">
        <v>62935.110000000008</v>
      </c>
      <c r="M1482" s="65">
        <v>1440.7000000000005</v>
      </c>
      <c r="N1482" s="65">
        <v>54375.73</v>
      </c>
      <c r="O1482" s="65">
        <v>3081.6000000000004</v>
      </c>
      <c r="P1482" s="65">
        <v>117310.84000000001</v>
      </c>
      <c r="Q1482" s="50">
        <v>117310.84000000001</v>
      </c>
      <c r="R1482" s="65">
        <v>0</v>
      </c>
      <c r="S1482" s="65">
        <v>1378.71</v>
      </c>
      <c r="T1482" s="65">
        <v>0</v>
      </c>
      <c r="U1482" s="65">
        <v>0</v>
      </c>
      <c r="V1482" s="65">
        <v>0</v>
      </c>
      <c r="W1482" s="65">
        <v>0</v>
      </c>
      <c r="X1482" s="65">
        <v>62937</v>
      </c>
      <c r="Y1482" s="65">
        <v>52996</v>
      </c>
      <c r="Z1482" s="65">
        <v>0</v>
      </c>
      <c r="AA1482" s="51">
        <v>11</v>
      </c>
      <c r="AB1482" s="102">
        <v>0</v>
      </c>
      <c r="AC1482" s="81">
        <f t="shared" si="72"/>
        <v>0</v>
      </c>
      <c r="AD1482" s="82">
        <f t="shared" si="73"/>
        <v>0</v>
      </c>
      <c r="AE1482" s="218">
        <v>1.0466820179991109E-4</v>
      </c>
      <c r="AF1482">
        <v>56</v>
      </c>
      <c r="AH1482" t="str">
        <f t="shared" si="71"/>
        <v>Musrigharari</v>
      </c>
      <c r="AJ1482" s="72">
        <v>0</v>
      </c>
      <c r="AK1482" s="72"/>
      <c r="AL1482" s="72"/>
      <c r="AM1482" s="72"/>
    </row>
    <row r="1483" spans="1:39" x14ac:dyDescent="0.25">
      <c r="A1483" s="37" t="s">
        <v>62</v>
      </c>
      <c r="B1483" s="66" t="s">
        <v>1638</v>
      </c>
      <c r="C1483" s="47">
        <v>1013</v>
      </c>
      <c r="D1483" s="47" t="s">
        <v>343</v>
      </c>
      <c r="E1483" s="41">
        <v>10130015</v>
      </c>
      <c r="F1483" s="46" t="s">
        <v>351</v>
      </c>
      <c r="G1483" s="39" t="s">
        <v>92</v>
      </c>
      <c r="H1483" s="48" t="s">
        <v>98</v>
      </c>
      <c r="I1483" s="52">
        <v>734.50000000000011</v>
      </c>
      <c r="J1483" s="49">
        <v>27103.48</v>
      </c>
      <c r="K1483" s="65">
        <v>0</v>
      </c>
      <c r="L1483" s="65">
        <v>0</v>
      </c>
      <c r="M1483" s="65">
        <v>0</v>
      </c>
      <c r="N1483" s="65">
        <v>0</v>
      </c>
      <c r="O1483" s="65">
        <v>0</v>
      </c>
      <c r="P1483" s="65">
        <v>0</v>
      </c>
      <c r="Q1483" s="50">
        <v>27103.48</v>
      </c>
      <c r="R1483" s="65">
        <v>0</v>
      </c>
      <c r="S1483" s="65">
        <v>0</v>
      </c>
      <c r="T1483" s="65">
        <v>0</v>
      </c>
      <c r="U1483" s="65">
        <v>2800</v>
      </c>
      <c r="V1483" s="65">
        <v>0</v>
      </c>
      <c r="W1483" s="65">
        <v>0</v>
      </c>
      <c r="X1483" s="65">
        <v>0</v>
      </c>
      <c r="Y1483" s="65">
        <v>0</v>
      </c>
      <c r="Z1483" s="65">
        <v>24303.48</v>
      </c>
      <c r="AA1483" s="51">
        <v>0</v>
      </c>
      <c r="AB1483" s="102">
        <v>0</v>
      </c>
      <c r="AC1483" s="81">
        <f t="shared" si="72"/>
        <v>0</v>
      </c>
      <c r="AD1483" s="82">
        <f t="shared" si="73"/>
        <v>0</v>
      </c>
      <c r="AE1483" s="218">
        <v>0</v>
      </c>
      <c r="AF1483">
        <v>0</v>
      </c>
      <c r="AH1483" t="str">
        <f t="shared" si="71"/>
        <v>Musrigharari</v>
      </c>
      <c r="AJ1483" s="72">
        <v>0</v>
      </c>
      <c r="AK1483" s="72"/>
      <c r="AL1483" s="72"/>
      <c r="AM1483" s="72"/>
    </row>
    <row r="1484" spans="1:39" x14ac:dyDescent="0.25">
      <c r="A1484" s="37" t="s">
        <v>62</v>
      </c>
      <c r="B1484" s="66" t="s">
        <v>1638</v>
      </c>
      <c r="C1484" s="47">
        <v>1013</v>
      </c>
      <c r="D1484" s="47" t="s">
        <v>343</v>
      </c>
      <c r="E1484" s="41">
        <v>10130016</v>
      </c>
      <c r="F1484" s="46" t="s">
        <v>352</v>
      </c>
      <c r="G1484" s="39" t="s">
        <v>92</v>
      </c>
      <c r="H1484" s="48" t="s">
        <v>98</v>
      </c>
      <c r="I1484" s="52">
        <v>260.89999999999998</v>
      </c>
      <c r="J1484" s="49">
        <v>10700.39</v>
      </c>
      <c r="K1484" s="65">
        <v>0</v>
      </c>
      <c r="L1484" s="65">
        <v>0</v>
      </c>
      <c r="M1484" s="65">
        <v>0</v>
      </c>
      <c r="N1484" s="65">
        <v>0</v>
      </c>
      <c r="O1484" s="65">
        <v>0</v>
      </c>
      <c r="P1484" s="65">
        <v>0</v>
      </c>
      <c r="Q1484" s="50">
        <v>10700.39</v>
      </c>
      <c r="R1484" s="65">
        <v>0</v>
      </c>
      <c r="S1484" s="65">
        <v>0</v>
      </c>
      <c r="T1484" s="65">
        <v>0</v>
      </c>
      <c r="U1484" s="65">
        <v>0</v>
      </c>
      <c r="V1484" s="65">
        <v>0</v>
      </c>
      <c r="W1484" s="65">
        <v>0</v>
      </c>
      <c r="X1484" s="65">
        <v>0</v>
      </c>
      <c r="Y1484" s="65">
        <v>0</v>
      </c>
      <c r="Z1484" s="65">
        <v>10700.39</v>
      </c>
      <c r="AA1484" s="51">
        <v>0</v>
      </c>
      <c r="AB1484" s="102">
        <v>0</v>
      </c>
      <c r="AC1484" s="81">
        <f t="shared" si="72"/>
        <v>360.17947481793794</v>
      </c>
      <c r="AD1484" s="82">
        <f t="shared" si="73"/>
        <v>37.271428571428565</v>
      </c>
      <c r="AE1484" s="218">
        <v>0</v>
      </c>
      <c r="AF1484">
        <v>0</v>
      </c>
      <c r="AH1484" t="str">
        <f t="shared" si="71"/>
        <v>Musrigharari</v>
      </c>
      <c r="AJ1484" s="72">
        <v>0</v>
      </c>
      <c r="AK1484" s="72"/>
      <c r="AL1484" s="72"/>
      <c r="AM1484" s="72"/>
    </row>
    <row r="1485" spans="1:39" x14ac:dyDescent="0.25">
      <c r="A1485" s="37" t="s">
        <v>62</v>
      </c>
      <c r="B1485" s="66" t="s">
        <v>1638</v>
      </c>
      <c r="C1485" s="47">
        <v>1013</v>
      </c>
      <c r="D1485" s="47" t="s">
        <v>343</v>
      </c>
      <c r="E1485" s="41">
        <v>10130018</v>
      </c>
      <c r="F1485" s="46" t="s">
        <v>353</v>
      </c>
      <c r="G1485" s="39" t="s">
        <v>92</v>
      </c>
      <c r="H1485" s="48" t="s">
        <v>98</v>
      </c>
      <c r="I1485" s="52">
        <v>433.79999999999995</v>
      </c>
      <c r="J1485" s="49">
        <v>15183.59</v>
      </c>
      <c r="K1485" s="65">
        <v>0</v>
      </c>
      <c r="L1485" s="65">
        <v>0</v>
      </c>
      <c r="M1485" s="65">
        <v>0</v>
      </c>
      <c r="N1485" s="65">
        <v>0</v>
      </c>
      <c r="O1485" s="65">
        <v>0</v>
      </c>
      <c r="P1485" s="65">
        <v>0</v>
      </c>
      <c r="Q1485" s="50">
        <v>15183.59</v>
      </c>
      <c r="R1485" s="65">
        <v>0</v>
      </c>
      <c r="S1485" s="65">
        <v>0</v>
      </c>
      <c r="T1485" s="65">
        <v>0</v>
      </c>
      <c r="U1485" s="65">
        <v>0</v>
      </c>
      <c r="V1485" s="65">
        <v>0</v>
      </c>
      <c r="W1485" s="65">
        <v>0</v>
      </c>
      <c r="X1485" s="65">
        <v>0</v>
      </c>
      <c r="Y1485" s="65">
        <v>0</v>
      </c>
      <c r="Z1485" s="65">
        <v>15183.59</v>
      </c>
      <c r="AA1485" s="51">
        <v>0</v>
      </c>
      <c r="AB1485" s="102">
        <v>0</v>
      </c>
      <c r="AC1485" s="81">
        <f t="shared" si="72"/>
        <v>186.34724103273405</v>
      </c>
      <c r="AD1485" s="82">
        <f t="shared" si="73"/>
        <v>61.971428571428568</v>
      </c>
      <c r="AE1485" s="218">
        <v>0</v>
      </c>
      <c r="AF1485">
        <v>0</v>
      </c>
      <c r="AH1485" t="str">
        <f t="shared" si="71"/>
        <v>Musrigharari</v>
      </c>
      <c r="AJ1485" s="72">
        <v>0</v>
      </c>
      <c r="AK1485" s="72"/>
      <c r="AL1485" s="72"/>
      <c r="AM1485" s="72"/>
    </row>
    <row r="1486" spans="1:39" x14ac:dyDescent="0.25">
      <c r="A1486" s="37" t="s">
        <v>62</v>
      </c>
      <c r="B1486" s="66" t="s">
        <v>1638</v>
      </c>
      <c r="C1486" s="47">
        <v>1013</v>
      </c>
      <c r="D1486" s="47" t="s">
        <v>343</v>
      </c>
      <c r="E1486" s="41">
        <v>10130020</v>
      </c>
      <c r="F1486" s="46" t="s">
        <v>354</v>
      </c>
      <c r="G1486" s="39" t="s">
        <v>1610</v>
      </c>
      <c r="H1486" s="48" t="s">
        <v>98</v>
      </c>
      <c r="I1486" s="52">
        <v>635.70000000000005</v>
      </c>
      <c r="J1486" s="49">
        <v>25719.47</v>
      </c>
      <c r="K1486" s="65">
        <v>0</v>
      </c>
      <c r="L1486" s="65">
        <v>0</v>
      </c>
      <c r="M1486" s="65">
        <v>0</v>
      </c>
      <c r="N1486" s="65">
        <v>0</v>
      </c>
      <c r="O1486" s="65">
        <v>0</v>
      </c>
      <c r="P1486" s="65">
        <v>0</v>
      </c>
      <c r="Q1486" s="50">
        <v>25719.47</v>
      </c>
      <c r="R1486" s="65">
        <v>0</v>
      </c>
      <c r="S1486" s="65">
        <v>0</v>
      </c>
      <c r="T1486" s="65">
        <v>0</v>
      </c>
      <c r="U1486" s="65">
        <v>264</v>
      </c>
      <c r="V1486" s="65">
        <v>0</v>
      </c>
      <c r="W1486" s="65">
        <v>0</v>
      </c>
      <c r="X1486" s="65">
        <v>0</v>
      </c>
      <c r="Y1486" s="65">
        <v>0</v>
      </c>
      <c r="Z1486" s="65">
        <v>25455.47</v>
      </c>
      <c r="AA1486" s="51">
        <v>0</v>
      </c>
      <c r="AB1486" s="102">
        <v>0</v>
      </c>
      <c r="AC1486" s="81">
        <f t="shared" si="72"/>
        <v>52.029634135598535</v>
      </c>
      <c r="AD1486" s="82">
        <f t="shared" si="73"/>
        <v>90.814285714285717</v>
      </c>
      <c r="AE1486" s="218">
        <v>0</v>
      </c>
      <c r="AF1486">
        <v>0</v>
      </c>
      <c r="AH1486" t="str">
        <f t="shared" si="71"/>
        <v>Musrigharari</v>
      </c>
      <c r="AJ1486" s="72">
        <v>0</v>
      </c>
      <c r="AK1486" s="72"/>
      <c r="AL1486" s="72"/>
      <c r="AM1486" s="72"/>
    </row>
    <row r="1487" spans="1:39" x14ac:dyDescent="0.25">
      <c r="A1487" s="37" t="s">
        <v>62</v>
      </c>
      <c r="B1487" s="66" t="s">
        <v>1638</v>
      </c>
      <c r="C1487" s="47">
        <v>1013</v>
      </c>
      <c r="D1487" s="47" t="s">
        <v>343</v>
      </c>
      <c r="E1487" s="41">
        <v>10130025</v>
      </c>
      <c r="F1487" s="46" t="s">
        <v>355</v>
      </c>
      <c r="G1487" s="39" t="s">
        <v>92</v>
      </c>
      <c r="H1487" s="48" t="s">
        <v>98</v>
      </c>
      <c r="I1487" s="52">
        <v>395.40000000000003</v>
      </c>
      <c r="J1487" s="49">
        <v>16563.810000000001</v>
      </c>
      <c r="K1487" s="65">
        <v>0</v>
      </c>
      <c r="L1487" s="65">
        <v>0</v>
      </c>
      <c r="M1487" s="65">
        <v>0</v>
      </c>
      <c r="N1487" s="65">
        <v>0</v>
      </c>
      <c r="O1487" s="65">
        <v>0</v>
      </c>
      <c r="P1487" s="65">
        <v>0</v>
      </c>
      <c r="Q1487" s="50">
        <v>16563.810000000001</v>
      </c>
      <c r="R1487" s="65">
        <v>0</v>
      </c>
      <c r="S1487" s="65">
        <v>0</v>
      </c>
      <c r="T1487" s="65">
        <v>0</v>
      </c>
      <c r="U1487" s="65">
        <v>0</v>
      </c>
      <c r="V1487" s="65">
        <v>0</v>
      </c>
      <c r="W1487" s="65">
        <v>0</v>
      </c>
      <c r="X1487" s="65">
        <v>0</v>
      </c>
      <c r="Y1487" s="65">
        <v>0</v>
      </c>
      <c r="Z1487" s="65">
        <v>16563.810000000001</v>
      </c>
      <c r="AA1487" s="51">
        <v>0</v>
      </c>
      <c r="AB1487" s="102">
        <v>0</v>
      </c>
      <c r="AC1487" s="81">
        <f t="shared" si="72"/>
        <v>255.20164522003031</v>
      </c>
      <c r="AD1487" s="82">
        <f t="shared" si="73"/>
        <v>56.485714285714288</v>
      </c>
      <c r="AE1487" s="218">
        <v>0</v>
      </c>
      <c r="AF1487">
        <v>0</v>
      </c>
      <c r="AH1487" t="str">
        <f t="shared" si="71"/>
        <v>Musrigharari</v>
      </c>
      <c r="AJ1487" s="72">
        <v>0</v>
      </c>
      <c r="AK1487" s="72"/>
      <c r="AL1487" s="72"/>
      <c r="AM1487" s="72"/>
    </row>
    <row r="1488" spans="1:39" x14ac:dyDescent="0.25">
      <c r="A1488" s="37" t="s">
        <v>62</v>
      </c>
      <c r="B1488" s="66" t="s">
        <v>1638</v>
      </c>
      <c r="C1488" s="47">
        <v>1013</v>
      </c>
      <c r="D1488" s="47" t="s">
        <v>343</v>
      </c>
      <c r="E1488" s="41">
        <v>10130026</v>
      </c>
      <c r="F1488" s="46" t="s">
        <v>317</v>
      </c>
      <c r="G1488" s="39" t="s">
        <v>92</v>
      </c>
      <c r="H1488" s="48" t="s">
        <v>93</v>
      </c>
      <c r="I1488" s="52">
        <v>190.2</v>
      </c>
      <c r="J1488" s="49">
        <v>7893.4400000000005</v>
      </c>
      <c r="K1488" s="65">
        <v>50.27</v>
      </c>
      <c r="L1488" s="65">
        <v>2419.8900000000003</v>
      </c>
      <c r="M1488" s="65">
        <v>128.37</v>
      </c>
      <c r="N1488" s="65">
        <v>5468.33</v>
      </c>
      <c r="O1488" s="65">
        <v>178.64000000000001</v>
      </c>
      <c r="P1488" s="65">
        <v>7888.22</v>
      </c>
      <c r="Q1488" s="50">
        <v>7888.22</v>
      </c>
      <c r="R1488" s="65">
        <v>0</v>
      </c>
      <c r="S1488" s="65">
        <v>72.06</v>
      </c>
      <c r="T1488" s="65">
        <v>0</v>
      </c>
      <c r="U1488" s="65">
        <v>0</v>
      </c>
      <c r="V1488" s="65">
        <v>500</v>
      </c>
      <c r="W1488" s="65">
        <v>0</v>
      </c>
      <c r="X1488" s="65">
        <v>1920</v>
      </c>
      <c r="Y1488" s="65">
        <v>5396</v>
      </c>
      <c r="Z1488" s="65">
        <v>0</v>
      </c>
      <c r="AA1488" s="51">
        <v>5</v>
      </c>
      <c r="AB1488" s="102">
        <v>0</v>
      </c>
      <c r="AC1488" s="81">
        <f t="shared" si="72"/>
        <v>423.14150494216614</v>
      </c>
      <c r="AD1488" s="82">
        <f t="shared" si="73"/>
        <v>27.171428571428571</v>
      </c>
      <c r="AE1488" s="218">
        <v>6.6130863096447868E-4</v>
      </c>
      <c r="AF1488">
        <v>8</v>
      </c>
      <c r="AH1488" t="str">
        <f t="shared" si="71"/>
        <v>Musrigharari</v>
      </c>
      <c r="AJ1488" s="72">
        <v>500</v>
      </c>
      <c r="AK1488" s="72"/>
      <c r="AL1488" s="72"/>
      <c r="AM1488" s="72"/>
    </row>
    <row r="1489" spans="1:39" x14ac:dyDescent="0.25">
      <c r="A1489" s="37" t="s">
        <v>62</v>
      </c>
      <c r="B1489" s="66" t="s">
        <v>1638</v>
      </c>
      <c r="C1489" s="47">
        <v>1013</v>
      </c>
      <c r="D1489" s="47" t="s">
        <v>343</v>
      </c>
      <c r="E1489" s="41">
        <v>10130027</v>
      </c>
      <c r="F1489" s="46" t="s">
        <v>1477</v>
      </c>
      <c r="G1489" s="39" t="s">
        <v>92</v>
      </c>
      <c r="H1489" s="48" t="s">
        <v>98</v>
      </c>
      <c r="I1489" s="52">
        <v>87.2</v>
      </c>
      <c r="J1489" s="49">
        <v>3368.5199999999995</v>
      </c>
      <c r="K1489" s="65">
        <v>0</v>
      </c>
      <c r="L1489" s="65">
        <v>0</v>
      </c>
      <c r="M1489" s="65">
        <v>0</v>
      </c>
      <c r="N1489" s="65">
        <v>0</v>
      </c>
      <c r="O1489" s="65">
        <v>0</v>
      </c>
      <c r="P1489" s="65">
        <v>0</v>
      </c>
      <c r="Q1489" s="50">
        <v>3368.5199999999995</v>
      </c>
      <c r="R1489" s="65">
        <v>0</v>
      </c>
      <c r="S1489" s="65">
        <v>0</v>
      </c>
      <c r="T1489" s="65">
        <v>0</v>
      </c>
      <c r="U1489" s="65">
        <v>0</v>
      </c>
      <c r="V1489" s="65">
        <v>0</v>
      </c>
      <c r="W1489" s="65">
        <v>0</v>
      </c>
      <c r="X1489" s="65">
        <v>0</v>
      </c>
      <c r="Y1489" s="65">
        <v>0</v>
      </c>
      <c r="Z1489" s="65">
        <v>3368.5199999999995</v>
      </c>
      <c r="AA1489" s="51">
        <v>0</v>
      </c>
      <c r="AB1489" s="102">
        <v>0</v>
      </c>
      <c r="AC1489" s="81">
        <f t="shared" si="72"/>
        <v>473.44703119266046</v>
      </c>
      <c r="AD1489" s="82">
        <f t="shared" si="73"/>
        <v>12.457142857142857</v>
      </c>
      <c r="AE1489" s="218">
        <v>0</v>
      </c>
      <c r="AF1489">
        <v>0</v>
      </c>
      <c r="AH1489" t="str">
        <f t="shared" si="71"/>
        <v>Musrigharari</v>
      </c>
      <c r="AJ1489" s="72">
        <v>0</v>
      </c>
      <c r="AK1489" s="72"/>
      <c r="AL1489" s="72"/>
      <c r="AM1489" s="72"/>
    </row>
    <row r="1490" spans="1:39" x14ac:dyDescent="0.25">
      <c r="A1490" s="37" t="s">
        <v>62</v>
      </c>
      <c r="B1490" s="66" t="s">
        <v>1638</v>
      </c>
      <c r="C1490" s="47">
        <v>1013</v>
      </c>
      <c r="D1490" s="47" t="s">
        <v>343</v>
      </c>
      <c r="E1490" s="41">
        <v>10130030</v>
      </c>
      <c r="F1490" s="46" t="s">
        <v>356</v>
      </c>
      <c r="G1490" s="39" t="s">
        <v>92</v>
      </c>
      <c r="H1490" s="48" t="s">
        <v>93</v>
      </c>
      <c r="I1490" s="52">
        <v>342.99999999999994</v>
      </c>
      <c r="J1490" s="49">
        <v>11586.620000000003</v>
      </c>
      <c r="K1490" s="65">
        <v>282.39999999999998</v>
      </c>
      <c r="L1490" s="65">
        <v>9882.6999999999971</v>
      </c>
      <c r="M1490" s="65">
        <v>53.8</v>
      </c>
      <c r="N1490" s="65">
        <v>1674.6000000000001</v>
      </c>
      <c r="O1490" s="65">
        <v>336.2</v>
      </c>
      <c r="P1490" s="65">
        <v>11557.299999999997</v>
      </c>
      <c r="Q1490" s="50">
        <v>11557.299999999997</v>
      </c>
      <c r="R1490" s="65">
        <v>0</v>
      </c>
      <c r="S1490" s="65">
        <v>0</v>
      </c>
      <c r="T1490" s="65">
        <v>0</v>
      </c>
      <c r="U1490" s="65">
        <v>1400</v>
      </c>
      <c r="V1490" s="65">
        <v>0</v>
      </c>
      <c r="W1490" s="65">
        <v>0</v>
      </c>
      <c r="X1490" s="65">
        <v>8482</v>
      </c>
      <c r="Y1490" s="65">
        <v>1675</v>
      </c>
      <c r="Z1490" s="65">
        <v>0</v>
      </c>
      <c r="AA1490" s="51">
        <v>30</v>
      </c>
      <c r="AB1490" s="102">
        <v>0</v>
      </c>
      <c r="AC1490" s="81">
        <f t="shared" si="72"/>
        <v>241.19086530612259</v>
      </c>
      <c r="AD1490" s="82">
        <f t="shared" si="73"/>
        <v>48.999999999999993</v>
      </c>
      <c r="AE1490" s="218">
        <v>2.5305050135419269E-3</v>
      </c>
      <c r="AF1490">
        <v>8</v>
      </c>
      <c r="AH1490" t="str">
        <f t="shared" si="71"/>
        <v>Musrigharari</v>
      </c>
      <c r="AJ1490" s="72">
        <v>0</v>
      </c>
      <c r="AK1490" s="72"/>
      <c r="AL1490" s="72"/>
      <c r="AM1490" s="72"/>
    </row>
    <row r="1491" spans="1:39" x14ac:dyDescent="0.25">
      <c r="A1491" s="37" t="s">
        <v>62</v>
      </c>
      <c r="B1491" s="66" t="s">
        <v>1638</v>
      </c>
      <c r="C1491" s="47">
        <v>1013</v>
      </c>
      <c r="D1491" s="47" t="s">
        <v>343</v>
      </c>
      <c r="E1491" s="41">
        <v>10130031</v>
      </c>
      <c r="F1491" s="46" t="s">
        <v>357</v>
      </c>
      <c r="G1491" s="39" t="s">
        <v>1610</v>
      </c>
      <c r="H1491" s="48" t="s">
        <v>98</v>
      </c>
      <c r="I1491" s="52">
        <v>130.1</v>
      </c>
      <c r="J1491" s="49">
        <v>4528.34</v>
      </c>
      <c r="K1491" s="65">
        <v>0</v>
      </c>
      <c r="L1491" s="65">
        <v>0</v>
      </c>
      <c r="M1491" s="65">
        <v>0</v>
      </c>
      <c r="N1491" s="65">
        <v>0</v>
      </c>
      <c r="O1491" s="65">
        <v>0</v>
      </c>
      <c r="P1491" s="65">
        <v>0</v>
      </c>
      <c r="Q1491" s="50">
        <v>4528.34</v>
      </c>
      <c r="R1491" s="65">
        <v>0</v>
      </c>
      <c r="S1491" s="65">
        <v>0</v>
      </c>
      <c r="T1491" s="65">
        <v>0</v>
      </c>
      <c r="U1491" s="65">
        <v>3339</v>
      </c>
      <c r="V1491" s="65">
        <v>0</v>
      </c>
      <c r="W1491" s="65">
        <v>0</v>
      </c>
      <c r="X1491" s="65">
        <v>0</v>
      </c>
      <c r="Y1491" s="65">
        <v>0</v>
      </c>
      <c r="Z1491" s="65">
        <v>1189.3400000000001</v>
      </c>
      <c r="AA1491" s="51">
        <v>0</v>
      </c>
      <c r="AB1491" s="102">
        <v>0</v>
      </c>
      <c r="AC1491" s="81">
        <f t="shared" si="72"/>
        <v>396.7257441967717</v>
      </c>
      <c r="AD1491" s="82">
        <f t="shared" si="73"/>
        <v>18.585714285714285</v>
      </c>
      <c r="AE1491" s="218">
        <v>0</v>
      </c>
      <c r="AF1491">
        <v>0</v>
      </c>
      <c r="AH1491" t="str">
        <f t="shared" si="71"/>
        <v>Musrigharari</v>
      </c>
      <c r="AJ1491" s="72">
        <v>0</v>
      </c>
      <c r="AK1491" s="72"/>
      <c r="AL1491" s="72"/>
      <c r="AM1491" s="72"/>
    </row>
    <row r="1492" spans="1:39" x14ac:dyDescent="0.25">
      <c r="A1492" s="37" t="s">
        <v>62</v>
      </c>
      <c r="B1492" s="66" t="s">
        <v>1638</v>
      </c>
      <c r="C1492" s="47">
        <v>1013</v>
      </c>
      <c r="D1492" s="47" t="s">
        <v>343</v>
      </c>
      <c r="E1492" s="41">
        <v>10130032</v>
      </c>
      <c r="F1492" s="46" t="s">
        <v>608</v>
      </c>
      <c r="G1492" s="39" t="s">
        <v>92</v>
      </c>
      <c r="H1492" s="48" t="s">
        <v>93</v>
      </c>
      <c r="I1492" s="52">
        <v>71.2</v>
      </c>
      <c r="J1492" s="49">
        <v>3062.07</v>
      </c>
      <c r="K1492" s="65">
        <v>58.000000000000007</v>
      </c>
      <c r="L1492" s="65">
        <v>2574.7199999999998</v>
      </c>
      <c r="M1492" s="65">
        <v>9</v>
      </c>
      <c r="N1492" s="65">
        <v>320.64</v>
      </c>
      <c r="O1492" s="65">
        <v>67</v>
      </c>
      <c r="P1492" s="65">
        <v>2895.3599999999997</v>
      </c>
      <c r="Q1492" s="50">
        <v>2895.3599999999997</v>
      </c>
      <c r="R1492" s="65">
        <v>0</v>
      </c>
      <c r="S1492" s="65">
        <v>0</v>
      </c>
      <c r="T1492" s="65">
        <v>0</v>
      </c>
      <c r="U1492" s="65">
        <v>0</v>
      </c>
      <c r="V1492" s="65">
        <v>500</v>
      </c>
      <c r="W1492" s="65">
        <v>0</v>
      </c>
      <c r="X1492" s="65">
        <v>2075</v>
      </c>
      <c r="Y1492" s="65">
        <v>321</v>
      </c>
      <c r="Z1492" s="65">
        <v>0</v>
      </c>
      <c r="AA1492" s="51">
        <v>166</v>
      </c>
      <c r="AB1492" s="102">
        <v>0</v>
      </c>
      <c r="AC1492" s="81">
        <f t="shared" si="72"/>
        <v>540.85101573033705</v>
      </c>
      <c r="AD1492" s="82">
        <f t="shared" si="73"/>
        <v>10.171428571428573</v>
      </c>
      <c r="AE1492" s="218">
        <v>5.4443562687985739E-2</v>
      </c>
      <c r="AF1492">
        <v>3</v>
      </c>
      <c r="AH1492" t="str">
        <f t="shared" si="71"/>
        <v>Musrigharari</v>
      </c>
      <c r="AJ1492" s="72">
        <v>500</v>
      </c>
      <c r="AK1492" s="72"/>
      <c r="AL1492" s="72"/>
      <c r="AM1492" s="72"/>
    </row>
    <row r="1493" spans="1:39" x14ac:dyDescent="0.25">
      <c r="A1493" s="37" t="s">
        <v>62</v>
      </c>
      <c r="B1493" s="66" t="s">
        <v>1638</v>
      </c>
      <c r="C1493" s="47">
        <v>1013</v>
      </c>
      <c r="D1493" s="47" t="s">
        <v>343</v>
      </c>
      <c r="E1493" s="41">
        <v>10130040</v>
      </c>
      <c r="F1493" s="46" t="s">
        <v>358</v>
      </c>
      <c r="G1493" s="39" t="s">
        <v>1610</v>
      </c>
      <c r="H1493" s="48" t="s">
        <v>98</v>
      </c>
      <c r="I1493" s="52">
        <v>1044.9000000000001</v>
      </c>
      <c r="J1493" s="49">
        <v>28086.920000000002</v>
      </c>
      <c r="K1493" s="65">
        <v>0</v>
      </c>
      <c r="L1493" s="65">
        <v>0</v>
      </c>
      <c r="M1493" s="65">
        <v>0</v>
      </c>
      <c r="N1493" s="65">
        <v>0</v>
      </c>
      <c r="O1493" s="65">
        <v>0</v>
      </c>
      <c r="P1493" s="65">
        <v>0</v>
      </c>
      <c r="Q1493" s="50">
        <v>28086.920000000002</v>
      </c>
      <c r="R1493" s="65">
        <v>0</v>
      </c>
      <c r="S1493" s="65">
        <v>0</v>
      </c>
      <c r="T1493" s="65">
        <v>0</v>
      </c>
      <c r="U1493" s="65">
        <v>0</v>
      </c>
      <c r="V1493" s="65">
        <v>0</v>
      </c>
      <c r="W1493" s="65">
        <v>0</v>
      </c>
      <c r="X1493" s="65">
        <v>0</v>
      </c>
      <c r="Y1493" s="65">
        <v>0</v>
      </c>
      <c r="Z1493" s="65">
        <v>28086.920000000002</v>
      </c>
      <c r="AA1493" s="51">
        <v>0</v>
      </c>
      <c r="AB1493" s="102">
        <v>0</v>
      </c>
      <c r="AC1493" s="81">
        <f t="shared" si="72"/>
        <v>0</v>
      </c>
      <c r="AD1493" s="82">
        <f t="shared" si="73"/>
        <v>0</v>
      </c>
      <c r="AE1493" s="218">
        <v>0</v>
      </c>
      <c r="AF1493">
        <v>0</v>
      </c>
      <c r="AH1493" t="str">
        <f t="shared" si="71"/>
        <v>Musrigharari</v>
      </c>
      <c r="AJ1493" s="72">
        <v>0</v>
      </c>
      <c r="AK1493" s="72"/>
      <c r="AL1493" s="72"/>
      <c r="AM1493" s="72"/>
    </row>
    <row r="1494" spans="1:39" x14ac:dyDescent="0.25">
      <c r="A1494" s="37" t="s">
        <v>62</v>
      </c>
      <c r="B1494" s="66" t="s">
        <v>1638</v>
      </c>
      <c r="C1494" s="47">
        <v>1013</v>
      </c>
      <c r="D1494" s="47" t="s">
        <v>343</v>
      </c>
      <c r="E1494" s="41">
        <v>10130041</v>
      </c>
      <c r="F1494" s="46" t="s">
        <v>359</v>
      </c>
      <c r="G1494" s="39" t="s">
        <v>1610</v>
      </c>
      <c r="H1494" s="48" t="s">
        <v>98</v>
      </c>
      <c r="I1494" s="52">
        <v>26.799999999999997</v>
      </c>
      <c r="J1494" s="49">
        <v>947.78</v>
      </c>
      <c r="K1494" s="65">
        <v>0</v>
      </c>
      <c r="L1494" s="65">
        <v>0</v>
      </c>
      <c r="M1494" s="65">
        <v>0</v>
      </c>
      <c r="N1494" s="65">
        <v>0</v>
      </c>
      <c r="O1494" s="65">
        <v>0</v>
      </c>
      <c r="P1494" s="65">
        <v>0</v>
      </c>
      <c r="Q1494" s="50">
        <v>947.78</v>
      </c>
      <c r="R1494" s="65">
        <v>0</v>
      </c>
      <c r="S1494" s="65">
        <v>0</v>
      </c>
      <c r="T1494" s="65">
        <v>0</v>
      </c>
      <c r="U1494" s="65">
        <v>259</v>
      </c>
      <c r="V1494" s="65">
        <v>0</v>
      </c>
      <c r="W1494" s="65">
        <v>0</v>
      </c>
      <c r="X1494" s="65">
        <v>0</v>
      </c>
      <c r="Y1494" s="65">
        <v>0</v>
      </c>
      <c r="Z1494" s="65">
        <v>688.78</v>
      </c>
      <c r="AA1494" s="51">
        <v>0</v>
      </c>
      <c r="AB1494" s="102">
        <v>0</v>
      </c>
      <c r="AC1494" s="81">
        <f t="shared" si="72"/>
        <v>476.15335522388074</v>
      </c>
      <c r="AD1494" s="82">
        <f t="shared" si="73"/>
        <v>3.8285714285714283</v>
      </c>
      <c r="AE1494" s="218">
        <v>0</v>
      </c>
      <c r="AF1494">
        <v>0</v>
      </c>
      <c r="AH1494" t="str">
        <f t="shared" si="71"/>
        <v>Musrigharari</v>
      </c>
      <c r="AJ1494" s="72">
        <v>0</v>
      </c>
      <c r="AK1494" s="72"/>
      <c r="AL1494" s="72"/>
      <c r="AM1494" s="72"/>
    </row>
    <row r="1495" spans="1:39" x14ac:dyDescent="0.25">
      <c r="A1495" s="37" t="s">
        <v>62</v>
      </c>
      <c r="B1495" s="66" t="s">
        <v>1638</v>
      </c>
      <c r="C1495" s="47">
        <v>1013</v>
      </c>
      <c r="D1495" s="47" t="s">
        <v>343</v>
      </c>
      <c r="E1495" s="41">
        <v>10130042</v>
      </c>
      <c r="F1495" s="46" t="s">
        <v>360</v>
      </c>
      <c r="G1495" s="39" t="s">
        <v>1610</v>
      </c>
      <c r="H1495" s="48" t="s">
        <v>98</v>
      </c>
      <c r="I1495" s="52">
        <v>11.4</v>
      </c>
      <c r="J1495" s="49">
        <v>437.53</v>
      </c>
      <c r="K1495" s="65">
        <v>0</v>
      </c>
      <c r="L1495" s="65">
        <v>0</v>
      </c>
      <c r="M1495" s="65">
        <v>0</v>
      </c>
      <c r="N1495" s="65">
        <v>0</v>
      </c>
      <c r="O1495" s="65">
        <v>0</v>
      </c>
      <c r="P1495" s="65">
        <v>0</v>
      </c>
      <c r="Q1495" s="50">
        <v>437.53</v>
      </c>
      <c r="R1495" s="65">
        <v>0</v>
      </c>
      <c r="S1495" s="65">
        <v>0</v>
      </c>
      <c r="T1495" s="65">
        <v>0</v>
      </c>
      <c r="U1495" s="65">
        <v>0</v>
      </c>
      <c r="V1495" s="65">
        <v>0</v>
      </c>
      <c r="W1495" s="65">
        <v>0</v>
      </c>
      <c r="X1495" s="65">
        <v>0</v>
      </c>
      <c r="Y1495" s="65">
        <v>0</v>
      </c>
      <c r="Z1495" s="65">
        <v>437.53</v>
      </c>
      <c r="AA1495" s="51">
        <v>0</v>
      </c>
      <c r="AB1495" s="102">
        <v>0</v>
      </c>
      <c r="AC1495" s="81">
        <f t="shared" si="72"/>
        <v>528.56694385964897</v>
      </c>
      <c r="AD1495" s="82">
        <f t="shared" si="73"/>
        <v>1.6285714285714286</v>
      </c>
      <c r="AE1495" s="218">
        <v>0</v>
      </c>
      <c r="AF1495">
        <v>0</v>
      </c>
      <c r="AH1495" t="str">
        <f t="shared" si="71"/>
        <v>Musrigharari</v>
      </c>
      <c r="AJ1495" s="72">
        <v>0</v>
      </c>
      <c r="AK1495" s="72"/>
      <c r="AL1495" s="72"/>
      <c r="AM1495" s="72"/>
    </row>
    <row r="1496" spans="1:39" x14ac:dyDescent="0.25">
      <c r="A1496" s="37" t="s">
        <v>62</v>
      </c>
      <c r="B1496" s="66" t="s">
        <v>1638</v>
      </c>
      <c r="C1496" s="47">
        <v>1013</v>
      </c>
      <c r="D1496" s="47" t="s">
        <v>343</v>
      </c>
      <c r="E1496" s="41">
        <v>10130044</v>
      </c>
      <c r="F1496" s="46" t="s">
        <v>361</v>
      </c>
      <c r="G1496" s="39" t="s">
        <v>92</v>
      </c>
      <c r="H1496" s="48" t="s">
        <v>98</v>
      </c>
      <c r="I1496" s="52">
        <v>2628.0000000000005</v>
      </c>
      <c r="J1496" s="49">
        <v>118932.94000000002</v>
      </c>
      <c r="K1496" s="65">
        <v>0</v>
      </c>
      <c r="L1496" s="65">
        <v>0</v>
      </c>
      <c r="M1496" s="65">
        <v>0</v>
      </c>
      <c r="N1496" s="65">
        <v>0</v>
      </c>
      <c r="O1496" s="65">
        <v>0</v>
      </c>
      <c r="P1496" s="65">
        <v>0</v>
      </c>
      <c r="Q1496" s="50">
        <v>118932.94000000002</v>
      </c>
      <c r="R1496" s="65">
        <v>0</v>
      </c>
      <c r="S1496" s="65">
        <v>0</v>
      </c>
      <c r="T1496" s="65">
        <v>0</v>
      </c>
      <c r="U1496" s="65">
        <v>0</v>
      </c>
      <c r="V1496" s="65">
        <v>0</v>
      </c>
      <c r="W1496" s="65">
        <v>0</v>
      </c>
      <c r="X1496" s="65">
        <v>0</v>
      </c>
      <c r="Y1496" s="65">
        <v>0</v>
      </c>
      <c r="Z1496" s="65">
        <v>118932.94000000002</v>
      </c>
      <c r="AA1496" s="51">
        <v>0</v>
      </c>
      <c r="AB1496" s="102">
        <v>0</v>
      </c>
      <c r="AC1496" s="81">
        <f t="shared" si="72"/>
        <v>0</v>
      </c>
      <c r="AD1496" s="82">
        <f t="shared" si="73"/>
        <v>0</v>
      </c>
      <c r="AE1496" s="218">
        <v>0</v>
      </c>
      <c r="AF1496">
        <v>0</v>
      </c>
      <c r="AH1496" t="str">
        <f t="shared" si="71"/>
        <v>Musrigharari</v>
      </c>
      <c r="AJ1496" s="72">
        <v>0</v>
      </c>
      <c r="AK1496" s="72"/>
      <c r="AL1496" s="72"/>
      <c r="AM1496" s="72"/>
    </row>
    <row r="1497" spans="1:39" x14ac:dyDescent="0.25">
      <c r="A1497" s="37" t="s">
        <v>62</v>
      </c>
      <c r="B1497" s="66" t="s">
        <v>1638</v>
      </c>
      <c r="C1497" s="47">
        <v>1013</v>
      </c>
      <c r="D1497" s="47" t="s">
        <v>343</v>
      </c>
      <c r="E1497" s="41">
        <v>10130046</v>
      </c>
      <c r="F1497" s="46" t="s">
        <v>362</v>
      </c>
      <c r="G1497" s="39" t="s">
        <v>92</v>
      </c>
      <c r="H1497" s="48" t="s">
        <v>93</v>
      </c>
      <c r="I1497" s="52">
        <v>330.10000000000008</v>
      </c>
      <c r="J1497" s="49">
        <v>14772.390000000001</v>
      </c>
      <c r="K1497" s="65">
        <v>275.91999999999996</v>
      </c>
      <c r="L1497" s="65">
        <v>12815.05</v>
      </c>
      <c r="M1497" s="65">
        <v>26.76</v>
      </c>
      <c r="N1497" s="65">
        <v>1817.79</v>
      </c>
      <c r="O1497" s="65">
        <v>302.67999999999995</v>
      </c>
      <c r="P1497" s="65">
        <v>14632.84</v>
      </c>
      <c r="Q1497" s="50">
        <v>14632.84</v>
      </c>
      <c r="R1497" s="65">
        <v>0</v>
      </c>
      <c r="S1497" s="65">
        <v>0</v>
      </c>
      <c r="T1497" s="65">
        <v>0</v>
      </c>
      <c r="U1497" s="65">
        <v>1809</v>
      </c>
      <c r="V1497" s="65">
        <v>0</v>
      </c>
      <c r="W1497" s="65">
        <v>0</v>
      </c>
      <c r="X1497" s="65">
        <v>11006</v>
      </c>
      <c r="Y1497" s="65">
        <v>1818</v>
      </c>
      <c r="Z1497" s="65">
        <v>0</v>
      </c>
      <c r="AA1497" s="51">
        <v>139</v>
      </c>
      <c r="AB1497" s="102">
        <v>0</v>
      </c>
      <c r="AC1497" s="81">
        <f t="shared" si="72"/>
        <v>331.06980072705227</v>
      </c>
      <c r="AD1497" s="82">
        <f t="shared" si="73"/>
        <v>47.157142857142865</v>
      </c>
      <c r="AE1497" s="218">
        <v>9.4466772133690678E-3</v>
      </c>
      <c r="AF1497">
        <v>9</v>
      </c>
      <c r="AH1497" t="str">
        <f t="shared" si="71"/>
        <v>Musrigharari</v>
      </c>
      <c r="AJ1497" s="72">
        <v>0</v>
      </c>
      <c r="AK1497" s="72"/>
      <c r="AL1497" s="72"/>
      <c r="AM1497" s="72"/>
    </row>
    <row r="1498" spans="1:39" x14ac:dyDescent="0.25">
      <c r="A1498" s="37" t="s">
        <v>62</v>
      </c>
      <c r="B1498" s="66" t="s">
        <v>1638</v>
      </c>
      <c r="C1498" s="47">
        <v>1013</v>
      </c>
      <c r="D1498" s="47" t="s">
        <v>343</v>
      </c>
      <c r="E1498" s="41">
        <v>10130047</v>
      </c>
      <c r="F1498" s="46" t="s">
        <v>363</v>
      </c>
      <c r="G1498" s="39" t="s">
        <v>92</v>
      </c>
      <c r="H1498" s="48" t="s">
        <v>93</v>
      </c>
      <c r="I1498" s="52">
        <v>256.89999999999998</v>
      </c>
      <c r="J1498" s="49">
        <v>9829.9700000000012</v>
      </c>
      <c r="K1498" s="65">
        <v>253.36999999999995</v>
      </c>
      <c r="L1498" s="65">
        <v>9748.61</v>
      </c>
      <c r="M1498" s="65">
        <v>1.7899999999999998</v>
      </c>
      <c r="N1498" s="65">
        <v>65.94</v>
      </c>
      <c r="O1498" s="65">
        <v>255.15999999999994</v>
      </c>
      <c r="P1498" s="65">
        <v>9814.5500000000011</v>
      </c>
      <c r="Q1498" s="50">
        <v>9814.5500000000011</v>
      </c>
      <c r="R1498" s="65">
        <v>0</v>
      </c>
      <c r="S1498" s="65">
        <v>65.94</v>
      </c>
      <c r="T1498" s="65">
        <v>0</v>
      </c>
      <c r="U1498" s="65">
        <v>0</v>
      </c>
      <c r="V1498" s="65">
        <v>0</v>
      </c>
      <c r="W1498" s="65">
        <v>0</v>
      </c>
      <c r="X1498" s="65">
        <v>9749</v>
      </c>
      <c r="Y1498" s="65">
        <v>0</v>
      </c>
      <c r="Z1498" s="65">
        <v>0</v>
      </c>
      <c r="AA1498" s="51">
        <v>15</v>
      </c>
      <c r="AB1498" s="102">
        <v>0</v>
      </c>
      <c r="AC1498" s="81">
        <f t="shared" si="72"/>
        <v>339.09378801089929</v>
      </c>
      <c r="AD1498" s="82">
        <f t="shared" si="73"/>
        <v>36.699999999999996</v>
      </c>
      <c r="AE1498" s="218">
        <v>1.5686721322649073E-3</v>
      </c>
      <c r="AF1498">
        <v>8</v>
      </c>
      <c r="AH1498" t="str">
        <f t="shared" si="71"/>
        <v>Musrigharari</v>
      </c>
      <c r="AJ1498" s="72">
        <v>0</v>
      </c>
      <c r="AK1498" s="72"/>
      <c r="AL1498" s="72"/>
      <c r="AM1498" s="72"/>
    </row>
    <row r="1499" spans="1:39" x14ac:dyDescent="0.25">
      <c r="A1499" s="37" t="s">
        <v>62</v>
      </c>
      <c r="B1499" s="66" t="s">
        <v>1638</v>
      </c>
      <c r="C1499" s="47">
        <v>1013</v>
      </c>
      <c r="D1499" s="47" t="s">
        <v>343</v>
      </c>
      <c r="E1499" s="41">
        <v>10130052</v>
      </c>
      <c r="F1499" s="46" t="s">
        <v>365</v>
      </c>
      <c r="G1499" s="39" t="s">
        <v>92</v>
      </c>
      <c r="H1499" s="48" t="s">
        <v>93</v>
      </c>
      <c r="I1499" s="52">
        <v>1160.9000000000001</v>
      </c>
      <c r="J1499" s="49">
        <v>42077.99</v>
      </c>
      <c r="K1499" s="65">
        <v>834.42</v>
      </c>
      <c r="L1499" s="65">
        <v>30731.809999999998</v>
      </c>
      <c r="M1499" s="65">
        <v>324.32</v>
      </c>
      <c r="N1499" s="65">
        <v>11319.18</v>
      </c>
      <c r="O1499" s="65">
        <v>1158.74</v>
      </c>
      <c r="P1499" s="65">
        <v>42050.99</v>
      </c>
      <c r="Q1499" s="50">
        <v>42050.99</v>
      </c>
      <c r="R1499" s="65">
        <v>0</v>
      </c>
      <c r="S1499" s="65">
        <v>493.14</v>
      </c>
      <c r="T1499" s="65">
        <v>0</v>
      </c>
      <c r="U1499" s="65">
        <v>316</v>
      </c>
      <c r="V1499" s="65">
        <v>0</v>
      </c>
      <c r="W1499" s="65">
        <v>0</v>
      </c>
      <c r="X1499" s="65">
        <v>30415</v>
      </c>
      <c r="Y1499" s="65">
        <v>10827</v>
      </c>
      <c r="Z1499" s="65">
        <v>0</v>
      </c>
      <c r="AA1499" s="51">
        <v>27</v>
      </c>
      <c r="AB1499" s="102">
        <v>0</v>
      </c>
      <c r="AC1499" s="81">
        <f t="shared" si="72"/>
        <v>0</v>
      </c>
      <c r="AD1499" s="82">
        <f t="shared" si="73"/>
        <v>0</v>
      </c>
      <c r="AE1499" s="218">
        <v>6.4166563089158965E-4</v>
      </c>
      <c r="AF1499">
        <v>28</v>
      </c>
      <c r="AH1499" t="str">
        <f t="shared" si="71"/>
        <v>Musrigharari</v>
      </c>
      <c r="AJ1499" s="72">
        <v>0</v>
      </c>
      <c r="AK1499" s="72"/>
      <c r="AL1499" s="72"/>
      <c r="AM1499" s="72"/>
    </row>
    <row r="1500" spans="1:39" x14ac:dyDescent="0.25">
      <c r="A1500" s="37" t="s">
        <v>62</v>
      </c>
      <c r="B1500" s="66" t="s">
        <v>1638</v>
      </c>
      <c r="C1500" s="47">
        <v>1013</v>
      </c>
      <c r="D1500" s="47" t="s">
        <v>343</v>
      </c>
      <c r="E1500" s="41">
        <v>10130054</v>
      </c>
      <c r="F1500" s="46" t="s">
        <v>366</v>
      </c>
      <c r="G1500" s="39" t="s">
        <v>92</v>
      </c>
      <c r="H1500" s="48" t="s">
        <v>93</v>
      </c>
      <c r="I1500" s="52">
        <v>804.59999999999991</v>
      </c>
      <c r="J1500" s="49">
        <v>32665.889999999996</v>
      </c>
      <c r="K1500" s="65">
        <v>320.71999999999997</v>
      </c>
      <c r="L1500" s="65">
        <v>13780.73</v>
      </c>
      <c r="M1500" s="65">
        <v>484.90999999999997</v>
      </c>
      <c r="N1500" s="65">
        <v>18869.009999999998</v>
      </c>
      <c r="O1500" s="65">
        <v>805.62999999999988</v>
      </c>
      <c r="P1500" s="65">
        <v>32649.739999999998</v>
      </c>
      <c r="Q1500" s="50">
        <v>32649.739999999998</v>
      </c>
      <c r="R1500" s="65">
        <v>0</v>
      </c>
      <c r="S1500" s="65">
        <v>152.37</v>
      </c>
      <c r="T1500" s="65">
        <v>0</v>
      </c>
      <c r="U1500" s="65">
        <v>1238</v>
      </c>
      <c r="V1500" s="65">
        <v>0</v>
      </c>
      <c r="W1500" s="65">
        <v>0</v>
      </c>
      <c r="X1500" s="65">
        <v>12544</v>
      </c>
      <c r="Y1500" s="65">
        <v>18716</v>
      </c>
      <c r="Z1500" s="65">
        <v>0</v>
      </c>
      <c r="AA1500" s="51">
        <v>16</v>
      </c>
      <c r="AB1500" s="102" t="s">
        <v>68</v>
      </c>
      <c r="AC1500" s="81">
        <f t="shared" si="72"/>
        <v>0</v>
      </c>
      <c r="AD1500" s="82">
        <f t="shared" si="73"/>
        <v>0</v>
      </c>
      <c r="AE1500" s="218">
        <v>4.9439950970256192E-4</v>
      </c>
      <c r="AF1500">
        <v>18</v>
      </c>
      <c r="AH1500" t="str">
        <f t="shared" si="71"/>
        <v>Musrigharari</v>
      </c>
      <c r="AJ1500" s="72">
        <v>0</v>
      </c>
      <c r="AK1500" s="72"/>
      <c r="AL1500" s="72"/>
      <c r="AM1500" s="72"/>
    </row>
    <row r="1501" spans="1:39" x14ac:dyDescent="0.25">
      <c r="A1501" s="37" t="s">
        <v>62</v>
      </c>
      <c r="B1501" s="66" t="s">
        <v>1638</v>
      </c>
      <c r="C1501" s="47">
        <v>1013</v>
      </c>
      <c r="D1501" s="47" t="s">
        <v>343</v>
      </c>
      <c r="E1501" s="43">
        <v>10130058</v>
      </c>
      <c r="F1501" s="46" t="s">
        <v>367</v>
      </c>
      <c r="G1501" s="39" t="s">
        <v>1610</v>
      </c>
      <c r="H1501" s="48" t="s">
        <v>98</v>
      </c>
      <c r="I1501" s="52">
        <v>1344.7</v>
      </c>
      <c r="J1501" s="49">
        <v>44725.66</v>
      </c>
      <c r="K1501" s="65">
        <v>0</v>
      </c>
      <c r="L1501" s="65">
        <v>0</v>
      </c>
      <c r="M1501" s="65">
        <v>0</v>
      </c>
      <c r="N1501" s="65">
        <v>0</v>
      </c>
      <c r="O1501" s="65">
        <v>0</v>
      </c>
      <c r="P1501" s="65">
        <v>0</v>
      </c>
      <c r="Q1501" s="50">
        <v>44725.66</v>
      </c>
      <c r="R1501" s="65">
        <v>0</v>
      </c>
      <c r="S1501" s="65">
        <v>0</v>
      </c>
      <c r="T1501" s="65">
        <v>0</v>
      </c>
      <c r="U1501" s="65">
        <v>0</v>
      </c>
      <c r="V1501" s="65">
        <v>0</v>
      </c>
      <c r="W1501" s="65">
        <v>0</v>
      </c>
      <c r="X1501" s="65">
        <v>0</v>
      </c>
      <c r="Y1501" s="65">
        <v>0</v>
      </c>
      <c r="Z1501" s="65">
        <v>44725.66</v>
      </c>
      <c r="AA1501" s="51">
        <v>0</v>
      </c>
      <c r="AB1501" s="102">
        <v>0</v>
      </c>
      <c r="AC1501" s="81">
        <f t="shared" si="72"/>
        <v>0</v>
      </c>
      <c r="AD1501" s="82">
        <f t="shared" si="73"/>
        <v>0</v>
      </c>
      <c r="AE1501" s="218">
        <v>0</v>
      </c>
      <c r="AF1501">
        <v>0</v>
      </c>
      <c r="AH1501" t="str">
        <f t="shared" si="71"/>
        <v>Musrigharari</v>
      </c>
      <c r="AJ1501" s="72">
        <v>0</v>
      </c>
      <c r="AK1501" s="72"/>
      <c r="AL1501" s="72"/>
      <c r="AM1501" s="72"/>
    </row>
    <row r="1502" spans="1:39" x14ac:dyDescent="0.25">
      <c r="A1502" s="37" t="s">
        <v>62</v>
      </c>
      <c r="B1502" s="66" t="s">
        <v>1638</v>
      </c>
      <c r="C1502" s="47">
        <v>1013</v>
      </c>
      <c r="D1502" s="47" t="s">
        <v>343</v>
      </c>
      <c r="E1502" s="43">
        <v>10130061</v>
      </c>
      <c r="F1502" s="46" t="s">
        <v>1568</v>
      </c>
      <c r="G1502" s="39" t="s">
        <v>1610</v>
      </c>
      <c r="H1502" s="48" t="s">
        <v>98</v>
      </c>
      <c r="I1502" s="52">
        <v>274.10000000000002</v>
      </c>
      <c r="J1502" s="49">
        <v>11453.710000000001</v>
      </c>
      <c r="K1502" s="65">
        <v>0</v>
      </c>
      <c r="L1502" s="65">
        <v>0</v>
      </c>
      <c r="M1502" s="65">
        <v>0</v>
      </c>
      <c r="N1502" s="65">
        <v>0</v>
      </c>
      <c r="O1502" s="65">
        <v>0</v>
      </c>
      <c r="P1502" s="65">
        <v>0</v>
      </c>
      <c r="Q1502" s="50">
        <v>11453.710000000001</v>
      </c>
      <c r="R1502" s="65">
        <v>0</v>
      </c>
      <c r="S1502" s="65">
        <v>0</v>
      </c>
      <c r="T1502" s="65">
        <v>0</v>
      </c>
      <c r="U1502" s="65">
        <v>0</v>
      </c>
      <c r="V1502" s="65">
        <v>0</v>
      </c>
      <c r="W1502" s="65">
        <v>0</v>
      </c>
      <c r="X1502" s="65">
        <v>0</v>
      </c>
      <c r="Y1502" s="65">
        <v>0</v>
      </c>
      <c r="Z1502" s="65">
        <v>11453.710000000001</v>
      </c>
      <c r="AA1502" s="51">
        <v>0</v>
      </c>
      <c r="AB1502" s="102">
        <v>0</v>
      </c>
      <c r="AC1502" s="81">
        <f t="shared" si="72"/>
        <v>355.9383501641737</v>
      </c>
      <c r="AD1502" s="82">
        <f t="shared" si="73"/>
        <v>39.157142857142858</v>
      </c>
      <c r="AE1502" s="218">
        <v>0</v>
      </c>
      <c r="AF1502">
        <v>0</v>
      </c>
      <c r="AH1502" t="str">
        <f t="shared" si="71"/>
        <v>Musrigharari</v>
      </c>
      <c r="AJ1502" s="72">
        <v>0</v>
      </c>
      <c r="AK1502" s="72"/>
      <c r="AL1502" s="72"/>
      <c r="AM1502" s="72"/>
    </row>
    <row r="1503" spans="1:39" x14ac:dyDescent="0.25">
      <c r="A1503" s="37" t="s">
        <v>62</v>
      </c>
      <c r="B1503" s="66" t="s">
        <v>1638</v>
      </c>
      <c r="C1503" s="47">
        <v>1013</v>
      </c>
      <c r="D1503" s="47" t="s">
        <v>343</v>
      </c>
      <c r="E1503" s="41">
        <v>10130065</v>
      </c>
      <c r="F1503" s="46" t="s">
        <v>417</v>
      </c>
      <c r="G1503" s="39" t="s">
        <v>1610</v>
      </c>
      <c r="H1503" s="48" t="s">
        <v>98</v>
      </c>
      <c r="I1503" s="52">
        <v>530.6</v>
      </c>
      <c r="J1503" s="49">
        <v>21093.58</v>
      </c>
      <c r="K1503" s="65">
        <v>0</v>
      </c>
      <c r="L1503" s="65">
        <v>0</v>
      </c>
      <c r="M1503" s="65">
        <v>0</v>
      </c>
      <c r="N1503" s="65">
        <v>0</v>
      </c>
      <c r="O1503" s="65">
        <v>0</v>
      </c>
      <c r="P1503" s="65">
        <v>0</v>
      </c>
      <c r="Q1503" s="50">
        <v>21093.58</v>
      </c>
      <c r="R1503" s="65">
        <v>0</v>
      </c>
      <c r="S1503" s="65">
        <v>0</v>
      </c>
      <c r="T1503" s="65">
        <v>0</v>
      </c>
      <c r="U1503" s="65">
        <v>0</v>
      </c>
      <c r="V1503" s="65">
        <v>0</v>
      </c>
      <c r="W1503" s="65">
        <v>0</v>
      </c>
      <c r="X1503" s="65">
        <v>0</v>
      </c>
      <c r="Y1503" s="65">
        <v>0</v>
      </c>
      <c r="Z1503" s="65">
        <v>21093.58</v>
      </c>
      <c r="AA1503" s="51">
        <v>0</v>
      </c>
      <c r="AB1503" s="102">
        <v>0</v>
      </c>
      <c r="AC1503" s="81">
        <f t="shared" si="72"/>
        <v>134.68723905013198</v>
      </c>
      <c r="AD1503" s="82">
        <f t="shared" si="73"/>
        <v>75.8</v>
      </c>
      <c r="AE1503" s="218">
        <v>0</v>
      </c>
      <c r="AF1503">
        <v>0</v>
      </c>
      <c r="AH1503" t="str">
        <f t="shared" si="71"/>
        <v>Musrigharari</v>
      </c>
      <c r="AJ1503" s="72">
        <v>0</v>
      </c>
      <c r="AK1503" s="72"/>
      <c r="AL1503" s="72"/>
      <c r="AM1503" s="72"/>
    </row>
    <row r="1504" spans="1:39" x14ac:dyDescent="0.25">
      <c r="A1504" s="37" t="s">
        <v>62</v>
      </c>
      <c r="B1504" s="66" t="s">
        <v>1638</v>
      </c>
      <c r="C1504" s="47">
        <v>1013</v>
      </c>
      <c r="D1504" s="47" t="s">
        <v>343</v>
      </c>
      <c r="E1504" s="43">
        <v>10130073</v>
      </c>
      <c r="F1504" s="46" t="s">
        <v>1602</v>
      </c>
      <c r="G1504" s="39" t="s">
        <v>92</v>
      </c>
      <c r="H1504" s="48" t="s">
        <v>93</v>
      </c>
      <c r="I1504" s="52">
        <v>658.09999999999991</v>
      </c>
      <c r="J1504" s="49">
        <v>24850.499999999996</v>
      </c>
      <c r="K1504" s="65">
        <v>353.32000000000005</v>
      </c>
      <c r="L1504" s="65">
        <v>12981.849999999999</v>
      </c>
      <c r="M1504" s="65">
        <v>311.02000000000004</v>
      </c>
      <c r="N1504" s="65">
        <v>11873.440000000002</v>
      </c>
      <c r="O1504" s="65">
        <v>664.34000000000015</v>
      </c>
      <c r="P1504" s="65">
        <v>24855.29</v>
      </c>
      <c r="Q1504" s="50">
        <v>24850.499999999996</v>
      </c>
      <c r="R1504" s="65">
        <v>0</v>
      </c>
      <c r="S1504" s="65">
        <v>0</v>
      </c>
      <c r="T1504" s="65">
        <v>4.7900000000045111</v>
      </c>
      <c r="U1504" s="65">
        <v>3100</v>
      </c>
      <c r="V1504" s="65">
        <v>0</v>
      </c>
      <c r="W1504" s="65">
        <v>0</v>
      </c>
      <c r="X1504" s="65">
        <v>9876</v>
      </c>
      <c r="Y1504" s="65">
        <v>11874</v>
      </c>
      <c r="Z1504" s="65">
        <v>0</v>
      </c>
      <c r="AA1504" s="51">
        <v>0</v>
      </c>
      <c r="AB1504" s="102">
        <v>0</v>
      </c>
      <c r="AC1504" s="81">
        <f t="shared" si="72"/>
        <v>31.643700045585824</v>
      </c>
      <c r="AD1504" s="82">
        <f t="shared" si="73"/>
        <v>94.014285714285705</v>
      </c>
      <c r="AE1504" s="218">
        <v>-1.9275266091243684E-4</v>
      </c>
      <c r="AF1504">
        <v>16</v>
      </c>
      <c r="AH1504" t="str">
        <f t="shared" si="71"/>
        <v>Musrigharari</v>
      </c>
      <c r="AJ1504" s="72">
        <v>0</v>
      </c>
      <c r="AK1504" s="72"/>
      <c r="AL1504" s="72"/>
      <c r="AM1504" s="72"/>
    </row>
    <row r="1505" spans="1:39" x14ac:dyDescent="0.25">
      <c r="A1505" s="37" t="s">
        <v>62</v>
      </c>
      <c r="B1505" s="66" t="s">
        <v>1638</v>
      </c>
      <c r="C1505" s="47">
        <v>1013</v>
      </c>
      <c r="D1505" s="47" t="s">
        <v>343</v>
      </c>
      <c r="E1505" s="41">
        <v>10130074</v>
      </c>
      <c r="F1505" s="46" t="s">
        <v>452</v>
      </c>
      <c r="G1505" s="39" t="s">
        <v>92</v>
      </c>
      <c r="H1505" s="48" t="s">
        <v>93</v>
      </c>
      <c r="I1505" s="52">
        <v>206.2</v>
      </c>
      <c r="J1505" s="49">
        <v>7827.15</v>
      </c>
      <c r="K1505" s="65">
        <v>98.960000000000008</v>
      </c>
      <c r="L1505" s="65">
        <v>3697.0299999999993</v>
      </c>
      <c r="M1505" s="65">
        <v>104.91999999999999</v>
      </c>
      <c r="N1505" s="65">
        <v>3850.66</v>
      </c>
      <c r="O1505" s="65">
        <v>203.88</v>
      </c>
      <c r="P1505" s="65">
        <v>7547.6899999999987</v>
      </c>
      <c r="Q1505" s="50">
        <v>7547.6899999999987</v>
      </c>
      <c r="R1505" s="65">
        <v>0</v>
      </c>
      <c r="S1505" s="65">
        <v>99.92</v>
      </c>
      <c r="T1505" s="65">
        <v>0</v>
      </c>
      <c r="U1505" s="65">
        <v>0</v>
      </c>
      <c r="V1505" s="65">
        <v>0</v>
      </c>
      <c r="W1505" s="65">
        <v>0</v>
      </c>
      <c r="X1505" s="65">
        <v>3697</v>
      </c>
      <c r="Y1505" s="65">
        <v>3750</v>
      </c>
      <c r="Z1505" s="65">
        <v>0</v>
      </c>
      <c r="AA1505" s="51">
        <v>280</v>
      </c>
      <c r="AB1505" s="102">
        <v>0</v>
      </c>
      <c r="AC1505" s="81">
        <f t="shared" si="72"/>
        <v>374.88328516003878</v>
      </c>
      <c r="AD1505" s="82">
        <f t="shared" si="73"/>
        <v>29.457142857142856</v>
      </c>
      <c r="AE1505" s="218">
        <v>3.5703927994225351E-2</v>
      </c>
      <c r="AF1505">
        <v>10</v>
      </c>
      <c r="AH1505" t="str">
        <f t="shared" si="71"/>
        <v>Musrigharari</v>
      </c>
      <c r="AJ1505" s="72">
        <v>0</v>
      </c>
      <c r="AK1505" s="72"/>
      <c r="AL1505" s="72"/>
      <c r="AM1505" s="72"/>
    </row>
    <row r="1506" spans="1:39" x14ac:dyDescent="0.25">
      <c r="A1506" s="37" t="s">
        <v>62</v>
      </c>
      <c r="B1506" s="66" t="s">
        <v>1638</v>
      </c>
      <c r="C1506" s="47">
        <v>1013</v>
      </c>
      <c r="D1506" s="47" t="s">
        <v>343</v>
      </c>
      <c r="E1506" s="43">
        <v>10130077</v>
      </c>
      <c r="F1506" s="46" t="s">
        <v>479</v>
      </c>
      <c r="G1506" s="39" t="s">
        <v>92</v>
      </c>
      <c r="H1506" s="48" t="s">
        <v>93</v>
      </c>
      <c r="I1506" s="52">
        <v>393.49999999999994</v>
      </c>
      <c r="J1506" s="49">
        <v>14463.660000000002</v>
      </c>
      <c r="K1506" s="65">
        <v>320.04000000000002</v>
      </c>
      <c r="L1506" s="65">
        <v>11578.470000000001</v>
      </c>
      <c r="M1506" s="65">
        <v>75.429999999999993</v>
      </c>
      <c r="N1506" s="65">
        <v>2881.8</v>
      </c>
      <c r="O1506" s="65">
        <v>395.47</v>
      </c>
      <c r="P1506" s="65">
        <v>14460.27</v>
      </c>
      <c r="Q1506" s="50">
        <v>14460.27</v>
      </c>
      <c r="R1506" s="65">
        <v>0</v>
      </c>
      <c r="S1506" s="65">
        <v>34.090000000000003</v>
      </c>
      <c r="T1506" s="65">
        <v>0</v>
      </c>
      <c r="U1506" s="65">
        <v>0</v>
      </c>
      <c r="V1506" s="65">
        <v>500</v>
      </c>
      <c r="W1506" s="65">
        <v>0</v>
      </c>
      <c r="X1506" s="65">
        <v>11079</v>
      </c>
      <c r="Y1506" s="65">
        <v>2847</v>
      </c>
      <c r="Z1506" s="65">
        <v>0</v>
      </c>
      <c r="AA1506" s="51">
        <v>4</v>
      </c>
      <c r="AB1506" s="102">
        <v>0</v>
      </c>
      <c r="AC1506" s="81">
        <f t="shared" si="72"/>
        <v>225.31699059720469</v>
      </c>
      <c r="AD1506" s="82">
        <f t="shared" si="73"/>
        <v>56.214285714285708</v>
      </c>
      <c r="AE1506" s="218">
        <v>2.3438050949768153E-4</v>
      </c>
      <c r="AF1506">
        <v>8</v>
      </c>
      <c r="AH1506" t="str">
        <f t="shared" ref="AH1506:AH1566" si="74">TEXT(D1506,"0000")</f>
        <v>Musrigharari</v>
      </c>
      <c r="AJ1506" s="72">
        <v>500</v>
      </c>
      <c r="AK1506" s="72"/>
      <c r="AL1506" s="72"/>
      <c r="AM1506" s="72"/>
    </row>
    <row r="1507" spans="1:39" x14ac:dyDescent="0.25">
      <c r="A1507" s="37" t="s">
        <v>62</v>
      </c>
      <c r="B1507" s="66" t="s">
        <v>1638</v>
      </c>
      <c r="C1507" s="47">
        <v>1013</v>
      </c>
      <c r="D1507" s="47" t="s">
        <v>343</v>
      </c>
      <c r="E1507" s="43">
        <v>10130080</v>
      </c>
      <c r="F1507" s="46" t="s">
        <v>481</v>
      </c>
      <c r="G1507" s="39" t="s">
        <v>1610</v>
      </c>
      <c r="H1507" s="48" t="s">
        <v>98</v>
      </c>
      <c r="I1507" s="52">
        <v>21.400000000000002</v>
      </c>
      <c r="J1507" s="49">
        <v>779.33999999999992</v>
      </c>
      <c r="K1507" s="65">
        <v>0</v>
      </c>
      <c r="L1507" s="65">
        <v>0</v>
      </c>
      <c r="M1507" s="65">
        <v>0</v>
      </c>
      <c r="N1507" s="65">
        <v>0</v>
      </c>
      <c r="O1507" s="65">
        <v>0</v>
      </c>
      <c r="P1507" s="65">
        <v>0</v>
      </c>
      <c r="Q1507" s="50">
        <v>779.33999999999992</v>
      </c>
      <c r="R1507" s="65">
        <v>0</v>
      </c>
      <c r="S1507" s="65">
        <v>0</v>
      </c>
      <c r="T1507" s="65">
        <v>0</v>
      </c>
      <c r="U1507" s="65">
        <v>0</v>
      </c>
      <c r="V1507" s="65">
        <v>0</v>
      </c>
      <c r="W1507" s="65">
        <v>0</v>
      </c>
      <c r="X1507" s="65">
        <v>0</v>
      </c>
      <c r="Y1507" s="65">
        <v>0</v>
      </c>
      <c r="Z1507" s="65">
        <v>779.33999999999992</v>
      </c>
      <c r="AA1507" s="51">
        <v>0</v>
      </c>
      <c r="AB1507" s="102">
        <v>0</v>
      </c>
      <c r="AC1507" s="81">
        <f t="shared" si="72"/>
        <v>494.26179813084093</v>
      </c>
      <c r="AD1507" s="82">
        <f t="shared" si="73"/>
        <v>3.0571428571428574</v>
      </c>
      <c r="AE1507" s="218">
        <v>0</v>
      </c>
      <c r="AF1507">
        <v>0</v>
      </c>
      <c r="AH1507" t="str">
        <f t="shared" si="74"/>
        <v>Musrigharari</v>
      </c>
      <c r="AJ1507" s="72">
        <v>0</v>
      </c>
      <c r="AK1507" s="72"/>
      <c r="AL1507" s="72"/>
      <c r="AM1507" s="72"/>
    </row>
    <row r="1508" spans="1:39" x14ac:dyDescent="0.25">
      <c r="A1508" s="37" t="s">
        <v>62</v>
      </c>
      <c r="B1508" s="66" t="s">
        <v>1638</v>
      </c>
      <c r="C1508" s="47">
        <v>1013</v>
      </c>
      <c r="D1508" s="47" t="s">
        <v>343</v>
      </c>
      <c r="E1508" s="43">
        <v>10130081</v>
      </c>
      <c r="F1508" s="46" t="s">
        <v>1235</v>
      </c>
      <c r="G1508" s="39" t="s">
        <v>1610</v>
      </c>
      <c r="H1508" s="48" t="s">
        <v>98</v>
      </c>
      <c r="I1508" s="52">
        <v>35.9</v>
      </c>
      <c r="J1508" s="49">
        <v>1332.69</v>
      </c>
      <c r="K1508" s="65">
        <v>0</v>
      </c>
      <c r="L1508" s="65">
        <v>0</v>
      </c>
      <c r="M1508" s="65">
        <v>0</v>
      </c>
      <c r="N1508" s="65">
        <v>0</v>
      </c>
      <c r="O1508" s="65">
        <v>0</v>
      </c>
      <c r="P1508" s="65">
        <v>0</v>
      </c>
      <c r="Q1508" s="50">
        <v>1332.69</v>
      </c>
      <c r="R1508" s="65">
        <v>0</v>
      </c>
      <c r="S1508" s="65">
        <v>0</v>
      </c>
      <c r="T1508" s="65">
        <v>0</v>
      </c>
      <c r="U1508" s="65">
        <v>1333</v>
      </c>
      <c r="V1508" s="65">
        <v>0</v>
      </c>
      <c r="W1508" s="65">
        <v>0</v>
      </c>
      <c r="X1508" s="65">
        <v>0</v>
      </c>
      <c r="Y1508" s="65">
        <v>0</v>
      </c>
      <c r="Z1508" s="65">
        <v>-0.30999999999994543</v>
      </c>
      <c r="AA1508" s="51">
        <v>0</v>
      </c>
      <c r="AB1508" s="102">
        <v>0</v>
      </c>
      <c r="AC1508" s="81">
        <f t="shared" si="72"/>
        <v>493.05817771587738</v>
      </c>
      <c r="AD1508" s="82">
        <f t="shared" si="73"/>
        <v>5.1285714285714281</v>
      </c>
      <c r="AE1508" s="218">
        <v>0</v>
      </c>
      <c r="AF1508">
        <v>0</v>
      </c>
      <c r="AH1508" t="str">
        <f t="shared" si="74"/>
        <v>Musrigharari</v>
      </c>
      <c r="AJ1508" s="72">
        <v>0</v>
      </c>
      <c r="AK1508" s="72"/>
      <c r="AL1508" s="72"/>
      <c r="AM1508" s="72"/>
    </row>
    <row r="1509" spans="1:39" x14ac:dyDescent="0.25">
      <c r="A1509" s="37" t="s">
        <v>62</v>
      </c>
      <c r="B1509" s="66" t="s">
        <v>1638</v>
      </c>
      <c r="C1509" s="47">
        <v>1013</v>
      </c>
      <c r="D1509" s="47" t="s">
        <v>343</v>
      </c>
      <c r="E1509" s="43">
        <v>10130083</v>
      </c>
      <c r="F1509" s="46" t="s">
        <v>488</v>
      </c>
      <c r="G1509" s="39" t="s">
        <v>1610</v>
      </c>
      <c r="H1509" s="48" t="s">
        <v>98</v>
      </c>
      <c r="I1509" s="52">
        <v>1203.5999999999999</v>
      </c>
      <c r="J1509" s="49">
        <v>39299.94000000001</v>
      </c>
      <c r="K1509" s="65">
        <v>0</v>
      </c>
      <c r="L1509" s="65">
        <v>0</v>
      </c>
      <c r="M1509" s="65">
        <v>0</v>
      </c>
      <c r="N1509" s="65">
        <v>0</v>
      </c>
      <c r="O1509" s="65">
        <v>0</v>
      </c>
      <c r="P1509" s="65">
        <v>0</v>
      </c>
      <c r="Q1509" s="50">
        <v>39299.94000000001</v>
      </c>
      <c r="R1509" s="65">
        <v>0</v>
      </c>
      <c r="S1509" s="65">
        <v>0</v>
      </c>
      <c r="T1509" s="65">
        <v>0</v>
      </c>
      <c r="U1509" s="65">
        <v>0</v>
      </c>
      <c r="V1509" s="65">
        <v>0</v>
      </c>
      <c r="W1509" s="65">
        <v>0</v>
      </c>
      <c r="X1509" s="65">
        <v>0</v>
      </c>
      <c r="Y1509" s="65">
        <v>0</v>
      </c>
      <c r="Z1509" s="65">
        <v>39299.94000000001</v>
      </c>
      <c r="AA1509" s="51">
        <v>0</v>
      </c>
      <c r="AB1509" s="102">
        <v>0</v>
      </c>
      <c r="AC1509" s="81">
        <f t="shared" si="72"/>
        <v>0</v>
      </c>
      <c r="AD1509" s="82">
        <f t="shared" si="73"/>
        <v>0</v>
      </c>
      <c r="AE1509" s="218">
        <v>0</v>
      </c>
      <c r="AF1509">
        <v>0</v>
      </c>
      <c r="AH1509" t="str">
        <f t="shared" si="74"/>
        <v>Musrigharari</v>
      </c>
      <c r="AJ1509" s="72">
        <v>0</v>
      </c>
      <c r="AK1509" s="72"/>
      <c r="AL1509" s="72"/>
      <c r="AM1509" s="72"/>
    </row>
    <row r="1510" spans="1:39" x14ac:dyDescent="0.25">
      <c r="A1510" s="37" t="s">
        <v>62</v>
      </c>
      <c r="B1510" s="66" t="s">
        <v>1638</v>
      </c>
      <c r="C1510" s="47">
        <v>1013</v>
      </c>
      <c r="D1510" s="47" t="s">
        <v>343</v>
      </c>
      <c r="E1510" s="41">
        <v>10130088</v>
      </c>
      <c r="F1510" s="46" t="s">
        <v>1251</v>
      </c>
      <c r="G1510" s="39" t="s">
        <v>1610</v>
      </c>
      <c r="H1510" s="48" t="s">
        <v>98</v>
      </c>
      <c r="I1510" s="52">
        <v>367.5</v>
      </c>
      <c r="J1510" s="49">
        <v>12695.57</v>
      </c>
      <c r="K1510" s="65">
        <v>0</v>
      </c>
      <c r="L1510" s="65">
        <v>0</v>
      </c>
      <c r="M1510" s="65">
        <v>0</v>
      </c>
      <c r="N1510" s="65">
        <v>0</v>
      </c>
      <c r="O1510" s="65">
        <v>0</v>
      </c>
      <c r="P1510" s="65">
        <v>0</v>
      </c>
      <c r="Q1510" s="50">
        <v>12695.57</v>
      </c>
      <c r="R1510" s="65">
        <v>0</v>
      </c>
      <c r="S1510" s="65">
        <v>0</v>
      </c>
      <c r="T1510" s="65">
        <v>0</v>
      </c>
      <c r="U1510" s="65">
        <v>518</v>
      </c>
      <c r="V1510" s="65">
        <v>0</v>
      </c>
      <c r="W1510" s="65">
        <v>0</v>
      </c>
      <c r="X1510" s="65">
        <v>0</v>
      </c>
      <c r="Y1510" s="65">
        <v>0</v>
      </c>
      <c r="Z1510" s="65">
        <v>12177.57</v>
      </c>
      <c r="AA1510" s="51">
        <v>0</v>
      </c>
      <c r="AB1510" s="102">
        <v>0</v>
      </c>
      <c r="AC1510" s="81">
        <f t="shared" si="72"/>
        <v>229.7293619047619</v>
      </c>
      <c r="AD1510" s="82">
        <f t="shared" si="73"/>
        <v>52.5</v>
      </c>
      <c r="AE1510" s="218">
        <v>0</v>
      </c>
      <c r="AF1510">
        <v>0</v>
      </c>
      <c r="AH1510" t="str">
        <f t="shared" si="74"/>
        <v>Musrigharari</v>
      </c>
      <c r="AJ1510" s="72">
        <v>0</v>
      </c>
      <c r="AK1510" s="72"/>
      <c r="AL1510" s="72"/>
      <c r="AM1510" s="72"/>
    </row>
    <row r="1511" spans="1:39" x14ac:dyDescent="0.25">
      <c r="A1511" s="37" t="s">
        <v>62</v>
      </c>
      <c r="B1511" s="66" t="s">
        <v>1638</v>
      </c>
      <c r="C1511" s="47">
        <v>1013</v>
      </c>
      <c r="D1511" s="47" t="s">
        <v>343</v>
      </c>
      <c r="E1511" s="41">
        <v>10130090</v>
      </c>
      <c r="F1511" s="46" t="s">
        <v>1560</v>
      </c>
      <c r="G1511" s="39" t="s">
        <v>92</v>
      </c>
      <c r="H1511" s="48" t="s">
        <v>93</v>
      </c>
      <c r="I1511" s="52">
        <v>7.1</v>
      </c>
      <c r="J1511" s="49">
        <v>302.10000000000002</v>
      </c>
      <c r="K1511" s="65">
        <v>0</v>
      </c>
      <c r="L1511" s="65">
        <v>0</v>
      </c>
      <c r="M1511" s="65">
        <v>0</v>
      </c>
      <c r="N1511" s="65">
        <v>0</v>
      </c>
      <c r="O1511" s="65">
        <v>0</v>
      </c>
      <c r="P1511" s="65">
        <v>0</v>
      </c>
      <c r="Q1511" s="50">
        <v>0</v>
      </c>
      <c r="R1511" s="65">
        <v>0</v>
      </c>
      <c r="S1511" s="65">
        <v>0</v>
      </c>
      <c r="T1511" s="65">
        <v>0</v>
      </c>
      <c r="U1511" s="65">
        <v>0</v>
      </c>
      <c r="V1511" s="65">
        <v>0</v>
      </c>
      <c r="W1511" s="65">
        <v>0</v>
      </c>
      <c r="X1511" s="65">
        <v>0</v>
      </c>
      <c r="Y1511" s="65">
        <v>0</v>
      </c>
      <c r="Z1511" s="65">
        <v>0</v>
      </c>
      <c r="AA1511" s="51">
        <v>302</v>
      </c>
      <c r="AB1511" s="102">
        <v>0</v>
      </c>
      <c r="AC1511" s="81">
        <f t="shared" si="72"/>
        <v>589.64814084507054</v>
      </c>
      <c r="AD1511" s="82">
        <f t="shared" si="73"/>
        <v>1.0142857142857142</v>
      </c>
      <c r="AE1511" s="218">
        <v>1</v>
      </c>
      <c r="AF1511">
        <v>0</v>
      </c>
      <c r="AH1511" t="str">
        <f t="shared" si="74"/>
        <v>Musrigharari</v>
      </c>
      <c r="AJ1511" s="72">
        <v>0</v>
      </c>
      <c r="AK1511" s="72"/>
      <c r="AL1511" s="72"/>
      <c r="AM1511" s="72"/>
    </row>
    <row r="1512" spans="1:39" x14ac:dyDescent="0.25">
      <c r="A1512" s="37" t="s">
        <v>62</v>
      </c>
      <c r="B1512" s="66" t="s">
        <v>1638</v>
      </c>
      <c r="C1512" s="47">
        <v>1013</v>
      </c>
      <c r="D1512" s="47" t="s">
        <v>343</v>
      </c>
      <c r="E1512" s="41">
        <v>10130093</v>
      </c>
      <c r="F1512" s="46" t="s">
        <v>561</v>
      </c>
      <c r="G1512" s="39" t="s">
        <v>92</v>
      </c>
      <c r="H1512" s="48" t="s">
        <v>93</v>
      </c>
      <c r="I1512" s="52">
        <v>247.90000000000003</v>
      </c>
      <c r="J1512" s="49">
        <v>10704.23</v>
      </c>
      <c r="K1512" s="65">
        <v>194.72000000000003</v>
      </c>
      <c r="L1512" s="65">
        <v>7814.6299999999992</v>
      </c>
      <c r="M1512" s="65">
        <v>54.839999999999996</v>
      </c>
      <c r="N1512" s="65">
        <v>2886.2299999999996</v>
      </c>
      <c r="O1512" s="65">
        <v>249.56000000000003</v>
      </c>
      <c r="P1512" s="65">
        <v>10700.859999999999</v>
      </c>
      <c r="Q1512" s="50">
        <v>10700.859999999999</v>
      </c>
      <c r="R1512" s="65">
        <v>0</v>
      </c>
      <c r="S1512" s="65">
        <v>164.63</v>
      </c>
      <c r="T1512" s="65">
        <v>0</v>
      </c>
      <c r="U1512" s="65">
        <v>0</v>
      </c>
      <c r="V1512" s="65">
        <v>0</v>
      </c>
      <c r="W1512" s="65">
        <v>0</v>
      </c>
      <c r="X1512" s="65">
        <v>7815</v>
      </c>
      <c r="Y1512" s="65">
        <v>2723</v>
      </c>
      <c r="Z1512" s="65">
        <v>0</v>
      </c>
      <c r="AA1512" s="51">
        <v>2</v>
      </c>
      <c r="AB1512" s="102">
        <v>0</v>
      </c>
      <c r="AC1512" s="81">
        <f t="shared" si="72"/>
        <v>390.43020435659537</v>
      </c>
      <c r="AD1512" s="82">
        <f t="shared" si="73"/>
        <v>35.414285714285718</v>
      </c>
      <c r="AE1512" s="218">
        <v>3.1482881066651223E-4</v>
      </c>
      <c r="AF1512">
        <v>10</v>
      </c>
      <c r="AH1512" t="str">
        <f t="shared" si="74"/>
        <v>Musrigharari</v>
      </c>
      <c r="AJ1512" s="72">
        <v>0</v>
      </c>
      <c r="AK1512" s="72"/>
      <c r="AL1512" s="72"/>
      <c r="AM1512" s="72"/>
    </row>
    <row r="1513" spans="1:39" x14ac:dyDescent="0.25">
      <c r="A1513" s="37" t="s">
        <v>62</v>
      </c>
      <c r="B1513" s="66" t="s">
        <v>1638</v>
      </c>
      <c r="C1513" s="47">
        <v>1013</v>
      </c>
      <c r="D1513" s="47" t="s">
        <v>343</v>
      </c>
      <c r="E1513" s="41">
        <v>10130097</v>
      </c>
      <c r="F1513" s="46" t="s">
        <v>813</v>
      </c>
      <c r="G1513" s="39" t="s">
        <v>92</v>
      </c>
      <c r="H1513" s="48" t="s">
        <v>93</v>
      </c>
      <c r="I1513" s="52">
        <v>83.5</v>
      </c>
      <c r="J1513" s="49">
        <v>2802.71</v>
      </c>
      <c r="K1513" s="65">
        <v>60.600000000000009</v>
      </c>
      <c r="L1513" s="65">
        <v>2078.73</v>
      </c>
      <c r="M1513" s="65">
        <v>19.299999999999997</v>
      </c>
      <c r="N1513" s="65">
        <v>709.5</v>
      </c>
      <c r="O1513" s="65">
        <v>79.900000000000006</v>
      </c>
      <c r="P1513" s="65">
        <v>2788.23</v>
      </c>
      <c r="Q1513" s="50">
        <v>2788.23</v>
      </c>
      <c r="R1513" s="65">
        <v>0</v>
      </c>
      <c r="S1513" s="65">
        <v>0</v>
      </c>
      <c r="T1513" s="65">
        <v>0</v>
      </c>
      <c r="U1513" s="65">
        <v>0</v>
      </c>
      <c r="V1513" s="65">
        <v>500</v>
      </c>
      <c r="W1513" s="65">
        <v>0</v>
      </c>
      <c r="X1513" s="65">
        <v>1579</v>
      </c>
      <c r="Y1513" s="65">
        <v>710</v>
      </c>
      <c r="Z1513" s="65">
        <v>0</v>
      </c>
      <c r="AA1513" s="51">
        <v>14</v>
      </c>
      <c r="AB1513" s="102">
        <v>0</v>
      </c>
      <c r="AC1513" s="81">
        <f t="shared" si="72"/>
        <v>413.86124910179643</v>
      </c>
      <c r="AD1513" s="82">
        <f t="shared" si="73"/>
        <v>11.928571428571429</v>
      </c>
      <c r="AE1513" s="218">
        <v>5.1664282069853887E-3</v>
      </c>
      <c r="AF1513">
        <v>2</v>
      </c>
      <c r="AH1513" t="str">
        <f t="shared" si="74"/>
        <v>Musrigharari</v>
      </c>
      <c r="AJ1513" s="72">
        <v>500</v>
      </c>
      <c r="AK1513" s="72"/>
      <c r="AL1513" s="72"/>
      <c r="AM1513" s="72"/>
    </row>
    <row r="1514" spans="1:39" x14ac:dyDescent="0.25">
      <c r="A1514" s="37" t="s">
        <v>62</v>
      </c>
      <c r="B1514" s="66" t="s">
        <v>1638</v>
      </c>
      <c r="C1514" s="47">
        <v>1013</v>
      </c>
      <c r="D1514" s="47" t="s">
        <v>343</v>
      </c>
      <c r="E1514" s="41">
        <v>10130098</v>
      </c>
      <c r="F1514" s="46" t="s">
        <v>627</v>
      </c>
      <c r="G1514" s="39" t="s">
        <v>92</v>
      </c>
      <c r="H1514" s="48" t="s">
        <v>93</v>
      </c>
      <c r="I1514" s="52">
        <v>229.9</v>
      </c>
      <c r="J1514" s="49">
        <v>12095.58</v>
      </c>
      <c r="K1514" s="65">
        <v>227.20999999999998</v>
      </c>
      <c r="L1514" s="65">
        <v>12073.419999999998</v>
      </c>
      <c r="M1514" s="65">
        <v>0.1</v>
      </c>
      <c r="N1514" s="65">
        <v>3.81</v>
      </c>
      <c r="O1514" s="65">
        <v>227.30999999999997</v>
      </c>
      <c r="P1514" s="65">
        <v>12077.229999999998</v>
      </c>
      <c r="Q1514" s="50">
        <v>12077.229999999998</v>
      </c>
      <c r="R1514" s="65">
        <v>0</v>
      </c>
      <c r="S1514" s="65">
        <v>3.81</v>
      </c>
      <c r="T1514" s="65">
        <v>0</v>
      </c>
      <c r="U1514" s="65">
        <v>0</v>
      </c>
      <c r="V1514" s="65">
        <v>0</v>
      </c>
      <c r="W1514" s="65">
        <v>0</v>
      </c>
      <c r="X1514" s="65">
        <v>12074</v>
      </c>
      <c r="Y1514" s="65">
        <v>0</v>
      </c>
      <c r="Z1514" s="65">
        <v>0</v>
      </c>
      <c r="AA1514" s="51">
        <v>18</v>
      </c>
      <c r="AB1514" s="102">
        <v>0</v>
      </c>
      <c r="AC1514" s="81">
        <f t="shared" si="72"/>
        <v>494.6613447585907</v>
      </c>
      <c r="AD1514" s="82">
        <f t="shared" si="73"/>
        <v>32.842857142857142</v>
      </c>
      <c r="AE1514" s="218">
        <v>1.5170830997771239E-3</v>
      </c>
      <c r="AF1514">
        <v>8</v>
      </c>
      <c r="AH1514" t="str">
        <f t="shared" si="74"/>
        <v>Musrigharari</v>
      </c>
      <c r="AJ1514" s="72">
        <v>0</v>
      </c>
      <c r="AK1514" s="72"/>
      <c r="AL1514" s="72"/>
      <c r="AM1514" s="72"/>
    </row>
    <row r="1515" spans="1:39" x14ac:dyDescent="0.25">
      <c r="A1515" s="37" t="s">
        <v>62</v>
      </c>
      <c r="B1515" s="66" t="s">
        <v>1638</v>
      </c>
      <c r="C1515" s="47">
        <v>1013</v>
      </c>
      <c r="D1515" s="47" t="s">
        <v>343</v>
      </c>
      <c r="E1515" s="109">
        <v>10130100</v>
      </c>
      <c r="F1515" s="46" t="s">
        <v>676</v>
      </c>
      <c r="G1515" s="110" t="s">
        <v>92</v>
      </c>
      <c r="H1515" s="48" t="s">
        <v>93</v>
      </c>
      <c r="I1515" s="111">
        <v>84.21</v>
      </c>
      <c r="J1515" s="49">
        <v>3363.5099999999998</v>
      </c>
      <c r="K1515" s="65">
        <v>85.38</v>
      </c>
      <c r="L1515" s="65">
        <v>3349.9100000000003</v>
      </c>
      <c r="M1515" s="65">
        <v>0.2</v>
      </c>
      <c r="N1515" s="65">
        <v>6.95</v>
      </c>
      <c r="O1515" s="65">
        <v>85.58</v>
      </c>
      <c r="P1515" s="65">
        <v>3356.86</v>
      </c>
      <c r="Q1515" s="50">
        <v>3356.86</v>
      </c>
      <c r="R1515" s="65">
        <v>0</v>
      </c>
      <c r="S1515" s="65">
        <v>6.95</v>
      </c>
      <c r="T1515" s="65">
        <v>0</v>
      </c>
      <c r="U1515" s="65">
        <v>0</v>
      </c>
      <c r="V1515" s="65">
        <v>500</v>
      </c>
      <c r="W1515" s="65">
        <v>0</v>
      </c>
      <c r="X1515" s="65">
        <v>2849</v>
      </c>
      <c r="Y1515" s="65">
        <v>0</v>
      </c>
      <c r="Z1515" s="65">
        <v>0</v>
      </c>
      <c r="AA1515" s="51">
        <v>8</v>
      </c>
      <c r="AB1515" s="102">
        <v>0</v>
      </c>
      <c r="AC1515" s="81">
        <f t="shared" si="72"/>
        <v>491.91683241895265</v>
      </c>
      <c r="AD1515" s="82">
        <f t="shared" si="73"/>
        <v>12.03</v>
      </c>
      <c r="AE1515" s="218">
        <v>1.9771013019136666E-3</v>
      </c>
      <c r="AF1515">
        <v>5</v>
      </c>
      <c r="AH1515" t="str">
        <f t="shared" si="74"/>
        <v>Musrigharari</v>
      </c>
      <c r="AJ1515" s="72">
        <v>500</v>
      </c>
      <c r="AK1515" s="72"/>
      <c r="AL1515" s="72"/>
      <c r="AM1515" s="72"/>
    </row>
    <row r="1516" spans="1:39" x14ac:dyDescent="0.25">
      <c r="A1516" s="37" t="s">
        <v>62</v>
      </c>
      <c r="B1516" s="66" t="s">
        <v>1638</v>
      </c>
      <c r="C1516" s="47">
        <v>1061</v>
      </c>
      <c r="D1516" s="47" t="s">
        <v>1388</v>
      </c>
      <c r="E1516" s="41">
        <v>10130101</v>
      </c>
      <c r="F1516" s="46" t="s">
        <v>1389</v>
      </c>
      <c r="G1516" s="39" t="s">
        <v>1610</v>
      </c>
      <c r="H1516" s="48" t="s">
        <v>98</v>
      </c>
      <c r="I1516" s="52">
        <v>293.2</v>
      </c>
      <c r="J1516" s="49">
        <v>11845.63</v>
      </c>
      <c r="K1516" s="65">
        <v>0</v>
      </c>
      <c r="L1516" s="65">
        <v>0</v>
      </c>
      <c r="M1516" s="65">
        <v>0</v>
      </c>
      <c r="N1516" s="65">
        <v>0</v>
      </c>
      <c r="O1516" s="65">
        <v>0</v>
      </c>
      <c r="P1516" s="65">
        <v>0</v>
      </c>
      <c r="Q1516" s="50">
        <v>11845.63</v>
      </c>
      <c r="R1516" s="65">
        <v>0</v>
      </c>
      <c r="S1516" s="65">
        <v>0</v>
      </c>
      <c r="T1516" s="65">
        <v>0</v>
      </c>
      <c r="U1516" s="65">
        <v>0</v>
      </c>
      <c r="V1516" s="65">
        <v>0</v>
      </c>
      <c r="W1516" s="65">
        <v>0</v>
      </c>
      <c r="X1516" s="65">
        <v>0</v>
      </c>
      <c r="Y1516" s="65">
        <v>0</v>
      </c>
      <c r="Z1516" s="65">
        <v>11845.63</v>
      </c>
      <c r="AA1516" s="51">
        <v>0</v>
      </c>
      <c r="AB1516" s="102">
        <v>0</v>
      </c>
      <c r="AC1516" s="81">
        <f t="shared" si="72"/>
        <v>328.70411214188266</v>
      </c>
      <c r="AD1516" s="82">
        <f t="shared" si="73"/>
        <v>41.885714285714286</v>
      </c>
      <c r="AE1516" s="218">
        <v>0</v>
      </c>
      <c r="AF1516">
        <v>0</v>
      </c>
      <c r="AH1516" t="str">
        <f t="shared" si="74"/>
        <v>Mahua BMC</v>
      </c>
      <c r="AJ1516" s="72">
        <v>0</v>
      </c>
      <c r="AK1516" s="72"/>
      <c r="AL1516" s="72"/>
      <c r="AM1516" s="72"/>
    </row>
    <row r="1517" spans="1:39" x14ac:dyDescent="0.25">
      <c r="A1517" s="37" t="s">
        <v>62</v>
      </c>
      <c r="B1517" s="66" t="s">
        <v>1638</v>
      </c>
      <c r="C1517" s="47">
        <v>1013</v>
      </c>
      <c r="D1517" s="47" t="s">
        <v>343</v>
      </c>
      <c r="E1517" s="47">
        <v>10130102</v>
      </c>
      <c r="F1517" s="46" t="s">
        <v>677</v>
      </c>
      <c r="G1517" s="48" t="s">
        <v>1610</v>
      </c>
      <c r="H1517" s="48" t="s">
        <v>98</v>
      </c>
      <c r="I1517" s="49">
        <v>192.3</v>
      </c>
      <c r="J1517" s="49">
        <v>6534.2799999999988</v>
      </c>
      <c r="K1517" s="65">
        <v>0</v>
      </c>
      <c r="L1517" s="65">
        <v>0</v>
      </c>
      <c r="M1517" s="65">
        <v>0</v>
      </c>
      <c r="N1517" s="65">
        <v>0</v>
      </c>
      <c r="O1517" s="65">
        <v>0</v>
      </c>
      <c r="P1517" s="65">
        <v>0</v>
      </c>
      <c r="Q1517" s="50">
        <v>6534.2799999999988</v>
      </c>
      <c r="R1517" s="65">
        <v>0</v>
      </c>
      <c r="S1517" s="65">
        <v>0</v>
      </c>
      <c r="T1517" s="65">
        <v>0</v>
      </c>
      <c r="U1517" s="65">
        <v>0</v>
      </c>
      <c r="V1517" s="65">
        <v>0</v>
      </c>
      <c r="W1517" s="65">
        <v>0</v>
      </c>
      <c r="X1517" s="65">
        <v>0</v>
      </c>
      <c r="Y1517" s="65">
        <v>0</v>
      </c>
      <c r="Z1517" s="65">
        <v>6534.2799999999988</v>
      </c>
      <c r="AA1517" s="51">
        <v>0</v>
      </c>
      <c r="AB1517" s="102">
        <v>0</v>
      </c>
      <c r="AC1517" s="81">
        <f t="shared" si="72"/>
        <v>345.02901258450328</v>
      </c>
      <c r="AD1517" s="82">
        <f t="shared" si="73"/>
        <v>27.471428571428572</v>
      </c>
      <c r="AE1517" s="218">
        <v>0</v>
      </c>
      <c r="AF1517">
        <v>0</v>
      </c>
      <c r="AH1517" t="str">
        <f t="shared" si="74"/>
        <v>Musrigharari</v>
      </c>
      <c r="AJ1517" s="72">
        <v>0</v>
      </c>
      <c r="AK1517" s="72"/>
      <c r="AL1517" s="72"/>
      <c r="AM1517" s="72"/>
    </row>
    <row r="1518" spans="1:39" x14ac:dyDescent="0.25">
      <c r="A1518" s="37" t="s">
        <v>62</v>
      </c>
      <c r="B1518" s="66" t="s">
        <v>1638</v>
      </c>
      <c r="C1518" s="47">
        <v>1013</v>
      </c>
      <c r="D1518" s="47" t="s">
        <v>343</v>
      </c>
      <c r="E1518" s="41">
        <v>10130107</v>
      </c>
      <c r="F1518" s="46" t="s">
        <v>510</v>
      </c>
      <c r="G1518" s="39" t="s">
        <v>1610</v>
      </c>
      <c r="H1518" s="48" t="s">
        <v>98</v>
      </c>
      <c r="I1518" s="52">
        <v>251.49999999999997</v>
      </c>
      <c r="J1518" s="49">
        <v>10263.529999999999</v>
      </c>
      <c r="K1518" s="65">
        <v>0</v>
      </c>
      <c r="L1518" s="65">
        <v>0</v>
      </c>
      <c r="M1518" s="65">
        <v>0</v>
      </c>
      <c r="N1518" s="65">
        <v>0</v>
      </c>
      <c r="O1518" s="65">
        <v>0</v>
      </c>
      <c r="P1518" s="65">
        <v>0</v>
      </c>
      <c r="Q1518" s="50">
        <v>10263.529999999999</v>
      </c>
      <c r="R1518" s="65">
        <v>0</v>
      </c>
      <c r="S1518" s="65">
        <v>0</v>
      </c>
      <c r="T1518" s="65">
        <v>0</v>
      </c>
      <c r="U1518" s="65">
        <v>0</v>
      </c>
      <c r="V1518" s="65">
        <v>0</v>
      </c>
      <c r="W1518" s="65">
        <v>0</v>
      </c>
      <c r="X1518" s="65">
        <v>0</v>
      </c>
      <c r="Y1518" s="65">
        <v>0</v>
      </c>
      <c r="Z1518" s="65">
        <v>10263.529999999999</v>
      </c>
      <c r="AA1518" s="51">
        <v>0</v>
      </c>
      <c r="AB1518" s="102">
        <v>0</v>
      </c>
      <c r="AC1518" s="81">
        <f t="shared" si="72"/>
        <v>366.05910178926456</v>
      </c>
      <c r="AD1518" s="82">
        <f t="shared" si="73"/>
        <v>35.928571428571423</v>
      </c>
      <c r="AE1518" s="218">
        <v>0</v>
      </c>
      <c r="AF1518">
        <v>0</v>
      </c>
      <c r="AH1518" t="str">
        <f t="shared" si="74"/>
        <v>Musrigharari</v>
      </c>
      <c r="AJ1518" s="72">
        <v>0</v>
      </c>
      <c r="AK1518" s="72"/>
      <c r="AL1518" s="72"/>
      <c r="AM1518" s="72"/>
    </row>
    <row r="1519" spans="1:39" x14ac:dyDescent="0.25">
      <c r="A1519" s="37" t="s">
        <v>62</v>
      </c>
      <c r="B1519" s="66" t="s">
        <v>1638</v>
      </c>
      <c r="C1519" s="47">
        <v>1013</v>
      </c>
      <c r="D1519" s="47" t="s">
        <v>343</v>
      </c>
      <c r="E1519" s="41">
        <v>10130111</v>
      </c>
      <c r="F1519" s="46" t="s">
        <v>1236</v>
      </c>
      <c r="G1519" s="39" t="s">
        <v>1610</v>
      </c>
      <c r="H1519" s="48" t="s">
        <v>98</v>
      </c>
      <c r="I1519" s="52">
        <v>500</v>
      </c>
      <c r="J1519" s="49">
        <v>15380</v>
      </c>
      <c r="K1519" s="65">
        <v>0</v>
      </c>
      <c r="L1519" s="65">
        <v>0</v>
      </c>
      <c r="M1519" s="65">
        <v>0</v>
      </c>
      <c r="N1519" s="65">
        <v>0</v>
      </c>
      <c r="O1519" s="65">
        <v>0</v>
      </c>
      <c r="P1519" s="65">
        <v>0</v>
      </c>
      <c r="Q1519" s="50">
        <v>15380</v>
      </c>
      <c r="R1519" s="65">
        <v>0</v>
      </c>
      <c r="S1519" s="65">
        <v>0</v>
      </c>
      <c r="T1519" s="65">
        <v>0</v>
      </c>
      <c r="U1519" s="65">
        <v>0</v>
      </c>
      <c r="V1519" s="65">
        <v>0</v>
      </c>
      <c r="W1519" s="65">
        <v>0</v>
      </c>
      <c r="X1519" s="65">
        <v>0</v>
      </c>
      <c r="Y1519" s="65">
        <v>0</v>
      </c>
      <c r="Z1519" s="65">
        <v>15380</v>
      </c>
      <c r="AA1519" s="51">
        <v>0</v>
      </c>
      <c r="AB1519" s="102">
        <v>0</v>
      </c>
      <c r="AC1519" s="81">
        <f t="shared" si="72"/>
        <v>123.04</v>
      </c>
      <c r="AD1519" s="82">
        <f t="shared" si="73"/>
        <v>71.428571428571431</v>
      </c>
      <c r="AE1519" s="218">
        <v>0</v>
      </c>
      <c r="AF1519">
        <v>0</v>
      </c>
      <c r="AH1519" t="str">
        <f t="shared" si="74"/>
        <v>Musrigharari</v>
      </c>
      <c r="AJ1519" s="72">
        <v>0</v>
      </c>
      <c r="AK1519" s="72"/>
      <c r="AL1519" s="72"/>
      <c r="AM1519" s="72"/>
    </row>
    <row r="1520" spans="1:39" x14ac:dyDescent="0.25">
      <c r="A1520" s="37" t="s">
        <v>62</v>
      </c>
      <c r="B1520" s="66" t="s">
        <v>1638</v>
      </c>
      <c r="C1520" s="47">
        <v>1013</v>
      </c>
      <c r="D1520" s="47" t="s">
        <v>343</v>
      </c>
      <c r="E1520" s="41">
        <v>10130113</v>
      </c>
      <c r="F1520" s="46" t="s">
        <v>1264</v>
      </c>
      <c r="G1520" s="39" t="s">
        <v>1610</v>
      </c>
      <c r="H1520" s="48" t="s">
        <v>98</v>
      </c>
      <c r="I1520" s="52">
        <v>38</v>
      </c>
      <c r="J1520" s="49">
        <v>1478.96</v>
      </c>
      <c r="K1520" s="65">
        <v>0</v>
      </c>
      <c r="L1520" s="65">
        <v>0</v>
      </c>
      <c r="M1520" s="65">
        <v>0</v>
      </c>
      <c r="N1520" s="65">
        <v>0</v>
      </c>
      <c r="O1520" s="65">
        <v>0</v>
      </c>
      <c r="P1520" s="65">
        <v>0</v>
      </c>
      <c r="Q1520" s="50">
        <v>1478.96</v>
      </c>
      <c r="R1520" s="65">
        <v>0</v>
      </c>
      <c r="S1520" s="65">
        <v>0</v>
      </c>
      <c r="T1520" s="65">
        <v>0</v>
      </c>
      <c r="U1520" s="65">
        <v>0</v>
      </c>
      <c r="V1520" s="65">
        <v>0</v>
      </c>
      <c r="W1520" s="65">
        <v>0</v>
      </c>
      <c r="X1520" s="65">
        <v>0</v>
      </c>
      <c r="Y1520" s="65">
        <v>0</v>
      </c>
      <c r="Z1520" s="65">
        <v>1478.96</v>
      </c>
      <c r="AA1520" s="51">
        <v>0</v>
      </c>
      <c r="AB1520" s="102">
        <v>0</v>
      </c>
      <c r="AC1520" s="81">
        <f t="shared" si="72"/>
        <v>515.30079999999998</v>
      </c>
      <c r="AD1520" s="82">
        <f t="shared" si="73"/>
        <v>5.4285714285714288</v>
      </c>
      <c r="AE1520" s="218">
        <v>0</v>
      </c>
      <c r="AF1520">
        <v>0</v>
      </c>
      <c r="AH1520" t="str">
        <f t="shared" si="74"/>
        <v>Musrigharari</v>
      </c>
      <c r="AJ1520" s="72">
        <v>0</v>
      </c>
      <c r="AK1520" s="72"/>
      <c r="AL1520" s="72"/>
      <c r="AM1520" s="72"/>
    </row>
    <row r="1521" spans="1:39" x14ac:dyDescent="0.25">
      <c r="A1521" s="37" t="s">
        <v>62</v>
      </c>
      <c r="B1521" s="66" t="s">
        <v>1638</v>
      </c>
      <c r="C1521" s="47">
        <v>1013</v>
      </c>
      <c r="D1521" s="47" t="s">
        <v>343</v>
      </c>
      <c r="E1521" s="41">
        <v>10130114</v>
      </c>
      <c r="F1521" s="46" t="s">
        <v>1281</v>
      </c>
      <c r="G1521" s="39" t="s">
        <v>1610</v>
      </c>
      <c r="H1521" s="48" t="s">
        <v>98</v>
      </c>
      <c r="I1521" s="52">
        <v>383.7000000000001</v>
      </c>
      <c r="J1521" s="49">
        <v>15277.080000000002</v>
      </c>
      <c r="K1521" s="65">
        <v>0</v>
      </c>
      <c r="L1521" s="65">
        <v>0</v>
      </c>
      <c r="M1521" s="65">
        <v>0</v>
      </c>
      <c r="N1521" s="65">
        <v>0</v>
      </c>
      <c r="O1521" s="65">
        <v>0</v>
      </c>
      <c r="P1521" s="65">
        <v>0</v>
      </c>
      <c r="Q1521" s="50">
        <v>15277.080000000002</v>
      </c>
      <c r="R1521" s="65">
        <v>0</v>
      </c>
      <c r="S1521" s="65">
        <v>0</v>
      </c>
      <c r="T1521" s="65">
        <v>0</v>
      </c>
      <c r="U1521" s="65">
        <v>0</v>
      </c>
      <c r="V1521" s="65">
        <v>0</v>
      </c>
      <c r="W1521" s="65">
        <v>0</v>
      </c>
      <c r="X1521" s="65">
        <v>0</v>
      </c>
      <c r="Y1521" s="65">
        <v>0</v>
      </c>
      <c r="Z1521" s="65">
        <v>15277.080000000002</v>
      </c>
      <c r="AA1521" s="51">
        <v>0</v>
      </c>
      <c r="AB1521" s="102">
        <v>0</v>
      </c>
      <c r="AC1521" s="81">
        <f t="shared" si="72"/>
        <v>251.87075340109453</v>
      </c>
      <c r="AD1521" s="82">
        <f t="shared" si="73"/>
        <v>54.814285714285731</v>
      </c>
      <c r="AE1521" s="218">
        <v>0</v>
      </c>
      <c r="AF1521">
        <v>0</v>
      </c>
      <c r="AH1521" t="str">
        <f t="shared" si="74"/>
        <v>Musrigharari</v>
      </c>
      <c r="AJ1521" s="72">
        <v>0</v>
      </c>
      <c r="AK1521" s="72"/>
      <c r="AL1521" s="72"/>
      <c r="AM1521" s="72"/>
    </row>
    <row r="1522" spans="1:39" x14ac:dyDescent="0.25">
      <c r="A1522" s="37" t="s">
        <v>62</v>
      </c>
      <c r="B1522" s="66" t="s">
        <v>1638</v>
      </c>
      <c r="C1522" s="47">
        <v>1013</v>
      </c>
      <c r="D1522" s="47" t="s">
        <v>343</v>
      </c>
      <c r="E1522" s="41">
        <v>10130115</v>
      </c>
      <c r="F1522" s="46" t="s">
        <v>1319</v>
      </c>
      <c r="G1522" s="39" t="s">
        <v>92</v>
      </c>
      <c r="H1522" s="48" t="s">
        <v>93</v>
      </c>
      <c r="I1522" s="52">
        <v>470.59999999999997</v>
      </c>
      <c r="J1522" s="49">
        <v>21557.819999999996</v>
      </c>
      <c r="K1522" s="65">
        <v>459.29999999999995</v>
      </c>
      <c r="L1522" s="65">
        <v>21530.440000000002</v>
      </c>
      <c r="M1522" s="65">
        <v>0</v>
      </c>
      <c r="N1522" s="65">
        <v>0</v>
      </c>
      <c r="O1522" s="65">
        <v>459.29999999999995</v>
      </c>
      <c r="P1522" s="65">
        <v>21530.440000000002</v>
      </c>
      <c r="Q1522" s="50">
        <v>21530.440000000002</v>
      </c>
      <c r="R1522" s="65">
        <v>0</v>
      </c>
      <c r="S1522" s="65">
        <v>0</v>
      </c>
      <c r="T1522" s="65">
        <v>0</v>
      </c>
      <c r="U1522" s="65">
        <v>0</v>
      </c>
      <c r="V1522" s="65">
        <v>0</v>
      </c>
      <c r="W1522" s="65">
        <v>0</v>
      </c>
      <c r="X1522" s="65">
        <v>21530</v>
      </c>
      <c r="Y1522" s="65">
        <v>0</v>
      </c>
      <c r="Z1522" s="65">
        <v>0</v>
      </c>
      <c r="AA1522" s="51">
        <v>28</v>
      </c>
      <c r="AB1522" s="102">
        <v>0</v>
      </c>
      <c r="AC1522" s="81">
        <f t="shared" si="72"/>
        <v>210.1727117722057</v>
      </c>
      <c r="AD1522" s="82">
        <f t="shared" si="73"/>
        <v>67.228571428571428</v>
      </c>
      <c r="AE1522" s="218">
        <v>1.2700727624589939E-3</v>
      </c>
      <c r="AF1522">
        <v>2</v>
      </c>
      <c r="AH1522" t="str">
        <f t="shared" si="74"/>
        <v>Musrigharari</v>
      </c>
      <c r="AJ1522" s="72">
        <v>0</v>
      </c>
      <c r="AK1522" s="72"/>
      <c r="AL1522" s="72"/>
      <c r="AM1522" s="72"/>
    </row>
    <row r="1523" spans="1:39" x14ac:dyDescent="0.25">
      <c r="A1523" s="37" t="s">
        <v>62</v>
      </c>
      <c r="B1523" s="66" t="s">
        <v>1638</v>
      </c>
      <c r="C1523" s="47">
        <v>1013</v>
      </c>
      <c r="D1523" s="47" t="s">
        <v>343</v>
      </c>
      <c r="E1523" s="41">
        <v>10130117</v>
      </c>
      <c r="F1523" s="46" t="s">
        <v>1339</v>
      </c>
      <c r="G1523" s="39" t="s">
        <v>1610</v>
      </c>
      <c r="H1523" s="48" t="s">
        <v>93</v>
      </c>
      <c r="I1523" s="52">
        <v>300.5</v>
      </c>
      <c r="J1523" s="49">
        <v>9170.9499999999989</v>
      </c>
      <c r="K1523" s="65">
        <v>300.2</v>
      </c>
      <c r="L1523" s="65">
        <v>9153.64</v>
      </c>
      <c r="M1523" s="65">
        <v>0</v>
      </c>
      <c r="N1523" s="65">
        <v>0</v>
      </c>
      <c r="O1523" s="65">
        <v>300.2</v>
      </c>
      <c r="P1523" s="65">
        <v>9153.64</v>
      </c>
      <c r="Q1523" s="50">
        <v>9153.64</v>
      </c>
      <c r="R1523" s="65">
        <v>0</v>
      </c>
      <c r="S1523" s="65">
        <v>0</v>
      </c>
      <c r="T1523" s="65">
        <v>0</v>
      </c>
      <c r="U1523" s="65">
        <v>0</v>
      </c>
      <c r="V1523" s="65">
        <v>0</v>
      </c>
      <c r="W1523" s="65">
        <v>0</v>
      </c>
      <c r="X1523" s="65">
        <v>9154</v>
      </c>
      <c r="Y1523" s="65">
        <v>0</v>
      </c>
      <c r="Z1523" s="65">
        <v>0</v>
      </c>
      <c r="AA1523" s="51">
        <v>17</v>
      </c>
      <c r="AB1523" s="102">
        <v>0</v>
      </c>
      <c r="AC1523" s="81">
        <f t="shared" si="72"/>
        <v>243.84655740432612</v>
      </c>
      <c r="AD1523" s="82">
        <f t="shared" si="73"/>
        <v>42.928571428571431</v>
      </c>
      <c r="AE1523" s="218">
        <v>1.8874816676570576E-3</v>
      </c>
      <c r="AF1523">
        <v>1</v>
      </c>
      <c r="AH1523" t="str">
        <f t="shared" si="74"/>
        <v>Musrigharari</v>
      </c>
      <c r="AJ1523" s="72">
        <v>0</v>
      </c>
      <c r="AK1523" s="72"/>
      <c r="AL1523" s="72"/>
      <c r="AM1523" s="72"/>
    </row>
    <row r="1524" spans="1:39" x14ac:dyDescent="0.25">
      <c r="A1524" s="37" t="s">
        <v>62</v>
      </c>
      <c r="B1524" s="66" t="s">
        <v>1638</v>
      </c>
      <c r="C1524" s="47">
        <v>1013</v>
      </c>
      <c r="D1524" s="47" t="s">
        <v>343</v>
      </c>
      <c r="E1524" s="41">
        <v>10130118</v>
      </c>
      <c r="F1524" s="46" t="s">
        <v>1351</v>
      </c>
      <c r="G1524" s="39" t="s">
        <v>1610</v>
      </c>
      <c r="H1524" s="48" t="s">
        <v>98</v>
      </c>
      <c r="I1524" s="52">
        <v>11007</v>
      </c>
      <c r="J1524" s="49">
        <v>392155.43</v>
      </c>
      <c r="K1524" s="65">
        <v>0</v>
      </c>
      <c r="L1524" s="65">
        <v>0</v>
      </c>
      <c r="M1524" s="65">
        <v>0</v>
      </c>
      <c r="N1524" s="65">
        <v>0</v>
      </c>
      <c r="O1524" s="65">
        <v>0</v>
      </c>
      <c r="P1524" s="65">
        <v>0</v>
      </c>
      <c r="Q1524" s="50">
        <v>392155.43</v>
      </c>
      <c r="R1524" s="65">
        <v>0</v>
      </c>
      <c r="S1524" s="65">
        <v>0</v>
      </c>
      <c r="T1524" s="65">
        <v>0</v>
      </c>
      <c r="U1524" s="65">
        <v>0</v>
      </c>
      <c r="V1524" s="65">
        <v>0</v>
      </c>
      <c r="W1524" s="65">
        <v>0</v>
      </c>
      <c r="X1524" s="65">
        <v>0</v>
      </c>
      <c r="Y1524" s="65">
        <v>0</v>
      </c>
      <c r="Z1524" s="65">
        <v>392155.43</v>
      </c>
      <c r="AA1524" s="51">
        <v>0</v>
      </c>
      <c r="AB1524" s="102">
        <v>0</v>
      </c>
      <c r="AC1524" s="81">
        <f t="shared" si="72"/>
        <v>0</v>
      </c>
      <c r="AD1524" s="82">
        <f t="shared" si="73"/>
        <v>0</v>
      </c>
      <c r="AE1524" s="218">
        <v>0</v>
      </c>
      <c r="AF1524">
        <v>0</v>
      </c>
      <c r="AH1524" t="str">
        <f t="shared" si="74"/>
        <v>Musrigharari</v>
      </c>
      <c r="AJ1524" s="72">
        <v>0</v>
      </c>
      <c r="AK1524" s="72"/>
      <c r="AL1524" s="72"/>
      <c r="AM1524" s="72"/>
    </row>
    <row r="1525" spans="1:39" x14ac:dyDescent="0.25">
      <c r="A1525" s="37" t="s">
        <v>62</v>
      </c>
      <c r="B1525" s="66" t="s">
        <v>1638</v>
      </c>
      <c r="C1525" s="47">
        <v>1013</v>
      </c>
      <c r="D1525" s="47" t="s">
        <v>343</v>
      </c>
      <c r="E1525" s="41">
        <v>10130119</v>
      </c>
      <c r="F1525" s="46" t="s">
        <v>1452</v>
      </c>
      <c r="G1525" s="39" t="s">
        <v>1610</v>
      </c>
      <c r="H1525" s="48" t="s">
        <v>98</v>
      </c>
      <c r="I1525" s="52">
        <v>91</v>
      </c>
      <c r="J1525" s="49">
        <v>3724.8900000000003</v>
      </c>
      <c r="K1525" s="65">
        <v>0</v>
      </c>
      <c r="L1525" s="65">
        <v>0</v>
      </c>
      <c r="M1525" s="65">
        <v>0</v>
      </c>
      <c r="N1525" s="65">
        <v>0</v>
      </c>
      <c r="O1525" s="65">
        <v>0</v>
      </c>
      <c r="P1525" s="65">
        <v>0</v>
      </c>
      <c r="Q1525" s="50">
        <v>3724.8900000000003</v>
      </c>
      <c r="R1525" s="65">
        <v>0</v>
      </c>
      <c r="S1525" s="65">
        <v>0</v>
      </c>
      <c r="T1525" s="65">
        <v>0</v>
      </c>
      <c r="U1525" s="65">
        <v>0</v>
      </c>
      <c r="V1525" s="65">
        <v>0</v>
      </c>
      <c r="W1525" s="65">
        <v>0</v>
      </c>
      <c r="X1525" s="65">
        <v>0</v>
      </c>
      <c r="Y1525" s="65">
        <v>0</v>
      </c>
      <c r="Z1525" s="65">
        <v>3724.8900000000003</v>
      </c>
      <c r="AA1525" s="51">
        <v>0</v>
      </c>
      <c r="AB1525" s="102">
        <v>0</v>
      </c>
      <c r="AC1525" s="81">
        <f t="shared" si="72"/>
        <v>498.56220000000002</v>
      </c>
      <c r="AD1525" s="82">
        <f t="shared" si="73"/>
        <v>13</v>
      </c>
      <c r="AE1525" s="218">
        <v>0</v>
      </c>
      <c r="AF1525">
        <v>0</v>
      </c>
      <c r="AH1525" t="str">
        <f t="shared" si="74"/>
        <v>Musrigharari</v>
      </c>
      <c r="AJ1525" s="72">
        <v>0</v>
      </c>
      <c r="AK1525" s="72"/>
      <c r="AL1525" s="72"/>
      <c r="AM1525" s="72"/>
    </row>
    <row r="1526" spans="1:39" x14ac:dyDescent="0.25">
      <c r="A1526" s="37" t="s">
        <v>62</v>
      </c>
      <c r="B1526" s="66" t="s">
        <v>1638</v>
      </c>
      <c r="C1526" s="47">
        <v>1013</v>
      </c>
      <c r="D1526" s="47" t="s">
        <v>343</v>
      </c>
      <c r="E1526" s="41">
        <v>10130120</v>
      </c>
      <c r="F1526" s="46" t="s">
        <v>1500</v>
      </c>
      <c r="G1526" s="39" t="s">
        <v>92</v>
      </c>
      <c r="H1526" s="48" t="s">
        <v>93</v>
      </c>
      <c r="I1526" s="52">
        <v>465.8</v>
      </c>
      <c r="J1526" s="49">
        <v>19199.12</v>
      </c>
      <c r="K1526" s="65">
        <v>460.32</v>
      </c>
      <c r="L1526" s="65">
        <v>18888.05</v>
      </c>
      <c r="M1526" s="65">
        <v>6.11</v>
      </c>
      <c r="N1526" s="65">
        <v>278.12</v>
      </c>
      <c r="O1526" s="65">
        <v>466.43</v>
      </c>
      <c r="P1526" s="65">
        <v>19166.169999999998</v>
      </c>
      <c r="Q1526" s="50">
        <v>19166.169999999998</v>
      </c>
      <c r="R1526" s="65">
        <v>0</v>
      </c>
      <c r="S1526" s="65">
        <v>278.12</v>
      </c>
      <c r="T1526" s="65">
        <v>0</v>
      </c>
      <c r="U1526" s="65">
        <v>0</v>
      </c>
      <c r="V1526" s="65">
        <v>0</v>
      </c>
      <c r="W1526" s="65">
        <v>0</v>
      </c>
      <c r="X1526" s="65">
        <v>18887</v>
      </c>
      <c r="Y1526" s="65">
        <v>0</v>
      </c>
      <c r="Z1526" s="65">
        <v>0</v>
      </c>
      <c r="AA1526" s="51">
        <v>34</v>
      </c>
      <c r="AB1526" s="102">
        <v>0</v>
      </c>
      <c r="AC1526" s="81">
        <f t="shared" si="72"/>
        <v>193.06285547445256</v>
      </c>
      <c r="AD1526" s="82">
        <f t="shared" si="73"/>
        <v>66.542857142857144</v>
      </c>
      <c r="AE1526" s="218">
        <v>1.7162244936226624E-3</v>
      </c>
      <c r="AF1526">
        <v>7</v>
      </c>
      <c r="AH1526" t="str">
        <f t="shared" si="74"/>
        <v>Musrigharari</v>
      </c>
      <c r="AJ1526" s="72">
        <v>0</v>
      </c>
      <c r="AK1526" s="72"/>
      <c r="AL1526" s="72"/>
      <c r="AM1526" s="72"/>
    </row>
    <row r="1527" spans="1:39" x14ac:dyDescent="0.25">
      <c r="A1527" s="37" t="s">
        <v>62</v>
      </c>
      <c r="B1527" s="66" t="s">
        <v>1638</v>
      </c>
      <c r="C1527" s="47">
        <v>1013</v>
      </c>
      <c r="D1527" s="47" t="s">
        <v>343</v>
      </c>
      <c r="E1527" s="41">
        <v>10130122</v>
      </c>
      <c r="F1527" s="46" t="s">
        <v>1547</v>
      </c>
      <c r="G1527" s="39" t="s">
        <v>1610</v>
      </c>
      <c r="H1527" s="48" t="s">
        <v>98</v>
      </c>
      <c r="I1527" s="52">
        <v>466.1</v>
      </c>
      <c r="J1527" s="49">
        <v>16316.439999999999</v>
      </c>
      <c r="K1527" s="65">
        <v>0</v>
      </c>
      <c r="L1527" s="65">
        <v>0</v>
      </c>
      <c r="M1527" s="65">
        <v>0</v>
      </c>
      <c r="N1527" s="65">
        <v>0</v>
      </c>
      <c r="O1527" s="65">
        <v>0</v>
      </c>
      <c r="P1527" s="65">
        <v>0</v>
      </c>
      <c r="Q1527" s="50">
        <v>16316.439999999999</v>
      </c>
      <c r="R1527" s="65">
        <v>0</v>
      </c>
      <c r="S1527" s="65">
        <v>0</v>
      </c>
      <c r="T1527" s="65">
        <v>0</v>
      </c>
      <c r="U1527" s="65">
        <v>0</v>
      </c>
      <c r="V1527" s="65">
        <v>0</v>
      </c>
      <c r="W1527" s="65">
        <v>0</v>
      </c>
      <c r="X1527" s="65">
        <v>0</v>
      </c>
      <c r="Y1527" s="65">
        <v>0</v>
      </c>
      <c r="Z1527" s="65">
        <v>16316.439999999999</v>
      </c>
      <c r="AA1527" s="51">
        <v>0</v>
      </c>
      <c r="AB1527" s="102">
        <v>0</v>
      </c>
      <c r="AC1527" s="81">
        <f t="shared" si="72"/>
        <v>163.75950723020807</v>
      </c>
      <c r="AD1527" s="82">
        <f t="shared" si="73"/>
        <v>66.585714285714289</v>
      </c>
      <c r="AE1527" s="218">
        <v>0</v>
      </c>
      <c r="AF1527">
        <v>0</v>
      </c>
      <c r="AH1527" t="str">
        <f t="shared" si="74"/>
        <v>Musrigharari</v>
      </c>
      <c r="AJ1527" s="72">
        <v>0</v>
      </c>
      <c r="AK1527" s="72"/>
      <c r="AL1527" s="72"/>
      <c r="AM1527" s="72"/>
    </row>
    <row r="1528" spans="1:39" x14ac:dyDescent="0.25">
      <c r="A1528" s="37" t="s">
        <v>62</v>
      </c>
      <c r="B1528" s="66" t="s">
        <v>1638</v>
      </c>
      <c r="C1528" s="47">
        <v>1014</v>
      </c>
      <c r="D1528" s="47" t="s">
        <v>368</v>
      </c>
      <c r="E1528" s="41">
        <v>10140001</v>
      </c>
      <c r="F1528" s="46" t="s">
        <v>438</v>
      </c>
      <c r="G1528" s="39" t="s">
        <v>92</v>
      </c>
      <c r="H1528" s="48" t="s">
        <v>93</v>
      </c>
      <c r="I1528" s="52">
        <v>631.30000000000007</v>
      </c>
      <c r="J1528" s="49">
        <v>21622.350000000002</v>
      </c>
      <c r="K1528" s="65">
        <v>432.09999999999997</v>
      </c>
      <c r="L1528" s="65">
        <v>21437.439999999999</v>
      </c>
      <c r="M1528" s="65">
        <v>0</v>
      </c>
      <c r="N1528" s="65">
        <v>0</v>
      </c>
      <c r="O1528" s="65">
        <v>432.09999999999997</v>
      </c>
      <c r="P1528" s="65">
        <v>21437.439999999999</v>
      </c>
      <c r="Q1528" s="50">
        <v>21437.439999999999</v>
      </c>
      <c r="R1528" s="65">
        <v>0</v>
      </c>
      <c r="S1528" s="65">
        <v>0</v>
      </c>
      <c r="T1528" s="65">
        <v>0</v>
      </c>
      <c r="U1528" s="65">
        <v>6650</v>
      </c>
      <c r="V1528" s="65">
        <v>0</v>
      </c>
      <c r="W1528" s="65">
        <v>0</v>
      </c>
      <c r="X1528" s="65">
        <v>14788</v>
      </c>
      <c r="Y1528" s="65">
        <v>0</v>
      </c>
      <c r="Z1528" s="65">
        <v>0</v>
      </c>
      <c r="AA1528" s="51">
        <v>184</v>
      </c>
      <c r="AB1528" s="102">
        <v>0</v>
      </c>
      <c r="AC1528" s="81">
        <f t="shared" si="72"/>
        <v>47.060207349912815</v>
      </c>
      <c r="AD1528" s="82">
        <f t="shared" si="73"/>
        <v>90.185714285714297</v>
      </c>
      <c r="AE1528" s="218">
        <v>8.5517994112574939E-3</v>
      </c>
      <c r="AF1528">
        <v>5</v>
      </c>
      <c r="AH1528" t="str">
        <f t="shared" si="74"/>
        <v>Dumraon</v>
      </c>
      <c r="AJ1528" s="72">
        <v>0</v>
      </c>
      <c r="AK1528" s="72"/>
      <c r="AL1528" s="72"/>
      <c r="AM1528" s="72"/>
    </row>
    <row r="1529" spans="1:39" x14ac:dyDescent="0.25">
      <c r="A1529" s="37" t="s">
        <v>62</v>
      </c>
      <c r="B1529" s="66" t="s">
        <v>1638</v>
      </c>
      <c r="C1529" s="47">
        <v>1014</v>
      </c>
      <c r="D1529" s="47" t="s">
        <v>368</v>
      </c>
      <c r="E1529" s="41">
        <v>10140002</v>
      </c>
      <c r="F1529" s="46" t="s">
        <v>369</v>
      </c>
      <c r="G1529" s="39" t="s">
        <v>92</v>
      </c>
      <c r="H1529" s="48" t="s">
        <v>93</v>
      </c>
      <c r="I1529" s="52">
        <v>767.5</v>
      </c>
      <c r="J1529" s="49">
        <v>28881.05</v>
      </c>
      <c r="K1529" s="65">
        <v>789.93999999999994</v>
      </c>
      <c r="L1529" s="65">
        <v>30509.11</v>
      </c>
      <c r="M1529" s="65">
        <v>0</v>
      </c>
      <c r="N1529" s="65">
        <v>0</v>
      </c>
      <c r="O1529" s="65">
        <v>789.93999999999994</v>
      </c>
      <c r="P1529" s="65">
        <v>30509.11</v>
      </c>
      <c r="Q1529" s="50">
        <v>28881.05</v>
      </c>
      <c r="R1529" s="65">
        <v>0</v>
      </c>
      <c r="S1529" s="65">
        <v>0</v>
      </c>
      <c r="T1529" s="65">
        <v>1628.0600000000013</v>
      </c>
      <c r="U1529" s="65">
        <v>0</v>
      </c>
      <c r="V1529" s="65">
        <v>0</v>
      </c>
      <c r="W1529" s="65">
        <v>0</v>
      </c>
      <c r="X1529" s="65">
        <v>28881</v>
      </c>
      <c r="Y1529" s="65">
        <v>0</v>
      </c>
      <c r="Z1529" s="65">
        <v>0</v>
      </c>
      <c r="AA1529" s="51">
        <v>0</v>
      </c>
      <c r="AB1529" s="102">
        <v>0</v>
      </c>
      <c r="AC1529" s="81">
        <f t="shared" si="72"/>
        <v>0</v>
      </c>
      <c r="AD1529" s="82">
        <f t="shared" si="73"/>
        <v>0</v>
      </c>
      <c r="AE1529" s="218">
        <v>-5.6371219190438068E-2</v>
      </c>
      <c r="AF1529">
        <v>10</v>
      </c>
      <c r="AH1529" t="str">
        <f t="shared" si="74"/>
        <v>Dumraon</v>
      </c>
      <c r="AJ1529" s="72">
        <v>0</v>
      </c>
      <c r="AK1529" s="72"/>
      <c r="AL1529" s="72"/>
      <c r="AM1529" s="72"/>
    </row>
    <row r="1530" spans="1:39" x14ac:dyDescent="0.25">
      <c r="A1530" s="37" t="s">
        <v>62</v>
      </c>
      <c r="B1530" s="66" t="s">
        <v>1638</v>
      </c>
      <c r="C1530" s="47">
        <v>1014</v>
      </c>
      <c r="D1530" s="47" t="s">
        <v>368</v>
      </c>
      <c r="E1530" s="41">
        <v>10140003</v>
      </c>
      <c r="F1530" s="46" t="s">
        <v>370</v>
      </c>
      <c r="G1530" s="39" t="s">
        <v>92</v>
      </c>
      <c r="H1530" s="48" t="s">
        <v>93</v>
      </c>
      <c r="I1530" s="52">
        <v>1107</v>
      </c>
      <c r="J1530" s="49">
        <v>46127.85</v>
      </c>
      <c r="K1530" s="65">
        <v>1002.3999999999999</v>
      </c>
      <c r="L1530" s="65">
        <v>44775.290000000008</v>
      </c>
      <c r="M1530" s="65">
        <v>31</v>
      </c>
      <c r="N1530" s="65">
        <v>1301.1799999999998</v>
      </c>
      <c r="O1530" s="65">
        <v>1033.3999999999999</v>
      </c>
      <c r="P1530" s="65">
        <v>46076.470000000008</v>
      </c>
      <c r="Q1530" s="50">
        <v>46076.470000000008</v>
      </c>
      <c r="R1530" s="65">
        <v>0</v>
      </c>
      <c r="S1530" s="65">
        <v>1301.1799999999998</v>
      </c>
      <c r="T1530" s="65">
        <v>0</v>
      </c>
      <c r="U1530" s="65">
        <v>0</v>
      </c>
      <c r="V1530" s="65">
        <v>0</v>
      </c>
      <c r="W1530" s="65">
        <v>0</v>
      </c>
      <c r="X1530" s="65">
        <v>44775</v>
      </c>
      <c r="Y1530" s="65">
        <v>0</v>
      </c>
      <c r="Z1530" s="65">
        <v>0</v>
      </c>
      <c r="AA1530" s="51">
        <v>52</v>
      </c>
      <c r="AB1530" s="102">
        <v>0</v>
      </c>
      <c r="AC1530" s="81">
        <f t="shared" si="72"/>
        <v>0</v>
      </c>
      <c r="AD1530" s="82">
        <f t="shared" si="73"/>
        <v>0</v>
      </c>
      <c r="AE1530" s="218">
        <v>1.1138607153810573E-3</v>
      </c>
      <c r="AF1530">
        <v>26</v>
      </c>
      <c r="AH1530" t="str">
        <f t="shared" si="74"/>
        <v>Dumraon</v>
      </c>
      <c r="AJ1530" s="72">
        <v>0</v>
      </c>
      <c r="AK1530" s="72"/>
      <c r="AL1530" s="72"/>
      <c r="AM1530" s="72"/>
    </row>
    <row r="1531" spans="1:39" x14ac:dyDescent="0.25">
      <c r="A1531" s="37" t="s">
        <v>62</v>
      </c>
      <c r="B1531" s="66" t="s">
        <v>1638</v>
      </c>
      <c r="C1531" s="47">
        <v>1014</v>
      </c>
      <c r="D1531" s="47" t="s">
        <v>368</v>
      </c>
      <c r="E1531" s="41">
        <v>10140007</v>
      </c>
      <c r="F1531" s="46" t="s">
        <v>371</v>
      </c>
      <c r="G1531" s="39" t="s">
        <v>92</v>
      </c>
      <c r="H1531" s="48" t="s">
        <v>93</v>
      </c>
      <c r="I1531" s="52">
        <v>742.7</v>
      </c>
      <c r="J1531" s="49">
        <v>27601.809999999998</v>
      </c>
      <c r="K1531" s="65">
        <v>726.13000000000011</v>
      </c>
      <c r="L1531" s="65">
        <v>29479.489999999994</v>
      </c>
      <c r="M1531" s="65">
        <v>27.259999999999998</v>
      </c>
      <c r="N1531" s="65">
        <v>1465.99</v>
      </c>
      <c r="O1531" s="65">
        <v>753.3900000000001</v>
      </c>
      <c r="P1531" s="65">
        <v>30945.479999999996</v>
      </c>
      <c r="Q1531" s="50">
        <v>27601.809999999998</v>
      </c>
      <c r="R1531" s="65">
        <v>0</v>
      </c>
      <c r="S1531" s="65">
        <v>1465.99</v>
      </c>
      <c r="T1531" s="65">
        <v>3343.6699999999983</v>
      </c>
      <c r="U1531" s="65">
        <v>0</v>
      </c>
      <c r="V1531" s="65">
        <v>0</v>
      </c>
      <c r="W1531" s="65">
        <v>0</v>
      </c>
      <c r="X1531" s="65">
        <v>26136</v>
      </c>
      <c r="Y1531" s="65">
        <v>0</v>
      </c>
      <c r="Z1531" s="65">
        <v>0</v>
      </c>
      <c r="AA1531" s="51">
        <v>0</v>
      </c>
      <c r="AB1531" s="102" t="s">
        <v>68</v>
      </c>
      <c r="AC1531" s="81">
        <f t="shared" si="72"/>
        <v>0</v>
      </c>
      <c r="AD1531" s="82">
        <f t="shared" si="73"/>
        <v>0</v>
      </c>
      <c r="AE1531" s="218">
        <v>-0.12113951947354172</v>
      </c>
      <c r="AF1531">
        <v>13</v>
      </c>
      <c r="AH1531" t="str">
        <f t="shared" si="74"/>
        <v>Dumraon</v>
      </c>
      <c r="AJ1531" s="72">
        <v>0</v>
      </c>
      <c r="AK1531" s="72"/>
      <c r="AL1531" s="72"/>
      <c r="AM1531" s="72"/>
    </row>
    <row r="1532" spans="1:39" x14ac:dyDescent="0.25">
      <c r="A1532" s="37" t="s">
        <v>62</v>
      </c>
      <c r="B1532" s="66" t="s">
        <v>1638</v>
      </c>
      <c r="C1532" s="47">
        <v>1014</v>
      </c>
      <c r="D1532" s="47" t="s">
        <v>368</v>
      </c>
      <c r="E1532" s="41">
        <v>10140008</v>
      </c>
      <c r="F1532" s="46" t="s">
        <v>372</v>
      </c>
      <c r="G1532" s="39" t="s">
        <v>92</v>
      </c>
      <c r="H1532" s="48" t="s">
        <v>93</v>
      </c>
      <c r="I1532" s="52">
        <v>588.00000000000011</v>
      </c>
      <c r="J1532" s="49">
        <v>22769.679999999997</v>
      </c>
      <c r="K1532" s="65">
        <v>596.43999999999994</v>
      </c>
      <c r="L1532" s="65">
        <v>22318.11</v>
      </c>
      <c r="M1532" s="65">
        <v>10.7</v>
      </c>
      <c r="N1532" s="65">
        <v>449.61</v>
      </c>
      <c r="O1532" s="65">
        <v>607.14</v>
      </c>
      <c r="P1532" s="65">
        <v>22767.72</v>
      </c>
      <c r="Q1532" s="50">
        <v>22767.72</v>
      </c>
      <c r="R1532" s="65">
        <v>0</v>
      </c>
      <c r="S1532" s="65">
        <v>449.61</v>
      </c>
      <c r="T1532" s="65">
        <v>0</v>
      </c>
      <c r="U1532" s="65">
        <v>0</v>
      </c>
      <c r="V1532" s="65">
        <v>0</v>
      </c>
      <c r="W1532" s="65">
        <v>0</v>
      </c>
      <c r="X1532" s="65">
        <v>22319</v>
      </c>
      <c r="Y1532" s="65">
        <v>0</v>
      </c>
      <c r="Z1532" s="65">
        <v>0</v>
      </c>
      <c r="AA1532" s="51">
        <v>1</v>
      </c>
      <c r="AB1532" s="102">
        <v>0</v>
      </c>
      <c r="AC1532" s="81">
        <f t="shared" si="72"/>
        <v>86.741638095238002</v>
      </c>
      <c r="AD1532" s="82">
        <f t="shared" si="73"/>
        <v>84.000000000000014</v>
      </c>
      <c r="AE1532" s="218">
        <v>8.6079382757925859E-5</v>
      </c>
      <c r="AF1532">
        <v>14</v>
      </c>
      <c r="AH1532" t="str">
        <f t="shared" si="74"/>
        <v>Dumraon</v>
      </c>
      <c r="AJ1532" s="72">
        <v>0</v>
      </c>
      <c r="AK1532" s="72"/>
      <c r="AL1532" s="72"/>
      <c r="AM1532" s="72"/>
    </row>
    <row r="1533" spans="1:39" x14ac:dyDescent="0.25">
      <c r="A1533" s="37" t="s">
        <v>62</v>
      </c>
      <c r="B1533" s="66" t="s">
        <v>1638</v>
      </c>
      <c r="C1533" s="47">
        <v>1014</v>
      </c>
      <c r="D1533" s="47" t="s">
        <v>368</v>
      </c>
      <c r="E1533" s="41">
        <v>10140009</v>
      </c>
      <c r="F1533" s="46" t="s">
        <v>373</v>
      </c>
      <c r="G1533" s="39" t="s">
        <v>92</v>
      </c>
      <c r="H1533" s="48" t="s">
        <v>93</v>
      </c>
      <c r="I1533" s="52">
        <v>1238.0999999999999</v>
      </c>
      <c r="J1533" s="49">
        <v>51676.960000000006</v>
      </c>
      <c r="K1533" s="65">
        <v>1240.4099999999999</v>
      </c>
      <c r="L1533" s="65">
        <v>53931.130000000005</v>
      </c>
      <c r="M1533" s="65">
        <v>0</v>
      </c>
      <c r="N1533" s="65">
        <v>0</v>
      </c>
      <c r="O1533" s="65">
        <v>1240.4099999999999</v>
      </c>
      <c r="P1533" s="65">
        <v>53931.130000000005</v>
      </c>
      <c r="Q1533" s="50">
        <v>51676.960000000006</v>
      </c>
      <c r="R1533" s="65">
        <v>0</v>
      </c>
      <c r="S1533" s="65">
        <v>0</v>
      </c>
      <c r="T1533" s="65">
        <v>2254.1699999999983</v>
      </c>
      <c r="U1533" s="65">
        <v>0</v>
      </c>
      <c r="V1533" s="65">
        <v>0</v>
      </c>
      <c r="W1533" s="65">
        <v>0</v>
      </c>
      <c r="X1533" s="65">
        <v>51677</v>
      </c>
      <c r="Y1533" s="65">
        <v>0</v>
      </c>
      <c r="Z1533" s="65">
        <v>0</v>
      </c>
      <c r="AA1533" s="51">
        <v>0</v>
      </c>
      <c r="AB1533" s="102">
        <v>0</v>
      </c>
      <c r="AC1533" s="81">
        <f t="shared" si="72"/>
        <v>0</v>
      </c>
      <c r="AD1533" s="82">
        <f t="shared" si="73"/>
        <v>0</v>
      </c>
      <c r="AE1533" s="218">
        <v>-4.3620406463538063E-2</v>
      </c>
      <c r="AF1533">
        <v>6</v>
      </c>
      <c r="AH1533" t="str">
        <f t="shared" si="74"/>
        <v>Dumraon</v>
      </c>
      <c r="AJ1533" s="72">
        <v>0</v>
      </c>
      <c r="AK1533" s="72"/>
      <c r="AL1533" s="72"/>
      <c r="AM1533" s="72"/>
    </row>
    <row r="1534" spans="1:39" x14ac:dyDescent="0.25">
      <c r="A1534" s="37" t="s">
        <v>62</v>
      </c>
      <c r="B1534" s="66" t="s">
        <v>1638</v>
      </c>
      <c r="C1534" s="47">
        <v>1014</v>
      </c>
      <c r="D1534" s="47" t="s">
        <v>368</v>
      </c>
      <c r="E1534" s="41">
        <v>10140011</v>
      </c>
      <c r="F1534" s="46" t="s">
        <v>374</v>
      </c>
      <c r="G1534" s="39" t="s">
        <v>92</v>
      </c>
      <c r="H1534" s="48" t="s">
        <v>93</v>
      </c>
      <c r="I1534" s="52">
        <v>204.79999999999998</v>
      </c>
      <c r="J1534" s="49">
        <v>6458.4099999999989</v>
      </c>
      <c r="K1534" s="65">
        <v>206</v>
      </c>
      <c r="L1534" s="65">
        <v>6423.08</v>
      </c>
      <c r="M1534" s="65">
        <v>0</v>
      </c>
      <c r="N1534" s="65">
        <v>0</v>
      </c>
      <c r="O1534" s="65">
        <v>206</v>
      </c>
      <c r="P1534" s="65">
        <v>6423.08</v>
      </c>
      <c r="Q1534" s="50">
        <v>6423.08</v>
      </c>
      <c r="R1534" s="65">
        <v>0</v>
      </c>
      <c r="S1534" s="65">
        <v>0</v>
      </c>
      <c r="T1534" s="65">
        <v>0</v>
      </c>
      <c r="U1534" s="65">
        <v>0</v>
      </c>
      <c r="V1534" s="65">
        <v>0</v>
      </c>
      <c r="W1534" s="65">
        <v>0</v>
      </c>
      <c r="X1534" s="65">
        <v>6423</v>
      </c>
      <c r="Y1534" s="65">
        <v>0</v>
      </c>
      <c r="Z1534" s="65">
        <v>0</v>
      </c>
      <c r="AA1534" s="51">
        <v>35</v>
      </c>
      <c r="AB1534" s="102" t="s">
        <v>68</v>
      </c>
      <c r="AC1534" s="81">
        <f t="shared" si="72"/>
        <v>312.32467109375</v>
      </c>
      <c r="AD1534" s="82">
        <f t="shared" si="73"/>
        <v>29.257142857142856</v>
      </c>
      <c r="AE1534" s="218">
        <v>5.4703866741193305E-3</v>
      </c>
      <c r="AF1534">
        <v>1</v>
      </c>
      <c r="AH1534" t="str">
        <f t="shared" si="74"/>
        <v>Dumraon</v>
      </c>
      <c r="AJ1534" s="72">
        <v>0</v>
      </c>
      <c r="AK1534" s="72"/>
      <c r="AL1534" s="72"/>
      <c r="AM1534" s="72"/>
    </row>
    <row r="1535" spans="1:39" x14ac:dyDescent="0.25">
      <c r="A1535" s="37" t="s">
        <v>62</v>
      </c>
      <c r="B1535" s="66" t="s">
        <v>1638</v>
      </c>
      <c r="C1535" s="47">
        <v>1014</v>
      </c>
      <c r="D1535" s="47" t="s">
        <v>368</v>
      </c>
      <c r="E1535" s="41">
        <v>10140012</v>
      </c>
      <c r="F1535" s="46" t="s">
        <v>375</v>
      </c>
      <c r="G1535" s="39" t="s">
        <v>92</v>
      </c>
      <c r="H1535" s="48" t="s">
        <v>93</v>
      </c>
      <c r="I1535" s="52">
        <v>1301.0999999999997</v>
      </c>
      <c r="J1535" s="49">
        <v>57961.09</v>
      </c>
      <c r="K1535" s="65">
        <v>1295.9100000000001</v>
      </c>
      <c r="L1535" s="65">
        <v>59239.150000000009</v>
      </c>
      <c r="M1535" s="65">
        <v>7.02</v>
      </c>
      <c r="N1535" s="65">
        <v>271.33</v>
      </c>
      <c r="O1535" s="65">
        <v>1302.93</v>
      </c>
      <c r="P1535" s="65">
        <v>59510.48000000001</v>
      </c>
      <c r="Q1535" s="50">
        <v>57961.09</v>
      </c>
      <c r="R1535" s="65">
        <v>0</v>
      </c>
      <c r="S1535" s="65">
        <v>271.33</v>
      </c>
      <c r="T1535" s="65">
        <v>1549.390000000014</v>
      </c>
      <c r="U1535" s="65">
        <v>0</v>
      </c>
      <c r="V1535" s="65">
        <v>0</v>
      </c>
      <c r="W1535" s="65">
        <v>0</v>
      </c>
      <c r="X1535" s="65">
        <v>57690</v>
      </c>
      <c r="Y1535" s="65">
        <v>0</v>
      </c>
      <c r="Z1535" s="65">
        <v>0</v>
      </c>
      <c r="AA1535" s="51">
        <v>0</v>
      </c>
      <c r="AB1535" s="102" t="s">
        <v>68</v>
      </c>
      <c r="AC1535" s="81">
        <f t="shared" si="72"/>
        <v>0</v>
      </c>
      <c r="AD1535" s="82">
        <f t="shared" si="73"/>
        <v>0</v>
      </c>
      <c r="AE1535" s="218">
        <v>-2.673155387519479E-2</v>
      </c>
      <c r="AF1535">
        <v>19</v>
      </c>
      <c r="AH1535" t="str">
        <f t="shared" si="74"/>
        <v>Dumraon</v>
      </c>
      <c r="AJ1535" s="72">
        <v>0</v>
      </c>
      <c r="AK1535" s="72"/>
      <c r="AL1535" s="72"/>
      <c r="AM1535" s="72"/>
    </row>
    <row r="1536" spans="1:39" x14ac:dyDescent="0.25">
      <c r="A1536" s="37" t="s">
        <v>62</v>
      </c>
      <c r="B1536" s="66" t="s">
        <v>1638</v>
      </c>
      <c r="C1536" s="47">
        <v>1014</v>
      </c>
      <c r="D1536" s="47" t="s">
        <v>368</v>
      </c>
      <c r="E1536" s="41">
        <v>10140013</v>
      </c>
      <c r="F1536" s="46" t="s">
        <v>376</v>
      </c>
      <c r="G1536" s="39" t="s">
        <v>92</v>
      </c>
      <c r="H1536" s="48" t="s">
        <v>93</v>
      </c>
      <c r="I1536" s="52">
        <v>1902.4999999999998</v>
      </c>
      <c r="J1536" s="49">
        <v>76368.639999999999</v>
      </c>
      <c r="K1536" s="65">
        <v>2059.4</v>
      </c>
      <c r="L1536" s="65">
        <v>76175.97</v>
      </c>
      <c r="M1536" s="65">
        <v>4</v>
      </c>
      <c r="N1536" s="65">
        <v>136.24</v>
      </c>
      <c r="O1536" s="65">
        <v>2063.4</v>
      </c>
      <c r="P1536" s="65">
        <v>76312.210000000006</v>
      </c>
      <c r="Q1536" s="50">
        <v>76312.210000000006</v>
      </c>
      <c r="R1536" s="65">
        <v>0</v>
      </c>
      <c r="S1536" s="65">
        <v>136.24</v>
      </c>
      <c r="T1536" s="65">
        <v>0</v>
      </c>
      <c r="U1536" s="65">
        <v>0</v>
      </c>
      <c r="V1536" s="65">
        <v>0</v>
      </c>
      <c r="W1536" s="65">
        <v>0</v>
      </c>
      <c r="X1536" s="65">
        <v>76176</v>
      </c>
      <c r="Y1536" s="65">
        <v>0</v>
      </c>
      <c r="Z1536" s="65">
        <v>0</v>
      </c>
      <c r="AA1536" s="51">
        <v>56</v>
      </c>
      <c r="AB1536" s="102">
        <v>0</v>
      </c>
      <c r="AC1536" s="81">
        <f t="shared" si="72"/>
        <v>0</v>
      </c>
      <c r="AD1536" s="82">
        <f t="shared" si="73"/>
        <v>0</v>
      </c>
      <c r="AE1536" s="218">
        <v>7.389158691315311E-4</v>
      </c>
      <c r="AF1536">
        <v>5</v>
      </c>
      <c r="AH1536" t="str">
        <f t="shared" si="74"/>
        <v>Dumraon</v>
      </c>
      <c r="AJ1536" s="72">
        <v>0</v>
      </c>
      <c r="AK1536" s="72"/>
      <c r="AL1536" s="72"/>
      <c r="AM1536" s="72"/>
    </row>
    <row r="1537" spans="1:39" x14ac:dyDescent="0.25">
      <c r="A1537" s="37" t="s">
        <v>62</v>
      </c>
      <c r="B1537" s="66" t="s">
        <v>1638</v>
      </c>
      <c r="C1537" s="47">
        <v>1014</v>
      </c>
      <c r="D1537" s="47" t="s">
        <v>368</v>
      </c>
      <c r="E1537" s="41">
        <v>10140018</v>
      </c>
      <c r="F1537" s="46" t="s">
        <v>1119</v>
      </c>
      <c r="G1537" s="39" t="s">
        <v>92</v>
      </c>
      <c r="H1537" s="48" t="s">
        <v>93</v>
      </c>
      <c r="I1537" s="52">
        <v>326.39999999999998</v>
      </c>
      <c r="J1537" s="49">
        <v>16478.599999999999</v>
      </c>
      <c r="K1537" s="65">
        <v>328</v>
      </c>
      <c r="L1537" s="65">
        <v>16445.919999999998</v>
      </c>
      <c r="M1537" s="65">
        <v>0</v>
      </c>
      <c r="N1537" s="65">
        <v>0</v>
      </c>
      <c r="O1537" s="65">
        <v>328</v>
      </c>
      <c r="P1537" s="65">
        <v>16445.919999999998</v>
      </c>
      <c r="Q1537" s="50">
        <v>16445.919999999998</v>
      </c>
      <c r="R1537" s="65">
        <v>0</v>
      </c>
      <c r="S1537" s="65">
        <v>0</v>
      </c>
      <c r="T1537" s="65">
        <v>0</v>
      </c>
      <c r="U1537" s="65">
        <v>6650</v>
      </c>
      <c r="V1537" s="65">
        <v>0</v>
      </c>
      <c r="W1537" s="65">
        <v>0</v>
      </c>
      <c r="X1537" s="65">
        <v>9796</v>
      </c>
      <c r="Y1537" s="65">
        <v>0</v>
      </c>
      <c r="Z1537" s="65">
        <v>0</v>
      </c>
      <c r="AA1537" s="51">
        <v>33</v>
      </c>
      <c r="AB1537" s="102">
        <v>0</v>
      </c>
      <c r="AC1537" s="81">
        <f t="shared" ref="AC1537:AC1600" si="75">((IF(AD1537=0,0,100-AD1537))*7*(J1537/I1537))*2%</f>
        <v>377.23069607843138</v>
      </c>
      <c r="AD1537" s="82">
        <f t="shared" ref="AD1537:AD1600" si="76">IF((I1537/7)&gt;100,0,(I1537/7))</f>
        <v>46.628571428571426</v>
      </c>
      <c r="AE1537" s="218">
        <v>1.9831781826126185E-3</v>
      </c>
      <c r="AF1537">
        <v>2</v>
      </c>
      <c r="AH1537" t="str">
        <f t="shared" si="74"/>
        <v>Dumraon</v>
      </c>
      <c r="AJ1537" s="72">
        <v>0</v>
      </c>
      <c r="AK1537" s="72"/>
      <c r="AL1537" s="72"/>
      <c r="AM1537" s="72"/>
    </row>
    <row r="1538" spans="1:39" x14ac:dyDescent="0.25">
      <c r="A1538" s="37" t="s">
        <v>62</v>
      </c>
      <c r="B1538" s="66" t="s">
        <v>1638</v>
      </c>
      <c r="C1538" s="47">
        <v>1014</v>
      </c>
      <c r="D1538" s="47" t="s">
        <v>368</v>
      </c>
      <c r="E1538" s="41">
        <v>10140020</v>
      </c>
      <c r="F1538" s="46" t="s">
        <v>1237</v>
      </c>
      <c r="G1538" s="39" t="s">
        <v>92</v>
      </c>
      <c r="H1538" s="48" t="s">
        <v>93</v>
      </c>
      <c r="I1538" s="52">
        <v>69.3</v>
      </c>
      <c r="J1538" s="49">
        <v>2563.3700000000003</v>
      </c>
      <c r="K1538" s="65">
        <v>68.599999999999994</v>
      </c>
      <c r="L1538" s="65">
        <v>2558.11</v>
      </c>
      <c r="M1538" s="65">
        <v>0</v>
      </c>
      <c r="N1538" s="65">
        <v>0</v>
      </c>
      <c r="O1538" s="65">
        <v>68.599999999999994</v>
      </c>
      <c r="P1538" s="65">
        <v>2558.11</v>
      </c>
      <c r="Q1538" s="50">
        <v>2558.11</v>
      </c>
      <c r="R1538" s="65">
        <v>0</v>
      </c>
      <c r="S1538" s="65">
        <v>0</v>
      </c>
      <c r="T1538" s="65">
        <v>0</v>
      </c>
      <c r="U1538" s="65">
        <v>0</v>
      </c>
      <c r="V1538" s="65">
        <v>500</v>
      </c>
      <c r="W1538" s="65">
        <v>0</v>
      </c>
      <c r="X1538" s="65">
        <v>2058</v>
      </c>
      <c r="Y1538" s="65">
        <v>0</v>
      </c>
      <c r="Z1538" s="65">
        <v>0</v>
      </c>
      <c r="AA1538" s="51">
        <v>5</v>
      </c>
      <c r="AB1538" s="102">
        <v>0</v>
      </c>
      <c r="AC1538" s="81">
        <f t="shared" si="75"/>
        <v>466.58512525252536</v>
      </c>
      <c r="AD1538" s="82">
        <f t="shared" si="76"/>
        <v>9.9</v>
      </c>
      <c r="AE1538" s="218">
        <v>2.0519862524724162E-3</v>
      </c>
      <c r="AF1538">
        <v>2</v>
      </c>
      <c r="AH1538" t="str">
        <f t="shared" si="74"/>
        <v>Dumraon</v>
      </c>
      <c r="AJ1538" s="72">
        <v>500</v>
      </c>
      <c r="AK1538" s="72"/>
      <c r="AL1538" s="72"/>
      <c r="AM1538" s="72"/>
    </row>
    <row r="1539" spans="1:39" x14ac:dyDescent="0.25">
      <c r="A1539" s="37" t="s">
        <v>62</v>
      </c>
      <c r="B1539" s="66" t="s">
        <v>1638</v>
      </c>
      <c r="C1539" s="47">
        <v>1014</v>
      </c>
      <c r="D1539" s="47" t="s">
        <v>368</v>
      </c>
      <c r="E1539" s="41">
        <v>10140022</v>
      </c>
      <c r="F1539" s="46" t="s">
        <v>377</v>
      </c>
      <c r="G1539" s="39" t="s">
        <v>92</v>
      </c>
      <c r="H1539" s="48" t="s">
        <v>93</v>
      </c>
      <c r="I1539" s="52">
        <v>576.6</v>
      </c>
      <c r="J1539" s="49">
        <v>21550.119999999995</v>
      </c>
      <c r="K1539" s="65">
        <v>549.9</v>
      </c>
      <c r="L1539" s="65">
        <v>21529.86</v>
      </c>
      <c r="M1539" s="65">
        <v>0</v>
      </c>
      <c r="N1539" s="65">
        <v>0</v>
      </c>
      <c r="O1539" s="65">
        <v>549.9</v>
      </c>
      <c r="P1539" s="65">
        <v>21529.86</v>
      </c>
      <c r="Q1539" s="50">
        <v>21529.86</v>
      </c>
      <c r="R1539" s="65">
        <v>0</v>
      </c>
      <c r="S1539" s="65">
        <v>0</v>
      </c>
      <c r="T1539" s="65">
        <v>0</v>
      </c>
      <c r="U1539" s="65">
        <v>0</v>
      </c>
      <c r="V1539" s="65">
        <v>0</v>
      </c>
      <c r="W1539" s="65">
        <v>0</v>
      </c>
      <c r="X1539" s="65">
        <v>21530</v>
      </c>
      <c r="Y1539" s="65">
        <v>0</v>
      </c>
      <c r="Z1539" s="65">
        <v>0</v>
      </c>
      <c r="AA1539" s="51">
        <v>20</v>
      </c>
      <c r="AB1539" s="102">
        <v>0</v>
      </c>
      <c r="AC1539" s="81">
        <f t="shared" si="75"/>
        <v>92.24019451959758</v>
      </c>
      <c r="AD1539" s="82">
        <f t="shared" si="76"/>
        <v>82.371428571428581</v>
      </c>
      <c r="AE1539" s="218">
        <v>9.401339760518626E-4</v>
      </c>
      <c r="AF1539">
        <v>3</v>
      </c>
      <c r="AH1539" t="str">
        <f t="shared" si="74"/>
        <v>Dumraon</v>
      </c>
      <c r="AJ1539" s="72">
        <v>0</v>
      </c>
      <c r="AK1539" s="72"/>
      <c r="AL1539" s="72"/>
      <c r="AM1539" s="72"/>
    </row>
    <row r="1540" spans="1:39" x14ac:dyDescent="0.25">
      <c r="A1540" s="37" t="s">
        <v>62</v>
      </c>
      <c r="B1540" s="66" t="s">
        <v>1638</v>
      </c>
      <c r="C1540" s="47">
        <v>1014</v>
      </c>
      <c r="D1540" s="47" t="s">
        <v>368</v>
      </c>
      <c r="E1540" s="41">
        <v>10140032</v>
      </c>
      <c r="F1540" s="46" t="s">
        <v>378</v>
      </c>
      <c r="G1540" s="39" t="s">
        <v>92</v>
      </c>
      <c r="H1540" s="48" t="s">
        <v>93</v>
      </c>
      <c r="I1540" s="52">
        <v>393.09999999999997</v>
      </c>
      <c r="J1540" s="49">
        <v>14365.400000000001</v>
      </c>
      <c r="K1540" s="65">
        <v>389.9</v>
      </c>
      <c r="L1540" s="65">
        <v>14363.92</v>
      </c>
      <c r="M1540" s="65">
        <v>0</v>
      </c>
      <c r="N1540" s="65">
        <v>0</v>
      </c>
      <c r="O1540" s="65">
        <v>389.9</v>
      </c>
      <c r="P1540" s="65">
        <v>14363.92</v>
      </c>
      <c r="Q1540" s="50">
        <v>14363.92</v>
      </c>
      <c r="R1540" s="65">
        <v>0</v>
      </c>
      <c r="S1540" s="65">
        <v>0</v>
      </c>
      <c r="T1540" s="65">
        <v>0</v>
      </c>
      <c r="U1540" s="65">
        <v>0</v>
      </c>
      <c r="V1540" s="65">
        <v>500</v>
      </c>
      <c r="W1540" s="65">
        <v>0</v>
      </c>
      <c r="X1540" s="65">
        <v>13864</v>
      </c>
      <c r="Y1540" s="65">
        <v>0</v>
      </c>
      <c r="Z1540" s="65">
        <v>0</v>
      </c>
      <c r="AA1540" s="51">
        <v>1</v>
      </c>
      <c r="AB1540" s="102">
        <v>0</v>
      </c>
      <c r="AC1540" s="81">
        <f t="shared" si="75"/>
        <v>224.30634749427634</v>
      </c>
      <c r="AD1540" s="82">
        <f t="shared" si="76"/>
        <v>56.157142857142851</v>
      </c>
      <c r="AE1540" s="218">
        <v>1.0302532473870427E-4</v>
      </c>
      <c r="AF1540">
        <v>2</v>
      </c>
      <c r="AH1540" t="str">
        <f t="shared" si="74"/>
        <v>Dumraon</v>
      </c>
      <c r="AJ1540" s="72">
        <v>500</v>
      </c>
      <c r="AK1540" s="72"/>
      <c r="AL1540" s="72"/>
      <c r="AM1540" s="72"/>
    </row>
    <row r="1541" spans="1:39" x14ac:dyDescent="0.25">
      <c r="A1541" s="37" t="s">
        <v>62</v>
      </c>
      <c r="B1541" s="66" t="s">
        <v>1638</v>
      </c>
      <c r="C1541" s="47">
        <v>1014</v>
      </c>
      <c r="D1541" s="47" t="s">
        <v>368</v>
      </c>
      <c r="E1541" s="41">
        <v>10140033</v>
      </c>
      <c r="F1541" s="46" t="s">
        <v>379</v>
      </c>
      <c r="G1541" s="39" t="s">
        <v>92</v>
      </c>
      <c r="H1541" s="48" t="s">
        <v>93</v>
      </c>
      <c r="I1541" s="52">
        <v>37.200000000000003</v>
      </c>
      <c r="J1541" s="49">
        <v>1525.48</v>
      </c>
      <c r="K1541" s="65">
        <v>38</v>
      </c>
      <c r="L1541" s="65">
        <v>1510.8799999999999</v>
      </c>
      <c r="M1541" s="65">
        <v>0</v>
      </c>
      <c r="N1541" s="65">
        <v>0</v>
      </c>
      <c r="O1541" s="65">
        <v>38</v>
      </c>
      <c r="P1541" s="65">
        <v>1510.8799999999999</v>
      </c>
      <c r="Q1541" s="50">
        <v>1510.8799999999999</v>
      </c>
      <c r="R1541" s="65">
        <v>0</v>
      </c>
      <c r="S1541" s="65">
        <v>0</v>
      </c>
      <c r="T1541" s="65">
        <v>0</v>
      </c>
      <c r="U1541" s="65">
        <v>0</v>
      </c>
      <c r="V1541" s="65">
        <v>0</v>
      </c>
      <c r="W1541" s="65">
        <v>0</v>
      </c>
      <c r="X1541" s="65">
        <v>1511</v>
      </c>
      <c r="Y1541" s="65">
        <v>0</v>
      </c>
      <c r="Z1541" s="65">
        <v>0</v>
      </c>
      <c r="AA1541" s="51">
        <v>14</v>
      </c>
      <c r="AB1541" s="102">
        <v>0</v>
      </c>
      <c r="AC1541" s="81">
        <f t="shared" si="75"/>
        <v>543.59577634408595</v>
      </c>
      <c r="AD1541" s="82">
        <f t="shared" si="76"/>
        <v>5.3142857142857149</v>
      </c>
      <c r="AE1541" s="218">
        <v>9.570758056480673E-3</v>
      </c>
      <c r="AF1541">
        <v>2</v>
      </c>
      <c r="AH1541" t="str">
        <f t="shared" si="74"/>
        <v>Dumraon</v>
      </c>
      <c r="AJ1541" s="72">
        <v>0</v>
      </c>
      <c r="AK1541" s="72"/>
      <c r="AL1541" s="72"/>
      <c r="AM1541" s="72"/>
    </row>
    <row r="1542" spans="1:39" x14ac:dyDescent="0.25">
      <c r="A1542" s="37" t="s">
        <v>62</v>
      </c>
      <c r="B1542" s="66" t="s">
        <v>1638</v>
      </c>
      <c r="C1542" s="47">
        <v>1014</v>
      </c>
      <c r="D1542" s="47" t="s">
        <v>368</v>
      </c>
      <c r="E1542" s="41">
        <v>10140034</v>
      </c>
      <c r="F1542" s="46" t="s">
        <v>380</v>
      </c>
      <c r="G1542" s="39" t="s">
        <v>92</v>
      </c>
      <c r="H1542" s="48" t="s">
        <v>93</v>
      </c>
      <c r="I1542" s="52">
        <v>394.8</v>
      </c>
      <c r="J1542" s="49">
        <v>14635.49</v>
      </c>
      <c r="K1542" s="65">
        <v>397.9</v>
      </c>
      <c r="L1542" s="65">
        <v>16006.45</v>
      </c>
      <c r="M1542" s="65">
        <v>4.7</v>
      </c>
      <c r="N1542" s="65">
        <v>176.55</v>
      </c>
      <c r="O1542" s="65">
        <v>402.59999999999997</v>
      </c>
      <c r="P1542" s="65">
        <v>16183</v>
      </c>
      <c r="Q1542" s="50">
        <v>14635.49</v>
      </c>
      <c r="R1542" s="65">
        <v>0</v>
      </c>
      <c r="S1542" s="65">
        <v>176.55</v>
      </c>
      <c r="T1542" s="65">
        <v>1547.5100000000002</v>
      </c>
      <c r="U1542" s="65">
        <v>0</v>
      </c>
      <c r="V1542" s="65">
        <v>0</v>
      </c>
      <c r="W1542" s="65">
        <v>0</v>
      </c>
      <c r="X1542" s="65">
        <v>14459</v>
      </c>
      <c r="Y1542" s="65">
        <v>0</v>
      </c>
      <c r="Z1542" s="65">
        <v>0</v>
      </c>
      <c r="AA1542" s="51">
        <v>0</v>
      </c>
      <c r="AB1542" s="102">
        <v>0</v>
      </c>
      <c r="AC1542" s="81">
        <f t="shared" si="75"/>
        <v>226.27920709219859</v>
      </c>
      <c r="AD1542" s="82">
        <f t="shared" si="76"/>
        <v>56.4</v>
      </c>
      <c r="AE1542" s="218">
        <v>-0.10573680826538778</v>
      </c>
      <c r="AF1542">
        <v>4</v>
      </c>
      <c r="AH1542" t="str">
        <f t="shared" si="74"/>
        <v>Dumraon</v>
      </c>
      <c r="AJ1542" s="72">
        <v>0</v>
      </c>
      <c r="AK1542" s="72"/>
      <c r="AL1542" s="72"/>
      <c r="AM1542" s="72"/>
    </row>
    <row r="1543" spans="1:39" x14ac:dyDescent="0.25">
      <c r="A1543" s="37" t="s">
        <v>62</v>
      </c>
      <c r="B1543" s="66" t="s">
        <v>1638</v>
      </c>
      <c r="C1543" s="47">
        <v>1014</v>
      </c>
      <c r="D1543" s="47" t="s">
        <v>368</v>
      </c>
      <c r="E1543" s="41">
        <v>10140039</v>
      </c>
      <c r="F1543" s="46" t="s">
        <v>381</v>
      </c>
      <c r="G1543" s="39" t="s">
        <v>92</v>
      </c>
      <c r="H1543" s="48" t="s">
        <v>93</v>
      </c>
      <c r="I1543" s="52">
        <v>279.3</v>
      </c>
      <c r="J1543" s="49">
        <v>11136.810000000001</v>
      </c>
      <c r="K1543" s="65">
        <v>279.59999999999997</v>
      </c>
      <c r="L1543" s="65">
        <v>10915.12</v>
      </c>
      <c r="M1543" s="65">
        <v>4.9000000000000004</v>
      </c>
      <c r="N1543" s="65">
        <v>188.34</v>
      </c>
      <c r="O1543" s="65">
        <v>284.49999999999994</v>
      </c>
      <c r="P1543" s="65">
        <v>11103.460000000001</v>
      </c>
      <c r="Q1543" s="50">
        <v>11103.460000000001</v>
      </c>
      <c r="R1543" s="65">
        <v>0</v>
      </c>
      <c r="S1543" s="65">
        <v>188.34</v>
      </c>
      <c r="T1543" s="65">
        <v>0</v>
      </c>
      <c r="U1543" s="65">
        <v>0</v>
      </c>
      <c r="V1543" s="65">
        <v>0</v>
      </c>
      <c r="W1543" s="65">
        <v>0</v>
      </c>
      <c r="X1543" s="65">
        <v>10915</v>
      </c>
      <c r="Y1543" s="65">
        <v>0</v>
      </c>
      <c r="Z1543" s="65">
        <v>0</v>
      </c>
      <c r="AA1543" s="51">
        <v>33</v>
      </c>
      <c r="AB1543" s="102">
        <v>0</v>
      </c>
      <c r="AC1543" s="81">
        <f t="shared" si="75"/>
        <v>335.49989022556395</v>
      </c>
      <c r="AD1543" s="82">
        <f t="shared" si="76"/>
        <v>39.9</v>
      </c>
      <c r="AE1543" s="218">
        <v>2.9945738501420387E-3</v>
      </c>
      <c r="AF1543">
        <v>9</v>
      </c>
      <c r="AH1543" t="str">
        <f t="shared" si="74"/>
        <v>Dumraon</v>
      </c>
      <c r="AJ1543" s="72">
        <v>0</v>
      </c>
      <c r="AK1543" s="72"/>
      <c r="AL1543" s="72"/>
      <c r="AM1543" s="72"/>
    </row>
    <row r="1544" spans="1:39" x14ac:dyDescent="0.25">
      <c r="A1544" s="37" t="s">
        <v>62</v>
      </c>
      <c r="B1544" s="66" t="s">
        <v>1638</v>
      </c>
      <c r="C1544" s="47">
        <v>1014</v>
      </c>
      <c r="D1544" s="47" t="s">
        <v>368</v>
      </c>
      <c r="E1544" s="41">
        <v>10140041</v>
      </c>
      <c r="F1544" s="46" t="s">
        <v>1561</v>
      </c>
      <c r="G1544" s="39" t="s">
        <v>92</v>
      </c>
      <c r="H1544" s="48" t="s">
        <v>93</v>
      </c>
      <c r="I1544" s="52">
        <v>313.20000000000005</v>
      </c>
      <c r="J1544" s="49">
        <v>12361.24</v>
      </c>
      <c r="K1544" s="65">
        <v>315</v>
      </c>
      <c r="L1544" s="65">
        <v>12351.15</v>
      </c>
      <c r="M1544" s="65">
        <v>0</v>
      </c>
      <c r="N1544" s="65">
        <v>0</v>
      </c>
      <c r="O1544" s="65">
        <v>315</v>
      </c>
      <c r="P1544" s="65">
        <v>12351.15</v>
      </c>
      <c r="Q1544" s="50">
        <v>12351.15</v>
      </c>
      <c r="R1544" s="65">
        <v>0</v>
      </c>
      <c r="S1544" s="65">
        <v>0</v>
      </c>
      <c r="T1544" s="65">
        <v>0</v>
      </c>
      <c r="U1544" s="65">
        <v>0</v>
      </c>
      <c r="V1544" s="65">
        <v>500</v>
      </c>
      <c r="W1544" s="65">
        <v>0</v>
      </c>
      <c r="X1544" s="65">
        <v>11851</v>
      </c>
      <c r="Y1544" s="65">
        <v>0</v>
      </c>
      <c r="Z1544" s="65">
        <v>0</v>
      </c>
      <c r="AA1544" s="51">
        <v>10</v>
      </c>
      <c r="AB1544" s="102">
        <v>0</v>
      </c>
      <c r="AC1544" s="81">
        <f t="shared" si="75"/>
        <v>305.32104929757338</v>
      </c>
      <c r="AD1544" s="82">
        <f t="shared" si="76"/>
        <v>44.742857142857147</v>
      </c>
      <c r="AE1544" s="218">
        <v>8.1626115179384473E-4</v>
      </c>
      <c r="AF1544">
        <v>2</v>
      </c>
      <c r="AH1544" t="str">
        <f t="shared" si="74"/>
        <v>Dumraon</v>
      </c>
      <c r="AJ1544" s="72">
        <v>500</v>
      </c>
      <c r="AK1544" s="72"/>
      <c r="AL1544" s="72"/>
      <c r="AM1544" s="72"/>
    </row>
    <row r="1545" spans="1:39" x14ac:dyDescent="0.25">
      <c r="A1545" s="37" t="s">
        <v>62</v>
      </c>
      <c r="B1545" s="66" t="s">
        <v>1638</v>
      </c>
      <c r="C1545" s="47">
        <v>1014</v>
      </c>
      <c r="D1545" s="47" t="s">
        <v>368</v>
      </c>
      <c r="E1545" s="41">
        <v>10140043</v>
      </c>
      <c r="F1545" s="46" t="s">
        <v>382</v>
      </c>
      <c r="G1545" s="39" t="s">
        <v>92</v>
      </c>
      <c r="H1545" s="48" t="s">
        <v>93</v>
      </c>
      <c r="I1545" s="52">
        <v>176.5</v>
      </c>
      <c r="J1545" s="49">
        <v>6858.31</v>
      </c>
      <c r="K1545" s="65">
        <v>177</v>
      </c>
      <c r="L1545" s="65">
        <v>6814.5</v>
      </c>
      <c r="M1545" s="65">
        <v>0</v>
      </c>
      <c r="N1545" s="65">
        <v>0</v>
      </c>
      <c r="O1545" s="65">
        <v>177</v>
      </c>
      <c r="P1545" s="65">
        <v>6814.5</v>
      </c>
      <c r="Q1545" s="50">
        <v>6814.5</v>
      </c>
      <c r="R1545" s="65">
        <v>0</v>
      </c>
      <c r="S1545" s="65">
        <v>0</v>
      </c>
      <c r="T1545" s="65">
        <v>0</v>
      </c>
      <c r="U1545" s="65">
        <v>0</v>
      </c>
      <c r="V1545" s="65">
        <v>500</v>
      </c>
      <c r="W1545" s="65">
        <v>0</v>
      </c>
      <c r="X1545" s="65">
        <v>6315</v>
      </c>
      <c r="Y1545" s="65">
        <v>0</v>
      </c>
      <c r="Z1545" s="65">
        <v>0</v>
      </c>
      <c r="AA1545" s="51">
        <v>43</v>
      </c>
      <c r="AB1545" s="102">
        <v>0</v>
      </c>
      <c r="AC1545" s="81">
        <f t="shared" si="75"/>
        <v>406.83572634560909</v>
      </c>
      <c r="AD1545" s="82">
        <f t="shared" si="76"/>
        <v>25.214285714285715</v>
      </c>
      <c r="AE1545" s="218">
        <v>6.387871064445964E-3</v>
      </c>
      <c r="AF1545">
        <v>2</v>
      </c>
      <c r="AH1545" t="str">
        <f t="shared" si="74"/>
        <v>Dumraon</v>
      </c>
      <c r="AJ1545" s="72">
        <v>500</v>
      </c>
      <c r="AK1545" s="72"/>
      <c r="AL1545" s="72"/>
      <c r="AM1545" s="72"/>
    </row>
    <row r="1546" spans="1:39" x14ac:dyDescent="0.25">
      <c r="A1546" s="37" t="s">
        <v>62</v>
      </c>
      <c r="B1546" s="66" t="s">
        <v>1638</v>
      </c>
      <c r="C1546" s="47">
        <v>1014</v>
      </c>
      <c r="D1546" s="47" t="s">
        <v>368</v>
      </c>
      <c r="E1546" s="41">
        <v>10140045</v>
      </c>
      <c r="F1546" s="46" t="s">
        <v>383</v>
      </c>
      <c r="G1546" s="39" t="s">
        <v>92</v>
      </c>
      <c r="H1546" s="48" t="s">
        <v>93</v>
      </c>
      <c r="I1546" s="52">
        <v>149.5</v>
      </c>
      <c r="J1546" s="49">
        <v>5915.1200000000008</v>
      </c>
      <c r="K1546" s="65">
        <v>150.69999999999999</v>
      </c>
      <c r="L1546" s="65">
        <v>5907.4400000000005</v>
      </c>
      <c r="M1546" s="65">
        <v>0</v>
      </c>
      <c r="N1546" s="65">
        <v>0</v>
      </c>
      <c r="O1546" s="65">
        <v>150.69999999999999</v>
      </c>
      <c r="P1546" s="65">
        <v>5907.4400000000005</v>
      </c>
      <c r="Q1546" s="50">
        <v>5907.4400000000005</v>
      </c>
      <c r="R1546" s="65">
        <v>0</v>
      </c>
      <c r="S1546" s="65">
        <v>0</v>
      </c>
      <c r="T1546" s="65">
        <v>0</v>
      </c>
      <c r="U1546" s="65">
        <v>0</v>
      </c>
      <c r="V1546" s="65">
        <v>0</v>
      </c>
      <c r="W1546" s="65">
        <v>0</v>
      </c>
      <c r="X1546" s="65">
        <v>5907</v>
      </c>
      <c r="Y1546" s="65">
        <v>0</v>
      </c>
      <c r="Z1546" s="65">
        <v>0</v>
      </c>
      <c r="AA1546" s="51">
        <v>8</v>
      </c>
      <c r="AB1546" s="102">
        <v>0</v>
      </c>
      <c r="AC1546" s="81">
        <f t="shared" si="75"/>
        <v>435.62188093645494</v>
      </c>
      <c r="AD1546" s="82">
        <f t="shared" si="76"/>
        <v>21.357142857142858</v>
      </c>
      <c r="AE1546" s="218">
        <v>1.2983675732699065E-3</v>
      </c>
      <c r="AF1546">
        <v>2</v>
      </c>
      <c r="AH1546" t="str">
        <f t="shared" si="74"/>
        <v>Dumraon</v>
      </c>
      <c r="AJ1546" s="72">
        <v>0</v>
      </c>
      <c r="AK1546" s="72"/>
      <c r="AL1546" s="72"/>
      <c r="AM1546" s="72"/>
    </row>
    <row r="1547" spans="1:39" x14ac:dyDescent="0.25">
      <c r="A1547" s="37" t="s">
        <v>62</v>
      </c>
      <c r="B1547" s="66" t="s">
        <v>1638</v>
      </c>
      <c r="C1547" s="47">
        <v>1014</v>
      </c>
      <c r="D1547" s="47" t="s">
        <v>368</v>
      </c>
      <c r="E1547" s="41">
        <v>10140047</v>
      </c>
      <c r="F1547" s="46" t="s">
        <v>384</v>
      </c>
      <c r="G1547" s="39" t="s">
        <v>92</v>
      </c>
      <c r="H1547" s="48" t="s">
        <v>93</v>
      </c>
      <c r="I1547" s="52">
        <v>566.1</v>
      </c>
      <c r="J1547" s="49">
        <v>28037.349999999995</v>
      </c>
      <c r="K1547" s="65">
        <v>639.54999999999995</v>
      </c>
      <c r="L1547" s="65">
        <v>32593.819999999996</v>
      </c>
      <c r="M1547" s="65">
        <v>1.8699999999999997</v>
      </c>
      <c r="N1547" s="65">
        <v>81.249999999999986</v>
      </c>
      <c r="O1547" s="65">
        <v>641.41999999999996</v>
      </c>
      <c r="P1547" s="65">
        <v>32675.069999999996</v>
      </c>
      <c r="Q1547" s="50">
        <v>28037.349999999995</v>
      </c>
      <c r="R1547" s="65">
        <v>0</v>
      </c>
      <c r="S1547" s="65">
        <v>81.249999999999986</v>
      </c>
      <c r="T1547" s="65">
        <v>4637.7200000000012</v>
      </c>
      <c r="U1547" s="65">
        <v>0</v>
      </c>
      <c r="V1547" s="65">
        <v>0</v>
      </c>
      <c r="W1547" s="65">
        <v>0</v>
      </c>
      <c r="X1547" s="65">
        <v>27956</v>
      </c>
      <c r="Y1547" s="65">
        <v>0</v>
      </c>
      <c r="Z1547" s="65">
        <v>0</v>
      </c>
      <c r="AA1547" s="51">
        <v>0</v>
      </c>
      <c r="AB1547" s="102">
        <v>0</v>
      </c>
      <c r="AC1547" s="81">
        <f t="shared" si="75"/>
        <v>132.63385143967486</v>
      </c>
      <c r="AD1547" s="82">
        <f t="shared" si="76"/>
        <v>80.871428571428581</v>
      </c>
      <c r="AE1547" s="218">
        <v>-0.16541220907111415</v>
      </c>
      <c r="AF1547">
        <v>6</v>
      </c>
      <c r="AH1547" t="str">
        <f t="shared" si="74"/>
        <v>Dumraon</v>
      </c>
      <c r="AJ1547" s="72">
        <v>0</v>
      </c>
      <c r="AK1547" s="72"/>
      <c r="AL1547" s="72"/>
      <c r="AM1547" s="72"/>
    </row>
    <row r="1548" spans="1:39" x14ac:dyDescent="0.25">
      <c r="A1548" s="37" t="s">
        <v>62</v>
      </c>
      <c r="B1548" s="66" t="s">
        <v>1638</v>
      </c>
      <c r="C1548" s="47">
        <v>1014</v>
      </c>
      <c r="D1548" s="47" t="s">
        <v>368</v>
      </c>
      <c r="E1548" s="41">
        <v>10140048</v>
      </c>
      <c r="F1548" s="46" t="s">
        <v>385</v>
      </c>
      <c r="G1548" s="39" t="s">
        <v>92</v>
      </c>
      <c r="H1548" s="48" t="s">
        <v>93</v>
      </c>
      <c r="I1548" s="52">
        <v>311.60000000000002</v>
      </c>
      <c r="J1548" s="49">
        <v>12403.179999999998</v>
      </c>
      <c r="K1548" s="65">
        <v>315.69000000000005</v>
      </c>
      <c r="L1548" s="65">
        <v>12672.9</v>
      </c>
      <c r="M1548" s="65">
        <v>0</v>
      </c>
      <c r="N1548" s="65">
        <v>0</v>
      </c>
      <c r="O1548" s="65">
        <v>315.69000000000005</v>
      </c>
      <c r="P1548" s="65">
        <v>12672.9</v>
      </c>
      <c r="Q1548" s="50">
        <v>12403.179999999998</v>
      </c>
      <c r="R1548" s="65">
        <v>0</v>
      </c>
      <c r="S1548" s="65">
        <v>0</v>
      </c>
      <c r="T1548" s="65">
        <v>269.72000000000116</v>
      </c>
      <c r="U1548" s="65">
        <v>0</v>
      </c>
      <c r="V1548" s="65">
        <v>0</v>
      </c>
      <c r="W1548" s="65">
        <v>0</v>
      </c>
      <c r="X1548" s="65">
        <v>12403</v>
      </c>
      <c r="Y1548" s="65">
        <v>0</v>
      </c>
      <c r="Z1548" s="65">
        <v>0</v>
      </c>
      <c r="AA1548" s="51">
        <v>0</v>
      </c>
      <c r="AB1548" s="102">
        <v>0</v>
      </c>
      <c r="AC1548" s="81">
        <f t="shared" si="75"/>
        <v>309.2037940949935</v>
      </c>
      <c r="AD1548" s="82">
        <f t="shared" si="76"/>
        <v>44.51428571428572</v>
      </c>
      <c r="AE1548" s="218">
        <v>-2.1746036097194527E-2</v>
      </c>
      <c r="AF1548">
        <v>4</v>
      </c>
      <c r="AH1548" t="str">
        <f t="shared" si="74"/>
        <v>Dumraon</v>
      </c>
      <c r="AJ1548" s="72">
        <v>0</v>
      </c>
      <c r="AK1548" s="72"/>
      <c r="AL1548" s="72"/>
      <c r="AM1548" s="72"/>
    </row>
    <row r="1549" spans="1:39" x14ac:dyDescent="0.25">
      <c r="A1549" s="37" t="s">
        <v>62</v>
      </c>
      <c r="B1549" s="66" t="s">
        <v>1638</v>
      </c>
      <c r="C1549" s="47">
        <v>1014</v>
      </c>
      <c r="D1549" s="47" t="s">
        <v>368</v>
      </c>
      <c r="E1549" s="41">
        <v>10140054</v>
      </c>
      <c r="F1549" s="46" t="s">
        <v>386</v>
      </c>
      <c r="G1549" s="39" t="s">
        <v>92</v>
      </c>
      <c r="H1549" s="48" t="s">
        <v>93</v>
      </c>
      <c r="I1549" s="52">
        <v>371.00000000000006</v>
      </c>
      <c r="J1549" s="49">
        <v>16454.859999999997</v>
      </c>
      <c r="K1549" s="65">
        <v>382.86999999999995</v>
      </c>
      <c r="L1549" s="65">
        <v>16283.480000000003</v>
      </c>
      <c r="M1549" s="65">
        <v>3.6500000000000008</v>
      </c>
      <c r="N1549" s="65">
        <v>154.71</v>
      </c>
      <c r="O1549" s="65">
        <v>386.51999999999992</v>
      </c>
      <c r="P1549" s="65">
        <v>16438.190000000002</v>
      </c>
      <c r="Q1549" s="50">
        <v>16438.190000000002</v>
      </c>
      <c r="R1549" s="65">
        <v>0</v>
      </c>
      <c r="S1549" s="65">
        <v>154.71</v>
      </c>
      <c r="T1549" s="65">
        <v>0</v>
      </c>
      <c r="U1549" s="65">
        <v>0</v>
      </c>
      <c r="V1549" s="65">
        <v>0</v>
      </c>
      <c r="W1549" s="65">
        <v>0</v>
      </c>
      <c r="X1549" s="65">
        <v>16283</v>
      </c>
      <c r="Y1549" s="65">
        <v>0</v>
      </c>
      <c r="Z1549" s="65">
        <v>0</v>
      </c>
      <c r="AA1549" s="51">
        <v>17</v>
      </c>
      <c r="AB1549" s="102">
        <v>0</v>
      </c>
      <c r="AC1549" s="81">
        <f t="shared" si="75"/>
        <v>291.84091320754703</v>
      </c>
      <c r="AD1549" s="82">
        <f t="shared" si="76"/>
        <v>53.000000000000007</v>
      </c>
      <c r="AE1549" s="218">
        <v>1.0130745566959926E-3</v>
      </c>
      <c r="AF1549">
        <v>10</v>
      </c>
      <c r="AH1549" t="str">
        <f t="shared" si="74"/>
        <v>Dumraon</v>
      </c>
      <c r="AJ1549" s="72">
        <v>0</v>
      </c>
      <c r="AK1549" s="72"/>
      <c r="AL1549" s="72"/>
      <c r="AM1549" s="72"/>
    </row>
    <row r="1550" spans="1:39" x14ac:dyDescent="0.25">
      <c r="A1550" s="37" t="s">
        <v>62</v>
      </c>
      <c r="B1550" s="66" t="s">
        <v>1638</v>
      </c>
      <c r="C1550" s="47">
        <v>1014</v>
      </c>
      <c r="D1550" s="47" t="s">
        <v>368</v>
      </c>
      <c r="E1550" s="41">
        <v>10140055</v>
      </c>
      <c r="F1550" s="46" t="s">
        <v>387</v>
      </c>
      <c r="G1550" s="39" t="s">
        <v>92</v>
      </c>
      <c r="H1550" s="48" t="s">
        <v>93</v>
      </c>
      <c r="I1550" s="52">
        <v>222.70000000000002</v>
      </c>
      <c r="J1550" s="49">
        <v>8696.8900000000012</v>
      </c>
      <c r="K1550" s="65">
        <v>223</v>
      </c>
      <c r="L1550" s="65">
        <v>8679.16</v>
      </c>
      <c r="M1550" s="65">
        <v>0</v>
      </c>
      <c r="N1550" s="65">
        <v>0</v>
      </c>
      <c r="O1550" s="65">
        <v>223</v>
      </c>
      <c r="P1550" s="65">
        <v>8679.16</v>
      </c>
      <c r="Q1550" s="50">
        <v>8679.16</v>
      </c>
      <c r="R1550" s="65">
        <v>0</v>
      </c>
      <c r="S1550" s="65">
        <v>0</v>
      </c>
      <c r="T1550" s="65">
        <v>0</v>
      </c>
      <c r="U1550" s="65">
        <v>0</v>
      </c>
      <c r="V1550" s="65">
        <v>0</v>
      </c>
      <c r="W1550" s="65">
        <v>0</v>
      </c>
      <c r="X1550" s="65">
        <v>8679</v>
      </c>
      <c r="Y1550" s="65">
        <v>0</v>
      </c>
      <c r="Z1550" s="65">
        <v>0</v>
      </c>
      <c r="AA1550" s="51">
        <v>18</v>
      </c>
      <c r="AB1550" s="102">
        <v>0</v>
      </c>
      <c r="AC1550" s="81">
        <f t="shared" si="75"/>
        <v>372.79080350246966</v>
      </c>
      <c r="AD1550" s="82">
        <f t="shared" si="76"/>
        <v>31.814285714285717</v>
      </c>
      <c r="AE1550" s="218">
        <v>2.0386597967780875E-3</v>
      </c>
      <c r="AF1550">
        <v>2</v>
      </c>
      <c r="AH1550" t="str">
        <f t="shared" si="74"/>
        <v>Dumraon</v>
      </c>
      <c r="AJ1550" s="72">
        <v>0</v>
      </c>
      <c r="AK1550" s="72"/>
      <c r="AL1550" s="72"/>
      <c r="AM1550" s="72"/>
    </row>
    <row r="1551" spans="1:39" x14ac:dyDescent="0.25">
      <c r="A1551" s="37" t="s">
        <v>62</v>
      </c>
      <c r="B1551" s="66" t="s">
        <v>1638</v>
      </c>
      <c r="C1551" s="47">
        <v>1014</v>
      </c>
      <c r="D1551" s="47" t="s">
        <v>368</v>
      </c>
      <c r="E1551" s="41">
        <v>10140066</v>
      </c>
      <c r="F1551" s="46" t="s">
        <v>388</v>
      </c>
      <c r="G1551" s="39" t="s">
        <v>92</v>
      </c>
      <c r="H1551" s="48" t="s">
        <v>93</v>
      </c>
      <c r="I1551" s="52">
        <v>185.4</v>
      </c>
      <c r="J1551" s="49">
        <v>9020.11</v>
      </c>
      <c r="K1551" s="65">
        <v>211.3</v>
      </c>
      <c r="L1551" s="65">
        <v>11858.42</v>
      </c>
      <c r="M1551" s="65">
        <v>0.9</v>
      </c>
      <c r="N1551" s="65">
        <v>55.88</v>
      </c>
      <c r="O1551" s="65">
        <v>212.20000000000002</v>
      </c>
      <c r="P1551" s="65">
        <v>11914.3</v>
      </c>
      <c r="Q1551" s="50">
        <v>9020.11</v>
      </c>
      <c r="R1551" s="65">
        <v>0</v>
      </c>
      <c r="S1551" s="65">
        <v>55.88</v>
      </c>
      <c r="T1551" s="65">
        <v>2894.1899999999987</v>
      </c>
      <c r="U1551" s="65">
        <v>0</v>
      </c>
      <c r="V1551" s="65">
        <v>500</v>
      </c>
      <c r="W1551" s="65">
        <v>0</v>
      </c>
      <c r="X1551" s="65">
        <v>8464</v>
      </c>
      <c r="Y1551" s="65">
        <v>0</v>
      </c>
      <c r="Z1551" s="65">
        <v>0</v>
      </c>
      <c r="AA1551" s="51">
        <v>0</v>
      </c>
      <c r="AB1551" s="102">
        <v>0</v>
      </c>
      <c r="AC1551" s="81">
        <f t="shared" si="75"/>
        <v>500.72800496224374</v>
      </c>
      <c r="AD1551" s="82">
        <f t="shared" si="76"/>
        <v>26.485714285714288</v>
      </c>
      <c r="AE1551" s="218">
        <v>-0.3208597234401796</v>
      </c>
      <c r="AF1551">
        <v>5</v>
      </c>
      <c r="AH1551" t="str">
        <f t="shared" si="74"/>
        <v>Dumraon</v>
      </c>
      <c r="AJ1551" s="72">
        <v>500</v>
      </c>
      <c r="AK1551" s="72"/>
      <c r="AL1551" s="72"/>
      <c r="AM1551" s="72"/>
    </row>
    <row r="1552" spans="1:39" x14ac:dyDescent="0.25">
      <c r="A1552" s="37" t="s">
        <v>62</v>
      </c>
      <c r="B1552" s="66" t="s">
        <v>1638</v>
      </c>
      <c r="C1552" s="47">
        <v>1014</v>
      </c>
      <c r="D1552" s="47" t="s">
        <v>368</v>
      </c>
      <c r="E1552" s="41">
        <v>10140068</v>
      </c>
      <c r="F1552" s="46" t="s">
        <v>389</v>
      </c>
      <c r="G1552" s="39" t="s">
        <v>92</v>
      </c>
      <c r="H1552" s="48" t="s">
        <v>93</v>
      </c>
      <c r="I1552" s="52">
        <v>565.39999999999986</v>
      </c>
      <c r="J1552" s="49">
        <v>21265.430000000004</v>
      </c>
      <c r="K1552" s="65">
        <v>591.87999999999988</v>
      </c>
      <c r="L1552" s="65">
        <v>23699.55</v>
      </c>
      <c r="M1552" s="65">
        <v>0</v>
      </c>
      <c r="N1552" s="65">
        <v>0</v>
      </c>
      <c r="O1552" s="65">
        <v>591.87999999999988</v>
      </c>
      <c r="P1552" s="65">
        <v>23699.55</v>
      </c>
      <c r="Q1552" s="50">
        <v>21265.430000000004</v>
      </c>
      <c r="R1552" s="65">
        <v>0</v>
      </c>
      <c r="S1552" s="65">
        <v>0</v>
      </c>
      <c r="T1552" s="65">
        <v>2434.1199999999953</v>
      </c>
      <c r="U1552" s="65">
        <v>0</v>
      </c>
      <c r="V1552" s="65">
        <v>0</v>
      </c>
      <c r="W1552" s="65">
        <v>0</v>
      </c>
      <c r="X1552" s="65">
        <v>21265</v>
      </c>
      <c r="Y1552" s="65">
        <v>0</v>
      </c>
      <c r="Z1552" s="65">
        <v>0</v>
      </c>
      <c r="AA1552" s="51">
        <v>0</v>
      </c>
      <c r="AB1552" s="102">
        <v>0</v>
      </c>
      <c r="AC1552" s="81">
        <f t="shared" si="75"/>
        <v>101.24962426600646</v>
      </c>
      <c r="AD1552" s="82">
        <f t="shared" si="76"/>
        <v>80.771428571428558</v>
      </c>
      <c r="AE1552" s="218">
        <v>-0.11446370941006107</v>
      </c>
      <c r="AF1552">
        <v>2</v>
      </c>
      <c r="AH1552" t="str">
        <f t="shared" si="74"/>
        <v>Dumraon</v>
      </c>
      <c r="AJ1552" s="72">
        <v>0</v>
      </c>
      <c r="AK1552" s="72"/>
      <c r="AL1552" s="72"/>
      <c r="AM1552" s="72"/>
    </row>
    <row r="1553" spans="1:39" x14ac:dyDescent="0.25">
      <c r="A1553" s="37" t="s">
        <v>62</v>
      </c>
      <c r="B1553" s="66" t="s">
        <v>1638</v>
      </c>
      <c r="C1553" s="47">
        <v>1014</v>
      </c>
      <c r="D1553" s="47" t="s">
        <v>368</v>
      </c>
      <c r="E1553" s="41">
        <v>10140069</v>
      </c>
      <c r="F1553" s="46" t="s">
        <v>288</v>
      </c>
      <c r="G1553" s="39" t="s">
        <v>92</v>
      </c>
      <c r="H1553" s="48" t="s">
        <v>93</v>
      </c>
      <c r="I1553" s="52">
        <v>388.03999999999996</v>
      </c>
      <c r="J1553" s="49">
        <v>15666.359999999999</v>
      </c>
      <c r="K1553" s="65">
        <v>389.4</v>
      </c>
      <c r="L1553" s="65">
        <v>15631.919999999998</v>
      </c>
      <c r="M1553" s="65">
        <v>0</v>
      </c>
      <c r="N1553" s="65">
        <v>0</v>
      </c>
      <c r="O1553" s="65">
        <v>389.4</v>
      </c>
      <c r="P1553" s="65">
        <v>15631.919999999998</v>
      </c>
      <c r="Q1553" s="50">
        <v>15631.919999999998</v>
      </c>
      <c r="R1553" s="65">
        <v>0</v>
      </c>
      <c r="S1553" s="65">
        <v>0</v>
      </c>
      <c r="T1553" s="65">
        <v>0</v>
      </c>
      <c r="U1553" s="65">
        <v>0</v>
      </c>
      <c r="V1553" s="65">
        <v>0</v>
      </c>
      <c r="W1553" s="65">
        <v>0</v>
      </c>
      <c r="X1553" s="65">
        <v>15632</v>
      </c>
      <c r="Y1553" s="65">
        <v>0</v>
      </c>
      <c r="Z1553" s="65">
        <v>0</v>
      </c>
      <c r="AA1553" s="51">
        <v>34</v>
      </c>
      <c r="AB1553" s="102">
        <v>0</v>
      </c>
      <c r="AC1553" s="81">
        <f t="shared" si="75"/>
        <v>251.89556054015051</v>
      </c>
      <c r="AD1553" s="82">
        <f t="shared" si="76"/>
        <v>55.434285714285707</v>
      </c>
      <c r="AE1553" s="218">
        <v>2.1983409036943177E-3</v>
      </c>
      <c r="AF1553">
        <v>4</v>
      </c>
      <c r="AH1553" t="str">
        <f t="shared" si="74"/>
        <v>Dumraon</v>
      </c>
      <c r="AJ1553" s="72">
        <v>0</v>
      </c>
      <c r="AK1553" s="72"/>
      <c r="AL1553" s="72"/>
      <c r="AM1553" s="72"/>
    </row>
    <row r="1554" spans="1:39" x14ac:dyDescent="0.25">
      <c r="A1554" s="37" t="s">
        <v>62</v>
      </c>
      <c r="B1554" s="66" t="s">
        <v>1638</v>
      </c>
      <c r="C1554" s="47">
        <v>1014</v>
      </c>
      <c r="D1554" s="47" t="s">
        <v>368</v>
      </c>
      <c r="E1554" s="41">
        <v>10140071</v>
      </c>
      <c r="F1554" s="46" t="s">
        <v>390</v>
      </c>
      <c r="G1554" s="39" t="s">
        <v>1610</v>
      </c>
      <c r="H1554" s="48" t="s">
        <v>98</v>
      </c>
      <c r="I1554" s="52">
        <v>1522.7</v>
      </c>
      <c r="J1554" s="49">
        <v>53524.78</v>
      </c>
      <c r="K1554" s="65">
        <v>0</v>
      </c>
      <c r="L1554" s="65">
        <v>0</v>
      </c>
      <c r="M1554" s="65">
        <v>0</v>
      </c>
      <c r="N1554" s="65">
        <v>0</v>
      </c>
      <c r="O1554" s="65">
        <v>0</v>
      </c>
      <c r="P1554" s="65">
        <v>0</v>
      </c>
      <c r="Q1554" s="50">
        <v>53524.78</v>
      </c>
      <c r="R1554" s="65">
        <v>0</v>
      </c>
      <c r="S1554" s="65">
        <v>0</v>
      </c>
      <c r="T1554" s="65">
        <v>0</v>
      </c>
      <c r="U1554" s="65">
        <v>0</v>
      </c>
      <c r="V1554" s="65">
        <v>0</v>
      </c>
      <c r="W1554" s="65">
        <v>0</v>
      </c>
      <c r="X1554" s="65">
        <v>0</v>
      </c>
      <c r="Y1554" s="65">
        <v>0</v>
      </c>
      <c r="Z1554" s="65">
        <v>53524.78</v>
      </c>
      <c r="AA1554" s="51">
        <v>0</v>
      </c>
      <c r="AB1554" s="102">
        <v>0</v>
      </c>
      <c r="AC1554" s="81">
        <f t="shared" si="75"/>
        <v>0</v>
      </c>
      <c r="AD1554" s="82">
        <f t="shared" si="76"/>
        <v>0</v>
      </c>
      <c r="AE1554" s="218">
        <v>0</v>
      </c>
      <c r="AF1554">
        <v>0</v>
      </c>
      <c r="AH1554" t="str">
        <f t="shared" si="74"/>
        <v>Dumraon</v>
      </c>
      <c r="AJ1554" s="72">
        <v>0</v>
      </c>
      <c r="AK1554" s="72"/>
      <c r="AL1554" s="72"/>
      <c r="AM1554" s="72"/>
    </row>
    <row r="1555" spans="1:39" x14ac:dyDescent="0.25">
      <c r="A1555" s="37" t="s">
        <v>62</v>
      </c>
      <c r="B1555" s="66" t="s">
        <v>1638</v>
      </c>
      <c r="C1555" s="47">
        <v>1014</v>
      </c>
      <c r="D1555" s="47" t="s">
        <v>368</v>
      </c>
      <c r="E1555" s="41">
        <v>10140083</v>
      </c>
      <c r="F1555" s="46" t="s">
        <v>391</v>
      </c>
      <c r="G1555" s="39" t="s">
        <v>92</v>
      </c>
      <c r="H1555" s="48" t="s">
        <v>93</v>
      </c>
      <c r="I1555" s="52">
        <v>1207.92</v>
      </c>
      <c r="J1555" s="49">
        <v>49678.58</v>
      </c>
      <c r="K1555" s="65">
        <v>546.59999999999991</v>
      </c>
      <c r="L1555" s="65">
        <v>22756.590000000004</v>
      </c>
      <c r="M1555" s="65">
        <v>812.9</v>
      </c>
      <c r="N1555" s="65">
        <v>38581.19</v>
      </c>
      <c r="O1555" s="65">
        <v>1359.5</v>
      </c>
      <c r="P1555" s="65">
        <v>61337.780000000006</v>
      </c>
      <c r="Q1555" s="50">
        <v>49678.58</v>
      </c>
      <c r="R1555" s="65">
        <v>0</v>
      </c>
      <c r="S1555" s="65">
        <v>355.06999999999994</v>
      </c>
      <c r="T1555" s="65">
        <v>11659.200000000004</v>
      </c>
      <c r="U1555" s="65">
        <v>0</v>
      </c>
      <c r="V1555" s="65">
        <v>0</v>
      </c>
      <c r="W1555" s="65">
        <v>0</v>
      </c>
      <c r="X1555" s="65">
        <v>11096</v>
      </c>
      <c r="Y1555" s="65">
        <v>38228</v>
      </c>
      <c r="Z1555" s="65">
        <v>0</v>
      </c>
      <c r="AA1555" s="51">
        <v>0</v>
      </c>
      <c r="AB1555" s="102">
        <v>0</v>
      </c>
      <c r="AC1555" s="81">
        <f t="shared" si="75"/>
        <v>0</v>
      </c>
      <c r="AD1555" s="82">
        <f t="shared" si="76"/>
        <v>0</v>
      </c>
      <c r="AE1555" s="218">
        <v>-0.23469269854331593</v>
      </c>
      <c r="AF1555">
        <v>18</v>
      </c>
      <c r="AH1555" t="str">
        <f t="shared" si="74"/>
        <v>Dumraon</v>
      </c>
      <c r="AJ1555" s="72">
        <v>0</v>
      </c>
      <c r="AK1555" s="72"/>
      <c r="AL1555" s="72"/>
      <c r="AM1555" s="72"/>
    </row>
    <row r="1556" spans="1:39" x14ac:dyDescent="0.25">
      <c r="A1556" s="37" t="s">
        <v>62</v>
      </c>
      <c r="B1556" s="66" t="s">
        <v>1638</v>
      </c>
      <c r="C1556" s="47">
        <v>1014</v>
      </c>
      <c r="D1556" s="47" t="s">
        <v>368</v>
      </c>
      <c r="E1556" s="41">
        <v>10140087</v>
      </c>
      <c r="F1556" s="46" t="s">
        <v>392</v>
      </c>
      <c r="G1556" s="39" t="s">
        <v>92</v>
      </c>
      <c r="H1556" s="48" t="s">
        <v>93</v>
      </c>
      <c r="I1556" s="52">
        <v>187.2</v>
      </c>
      <c r="J1556" s="49">
        <v>7582.41</v>
      </c>
      <c r="K1556" s="65">
        <v>186.7</v>
      </c>
      <c r="L1556" s="65">
        <v>7578.15</v>
      </c>
      <c r="M1556" s="65">
        <v>0</v>
      </c>
      <c r="N1556" s="65">
        <v>0</v>
      </c>
      <c r="O1556" s="65">
        <v>186.7</v>
      </c>
      <c r="P1556" s="65">
        <v>7578.15</v>
      </c>
      <c r="Q1556" s="50">
        <v>7578.15</v>
      </c>
      <c r="R1556" s="65">
        <v>0</v>
      </c>
      <c r="S1556" s="65">
        <v>0</v>
      </c>
      <c r="T1556" s="65">
        <v>0</v>
      </c>
      <c r="U1556" s="65">
        <v>0</v>
      </c>
      <c r="V1556" s="65">
        <v>0</v>
      </c>
      <c r="W1556" s="65">
        <v>0</v>
      </c>
      <c r="X1556" s="65">
        <v>7578</v>
      </c>
      <c r="Y1556" s="65">
        <v>0</v>
      </c>
      <c r="Z1556" s="65">
        <v>0</v>
      </c>
      <c r="AA1556" s="51">
        <v>4</v>
      </c>
      <c r="AB1556" s="102">
        <v>0</v>
      </c>
      <c r="AC1556" s="81">
        <f t="shared" si="75"/>
        <v>415.41237692307698</v>
      </c>
      <c r="AD1556" s="82">
        <f t="shared" si="76"/>
        <v>26.74285714285714</v>
      </c>
      <c r="AE1556" s="218">
        <v>5.6182664878319933E-4</v>
      </c>
      <c r="AF1556">
        <v>1</v>
      </c>
      <c r="AH1556" t="str">
        <f t="shared" si="74"/>
        <v>Dumraon</v>
      </c>
      <c r="AJ1556" s="72">
        <v>0</v>
      </c>
      <c r="AK1556" s="72"/>
      <c r="AL1556" s="72"/>
      <c r="AM1556" s="72"/>
    </row>
    <row r="1557" spans="1:39" x14ac:dyDescent="0.25">
      <c r="A1557" s="37" t="s">
        <v>62</v>
      </c>
      <c r="B1557" s="66" t="s">
        <v>1638</v>
      </c>
      <c r="C1557" s="47">
        <v>1014</v>
      </c>
      <c r="D1557" s="47" t="s">
        <v>368</v>
      </c>
      <c r="E1557" s="41">
        <v>10140095</v>
      </c>
      <c r="F1557" s="46" t="s">
        <v>609</v>
      </c>
      <c r="G1557" s="39" t="s">
        <v>92</v>
      </c>
      <c r="H1557" s="48" t="s">
        <v>93</v>
      </c>
      <c r="I1557" s="52">
        <v>16.100000000000001</v>
      </c>
      <c r="J1557" s="49">
        <v>572.27</v>
      </c>
      <c r="K1557" s="65">
        <v>6</v>
      </c>
      <c r="L1557" s="65">
        <v>208.5</v>
      </c>
      <c r="M1557" s="65">
        <v>9.6999999999999993</v>
      </c>
      <c r="N1557" s="65">
        <v>341.90999999999997</v>
      </c>
      <c r="O1557" s="65">
        <v>15.7</v>
      </c>
      <c r="P1557" s="65">
        <v>550.41</v>
      </c>
      <c r="Q1557" s="50">
        <v>550.41</v>
      </c>
      <c r="R1557" s="65">
        <v>0</v>
      </c>
      <c r="S1557" s="65">
        <v>0</v>
      </c>
      <c r="T1557" s="65">
        <v>0</v>
      </c>
      <c r="U1557" s="65">
        <v>0</v>
      </c>
      <c r="V1557" s="65">
        <v>500</v>
      </c>
      <c r="W1557" s="65">
        <v>0</v>
      </c>
      <c r="X1557" s="65">
        <v>1</v>
      </c>
      <c r="Y1557" s="65">
        <v>50</v>
      </c>
      <c r="Z1557" s="65">
        <v>0</v>
      </c>
      <c r="AA1557" s="51">
        <v>21</v>
      </c>
      <c r="AB1557" s="102" t="s">
        <v>68</v>
      </c>
      <c r="AC1557" s="81">
        <f t="shared" si="75"/>
        <v>486.1806869565217</v>
      </c>
      <c r="AD1557" s="82">
        <f t="shared" si="76"/>
        <v>2.3000000000000003</v>
      </c>
      <c r="AE1557" s="218">
        <v>3.819875233718352E-2</v>
      </c>
      <c r="AF1557">
        <v>2</v>
      </c>
      <c r="AH1557" t="str">
        <f t="shared" si="74"/>
        <v>Dumraon</v>
      </c>
      <c r="AJ1557" s="72">
        <v>500</v>
      </c>
      <c r="AK1557" s="72"/>
      <c r="AL1557" s="72"/>
      <c r="AM1557" s="72"/>
    </row>
    <row r="1558" spans="1:39" x14ac:dyDescent="0.25">
      <c r="A1558" s="37" t="s">
        <v>62</v>
      </c>
      <c r="B1558" s="66" t="s">
        <v>1638</v>
      </c>
      <c r="C1558" s="47">
        <v>1014</v>
      </c>
      <c r="D1558" s="47" t="s">
        <v>368</v>
      </c>
      <c r="E1558" s="41">
        <v>10140098</v>
      </c>
      <c r="F1558" s="46" t="s">
        <v>418</v>
      </c>
      <c r="G1558" s="39" t="s">
        <v>92</v>
      </c>
      <c r="H1558" s="48" t="s">
        <v>93</v>
      </c>
      <c r="I1558" s="52">
        <v>1139.5</v>
      </c>
      <c r="J1558" s="49">
        <v>47088.69</v>
      </c>
      <c r="K1558" s="65">
        <v>1128.1299999999999</v>
      </c>
      <c r="L1558" s="65">
        <v>46190.770000000004</v>
      </c>
      <c r="M1558" s="65">
        <v>11.42</v>
      </c>
      <c r="N1558" s="65">
        <v>460.86</v>
      </c>
      <c r="O1558" s="65">
        <v>1139.55</v>
      </c>
      <c r="P1558" s="65">
        <v>46651.630000000005</v>
      </c>
      <c r="Q1558" s="50">
        <v>46651.630000000005</v>
      </c>
      <c r="R1558" s="65">
        <v>0</v>
      </c>
      <c r="S1558" s="65">
        <v>460.86</v>
      </c>
      <c r="T1558" s="65">
        <v>0</v>
      </c>
      <c r="U1558" s="65">
        <v>26600</v>
      </c>
      <c r="V1558" s="65">
        <v>0</v>
      </c>
      <c r="W1558" s="65">
        <v>0</v>
      </c>
      <c r="X1558" s="65">
        <v>19591</v>
      </c>
      <c r="Y1558" s="65">
        <v>0</v>
      </c>
      <c r="Z1558" s="65">
        <v>0</v>
      </c>
      <c r="AA1558" s="51">
        <v>437</v>
      </c>
      <c r="AB1558" s="102">
        <v>0</v>
      </c>
      <c r="AC1558" s="81">
        <f t="shared" si="75"/>
        <v>0</v>
      </c>
      <c r="AD1558" s="82">
        <f t="shared" si="76"/>
        <v>0</v>
      </c>
      <c r="AE1558" s="218">
        <v>9.2816342947743425E-3</v>
      </c>
      <c r="AF1558">
        <v>4</v>
      </c>
      <c r="AH1558" t="str">
        <f t="shared" si="74"/>
        <v>Dumraon</v>
      </c>
      <c r="AJ1558" s="72">
        <v>0</v>
      </c>
      <c r="AK1558" s="72"/>
      <c r="AL1558" s="72"/>
      <c r="AM1558" s="72"/>
    </row>
    <row r="1559" spans="1:39" x14ac:dyDescent="0.25">
      <c r="A1559" s="37" t="s">
        <v>62</v>
      </c>
      <c r="B1559" s="66" t="s">
        <v>1638</v>
      </c>
      <c r="C1559" s="47">
        <v>1014</v>
      </c>
      <c r="D1559" s="47" t="s">
        <v>368</v>
      </c>
      <c r="E1559" s="41">
        <v>10140099</v>
      </c>
      <c r="F1559" s="46" t="s">
        <v>393</v>
      </c>
      <c r="G1559" s="39" t="s">
        <v>92</v>
      </c>
      <c r="H1559" s="48" t="s">
        <v>93</v>
      </c>
      <c r="I1559" s="52">
        <v>240.2</v>
      </c>
      <c r="J1559" s="49">
        <v>9480.14</v>
      </c>
      <c r="K1559" s="65">
        <v>242.78999999999996</v>
      </c>
      <c r="L1559" s="65">
        <v>9308.36</v>
      </c>
      <c r="M1559" s="65">
        <v>0</v>
      </c>
      <c r="N1559" s="65">
        <v>0</v>
      </c>
      <c r="O1559" s="65">
        <v>242.78999999999996</v>
      </c>
      <c r="P1559" s="65">
        <v>9308.36</v>
      </c>
      <c r="Q1559" s="50">
        <v>9308.36</v>
      </c>
      <c r="R1559" s="65">
        <v>0</v>
      </c>
      <c r="S1559" s="65">
        <v>0</v>
      </c>
      <c r="T1559" s="65">
        <v>0</v>
      </c>
      <c r="U1559" s="65">
        <v>0</v>
      </c>
      <c r="V1559" s="65">
        <v>0</v>
      </c>
      <c r="W1559" s="65">
        <v>0</v>
      </c>
      <c r="X1559" s="65">
        <v>9307</v>
      </c>
      <c r="Y1559" s="65">
        <v>0</v>
      </c>
      <c r="Z1559" s="65">
        <v>0</v>
      </c>
      <c r="AA1559" s="51">
        <v>173</v>
      </c>
      <c r="AB1559" s="102">
        <v>0</v>
      </c>
      <c r="AC1559" s="81">
        <f t="shared" si="75"/>
        <v>362.94491024146544</v>
      </c>
      <c r="AD1559" s="82">
        <f t="shared" si="76"/>
        <v>34.31428571428571</v>
      </c>
      <c r="AE1559" s="218">
        <v>1.8119985569833234E-2</v>
      </c>
      <c r="AF1559">
        <v>5</v>
      </c>
      <c r="AH1559" t="str">
        <f t="shared" si="74"/>
        <v>Dumraon</v>
      </c>
      <c r="AJ1559" s="72">
        <v>0</v>
      </c>
      <c r="AK1559" s="72"/>
      <c r="AL1559" s="72"/>
      <c r="AM1559" s="72"/>
    </row>
    <row r="1560" spans="1:39" x14ac:dyDescent="0.25">
      <c r="A1560" s="37" t="s">
        <v>62</v>
      </c>
      <c r="B1560" s="66" t="s">
        <v>1638</v>
      </c>
      <c r="C1560" s="47">
        <v>1014</v>
      </c>
      <c r="D1560" s="47" t="s">
        <v>368</v>
      </c>
      <c r="E1560" s="41">
        <v>10140109</v>
      </c>
      <c r="F1560" s="46" t="s">
        <v>415</v>
      </c>
      <c r="G1560" s="39" t="s">
        <v>1610</v>
      </c>
      <c r="H1560" s="48" t="s">
        <v>98</v>
      </c>
      <c r="I1560" s="52">
        <v>742.80000000000007</v>
      </c>
      <c r="J1560" s="49">
        <v>28302.11</v>
      </c>
      <c r="K1560" s="65">
        <v>0</v>
      </c>
      <c r="L1560" s="65">
        <v>0</v>
      </c>
      <c r="M1560" s="65">
        <v>0</v>
      </c>
      <c r="N1560" s="65">
        <v>0</v>
      </c>
      <c r="O1560" s="65">
        <v>0</v>
      </c>
      <c r="P1560" s="65">
        <v>0</v>
      </c>
      <c r="Q1560" s="50">
        <v>28302.11</v>
      </c>
      <c r="R1560" s="65">
        <v>0</v>
      </c>
      <c r="S1560" s="65">
        <v>0</v>
      </c>
      <c r="T1560" s="65">
        <v>0</v>
      </c>
      <c r="U1560" s="65">
        <v>0</v>
      </c>
      <c r="V1560" s="65">
        <v>0</v>
      </c>
      <c r="W1560" s="65">
        <v>0</v>
      </c>
      <c r="X1560" s="65">
        <v>0</v>
      </c>
      <c r="Y1560" s="65">
        <v>0</v>
      </c>
      <c r="Z1560" s="65">
        <v>28302.11</v>
      </c>
      <c r="AA1560" s="51">
        <v>0</v>
      </c>
      <c r="AB1560" s="102">
        <v>0</v>
      </c>
      <c r="AC1560" s="81">
        <f t="shared" si="75"/>
        <v>0</v>
      </c>
      <c r="AD1560" s="82">
        <f t="shared" si="76"/>
        <v>0</v>
      </c>
      <c r="AE1560" s="218">
        <v>0</v>
      </c>
      <c r="AF1560">
        <v>0</v>
      </c>
      <c r="AH1560" t="str">
        <f t="shared" si="74"/>
        <v>Dumraon</v>
      </c>
      <c r="AJ1560" s="72">
        <v>0</v>
      </c>
      <c r="AK1560" s="72"/>
      <c r="AL1560" s="72"/>
      <c r="AM1560" s="72"/>
    </row>
    <row r="1561" spans="1:39" x14ac:dyDescent="0.25">
      <c r="A1561" s="37" t="s">
        <v>62</v>
      </c>
      <c r="B1561" s="66" t="s">
        <v>1638</v>
      </c>
      <c r="C1561" s="47">
        <v>1014</v>
      </c>
      <c r="D1561" s="47" t="s">
        <v>368</v>
      </c>
      <c r="E1561" s="41">
        <v>10140117</v>
      </c>
      <c r="F1561" s="46" t="s">
        <v>1618</v>
      </c>
      <c r="G1561" s="39" t="s">
        <v>1610</v>
      </c>
      <c r="H1561" s="48" t="s">
        <v>98</v>
      </c>
      <c r="I1561" s="52">
        <v>108</v>
      </c>
      <c r="J1561" s="49">
        <v>3557.52</v>
      </c>
      <c r="K1561" s="65">
        <v>0</v>
      </c>
      <c r="L1561" s="65">
        <v>0</v>
      </c>
      <c r="M1561" s="65">
        <v>0</v>
      </c>
      <c r="N1561" s="65">
        <v>0</v>
      </c>
      <c r="O1561" s="65">
        <v>0</v>
      </c>
      <c r="P1561" s="65">
        <v>0</v>
      </c>
      <c r="Q1561" s="50">
        <v>3557.52</v>
      </c>
      <c r="R1561" s="65">
        <v>0</v>
      </c>
      <c r="S1561" s="65">
        <v>0</v>
      </c>
      <c r="T1561" s="65">
        <v>0</v>
      </c>
      <c r="U1561" s="65">
        <v>0</v>
      </c>
      <c r="V1561" s="65">
        <v>0</v>
      </c>
      <c r="W1561" s="65">
        <v>0</v>
      </c>
      <c r="X1561" s="65">
        <v>0</v>
      </c>
      <c r="Y1561" s="65">
        <v>0</v>
      </c>
      <c r="Z1561" s="65">
        <v>3557.52</v>
      </c>
      <c r="AA1561" s="51">
        <v>0</v>
      </c>
      <c r="AB1561" s="102">
        <v>0</v>
      </c>
      <c r="AC1561" s="81">
        <f t="shared" si="75"/>
        <v>390.00959999999998</v>
      </c>
      <c r="AD1561" s="82">
        <f t="shared" si="76"/>
        <v>15.428571428571429</v>
      </c>
      <c r="AE1561" s="218">
        <v>0</v>
      </c>
      <c r="AF1561">
        <v>0</v>
      </c>
      <c r="AH1561" t="str">
        <f t="shared" si="74"/>
        <v>Dumraon</v>
      </c>
      <c r="AJ1561" s="72">
        <v>0</v>
      </c>
      <c r="AK1561" s="72"/>
      <c r="AL1561" s="72"/>
      <c r="AM1561" s="72"/>
    </row>
    <row r="1562" spans="1:39" x14ac:dyDescent="0.25">
      <c r="A1562" s="37" t="s">
        <v>62</v>
      </c>
      <c r="B1562" s="66" t="s">
        <v>1638</v>
      </c>
      <c r="C1562" s="47">
        <v>1014</v>
      </c>
      <c r="D1562" s="47" t="s">
        <v>368</v>
      </c>
      <c r="E1562" s="41">
        <v>10140120</v>
      </c>
      <c r="F1562" s="46" t="s">
        <v>610</v>
      </c>
      <c r="G1562" s="39" t="s">
        <v>92</v>
      </c>
      <c r="H1562" s="48" t="s">
        <v>93</v>
      </c>
      <c r="I1562" s="52">
        <v>517.80000000000007</v>
      </c>
      <c r="J1562" s="49">
        <v>21575.040000000001</v>
      </c>
      <c r="K1562" s="65">
        <v>511.5</v>
      </c>
      <c r="L1562" s="65">
        <v>21273.54</v>
      </c>
      <c r="M1562" s="65">
        <v>5.9399999999999995</v>
      </c>
      <c r="N1562" s="65">
        <v>238.74</v>
      </c>
      <c r="O1562" s="65">
        <v>517.44000000000005</v>
      </c>
      <c r="P1562" s="65">
        <v>21512.280000000002</v>
      </c>
      <c r="Q1562" s="50">
        <v>21512.280000000002</v>
      </c>
      <c r="R1562" s="65">
        <v>0</v>
      </c>
      <c r="S1562" s="65">
        <v>238.74</v>
      </c>
      <c r="T1562" s="65">
        <v>0</v>
      </c>
      <c r="U1562" s="65">
        <v>0</v>
      </c>
      <c r="V1562" s="65">
        <v>0</v>
      </c>
      <c r="W1562" s="65">
        <v>0</v>
      </c>
      <c r="X1562" s="65">
        <v>21274</v>
      </c>
      <c r="Y1562" s="65">
        <v>0</v>
      </c>
      <c r="Z1562" s="65">
        <v>0</v>
      </c>
      <c r="AA1562" s="51">
        <v>62</v>
      </c>
      <c r="AB1562" s="102">
        <v>0</v>
      </c>
      <c r="AC1562" s="81">
        <f t="shared" si="75"/>
        <v>151.83361483198144</v>
      </c>
      <c r="AD1562" s="82">
        <f t="shared" si="76"/>
        <v>73.971428571428575</v>
      </c>
      <c r="AE1562" s="218">
        <v>2.9089169707216486E-3</v>
      </c>
      <c r="AF1562">
        <v>3</v>
      </c>
      <c r="AH1562" t="str">
        <f t="shared" si="74"/>
        <v>Dumraon</v>
      </c>
      <c r="AJ1562" s="72">
        <v>0</v>
      </c>
      <c r="AK1562" s="72"/>
      <c r="AL1562" s="72"/>
      <c r="AM1562" s="72"/>
    </row>
    <row r="1563" spans="1:39" x14ac:dyDescent="0.25">
      <c r="A1563" s="37" t="s">
        <v>62</v>
      </c>
      <c r="B1563" s="66" t="s">
        <v>1638</v>
      </c>
      <c r="C1563" s="47">
        <v>1014</v>
      </c>
      <c r="D1563" s="47" t="s">
        <v>368</v>
      </c>
      <c r="E1563" s="41">
        <v>10140126</v>
      </c>
      <c r="F1563" s="46" t="s">
        <v>457</v>
      </c>
      <c r="G1563" s="39" t="s">
        <v>92</v>
      </c>
      <c r="H1563" s="48" t="s">
        <v>93</v>
      </c>
      <c r="I1563" s="52">
        <v>221.79999999999998</v>
      </c>
      <c r="J1563" s="49">
        <v>7931.68</v>
      </c>
      <c r="K1563" s="65">
        <v>219.7</v>
      </c>
      <c r="L1563" s="65">
        <v>8258.9499999999989</v>
      </c>
      <c r="M1563" s="65">
        <v>1.6999999999999997</v>
      </c>
      <c r="N1563" s="65">
        <v>70.640000000000015</v>
      </c>
      <c r="O1563" s="65">
        <v>221.39999999999998</v>
      </c>
      <c r="P1563" s="65">
        <v>8329.5899999999983</v>
      </c>
      <c r="Q1563" s="50">
        <v>7931.68</v>
      </c>
      <c r="R1563" s="65">
        <v>0</v>
      </c>
      <c r="S1563" s="65">
        <v>70.640000000000015</v>
      </c>
      <c r="T1563" s="65">
        <v>397.90999999999804</v>
      </c>
      <c r="U1563" s="65">
        <v>0</v>
      </c>
      <c r="V1563" s="65">
        <v>0</v>
      </c>
      <c r="W1563" s="65">
        <v>0</v>
      </c>
      <c r="X1563" s="65">
        <v>7861</v>
      </c>
      <c r="Y1563" s="65">
        <v>0</v>
      </c>
      <c r="Z1563" s="65">
        <v>0</v>
      </c>
      <c r="AA1563" s="51">
        <v>0</v>
      </c>
      <c r="AB1563" s="102" t="s">
        <v>68</v>
      </c>
      <c r="AC1563" s="81">
        <f t="shared" si="75"/>
        <v>342.01346943192078</v>
      </c>
      <c r="AD1563" s="82">
        <f t="shared" si="76"/>
        <v>31.685714285714283</v>
      </c>
      <c r="AE1563" s="218">
        <v>-5.0167177697536716E-2</v>
      </c>
      <c r="AF1563">
        <v>5</v>
      </c>
      <c r="AH1563" t="str">
        <f t="shared" si="74"/>
        <v>Dumraon</v>
      </c>
      <c r="AJ1563" s="72">
        <v>0</v>
      </c>
      <c r="AK1563" s="72"/>
      <c r="AL1563" s="72"/>
      <c r="AM1563" s="72"/>
    </row>
    <row r="1564" spans="1:39" x14ac:dyDescent="0.25">
      <c r="A1564" s="37" t="s">
        <v>62</v>
      </c>
      <c r="B1564" s="66" t="s">
        <v>1638</v>
      </c>
      <c r="C1564" s="47">
        <v>1014</v>
      </c>
      <c r="D1564" s="47" t="s">
        <v>368</v>
      </c>
      <c r="E1564" s="41">
        <v>10140129</v>
      </c>
      <c r="F1564" s="46" t="s">
        <v>456</v>
      </c>
      <c r="G1564" s="39" t="s">
        <v>92</v>
      </c>
      <c r="H1564" s="48" t="s">
        <v>93</v>
      </c>
      <c r="I1564" s="52">
        <v>119.2</v>
      </c>
      <c r="J1564" s="49">
        <v>4511.8300000000008</v>
      </c>
      <c r="K1564" s="65">
        <v>117</v>
      </c>
      <c r="L1564" s="65">
        <v>4504.5</v>
      </c>
      <c r="M1564" s="65">
        <v>0</v>
      </c>
      <c r="N1564" s="65">
        <v>0</v>
      </c>
      <c r="O1564" s="65">
        <v>117</v>
      </c>
      <c r="P1564" s="65">
        <v>4504.5</v>
      </c>
      <c r="Q1564" s="50">
        <v>4504.5</v>
      </c>
      <c r="R1564" s="65">
        <v>0</v>
      </c>
      <c r="S1564" s="65">
        <v>0</v>
      </c>
      <c r="T1564" s="65">
        <v>0</v>
      </c>
      <c r="U1564" s="65">
        <v>0</v>
      </c>
      <c r="V1564" s="65">
        <v>500</v>
      </c>
      <c r="W1564" s="65">
        <v>0</v>
      </c>
      <c r="X1564" s="65">
        <v>4005</v>
      </c>
      <c r="Y1564" s="65">
        <v>0</v>
      </c>
      <c r="Z1564" s="65">
        <v>0</v>
      </c>
      <c r="AA1564" s="51">
        <v>7</v>
      </c>
      <c r="AB1564" s="102">
        <v>0</v>
      </c>
      <c r="AC1564" s="81">
        <f t="shared" si="75"/>
        <v>439.67631946308734</v>
      </c>
      <c r="AD1564" s="82">
        <f t="shared" si="76"/>
        <v>17.028571428571428</v>
      </c>
      <c r="AE1564" s="218">
        <v>1.624617948814746E-3</v>
      </c>
      <c r="AF1564">
        <v>2</v>
      </c>
      <c r="AH1564" t="str">
        <f t="shared" si="74"/>
        <v>Dumraon</v>
      </c>
      <c r="AJ1564" s="72">
        <v>500</v>
      </c>
      <c r="AK1564" s="72"/>
      <c r="AL1564" s="72"/>
      <c r="AM1564" s="72"/>
    </row>
    <row r="1565" spans="1:39" x14ac:dyDescent="0.25">
      <c r="A1565" s="37" t="s">
        <v>62</v>
      </c>
      <c r="B1565" s="66" t="s">
        <v>1638</v>
      </c>
      <c r="C1565" s="47">
        <v>1014</v>
      </c>
      <c r="D1565" s="47" t="s">
        <v>368</v>
      </c>
      <c r="E1565" s="41">
        <v>10140131</v>
      </c>
      <c r="F1565" s="46" t="s">
        <v>455</v>
      </c>
      <c r="G1565" s="39" t="s">
        <v>92</v>
      </c>
      <c r="H1565" s="48" t="s">
        <v>93</v>
      </c>
      <c r="I1565" s="52">
        <v>42</v>
      </c>
      <c r="J1565" s="49">
        <v>1555.8700000000001</v>
      </c>
      <c r="K1565" s="65">
        <v>41.9</v>
      </c>
      <c r="L1565" s="65">
        <v>1554.91</v>
      </c>
      <c r="M1565" s="65">
        <v>0</v>
      </c>
      <c r="N1565" s="65">
        <v>0</v>
      </c>
      <c r="O1565" s="65">
        <v>41.9</v>
      </c>
      <c r="P1565" s="65">
        <v>1554.91</v>
      </c>
      <c r="Q1565" s="50">
        <v>1554.91</v>
      </c>
      <c r="R1565" s="65">
        <v>0</v>
      </c>
      <c r="S1565" s="65">
        <v>0</v>
      </c>
      <c r="T1565" s="65">
        <v>0</v>
      </c>
      <c r="U1565" s="65">
        <v>0</v>
      </c>
      <c r="V1565" s="65">
        <v>0</v>
      </c>
      <c r="W1565" s="65">
        <v>0</v>
      </c>
      <c r="X1565" s="65">
        <v>1555</v>
      </c>
      <c r="Y1565" s="65">
        <v>0</v>
      </c>
      <c r="Z1565" s="65">
        <v>0</v>
      </c>
      <c r="AA1565" s="51">
        <v>1</v>
      </c>
      <c r="AB1565" s="102">
        <v>0</v>
      </c>
      <c r="AC1565" s="81">
        <f t="shared" si="75"/>
        <v>487.5059333333333</v>
      </c>
      <c r="AD1565" s="82">
        <f t="shared" si="76"/>
        <v>6</v>
      </c>
      <c r="AE1565" s="218">
        <v>6.1701813133490345E-4</v>
      </c>
      <c r="AF1565">
        <v>1</v>
      </c>
      <c r="AH1565" t="str">
        <f t="shared" si="74"/>
        <v>Dumraon</v>
      </c>
      <c r="AJ1565" s="72">
        <v>0</v>
      </c>
      <c r="AK1565" s="72"/>
      <c r="AL1565" s="72"/>
      <c r="AM1565" s="72"/>
    </row>
    <row r="1566" spans="1:39" x14ac:dyDescent="0.25">
      <c r="A1566" s="37" t="s">
        <v>62</v>
      </c>
      <c r="B1566" s="66" t="s">
        <v>1638</v>
      </c>
      <c r="C1566" s="47">
        <v>1014</v>
      </c>
      <c r="D1566" s="47" t="s">
        <v>368</v>
      </c>
      <c r="E1566" s="41">
        <v>10140132</v>
      </c>
      <c r="F1566" s="46" t="s">
        <v>454</v>
      </c>
      <c r="G1566" s="39" t="s">
        <v>92</v>
      </c>
      <c r="H1566" s="48" t="s">
        <v>93</v>
      </c>
      <c r="I1566" s="52">
        <v>352.20000000000005</v>
      </c>
      <c r="J1566" s="49">
        <v>12215.990000000002</v>
      </c>
      <c r="K1566" s="65">
        <v>348.8</v>
      </c>
      <c r="L1566" s="65">
        <v>12190</v>
      </c>
      <c r="M1566" s="65">
        <v>5.5000000000000009</v>
      </c>
      <c r="N1566" s="65">
        <v>193.17</v>
      </c>
      <c r="O1566" s="65">
        <v>354.3</v>
      </c>
      <c r="P1566" s="65">
        <v>12383.17</v>
      </c>
      <c r="Q1566" s="50">
        <v>12215.990000000002</v>
      </c>
      <c r="R1566" s="65">
        <v>0</v>
      </c>
      <c r="S1566" s="65">
        <v>193.17</v>
      </c>
      <c r="T1566" s="65">
        <v>167.17999999999847</v>
      </c>
      <c r="U1566" s="65">
        <v>0</v>
      </c>
      <c r="V1566" s="65">
        <v>0</v>
      </c>
      <c r="W1566" s="65">
        <v>0</v>
      </c>
      <c r="X1566" s="65">
        <v>12023</v>
      </c>
      <c r="Y1566" s="65">
        <v>0</v>
      </c>
      <c r="Z1566" s="65">
        <v>0</v>
      </c>
      <c r="AA1566" s="51">
        <v>0</v>
      </c>
      <c r="AB1566" s="102">
        <v>0</v>
      </c>
      <c r="AC1566" s="81">
        <f t="shared" si="75"/>
        <v>241.26753674048834</v>
      </c>
      <c r="AD1566" s="82">
        <f t="shared" si="76"/>
        <v>50.314285714285724</v>
      </c>
      <c r="AE1566" s="218">
        <v>-1.3685341916618993E-2</v>
      </c>
      <c r="AF1566">
        <v>9</v>
      </c>
      <c r="AH1566" t="str">
        <f t="shared" si="74"/>
        <v>Dumraon</v>
      </c>
      <c r="AJ1566" s="72">
        <v>0</v>
      </c>
      <c r="AK1566" s="72"/>
      <c r="AL1566" s="72"/>
      <c r="AM1566" s="72"/>
    </row>
    <row r="1567" spans="1:39" x14ac:dyDescent="0.25">
      <c r="A1567" s="37" t="s">
        <v>62</v>
      </c>
      <c r="B1567" s="66" t="s">
        <v>1638</v>
      </c>
      <c r="C1567" s="47">
        <v>1014</v>
      </c>
      <c r="D1567" s="47" t="s">
        <v>368</v>
      </c>
      <c r="E1567" s="109">
        <v>10140135</v>
      </c>
      <c r="F1567" s="46" t="s">
        <v>462</v>
      </c>
      <c r="G1567" s="110" t="s">
        <v>92</v>
      </c>
      <c r="H1567" s="48" t="s">
        <v>93</v>
      </c>
      <c r="I1567" s="111">
        <v>349.5</v>
      </c>
      <c r="J1567" s="49">
        <v>14393.59</v>
      </c>
      <c r="K1567" s="65">
        <v>353.01000000000005</v>
      </c>
      <c r="L1567" s="65">
        <v>15776.239999999998</v>
      </c>
      <c r="M1567" s="65">
        <v>0</v>
      </c>
      <c r="N1567" s="65">
        <v>0</v>
      </c>
      <c r="O1567" s="65">
        <v>353.01000000000005</v>
      </c>
      <c r="P1567" s="65">
        <v>15776.239999999998</v>
      </c>
      <c r="Q1567" s="50">
        <v>14393.59</v>
      </c>
      <c r="R1567" s="65">
        <v>0</v>
      </c>
      <c r="S1567" s="65">
        <v>0</v>
      </c>
      <c r="T1567" s="65">
        <v>1382.6499999999978</v>
      </c>
      <c r="U1567" s="65">
        <v>0</v>
      </c>
      <c r="V1567" s="65">
        <v>0</v>
      </c>
      <c r="W1567" s="65">
        <v>0</v>
      </c>
      <c r="X1567" s="65">
        <v>14394</v>
      </c>
      <c r="Y1567" s="65">
        <v>0</v>
      </c>
      <c r="Z1567" s="65">
        <v>0</v>
      </c>
      <c r="AA1567" s="51">
        <v>0</v>
      </c>
      <c r="AB1567" s="102">
        <v>0</v>
      </c>
      <c r="AC1567" s="81">
        <f t="shared" si="75"/>
        <v>288.69546752503578</v>
      </c>
      <c r="AD1567" s="82">
        <f t="shared" si="76"/>
        <v>49.928571428571431</v>
      </c>
      <c r="AE1567" s="218">
        <v>-9.606012120673145E-2</v>
      </c>
      <c r="AF1567">
        <v>3</v>
      </c>
      <c r="AH1567" t="str">
        <f t="shared" ref="AH1567:AH1628" si="77">TEXT(D1567,"0000")</f>
        <v>Dumraon</v>
      </c>
      <c r="AJ1567" s="72">
        <v>0</v>
      </c>
      <c r="AK1567" s="72"/>
      <c r="AL1567" s="72"/>
      <c r="AM1567" s="72"/>
    </row>
    <row r="1568" spans="1:39" x14ac:dyDescent="0.25">
      <c r="A1568" s="37" t="s">
        <v>62</v>
      </c>
      <c r="B1568" s="66" t="s">
        <v>1638</v>
      </c>
      <c r="C1568" s="47">
        <v>1014</v>
      </c>
      <c r="D1568" s="47" t="s">
        <v>368</v>
      </c>
      <c r="E1568" s="47">
        <v>10140137</v>
      </c>
      <c r="F1568" s="46" t="s">
        <v>465</v>
      </c>
      <c r="G1568" s="48" t="s">
        <v>92</v>
      </c>
      <c r="H1568" s="48" t="s">
        <v>93</v>
      </c>
      <c r="I1568" s="49">
        <v>570.4</v>
      </c>
      <c r="J1568" s="49">
        <v>24298.28</v>
      </c>
      <c r="K1568" s="65">
        <v>595.29999999999995</v>
      </c>
      <c r="L1568" s="65">
        <v>27317.01</v>
      </c>
      <c r="M1568" s="65">
        <v>0</v>
      </c>
      <c r="N1568" s="65">
        <v>0</v>
      </c>
      <c r="O1568" s="65">
        <v>595.29999999999995</v>
      </c>
      <c r="P1568" s="65">
        <v>27317.01</v>
      </c>
      <c r="Q1568" s="50">
        <v>24298.28</v>
      </c>
      <c r="R1568" s="65">
        <v>0</v>
      </c>
      <c r="S1568" s="65">
        <v>0</v>
      </c>
      <c r="T1568" s="65">
        <v>3018.7299999999996</v>
      </c>
      <c r="U1568" s="65">
        <v>0</v>
      </c>
      <c r="V1568" s="65">
        <v>0</v>
      </c>
      <c r="W1568" s="65">
        <v>0</v>
      </c>
      <c r="X1568" s="65">
        <v>24298</v>
      </c>
      <c r="Y1568" s="65">
        <v>0</v>
      </c>
      <c r="Z1568" s="65">
        <v>0</v>
      </c>
      <c r="AA1568" s="51">
        <v>0</v>
      </c>
      <c r="AB1568" s="102">
        <v>0</v>
      </c>
      <c r="AC1568" s="81">
        <f t="shared" si="75"/>
        <v>110.41574642356241</v>
      </c>
      <c r="AD1568" s="82">
        <f t="shared" si="76"/>
        <v>81.48571428571428</v>
      </c>
      <c r="AE1568" s="218">
        <v>-0.12423636570160521</v>
      </c>
      <c r="AF1568">
        <v>3</v>
      </c>
      <c r="AH1568" t="str">
        <f t="shared" si="77"/>
        <v>Dumraon</v>
      </c>
      <c r="AJ1568" s="72">
        <v>0</v>
      </c>
      <c r="AK1568" s="72"/>
      <c r="AL1568" s="72"/>
      <c r="AM1568" s="72"/>
    </row>
    <row r="1569" spans="1:39" x14ac:dyDescent="0.25">
      <c r="A1569" s="37" t="s">
        <v>62</v>
      </c>
      <c r="B1569" s="66" t="s">
        <v>1638</v>
      </c>
      <c r="C1569" s="47">
        <v>1014</v>
      </c>
      <c r="D1569" s="47" t="s">
        <v>368</v>
      </c>
      <c r="E1569" s="43">
        <v>10140139</v>
      </c>
      <c r="F1569" s="46" t="s">
        <v>482</v>
      </c>
      <c r="G1569" s="39" t="s">
        <v>92</v>
      </c>
      <c r="H1569" s="48" t="s">
        <v>93</v>
      </c>
      <c r="I1569" s="52">
        <v>305.5</v>
      </c>
      <c r="J1569" s="49">
        <v>9382.81</v>
      </c>
      <c r="K1569" s="65">
        <v>225.79999999999998</v>
      </c>
      <c r="L1569" s="65">
        <v>9379.8799999999992</v>
      </c>
      <c r="M1569" s="65">
        <v>0</v>
      </c>
      <c r="N1569" s="65">
        <v>0</v>
      </c>
      <c r="O1569" s="65">
        <v>225.79999999999998</v>
      </c>
      <c r="P1569" s="65">
        <v>9379.8799999999992</v>
      </c>
      <c r="Q1569" s="50">
        <v>9379.8799999999992</v>
      </c>
      <c r="R1569" s="65">
        <v>0</v>
      </c>
      <c r="S1569" s="65">
        <v>0</v>
      </c>
      <c r="T1569" s="65">
        <v>0</v>
      </c>
      <c r="U1569" s="65">
        <v>0</v>
      </c>
      <c r="V1569" s="65">
        <v>500</v>
      </c>
      <c r="W1569" s="65">
        <v>0</v>
      </c>
      <c r="X1569" s="65">
        <v>8880</v>
      </c>
      <c r="Y1569" s="65">
        <v>0</v>
      </c>
      <c r="Z1569" s="65">
        <v>0</v>
      </c>
      <c r="AA1569" s="51">
        <v>3</v>
      </c>
      <c r="AB1569" s="102">
        <v>0</v>
      </c>
      <c r="AC1569" s="81">
        <f t="shared" si="75"/>
        <v>242.32527299509002</v>
      </c>
      <c r="AD1569" s="82">
        <f t="shared" si="76"/>
        <v>43.642857142857146</v>
      </c>
      <c r="AE1569" s="218">
        <v>3.1227318894875748E-4</v>
      </c>
      <c r="AF1569">
        <v>2</v>
      </c>
      <c r="AH1569" t="str">
        <f t="shared" si="77"/>
        <v>Dumraon</v>
      </c>
      <c r="AJ1569" s="72">
        <v>500</v>
      </c>
      <c r="AK1569" s="72"/>
      <c r="AL1569" s="72"/>
      <c r="AM1569" s="72"/>
    </row>
    <row r="1570" spans="1:39" x14ac:dyDescent="0.25">
      <c r="A1570" s="37" t="s">
        <v>62</v>
      </c>
      <c r="B1570" s="66" t="s">
        <v>1638</v>
      </c>
      <c r="C1570" s="47">
        <v>1014</v>
      </c>
      <c r="D1570" s="47" t="s">
        <v>368</v>
      </c>
      <c r="E1570" s="112">
        <v>10140147</v>
      </c>
      <c r="F1570" s="46" t="s">
        <v>1282</v>
      </c>
      <c r="G1570" s="110" t="s">
        <v>1610</v>
      </c>
      <c r="H1570" s="48" t="s">
        <v>98</v>
      </c>
      <c r="I1570" s="111">
        <v>473.2</v>
      </c>
      <c r="J1570" s="49">
        <v>19784.810000000005</v>
      </c>
      <c r="K1570" s="65">
        <v>0</v>
      </c>
      <c r="L1570" s="65">
        <v>0</v>
      </c>
      <c r="M1570" s="65">
        <v>0</v>
      </c>
      <c r="N1570" s="65">
        <v>0</v>
      </c>
      <c r="O1570" s="65">
        <v>0</v>
      </c>
      <c r="P1570" s="65">
        <v>0</v>
      </c>
      <c r="Q1570" s="50">
        <v>19784.810000000005</v>
      </c>
      <c r="R1570" s="65">
        <v>0</v>
      </c>
      <c r="S1570" s="65">
        <v>0</v>
      </c>
      <c r="T1570" s="65">
        <v>0</v>
      </c>
      <c r="U1570" s="65">
        <v>0</v>
      </c>
      <c r="V1570" s="65">
        <v>0</v>
      </c>
      <c r="W1570" s="65">
        <v>0</v>
      </c>
      <c r="X1570" s="65">
        <v>0</v>
      </c>
      <c r="Y1570" s="65">
        <v>0</v>
      </c>
      <c r="Z1570" s="65">
        <v>19784.810000000005</v>
      </c>
      <c r="AA1570" s="51">
        <v>0</v>
      </c>
      <c r="AB1570" s="102">
        <v>0</v>
      </c>
      <c r="AC1570" s="81">
        <f t="shared" si="75"/>
        <v>189.65320828402375</v>
      </c>
      <c r="AD1570" s="82">
        <f t="shared" si="76"/>
        <v>67.599999999999994</v>
      </c>
      <c r="AE1570" s="218">
        <v>0</v>
      </c>
      <c r="AF1570">
        <v>0</v>
      </c>
      <c r="AH1570" t="str">
        <f t="shared" si="77"/>
        <v>Dumraon</v>
      </c>
      <c r="AJ1570" s="72">
        <v>0</v>
      </c>
      <c r="AK1570" s="72"/>
      <c r="AL1570" s="72"/>
      <c r="AM1570" s="72"/>
    </row>
    <row r="1571" spans="1:39" x14ac:dyDescent="0.25">
      <c r="A1571" s="37" t="s">
        <v>62</v>
      </c>
      <c r="B1571" s="66" t="s">
        <v>1638</v>
      </c>
      <c r="C1571" s="47">
        <v>1014</v>
      </c>
      <c r="D1571" s="47" t="s">
        <v>368</v>
      </c>
      <c r="E1571" s="43">
        <v>10140153</v>
      </c>
      <c r="F1571" s="46" t="s">
        <v>511</v>
      </c>
      <c r="G1571" s="39" t="s">
        <v>92</v>
      </c>
      <c r="H1571" s="48" t="s">
        <v>93</v>
      </c>
      <c r="I1571" s="52">
        <v>146.70000000000002</v>
      </c>
      <c r="J1571" s="49">
        <v>4803.12</v>
      </c>
      <c r="K1571" s="65">
        <v>205.06</v>
      </c>
      <c r="L1571" s="65">
        <v>7978.1299999999992</v>
      </c>
      <c r="M1571" s="65">
        <v>0</v>
      </c>
      <c r="N1571" s="65">
        <v>0</v>
      </c>
      <c r="O1571" s="65">
        <v>205.06</v>
      </c>
      <c r="P1571" s="65">
        <v>7978.1299999999992</v>
      </c>
      <c r="Q1571" s="50">
        <v>4803.12</v>
      </c>
      <c r="R1571" s="65">
        <v>0</v>
      </c>
      <c r="S1571" s="65">
        <v>0</v>
      </c>
      <c r="T1571" s="65">
        <v>3175.0099999999993</v>
      </c>
      <c r="U1571" s="65">
        <v>0</v>
      </c>
      <c r="V1571" s="65">
        <v>500</v>
      </c>
      <c r="W1571" s="65">
        <v>0</v>
      </c>
      <c r="X1571" s="65">
        <v>4303</v>
      </c>
      <c r="Y1571" s="65">
        <v>0</v>
      </c>
      <c r="Z1571" s="65">
        <v>0</v>
      </c>
      <c r="AA1571" s="51">
        <v>0</v>
      </c>
      <c r="AB1571" s="102">
        <v>0</v>
      </c>
      <c r="AC1571" s="81">
        <f t="shared" si="75"/>
        <v>362.31306012269931</v>
      </c>
      <c r="AD1571" s="82">
        <f t="shared" si="76"/>
        <v>20.957142857142859</v>
      </c>
      <c r="AE1571" s="218">
        <v>-0.66103074668132367</v>
      </c>
      <c r="AF1571">
        <v>2</v>
      </c>
      <c r="AH1571" t="str">
        <f t="shared" si="77"/>
        <v>Dumraon</v>
      </c>
      <c r="AJ1571" s="72">
        <v>500</v>
      </c>
      <c r="AK1571" s="72"/>
      <c r="AL1571" s="72"/>
      <c r="AM1571" s="72"/>
    </row>
    <row r="1572" spans="1:39" x14ac:dyDescent="0.25">
      <c r="A1572" s="37" t="s">
        <v>62</v>
      </c>
      <c r="B1572" s="66" t="s">
        <v>1638</v>
      </c>
      <c r="C1572" s="47">
        <v>1014</v>
      </c>
      <c r="D1572" s="47" t="s">
        <v>368</v>
      </c>
      <c r="E1572" s="113">
        <v>10140156</v>
      </c>
      <c r="F1572" s="46" t="s">
        <v>515</v>
      </c>
      <c r="G1572" s="48" t="s">
        <v>92</v>
      </c>
      <c r="H1572" s="48" t="s">
        <v>93</v>
      </c>
      <c r="I1572" s="49">
        <v>660.7</v>
      </c>
      <c r="J1572" s="49">
        <v>25516.09</v>
      </c>
      <c r="K1572" s="65">
        <v>395.70000000000005</v>
      </c>
      <c r="L1572" s="65">
        <v>16508.730000000003</v>
      </c>
      <c r="M1572" s="65">
        <v>227.14</v>
      </c>
      <c r="N1572" s="65">
        <v>8971.51</v>
      </c>
      <c r="O1572" s="65">
        <v>622.84</v>
      </c>
      <c r="P1572" s="65">
        <v>25480.240000000005</v>
      </c>
      <c r="Q1572" s="50">
        <v>25480.240000000005</v>
      </c>
      <c r="R1572" s="65">
        <v>0</v>
      </c>
      <c r="S1572" s="65">
        <v>900.15000000000009</v>
      </c>
      <c r="T1572" s="65">
        <v>0</v>
      </c>
      <c r="U1572" s="65">
        <v>0</v>
      </c>
      <c r="V1572" s="65">
        <v>0</v>
      </c>
      <c r="W1572" s="65">
        <v>0</v>
      </c>
      <c r="X1572" s="65">
        <v>16509</v>
      </c>
      <c r="Y1572" s="65">
        <v>8071</v>
      </c>
      <c r="Z1572" s="65">
        <v>0</v>
      </c>
      <c r="AA1572" s="51">
        <v>36</v>
      </c>
      <c r="AB1572" s="102">
        <v>0</v>
      </c>
      <c r="AC1572" s="81">
        <f t="shared" si="75"/>
        <v>30.355148690782499</v>
      </c>
      <c r="AD1572" s="82">
        <f t="shared" si="76"/>
        <v>94.385714285714286</v>
      </c>
      <c r="AE1572" s="218">
        <v>1.4049958281223693E-3</v>
      </c>
      <c r="AF1572">
        <v>5</v>
      </c>
      <c r="AH1572" t="str">
        <f t="shared" si="77"/>
        <v>Dumraon</v>
      </c>
      <c r="AJ1572" s="72">
        <v>0</v>
      </c>
      <c r="AK1572" s="72"/>
      <c r="AL1572" s="72"/>
      <c r="AM1572" s="72"/>
    </row>
    <row r="1573" spans="1:39" x14ac:dyDescent="0.25">
      <c r="A1573" s="37" t="s">
        <v>62</v>
      </c>
      <c r="B1573" s="66" t="s">
        <v>1638</v>
      </c>
      <c r="C1573" s="47">
        <v>1014</v>
      </c>
      <c r="D1573" s="47" t="s">
        <v>368</v>
      </c>
      <c r="E1573" s="41">
        <v>10140157</v>
      </c>
      <c r="F1573" s="46" t="s">
        <v>1252</v>
      </c>
      <c r="G1573" s="39" t="s">
        <v>1610</v>
      </c>
      <c r="H1573" s="48" t="s">
        <v>98</v>
      </c>
      <c r="I1573" s="52">
        <v>239.1</v>
      </c>
      <c r="J1573" s="49">
        <v>9448.130000000001</v>
      </c>
      <c r="K1573" s="65">
        <v>0</v>
      </c>
      <c r="L1573" s="65">
        <v>0</v>
      </c>
      <c r="M1573" s="65">
        <v>0</v>
      </c>
      <c r="N1573" s="65">
        <v>0</v>
      </c>
      <c r="O1573" s="65">
        <v>0</v>
      </c>
      <c r="P1573" s="65">
        <v>0</v>
      </c>
      <c r="Q1573" s="50">
        <v>9448.130000000001</v>
      </c>
      <c r="R1573" s="65">
        <v>0</v>
      </c>
      <c r="S1573" s="65">
        <v>0</v>
      </c>
      <c r="T1573" s="65">
        <v>0</v>
      </c>
      <c r="U1573" s="65">
        <v>0</v>
      </c>
      <c r="V1573" s="65">
        <v>0</v>
      </c>
      <c r="W1573" s="65">
        <v>0</v>
      </c>
      <c r="X1573" s="65">
        <v>0</v>
      </c>
      <c r="Y1573" s="65">
        <v>0</v>
      </c>
      <c r="Z1573" s="65">
        <v>9448.130000000001</v>
      </c>
      <c r="AA1573" s="51">
        <v>0</v>
      </c>
      <c r="AB1573" s="102">
        <v>0</v>
      </c>
      <c r="AC1573" s="81">
        <f t="shared" si="75"/>
        <v>364.2528746967796</v>
      </c>
      <c r="AD1573" s="82">
        <f t="shared" si="76"/>
        <v>34.157142857142858</v>
      </c>
      <c r="AE1573" s="218">
        <v>0</v>
      </c>
      <c r="AF1573">
        <v>0</v>
      </c>
      <c r="AH1573" t="str">
        <f t="shared" si="77"/>
        <v>Dumraon</v>
      </c>
      <c r="AJ1573" s="72">
        <v>0</v>
      </c>
      <c r="AK1573" s="72"/>
      <c r="AL1573" s="72"/>
      <c r="AM1573" s="72"/>
    </row>
    <row r="1574" spans="1:39" x14ac:dyDescent="0.25">
      <c r="A1574" s="37" t="s">
        <v>62</v>
      </c>
      <c r="B1574" s="66" t="s">
        <v>1638</v>
      </c>
      <c r="C1574" s="47">
        <v>1014</v>
      </c>
      <c r="D1574" s="47" t="s">
        <v>368</v>
      </c>
      <c r="E1574" s="41">
        <v>10140166</v>
      </c>
      <c r="F1574" s="46" t="s">
        <v>582</v>
      </c>
      <c r="G1574" s="39" t="s">
        <v>92</v>
      </c>
      <c r="H1574" s="48" t="s">
        <v>93</v>
      </c>
      <c r="I1574" s="52">
        <v>349.3</v>
      </c>
      <c r="J1574" s="49">
        <v>17092.25</v>
      </c>
      <c r="K1574" s="65">
        <v>349</v>
      </c>
      <c r="L1574" s="65">
        <v>17031.2</v>
      </c>
      <c r="M1574" s="65">
        <v>0</v>
      </c>
      <c r="N1574" s="65">
        <v>0</v>
      </c>
      <c r="O1574" s="65">
        <v>349</v>
      </c>
      <c r="P1574" s="65">
        <v>17031.2</v>
      </c>
      <c r="Q1574" s="50">
        <v>17031.2</v>
      </c>
      <c r="R1574" s="65">
        <v>0</v>
      </c>
      <c r="S1574" s="65">
        <v>0</v>
      </c>
      <c r="T1574" s="65">
        <v>0</v>
      </c>
      <c r="U1574" s="65">
        <v>0</v>
      </c>
      <c r="V1574" s="65">
        <v>0</v>
      </c>
      <c r="W1574" s="65">
        <v>0</v>
      </c>
      <c r="X1574" s="65">
        <v>17031</v>
      </c>
      <c r="Y1574" s="65">
        <v>0</v>
      </c>
      <c r="Z1574" s="65">
        <v>0</v>
      </c>
      <c r="AA1574" s="51">
        <v>61</v>
      </c>
      <c r="AB1574" s="102">
        <v>0</v>
      </c>
      <c r="AC1574" s="81">
        <f t="shared" si="75"/>
        <v>343.21512024048099</v>
      </c>
      <c r="AD1574" s="82">
        <f t="shared" si="76"/>
        <v>49.9</v>
      </c>
      <c r="AE1574" s="218">
        <v>3.5717942342289206E-3</v>
      </c>
      <c r="AF1574">
        <v>1</v>
      </c>
      <c r="AH1574" t="str">
        <f t="shared" si="77"/>
        <v>Dumraon</v>
      </c>
      <c r="AJ1574" s="72">
        <v>0</v>
      </c>
      <c r="AK1574" s="72"/>
      <c r="AL1574" s="72"/>
      <c r="AM1574" s="72"/>
    </row>
    <row r="1575" spans="1:39" x14ac:dyDescent="0.25">
      <c r="A1575" s="37" t="s">
        <v>62</v>
      </c>
      <c r="B1575" s="66" t="s">
        <v>1638</v>
      </c>
      <c r="C1575" s="47">
        <v>1014</v>
      </c>
      <c r="D1575" s="47" t="s">
        <v>368</v>
      </c>
      <c r="E1575" s="41">
        <v>10140167</v>
      </c>
      <c r="F1575" s="46" t="s">
        <v>1153</v>
      </c>
      <c r="G1575" s="39" t="s">
        <v>1610</v>
      </c>
      <c r="H1575" s="48" t="s">
        <v>98</v>
      </c>
      <c r="I1575" s="52">
        <v>2230.5</v>
      </c>
      <c r="J1575" s="49">
        <v>85998.750000000015</v>
      </c>
      <c r="K1575" s="65">
        <v>0</v>
      </c>
      <c r="L1575" s="65">
        <v>0</v>
      </c>
      <c r="M1575" s="65">
        <v>0</v>
      </c>
      <c r="N1575" s="65">
        <v>0</v>
      </c>
      <c r="O1575" s="65">
        <v>0</v>
      </c>
      <c r="P1575" s="65">
        <v>0</v>
      </c>
      <c r="Q1575" s="50">
        <v>85998.750000000015</v>
      </c>
      <c r="R1575" s="65">
        <v>0</v>
      </c>
      <c r="S1575" s="65">
        <v>0</v>
      </c>
      <c r="T1575" s="65">
        <v>0</v>
      </c>
      <c r="U1575" s="65">
        <v>0</v>
      </c>
      <c r="V1575" s="65">
        <v>0</v>
      </c>
      <c r="W1575" s="65">
        <v>0</v>
      </c>
      <c r="X1575" s="65">
        <v>0</v>
      </c>
      <c r="Y1575" s="65">
        <v>0</v>
      </c>
      <c r="Z1575" s="65">
        <v>85998.750000000015</v>
      </c>
      <c r="AA1575" s="51">
        <v>0</v>
      </c>
      <c r="AB1575" s="102">
        <v>0</v>
      </c>
      <c r="AC1575" s="81">
        <f t="shared" si="75"/>
        <v>0</v>
      </c>
      <c r="AD1575" s="82">
        <f t="shared" si="76"/>
        <v>0</v>
      </c>
      <c r="AE1575" s="218">
        <v>0</v>
      </c>
      <c r="AF1575">
        <v>0</v>
      </c>
      <c r="AH1575" t="str">
        <f t="shared" si="77"/>
        <v>Dumraon</v>
      </c>
      <c r="AJ1575" s="72">
        <v>0</v>
      </c>
      <c r="AK1575" s="72"/>
      <c r="AL1575" s="72"/>
      <c r="AM1575" s="72"/>
    </row>
    <row r="1576" spans="1:39" x14ac:dyDescent="0.25">
      <c r="A1576" s="37" t="s">
        <v>62</v>
      </c>
      <c r="B1576" s="66" t="s">
        <v>1638</v>
      </c>
      <c r="C1576" s="47">
        <v>1014</v>
      </c>
      <c r="D1576" s="47" t="s">
        <v>368</v>
      </c>
      <c r="E1576" s="41">
        <v>10140170</v>
      </c>
      <c r="F1576" s="46" t="s">
        <v>620</v>
      </c>
      <c r="G1576" s="39" t="s">
        <v>92</v>
      </c>
      <c r="H1576" s="48" t="s">
        <v>93</v>
      </c>
      <c r="I1576" s="52">
        <v>365.40000000000003</v>
      </c>
      <c r="J1576" s="49">
        <v>16301.179999999998</v>
      </c>
      <c r="K1576" s="65">
        <v>381.09999999999997</v>
      </c>
      <c r="L1576" s="65">
        <v>17851.419999999998</v>
      </c>
      <c r="M1576" s="65">
        <v>0</v>
      </c>
      <c r="N1576" s="65">
        <v>0</v>
      </c>
      <c r="O1576" s="65">
        <v>381.09999999999997</v>
      </c>
      <c r="P1576" s="65">
        <v>17851.419999999998</v>
      </c>
      <c r="Q1576" s="50">
        <v>16301.179999999998</v>
      </c>
      <c r="R1576" s="65">
        <v>0</v>
      </c>
      <c r="S1576" s="65">
        <v>0</v>
      </c>
      <c r="T1576" s="65">
        <v>1550.2399999999998</v>
      </c>
      <c r="U1576" s="65">
        <v>0</v>
      </c>
      <c r="V1576" s="65">
        <v>0</v>
      </c>
      <c r="W1576" s="65">
        <v>0</v>
      </c>
      <c r="X1576" s="65">
        <v>16301</v>
      </c>
      <c r="Y1576" s="65">
        <v>0</v>
      </c>
      <c r="Z1576" s="65">
        <v>0</v>
      </c>
      <c r="AA1576" s="51">
        <v>0</v>
      </c>
      <c r="AB1576" s="102" t="s">
        <v>68</v>
      </c>
      <c r="AC1576" s="81">
        <f t="shared" si="75"/>
        <v>298.54268352490408</v>
      </c>
      <c r="AD1576" s="82">
        <f t="shared" si="76"/>
        <v>52.2</v>
      </c>
      <c r="AE1576" s="218">
        <v>-9.5099863936230378E-2</v>
      </c>
      <c r="AF1576">
        <v>2</v>
      </c>
      <c r="AH1576" t="str">
        <f t="shared" si="77"/>
        <v>Dumraon</v>
      </c>
      <c r="AJ1576" s="72">
        <v>0</v>
      </c>
      <c r="AK1576" s="72"/>
      <c r="AL1576" s="72"/>
      <c r="AM1576" s="72"/>
    </row>
    <row r="1577" spans="1:39" x14ac:dyDescent="0.25">
      <c r="A1577" s="37" t="s">
        <v>62</v>
      </c>
      <c r="B1577" s="66" t="s">
        <v>1638</v>
      </c>
      <c r="C1577" s="47">
        <v>1014</v>
      </c>
      <c r="D1577" s="47" t="s">
        <v>368</v>
      </c>
      <c r="E1577" s="41">
        <v>10140173</v>
      </c>
      <c r="F1577" s="46" t="s">
        <v>633</v>
      </c>
      <c r="G1577" s="39" t="s">
        <v>92</v>
      </c>
      <c r="H1577" s="48" t="s">
        <v>93</v>
      </c>
      <c r="I1577" s="52">
        <v>854.5</v>
      </c>
      <c r="J1577" s="49">
        <v>31654.29</v>
      </c>
      <c r="K1577" s="65">
        <v>862.45</v>
      </c>
      <c r="L1577" s="65">
        <v>37421.56</v>
      </c>
      <c r="M1577" s="65">
        <v>0</v>
      </c>
      <c r="N1577" s="65">
        <v>0</v>
      </c>
      <c r="O1577" s="65">
        <v>862.45</v>
      </c>
      <c r="P1577" s="65">
        <v>37421.56</v>
      </c>
      <c r="Q1577" s="50">
        <v>31654.29</v>
      </c>
      <c r="R1577" s="65">
        <v>0</v>
      </c>
      <c r="S1577" s="65">
        <v>0</v>
      </c>
      <c r="T1577" s="65">
        <v>5767.2699999999968</v>
      </c>
      <c r="U1577" s="65">
        <v>0</v>
      </c>
      <c r="V1577" s="65">
        <v>0</v>
      </c>
      <c r="W1577" s="65">
        <v>0</v>
      </c>
      <c r="X1577" s="65">
        <v>31654</v>
      </c>
      <c r="Y1577" s="65">
        <v>0</v>
      </c>
      <c r="Z1577" s="65">
        <v>0</v>
      </c>
      <c r="AA1577" s="51">
        <v>0</v>
      </c>
      <c r="AB1577" s="102" t="s">
        <v>68</v>
      </c>
      <c r="AC1577" s="81">
        <f t="shared" si="75"/>
        <v>0</v>
      </c>
      <c r="AD1577" s="82">
        <f t="shared" si="76"/>
        <v>0</v>
      </c>
      <c r="AE1577" s="218">
        <v>-0.18219552547221868</v>
      </c>
      <c r="AF1577">
        <v>2</v>
      </c>
      <c r="AH1577" t="str">
        <f t="shared" si="77"/>
        <v>Dumraon</v>
      </c>
      <c r="AJ1577" s="72">
        <v>0</v>
      </c>
      <c r="AK1577" s="72"/>
      <c r="AL1577" s="72"/>
      <c r="AM1577" s="72"/>
    </row>
    <row r="1578" spans="1:39" x14ac:dyDescent="0.25">
      <c r="A1578" s="37" t="s">
        <v>62</v>
      </c>
      <c r="B1578" s="66" t="s">
        <v>1638</v>
      </c>
      <c r="C1578" s="47">
        <v>1014</v>
      </c>
      <c r="D1578" s="47" t="s">
        <v>368</v>
      </c>
      <c r="E1578" s="41">
        <v>10140176</v>
      </c>
      <c r="F1578" s="46" t="s">
        <v>644</v>
      </c>
      <c r="G1578" s="39" t="s">
        <v>1610</v>
      </c>
      <c r="H1578" s="48" t="s">
        <v>98</v>
      </c>
      <c r="I1578" s="52">
        <v>66.099999999999994</v>
      </c>
      <c r="J1578" s="49">
        <v>2455.48</v>
      </c>
      <c r="K1578" s="65">
        <v>0</v>
      </c>
      <c r="L1578" s="65">
        <v>0</v>
      </c>
      <c r="M1578" s="65">
        <v>0</v>
      </c>
      <c r="N1578" s="65">
        <v>0</v>
      </c>
      <c r="O1578" s="65">
        <v>0</v>
      </c>
      <c r="P1578" s="65">
        <v>0</v>
      </c>
      <c r="Q1578" s="50">
        <v>2455.48</v>
      </c>
      <c r="R1578" s="65">
        <v>0</v>
      </c>
      <c r="S1578" s="65">
        <v>0</v>
      </c>
      <c r="T1578" s="65">
        <v>0</v>
      </c>
      <c r="U1578" s="65">
        <v>0</v>
      </c>
      <c r="V1578" s="65">
        <v>0</v>
      </c>
      <c r="W1578" s="65">
        <v>0</v>
      </c>
      <c r="X1578" s="65">
        <v>0</v>
      </c>
      <c r="Y1578" s="65">
        <v>0</v>
      </c>
      <c r="Z1578" s="65">
        <v>2455.48</v>
      </c>
      <c r="AA1578" s="51">
        <v>0</v>
      </c>
      <c r="AB1578" s="102">
        <v>0</v>
      </c>
      <c r="AC1578" s="81">
        <f t="shared" si="75"/>
        <v>470.96180695915297</v>
      </c>
      <c r="AD1578" s="82">
        <f t="shared" si="76"/>
        <v>9.4428571428571413</v>
      </c>
      <c r="AE1578" s="218">
        <v>0</v>
      </c>
      <c r="AF1578">
        <v>0</v>
      </c>
      <c r="AH1578" t="str">
        <f t="shared" si="77"/>
        <v>Dumraon</v>
      </c>
      <c r="AJ1578" s="72">
        <v>0</v>
      </c>
      <c r="AK1578" s="72"/>
      <c r="AL1578" s="72"/>
      <c r="AM1578" s="72"/>
    </row>
    <row r="1579" spans="1:39" x14ac:dyDescent="0.25">
      <c r="A1579" s="37" t="s">
        <v>62</v>
      </c>
      <c r="B1579" s="66" t="s">
        <v>1638</v>
      </c>
      <c r="C1579" s="47">
        <v>1014</v>
      </c>
      <c r="D1579" s="47" t="s">
        <v>368</v>
      </c>
      <c r="E1579" s="41">
        <v>10140179</v>
      </c>
      <c r="F1579" s="46" t="s">
        <v>653</v>
      </c>
      <c r="G1579" s="39" t="s">
        <v>92</v>
      </c>
      <c r="H1579" s="48" t="s">
        <v>93</v>
      </c>
      <c r="I1579" s="52">
        <v>1099.2</v>
      </c>
      <c r="J1579" s="49">
        <v>46947.439999999995</v>
      </c>
      <c r="K1579" s="65">
        <v>1077.93</v>
      </c>
      <c r="L1579" s="65">
        <v>46369.34</v>
      </c>
      <c r="M1579" s="65">
        <v>11.38</v>
      </c>
      <c r="N1579" s="65">
        <v>500.26999999999992</v>
      </c>
      <c r="O1579" s="65">
        <v>1089.3100000000002</v>
      </c>
      <c r="P1579" s="65">
        <v>46869.609999999993</v>
      </c>
      <c r="Q1579" s="50">
        <v>46869.609999999993</v>
      </c>
      <c r="R1579" s="65">
        <v>0</v>
      </c>
      <c r="S1579" s="65">
        <v>500.26999999999992</v>
      </c>
      <c r="T1579" s="65">
        <v>0</v>
      </c>
      <c r="U1579" s="65">
        <v>0</v>
      </c>
      <c r="V1579" s="65">
        <v>0</v>
      </c>
      <c r="W1579" s="65">
        <v>0</v>
      </c>
      <c r="X1579" s="65">
        <v>46368</v>
      </c>
      <c r="Y1579" s="65">
        <v>0</v>
      </c>
      <c r="Z1579" s="65">
        <v>0</v>
      </c>
      <c r="AA1579" s="51">
        <v>79</v>
      </c>
      <c r="AB1579" s="102">
        <v>0</v>
      </c>
      <c r="AC1579" s="81">
        <f t="shared" si="75"/>
        <v>0</v>
      </c>
      <c r="AD1579" s="82">
        <f t="shared" si="76"/>
        <v>0</v>
      </c>
      <c r="AE1579" s="218">
        <v>1.6578113737405439E-3</v>
      </c>
      <c r="AF1579">
        <v>42</v>
      </c>
      <c r="AH1579" t="str">
        <f t="shared" si="77"/>
        <v>Dumraon</v>
      </c>
      <c r="AJ1579" s="72">
        <v>0</v>
      </c>
      <c r="AK1579" s="72"/>
      <c r="AL1579" s="72"/>
      <c r="AM1579" s="72"/>
    </row>
    <row r="1580" spans="1:39" x14ac:dyDescent="0.25">
      <c r="A1580" s="37" t="s">
        <v>62</v>
      </c>
      <c r="B1580" s="66" t="s">
        <v>1638</v>
      </c>
      <c r="C1580" s="47">
        <v>1014</v>
      </c>
      <c r="D1580" s="47" t="s">
        <v>368</v>
      </c>
      <c r="E1580" s="41">
        <v>10140180</v>
      </c>
      <c r="F1580" s="46" t="s">
        <v>673</v>
      </c>
      <c r="G1580" s="39" t="s">
        <v>92</v>
      </c>
      <c r="H1580" s="48" t="s">
        <v>93</v>
      </c>
      <c r="I1580" s="52">
        <v>176.59999999999997</v>
      </c>
      <c r="J1580" s="49">
        <v>7384.0800000000008</v>
      </c>
      <c r="K1580" s="65">
        <v>183.1</v>
      </c>
      <c r="L1580" s="65">
        <v>7280.5700000000006</v>
      </c>
      <c r="M1580" s="65">
        <v>3.0999999999999996</v>
      </c>
      <c r="N1580" s="65">
        <v>132.06</v>
      </c>
      <c r="O1580" s="65">
        <v>186.2</v>
      </c>
      <c r="P1580" s="65">
        <v>7412.630000000001</v>
      </c>
      <c r="Q1580" s="50">
        <v>7384.0800000000008</v>
      </c>
      <c r="R1580" s="65">
        <v>0</v>
      </c>
      <c r="S1580" s="65">
        <v>132.06</v>
      </c>
      <c r="T1580" s="65">
        <v>28.550000000000182</v>
      </c>
      <c r="U1580" s="65">
        <v>0</v>
      </c>
      <c r="V1580" s="65">
        <v>0</v>
      </c>
      <c r="W1580" s="65">
        <v>0</v>
      </c>
      <c r="X1580" s="65">
        <v>7252</v>
      </c>
      <c r="Y1580" s="65">
        <v>0</v>
      </c>
      <c r="Z1580" s="65">
        <v>0</v>
      </c>
      <c r="AA1580" s="51">
        <v>0</v>
      </c>
      <c r="AB1580" s="102">
        <v>0</v>
      </c>
      <c r="AC1580" s="81">
        <f t="shared" si="75"/>
        <v>437.69280543601371</v>
      </c>
      <c r="AD1580" s="82">
        <f t="shared" si="76"/>
        <v>25.228571428571424</v>
      </c>
      <c r="AE1580" s="218">
        <v>-3.8664261492291768E-3</v>
      </c>
      <c r="AF1580">
        <v>7</v>
      </c>
      <c r="AH1580" t="str">
        <f t="shared" si="77"/>
        <v>Dumraon</v>
      </c>
      <c r="AJ1580" s="72">
        <v>0</v>
      </c>
      <c r="AK1580" s="72"/>
      <c r="AL1580" s="72"/>
      <c r="AM1580" s="72"/>
    </row>
    <row r="1581" spans="1:39" x14ac:dyDescent="0.25">
      <c r="A1581" s="37" t="s">
        <v>62</v>
      </c>
      <c r="B1581" s="66" t="s">
        <v>1638</v>
      </c>
      <c r="C1581" s="47">
        <v>1014</v>
      </c>
      <c r="D1581" s="47" t="s">
        <v>368</v>
      </c>
      <c r="E1581" s="41">
        <v>10140185</v>
      </c>
      <c r="F1581" s="46" t="s">
        <v>1134</v>
      </c>
      <c r="G1581" s="39" t="s">
        <v>92</v>
      </c>
      <c r="H1581" s="48" t="s">
        <v>93</v>
      </c>
      <c r="I1581" s="52">
        <v>511.40000000000009</v>
      </c>
      <c r="J1581" s="49">
        <v>17903.12</v>
      </c>
      <c r="K1581" s="65">
        <v>509</v>
      </c>
      <c r="L1581" s="65">
        <v>17901.53</v>
      </c>
      <c r="M1581" s="65">
        <v>0</v>
      </c>
      <c r="N1581" s="65">
        <v>0</v>
      </c>
      <c r="O1581" s="65">
        <v>509</v>
      </c>
      <c r="P1581" s="65">
        <v>17901.53</v>
      </c>
      <c r="Q1581" s="50">
        <v>17901.53</v>
      </c>
      <c r="R1581" s="65">
        <v>0</v>
      </c>
      <c r="S1581" s="65">
        <v>0</v>
      </c>
      <c r="T1581" s="65">
        <v>0</v>
      </c>
      <c r="U1581" s="65">
        <v>6650</v>
      </c>
      <c r="V1581" s="65">
        <v>0</v>
      </c>
      <c r="W1581" s="65">
        <v>0</v>
      </c>
      <c r="X1581" s="65">
        <v>11252</v>
      </c>
      <c r="Y1581" s="65">
        <v>0</v>
      </c>
      <c r="Z1581" s="65">
        <v>0</v>
      </c>
      <c r="AA1581" s="51">
        <v>1</v>
      </c>
      <c r="AB1581" s="102">
        <v>0</v>
      </c>
      <c r="AC1581" s="81">
        <f t="shared" si="75"/>
        <v>132.05038842393424</v>
      </c>
      <c r="AD1581" s="82">
        <f t="shared" si="76"/>
        <v>73.057142857142864</v>
      </c>
      <c r="AE1581" s="218">
        <v>8.8811335677811774E-5</v>
      </c>
      <c r="AF1581">
        <v>1</v>
      </c>
      <c r="AH1581" t="str">
        <f t="shared" si="77"/>
        <v>Dumraon</v>
      </c>
      <c r="AJ1581" s="72">
        <v>0</v>
      </c>
      <c r="AK1581" s="72"/>
      <c r="AL1581" s="72"/>
      <c r="AM1581" s="72"/>
    </row>
    <row r="1582" spans="1:39" x14ac:dyDescent="0.25">
      <c r="A1582" s="37" t="s">
        <v>62</v>
      </c>
      <c r="B1582" s="66" t="s">
        <v>1638</v>
      </c>
      <c r="C1582" s="47">
        <v>1014</v>
      </c>
      <c r="D1582" s="47" t="s">
        <v>368</v>
      </c>
      <c r="E1582" s="41">
        <v>10140191</v>
      </c>
      <c r="F1582" s="46" t="s">
        <v>1531</v>
      </c>
      <c r="G1582" s="39" t="s">
        <v>1610</v>
      </c>
      <c r="H1582" s="48" t="s">
        <v>98</v>
      </c>
      <c r="I1582" s="52">
        <v>464.99999999999994</v>
      </c>
      <c r="J1582" s="49">
        <v>18471.699999999997</v>
      </c>
      <c r="K1582" s="65">
        <v>0</v>
      </c>
      <c r="L1582" s="65">
        <v>0</v>
      </c>
      <c r="M1582" s="65">
        <v>0</v>
      </c>
      <c r="N1582" s="65">
        <v>0</v>
      </c>
      <c r="O1582" s="65">
        <v>0</v>
      </c>
      <c r="P1582" s="65">
        <v>0</v>
      </c>
      <c r="Q1582" s="50">
        <v>18471.699999999997</v>
      </c>
      <c r="R1582" s="65">
        <v>0</v>
      </c>
      <c r="S1582" s="65">
        <v>0</v>
      </c>
      <c r="T1582" s="65">
        <v>0</v>
      </c>
      <c r="U1582" s="65">
        <v>0</v>
      </c>
      <c r="V1582" s="65">
        <v>0</v>
      </c>
      <c r="W1582" s="65">
        <v>0</v>
      </c>
      <c r="X1582" s="65">
        <v>0</v>
      </c>
      <c r="Y1582" s="65">
        <v>0</v>
      </c>
      <c r="Z1582" s="65">
        <v>18471.699999999997</v>
      </c>
      <c r="AA1582" s="51">
        <v>0</v>
      </c>
      <c r="AB1582" s="102">
        <v>0</v>
      </c>
      <c r="AC1582" s="81">
        <f t="shared" si="75"/>
        <v>186.70320430107532</v>
      </c>
      <c r="AD1582" s="82">
        <f t="shared" si="76"/>
        <v>66.428571428571416</v>
      </c>
      <c r="AE1582" s="218">
        <v>0</v>
      </c>
      <c r="AF1582">
        <v>0</v>
      </c>
      <c r="AH1582" t="str">
        <f t="shared" si="77"/>
        <v>Dumraon</v>
      </c>
      <c r="AJ1582" s="72">
        <v>0</v>
      </c>
      <c r="AK1582" s="72"/>
      <c r="AL1582" s="72"/>
      <c r="AM1582" s="72"/>
    </row>
    <row r="1583" spans="1:39" x14ac:dyDescent="0.25">
      <c r="A1583" s="37" t="s">
        <v>62</v>
      </c>
      <c r="B1583" s="66" t="s">
        <v>1638</v>
      </c>
      <c r="C1583" s="47">
        <v>1014</v>
      </c>
      <c r="D1583" s="47" t="s">
        <v>368</v>
      </c>
      <c r="E1583" s="41">
        <v>10140194</v>
      </c>
      <c r="F1583" s="46" t="s">
        <v>1272</v>
      </c>
      <c r="G1583" s="39" t="s">
        <v>92</v>
      </c>
      <c r="H1583" s="48" t="s">
        <v>93</v>
      </c>
      <c r="I1583" s="52">
        <v>410.5</v>
      </c>
      <c r="J1583" s="49">
        <v>16354.609999999997</v>
      </c>
      <c r="K1583" s="65">
        <v>420.56999999999994</v>
      </c>
      <c r="L1583" s="65">
        <v>16368.740000000005</v>
      </c>
      <c r="M1583" s="65">
        <v>0</v>
      </c>
      <c r="N1583" s="65">
        <v>0</v>
      </c>
      <c r="O1583" s="65">
        <v>420.56999999999994</v>
      </c>
      <c r="P1583" s="65">
        <v>16368.740000000005</v>
      </c>
      <c r="Q1583" s="50">
        <v>16354.609999999997</v>
      </c>
      <c r="R1583" s="65">
        <v>0</v>
      </c>
      <c r="S1583" s="65">
        <v>0</v>
      </c>
      <c r="T1583" s="65">
        <v>14.130000000008295</v>
      </c>
      <c r="U1583" s="65">
        <v>0</v>
      </c>
      <c r="V1583" s="65">
        <v>0</v>
      </c>
      <c r="W1583" s="65">
        <v>0</v>
      </c>
      <c r="X1583" s="65">
        <v>16355</v>
      </c>
      <c r="Y1583" s="65">
        <v>0</v>
      </c>
      <c r="Z1583" s="65">
        <v>0</v>
      </c>
      <c r="AA1583" s="51">
        <v>0</v>
      </c>
      <c r="AB1583" s="102">
        <v>0</v>
      </c>
      <c r="AC1583" s="81">
        <f t="shared" si="75"/>
        <v>230.67769037758828</v>
      </c>
      <c r="AD1583" s="82">
        <f t="shared" si="76"/>
        <v>58.642857142857146</v>
      </c>
      <c r="AE1583" s="218">
        <v>-8.639765790812681E-4</v>
      </c>
      <c r="AF1583">
        <v>1</v>
      </c>
      <c r="AH1583" t="str">
        <f t="shared" si="77"/>
        <v>Dumraon</v>
      </c>
      <c r="AJ1583" s="72">
        <v>0</v>
      </c>
      <c r="AK1583" s="72"/>
      <c r="AL1583" s="72"/>
      <c r="AM1583" s="72"/>
    </row>
    <row r="1584" spans="1:39" x14ac:dyDescent="0.25">
      <c r="A1584" s="37" t="s">
        <v>62</v>
      </c>
      <c r="B1584" s="66" t="s">
        <v>1638</v>
      </c>
      <c r="C1584" s="47">
        <v>1014</v>
      </c>
      <c r="D1584" s="47" t="s">
        <v>368</v>
      </c>
      <c r="E1584" s="109">
        <v>10140196</v>
      </c>
      <c r="F1584" s="46" t="s">
        <v>1265</v>
      </c>
      <c r="G1584" s="110" t="s">
        <v>1610</v>
      </c>
      <c r="H1584" s="48" t="s">
        <v>98</v>
      </c>
      <c r="I1584" s="111">
        <v>416.10000000000008</v>
      </c>
      <c r="J1584" s="49">
        <v>16381.399999999998</v>
      </c>
      <c r="K1584" s="65">
        <v>0</v>
      </c>
      <c r="L1584" s="65">
        <v>0</v>
      </c>
      <c r="M1584" s="65">
        <v>0</v>
      </c>
      <c r="N1584" s="65">
        <v>0</v>
      </c>
      <c r="O1584" s="65">
        <v>0</v>
      </c>
      <c r="P1584" s="65">
        <v>0</v>
      </c>
      <c r="Q1584" s="50">
        <v>16381.399999999998</v>
      </c>
      <c r="R1584" s="65">
        <v>0</v>
      </c>
      <c r="S1584" s="65">
        <v>0</v>
      </c>
      <c r="T1584" s="65">
        <v>0</v>
      </c>
      <c r="U1584" s="65">
        <v>0</v>
      </c>
      <c r="V1584" s="65">
        <v>0</v>
      </c>
      <c r="W1584" s="65">
        <v>0</v>
      </c>
      <c r="X1584" s="65">
        <v>0</v>
      </c>
      <c r="Y1584" s="65">
        <v>0</v>
      </c>
      <c r="Z1584" s="65">
        <v>16381.399999999998</v>
      </c>
      <c r="AA1584" s="51">
        <v>0</v>
      </c>
      <c r="AB1584" s="102">
        <v>0</v>
      </c>
      <c r="AC1584" s="81">
        <f t="shared" si="75"/>
        <v>223.53662388848821</v>
      </c>
      <c r="AD1584" s="82">
        <f t="shared" si="76"/>
        <v>59.442857142857157</v>
      </c>
      <c r="AE1584" s="218">
        <v>0</v>
      </c>
      <c r="AF1584">
        <v>0</v>
      </c>
      <c r="AH1584" t="str">
        <f t="shared" si="77"/>
        <v>Dumraon</v>
      </c>
      <c r="AJ1584" s="72">
        <v>0</v>
      </c>
      <c r="AK1584" s="72"/>
      <c r="AL1584" s="72"/>
      <c r="AM1584" s="72"/>
    </row>
    <row r="1585" spans="1:39" x14ac:dyDescent="0.25">
      <c r="A1585" s="37" t="s">
        <v>62</v>
      </c>
      <c r="B1585" s="66" t="s">
        <v>1638</v>
      </c>
      <c r="C1585" s="47">
        <v>1014</v>
      </c>
      <c r="D1585" s="47" t="s">
        <v>368</v>
      </c>
      <c r="E1585" s="41">
        <v>10140197</v>
      </c>
      <c r="F1585" s="46" t="s">
        <v>1273</v>
      </c>
      <c r="G1585" s="39" t="s">
        <v>92</v>
      </c>
      <c r="H1585" s="48" t="s">
        <v>93</v>
      </c>
      <c r="I1585" s="52">
        <v>192.1</v>
      </c>
      <c r="J1585" s="49">
        <v>8021.48</v>
      </c>
      <c r="K1585" s="65">
        <v>192.3</v>
      </c>
      <c r="L1585" s="65">
        <v>8018.91</v>
      </c>
      <c r="M1585" s="65">
        <v>0</v>
      </c>
      <c r="N1585" s="65">
        <v>0</v>
      </c>
      <c r="O1585" s="65">
        <v>192.3</v>
      </c>
      <c r="P1585" s="65">
        <v>8018.91</v>
      </c>
      <c r="Q1585" s="50">
        <v>8018.91</v>
      </c>
      <c r="R1585" s="65">
        <v>0</v>
      </c>
      <c r="S1585" s="65">
        <v>0</v>
      </c>
      <c r="T1585" s="65">
        <v>0</v>
      </c>
      <c r="U1585" s="65">
        <v>0</v>
      </c>
      <c r="V1585" s="65">
        <v>0</v>
      </c>
      <c r="W1585" s="65">
        <v>0</v>
      </c>
      <c r="X1585" s="65">
        <v>8019</v>
      </c>
      <c r="Y1585" s="65">
        <v>0</v>
      </c>
      <c r="Z1585" s="65">
        <v>0</v>
      </c>
      <c r="AA1585" s="51">
        <v>2</v>
      </c>
      <c r="AB1585" s="102">
        <v>0</v>
      </c>
      <c r="AC1585" s="81">
        <f t="shared" si="75"/>
        <v>424.16550671525243</v>
      </c>
      <c r="AD1585" s="82">
        <f t="shared" si="76"/>
        <v>27.442857142857143</v>
      </c>
      <c r="AE1585" s="218">
        <v>3.2038975351178451E-4</v>
      </c>
      <c r="AF1585">
        <v>1</v>
      </c>
      <c r="AH1585" t="str">
        <f t="shared" si="77"/>
        <v>Dumraon</v>
      </c>
      <c r="AJ1585" s="72">
        <v>0</v>
      </c>
      <c r="AK1585" s="72"/>
      <c r="AL1585" s="72"/>
      <c r="AM1585" s="72"/>
    </row>
    <row r="1586" spans="1:39" x14ac:dyDescent="0.25">
      <c r="A1586" s="37" t="s">
        <v>62</v>
      </c>
      <c r="B1586" s="66" t="s">
        <v>1638</v>
      </c>
      <c r="C1586" s="47">
        <v>1014</v>
      </c>
      <c r="D1586" s="47" t="s">
        <v>368</v>
      </c>
      <c r="E1586" s="47">
        <v>10140198</v>
      </c>
      <c r="F1586" s="46" t="s">
        <v>1274</v>
      </c>
      <c r="G1586" s="48" t="s">
        <v>1610</v>
      </c>
      <c r="H1586" s="48" t="s">
        <v>98</v>
      </c>
      <c r="I1586" s="49">
        <v>875.59999999999991</v>
      </c>
      <c r="J1586" s="49">
        <v>36649.94</v>
      </c>
      <c r="K1586" s="65">
        <v>0</v>
      </c>
      <c r="L1586" s="65">
        <v>0</v>
      </c>
      <c r="M1586" s="65">
        <v>0</v>
      </c>
      <c r="N1586" s="65">
        <v>0</v>
      </c>
      <c r="O1586" s="65">
        <v>0</v>
      </c>
      <c r="P1586" s="65">
        <v>0</v>
      </c>
      <c r="Q1586" s="50">
        <v>36649.94</v>
      </c>
      <c r="R1586" s="65">
        <v>0</v>
      </c>
      <c r="S1586" s="65">
        <v>0</v>
      </c>
      <c r="T1586" s="65">
        <v>0</v>
      </c>
      <c r="U1586" s="65">
        <v>0</v>
      </c>
      <c r="V1586" s="65">
        <v>0</v>
      </c>
      <c r="W1586" s="65">
        <v>0</v>
      </c>
      <c r="X1586" s="65">
        <v>0</v>
      </c>
      <c r="Y1586" s="65">
        <v>0</v>
      </c>
      <c r="Z1586" s="65">
        <v>36649.94</v>
      </c>
      <c r="AA1586" s="51">
        <v>0</v>
      </c>
      <c r="AB1586" s="102">
        <v>0</v>
      </c>
      <c r="AC1586" s="81">
        <f t="shared" si="75"/>
        <v>0</v>
      </c>
      <c r="AD1586" s="82">
        <f t="shared" si="76"/>
        <v>0</v>
      </c>
      <c r="AE1586" s="218">
        <v>0</v>
      </c>
      <c r="AF1586">
        <v>0</v>
      </c>
      <c r="AH1586" t="str">
        <f t="shared" si="77"/>
        <v>Dumraon</v>
      </c>
      <c r="AJ1586" s="72">
        <v>0</v>
      </c>
      <c r="AK1586" s="72"/>
      <c r="AL1586" s="72"/>
      <c r="AM1586" s="72"/>
    </row>
    <row r="1587" spans="1:39" x14ac:dyDescent="0.25">
      <c r="A1587" s="37" t="s">
        <v>62</v>
      </c>
      <c r="B1587" s="66" t="s">
        <v>1638</v>
      </c>
      <c r="C1587" s="47">
        <v>1014</v>
      </c>
      <c r="D1587" s="47" t="s">
        <v>368</v>
      </c>
      <c r="E1587" s="41">
        <v>10140201</v>
      </c>
      <c r="F1587" s="46" t="s">
        <v>1303</v>
      </c>
      <c r="G1587" s="39" t="s">
        <v>1610</v>
      </c>
      <c r="H1587" s="48" t="s">
        <v>98</v>
      </c>
      <c r="I1587" s="52">
        <v>145.90000000000003</v>
      </c>
      <c r="J1587" s="49">
        <v>5234.0399999999991</v>
      </c>
      <c r="K1587" s="65">
        <v>0</v>
      </c>
      <c r="L1587" s="65">
        <v>0</v>
      </c>
      <c r="M1587" s="65">
        <v>0</v>
      </c>
      <c r="N1587" s="65">
        <v>0</v>
      </c>
      <c r="O1587" s="65">
        <v>0</v>
      </c>
      <c r="P1587" s="65">
        <v>0</v>
      </c>
      <c r="Q1587" s="50">
        <v>5234.0399999999991</v>
      </c>
      <c r="R1587" s="65">
        <v>0</v>
      </c>
      <c r="S1587" s="65">
        <v>0</v>
      </c>
      <c r="T1587" s="65">
        <v>0</v>
      </c>
      <c r="U1587" s="65">
        <v>0</v>
      </c>
      <c r="V1587" s="65">
        <v>0</v>
      </c>
      <c r="W1587" s="65">
        <v>0</v>
      </c>
      <c r="X1587" s="65">
        <v>0</v>
      </c>
      <c r="Y1587" s="65">
        <v>0</v>
      </c>
      <c r="Z1587" s="65">
        <v>5234.0399999999991</v>
      </c>
      <c r="AA1587" s="51">
        <v>0</v>
      </c>
      <c r="AB1587" s="102">
        <v>0</v>
      </c>
      <c r="AC1587" s="81">
        <f t="shared" si="75"/>
        <v>397.55744537354332</v>
      </c>
      <c r="AD1587" s="82">
        <f t="shared" si="76"/>
        <v>20.842857142857149</v>
      </c>
      <c r="AE1587" s="218">
        <v>0</v>
      </c>
      <c r="AF1587">
        <v>0</v>
      </c>
      <c r="AH1587" t="str">
        <f t="shared" si="77"/>
        <v>Dumraon</v>
      </c>
      <c r="AJ1587" s="72">
        <v>0</v>
      </c>
      <c r="AK1587" s="72"/>
      <c r="AL1587" s="72"/>
      <c r="AM1587" s="72"/>
    </row>
    <row r="1588" spans="1:39" x14ac:dyDescent="0.25">
      <c r="A1588" s="37" t="s">
        <v>62</v>
      </c>
      <c r="B1588" s="66" t="s">
        <v>1638</v>
      </c>
      <c r="C1588" s="47">
        <v>1014</v>
      </c>
      <c r="D1588" s="47" t="s">
        <v>368</v>
      </c>
      <c r="E1588" s="41">
        <v>10140203</v>
      </c>
      <c r="F1588" s="46" t="s">
        <v>1334</v>
      </c>
      <c r="G1588" s="39" t="s">
        <v>1610</v>
      </c>
      <c r="H1588" s="48" t="s">
        <v>98</v>
      </c>
      <c r="I1588" s="52">
        <v>2937.6</v>
      </c>
      <c r="J1588" s="49">
        <v>108518.93000000001</v>
      </c>
      <c r="K1588" s="65">
        <v>0</v>
      </c>
      <c r="L1588" s="65">
        <v>0</v>
      </c>
      <c r="M1588" s="65">
        <v>0</v>
      </c>
      <c r="N1588" s="65">
        <v>0</v>
      </c>
      <c r="O1588" s="65">
        <v>0</v>
      </c>
      <c r="P1588" s="65">
        <v>0</v>
      </c>
      <c r="Q1588" s="50">
        <v>108518.93000000001</v>
      </c>
      <c r="R1588" s="65">
        <v>0</v>
      </c>
      <c r="S1588" s="65">
        <v>0</v>
      </c>
      <c r="T1588" s="65">
        <v>0</v>
      </c>
      <c r="U1588" s="65">
        <v>0</v>
      </c>
      <c r="V1588" s="65">
        <v>0</v>
      </c>
      <c r="W1588" s="65">
        <v>0</v>
      </c>
      <c r="X1588" s="65">
        <v>0</v>
      </c>
      <c r="Y1588" s="65">
        <v>0</v>
      </c>
      <c r="Z1588" s="65">
        <v>108518.93000000001</v>
      </c>
      <c r="AA1588" s="51">
        <v>0</v>
      </c>
      <c r="AB1588" s="102">
        <v>0</v>
      </c>
      <c r="AC1588" s="81">
        <f t="shared" si="75"/>
        <v>0</v>
      </c>
      <c r="AD1588" s="82">
        <f t="shared" si="76"/>
        <v>0</v>
      </c>
      <c r="AE1588" s="218">
        <v>0</v>
      </c>
      <c r="AF1588">
        <v>0</v>
      </c>
      <c r="AH1588" t="str">
        <f t="shared" si="77"/>
        <v>Dumraon</v>
      </c>
      <c r="AJ1588" s="72">
        <v>0</v>
      </c>
      <c r="AK1588" s="72"/>
      <c r="AL1588" s="72"/>
      <c r="AM1588" s="72"/>
    </row>
    <row r="1589" spans="1:39" x14ac:dyDescent="0.25">
      <c r="A1589" s="37" t="s">
        <v>62</v>
      </c>
      <c r="B1589" s="66" t="s">
        <v>1638</v>
      </c>
      <c r="C1589" s="47">
        <v>1014</v>
      </c>
      <c r="D1589" s="47" t="s">
        <v>368</v>
      </c>
      <c r="E1589" s="41">
        <v>10140204</v>
      </c>
      <c r="F1589" s="46" t="s">
        <v>1464</v>
      </c>
      <c r="G1589" s="39" t="s">
        <v>1610</v>
      </c>
      <c r="H1589" s="48" t="s">
        <v>98</v>
      </c>
      <c r="I1589" s="52">
        <v>99.8</v>
      </c>
      <c r="J1589" s="49">
        <v>4140.12</v>
      </c>
      <c r="K1589" s="65">
        <v>0</v>
      </c>
      <c r="L1589" s="65">
        <v>0</v>
      </c>
      <c r="M1589" s="65">
        <v>0</v>
      </c>
      <c r="N1589" s="65">
        <v>0</v>
      </c>
      <c r="O1589" s="65">
        <v>0</v>
      </c>
      <c r="P1589" s="65">
        <v>0</v>
      </c>
      <c r="Q1589" s="50">
        <v>4140.12</v>
      </c>
      <c r="R1589" s="65">
        <v>0</v>
      </c>
      <c r="S1589" s="65">
        <v>0</v>
      </c>
      <c r="T1589" s="65">
        <v>0</v>
      </c>
      <c r="U1589" s="65">
        <v>0</v>
      </c>
      <c r="V1589" s="65">
        <v>0</v>
      </c>
      <c r="W1589" s="65">
        <v>0</v>
      </c>
      <c r="X1589" s="65">
        <v>0</v>
      </c>
      <c r="Y1589" s="65">
        <v>0</v>
      </c>
      <c r="Z1589" s="65">
        <v>4140.12</v>
      </c>
      <c r="AA1589" s="51">
        <v>0</v>
      </c>
      <c r="AB1589" s="102">
        <v>0</v>
      </c>
      <c r="AC1589" s="81">
        <f t="shared" si="75"/>
        <v>497.97595671342697</v>
      </c>
      <c r="AD1589" s="82">
        <f t="shared" si="76"/>
        <v>14.257142857142856</v>
      </c>
      <c r="AE1589" s="218">
        <v>0</v>
      </c>
      <c r="AF1589">
        <v>0</v>
      </c>
      <c r="AH1589" t="str">
        <f t="shared" si="77"/>
        <v>Dumraon</v>
      </c>
      <c r="AJ1589" s="72">
        <v>0</v>
      </c>
      <c r="AK1589" s="72"/>
      <c r="AL1589" s="72"/>
      <c r="AM1589" s="72"/>
    </row>
    <row r="1590" spans="1:39" x14ac:dyDescent="0.25">
      <c r="A1590" s="37" t="s">
        <v>62</v>
      </c>
      <c r="B1590" s="66" t="s">
        <v>1638</v>
      </c>
      <c r="C1590" s="47">
        <v>1014</v>
      </c>
      <c r="D1590" s="47" t="s">
        <v>368</v>
      </c>
      <c r="E1590" s="41">
        <v>10140206</v>
      </c>
      <c r="F1590" s="46" t="s">
        <v>1374</v>
      </c>
      <c r="G1590" s="39" t="s">
        <v>92</v>
      </c>
      <c r="H1590" s="48" t="s">
        <v>93</v>
      </c>
      <c r="I1590" s="52">
        <v>797.00000000000011</v>
      </c>
      <c r="J1590" s="49">
        <v>32808.650000000009</v>
      </c>
      <c r="K1590" s="65">
        <v>795.03</v>
      </c>
      <c r="L1590" s="65">
        <v>32803.839999999997</v>
      </c>
      <c r="M1590" s="65">
        <v>0</v>
      </c>
      <c r="N1590" s="65">
        <v>0</v>
      </c>
      <c r="O1590" s="65">
        <v>795.03</v>
      </c>
      <c r="P1590" s="65">
        <v>32803.839999999997</v>
      </c>
      <c r="Q1590" s="50">
        <v>32803.839999999997</v>
      </c>
      <c r="R1590" s="65">
        <v>0</v>
      </c>
      <c r="S1590" s="65">
        <v>0</v>
      </c>
      <c r="T1590" s="65">
        <v>0</v>
      </c>
      <c r="U1590" s="65">
        <v>0</v>
      </c>
      <c r="V1590" s="65">
        <v>0</v>
      </c>
      <c r="W1590" s="65">
        <v>0</v>
      </c>
      <c r="X1590" s="65">
        <v>32804</v>
      </c>
      <c r="Y1590" s="65">
        <v>0</v>
      </c>
      <c r="Z1590" s="65">
        <v>0</v>
      </c>
      <c r="AA1590" s="51">
        <v>5</v>
      </c>
      <c r="AB1590" s="102">
        <v>0</v>
      </c>
      <c r="AC1590" s="81">
        <f t="shared" si="75"/>
        <v>0</v>
      </c>
      <c r="AD1590" s="82">
        <f t="shared" si="76"/>
        <v>0</v>
      </c>
      <c r="AE1590" s="218">
        <v>1.4660767815841927E-4</v>
      </c>
      <c r="AF1590">
        <v>1</v>
      </c>
      <c r="AH1590" t="str">
        <f t="shared" si="77"/>
        <v>Dumraon</v>
      </c>
      <c r="AJ1590" s="72">
        <v>0</v>
      </c>
      <c r="AK1590" s="72"/>
      <c r="AL1590" s="72"/>
      <c r="AM1590" s="72"/>
    </row>
    <row r="1591" spans="1:39" x14ac:dyDescent="0.25">
      <c r="A1591" s="37" t="s">
        <v>62</v>
      </c>
      <c r="B1591" s="66" t="s">
        <v>1638</v>
      </c>
      <c r="C1591" s="47">
        <v>1014</v>
      </c>
      <c r="D1591" s="47" t="s">
        <v>368</v>
      </c>
      <c r="E1591" s="41">
        <v>10140207</v>
      </c>
      <c r="F1591" s="46" t="s">
        <v>1539</v>
      </c>
      <c r="G1591" s="39" t="s">
        <v>1610</v>
      </c>
      <c r="H1591" s="48" t="s">
        <v>98</v>
      </c>
      <c r="I1591" s="52">
        <v>322.7</v>
      </c>
      <c r="J1591" s="49">
        <v>11543.220000000001</v>
      </c>
      <c r="K1591" s="65">
        <v>0</v>
      </c>
      <c r="L1591" s="65">
        <v>0</v>
      </c>
      <c r="M1591" s="65">
        <v>0</v>
      </c>
      <c r="N1591" s="65">
        <v>0</v>
      </c>
      <c r="O1591" s="65">
        <v>0</v>
      </c>
      <c r="P1591" s="65">
        <v>0</v>
      </c>
      <c r="Q1591" s="50">
        <v>11543.220000000001</v>
      </c>
      <c r="R1591" s="65">
        <v>0</v>
      </c>
      <c r="S1591" s="65">
        <v>0</v>
      </c>
      <c r="T1591" s="65">
        <v>0</v>
      </c>
      <c r="U1591" s="65">
        <v>0</v>
      </c>
      <c r="V1591" s="65">
        <v>0</v>
      </c>
      <c r="W1591" s="65">
        <v>0</v>
      </c>
      <c r="X1591" s="65">
        <v>0</v>
      </c>
      <c r="Y1591" s="65">
        <v>0</v>
      </c>
      <c r="Z1591" s="65">
        <v>11543.220000000001</v>
      </c>
      <c r="AA1591" s="51">
        <v>0</v>
      </c>
      <c r="AB1591" s="102">
        <v>0</v>
      </c>
      <c r="AC1591" s="81">
        <f t="shared" si="75"/>
        <v>269.92605553145341</v>
      </c>
      <c r="AD1591" s="82">
        <f t="shared" si="76"/>
        <v>46.1</v>
      </c>
      <c r="AE1591" s="218">
        <v>0</v>
      </c>
      <c r="AF1591">
        <v>0</v>
      </c>
      <c r="AH1591" t="str">
        <f t="shared" si="77"/>
        <v>Dumraon</v>
      </c>
      <c r="AJ1591" s="72">
        <v>0</v>
      </c>
      <c r="AK1591" s="72"/>
      <c r="AL1591" s="72"/>
      <c r="AM1591" s="72"/>
    </row>
    <row r="1592" spans="1:39" x14ac:dyDescent="0.25">
      <c r="A1592" s="37" t="s">
        <v>62</v>
      </c>
      <c r="B1592" s="66" t="s">
        <v>1638</v>
      </c>
      <c r="C1592" s="47">
        <v>1014</v>
      </c>
      <c r="D1592" s="47" t="s">
        <v>368</v>
      </c>
      <c r="E1592" s="41">
        <v>10140208</v>
      </c>
      <c r="F1592" s="46" t="s">
        <v>1562</v>
      </c>
      <c r="G1592" s="39" t="s">
        <v>92</v>
      </c>
      <c r="H1592" s="48" t="s">
        <v>93</v>
      </c>
      <c r="I1592" s="52">
        <v>963.10000000000014</v>
      </c>
      <c r="J1592" s="49">
        <v>39472.730000000003</v>
      </c>
      <c r="K1592" s="65">
        <v>963.12</v>
      </c>
      <c r="L1592" s="65">
        <v>40183.719999999994</v>
      </c>
      <c r="M1592" s="65">
        <v>0</v>
      </c>
      <c r="N1592" s="65">
        <v>0</v>
      </c>
      <c r="O1592" s="65">
        <v>963.12</v>
      </c>
      <c r="P1592" s="65">
        <v>40183.719999999994</v>
      </c>
      <c r="Q1592" s="50">
        <v>39472.730000000003</v>
      </c>
      <c r="R1592" s="65">
        <v>0</v>
      </c>
      <c r="S1592" s="65">
        <v>0</v>
      </c>
      <c r="T1592" s="65">
        <v>710.98999999999069</v>
      </c>
      <c r="U1592" s="65">
        <v>0</v>
      </c>
      <c r="V1592" s="65">
        <v>0</v>
      </c>
      <c r="W1592" s="65">
        <v>0</v>
      </c>
      <c r="X1592" s="65">
        <v>39473</v>
      </c>
      <c r="Y1592" s="65">
        <v>0</v>
      </c>
      <c r="Z1592" s="65">
        <v>0</v>
      </c>
      <c r="AA1592" s="51">
        <v>0</v>
      </c>
      <c r="AB1592" s="102">
        <v>0</v>
      </c>
      <c r="AC1592" s="81">
        <f t="shared" si="75"/>
        <v>0</v>
      </c>
      <c r="AD1592" s="82">
        <f t="shared" si="76"/>
        <v>0</v>
      </c>
      <c r="AE1592" s="218">
        <v>-1.8012182081147937E-2</v>
      </c>
      <c r="AF1592">
        <v>2</v>
      </c>
      <c r="AH1592" t="str">
        <f t="shared" si="77"/>
        <v>Dumraon</v>
      </c>
      <c r="AJ1592" s="72">
        <v>0</v>
      </c>
      <c r="AK1592" s="72"/>
      <c r="AL1592" s="72"/>
      <c r="AM1592" s="72"/>
    </row>
    <row r="1593" spans="1:39" x14ac:dyDescent="0.25">
      <c r="A1593" s="37" t="s">
        <v>62</v>
      </c>
      <c r="B1593" s="66" t="s">
        <v>1638</v>
      </c>
      <c r="C1593" s="47">
        <v>1002</v>
      </c>
      <c r="D1593" s="47" t="s">
        <v>103</v>
      </c>
      <c r="E1593" s="41">
        <v>10180001</v>
      </c>
      <c r="F1593" s="46" t="s">
        <v>611</v>
      </c>
      <c r="G1593" s="39" t="s">
        <v>92</v>
      </c>
      <c r="H1593" s="48" t="s">
        <v>98</v>
      </c>
      <c r="I1593" s="52">
        <v>724.1</v>
      </c>
      <c r="J1593" s="49">
        <v>30035.900000000005</v>
      </c>
      <c r="K1593" s="65">
        <v>0</v>
      </c>
      <c r="L1593" s="65">
        <v>0</v>
      </c>
      <c r="M1593" s="65">
        <v>0</v>
      </c>
      <c r="N1593" s="65">
        <v>0</v>
      </c>
      <c r="O1593" s="65">
        <v>0</v>
      </c>
      <c r="P1593" s="65">
        <v>0</v>
      </c>
      <c r="Q1593" s="50">
        <v>30035.900000000005</v>
      </c>
      <c r="R1593" s="65">
        <v>0</v>
      </c>
      <c r="S1593" s="65">
        <v>0</v>
      </c>
      <c r="T1593" s="65">
        <v>0</v>
      </c>
      <c r="U1593" s="65">
        <v>0</v>
      </c>
      <c r="V1593" s="65">
        <v>0</v>
      </c>
      <c r="W1593" s="65">
        <v>0</v>
      </c>
      <c r="X1593" s="65">
        <v>0</v>
      </c>
      <c r="Y1593" s="65">
        <v>0</v>
      </c>
      <c r="Z1593" s="65">
        <v>30035.900000000005</v>
      </c>
      <c r="AA1593" s="51">
        <v>0</v>
      </c>
      <c r="AB1593" s="102">
        <v>0</v>
      </c>
      <c r="AC1593" s="81">
        <f t="shared" si="75"/>
        <v>0</v>
      </c>
      <c r="AD1593" s="82">
        <f t="shared" si="76"/>
        <v>0</v>
      </c>
      <c r="AE1593" s="218">
        <v>0</v>
      </c>
      <c r="AF1593">
        <v>0</v>
      </c>
      <c r="AH1593" t="str">
        <f t="shared" si="77"/>
        <v>Laldiyara</v>
      </c>
      <c r="AJ1593" s="72">
        <v>0</v>
      </c>
      <c r="AK1593" s="72"/>
      <c r="AL1593" s="72"/>
      <c r="AM1593" s="72"/>
    </row>
    <row r="1594" spans="1:39" x14ac:dyDescent="0.25">
      <c r="A1594" s="37" t="s">
        <v>62</v>
      </c>
      <c r="B1594" s="66" t="s">
        <v>1638</v>
      </c>
      <c r="C1594" s="47">
        <v>1002</v>
      </c>
      <c r="D1594" s="47" t="s">
        <v>103</v>
      </c>
      <c r="E1594" s="41">
        <v>10200001</v>
      </c>
      <c r="F1594" s="46" t="s">
        <v>1525</v>
      </c>
      <c r="G1594" s="39" t="s">
        <v>92</v>
      </c>
      <c r="H1594" s="48" t="s">
        <v>93</v>
      </c>
      <c r="I1594" s="52">
        <v>472.5</v>
      </c>
      <c r="J1594" s="49">
        <v>19178.78</v>
      </c>
      <c r="K1594" s="65">
        <v>472.5</v>
      </c>
      <c r="L1594" s="65">
        <v>19178.78</v>
      </c>
      <c r="M1594" s="65">
        <v>0</v>
      </c>
      <c r="N1594" s="65">
        <v>0</v>
      </c>
      <c r="O1594" s="65">
        <v>472.5</v>
      </c>
      <c r="P1594" s="65">
        <v>19178.78</v>
      </c>
      <c r="Q1594" s="50">
        <v>19178.78</v>
      </c>
      <c r="R1594" s="65">
        <v>0</v>
      </c>
      <c r="S1594" s="65">
        <v>0</v>
      </c>
      <c r="T1594" s="65">
        <v>0</v>
      </c>
      <c r="U1594" s="65">
        <v>0</v>
      </c>
      <c r="V1594" s="65">
        <v>0</v>
      </c>
      <c r="W1594" s="65">
        <v>0</v>
      </c>
      <c r="X1594" s="65">
        <v>19179</v>
      </c>
      <c r="Y1594" s="65">
        <v>0</v>
      </c>
      <c r="Z1594" s="65">
        <v>0</v>
      </c>
      <c r="AA1594" s="51">
        <v>0</v>
      </c>
      <c r="AB1594" s="102">
        <v>0</v>
      </c>
      <c r="AC1594" s="81">
        <f t="shared" si="75"/>
        <v>184.68454814814814</v>
      </c>
      <c r="AD1594" s="82">
        <f t="shared" si="76"/>
        <v>67.5</v>
      </c>
      <c r="AE1594" s="218">
        <v>0</v>
      </c>
      <c r="AF1594">
        <v>1</v>
      </c>
      <c r="AH1594" t="str">
        <f t="shared" si="77"/>
        <v>Laldiyara</v>
      </c>
      <c r="AJ1594" s="72">
        <v>0</v>
      </c>
      <c r="AK1594" s="72"/>
      <c r="AL1594" s="72"/>
      <c r="AM1594" s="72"/>
    </row>
    <row r="1595" spans="1:39" x14ac:dyDescent="0.25">
      <c r="A1595" s="37" t="s">
        <v>62</v>
      </c>
      <c r="B1595" s="66" t="s">
        <v>1638</v>
      </c>
      <c r="C1595" s="47">
        <v>1003</v>
      </c>
      <c r="D1595" s="47" t="s">
        <v>137</v>
      </c>
      <c r="E1595" s="41">
        <v>10240001</v>
      </c>
      <c r="F1595" s="46" t="s">
        <v>394</v>
      </c>
      <c r="G1595" s="39" t="s">
        <v>92</v>
      </c>
      <c r="H1595" s="48" t="s">
        <v>93</v>
      </c>
      <c r="I1595" s="52">
        <v>2246.0499999999997</v>
      </c>
      <c r="J1595" s="49">
        <v>86984.38</v>
      </c>
      <c r="K1595" s="65">
        <v>2332.2000000000007</v>
      </c>
      <c r="L1595" s="65">
        <v>85503.549999999988</v>
      </c>
      <c r="M1595" s="65">
        <v>28.499999999999996</v>
      </c>
      <c r="N1595" s="65">
        <v>1502.03</v>
      </c>
      <c r="O1595" s="65">
        <v>2360.7000000000007</v>
      </c>
      <c r="P1595" s="65">
        <v>87005.579999999987</v>
      </c>
      <c r="Q1595" s="50">
        <v>86984.38</v>
      </c>
      <c r="R1595" s="65">
        <v>0</v>
      </c>
      <c r="S1595" s="65">
        <v>1502.03</v>
      </c>
      <c r="T1595" s="65">
        <v>21.199999999982538</v>
      </c>
      <c r="U1595" s="65">
        <v>0</v>
      </c>
      <c r="V1595" s="65">
        <v>0</v>
      </c>
      <c r="W1595" s="65">
        <v>0</v>
      </c>
      <c r="X1595" s="65">
        <v>85482</v>
      </c>
      <c r="Y1595" s="65">
        <v>0</v>
      </c>
      <c r="Z1595" s="65">
        <v>0</v>
      </c>
      <c r="AA1595" s="51">
        <v>0</v>
      </c>
      <c r="AB1595" s="102">
        <v>0</v>
      </c>
      <c r="AC1595" s="81">
        <f t="shared" si="75"/>
        <v>0</v>
      </c>
      <c r="AD1595" s="82">
        <f t="shared" si="76"/>
        <v>0</v>
      </c>
      <c r="AE1595" s="218">
        <v>-2.4372191880867044E-4</v>
      </c>
      <c r="AF1595">
        <v>70</v>
      </c>
      <c r="AH1595" t="str">
        <f t="shared" si="77"/>
        <v>Asarganj</v>
      </c>
      <c r="AJ1595" s="72">
        <v>0</v>
      </c>
      <c r="AK1595" s="72"/>
      <c r="AL1595" s="72"/>
      <c r="AM1595" s="72"/>
    </row>
    <row r="1596" spans="1:39" x14ac:dyDescent="0.25">
      <c r="A1596" s="37" t="s">
        <v>62</v>
      </c>
      <c r="B1596" s="66" t="s">
        <v>1638</v>
      </c>
      <c r="C1596" s="47">
        <v>1003</v>
      </c>
      <c r="D1596" s="47" t="s">
        <v>137</v>
      </c>
      <c r="E1596" s="41">
        <v>10250001</v>
      </c>
      <c r="F1596" s="46" t="s">
        <v>395</v>
      </c>
      <c r="G1596" s="39" t="s">
        <v>92</v>
      </c>
      <c r="H1596" s="48" t="s">
        <v>93</v>
      </c>
      <c r="I1596" s="52">
        <v>1181.1000000000001</v>
      </c>
      <c r="J1596" s="49">
        <v>52772.36</v>
      </c>
      <c r="K1596" s="65">
        <v>1171.5</v>
      </c>
      <c r="L1596" s="65">
        <v>52408.320000000007</v>
      </c>
      <c r="M1596" s="65">
        <v>13.9</v>
      </c>
      <c r="N1596" s="65">
        <v>616.28</v>
      </c>
      <c r="O1596" s="65">
        <v>1185.4000000000001</v>
      </c>
      <c r="P1596" s="65">
        <v>53024.600000000006</v>
      </c>
      <c r="Q1596" s="50">
        <v>52772.36</v>
      </c>
      <c r="R1596" s="65">
        <v>0</v>
      </c>
      <c r="S1596" s="65">
        <v>616.28</v>
      </c>
      <c r="T1596" s="65">
        <v>252.24000000000524</v>
      </c>
      <c r="U1596" s="65">
        <v>0</v>
      </c>
      <c r="V1596" s="65">
        <v>0</v>
      </c>
      <c r="W1596" s="65">
        <v>0</v>
      </c>
      <c r="X1596" s="65">
        <v>52156</v>
      </c>
      <c r="Y1596" s="65">
        <v>0</v>
      </c>
      <c r="Z1596" s="65">
        <v>0</v>
      </c>
      <c r="AA1596" s="51">
        <v>0</v>
      </c>
      <c r="AB1596" s="102">
        <v>0</v>
      </c>
      <c r="AC1596" s="81">
        <f t="shared" si="75"/>
        <v>0</v>
      </c>
      <c r="AD1596" s="82">
        <f t="shared" si="76"/>
        <v>0</v>
      </c>
      <c r="AE1596" s="218">
        <v>-4.779774866994867E-3</v>
      </c>
      <c r="AF1596">
        <v>16</v>
      </c>
      <c r="AH1596" t="str">
        <f t="shared" si="77"/>
        <v>Asarganj</v>
      </c>
      <c r="AJ1596" s="72">
        <v>0</v>
      </c>
      <c r="AK1596" s="72"/>
      <c r="AL1596" s="72"/>
      <c r="AM1596" s="72"/>
    </row>
    <row r="1597" spans="1:39" x14ac:dyDescent="0.25">
      <c r="A1597" s="37" t="s">
        <v>62</v>
      </c>
      <c r="B1597" s="66" t="s">
        <v>1638</v>
      </c>
      <c r="C1597" s="47">
        <v>1003</v>
      </c>
      <c r="D1597" s="47" t="s">
        <v>137</v>
      </c>
      <c r="E1597" s="41">
        <v>10260001</v>
      </c>
      <c r="F1597" s="46" t="s">
        <v>396</v>
      </c>
      <c r="G1597" s="39" t="s">
        <v>92</v>
      </c>
      <c r="H1597" s="48" t="s">
        <v>93</v>
      </c>
      <c r="I1597" s="52">
        <v>1577.45</v>
      </c>
      <c r="J1597" s="49">
        <v>59995.89</v>
      </c>
      <c r="K1597" s="65">
        <v>1573.9</v>
      </c>
      <c r="L1597" s="65">
        <v>68381.36</v>
      </c>
      <c r="M1597" s="65">
        <v>9.5999999999999979</v>
      </c>
      <c r="N1597" s="65">
        <v>413.82</v>
      </c>
      <c r="O1597" s="65">
        <v>1583.5</v>
      </c>
      <c r="P1597" s="65">
        <v>68795.180000000008</v>
      </c>
      <c r="Q1597" s="50">
        <v>59995.89</v>
      </c>
      <c r="R1597" s="65">
        <v>0</v>
      </c>
      <c r="S1597" s="65">
        <v>413.82</v>
      </c>
      <c r="T1597" s="65">
        <v>8799.2900000000081</v>
      </c>
      <c r="U1597" s="65">
        <v>1250</v>
      </c>
      <c r="V1597" s="65">
        <v>0</v>
      </c>
      <c r="W1597" s="65">
        <v>0</v>
      </c>
      <c r="X1597" s="65">
        <v>58332</v>
      </c>
      <c r="Y1597" s="65">
        <v>0</v>
      </c>
      <c r="Z1597" s="65">
        <v>0</v>
      </c>
      <c r="AA1597" s="51">
        <v>0</v>
      </c>
      <c r="AB1597" s="102" t="s">
        <v>68</v>
      </c>
      <c r="AC1597" s="81">
        <f t="shared" si="75"/>
        <v>0</v>
      </c>
      <c r="AD1597" s="82">
        <f t="shared" si="76"/>
        <v>0</v>
      </c>
      <c r="AE1597" s="218">
        <v>-0.1466648798776051</v>
      </c>
      <c r="AF1597">
        <v>15</v>
      </c>
      <c r="AH1597" t="str">
        <f t="shared" si="77"/>
        <v>Asarganj</v>
      </c>
      <c r="AJ1597" s="72">
        <v>0</v>
      </c>
      <c r="AK1597" s="72"/>
      <c r="AL1597" s="72"/>
      <c r="AM1597" s="72"/>
    </row>
    <row r="1598" spans="1:39" x14ac:dyDescent="0.25">
      <c r="A1598" s="37" t="s">
        <v>62</v>
      </c>
      <c r="B1598" s="66" t="s">
        <v>1638</v>
      </c>
      <c r="C1598" s="47">
        <v>1006</v>
      </c>
      <c r="D1598" s="47" t="s">
        <v>179</v>
      </c>
      <c r="E1598" s="41">
        <v>10290001</v>
      </c>
      <c r="F1598" s="46" t="s">
        <v>397</v>
      </c>
      <c r="G1598" s="39" t="s">
        <v>92</v>
      </c>
      <c r="H1598" s="48" t="s">
        <v>93</v>
      </c>
      <c r="I1598" s="52">
        <v>2369.6</v>
      </c>
      <c r="J1598" s="49">
        <v>87731.780000000013</v>
      </c>
      <c r="K1598" s="65">
        <v>238.19999999999996</v>
      </c>
      <c r="L1598" s="65">
        <v>8850.74</v>
      </c>
      <c r="M1598" s="65">
        <v>2204.6999999999998</v>
      </c>
      <c r="N1598" s="65">
        <v>83416.69</v>
      </c>
      <c r="O1598" s="65">
        <v>2442.8999999999996</v>
      </c>
      <c r="P1598" s="65">
        <v>92267.430000000008</v>
      </c>
      <c r="Q1598" s="50">
        <v>87731.780000000013</v>
      </c>
      <c r="R1598" s="65">
        <v>0</v>
      </c>
      <c r="S1598" s="65">
        <v>335.37999999999994</v>
      </c>
      <c r="T1598" s="65">
        <v>4535.6499999999942</v>
      </c>
      <c r="U1598" s="65">
        <v>0</v>
      </c>
      <c r="V1598" s="65">
        <v>0</v>
      </c>
      <c r="W1598" s="65">
        <v>0</v>
      </c>
      <c r="X1598" s="65">
        <v>4314</v>
      </c>
      <c r="Y1598" s="65">
        <v>83082</v>
      </c>
      <c r="Z1598" s="65">
        <v>0</v>
      </c>
      <c r="AA1598" s="51">
        <v>0</v>
      </c>
      <c r="AB1598" s="102">
        <v>0</v>
      </c>
      <c r="AC1598" s="81">
        <f t="shared" si="75"/>
        <v>0</v>
      </c>
      <c r="AD1598" s="82">
        <f t="shared" si="76"/>
        <v>0</v>
      </c>
      <c r="AE1598" s="218">
        <v>-5.1699053638259627E-2</v>
      </c>
      <c r="AF1598">
        <v>14</v>
      </c>
      <c r="AH1598" t="str">
        <f t="shared" si="77"/>
        <v>Sonvarsha</v>
      </c>
      <c r="AJ1598" s="72">
        <v>0</v>
      </c>
      <c r="AK1598" s="72"/>
      <c r="AL1598" s="72"/>
      <c r="AM1598" s="72"/>
    </row>
    <row r="1599" spans="1:39" x14ac:dyDescent="0.25">
      <c r="A1599" s="37" t="s">
        <v>62</v>
      </c>
      <c r="B1599" s="66" t="s">
        <v>1638</v>
      </c>
      <c r="C1599" s="47">
        <v>1006</v>
      </c>
      <c r="D1599" s="47" t="s">
        <v>179</v>
      </c>
      <c r="E1599" s="41">
        <v>10300001</v>
      </c>
      <c r="F1599" s="46" t="s">
        <v>1120</v>
      </c>
      <c r="G1599" s="39" t="s">
        <v>92</v>
      </c>
      <c r="H1599" s="48" t="s">
        <v>98</v>
      </c>
      <c r="I1599" s="52">
        <v>1282.3999999999999</v>
      </c>
      <c r="J1599" s="49">
        <v>54498.71</v>
      </c>
      <c r="K1599" s="65">
        <v>0</v>
      </c>
      <c r="L1599" s="65">
        <v>0</v>
      </c>
      <c r="M1599" s="65">
        <v>0</v>
      </c>
      <c r="N1599" s="65">
        <v>0</v>
      </c>
      <c r="O1599" s="65">
        <v>0</v>
      </c>
      <c r="P1599" s="65">
        <v>0</v>
      </c>
      <c r="Q1599" s="50">
        <v>54498.71</v>
      </c>
      <c r="R1599" s="65">
        <v>0</v>
      </c>
      <c r="S1599" s="65">
        <v>0</v>
      </c>
      <c r="T1599" s="65">
        <v>0</v>
      </c>
      <c r="U1599" s="65">
        <v>0</v>
      </c>
      <c r="V1599" s="65">
        <v>0</v>
      </c>
      <c r="W1599" s="65">
        <v>0</v>
      </c>
      <c r="X1599" s="65">
        <v>0</v>
      </c>
      <c r="Y1599" s="65">
        <v>0</v>
      </c>
      <c r="Z1599" s="65">
        <v>54498.71</v>
      </c>
      <c r="AA1599" s="51">
        <v>0</v>
      </c>
      <c r="AB1599" s="102">
        <v>0</v>
      </c>
      <c r="AC1599" s="81">
        <f t="shared" si="75"/>
        <v>0</v>
      </c>
      <c r="AD1599" s="82">
        <f t="shared" si="76"/>
        <v>0</v>
      </c>
      <c r="AE1599" s="218">
        <v>0</v>
      </c>
      <c r="AF1599">
        <v>0</v>
      </c>
      <c r="AH1599" t="str">
        <f t="shared" si="77"/>
        <v>Sonvarsha</v>
      </c>
      <c r="AJ1599" s="72">
        <v>0</v>
      </c>
      <c r="AK1599" s="72"/>
      <c r="AL1599" s="72"/>
      <c r="AM1599" s="72"/>
    </row>
    <row r="1600" spans="1:39" x14ac:dyDescent="0.25">
      <c r="A1600" s="37" t="s">
        <v>62</v>
      </c>
      <c r="B1600" s="66" t="s">
        <v>1638</v>
      </c>
      <c r="C1600" s="47">
        <v>1006</v>
      </c>
      <c r="D1600" s="47" t="s">
        <v>179</v>
      </c>
      <c r="E1600" s="41">
        <v>10310001</v>
      </c>
      <c r="F1600" s="46" t="s">
        <v>398</v>
      </c>
      <c r="G1600" s="39" t="s">
        <v>92</v>
      </c>
      <c r="H1600" s="48" t="s">
        <v>93</v>
      </c>
      <c r="I1600" s="52">
        <v>886.19999999999993</v>
      </c>
      <c r="J1600" s="49">
        <v>37641.94</v>
      </c>
      <c r="K1600" s="65">
        <v>0</v>
      </c>
      <c r="L1600" s="65">
        <v>0</v>
      </c>
      <c r="M1600" s="65">
        <v>991.2</v>
      </c>
      <c r="N1600" s="65">
        <v>41834.570000000022</v>
      </c>
      <c r="O1600" s="65">
        <v>991.2</v>
      </c>
      <c r="P1600" s="65">
        <v>41834.570000000022</v>
      </c>
      <c r="Q1600" s="50">
        <v>37641.94</v>
      </c>
      <c r="R1600" s="65">
        <v>0</v>
      </c>
      <c r="S1600" s="65">
        <v>261.29000000000002</v>
      </c>
      <c r="T1600" s="65">
        <v>4192.6300000000192</v>
      </c>
      <c r="U1600" s="65">
        <v>0</v>
      </c>
      <c r="V1600" s="65">
        <v>0</v>
      </c>
      <c r="W1600" s="65">
        <v>0</v>
      </c>
      <c r="X1600" s="65">
        <v>0</v>
      </c>
      <c r="Y1600" s="65">
        <v>37381</v>
      </c>
      <c r="Z1600" s="65">
        <v>0</v>
      </c>
      <c r="AA1600" s="51">
        <v>0</v>
      </c>
      <c r="AB1600" s="102" t="s">
        <v>1366</v>
      </c>
      <c r="AC1600" s="81">
        <f t="shared" si="75"/>
        <v>0</v>
      </c>
      <c r="AD1600" s="82">
        <f t="shared" si="76"/>
        <v>0</v>
      </c>
      <c r="AE1600" s="218">
        <v>-0.11138187882983765</v>
      </c>
      <c r="AF1600">
        <v>19</v>
      </c>
      <c r="AH1600" t="str">
        <f t="shared" si="77"/>
        <v>Sonvarsha</v>
      </c>
      <c r="AJ1600" s="72">
        <v>0</v>
      </c>
      <c r="AK1600" s="72"/>
      <c r="AL1600" s="72"/>
      <c r="AM1600" s="72"/>
    </row>
    <row r="1601" spans="1:39" x14ac:dyDescent="0.25">
      <c r="A1601" s="37" t="s">
        <v>62</v>
      </c>
      <c r="B1601" s="66" t="s">
        <v>1638</v>
      </c>
      <c r="C1601" s="47">
        <v>1006</v>
      </c>
      <c r="D1601" s="47" t="s">
        <v>179</v>
      </c>
      <c r="E1601" s="41">
        <v>10320001</v>
      </c>
      <c r="F1601" s="46" t="s">
        <v>399</v>
      </c>
      <c r="G1601" s="39" t="s">
        <v>92</v>
      </c>
      <c r="H1601" s="48" t="s">
        <v>98</v>
      </c>
      <c r="I1601" s="52">
        <v>1782.6000000000001</v>
      </c>
      <c r="J1601" s="49">
        <v>71616.310000000012</v>
      </c>
      <c r="K1601" s="65">
        <v>0</v>
      </c>
      <c r="L1601" s="65">
        <v>0</v>
      </c>
      <c r="M1601" s="65">
        <v>0</v>
      </c>
      <c r="N1601" s="65">
        <v>0</v>
      </c>
      <c r="O1601" s="65">
        <v>0</v>
      </c>
      <c r="P1601" s="65">
        <v>0</v>
      </c>
      <c r="Q1601" s="50">
        <v>71616.310000000012</v>
      </c>
      <c r="R1601" s="65">
        <v>0</v>
      </c>
      <c r="S1601" s="65">
        <v>0</v>
      </c>
      <c r="T1601" s="65">
        <v>0</v>
      </c>
      <c r="U1601" s="65">
        <v>0</v>
      </c>
      <c r="V1601" s="65">
        <v>0</v>
      </c>
      <c r="W1601" s="65">
        <v>0</v>
      </c>
      <c r="X1601" s="65">
        <v>0</v>
      </c>
      <c r="Y1601" s="65">
        <v>0</v>
      </c>
      <c r="Z1601" s="65">
        <v>71616.310000000012</v>
      </c>
      <c r="AA1601" s="51">
        <v>0</v>
      </c>
      <c r="AB1601" s="102">
        <v>0</v>
      </c>
      <c r="AC1601" s="81">
        <f t="shared" ref="AC1601:AC1664" si="78">((IF(AD1601=0,0,100-AD1601))*7*(J1601/I1601))*2%</f>
        <v>0</v>
      </c>
      <c r="AD1601" s="82">
        <f t="shared" ref="AD1601:AD1664" si="79">IF((I1601/7)&gt;100,0,(I1601/7))</f>
        <v>0</v>
      </c>
      <c r="AE1601" s="218">
        <v>0</v>
      </c>
      <c r="AF1601">
        <v>0</v>
      </c>
      <c r="AH1601" t="str">
        <f t="shared" si="77"/>
        <v>Sonvarsha</v>
      </c>
      <c r="AJ1601" s="72">
        <v>0</v>
      </c>
      <c r="AK1601" s="72"/>
      <c r="AL1601" s="72"/>
      <c r="AM1601" s="72"/>
    </row>
    <row r="1602" spans="1:39" x14ac:dyDescent="0.25">
      <c r="A1602" s="37" t="s">
        <v>62</v>
      </c>
      <c r="B1602" s="66" t="s">
        <v>1638</v>
      </c>
      <c r="C1602" s="47">
        <v>1006</v>
      </c>
      <c r="D1602" s="47" t="s">
        <v>179</v>
      </c>
      <c r="E1602" s="41">
        <v>10330001</v>
      </c>
      <c r="F1602" s="46" t="s">
        <v>1180</v>
      </c>
      <c r="G1602" s="39" t="s">
        <v>92</v>
      </c>
      <c r="H1602" s="48" t="s">
        <v>98</v>
      </c>
      <c r="I1602" s="52">
        <v>3131.2000000000003</v>
      </c>
      <c r="J1602" s="49">
        <v>124105.26000000001</v>
      </c>
      <c r="K1602" s="65">
        <v>0</v>
      </c>
      <c r="L1602" s="65">
        <v>0</v>
      </c>
      <c r="M1602" s="65">
        <v>0</v>
      </c>
      <c r="N1602" s="65">
        <v>0</v>
      </c>
      <c r="O1602" s="65">
        <v>0</v>
      </c>
      <c r="P1602" s="65">
        <v>0</v>
      </c>
      <c r="Q1602" s="50">
        <v>124105.26000000001</v>
      </c>
      <c r="R1602" s="65">
        <v>0</v>
      </c>
      <c r="S1602" s="65">
        <v>0</v>
      </c>
      <c r="T1602" s="65">
        <v>0</v>
      </c>
      <c r="U1602" s="65">
        <v>0</v>
      </c>
      <c r="V1602" s="65">
        <v>0</v>
      </c>
      <c r="W1602" s="65">
        <v>0</v>
      </c>
      <c r="X1602" s="65">
        <v>0</v>
      </c>
      <c r="Y1602" s="65">
        <v>0</v>
      </c>
      <c r="Z1602" s="65">
        <v>124105.26000000001</v>
      </c>
      <c r="AA1602" s="51">
        <v>0</v>
      </c>
      <c r="AB1602" s="102">
        <v>0</v>
      </c>
      <c r="AC1602" s="81">
        <f t="shared" si="78"/>
        <v>0</v>
      </c>
      <c r="AD1602" s="82">
        <f t="shared" si="79"/>
        <v>0</v>
      </c>
      <c r="AE1602" s="218">
        <v>0</v>
      </c>
      <c r="AF1602">
        <v>0</v>
      </c>
      <c r="AH1602" t="str">
        <f t="shared" si="77"/>
        <v>Sonvarsha</v>
      </c>
      <c r="AJ1602" s="72">
        <v>0</v>
      </c>
      <c r="AK1602" s="72"/>
      <c r="AL1602" s="72"/>
      <c r="AM1602" s="72"/>
    </row>
    <row r="1603" spans="1:39" x14ac:dyDescent="0.25">
      <c r="A1603" s="37" t="s">
        <v>62</v>
      </c>
      <c r="B1603" s="66" t="s">
        <v>1638</v>
      </c>
      <c r="C1603" s="47">
        <v>1006</v>
      </c>
      <c r="D1603" s="47" t="s">
        <v>179</v>
      </c>
      <c r="E1603" s="41">
        <v>10340001</v>
      </c>
      <c r="F1603" s="46" t="s">
        <v>400</v>
      </c>
      <c r="G1603" s="39" t="s">
        <v>92</v>
      </c>
      <c r="H1603" s="48" t="s">
        <v>98</v>
      </c>
      <c r="I1603" s="52">
        <v>1456</v>
      </c>
      <c r="J1603" s="49">
        <v>56729.639999999992</v>
      </c>
      <c r="K1603" s="65">
        <v>0</v>
      </c>
      <c r="L1603" s="65">
        <v>0</v>
      </c>
      <c r="M1603" s="65">
        <v>0</v>
      </c>
      <c r="N1603" s="65">
        <v>0</v>
      </c>
      <c r="O1603" s="65">
        <v>0</v>
      </c>
      <c r="P1603" s="65">
        <v>0</v>
      </c>
      <c r="Q1603" s="50">
        <v>56729.639999999992</v>
      </c>
      <c r="R1603" s="65">
        <v>0</v>
      </c>
      <c r="S1603" s="65">
        <v>0</v>
      </c>
      <c r="T1603" s="65">
        <v>0</v>
      </c>
      <c r="U1603" s="65">
        <v>0</v>
      </c>
      <c r="V1603" s="65">
        <v>0</v>
      </c>
      <c r="W1603" s="65">
        <v>0</v>
      </c>
      <c r="X1603" s="65">
        <v>0</v>
      </c>
      <c r="Y1603" s="65">
        <v>0</v>
      </c>
      <c r="Z1603" s="65">
        <v>56729.639999999992</v>
      </c>
      <c r="AA1603" s="51">
        <v>0</v>
      </c>
      <c r="AB1603" s="102">
        <v>0</v>
      </c>
      <c r="AC1603" s="81">
        <f t="shared" si="78"/>
        <v>0</v>
      </c>
      <c r="AD1603" s="82">
        <f t="shared" si="79"/>
        <v>0</v>
      </c>
      <c r="AE1603" s="218">
        <v>0</v>
      </c>
      <c r="AF1603">
        <v>0</v>
      </c>
      <c r="AH1603" t="str">
        <f t="shared" si="77"/>
        <v>Sonvarsha</v>
      </c>
      <c r="AJ1603" s="72">
        <v>0</v>
      </c>
      <c r="AK1603" s="72"/>
      <c r="AL1603" s="72"/>
      <c r="AM1603" s="72"/>
    </row>
    <row r="1604" spans="1:39" x14ac:dyDescent="0.25">
      <c r="A1604" s="37" t="s">
        <v>62</v>
      </c>
      <c r="B1604" s="66" t="s">
        <v>1638</v>
      </c>
      <c r="C1604" s="47">
        <v>1006</v>
      </c>
      <c r="D1604" s="47" t="s">
        <v>179</v>
      </c>
      <c r="E1604" s="41">
        <v>10350001</v>
      </c>
      <c r="F1604" s="46" t="s">
        <v>401</v>
      </c>
      <c r="G1604" s="39" t="s">
        <v>92</v>
      </c>
      <c r="H1604" s="48" t="s">
        <v>93</v>
      </c>
      <c r="I1604" s="52">
        <v>1718.3000000000002</v>
      </c>
      <c r="J1604" s="49">
        <v>67513.290000000008</v>
      </c>
      <c r="K1604" s="65">
        <v>1832.4</v>
      </c>
      <c r="L1604" s="65">
        <v>70285.77</v>
      </c>
      <c r="M1604" s="65">
        <v>19.100000000000001</v>
      </c>
      <c r="N1604" s="65">
        <v>674.42</v>
      </c>
      <c r="O1604" s="65">
        <v>1851.5</v>
      </c>
      <c r="P1604" s="65">
        <v>70960.19</v>
      </c>
      <c r="Q1604" s="50">
        <v>67513.290000000008</v>
      </c>
      <c r="R1604" s="65">
        <v>0</v>
      </c>
      <c r="S1604" s="65">
        <v>674.42</v>
      </c>
      <c r="T1604" s="65">
        <v>3446.8999999999942</v>
      </c>
      <c r="U1604" s="65">
        <v>0</v>
      </c>
      <c r="V1604" s="65">
        <v>0</v>
      </c>
      <c r="W1604" s="65">
        <v>0</v>
      </c>
      <c r="X1604" s="65">
        <v>66839</v>
      </c>
      <c r="Y1604" s="65">
        <v>0</v>
      </c>
      <c r="Z1604" s="65">
        <v>0</v>
      </c>
      <c r="AA1604" s="51">
        <v>0</v>
      </c>
      <c r="AB1604" s="102">
        <v>0</v>
      </c>
      <c r="AC1604" s="81">
        <f t="shared" si="78"/>
        <v>0</v>
      </c>
      <c r="AD1604" s="82">
        <f t="shared" si="79"/>
        <v>0</v>
      </c>
      <c r="AE1604" s="218">
        <v>-5.1055132996777282E-2</v>
      </c>
      <c r="AF1604">
        <v>19</v>
      </c>
      <c r="AH1604" t="str">
        <f t="shared" si="77"/>
        <v>Sonvarsha</v>
      </c>
      <c r="AJ1604" s="72">
        <v>0</v>
      </c>
      <c r="AK1604" s="72"/>
      <c r="AL1604" s="72"/>
      <c r="AM1604" s="72"/>
    </row>
    <row r="1605" spans="1:39" x14ac:dyDescent="0.25">
      <c r="A1605" s="37" t="s">
        <v>62</v>
      </c>
      <c r="B1605" s="66" t="s">
        <v>1638</v>
      </c>
      <c r="C1605" s="47">
        <v>1036</v>
      </c>
      <c r="D1605" s="47" t="s">
        <v>402</v>
      </c>
      <c r="E1605" s="41">
        <v>10360001</v>
      </c>
      <c r="F1605" s="46" t="s">
        <v>402</v>
      </c>
      <c r="G1605" s="39" t="s">
        <v>92</v>
      </c>
      <c r="H1605" s="48" t="s">
        <v>93</v>
      </c>
      <c r="I1605" s="52">
        <v>2406.2000000000003</v>
      </c>
      <c r="J1605" s="49">
        <v>93233.340000000011</v>
      </c>
      <c r="K1605" s="65">
        <v>2365.4</v>
      </c>
      <c r="L1605" s="65">
        <v>91689.170000000013</v>
      </c>
      <c r="M1605" s="65">
        <v>40.799999999999997</v>
      </c>
      <c r="N1605" s="65">
        <v>1544.17</v>
      </c>
      <c r="O1605" s="65">
        <v>2406.2000000000003</v>
      </c>
      <c r="P1605" s="65">
        <v>93233.340000000011</v>
      </c>
      <c r="Q1605" s="50">
        <v>93233.340000000011</v>
      </c>
      <c r="R1605" s="65">
        <v>0</v>
      </c>
      <c r="S1605" s="65">
        <v>1544.17</v>
      </c>
      <c r="T1605" s="65">
        <v>0</v>
      </c>
      <c r="U1605" s="65">
        <v>0</v>
      </c>
      <c r="V1605" s="65">
        <v>0</v>
      </c>
      <c r="W1605" s="65">
        <v>0</v>
      </c>
      <c r="X1605" s="65">
        <v>91689</v>
      </c>
      <c r="Y1605" s="65">
        <v>0</v>
      </c>
      <c r="Z1605" s="65">
        <v>0</v>
      </c>
      <c r="AA1605" s="51">
        <v>0</v>
      </c>
      <c r="AB1605" s="102">
        <v>0</v>
      </c>
      <c r="AC1605" s="81">
        <f t="shared" si="78"/>
        <v>0</v>
      </c>
      <c r="AD1605" s="82">
        <f t="shared" si="79"/>
        <v>0</v>
      </c>
      <c r="AE1605" s="218">
        <v>0</v>
      </c>
      <c r="AF1605">
        <v>13</v>
      </c>
      <c r="AH1605" t="str">
        <f t="shared" si="77"/>
        <v>MAHADAT PUR 2</v>
      </c>
      <c r="AJ1605" s="72">
        <v>0</v>
      </c>
      <c r="AK1605" s="72"/>
      <c r="AL1605" s="72"/>
      <c r="AM1605" s="72"/>
    </row>
    <row r="1606" spans="1:39" x14ac:dyDescent="0.25">
      <c r="A1606" s="37" t="s">
        <v>62</v>
      </c>
      <c r="B1606" s="66" t="s">
        <v>1638</v>
      </c>
      <c r="C1606" s="47">
        <v>1007</v>
      </c>
      <c r="D1606" s="47" t="s">
        <v>203</v>
      </c>
      <c r="E1606" s="41">
        <v>10380001</v>
      </c>
      <c r="F1606" s="46" t="s">
        <v>403</v>
      </c>
      <c r="G1606" s="39" t="s">
        <v>92</v>
      </c>
      <c r="H1606" s="48" t="s">
        <v>93</v>
      </c>
      <c r="I1606" s="52">
        <v>708</v>
      </c>
      <c r="J1606" s="49">
        <v>25437.86</v>
      </c>
      <c r="K1606" s="65">
        <v>624</v>
      </c>
      <c r="L1606" s="65">
        <v>22382.329999999998</v>
      </c>
      <c r="M1606" s="65">
        <v>85</v>
      </c>
      <c r="N1606" s="65">
        <v>3091.9500000000003</v>
      </c>
      <c r="O1606" s="65">
        <v>709</v>
      </c>
      <c r="P1606" s="65">
        <v>25474.28</v>
      </c>
      <c r="Q1606" s="50">
        <v>25437.86</v>
      </c>
      <c r="R1606" s="65">
        <v>0</v>
      </c>
      <c r="S1606" s="65">
        <v>178.35000000000002</v>
      </c>
      <c r="T1606" s="65">
        <v>36.419999999998254</v>
      </c>
      <c r="U1606" s="65">
        <v>0</v>
      </c>
      <c r="V1606" s="65">
        <v>0</v>
      </c>
      <c r="W1606" s="65">
        <v>0</v>
      </c>
      <c r="X1606" s="65">
        <v>22348</v>
      </c>
      <c r="Y1606" s="65">
        <v>2912</v>
      </c>
      <c r="Z1606" s="65">
        <v>0</v>
      </c>
      <c r="AA1606" s="51">
        <v>0</v>
      </c>
      <c r="AB1606" s="102">
        <v>0</v>
      </c>
      <c r="AC1606" s="81">
        <f t="shared" si="78"/>
        <v>0</v>
      </c>
      <c r="AD1606" s="82">
        <f t="shared" si="79"/>
        <v>0</v>
      </c>
      <c r="AE1606" s="218">
        <v>-1.4317242095049762E-3</v>
      </c>
      <c r="AF1606">
        <v>12</v>
      </c>
      <c r="AH1606" t="str">
        <f t="shared" si="77"/>
        <v>Araria</v>
      </c>
      <c r="AJ1606" s="72">
        <v>0</v>
      </c>
      <c r="AK1606" s="72"/>
      <c r="AL1606" s="72"/>
      <c r="AM1606" s="72"/>
    </row>
    <row r="1607" spans="1:39" x14ac:dyDescent="0.25">
      <c r="A1607" s="37" t="s">
        <v>62</v>
      </c>
      <c r="B1607" s="66" t="s">
        <v>1638</v>
      </c>
      <c r="C1607" s="47">
        <v>1007</v>
      </c>
      <c r="D1607" s="47" t="s">
        <v>203</v>
      </c>
      <c r="E1607" s="41">
        <v>10390001</v>
      </c>
      <c r="F1607" s="46" t="s">
        <v>489</v>
      </c>
      <c r="G1607" s="39" t="s">
        <v>1610</v>
      </c>
      <c r="H1607" s="48" t="s">
        <v>98</v>
      </c>
      <c r="I1607" s="52">
        <v>496</v>
      </c>
      <c r="J1607" s="49">
        <v>17967.3</v>
      </c>
      <c r="K1607" s="65">
        <v>400</v>
      </c>
      <c r="L1607" s="65">
        <v>14484</v>
      </c>
      <c r="M1607" s="65">
        <v>0</v>
      </c>
      <c r="N1607" s="65">
        <v>0</v>
      </c>
      <c r="O1607" s="65">
        <v>400</v>
      </c>
      <c r="P1607" s="65">
        <v>14484</v>
      </c>
      <c r="Q1607" s="50">
        <v>17967.3</v>
      </c>
      <c r="R1607" s="65">
        <v>0</v>
      </c>
      <c r="S1607" s="65">
        <v>28.97</v>
      </c>
      <c r="T1607" s="65">
        <v>0</v>
      </c>
      <c r="U1607" s="65">
        <v>0</v>
      </c>
      <c r="V1607" s="65">
        <v>0</v>
      </c>
      <c r="W1607" s="65">
        <v>0</v>
      </c>
      <c r="X1607" s="65">
        <v>0</v>
      </c>
      <c r="Y1607" s="65">
        <v>0</v>
      </c>
      <c r="Z1607" s="65">
        <v>17938.329999999998</v>
      </c>
      <c r="AA1607" s="51">
        <v>0</v>
      </c>
      <c r="AB1607" s="102">
        <v>0</v>
      </c>
      <c r="AC1607" s="81">
        <f t="shared" si="78"/>
        <v>147.7955322580645</v>
      </c>
      <c r="AD1607" s="82">
        <f t="shared" si="79"/>
        <v>70.857142857142861</v>
      </c>
      <c r="AE1607" s="218">
        <v>0</v>
      </c>
      <c r="AF1607">
        <v>13</v>
      </c>
      <c r="AH1607" t="str">
        <f t="shared" si="77"/>
        <v>Araria</v>
      </c>
      <c r="AJ1607" s="72">
        <v>0</v>
      </c>
      <c r="AK1607" s="72"/>
      <c r="AL1607" s="72"/>
      <c r="AM1607" s="72"/>
    </row>
    <row r="1608" spans="1:39" x14ac:dyDescent="0.25">
      <c r="A1608" s="37" t="s">
        <v>62</v>
      </c>
      <c r="B1608" s="66" t="s">
        <v>1638</v>
      </c>
      <c r="C1608" s="47">
        <v>1007</v>
      </c>
      <c r="D1608" s="47" t="s">
        <v>203</v>
      </c>
      <c r="E1608" s="41">
        <v>10400001</v>
      </c>
      <c r="F1608" s="46" t="s">
        <v>404</v>
      </c>
      <c r="G1608" s="39" t="s">
        <v>92</v>
      </c>
      <c r="H1608" s="48" t="s">
        <v>93</v>
      </c>
      <c r="I1608" s="52">
        <v>1599</v>
      </c>
      <c r="J1608" s="49">
        <v>55565.25</v>
      </c>
      <c r="K1608" s="65">
        <v>1438</v>
      </c>
      <c r="L1608" s="65">
        <v>49969.24</v>
      </c>
      <c r="M1608" s="65">
        <v>161</v>
      </c>
      <c r="N1608" s="65">
        <v>5594.75</v>
      </c>
      <c r="O1608" s="65">
        <v>1599</v>
      </c>
      <c r="P1608" s="65">
        <v>55563.99</v>
      </c>
      <c r="Q1608" s="50">
        <v>55563.99</v>
      </c>
      <c r="R1608" s="65">
        <v>0</v>
      </c>
      <c r="S1608" s="65">
        <v>243.25</v>
      </c>
      <c r="T1608" s="65">
        <v>0</v>
      </c>
      <c r="U1608" s="65">
        <v>0</v>
      </c>
      <c r="V1608" s="65">
        <v>0</v>
      </c>
      <c r="W1608" s="65">
        <v>0</v>
      </c>
      <c r="X1608" s="65">
        <v>49970</v>
      </c>
      <c r="Y1608" s="65">
        <v>5352</v>
      </c>
      <c r="Z1608" s="65">
        <v>0</v>
      </c>
      <c r="AA1608" s="51">
        <v>0</v>
      </c>
      <c r="AB1608" s="102">
        <v>0</v>
      </c>
      <c r="AC1608" s="81">
        <f t="shared" si="78"/>
        <v>0</v>
      </c>
      <c r="AD1608" s="82">
        <f t="shared" si="79"/>
        <v>0</v>
      </c>
      <c r="AE1608" s="218">
        <v>2.2676043030527845E-5</v>
      </c>
      <c r="AF1608">
        <v>16</v>
      </c>
      <c r="AH1608" t="str">
        <f t="shared" si="77"/>
        <v>Araria</v>
      </c>
      <c r="AJ1608" s="72">
        <v>0</v>
      </c>
      <c r="AK1608" s="72"/>
      <c r="AL1608" s="72"/>
      <c r="AM1608" s="72"/>
    </row>
    <row r="1609" spans="1:39" x14ac:dyDescent="0.25">
      <c r="A1609" s="37" t="s">
        <v>62</v>
      </c>
      <c r="B1609" s="66" t="s">
        <v>1638</v>
      </c>
      <c r="C1609" s="47">
        <v>1007</v>
      </c>
      <c r="D1609" s="47" t="s">
        <v>203</v>
      </c>
      <c r="E1609" s="41">
        <v>10410001</v>
      </c>
      <c r="F1609" s="46" t="s">
        <v>405</v>
      </c>
      <c r="G1609" s="39" t="s">
        <v>92</v>
      </c>
      <c r="H1609" s="48" t="s">
        <v>93</v>
      </c>
      <c r="I1609" s="52">
        <v>3584</v>
      </c>
      <c r="J1609" s="49">
        <v>122366.6</v>
      </c>
      <c r="K1609" s="65">
        <v>646</v>
      </c>
      <c r="L1609" s="65">
        <v>21981.1</v>
      </c>
      <c r="M1609" s="65">
        <v>2944</v>
      </c>
      <c r="N1609" s="65">
        <v>100590.2</v>
      </c>
      <c r="O1609" s="65">
        <v>3590</v>
      </c>
      <c r="P1609" s="65">
        <v>122571.29999999999</v>
      </c>
      <c r="Q1609" s="50">
        <v>122366.6</v>
      </c>
      <c r="R1609" s="65">
        <v>0</v>
      </c>
      <c r="S1609" s="65">
        <v>204.7</v>
      </c>
      <c r="T1609" s="65">
        <v>204.69999999998254</v>
      </c>
      <c r="U1609" s="65">
        <v>0</v>
      </c>
      <c r="V1609" s="65">
        <v>0</v>
      </c>
      <c r="W1609" s="65">
        <v>0</v>
      </c>
      <c r="X1609" s="65">
        <v>21777</v>
      </c>
      <c r="Y1609" s="65">
        <v>100385</v>
      </c>
      <c r="Z1609" s="65">
        <v>0</v>
      </c>
      <c r="AA1609" s="51">
        <v>0</v>
      </c>
      <c r="AB1609" s="102">
        <v>0</v>
      </c>
      <c r="AC1609" s="81">
        <f t="shared" si="78"/>
        <v>0</v>
      </c>
      <c r="AD1609" s="82">
        <f t="shared" si="79"/>
        <v>0</v>
      </c>
      <c r="AE1609" s="218">
        <v>-1.6728420990693746E-3</v>
      </c>
      <c r="AF1609">
        <v>17</v>
      </c>
      <c r="AH1609" t="str">
        <f t="shared" si="77"/>
        <v>Araria</v>
      </c>
      <c r="AJ1609" s="72">
        <v>0</v>
      </c>
      <c r="AK1609" s="72"/>
      <c r="AL1609" s="72"/>
      <c r="AM1609" s="72"/>
    </row>
    <row r="1610" spans="1:39" x14ac:dyDescent="0.25">
      <c r="A1610" s="37" t="s">
        <v>62</v>
      </c>
      <c r="B1610" s="66" t="s">
        <v>1638</v>
      </c>
      <c r="C1610" s="47">
        <v>1011</v>
      </c>
      <c r="D1610" s="47" t="s">
        <v>281</v>
      </c>
      <c r="E1610" s="41">
        <v>10430001</v>
      </c>
      <c r="F1610" s="46" t="s">
        <v>1238</v>
      </c>
      <c r="G1610" s="39" t="s">
        <v>92</v>
      </c>
      <c r="H1610" s="48" t="s">
        <v>93</v>
      </c>
      <c r="I1610" s="52">
        <v>453.30000000000007</v>
      </c>
      <c r="J1610" s="49">
        <v>17663.100000000002</v>
      </c>
      <c r="K1610" s="65">
        <v>453</v>
      </c>
      <c r="L1610" s="65">
        <v>17630.759999999998</v>
      </c>
      <c r="M1610" s="65">
        <v>0</v>
      </c>
      <c r="N1610" s="65">
        <v>0</v>
      </c>
      <c r="O1610" s="65">
        <v>453</v>
      </c>
      <c r="P1610" s="65">
        <v>17630.759999999998</v>
      </c>
      <c r="Q1610" s="50">
        <v>17630.759999999998</v>
      </c>
      <c r="R1610" s="65">
        <v>0</v>
      </c>
      <c r="S1610" s="65">
        <v>0</v>
      </c>
      <c r="T1610" s="65">
        <v>0</v>
      </c>
      <c r="U1610" s="65">
        <v>1350</v>
      </c>
      <c r="V1610" s="65">
        <v>0</v>
      </c>
      <c r="W1610" s="65">
        <v>0</v>
      </c>
      <c r="X1610" s="65">
        <v>16281</v>
      </c>
      <c r="Y1610" s="65">
        <v>0</v>
      </c>
      <c r="Z1610" s="65">
        <v>0</v>
      </c>
      <c r="AA1610" s="51">
        <v>32</v>
      </c>
      <c r="AB1610" s="102">
        <v>0</v>
      </c>
      <c r="AC1610" s="81">
        <f t="shared" si="78"/>
        <v>192.25619986763726</v>
      </c>
      <c r="AD1610" s="82">
        <f t="shared" si="79"/>
        <v>64.757142857142867</v>
      </c>
      <c r="AE1610" s="218">
        <v>1.8309356794675782E-3</v>
      </c>
      <c r="AF1610">
        <v>1</v>
      </c>
      <c r="AH1610" t="str">
        <f t="shared" si="77"/>
        <v>Sahibpur Kamal</v>
      </c>
      <c r="AJ1610" s="72">
        <v>0</v>
      </c>
      <c r="AK1610" s="72"/>
      <c r="AL1610" s="72"/>
      <c r="AM1610" s="72"/>
    </row>
    <row r="1611" spans="1:39" x14ac:dyDescent="0.25">
      <c r="A1611" s="37" t="s">
        <v>62</v>
      </c>
      <c r="B1611" s="66" t="s">
        <v>1638</v>
      </c>
      <c r="C1611" s="47">
        <v>1011</v>
      </c>
      <c r="D1611" s="47" t="s">
        <v>281</v>
      </c>
      <c r="E1611" s="41">
        <v>10440001</v>
      </c>
      <c r="F1611" s="46" t="s">
        <v>406</v>
      </c>
      <c r="G1611" s="39" t="s">
        <v>92</v>
      </c>
      <c r="H1611" s="48" t="s">
        <v>93</v>
      </c>
      <c r="I1611" s="52">
        <v>110.3</v>
      </c>
      <c r="J1611" s="49">
        <v>3766.2799999999997</v>
      </c>
      <c r="K1611" s="65">
        <v>120.99999999999999</v>
      </c>
      <c r="L1611" s="65">
        <v>4600.2699999999995</v>
      </c>
      <c r="M1611" s="65">
        <v>0</v>
      </c>
      <c r="N1611" s="65">
        <v>0</v>
      </c>
      <c r="O1611" s="65">
        <v>120.99999999999999</v>
      </c>
      <c r="P1611" s="65">
        <v>4600.2699999999995</v>
      </c>
      <c r="Q1611" s="50">
        <v>3766.2799999999997</v>
      </c>
      <c r="R1611" s="65">
        <v>0</v>
      </c>
      <c r="S1611" s="65">
        <v>0</v>
      </c>
      <c r="T1611" s="65">
        <v>833.98999999999978</v>
      </c>
      <c r="U1611" s="65">
        <v>0</v>
      </c>
      <c r="V1611" s="65">
        <v>0</v>
      </c>
      <c r="W1611" s="65">
        <v>0</v>
      </c>
      <c r="X1611" s="65">
        <v>3766</v>
      </c>
      <c r="Y1611" s="65">
        <v>0</v>
      </c>
      <c r="Z1611" s="65">
        <v>0</v>
      </c>
      <c r="AA1611" s="51">
        <v>0</v>
      </c>
      <c r="AB1611" s="102" t="s">
        <v>1366</v>
      </c>
      <c r="AC1611" s="81">
        <f t="shared" si="78"/>
        <v>402.71537914777883</v>
      </c>
      <c r="AD1611" s="82">
        <f t="shared" si="79"/>
        <v>15.757142857142856</v>
      </c>
      <c r="AE1611" s="218">
        <v>-0.22143600582006645</v>
      </c>
      <c r="AF1611">
        <v>2</v>
      </c>
      <c r="AH1611" t="str">
        <f t="shared" si="77"/>
        <v>Sahibpur Kamal</v>
      </c>
      <c r="AJ1611" s="72">
        <v>0</v>
      </c>
      <c r="AK1611" s="72"/>
      <c r="AL1611" s="72"/>
      <c r="AM1611" s="72"/>
    </row>
    <row r="1612" spans="1:39" x14ac:dyDescent="0.25">
      <c r="A1612" s="37" t="s">
        <v>62</v>
      </c>
      <c r="B1612" s="66" t="s">
        <v>1638</v>
      </c>
      <c r="C1612" s="47">
        <v>1003</v>
      </c>
      <c r="D1612" s="47" t="s">
        <v>137</v>
      </c>
      <c r="E1612" s="41">
        <v>10460001</v>
      </c>
      <c r="F1612" s="46" t="s">
        <v>407</v>
      </c>
      <c r="G1612" s="39" t="s">
        <v>92</v>
      </c>
      <c r="H1612" s="48" t="s">
        <v>93</v>
      </c>
      <c r="I1612" s="52">
        <v>584.6</v>
      </c>
      <c r="J1612" s="49">
        <v>20502.129999999997</v>
      </c>
      <c r="K1612" s="65">
        <v>585.50000000000011</v>
      </c>
      <c r="L1612" s="65">
        <v>21684.38</v>
      </c>
      <c r="M1612" s="65">
        <v>1.6</v>
      </c>
      <c r="N1612" s="65">
        <v>59.199999999999996</v>
      </c>
      <c r="O1612" s="65">
        <v>587.10000000000014</v>
      </c>
      <c r="P1612" s="65">
        <v>21743.58</v>
      </c>
      <c r="Q1612" s="50">
        <v>20502.129999999997</v>
      </c>
      <c r="R1612" s="65">
        <v>0</v>
      </c>
      <c r="S1612" s="65">
        <v>59.199999999999996</v>
      </c>
      <c r="T1612" s="65">
        <v>1241.4500000000044</v>
      </c>
      <c r="U1612" s="65">
        <v>0</v>
      </c>
      <c r="V1612" s="65">
        <v>0</v>
      </c>
      <c r="W1612" s="65">
        <v>0</v>
      </c>
      <c r="X1612" s="65">
        <v>20443</v>
      </c>
      <c r="Y1612" s="65">
        <v>0</v>
      </c>
      <c r="Z1612" s="65">
        <v>0</v>
      </c>
      <c r="AA1612" s="51">
        <v>0</v>
      </c>
      <c r="AB1612" s="102">
        <v>0</v>
      </c>
      <c r="AC1612" s="81">
        <f t="shared" si="78"/>
        <v>80.942381183715327</v>
      </c>
      <c r="AD1612" s="82">
        <f t="shared" si="79"/>
        <v>83.51428571428572</v>
      </c>
      <c r="AE1612" s="218">
        <v>-6.0552245059415997E-2</v>
      </c>
      <c r="AF1612">
        <v>9</v>
      </c>
      <c r="AH1612" t="str">
        <f t="shared" si="77"/>
        <v>Asarganj</v>
      </c>
      <c r="AJ1612" s="72">
        <v>0</v>
      </c>
      <c r="AK1612" s="72"/>
      <c r="AL1612" s="72"/>
      <c r="AM1612" s="72"/>
    </row>
    <row r="1613" spans="1:39" x14ac:dyDescent="0.25">
      <c r="A1613" s="37" t="s">
        <v>62</v>
      </c>
      <c r="B1613" s="66" t="s">
        <v>1638</v>
      </c>
      <c r="C1613" s="47">
        <v>1003</v>
      </c>
      <c r="D1613" s="47" t="s">
        <v>137</v>
      </c>
      <c r="E1613" s="41">
        <v>10460002</v>
      </c>
      <c r="F1613" s="46" t="s">
        <v>408</v>
      </c>
      <c r="G1613" s="39" t="s">
        <v>92</v>
      </c>
      <c r="H1613" s="48" t="s">
        <v>93</v>
      </c>
      <c r="I1613" s="52">
        <v>793.75</v>
      </c>
      <c r="J1613" s="49">
        <v>25717.849999999995</v>
      </c>
      <c r="K1613" s="65">
        <v>790.59999999999991</v>
      </c>
      <c r="L1613" s="65">
        <v>26771.58</v>
      </c>
      <c r="M1613" s="65">
        <v>3.8</v>
      </c>
      <c r="N1613" s="65">
        <v>133.12</v>
      </c>
      <c r="O1613" s="65">
        <v>794.39999999999986</v>
      </c>
      <c r="P1613" s="65">
        <v>26904.7</v>
      </c>
      <c r="Q1613" s="50">
        <v>25717.849999999995</v>
      </c>
      <c r="R1613" s="65">
        <v>0</v>
      </c>
      <c r="S1613" s="65">
        <v>61.94</v>
      </c>
      <c r="T1613" s="65">
        <v>1186.8500000000058</v>
      </c>
      <c r="U1613" s="65">
        <v>0</v>
      </c>
      <c r="V1613" s="65">
        <v>0</v>
      </c>
      <c r="W1613" s="65">
        <v>0</v>
      </c>
      <c r="X1613" s="65">
        <v>25585</v>
      </c>
      <c r="Y1613" s="65">
        <v>71</v>
      </c>
      <c r="Z1613" s="65">
        <v>0</v>
      </c>
      <c r="AA1613" s="51">
        <v>0</v>
      </c>
      <c r="AB1613" s="102">
        <v>0</v>
      </c>
      <c r="AC1613" s="81">
        <f t="shared" si="78"/>
        <v>0</v>
      </c>
      <c r="AD1613" s="82">
        <f t="shared" si="79"/>
        <v>0</v>
      </c>
      <c r="AE1613" s="218">
        <v>-4.6148881030101896E-2</v>
      </c>
      <c r="AF1613">
        <v>5</v>
      </c>
      <c r="AH1613" t="str">
        <f t="shared" si="77"/>
        <v>Asarganj</v>
      </c>
      <c r="AJ1613" s="72">
        <v>0</v>
      </c>
      <c r="AK1613" s="72"/>
      <c r="AL1613" s="72"/>
      <c r="AM1613" s="72"/>
    </row>
    <row r="1614" spans="1:39" x14ac:dyDescent="0.25">
      <c r="A1614" s="37" t="s">
        <v>62</v>
      </c>
      <c r="B1614" s="66" t="s">
        <v>1638</v>
      </c>
      <c r="C1614" s="47">
        <v>1036</v>
      </c>
      <c r="D1614" s="47" t="s">
        <v>402</v>
      </c>
      <c r="E1614" s="41">
        <v>10480001</v>
      </c>
      <c r="F1614" s="46" t="s">
        <v>409</v>
      </c>
      <c r="G1614" s="39" t="s">
        <v>92</v>
      </c>
      <c r="H1614" s="48" t="s">
        <v>93</v>
      </c>
      <c r="I1614" s="52">
        <v>346.8</v>
      </c>
      <c r="J1614" s="49">
        <v>13106.91</v>
      </c>
      <c r="K1614" s="65">
        <v>345.84999999999997</v>
      </c>
      <c r="L1614" s="65">
        <v>13278.22</v>
      </c>
      <c r="M1614" s="65">
        <v>3.0999999999999996</v>
      </c>
      <c r="N1614" s="65">
        <v>118.35</v>
      </c>
      <c r="O1614" s="65">
        <v>348.95</v>
      </c>
      <c r="P1614" s="65">
        <v>13396.57</v>
      </c>
      <c r="Q1614" s="50">
        <v>13106.91</v>
      </c>
      <c r="R1614" s="65">
        <v>0</v>
      </c>
      <c r="S1614" s="65">
        <v>118.35</v>
      </c>
      <c r="T1614" s="65">
        <v>289.65999999999985</v>
      </c>
      <c r="U1614" s="65">
        <v>0</v>
      </c>
      <c r="V1614" s="65">
        <v>0</v>
      </c>
      <c r="W1614" s="65">
        <v>0</v>
      </c>
      <c r="X1614" s="65">
        <v>12989</v>
      </c>
      <c r="Y1614" s="65">
        <v>0</v>
      </c>
      <c r="Z1614" s="65">
        <v>0</v>
      </c>
      <c r="AA1614" s="51">
        <v>0</v>
      </c>
      <c r="AB1614" s="102">
        <v>0</v>
      </c>
      <c r="AC1614" s="81">
        <f t="shared" si="78"/>
        <v>266.97581384083043</v>
      </c>
      <c r="AD1614" s="82">
        <f t="shared" si="79"/>
        <v>49.542857142857144</v>
      </c>
      <c r="AE1614" s="218">
        <v>-2.2099793162537917E-2</v>
      </c>
      <c r="AF1614">
        <v>3</v>
      </c>
      <c r="AH1614" t="str">
        <f t="shared" si="77"/>
        <v>MAHADAT PUR 2</v>
      </c>
      <c r="AJ1614" s="72">
        <v>0</v>
      </c>
      <c r="AK1614" s="72"/>
      <c r="AL1614" s="72"/>
      <c r="AM1614" s="72"/>
    </row>
    <row r="1615" spans="1:39" x14ac:dyDescent="0.25">
      <c r="A1615" s="37" t="s">
        <v>62</v>
      </c>
      <c r="B1615" s="66" t="s">
        <v>1638</v>
      </c>
      <c r="C1615" s="47">
        <v>1036</v>
      </c>
      <c r="D1615" s="47" t="s">
        <v>402</v>
      </c>
      <c r="E1615" s="41">
        <v>10480002</v>
      </c>
      <c r="F1615" s="46" t="s">
        <v>410</v>
      </c>
      <c r="G1615" s="39" t="s">
        <v>92</v>
      </c>
      <c r="H1615" s="48" t="s">
        <v>98</v>
      </c>
      <c r="I1615" s="52">
        <v>530.6</v>
      </c>
      <c r="J1615" s="49">
        <v>18198.36</v>
      </c>
      <c r="K1615" s="65">
        <v>532.70000000000005</v>
      </c>
      <c r="L1615" s="65">
        <v>18477.339999999997</v>
      </c>
      <c r="M1615" s="65">
        <v>0</v>
      </c>
      <c r="N1615" s="65">
        <v>0</v>
      </c>
      <c r="O1615" s="65">
        <v>532.70000000000005</v>
      </c>
      <c r="P1615" s="65">
        <v>18477.339999999997</v>
      </c>
      <c r="Q1615" s="50">
        <v>18198.36</v>
      </c>
      <c r="R1615" s="65">
        <v>0</v>
      </c>
      <c r="S1615" s="65">
        <v>0</v>
      </c>
      <c r="T1615" s="65">
        <v>278.97999999999593</v>
      </c>
      <c r="U1615" s="65">
        <v>0</v>
      </c>
      <c r="V1615" s="65">
        <v>0</v>
      </c>
      <c r="W1615" s="65">
        <v>0</v>
      </c>
      <c r="X1615" s="65">
        <v>0</v>
      </c>
      <c r="Y1615" s="65">
        <v>0</v>
      </c>
      <c r="Z1615" s="65">
        <v>18198.36</v>
      </c>
      <c r="AA1615" s="51">
        <v>0</v>
      </c>
      <c r="AB1615" s="102">
        <v>0</v>
      </c>
      <c r="AC1615" s="81">
        <f t="shared" si="78"/>
        <v>116.20061002638526</v>
      </c>
      <c r="AD1615" s="82">
        <f t="shared" si="79"/>
        <v>75.8</v>
      </c>
      <c r="AE1615" s="218">
        <v>0</v>
      </c>
      <c r="AF1615">
        <v>1</v>
      </c>
      <c r="AH1615" t="str">
        <f t="shared" si="77"/>
        <v>MAHADAT PUR 2</v>
      </c>
      <c r="AJ1615" s="72">
        <v>0</v>
      </c>
      <c r="AK1615" s="72"/>
      <c r="AL1615" s="72"/>
      <c r="AM1615" s="72"/>
    </row>
    <row r="1616" spans="1:39" x14ac:dyDescent="0.25">
      <c r="A1616" s="37" t="s">
        <v>62</v>
      </c>
      <c r="B1616" s="66" t="s">
        <v>1638</v>
      </c>
      <c r="C1616" s="47">
        <v>1007</v>
      </c>
      <c r="D1616" s="47" t="s">
        <v>203</v>
      </c>
      <c r="E1616" s="41">
        <v>10480003</v>
      </c>
      <c r="F1616" s="46" t="s">
        <v>612</v>
      </c>
      <c r="G1616" s="39" t="s">
        <v>92</v>
      </c>
      <c r="H1616" s="48" t="s">
        <v>98</v>
      </c>
      <c r="I1616" s="52">
        <v>2024</v>
      </c>
      <c r="J1616" s="49">
        <v>60479.14</v>
      </c>
      <c r="K1616" s="65">
        <v>0</v>
      </c>
      <c r="L1616" s="65">
        <v>0</v>
      </c>
      <c r="M1616" s="65">
        <v>0</v>
      </c>
      <c r="N1616" s="65">
        <v>0</v>
      </c>
      <c r="O1616" s="65">
        <v>0</v>
      </c>
      <c r="P1616" s="65">
        <v>0</v>
      </c>
      <c r="Q1616" s="50">
        <v>60479.14</v>
      </c>
      <c r="R1616" s="65">
        <v>0</v>
      </c>
      <c r="S1616" s="65">
        <v>0</v>
      </c>
      <c r="T1616" s="65">
        <v>0</v>
      </c>
      <c r="U1616" s="65">
        <v>0</v>
      </c>
      <c r="V1616" s="65">
        <v>0</v>
      </c>
      <c r="W1616" s="65">
        <v>0</v>
      </c>
      <c r="X1616" s="65">
        <v>0</v>
      </c>
      <c r="Y1616" s="65">
        <v>0</v>
      </c>
      <c r="Z1616" s="65">
        <v>60479.14</v>
      </c>
      <c r="AA1616" s="51">
        <v>0</v>
      </c>
      <c r="AB1616" s="102">
        <v>0</v>
      </c>
      <c r="AC1616" s="81">
        <f t="shared" si="78"/>
        <v>0</v>
      </c>
      <c r="AD1616" s="82">
        <f t="shared" si="79"/>
        <v>0</v>
      </c>
      <c r="AE1616" s="218">
        <v>0</v>
      </c>
      <c r="AF1616">
        <v>0</v>
      </c>
      <c r="AH1616" t="str">
        <f t="shared" si="77"/>
        <v>Araria</v>
      </c>
      <c r="AJ1616" s="72">
        <v>0</v>
      </c>
      <c r="AK1616" s="72"/>
      <c r="AL1616" s="72"/>
      <c r="AM1616" s="72"/>
    </row>
    <row r="1617" spans="1:39" x14ac:dyDescent="0.25">
      <c r="A1617" s="37" t="s">
        <v>62</v>
      </c>
      <c r="B1617" s="66" t="s">
        <v>1638</v>
      </c>
      <c r="C1617" s="47">
        <v>1036</v>
      </c>
      <c r="D1617" s="47" t="s">
        <v>402</v>
      </c>
      <c r="E1617" s="109">
        <v>10480005</v>
      </c>
      <c r="F1617" s="46" t="s">
        <v>613</v>
      </c>
      <c r="G1617" s="110" t="s">
        <v>92</v>
      </c>
      <c r="H1617" s="48" t="s">
        <v>93</v>
      </c>
      <c r="I1617" s="111">
        <v>394.9</v>
      </c>
      <c r="J1617" s="49">
        <v>16001.499999999998</v>
      </c>
      <c r="K1617" s="65">
        <v>397.6</v>
      </c>
      <c r="L1617" s="65">
        <v>16416.510000000002</v>
      </c>
      <c r="M1617" s="65">
        <v>1.4000000000000001</v>
      </c>
      <c r="N1617" s="65">
        <v>57.4</v>
      </c>
      <c r="O1617" s="65">
        <v>399</v>
      </c>
      <c r="P1617" s="65">
        <v>16473.910000000003</v>
      </c>
      <c r="Q1617" s="50">
        <v>16001.499999999998</v>
      </c>
      <c r="R1617" s="65">
        <v>0</v>
      </c>
      <c r="S1617" s="65">
        <v>57.4</v>
      </c>
      <c r="T1617" s="65">
        <v>472.41000000000531</v>
      </c>
      <c r="U1617" s="65">
        <v>0</v>
      </c>
      <c r="V1617" s="65">
        <v>0</v>
      </c>
      <c r="W1617" s="65">
        <v>0</v>
      </c>
      <c r="X1617" s="65">
        <v>15944</v>
      </c>
      <c r="Y1617" s="65">
        <v>0</v>
      </c>
      <c r="Z1617" s="65">
        <v>0</v>
      </c>
      <c r="AA1617" s="51">
        <v>0</v>
      </c>
      <c r="AB1617" s="102">
        <v>0</v>
      </c>
      <c r="AC1617" s="81">
        <f t="shared" si="78"/>
        <v>247.2553887060015</v>
      </c>
      <c r="AD1617" s="82">
        <f t="shared" si="79"/>
        <v>56.414285714285711</v>
      </c>
      <c r="AE1617" s="218">
        <v>-2.9522857232134821E-2</v>
      </c>
      <c r="AF1617">
        <v>3</v>
      </c>
      <c r="AH1617" t="str">
        <f t="shared" si="77"/>
        <v>MAHADAT PUR 2</v>
      </c>
      <c r="AJ1617" s="72">
        <v>0</v>
      </c>
      <c r="AK1617" s="72"/>
      <c r="AL1617" s="72"/>
      <c r="AM1617" s="72"/>
    </row>
    <row r="1618" spans="1:39" x14ac:dyDescent="0.25">
      <c r="A1618" s="37" t="s">
        <v>62</v>
      </c>
      <c r="B1618" s="66" t="s">
        <v>1638</v>
      </c>
      <c r="C1618" s="47">
        <v>1036</v>
      </c>
      <c r="D1618" s="47" t="s">
        <v>402</v>
      </c>
      <c r="E1618" s="41">
        <v>10480008</v>
      </c>
      <c r="F1618" s="46" t="s">
        <v>614</v>
      </c>
      <c r="G1618" s="39" t="s">
        <v>92</v>
      </c>
      <c r="H1618" s="48" t="s">
        <v>93</v>
      </c>
      <c r="I1618" s="52">
        <v>459.30000000000007</v>
      </c>
      <c r="J1618" s="49">
        <v>18713.72</v>
      </c>
      <c r="K1618" s="65">
        <v>274.08999999999997</v>
      </c>
      <c r="L1618" s="65">
        <v>11315.99</v>
      </c>
      <c r="M1618" s="65">
        <v>204.64000000000001</v>
      </c>
      <c r="N1618" s="65">
        <v>8527.57</v>
      </c>
      <c r="O1618" s="65">
        <v>478.73</v>
      </c>
      <c r="P1618" s="65">
        <v>19843.559999999998</v>
      </c>
      <c r="Q1618" s="50">
        <v>18713.72</v>
      </c>
      <c r="R1618" s="65">
        <v>0</v>
      </c>
      <c r="S1618" s="65">
        <v>120.13000000000001</v>
      </c>
      <c r="T1618" s="65">
        <v>1129.8399999999965</v>
      </c>
      <c r="U1618" s="65">
        <v>0</v>
      </c>
      <c r="V1618" s="65">
        <v>0</v>
      </c>
      <c r="W1618" s="65">
        <v>0</v>
      </c>
      <c r="X1618" s="65">
        <v>10187</v>
      </c>
      <c r="Y1618" s="65">
        <v>8407</v>
      </c>
      <c r="Z1618" s="65">
        <v>0</v>
      </c>
      <c r="AA1618" s="51">
        <v>0</v>
      </c>
      <c r="AB1618" s="102">
        <v>0</v>
      </c>
      <c r="AC1618" s="81">
        <f t="shared" si="78"/>
        <v>196.14162438493349</v>
      </c>
      <c r="AD1618" s="82">
        <f t="shared" si="79"/>
        <v>65.614285714285728</v>
      </c>
      <c r="AE1618" s="218">
        <v>-6.0374954845963093E-2</v>
      </c>
      <c r="AF1618">
        <v>12</v>
      </c>
      <c r="AH1618" t="str">
        <f t="shared" si="77"/>
        <v>MAHADAT PUR 2</v>
      </c>
      <c r="AJ1618" s="72">
        <v>0</v>
      </c>
      <c r="AK1618" s="72"/>
      <c r="AL1618" s="72"/>
      <c r="AM1618" s="72"/>
    </row>
    <row r="1619" spans="1:39" x14ac:dyDescent="0.25">
      <c r="A1619" s="37" t="s">
        <v>62</v>
      </c>
      <c r="B1619" s="66" t="s">
        <v>1638</v>
      </c>
      <c r="C1619" s="47">
        <v>1036</v>
      </c>
      <c r="D1619" s="47" t="s">
        <v>402</v>
      </c>
      <c r="E1619" s="47">
        <v>10480022</v>
      </c>
      <c r="F1619" s="46" t="s">
        <v>615</v>
      </c>
      <c r="G1619" s="48" t="s">
        <v>92</v>
      </c>
      <c r="H1619" s="48" t="s">
        <v>93</v>
      </c>
      <c r="I1619" s="49">
        <v>580.00000000000011</v>
      </c>
      <c r="J1619" s="49">
        <v>22651.1</v>
      </c>
      <c r="K1619" s="65">
        <v>242.39999999999998</v>
      </c>
      <c r="L1619" s="65">
        <v>10580.77</v>
      </c>
      <c r="M1619" s="65">
        <v>251.79999999999998</v>
      </c>
      <c r="N1619" s="65">
        <v>10991.140000000001</v>
      </c>
      <c r="O1619" s="65">
        <v>494.19999999999993</v>
      </c>
      <c r="P1619" s="65">
        <v>21571.910000000003</v>
      </c>
      <c r="Q1619" s="50">
        <v>21571.910000000003</v>
      </c>
      <c r="R1619" s="65">
        <v>0</v>
      </c>
      <c r="S1619" s="65">
        <v>43.699999999999996</v>
      </c>
      <c r="T1619" s="65">
        <v>0</v>
      </c>
      <c r="U1619" s="65">
        <v>0</v>
      </c>
      <c r="V1619" s="65">
        <v>0</v>
      </c>
      <c r="W1619" s="65">
        <v>0</v>
      </c>
      <c r="X1619" s="65">
        <v>10581</v>
      </c>
      <c r="Y1619" s="65">
        <v>10947</v>
      </c>
      <c r="Z1619" s="65">
        <v>0</v>
      </c>
      <c r="AA1619" s="51">
        <v>1079</v>
      </c>
      <c r="AB1619" s="102">
        <v>0</v>
      </c>
      <c r="AC1619" s="81">
        <f t="shared" si="78"/>
        <v>93.728689655172289</v>
      </c>
      <c r="AD1619" s="82">
        <f t="shared" si="79"/>
        <v>82.857142857142875</v>
      </c>
      <c r="AE1619" s="218">
        <v>4.7644043777123189E-2</v>
      </c>
      <c r="AF1619">
        <v>3</v>
      </c>
      <c r="AH1619" t="str">
        <f t="shared" si="77"/>
        <v>MAHADAT PUR 2</v>
      </c>
      <c r="AJ1619" s="72">
        <v>0</v>
      </c>
      <c r="AK1619" s="72"/>
      <c r="AL1619" s="72"/>
      <c r="AM1619" s="72"/>
    </row>
    <row r="1620" spans="1:39" x14ac:dyDescent="0.25">
      <c r="A1620" s="37" t="s">
        <v>62</v>
      </c>
      <c r="B1620" s="66" t="s">
        <v>1638</v>
      </c>
      <c r="C1620" s="47">
        <v>1036</v>
      </c>
      <c r="D1620" s="47" t="s">
        <v>402</v>
      </c>
      <c r="E1620" s="41">
        <v>10480023</v>
      </c>
      <c r="F1620" s="46" t="s">
        <v>616</v>
      </c>
      <c r="G1620" s="39" t="s">
        <v>92</v>
      </c>
      <c r="H1620" s="48" t="s">
        <v>93</v>
      </c>
      <c r="I1620" s="52">
        <v>1841.9999999999995</v>
      </c>
      <c r="J1620" s="49">
        <v>73318.360000000015</v>
      </c>
      <c r="K1620" s="65">
        <v>1380</v>
      </c>
      <c r="L1620" s="65">
        <v>55737.25</v>
      </c>
      <c r="M1620" s="65">
        <v>334.7</v>
      </c>
      <c r="N1620" s="65">
        <v>13489.550000000001</v>
      </c>
      <c r="O1620" s="65">
        <v>1714.7</v>
      </c>
      <c r="P1620" s="65">
        <v>69226.8</v>
      </c>
      <c r="Q1620" s="50">
        <v>69226.8</v>
      </c>
      <c r="R1620" s="65">
        <v>0</v>
      </c>
      <c r="S1620" s="65">
        <v>2735.04</v>
      </c>
      <c r="T1620" s="65">
        <v>0</v>
      </c>
      <c r="U1620" s="65">
        <v>0</v>
      </c>
      <c r="V1620" s="65">
        <v>0</v>
      </c>
      <c r="W1620" s="65">
        <v>0</v>
      </c>
      <c r="X1620" s="65">
        <v>55737</v>
      </c>
      <c r="Y1620" s="65">
        <v>10755</v>
      </c>
      <c r="Z1620" s="65">
        <v>0</v>
      </c>
      <c r="AA1620" s="51">
        <v>4091</v>
      </c>
      <c r="AB1620" s="102">
        <v>0</v>
      </c>
      <c r="AC1620" s="81">
        <f t="shared" si="78"/>
        <v>0</v>
      </c>
      <c r="AD1620" s="82">
        <f t="shared" si="79"/>
        <v>0</v>
      </c>
      <c r="AE1620" s="218">
        <v>5.5805394446902676E-2</v>
      </c>
      <c r="AF1620">
        <v>7</v>
      </c>
      <c r="AH1620" t="str">
        <f t="shared" si="77"/>
        <v>MAHADAT PUR 2</v>
      </c>
      <c r="AJ1620" s="72">
        <v>0</v>
      </c>
      <c r="AK1620" s="72"/>
      <c r="AL1620" s="72"/>
      <c r="AM1620" s="72"/>
    </row>
    <row r="1621" spans="1:39" x14ac:dyDescent="0.25">
      <c r="A1621" s="37" t="s">
        <v>62</v>
      </c>
      <c r="B1621" s="66" t="s">
        <v>1638</v>
      </c>
      <c r="C1621" s="47">
        <v>1036</v>
      </c>
      <c r="D1621" s="47" t="s">
        <v>402</v>
      </c>
      <c r="E1621" s="41">
        <v>10480028</v>
      </c>
      <c r="F1621" s="46" t="s">
        <v>526</v>
      </c>
      <c r="G1621" s="39" t="s">
        <v>1610</v>
      </c>
      <c r="H1621" s="48" t="s">
        <v>98</v>
      </c>
      <c r="I1621" s="52">
        <v>878.8</v>
      </c>
      <c r="J1621" s="49">
        <v>32463.910000000003</v>
      </c>
      <c r="K1621" s="65">
        <v>0</v>
      </c>
      <c r="L1621" s="65">
        <v>0</v>
      </c>
      <c r="M1621" s="65">
        <v>0</v>
      </c>
      <c r="N1621" s="65">
        <v>0</v>
      </c>
      <c r="O1621" s="65">
        <v>0</v>
      </c>
      <c r="P1621" s="65">
        <v>0</v>
      </c>
      <c r="Q1621" s="50">
        <v>32463.910000000003</v>
      </c>
      <c r="R1621" s="65">
        <v>0</v>
      </c>
      <c r="S1621" s="65">
        <v>0</v>
      </c>
      <c r="T1621" s="65">
        <v>0</v>
      </c>
      <c r="U1621" s="65">
        <v>0</v>
      </c>
      <c r="V1621" s="65">
        <v>0</v>
      </c>
      <c r="W1621" s="65">
        <v>0</v>
      </c>
      <c r="X1621" s="65">
        <v>0</v>
      </c>
      <c r="Y1621" s="65">
        <v>0</v>
      </c>
      <c r="Z1621" s="65">
        <v>32463.910000000003</v>
      </c>
      <c r="AA1621" s="51">
        <v>0</v>
      </c>
      <c r="AB1621" s="102">
        <v>0</v>
      </c>
      <c r="AC1621" s="81">
        <f t="shared" si="78"/>
        <v>0</v>
      </c>
      <c r="AD1621" s="82">
        <f t="shared" si="79"/>
        <v>0</v>
      </c>
      <c r="AE1621" s="218">
        <v>0</v>
      </c>
      <c r="AF1621">
        <v>0</v>
      </c>
      <c r="AH1621" t="str">
        <f t="shared" si="77"/>
        <v>MAHADAT PUR 2</v>
      </c>
      <c r="AJ1621" s="72">
        <v>0</v>
      </c>
      <c r="AK1621" s="72"/>
      <c r="AL1621" s="72"/>
      <c r="AM1621" s="72"/>
    </row>
    <row r="1622" spans="1:39" x14ac:dyDescent="0.25">
      <c r="A1622" s="37" t="s">
        <v>62</v>
      </c>
      <c r="B1622" s="66" t="s">
        <v>1638</v>
      </c>
      <c r="C1622" s="47">
        <v>1036</v>
      </c>
      <c r="D1622" s="47" t="s">
        <v>402</v>
      </c>
      <c r="E1622" s="41">
        <v>10480033</v>
      </c>
      <c r="F1622" s="46" t="s">
        <v>1223</v>
      </c>
      <c r="G1622" s="39" t="s">
        <v>1610</v>
      </c>
      <c r="H1622" s="48" t="s">
        <v>98</v>
      </c>
      <c r="I1622" s="52">
        <v>148.19999999999999</v>
      </c>
      <c r="J1622" s="49">
        <v>5308.7199999999993</v>
      </c>
      <c r="K1622" s="65">
        <v>0</v>
      </c>
      <c r="L1622" s="65">
        <v>0</v>
      </c>
      <c r="M1622" s="65">
        <v>0</v>
      </c>
      <c r="N1622" s="65">
        <v>0</v>
      </c>
      <c r="O1622" s="65">
        <v>0</v>
      </c>
      <c r="P1622" s="65">
        <v>0</v>
      </c>
      <c r="Q1622" s="50">
        <v>5308.7199999999993</v>
      </c>
      <c r="R1622" s="65">
        <v>0</v>
      </c>
      <c r="S1622" s="65">
        <v>0</v>
      </c>
      <c r="T1622" s="65">
        <v>0</v>
      </c>
      <c r="U1622" s="65">
        <v>0</v>
      </c>
      <c r="V1622" s="65">
        <v>0</v>
      </c>
      <c r="W1622" s="65">
        <v>0</v>
      </c>
      <c r="X1622" s="65">
        <v>0</v>
      </c>
      <c r="Y1622" s="65">
        <v>0</v>
      </c>
      <c r="Z1622" s="65">
        <v>5308.7199999999993</v>
      </c>
      <c r="AA1622" s="51">
        <v>0</v>
      </c>
      <c r="AB1622" s="102">
        <v>0</v>
      </c>
      <c r="AC1622" s="81">
        <f t="shared" si="78"/>
        <v>395.32411551956818</v>
      </c>
      <c r="AD1622" s="82">
        <f t="shared" si="79"/>
        <v>21.171428571428571</v>
      </c>
      <c r="AE1622" s="218">
        <v>0</v>
      </c>
      <c r="AF1622">
        <v>0</v>
      </c>
      <c r="AH1622" t="str">
        <f t="shared" si="77"/>
        <v>MAHADAT PUR 2</v>
      </c>
      <c r="AJ1622" s="72">
        <v>0</v>
      </c>
      <c r="AK1622" s="72"/>
      <c r="AL1622" s="72"/>
      <c r="AM1622" s="72"/>
    </row>
    <row r="1623" spans="1:39" x14ac:dyDescent="0.25">
      <c r="A1623" s="37" t="s">
        <v>62</v>
      </c>
      <c r="B1623" s="66" t="s">
        <v>1638</v>
      </c>
      <c r="C1623" s="47">
        <v>1036</v>
      </c>
      <c r="D1623" s="47" t="s">
        <v>402</v>
      </c>
      <c r="E1623" s="41">
        <v>10480034</v>
      </c>
      <c r="F1623" s="46" t="s">
        <v>1135</v>
      </c>
      <c r="G1623" s="39" t="s">
        <v>1610</v>
      </c>
      <c r="H1623" s="48" t="s">
        <v>98</v>
      </c>
      <c r="I1623" s="52">
        <v>301.10000000000002</v>
      </c>
      <c r="J1623" s="49">
        <v>12430.210000000001</v>
      </c>
      <c r="K1623" s="65">
        <v>0</v>
      </c>
      <c r="L1623" s="65">
        <v>0</v>
      </c>
      <c r="M1623" s="65">
        <v>0</v>
      </c>
      <c r="N1623" s="65">
        <v>0</v>
      </c>
      <c r="O1623" s="65">
        <v>0</v>
      </c>
      <c r="P1623" s="65">
        <v>0</v>
      </c>
      <c r="Q1623" s="50">
        <v>12430.210000000001</v>
      </c>
      <c r="R1623" s="65">
        <v>0</v>
      </c>
      <c r="S1623" s="65">
        <v>0</v>
      </c>
      <c r="T1623" s="65">
        <v>0</v>
      </c>
      <c r="U1623" s="65">
        <v>0</v>
      </c>
      <c r="V1623" s="65">
        <v>0</v>
      </c>
      <c r="W1623" s="65">
        <v>0</v>
      </c>
      <c r="X1623" s="65">
        <v>0</v>
      </c>
      <c r="Y1623" s="65">
        <v>0</v>
      </c>
      <c r="Z1623" s="65">
        <v>12430.210000000001</v>
      </c>
      <c r="AA1623" s="51">
        <v>0</v>
      </c>
      <c r="AB1623" s="102">
        <v>0</v>
      </c>
      <c r="AC1623" s="81">
        <f t="shared" si="78"/>
        <v>329.35308993689802</v>
      </c>
      <c r="AD1623" s="82">
        <f t="shared" si="79"/>
        <v>43.01428571428572</v>
      </c>
      <c r="AE1623" s="218">
        <v>0</v>
      </c>
      <c r="AF1623">
        <v>0</v>
      </c>
      <c r="AH1623" t="str">
        <f t="shared" si="77"/>
        <v>MAHADAT PUR 2</v>
      </c>
      <c r="AJ1623" s="72">
        <v>0</v>
      </c>
      <c r="AK1623" s="72"/>
      <c r="AL1623" s="72"/>
      <c r="AM1623" s="72"/>
    </row>
    <row r="1624" spans="1:39" x14ac:dyDescent="0.25">
      <c r="A1624" s="37" t="s">
        <v>62</v>
      </c>
      <c r="B1624" s="66" t="s">
        <v>1638</v>
      </c>
      <c r="C1624" s="47">
        <v>1003</v>
      </c>
      <c r="D1624" s="47" t="s">
        <v>137</v>
      </c>
      <c r="E1624" s="41">
        <v>10500001</v>
      </c>
      <c r="F1624" s="46" t="s">
        <v>411</v>
      </c>
      <c r="G1624" s="39" t="s">
        <v>92</v>
      </c>
      <c r="H1624" s="48" t="s">
        <v>93</v>
      </c>
      <c r="I1624" s="52">
        <v>747.75</v>
      </c>
      <c r="J1624" s="49">
        <v>28905.64</v>
      </c>
      <c r="K1624" s="65">
        <v>741.1</v>
      </c>
      <c r="L1624" s="65">
        <v>28906.649999999998</v>
      </c>
      <c r="M1624" s="65">
        <v>8.1</v>
      </c>
      <c r="N1624" s="65">
        <v>317.18</v>
      </c>
      <c r="O1624" s="65">
        <v>749.2</v>
      </c>
      <c r="P1624" s="65">
        <v>29223.829999999998</v>
      </c>
      <c r="Q1624" s="50">
        <v>28905.64</v>
      </c>
      <c r="R1624" s="65">
        <v>0</v>
      </c>
      <c r="S1624" s="65">
        <v>317.18</v>
      </c>
      <c r="T1624" s="65">
        <v>318.18999999999869</v>
      </c>
      <c r="U1624" s="65">
        <v>0</v>
      </c>
      <c r="V1624" s="65">
        <v>0</v>
      </c>
      <c r="W1624" s="65">
        <v>0</v>
      </c>
      <c r="X1624" s="65">
        <v>28588</v>
      </c>
      <c r="Y1624" s="65">
        <v>0</v>
      </c>
      <c r="Z1624" s="65">
        <v>0</v>
      </c>
      <c r="AA1624" s="51">
        <v>0</v>
      </c>
      <c r="AB1624" s="102">
        <v>0</v>
      </c>
      <c r="AC1624" s="81">
        <f t="shared" si="78"/>
        <v>0</v>
      </c>
      <c r="AD1624" s="82">
        <f t="shared" si="79"/>
        <v>0</v>
      </c>
      <c r="AE1624" s="218">
        <v>-1.1007886350207042E-2</v>
      </c>
      <c r="AF1624">
        <v>10</v>
      </c>
      <c r="AH1624" t="str">
        <f t="shared" si="77"/>
        <v>Asarganj</v>
      </c>
      <c r="AJ1624" s="72">
        <v>0</v>
      </c>
      <c r="AK1624" s="72"/>
      <c r="AL1624" s="72"/>
      <c r="AM1624" s="72"/>
    </row>
    <row r="1625" spans="1:39" x14ac:dyDescent="0.25">
      <c r="A1625" s="37" t="s">
        <v>62</v>
      </c>
      <c r="B1625" s="66" t="s">
        <v>1638</v>
      </c>
      <c r="C1625" s="47">
        <v>1014</v>
      </c>
      <c r="D1625" s="47" t="s">
        <v>368</v>
      </c>
      <c r="E1625" s="41">
        <v>10510001</v>
      </c>
      <c r="F1625" s="46" t="s">
        <v>412</v>
      </c>
      <c r="G1625" s="39" t="s">
        <v>92</v>
      </c>
      <c r="H1625" s="48" t="s">
        <v>93</v>
      </c>
      <c r="I1625" s="52">
        <v>2366.3999999999996</v>
      </c>
      <c r="J1625" s="49">
        <v>90530.439999999988</v>
      </c>
      <c r="K1625" s="65">
        <v>2348.1999999999998</v>
      </c>
      <c r="L1625" s="65">
        <v>91578.530000000028</v>
      </c>
      <c r="M1625" s="65">
        <v>13.2</v>
      </c>
      <c r="N1625" s="65">
        <v>706.79000000000008</v>
      </c>
      <c r="O1625" s="65">
        <v>2361.3999999999996</v>
      </c>
      <c r="P1625" s="65">
        <v>92285.320000000022</v>
      </c>
      <c r="Q1625" s="50">
        <v>90530.439999999988</v>
      </c>
      <c r="R1625" s="65">
        <v>0</v>
      </c>
      <c r="S1625" s="65">
        <v>706.79000000000008</v>
      </c>
      <c r="T1625" s="65">
        <v>1754.8800000000338</v>
      </c>
      <c r="U1625" s="65">
        <v>0</v>
      </c>
      <c r="V1625" s="65">
        <v>0</v>
      </c>
      <c r="W1625" s="65">
        <v>0</v>
      </c>
      <c r="X1625" s="65">
        <v>89824</v>
      </c>
      <c r="Y1625" s="65">
        <v>0</v>
      </c>
      <c r="Z1625" s="65">
        <v>0</v>
      </c>
      <c r="AA1625" s="51">
        <v>0</v>
      </c>
      <c r="AB1625" s="102">
        <v>0</v>
      </c>
      <c r="AC1625" s="81">
        <f t="shared" si="78"/>
        <v>0</v>
      </c>
      <c r="AD1625" s="82">
        <f t="shared" si="79"/>
        <v>0</v>
      </c>
      <c r="AE1625" s="218">
        <v>-1.9384419207506713E-2</v>
      </c>
      <c r="AF1625">
        <v>36</v>
      </c>
      <c r="AH1625" t="str">
        <f t="shared" si="77"/>
        <v>Dumraon</v>
      </c>
      <c r="AJ1625" s="72">
        <v>0</v>
      </c>
      <c r="AK1625" s="72"/>
      <c r="AL1625" s="72"/>
      <c r="AM1625" s="72"/>
    </row>
    <row r="1626" spans="1:39" x14ac:dyDescent="0.25">
      <c r="A1626" s="37" t="s">
        <v>62</v>
      </c>
      <c r="B1626" s="66" t="s">
        <v>1638</v>
      </c>
      <c r="C1626" s="47">
        <v>1014</v>
      </c>
      <c r="D1626" s="47" t="s">
        <v>368</v>
      </c>
      <c r="E1626" s="41">
        <v>10510002</v>
      </c>
      <c r="F1626" s="46" t="s">
        <v>413</v>
      </c>
      <c r="G1626" s="39" t="s">
        <v>92</v>
      </c>
      <c r="H1626" s="48" t="s">
        <v>93</v>
      </c>
      <c r="I1626" s="52">
        <v>1073.3</v>
      </c>
      <c r="J1626" s="49">
        <v>45372.800000000003</v>
      </c>
      <c r="K1626" s="65">
        <v>1066.0499999999997</v>
      </c>
      <c r="L1626" s="65">
        <v>45287.26</v>
      </c>
      <c r="M1626" s="65">
        <v>5.99</v>
      </c>
      <c r="N1626" s="65">
        <v>256.38</v>
      </c>
      <c r="O1626" s="65">
        <v>1072.0399999999997</v>
      </c>
      <c r="P1626" s="65">
        <v>45543.64</v>
      </c>
      <c r="Q1626" s="50">
        <v>45372.800000000003</v>
      </c>
      <c r="R1626" s="65">
        <v>0</v>
      </c>
      <c r="S1626" s="65">
        <v>256.38</v>
      </c>
      <c r="T1626" s="65">
        <v>170.83999999999651</v>
      </c>
      <c r="U1626" s="65">
        <v>0</v>
      </c>
      <c r="V1626" s="65">
        <v>0</v>
      </c>
      <c r="W1626" s="65">
        <v>0</v>
      </c>
      <c r="X1626" s="65">
        <v>45116</v>
      </c>
      <c r="Y1626" s="65">
        <v>0</v>
      </c>
      <c r="Z1626" s="65">
        <v>0</v>
      </c>
      <c r="AA1626" s="51">
        <v>0</v>
      </c>
      <c r="AB1626" s="102">
        <v>0</v>
      </c>
      <c r="AC1626" s="81">
        <f t="shared" si="78"/>
        <v>0</v>
      </c>
      <c r="AD1626" s="82">
        <f t="shared" si="79"/>
        <v>0</v>
      </c>
      <c r="AE1626" s="218">
        <v>-3.7652514281683409E-3</v>
      </c>
      <c r="AF1626">
        <v>9</v>
      </c>
      <c r="AH1626" t="str">
        <f t="shared" si="77"/>
        <v>Dumraon</v>
      </c>
      <c r="AJ1626" s="72">
        <v>0</v>
      </c>
      <c r="AK1626" s="72"/>
      <c r="AL1626" s="72"/>
      <c r="AM1626" s="72"/>
    </row>
    <row r="1627" spans="1:39" x14ac:dyDescent="0.25">
      <c r="A1627" s="37" t="s">
        <v>62</v>
      </c>
      <c r="B1627" s="66" t="s">
        <v>1638</v>
      </c>
      <c r="C1627" s="47">
        <v>1014</v>
      </c>
      <c r="D1627" s="47" t="s">
        <v>368</v>
      </c>
      <c r="E1627" s="41">
        <v>10510004</v>
      </c>
      <c r="F1627" s="46" t="s">
        <v>414</v>
      </c>
      <c r="G1627" s="39" t="s">
        <v>92</v>
      </c>
      <c r="H1627" s="48" t="s">
        <v>93</v>
      </c>
      <c r="I1627" s="52">
        <v>2380.6</v>
      </c>
      <c r="J1627" s="49">
        <v>93302.45</v>
      </c>
      <c r="K1627" s="65">
        <v>2225.6999999999998</v>
      </c>
      <c r="L1627" s="65">
        <v>98140.34</v>
      </c>
      <c r="M1627" s="65">
        <v>20.599999999999994</v>
      </c>
      <c r="N1627" s="65">
        <v>1116.1399999999999</v>
      </c>
      <c r="O1627" s="65">
        <v>2246.2999999999997</v>
      </c>
      <c r="P1627" s="65">
        <v>99256.48</v>
      </c>
      <c r="Q1627" s="50">
        <v>93302.45</v>
      </c>
      <c r="R1627" s="65">
        <v>0</v>
      </c>
      <c r="S1627" s="65">
        <v>1116.1399999999999</v>
      </c>
      <c r="T1627" s="65">
        <v>5954.0299999999988</v>
      </c>
      <c r="U1627" s="65">
        <v>0</v>
      </c>
      <c r="V1627" s="65">
        <v>0</v>
      </c>
      <c r="W1627" s="65">
        <v>0</v>
      </c>
      <c r="X1627" s="65">
        <v>92186</v>
      </c>
      <c r="Y1627" s="65">
        <v>0</v>
      </c>
      <c r="Z1627" s="65">
        <v>0</v>
      </c>
      <c r="AA1627" s="51">
        <v>0</v>
      </c>
      <c r="AB1627" s="102">
        <v>0</v>
      </c>
      <c r="AC1627" s="81">
        <f t="shared" si="78"/>
        <v>0</v>
      </c>
      <c r="AD1627" s="82">
        <f t="shared" si="79"/>
        <v>0</v>
      </c>
      <c r="AE1627" s="218">
        <v>-6.3814294265584659E-2</v>
      </c>
      <c r="AF1627">
        <v>6</v>
      </c>
      <c r="AH1627" t="str">
        <f t="shared" si="77"/>
        <v>Dumraon</v>
      </c>
      <c r="AJ1627" s="72">
        <v>0</v>
      </c>
      <c r="AK1627" s="72"/>
      <c r="AL1627" s="72"/>
      <c r="AM1627" s="72"/>
    </row>
    <row r="1628" spans="1:39" x14ac:dyDescent="0.25">
      <c r="A1628" s="37" t="s">
        <v>62</v>
      </c>
      <c r="B1628" s="66" t="s">
        <v>1638</v>
      </c>
      <c r="C1628" s="47">
        <v>1012</v>
      </c>
      <c r="D1628" s="47" t="s">
        <v>306</v>
      </c>
      <c r="E1628" s="41">
        <v>10520006</v>
      </c>
      <c r="F1628" s="46" t="s">
        <v>1154</v>
      </c>
      <c r="G1628" s="39" t="s">
        <v>1610</v>
      </c>
      <c r="H1628" s="48" t="s">
        <v>98</v>
      </c>
      <c r="I1628" s="52">
        <v>22605.3</v>
      </c>
      <c r="J1628" s="49">
        <v>848243.45</v>
      </c>
      <c r="K1628" s="65">
        <v>0</v>
      </c>
      <c r="L1628" s="65">
        <v>0</v>
      </c>
      <c r="M1628" s="65">
        <v>0</v>
      </c>
      <c r="N1628" s="65">
        <v>0</v>
      </c>
      <c r="O1628" s="65">
        <v>0</v>
      </c>
      <c r="P1628" s="65">
        <v>0</v>
      </c>
      <c r="Q1628" s="50">
        <v>848243.45</v>
      </c>
      <c r="R1628" s="65">
        <v>0</v>
      </c>
      <c r="S1628" s="65">
        <v>0</v>
      </c>
      <c r="T1628" s="65">
        <v>0</v>
      </c>
      <c r="U1628" s="65">
        <v>0</v>
      </c>
      <c r="V1628" s="65">
        <v>0</v>
      </c>
      <c r="W1628" s="65">
        <v>0</v>
      </c>
      <c r="X1628" s="65">
        <v>0</v>
      </c>
      <c r="Y1628" s="65">
        <v>0</v>
      </c>
      <c r="Z1628" s="65">
        <v>848243.45</v>
      </c>
      <c r="AA1628" s="51">
        <v>0</v>
      </c>
      <c r="AB1628" s="102">
        <v>0</v>
      </c>
      <c r="AC1628" s="81">
        <f t="shared" si="78"/>
        <v>0</v>
      </c>
      <c r="AD1628" s="82">
        <f t="shared" si="79"/>
        <v>0</v>
      </c>
      <c r="AE1628" s="218">
        <v>0</v>
      </c>
      <c r="AF1628">
        <v>0</v>
      </c>
      <c r="AH1628" t="str">
        <f t="shared" si="77"/>
        <v>DalsinghSarai</v>
      </c>
      <c r="AJ1628" s="72">
        <v>0</v>
      </c>
      <c r="AK1628" s="72"/>
      <c r="AL1628" s="72"/>
      <c r="AM1628" s="72"/>
    </row>
    <row r="1629" spans="1:39" x14ac:dyDescent="0.25">
      <c r="A1629" s="37" t="s">
        <v>62</v>
      </c>
      <c r="B1629" s="66" t="s">
        <v>1638</v>
      </c>
      <c r="C1629" s="47">
        <v>1053</v>
      </c>
      <c r="D1629" s="47" t="s">
        <v>527</v>
      </c>
      <c r="E1629" s="41">
        <v>10520010</v>
      </c>
      <c r="F1629" s="46" t="s">
        <v>1283</v>
      </c>
      <c r="G1629" s="39" t="s">
        <v>1610</v>
      </c>
      <c r="H1629" s="48" t="s">
        <v>98</v>
      </c>
      <c r="I1629" s="52">
        <v>5413</v>
      </c>
      <c r="J1629" s="49">
        <v>221937.43</v>
      </c>
      <c r="K1629" s="65">
        <v>0</v>
      </c>
      <c r="L1629" s="65">
        <v>0</v>
      </c>
      <c r="M1629" s="65">
        <v>0</v>
      </c>
      <c r="N1629" s="65">
        <v>0</v>
      </c>
      <c r="O1629" s="65">
        <v>0</v>
      </c>
      <c r="P1629" s="65">
        <v>0</v>
      </c>
      <c r="Q1629" s="50">
        <v>221937.43</v>
      </c>
      <c r="R1629" s="65">
        <v>0</v>
      </c>
      <c r="S1629" s="65">
        <v>0</v>
      </c>
      <c r="T1629" s="65">
        <v>0</v>
      </c>
      <c r="U1629" s="65">
        <v>0</v>
      </c>
      <c r="V1629" s="65">
        <v>0</v>
      </c>
      <c r="W1629" s="65">
        <v>0</v>
      </c>
      <c r="X1629" s="65">
        <v>0</v>
      </c>
      <c r="Y1629" s="65">
        <v>0</v>
      </c>
      <c r="Z1629" s="65">
        <v>221937.43</v>
      </c>
      <c r="AA1629" s="51">
        <v>0</v>
      </c>
      <c r="AB1629" s="102">
        <v>0</v>
      </c>
      <c r="AC1629" s="81">
        <f t="shared" si="78"/>
        <v>0</v>
      </c>
      <c r="AD1629" s="82">
        <f t="shared" si="79"/>
        <v>0</v>
      </c>
      <c r="AE1629" s="218">
        <v>0</v>
      </c>
      <c r="AF1629">
        <v>0</v>
      </c>
      <c r="AH1629" t="str">
        <f t="shared" ref="AH1629:AH1689" si="80">TEXT(D1629,"0000")</f>
        <v>Kalyanpur</v>
      </c>
      <c r="AJ1629" s="72">
        <v>0</v>
      </c>
      <c r="AK1629" s="72"/>
      <c r="AL1629" s="72"/>
      <c r="AM1629" s="72"/>
    </row>
    <row r="1630" spans="1:39" x14ac:dyDescent="0.25">
      <c r="A1630" s="37" t="s">
        <v>62</v>
      </c>
      <c r="B1630" s="66" t="s">
        <v>1638</v>
      </c>
      <c r="C1630" s="47">
        <v>1010</v>
      </c>
      <c r="D1630" s="47" t="s">
        <v>1311</v>
      </c>
      <c r="E1630" s="41">
        <v>10520011</v>
      </c>
      <c r="F1630" s="46" t="s">
        <v>1465</v>
      </c>
      <c r="G1630" s="39" t="s">
        <v>92</v>
      </c>
      <c r="H1630" s="48" t="s">
        <v>98</v>
      </c>
      <c r="I1630" s="52">
        <v>8130</v>
      </c>
      <c r="J1630" s="49">
        <v>258279</v>
      </c>
      <c r="K1630" s="65">
        <v>0</v>
      </c>
      <c r="L1630" s="65">
        <v>0</v>
      </c>
      <c r="M1630" s="65">
        <v>0</v>
      </c>
      <c r="N1630" s="65">
        <v>0</v>
      </c>
      <c r="O1630" s="65">
        <v>0</v>
      </c>
      <c r="P1630" s="65">
        <v>0</v>
      </c>
      <c r="Q1630" s="50">
        <v>258279</v>
      </c>
      <c r="R1630" s="65">
        <v>0</v>
      </c>
      <c r="S1630" s="65">
        <v>0</v>
      </c>
      <c r="T1630" s="65">
        <v>0</v>
      </c>
      <c r="U1630" s="65">
        <v>0</v>
      </c>
      <c r="V1630" s="65">
        <v>0</v>
      </c>
      <c r="W1630" s="65">
        <v>0</v>
      </c>
      <c r="X1630" s="65">
        <v>0</v>
      </c>
      <c r="Y1630" s="65">
        <v>0</v>
      </c>
      <c r="Z1630" s="65">
        <v>258279</v>
      </c>
      <c r="AA1630" s="51">
        <v>0</v>
      </c>
      <c r="AB1630" s="102">
        <v>0</v>
      </c>
      <c r="AC1630" s="81">
        <f t="shared" si="78"/>
        <v>0</v>
      </c>
      <c r="AD1630" s="82">
        <f t="shared" si="79"/>
        <v>0</v>
      </c>
      <c r="AE1630" s="218">
        <v>0</v>
      </c>
      <c r="AF1630">
        <v>0</v>
      </c>
      <c r="AH1630" t="str">
        <f t="shared" si="80"/>
        <v>Parbatta</v>
      </c>
      <c r="AJ1630" s="72">
        <v>0</v>
      </c>
      <c r="AK1630" s="72"/>
      <c r="AL1630" s="72"/>
      <c r="AM1630" s="72"/>
    </row>
    <row r="1631" spans="1:39" x14ac:dyDescent="0.25">
      <c r="A1631" s="37" t="s">
        <v>62</v>
      </c>
      <c r="B1631" s="66" t="s">
        <v>1638</v>
      </c>
      <c r="C1631" s="47">
        <v>1053</v>
      </c>
      <c r="D1631" s="47" t="s">
        <v>527</v>
      </c>
      <c r="E1631" s="41">
        <v>10530001</v>
      </c>
      <c r="F1631" s="46" t="s">
        <v>528</v>
      </c>
      <c r="G1631" s="39" t="s">
        <v>92</v>
      </c>
      <c r="H1631" s="48" t="s">
        <v>93</v>
      </c>
      <c r="I1631" s="52">
        <v>1492.4499999999998</v>
      </c>
      <c r="J1631" s="49">
        <v>63489.220000000016</v>
      </c>
      <c r="K1631" s="65">
        <v>1488.36</v>
      </c>
      <c r="L1631" s="65">
        <v>62561.700000000004</v>
      </c>
      <c r="M1631" s="65">
        <v>21.160000000000004</v>
      </c>
      <c r="N1631" s="65">
        <v>915.5</v>
      </c>
      <c r="O1631" s="65">
        <v>1509.52</v>
      </c>
      <c r="P1631" s="65">
        <v>63477.200000000004</v>
      </c>
      <c r="Q1631" s="50">
        <v>63477.200000000004</v>
      </c>
      <c r="R1631" s="65">
        <v>0</v>
      </c>
      <c r="S1631" s="65">
        <v>915.5</v>
      </c>
      <c r="T1631" s="65">
        <v>0</v>
      </c>
      <c r="U1631" s="65">
        <v>0</v>
      </c>
      <c r="V1631" s="65">
        <v>0</v>
      </c>
      <c r="W1631" s="65">
        <v>0</v>
      </c>
      <c r="X1631" s="65">
        <v>62561</v>
      </c>
      <c r="Y1631" s="65">
        <v>0</v>
      </c>
      <c r="Z1631" s="65">
        <v>0</v>
      </c>
      <c r="AA1631" s="51">
        <v>13</v>
      </c>
      <c r="AB1631" s="102">
        <v>0</v>
      </c>
      <c r="AC1631" s="81">
        <f t="shared" si="78"/>
        <v>0</v>
      </c>
      <c r="AD1631" s="82">
        <f t="shared" si="79"/>
        <v>0</v>
      </c>
      <c r="AE1631" s="218">
        <v>1.8932347885217913E-4</v>
      </c>
      <c r="AF1631">
        <v>30</v>
      </c>
      <c r="AH1631" t="str">
        <f t="shared" si="80"/>
        <v>Kalyanpur</v>
      </c>
      <c r="AJ1631" s="72">
        <v>0</v>
      </c>
      <c r="AK1631" s="72"/>
      <c r="AL1631" s="72"/>
      <c r="AM1631" s="72"/>
    </row>
    <row r="1632" spans="1:39" x14ac:dyDescent="0.25">
      <c r="A1632" s="37" t="s">
        <v>62</v>
      </c>
      <c r="B1632" s="66" t="s">
        <v>1638</v>
      </c>
      <c r="C1632" s="47">
        <v>1053</v>
      </c>
      <c r="D1632" s="47" t="s">
        <v>527</v>
      </c>
      <c r="E1632" s="41">
        <v>10530002</v>
      </c>
      <c r="F1632" s="46" t="s">
        <v>529</v>
      </c>
      <c r="G1632" s="39" t="s">
        <v>92</v>
      </c>
      <c r="H1632" s="48" t="s">
        <v>93</v>
      </c>
      <c r="I1632" s="52">
        <v>1768.75</v>
      </c>
      <c r="J1632" s="49">
        <v>71505.039999999994</v>
      </c>
      <c r="K1632" s="65">
        <v>1761.78</v>
      </c>
      <c r="L1632" s="65">
        <v>70520.280000000013</v>
      </c>
      <c r="M1632" s="65">
        <v>23.650000000000002</v>
      </c>
      <c r="N1632" s="65">
        <v>971.66</v>
      </c>
      <c r="O1632" s="65">
        <v>1785.43</v>
      </c>
      <c r="P1632" s="65">
        <v>71491.940000000017</v>
      </c>
      <c r="Q1632" s="50">
        <v>71491.940000000017</v>
      </c>
      <c r="R1632" s="65">
        <v>0</v>
      </c>
      <c r="S1632" s="65">
        <v>971.66</v>
      </c>
      <c r="T1632" s="65">
        <v>0</v>
      </c>
      <c r="U1632" s="65">
        <v>13553</v>
      </c>
      <c r="V1632" s="65">
        <v>0</v>
      </c>
      <c r="W1632" s="65">
        <v>0</v>
      </c>
      <c r="X1632" s="65">
        <v>56969</v>
      </c>
      <c r="Y1632" s="65">
        <v>0</v>
      </c>
      <c r="Z1632" s="65">
        <v>0</v>
      </c>
      <c r="AA1632" s="51">
        <v>11</v>
      </c>
      <c r="AB1632" s="102">
        <v>0</v>
      </c>
      <c r="AC1632" s="81">
        <f t="shared" si="78"/>
        <v>0</v>
      </c>
      <c r="AD1632" s="82">
        <f t="shared" si="79"/>
        <v>0</v>
      </c>
      <c r="AE1632" s="218">
        <v>1.8320386926539328E-4</v>
      </c>
      <c r="AF1632">
        <v>36</v>
      </c>
      <c r="AH1632" t="str">
        <f t="shared" si="80"/>
        <v>Kalyanpur</v>
      </c>
      <c r="AJ1632" s="72">
        <v>0</v>
      </c>
      <c r="AK1632" s="72"/>
      <c r="AL1632" s="72"/>
      <c r="AM1632" s="72"/>
    </row>
    <row r="1633" spans="1:39" x14ac:dyDescent="0.25">
      <c r="A1633" s="37" t="s">
        <v>62</v>
      </c>
      <c r="B1633" s="66" t="s">
        <v>1638</v>
      </c>
      <c r="C1633" s="47">
        <v>1053</v>
      </c>
      <c r="D1633" s="47" t="s">
        <v>527</v>
      </c>
      <c r="E1633" s="41">
        <v>10530003</v>
      </c>
      <c r="F1633" s="46" t="s">
        <v>530</v>
      </c>
      <c r="G1633" s="39" t="s">
        <v>92</v>
      </c>
      <c r="H1633" s="48" t="s">
        <v>93</v>
      </c>
      <c r="I1633" s="52">
        <v>799.69999999999993</v>
      </c>
      <c r="J1633" s="49">
        <v>35017.81</v>
      </c>
      <c r="K1633" s="65">
        <v>771.96000000000026</v>
      </c>
      <c r="L1633" s="65">
        <v>34725.760000000002</v>
      </c>
      <c r="M1633" s="65">
        <v>6.4</v>
      </c>
      <c r="N1633" s="65">
        <v>287.61</v>
      </c>
      <c r="O1633" s="65">
        <v>778.36000000000024</v>
      </c>
      <c r="P1633" s="65">
        <v>35013.370000000003</v>
      </c>
      <c r="Q1633" s="50">
        <v>35013.370000000003</v>
      </c>
      <c r="R1633" s="65">
        <v>0</v>
      </c>
      <c r="S1633" s="65">
        <v>287.61</v>
      </c>
      <c r="T1633" s="65">
        <v>0</v>
      </c>
      <c r="U1633" s="65">
        <v>0</v>
      </c>
      <c r="V1633" s="65">
        <v>0</v>
      </c>
      <c r="W1633" s="65">
        <v>0</v>
      </c>
      <c r="X1633" s="65">
        <v>34724</v>
      </c>
      <c r="Y1633" s="65">
        <v>0</v>
      </c>
      <c r="Z1633" s="65">
        <v>0</v>
      </c>
      <c r="AA1633" s="51">
        <v>6</v>
      </c>
      <c r="AB1633" s="102">
        <v>0</v>
      </c>
      <c r="AC1633" s="81">
        <f t="shared" si="78"/>
        <v>0</v>
      </c>
      <c r="AD1633" s="82">
        <f t="shared" si="79"/>
        <v>0</v>
      </c>
      <c r="AE1633" s="218">
        <v>1.267926235248593E-4</v>
      </c>
      <c r="AF1633">
        <v>26</v>
      </c>
      <c r="AH1633" t="str">
        <f t="shared" si="80"/>
        <v>Kalyanpur</v>
      </c>
      <c r="AJ1633" s="72">
        <v>0</v>
      </c>
      <c r="AK1633" s="72"/>
      <c r="AL1633" s="72"/>
      <c r="AM1633" s="72"/>
    </row>
    <row r="1634" spans="1:39" x14ac:dyDescent="0.25">
      <c r="A1634" s="37" t="s">
        <v>62</v>
      </c>
      <c r="B1634" s="66" t="s">
        <v>1638</v>
      </c>
      <c r="C1634" s="47">
        <v>1053</v>
      </c>
      <c r="D1634" s="47" t="s">
        <v>527</v>
      </c>
      <c r="E1634" s="41">
        <v>10530005</v>
      </c>
      <c r="F1634" s="46" t="s">
        <v>531</v>
      </c>
      <c r="G1634" s="39" t="s">
        <v>92</v>
      </c>
      <c r="H1634" s="48" t="s">
        <v>93</v>
      </c>
      <c r="I1634" s="52">
        <v>698.25000000000011</v>
      </c>
      <c r="J1634" s="49">
        <v>32757.260000000002</v>
      </c>
      <c r="K1634" s="65">
        <v>690.58</v>
      </c>
      <c r="L1634" s="65">
        <v>32217.829999999991</v>
      </c>
      <c r="M1634" s="65">
        <v>10.09</v>
      </c>
      <c r="N1634" s="65">
        <v>445.88</v>
      </c>
      <c r="O1634" s="65">
        <v>700.67000000000007</v>
      </c>
      <c r="P1634" s="65">
        <v>32663.709999999992</v>
      </c>
      <c r="Q1634" s="50">
        <v>32663.709999999992</v>
      </c>
      <c r="R1634" s="65">
        <v>0</v>
      </c>
      <c r="S1634" s="65">
        <v>445.88</v>
      </c>
      <c r="T1634" s="65">
        <v>0</v>
      </c>
      <c r="U1634" s="65">
        <v>259</v>
      </c>
      <c r="V1634" s="65">
        <v>0</v>
      </c>
      <c r="W1634" s="65">
        <v>0</v>
      </c>
      <c r="X1634" s="65">
        <v>31961</v>
      </c>
      <c r="Y1634" s="65">
        <v>0</v>
      </c>
      <c r="Z1634" s="65">
        <v>0</v>
      </c>
      <c r="AA1634" s="51">
        <v>91</v>
      </c>
      <c r="AB1634" s="102">
        <v>0</v>
      </c>
      <c r="AC1634" s="81">
        <f t="shared" si="78"/>
        <v>1.6419679197994055</v>
      </c>
      <c r="AD1634" s="82">
        <f t="shared" si="79"/>
        <v>99.750000000000014</v>
      </c>
      <c r="AE1634" s="218">
        <v>2.8558554653231125E-3</v>
      </c>
      <c r="AF1634">
        <v>19</v>
      </c>
      <c r="AH1634" t="str">
        <f t="shared" si="80"/>
        <v>Kalyanpur</v>
      </c>
      <c r="AJ1634" s="72">
        <v>0</v>
      </c>
      <c r="AK1634" s="72"/>
      <c r="AL1634" s="72"/>
      <c r="AM1634" s="72"/>
    </row>
    <row r="1635" spans="1:39" x14ac:dyDescent="0.25">
      <c r="A1635" s="37" t="s">
        <v>62</v>
      </c>
      <c r="B1635" s="66" t="s">
        <v>1638</v>
      </c>
      <c r="C1635" s="47">
        <v>1053</v>
      </c>
      <c r="D1635" s="47" t="s">
        <v>527</v>
      </c>
      <c r="E1635" s="41">
        <v>10530006</v>
      </c>
      <c r="F1635" s="46" t="s">
        <v>532</v>
      </c>
      <c r="G1635" s="39" t="s">
        <v>92</v>
      </c>
      <c r="H1635" s="48" t="s">
        <v>93</v>
      </c>
      <c r="I1635" s="52">
        <v>1214.1000000000001</v>
      </c>
      <c r="J1635" s="49">
        <v>55504.530000000006</v>
      </c>
      <c r="K1635" s="65">
        <v>1184.1799999999998</v>
      </c>
      <c r="L1635" s="65">
        <v>52604.69999999999</v>
      </c>
      <c r="M1635" s="65">
        <v>54.800000000000011</v>
      </c>
      <c r="N1635" s="65">
        <v>2888.3299999999995</v>
      </c>
      <c r="O1635" s="65">
        <v>1238.9799999999998</v>
      </c>
      <c r="P1635" s="65">
        <v>55493.029999999992</v>
      </c>
      <c r="Q1635" s="50">
        <v>55493.029999999992</v>
      </c>
      <c r="R1635" s="65">
        <v>0</v>
      </c>
      <c r="S1635" s="65">
        <v>2888.3299999999995</v>
      </c>
      <c r="T1635" s="65">
        <v>0</v>
      </c>
      <c r="U1635" s="65">
        <v>0</v>
      </c>
      <c r="V1635" s="65">
        <v>0</v>
      </c>
      <c r="W1635" s="65">
        <v>0</v>
      </c>
      <c r="X1635" s="65">
        <v>52606</v>
      </c>
      <c r="Y1635" s="65">
        <v>0</v>
      </c>
      <c r="Z1635" s="65">
        <v>0</v>
      </c>
      <c r="AA1635" s="51">
        <v>10</v>
      </c>
      <c r="AB1635" s="102">
        <v>0</v>
      </c>
      <c r="AC1635" s="81">
        <f t="shared" si="78"/>
        <v>0</v>
      </c>
      <c r="AD1635" s="82">
        <f t="shared" si="79"/>
        <v>0</v>
      </c>
      <c r="AE1635" s="218">
        <v>2.0719029599952564E-4</v>
      </c>
      <c r="AF1635">
        <v>62</v>
      </c>
      <c r="AH1635" t="str">
        <f t="shared" si="80"/>
        <v>Kalyanpur</v>
      </c>
      <c r="AJ1635" s="72">
        <v>0</v>
      </c>
      <c r="AK1635" s="72"/>
      <c r="AL1635" s="72"/>
      <c r="AM1635" s="72"/>
    </row>
    <row r="1636" spans="1:39" x14ac:dyDescent="0.25">
      <c r="A1636" s="37" t="s">
        <v>62</v>
      </c>
      <c r="B1636" s="66" t="s">
        <v>1638</v>
      </c>
      <c r="C1636" s="47">
        <v>1053</v>
      </c>
      <c r="D1636" s="47" t="s">
        <v>527</v>
      </c>
      <c r="E1636" s="41">
        <v>10530007</v>
      </c>
      <c r="F1636" s="46" t="s">
        <v>533</v>
      </c>
      <c r="G1636" s="39" t="s">
        <v>92</v>
      </c>
      <c r="H1636" s="48" t="s">
        <v>93</v>
      </c>
      <c r="I1636" s="52">
        <v>471.00000000000006</v>
      </c>
      <c r="J1636" s="49">
        <v>20727.230000000003</v>
      </c>
      <c r="K1636" s="65">
        <v>451.6</v>
      </c>
      <c r="L1636" s="65">
        <v>20724.59</v>
      </c>
      <c r="M1636" s="65">
        <v>0</v>
      </c>
      <c r="N1636" s="65">
        <v>0</v>
      </c>
      <c r="O1636" s="65">
        <v>451.6</v>
      </c>
      <c r="P1636" s="65">
        <v>20724.59</v>
      </c>
      <c r="Q1636" s="50">
        <v>20724.59</v>
      </c>
      <c r="R1636" s="65">
        <v>0</v>
      </c>
      <c r="S1636" s="65">
        <v>0</v>
      </c>
      <c r="T1636" s="65">
        <v>0</v>
      </c>
      <c r="U1636" s="65">
        <v>4378</v>
      </c>
      <c r="V1636" s="65">
        <v>0</v>
      </c>
      <c r="W1636" s="65">
        <v>0</v>
      </c>
      <c r="X1636" s="65">
        <v>16347</v>
      </c>
      <c r="Y1636" s="65">
        <v>0</v>
      </c>
      <c r="Z1636" s="65">
        <v>0</v>
      </c>
      <c r="AA1636" s="51">
        <v>2</v>
      </c>
      <c r="AB1636" s="102">
        <v>0</v>
      </c>
      <c r="AC1636" s="81">
        <f t="shared" si="78"/>
        <v>201.55140849256898</v>
      </c>
      <c r="AD1636" s="82">
        <f t="shared" si="79"/>
        <v>67.285714285714292</v>
      </c>
      <c r="AE1636" s="218">
        <v>1.273686836110303E-4</v>
      </c>
      <c r="AF1636">
        <v>11</v>
      </c>
      <c r="AH1636" t="str">
        <f t="shared" si="80"/>
        <v>Kalyanpur</v>
      </c>
      <c r="AJ1636" s="72">
        <v>0</v>
      </c>
      <c r="AK1636" s="72"/>
      <c r="AL1636" s="72"/>
      <c r="AM1636" s="72"/>
    </row>
    <row r="1637" spans="1:39" x14ac:dyDescent="0.25">
      <c r="A1637" s="37" t="s">
        <v>62</v>
      </c>
      <c r="B1637" s="66" t="s">
        <v>1638</v>
      </c>
      <c r="C1637" s="47">
        <v>1053</v>
      </c>
      <c r="D1637" s="47" t="s">
        <v>527</v>
      </c>
      <c r="E1637" s="41">
        <v>10530008</v>
      </c>
      <c r="F1637" s="46" t="s">
        <v>534</v>
      </c>
      <c r="G1637" s="39" t="s">
        <v>92</v>
      </c>
      <c r="H1637" s="48" t="s">
        <v>93</v>
      </c>
      <c r="I1637" s="52">
        <v>374</v>
      </c>
      <c r="J1637" s="49">
        <v>16998.05</v>
      </c>
      <c r="K1637" s="65">
        <v>370.44000000000005</v>
      </c>
      <c r="L1637" s="65">
        <v>16899.420000000002</v>
      </c>
      <c r="M1637" s="65">
        <v>2.2200000000000002</v>
      </c>
      <c r="N1637" s="65">
        <v>94.82</v>
      </c>
      <c r="O1637" s="65">
        <v>372.66000000000008</v>
      </c>
      <c r="P1637" s="65">
        <v>16994.240000000002</v>
      </c>
      <c r="Q1637" s="50">
        <v>16994.240000000002</v>
      </c>
      <c r="R1637" s="65">
        <v>0</v>
      </c>
      <c r="S1637" s="65">
        <v>94.82</v>
      </c>
      <c r="T1637" s="65">
        <v>0</v>
      </c>
      <c r="U1637" s="65">
        <v>1400</v>
      </c>
      <c r="V1637" s="65">
        <v>0</v>
      </c>
      <c r="W1637" s="65">
        <v>0</v>
      </c>
      <c r="X1637" s="65">
        <v>15499</v>
      </c>
      <c r="Y1637" s="65">
        <v>0</v>
      </c>
      <c r="Z1637" s="65">
        <v>0</v>
      </c>
      <c r="AA1637" s="51">
        <v>4</v>
      </c>
      <c r="AB1637" s="102">
        <v>0</v>
      </c>
      <c r="AC1637" s="81">
        <f t="shared" si="78"/>
        <v>296.32964171122995</v>
      </c>
      <c r="AD1637" s="82">
        <f t="shared" si="79"/>
        <v>53.428571428571431</v>
      </c>
      <c r="AE1637" s="218">
        <v>2.2414335762029598E-4</v>
      </c>
      <c r="AF1637">
        <v>7</v>
      </c>
      <c r="AH1637" t="str">
        <f t="shared" si="80"/>
        <v>Kalyanpur</v>
      </c>
      <c r="AJ1637" s="72">
        <v>0</v>
      </c>
      <c r="AK1637" s="72"/>
      <c r="AL1637" s="72"/>
      <c r="AM1637" s="72"/>
    </row>
    <row r="1638" spans="1:39" x14ac:dyDescent="0.25">
      <c r="A1638" s="37" t="s">
        <v>62</v>
      </c>
      <c r="B1638" s="66" t="s">
        <v>1638</v>
      </c>
      <c r="C1638" s="47">
        <v>1053</v>
      </c>
      <c r="D1638" s="47" t="s">
        <v>527</v>
      </c>
      <c r="E1638" s="41">
        <v>10530009</v>
      </c>
      <c r="F1638" s="46" t="s">
        <v>535</v>
      </c>
      <c r="G1638" s="39" t="s">
        <v>1610</v>
      </c>
      <c r="H1638" s="48" t="s">
        <v>98</v>
      </c>
      <c r="I1638" s="52">
        <v>7932.0000000000009</v>
      </c>
      <c r="J1638" s="49">
        <v>326086.43</v>
      </c>
      <c r="K1638" s="65">
        <v>0</v>
      </c>
      <c r="L1638" s="65">
        <v>0</v>
      </c>
      <c r="M1638" s="65">
        <v>0</v>
      </c>
      <c r="N1638" s="65">
        <v>0</v>
      </c>
      <c r="O1638" s="65">
        <v>0</v>
      </c>
      <c r="P1638" s="65">
        <v>0</v>
      </c>
      <c r="Q1638" s="50">
        <v>326086.43</v>
      </c>
      <c r="R1638" s="65">
        <v>0</v>
      </c>
      <c r="S1638" s="65">
        <v>0</v>
      </c>
      <c r="T1638" s="65">
        <v>0</v>
      </c>
      <c r="U1638" s="65">
        <v>0</v>
      </c>
      <c r="V1638" s="65">
        <v>0</v>
      </c>
      <c r="W1638" s="65">
        <v>0</v>
      </c>
      <c r="X1638" s="65">
        <v>0</v>
      </c>
      <c r="Y1638" s="65">
        <v>0</v>
      </c>
      <c r="Z1638" s="65">
        <v>326086.43</v>
      </c>
      <c r="AA1638" s="51">
        <v>0</v>
      </c>
      <c r="AB1638" s="102">
        <v>0</v>
      </c>
      <c r="AC1638" s="81">
        <f t="shared" si="78"/>
        <v>0</v>
      </c>
      <c r="AD1638" s="82">
        <f t="shared" si="79"/>
        <v>0</v>
      </c>
      <c r="AE1638" s="218">
        <v>0</v>
      </c>
      <c r="AF1638">
        <v>0</v>
      </c>
      <c r="AH1638" t="str">
        <f t="shared" si="80"/>
        <v>Kalyanpur</v>
      </c>
      <c r="AJ1638" s="72">
        <v>0</v>
      </c>
      <c r="AK1638" s="72"/>
      <c r="AL1638" s="72"/>
      <c r="AM1638" s="72"/>
    </row>
    <row r="1639" spans="1:39" x14ac:dyDescent="0.25">
      <c r="A1639" s="37" t="s">
        <v>62</v>
      </c>
      <c r="B1639" s="66" t="s">
        <v>1638</v>
      </c>
      <c r="C1639" s="47">
        <v>1053</v>
      </c>
      <c r="D1639" s="47" t="s">
        <v>527</v>
      </c>
      <c r="E1639" s="41">
        <v>10530010</v>
      </c>
      <c r="F1639" s="46" t="s">
        <v>536</v>
      </c>
      <c r="G1639" s="39" t="s">
        <v>1610</v>
      </c>
      <c r="H1639" s="48" t="s">
        <v>98</v>
      </c>
      <c r="I1639" s="52">
        <v>3129.2999999999997</v>
      </c>
      <c r="J1639" s="49">
        <v>133135.13000000003</v>
      </c>
      <c r="K1639" s="65">
        <v>0</v>
      </c>
      <c r="L1639" s="65">
        <v>0</v>
      </c>
      <c r="M1639" s="65">
        <v>0</v>
      </c>
      <c r="N1639" s="65">
        <v>0</v>
      </c>
      <c r="O1639" s="65">
        <v>0</v>
      </c>
      <c r="P1639" s="65">
        <v>0</v>
      </c>
      <c r="Q1639" s="50">
        <v>133135.13000000003</v>
      </c>
      <c r="R1639" s="65">
        <v>0</v>
      </c>
      <c r="S1639" s="65">
        <v>0</v>
      </c>
      <c r="T1639" s="65">
        <v>0</v>
      </c>
      <c r="U1639" s="65">
        <v>0</v>
      </c>
      <c r="V1639" s="65">
        <v>0</v>
      </c>
      <c r="W1639" s="65">
        <v>0</v>
      </c>
      <c r="X1639" s="65">
        <v>0</v>
      </c>
      <c r="Y1639" s="65">
        <v>0</v>
      </c>
      <c r="Z1639" s="65">
        <v>133135.13000000003</v>
      </c>
      <c r="AA1639" s="51">
        <v>0</v>
      </c>
      <c r="AB1639" s="102">
        <v>0</v>
      </c>
      <c r="AC1639" s="81">
        <f t="shared" si="78"/>
        <v>0</v>
      </c>
      <c r="AD1639" s="82">
        <f t="shared" si="79"/>
        <v>0</v>
      </c>
      <c r="AE1639" s="218">
        <v>0</v>
      </c>
      <c r="AF1639">
        <v>0</v>
      </c>
      <c r="AH1639" t="str">
        <f t="shared" si="80"/>
        <v>Kalyanpur</v>
      </c>
      <c r="AJ1639" s="72">
        <v>0</v>
      </c>
      <c r="AK1639" s="72"/>
      <c r="AL1639" s="72"/>
      <c r="AM1639" s="72"/>
    </row>
    <row r="1640" spans="1:39" x14ac:dyDescent="0.25">
      <c r="A1640" s="37" t="s">
        <v>62</v>
      </c>
      <c r="B1640" s="66" t="s">
        <v>1638</v>
      </c>
      <c r="C1640" s="47">
        <v>1053</v>
      </c>
      <c r="D1640" s="47" t="s">
        <v>527</v>
      </c>
      <c r="E1640" s="41">
        <v>10530014</v>
      </c>
      <c r="F1640" s="46" t="s">
        <v>537</v>
      </c>
      <c r="G1640" s="39" t="s">
        <v>1610</v>
      </c>
      <c r="H1640" s="48" t="s">
        <v>98</v>
      </c>
      <c r="I1640" s="52">
        <v>1838.55</v>
      </c>
      <c r="J1640" s="49">
        <v>71703.13</v>
      </c>
      <c r="K1640" s="65">
        <v>0</v>
      </c>
      <c r="L1640" s="65">
        <v>0</v>
      </c>
      <c r="M1640" s="65">
        <v>0</v>
      </c>
      <c r="N1640" s="65">
        <v>0</v>
      </c>
      <c r="O1640" s="65">
        <v>0</v>
      </c>
      <c r="P1640" s="65">
        <v>0</v>
      </c>
      <c r="Q1640" s="50">
        <v>71703.13</v>
      </c>
      <c r="R1640" s="65">
        <v>0</v>
      </c>
      <c r="S1640" s="65">
        <v>0</v>
      </c>
      <c r="T1640" s="65">
        <v>0</v>
      </c>
      <c r="U1640" s="65">
        <v>0</v>
      </c>
      <c r="V1640" s="65">
        <v>0</v>
      </c>
      <c r="W1640" s="65">
        <v>0</v>
      </c>
      <c r="X1640" s="65">
        <v>0</v>
      </c>
      <c r="Y1640" s="65">
        <v>0</v>
      </c>
      <c r="Z1640" s="65">
        <v>71703.13</v>
      </c>
      <c r="AA1640" s="51">
        <v>0</v>
      </c>
      <c r="AB1640" s="102">
        <v>0</v>
      </c>
      <c r="AC1640" s="81">
        <f t="shared" si="78"/>
        <v>0</v>
      </c>
      <c r="AD1640" s="82">
        <f t="shared" si="79"/>
        <v>0</v>
      </c>
      <c r="AE1640" s="218">
        <v>0</v>
      </c>
      <c r="AF1640">
        <v>0</v>
      </c>
      <c r="AH1640" t="str">
        <f t="shared" si="80"/>
        <v>Kalyanpur</v>
      </c>
      <c r="AJ1640" s="72">
        <v>0</v>
      </c>
      <c r="AK1640" s="72"/>
      <c r="AL1640" s="72"/>
      <c r="AM1640" s="72"/>
    </row>
    <row r="1641" spans="1:39" x14ac:dyDescent="0.25">
      <c r="A1641" s="37" t="s">
        <v>62</v>
      </c>
      <c r="B1641" s="66" t="s">
        <v>1638</v>
      </c>
      <c r="C1641" s="47">
        <v>1053</v>
      </c>
      <c r="D1641" s="47" t="s">
        <v>527</v>
      </c>
      <c r="E1641" s="41">
        <v>10530015</v>
      </c>
      <c r="F1641" s="46" t="s">
        <v>538</v>
      </c>
      <c r="G1641" s="39" t="s">
        <v>1610</v>
      </c>
      <c r="H1641" s="48" t="s">
        <v>98</v>
      </c>
      <c r="I1641" s="52">
        <v>630.15</v>
      </c>
      <c r="J1641" s="49">
        <v>25160.32</v>
      </c>
      <c r="K1641" s="65">
        <v>0</v>
      </c>
      <c r="L1641" s="65">
        <v>0</v>
      </c>
      <c r="M1641" s="65">
        <v>0</v>
      </c>
      <c r="N1641" s="65">
        <v>0</v>
      </c>
      <c r="O1641" s="65">
        <v>0</v>
      </c>
      <c r="P1641" s="65">
        <v>0</v>
      </c>
      <c r="Q1641" s="50">
        <v>25160.32</v>
      </c>
      <c r="R1641" s="65">
        <v>0</v>
      </c>
      <c r="S1641" s="65">
        <v>0</v>
      </c>
      <c r="T1641" s="65">
        <v>0</v>
      </c>
      <c r="U1641" s="65">
        <v>7400</v>
      </c>
      <c r="V1641" s="65">
        <v>0</v>
      </c>
      <c r="W1641" s="65">
        <v>0</v>
      </c>
      <c r="X1641" s="65">
        <v>0</v>
      </c>
      <c r="Y1641" s="65">
        <v>0</v>
      </c>
      <c r="Z1641" s="65">
        <v>17760.32</v>
      </c>
      <c r="AA1641" s="51">
        <v>0</v>
      </c>
      <c r="AB1641" s="102">
        <v>0</v>
      </c>
      <c r="AC1641" s="81">
        <f t="shared" si="78"/>
        <v>55.778730524478298</v>
      </c>
      <c r="AD1641" s="82">
        <f t="shared" si="79"/>
        <v>90.021428571428572</v>
      </c>
      <c r="AE1641" s="218">
        <v>0</v>
      </c>
      <c r="AF1641">
        <v>0</v>
      </c>
      <c r="AH1641" t="str">
        <f t="shared" si="80"/>
        <v>Kalyanpur</v>
      </c>
      <c r="AJ1641" s="72">
        <v>0</v>
      </c>
      <c r="AK1641" s="72"/>
      <c r="AL1641" s="72"/>
      <c r="AM1641" s="72"/>
    </row>
    <row r="1642" spans="1:39" x14ac:dyDescent="0.25">
      <c r="A1642" s="37" t="s">
        <v>62</v>
      </c>
      <c r="B1642" s="66" t="s">
        <v>1638</v>
      </c>
      <c r="C1642" s="47">
        <v>1053</v>
      </c>
      <c r="D1642" s="47" t="s">
        <v>527</v>
      </c>
      <c r="E1642" s="41">
        <v>10530016</v>
      </c>
      <c r="F1642" s="46" t="s">
        <v>539</v>
      </c>
      <c r="G1642" s="39" t="s">
        <v>1610</v>
      </c>
      <c r="H1642" s="48" t="s">
        <v>98</v>
      </c>
      <c r="I1642" s="52">
        <v>875.74999999999989</v>
      </c>
      <c r="J1642" s="49">
        <v>34865.829999999994</v>
      </c>
      <c r="K1642" s="65">
        <v>0</v>
      </c>
      <c r="L1642" s="65">
        <v>0</v>
      </c>
      <c r="M1642" s="65">
        <v>0</v>
      </c>
      <c r="N1642" s="65">
        <v>0</v>
      </c>
      <c r="O1642" s="65">
        <v>0</v>
      </c>
      <c r="P1642" s="65">
        <v>0</v>
      </c>
      <c r="Q1642" s="50">
        <v>34865.829999999994</v>
      </c>
      <c r="R1642" s="65">
        <v>0</v>
      </c>
      <c r="S1642" s="65">
        <v>0</v>
      </c>
      <c r="T1642" s="65">
        <v>0</v>
      </c>
      <c r="U1642" s="65">
        <v>1300</v>
      </c>
      <c r="V1642" s="65">
        <v>0</v>
      </c>
      <c r="W1642" s="65">
        <v>0</v>
      </c>
      <c r="X1642" s="65">
        <v>0</v>
      </c>
      <c r="Y1642" s="65">
        <v>0</v>
      </c>
      <c r="Z1642" s="65">
        <v>33565.829999999994</v>
      </c>
      <c r="AA1642" s="51">
        <v>0</v>
      </c>
      <c r="AB1642" s="102">
        <v>0</v>
      </c>
      <c r="AC1642" s="81">
        <f t="shared" si="78"/>
        <v>0</v>
      </c>
      <c r="AD1642" s="82">
        <f t="shared" si="79"/>
        <v>0</v>
      </c>
      <c r="AE1642" s="218">
        <v>0</v>
      </c>
      <c r="AF1642">
        <v>0</v>
      </c>
      <c r="AH1642" t="str">
        <f t="shared" si="80"/>
        <v>Kalyanpur</v>
      </c>
      <c r="AJ1642" s="72">
        <v>0</v>
      </c>
      <c r="AK1642" s="72"/>
      <c r="AL1642" s="72"/>
      <c r="AM1642" s="72"/>
    </row>
    <row r="1643" spans="1:39" x14ac:dyDescent="0.25">
      <c r="A1643" s="37" t="s">
        <v>62</v>
      </c>
      <c r="B1643" s="66" t="s">
        <v>1638</v>
      </c>
      <c r="C1643" s="47">
        <v>1053</v>
      </c>
      <c r="D1643" s="47" t="s">
        <v>527</v>
      </c>
      <c r="E1643" s="41">
        <v>10530017</v>
      </c>
      <c r="F1643" s="46" t="s">
        <v>540</v>
      </c>
      <c r="G1643" s="39" t="s">
        <v>1610</v>
      </c>
      <c r="H1643" s="48" t="s">
        <v>98</v>
      </c>
      <c r="I1643" s="52">
        <v>3242.8499999999995</v>
      </c>
      <c r="J1643" s="49">
        <v>142786.66</v>
      </c>
      <c r="K1643" s="65">
        <v>0</v>
      </c>
      <c r="L1643" s="65">
        <v>0</v>
      </c>
      <c r="M1643" s="65">
        <v>0</v>
      </c>
      <c r="N1643" s="65">
        <v>0</v>
      </c>
      <c r="O1643" s="65">
        <v>0</v>
      </c>
      <c r="P1643" s="65">
        <v>0</v>
      </c>
      <c r="Q1643" s="50">
        <v>142786.66</v>
      </c>
      <c r="R1643" s="65">
        <v>0</v>
      </c>
      <c r="S1643" s="65">
        <v>0</v>
      </c>
      <c r="T1643" s="65">
        <v>0</v>
      </c>
      <c r="U1643" s="65">
        <v>0</v>
      </c>
      <c r="V1643" s="65">
        <v>0</v>
      </c>
      <c r="W1643" s="65">
        <v>0</v>
      </c>
      <c r="X1643" s="65">
        <v>0</v>
      </c>
      <c r="Y1643" s="65">
        <v>0</v>
      </c>
      <c r="Z1643" s="65">
        <v>142786.66</v>
      </c>
      <c r="AA1643" s="51">
        <v>0</v>
      </c>
      <c r="AB1643" s="102">
        <v>0</v>
      </c>
      <c r="AC1643" s="81">
        <f t="shared" si="78"/>
        <v>0</v>
      </c>
      <c r="AD1643" s="82">
        <f t="shared" si="79"/>
        <v>0</v>
      </c>
      <c r="AE1643" s="218">
        <v>0</v>
      </c>
      <c r="AF1643">
        <v>0</v>
      </c>
      <c r="AH1643" t="str">
        <f t="shared" si="80"/>
        <v>Kalyanpur</v>
      </c>
      <c r="AJ1643" s="72">
        <v>0</v>
      </c>
      <c r="AK1643" s="72"/>
      <c r="AL1643" s="72"/>
      <c r="AM1643" s="72"/>
    </row>
    <row r="1644" spans="1:39" x14ac:dyDescent="0.25">
      <c r="A1644" s="37" t="s">
        <v>62</v>
      </c>
      <c r="B1644" s="66" t="s">
        <v>1638</v>
      </c>
      <c r="C1644" s="47">
        <v>1053</v>
      </c>
      <c r="D1644" s="47" t="s">
        <v>527</v>
      </c>
      <c r="E1644" s="41">
        <v>10530018</v>
      </c>
      <c r="F1644" s="46" t="s">
        <v>541</v>
      </c>
      <c r="G1644" s="39" t="s">
        <v>1610</v>
      </c>
      <c r="H1644" s="48" t="s">
        <v>98</v>
      </c>
      <c r="I1644" s="52">
        <v>1157.8499999999999</v>
      </c>
      <c r="J1644" s="49">
        <v>47569.119999999995</v>
      </c>
      <c r="K1644" s="65">
        <v>0</v>
      </c>
      <c r="L1644" s="65">
        <v>0</v>
      </c>
      <c r="M1644" s="65">
        <v>0</v>
      </c>
      <c r="N1644" s="65">
        <v>0</v>
      </c>
      <c r="O1644" s="65">
        <v>0</v>
      </c>
      <c r="P1644" s="65">
        <v>0</v>
      </c>
      <c r="Q1644" s="50">
        <v>47569.119999999995</v>
      </c>
      <c r="R1644" s="65">
        <v>0</v>
      </c>
      <c r="S1644" s="65">
        <v>0</v>
      </c>
      <c r="T1644" s="65">
        <v>0</v>
      </c>
      <c r="U1644" s="65">
        <v>0</v>
      </c>
      <c r="V1644" s="65">
        <v>0</v>
      </c>
      <c r="W1644" s="65">
        <v>0</v>
      </c>
      <c r="X1644" s="65">
        <v>0</v>
      </c>
      <c r="Y1644" s="65">
        <v>0</v>
      </c>
      <c r="Z1644" s="65">
        <v>47569.119999999995</v>
      </c>
      <c r="AA1644" s="51">
        <v>0</v>
      </c>
      <c r="AB1644" s="102">
        <v>0</v>
      </c>
      <c r="AC1644" s="81">
        <f t="shared" si="78"/>
        <v>0</v>
      </c>
      <c r="AD1644" s="82">
        <f t="shared" si="79"/>
        <v>0</v>
      </c>
      <c r="AE1644" s="218">
        <v>0</v>
      </c>
      <c r="AF1644">
        <v>0</v>
      </c>
      <c r="AH1644" t="str">
        <f t="shared" si="80"/>
        <v>Kalyanpur</v>
      </c>
      <c r="AJ1644" s="72">
        <v>0</v>
      </c>
      <c r="AK1644" s="72"/>
      <c r="AL1644" s="72"/>
      <c r="AM1644" s="72"/>
    </row>
    <row r="1645" spans="1:39" x14ac:dyDescent="0.25">
      <c r="A1645" s="37" t="s">
        <v>62</v>
      </c>
      <c r="B1645" s="66" t="s">
        <v>1638</v>
      </c>
      <c r="C1645" s="47">
        <v>1053</v>
      </c>
      <c r="D1645" s="47" t="s">
        <v>527</v>
      </c>
      <c r="E1645" s="41">
        <v>10530019</v>
      </c>
      <c r="F1645" s="46" t="s">
        <v>542</v>
      </c>
      <c r="G1645" s="39" t="s">
        <v>1610</v>
      </c>
      <c r="H1645" s="48" t="s">
        <v>98</v>
      </c>
      <c r="I1645" s="52">
        <v>1422.3000000000002</v>
      </c>
      <c r="J1645" s="49">
        <v>58403.81</v>
      </c>
      <c r="K1645" s="65">
        <v>0</v>
      </c>
      <c r="L1645" s="65">
        <v>0</v>
      </c>
      <c r="M1645" s="65">
        <v>0</v>
      </c>
      <c r="N1645" s="65">
        <v>0</v>
      </c>
      <c r="O1645" s="65">
        <v>0</v>
      </c>
      <c r="P1645" s="65">
        <v>0</v>
      </c>
      <c r="Q1645" s="50">
        <v>58403.81</v>
      </c>
      <c r="R1645" s="65">
        <v>0</v>
      </c>
      <c r="S1645" s="65">
        <v>0</v>
      </c>
      <c r="T1645" s="65">
        <v>0</v>
      </c>
      <c r="U1645" s="65">
        <v>0</v>
      </c>
      <c r="V1645" s="65">
        <v>0</v>
      </c>
      <c r="W1645" s="65">
        <v>0</v>
      </c>
      <c r="X1645" s="65">
        <v>0</v>
      </c>
      <c r="Y1645" s="65">
        <v>0</v>
      </c>
      <c r="Z1645" s="65">
        <v>58403.81</v>
      </c>
      <c r="AA1645" s="51">
        <v>0</v>
      </c>
      <c r="AB1645" s="102">
        <v>0</v>
      </c>
      <c r="AC1645" s="81">
        <f t="shared" si="78"/>
        <v>0</v>
      </c>
      <c r="AD1645" s="82">
        <f t="shared" si="79"/>
        <v>0</v>
      </c>
      <c r="AE1645" s="218">
        <v>0</v>
      </c>
      <c r="AF1645">
        <v>0</v>
      </c>
      <c r="AH1645" t="str">
        <f t="shared" si="80"/>
        <v>Kalyanpur</v>
      </c>
      <c r="AJ1645" s="72">
        <v>0</v>
      </c>
      <c r="AK1645" s="72"/>
      <c r="AL1645" s="72"/>
      <c r="AM1645" s="72"/>
    </row>
    <row r="1646" spans="1:39" x14ac:dyDescent="0.25">
      <c r="A1646" s="37" t="s">
        <v>62</v>
      </c>
      <c r="B1646" s="66" t="s">
        <v>1638</v>
      </c>
      <c r="C1646" s="47">
        <v>1053</v>
      </c>
      <c r="D1646" s="47" t="s">
        <v>527</v>
      </c>
      <c r="E1646" s="41">
        <v>10530025</v>
      </c>
      <c r="F1646" s="46" t="s">
        <v>544</v>
      </c>
      <c r="G1646" s="39" t="s">
        <v>1610</v>
      </c>
      <c r="H1646" s="48" t="s">
        <v>98</v>
      </c>
      <c r="I1646" s="52">
        <v>174.45</v>
      </c>
      <c r="J1646" s="49">
        <v>7775.3600000000006</v>
      </c>
      <c r="K1646" s="65">
        <v>0</v>
      </c>
      <c r="L1646" s="65">
        <v>0</v>
      </c>
      <c r="M1646" s="65">
        <v>0</v>
      </c>
      <c r="N1646" s="65">
        <v>0</v>
      </c>
      <c r="O1646" s="65">
        <v>0</v>
      </c>
      <c r="P1646" s="65">
        <v>0</v>
      </c>
      <c r="Q1646" s="50">
        <v>7775.3600000000006</v>
      </c>
      <c r="R1646" s="65">
        <v>0</v>
      </c>
      <c r="S1646" s="65">
        <v>0</v>
      </c>
      <c r="T1646" s="65">
        <v>0</v>
      </c>
      <c r="U1646" s="65">
        <v>0</v>
      </c>
      <c r="V1646" s="65">
        <v>0</v>
      </c>
      <c r="W1646" s="65">
        <v>0</v>
      </c>
      <c r="X1646" s="65">
        <v>0</v>
      </c>
      <c r="Y1646" s="65">
        <v>0</v>
      </c>
      <c r="Z1646" s="65">
        <v>7775.3600000000006</v>
      </c>
      <c r="AA1646" s="51">
        <v>0</v>
      </c>
      <c r="AB1646" s="102">
        <v>0</v>
      </c>
      <c r="AC1646" s="81">
        <f t="shared" si="78"/>
        <v>468.48271114932641</v>
      </c>
      <c r="AD1646" s="82">
        <f t="shared" si="79"/>
        <v>24.921428571428571</v>
      </c>
      <c r="AE1646" s="218">
        <v>0</v>
      </c>
      <c r="AF1646">
        <v>0</v>
      </c>
      <c r="AH1646" t="str">
        <f t="shared" si="80"/>
        <v>Kalyanpur</v>
      </c>
      <c r="AJ1646" s="72">
        <v>0</v>
      </c>
      <c r="AK1646" s="72"/>
      <c r="AL1646" s="72"/>
      <c r="AM1646" s="72"/>
    </row>
    <row r="1647" spans="1:39" x14ac:dyDescent="0.25">
      <c r="A1647" s="37" t="s">
        <v>62</v>
      </c>
      <c r="B1647" s="66" t="s">
        <v>1638</v>
      </c>
      <c r="C1647" s="47">
        <v>1053</v>
      </c>
      <c r="D1647" s="47" t="s">
        <v>527</v>
      </c>
      <c r="E1647" s="41">
        <v>10530029</v>
      </c>
      <c r="F1647" s="46" t="s">
        <v>550</v>
      </c>
      <c r="G1647" s="39" t="s">
        <v>1610</v>
      </c>
      <c r="H1647" s="48" t="s">
        <v>98</v>
      </c>
      <c r="I1647" s="52">
        <v>1308.3999999999999</v>
      </c>
      <c r="J1647" s="49">
        <v>57035.37000000001</v>
      </c>
      <c r="K1647" s="65">
        <v>0</v>
      </c>
      <c r="L1647" s="65">
        <v>0</v>
      </c>
      <c r="M1647" s="65">
        <v>0</v>
      </c>
      <c r="N1647" s="65">
        <v>0</v>
      </c>
      <c r="O1647" s="65">
        <v>0</v>
      </c>
      <c r="P1647" s="65">
        <v>0</v>
      </c>
      <c r="Q1647" s="50">
        <v>57035.37000000001</v>
      </c>
      <c r="R1647" s="65">
        <v>0</v>
      </c>
      <c r="S1647" s="65">
        <v>0</v>
      </c>
      <c r="T1647" s="65">
        <v>0</v>
      </c>
      <c r="U1647" s="65">
        <v>0</v>
      </c>
      <c r="V1647" s="65">
        <v>0</v>
      </c>
      <c r="W1647" s="65">
        <v>0</v>
      </c>
      <c r="X1647" s="65">
        <v>0</v>
      </c>
      <c r="Y1647" s="65">
        <v>0</v>
      </c>
      <c r="Z1647" s="65">
        <v>57035.37000000001</v>
      </c>
      <c r="AA1647" s="51">
        <v>0</v>
      </c>
      <c r="AB1647" s="102">
        <v>0</v>
      </c>
      <c r="AC1647" s="81">
        <f t="shared" si="78"/>
        <v>0</v>
      </c>
      <c r="AD1647" s="82">
        <f t="shared" si="79"/>
        <v>0</v>
      </c>
      <c r="AE1647" s="218">
        <v>0</v>
      </c>
      <c r="AF1647">
        <v>0</v>
      </c>
      <c r="AH1647" t="str">
        <f t="shared" si="80"/>
        <v>Kalyanpur</v>
      </c>
      <c r="AJ1647" s="72">
        <v>0</v>
      </c>
      <c r="AK1647" s="72"/>
      <c r="AL1647" s="72"/>
      <c r="AM1647" s="72"/>
    </row>
    <row r="1648" spans="1:39" x14ac:dyDescent="0.25">
      <c r="A1648" s="37" t="s">
        <v>62</v>
      </c>
      <c r="B1648" s="66" t="s">
        <v>1638</v>
      </c>
      <c r="C1648" s="47">
        <v>1053</v>
      </c>
      <c r="D1648" s="47" t="s">
        <v>527</v>
      </c>
      <c r="E1648" s="41">
        <v>10530030</v>
      </c>
      <c r="F1648" s="46" t="s">
        <v>551</v>
      </c>
      <c r="G1648" s="39" t="s">
        <v>1610</v>
      </c>
      <c r="H1648" s="48" t="s">
        <v>98</v>
      </c>
      <c r="I1648" s="52">
        <v>306.79999999999995</v>
      </c>
      <c r="J1648" s="49">
        <v>12517.529999999999</v>
      </c>
      <c r="K1648" s="65">
        <v>0</v>
      </c>
      <c r="L1648" s="65">
        <v>0</v>
      </c>
      <c r="M1648" s="65">
        <v>0</v>
      </c>
      <c r="N1648" s="65">
        <v>0</v>
      </c>
      <c r="O1648" s="65">
        <v>0</v>
      </c>
      <c r="P1648" s="65">
        <v>0</v>
      </c>
      <c r="Q1648" s="50">
        <v>12517.529999999999</v>
      </c>
      <c r="R1648" s="65">
        <v>0</v>
      </c>
      <c r="S1648" s="65">
        <v>0</v>
      </c>
      <c r="T1648" s="65">
        <v>0</v>
      </c>
      <c r="U1648" s="65">
        <v>0</v>
      </c>
      <c r="V1648" s="65">
        <v>0</v>
      </c>
      <c r="W1648" s="65">
        <v>0</v>
      </c>
      <c r="X1648" s="65">
        <v>0</v>
      </c>
      <c r="Y1648" s="65">
        <v>0</v>
      </c>
      <c r="Z1648" s="65">
        <v>12517.529999999999</v>
      </c>
      <c r="AA1648" s="51">
        <v>0</v>
      </c>
      <c r="AB1648" s="102">
        <v>0</v>
      </c>
      <c r="AC1648" s="81">
        <f t="shared" si="78"/>
        <v>320.85350691003919</v>
      </c>
      <c r="AD1648" s="82">
        <f t="shared" si="79"/>
        <v>43.828571428571422</v>
      </c>
      <c r="AE1648" s="218">
        <v>0</v>
      </c>
      <c r="AF1648">
        <v>0</v>
      </c>
      <c r="AH1648" t="str">
        <f t="shared" si="80"/>
        <v>Kalyanpur</v>
      </c>
      <c r="AJ1648" s="72">
        <v>0</v>
      </c>
      <c r="AK1648" s="72"/>
      <c r="AL1648" s="72"/>
      <c r="AM1648" s="72"/>
    </row>
    <row r="1649" spans="1:39" x14ac:dyDescent="0.25">
      <c r="A1649" s="37" t="s">
        <v>62</v>
      </c>
      <c r="B1649" s="66" t="s">
        <v>1638</v>
      </c>
      <c r="C1649" s="47">
        <v>1053</v>
      </c>
      <c r="D1649" s="47" t="s">
        <v>527</v>
      </c>
      <c r="E1649" s="41">
        <v>10530031</v>
      </c>
      <c r="F1649" s="46" t="s">
        <v>425</v>
      </c>
      <c r="G1649" s="39" t="s">
        <v>1610</v>
      </c>
      <c r="H1649" s="48" t="s">
        <v>98</v>
      </c>
      <c r="I1649" s="52">
        <v>3429.2</v>
      </c>
      <c r="J1649" s="49">
        <v>143759.04999999999</v>
      </c>
      <c r="K1649" s="65">
        <v>0</v>
      </c>
      <c r="L1649" s="65">
        <v>0</v>
      </c>
      <c r="M1649" s="65">
        <v>0</v>
      </c>
      <c r="N1649" s="65">
        <v>0</v>
      </c>
      <c r="O1649" s="65">
        <v>0</v>
      </c>
      <c r="P1649" s="65">
        <v>0</v>
      </c>
      <c r="Q1649" s="50">
        <v>143759.04999999999</v>
      </c>
      <c r="R1649" s="65">
        <v>0</v>
      </c>
      <c r="S1649" s="65">
        <v>0</v>
      </c>
      <c r="T1649" s="65">
        <v>0</v>
      </c>
      <c r="U1649" s="65">
        <v>0</v>
      </c>
      <c r="V1649" s="65">
        <v>0</v>
      </c>
      <c r="W1649" s="65">
        <v>0</v>
      </c>
      <c r="X1649" s="65">
        <v>0</v>
      </c>
      <c r="Y1649" s="65">
        <v>0</v>
      </c>
      <c r="Z1649" s="65">
        <v>143759.04999999999</v>
      </c>
      <c r="AA1649" s="51">
        <v>0</v>
      </c>
      <c r="AB1649" s="102">
        <v>0</v>
      </c>
      <c r="AC1649" s="81">
        <f t="shared" si="78"/>
        <v>0</v>
      </c>
      <c r="AD1649" s="82">
        <f t="shared" si="79"/>
        <v>0</v>
      </c>
      <c r="AE1649" s="218">
        <v>0</v>
      </c>
      <c r="AF1649">
        <v>0</v>
      </c>
      <c r="AH1649" t="str">
        <f t="shared" si="80"/>
        <v>Kalyanpur</v>
      </c>
      <c r="AJ1649" s="72">
        <v>0</v>
      </c>
      <c r="AK1649" s="72"/>
      <c r="AL1649" s="72"/>
      <c r="AM1649" s="72"/>
    </row>
    <row r="1650" spans="1:39" x14ac:dyDescent="0.25">
      <c r="A1650" s="37" t="s">
        <v>62</v>
      </c>
      <c r="B1650" s="66" t="s">
        <v>1638</v>
      </c>
      <c r="C1650" s="47">
        <v>1053</v>
      </c>
      <c r="D1650" s="47" t="s">
        <v>527</v>
      </c>
      <c r="E1650" s="41">
        <v>10530032</v>
      </c>
      <c r="F1650" s="46" t="s">
        <v>565</v>
      </c>
      <c r="G1650" s="39" t="s">
        <v>92</v>
      </c>
      <c r="H1650" s="48" t="s">
        <v>93</v>
      </c>
      <c r="I1650" s="52">
        <v>504.95</v>
      </c>
      <c r="J1650" s="49">
        <v>23833.269999999997</v>
      </c>
      <c r="K1650" s="65">
        <v>505.12999999999994</v>
      </c>
      <c r="L1650" s="65">
        <v>23101.99</v>
      </c>
      <c r="M1650" s="65">
        <v>11.77</v>
      </c>
      <c r="N1650" s="65">
        <v>712.38999999999987</v>
      </c>
      <c r="O1650" s="65">
        <v>516.9</v>
      </c>
      <c r="P1650" s="65">
        <v>23814.38</v>
      </c>
      <c r="Q1650" s="50">
        <v>23814.38</v>
      </c>
      <c r="R1650" s="65">
        <v>0</v>
      </c>
      <c r="S1650" s="65">
        <v>712.38999999999987</v>
      </c>
      <c r="T1650" s="65">
        <v>0</v>
      </c>
      <c r="U1650" s="65">
        <v>1364.3</v>
      </c>
      <c r="V1650" s="65">
        <v>0</v>
      </c>
      <c r="W1650" s="65">
        <v>0</v>
      </c>
      <c r="X1650" s="65">
        <v>21738</v>
      </c>
      <c r="Y1650" s="65">
        <v>0</v>
      </c>
      <c r="Z1650" s="65">
        <v>0</v>
      </c>
      <c r="AA1650" s="51">
        <v>19</v>
      </c>
      <c r="AB1650" s="102">
        <v>0</v>
      </c>
      <c r="AC1650" s="81">
        <f t="shared" si="78"/>
        <v>184.12434155857014</v>
      </c>
      <c r="AD1650" s="82">
        <f t="shared" si="79"/>
        <v>72.135714285714286</v>
      </c>
      <c r="AE1650" s="218">
        <v>7.9258951876917357E-4</v>
      </c>
      <c r="AF1650">
        <v>22</v>
      </c>
      <c r="AH1650" t="str">
        <f t="shared" si="80"/>
        <v>Kalyanpur</v>
      </c>
      <c r="AJ1650" s="72">
        <v>0</v>
      </c>
      <c r="AK1650" s="72"/>
      <c r="AL1650" s="72"/>
      <c r="AM1650" s="72"/>
    </row>
    <row r="1651" spans="1:39" x14ac:dyDescent="0.25">
      <c r="A1651" s="37" t="s">
        <v>62</v>
      </c>
      <c r="B1651" s="66" t="s">
        <v>1638</v>
      </c>
      <c r="C1651" s="47">
        <v>1053</v>
      </c>
      <c r="D1651" s="47" t="s">
        <v>527</v>
      </c>
      <c r="E1651" s="41">
        <v>10530033</v>
      </c>
      <c r="F1651" s="46" t="s">
        <v>585</v>
      </c>
      <c r="G1651" s="39" t="s">
        <v>92</v>
      </c>
      <c r="H1651" s="48" t="s">
        <v>93</v>
      </c>
      <c r="I1651" s="52">
        <v>847.50000000000023</v>
      </c>
      <c r="J1651" s="49">
        <v>38144.85</v>
      </c>
      <c r="K1651" s="65">
        <v>840.29999999999973</v>
      </c>
      <c r="L1651" s="65">
        <v>37473.43</v>
      </c>
      <c r="M1651" s="65">
        <v>14.050000000000002</v>
      </c>
      <c r="N1651" s="65">
        <v>602.30999999999995</v>
      </c>
      <c r="O1651" s="65">
        <v>854.34999999999968</v>
      </c>
      <c r="P1651" s="65">
        <v>38075.74</v>
      </c>
      <c r="Q1651" s="50">
        <v>38075.74</v>
      </c>
      <c r="R1651" s="65">
        <v>0</v>
      </c>
      <c r="S1651" s="65">
        <v>602.30999999999995</v>
      </c>
      <c r="T1651" s="65">
        <v>0</v>
      </c>
      <c r="U1651" s="65">
        <v>5411</v>
      </c>
      <c r="V1651" s="65">
        <v>0</v>
      </c>
      <c r="W1651" s="65">
        <v>0</v>
      </c>
      <c r="X1651" s="65">
        <v>32063</v>
      </c>
      <c r="Y1651" s="65">
        <v>0</v>
      </c>
      <c r="Z1651" s="65">
        <v>0</v>
      </c>
      <c r="AA1651" s="51">
        <v>69</v>
      </c>
      <c r="AB1651" s="102">
        <v>0</v>
      </c>
      <c r="AC1651" s="81">
        <f t="shared" si="78"/>
        <v>0</v>
      </c>
      <c r="AD1651" s="82">
        <f t="shared" si="79"/>
        <v>0</v>
      </c>
      <c r="AE1651" s="218">
        <v>1.8117779988648687E-3</v>
      </c>
      <c r="AF1651">
        <v>23</v>
      </c>
      <c r="AH1651" t="str">
        <f t="shared" si="80"/>
        <v>Kalyanpur</v>
      </c>
      <c r="AJ1651" s="72">
        <v>0</v>
      </c>
      <c r="AK1651" s="72"/>
      <c r="AL1651" s="72"/>
      <c r="AM1651" s="72"/>
    </row>
    <row r="1652" spans="1:39" x14ac:dyDescent="0.25">
      <c r="A1652" s="37" t="s">
        <v>62</v>
      </c>
      <c r="B1652" s="66" t="s">
        <v>1638</v>
      </c>
      <c r="C1652" s="47">
        <v>1053</v>
      </c>
      <c r="D1652" s="47" t="s">
        <v>527</v>
      </c>
      <c r="E1652" s="41">
        <v>10530034</v>
      </c>
      <c r="F1652" s="46" t="s">
        <v>586</v>
      </c>
      <c r="G1652" s="39" t="s">
        <v>92</v>
      </c>
      <c r="H1652" s="48" t="s">
        <v>93</v>
      </c>
      <c r="I1652" s="52">
        <v>1662.2500000000002</v>
      </c>
      <c r="J1652" s="49">
        <v>84569.75</v>
      </c>
      <c r="K1652" s="65">
        <v>1643.57</v>
      </c>
      <c r="L1652" s="65">
        <v>84566.74000000002</v>
      </c>
      <c r="M1652" s="65">
        <v>0</v>
      </c>
      <c r="N1652" s="65">
        <v>0</v>
      </c>
      <c r="O1652" s="65">
        <v>1643.57</v>
      </c>
      <c r="P1652" s="65">
        <v>84566.74000000002</v>
      </c>
      <c r="Q1652" s="50">
        <v>84566.74000000002</v>
      </c>
      <c r="R1652" s="65">
        <v>0</v>
      </c>
      <c r="S1652" s="65">
        <v>0</v>
      </c>
      <c r="T1652" s="65">
        <v>0</v>
      </c>
      <c r="U1652" s="65">
        <v>5361</v>
      </c>
      <c r="V1652" s="65">
        <v>0</v>
      </c>
      <c r="W1652" s="65">
        <v>0</v>
      </c>
      <c r="X1652" s="65">
        <v>79205</v>
      </c>
      <c r="Y1652" s="65">
        <v>0</v>
      </c>
      <c r="Z1652" s="65">
        <v>0</v>
      </c>
      <c r="AA1652" s="51">
        <v>4</v>
      </c>
      <c r="AB1652" s="102">
        <v>0</v>
      </c>
      <c r="AC1652" s="81">
        <f t="shared" si="78"/>
        <v>0</v>
      </c>
      <c r="AD1652" s="82">
        <f t="shared" si="79"/>
        <v>0</v>
      </c>
      <c r="AE1652" s="218">
        <v>3.5591922643500892E-5</v>
      </c>
      <c r="AF1652">
        <v>45</v>
      </c>
      <c r="AH1652" t="str">
        <f t="shared" si="80"/>
        <v>Kalyanpur</v>
      </c>
      <c r="AJ1652" s="72">
        <v>0</v>
      </c>
      <c r="AK1652" s="72"/>
      <c r="AL1652" s="72"/>
      <c r="AM1652" s="72"/>
    </row>
    <row r="1653" spans="1:39" x14ac:dyDescent="0.25">
      <c r="A1653" s="37" t="s">
        <v>62</v>
      </c>
      <c r="B1653" s="66" t="s">
        <v>1638</v>
      </c>
      <c r="C1653" s="47">
        <v>1053</v>
      </c>
      <c r="D1653" s="47" t="s">
        <v>527</v>
      </c>
      <c r="E1653" s="41">
        <v>10530035</v>
      </c>
      <c r="F1653" s="46" t="s">
        <v>587</v>
      </c>
      <c r="G1653" s="39" t="s">
        <v>92</v>
      </c>
      <c r="H1653" s="48" t="s">
        <v>93</v>
      </c>
      <c r="I1653" s="52">
        <v>819.6</v>
      </c>
      <c r="J1653" s="49">
        <v>39376.650000000009</v>
      </c>
      <c r="K1653" s="65">
        <v>823.87</v>
      </c>
      <c r="L1653" s="65">
        <v>38064.26</v>
      </c>
      <c r="M1653" s="65">
        <v>15.370000000000001</v>
      </c>
      <c r="N1653" s="65">
        <v>682.42000000000007</v>
      </c>
      <c r="O1653" s="65">
        <v>839.24</v>
      </c>
      <c r="P1653" s="65">
        <v>38746.68</v>
      </c>
      <c r="Q1653" s="50">
        <v>38746.68</v>
      </c>
      <c r="R1653" s="65">
        <v>0</v>
      </c>
      <c r="S1653" s="65">
        <v>682.42000000000007</v>
      </c>
      <c r="T1653" s="65">
        <v>0</v>
      </c>
      <c r="U1653" s="65">
        <v>0</v>
      </c>
      <c r="V1653" s="65">
        <v>0</v>
      </c>
      <c r="W1653" s="65">
        <v>0</v>
      </c>
      <c r="X1653" s="65">
        <v>38063</v>
      </c>
      <c r="Y1653" s="65">
        <v>0</v>
      </c>
      <c r="Z1653" s="65">
        <v>0</v>
      </c>
      <c r="AA1653" s="51">
        <v>631</v>
      </c>
      <c r="AB1653" s="102">
        <v>0</v>
      </c>
      <c r="AC1653" s="81">
        <f t="shared" si="78"/>
        <v>0</v>
      </c>
      <c r="AD1653" s="82">
        <f t="shared" si="79"/>
        <v>0</v>
      </c>
      <c r="AE1653" s="218">
        <v>1.5998567679068897E-2</v>
      </c>
      <c r="AF1653">
        <v>18</v>
      </c>
      <c r="AH1653" t="str">
        <f t="shared" si="80"/>
        <v>Kalyanpur</v>
      </c>
      <c r="AJ1653" s="72">
        <v>0</v>
      </c>
      <c r="AK1653" s="72"/>
      <c r="AL1653" s="72"/>
      <c r="AM1653" s="72"/>
    </row>
    <row r="1654" spans="1:39" x14ac:dyDescent="0.25">
      <c r="A1654" s="37" t="s">
        <v>62</v>
      </c>
      <c r="B1654" s="66" t="s">
        <v>1638</v>
      </c>
      <c r="C1654" s="47">
        <v>1053</v>
      </c>
      <c r="D1654" s="47" t="s">
        <v>527</v>
      </c>
      <c r="E1654" s="41">
        <v>10530038</v>
      </c>
      <c r="F1654" s="46" t="s">
        <v>588</v>
      </c>
      <c r="G1654" s="39" t="s">
        <v>1610</v>
      </c>
      <c r="H1654" s="48" t="s">
        <v>98</v>
      </c>
      <c r="I1654" s="52">
        <v>932.05000000000007</v>
      </c>
      <c r="J1654" s="49">
        <v>37783.799999999996</v>
      </c>
      <c r="K1654" s="65">
        <v>0</v>
      </c>
      <c r="L1654" s="65">
        <v>0</v>
      </c>
      <c r="M1654" s="65">
        <v>0</v>
      </c>
      <c r="N1654" s="65">
        <v>0</v>
      </c>
      <c r="O1654" s="65">
        <v>0</v>
      </c>
      <c r="P1654" s="65">
        <v>0</v>
      </c>
      <c r="Q1654" s="50">
        <v>37783.799999999996</v>
      </c>
      <c r="R1654" s="65">
        <v>0</v>
      </c>
      <c r="S1654" s="65">
        <v>0</v>
      </c>
      <c r="T1654" s="65">
        <v>0</v>
      </c>
      <c r="U1654" s="65">
        <v>0</v>
      </c>
      <c r="V1654" s="65">
        <v>0</v>
      </c>
      <c r="W1654" s="65">
        <v>0</v>
      </c>
      <c r="X1654" s="65">
        <v>0</v>
      </c>
      <c r="Y1654" s="65">
        <v>0</v>
      </c>
      <c r="Z1654" s="65">
        <v>37783.799999999996</v>
      </c>
      <c r="AA1654" s="51">
        <v>0</v>
      </c>
      <c r="AB1654" s="102">
        <v>0</v>
      </c>
      <c r="AC1654" s="81">
        <f t="shared" si="78"/>
        <v>0</v>
      </c>
      <c r="AD1654" s="82">
        <f t="shared" si="79"/>
        <v>0</v>
      </c>
      <c r="AE1654" s="218">
        <v>0</v>
      </c>
      <c r="AF1654">
        <v>0</v>
      </c>
      <c r="AH1654" t="str">
        <f t="shared" si="80"/>
        <v>Kalyanpur</v>
      </c>
      <c r="AJ1654" s="72">
        <v>0</v>
      </c>
      <c r="AK1654" s="72"/>
      <c r="AL1654" s="72"/>
      <c r="AM1654" s="72"/>
    </row>
    <row r="1655" spans="1:39" x14ac:dyDescent="0.25">
      <c r="A1655" s="37" t="s">
        <v>62</v>
      </c>
      <c r="B1655" s="66" t="s">
        <v>1638</v>
      </c>
      <c r="C1655" s="47">
        <v>1053</v>
      </c>
      <c r="D1655" s="47" t="s">
        <v>527</v>
      </c>
      <c r="E1655" s="41">
        <v>10530040</v>
      </c>
      <c r="F1655" s="46" t="s">
        <v>589</v>
      </c>
      <c r="G1655" s="39" t="s">
        <v>92</v>
      </c>
      <c r="H1655" s="48" t="s">
        <v>93</v>
      </c>
      <c r="I1655" s="52">
        <v>511.6</v>
      </c>
      <c r="J1655" s="49">
        <v>25191.599999999995</v>
      </c>
      <c r="K1655" s="65">
        <v>515.61</v>
      </c>
      <c r="L1655" s="65">
        <v>23709.14</v>
      </c>
      <c r="M1655" s="65">
        <v>32.339999999999996</v>
      </c>
      <c r="N1655" s="65">
        <v>1432.44</v>
      </c>
      <c r="O1655" s="65">
        <v>547.95000000000005</v>
      </c>
      <c r="P1655" s="65">
        <v>25141.579999999998</v>
      </c>
      <c r="Q1655" s="50">
        <v>25141.579999999998</v>
      </c>
      <c r="R1655" s="65">
        <v>0</v>
      </c>
      <c r="S1655" s="65">
        <v>1432.44</v>
      </c>
      <c r="T1655" s="65">
        <v>0</v>
      </c>
      <c r="U1655" s="65">
        <v>0</v>
      </c>
      <c r="V1655" s="65">
        <v>0</v>
      </c>
      <c r="W1655" s="65">
        <v>0</v>
      </c>
      <c r="X1655" s="65">
        <v>23710</v>
      </c>
      <c r="Y1655" s="65">
        <v>0</v>
      </c>
      <c r="Z1655" s="65">
        <v>0</v>
      </c>
      <c r="AA1655" s="51">
        <v>49</v>
      </c>
      <c r="AB1655" s="102">
        <v>0</v>
      </c>
      <c r="AC1655" s="81">
        <f t="shared" si="78"/>
        <v>185.53938389366687</v>
      </c>
      <c r="AD1655" s="82">
        <f t="shared" si="79"/>
        <v>73.085714285714289</v>
      </c>
      <c r="AE1655" s="218">
        <v>1.9855824957524257E-3</v>
      </c>
      <c r="AF1655">
        <v>25</v>
      </c>
      <c r="AH1655" t="str">
        <f t="shared" si="80"/>
        <v>Kalyanpur</v>
      </c>
      <c r="AJ1655" s="72">
        <v>0</v>
      </c>
      <c r="AK1655" s="72"/>
      <c r="AL1655" s="72"/>
      <c r="AM1655" s="72"/>
    </row>
    <row r="1656" spans="1:39" x14ac:dyDescent="0.25">
      <c r="A1656" s="37" t="s">
        <v>62</v>
      </c>
      <c r="B1656" s="66" t="s">
        <v>1638</v>
      </c>
      <c r="C1656" s="47">
        <v>1053</v>
      </c>
      <c r="D1656" s="47" t="s">
        <v>527</v>
      </c>
      <c r="E1656" s="41">
        <v>10530044</v>
      </c>
      <c r="F1656" s="46" t="s">
        <v>590</v>
      </c>
      <c r="G1656" s="39" t="s">
        <v>92</v>
      </c>
      <c r="H1656" s="48" t="s">
        <v>93</v>
      </c>
      <c r="I1656" s="52">
        <v>1364.65</v>
      </c>
      <c r="J1656" s="49">
        <v>64136.780000000013</v>
      </c>
      <c r="K1656" s="65">
        <v>1363.7300000000002</v>
      </c>
      <c r="L1656" s="65">
        <v>63368.330000000009</v>
      </c>
      <c r="M1656" s="65">
        <v>16.739999999999998</v>
      </c>
      <c r="N1656" s="65">
        <v>746.54000000000008</v>
      </c>
      <c r="O1656" s="65">
        <v>1380.4700000000003</v>
      </c>
      <c r="P1656" s="65">
        <v>64114.87000000001</v>
      </c>
      <c r="Q1656" s="50">
        <v>64114.87000000001</v>
      </c>
      <c r="R1656" s="65">
        <v>0</v>
      </c>
      <c r="S1656" s="65">
        <v>746.54000000000008</v>
      </c>
      <c r="T1656" s="65">
        <v>0</v>
      </c>
      <c r="U1656" s="65">
        <v>0</v>
      </c>
      <c r="V1656" s="65">
        <v>0</v>
      </c>
      <c r="W1656" s="65">
        <v>0</v>
      </c>
      <c r="X1656" s="65">
        <v>63368</v>
      </c>
      <c r="Y1656" s="65">
        <v>0</v>
      </c>
      <c r="Z1656" s="65">
        <v>0</v>
      </c>
      <c r="AA1656" s="51">
        <v>22</v>
      </c>
      <c r="AB1656" s="102">
        <v>0</v>
      </c>
      <c r="AC1656" s="81">
        <f t="shared" si="78"/>
        <v>0</v>
      </c>
      <c r="AD1656" s="82">
        <f t="shared" si="79"/>
        <v>0</v>
      </c>
      <c r="AE1656" s="218">
        <v>3.4161365756128526E-4</v>
      </c>
      <c r="AF1656">
        <v>25</v>
      </c>
      <c r="AH1656" t="str">
        <f t="shared" si="80"/>
        <v>Kalyanpur</v>
      </c>
      <c r="AJ1656" s="72">
        <v>0</v>
      </c>
      <c r="AK1656" s="72"/>
      <c r="AL1656" s="72"/>
      <c r="AM1656" s="72"/>
    </row>
    <row r="1657" spans="1:39" x14ac:dyDescent="0.25">
      <c r="A1657" s="37" t="s">
        <v>62</v>
      </c>
      <c r="B1657" s="66" t="s">
        <v>1638</v>
      </c>
      <c r="C1657" s="47">
        <v>1053</v>
      </c>
      <c r="D1657" s="47" t="s">
        <v>527</v>
      </c>
      <c r="E1657" s="41">
        <v>10530046</v>
      </c>
      <c r="F1657" s="46" t="s">
        <v>621</v>
      </c>
      <c r="G1657" s="39" t="s">
        <v>92</v>
      </c>
      <c r="H1657" s="48" t="s">
        <v>93</v>
      </c>
      <c r="I1657" s="52">
        <v>313.2</v>
      </c>
      <c r="J1657" s="49">
        <v>15483.189999999997</v>
      </c>
      <c r="K1657" s="65">
        <v>290.46000000000004</v>
      </c>
      <c r="L1657" s="65">
        <v>15479.68</v>
      </c>
      <c r="M1657" s="65">
        <v>0</v>
      </c>
      <c r="N1657" s="65">
        <v>0</v>
      </c>
      <c r="O1657" s="65">
        <v>290.46000000000004</v>
      </c>
      <c r="P1657" s="65">
        <v>15479.68</v>
      </c>
      <c r="Q1657" s="50">
        <v>15479.68</v>
      </c>
      <c r="R1657" s="65">
        <v>0</v>
      </c>
      <c r="S1657" s="65">
        <v>0</v>
      </c>
      <c r="T1657" s="65">
        <v>0</v>
      </c>
      <c r="U1657" s="65">
        <v>0</v>
      </c>
      <c r="V1657" s="65">
        <v>0</v>
      </c>
      <c r="W1657" s="65">
        <v>0</v>
      </c>
      <c r="X1657" s="65">
        <v>15479</v>
      </c>
      <c r="Y1657" s="65">
        <v>0</v>
      </c>
      <c r="Z1657" s="65">
        <v>0</v>
      </c>
      <c r="AA1657" s="51">
        <v>4</v>
      </c>
      <c r="AB1657" s="102">
        <v>0</v>
      </c>
      <c r="AC1657" s="81">
        <f t="shared" si="78"/>
        <v>382.43281558109834</v>
      </c>
      <c r="AD1657" s="82">
        <f t="shared" si="79"/>
        <v>44.74285714285714</v>
      </c>
      <c r="AE1657" s="218">
        <v>2.2669746996559372E-4</v>
      </c>
      <c r="AF1657">
        <v>14</v>
      </c>
      <c r="AH1657" t="str">
        <f t="shared" si="80"/>
        <v>Kalyanpur</v>
      </c>
      <c r="AJ1657" s="72">
        <v>0</v>
      </c>
      <c r="AK1657" s="72"/>
      <c r="AL1657" s="72"/>
      <c r="AM1657" s="72"/>
    </row>
    <row r="1658" spans="1:39" x14ac:dyDescent="0.25">
      <c r="A1658" s="37" t="s">
        <v>62</v>
      </c>
      <c r="B1658" s="66" t="s">
        <v>1638</v>
      </c>
      <c r="C1658" s="47">
        <v>1053</v>
      </c>
      <c r="D1658" s="47" t="s">
        <v>527</v>
      </c>
      <c r="E1658" s="41">
        <v>10530047</v>
      </c>
      <c r="F1658" s="46" t="s">
        <v>591</v>
      </c>
      <c r="G1658" s="39" t="s">
        <v>92</v>
      </c>
      <c r="H1658" s="48" t="s">
        <v>93</v>
      </c>
      <c r="I1658" s="52">
        <v>357.69999999999993</v>
      </c>
      <c r="J1658" s="49">
        <v>12804.16</v>
      </c>
      <c r="K1658" s="65">
        <v>350.69000000000005</v>
      </c>
      <c r="L1658" s="65">
        <v>12720.39</v>
      </c>
      <c r="M1658" s="65">
        <v>2.1799999999999997</v>
      </c>
      <c r="N1658" s="65">
        <v>77.199999999999989</v>
      </c>
      <c r="O1658" s="65">
        <v>352.87000000000006</v>
      </c>
      <c r="P1658" s="65">
        <v>12797.59</v>
      </c>
      <c r="Q1658" s="50">
        <v>12797.59</v>
      </c>
      <c r="R1658" s="65">
        <v>0</v>
      </c>
      <c r="S1658" s="65">
        <v>77.199999999999989</v>
      </c>
      <c r="T1658" s="65">
        <v>0</v>
      </c>
      <c r="U1658" s="65">
        <v>0</v>
      </c>
      <c r="V1658" s="65">
        <v>0</v>
      </c>
      <c r="W1658" s="65">
        <v>0</v>
      </c>
      <c r="X1658" s="65">
        <v>12721</v>
      </c>
      <c r="Y1658" s="65">
        <v>0</v>
      </c>
      <c r="Z1658" s="65">
        <v>0</v>
      </c>
      <c r="AA1658" s="51">
        <v>6</v>
      </c>
      <c r="AB1658" s="102">
        <v>0</v>
      </c>
      <c r="AC1658" s="81">
        <f t="shared" si="78"/>
        <v>245.05809158512727</v>
      </c>
      <c r="AD1658" s="82">
        <f t="shared" si="79"/>
        <v>51.099999999999987</v>
      </c>
      <c r="AE1658" s="218">
        <v>5.131144877914451E-4</v>
      </c>
      <c r="AF1658">
        <v>5</v>
      </c>
      <c r="AH1658" t="str">
        <f t="shared" si="80"/>
        <v>Kalyanpur</v>
      </c>
      <c r="AJ1658" s="72">
        <v>0</v>
      </c>
      <c r="AK1658" s="72"/>
      <c r="AL1658" s="72"/>
      <c r="AM1658" s="72"/>
    </row>
    <row r="1659" spans="1:39" x14ac:dyDescent="0.25">
      <c r="A1659" s="37" t="s">
        <v>62</v>
      </c>
      <c r="B1659" s="66" t="s">
        <v>1638</v>
      </c>
      <c r="C1659" s="47">
        <v>1053</v>
      </c>
      <c r="D1659" s="47" t="s">
        <v>527</v>
      </c>
      <c r="E1659" s="41">
        <v>10530048</v>
      </c>
      <c r="F1659" s="46" t="s">
        <v>622</v>
      </c>
      <c r="G1659" s="39" t="s">
        <v>92</v>
      </c>
      <c r="H1659" s="48" t="s">
        <v>93</v>
      </c>
      <c r="I1659" s="52">
        <v>295.14999999999998</v>
      </c>
      <c r="J1659" s="49">
        <v>11980.190000000002</v>
      </c>
      <c r="K1659" s="65">
        <v>290.91000000000003</v>
      </c>
      <c r="L1659" s="65">
        <v>11638.59</v>
      </c>
      <c r="M1659" s="65">
        <v>5.34</v>
      </c>
      <c r="N1659" s="65">
        <v>274.84999999999997</v>
      </c>
      <c r="O1659" s="65">
        <v>296.25</v>
      </c>
      <c r="P1659" s="65">
        <v>11913.44</v>
      </c>
      <c r="Q1659" s="50">
        <v>11913.44</v>
      </c>
      <c r="R1659" s="65">
        <v>0</v>
      </c>
      <c r="S1659" s="65">
        <v>274.84999999999997</v>
      </c>
      <c r="T1659" s="65">
        <v>0</v>
      </c>
      <c r="U1659" s="65">
        <v>0</v>
      </c>
      <c r="V1659" s="65">
        <v>0</v>
      </c>
      <c r="W1659" s="65">
        <v>0</v>
      </c>
      <c r="X1659" s="65">
        <v>11639</v>
      </c>
      <c r="Y1659" s="65">
        <v>0</v>
      </c>
      <c r="Z1659" s="65">
        <v>0</v>
      </c>
      <c r="AA1659" s="51">
        <v>66</v>
      </c>
      <c r="AB1659" s="102">
        <v>0</v>
      </c>
      <c r="AC1659" s="81">
        <f t="shared" si="78"/>
        <v>328.65864282568197</v>
      </c>
      <c r="AD1659" s="82">
        <f t="shared" si="79"/>
        <v>42.164285714285711</v>
      </c>
      <c r="AE1659" s="218">
        <v>5.5716979446905103E-3</v>
      </c>
      <c r="AF1659">
        <v>10</v>
      </c>
      <c r="AH1659" t="str">
        <f t="shared" si="80"/>
        <v>Kalyanpur</v>
      </c>
      <c r="AJ1659" s="72">
        <v>0</v>
      </c>
      <c r="AK1659" s="72"/>
      <c r="AL1659" s="72"/>
      <c r="AM1659" s="72"/>
    </row>
    <row r="1660" spans="1:39" x14ac:dyDescent="0.25">
      <c r="A1660" s="37" t="s">
        <v>62</v>
      </c>
      <c r="B1660" s="66" t="s">
        <v>1638</v>
      </c>
      <c r="C1660" s="47">
        <v>1053</v>
      </c>
      <c r="D1660" s="47" t="s">
        <v>527</v>
      </c>
      <c r="E1660" s="41">
        <v>10530049</v>
      </c>
      <c r="F1660" s="46" t="s">
        <v>592</v>
      </c>
      <c r="G1660" s="39" t="s">
        <v>1610</v>
      </c>
      <c r="H1660" s="48" t="s">
        <v>98</v>
      </c>
      <c r="I1660" s="52">
        <v>2084.4499999999998</v>
      </c>
      <c r="J1660" s="49">
        <v>81890.01999999999</v>
      </c>
      <c r="K1660" s="65">
        <v>0</v>
      </c>
      <c r="L1660" s="65">
        <v>0</v>
      </c>
      <c r="M1660" s="65">
        <v>0</v>
      </c>
      <c r="N1660" s="65">
        <v>0</v>
      </c>
      <c r="O1660" s="65">
        <v>0</v>
      </c>
      <c r="P1660" s="65">
        <v>0</v>
      </c>
      <c r="Q1660" s="50">
        <v>81890.01999999999</v>
      </c>
      <c r="R1660" s="65">
        <v>0</v>
      </c>
      <c r="S1660" s="65">
        <v>0</v>
      </c>
      <c r="T1660" s="65">
        <v>0</v>
      </c>
      <c r="U1660" s="65">
        <v>0</v>
      </c>
      <c r="V1660" s="65">
        <v>0</v>
      </c>
      <c r="W1660" s="65">
        <v>0</v>
      </c>
      <c r="X1660" s="65">
        <v>0</v>
      </c>
      <c r="Y1660" s="65">
        <v>0</v>
      </c>
      <c r="Z1660" s="65">
        <v>81890.01999999999</v>
      </c>
      <c r="AA1660" s="51">
        <v>0</v>
      </c>
      <c r="AB1660" s="102">
        <v>0</v>
      </c>
      <c r="AC1660" s="81">
        <f t="shared" si="78"/>
        <v>0</v>
      </c>
      <c r="AD1660" s="82">
        <f t="shared" si="79"/>
        <v>0</v>
      </c>
      <c r="AE1660" s="218">
        <v>0</v>
      </c>
      <c r="AF1660">
        <v>0</v>
      </c>
      <c r="AH1660" t="str">
        <f t="shared" si="80"/>
        <v>Kalyanpur</v>
      </c>
      <c r="AJ1660" s="72">
        <v>0</v>
      </c>
      <c r="AK1660" s="72"/>
      <c r="AL1660" s="72"/>
      <c r="AM1660" s="72"/>
    </row>
    <row r="1661" spans="1:39" x14ac:dyDescent="0.25">
      <c r="A1661" s="37" t="s">
        <v>62</v>
      </c>
      <c r="B1661" s="66" t="s">
        <v>1638</v>
      </c>
      <c r="C1661" s="47">
        <v>1053</v>
      </c>
      <c r="D1661" s="47" t="s">
        <v>527</v>
      </c>
      <c r="E1661" s="41">
        <v>10530050</v>
      </c>
      <c r="F1661" s="46" t="s">
        <v>543</v>
      </c>
      <c r="G1661" s="39" t="s">
        <v>1610</v>
      </c>
      <c r="H1661" s="48" t="s">
        <v>98</v>
      </c>
      <c r="I1661" s="52">
        <v>383.30000000000007</v>
      </c>
      <c r="J1661" s="49">
        <v>19372.89</v>
      </c>
      <c r="K1661" s="65">
        <v>0</v>
      </c>
      <c r="L1661" s="65">
        <v>0</v>
      </c>
      <c r="M1661" s="65">
        <v>0</v>
      </c>
      <c r="N1661" s="65">
        <v>0</v>
      </c>
      <c r="O1661" s="65">
        <v>0</v>
      </c>
      <c r="P1661" s="65">
        <v>0</v>
      </c>
      <c r="Q1661" s="50">
        <v>19372.89</v>
      </c>
      <c r="R1661" s="65">
        <v>0</v>
      </c>
      <c r="S1661" s="65">
        <v>0</v>
      </c>
      <c r="T1661" s="65">
        <v>0</v>
      </c>
      <c r="U1661" s="65">
        <v>0</v>
      </c>
      <c r="V1661" s="65">
        <v>0</v>
      </c>
      <c r="W1661" s="65">
        <v>0</v>
      </c>
      <c r="X1661" s="65">
        <v>0</v>
      </c>
      <c r="Y1661" s="65">
        <v>0</v>
      </c>
      <c r="Z1661" s="65">
        <v>19372.89</v>
      </c>
      <c r="AA1661" s="51">
        <v>0</v>
      </c>
      <c r="AB1661" s="102">
        <v>0</v>
      </c>
      <c r="AC1661" s="81">
        <f t="shared" si="78"/>
        <v>320.13536462301056</v>
      </c>
      <c r="AD1661" s="82">
        <f t="shared" si="79"/>
        <v>54.757142857142867</v>
      </c>
      <c r="AE1661" s="218">
        <v>0</v>
      </c>
      <c r="AF1661">
        <v>0</v>
      </c>
      <c r="AH1661" t="str">
        <f t="shared" si="80"/>
        <v>Kalyanpur</v>
      </c>
      <c r="AJ1661" s="72">
        <v>0</v>
      </c>
      <c r="AK1661" s="72"/>
      <c r="AL1661" s="72"/>
      <c r="AM1661" s="72"/>
    </row>
    <row r="1662" spans="1:39" x14ac:dyDescent="0.25">
      <c r="A1662" s="37" t="s">
        <v>62</v>
      </c>
      <c r="B1662" s="66" t="s">
        <v>1638</v>
      </c>
      <c r="C1662" s="47">
        <v>1066</v>
      </c>
      <c r="D1662" s="47" t="s">
        <v>1501</v>
      </c>
      <c r="E1662" s="41">
        <v>10530054</v>
      </c>
      <c r="F1662" s="46" t="s">
        <v>1619</v>
      </c>
      <c r="G1662" s="39" t="s">
        <v>1610</v>
      </c>
      <c r="H1662" s="48" t="s">
        <v>98</v>
      </c>
      <c r="I1662" s="52">
        <v>1241.0999999999999</v>
      </c>
      <c r="J1662" s="49">
        <v>49569.66</v>
      </c>
      <c r="K1662" s="65">
        <v>0</v>
      </c>
      <c r="L1662" s="65">
        <v>0</v>
      </c>
      <c r="M1662" s="65">
        <v>0</v>
      </c>
      <c r="N1662" s="65">
        <v>0</v>
      </c>
      <c r="O1662" s="65">
        <v>0</v>
      </c>
      <c r="P1662" s="65">
        <v>0</v>
      </c>
      <c r="Q1662" s="50">
        <v>49569.66</v>
      </c>
      <c r="R1662" s="65">
        <v>0</v>
      </c>
      <c r="S1662" s="65">
        <v>0</v>
      </c>
      <c r="T1662" s="65">
        <v>0</v>
      </c>
      <c r="U1662" s="65">
        <v>0</v>
      </c>
      <c r="V1662" s="65">
        <v>0</v>
      </c>
      <c r="W1662" s="65">
        <v>0</v>
      </c>
      <c r="X1662" s="65">
        <v>0</v>
      </c>
      <c r="Y1662" s="65">
        <v>0</v>
      </c>
      <c r="Z1662" s="65">
        <v>49569.66</v>
      </c>
      <c r="AA1662" s="51">
        <v>0</v>
      </c>
      <c r="AB1662" s="102">
        <v>0</v>
      </c>
      <c r="AC1662" s="81">
        <f t="shared" si="78"/>
        <v>0</v>
      </c>
      <c r="AD1662" s="82">
        <f t="shared" si="79"/>
        <v>0</v>
      </c>
      <c r="AE1662" s="218">
        <v>0</v>
      </c>
      <c r="AF1662">
        <v>0</v>
      </c>
      <c r="AH1662" t="str">
        <f t="shared" si="80"/>
        <v>Gaighat</v>
      </c>
      <c r="AJ1662" s="72">
        <v>0</v>
      </c>
      <c r="AK1662" s="72"/>
      <c r="AL1662" s="72"/>
      <c r="AM1662" s="72"/>
    </row>
    <row r="1663" spans="1:39" x14ac:dyDescent="0.25">
      <c r="A1663" s="37" t="s">
        <v>62</v>
      </c>
      <c r="B1663" s="66" t="s">
        <v>1638</v>
      </c>
      <c r="C1663" s="47">
        <v>1053</v>
      </c>
      <c r="D1663" s="47" t="s">
        <v>527</v>
      </c>
      <c r="E1663" s="41">
        <v>10530055</v>
      </c>
      <c r="F1663" s="46" t="s">
        <v>635</v>
      </c>
      <c r="G1663" s="39" t="s">
        <v>92</v>
      </c>
      <c r="H1663" s="48" t="s">
        <v>93</v>
      </c>
      <c r="I1663" s="52">
        <v>1599</v>
      </c>
      <c r="J1663" s="49">
        <v>65873.280000000013</v>
      </c>
      <c r="K1663" s="65">
        <v>1551.9100000000005</v>
      </c>
      <c r="L1663" s="65">
        <v>64774.87999999999</v>
      </c>
      <c r="M1663" s="65">
        <v>26.67</v>
      </c>
      <c r="N1663" s="65">
        <v>1095.6799999999998</v>
      </c>
      <c r="O1663" s="65">
        <v>1578.5800000000006</v>
      </c>
      <c r="P1663" s="65">
        <v>65870.559999999983</v>
      </c>
      <c r="Q1663" s="50">
        <v>65870.559999999983</v>
      </c>
      <c r="R1663" s="65">
        <v>0</v>
      </c>
      <c r="S1663" s="65">
        <v>1095.6799999999998</v>
      </c>
      <c r="T1663" s="65">
        <v>0</v>
      </c>
      <c r="U1663" s="65">
        <v>8016</v>
      </c>
      <c r="V1663" s="65">
        <v>0</v>
      </c>
      <c r="W1663" s="65">
        <v>0</v>
      </c>
      <c r="X1663" s="65">
        <v>56757</v>
      </c>
      <c r="Y1663" s="65">
        <v>0</v>
      </c>
      <c r="Z1663" s="65">
        <v>0</v>
      </c>
      <c r="AA1663" s="51">
        <v>5</v>
      </c>
      <c r="AB1663" s="102">
        <v>0</v>
      </c>
      <c r="AC1663" s="81">
        <f t="shared" si="78"/>
        <v>0</v>
      </c>
      <c r="AD1663" s="82">
        <f t="shared" si="79"/>
        <v>0</v>
      </c>
      <c r="AE1663" s="218">
        <v>4.1291400701927512E-5</v>
      </c>
      <c r="AF1663">
        <v>48</v>
      </c>
      <c r="AH1663" t="str">
        <f t="shared" si="80"/>
        <v>Kalyanpur</v>
      </c>
      <c r="AJ1663" s="72">
        <v>0</v>
      </c>
      <c r="AK1663" s="72"/>
      <c r="AL1663" s="72"/>
      <c r="AM1663" s="72"/>
    </row>
    <row r="1664" spans="1:39" x14ac:dyDescent="0.25">
      <c r="A1664" s="37" t="s">
        <v>62</v>
      </c>
      <c r="B1664" s="66" t="s">
        <v>1638</v>
      </c>
      <c r="C1664" s="47">
        <v>1053</v>
      </c>
      <c r="D1664" s="47" t="s">
        <v>527</v>
      </c>
      <c r="E1664" s="41">
        <v>10530057</v>
      </c>
      <c r="F1664" s="46" t="s">
        <v>636</v>
      </c>
      <c r="G1664" s="39" t="s">
        <v>1610</v>
      </c>
      <c r="H1664" s="48" t="s">
        <v>98</v>
      </c>
      <c r="I1664" s="52">
        <v>44.7</v>
      </c>
      <c r="J1664" s="49">
        <v>1942.17</v>
      </c>
      <c r="K1664" s="65">
        <v>0</v>
      </c>
      <c r="L1664" s="65">
        <v>0</v>
      </c>
      <c r="M1664" s="65">
        <v>0</v>
      </c>
      <c r="N1664" s="65">
        <v>0</v>
      </c>
      <c r="O1664" s="65">
        <v>0</v>
      </c>
      <c r="P1664" s="65">
        <v>0</v>
      </c>
      <c r="Q1664" s="50">
        <v>1942.17</v>
      </c>
      <c r="R1664" s="65">
        <v>0</v>
      </c>
      <c r="S1664" s="65">
        <v>0</v>
      </c>
      <c r="T1664" s="65">
        <v>0</v>
      </c>
      <c r="U1664" s="65">
        <v>0</v>
      </c>
      <c r="V1664" s="65">
        <v>0</v>
      </c>
      <c r="W1664" s="65">
        <v>0</v>
      </c>
      <c r="X1664" s="65">
        <v>0</v>
      </c>
      <c r="Y1664" s="65">
        <v>0</v>
      </c>
      <c r="Z1664" s="65">
        <v>1942.17</v>
      </c>
      <c r="AA1664" s="51">
        <v>0</v>
      </c>
      <c r="AB1664" s="102">
        <v>0</v>
      </c>
      <c r="AC1664" s="81">
        <f t="shared" si="78"/>
        <v>569.44250604026831</v>
      </c>
      <c r="AD1664" s="82">
        <f t="shared" si="79"/>
        <v>6.3857142857142861</v>
      </c>
      <c r="AE1664" s="218">
        <v>0</v>
      </c>
      <c r="AF1664">
        <v>0</v>
      </c>
      <c r="AH1664" t="str">
        <f t="shared" si="80"/>
        <v>Kalyanpur</v>
      </c>
      <c r="AJ1664" s="72">
        <v>0</v>
      </c>
      <c r="AK1664" s="72"/>
      <c r="AL1664" s="72"/>
      <c r="AM1664" s="72"/>
    </row>
    <row r="1665" spans="1:39" x14ac:dyDescent="0.25">
      <c r="A1665" s="37" t="s">
        <v>62</v>
      </c>
      <c r="B1665" s="66" t="s">
        <v>1638</v>
      </c>
      <c r="C1665" s="47">
        <v>1053</v>
      </c>
      <c r="D1665" s="47" t="s">
        <v>527</v>
      </c>
      <c r="E1665" s="41">
        <v>10530058</v>
      </c>
      <c r="F1665" s="46" t="s">
        <v>654</v>
      </c>
      <c r="G1665" s="39" t="s">
        <v>92</v>
      </c>
      <c r="H1665" s="48" t="s">
        <v>93</v>
      </c>
      <c r="I1665" s="52">
        <v>154.35</v>
      </c>
      <c r="J1665" s="49">
        <v>5442.7400000000007</v>
      </c>
      <c r="K1665" s="65">
        <v>158.38</v>
      </c>
      <c r="L1665" s="65">
        <v>5440.2800000000007</v>
      </c>
      <c r="M1665" s="65">
        <v>0</v>
      </c>
      <c r="N1665" s="65">
        <v>0</v>
      </c>
      <c r="O1665" s="65">
        <v>158.38</v>
      </c>
      <c r="P1665" s="65">
        <v>5440.2800000000007</v>
      </c>
      <c r="Q1665" s="50">
        <v>5440.2800000000007</v>
      </c>
      <c r="R1665" s="65">
        <v>0</v>
      </c>
      <c r="S1665" s="65">
        <v>0</v>
      </c>
      <c r="T1665" s="65">
        <v>0</v>
      </c>
      <c r="U1665" s="65">
        <v>0</v>
      </c>
      <c r="V1665" s="65">
        <v>500</v>
      </c>
      <c r="W1665" s="65">
        <v>0</v>
      </c>
      <c r="X1665" s="65">
        <v>4941</v>
      </c>
      <c r="Y1665" s="65">
        <v>0</v>
      </c>
      <c r="Z1665" s="65">
        <v>0</v>
      </c>
      <c r="AA1665" s="51">
        <v>2</v>
      </c>
      <c r="AB1665" s="102" t="s">
        <v>68</v>
      </c>
      <c r="AC1665" s="81">
        <f t="shared" ref="AC1665:AC1728" si="81">((IF(AD1665=0,0,100-AD1665))*7*(J1665/I1665))*2%</f>
        <v>384.81776235827675</v>
      </c>
      <c r="AD1665" s="82">
        <f t="shared" ref="AD1665:AD1728" si="82">IF((I1665/7)&gt;100,0,(I1665/7))</f>
        <v>22.05</v>
      </c>
      <c r="AE1665" s="218">
        <v>4.5197823155249676E-4</v>
      </c>
      <c r="AF1665">
        <v>7</v>
      </c>
      <c r="AH1665" t="str">
        <f t="shared" si="80"/>
        <v>Kalyanpur</v>
      </c>
      <c r="AJ1665" s="72">
        <v>500</v>
      </c>
      <c r="AK1665" s="72"/>
      <c r="AL1665" s="72"/>
      <c r="AM1665" s="72"/>
    </row>
    <row r="1666" spans="1:39" x14ac:dyDescent="0.25">
      <c r="A1666" s="37" t="s">
        <v>62</v>
      </c>
      <c r="B1666" s="66" t="s">
        <v>1638</v>
      </c>
      <c r="C1666" s="47">
        <v>1053</v>
      </c>
      <c r="D1666" s="47" t="s">
        <v>527</v>
      </c>
      <c r="E1666" s="41">
        <v>10530059</v>
      </c>
      <c r="F1666" s="46" t="s">
        <v>637</v>
      </c>
      <c r="G1666" s="39" t="s">
        <v>1610</v>
      </c>
      <c r="H1666" s="48" t="s">
        <v>98</v>
      </c>
      <c r="I1666" s="52">
        <v>2330.0499999999997</v>
      </c>
      <c r="J1666" s="49">
        <v>106226.40000000002</v>
      </c>
      <c r="K1666" s="65">
        <v>0</v>
      </c>
      <c r="L1666" s="65">
        <v>0</v>
      </c>
      <c r="M1666" s="65">
        <v>0</v>
      </c>
      <c r="N1666" s="65">
        <v>0</v>
      </c>
      <c r="O1666" s="65">
        <v>0</v>
      </c>
      <c r="P1666" s="65">
        <v>0</v>
      </c>
      <c r="Q1666" s="50">
        <v>106226.40000000002</v>
      </c>
      <c r="R1666" s="65">
        <v>0</v>
      </c>
      <c r="S1666" s="65">
        <v>0</v>
      </c>
      <c r="T1666" s="65">
        <v>0</v>
      </c>
      <c r="U1666" s="65">
        <v>5600</v>
      </c>
      <c r="V1666" s="65">
        <v>0</v>
      </c>
      <c r="W1666" s="65">
        <v>0</v>
      </c>
      <c r="X1666" s="65">
        <v>0</v>
      </c>
      <c r="Y1666" s="65">
        <v>0</v>
      </c>
      <c r="Z1666" s="65">
        <v>100626.40000000002</v>
      </c>
      <c r="AA1666" s="51">
        <v>0</v>
      </c>
      <c r="AB1666" s="102">
        <v>0</v>
      </c>
      <c r="AC1666" s="81">
        <f t="shared" si="81"/>
        <v>0</v>
      </c>
      <c r="AD1666" s="82">
        <f t="shared" si="82"/>
        <v>0</v>
      </c>
      <c r="AE1666" s="218">
        <v>0</v>
      </c>
      <c r="AF1666">
        <v>0</v>
      </c>
      <c r="AH1666" t="str">
        <f t="shared" si="80"/>
        <v>Kalyanpur</v>
      </c>
      <c r="AJ1666" s="72">
        <v>0</v>
      </c>
      <c r="AK1666" s="72"/>
      <c r="AL1666" s="72"/>
      <c r="AM1666" s="72"/>
    </row>
    <row r="1667" spans="1:39" x14ac:dyDescent="0.25">
      <c r="A1667" s="37" t="s">
        <v>62</v>
      </c>
      <c r="B1667" s="66" t="s">
        <v>1638</v>
      </c>
      <c r="C1667" s="47">
        <v>1053</v>
      </c>
      <c r="D1667" s="47" t="s">
        <v>527</v>
      </c>
      <c r="E1667" s="41">
        <v>10530060</v>
      </c>
      <c r="F1667" s="46" t="s">
        <v>655</v>
      </c>
      <c r="G1667" s="39" t="s">
        <v>1610</v>
      </c>
      <c r="H1667" s="48" t="s">
        <v>98</v>
      </c>
      <c r="I1667" s="52">
        <v>643.50000000000011</v>
      </c>
      <c r="J1667" s="49">
        <v>29106.330000000005</v>
      </c>
      <c r="K1667" s="65">
        <v>0</v>
      </c>
      <c r="L1667" s="65">
        <v>0</v>
      </c>
      <c r="M1667" s="65">
        <v>0</v>
      </c>
      <c r="N1667" s="65">
        <v>0</v>
      </c>
      <c r="O1667" s="65">
        <v>0</v>
      </c>
      <c r="P1667" s="65">
        <v>0</v>
      </c>
      <c r="Q1667" s="50">
        <v>29106.330000000005</v>
      </c>
      <c r="R1667" s="65">
        <v>0</v>
      </c>
      <c r="S1667" s="65">
        <v>0</v>
      </c>
      <c r="T1667" s="65">
        <v>0</v>
      </c>
      <c r="U1667" s="65">
        <v>0</v>
      </c>
      <c r="V1667" s="65">
        <v>0</v>
      </c>
      <c r="W1667" s="65">
        <v>0</v>
      </c>
      <c r="X1667" s="65">
        <v>0</v>
      </c>
      <c r="Y1667" s="65">
        <v>0</v>
      </c>
      <c r="Z1667" s="65">
        <v>29106.330000000005</v>
      </c>
      <c r="AA1667" s="51">
        <v>0</v>
      </c>
      <c r="AB1667" s="102">
        <v>0</v>
      </c>
      <c r="AC1667" s="81">
        <f t="shared" si="81"/>
        <v>51.111348717948616</v>
      </c>
      <c r="AD1667" s="82">
        <f t="shared" si="82"/>
        <v>91.928571428571445</v>
      </c>
      <c r="AE1667" s="218">
        <v>0</v>
      </c>
      <c r="AF1667">
        <v>0</v>
      </c>
      <c r="AH1667" t="str">
        <f t="shared" si="80"/>
        <v>Kalyanpur</v>
      </c>
      <c r="AJ1667" s="72">
        <v>0</v>
      </c>
      <c r="AK1667" s="72"/>
      <c r="AL1667" s="72"/>
      <c r="AM1667" s="72"/>
    </row>
    <row r="1668" spans="1:39" x14ac:dyDescent="0.25">
      <c r="A1668" s="37" t="s">
        <v>62</v>
      </c>
      <c r="B1668" s="66" t="s">
        <v>1638</v>
      </c>
      <c r="C1668" s="47">
        <v>1053</v>
      </c>
      <c r="D1668" s="47" t="s">
        <v>527</v>
      </c>
      <c r="E1668" s="41">
        <v>10530062</v>
      </c>
      <c r="F1668" s="46" t="s">
        <v>661</v>
      </c>
      <c r="G1668" s="39" t="s">
        <v>92</v>
      </c>
      <c r="H1668" s="48" t="s">
        <v>93</v>
      </c>
      <c r="I1668" s="52">
        <v>1110.4500000000003</v>
      </c>
      <c r="J1668" s="49">
        <v>47942.090000000011</v>
      </c>
      <c r="K1668" s="65">
        <v>1107.4200000000003</v>
      </c>
      <c r="L1668" s="65">
        <v>47654.42</v>
      </c>
      <c r="M1668" s="65">
        <v>6.03</v>
      </c>
      <c r="N1668" s="65">
        <v>285.62999999999994</v>
      </c>
      <c r="O1668" s="65">
        <v>1113.4500000000003</v>
      </c>
      <c r="P1668" s="65">
        <v>47940.049999999996</v>
      </c>
      <c r="Q1668" s="50">
        <v>47940.049999999996</v>
      </c>
      <c r="R1668" s="65">
        <v>0</v>
      </c>
      <c r="S1668" s="65">
        <v>285.62999999999994</v>
      </c>
      <c r="T1668" s="65">
        <v>0</v>
      </c>
      <c r="U1668" s="65">
        <v>0</v>
      </c>
      <c r="V1668" s="65">
        <v>0</v>
      </c>
      <c r="W1668" s="65">
        <v>0</v>
      </c>
      <c r="X1668" s="65">
        <v>47654</v>
      </c>
      <c r="Y1668" s="65">
        <v>0</v>
      </c>
      <c r="Z1668" s="65">
        <v>0</v>
      </c>
      <c r="AA1668" s="51">
        <v>2</v>
      </c>
      <c r="AB1668" s="102">
        <v>0</v>
      </c>
      <c r="AC1668" s="81">
        <f t="shared" si="81"/>
        <v>0</v>
      </c>
      <c r="AD1668" s="82">
        <f t="shared" si="82"/>
        <v>0</v>
      </c>
      <c r="AE1668" s="218">
        <v>4.2551336414733371E-5</v>
      </c>
      <c r="AF1668">
        <v>9</v>
      </c>
      <c r="AH1668" t="str">
        <f t="shared" si="80"/>
        <v>Kalyanpur</v>
      </c>
      <c r="AJ1668" s="72">
        <v>0</v>
      </c>
      <c r="AK1668" s="72"/>
      <c r="AL1668" s="72"/>
      <c r="AM1668" s="72"/>
    </row>
    <row r="1669" spans="1:39" x14ac:dyDescent="0.25">
      <c r="A1669" s="37" t="s">
        <v>62</v>
      </c>
      <c r="B1669" s="66" t="s">
        <v>1638</v>
      </c>
      <c r="C1669" s="47">
        <v>1053</v>
      </c>
      <c r="D1669" s="47" t="s">
        <v>527</v>
      </c>
      <c r="E1669" s="41">
        <v>10530063</v>
      </c>
      <c r="F1669" s="46" t="s">
        <v>662</v>
      </c>
      <c r="G1669" s="39" t="s">
        <v>1610</v>
      </c>
      <c r="H1669" s="48" t="s">
        <v>98</v>
      </c>
      <c r="I1669" s="52">
        <v>263.25</v>
      </c>
      <c r="J1669" s="49">
        <v>12319.630000000001</v>
      </c>
      <c r="K1669" s="65">
        <v>0</v>
      </c>
      <c r="L1669" s="65">
        <v>0</v>
      </c>
      <c r="M1669" s="65">
        <v>0</v>
      </c>
      <c r="N1669" s="65">
        <v>0</v>
      </c>
      <c r="O1669" s="65">
        <v>0</v>
      </c>
      <c r="P1669" s="65">
        <v>0</v>
      </c>
      <c r="Q1669" s="50">
        <v>12319.630000000001</v>
      </c>
      <c r="R1669" s="65">
        <v>0</v>
      </c>
      <c r="S1669" s="65">
        <v>0</v>
      </c>
      <c r="T1669" s="65">
        <v>0</v>
      </c>
      <c r="U1669" s="65">
        <v>0</v>
      </c>
      <c r="V1669" s="65">
        <v>0</v>
      </c>
      <c r="W1669" s="65">
        <v>0</v>
      </c>
      <c r="X1669" s="65">
        <v>0</v>
      </c>
      <c r="Y1669" s="65">
        <v>0</v>
      </c>
      <c r="Z1669" s="65">
        <v>12319.630000000001</v>
      </c>
      <c r="AA1669" s="51">
        <v>0</v>
      </c>
      <c r="AB1669" s="102">
        <v>0</v>
      </c>
      <c r="AC1669" s="81">
        <f t="shared" si="81"/>
        <v>408.78240474833819</v>
      </c>
      <c r="AD1669" s="82">
        <f t="shared" si="82"/>
        <v>37.607142857142854</v>
      </c>
      <c r="AE1669" s="218">
        <v>0</v>
      </c>
      <c r="AF1669">
        <v>0</v>
      </c>
      <c r="AH1669" t="str">
        <f t="shared" si="80"/>
        <v>Kalyanpur</v>
      </c>
      <c r="AJ1669" s="72">
        <v>0</v>
      </c>
      <c r="AK1669" s="72"/>
      <c r="AL1669" s="72"/>
      <c r="AM1669" s="72"/>
    </row>
    <row r="1670" spans="1:39" x14ac:dyDescent="0.25">
      <c r="A1670" s="37" t="s">
        <v>62</v>
      </c>
      <c r="B1670" s="66" t="s">
        <v>1638</v>
      </c>
      <c r="C1670" s="47">
        <v>1053</v>
      </c>
      <c r="D1670" s="47" t="s">
        <v>527</v>
      </c>
      <c r="E1670" s="41">
        <v>10530064</v>
      </c>
      <c r="F1670" s="46" t="s">
        <v>809</v>
      </c>
      <c r="G1670" s="39" t="s">
        <v>92</v>
      </c>
      <c r="H1670" s="48" t="s">
        <v>93</v>
      </c>
      <c r="I1670" s="52">
        <v>1246</v>
      </c>
      <c r="J1670" s="49">
        <v>55947.749999999985</v>
      </c>
      <c r="K1670" s="65">
        <v>1240.5500000000002</v>
      </c>
      <c r="L1670" s="65">
        <v>53823.05</v>
      </c>
      <c r="M1670" s="65">
        <v>36.86</v>
      </c>
      <c r="N1670" s="65">
        <v>1635.67</v>
      </c>
      <c r="O1670" s="65">
        <v>1277.4100000000001</v>
      </c>
      <c r="P1670" s="65">
        <v>55458.720000000001</v>
      </c>
      <c r="Q1670" s="50">
        <v>55458.720000000001</v>
      </c>
      <c r="R1670" s="65">
        <v>0</v>
      </c>
      <c r="S1670" s="65">
        <v>1635.67</v>
      </c>
      <c r="T1670" s="65">
        <v>0</v>
      </c>
      <c r="U1670" s="65">
        <v>56</v>
      </c>
      <c r="V1670" s="65">
        <v>0</v>
      </c>
      <c r="W1670" s="65">
        <v>0</v>
      </c>
      <c r="X1670" s="65">
        <v>53767</v>
      </c>
      <c r="Y1670" s="65">
        <v>0</v>
      </c>
      <c r="Z1670" s="65">
        <v>0</v>
      </c>
      <c r="AA1670" s="51">
        <v>489</v>
      </c>
      <c r="AB1670" s="102">
        <v>0</v>
      </c>
      <c r="AC1670" s="81">
        <f t="shared" si="81"/>
        <v>0</v>
      </c>
      <c r="AD1670" s="82">
        <f t="shared" si="82"/>
        <v>0</v>
      </c>
      <c r="AE1670" s="218">
        <v>8.7408340817992577E-3</v>
      </c>
      <c r="AF1670">
        <v>34</v>
      </c>
      <c r="AH1670" t="str">
        <f t="shared" si="80"/>
        <v>Kalyanpur</v>
      </c>
      <c r="AJ1670" s="72">
        <v>0</v>
      </c>
      <c r="AK1670" s="72"/>
      <c r="AL1670" s="72"/>
      <c r="AM1670" s="72"/>
    </row>
    <row r="1671" spans="1:39" x14ac:dyDescent="0.25">
      <c r="A1671" s="37" t="s">
        <v>62</v>
      </c>
      <c r="B1671" s="66" t="s">
        <v>1638</v>
      </c>
      <c r="C1671" s="47">
        <v>1053</v>
      </c>
      <c r="D1671" s="47" t="s">
        <v>527</v>
      </c>
      <c r="E1671" s="41">
        <v>10530065</v>
      </c>
      <c r="F1671" s="46" t="s">
        <v>811</v>
      </c>
      <c r="G1671" s="39" t="s">
        <v>92</v>
      </c>
      <c r="H1671" s="48" t="s">
        <v>93</v>
      </c>
      <c r="I1671" s="52">
        <v>1076.05</v>
      </c>
      <c r="J1671" s="49">
        <v>42556.420000000013</v>
      </c>
      <c r="K1671" s="65">
        <v>1069.0600000000002</v>
      </c>
      <c r="L1671" s="65">
        <v>41974.400000000009</v>
      </c>
      <c r="M1671" s="65">
        <v>11.08</v>
      </c>
      <c r="N1671" s="65">
        <v>462.84999999999997</v>
      </c>
      <c r="O1671" s="65">
        <v>1080.1400000000001</v>
      </c>
      <c r="P1671" s="65">
        <v>42437.250000000007</v>
      </c>
      <c r="Q1671" s="50">
        <v>42437.250000000007</v>
      </c>
      <c r="R1671" s="65">
        <v>0</v>
      </c>
      <c r="S1671" s="65">
        <v>462.84999999999997</v>
      </c>
      <c r="T1671" s="65">
        <v>0</v>
      </c>
      <c r="U1671" s="65">
        <v>7620</v>
      </c>
      <c r="V1671" s="65">
        <v>0</v>
      </c>
      <c r="W1671" s="65">
        <v>0</v>
      </c>
      <c r="X1671" s="65">
        <v>34355</v>
      </c>
      <c r="Y1671" s="65">
        <v>0</v>
      </c>
      <c r="Z1671" s="65">
        <v>0</v>
      </c>
      <c r="AA1671" s="51">
        <v>119</v>
      </c>
      <c r="AB1671" s="102">
        <v>0</v>
      </c>
      <c r="AC1671" s="81">
        <f t="shared" si="81"/>
        <v>0</v>
      </c>
      <c r="AD1671" s="82">
        <f t="shared" si="82"/>
        <v>0</v>
      </c>
      <c r="AE1671" s="218">
        <v>2.800282542563625E-3</v>
      </c>
      <c r="AF1671">
        <v>17</v>
      </c>
      <c r="AH1671" t="str">
        <f t="shared" si="80"/>
        <v>Kalyanpur</v>
      </c>
      <c r="AJ1671" s="72">
        <v>0</v>
      </c>
      <c r="AK1671" s="72"/>
      <c r="AL1671" s="72"/>
      <c r="AM1671" s="72"/>
    </row>
    <row r="1672" spans="1:39" x14ac:dyDescent="0.25">
      <c r="A1672" s="37" t="s">
        <v>62</v>
      </c>
      <c r="B1672" s="66" t="s">
        <v>1638</v>
      </c>
      <c r="C1672" s="47">
        <v>1053</v>
      </c>
      <c r="D1672" s="47" t="s">
        <v>527</v>
      </c>
      <c r="E1672" s="41">
        <v>10530067</v>
      </c>
      <c r="F1672" s="46" t="s">
        <v>818</v>
      </c>
      <c r="G1672" s="39" t="s">
        <v>92</v>
      </c>
      <c r="H1672" s="48" t="s">
        <v>93</v>
      </c>
      <c r="I1672" s="52">
        <v>455.05</v>
      </c>
      <c r="J1672" s="49">
        <v>21021.83</v>
      </c>
      <c r="K1672" s="65">
        <v>463.93000000000006</v>
      </c>
      <c r="L1672" s="65">
        <v>20286.759999999991</v>
      </c>
      <c r="M1672" s="65">
        <v>15.219999999999999</v>
      </c>
      <c r="N1672" s="65">
        <v>673.87</v>
      </c>
      <c r="O1672" s="65">
        <v>479.15000000000009</v>
      </c>
      <c r="P1672" s="65">
        <v>20960.62999999999</v>
      </c>
      <c r="Q1672" s="50">
        <v>20960.62999999999</v>
      </c>
      <c r="R1672" s="65">
        <v>0</v>
      </c>
      <c r="S1672" s="65">
        <v>673.87</v>
      </c>
      <c r="T1672" s="65">
        <v>0</v>
      </c>
      <c r="U1672" s="65">
        <v>0</v>
      </c>
      <c r="V1672" s="65">
        <v>0</v>
      </c>
      <c r="W1672" s="65">
        <v>0</v>
      </c>
      <c r="X1672" s="65">
        <v>20287</v>
      </c>
      <c r="Y1672" s="65">
        <v>0</v>
      </c>
      <c r="Z1672" s="65">
        <v>0</v>
      </c>
      <c r="AA1672" s="51">
        <v>61</v>
      </c>
      <c r="AB1672" s="102">
        <v>0</v>
      </c>
      <c r="AC1672" s="81">
        <f t="shared" si="81"/>
        <v>226.31786654213829</v>
      </c>
      <c r="AD1672" s="82">
        <f t="shared" si="82"/>
        <v>65.007142857142853</v>
      </c>
      <c r="AE1672" s="218">
        <v>2.911259390833797E-3</v>
      </c>
      <c r="AF1672">
        <v>18</v>
      </c>
      <c r="AH1672" t="str">
        <f t="shared" si="80"/>
        <v>Kalyanpur</v>
      </c>
      <c r="AJ1672" s="72">
        <v>0</v>
      </c>
      <c r="AK1672" s="72"/>
      <c r="AL1672" s="72"/>
      <c r="AM1672" s="72"/>
    </row>
    <row r="1673" spans="1:39" x14ac:dyDescent="0.25">
      <c r="A1673" s="37" t="s">
        <v>62</v>
      </c>
      <c r="B1673" s="66" t="s">
        <v>1638</v>
      </c>
      <c r="C1673" s="47">
        <v>1066</v>
      </c>
      <c r="D1673" s="47" t="s">
        <v>1501</v>
      </c>
      <c r="E1673" s="41">
        <v>10530069</v>
      </c>
      <c r="F1673" s="46" t="s">
        <v>1603</v>
      </c>
      <c r="G1673" s="39" t="s">
        <v>1610</v>
      </c>
      <c r="H1673" s="48" t="s">
        <v>98</v>
      </c>
      <c r="I1673" s="52">
        <v>457.7</v>
      </c>
      <c r="J1673" s="49">
        <v>19900.71</v>
      </c>
      <c r="K1673" s="65">
        <v>0</v>
      </c>
      <c r="L1673" s="65">
        <v>0</v>
      </c>
      <c r="M1673" s="65">
        <v>0</v>
      </c>
      <c r="N1673" s="65">
        <v>0</v>
      </c>
      <c r="O1673" s="65">
        <v>0</v>
      </c>
      <c r="P1673" s="65">
        <v>0</v>
      </c>
      <c r="Q1673" s="50">
        <v>19900.71</v>
      </c>
      <c r="R1673" s="65">
        <v>0</v>
      </c>
      <c r="S1673" s="65">
        <v>0</v>
      </c>
      <c r="T1673" s="65">
        <v>0</v>
      </c>
      <c r="U1673" s="65">
        <v>0</v>
      </c>
      <c r="V1673" s="65">
        <v>0</v>
      </c>
      <c r="W1673" s="65">
        <v>0</v>
      </c>
      <c r="X1673" s="65">
        <v>0</v>
      </c>
      <c r="Y1673" s="65">
        <v>0</v>
      </c>
      <c r="Z1673" s="65">
        <v>19900.71</v>
      </c>
      <c r="AA1673" s="51">
        <v>0</v>
      </c>
      <c r="AB1673" s="102">
        <v>0</v>
      </c>
      <c r="AC1673" s="81">
        <f t="shared" si="81"/>
        <v>210.70316945597551</v>
      </c>
      <c r="AD1673" s="82">
        <f t="shared" si="82"/>
        <v>65.385714285714286</v>
      </c>
      <c r="AE1673" s="218">
        <v>0</v>
      </c>
      <c r="AF1673">
        <v>0</v>
      </c>
      <c r="AH1673" t="str">
        <f t="shared" si="80"/>
        <v>Gaighat</v>
      </c>
      <c r="AJ1673" s="72">
        <v>0</v>
      </c>
      <c r="AK1673" s="72"/>
      <c r="AL1673" s="72"/>
      <c r="AM1673" s="72"/>
    </row>
    <row r="1674" spans="1:39" x14ac:dyDescent="0.25">
      <c r="A1674" s="37" t="s">
        <v>62</v>
      </c>
      <c r="B1674" s="66" t="s">
        <v>1638</v>
      </c>
      <c r="C1674" s="47">
        <v>1053</v>
      </c>
      <c r="D1674" s="47" t="s">
        <v>527</v>
      </c>
      <c r="E1674" s="41">
        <v>10530070</v>
      </c>
      <c r="F1674" s="46" t="s">
        <v>828</v>
      </c>
      <c r="G1674" s="39" t="s">
        <v>92</v>
      </c>
      <c r="H1674" s="48" t="s">
        <v>93</v>
      </c>
      <c r="I1674" s="52">
        <v>279.70000000000005</v>
      </c>
      <c r="J1674" s="49">
        <v>14191.23</v>
      </c>
      <c r="K1674" s="65">
        <v>282.52</v>
      </c>
      <c r="L1674" s="65">
        <v>13789.65</v>
      </c>
      <c r="M1674" s="65">
        <v>6.74</v>
      </c>
      <c r="N1674" s="65">
        <v>365.95</v>
      </c>
      <c r="O1674" s="65">
        <v>289.26</v>
      </c>
      <c r="P1674" s="65">
        <v>14155.6</v>
      </c>
      <c r="Q1674" s="50">
        <v>14155.6</v>
      </c>
      <c r="R1674" s="65">
        <v>0</v>
      </c>
      <c r="S1674" s="65">
        <v>365.95</v>
      </c>
      <c r="T1674" s="65">
        <v>0</v>
      </c>
      <c r="U1674" s="65">
        <v>0</v>
      </c>
      <c r="V1674" s="65">
        <v>500</v>
      </c>
      <c r="W1674" s="65">
        <v>0</v>
      </c>
      <c r="X1674" s="65">
        <v>13289</v>
      </c>
      <c r="Y1674" s="65">
        <v>0</v>
      </c>
      <c r="Z1674" s="65">
        <v>0</v>
      </c>
      <c r="AA1674" s="51">
        <v>36</v>
      </c>
      <c r="AB1674" s="102">
        <v>0</v>
      </c>
      <c r="AC1674" s="81">
        <f t="shared" si="81"/>
        <v>426.49795988559163</v>
      </c>
      <c r="AD1674" s="82">
        <f t="shared" si="82"/>
        <v>39.957142857142863</v>
      </c>
      <c r="AE1674" s="218">
        <v>2.5107055554732887E-3</v>
      </c>
      <c r="AF1674">
        <v>14</v>
      </c>
      <c r="AH1674" t="str">
        <f t="shared" si="80"/>
        <v>Kalyanpur</v>
      </c>
      <c r="AJ1674" s="72">
        <v>500</v>
      </c>
      <c r="AK1674" s="72"/>
      <c r="AL1674" s="72"/>
      <c r="AM1674" s="72"/>
    </row>
    <row r="1675" spans="1:39" x14ac:dyDescent="0.25">
      <c r="A1675" s="37" t="s">
        <v>62</v>
      </c>
      <c r="B1675" s="66" t="s">
        <v>1638</v>
      </c>
      <c r="C1675" s="47">
        <v>1053</v>
      </c>
      <c r="D1675" s="47" t="s">
        <v>527</v>
      </c>
      <c r="E1675" s="41">
        <v>10530071</v>
      </c>
      <c r="F1675" s="46" t="s">
        <v>829</v>
      </c>
      <c r="G1675" s="39" t="s">
        <v>92</v>
      </c>
      <c r="H1675" s="48" t="s">
        <v>93</v>
      </c>
      <c r="I1675" s="52">
        <v>433.10000000000008</v>
      </c>
      <c r="J1675" s="49">
        <v>20460.39</v>
      </c>
      <c r="K1675" s="65">
        <v>429.62000000000006</v>
      </c>
      <c r="L1675" s="65">
        <v>20456.840000000004</v>
      </c>
      <c r="M1675" s="65">
        <v>0</v>
      </c>
      <c r="N1675" s="65">
        <v>0</v>
      </c>
      <c r="O1675" s="65">
        <v>429.62000000000006</v>
      </c>
      <c r="P1675" s="65">
        <v>20456.840000000004</v>
      </c>
      <c r="Q1675" s="50">
        <v>20456.840000000004</v>
      </c>
      <c r="R1675" s="65">
        <v>0</v>
      </c>
      <c r="S1675" s="65">
        <v>0</v>
      </c>
      <c r="T1675" s="65">
        <v>0</v>
      </c>
      <c r="U1675" s="65">
        <v>0</v>
      </c>
      <c r="V1675" s="65">
        <v>0</v>
      </c>
      <c r="W1675" s="65">
        <v>0</v>
      </c>
      <c r="X1675" s="65">
        <v>20456</v>
      </c>
      <c r="Y1675" s="65">
        <v>0</v>
      </c>
      <c r="Z1675" s="65">
        <v>0</v>
      </c>
      <c r="AA1675" s="51">
        <v>4</v>
      </c>
      <c r="AB1675" s="102">
        <v>0</v>
      </c>
      <c r="AC1675" s="81">
        <f t="shared" si="81"/>
        <v>252.17631452320467</v>
      </c>
      <c r="AD1675" s="82">
        <f t="shared" si="82"/>
        <v>61.871428571428581</v>
      </c>
      <c r="AE1675" s="218">
        <v>1.7350597911357674E-4</v>
      </c>
      <c r="AF1675">
        <v>11</v>
      </c>
      <c r="AH1675" t="str">
        <f t="shared" si="80"/>
        <v>Kalyanpur</v>
      </c>
      <c r="AJ1675" s="72">
        <v>0</v>
      </c>
      <c r="AK1675" s="72"/>
      <c r="AL1675" s="72"/>
      <c r="AM1675" s="72"/>
    </row>
    <row r="1676" spans="1:39" x14ac:dyDescent="0.25">
      <c r="A1676" s="37" t="s">
        <v>62</v>
      </c>
      <c r="B1676" s="66" t="s">
        <v>1638</v>
      </c>
      <c r="C1676" s="47">
        <v>1053</v>
      </c>
      <c r="D1676" s="47" t="s">
        <v>527</v>
      </c>
      <c r="E1676" s="41">
        <v>10530072</v>
      </c>
      <c r="F1676" s="46" t="s">
        <v>819</v>
      </c>
      <c r="G1676" s="39" t="s">
        <v>1610</v>
      </c>
      <c r="H1676" s="48" t="s">
        <v>98</v>
      </c>
      <c r="I1676" s="52">
        <v>622.9</v>
      </c>
      <c r="J1676" s="49">
        <v>38036.520000000004</v>
      </c>
      <c r="K1676" s="65">
        <v>0</v>
      </c>
      <c r="L1676" s="65">
        <v>0</v>
      </c>
      <c r="M1676" s="65">
        <v>0</v>
      </c>
      <c r="N1676" s="65">
        <v>0</v>
      </c>
      <c r="O1676" s="65">
        <v>0</v>
      </c>
      <c r="P1676" s="65">
        <v>0</v>
      </c>
      <c r="Q1676" s="50">
        <v>38036.520000000004</v>
      </c>
      <c r="R1676" s="65">
        <v>0</v>
      </c>
      <c r="S1676" s="65">
        <v>0</v>
      </c>
      <c r="T1676" s="65">
        <v>0</v>
      </c>
      <c r="U1676" s="65">
        <v>0</v>
      </c>
      <c r="V1676" s="65">
        <v>0</v>
      </c>
      <c r="W1676" s="65">
        <v>0</v>
      </c>
      <c r="X1676" s="65">
        <v>0</v>
      </c>
      <c r="Y1676" s="65">
        <v>0</v>
      </c>
      <c r="Z1676" s="65">
        <v>38036.520000000004</v>
      </c>
      <c r="AA1676" s="51">
        <v>0</v>
      </c>
      <c r="AB1676" s="102">
        <v>0</v>
      </c>
      <c r="AC1676" s="81">
        <f t="shared" si="81"/>
        <v>94.16008001284321</v>
      </c>
      <c r="AD1676" s="82">
        <f t="shared" si="82"/>
        <v>88.98571428571428</v>
      </c>
      <c r="AE1676" s="218">
        <v>0</v>
      </c>
      <c r="AF1676">
        <v>0</v>
      </c>
      <c r="AH1676" t="str">
        <f t="shared" si="80"/>
        <v>Kalyanpur</v>
      </c>
      <c r="AJ1676" s="72">
        <v>0</v>
      </c>
      <c r="AK1676" s="72"/>
      <c r="AL1676" s="72"/>
      <c r="AM1676" s="72"/>
    </row>
    <row r="1677" spans="1:39" x14ac:dyDescent="0.25">
      <c r="A1677" s="37" t="s">
        <v>62</v>
      </c>
      <c r="B1677" s="66" t="s">
        <v>1638</v>
      </c>
      <c r="C1677" s="47">
        <v>1053</v>
      </c>
      <c r="D1677" s="47" t="s">
        <v>527</v>
      </c>
      <c r="E1677" s="41">
        <v>10530074</v>
      </c>
      <c r="F1677" s="46" t="s">
        <v>1100</v>
      </c>
      <c r="G1677" s="39" t="s">
        <v>92</v>
      </c>
      <c r="H1677" s="48" t="s">
        <v>93</v>
      </c>
      <c r="I1677" s="52">
        <v>755.90000000000032</v>
      </c>
      <c r="J1677" s="49">
        <v>32999.519999999997</v>
      </c>
      <c r="K1677" s="65">
        <v>743.95999999999981</v>
      </c>
      <c r="L1677" s="65">
        <v>32023.419999999995</v>
      </c>
      <c r="M1677" s="65">
        <v>14.260000000000002</v>
      </c>
      <c r="N1677" s="65">
        <v>578.92999999999995</v>
      </c>
      <c r="O1677" s="65">
        <v>758.2199999999998</v>
      </c>
      <c r="P1677" s="65">
        <v>32602.349999999995</v>
      </c>
      <c r="Q1677" s="50">
        <v>32602.349999999995</v>
      </c>
      <c r="R1677" s="65">
        <v>0</v>
      </c>
      <c r="S1677" s="65">
        <v>578.92999999999995</v>
      </c>
      <c r="T1677" s="65">
        <v>0</v>
      </c>
      <c r="U1677" s="65">
        <v>2827</v>
      </c>
      <c r="V1677" s="65">
        <v>0</v>
      </c>
      <c r="W1677" s="65">
        <v>0</v>
      </c>
      <c r="X1677" s="65">
        <v>29196</v>
      </c>
      <c r="Y1677" s="65">
        <v>0</v>
      </c>
      <c r="Z1677" s="65">
        <v>0</v>
      </c>
      <c r="AA1677" s="51">
        <v>398</v>
      </c>
      <c r="AB1677" s="102">
        <v>0</v>
      </c>
      <c r="AC1677" s="81">
        <f t="shared" si="81"/>
        <v>0</v>
      </c>
      <c r="AD1677" s="82">
        <f t="shared" si="82"/>
        <v>0</v>
      </c>
      <c r="AE1677" s="218">
        <v>1.203562960915801E-2</v>
      </c>
      <c r="AF1677">
        <v>24</v>
      </c>
      <c r="AH1677" t="str">
        <f t="shared" si="80"/>
        <v>Kalyanpur</v>
      </c>
      <c r="AJ1677" s="72">
        <v>0</v>
      </c>
      <c r="AK1677" s="72"/>
      <c r="AL1677" s="72"/>
      <c r="AM1677" s="72"/>
    </row>
    <row r="1678" spans="1:39" x14ac:dyDescent="0.25">
      <c r="A1678" s="37" t="s">
        <v>62</v>
      </c>
      <c r="B1678" s="66" t="s">
        <v>1638</v>
      </c>
      <c r="C1678" s="47">
        <v>1053</v>
      </c>
      <c r="D1678" s="47" t="s">
        <v>527</v>
      </c>
      <c r="E1678" s="41">
        <v>10530076</v>
      </c>
      <c r="F1678" s="46" t="s">
        <v>1136</v>
      </c>
      <c r="G1678" s="39" t="s">
        <v>92</v>
      </c>
      <c r="H1678" s="48" t="s">
        <v>93</v>
      </c>
      <c r="I1678" s="52">
        <v>2283.6</v>
      </c>
      <c r="J1678" s="49">
        <v>108670.70999999998</v>
      </c>
      <c r="K1678" s="65">
        <v>2264.0399999999995</v>
      </c>
      <c r="L1678" s="65">
        <v>107190.68000000002</v>
      </c>
      <c r="M1678" s="65">
        <v>30.82</v>
      </c>
      <c r="N1678" s="65">
        <v>1399.8100000000002</v>
      </c>
      <c r="O1678" s="65">
        <v>2294.8599999999997</v>
      </c>
      <c r="P1678" s="65">
        <v>108590.49000000002</v>
      </c>
      <c r="Q1678" s="50">
        <v>108590.49000000002</v>
      </c>
      <c r="R1678" s="65">
        <v>0</v>
      </c>
      <c r="S1678" s="65">
        <v>1399.8100000000002</v>
      </c>
      <c r="T1678" s="65">
        <v>0</v>
      </c>
      <c r="U1678" s="65">
        <v>0</v>
      </c>
      <c r="V1678" s="65">
        <v>0</v>
      </c>
      <c r="W1678" s="65">
        <v>0</v>
      </c>
      <c r="X1678" s="65">
        <v>107191</v>
      </c>
      <c r="Y1678" s="65">
        <v>0</v>
      </c>
      <c r="Z1678" s="65">
        <v>0</v>
      </c>
      <c r="AA1678" s="51">
        <v>80</v>
      </c>
      <c r="AB1678" s="102">
        <v>0</v>
      </c>
      <c r="AC1678" s="81">
        <f t="shared" si="81"/>
        <v>0</v>
      </c>
      <c r="AD1678" s="82">
        <f t="shared" si="82"/>
        <v>0</v>
      </c>
      <c r="AE1678" s="218">
        <v>7.3819339176082978E-4</v>
      </c>
      <c r="AF1678">
        <v>47</v>
      </c>
      <c r="AH1678" t="str">
        <f t="shared" si="80"/>
        <v>Kalyanpur</v>
      </c>
      <c r="AJ1678" s="72">
        <v>0</v>
      </c>
      <c r="AK1678" s="72"/>
      <c r="AL1678" s="72"/>
      <c r="AM1678" s="72"/>
    </row>
    <row r="1679" spans="1:39" x14ac:dyDescent="0.25">
      <c r="A1679" s="37" t="s">
        <v>62</v>
      </c>
      <c r="B1679" s="66" t="s">
        <v>1638</v>
      </c>
      <c r="C1679" s="47">
        <v>1053</v>
      </c>
      <c r="D1679" s="47" t="s">
        <v>527</v>
      </c>
      <c r="E1679" s="41">
        <v>10530077</v>
      </c>
      <c r="F1679" s="46" t="s">
        <v>1266</v>
      </c>
      <c r="G1679" s="39" t="s">
        <v>1610</v>
      </c>
      <c r="H1679" s="48" t="s">
        <v>98</v>
      </c>
      <c r="I1679" s="52">
        <v>732.2</v>
      </c>
      <c r="J1679" s="49">
        <v>29728.299999999996</v>
      </c>
      <c r="K1679" s="65">
        <v>0</v>
      </c>
      <c r="L1679" s="65">
        <v>0</v>
      </c>
      <c r="M1679" s="65">
        <v>0</v>
      </c>
      <c r="N1679" s="65">
        <v>0</v>
      </c>
      <c r="O1679" s="65">
        <v>0</v>
      </c>
      <c r="P1679" s="65">
        <v>0</v>
      </c>
      <c r="Q1679" s="50">
        <v>29728.299999999996</v>
      </c>
      <c r="R1679" s="65">
        <v>0</v>
      </c>
      <c r="S1679" s="65">
        <v>0</v>
      </c>
      <c r="T1679" s="65">
        <v>0</v>
      </c>
      <c r="U1679" s="65">
        <v>0</v>
      </c>
      <c r="V1679" s="65">
        <v>0</v>
      </c>
      <c r="W1679" s="65">
        <v>0</v>
      </c>
      <c r="X1679" s="65">
        <v>0</v>
      </c>
      <c r="Y1679" s="65">
        <v>0</v>
      </c>
      <c r="Z1679" s="65">
        <v>29728.299999999996</v>
      </c>
      <c r="AA1679" s="51">
        <v>0</v>
      </c>
      <c r="AB1679" s="102">
        <v>0</v>
      </c>
      <c r="AC1679" s="81">
        <f t="shared" si="81"/>
        <v>0</v>
      </c>
      <c r="AD1679" s="82">
        <f t="shared" si="82"/>
        <v>0</v>
      </c>
      <c r="AE1679" s="218">
        <v>0</v>
      </c>
      <c r="AF1679">
        <v>0</v>
      </c>
      <c r="AH1679" t="str">
        <f t="shared" si="80"/>
        <v>Kalyanpur</v>
      </c>
      <c r="AJ1679" s="72">
        <v>0</v>
      </c>
      <c r="AK1679" s="72"/>
      <c r="AL1679" s="72"/>
      <c r="AM1679" s="72"/>
    </row>
    <row r="1680" spans="1:39" x14ac:dyDescent="0.25">
      <c r="A1680" s="37" t="s">
        <v>62</v>
      </c>
      <c r="B1680" s="66" t="s">
        <v>1638</v>
      </c>
      <c r="C1680" s="47">
        <v>1053</v>
      </c>
      <c r="D1680" s="47" t="s">
        <v>527</v>
      </c>
      <c r="E1680" s="41">
        <v>10530078</v>
      </c>
      <c r="F1680" s="46" t="s">
        <v>1164</v>
      </c>
      <c r="G1680" s="39" t="s">
        <v>92</v>
      </c>
      <c r="H1680" s="48" t="s">
        <v>93</v>
      </c>
      <c r="I1680" s="52">
        <v>737.34999999999991</v>
      </c>
      <c r="J1680" s="49">
        <v>31659.750000000004</v>
      </c>
      <c r="K1680" s="65">
        <v>729.65</v>
      </c>
      <c r="L1680" s="65">
        <v>30692.770000000004</v>
      </c>
      <c r="M1680" s="65">
        <v>21.45</v>
      </c>
      <c r="N1680" s="65">
        <v>938.7700000000001</v>
      </c>
      <c r="O1680" s="65">
        <v>751.1</v>
      </c>
      <c r="P1680" s="65">
        <v>31631.540000000005</v>
      </c>
      <c r="Q1680" s="50">
        <v>31631.540000000005</v>
      </c>
      <c r="R1680" s="65">
        <v>0</v>
      </c>
      <c r="S1680" s="65">
        <v>938.7700000000001</v>
      </c>
      <c r="T1680" s="65">
        <v>0</v>
      </c>
      <c r="U1680" s="65">
        <v>0</v>
      </c>
      <c r="V1680" s="65">
        <v>0</v>
      </c>
      <c r="W1680" s="65">
        <v>0</v>
      </c>
      <c r="X1680" s="65">
        <v>30694</v>
      </c>
      <c r="Y1680" s="65">
        <v>0</v>
      </c>
      <c r="Z1680" s="65">
        <v>0</v>
      </c>
      <c r="AA1680" s="51">
        <v>27</v>
      </c>
      <c r="AB1680" s="102">
        <v>0</v>
      </c>
      <c r="AC1680" s="81">
        <f t="shared" si="81"/>
        <v>0</v>
      </c>
      <c r="AD1680" s="82">
        <f t="shared" si="82"/>
        <v>0</v>
      </c>
      <c r="AE1680" s="218">
        <v>8.9103672644285324E-4</v>
      </c>
      <c r="AF1680">
        <v>15</v>
      </c>
      <c r="AH1680" t="str">
        <f t="shared" si="80"/>
        <v>Kalyanpur</v>
      </c>
      <c r="AJ1680" s="72">
        <v>0</v>
      </c>
      <c r="AK1680" s="72"/>
      <c r="AL1680" s="72"/>
      <c r="AM1680" s="72"/>
    </row>
    <row r="1681" spans="1:39" x14ac:dyDescent="0.25">
      <c r="A1681" s="37" t="s">
        <v>62</v>
      </c>
      <c r="B1681" s="66" t="s">
        <v>1638</v>
      </c>
      <c r="C1681" s="47">
        <v>1053</v>
      </c>
      <c r="D1681" s="47" t="s">
        <v>527</v>
      </c>
      <c r="E1681" s="41">
        <v>10530079</v>
      </c>
      <c r="F1681" s="46" t="s">
        <v>1155</v>
      </c>
      <c r="G1681" s="39" t="s">
        <v>1610</v>
      </c>
      <c r="H1681" s="48" t="s">
        <v>98</v>
      </c>
      <c r="I1681" s="52">
        <v>183.99999999999997</v>
      </c>
      <c r="J1681" s="49">
        <v>8791.869999999999</v>
      </c>
      <c r="K1681" s="65">
        <v>0</v>
      </c>
      <c r="L1681" s="65">
        <v>0</v>
      </c>
      <c r="M1681" s="65">
        <v>0</v>
      </c>
      <c r="N1681" s="65">
        <v>0</v>
      </c>
      <c r="O1681" s="65">
        <v>0</v>
      </c>
      <c r="P1681" s="65">
        <v>0</v>
      </c>
      <c r="Q1681" s="50">
        <v>8791.869999999999</v>
      </c>
      <c r="R1681" s="65">
        <v>0</v>
      </c>
      <c r="S1681" s="65">
        <v>0</v>
      </c>
      <c r="T1681" s="65">
        <v>0</v>
      </c>
      <c r="U1681" s="65">
        <v>0</v>
      </c>
      <c r="V1681" s="65">
        <v>0</v>
      </c>
      <c r="W1681" s="65">
        <v>0</v>
      </c>
      <c r="X1681" s="65">
        <v>0</v>
      </c>
      <c r="Y1681" s="65">
        <v>0</v>
      </c>
      <c r="Z1681" s="65">
        <v>8791.869999999999</v>
      </c>
      <c r="AA1681" s="51">
        <v>0</v>
      </c>
      <c r="AB1681" s="102">
        <v>0</v>
      </c>
      <c r="AC1681" s="81">
        <f t="shared" si="81"/>
        <v>493.10923043478266</v>
      </c>
      <c r="AD1681" s="82">
        <f t="shared" si="82"/>
        <v>26.285714285714281</v>
      </c>
      <c r="AE1681" s="218">
        <v>0</v>
      </c>
      <c r="AF1681">
        <v>0</v>
      </c>
      <c r="AH1681" t="str">
        <f t="shared" si="80"/>
        <v>Kalyanpur</v>
      </c>
      <c r="AJ1681" s="72">
        <v>0</v>
      </c>
      <c r="AK1681" s="72"/>
      <c r="AL1681" s="72"/>
      <c r="AM1681" s="72"/>
    </row>
    <row r="1682" spans="1:39" x14ac:dyDescent="0.25">
      <c r="A1682" s="37" t="s">
        <v>62</v>
      </c>
      <c r="B1682" s="66" t="s">
        <v>1638</v>
      </c>
      <c r="C1682" s="47">
        <v>1053</v>
      </c>
      <c r="D1682" s="47" t="s">
        <v>527</v>
      </c>
      <c r="E1682" s="41">
        <v>10530080</v>
      </c>
      <c r="F1682" s="46" t="s">
        <v>1165</v>
      </c>
      <c r="G1682" s="39" t="s">
        <v>1610</v>
      </c>
      <c r="H1682" s="48" t="s">
        <v>98</v>
      </c>
      <c r="I1682" s="52">
        <v>130.05000000000001</v>
      </c>
      <c r="J1682" s="49">
        <v>4117.4400000000005</v>
      </c>
      <c r="K1682" s="65">
        <v>0</v>
      </c>
      <c r="L1682" s="65">
        <v>0</v>
      </c>
      <c r="M1682" s="65">
        <v>0</v>
      </c>
      <c r="N1682" s="65">
        <v>0</v>
      </c>
      <c r="O1682" s="65">
        <v>0</v>
      </c>
      <c r="P1682" s="65">
        <v>0</v>
      </c>
      <c r="Q1682" s="50">
        <v>4117.4400000000005</v>
      </c>
      <c r="R1682" s="65">
        <v>0</v>
      </c>
      <c r="S1682" s="65">
        <v>0</v>
      </c>
      <c r="T1682" s="65">
        <v>0</v>
      </c>
      <c r="U1682" s="65">
        <v>0</v>
      </c>
      <c r="V1682" s="65">
        <v>0</v>
      </c>
      <c r="W1682" s="65">
        <v>0</v>
      </c>
      <c r="X1682" s="65">
        <v>0</v>
      </c>
      <c r="Y1682" s="65">
        <v>0</v>
      </c>
      <c r="Z1682" s="65">
        <v>4117.4400000000005</v>
      </c>
      <c r="AA1682" s="51">
        <v>0</v>
      </c>
      <c r="AB1682" s="102">
        <v>0</v>
      </c>
      <c r="AC1682" s="81">
        <f t="shared" si="81"/>
        <v>360.89733610149949</v>
      </c>
      <c r="AD1682" s="82">
        <f t="shared" si="82"/>
        <v>18.578571428571429</v>
      </c>
      <c r="AE1682" s="218">
        <v>0</v>
      </c>
      <c r="AF1682">
        <v>0</v>
      </c>
      <c r="AH1682" t="str">
        <f t="shared" si="80"/>
        <v>Kalyanpur</v>
      </c>
      <c r="AJ1682" s="72">
        <v>0</v>
      </c>
      <c r="AK1682" s="72"/>
      <c r="AL1682" s="72"/>
      <c r="AM1682" s="72"/>
    </row>
    <row r="1683" spans="1:39" x14ac:dyDescent="0.25">
      <c r="A1683" s="37" t="s">
        <v>62</v>
      </c>
      <c r="B1683" s="66" t="s">
        <v>1638</v>
      </c>
      <c r="C1683" s="47">
        <v>1053</v>
      </c>
      <c r="D1683" s="47" t="s">
        <v>527</v>
      </c>
      <c r="E1683" s="41">
        <v>10530081</v>
      </c>
      <c r="F1683" s="46" t="s">
        <v>1156</v>
      </c>
      <c r="G1683" s="39" t="s">
        <v>92</v>
      </c>
      <c r="H1683" s="48" t="s">
        <v>93</v>
      </c>
      <c r="I1683" s="52">
        <v>1587.5000000000002</v>
      </c>
      <c r="J1683" s="49">
        <v>69618.37999999999</v>
      </c>
      <c r="K1683" s="65">
        <v>1576.98</v>
      </c>
      <c r="L1683" s="65">
        <v>67893.88</v>
      </c>
      <c r="M1683" s="65">
        <v>16.569999999999997</v>
      </c>
      <c r="N1683" s="65">
        <v>792.57</v>
      </c>
      <c r="O1683" s="65">
        <v>1593.55</v>
      </c>
      <c r="P1683" s="65">
        <v>68686.450000000012</v>
      </c>
      <c r="Q1683" s="50">
        <v>68686.450000000012</v>
      </c>
      <c r="R1683" s="65">
        <v>0</v>
      </c>
      <c r="S1683" s="65">
        <v>792.57</v>
      </c>
      <c r="T1683" s="65">
        <v>0</v>
      </c>
      <c r="U1683" s="65">
        <v>0</v>
      </c>
      <c r="V1683" s="65">
        <v>0</v>
      </c>
      <c r="W1683" s="65">
        <v>0</v>
      </c>
      <c r="X1683" s="65">
        <v>67891</v>
      </c>
      <c r="Y1683" s="65">
        <v>0</v>
      </c>
      <c r="Z1683" s="65">
        <v>0</v>
      </c>
      <c r="AA1683" s="51">
        <v>935</v>
      </c>
      <c r="AB1683" s="102">
        <v>0</v>
      </c>
      <c r="AC1683" s="81">
        <f t="shared" si="81"/>
        <v>0</v>
      </c>
      <c r="AD1683" s="82">
        <f t="shared" si="82"/>
        <v>0</v>
      </c>
      <c r="AE1683" s="218">
        <v>1.3386263799875529E-2</v>
      </c>
      <c r="AF1683">
        <v>39</v>
      </c>
      <c r="AH1683" t="str">
        <f t="shared" si="80"/>
        <v>Kalyanpur</v>
      </c>
      <c r="AJ1683" s="72">
        <v>0</v>
      </c>
      <c r="AK1683" s="72"/>
      <c r="AL1683" s="72"/>
      <c r="AM1683" s="72"/>
    </row>
    <row r="1684" spans="1:39" x14ac:dyDescent="0.25">
      <c r="A1684" s="37" t="s">
        <v>62</v>
      </c>
      <c r="B1684" s="66" t="s">
        <v>1638</v>
      </c>
      <c r="C1684" s="47">
        <v>1053</v>
      </c>
      <c r="D1684" s="47" t="s">
        <v>527</v>
      </c>
      <c r="E1684" s="41">
        <v>10530082</v>
      </c>
      <c r="F1684" s="46" t="s">
        <v>1157</v>
      </c>
      <c r="G1684" s="39" t="s">
        <v>92</v>
      </c>
      <c r="H1684" s="48" t="s">
        <v>93</v>
      </c>
      <c r="I1684" s="52">
        <v>1197.6499999999999</v>
      </c>
      <c r="J1684" s="49">
        <v>49649.86</v>
      </c>
      <c r="K1684" s="65">
        <v>1179.8</v>
      </c>
      <c r="L1684" s="65">
        <v>49585.720000000008</v>
      </c>
      <c r="M1684" s="65">
        <v>1.1100000000000001</v>
      </c>
      <c r="N1684" s="65">
        <v>59.82</v>
      </c>
      <c r="O1684" s="65">
        <v>1180.9099999999999</v>
      </c>
      <c r="P1684" s="65">
        <v>49645.540000000008</v>
      </c>
      <c r="Q1684" s="50">
        <v>49645.540000000008</v>
      </c>
      <c r="R1684" s="65">
        <v>0</v>
      </c>
      <c r="S1684" s="65">
        <v>59.82</v>
      </c>
      <c r="T1684" s="65">
        <v>0</v>
      </c>
      <c r="U1684" s="65">
        <v>1550</v>
      </c>
      <c r="V1684" s="65">
        <v>0</v>
      </c>
      <c r="W1684" s="65">
        <v>0</v>
      </c>
      <c r="X1684" s="65">
        <v>48035</v>
      </c>
      <c r="Y1684" s="65">
        <v>0</v>
      </c>
      <c r="Z1684" s="65">
        <v>0</v>
      </c>
      <c r="AA1684" s="51">
        <v>5</v>
      </c>
      <c r="AB1684" s="102">
        <v>0</v>
      </c>
      <c r="AC1684" s="81">
        <f t="shared" si="81"/>
        <v>0</v>
      </c>
      <c r="AD1684" s="82">
        <f t="shared" si="82"/>
        <v>0</v>
      </c>
      <c r="AE1684" s="218">
        <v>8.7009308787425242E-5</v>
      </c>
      <c r="AF1684">
        <v>28</v>
      </c>
      <c r="AH1684" t="str">
        <f t="shared" si="80"/>
        <v>Kalyanpur</v>
      </c>
      <c r="AJ1684" s="72">
        <v>0</v>
      </c>
      <c r="AK1684" s="72"/>
      <c r="AL1684" s="72"/>
      <c r="AM1684" s="72"/>
    </row>
    <row r="1685" spans="1:39" x14ac:dyDescent="0.25">
      <c r="A1685" s="37" t="s">
        <v>62</v>
      </c>
      <c r="B1685" s="66" t="s">
        <v>1638</v>
      </c>
      <c r="C1685" s="47">
        <v>1053</v>
      </c>
      <c r="D1685" s="47" t="s">
        <v>527</v>
      </c>
      <c r="E1685" s="41">
        <v>10530084</v>
      </c>
      <c r="F1685" s="46" t="s">
        <v>1228</v>
      </c>
      <c r="G1685" s="39" t="s">
        <v>92</v>
      </c>
      <c r="H1685" s="48" t="s">
        <v>93</v>
      </c>
      <c r="I1685" s="52">
        <v>2312.9499999999998</v>
      </c>
      <c r="J1685" s="49">
        <v>92691.87999999999</v>
      </c>
      <c r="K1685" s="65">
        <v>2283.5899999999997</v>
      </c>
      <c r="L1685" s="65">
        <v>92233.920000000013</v>
      </c>
      <c r="M1685" s="65">
        <v>11.05</v>
      </c>
      <c r="N1685" s="65">
        <v>455.50000000000006</v>
      </c>
      <c r="O1685" s="65">
        <v>2294.64</v>
      </c>
      <c r="P1685" s="65">
        <v>92689.420000000013</v>
      </c>
      <c r="Q1685" s="50">
        <v>92689.420000000013</v>
      </c>
      <c r="R1685" s="65">
        <v>0</v>
      </c>
      <c r="S1685" s="65">
        <v>455.50000000000006</v>
      </c>
      <c r="T1685" s="65">
        <v>0</v>
      </c>
      <c r="U1685" s="65">
        <v>3672</v>
      </c>
      <c r="V1685" s="65">
        <v>0</v>
      </c>
      <c r="W1685" s="65">
        <v>0</v>
      </c>
      <c r="X1685" s="65">
        <v>88562</v>
      </c>
      <c r="Y1685" s="65">
        <v>0</v>
      </c>
      <c r="Z1685" s="65">
        <v>0</v>
      </c>
      <c r="AA1685" s="51">
        <v>2</v>
      </c>
      <c r="AB1685" s="102">
        <v>0</v>
      </c>
      <c r="AC1685" s="81">
        <f t="shared" si="81"/>
        <v>0</v>
      </c>
      <c r="AD1685" s="82">
        <f t="shared" si="82"/>
        <v>0</v>
      </c>
      <c r="AE1685" s="218">
        <v>2.6539541543199892E-5</v>
      </c>
      <c r="AF1685">
        <v>42</v>
      </c>
      <c r="AH1685" t="str">
        <f t="shared" si="80"/>
        <v>Kalyanpur</v>
      </c>
      <c r="AJ1685" s="72">
        <v>0</v>
      </c>
      <c r="AK1685" s="72"/>
      <c r="AL1685" s="72"/>
      <c r="AM1685" s="72"/>
    </row>
    <row r="1686" spans="1:39" x14ac:dyDescent="0.25">
      <c r="A1686" s="37" t="s">
        <v>62</v>
      </c>
      <c r="B1686" s="66" t="s">
        <v>1638</v>
      </c>
      <c r="C1686" s="47">
        <v>1053</v>
      </c>
      <c r="D1686" s="47" t="s">
        <v>527</v>
      </c>
      <c r="E1686" s="41">
        <v>10530085</v>
      </c>
      <c r="F1686" s="46" t="s">
        <v>1181</v>
      </c>
      <c r="G1686" s="39" t="s">
        <v>92</v>
      </c>
      <c r="H1686" s="48" t="s">
        <v>93</v>
      </c>
      <c r="I1686" s="52">
        <v>766.34999999999991</v>
      </c>
      <c r="J1686" s="49">
        <v>33311.729999999996</v>
      </c>
      <c r="K1686" s="65">
        <v>777.93000000000006</v>
      </c>
      <c r="L1686" s="65">
        <v>32767.109999999997</v>
      </c>
      <c r="M1686" s="65">
        <v>9</v>
      </c>
      <c r="N1686" s="65">
        <v>537.48</v>
      </c>
      <c r="O1686" s="65">
        <v>786.93000000000006</v>
      </c>
      <c r="P1686" s="65">
        <v>33304.589999999997</v>
      </c>
      <c r="Q1686" s="50">
        <v>33304.589999999997</v>
      </c>
      <c r="R1686" s="65">
        <v>0</v>
      </c>
      <c r="S1686" s="65">
        <v>537.48</v>
      </c>
      <c r="T1686" s="65">
        <v>0</v>
      </c>
      <c r="U1686" s="65">
        <v>2629</v>
      </c>
      <c r="V1686" s="65">
        <v>0</v>
      </c>
      <c r="W1686" s="65">
        <v>0</v>
      </c>
      <c r="X1686" s="65">
        <v>30140</v>
      </c>
      <c r="Y1686" s="65">
        <v>0</v>
      </c>
      <c r="Z1686" s="65">
        <v>0</v>
      </c>
      <c r="AA1686" s="51">
        <v>5</v>
      </c>
      <c r="AB1686" s="102">
        <v>0</v>
      </c>
      <c r="AC1686" s="81">
        <f t="shared" si="81"/>
        <v>0</v>
      </c>
      <c r="AD1686" s="82">
        <f t="shared" si="82"/>
        <v>0</v>
      </c>
      <c r="AE1686" s="218">
        <v>2.1433891304952995E-4</v>
      </c>
      <c r="AF1686">
        <v>18</v>
      </c>
      <c r="AH1686" t="str">
        <f t="shared" si="80"/>
        <v>Kalyanpur</v>
      </c>
      <c r="AJ1686" s="72">
        <v>0</v>
      </c>
      <c r="AK1686" s="72"/>
      <c r="AL1686" s="72"/>
      <c r="AM1686" s="72"/>
    </row>
    <row r="1687" spans="1:39" x14ac:dyDescent="0.25">
      <c r="A1687" s="37" t="s">
        <v>62</v>
      </c>
      <c r="B1687" s="66" t="s">
        <v>1638</v>
      </c>
      <c r="C1687" s="47">
        <v>1066</v>
      </c>
      <c r="D1687" s="47" t="s">
        <v>1501</v>
      </c>
      <c r="E1687" s="41">
        <v>10530088</v>
      </c>
      <c r="F1687" s="46" t="s">
        <v>1503</v>
      </c>
      <c r="G1687" s="39" t="s">
        <v>1610</v>
      </c>
      <c r="H1687" s="48" t="s">
        <v>98</v>
      </c>
      <c r="I1687" s="52">
        <v>159.9</v>
      </c>
      <c r="J1687" s="49">
        <v>9286.99</v>
      </c>
      <c r="K1687" s="65">
        <v>0</v>
      </c>
      <c r="L1687" s="65">
        <v>0</v>
      </c>
      <c r="M1687" s="65">
        <v>0</v>
      </c>
      <c r="N1687" s="65">
        <v>0</v>
      </c>
      <c r="O1687" s="65">
        <v>0</v>
      </c>
      <c r="P1687" s="65">
        <v>0</v>
      </c>
      <c r="Q1687" s="50">
        <v>9286.99</v>
      </c>
      <c r="R1687" s="65">
        <v>0</v>
      </c>
      <c r="S1687" s="65">
        <v>0</v>
      </c>
      <c r="T1687" s="65">
        <v>0</v>
      </c>
      <c r="U1687" s="65">
        <v>0</v>
      </c>
      <c r="V1687" s="65">
        <v>0</v>
      </c>
      <c r="W1687" s="65">
        <v>0</v>
      </c>
      <c r="X1687" s="65">
        <v>0</v>
      </c>
      <c r="Y1687" s="65">
        <v>0</v>
      </c>
      <c r="Z1687" s="65">
        <v>9286.99</v>
      </c>
      <c r="AA1687" s="51">
        <v>0</v>
      </c>
      <c r="AB1687" s="102">
        <v>0</v>
      </c>
      <c r="AC1687" s="81">
        <f t="shared" si="81"/>
        <v>627.38002489055657</v>
      </c>
      <c r="AD1687" s="82">
        <f t="shared" si="82"/>
        <v>22.842857142857145</v>
      </c>
      <c r="AE1687" s="218">
        <v>0</v>
      </c>
      <c r="AF1687">
        <v>0</v>
      </c>
      <c r="AH1687" t="str">
        <f t="shared" si="80"/>
        <v>Gaighat</v>
      </c>
      <c r="AJ1687" s="72">
        <v>0</v>
      </c>
      <c r="AK1687" s="72"/>
      <c r="AL1687" s="72"/>
      <c r="AM1687" s="72"/>
    </row>
    <row r="1688" spans="1:39" x14ac:dyDescent="0.25">
      <c r="A1688" s="37" t="s">
        <v>62</v>
      </c>
      <c r="B1688" s="66" t="s">
        <v>1638</v>
      </c>
      <c r="C1688" s="47">
        <v>1012</v>
      </c>
      <c r="D1688" s="47" t="s">
        <v>306</v>
      </c>
      <c r="E1688" s="41">
        <v>10530090</v>
      </c>
      <c r="F1688" s="46" t="s">
        <v>1173</v>
      </c>
      <c r="G1688" s="39" t="s">
        <v>1610</v>
      </c>
      <c r="H1688" s="48" t="s">
        <v>98</v>
      </c>
      <c r="I1688" s="52">
        <v>270.2</v>
      </c>
      <c r="J1688" s="49">
        <v>9400.99</v>
      </c>
      <c r="K1688" s="65">
        <v>0</v>
      </c>
      <c r="L1688" s="65">
        <v>0</v>
      </c>
      <c r="M1688" s="65">
        <v>0</v>
      </c>
      <c r="N1688" s="65">
        <v>0</v>
      </c>
      <c r="O1688" s="65">
        <v>0</v>
      </c>
      <c r="P1688" s="65">
        <v>0</v>
      </c>
      <c r="Q1688" s="50">
        <v>9400.99</v>
      </c>
      <c r="R1688" s="65">
        <v>0</v>
      </c>
      <c r="S1688" s="65">
        <v>0</v>
      </c>
      <c r="T1688" s="65">
        <v>0</v>
      </c>
      <c r="U1688" s="65">
        <v>0</v>
      </c>
      <c r="V1688" s="65">
        <v>0</v>
      </c>
      <c r="W1688" s="65">
        <v>0</v>
      </c>
      <c r="X1688" s="65">
        <v>0</v>
      </c>
      <c r="Y1688" s="65">
        <v>0</v>
      </c>
      <c r="Z1688" s="65">
        <v>9400.99</v>
      </c>
      <c r="AA1688" s="51">
        <v>0</v>
      </c>
      <c r="AB1688" s="102">
        <v>0</v>
      </c>
      <c r="AC1688" s="81">
        <f t="shared" si="81"/>
        <v>299.0781274611399</v>
      </c>
      <c r="AD1688" s="82">
        <f t="shared" si="82"/>
        <v>38.6</v>
      </c>
      <c r="AE1688" s="218">
        <v>0</v>
      </c>
      <c r="AF1688">
        <v>0</v>
      </c>
      <c r="AH1688" t="str">
        <f t="shared" si="80"/>
        <v>DalsinghSarai</v>
      </c>
      <c r="AJ1688" s="72">
        <v>0</v>
      </c>
      <c r="AK1688" s="72"/>
      <c r="AL1688" s="72"/>
      <c r="AM1688" s="72"/>
    </row>
    <row r="1689" spans="1:39" x14ac:dyDescent="0.25">
      <c r="A1689" s="37" t="s">
        <v>62</v>
      </c>
      <c r="B1689" s="66" t="s">
        <v>1638</v>
      </c>
      <c r="C1689" s="47">
        <v>1053</v>
      </c>
      <c r="D1689" s="47" t="s">
        <v>527</v>
      </c>
      <c r="E1689" s="41">
        <v>10530091</v>
      </c>
      <c r="F1689" s="46" t="s">
        <v>1198</v>
      </c>
      <c r="G1689" s="39" t="s">
        <v>92</v>
      </c>
      <c r="H1689" s="48" t="s">
        <v>93</v>
      </c>
      <c r="I1689" s="52">
        <v>301.64999999999998</v>
      </c>
      <c r="J1689" s="49">
        <v>11845.17</v>
      </c>
      <c r="K1689" s="65">
        <v>299.7</v>
      </c>
      <c r="L1689" s="65">
        <v>11803.05</v>
      </c>
      <c r="M1689" s="65">
        <v>0</v>
      </c>
      <c r="N1689" s="65">
        <v>0</v>
      </c>
      <c r="O1689" s="65">
        <v>299.7</v>
      </c>
      <c r="P1689" s="65">
        <v>11803.05</v>
      </c>
      <c r="Q1689" s="50">
        <v>11803.05</v>
      </c>
      <c r="R1689" s="65">
        <v>0</v>
      </c>
      <c r="S1689" s="65">
        <v>0</v>
      </c>
      <c r="T1689" s="65">
        <v>0</v>
      </c>
      <c r="U1689" s="65">
        <v>0</v>
      </c>
      <c r="V1689" s="65">
        <v>0</v>
      </c>
      <c r="W1689" s="65">
        <v>0</v>
      </c>
      <c r="X1689" s="65">
        <v>11804</v>
      </c>
      <c r="Y1689" s="65">
        <v>0</v>
      </c>
      <c r="Z1689" s="65">
        <v>0</v>
      </c>
      <c r="AA1689" s="51">
        <v>41</v>
      </c>
      <c r="AB1689" s="102">
        <v>0</v>
      </c>
      <c r="AC1689" s="81">
        <f t="shared" si="81"/>
        <v>312.84756966683244</v>
      </c>
      <c r="AD1689" s="82">
        <f t="shared" si="82"/>
        <v>43.092857142857142</v>
      </c>
      <c r="AE1689" s="218">
        <v>3.5558797383237893E-3</v>
      </c>
      <c r="AF1689">
        <v>8</v>
      </c>
      <c r="AH1689" t="str">
        <f t="shared" si="80"/>
        <v>Kalyanpur</v>
      </c>
      <c r="AJ1689" s="72">
        <v>0</v>
      </c>
      <c r="AK1689" s="72"/>
      <c r="AL1689" s="72"/>
      <c r="AM1689" s="72"/>
    </row>
    <row r="1690" spans="1:39" x14ac:dyDescent="0.25">
      <c r="A1690" s="37" t="s">
        <v>62</v>
      </c>
      <c r="B1690" s="66" t="s">
        <v>1638</v>
      </c>
      <c r="C1690" s="47">
        <v>1053</v>
      </c>
      <c r="D1690" s="47" t="s">
        <v>527</v>
      </c>
      <c r="E1690" s="41">
        <v>10530092</v>
      </c>
      <c r="F1690" s="46" t="s">
        <v>1193</v>
      </c>
      <c r="G1690" s="39" t="s">
        <v>92</v>
      </c>
      <c r="H1690" s="48" t="s">
        <v>93</v>
      </c>
      <c r="I1690" s="52">
        <v>1055.9000000000003</v>
      </c>
      <c r="J1690" s="49">
        <v>44284.7</v>
      </c>
      <c r="K1690" s="65">
        <v>849.12</v>
      </c>
      <c r="L1690" s="65">
        <v>33619.499999999993</v>
      </c>
      <c r="M1690" s="65">
        <v>213.3</v>
      </c>
      <c r="N1690" s="65">
        <v>10662.24</v>
      </c>
      <c r="O1690" s="65">
        <v>1062.42</v>
      </c>
      <c r="P1690" s="65">
        <v>44281.739999999991</v>
      </c>
      <c r="Q1690" s="50">
        <v>44281.739999999991</v>
      </c>
      <c r="R1690" s="65">
        <v>0</v>
      </c>
      <c r="S1690" s="65">
        <v>0</v>
      </c>
      <c r="T1690" s="65">
        <v>0</v>
      </c>
      <c r="U1690" s="65">
        <v>0</v>
      </c>
      <c r="V1690" s="65">
        <v>0</v>
      </c>
      <c r="W1690" s="65">
        <v>0</v>
      </c>
      <c r="X1690" s="65">
        <v>33619</v>
      </c>
      <c r="Y1690" s="65">
        <v>10662</v>
      </c>
      <c r="Z1690" s="65">
        <v>0</v>
      </c>
      <c r="AA1690" s="51">
        <v>4</v>
      </c>
      <c r="AB1690" s="102">
        <v>0</v>
      </c>
      <c r="AC1690" s="81">
        <f t="shared" si="81"/>
        <v>0</v>
      </c>
      <c r="AD1690" s="82">
        <f t="shared" si="82"/>
        <v>0</v>
      </c>
      <c r="AE1690" s="218">
        <v>6.6840240534685869E-5</v>
      </c>
      <c r="AF1690">
        <v>19</v>
      </c>
      <c r="AH1690" t="str">
        <f t="shared" ref="AH1690:AH1752" si="83">TEXT(D1690,"0000")</f>
        <v>Kalyanpur</v>
      </c>
      <c r="AJ1690" s="72">
        <v>0</v>
      </c>
      <c r="AK1690" s="72"/>
      <c r="AL1690" s="72"/>
      <c r="AM1690" s="72"/>
    </row>
    <row r="1691" spans="1:39" x14ac:dyDescent="0.25">
      <c r="A1691" s="37" t="s">
        <v>62</v>
      </c>
      <c r="B1691" s="66" t="s">
        <v>1638</v>
      </c>
      <c r="C1691" s="47">
        <v>1053</v>
      </c>
      <c r="D1691" s="47" t="s">
        <v>527</v>
      </c>
      <c r="E1691" s="41">
        <v>10530093</v>
      </c>
      <c r="F1691" s="46" t="s">
        <v>1194</v>
      </c>
      <c r="G1691" s="39" t="s">
        <v>92</v>
      </c>
      <c r="H1691" s="48" t="s">
        <v>93</v>
      </c>
      <c r="I1691" s="52">
        <v>1265.5500000000004</v>
      </c>
      <c r="J1691" s="49">
        <v>57394.180000000008</v>
      </c>
      <c r="K1691" s="65">
        <v>1246.5999999999999</v>
      </c>
      <c r="L1691" s="65">
        <v>56485.849999999991</v>
      </c>
      <c r="M1691" s="65">
        <v>19.899999999999999</v>
      </c>
      <c r="N1691" s="65">
        <v>889.97</v>
      </c>
      <c r="O1691" s="65">
        <v>1266.5</v>
      </c>
      <c r="P1691" s="65">
        <v>57375.819999999992</v>
      </c>
      <c r="Q1691" s="50">
        <v>57375.819999999992</v>
      </c>
      <c r="R1691" s="65">
        <v>0</v>
      </c>
      <c r="S1691" s="65">
        <v>889.97</v>
      </c>
      <c r="T1691" s="65">
        <v>0</v>
      </c>
      <c r="U1691" s="65">
        <v>2837</v>
      </c>
      <c r="V1691" s="65">
        <v>0</v>
      </c>
      <c r="W1691" s="65">
        <v>0</v>
      </c>
      <c r="X1691" s="65">
        <v>53649</v>
      </c>
      <c r="Y1691" s="65">
        <v>0</v>
      </c>
      <c r="Z1691" s="65">
        <v>0</v>
      </c>
      <c r="AA1691" s="51">
        <v>18</v>
      </c>
      <c r="AB1691" s="102">
        <v>0</v>
      </c>
      <c r="AC1691" s="81">
        <f t="shared" si="81"/>
        <v>0</v>
      </c>
      <c r="AD1691" s="82">
        <f t="shared" si="82"/>
        <v>0</v>
      </c>
      <c r="AE1691" s="218">
        <v>3.1989306232818609E-4</v>
      </c>
      <c r="AF1691">
        <v>39</v>
      </c>
      <c r="AH1691" t="str">
        <f t="shared" si="83"/>
        <v>Kalyanpur</v>
      </c>
      <c r="AJ1691" s="72">
        <v>0</v>
      </c>
      <c r="AK1691" s="72"/>
      <c r="AL1691" s="72"/>
      <c r="AM1691" s="72"/>
    </row>
    <row r="1692" spans="1:39" x14ac:dyDescent="0.25">
      <c r="A1692" s="37" t="s">
        <v>62</v>
      </c>
      <c r="B1692" s="66" t="s">
        <v>1638</v>
      </c>
      <c r="C1692" s="47">
        <v>1066</v>
      </c>
      <c r="D1692" s="47" t="s">
        <v>1501</v>
      </c>
      <c r="E1692" s="41">
        <v>10530094</v>
      </c>
      <c r="F1692" s="46" t="s">
        <v>1563</v>
      </c>
      <c r="G1692" s="39" t="s">
        <v>1610</v>
      </c>
      <c r="H1692" s="48" t="s">
        <v>98</v>
      </c>
      <c r="I1692" s="52">
        <v>519.79999999999995</v>
      </c>
      <c r="J1692" s="49">
        <v>19671.830000000002</v>
      </c>
      <c r="K1692" s="65">
        <v>0</v>
      </c>
      <c r="L1692" s="65">
        <v>0</v>
      </c>
      <c r="M1692" s="65">
        <v>0</v>
      </c>
      <c r="N1692" s="65">
        <v>0</v>
      </c>
      <c r="O1692" s="65">
        <v>0</v>
      </c>
      <c r="P1692" s="65">
        <v>0</v>
      </c>
      <c r="Q1692" s="50">
        <v>19671.830000000002</v>
      </c>
      <c r="R1692" s="65">
        <v>0</v>
      </c>
      <c r="S1692" s="65">
        <v>0</v>
      </c>
      <c r="T1692" s="65">
        <v>0</v>
      </c>
      <c r="U1692" s="65">
        <v>0</v>
      </c>
      <c r="V1692" s="65">
        <v>0</v>
      </c>
      <c r="W1692" s="65">
        <v>0</v>
      </c>
      <c r="X1692" s="65">
        <v>0</v>
      </c>
      <c r="Y1692" s="65">
        <v>0</v>
      </c>
      <c r="Z1692" s="65">
        <v>19671.830000000002</v>
      </c>
      <c r="AA1692" s="51">
        <v>0</v>
      </c>
      <c r="AB1692" s="102">
        <v>0</v>
      </c>
      <c r="AC1692" s="81">
        <f t="shared" si="81"/>
        <v>136.39337306656412</v>
      </c>
      <c r="AD1692" s="82">
        <f t="shared" si="82"/>
        <v>74.257142857142853</v>
      </c>
      <c r="AE1692" s="218">
        <v>0</v>
      </c>
      <c r="AF1692">
        <v>0</v>
      </c>
      <c r="AH1692" t="str">
        <f t="shared" si="83"/>
        <v>Gaighat</v>
      </c>
      <c r="AJ1692" s="72">
        <v>0</v>
      </c>
      <c r="AK1692" s="72"/>
      <c r="AL1692" s="72"/>
      <c r="AM1692" s="72"/>
    </row>
    <row r="1693" spans="1:39" x14ac:dyDescent="0.25">
      <c r="A1693" s="37" t="s">
        <v>62</v>
      </c>
      <c r="B1693" s="66" t="s">
        <v>1638</v>
      </c>
      <c r="C1693" s="47">
        <v>1053</v>
      </c>
      <c r="D1693" s="47" t="s">
        <v>527</v>
      </c>
      <c r="E1693" s="41">
        <v>10530096</v>
      </c>
      <c r="F1693" s="46" t="s">
        <v>1239</v>
      </c>
      <c r="G1693" s="39" t="s">
        <v>92</v>
      </c>
      <c r="H1693" s="48" t="s">
        <v>93</v>
      </c>
      <c r="I1693" s="52">
        <v>2107.6499999999996</v>
      </c>
      <c r="J1693" s="49">
        <v>105210.60999999999</v>
      </c>
      <c r="K1693" s="65">
        <v>2118.0500000000002</v>
      </c>
      <c r="L1693" s="65">
        <v>105207.94</v>
      </c>
      <c r="M1693" s="65">
        <v>0</v>
      </c>
      <c r="N1693" s="65">
        <v>0</v>
      </c>
      <c r="O1693" s="65">
        <v>2118.0500000000002</v>
      </c>
      <c r="P1693" s="65">
        <v>105207.94</v>
      </c>
      <c r="Q1693" s="50">
        <v>105207.94</v>
      </c>
      <c r="R1693" s="65">
        <v>0</v>
      </c>
      <c r="S1693" s="65">
        <v>0</v>
      </c>
      <c r="T1693" s="65">
        <v>0</v>
      </c>
      <c r="U1693" s="65">
        <v>18650</v>
      </c>
      <c r="V1693" s="65">
        <v>0</v>
      </c>
      <c r="W1693" s="65">
        <v>0</v>
      </c>
      <c r="X1693" s="65">
        <v>86558</v>
      </c>
      <c r="Y1693" s="65">
        <v>0</v>
      </c>
      <c r="Z1693" s="65">
        <v>0</v>
      </c>
      <c r="AA1693" s="51">
        <v>3</v>
      </c>
      <c r="AB1693" s="102">
        <v>0</v>
      </c>
      <c r="AC1693" s="81">
        <f t="shared" si="81"/>
        <v>0</v>
      </c>
      <c r="AD1693" s="82">
        <f t="shared" si="82"/>
        <v>0</v>
      </c>
      <c r="AE1693" s="218">
        <v>2.537766865892805E-5</v>
      </c>
      <c r="AF1693">
        <v>2</v>
      </c>
      <c r="AH1693" t="str">
        <f t="shared" si="83"/>
        <v>Kalyanpur</v>
      </c>
      <c r="AJ1693" s="72">
        <v>0</v>
      </c>
      <c r="AK1693" s="72"/>
      <c r="AL1693" s="72"/>
      <c r="AM1693" s="72"/>
    </row>
    <row r="1694" spans="1:39" x14ac:dyDescent="0.25">
      <c r="A1694" s="37" t="s">
        <v>62</v>
      </c>
      <c r="B1694" s="66" t="s">
        <v>1638</v>
      </c>
      <c r="C1694" s="47">
        <v>1053</v>
      </c>
      <c r="D1694" s="47" t="s">
        <v>527</v>
      </c>
      <c r="E1694" s="41">
        <v>10530097</v>
      </c>
      <c r="F1694" s="46" t="s">
        <v>1240</v>
      </c>
      <c r="G1694" s="39" t="s">
        <v>92</v>
      </c>
      <c r="H1694" s="48" t="s">
        <v>93</v>
      </c>
      <c r="I1694" s="52">
        <v>777.2</v>
      </c>
      <c r="J1694" s="49">
        <v>32075.079999999998</v>
      </c>
      <c r="K1694" s="65">
        <v>767.1</v>
      </c>
      <c r="L1694" s="65">
        <v>31688.84</v>
      </c>
      <c r="M1694" s="65">
        <v>9.0699999999999985</v>
      </c>
      <c r="N1694" s="65">
        <v>383.11000000000007</v>
      </c>
      <c r="O1694" s="65">
        <v>776.17000000000007</v>
      </c>
      <c r="P1694" s="65">
        <v>32071.95</v>
      </c>
      <c r="Q1694" s="50">
        <v>32071.95</v>
      </c>
      <c r="R1694" s="65">
        <v>0</v>
      </c>
      <c r="S1694" s="65">
        <v>383.11000000000007</v>
      </c>
      <c r="T1694" s="65">
        <v>0</v>
      </c>
      <c r="U1694" s="65">
        <v>8445</v>
      </c>
      <c r="V1694" s="65">
        <v>0</v>
      </c>
      <c r="W1694" s="65">
        <v>0</v>
      </c>
      <c r="X1694" s="65">
        <v>23244</v>
      </c>
      <c r="Y1694" s="65">
        <v>0</v>
      </c>
      <c r="Z1694" s="65">
        <v>0</v>
      </c>
      <c r="AA1694" s="51">
        <v>3</v>
      </c>
      <c r="AB1694" s="102">
        <v>0</v>
      </c>
      <c r="AC1694" s="81">
        <f t="shared" si="81"/>
        <v>0</v>
      </c>
      <c r="AD1694" s="82">
        <f t="shared" si="82"/>
        <v>0</v>
      </c>
      <c r="AE1694" s="218">
        <v>9.7583544608380735E-5</v>
      </c>
      <c r="AF1694">
        <v>20</v>
      </c>
      <c r="AH1694" t="str">
        <f t="shared" si="83"/>
        <v>Kalyanpur</v>
      </c>
      <c r="AJ1694" s="72">
        <v>0</v>
      </c>
      <c r="AK1694" s="72"/>
      <c r="AL1694" s="72"/>
      <c r="AM1694" s="72"/>
    </row>
    <row r="1695" spans="1:39" x14ac:dyDescent="0.25">
      <c r="A1695" s="37" t="s">
        <v>62</v>
      </c>
      <c r="B1695" s="66" t="s">
        <v>1638</v>
      </c>
      <c r="C1695" s="47">
        <v>1053</v>
      </c>
      <c r="D1695" s="47" t="s">
        <v>527</v>
      </c>
      <c r="E1695" s="41">
        <v>10530100</v>
      </c>
      <c r="F1695" s="46" t="s">
        <v>1304</v>
      </c>
      <c r="G1695" s="39" t="s">
        <v>92</v>
      </c>
      <c r="H1695" s="48" t="s">
        <v>93</v>
      </c>
      <c r="I1695" s="52">
        <v>197.69999999999996</v>
      </c>
      <c r="J1695" s="49">
        <v>8621.369999999999</v>
      </c>
      <c r="K1695" s="65">
        <v>204.29999999999998</v>
      </c>
      <c r="L1695" s="65">
        <v>8532.5399999999991</v>
      </c>
      <c r="M1695" s="65">
        <v>1.5000000000000002</v>
      </c>
      <c r="N1695" s="65">
        <v>60.739999999999995</v>
      </c>
      <c r="O1695" s="65">
        <v>205.79999999999998</v>
      </c>
      <c r="P1695" s="65">
        <v>8593.2799999999988</v>
      </c>
      <c r="Q1695" s="50">
        <v>8593.2799999999988</v>
      </c>
      <c r="R1695" s="65">
        <v>0</v>
      </c>
      <c r="S1695" s="65">
        <v>60.739999999999995</v>
      </c>
      <c r="T1695" s="65">
        <v>0</v>
      </c>
      <c r="U1695" s="65">
        <v>1550</v>
      </c>
      <c r="V1695" s="65">
        <v>0</v>
      </c>
      <c r="W1695" s="65">
        <v>0</v>
      </c>
      <c r="X1695" s="65">
        <v>6983</v>
      </c>
      <c r="Y1695" s="65">
        <v>0</v>
      </c>
      <c r="Z1695" s="65">
        <v>0</v>
      </c>
      <c r="AA1695" s="51">
        <v>28</v>
      </c>
      <c r="AB1695" s="102">
        <v>0</v>
      </c>
      <c r="AC1695" s="81">
        <f t="shared" si="81"/>
        <v>438.08944370257973</v>
      </c>
      <c r="AD1695" s="82">
        <f t="shared" si="82"/>
        <v>28.242857142857137</v>
      </c>
      <c r="AE1695" s="218">
        <v>3.2581828642083738E-3</v>
      </c>
      <c r="AF1695">
        <v>6</v>
      </c>
      <c r="AH1695" t="str">
        <f t="shared" si="83"/>
        <v>Kalyanpur</v>
      </c>
      <c r="AJ1695" s="72">
        <v>0</v>
      </c>
      <c r="AK1695" s="72"/>
      <c r="AL1695" s="72"/>
      <c r="AM1695" s="72"/>
    </row>
    <row r="1696" spans="1:39" x14ac:dyDescent="0.25">
      <c r="A1696" s="37" t="s">
        <v>62</v>
      </c>
      <c r="B1696" s="66" t="s">
        <v>1638</v>
      </c>
      <c r="C1696" s="47">
        <v>1053</v>
      </c>
      <c r="D1696" s="47" t="s">
        <v>527</v>
      </c>
      <c r="E1696" s="41">
        <v>10530101</v>
      </c>
      <c r="F1696" s="46" t="s">
        <v>1289</v>
      </c>
      <c r="G1696" s="39" t="s">
        <v>92</v>
      </c>
      <c r="H1696" s="48" t="s">
        <v>93</v>
      </c>
      <c r="I1696" s="52">
        <v>509.04999999999995</v>
      </c>
      <c r="J1696" s="49">
        <v>22063.59</v>
      </c>
      <c r="K1696" s="65">
        <v>530.70000000000005</v>
      </c>
      <c r="L1696" s="65">
        <v>21888.400000000001</v>
      </c>
      <c r="M1696" s="65">
        <v>3</v>
      </c>
      <c r="N1696" s="65">
        <v>159.51</v>
      </c>
      <c r="O1696" s="65">
        <v>533.70000000000005</v>
      </c>
      <c r="P1696" s="65">
        <v>22047.91</v>
      </c>
      <c r="Q1696" s="50">
        <v>22047.91</v>
      </c>
      <c r="R1696" s="65">
        <v>0</v>
      </c>
      <c r="S1696" s="65">
        <v>159.51</v>
      </c>
      <c r="T1696" s="65">
        <v>0</v>
      </c>
      <c r="U1696" s="65">
        <v>2250</v>
      </c>
      <c r="V1696" s="65">
        <v>0</v>
      </c>
      <c r="W1696" s="65">
        <v>0</v>
      </c>
      <c r="X1696" s="65">
        <v>19636</v>
      </c>
      <c r="Y1696" s="65">
        <v>0</v>
      </c>
      <c r="Z1696" s="65">
        <v>0</v>
      </c>
      <c r="AA1696" s="51">
        <v>18</v>
      </c>
      <c r="AB1696" s="102">
        <v>0</v>
      </c>
      <c r="AC1696" s="81">
        <f t="shared" si="81"/>
        <v>165.52568551222873</v>
      </c>
      <c r="AD1696" s="82">
        <f t="shared" si="82"/>
        <v>72.721428571428561</v>
      </c>
      <c r="AE1696" s="218">
        <v>7.1067310442227626E-4</v>
      </c>
      <c r="AF1696">
        <v>18</v>
      </c>
      <c r="AH1696" t="str">
        <f t="shared" si="83"/>
        <v>Kalyanpur</v>
      </c>
      <c r="AJ1696" s="72">
        <v>0</v>
      </c>
      <c r="AK1696" s="72"/>
      <c r="AL1696" s="72"/>
      <c r="AM1696" s="72"/>
    </row>
    <row r="1697" spans="1:39" x14ac:dyDescent="0.25">
      <c r="A1697" s="37" t="s">
        <v>62</v>
      </c>
      <c r="B1697" s="66" t="s">
        <v>1638</v>
      </c>
      <c r="C1697" s="47">
        <v>1053</v>
      </c>
      <c r="D1697" s="47" t="s">
        <v>527</v>
      </c>
      <c r="E1697" s="41">
        <v>10530102</v>
      </c>
      <c r="F1697" s="46" t="s">
        <v>1305</v>
      </c>
      <c r="G1697" s="39" t="s">
        <v>92</v>
      </c>
      <c r="H1697" s="48" t="s">
        <v>93</v>
      </c>
      <c r="I1697" s="52">
        <v>114.8</v>
      </c>
      <c r="J1697" s="49">
        <v>5162.5600000000004</v>
      </c>
      <c r="K1697" s="65">
        <v>114.7</v>
      </c>
      <c r="L1697" s="65">
        <v>4950.63</v>
      </c>
      <c r="M1697" s="65">
        <v>4.9999999999999964</v>
      </c>
      <c r="N1697" s="65">
        <v>205.89999999999995</v>
      </c>
      <c r="O1697" s="65">
        <v>119.7</v>
      </c>
      <c r="P1697" s="65">
        <v>5156.53</v>
      </c>
      <c r="Q1697" s="50">
        <v>5156.53</v>
      </c>
      <c r="R1697" s="65">
        <v>0</v>
      </c>
      <c r="S1697" s="65">
        <v>205.89999999999995</v>
      </c>
      <c r="T1697" s="65">
        <v>0</v>
      </c>
      <c r="U1697" s="65">
        <v>0</v>
      </c>
      <c r="V1697" s="65">
        <v>500</v>
      </c>
      <c r="W1697" s="65">
        <v>0</v>
      </c>
      <c r="X1697" s="65">
        <v>4450</v>
      </c>
      <c r="Y1697" s="65">
        <v>0</v>
      </c>
      <c r="Z1697" s="65">
        <v>0</v>
      </c>
      <c r="AA1697" s="51">
        <v>7</v>
      </c>
      <c r="AB1697" s="102">
        <v>0</v>
      </c>
      <c r="AC1697" s="81">
        <f t="shared" si="81"/>
        <v>526.32928780487805</v>
      </c>
      <c r="AD1697" s="82">
        <f t="shared" si="82"/>
        <v>16.399999999999999</v>
      </c>
      <c r="AE1697" s="218">
        <v>1.1680251658093377E-3</v>
      </c>
      <c r="AF1697">
        <v>5</v>
      </c>
      <c r="AH1697" t="str">
        <f t="shared" si="83"/>
        <v>Kalyanpur</v>
      </c>
      <c r="AJ1697" s="72">
        <v>500</v>
      </c>
      <c r="AK1697" s="72"/>
      <c r="AL1697" s="72"/>
      <c r="AM1697" s="72"/>
    </row>
    <row r="1698" spans="1:39" x14ac:dyDescent="0.25">
      <c r="A1698" s="37" t="s">
        <v>62</v>
      </c>
      <c r="B1698" s="66" t="s">
        <v>1638</v>
      </c>
      <c r="C1698" s="41">
        <v>1053</v>
      </c>
      <c r="D1698" s="41" t="s">
        <v>527</v>
      </c>
      <c r="E1698" s="41">
        <v>10530103</v>
      </c>
      <c r="F1698" s="85" t="s">
        <v>1290</v>
      </c>
      <c r="G1698" s="39" t="s">
        <v>92</v>
      </c>
      <c r="H1698" s="52" t="s">
        <v>93</v>
      </c>
      <c r="I1698" s="52">
        <v>2867.7000000000007</v>
      </c>
      <c r="J1698" s="49">
        <v>123196.52999999998</v>
      </c>
      <c r="K1698" s="58">
        <v>2859.1999999999994</v>
      </c>
      <c r="L1698" s="58">
        <v>121500.74000000003</v>
      </c>
      <c r="M1698" s="58">
        <v>31.800000000000008</v>
      </c>
      <c r="N1698" s="58">
        <v>1347.18</v>
      </c>
      <c r="O1698" s="58">
        <v>2890.9999999999995</v>
      </c>
      <c r="P1698" s="53">
        <v>122847.92000000003</v>
      </c>
      <c r="Q1698" s="58">
        <v>122847.92000000003</v>
      </c>
      <c r="R1698" s="58">
        <v>0</v>
      </c>
      <c r="S1698" s="58">
        <v>1347.18</v>
      </c>
      <c r="T1698" s="58">
        <v>0</v>
      </c>
      <c r="U1698" s="58">
        <v>15989</v>
      </c>
      <c r="V1698" s="58">
        <v>0</v>
      </c>
      <c r="W1698" s="58">
        <v>0</v>
      </c>
      <c r="X1698" s="58">
        <v>105516</v>
      </c>
      <c r="Y1698" s="58">
        <v>0</v>
      </c>
      <c r="Z1698" s="55">
        <v>0</v>
      </c>
      <c r="AA1698" s="51">
        <v>344</v>
      </c>
      <c r="AB1698" s="102">
        <v>0</v>
      </c>
      <c r="AC1698" s="81">
        <f t="shared" si="81"/>
        <v>0</v>
      </c>
      <c r="AD1698" s="82">
        <f t="shared" si="82"/>
        <v>0</v>
      </c>
      <c r="AE1698" s="218">
        <v>2.8297063237086059E-3</v>
      </c>
      <c r="AF1698">
        <v>39</v>
      </c>
      <c r="AH1698" t="str">
        <f t="shared" si="83"/>
        <v>Kalyanpur</v>
      </c>
      <c r="AJ1698" s="72">
        <v>0</v>
      </c>
      <c r="AK1698" s="72"/>
      <c r="AL1698" s="72"/>
      <c r="AM1698" s="72"/>
    </row>
    <row r="1699" spans="1:39" x14ac:dyDescent="0.25">
      <c r="A1699" s="37" t="s">
        <v>62</v>
      </c>
      <c r="B1699" s="66" t="s">
        <v>1638</v>
      </c>
      <c r="C1699" s="41">
        <v>1053</v>
      </c>
      <c r="D1699" s="41" t="s">
        <v>527</v>
      </c>
      <c r="E1699" s="41">
        <v>10530104</v>
      </c>
      <c r="F1699" s="85" t="s">
        <v>1581</v>
      </c>
      <c r="G1699" s="39" t="s">
        <v>1610</v>
      </c>
      <c r="H1699" s="52" t="s">
        <v>98</v>
      </c>
      <c r="I1699" s="52">
        <v>116.3</v>
      </c>
      <c r="J1699" s="49">
        <v>4627.0200000000004</v>
      </c>
      <c r="K1699" s="58">
        <v>0</v>
      </c>
      <c r="L1699" s="58">
        <v>0</v>
      </c>
      <c r="M1699" s="58">
        <v>0</v>
      </c>
      <c r="N1699" s="58">
        <v>0</v>
      </c>
      <c r="O1699" s="58">
        <v>0</v>
      </c>
      <c r="P1699" s="53">
        <v>0</v>
      </c>
      <c r="Q1699" s="58">
        <v>4627.0200000000004</v>
      </c>
      <c r="R1699" s="58">
        <v>0</v>
      </c>
      <c r="S1699" s="58">
        <v>0</v>
      </c>
      <c r="T1699" s="58">
        <v>0</v>
      </c>
      <c r="U1699" s="58">
        <v>0</v>
      </c>
      <c r="V1699" s="58">
        <v>0</v>
      </c>
      <c r="W1699" s="58">
        <v>0</v>
      </c>
      <c r="X1699" s="58">
        <v>0</v>
      </c>
      <c r="Y1699" s="58">
        <v>0</v>
      </c>
      <c r="Z1699" s="55">
        <v>4627.0200000000004</v>
      </c>
      <c r="AA1699" s="51">
        <v>0</v>
      </c>
      <c r="AB1699" s="102">
        <v>0</v>
      </c>
      <c r="AC1699" s="81">
        <f t="shared" si="81"/>
        <v>464.45254926913162</v>
      </c>
      <c r="AD1699" s="82">
        <f t="shared" si="82"/>
        <v>16.614285714285714</v>
      </c>
      <c r="AE1699" s="218">
        <v>0</v>
      </c>
      <c r="AF1699">
        <v>0</v>
      </c>
      <c r="AH1699" t="str">
        <f t="shared" si="83"/>
        <v>Kalyanpur</v>
      </c>
      <c r="AJ1699" s="72">
        <v>0</v>
      </c>
      <c r="AK1699" s="72"/>
      <c r="AL1699" s="72"/>
      <c r="AM1699" s="72"/>
    </row>
    <row r="1700" spans="1:39" x14ac:dyDescent="0.25">
      <c r="A1700" s="37" t="s">
        <v>62</v>
      </c>
      <c r="B1700" s="66" t="s">
        <v>1638</v>
      </c>
      <c r="C1700" s="41">
        <v>1053</v>
      </c>
      <c r="D1700" s="41" t="s">
        <v>527</v>
      </c>
      <c r="E1700" s="41">
        <v>10530106</v>
      </c>
      <c r="F1700" s="85" t="s">
        <v>1375</v>
      </c>
      <c r="G1700" s="39" t="s">
        <v>92</v>
      </c>
      <c r="H1700" s="52" t="s">
        <v>93</v>
      </c>
      <c r="I1700" s="52">
        <v>658.84999999999991</v>
      </c>
      <c r="J1700" s="49">
        <v>28322.399999999991</v>
      </c>
      <c r="K1700" s="58">
        <v>537.93000000000006</v>
      </c>
      <c r="L1700" s="58">
        <v>22942.519999999997</v>
      </c>
      <c r="M1700" s="58">
        <v>135.45000000000002</v>
      </c>
      <c r="N1700" s="58">
        <v>5350.7199999999993</v>
      </c>
      <c r="O1700" s="58">
        <v>673.38000000000011</v>
      </c>
      <c r="P1700" s="53">
        <v>28293.239999999998</v>
      </c>
      <c r="Q1700" s="58">
        <v>28293.239999999998</v>
      </c>
      <c r="R1700" s="58">
        <v>0</v>
      </c>
      <c r="S1700" s="58">
        <v>1386.9000000000003</v>
      </c>
      <c r="T1700" s="58">
        <v>0</v>
      </c>
      <c r="U1700" s="58">
        <v>0</v>
      </c>
      <c r="V1700" s="58">
        <v>0</v>
      </c>
      <c r="W1700" s="58">
        <v>0</v>
      </c>
      <c r="X1700" s="58">
        <v>22943</v>
      </c>
      <c r="Y1700" s="58">
        <v>3963</v>
      </c>
      <c r="Z1700" s="55">
        <v>0</v>
      </c>
      <c r="AA1700" s="51">
        <v>29</v>
      </c>
      <c r="AB1700" s="102">
        <v>0</v>
      </c>
      <c r="AC1700" s="81">
        <f t="shared" si="81"/>
        <v>35.378819458146886</v>
      </c>
      <c r="AD1700" s="82">
        <f t="shared" si="82"/>
        <v>94.121428571428552</v>
      </c>
      <c r="AE1700" s="218">
        <v>1.0295737649349134E-3</v>
      </c>
      <c r="AF1700">
        <v>13</v>
      </c>
      <c r="AH1700" t="str">
        <f t="shared" si="83"/>
        <v>Kalyanpur</v>
      </c>
      <c r="AJ1700" s="72">
        <v>0</v>
      </c>
      <c r="AK1700" s="72"/>
      <c r="AL1700" s="72"/>
      <c r="AM1700" s="72"/>
    </row>
    <row r="1701" spans="1:39" x14ac:dyDescent="0.25">
      <c r="A1701" s="37" t="s">
        <v>62</v>
      </c>
      <c r="B1701" s="66" t="s">
        <v>1638</v>
      </c>
      <c r="C1701" s="41">
        <v>1053</v>
      </c>
      <c r="D1701" s="41" t="s">
        <v>527</v>
      </c>
      <c r="E1701" s="41">
        <v>10530107</v>
      </c>
      <c r="F1701" s="85" t="s">
        <v>1352</v>
      </c>
      <c r="G1701" s="39" t="s">
        <v>1610</v>
      </c>
      <c r="H1701" s="52" t="s">
        <v>98</v>
      </c>
      <c r="I1701" s="52">
        <v>309.34999999999997</v>
      </c>
      <c r="J1701" s="49">
        <v>18147.740000000002</v>
      </c>
      <c r="K1701" s="58">
        <v>0</v>
      </c>
      <c r="L1701" s="58">
        <v>0</v>
      </c>
      <c r="M1701" s="58">
        <v>0</v>
      </c>
      <c r="N1701" s="58">
        <v>0</v>
      </c>
      <c r="O1701" s="58">
        <v>0</v>
      </c>
      <c r="P1701" s="53">
        <v>0</v>
      </c>
      <c r="Q1701" s="58">
        <v>18147.740000000002</v>
      </c>
      <c r="R1701" s="58">
        <v>0</v>
      </c>
      <c r="S1701" s="58">
        <v>0</v>
      </c>
      <c r="T1701" s="58">
        <v>0</v>
      </c>
      <c r="U1701" s="58">
        <v>0</v>
      </c>
      <c r="V1701" s="58">
        <v>0</v>
      </c>
      <c r="W1701" s="58">
        <v>0</v>
      </c>
      <c r="X1701" s="58">
        <v>0</v>
      </c>
      <c r="Y1701" s="58">
        <v>0</v>
      </c>
      <c r="Z1701" s="55">
        <v>18147.740000000002</v>
      </c>
      <c r="AA1701" s="51">
        <v>0</v>
      </c>
      <c r="AB1701" s="102">
        <v>0</v>
      </c>
      <c r="AC1701" s="81">
        <f t="shared" si="81"/>
        <v>458.34263009536141</v>
      </c>
      <c r="AD1701" s="82">
        <f t="shared" si="82"/>
        <v>44.192857142857136</v>
      </c>
      <c r="AE1701" s="218">
        <v>0</v>
      </c>
      <c r="AF1701">
        <v>0</v>
      </c>
      <c r="AH1701" t="str">
        <f t="shared" si="83"/>
        <v>Kalyanpur</v>
      </c>
      <c r="AJ1701" s="72">
        <v>0</v>
      </c>
      <c r="AK1701" s="72"/>
      <c r="AL1701" s="72"/>
      <c r="AM1701" s="72"/>
    </row>
    <row r="1702" spans="1:39" x14ac:dyDescent="0.25">
      <c r="A1702" s="37" t="s">
        <v>62</v>
      </c>
      <c r="B1702" s="66" t="s">
        <v>1638</v>
      </c>
      <c r="C1702" s="41">
        <v>1053</v>
      </c>
      <c r="D1702" s="41" t="s">
        <v>527</v>
      </c>
      <c r="E1702" s="41">
        <v>10530108</v>
      </c>
      <c r="F1702" s="85" t="s">
        <v>1376</v>
      </c>
      <c r="G1702" s="39" t="s">
        <v>92</v>
      </c>
      <c r="H1702" s="52" t="s">
        <v>93</v>
      </c>
      <c r="I1702" s="52">
        <v>443.95000000000005</v>
      </c>
      <c r="J1702" s="49">
        <v>17993.550000000003</v>
      </c>
      <c r="K1702" s="58">
        <v>425.17</v>
      </c>
      <c r="L1702" s="58">
        <v>17626.25</v>
      </c>
      <c r="M1702" s="58">
        <v>8.68</v>
      </c>
      <c r="N1702" s="58">
        <v>364.40999999999997</v>
      </c>
      <c r="O1702" s="58">
        <v>433.85</v>
      </c>
      <c r="P1702" s="53">
        <v>17990.66</v>
      </c>
      <c r="Q1702" s="58">
        <v>17990.66</v>
      </c>
      <c r="R1702" s="58">
        <v>0</v>
      </c>
      <c r="S1702" s="58">
        <v>364.40999999999997</v>
      </c>
      <c r="T1702" s="58">
        <v>0</v>
      </c>
      <c r="U1702" s="58">
        <v>0</v>
      </c>
      <c r="V1702" s="58">
        <v>0</v>
      </c>
      <c r="W1702" s="58">
        <v>0</v>
      </c>
      <c r="X1702" s="58">
        <v>17628</v>
      </c>
      <c r="Y1702" s="58">
        <v>0</v>
      </c>
      <c r="Z1702" s="55">
        <v>0</v>
      </c>
      <c r="AA1702" s="51">
        <v>1</v>
      </c>
      <c r="AB1702" s="102">
        <v>0</v>
      </c>
      <c r="AC1702" s="81">
        <f t="shared" si="81"/>
        <v>207.55708874873292</v>
      </c>
      <c r="AD1702" s="82">
        <f t="shared" si="82"/>
        <v>63.421428571428578</v>
      </c>
      <c r="AE1702" s="218">
        <v>1.6061310858630205E-4</v>
      </c>
      <c r="AF1702">
        <v>9</v>
      </c>
      <c r="AH1702" t="str">
        <f t="shared" si="83"/>
        <v>Kalyanpur</v>
      </c>
      <c r="AJ1702" s="72">
        <v>0</v>
      </c>
      <c r="AK1702" s="72"/>
      <c r="AL1702" s="72"/>
      <c r="AM1702" s="72"/>
    </row>
    <row r="1703" spans="1:39" x14ac:dyDescent="0.25">
      <c r="A1703" s="37" t="s">
        <v>62</v>
      </c>
      <c r="B1703" s="66" t="s">
        <v>1638</v>
      </c>
      <c r="C1703" s="41">
        <v>1053</v>
      </c>
      <c r="D1703" s="41" t="s">
        <v>527</v>
      </c>
      <c r="E1703" s="41">
        <v>10530109</v>
      </c>
      <c r="F1703" s="85" t="s">
        <v>1353</v>
      </c>
      <c r="G1703" s="39" t="s">
        <v>92</v>
      </c>
      <c r="H1703" s="52" t="s">
        <v>93</v>
      </c>
      <c r="I1703" s="52">
        <v>1727.6999999999998</v>
      </c>
      <c r="J1703" s="49">
        <v>76569.010000000009</v>
      </c>
      <c r="K1703" s="58">
        <v>1711.1399999999999</v>
      </c>
      <c r="L1703" s="58">
        <v>75555.69</v>
      </c>
      <c r="M1703" s="58">
        <v>22.310000000000002</v>
      </c>
      <c r="N1703" s="58">
        <v>991.69</v>
      </c>
      <c r="O1703" s="58">
        <v>1733.4499999999998</v>
      </c>
      <c r="P1703" s="53">
        <v>76547.38</v>
      </c>
      <c r="Q1703" s="58">
        <v>76547.38</v>
      </c>
      <c r="R1703" s="58">
        <v>0</v>
      </c>
      <c r="S1703" s="58">
        <v>991.69</v>
      </c>
      <c r="T1703" s="58">
        <v>0</v>
      </c>
      <c r="U1703" s="58">
        <v>4943</v>
      </c>
      <c r="V1703" s="58">
        <v>0</v>
      </c>
      <c r="W1703" s="58">
        <v>0</v>
      </c>
      <c r="X1703" s="58">
        <v>70614</v>
      </c>
      <c r="Y1703" s="58">
        <v>0</v>
      </c>
      <c r="Z1703" s="55">
        <v>0</v>
      </c>
      <c r="AA1703" s="51">
        <v>20</v>
      </c>
      <c r="AB1703" s="102">
        <v>0</v>
      </c>
      <c r="AC1703" s="81">
        <f t="shared" si="81"/>
        <v>0</v>
      </c>
      <c r="AD1703" s="82">
        <f t="shared" si="82"/>
        <v>0</v>
      </c>
      <c r="AE1703" s="218">
        <v>2.8249026597058853E-4</v>
      </c>
      <c r="AF1703">
        <v>29</v>
      </c>
      <c r="AH1703" t="str">
        <f t="shared" si="83"/>
        <v>Kalyanpur</v>
      </c>
      <c r="AJ1703" s="72">
        <v>0</v>
      </c>
      <c r="AK1703" s="72"/>
      <c r="AL1703" s="72"/>
      <c r="AM1703" s="72"/>
    </row>
    <row r="1704" spans="1:39" x14ac:dyDescent="0.25">
      <c r="A1704" s="37" t="s">
        <v>62</v>
      </c>
      <c r="B1704" s="66" t="s">
        <v>1638</v>
      </c>
      <c r="C1704" s="41">
        <v>1053</v>
      </c>
      <c r="D1704" s="41" t="s">
        <v>527</v>
      </c>
      <c r="E1704" s="41">
        <v>10530110</v>
      </c>
      <c r="F1704" s="85" t="s">
        <v>1377</v>
      </c>
      <c r="G1704" s="39" t="s">
        <v>92</v>
      </c>
      <c r="H1704" s="52" t="s">
        <v>93</v>
      </c>
      <c r="I1704" s="52">
        <v>703.90000000000009</v>
      </c>
      <c r="J1704" s="49">
        <v>28887.32</v>
      </c>
      <c r="K1704" s="58">
        <v>684.42</v>
      </c>
      <c r="L1704" s="58">
        <v>28293.78</v>
      </c>
      <c r="M1704" s="58">
        <v>13.929999999999998</v>
      </c>
      <c r="N1704" s="58">
        <v>586.76</v>
      </c>
      <c r="O1704" s="58">
        <v>698.34999999999991</v>
      </c>
      <c r="P1704" s="53">
        <v>28880.539999999997</v>
      </c>
      <c r="Q1704" s="58">
        <v>28880.539999999997</v>
      </c>
      <c r="R1704" s="58">
        <v>0</v>
      </c>
      <c r="S1704" s="58">
        <v>586.76</v>
      </c>
      <c r="T1704" s="58">
        <v>0</v>
      </c>
      <c r="U1704" s="58">
        <v>0</v>
      </c>
      <c r="V1704" s="58">
        <v>0</v>
      </c>
      <c r="W1704" s="58">
        <v>0</v>
      </c>
      <c r="X1704" s="58">
        <v>28293</v>
      </c>
      <c r="Y1704" s="58">
        <v>0</v>
      </c>
      <c r="Z1704" s="55">
        <v>0</v>
      </c>
      <c r="AA1704" s="51">
        <v>8</v>
      </c>
      <c r="AB1704" s="102">
        <v>0</v>
      </c>
      <c r="AC1704" s="81">
        <f t="shared" si="81"/>
        <v>0</v>
      </c>
      <c r="AD1704" s="82">
        <f t="shared" si="82"/>
        <v>0</v>
      </c>
      <c r="AE1704" s="218">
        <v>2.3470505398224804E-4</v>
      </c>
      <c r="AF1704">
        <v>16</v>
      </c>
      <c r="AH1704" t="str">
        <f t="shared" si="83"/>
        <v>Kalyanpur</v>
      </c>
      <c r="AJ1704" s="72">
        <v>0</v>
      </c>
      <c r="AK1704" s="72"/>
      <c r="AL1704" s="72"/>
      <c r="AM1704" s="72"/>
    </row>
    <row r="1705" spans="1:39" x14ac:dyDescent="0.25">
      <c r="A1705" s="37" t="s">
        <v>62</v>
      </c>
      <c r="B1705" s="66" t="s">
        <v>1638</v>
      </c>
      <c r="C1705" s="41">
        <v>1053</v>
      </c>
      <c r="D1705" s="41" t="s">
        <v>527</v>
      </c>
      <c r="E1705" s="41">
        <v>10530111</v>
      </c>
      <c r="F1705" s="85" t="s">
        <v>1429</v>
      </c>
      <c r="G1705" s="39" t="s">
        <v>92</v>
      </c>
      <c r="H1705" s="52" t="s">
        <v>93</v>
      </c>
      <c r="I1705" s="52">
        <v>574</v>
      </c>
      <c r="J1705" s="49">
        <v>23098.149999999998</v>
      </c>
      <c r="K1705" s="58">
        <v>596.33999999999992</v>
      </c>
      <c r="L1705" s="58">
        <v>22616.880000000001</v>
      </c>
      <c r="M1705" s="58">
        <v>12.33</v>
      </c>
      <c r="N1705" s="58">
        <v>478.73</v>
      </c>
      <c r="O1705" s="58">
        <v>608.66999999999996</v>
      </c>
      <c r="P1705" s="53">
        <v>23095.61</v>
      </c>
      <c r="Q1705" s="58">
        <v>23095.61</v>
      </c>
      <c r="R1705" s="58">
        <v>0</v>
      </c>
      <c r="S1705" s="58">
        <v>478.73</v>
      </c>
      <c r="T1705" s="58">
        <v>0</v>
      </c>
      <c r="U1705" s="58">
        <v>0</v>
      </c>
      <c r="V1705" s="58">
        <v>0</v>
      </c>
      <c r="W1705" s="58">
        <v>0</v>
      </c>
      <c r="X1705" s="58">
        <v>22618</v>
      </c>
      <c r="Y1705" s="58">
        <v>0</v>
      </c>
      <c r="Z1705" s="55">
        <v>0</v>
      </c>
      <c r="AA1705" s="51">
        <v>1</v>
      </c>
      <c r="AB1705" s="102">
        <v>0</v>
      </c>
      <c r="AC1705" s="81">
        <f t="shared" si="81"/>
        <v>101.40651219512195</v>
      </c>
      <c r="AD1705" s="82">
        <f t="shared" si="82"/>
        <v>82</v>
      </c>
      <c r="AE1705" s="218">
        <v>1.0996551671875174E-4</v>
      </c>
      <c r="AF1705">
        <v>16</v>
      </c>
      <c r="AH1705" t="str">
        <f t="shared" si="83"/>
        <v>Kalyanpur</v>
      </c>
      <c r="AJ1705" s="72">
        <v>0</v>
      </c>
      <c r="AK1705" s="72"/>
      <c r="AL1705" s="72"/>
      <c r="AM1705" s="72"/>
    </row>
    <row r="1706" spans="1:39" x14ac:dyDescent="0.25">
      <c r="A1706" s="37" t="s">
        <v>62</v>
      </c>
      <c r="B1706" s="66" t="s">
        <v>1638</v>
      </c>
      <c r="C1706" s="41">
        <v>1053</v>
      </c>
      <c r="D1706" s="41" t="s">
        <v>527</v>
      </c>
      <c r="E1706" s="41">
        <v>10530112</v>
      </c>
      <c r="F1706" s="85" t="s">
        <v>1430</v>
      </c>
      <c r="G1706" s="39" t="s">
        <v>92</v>
      </c>
      <c r="H1706" s="52" t="s">
        <v>93</v>
      </c>
      <c r="I1706" s="52">
        <v>684.6500000000002</v>
      </c>
      <c r="J1706" s="49">
        <v>27574.69</v>
      </c>
      <c r="K1706" s="58">
        <v>704</v>
      </c>
      <c r="L1706" s="58">
        <v>27088.809999999998</v>
      </c>
      <c r="M1706" s="58">
        <v>10</v>
      </c>
      <c r="N1706" s="58">
        <v>436.5</v>
      </c>
      <c r="O1706" s="58">
        <v>714</v>
      </c>
      <c r="P1706" s="53">
        <v>27525.309999999998</v>
      </c>
      <c r="Q1706" s="58">
        <v>27525.309999999998</v>
      </c>
      <c r="R1706" s="58">
        <v>0</v>
      </c>
      <c r="S1706" s="58">
        <v>436.5</v>
      </c>
      <c r="T1706" s="58">
        <v>0</v>
      </c>
      <c r="U1706" s="58">
        <v>0</v>
      </c>
      <c r="V1706" s="58">
        <v>0</v>
      </c>
      <c r="W1706" s="58">
        <v>0</v>
      </c>
      <c r="X1706" s="58">
        <v>27090</v>
      </c>
      <c r="Y1706" s="58">
        <v>0</v>
      </c>
      <c r="Z1706" s="55">
        <v>0</v>
      </c>
      <c r="AA1706" s="51">
        <v>48</v>
      </c>
      <c r="AB1706" s="102">
        <v>0</v>
      </c>
      <c r="AC1706" s="81">
        <f t="shared" si="81"/>
        <v>12.364609406265773</v>
      </c>
      <c r="AD1706" s="82">
        <f t="shared" si="82"/>
        <v>97.807142857142892</v>
      </c>
      <c r="AE1706" s="218">
        <v>1.7907726251863946E-3</v>
      </c>
      <c r="AF1706">
        <v>7</v>
      </c>
      <c r="AH1706" t="str">
        <f t="shared" si="83"/>
        <v>Kalyanpur</v>
      </c>
      <c r="AJ1706" s="72">
        <v>0</v>
      </c>
      <c r="AK1706" s="72"/>
      <c r="AL1706" s="72"/>
      <c r="AM1706" s="72"/>
    </row>
    <row r="1707" spans="1:39" x14ac:dyDescent="0.25">
      <c r="A1707" s="37" t="s">
        <v>62</v>
      </c>
      <c r="B1707" s="66" t="s">
        <v>1638</v>
      </c>
      <c r="C1707" s="41">
        <v>1053</v>
      </c>
      <c r="D1707" s="41" t="s">
        <v>527</v>
      </c>
      <c r="E1707" s="41">
        <v>10530113</v>
      </c>
      <c r="F1707" s="85" t="s">
        <v>1473</v>
      </c>
      <c r="G1707" s="39" t="s">
        <v>92</v>
      </c>
      <c r="H1707" s="52" t="s">
        <v>93</v>
      </c>
      <c r="I1707" s="52">
        <v>441.15000000000009</v>
      </c>
      <c r="J1707" s="49">
        <v>17704.61</v>
      </c>
      <c r="K1707" s="58">
        <v>430.17999999999995</v>
      </c>
      <c r="L1707" s="58">
        <v>17680.95</v>
      </c>
      <c r="M1707" s="58">
        <v>0.52</v>
      </c>
      <c r="N1707" s="58">
        <v>20.170000000000002</v>
      </c>
      <c r="O1707" s="58">
        <v>430.69999999999993</v>
      </c>
      <c r="P1707" s="53">
        <v>17701.12</v>
      </c>
      <c r="Q1707" s="58">
        <v>17701.12</v>
      </c>
      <c r="R1707" s="58">
        <v>0</v>
      </c>
      <c r="S1707" s="58">
        <v>20.170000000000002</v>
      </c>
      <c r="T1707" s="58">
        <v>0</v>
      </c>
      <c r="U1707" s="58">
        <v>5150</v>
      </c>
      <c r="V1707" s="58">
        <v>0</v>
      </c>
      <c r="W1707" s="58">
        <v>0</v>
      </c>
      <c r="X1707" s="58">
        <v>12531</v>
      </c>
      <c r="Y1707" s="58">
        <v>0</v>
      </c>
      <c r="Z1707" s="55">
        <v>0</v>
      </c>
      <c r="AA1707" s="51">
        <v>3</v>
      </c>
      <c r="AB1707" s="102">
        <v>0</v>
      </c>
      <c r="AC1707" s="81">
        <f t="shared" si="81"/>
        <v>207.76780226680259</v>
      </c>
      <c r="AD1707" s="82">
        <f t="shared" si="82"/>
        <v>63.021428571428586</v>
      </c>
      <c r="AE1707" s="218">
        <v>1.9712379995953601E-4</v>
      </c>
      <c r="AF1707">
        <v>7</v>
      </c>
      <c r="AH1707" t="str">
        <f t="shared" si="83"/>
        <v>Kalyanpur</v>
      </c>
      <c r="AJ1707" s="72">
        <v>0</v>
      </c>
      <c r="AK1707" s="72"/>
      <c r="AL1707" s="72"/>
      <c r="AM1707" s="72"/>
    </row>
    <row r="1708" spans="1:39" x14ac:dyDescent="0.25">
      <c r="A1708" s="37" t="s">
        <v>62</v>
      </c>
      <c r="B1708" s="66" t="s">
        <v>1638</v>
      </c>
      <c r="C1708" s="41">
        <v>1053</v>
      </c>
      <c r="D1708" s="41" t="s">
        <v>527</v>
      </c>
      <c r="E1708" s="41">
        <v>10530114</v>
      </c>
      <c r="F1708" s="85" t="s">
        <v>1504</v>
      </c>
      <c r="G1708" s="39" t="s">
        <v>92</v>
      </c>
      <c r="H1708" s="52" t="s">
        <v>93</v>
      </c>
      <c r="I1708" s="52">
        <v>391.2000000000001</v>
      </c>
      <c r="J1708" s="49">
        <v>17056.930000000004</v>
      </c>
      <c r="K1708" s="58">
        <v>378.99999999999994</v>
      </c>
      <c r="L1708" s="58">
        <v>16925.969999999998</v>
      </c>
      <c r="M1708" s="58">
        <v>2.8000000000000003</v>
      </c>
      <c r="N1708" s="58">
        <v>127.38</v>
      </c>
      <c r="O1708" s="58">
        <v>381.79999999999995</v>
      </c>
      <c r="P1708" s="53">
        <v>17053.349999999999</v>
      </c>
      <c r="Q1708" s="58">
        <v>17053.349999999999</v>
      </c>
      <c r="R1708" s="58">
        <v>0</v>
      </c>
      <c r="S1708" s="58">
        <v>127.38</v>
      </c>
      <c r="T1708" s="58">
        <v>0</v>
      </c>
      <c r="U1708" s="58">
        <v>572</v>
      </c>
      <c r="V1708" s="58">
        <v>0</v>
      </c>
      <c r="W1708" s="58">
        <v>0</v>
      </c>
      <c r="X1708" s="58">
        <v>16353</v>
      </c>
      <c r="Y1708" s="58">
        <v>0</v>
      </c>
      <c r="Z1708" s="55">
        <v>0</v>
      </c>
      <c r="AA1708" s="51">
        <v>5</v>
      </c>
      <c r="AB1708" s="102">
        <v>0</v>
      </c>
      <c r="AC1708" s="81">
        <f t="shared" si="81"/>
        <v>269.2832302658486</v>
      </c>
      <c r="AD1708" s="82">
        <f t="shared" si="82"/>
        <v>55.8857142857143</v>
      </c>
      <c r="AE1708" s="218">
        <v>2.0988536624148561E-4</v>
      </c>
      <c r="AF1708">
        <v>17</v>
      </c>
      <c r="AH1708" t="str">
        <f t="shared" si="83"/>
        <v>Kalyanpur</v>
      </c>
      <c r="AJ1708" s="72">
        <v>0</v>
      </c>
      <c r="AK1708" s="72"/>
      <c r="AL1708" s="72"/>
      <c r="AM1708" s="72"/>
    </row>
    <row r="1709" spans="1:39" x14ac:dyDescent="0.25">
      <c r="A1709" s="37" t="s">
        <v>62</v>
      </c>
      <c r="B1709" s="66" t="s">
        <v>1638</v>
      </c>
      <c r="C1709" s="41">
        <v>1053</v>
      </c>
      <c r="D1709" s="41" t="s">
        <v>527</v>
      </c>
      <c r="E1709" s="41">
        <v>10530116</v>
      </c>
      <c r="F1709" s="85" t="s">
        <v>1549</v>
      </c>
      <c r="G1709" s="39" t="s">
        <v>1610</v>
      </c>
      <c r="H1709" s="52" t="s">
        <v>98</v>
      </c>
      <c r="I1709" s="52">
        <v>1113.8</v>
      </c>
      <c r="J1709" s="49">
        <v>45779.710000000006</v>
      </c>
      <c r="K1709" s="58">
        <v>0</v>
      </c>
      <c r="L1709" s="58">
        <v>0</v>
      </c>
      <c r="M1709" s="58">
        <v>0</v>
      </c>
      <c r="N1709" s="58">
        <v>0</v>
      </c>
      <c r="O1709" s="58">
        <v>0</v>
      </c>
      <c r="P1709" s="53">
        <v>0</v>
      </c>
      <c r="Q1709" s="58">
        <v>45779.710000000006</v>
      </c>
      <c r="R1709" s="58">
        <v>0</v>
      </c>
      <c r="S1709" s="58">
        <v>0</v>
      </c>
      <c r="T1709" s="58">
        <v>0</v>
      </c>
      <c r="U1709" s="58">
        <v>0</v>
      </c>
      <c r="V1709" s="58">
        <v>0</v>
      </c>
      <c r="W1709" s="58">
        <v>0</v>
      </c>
      <c r="X1709" s="58">
        <v>0</v>
      </c>
      <c r="Y1709" s="58">
        <v>0</v>
      </c>
      <c r="Z1709" s="55">
        <v>45779.710000000006</v>
      </c>
      <c r="AA1709" s="51">
        <v>0</v>
      </c>
      <c r="AB1709" s="102">
        <v>0</v>
      </c>
      <c r="AC1709" s="81">
        <f t="shared" si="81"/>
        <v>0</v>
      </c>
      <c r="AD1709" s="82">
        <f t="shared" si="82"/>
        <v>0</v>
      </c>
      <c r="AE1709" s="218">
        <v>0</v>
      </c>
      <c r="AF1709">
        <v>0</v>
      </c>
      <c r="AH1709" t="str">
        <f t="shared" si="83"/>
        <v>Kalyanpur</v>
      </c>
      <c r="AJ1709" s="72">
        <v>0</v>
      </c>
      <c r="AK1709" s="72"/>
      <c r="AL1709" s="72"/>
      <c r="AM1709" s="72"/>
    </row>
    <row r="1710" spans="1:39" x14ac:dyDescent="0.25">
      <c r="A1710" s="37" t="s">
        <v>62</v>
      </c>
      <c r="B1710" s="66" t="s">
        <v>1638</v>
      </c>
      <c r="C1710" s="41">
        <v>1053</v>
      </c>
      <c r="D1710" s="41" t="s">
        <v>527</v>
      </c>
      <c r="E1710" s="41">
        <v>10530117</v>
      </c>
      <c r="F1710" s="85" t="s">
        <v>1620</v>
      </c>
      <c r="G1710" s="39" t="s">
        <v>1610</v>
      </c>
      <c r="H1710" s="52" t="s">
        <v>98</v>
      </c>
      <c r="I1710" s="52">
        <v>476.8</v>
      </c>
      <c r="J1710" s="49">
        <v>18976.21</v>
      </c>
      <c r="K1710" s="58">
        <v>0</v>
      </c>
      <c r="L1710" s="58">
        <v>0</v>
      </c>
      <c r="M1710" s="58">
        <v>0</v>
      </c>
      <c r="N1710" s="58">
        <v>0</v>
      </c>
      <c r="O1710" s="58">
        <v>0</v>
      </c>
      <c r="P1710" s="53">
        <v>0</v>
      </c>
      <c r="Q1710" s="58">
        <v>18976.21</v>
      </c>
      <c r="R1710" s="58">
        <v>0</v>
      </c>
      <c r="S1710" s="58">
        <v>0</v>
      </c>
      <c r="T1710" s="58">
        <v>0</v>
      </c>
      <c r="U1710" s="58">
        <v>0</v>
      </c>
      <c r="V1710" s="58">
        <v>0</v>
      </c>
      <c r="W1710" s="58">
        <v>0</v>
      </c>
      <c r="X1710" s="58">
        <v>0</v>
      </c>
      <c r="Y1710" s="58">
        <v>0</v>
      </c>
      <c r="Z1710" s="55">
        <v>18976.21</v>
      </c>
      <c r="AA1710" s="51">
        <v>0</v>
      </c>
      <c r="AB1710" s="102">
        <v>0</v>
      </c>
      <c r="AC1710" s="81">
        <f t="shared" si="81"/>
        <v>177.66317416107381</v>
      </c>
      <c r="AD1710" s="82">
        <f t="shared" si="82"/>
        <v>68.114285714285714</v>
      </c>
      <c r="AE1710" s="218">
        <v>0</v>
      </c>
      <c r="AF1710">
        <v>0</v>
      </c>
      <c r="AH1710" t="str">
        <f t="shared" si="83"/>
        <v>Kalyanpur</v>
      </c>
      <c r="AJ1710" s="72">
        <v>0</v>
      </c>
      <c r="AK1710" s="72"/>
      <c r="AL1710" s="72"/>
      <c r="AM1710" s="72"/>
    </row>
    <row r="1711" spans="1:39" x14ac:dyDescent="0.25">
      <c r="A1711" s="37" t="s">
        <v>62</v>
      </c>
      <c r="B1711" s="66" t="s">
        <v>1638</v>
      </c>
      <c r="C1711" s="41">
        <v>1054</v>
      </c>
      <c r="D1711" s="41" t="s">
        <v>808</v>
      </c>
      <c r="E1711" s="41">
        <v>10540003</v>
      </c>
      <c r="F1711" s="85" t="s">
        <v>663</v>
      </c>
      <c r="G1711" s="39" t="s">
        <v>92</v>
      </c>
      <c r="H1711" s="52" t="s">
        <v>93</v>
      </c>
      <c r="I1711" s="52">
        <v>2935.9</v>
      </c>
      <c r="J1711" s="49">
        <v>115981.21999999999</v>
      </c>
      <c r="K1711" s="58">
        <v>2935.8999999999996</v>
      </c>
      <c r="L1711" s="58">
        <v>115981.21999999999</v>
      </c>
      <c r="M1711" s="58">
        <v>0</v>
      </c>
      <c r="N1711" s="58">
        <v>0</v>
      </c>
      <c r="O1711" s="58">
        <v>2935.8999999999996</v>
      </c>
      <c r="P1711" s="53">
        <v>115981.21999999999</v>
      </c>
      <c r="Q1711" s="58">
        <v>115981.21999999999</v>
      </c>
      <c r="R1711" s="58">
        <v>0</v>
      </c>
      <c r="S1711" s="58">
        <v>0</v>
      </c>
      <c r="T1711" s="58">
        <v>0</v>
      </c>
      <c r="U1711" s="58">
        <v>0</v>
      </c>
      <c r="V1711" s="58">
        <v>0</v>
      </c>
      <c r="W1711" s="58">
        <v>0</v>
      </c>
      <c r="X1711" s="58">
        <v>115981</v>
      </c>
      <c r="Y1711" s="58">
        <v>0</v>
      </c>
      <c r="Z1711" s="55">
        <v>0</v>
      </c>
      <c r="AA1711" s="51">
        <v>0</v>
      </c>
      <c r="AB1711" s="102">
        <v>0</v>
      </c>
      <c r="AC1711" s="81">
        <f t="shared" si="81"/>
        <v>0</v>
      </c>
      <c r="AD1711" s="82">
        <f t="shared" si="82"/>
        <v>0</v>
      </c>
      <c r="AE1711" s="218">
        <v>0</v>
      </c>
      <c r="AF1711">
        <v>1</v>
      </c>
      <c r="AH1711" t="str">
        <f t="shared" si="83"/>
        <v xml:space="preserve">Alauli </v>
      </c>
      <c r="AJ1711" s="72">
        <v>0</v>
      </c>
      <c r="AK1711" s="72"/>
      <c r="AL1711" s="72"/>
      <c r="AM1711" s="72"/>
    </row>
    <row r="1712" spans="1:39" x14ac:dyDescent="0.25">
      <c r="A1712" s="37" t="s">
        <v>62</v>
      </c>
      <c r="B1712" s="66" t="s">
        <v>1638</v>
      </c>
      <c r="C1712" s="41">
        <v>1054</v>
      </c>
      <c r="D1712" s="41" t="s">
        <v>808</v>
      </c>
      <c r="E1712" s="41">
        <v>10540005</v>
      </c>
      <c r="F1712" s="85" t="s">
        <v>665</v>
      </c>
      <c r="G1712" s="39" t="s">
        <v>92</v>
      </c>
      <c r="H1712" s="52" t="s">
        <v>93</v>
      </c>
      <c r="I1712" s="52">
        <v>348.00000000000006</v>
      </c>
      <c r="J1712" s="49">
        <v>14965.27</v>
      </c>
      <c r="K1712" s="58">
        <v>355.48</v>
      </c>
      <c r="L1712" s="58">
        <v>15014.05</v>
      </c>
      <c r="M1712" s="58">
        <v>0</v>
      </c>
      <c r="N1712" s="58">
        <v>0</v>
      </c>
      <c r="O1712" s="58">
        <v>355.48</v>
      </c>
      <c r="P1712" s="53">
        <v>15014.05</v>
      </c>
      <c r="Q1712" s="58">
        <v>14965.27</v>
      </c>
      <c r="R1712" s="58">
        <v>0</v>
      </c>
      <c r="S1712" s="58">
        <v>0</v>
      </c>
      <c r="T1712" s="58">
        <v>48.779999999998836</v>
      </c>
      <c r="U1712" s="58">
        <v>1376</v>
      </c>
      <c r="V1712" s="58">
        <v>0</v>
      </c>
      <c r="W1712" s="58">
        <v>0</v>
      </c>
      <c r="X1712" s="58">
        <v>13589</v>
      </c>
      <c r="Y1712" s="58">
        <v>0</v>
      </c>
      <c r="Z1712" s="55">
        <v>0</v>
      </c>
      <c r="AA1712" s="51">
        <v>0</v>
      </c>
      <c r="AB1712" s="102">
        <v>0</v>
      </c>
      <c r="AC1712" s="81">
        <f t="shared" si="81"/>
        <v>302.7456919540229</v>
      </c>
      <c r="AD1712" s="82">
        <f t="shared" si="82"/>
        <v>49.714285714285722</v>
      </c>
      <c r="AE1712" s="218">
        <v>-3.2595469376762889E-3</v>
      </c>
      <c r="AF1712">
        <v>12</v>
      </c>
      <c r="AH1712" t="str">
        <f t="shared" si="83"/>
        <v xml:space="preserve">Alauli </v>
      </c>
      <c r="AJ1712" s="72">
        <v>0</v>
      </c>
      <c r="AK1712" s="72"/>
      <c r="AL1712" s="72"/>
      <c r="AM1712" s="72"/>
    </row>
    <row r="1713" spans="1:39" x14ac:dyDescent="0.25">
      <c r="A1713" s="37" t="s">
        <v>62</v>
      </c>
      <c r="B1713" s="66" t="s">
        <v>1638</v>
      </c>
      <c r="C1713" s="41">
        <v>1054</v>
      </c>
      <c r="D1713" s="41" t="s">
        <v>808</v>
      </c>
      <c r="E1713" s="41">
        <v>10540007</v>
      </c>
      <c r="F1713" s="85" t="s">
        <v>1621</v>
      </c>
      <c r="G1713" s="39" t="s">
        <v>92</v>
      </c>
      <c r="H1713" s="52" t="s">
        <v>93</v>
      </c>
      <c r="I1713" s="52">
        <v>28.6</v>
      </c>
      <c r="J1713" s="49">
        <v>1288.4000000000001</v>
      </c>
      <c r="K1713" s="58">
        <v>56</v>
      </c>
      <c r="L1713" s="58">
        <v>2636.2</v>
      </c>
      <c r="M1713" s="58">
        <v>0</v>
      </c>
      <c r="N1713" s="58">
        <v>0</v>
      </c>
      <c r="O1713" s="58">
        <v>56</v>
      </c>
      <c r="P1713" s="53">
        <v>2636.2</v>
      </c>
      <c r="Q1713" s="58">
        <v>1288.4000000000001</v>
      </c>
      <c r="R1713" s="58">
        <v>0</v>
      </c>
      <c r="S1713" s="58">
        <v>0</v>
      </c>
      <c r="T1713" s="58">
        <v>1347.7999999999997</v>
      </c>
      <c r="U1713" s="58">
        <v>0</v>
      </c>
      <c r="V1713" s="58">
        <v>0</v>
      </c>
      <c r="W1713" s="58">
        <v>0</v>
      </c>
      <c r="X1713" s="58">
        <v>1288</v>
      </c>
      <c r="Y1713" s="58">
        <v>0</v>
      </c>
      <c r="Z1713" s="55">
        <v>0</v>
      </c>
      <c r="AA1713" s="51">
        <v>0</v>
      </c>
      <c r="AB1713" s="102">
        <v>0</v>
      </c>
      <c r="AC1713" s="81">
        <f t="shared" si="81"/>
        <v>604.91731468531464</v>
      </c>
      <c r="AD1713" s="82">
        <f t="shared" si="82"/>
        <v>4.0857142857142863</v>
      </c>
      <c r="AE1713" s="218">
        <v>-1.0461036945048119</v>
      </c>
      <c r="AF1713">
        <v>1</v>
      </c>
      <c r="AH1713" t="str">
        <f t="shared" si="83"/>
        <v xml:space="preserve">Alauli </v>
      </c>
      <c r="AJ1713" s="72">
        <v>0</v>
      </c>
      <c r="AK1713" s="72"/>
      <c r="AL1713" s="72"/>
      <c r="AM1713" s="72"/>
    </row>
    <row r="1714" spans="1:39" x14ac:dyDescent="0.25">
      <c r="A1714" s="37" t="s">
        <v>62</v>
      </c>
      <c r="B1714" s="66" t="s">
        <v>1638</v>
      </c>
      <c r="C1714" s="41">
        <v>1054</v>
      </c>
      <c r="D1714" s="41" t="s">
        <v>808</v>
      </c>
      <c r="E1714" s="41">
        <v>10540008</v>
      </c>
      <c r="F1714" s="85" t="s">
        <v>1123</v>
      </c>
      <c r="G1714" s="39" t="s">
        <v>92</v>
      </c>
      <c r="H1714" s="52" t="s">
        <v>93</v>
      </c>
      <c r="I1714" s="52">
        <v>80</v>
      </c>
      <c r="J1714" s="49">
        <v>3730.4300000000003</v>
      </c>
      <c r="K1714" s="58">
        <v>86.750000000000014</v>
      </c>
      <c r="L1714" s="58">
        <v>4106.09</v>
      </c>
      <c r="M1714" s="58">
        <v>0</v>
      </c>
      <c r="N1714" s="58">
        <v>0</v>
      </c>
      <c r="O1714" s="58">
        <v>86.750000000000014</v>
      </c>
      <c r="P1714" s="53">
        <v>4106.09</v>
      </c>
      <c r="Q1714" s="58">
        <v>3730.4300000000003</v>
      </c>
      <c r="R1714" s="58">
        <v>0</v>
      </c>
      <c r="S1714" s="58">
        <v>0</v>
      </c>
      <c r="T1714" s="58">
        <v>375.65999999999985</v>
      </c>
      <c r="U1714" s="58">
        <v>0</v>
      </c>
      <c r="V1714" s="58">
        <v>0</v>
      </c>
      <c r="W1714" s="58">
        <v>0</v>
      </c>
      <c r="X1714" s="58">
        <v>4107</v>
      </c>
      <c r="Y1714" s="58">
        <v>0</v>
      </c>
      <c r="Z1714" s="55">
        <v>0</v>
      </c>
      <c r="AA1714" s="51">
        <v>-377</v>
      </c>
      <c r="AB1714" s="102" t="s">
        <v>66</v>
      </c>
      <c r="AC1714" s="81">
        <f t="shared" si="81"/>
        <v>578.21665000000007</v>
      </c>
      <c r="AD1714" s="82">
        <f t="shared" si="82"/>
        <v>11.428571428571429</v>
      </c>
      <c r="AE1714" s="218">
        <v>-0.10070152770592125</v>
      </c>
      <c r="AF1714">
        <v>6</v>
      </c>
      <c r="AH1714" t="str">
        <f t="shared" si="83"/>
        <v xml:space="preserve">Alauli </v>
      </c>
      <c r="AJ1714" s="72">
        <v>500</v>
      </c>
      <c r="AK1714" s="72"/>
      <c r="AL1714" s="72"/>
      <c r="AM1714" s="72"/>
    </row>
    <row r="1715" spans="1:39" x14ac:dyDescent="0.25">
      <c r="A1715" s="37" t="s">
        <v>62</v>
      </c>
      <c r="B1715" s="66" t="s">
        <v>1638</v>
      </c>
      <c r="C1715" s="41">
        <v>1054</v>
      </c>
      <c r="D1715" s="41" t="s">
        <v>808</v>
      </c>
      <c r="E1715" s="41">
        <v>10540009</v>
      </c>
      <c r="F1715" s="85" t="s">
        <v>830</v>
      </c>
      <c r="G1715" s="39" t="s">
        <v>92</v>
      </c>
      <c r="H1715" s="52" t="s">
        <v>93</v>
      </c>
      <c r="I1715" s="52">
        <v>1168</v>
      </c>
      <c r="J1715" s="49">
        <v>51719.41</v>
      </c>
      <c r="K1715" s="58">
        <v>1230.4599999999998</v>
      </c>
      <c r="L1715" s="58">
        <v>55285.669999999991</v>
      </c>
      <c r="M1715" s="58">
        <v>0</v>
      </c>
      <c r="N1715" s="58">
        <v>0</v>
      </c>
      <c r="O1715" s="58">
        <v>1230.4599999999998</v>
      </c>
      <c r="P1715" s="53">
        <v>55285.669999999991</v>
      </c>
      <c r="Q1715" s="58">
        <v>51719.41</v>
      </c>
      <c r="R1715" s="58">
        <v>0</v>
      </c>
      <c r="S1715" s="58">
        <v>0</v>
      </c>
      <c r="T1715" s="58">
        <v>3566.2599999999875</v>
      </c>
      <c r="U1715" s="58">
        <v>1400</v>
      </c>
      <c r="V1715" s="58">
        <v>0</v>
      </c>
      <c r="W1715" s="58">
        <v>0</v>
      </c>
      <c r="X1715" s="58">
        <v>50319</v>
      </c>
      <c r="Y1715" s="58">
        <v>0</v>
      </c>
      <c r="Z1715" s="55">
        <v>0</v>
      </c>
      <c r="AA1715" s="51">
        <v>0</v>
      </c>
      <c r="AB1715" s="102" t="s">
        <v>1366</v>
      </c>
      <c r="AC1715" s="81">
        <f t="shared" si="81"/>
        <v>0</v>
      </c>
      <c r="AD1715" s="82">
        <f t="shared" si="82"/>
        <v>0</v>
      </c>
      <c r="AE1715" s="218">
        <v>-6.8953996188278008E-2</v>
      </c>
      <c r="AF1715">
        <v>29</v>
      </c>
      <c r="AH1715" t="str">
        <f t="shared" si="83"/>
        <v xml:space="preserve">Alauli </v>
      </c>
      <c r="AJ1715" s="72">
        <v>0</v>
      </c>
      <c r="AK1715" s="72"/>
      <c r="AL1715" s="72"/>
      <c r="AM1715" s="72"/>
    </row>
    <row r="1716" spans="1:39" x14ac:dyDescent="0.25">
      <c r="A1716" s="37" t="s">
        <v>62</v>
      </c>
      <c r="B1716" s="66" t="s">
        <v>1638</v>
      </c>
      <c r="C1716" s="41">
        <v>1054</v>
      </c>
      <c r="D1716" s="41" t="s">
        <v>808</v>
      </c>
      <c r="E1716" s="41">
        <v>10540010</v>
      </c>
      <c r="F1716" s="85" t="s">
        <v>597</v>
      </c>
      <c r="G1716" s="39" t="s">
        <v>1610</v>
      </c>
      <c r="H1716" s="52" t="s">
        <v>98</v>
      </c>
      <c r="I1716" s="52">
        <v>2050.8000000000002</v>
      </c>
      <c r="J1716" s="49">
        <v>86132.56</v>
      </c>
      <c r="K1716" s="58">
        <v>0</v>
      </c>
      <c r="L1716" s="58">
        <v>0</v>
      </c>
      <c r="M1716" s="58">
        <v>0</v>
      </c>
      <c r="N1716" s="58">
        <v>0</v>
      </c>
      <c r="O1716" s="58">
        <v>0</v>
      </c>
      <c r="P1716" s="53">
        <v>0</v>
      </c>
      <c r="Q1716" s="58">
        <v>86132.56</v>
      </c>
      <c r="R1716" s="58">
        <v>0</v>
      </c>
      <c r="S1716" s="58">
        <v>0</v>
      </c>
      <c r="T1716" s="58">
        <v>0</v>
      </c>
      <c r="U1716" s="58">
        <v>0</v>
      </c>
      <c r="V1716" s="58">
        <v>0</v>
      </c>
      <c r="W1716" s="58">
        <v>0</v>
      </c>
      <c r="X1716" s="58">
        <v>0</v>
      </c>
      <c r="Y1716" s="58">
        <v>0</v>
      </c>
      <c r="Z1716" s="55">
        <v>86132.56</v>
      </c>
      <c r="AA1716" s="51">
        <v>0</v>
      </c>
      <c r="AB1716" s="102">
        <v>0</v>
      </c>
      <c r="AC1716" s="81">
        <f t="shared" si="81"/>
        <v>0</v>
      </c>
      <c r="AD1716" s="82">
        <f t="shared" si="82"/>
        <v>0</v>
      </c>
      <c r="AE1716" s="218">
        <v>0</v>
      </c>
      <c r="AF1716">
        <v>0</v>
      </c>
      <c r="AH1716" t="str">
        <f t="shared" si="83"/>
        <v xml:space="preserve">Alauli </v>
      </c>
      <c r="AJ1716" s="72">
        <v>0</v>
      </c>
      <c r="AK1716" s="72"/>
      <c r="AL1716" s="72"/>
      <c r="AM1716" s="72"/>
    </row>
    <row r="1717" spans="1:39" x14ac:dyDescent="0.25">
      <c r="A1717" s="37" t="s">
        <v>62</v>
      </c>
      <c r="B1717" s="66" t="s">
        <v>1638</v>
      </c>
      <c r="C1717" s="41">
        <v>1054</v>
      </c>
      <c r="D1717" s="41" t="s">
        <v>808</v>
      </c>
      <c r="E1717" s="41">
        <v>10540012</v>
      </c>
      <c r="F1717" s="85" t="s">
        <v>821</v>
      </c>
      <c r="G1717" s="39" t="s">
        <v>1610</v>
      </c>
      <c r="H1717" s="52" t="s">
        <v>98</v>
      </c>
      <c r="I1717" s="52">
        <v>302</v>
      </c>
      <c r="J1717" s="49">
        <v>10962.640000000001</v>
      </c>
      <c r="K1717" s="58">
        <v>0</v>
      </c>
      <c r="L1717" s="58">
        <v>0</v>
      </c>
      <c r="M1717" s="58">
        <v>0</v>
      </c>
      <c r="N1717" s="58">
        <v>0</v>
      </c>
      <c r="O1717" s="58">
        <v>0</v>
      </c>
      <c r="P1717" s="53">
        <v>0</v>
      </c>
      <c r="Q1717" s="58">
        <v>10962.640000000001</v>
      </c>
      <c r="R1717" s="58">
        <v>0</v>
      </c>
      <c r="S1717" s="58">
        <v>0</v>
      </c>
      <c r="T1717" s="58">
        <v>0</v>
      </c>
      <c r="U1717" s="58">
        <v>0</v>
      </c>
      <c r="V1717" s="58">
        <v>0</v>
      </c>
      <c r="W1717" s="58">
        <v>0</v>
      </c>
      <c r="X1717" s="58">
        <v>0</v>
      </c>
      <c r="Y1717" s="58">
        <v>0</v>
      </c>
      <c r="Z1717" s="55">
        <v>10962.640000000001</v>
      </c>
      <c r="AA1717" s="51">
        <v>0</v>
      </c>
      <c r="AB1717" s="102">
        <v>0</v>
      </c>
      <c r="AC1717" s="81">
        <f t="shared" si="81"/>
        <v>288.94905430463575</v>
      </c>
      <c r="AD1717" s="82">
        <f t="shared" si="82"/>
        <v>43.142857142857146</v>
      </c>
      <c r="AE1717" s="218">
        <v>0</v>
      </c>
      <c r="AF1717">
        <v>0</v>
      </c>
      <c r="AH1717" t="str">
        <f t="shared" si="83"/>
        <v xml:space="preserve">Alauli </v>
      </c>
      <c r="AJ1717" s="72">
        <v>0</v>
      </c>
      <c r="AK1717" s="72"/>
      <c r="AL1717" s="72"/>
      <c r="AM1717" s="72"/>
    </row>
    <row r="1718" spans="1:39" x14ac:dyDescent="0.25">
      <c r="A1718" s="37" t="s">
        <v>62</v>
      </c>
      <c r="B1718" s="66" t="s">
        <v>1638</v>
      </c>
      <c r="C1718" s="41">
        <v>1054</v>
      </c>
      <c r="D1718" s="41" t="s">
        <v>808</v>
      </c>
      <c r="E1718" s="41">
        <v>10540014</v>
      </c>
      <c r="F1718" s="85" t="s">
        <v>1124</v>
      </c>
      <c r="G1718" s="39" t="s">
        <v>1610</v>
      </c>
      <c r="H1718" s="52" t="s">
        <v>98</v>
      </c>
      <c r="I1718" s="52">
        <v>65.5</v>
      </c>
      <c r="J1718" s="49">
        <v>3335.5199999999995</v>
      </c>
      <c r="K1718" s="58">
        <v>0</v>
      </c>
      <c r="L1718" s="58">
        <v>0</v>
      </c>
      <c r="M1718" s="58">
        <v>0</v>
      </c>
      <c r="N1718" s="58">
        <v>0</v>
      </c>
      <c r="O1718" s="58">
        <v>0</v>
      </c>
      <c r="P1718" s="53">
        <v>0</v>
      </c>
      <c r="Q1718" s="58">
        <v>3335.5199999999995</v>
      </c>
      <c r="R1718" s="58">
        <v>0</v>
      </c>
      <c r="S1718" s="58">
        <v>0</v>
      </c>
      <c r="T1718" s="58">
        <v>0</v>
      </c>
      <c r="U1718" s="58">
        <v>0</v>
      </c>
      <c r="V1718" s="58">
        <v>0</v>
      </c>
      <c r="W1718" s="58">
        <v>0</v>
      </c>
      <c r="X1718" s="58">
        <v>0</v>
      </c>
      <c r="Y1718" s="58">
        <v>0</v>
      </c>
      <c r="Z1718" s="55">
        <v>3335.5199999999995</v>
      </c>
      <c r="AA1718" s="51">
        <v>0</v>
      </c>
      <c r="AB1718" s="102">
        <v>0</v>
      </c>
      <c r="AC1718" s="81">
        <f t="shared" si="81"/>
        <v>646.22517251908391</v>
      </c>
      <c r="AD1718" s="82">
        <f t="shared" si="82"/>
        <v>9.3571428571428577</v>
      </c>
      <c r="AE1718" s="218">
        <v>0</v>
      </c>
      <c r="AF1718">
        <v>0</v>
      </c>
      <c r="AH1718" t="str">
        <f t="shared" si="83"/>
        <v xml:space="preserve">Alauli </v>
      </c>
      <c r="AJ1718" s="72">
        <v>0</v>
      </c>
      <c r="AK1718" s="72"/>
      <c r="AL1718" s="72"/>
      <c r="AM1718" s="72"/>
    </row>
    <row r="1719" spans="1:39" x14ac:dyDescent="0.25">
      <c r="A1719" s="37" t="s">
        <v>62</v>
      </c>
      <c r="B1719" s="66" t="s">
        <v>1638</v>
      </c>
      <c r="C1719" s="41">
        <v>1054</v>
      </c>
      <c r="D1719" s="41" t="s">
        <v>808</v>
      </c>
      <c r="E1719" s="41">
        <v>10540016</v>
      </c>
      <c r="F1719" s="85" t="s">
        <v>1137</v>
      </c>
      <c r="G1719" s="39" t="s">
        <v>92</v>
      </c>
      <c r="H1719" s="52" t="s">
        <v>93</v>
      </c>
      <c r="I1719" s="52">
        <v>473.1</v>
      </c>
      <c r="J1719" s="49">
        <v>25758.810000000005</v>
      </c>
      <c r="K1719" s="58">
        <v>373.84</v>
      </c>
      <c r="L1719" s="58">
        <v>20477.219999999994</v>
      </c>
      <c r="M1719" s="58">
        <v>108.9</v>
      </c>
      <c r="N1719" s="58">
        <v>5996.58</v>
      </c>
      <c r="O1719" s="58">
        <v>482.74</v>
      </c>
      <c r="P1719" s="53">
        <v>26473.799999999996</v>
      </c>
      <c r="Q1719" s="58">
        <v>25758.810000000005</v>
      </c>
      <c r="R1719" s="58">
        <v>0</v>
      </c>
      <c r="S1719" s="58">
        <v>76.47</v>
      </c>
      <c r="T1719" s="58">
        <v>714.98999999999069</v>
      </c>
      <c r="U1719" s="58">
        <v>0</v>
      </c>
      <c r="V1719" s="58">
        <v>0</v>
      </c>
      <c r="W1719" s="58">
        <v>0</v>
      </c>
      <c r="X1719" s="58">
        <v>19762</v>
      </c>
      <c r="Y1719" s="58">
        <v>5920</v>
      </c>
      <c r="Z1719" s="55">
        <v>0</v>
      </c>
      <c r="AA1719" s="51">
        <v>0</v>
      </c>
      <c r="AB1719" s="102">
        <v>0</v>
      </c>
      <c r="AC1719" s="81">
        <f t="shared" si="81"/>
        <v>247.07985580215603</v>
      </c>
      <c r="AD1719" s="82">
        <f t="shared" si="82"/>
        <v>67.585714285714289</v>
      </c>
      <c r="AE1719" s="218">
        <v>-2.7757105238945066E-2</v>
      </c>
      <c r="AF1719">
        <v>13</v>
      </c>
      <c r="AH1719" t="str">
        <f t="shared" si="83"/>
        <v xml:space="preserve">Alauli </v>
      </c>
      <c r="AJ1719" s="72">
        <v>0</v>
      </c>
      <c r="AK1719" s="72"/>
      <c r="AL1719" s="72"/>
      <c r="AM1719" s="72"/>
    </row>
    <row r="1720" spans="1:39" x14ac:dyDescent="0.25">
      <c r="A1720" s="37" t="s">
        <v>62</v>
      </c>
      <c r="B1720" s="66" t="s">
        <v>1638</v>
      </c>
      <c r="C1720" s="41">
        <v>1054</v>
      </c>
      <c r="D1720" s="41" t="s">
        <v>808</v>
      </c>
      <c r="E1720" s="41">
        <v>10540017</v>
      </c>
      <c r="F1720" s="85" t="s">
        <v>1138</v>
      </c>
      <c r="G1720" s="39" t="s">
        <v>92</v>
      </c>
      <c r="H1720" s="52" t="s">
        <v>93</v>
      </c>
      <c r="I1720" s="52">
        <v>754.9</v>
      </c>
      <c r="J1720" s="49">
        <v>29793.949999999997</v>
      </c>
      <c r="K1720" s="58">
        <v>774.26</v>
      </c>
      <c r="L1720" s="58">
        <v>33832.799999999996</v>
      </c>
      <c r="M1720" s="58">
        <v>0</v>
      </c>
      <c r="N1720" s="58">
        <v>0</v>
      </c>
      <c r="O1720" s="58">
        <v>774.26</v>
      </c>
      <c r="P1720" s="53">
        <v>33832.799999999996</v>
      </c>
      <c r="Q1720" s="58">
        <v>29793.949999999997</v>
      </c>
      <c r="R1720" s="58">
        <v>0</v>
      </c>
      <c r="S1720" s="58">
        <v>0</v>
      </c>
      <c r="T1720" s="58">
        <v>4038.8499999999985</v>
      </c>
      <c r="U1720" s="58">
        <v>0</v>
      </c>
      <c r="V1720" s="58">
        <v>0</v>
      </c>
      <c r="W1720" s="58">
        <v>0</v>
      </c>
      <c r="X1720" s="58">
        <v>29794</v>
      </c>
      <c r="Y1720" s="58">
        <v>0</v>
      </c>
      <c r="Z1720" s="55">
        <v>0</v>
      </c>
      <c r="AA1720" s="51">
        <v>0</v>
      </c>
      <c r="AB1720" s="102">
        <v>0</v>
      </c>
      <c r="AC1720" s="81">
        <f t="shared" si="81"/>
        <v>0</v>
      </c>
      <c r="AD1720" s="82">
        <f t="shared" si="82"/>
        <v>0</v>
      </c>
      <c r="AE1720" s="218">
        <v>-0.13555940048231266</v>
      </c>
      <c r="AF1720">
        <v>2</v>
      </c>
      <c r="AH1720" t="str">
        <f t="shared" si="83"/>
        <v xml:space="preserve">Alauli </v>
      </c>
      <c r="AJ1720" s="72">
        <v>0</v>
      </c>
      <c r="AK1720" s="72"/>
      <c r="AL1720" s="72"/>
      <c r="AM1720" s="72"/>
    </row>
    <row r="1721" spans="1:39" x14ac:dyDescent="0.25">
      <c r="A1721" s="37" t="s">
        <v>62</v>
      </c>
      <c r="B1721" s="66" t="s">
        <v>1638</v>
      </c>
      <c r="C1721" s="41">
        <v>1054</v>
      </c>
      <c r="D1721" s="41" t="s">
        <v>808</v>
      </c>
      <c r="E1721" s="41">
        <v>10540018</v>
      </c>
      <c r="F1721" s="85" t="s">
        <v>1139</v>
      </c>
      <c r="G1721" s="39" t="s">
        <v>92</v>
      </c>
      <c r="H1721" s="52" t="s">
        <v>93</v>
      </c>
      <c r="I1721" s="52">
        <v>336.5</v>
      </c>
      <c r="J1721" s="49">
        <v>15168.2</v>
      </c>
      <c r="K1721" s="58">
        <v>387.76</v>
      </c>
      <c r="L1721" s="58">
        <v>17619.989999999998</v>
      </c>
      <c r="M1721" s="58">
        <v>0</v>
      </c>
      <c r="N1721" s="58">
        <v>0</v>
      </c>
      <c r="O1721" s="58">
        <v>387.76</v>
      </c>
      <c r="P1721" s="53">
        <v>17619.989999999998</v>
      </c>
      <c r="Q1721" s="58">
        <v>15168.2</v>
      </c>
      <c r="R1721" s="58">
        <v>0</v>
      </c>
      <c r="S1721" s="58">
        <v>0</v>
      </c>
      <c r="T1721" s="58">
        <v>2451.7899999999972</v>
      </c>
      <c r="U1721" s="58">
        <v>0</v>
      </c>
      <c r="V1721" s="58">
        <v>500</v>
      </c>
      <c r="W1721" s="58">
        <v>0</v>
      </c>
      <c r="X1721" s="58">
        <v>14668</v>
      </c>
      <c r="Y1721" s="58">
        <v>0</v>
      </c>
      <c r="Z1721" s="55">
        <v>0</v>
      </c>
      <c r="AA1721" s="51">
        <v>0</v>
      </c>
      <c r="AB1721" s="102">
        <v>0</v>
      </c>
      <c r="AC1721" s="81">
        <f t="shared" si="81"/>
        <v>327.70524219910845</v>
      </c>
      <c r="AD1721" s="82">
        <f t="shared" si="82"/>
        <v>48.071428571428569</v>
      </c>
      <c r="AE1721" s="218">
        <v>-0.16164014187576622</v>
      </c>
      <c r="AF1721">
        <v>9</v>
      </c>
      <c r="AH1721" t="str">
        <f t="shared" si="83"/>
        <v xml:space="preserve">Alauli </v>
      </c>
      <c r="AJ1721" s="72">
        <v>500</v>
      </c>
      <c r="AK1721" s="72"/>
      <c r="AL1721" s="72"/>
      <c r="AM1721" s="72"/>
    </row>
    <row r="1722" spans="1:39" x14ac:dyDescent="0.25">
      <c r="A1722" s="37" t="s">
        <v>62</v>
      </c>
      <c r="B1722" s="66" t="s">
        <v>1638</v>
      </c>
      <c r="C1722" s="41">
        <v>1054</v>
      </c>
      <c r="D1722" s="41" t="s">
        <v>808</v>
      </c>
      <c r="E1722" s="41">
        <v>10540019</v>
      </c>
      <c r="F1722" s="85" t="s">
        <v>1166</v>
      </c>
      <c r="G1722" s="39" t="s">
        <v>92</v>
      </c>
      <c r="H1722" s="52" t="s">
        <v>93</v>
      </c>
      <c r="I1722" s="52">
        <v>132.30000000000001</v>
      </c>
      <c r="J1722" s="49">
        <v>4208.3900000000003</v>
      </c>
      <c r="K1722" s="58">
        <v>105.97</v>
      </c>
      <c r="L1722" s="58">
        <v>4209.2699999999995</v>
      </c>
      <c r="M1722" s="58">
        <v>0</v>
      </c>
      <c r="N1722" s="58">
        <v>0</v>
      </c>
      <c r="O1722" s="58">
        <v>105.97</v>
      </c>
      <c r="P1722" s="53">
        <v>4209.2699999999995</v>
      </c>
      <c r="Q1722" s="58">
        <v>4208.3900000000003</v>
      </c>
      <c r="R1722" s="58">
        <v>0</v>
      </c>
      <c r="S1722" s="58">
        <v>0</v>
      </c>
      <c r="T1722" s="58">
        <v>0.87999999999919964</v>
      </c>
      <c r="U1722" s="58">
        <v>0</v>
      </c>
      <c r="V1722" s="58">
        <v>500</v>
      </c>
      <c r="W1722" s="58">
        <v>0</v>
      </c>
      <c r="X1722" s="58">
        <v>3708</v>
      </c>
      <c r="Y1722" s="58">
        <v>0</v>
      </c>
      <c r="Z1722" s="55">
        <v>0</v>
      </c>
      <c r="AA1722" s="51">
        <v>0</v>
      </c>
      <c r="AB1722" s="102" t="s">
        <v>1366</v>
      </c>
      <c r="AC1722" s="81">
        <f t="shared" si="81"/>
        <v>361.16447513227513</v>
      </c>
      <c r="AD1722" s="82">
        <f t="shared" si="82"/>
        <v>18.900000000000002</v>
      </c>
      <c r="AE1722" s="218">
        <v>-2.0910609520486447E-4</v>
      </c>
      <c r="AF1722">
        <v>1</v>
      </c>
      <c r="AH1722" t="str">
        <f t="shared" si="83"/>
        <v xml:space="preserve">Alauli </v>
      </c>
      <c r="AJ1722" s="72">
        <v>500</v>
      </c>
      <c r="AK1722" s="72"/>
      <c r="AL1722" s="72"/>
      <c r="AM1722" s="72"/>
    </row>
    <row r="1723" spans="1:39" x14ac:dyDescent="0.25">
      <c r="A1723" s="37" t="s">
        <v>62</v>
      </c>
      <c r="B1723" s="66" t="s">
        <v>1638</v>
      </c>
      <c r="C1723" s="41">
        <v>1054</v>
      </c>
      <c r="D1723" s="41" t="s">
        <v>808</v>
      </c>
      <c r="E1723" s="41">
        <v>10540020</v>
      </c>
      <c r="F1723" s="85" t="s">
        <v>1140</v>
      </c>
      <c r="G1723" s="39" t="s">
        <v>92</v>
      </c>
      <c r="H1723" s="52" t="s">
        <v>93</v>
      </c>
      <c r="I1723" s="52">
        <v>67.599999999999994</v>
      </c>
      <c r="J1723" s="49">
        <v>2658.84</v>
      </c>
      <c r="K1723" s="58">
        <v>75.540000000000006</v>
      </c>
      <c r="L1723" s="58">
        <v>3010.5600000000004</v>
      </c>
      <c r="M1723" s="58">
        <v>0</v>
      </c>
      <c r="N1723" s="58">
        <v>0</v>
      </c>
      <c r="O1723" s="58">
        <v>75.540000000000006</v>
      </c>
      <c r="P1723" s="53">
        <v>3010.5600000000004</v>
      </c>
      <c r="Q1723" s="58">
        <v>2658.84</v>
      </c>
      <c r="R1723" s="58">
        <v>0</v>
      </c>
      <c r="S1723" s="58">
        <v>0</v>
      </c>
      <c r="T1723" s="58">
        <v>351.72000000000025</v>
      </c>
      <c r="U1723" s="58">
        <v>0</v>
      </c>
      <c r="V1723" s="58">
        <v>0</v>
      </c>
      <c r="W1723" s="58">
        <v>0</v>
      </c>
      <c r="X1723" s="58">
        <v>3012</v>
      </c>
      <c r="Y1723" s="58">
        <v>0</v>
      </c>
      <c r="Z1723" s="55">
        <v>0</v>
      </c>
      <c r="AA1723" s="51">
        <v>-353</v>
      </c>
      <c r="AB1723" s="102" t="s">
        <v>66</v>
      </c>
      <c r="AC1723" s="81">
        <f t="shared" si="81"/>
        <v>497.47053727810652</v>
      </c>
      <c r="AD1723" s="82">
        <f t="shared" si="82"/>
        <v>9.6571428571428566</v>
      </c>
      <c r="AE1723" s="218">
        <v>-0.13228325134269089</v>
      </c>
      <c r="AF1723">
        <v>5</v>
      </c>
      <c r="AH1723" t="str">
        <f t="shared" si="83"/>
        <v xml:space="preserve">Alauli </v>
      </c>
      <c r="AJ1723" s="72">
        <v>500</v>
      </c>
      <c r="AK1723" s="72"/>
      <c r="AL1723" s="72"/>
      <c r="AM1723" s="72"/>
    </row>
    <row r="1724" spans="1:39" x14ac:dyDescent="0.25">
      <c r="A1724" s="37" t="s">
        <v>62</v>
      </c>
      <c r="B1724" s="66" t="s">
        <v>1638</v>
      </c>
      <c r="C1724" s="41">
        <v>1054</v>
      </c>
      <c r="D1724" s="41" t="s">
        <v>808</v>
      </c>
      <c r="E1724" s="41">
        <v>10540021</v>
      </c>
      <c r="F1724" s="85" t="s">
        <v>1141</v>
      </c>
      <c r="G1724" s="39" t="s">
        <v>1610</v>
      </c>
      <c r="H1724" s="52" t="s">
        <v>98</v>
      </c>
      <c r="I1724" s="52">
        <v>719.69999999999993</v>
      </c>
      <c r="J1724" s="49">
        <v>23382.750000000004</v>
      </c>
      <c r="K1724" s="58">
        <v>0</v>
      </c>
      <c r="L1724" s="58">
        <v>0</v>
      </c>
      <c r="M1724" s="58">
        <v>0</v>
      </c>
      <c r="N1724" s="58">
        <v>0</v>
      </c>
      <c r="O1724" s="58">
        <v>0</v>
      </c>
      <c r="P1724" s="53">
        <v>0</v>
      </c>
      <c r="Q1724" s="58">
        <v>23382.750000000004</v>
      </c>
      <c r="R1724" s="58">
        <v>0</v>
      </c>
      <c r="S1724" s="58">
        <v>0</v>
      </c>
      <c r="T1724" s="58">
        <v>0</v>
      </c>
      <c r="U1724" s="58">
        <v>0</v>
      </c>
      <c r="V1724" s="58">
        <v>0</v>
      </c>
      <c r="W1724" s="58">
        <v>0</v>
      </c>
      <c r="X1724" s="58">
        <v>0</v>
      </c>
      <c r="Y1724" s="58">
        <v>0</v>
      </c>
      <c r="Z1724" s="55">
        <v>23382.750000000004</v>
      </c>
      <c r="AA1724" s="51">
        <v>0</v>
      </c>
      <c r="AB1724" s="102">
        <v>0</v>
      </c>
      <c r="AC1724" s="81">
        <f t="shared" si="81"/>
        <v>0</v>
      </c>
      <c r="AD1724" s="82">
        <f t="shared" si="82"/>
        <v>0</v>
      </c>
      <c r="AE1724" s="218">
        <v>0</v>
      </c>
      <c r="AF1724">
        <v>0</v>
      </c>
      <c r="AH1724" t="str">
        <f t="shared" si="83"/>
        <v xml:space="preserve">Alauli </v>
      </c>
      <c r="AJ1724" s="72">
        <v>0</v>
      </c>
      <c r="AK1724" s="72"/>
      <c r="AL1724" s="72"/>
      <c r="AM1724" s="72"/>
    </row>
    <row r="1725" spans="1:39" x14ac:dyDescent="0.25">
      <c r="A1725" s="37" t="s">
        <v>62</v>
      </c>
      <c r="B1725" s="66" t="s">
        <v>1638</v>
      </c>
      <c r="C1725" s="41">
        <v>1054</v>
      </c>
      <c r="D1725" s="41" t="s">
        <v>808</v>
      </c>
      <c r="E1725" s="41">
        <v>10540026</v>
      </c>
      <c r="F1725" s="85" t="s">
        <v>1241</v>
      </c>
      <c r="G1725" s="39" t="s">
        <v>92</v>
      </c>
      <c r="H1725" s="52" t="s">
        <v>93</v>
      </c>
      <c r="I1725" s="52">
        <v>538.6</v>
      </c>
      <c r="J1725" s="49">
        <v>21073.57</v>
      </c>
      <c r="K1725" s="58">
        <v>60.239999999999995</v>
      </c>
      <c r="L1725" s="58">
        <v>2695.7299999999996</v>
      </c>
      <c r="M1725" s="58">
        <v>641.80000000000007</v>
      </c>
      <c r="N1725" s="58">
        <v>27700.670000000006</v>
      </c>
      <c r="O1725" s="58">
        <v>702.04000000000008</v>
      </c>
      <c r="P1725" s="53">
        <v>30396.400000000005</v>
      </c>
      <c r="Q1725" s="58">
        <v>21073.57</v>
      </c>
      <c r="R1725" s="58">
        <v>0</v>
      </c>
      <c r="S1725" s="58">
        <v>531.97</v>
      </c>
      <c r="T1725" s="58">
        <v>9322.8300000000054</v>
      </c>
      <c r="U1725" s="58">
        <v>0</v>
      </c>
      <c r="V1725" s="58">
        <v>0</v>
      </c>
      <c r="W1725" s="58">
        <v>0</v>
      </c>
      <c r="X1725" s="58">
        <v>0</v>
      </c>
      <c r="Y1725" s="58">
        <v>20542</v>
      </c>
      <c r="Z1725" s="55">
        <v>0</v>
      </c>
      <c r="AA1725" s="51">
        <v>0</v>
      </c>
      <c r="AB1725" s="102" t="s">
        <v>1366</v>
      </c>
      <c r="AC1725" s="81">
        <f t="shared" si="81"/>
        <v>126.30056435202373</v>
      </c>
      <c r="AD1725" s="82">
        <f t="shared" si="82"/>
        <v>76.94285714285715</v>
      </c>
      <c r="AE1725" s="218">
        <v>-0.44239443055922684</v>
      </c>
      <c r="AF1725">
        <v>13</v>
      </c>
      <c r="AH1725" t="str">
        <f t="shared" si="83"/>
        <v xml:space="preserve">Alauli </v>
      </c>
      <c r="AJ1725" s="72">
        <v>0</v>
      </c>
      <c r="AK1725" s="72"/>
      <c r="AL1725" s="72"/>
      <c r="AM1725" s="72"/>
    </row>
    <row r="1726" spans="1:39" x14ac:dyDescent="0.25">
      <c r="A1726" s="37" t="s">
        <v>62</v>
      </c>
      <c r="B1726" s="66" t="s">
        <v>1638</v>
      </c>
      <c r="C1726" s="41">
        <v>1054</v>
      </c>
      <c r="D1726" s="41" t="s">
        <v>808</v>
      </c>
      <c r="E1726" s="41">
        <v>10540027</v>
      </c>
      <c r="F1726" s="85" t="s">
        <v>1253</v>
      </c>
      <c r="G1726" s="39" t="s">
        <v>1610</v>
      </c>
      <c r="H1726" s="52" t="s">
        <v>98</v>
      </c>
      <c r="I1726" s="52">
        <v>1042.5999999999999</v>
      </c>
      <c r="J1726" s="49">
        <v>40145.410000000003</v>
      </c>
      <c r="K1726" s="58">
        <v>0</v>
      </c>
      <c r="L1726" s="58">
        <v>0</v>
      </c>
      <c r="M1726" s="58">
        <v>0</v>
      </c>
      <c r="N1726" s="58">
        <v>0</v>
      </c>
      <c r="O1726" s="58">
        <v>0</v>
      </c>
      <c r="P1726" s="53">
        <v>0</v>
      </c>
      <c r="Q1726" s="58">
        <v>40145.410000000003</v>
      </c>
      <c r="R1726" s="58">
        <v>0</v>
      </c>
      <c r="S1726" s="58">
        <v>0</v>
      </c>
      <c r="T1726" s="58">
        <v>0</v>
      </c>
      <c r="U1726" s="58">
        <v>0</v>
      </c>
      <c r="V1726" s="58">
        <v>0</v>
      </c>
      <c r="W1726" s="58">
        <v>0</v>
      </c>
      <c r="X1726" s="58">
        <v>0</v>
      </c>
      <c r="Y1726" s="58">
        <v>0</v>
      </c>
      <c r="Z1726" s="55">
        <v>40145.410000000003</v>
      </c>
      <c r="AA1726" s="51">
        <v>0</v>
      </c>
      <c r="AB1726" s="102">
        <v>0</v>
      </c>
      <c r="AC1726" s="81">
        <f t="shared" si="81"/>
        <v>0</v>
      </c>
      <c r="AD1726" s="82">
        <f t="shared" si="82"/>
        <v>0</v>
      </c>
      <c r="AE1726" s="218">
        <v>0</v>
      </c>
      <c r="AF1726">
        <v>0</v>
      </c>
      <c r="AH1726" t="str">
        <f t="shared" si="83"/>
        <v xml:space="preserve">Alauli </v>
      </c>
      <c r="AJ1726" s="72">
        <v>0</v>
      </c>
      <c r="AK1726" s="72"/>
      <c r="AL1726" s="72"/>
      <c r="AM1726" s="72"/>
    </row>
    <row r="1727" spans="1:39" x14ac:dyDescent="0.25">
      <c r="A1727" s="37" t="s">
        <v>62</v>
      </c>
      <c r="B1727" s="66" t="s">
        <v>1638</v>
      </c>
      <c r="C1727" s="41">
        <v>1054</v>
      </c>
      <c r="D1727" s="41" t="s">
        <v>808</v>
      </c>
      <c r="E1727" s="41">
        <v>10540032</v>
      </c>
      <c r="F1727" s="85" t="s">
        <v>1195</v>
      </c>
      <c r="G1727" s="39" t="s">
        <v>92</v>
      </c>
      <c r="H1727" s="52" t="s">
        <v>93</v>
      </c>
      <c r="I1727" s="52">
        <v>182.6</v>
      </c>
      <c r="J1727" s="49">
        <v>6490.9299999999994</v>
      </c>
      <c r="K1727" s="58">
        <v>195</v>
      </c>
      <c r="L1727" s="58">
        <v>7778.55</v>
      </c>
      <c r="M1727" s="58">
        <v>0</v>
      </c>
      <c r="N1727" s="58">
        <v>0</v>
      </c>
      <c r="O1727" s="58">
        <v>195</v>
      </c>
      <c r="P1727" s="53">
        <v>7778.55</v>
      </c>
      <c r="Q1727" s="58">
        <v>6490.9299999999994</v>
      </c>
      <c r="R1727" s="58">
        <v>0</v>
      </c>
      <c r="S1727" s="58">
        <v>0</v>
      </c>
      <c r="T1727" s="58">
        <v>1287.6200000000008</v>
      </c>
      <c r="U1727" s="58">
        <v>0</v>
      </c>
      <c r="V1727" s="58">
        <v>500</v>
      </c>
      <c r="W1727" s="58">
        <v>0</v>
      </c>
      <c r="X1727" s="58">
        <v>5991</v>
      </c>
      <c r="Y1727" s="58">
        <v>0</v>
      </c>
      <c r="Z1727" s="55">
        <v>0</v>
      </c>
      <c r="AA1727" s="51">
        <v>0</v>
      </c>
      <c r="AB1727" s="102">
        <v>0</v>
      </c>
      <c r="AC1727" s="81">
        <f t="shared" si="81"/>
        <v>367.84306484118287</v>
      </c>
      <c r="AD1727" s="82">
        <f t="shared" si="82"/>
        <v>26.085714285714285</v>
      </c>
      <c r="AE1727" s="218">
        <v>-0.19837219011759499</v>
      </c>
      <c r="AF1727">
        <v>1</v>
      </c>
      <c r="AH1727" t="str">
        <f t="shared" si="83"/>
        <v xml:space="preserve">Alauli </v>
      </c>
      <c r="AJ1727" s="72">
        <v>500</v>
      </c>
      <c r="AK1727" s="72"/>
      <c r="AL1727" s="72"/>
      <c r="AM1727" s="72"/>
    </row>
    <row r="1728" spans="1:39" x14ac:dyDescent="0.25">
      <c r="A1728" s="37" t="s">
        <v>62</v>
      </c>
      <c r="B1728" s="66" t="s">
        <v>1638</v>
      </c>
      <c r="C1728" s="41">
        <v>1054</v>
      </c>
      <c r="D1728" s="41" t="s">
        <v>808</v>
      </c>
      <c r="E1728" s="41">
        <v>10540039</v>
      </c>
      <c r="F1728" s="85" t="s">
        <v>1256</v>
      </c>
      <c r="G1728" s="39" t="s">
        <v>1610</v>
      </c>
      <c r="H1728" s="52" t="s">
        <v>98</v>
      </c>
      <c r="I1728" s="52">
        <v>458.1</v>
      </c>
      <c r="J1728" s="49">
        <v>14966.539999999999</v>
      </c>
      <c r="K1728" s="58">
        <v>0</v>
      </c>
      <c r="L1728" s="58">
        <v>0</v>
      </c>
      <c r="M1728" s="58">
        <v>0</v>
      </c>
      <c r="N1728" s="58">
        <v>0</v>
      </c>
      <c r="O1728" s="58">
        <v>0</v>
      </c>
      <c r="P1728" s="53">
        <v>0</v>
      </c>
      <c r="Q1728" s="58">
        <v>14966.539999999999</v>
      </c>
      <c r="R1728" s="58">
        <v>0</v>
      </c>
      <c r="S1728" s="58">
        <v>0</v>
      </c>
      <c r="T1728" s="58">
        <v>0</v>
      </c>
      <c r="U1728" s="58">
        <v>0</v>
      </c>
      <c r="V1728" s="58">
        <v>0</v>
      </c>
      <c r="W1728" s="58">
        <v>0</v>
      </c>
      <c r="X1728" s="58">
        <v>0</v>
      </c>
      <c r="Y1728" s="58">
        <v>0</v>
      </c>
      <c r="Z1728" s="55">
        <v>14966.539999999999</v>
      </c>
      <c r="AA1728" s="51">
        <v>0</v>
      </c>
      <c r="AB1728" s="102">
        <v>0</v>
      </c>
      <c r="AC1728" s="81">
        <f t="shared" si="81"/>
        <v>158.06182169831911</v>
      </c>
      <c r="AD1728" s="82">
        <f t="shared" si="82"/>
        <v>65.44285714285715</v>
      </c>
      <c r="AE1728" s="218">
        <v>0</v>
      </c>
      <c r="AF1728">
        <v>0</v>
      </c>
      <c r="AH1728" t="str">
        <f t="shared" si="83"/>
        <v xml:space="preserve">Alauli </v>
      </c>
      <c r="AJ1728" s="72">
        <v>0</v>
      </c>
      <c r="AK1728" s="72"/>
      <c r="AL1728" s="72"/>
      <c r="AM1728" s="72"/>
    </row>
    <row r="1729" spans="1:39" x14ac:dyDescent="0.25">
      <c r="A1729" s="37" t="s">
        <v>62</v>
      </c>
      <c r="B1729" s="66" t="s">
        <v>1638</v>
      </c>
      <c r="C1729" s="41">
        <v>1054</v>
      </c>
      <c r="D1729" s="41" t="s">
        <v>808</v>
      </c>
      <c r="E1729" s="41">
        <v>10540040</v>
      </c>
      <c r="F1729" s="85" t="s">
        <v>1257</v>
      </c>
      <c r="G1729" s="39" t="s">
        <v>1610</v>
      </c>
      <c r="H1729" s="52" t="s">
        <v>98</v>
      </c>
      <c r="I1729" s="52">
        <v>924.29999999999984</v>
      </c>
      <c r="J1729" s="49">
        <v>33860.949999999997</v>
      </c>
      <c r="K1729" s="58">
        <v>0</v>
      </c>
      <c r="L1729" s="58">
        <v>0</v>
      </c>
      <c r="M1729" s="58">
        <v>0</v>
      </c>
      <c r="N1729" s="58">
        <v>0</v>
      </c>
      <c r="O1729" s="58">
        <v>0</v>
      </c>
      <c r="P1729" s="53">
        <v>0</v>
      </c>
      <c r="Q1729" s="58">
        <v>33860.949999999997</v>
      </c>
      <c r="R1729" s="58">
        <v>0</v>
      </c>
      <c r="S1729" s="58">
        <v>0</v>
      </c>
      <c r="T1729" s="58">
        <v>0</v>
      </c>
      <c r="U1729" s="58">
        <v>0</v>
      </c>
      <c r="V1729" s="58">
        <v>0</v>
      </c>
      <c r="W1729" s="58">
        <v>0</v>
      </c>
      <c r="X1729" s="58">
        <v>0</v>
      </c>
      <c r="Y1729" s="58">
        <v>0</v>
      </c>
      <c r="Z1729" s="55">
        <v>33860.949999999997</v>
      </c>
      <c r="AA1729" s="51">
        <v>0</v>
      </c>
      <c r="AB1729" s="102">
        <v>0</v>
      </c>
      <c r="AC1729" s="81">
        <f t="shared" ref="AC1729:AC1792" si="84">((IF(AD1729=0,0,100-AD1729))*7*(J1729/I1729))*2%</f>
        <v>0</v>
      </c>
      <c r="AD1729" s="82">
        <f t="shared" ref="AD1729:AD1792" si="85">IF((I1729/7)&gt;100,0,(I1729/7))</f>
        <v>0</v>
      </c>
      <c r="AE1729" s="218">
        <v>0</v>
      </c>
      <c r="AF1729">
        <v>0</v>
      </c>
      <c r="AH1729" t="str">
        <f t="shared" si="83"/>
        <v xml:space="preserve">Alauli </v>
      </c>
      <c r="AJ1729" s="72">
        <v>0</v>
      </c>
      <c r="AK1729" s="72"/>
      <c r="AL1729" s="72"/>
      <c r="AM1729" s="72"/>
    </row>
    <row r="1730" spans="1:39" x14ac:dyDescent="0.25">
      <c r="A1730" s="37" t="s">
        <v>62</v>
      </c>
      <c r="B1730" s="66" t="s">
        <v>1638</v>
      </c>
      <c r="C1730" s="41">
        <v>1054</v>
      </c>
      <c r="D1730" s="41" t="s">
        <v>808</v>
      </c>
      <c r="E1730" s="41">
        <v>10540041</v>
      </c>
      <c r="F1730" s="85" t="s">
        <v>1284</v>
      </c>
      <c r="G1730" s="39" t="s">
        <v>1610</v>
      </c>
      <c r="H1730" s="52" t="s">
        <v>98</v>
      </c>
      <c r="I1730" s="52">
        <v>102.1</v>
      </c>
      <c r="J1730" s="49">
        <v>3868.48</v>
      </c>
      <c r="K1730" s="58">
        <v>0</v>
      </c>
      <c r="L1730" s="58">
        <v>0</v>
      </c>
      <c r="M1730" s="58">
        <v>0</v>
      </c>
      <c r="N1730" s="58">
        <v>0</v>
      </c>
      <c r="O1730" s="58">
        <v>0</v>
      </c>
      <c r="P1730" s="53">
        <v>0</v>
      </c>
      <c r="Q1730" s="58">
        <v>3868.48</v>
      </c>
      <c r="R1730" s="58">
        <v>0</v>
      </c>
      <c r="S1730" s="58">
        <v>0</v>
      </c>
      <c r="T1730" s="58">
        <v>0</v>
      </c>
      <c r="U1730" s="58">
        <v>0</v>
      </c>
      <c r="V1730" s="58">
        <v>0</v>
      </c>
      <c r="W1730" s="58">
        <v>0</v>
      </c>
      <c r="X1730" s="58">
        <v>0</v>
      </c>
      <c r="Y1730" s="58">
        <v>0</v>
      </c>
      <c r="Z1730" s="55">
        <v>3868.48</v>
      </c>
      <c r="AA1730" s="51">
        <v>0</v>
      </c>
      <c r="AB1730" s="102">
        <v>0</v>
      </c>
      <c r="AC1730" s="81">
        <f t="shared" si="84"/>
        <v>453.07819627815871</v>
      </c>
      <c r="AD1730" s="82">
        <f t="shared" si="85"/>
        <v>14.585714285714285</v>
      </c>
      <c r="AE1730" s="218">
        <v>0</v>
      </c>
      <c r="AF1730">
        <v>0</v>
      </c>
      <c r="AH1730" t="str">
        <f t="shared" si="83"/>
        <v xml:space="preserve">Alauli </v>
      </c>
      <c r="AJ1730" s="72">
        <v>0</v>
      </c>
      <c r="AK1730" s="72"/>
      <c r="AL1730" s="72"/>
      <c r="AM1730" s="72"/>
    </row>
    <row r="1731" spans="1:39" x14ac:dyDescent="0.25">
      <c r="A1731" s="37" t="s">
        <v>62</v>
      </c>
      <c r="B1731" s="66" t="s">
        <v>1638</v>
      </c>
      <c r="C1731" s="41">
        <v>1054</v>
      </c>
      <c r="D1731" s="41" t="s">
        <v>808</v>
      </c>
      <c r="E1731" s="41">
        <v>10540042</v>
      </c>
      <c r="F1731" s="85" t="s">
        <v>1315</v>
      </c>
      <c r="G1731" s="39" t="s">
        <v>92</v>
      </c>
      <c r="H1731" s="52" t="s">
        <v>93</v>
      </c>
      <c r="I1731" s="52">
        <v>1583.4</v>
      </c>
      <c r="J1731" s="49">
        <v>82271.159999999989</v>
      </c>
      <c r="K1731" s="58">
        <v>1386</v>
      </c>
      <c r="L1731" s="58">
        <v>82306.48000000001</v>
      </c>
      <c r="M1731" s="58">
        <v>0</v>
      </c>
      <c r="N1731" s="58">
        <v>0</v>
      </c>
      <c r="O1731" s="58">
        <v>1386</v>
      </c>
      <c r="P1731" s="53">
        <v>82306.48000000001</v>
      </c>
      <c r="Q1731" s="58">
        <v>82271.159999999989</v>
      </c>
      <c r="R1731" s="58">
        <v>0</v>
      </c>
      <c r="S1731" s="58">
        <v>0</v>
      </c>
      <c r="T1731" s="58">
        <v>35.320000000021537</v>
      </c>
      <c r="U1731" s="58">
        <v>0</v>
      </c>
      <c r="V1731" s="58">
        <v>0</v>
      </c>
      <c r="W1731" s="58">
        <v>0</v>
      </c>
      <c r="X1731" s="58">
        <v>82271</v>
      </c>
      <c r="Y1731" s="58">
        <v>0</v>
      </c>
      <c r="Z1731" s="55">
        <v>0</v>
      </c>
      <c r="AA1731" s="51">
        <v>0</v>
      </c>
      <c r="AB1731" s="102">
        <v>0</v>
      </c>
      <c r="AC1731" s="81">
        <f t="shared" si="84"/>
        <v>0</v>
      </c>
      <c r="AD1731" s="82">
        <f t="shared" si="85"/>
        <v>0</v>
      </c>
      <c r="AE1731" s="218">
        <v>-4.2931204567945246E-4</v>
      </c>
      <c r="AF1731">
        <v>1</v>
      </c>
      <c r="AH1731" t="str">
        <f t="shared" si="83"/>
        <v xml:space="preserve">Alauli </v>
      </c>
      <c r="AJ1731" s="72">
        <v>0</v>
      </c>
      <c r="AK1731" s="72"/>
      <c r="AL1731" s="72"/>
      <c r="AM1731" s="72"/>
    </row>
    <row r="1732" spans="1:39" x14ac:dyDescent="0.25">
      <c r="A1732" s="37" t="s">
        <v>62</v>
      </c>
      <c r="B1732" s="66" t="s">
        <v>1638</v>
      </c>
      <c r="C1732" s="41">
        <v>1054</v>
      </c>
      <c r="D1732" s="41" t="s">
        <v>808</v>
      </c>
      <c r="E1732" s="41">
        <v>10540043</v>
      </c>
      <c r="F1732" s="85" t="s">
        <v>1604</v>
      </c>
      <c r="G1732" s="39" t="s">
        <v>1610</v>
      </c>
      <c r="H1732" s="52" t="s">
        <v>93</v>
      </c>
      <c r="I1732" s="52">
        <v>379.09999999999997</v>
      </c>
      <c r="J1732" s="49">
        <v>17720.61</v>
      </c>
      <c r="K1732" s="58">
        <v>658.44999999999982</v>
      </c>
      <c r="L1732" s="58">
        <v>30177.670000000006</v>
      </c>
      <c r="M1732" s="58">
        <v>0</v>
      </c>
      <c r="N1732" s="58">
        <v>0</v>
      </c>
      <c r="O1732" s="58">
        <v>658.44999999999982</v>
      </c>
      <c r="P1732" s="53">
        <v>30177.670000000006</v>
      </c>
      <c r="Q1732" s="58">
        <v>17720.61</v>
      </c>
      <c r="R1732" s="58">
        <v>0</v>
      </c>
      <c r="S1732" s="58">
        <v>0</v>
      </c>
      <c r="T1732" s="58">
        <v>12457.060000000005</v>
      </c>
      <c r="U1732" s="58">
        <v>0</v>
      </c>
      <c r="V1732" s="58">
        <v>0</v>
      </c>
      <c r="W1732" s="58">
        <v>0</v>
      </c>
      <c r="X1732" s="58">
        <v>17721</v>
      </c>
      <c r="Y1732" s="58">
        <v>0</v>
      </c>
      <c r="Z1732" s="55">
        <v>0</v>
      </c>
      <c r="AA1732" s="51">
        <v>0</v>
      </c>
      <c r="AB1732" s="102">
        <v>0</v>
      </c>
      <c r="AC1732" s="81">
        <f t="shared" si="84"/>
        <v>300.00230804537068</v>
      </c>
      <c r="AD1732" s="82">
        <f t="shared" si="85"/>
        <v>54.157142857142851</v>
      </c>
      <c r="AE1732" s="218">
        <v>-0.70297015734785684</v>
      </c>
      <c r="AF1732">
        <v>5</v>
      </c>
      <c r="AH1732" t="str">
        <f t="shared" si="83"/>
        <v xml:space="preserve">Alauli </v>
      </c>
      <c r="AJ1732" s="72">
        <v>0</v>
      </c>
      <c r="AK1732" s="72"/>
      <c r="AL1732" s="72"/>
      <c r="AM1732" s="72"/>
    </row>
    <row r="1733" spans="1:39" x14ac:dyDescent="0.25">
      <c r="A1733" s="37" t="s">
        <v>62</v>
      </c>
      <c r="B1733" s="66" t="s">
        <v>1638</v>
      </c>
      <c r="C1733" s="41">
        <v>1054</v>
      </c>
      <c r="D1733" s="41" t="s">
        <v>808</v>
      </c>
      <c r="E1733" s="41">
        <v>10540044</v>
      </c>
      <c r="F1733" s="85" t="s">
        <v>1320</v>
      </c>
      <c r="G1733" s="39" t="s">
        <v>92</v>
      </c>
      <c r="H1733" s="52" t="s">
        <v>93</v>
      </c>
      <c r="I1733" s="52">
        <v>208.19999999999996</v>
      </c>
      <c r="J1733" s="49">
        <v>8657.2200000000012</v>
      </c>
      <c r="K1733" s="58">
        <v>210</v>
      </c>
      <c r="L1733" s="58">
        <v>9032.75</v>
      </c>
      <c r="M1733" s="58">
        <v>0</v>
      </c>
      <c r="N1733" s="58">
        <v>0</v>
      </c>
      <c r="O1733" s="58">
        <v>210</v>
      </c>
      <c r="P1733" s="53">
        <v>9032.75</v>
      </c>
      <c r="Q1733" s="58">
        <v>8657.2200000000012</v>
      </c>
      <c r="R1733" s="58">
        <v>0</v>
      </c>
      <c r="S1733" s="58">
        <v>0</v>
      </c>
      <c r="T1733" s="58">
        <v>375.52999999999884</v>
      </c>
      <c r="U1733" s="58">
        <v>0</v>
      </c>
      <c r="V1733" s="58">
        <v>0</v>
      </c>
      <c r="W1733" s="58">
        <v>0</v>
      </c>
      <c r="X1733" s="58">
        <v>8657</v>
      </c>
      <c r="Y1733" s="58">
        <v>0</v>
      </c>
      <c r="Z1733" s="55">
        <v>0</v>
      </c>
      <c r="AA1733" s="51">
        <v>0</v>
      </c>
      <c r="AB1733" s="102">
        <v>0</v>
      </c>
      <c r="AC1733" s="81">
        <f t="shared" si="84"/>
        <v>408.99335216138354</v>
      </c>
      <c r="AD1733" s="82">
        <f t="shared" si="85"/>
        <v>29.742857142857137</v>
      </c>
      <c r="AE1733" s="218">
        <v>-4.3377666271620541E-2</v>
      </c>
      <c r="AF1733">
        <v>1</v>
      </c>
      <c r="AH1733" t="str">
        <f t="shared" si="83"/>
        <v xml:space="preserve">Alauli </v>
      </c>
      <c r="AJ1733" s="72">
        <v>0</v>
      </c>
      <c r="AK1733" s="72"/>
      <c r="AL1733" s="72"/>
      <c r="AM1733" s="72"/>
    </row>
    <row r="1734" spans="1:39" x14ac:dyDescent="0.25">
      <c r="A1734" s="37" t="s">
        <v>62</v>
      </c>
      <c r="B1734" s="66" t="s">
        <v>1638</v>
      </c>
      <c r="C1734" s="41">
        <v>1054</v>
      </c>
      <c r="D1734" s="41" t="s">
        <v>808</v>
      </c>
      <c r="E1734" s="41">
        <v>10540045</v>
      </c>
      <c r="F1734" s="85" t="s">
        <v>1340</v>
      </c>
      <c r="G1734" s="39" t="s">
        <v>1610</v>
      </c>
      <c r="H1734" s="52" t="s">
        <v>98</v>
      </c>
      <c r="I1734" s="52">
        <v>624.10000000000014</v>
      </c>
      <c r="J1734" s="49">
        <v>26828.129999999997</v>
      </c>
      <c r="K1734" s="58">
        <v>0</v>
      </c>
      <c r="L1734" s="58">
        <v>0</v>
      </c>
      <c r="M1734" s="58">
        <v>0</v>
      </c>
      <c r="N1734" s="58">
        <v>0</v>
      </c>
      <c r="O1734" s="58">
        <v>0</v>
      </c>
      <c r="P1734" s="53">
        <v>0</v>
      </c>
      <c r="Q1734" s="58">
        <v>26828.129999999997</v>
      </c>
      <c r="R1734" s="58">
        <v>0</v>
      </c>
      <c r="S1734" s="58">
        <v>0</v>
      </c>
      <c r="T1734" s="58">
        <v>0</v>
      </c>
      <c r="U1734" s="58">
        <v>0</v>
      </c>
      <c r="V1734" s="58">
        <v>0</v>
      </c>
      <c r="W1734" s="58">
        <v>0</v>
      </c>
      <c r="X1734" s="58">
        <v>0</v>
      </c>
      <c r="Y1734" s="58">
        <v>0</v>
      </c>
      <c r="Z1734" s="55">
        <v>26828.129999999997</v>
      </c>
      <c r="AA1734" s="51">
        <v>0</v>
      </c>
      <c r="AB1734" s="102">
        <v>0</v>
      </c>
      <c r="AC1734" s="81">
        <f t="shared" si="84"/>
        <v>65.254128088447246</v>
      </c>
      <c r="AD1734" s="82">
        <f t="shared" si="85"/>
        <v>89.157142857142873</v>
      </c>
      <c r="AE1734" s="218">
        <v>0</v>
      </c>
      <c r="AF1734">
        <v>0</v>
      </c>
      <c r="AH1734" t="str">
        <f t="shared" si="83"/>
        <v xml:space="preserve">Alauli </v>
      </c>
      <c r="AJ1734" s="72">
        <v>0</v>
      </c>
      <c r="AK1734" s="72"/>
      <c r="AL1734" s="72"/>
      <c r="AM1734" s="72"/>
    </row>
    <row r="1735" spans="1:39" x14ac:dyDescent="0.25">
      <c r="A1735" s="37" t="s">
        <v>62</v>
      </c>
      <c r="B1735" s="66" t="s">
        <v>1638</v>
      </c>
      <c r="C1735" s="41">
        <v>1054</v>
      </c>
      <c r="D1735" s="41" t="s">
        <v>808</v>
      </c>
      <c r="E1735" s="41">
        <v>10540046</v>
      </c>
      <c r="F1735" s="85" t="s">
        <v>1411</v>
      </c>
      <c r="G1735" s="39" t="s">
        <v>92</v>
      </c>
      <c r="H1735" s="52" t="s">
        <v>93</v>
      </c>
      <c r="I1735" s="52">
        <v>346.9</v>
      </c>
      <c r="J1735" s="49">
        <v>14461.050000000001</v>
      </c>
      <c r="K1735" s="58">
        <v>371.49</v>
      </c>
      <c r="L1735" s="58">
        <v>16488.839999999997</v>
      </c>
      <c r="M1735" s="58">
        <v>0</v>
      </c>
      <c r="N1735" s="58">
        <v>0</v>
      </c>
      <c r="O1735" s="58">
        <v>371.49</v>
      </c>
      <c r="P1735" s="53">
        <v>16488.839999999997</v>
      </c>
      <c r="Q1735" s="58">
        <v>14461.050000000001</v>
      </c>
      <c r="R1735" s="58">
        <v>0</v>
      </c>
      <c r="S1735" s="58">
        <v>0</v>
      </c>
      <c r="T1735" s="58">
        <v>2027.7899999999954</v>
      </c>
      <c r="U1735" s="58">
        <v>0</v>
      </c>
      <c r="V1735" s="58">
        <v>0</v>
      </c>
      <c r="W1735" s="58">
        <v>0</v>
      </c>
      <c r="X1735" s="58">
        <v>14461</v>
      </c>
      <c r="Y1735" s="58">
        <v>0</v>
      </c>
      <c r="Z1735" s="55">
        <v>0</v>
      </c>
      <c r="AA1735" s="51">
        <v>0</v>
      </c>
      <c r="AB1735" s="102">
        <v>0</v>
      </c>
      <c r="AC1735" s="81">
        <f t="shared" si="84"/>
        <v>294.39012712597292</v>
      </c>
      <c r="AD1735" s="82">
        <f t="shared" si="85"/>
        <v>49.557142857142857</v>
      </c>
      <c r="AE1735" s="218">
        <v>-0.14022425757465712</v>
      </c>
      <c r="AF1735">
        <v>2</v>
      </c>
      <c r="AH1735" t="str">
        <f t="shared" si="83"/>
        <v xml:space="preserve">Alauli </v>
      </c>
      <c r="AJ1735" s="72">
        <v>0</v>
      </c>
      <c r="AK1735" s="72"/>
      <c r="AL1735" s="72"/>
      <c r="AM1735" s="72"/>
    </row>
    <row r="1736" spans="1:39" x14ac:dyDescent="0.25">
      <c r="A1736" s="37" t="s">
        <v>62</v>
      </c>
      <c r="B1736" s="66" t="s">
        <v>1638</v>
      </c>
      <c r="C1736" s="41">
        <v>1054</v>
      </c>
      <c r="D1736" s="41" t="s">
        <v>808</v>
      </c>
      <c r="E1736" s="41">
        <v>10540047</v>
      </c>
      <c r="F1736" s="85" t="s">
        <v>1540</v>
      </c>
      <c r="G1736" s="39" t="s">
        <v>92</v>
      </c>
      <c r="H1736" s="52" t="s">
        <v>93</v>
      </c>
      <c r="I1736" s="52">
        <v>130.60000000000002</v>
      </c>
      <c r="J1736" s="49">
        <v>4499.2700000000004</v>
      </c>
      <c r="K1736" s="58">
        <v>152.63999999999999</v>
      </c>
      <c r="L1736" s="58">
        <v>10113.93</v>
      </c>
      <c r="M1736" s="58">
        <v>0</v>
      </c>
      <c r="N1736" s="58">
        <v>0</v>
      </c>
      <c r="O1736" s="58">
        <v>152.63999999999999</v>
      </c>
      <c r="P1736" s="53">
        <v>10113.93</v>
      </c>
      <c r="Q1736" s="58">
        <v>4499.2700000000004</v>
      </c>
      <c r="R1736" s="58">
        <v>0</v>
      </c>
      <c r="S1736" s="58">
        <v>0</v>
      </c>
      <c r="T1736" s="58">
        <v>5614.66</v>
      </c>
      <c r="U1736" s="58">
        <v>0</v>
      </c>
      <c r="V1736" s="58">
        <v>0</v>
      </c>
      <c r="W1736" s="58">
        <v>0</v>
      </c>
      <c r="X1736" s="58">
        <v>4499</v>
      </c>
      <c r="Y1736" s="58">
        <v>0</v>
      </c>
      <c r="Z1736" s="55">
        <v>0</v>
      </c>
      <c r="AA1736" s="51">
        <v>0</v>
      </c>
      <c r="AB1736" s="102">
        <v>0</v>
      </c>
      <c r="AC1736" s="81">
        <f t="shared" si="84"/>
        <v>392.32531975497699</v>
      </c>
      <c r="AD1736" s="82">
        <f t="shared" si="85"/>
        <v>18.657142857142862</v>
      </c>
      <c r="AE1736" s="218">
        <v>-1.2479046600893031</v>
      </c>
      <c r="AF1736">
        <v>1</v>
      </c>
      <c r="AH1736" t="str">
        <f t="shared" si="83"/>
        <v xml:space="preserve">Alauli </v>
      </c>
      <c r="AJ1736" s="72">
        <v>0</v>
      </c>
      <c r="AK1736" s="72"/>
      <c r="AL1736" s="72"/>
      <c r="AM1736" s="72"/>
    </row>
    <row r="1737" spans="1:39" x14ac:dyDescent="0.25">
      <c r="A1737" s="37" t="s">
        <v>62</v>
      </c>
      <c r="B1737" s="66" t="s">
        <v>1638</v>
      </c>
      <c r="C1737" s="41">
        <v>1054</v>
      </c>
      <c r="D1737" s="41" t="s">
        <v>808</v>
      </c>
      <c r="E1737" s="41">
        <v>10540048</v>
      </c>
      <c r="F1737" s="85" t="s">
        <v>1431</v>
      </c>
      <c r="G1737" s="39" t="s">
        <v>1610</v>
      </c>
      <c r="H1737" s="52" t="s">
        <v>98</v>
      </c>
      <c r="I1737" s="52">
        <v>1888.3</v>
      </c>
      <c r="J1737" s="49">
        <v>82161.69</v>
      </c>
      <c r="K1737" s="58">
        <v>0</v>
      </c>
      <c r="L1737" s="58">
        <v>0</v>
      </c>
      <c r="M1737" s="58">
        <v>0</v>
      </c>
      <c r="N1737" s="58">
        <v>0</v>
      </c>
      <c r="O1737" s="58">
        <v>0</v>
      </c>
      <c r="P1737" s="53">
        <v>0</v>
      </c>
      <c r="Q1737" s="58">
        <v>82161.69</v>
      </c>
      <c r="R1737" s="58">
        <v>0</v>
      </c>
      <c r="S1737" s="58">
        <v>0</v>
      </c>
      <c r="T1737" s="58">
        <v>0</v>
      </c>
      <c r="U1737" s="58">
        <v>0</v>
      </c>
      <c r="V1737" s="58">
        <v>0</v>
      </c>
      <c r="W1737" s="58">
        <v>0</v>
      </c>
      <c r="X1737" s="58">
        <v>0</v>
      </c>
      <c r="Y1737" s="58">
        <v>0</v>
      </c>
      <c r="Z1737" s="55">
        <v>82161.69</v>
      </c>
      <c r="AA1737" s="51">
        <v>0</v>
      </c>
      <c r="AB1737" s="102">
        <v>0</v>
      </c>
      <c r="AC1737" s="81">
        <f t="shared" si="84"/>
        <v>0</v>
      </c>
      <c r="AD1737" s="82">
        <f t="shared" si="85"/>
        <v>0</v>
      </c>
      <c r="AE1737" s="218">
        <v>0</v>
      </c>
      <c r="AF1737">
        <v>0</v>
      </c>
      <c r="AH1737" t="str">
        <f t="shared" si="83"/>
        <v xml:space="preserve">Alauli </v>
      </c>
      <c r="AJ1737" s="72">
        <v>0</v>
      </c>
      <c r="AK1737" s="72"/>
      <c r="AL1737" s="72"/>
      <c r="AM1737" s="72"/>
    </row>
    <row r="1738" spans="1:39" x14ac:dyDescent="0.25">
      <c r="A1738" s="37" t="s">
        <v>62</v>
      </c>
      <c r="B1738" s="66" t="s">
        <v>1638</v>
      </c>
      <c r="C1738" s="41">
        <v>1054</v>
      </c>
      <c r="D1738" s="41" t="s">
        <v>808</v>
      </c>
      <c r="E1738" s="41">
        <v>10540049</v>
      </c>
      <c r="F1738" s="85" t="s">
        <v>1432</v>
      </c>
      <c r="G1738" s="39" t="s">
        <v>1610</v>
      </c>
      <c r="H1738" s="52" t="s">
        <v>98</v>
      </c>
      <c r="I1738" s="52">
        <v>502.00000000000006</v>
      </c>
      <c r="J1738" s="49">
        <v>19628.5</v>
      </c>
      <c r="K1738" s="58">
        <v>0</v>
      </c>
      <c r="L1738" s="58">
        <v>0</v>
      </c>
      <c r="M1738" s="58">
        <v>0</v>
      </c>
      <c r="N1738" s="58">
        <v>0</v>
      </c>
      <c r="O1738" s="58">
        <v>0</v>
      </c>
      <c r="P1738" s="53">
        <v>0</v>
      </c>
      <c r="Q1738" s="58">
        <v>19628.5</v>
      </c>
      <c r="R1738" s="58">
        <v>0</v>
      </c>
      <c r="S1738" s="58">
        <v>0</v>
      </c>
      <c r="T1738" s="58">
        <v>0</v>
      </c>
      <c r="U1738" s="58">
        <v>0</v>
      </c>
      <c r="V1738" s="58">
        <v>0</v>
      </c>
      <c r="W1738" s="58">
        <v>0</v>
      </c>
      <c r="X1738" s="58">
        <v>0</v>
      </c>
      <c r="Y1738" s="58">
        <v>0</v>
      </c>
      <c r="Z1738" s="55">
        <v>19628.5</v>
      </c>
      <c r="AA1738" s="51">
        <v>0</v>
      </c>
      <c r="AB1738" s="102">
        <v>0</v>
      </c>
      <c r="AC1738" s="81">
        <f t="shared" si="84"/>
        <v>154.83836653386447</v>
      </c>
      <c r="AD1738" s="82">
        <f t="shared" si="85"/>
        <v>71.714285714285722</v>
      </c>
      <c r="AE1738" s="218">
        <v>0</v>
      </c>
      <c r="AF1738">
        <v>0</v>
      </c>
      <c r="AH1738" t="str">
        <f t="shared" si="83"/>
        <v xml:space="preserve">Alauli </v>
      </c>
      <c r="AJ1738" s="72">
        <v>0</v>
      </c>
      <c r="AK1738" s="72"/>
      <c r="AL1738" s="72"/>
      <c r="AM1738" s="72"/>
    </row>
    <row r="1739" spans="1:39" x14ac:dyDescent="0.25">
      <c r="A1739" s="37" t="s">
        <v>62</v>
      </c>
      <c r="B1739" s="66" t="s">
        <v>1638</v>
      </c>
      <c r="C1739" s="41">
        <v>1054</v>
      </c>
      <c r="D1739" s="41" t="s">
        <v>808</v>
      </c>
      <c r="E1739" s="41">
        <v>10540050</v>
      </c>
      <c r="F1739" s="85" t="s">
        <v>1582</v>
      </c>
      <c r="G1739" s="39" t="s">
        <v>92</v>
      </c>
      <c r="H1739" s="52" t="s">
        <v>93</v>
      </c>
      <c r="I1739" s="52">
        <v>306.39999999999998</v>
      </c>
      <c r="J1739" s="49">
        <v>10229.15</v>
      </c>
      <c r="K1739" s="58">
        <v>306.39</v>
      </c>
      <c r="L1739" s="58">
        <v>10980.09</v>
      </c>
      <c r="M1739" s="58">
        <v>0</v>
      </c>
      <c r="N1739" s="58">
        <v>0</v>
      </c>
      <c r="O1739" s="58">
        <v>306.39</v>
      </c>
      <c r="P1739" s="53">
        <v>10980.09</v>
      </c>
      <c r="Q1739" s="58">
        <v>10229.15</v>
      </c>
      <c r="R1739" s="58">
        <v>0</v>
      </c>
      <c r="S1739" s="58">
        <v>0</v>
      </c>
      <c r="T1739" s="58">
        <v>750.94000000000051</v>
      </c>
      <c r="U1739" s="58">
        <v>7000</v>
      </c>
      <c r="V1739" s="58">
        <v>0</v>
      </c>
      <c r="W1739" s="58">
        <v>0</v>
      </c>
      <c r="X1739" s="58">
        <v>3229</v>
      </c>
      <c r="Y1739" s="58">
        <v>0</v>
      </c>
      <c r="Z1739" s="55">
        <v>0</v>
      </c>
      <c r="AA1739" s="51">
        <v>0</v>
      </c>
      <c r="AB1739" s="102">
        <v>0</v>
      </c>
      <c r="AC1739" s="81">
        <f t="shared" si="84"/>
        <v>262.80636031331596</v>
      </c>
      <c r="AD1739" s="82">
        <f t="shared" si="85"/>
        <v>43.771428571428565</v>
      </c>
      <c r="AE1739" s="218">
        <v>-7.3411769306345159E-2</v>
      </c>
      <c r="AF1739">
        <v>1</v>
      </c>
      <c r="AH1739" t="str">
        <f t="shared" si="83"/>
        <v xml:space="preserve">Alauli </v>
      </c>
      <c r="AJ1739" s="72">
        <v>0</v>
      </c>
      <c r="AK1739" s="72"/>
      <c r="AL1739" s="72"/>
      <c r="AM1739" s="72"/>
    </row>
    <row r="1740" spans="1:39" x14ac:dyDescent="0.25">
      <c r="A1740" s="37" t="s">
        <v>62</v>
      </c>
      <c r="B1740" s="66" t="s">
        <v>1638</v>
      </c>
      <c r="C1740" s="41">
        <v>1054</v>
      </c>
      <c r="D1740" s="41" t="s">
        <v>808</v>
      </c>
      <c r="E1740" s="41">
        <v>10540051</v>
      </c>
      <c r="F1740" s="85" t="s">
        <v>1569</v>
      </c>
      <c r="G1740" s="39" t="s">
        <v>1610</v>
      </c>
      <c r="H1740" s="52" t="s">
        <v>98</v>
      </c>
      <c r="I1740" s="52">
        <v>289.29999999999995</v>
      </c>
      <c r="J1740" s="49">
        <v>10396.660000000002</v>
      </c>
      <c r="K1740" s="58">
        <v>0</v>
      </c>
      <c r="L1740" s="58">
        <v>0</v>
      </c>
      <c r="M1740" s="58">
        <v>0</v>
      </c>
      <c r="N1740" s="58">
        <v>0</v>
      </c>
      <c r="O1740" s="58">
        <v>0</v>
      </c>
      <c r="P1740" s="53">
        <v>0</v>
      </c>
      <c r="Q1740" s="58">
        <v>10396.660000000002</v>
      </c>
      <c r="R1740" s="58">
        <v>0</v>
      </c>
      <c r="S1740" s="58">
        <v>0</v>
      </c>
      <c r="T1740" s="58">
        <v>0</v>
      </c>
      <c r="U1740" s="58">
        <v>0</v>
      </c>
      <c r="V1740" s="58">
        <v>0</v>
      </c>
      <c r="W1740" s="58">
        <v>0</v>
      </c>
      <c r="X1740" s="58">
        <v>0</v>
      </c>
      <c r="Y1740" s="58">
        <v>0</v>
      </c>
      <c r="Z1740" s="55">
        <v>10396.660000000002</v>
      </c>
      <c r="AA1740" s="51">
        <v>0</v>
      </c>
      <c r="AB1740" s="102">
        <v>0</v>
      </c>
      <c r="AC1740" s="81">
        <f t="shared" si="84"/>
        <v>295.18895693052207</v>
      </c>
      <c r="AD1740" s="82">
        <f t="shared" si="85"/>
        <v>41.328571428571422</v>
      </c>
      <c r="AE1740" s="218">
        <v>0</v>
      </c>
      <c r="AF1740">
        <v>0</v>
      </c>
      <c r="AH1740" t="str">
        <f t="shared" si="83"/>
        <v xml:space="preserve">Alauli </v>
      </c>
      <c r="AJ1740" s="72">
        <v>0</v>
      </c>
      <c r="AK1740" s="72"/>
      <c r="AL1740" s="72"/>
      <c r="AM1740" s="72"/>
    </row>
    <row r="1741" spans="1:39" x14ac:dyDescent="0.25">
      <c r="A1741" s="37" t="s">
        <v>62</v>
      </c>
      <c r="B1741" s="66" t="s">
        <v>1638</v>
      </c>
      <c r="C1741" s="41">
        <v>1055</v>
      </c>
      <c r="D1741" s="41" t="s">
        <v>1125</v>
      </c>
      <c r="E1741" s="41">
        <v>10550001</v>
      </c>
      <c r="F1741" s="85" t="s">
        <v>1168</v>
      </c>
      <c r="G1741" s="39" t="s">
        <v>1610</v>
      </c>
      <c r="H1741" s="52" t="s">
        <v>98</v>
      </c>
      <c r="I1741" s="52">
        <v>18380.600000000002</v>
      </c>
      <c r="J1741" s="49">
        <v>710938.29999999993</v>
      </c>
      <c r="K1741" s="58">
        <v>0</v>
      </c>
      <c r="L1741" s="58">
        <v>0</v>
      </c>
      <c r="M1741" s="58">
        <v>0</v>
      </c>
      <c r="N1741" s="58">
        <v>0</v>
      </c>
      <c r="O1741" s="58">
        <v>0</v>
      </c>
      <c r="P1741" s="53">
        <v>0</v>
      </c>
      <c r="Q1741" s="58">
        <v>710938.29999999993</v>
      </c>
      <c r="R1741" s="58">
        <v>0</v>
      </c>
      <c r="S1741" s="58">
        <v>0</v>
      </c>
      <c r="T1741" s="58">
        <v>0</v>
      </c>
      <c r="U1741" s="58">
        <v>0</v>
      </c>
      <c r="V1741" s="58">
        <v>0</v>
      </c>
      <c r="W1741" s="58">
        <v>0</v>
      </c>
      <c r="X1741" s="58">
        <v>0</v>
      </c>
      <c r="Y1741" s="58">
        <v>0</v>
      </c>
      <c r="Z1741" s="55">
        <v>710938.29999999993</v>
      </c>
      <c r="AA1741" s="51">
        <v>0</v>
      </c>
      <c r="AB1741" s="102">
        <v>0</v>
      </c>
      <c r="AC1741" s="81">
        <f t="shared" si="84"/>
        <v>0</v>
      </c>
      <c r="AD1741" s="82">
        <f t="shared" si="85"/>
        <v>0</v>
      </c>
      <c r="AE1741" s="218">
        <v>0</v>
      </c>
      <c r="AF1741">
        <v>0</v>
      </c>
      <c r="AH1741" t="str">
        <f t="shared" si="83"/>
        <v>Matihani</v>
      </c>
      <c r="AJ1741" s="72">
        <v>0</v>
      </c>
      <c r="AK1741" s="72"/>
      <c r="AL1741" s="72"/>
      <c r="AM1741" s="72"/>
    </row>
    <row r="1742" spans="1:39" x14ac:dyDescent="0.25">
      <c r="A1742" s="37" t="s">
        <v>62</v>
      </c>
      <c r="B1742" s="66" t="s">
        <v>1638</v>
      </c>
      <c r="C1742" s="41">
        <v>1055</v>
      </c>
      <c r="D1742" s="41" t="s">
        <v>1125</v>
      </c>
      <c r="E1742" s="41">
        <v>10550002</v>
      </c>
      <c r="F1742" s="85" t="s">
        <v>1188</v>
      </c>
      <c r="G1742" s="39" t="s">
        <v>1610</v>
      </c>
      <c r="H1742" s="52" t="s">
        <v>98</v>
      </c>
      <c r="I1742" s="52">
        <v>172.19999999999996</v>
      </c>
      <c r="J1742" s="49">
        <v>6515.05</v>
      </c>
      <c r="K1742" s="58">
        <v>0</v>
      </c>
      <c r="L1742" s="58">
        <v>0</v>
      </c>
      <c r="M1742" s="58">
        <v>0</v>
      </c>
      <c r="N1742" s="58">
        <v>0</v>
      </c>
      <c r="O1742" s="58">
        <v>0</v>
      </c>
      <c r="P1742" s="53">
        <v>0</v>
      </c>
      <c r="Q1742" s="58">
        <v>6515.05</v>
      </c>
      <c r="R1742" s="58">
        <v>0</v>
      </c>
      <c r="S1742" s="58">
        <v>0</v>
      </c>
      <c r="T1742" s="58">
        <v>0</v>
      </c>
      <c r="U1742" s="58">
        <v>0</v>
      </c>
      <c r="V1742" s="58">
        <v>0</v>
      </c>
      <c r="W1742" s="58">
        <v>0</v>
      </c>
      <c r="X1742" s="58">
        <v>0</v>
      </c>
      <c r="Y1742" s="58">
        <v>0</v>
      </c>
      <c r="Z1742" s="55">
        <v>6515.05</v>
      </c>
      <c r="AA1742" s="51">
        <v>0</v>
      </c>
      <c r="AB1742" s="102">
        <v>0</v>
      </c>
      <c r="AC1742" s="81">
        <f t="shared" si="84"/>
        <v>399.37786178861813</v>
      </c>
      <c r="AD1742" s="82">
        <f t="shared" si="85"/>
        <v>24.599999999999994</v>
      </c>
      <c r="AE1742" s="218">
        <v>0</v>
      </c>
      <c r="AF1742">
        <v>0</v>
      </c>
      <c r="AH1742" t="str">
        <f t="shared" si="83"/>
        <v>Matihani</v>
      </c>
      <c r="AJ1742" s="72">
        <v>0</v>
      </c>
      <c r="AK1742" s="72"/>
      <c r="AL1742" s="72"/>
      <c r="AM1742" s="72"/>
    </row>
    <row r="1743" spans="1:39" x14ac:dyDescent="0.25">
      <c r="A1743" s="37" t="s">
        <v>62</v>
      </c>
      <c r="B1743" s="66" t="s">
        <v>1638</v>
      </c>
      <c r="C1743" s="41">
        <v>1055</v>
      </c>
      <c r="D1743" s="41" t="s">
        <v>1125</v>
      </c>
      <c r="E1743" s="41">
        <v>10550005</v>
      </c>
      <c r="F1743" s="85" t="s">
        <v>1367</v>
      </c>
      <c r="G1743" s="39" t="s">
        <v>92</v>
      </c>
      <c r="H1743" s="52" t="s">
        <v>93</v>
      </c>
      <c r="I1743" s="52">
        <v>268.90000000000003</v>
      </c>
      <c r="J1743" s="49">
        <v>11068.159999999998</v>
      </c>
      <c r="K1743" s="58">
        <v>227.29999999999995</v>
      </c>
      <c r="L1743" s="58">
        <v>9321.32</v>
      </c>
      <c r="M1743" s="58">
        <v>44.8</v>
      </c>
      <c r="N1743" s="58">
        <v>1783.7</v>
      </c>
      <c r="O1743" s="58">
        <v>272.09999999999997</v>
      </c>
      <c r="P1743" s="53">
        <v>11105.02</v>
      </c>
      <c r="Q1743" s="58">
        <v>11068.159999999998</v>
      </c>
      <c r="R1743" s="58">
        <v>0</v>
      </c>
      <c r="S1743" s="58">
        <v>1783.7</v>
      </c>
      <c r="T1743" s="58">
        <v>36.860000000002401</v>
      </c>
      <c r="U1743" s="58">
        <v>0</v>
      </c>
      <c r="V1743" s="58">
        <v>0</v>
      </c>
      <c r="W1743" s="58">
        <v>0</v>
      </c>
      <c r="X1743" s="58">
        <v>9284</v>
      </c>
      <c r="Y1743" s="58">
        <v>0</v>
      </c>
      <c r="Z1743" s="55">
        <v>0</v>
      </c>
      <c r="AA1743" s="51">
        <v>0</v>
      </c>
      <c r="AB1743" s="102">
        <v>0</v>
      </c>
      <c r="AC1743" s="81">
        <f t="shared" si="84"/>
        <v>354.88908709557444</v>
      </c>
      <c r="AD1743" s="82">
        <f t="shared" si="85"/>
        <v>38.414285714285718</v>
      </c>
      <c r="AE1743" s="218">
        <v>-3.330273505262158E-3</v>
      </c>
      <c r="AF1743">
        <v>4</v>
      </c>
      <c r="AH1743" t="str">
        <f t="shared" si="83"/>
        <v>Matihani</v>
      </c>
      <c r="AJ1743" s="72">
        <v>0</v>
      </c>
      <c r="AK1743" s="72"/>
      <c r="AL1743" s="72"/>
      <c r="AM1743" s="72"/>
    </row>
    <row r="1744" spans="1:39" x14ac:dyDescent="0.25">
      <c r="A1744" s="37" t="s">
        <v>62</v>
      </c>
      <c r="B1744" s="66" t="s">
        <v>1638</v>
      </c>
      <c r="C1744" s="41">
        <v>1055</v>
      </c>
      <c r="D1744" s="41" t="s">
        <v>1125</v>
      </c>
      <c r="E1744" s="41">
        <v>10550007</v>
      </c>
      <c r="F1744" s="85" t="s">
        <v>1368</v>
      </c>
      <c r="G1744" s="39" t="s">
        <v>1610</v>
      </c>
      <c r="H1744" s="52" t="s">
        <v>98</v>
      </c>
      <c r="I1744" s="52">
        <v>1653.5</v>
      </c>
      <c r="J1744" s="49">
        <v>60000.240000000013</v>
      </c>
      <c r="K1744" s="58">
        <v>0</v>
      </c>
      <c r="L1744" s="58">
        <v>0</v>
      </c>
      <c r="M1744" s="58">
        <v>0</v>
      </c>
      <c r="N1744" s="58">
        <v>0</v>
      </c>
      <c r="O1744" s="58">
        <v>0</v>
      </c>
      <c r="P1744" s="53">
        <v>0</v>
      </c>
      <c r="Q1744" s="58">
        <v>60000.240000000013</v>
      </c>
      <c r="R1744" s="58">
        <v>0</v>
      </c>
      <c r="S1744" s="58">
        <v>0</v>
      </c>
      <c r="T1744" s="58">
        <v>0</v>
      </c>
      <c r="U1744" s="58">
        <v>0</v>
      </c>
      <c r="V1744" s="58">
        <v>0</v>
      </c>
      <c r="W1744" s="58">
        <v>0</v>
      </c>
      <c r="X1744" s="58">
        <v>0</v>
      </c>
      <c r="Y1744" s="58">
        <v>0</v>
      </c>
      <c r="Z1744" s="55">
        <v>60000.240000000013</v>
      </c>
      <c r="AA1744" s="51">
        <v>0</v>
      </c>
      <c r="AB1744" s="102">
        <v>0</v>
      </c>
      <c r="AC1744" s="81">
        <f t="shared" si="84"/>
        <v>0</v>
      </c>
      <c r="AD1744" s="82">
        <f t="shared" si="85"/>
        <v>0</v>
      </c>
      <c r="AE1744" s="218">
        <v>0</v>
      </c>
      <c r="AF1744">
        <v>0</v>
      </c>
      <c r="AH1744" t="str">
        <f t="shared" si="83"/>
        <v>Matihani</v>
      </c>
      <c r="AJ1744" s="72">
        <v>0</v>
      </c>
      <c r="AK1744" s="72"/>
      <c r="AL1744" s="72"/>
      <c r="AM1744" s="72"/>
    </row>
    <row r="1745" spans="1:39" x14ac:dyDescent="0.25">
      <c r="A1745" s="37" t="s">
        <v>62</v>
      </c>
      <c r="B1745" s="66" t="s">
        <v>1638</v>
      </c>
      <c r="C1745" s="41">
        <v>1055</v>
      </c>
      <c r="D1745" s="41" t="s">
        <v>1125</v>
      </c>
      <c r="E1745" s="41">
        <v>10550008</v>
      </c>
      <c r="F1745" s="85" t="s">
        <v>1412</v>
      </c>
      <c r="G1745" s="39" t="s">
        <v>1610</v>
      </c>
      <c r="H1745" s="52" t="s">
        <v>98</v>
      </c>
      <c r="I1745" s="52">
        <v>433.3</v>
      </c>
      <c r="J1745" s="49">
        <v>15354.759999999998</v>
      </c>
      <c r="K1745" s="58">
        <v>0</v>
      </c>
      <c r="L1745" s="58">
        <v>0</v>
      </c>
      <c r="M1745" s="58">
        <v>0</v>
      </c>
      <c r="N1745" s="58">
        <v>0</v>
      </c>
      <c r="O1745" s="58">
        <v>0</v>
      </c>
      <c r="P1745" s="53">
        <v>0</v>
      </c>
      <c r="Q1745" s="58">
        <v>15354.759999999998</v>
      </c>
      <c r="R1745" s="58">
        <v>0</v>
      </c>
      <c r="S1745" s="58">
        <v>0</v>
      </c>
      <c r="T1745" s="58">
        <v>0</v>
      </c>
      <c r="U1745" s="58">
        <v>0</v>
      </c>
      <c r="V1745" s="58">
        <v>0</v>
      </c>
      <c r="W1745" s="58">
        <v>0</v>
      </c>
      <c r="X1745" s="58">
        <v>0</v>
      </c>
      <c r="Y1745" s="58">
        <v>0</v>
      </c>
      <c r="Z1745" s="55">
        <v>15354.759999999998</v>
      </c>
      <c r="AA1745" s="51">
        <v>0</v>
      </c>
      <c r="AB1745" s="102">
        <v>0</v>
      </c>
      <c r="AC1745" s="81">
        <f t="shared" si="84"/>
        <v>189.01982423263325</v>
      </c>
      <c r="AD1745" s="82">
        <f t="shared" si="85"/>
        <v>61.9</v>
      </c>
      <c r="AE1745" s="218">
        <v>0</v>
      </c>
      <c r="AF1745">
        <v>0</v>
      </c>
      <c r="AH1745" t="str">
        <f t="shared" si="83"/>
        <v>Matihani</v>
      </c>
      <c r="AJ1745" s="72">
        <v>0</v>
      </c>
      <c r="AK1745" s="72"/>
      <c r="AL1745" s="72"/>
      <c r="AM1745" s="72"/>
    </row>
    <row r="1746" spans="1:39" x14ac:dyDescent="0.25">
      <c r="A1746" s="37" t="s">
        <v>62</v>
      </c>
      <c r="B1746" s="66" t="s">
        <v>1638</v>
      </c>
      <c r="C1746" s="41">
        <v>1055</v>
      </c>
      <c r="D1746" s="41" t="s">
        <v>1125</v>
      </c>
      <c r="E1746" s="41">
        <v>10550009</v>
      </c>
      <c r="F1746" s="85" t="s">
        <v>1466</v>
      </c>
      <c r="G1746" s="39" t="s">
        <v>1610</v>
      </c>
      <c r="H1746" s="52" t="s">
        <v>98</v>
      </c>
      <c r="I1746" s="52">
        <v>2186.7000000000003</v>
      </c>
      <c r="J1746" s="49">
        <v>85156.2</v>
      </c>
      <c r="K1746" s="58">
        <v>0</v>
      </c>
      <c r="L1746" s="58">
        <v>0</v>
      </c>
      <c r="M1746" s="58">
        <v>0</v>
      </c>
      <c r="N1746" s="58">
        <v>0</v>
      </c>
      <c r="O1746" s="58">
        <v>0</v>
      </c>
      <c r="P1746" s="53">
        <v>0</v>
      </c>
      <c r="Q1746" s="58">
        <v>85156.2</v>
      </c>
      <c r="R1746" s="58">
        <v>0</v>
      </c>
      <c r="S1746" s="58">
        <v>0</v>
      </c>
      <c r="T1746" s="58">
        <v>0</v>
      </c>
      <c r="U1746" s="58">
        <v>0</v>
      </c>
      <c r="V1746" s="58">
        <v>0</v>
      </c>
      <c r="W1746" s="58">
        <v>0</v>
      </c>
      <c r="X1746" s="58">
        <v>0</v>
      </c>
      <c r="Y1746" s="58">
        <v>0</v>
      </c>
      <c r="Z1746" s="55">
        <v>85156.2</v>
      </c>
      <c r="AA1746" s="51">
        <v>0</v>
      </c>
      <c r="AB1746" s="102">
        <v>0</v>
      </c>
      <c r="AC1746" s="81">
        <f t="shared" si="84"/>
        <v>0</v>
      </c>
      <c r="AD1746" s="82">
        <f t="shared" si="85"/>
        <v>0</v>
      </c>
      <c r="AE1746" s="218">
        <v>0</v>
      </c>
      <c r="AF1746">
        <v>0</v>
      </c>
      <c r="AH1746" t="str">
        <f t="shared" si="83"/>
        <v>Matihani</v>
      </c>
      <c r="AJ1746" s="72">
        <v>0</v>
      </c>
      <c r="AK1746" s="72"/>
      <c r="AL1746" s="72"/>
      <c r="AM1746" s="72"/>
    </row>
    <row r="1747" spans="1:39" x14ac:dyDescent="0.25">
      <c r="A1747" s="37" t="s">
        <v>62</v>
      </c>
      <c r="B1747" s="66" t="s">
        <v>1638</v>
      </c>
      <c r="C1747" s="41">
        <v>1055</v>
      </c>
      <c r="D1747" s="41" t="s">
        <v>1125</v>
      </c>
      <c r="E1747" s="41">
        <v>10550010</v>
      </c>
      <c r="F1747" s="85" t="s">
        <v>1564</v>
      </c>
      <c r="G1747" s="39" t="s">
        <v>92</v>
      </c>
      <c r="H1747" s="52" t="s">
        <v>93</v>
      </c>
      <c r="I1747" s="52">
        <v>320.90000000000003</v>
      </c>
      <c r="J1747" s="49">
        <v>13510.429999999998</v>
      </c>
      <c r="K1747" s="58">
        <v>317.49</v>
      </c>
      <c r="L1747" s="58">
        <v>13333.53</v>
      </c>
      <c r="M1747" s="58">
        <v>3.32</v>
      </c>
      <c r="N1747" s="58">
        <v>142.88</v>
      </c>
      <c r="O1747" s="58">
        <v>320.81</v>
      </c>
      <c r="P1747" s="53">
        <v>13476.41</v>
      </c>
      <c r="Q1747" s="58">
        <v>13476.41</v>
      </c>
      <c r="R1747" s="58">
        <v>0</v>
      </c>
      <c r="S1747" s="58">
        <v>142.88</v>
      </c>
      <c r="T1747" s="58">
        <v>0</v>
      </c>
      <c r="U1747" s="58">
        <v>0</v>
      </c>
      <c r="V1747" s="58">
        <v>0</v>
      </c>
      <c r="W1747" s="58">
        <v>0</v>
      </c>
      <c r="X1747" s="58">
        <v>13334</v>
      </c>
      <c r="Y1747" s="58">
        <v>0</v>
      </c>
      <c r="Z1747" s="55">
        <v>0</v>
      </c>
      <c r="AA1747" s="51">
        <v>34</v>
      </c>
      <c r="AB1747" s="102">
        <v>0</v>
      </c>
      <c r="AC1747" s="81">
        <f t="shared" si="84"/>
        <v>319.21495874104073</v>
      </c>
      <c r="AD1747" s="82">
        <f t="shared" si="85"/>
        <v>45.842857142857149</v>
      </c>
      <c r="AE1747" s="218">
        <v>2.5180545696916103E-3</v>
      </c>
      <c r="AF1747">
        <v>6</v>
      </c>
      <c r="AH1747" t="str">
        <f t="shared" si="83"/>
        <v>Matihani</v>
      </c>
      <c r="AJ1747" s="72">
        <v>0</v>
      </c>
      <c r="AK1747" s="72"/>
      <c r="AL1747" s="72"/>
      <c r="AM1747" s="72"/>
    </row>
    <row r="1748" spans="1:39" x14ac:dyDescent="0.25">
      <c r="A1748" s="37" t="s">
        <v>62</v>
      </c>
      <c r="B1748" s="66" t="s">
        <v>1638</v>
      </c>
      <c r="C1748" s="41">
        <v>1055</v>
      </c>
      <c r="D1748" s="41" t="s">
        <v>1125</v>
      </c>
      <c r="E1748" s="41">
        <v>10550011</v>
      </c>
      <c r="F1748" s="85" t="s">
        <v>1551</v>
      </c>
      <c r="G1748" s="39" t="s">
        <v>92</v>
      </c>
      <c r="H1748" s="52" t="s">
        <v>93</v>
      </c>
      <c r="I1748" s="52">
        <v>306.3</v>
      </c>
      <c r="J1748" s="49">
        <v>12428.619999999999</v>
      </c>
      <c r="K1748" s="58">
        <v>308.67999999999995</v>
      </c>
      <c r="L1748" s="58">
        <v>12670.99</v>
      </c>
      <c r="M1748" s="58">
        <v>2.0299999999999998</v>
      </c>
      <c r="N1748" s="58">
        <v>82.68</v>
      </c>
      <c r="O1748" s="58">
        <v>310.70999999999992</v>
      </c>
      <c r="P1748" s="53">
        <v>12753.67</v>
      </c>
      <c r="Q1748" s="58">
        <v>12428.619999999999</v>
      </c>
      <c r="R1748" s="58">
        <v>0</v>
      </c>
      <c r="S1748" s="58">
        <v>82.68</v>
      </c>
      <c r="T1748" s="58">
        <v>325.05000000000109</v>
      </c>
      <c r="U1748" s="58">
        <v>0</v>
      </c>
      <c r="V1748" s="58">
        <v>0</v>
      </c>
      <c r="W1748" s="58">
        <v>0</v>
      </c>
      <c r="X1748" s="58">
        <v>12346</v>
      </c>
      <c r="Y1748" s="58">
        <v>0</v>
      </c>
      <c r="Z1748" s="55">
        <v>0</v>
      </c>
      <c r="AA1748" s="51">
        <v>0</v>
      </c>
      <c r="AB1748" s="102">
        <v>0</v>
      </c>
      <c r="AC1748" s="81">
        <f t="shared" si="84"/>
        <v>319.50033914462938</v>
      </c>
      <c r="AD1748" s="82">
        <f t="shared" si="85"/>
        <v>43.75714285714286</v>
      </c>
      <c r="AE1748" s="218">
        <v>-2.6153346067383273E-2</v>
      </c>
      <c r="AF1748">
        <v>6</v>
      </c>
      <c r="AH1748" t="str">
        <f t="shared" si="83"/>
        <v>Matihani</v>
      </c>
      <c r="AJ1748" s="72">
        <v>0</v>
      </c>
      <c r="AK1748" s="72"/>
      <c r="AL1748" s="72"/>
      <c r="AM1748" s="72"/>
    </row>
    <row r="1749" spans="1:39" x14ac:dyDescent="0.25">
      <c r="A1749" s="37" t="s">
        <v>62</v>
      </c>
      <c r="B1749" s="66" t="s">
        <v>1638</v>
      </c>
      <c r="C1749" s="41">
        <v>1056</v>
      </c>
      <c r="D1749" s="41" t="s">
        <v>816</v>
      </c>
      <c r="E1749" s="41">
        <v>10560001</v>
      </c>
      <c r="F1749" s="85" t="s">
        <v>822</v>
      </c>
      <c r="G1749" s="39" t="s">
        <v>92</v>
      </c>
      <c r="H1749" s="52" t="s">
        <v>98</v>
      </c>
      <c r="I1749" s="52">
        <v>1217.08</v>
      </c>
      <c r="J1749" s="49">
        <v>49663.59</v>
      </c>
      <c r="K1749" s="58">
        <v>0</v>
      </c>
      <c r="L1749" s="58">
        <v>0</v>
      </c>
      <c r="M1749" s="58">
        <v>0</v>
      </c>
      <c r="N1749" s="58">
        <v>0</v>
      </c>
      <c r="O1749" s="58">
        <v>0</v>
      </c>
      <c r="P1749" s="53">
        <v>0</v>
      </c>
      <c r="Q1749" s="58">
        <v>49663.59</v>
      </c>
      <c r="R1749" s="58">
        <v>0</v>
      </c>
      <c r="S1749" s="58">
        <v>0</v>
      </c>
      <c r="T1749" s="58">
        <v>0</v>
      </c>
      <c r="U1749" s="58">
        <v>30527</v>
      </c>
      <c r="V1749" s="58">
        <v>0</v>
      </c>
      <c r="W1749" s="58">
        <v>0</v>
      </c>
      <c r="X1749" s="58">
        <v>0</v>
      </c>
      <c r="Y1749" s="58">
        <v>0</v>
      </c>
      <c r="Z1749" s="55">
        <v>19136.589999999997</v>
      </c>
      <c r="AA1749" s="51">
        <v>0</v>
      </c>
      <c r="AB1749" s="102">
        <v>0</v>
      </c>
      <c r="AC1749" s="81">
        <f t="shared" si="84"/>
        <v>0</v>
      </c>
      <c r="AD1749" s="82">
        <f t="shared" si="85"/>
        <v>0</v>
      </c>
      <c r="AE1749" s="218">
        <v>0</v>
      </c>
      <c r="AF1749">
        <v>0</v>
      </c>
      <c r="AH1749" t="str">
        <f t="shared" si="83"/>
        <v>Chautham</v>
      </c>
      <c r="AJ1749" s="72">
        <v>0</v>
      </c>
      <c r="AK1749" s="72"/>
      <c r="AL1749" s="72"/>
      <c r="AM1749" s="72"/>
    </row>
    <row r="1750" spans="1:39" x14ac:dyDescent="0.25">
      <c r="A1750" s="37" t="s">
        <v>62</v>
      </c>
      <c r="B1750" s="66" t="s">
        <v>1638</v>
      </c>
      <c r="C1750" s="41">
        <v>1056</v>
      </c>
      <c r="D1750" s="41" t="s">
        <v>816</v>
      </c>
      <c r="E1750" s="41">
        <v>10560002</v>
      </c>
      <c r="F1750" s="85" t="s">
        <v>1142</v>
      </c>
      <c r="G1750" s="39" t="s">
        <v>1610</v>
      </c>
      <c r="H1750" s="52" t="s">
        <v>98</v>
      </c>
      <c r="I1750" s="52">
        <v>645.78</v>
      </c>
      <c r="J1750" s="49">
        <v>24239.910000000003</v>
      </c>
      <c r="K1750" s="58">
        <v>0</v>
      </c>
      <c r="L1750" s="58">
        <v>0</v>
      </c>
      <c r="M1750" s="58">
        <v>0</v>
      </c>
      <c r="N1750" s="58">
        <v>0</v>
      </c>
      <c r="O1750" s="58">
        <v>0</v>
      </c>
      <c r="P1750" s="53">
        <v>0</v>
      </c>
      <c r="Q1750" s="58">
        <v>24239.910000000003</v>
      </c>
      <c r="R1750" s="58">
        <v>0</v>
      </c>
      <c r="S1750" s="58">
        <v>0</v>
      </c>
      <c r="T1750" s="58">
        <v>0</v>
      </c>
      <c r="U1750" s="58">
        <v>0</v>
      </c>
      <c r="V1750" s="58">
        <v>0</v>
      </c>
      <c r="W1750" s="58">
        <v>0</v>
      </c>
      <c r="X1750" s="58">
        <v>0</v>
      </c>
      <c r="Y1750" s="58">
        <v>0</v>
      </c>
      <c r="Z1750" s="55">
        <v>24239.910000000003</v>
      </c>
      <c r="AA1750" s="51">
        <v>0</v>
      </c>
      <c r="AB1750" s="102">
        <v>0</v>
      </c>
      <c r="AC1750" s="81">
        <f t="shared" si="84"/>
        <v>40.703890495215099</v>
      </c>
      <c r="AD1750" s="82">
        <f t="shared" si="85"/>
        <v>92.254285714285714</v>
      </c>
      <c r="AE1750" s="218">
        <v>0</v>
      </c>
      <c r="AF1750">
        <v>0</v>
      </c>
      <c r="AH1750" t="str">
        <f t="shared" si="83"/>
        <v>Chautham</v>
      </c>
      <c r="AJ1750" s="72">
        <v>0</v>
      </c>
      <c r="AK1750" s="72"/>
      <c r="AL1750" s="72"/>
      <c r="AM1750" s="72"/>
    </row>
    <row r="1751" spans="1:39" x14ac:dyDescent="0.25">
      <c r="A1751" s="37" t="s">
        <v>62</v>
      </c>
      <c r="B1751" s="66" t="s">
        <v>1638</v>
      </c>
      <c r="C1751" s="41">
        <v>1056</v>
      </c>
      <c r="D1751" s="41" t="s">
        <v>816</v>
      </c>
      <c r="E1751" s="41">
        <v>10560004</v>
      </c>
      <c r="F1751" s="85" t="s">
        <v>1158</v>
      </c>
      <c r="G1751" s="39" t="s">
        <v>92</v>
      </c>
      <c r="H1751" s="52" t="s">
        <v>93</v>
      </c>
      <c r="I1751" s="52">
        <v>899.4799999999999</v>
      </c>
      <c r="J1751" s="49">
        <v>33688.68</v>
      </c>
      <c r="K1751" s="58">
        <v>901.4799999999999</v>
      </c>
      <c r="L1751" s="58">
        <v>33818.32</v>
      </c>
      <c r="M1751" s="58">
        <v>0</v>
      </c>
      <c r="N1751" s="58">
        <v>0</v>
      </c>
      <c r="O1751" s="58">
        <v>901.4799999999999</v>
      </c>
      <c r="P1751" s="53">
        <v>33818.32</v>
      </c>
      <c r="Q1751" s="58">
        <v>33688.68</v>
      </c>
      <c r="R1751" s="58">
        <v>0</v>
      </c>
      <c r="S1751" s="58">
        <v>0</v>
      </c>
      <c r="T1751" s="58">
        <v>129.63999999999942</v>
      </c>
      <c r="U1751" s="58">
        <v>0</v>
      </c>
      <c r="V1751" s="58">
        <v>0</v>
      </c>
      <c r="W1751" s="58">
        <v>0</v>
      </c>
      <c r="X1751" s="58">
        <v>33689</v>
      </c>
      <c r="Y1751" s="58">
        <v>0</v>
      </c>
      <c r="Z1751" s="55">
        <v>0</v>
      </c>
      <c r="AA1751" s="51">
        <v>0</v>
      </c>
      <c r="AB1751" s="102">
        <v>0</v>
      </c>
      <c r="AC1751" s="81">
        <f t="shared" si="84"/>
        <v>0</v>
      </c>
      <c r="AD1751" s="82">
        <f t="shared" si="85"/>
        <v>0</v>
      </c>
      <c r="AE1751" s="218">
        <v>-3.8481768950282234E-3</v>
      </c>
      <c r="AF1751">
        <v>1</v>
      </c>
      <c r="AH1751" t="str">
        <f t="shared" si="83"/>
        <v>Chautham</v>
      </c>
      <c r="AJ1751" s="72">
        <v>0</v>
      </c>
      <c r="AK1751" s="72"/>
      <c r="AL1751" s="72"/>
      <c r="AM1751" s="72"/>
    </row>
    <row r="1752" spans="1:39" x14ac:dyDescent="0.25">
      <c r="A1752" s="37" t="s">
        <v>62</v>
      </c>
      <c r="B1752" s="66" t="s">
        <v>1638</v>
      </c>
      <c r="C1752" s="41">
        <v>1056</v>
      </c>
      <c r="D1752" s="41" t="s">
        <v>816</v>
      </c>
      <c r="E1752" s="41">
        <v>10560005</v>
      </c>
      <c r="F1752" s="85" t="s">
        <v>1159</v>
      </c>
      <c r="G1752" s="39" t="s">
        <v>92</v>
      </c>
      <c r="H1752" s="52" t="s">
        <v>93</v>
      </c>
      <c r="I1752" s="52">
        <v>1776.5800000000002</v>
      </c>
      <c r="J1752" s="49">
        <v>75041.429999999993</v>
      </c>
      <c r="K1752" s="58">
        <v>131.68</v>
      </c>
      <c r="L1752" s="58">
        <v>5618.409999999998</v>
      </c>
      <c r="M1752" s="58">
        <v>1651</v>
      </c>
      <c r="N1752" s="58">
        <v>70096.94</v>
      </c>
      <c r="O1752" s="58">
        <v>1782.68</v>
      </c>
      <c r="P1752" s="53">
        <v>75715.350000000006</v>
      </c>
      <c r="Q1752" s="58">
        <v>75041.429999999993</v>
      </c>
      <c r="R1752" s="58">
        <v>0</v>
      </c>
      <c r="S1752" s="58">
        <v>0</v>
      </c>
      <c r="T1752" s="58">
        <v>673.92000000001281</v>
      </c>
      <c r="U1752" s="58">
        <v>0</v>
      </c>
      <c r="V1752" s="58">
        <v>0</v>
      </c>
      <c r="W1752" s="58">
        <v>0</v>
      </c>
      <c r="X1752" s="58">
        <v>4944</v>
      </c>
      <c r="Y1752" s="58">
        <v>70097</v>
      </c>
      <c r="Z1752" s="55">
        <v>0</v>
      </c>
      <c r="AA1752" s="51">
        <v>0</v>
      </c>
      <c r="AB1752" s="102">
        <v>0</v>
      </c>
      <c r="AC1752" s="81">
        <f t="shared" si="84"/>
        <v>0</v>
      </c>
      <c r="AD1752" s="82">
        <f t="shared" si="85"/>
        <v>0</v>
      </c>
      <c r="AE1752" s="218">
        <v>-8.9806390949641133E-3</v>
      </c>
      <c r="AF1752">
        <v>3</v>
      </c>
      <c r="AH1752" t="str">
        <f t="shared" si="83"/>
        <v>Chautham</v>
      </c>
      <c r="AJ1752" s="72">
        <v>0</v>
      </c>
      <c r="AK1752" s="72"/>
      <c r="AL1752" s="72"/>
      <c r="AM1752" s="72"/>
    </row>
    <row r="1753" spans="1:39" x14ac:dyDescent="0.25">
      <c r="A1753" s="37" t="s">
        <v>62</v>
      </c>
      <c r="B1753" s="66" t="s">
        <v>1638</v>
      </c>
      <c r="C1753" s="41">
        <v>1056</v>
      </c>
      <c r="D1753" s="41" t="s">
        <v>816</v>
      </c>
      <c r="E1753" s="41">
        <v>10560007</v>
      </c>
      <c r="F1753" s="85" t="s">
        <v>1160</v>
      </c>
      <c r="G1753" s="39" t="s">
        <v>92</v>
      </c>
      <c r="H1753" s="52" t="s">
        <v>93</v>
      </c>
      <c r="I1753" s="52">
        <v>168.80000000000004</v>
      </c>
      <c r="J1753" s="49">
        <v>7269.7400000000007</v>
      </c>
      <c r="K1753" s="58">
        <v>192.89</v>
      </c>
      <c r="L1753" s="58">
        <v>8540.5400000000009</v>
      </c>
      <c r="M1753" s="58">
        <v>0</v>
      </c>
      <c r="N1753" s="58">
        <v>0</v>
      </c>
      <c r="O1753" s="58">
        <v>192.89</v>
      </c>
      <c r="P1753" s="53">
        <v>8540.5400000000009</v>
      </c>
      <c r="Q1753" s="58">
        <v>7269.7400000000007</v>
      </c>
      <c r="R1753" s="58">
        <v>0</v>
      </c>
      <c r="S1753" s="58">
        <v>0</v>
      </c>
      <c r="T1753" s="58">
        <v>1270.8000000000002</v>
      </c>
      <c r="U1753" s="58">
        <v>0</v>
      </c>
      <c r="V1753" s="58">
        <v>500</v>
      </c>
      <c r="W1753" s="58">
        <v>0</v>
      </c>
      <c r="X1753" s="58">
        <v>6770</v>
      </c>
      <c r="Y1753" s="58">
        <v>0</v>
      </c>
      <c r="Z1753" s="55">
        <v>0</v>
      </c>
      <c r="AA1753" s="51">
        <v>0</v>
      </c>
      <c r="AB1753" s="102">
        <v>0</v>
      </c>
      <c r="AC1753" s="81">
        <f t="shared" si="84"/>
        <v>457.54572132701406</v>
      </c>
      <c r="AD1753" s="82">
        <f t="shared" si="85"/>
        <v>24.114285714285721</v>
      </c>
      <c r="AE1753" s="218">
        <v>-0.17480680189387793</v>
      </c>
      <c r="AF1753">
        <v>1</v>
      </c>
      <c r="AH1753" t="str">
        <f t="shared" ref="AH1753:AH1812" si="86">TEXT(D1753,"0000")</f>
        <v>Chautham</v>
      </c>
      <c r="AJ1753" s="72">
        <v>500</v>
      </c>
      <c r="AK1753" s="72"/>
      <c r="AL1753" s="72"/>
      <c r="AM1753" s="72"/>
    </row>
    <row r="1754" spans="1:39" ht="15.75" thickBot="1" x14ac:dyDescent="0.3">
      <c r="A1754" s="37" t="s">
        <v>62</v>
      </c>
      <c r="B1754" s="66" t="s">
        <v>1638</v>
      </c>
      <c r="C1754" s="59">
        <v>1056</v>
      </c>
      <c r="D1754" s="59" t="s">
        <v>816</v>
      </c>
      <c r="E1754" s="59">
        <v>10560011</v>
      </c>
      <c r="F1754" s="86" t="s">
        <v>1242</v>
      </c>
      <c r="G1754" s="60" t="s">
        <v>92</v>
      </c>
      <c r="H1754" s="61" t="s">
        <v>93</v>
      </c>
      <c r="I1754" s="61">
        <v>2028.2800000000004</v>
      </c>
      <c r="J1754" s="49">
        <v>82539.170000000013</v>
      </c>
      <c r="K1754" s="62">
        <v>2027.6299999999997</v>
      </c>
      <c r="L1754" s="62">
        <v>85757.729999999981</v>
      </c>
      <c r="M1754" s="62">
        <v>0</v>
      </c>
      <c r="N1754" s="62">
        <v>0</v>
      </c>
      <c r="O1754" s="62">
        <v>2027.6299999999997</v>
      </c>
      <c r="P1754" s="63">
        <v>85757.729999999981</v>
      </c>
      <c r="Q1754" s="62">
        <v>82539.170000000013</v>
      </c>
      <c r="R1754" s="62">
        <v>0</v>
      </c>
      <c r="S1754" s="62">
        <v>0</v>
      </c>
      <c r="T1754" s="62">
        <v>3218.5599999999686</v>
      </c>
      <c r="U1754" s="62">
        <v>0</v>
      </c>
      <c r="V1754" s="62">
        <v>0</v>
      </c>
      <c r="W1754" s="62">
        <v>0</v>
      </c>
      <c r="X1754" s="62">
        <v>82539</v>
      </c>
      <c r="Y1754" s="62">
        <v>0</v>
      </c>
      <c r="Z1754" s="64">
        <v>0</v>
      </c>
      <c r="AA1754" s="51">
        <v>0</v>
      </c>
      <c r="AB1754" s="102">
        <v>0</v>
      </c>
      <c r="AC1754" s="81">
        <f t="shared" si="84"/>
        <v>0</v>
      </c>
      <c r="AD1754" s="82">
        <f t="shared" si="85"/>
        <v>0</v>
      </c>
      <c r="AE1754" s="218">
        <v>-3.899433444751102E-2</v>
      </c>
      <c r="AF1754">
        <v>13</v>
      </c>
      <c r="AH1754" t="str">
        <f t="shared" si="86"/>
        <v>Chautham</v>
      </c>
      <c r="AJ1754" s="72">
        <v>0</v>
      </c>
      <c r="AK1754" s="72"/>
      <c r="AL1754" s="72"/>
      <c r="AM1754" s="72"/>
    </row>
    <row r="1755" spans="1:39" x14ac:dyDescent="0.25">
      <c r="A1755" s="37" t="s">
        <v>62</v>
      </c>
      <c r="B1755" s="66" t="s">
        <v>1638</v>
      </c>
      <c r="C1755" s="47">
        <v>1056</v>
      </c>
      <c r="D1755" s="47" t="s">
        <v>816</v>
      </c>
      <c r="E1755" s="47">
        <v>10560012</v>
      </c>
      <c r="F1755" s="87" t="s">
        <v>1243</v>
      </c>
      <c r="G1755" s="48" t="s">
        <v>92</v>
      </c>
      <c r="H1755" s="49" t="s">
        <v>93</v>
      </c>
      <c r="I1755" s="49">
        <v>1296.5</v>
      </c>
      <c r="J1755" s="49">
        <v>54622.26</v>
      </c>
      <c r="K1755" s="65">
        <v>1308.3799999999997</v>
      </c>
      <c r="L1755" s="65">
        <v>54381.51</v>
      </c>
      <c r="M1755" s="65">
        <v>0</v>
      </c>
      <c r="N1755" s="65">
        <v>0</v>
      </c>
      <c r="O1755" s="65">
        <v>1308.3799999999997</v>
      </c>
      <c r="P1755" s="50">
        <v>54381.51</v>
      </c>
      <c r="Q1755" s="65">
        <v>54381.51</v>
      </c>
      <c r="R1755" s="65">
        <v>0</v>
      </c>
      <c r="S1755" s="65">
        <v>0</v>
      </c>
      <c r="T1755" s="65">
        <v>0</v>
      </c>
      <c r="U1755" s="65">
        <v>0</v>
      </c>
      <c r="V1755" s="65">
        <v>0</v>
      </c>
      <c r="W1755" s="65">
        <v>0</v>
      </c>
      <c r="X1755" s="65">
        <v>54381</v>
      </c>
      <c r="Y1755" s="65">
        <v>0</v>
      </c>
      <c r="Z1755" s="51">
        <v>0</v>
      </c>
      <c r="AA1755" s="51">
        <v>241</v>
      </c>
      <c r="AB1755" s="102">
        <v>0</v>
      </c>
      <c r="AC1755" s="81">
        <f t="shared" si="84"/>
        <v>0</v>
      </c>
      <c r="AD1755" s="82">
        <f t="shared" si="85"/>
        <v>0</v>
      </c>
      <c r="AE1755" s="218">
        <v>4.4075437376629965E-3</v>
      </c>
      <c r="AF1755">
        <v>6</v>
      </c>
      <c r="AH1755" t="str">
        <f t="shared" si="86"/>
        <v>Chautham</v>
      </c>
      <c r="AJ1755" s="72">
        <v>0</v>
      </c>
      <c r="AK1755" s="72"/>
      <c r="AL1755" s="72"/>
      <c r="AM1755" s="72"/>
    </row>
    <row r="1756" spans="1:39" x14ac:dyDescent="0.25">
      <c r="A1756" s="37" t="s">
        <v>62</v>
      </c>
      <c r="B1756" s="66" t="s">
        <v>1638</v>
      </c>
      <c r="C1756" s="41">
        <v>1056</v>
      </c>
      <c r="D1756" s="41" t="s">
        <v>816</v>
      </c>
      <c r="E1756" s="41">
        <v>10560015</v>
      </c>
      <c r="F1756" s="85" t="s">
        <v>1204</v>
      </c>
      <c r="G1756" s="39" t="s">
        <v>1610</v>
      </c>
      <c r="H1756" s="52" t="s">
        <v>98</v>
      </c>
      <c r="I1756" s="52">
        <v>449.14</v>
      </c>
      <c r="J1756" s="49">
        <v>17773.84</v>
      </c>
      <c r="K1756" s="58">
        <v>0</v>
      </c>
      <c r="L1756" s="58">
        <v>0</v>
      </c>
      <c r="M1756" s="58">
        <v>0</v>
      </c>
      <c r="N1756" s="58">
        <v>0</v>
      </c>
      <c r="O1756" s="58">
        <v>0</v>
      </c>
      <c r="P1756" s="53">
        <v>0</v>
      </c>
      <c r="Q1756" s="65">
        <v>17773.84</v>
      </c>
      <c r="R1756" s="65">
        <v>0</v>
      </c>
      <c r="S1756" s="65">
        <v>0</v>
      </c>
      <c r="T1756" s="65">
        <v>0</v>
      </c>
      <c r="U1756" s="58">
        <v>0</v>
      </c>
      <c r="V1756" s="65">
        <v>0</v>
      </c>
      <c r="W1756" s="65">
        <v>0</v>
      </c>
      <c r="X1756" s="65">
        <v>0</v>
      </c>
      <c r="Y1756" s="65">
        <v>0</v>
      </c>
      <c r="Z1756" s="51">
        <v>17773.84</v>
      </c>
      <c r="AA1756" s="51">
        <v>0</v>
      </c>
      <c r="AB1756" s="102">
        <v>0</v>
      </c>
      <c r="AC1756" s="81">
        <f t="shared" si="84"/>
        <v>198.54591006813027</v>
      </c>
      <c r="AD1756" s="82">
        <f t="shared" si="85"/>
        <v>64.162857142857135</v>
      </c>
      <c r="AE1756" s="218">
        <v>0</v>
      </c>
      <c r="AF1756">
        <v>0</v>
      </c>
      <c r="AH1756" t="str">
        <f t="shared" si="86"/>
        <v>Chautham</v>
      </c>
      <c r="AJ1756" s="72">
        <v>0</v>
      </c>
      <c r="AK1756" s="72"/>
      <c r="AL1756" s="72"/>
      <c r="AM1756" s="72"/>
    </row>
    <row r="1757" spans="1:39" x14ac:dyDescent="0.25">
      <c r="A1757" s="37" t="s">
        <v>62</v>
      </c>
      <c r="B1757" s="66" t="s">
        <v>1638</v>
      </c>
      <c r="C1757" s="41">
        <v>1056</v>
      </c>
      <c r="D1757" s="41" t="s">
        <v>816</v>
      </c>
      <c r="E1757" s="41">
        <v>10560016</v>
      </c>
      <c r="F1757" s="85" t="s">
        <v>1378</v>
      </c>
      <c r="G1757" s="39" t="s">
        <v>92</v>
      </c>
      <c r="H1757" s="52" t="s">
        <v>93</v>
      </c>
      <c r="I1757" s="52">
        <v>917.76</v>
      </c>
      <c r="J1757" s="49">
        <v>35155.660000000003</v>
      </c>
      <c r="K1757" s="58">
        <v>926.40000000000009</v>
      </c>
      <c r="L1757" s="58">
        <v>35590.5</v>
      </c>
      <c r="M1757" s="58">
        <v>0</v>
      </c>
      <c r="N1757" s="58">
        <v>0</v>
      </c>
      <c r="O1757" s="58">
        <v>926.40000000000009</v>
      </c>
      <c r="P1757" s="53">
        <v>35590.5</v>
      </c>
      <c r="Q1757" s="65">
        <v>35155.660000000003</v>
      </c>
      <c r="R1757" s="65">
        <v>0</v>
      </c>
      <c r="S1757" s="65">
        <v>0</v>
      </c>
      <c r="T1757" s="65">
        <v>434.83999999999651</v>
      </c>
      <c r="U1757" s="58">
        <v>0</v>
      </c>
      <c r="V1757" s="65">
        <v>0</v>
      </c>
      <c r="W1757" s="65">
        <v>0</v>
      </c>
      <c r="X1757" s="65">
        <v>35156</v>
      </c>
      <c r="Y1757" s="65">
        <v>0</v>
      </c>
      <c r="Z1757" s="51">
        <v>0</v>
      </c>
      <c r="AA1757" s="51">
        <v>0</v>
      </c>
      <c r="AB1757" s="102">
        <v>0</v>
      </c>
      <c r="AC1757" s="81">
        <f t="shared" si="84"/>
        <v>0</v>
      </c>
      <c r="AD1757" s="82">
        <f t="shared" si="85"/>
        <v>0</v>
      </c>
      <c r="AE1757" s="218">
        <v>-1.2368989801357632E-2</v>
      </c>
      <c r="AF1757">
        <v>1</v>
      </c>
      <c r="AH1757" t="str">
        <f t="shared" si="86"/>
        <v>Chautham</v>
      </c>
      <c r="AJ1757" s="72">
        <v>0</v>
      </c>
      <c r="AK1757" s="72"/>
      <c r="AL1757" s="72"/>
      <c r="AM1757" s="72"/>
    </row>
    <row r="1758" spans="1:39" x14ac:dyDescent="0.25">
      <c r="A1758" s="37" t="s">
        <v>62</v>
      </c>
      <c r="B1758" s="66" t="s">
        <v>1638</v>
      </c>
      <c r="C1758" s="41">
        <v>1056</v>
      </c>
      <c r="D1758" s="41" t="s">
        <v>816</v>
      </c>
      <c r="E1758" s="41">
        <v>10560017</v>
      </c>
      <c r="F1758" s="85" t="s">
        <v>1208</v>
      </c>
      <c r="G1758" s="39" t="s">
        <v>92</v>
      </c>
      <c r="H1758" s="52" t="s">
        <v>93</v>
      </c>
      <c r="I1758" s="52">
        <v>819.33999999999992</v>
      </c>
      <c r="J1758" s="49">
        <v>33467.229999999996</v>
      </c>
      <c r="K1758" s="58">
        <v>820.74000000000012</v>
      </c>
      <c r="L1758" s="58">
        <v>32804.29</v>
      </c>
      <c r="M1758" s="58">
        <v>0</v>
      </c>
      <c r="N1758" s="58">
        <v>0</v>
      </c>
      <c r="O1758" s="58">
        <v>820.74000000000012</v>
      </c>
      <c r="P1758" s="53">
        <v>32804.29</v>
      </c>
      <c r="Q1758" s="65">
        <v>32804.29</v>
      </c>
      <c r="R1758" s="65">
        <v>0</v>
      </c>
      <c r="S1758" s="65">
        <v>0</v>
      </c>
      <c r="T1758" s="65">
        <v>0</v>
      </c>
      <c r="U1758" s="58">
        <v>0</v>
      </c>
      <c r="V1758" s="65">
        <v>0</v>
      </c>
      <c r="W1758" s="65">
        <v>0</v>
      </c>
      <c r="X1758" s="65">
        <v>32804</v>
      </c>
      <c r="Y1758" s="65">
        <v>0</v>
      </c>
      <c r="Z1758" s="51">
        <v>0</v>
      </c>
      <c r="AA1758" s="51">
        <v>663</v>
      </c>
      <c r="AB1758" s="102">
        <v>0</v>
      </c>
      <c r="AC1758" s="81">
        <f t="shared" si="84"/>
        <v>0</v>
      </c>
      <c r="AD1758" s="82">
        <f t="shared" si="85"/>
        <v>0</v>
      </c>
      <c r="AE1758" s="218">
        <v>1.9808630711295652E-2</v>
      </c>
      <c r="AF1758">
        <v>15</v>
      </c>
      <c r="AH1758" t="str">
        <f t="shared" si="86"/>
        <v>Chautham</v>
      </c>
      <c r="AJ1758" s="72">
        <v>0</v>
      </c>
      <c r="AK1758" s="72"/>
      <c r="AL1758" s="72"/>
      <c r="AM1758" s="72"/>
    </row>
    <row r="1759" spans="1:39" x14ac:dyDescent="0.25">
      <c r="A1759" s="37" t="s">
        <v>62</v>
      </c>
      <c r="B1759" s="66" t="s">
        <v>1638</v>
      </c>
      <c r="C1759" s="41">
        <v>1056</v>
      </c>
      <c r="D1759" s="41" t="s">
        <v>816</v>
      </c>
      <c r="E1759" s="41">
        <v>10560019</v>
      </c>
      <c r="F1759" s="85" t="s">
        <v>1209</v>
      </c>
      <c r="G1759" s="39" t="s">
        <v>1610</v>
      </c>
      <c r="H1759" s="52" t="s">
        <v>98</v>
      </c>
      <c r="I1759" s="52">
        <v>1476.7</v>
      </c>
      <c r="J1759" s="49">
        <v>55995.05</v>
      </c>
      <c r="K1759" s="58">
        <v>0</v>
      </c>
      <c r="L1759" s="58">
        <v>0</v>
      </c>
      <c r="M1759" s="58">
        <v>0</v>
      </c>
      <c r="N1759" s="58">
        <v>0</v>
      </c>
      <c r="O1759" s="58">
        <v>0</v>
      </c>
      <c r="P1759" s="53">
        <v>0</v>
      </c>
      <c r="Q1759" s="65">
        <v>55995.05</v>
      </c>
      <c r="R1759" s="65">
        <v>0</v>
      </c>
      <c r="S1759" s="65">
        <v>0</v>
      </c>
      <c r="T1759" s="65">
        <v>0</v>
      </c>
      <c r="U1759" s="58">
        <v>13500</v>
      </c>
      <c r="V1759" s="65">
        <v>0</v>
      </c>
      <c r="W1759" s="65">
        <v>0</v>
      </c>
      <c r="X1759" s="65">
        <v>0</v>
      </c>
      <c r="Y1759" s="65">
        <v>0</v>
      </c>
      <c r="Z1759" s="51">
        <v>42495.05</v>
      </c>
      <c r="AA1759" s="51">
        <v>0</v>
      </c>
      <c r="AB1759" s="102">
        <v>0</v>
      </c>
      <c r="AC1759" s="81">
        <f t="shared" si="84"/>
        <v>0</v>
      </c>
      <c r="AD1759" s="82">
        <f t="shared" si="85"/>
        <v>0</v>
      </c>
      <c r="AE1759" s="218">
        <v>0</v>
      </c>
      <c r="AF1759">
        <v>0</v>
      </c>
      <c r="AH1759" t="str">
        <f t="shared" si="86"/>
        <v>Chautham</v>
      </c>
      <c r="AJ1759" s="72">
        <v>0</v>
      </c>
      <c r="AK1759" s="72"/>
      <c r="AL1759" s="72"/>
      <c r="AM1759" s="72"/>
    </row>
    <row r="1760" spans="1:39" x14ac:dyDescent="0.25">
      <c r="A1760" s="37" t="s">
        <v>62</v>
      </c>
      <c r="B1760" s="66" t="s">
        <v>1638</v>
      </c>
      <c r="C1760" s="41">
        <v>1056</v>
      </c>
      <c r="D1760" s="41" t="s">
        <v>816</v>
      </c>
      <c r="E1760" s="41">
        <v>10560022</v>
      </c>
      <c r="F1760" s="85" t="s">
        <v>1291</v>
      </c>
      <c r="G1760" s="39" t="s">
        <v>92</v>
      </c>
      <c r="H1760" s="52" t="s">
        <v>93</v>
      </c>
      <c r="I1760" s="52">
        <v>2427.7199999999998</v>
      </c>
      <c r="J1760" s="49">
        <v>104376.61000000002</v>
      </c>
      <c r="K1760" s="58">
        <v>2428.2199999999998</v>
      </c>
      <c r="L1760" s="58">
        <v>104398.5</v>
      </c>
      <c r="M1760" s="58">
        <v>0</v>
      </c>
      <c r="N1760" s="58">
        <v>0</v>
      </c>
      <c r="O1760" s="58">
        <v>2428.2199999999998</v>
      </c>
      <c r="P1760" s="53">
        <v>104398.5</v>
      </c>
      <c r="Q1760" s="65">
        <v>104376.61000000002</v>
      </c>
      <c r="R1760" s="65">
        <v>0</v>
      </c>
      <c r="S1760" s="65">
        <v>0</v>
      </c>
      <c r="T1760" s="65">
        <v>21.889999999984866</v>
      </c>
      <c r="U1760" s="58">
        <v>0</v>
      </c>
      <c r="V1760" s="65">
        <v>0</v>
      </c>
      <c r="W1760" s="65">
        <v>0</v>
      </c>
      <c r="X1760" s="65">
        <v>104377</v>
      </c>
      <c r="Y1760" s="65">
        <v>0</v>
      </c>
      <c r="Z1760" s="51">
        <v>0</v>
      </c>
      <c r="AA1760" s="51">
        <v>0</v>
      </c>
      <c r="AB1760" s="102">
        <v>0</v>
      </c>
      <c r="AC1760" s="81">
        <f t="shared" si="84"/>
        <v>0</v>
      </c>
      <c r="AD1760" s="82">
        <f t="shared" si="85"/>
        <v>0</v>
      </c>
      <c r="AE1760" s="218">
        <v>-2.0972131591536516E-4</v>
      </c>
      <c r="AF1760">
        <v>1</v>
      </c>
      <c r="AH1760" t="str">
        <f t="shared" si="86"/>
        <v>Chautham</v>
      </c>
      <c r="AJ1760" s="72">
        <v>0</v>
      </c>
      <c r="AK1760" s="72"/>
      <c r="AL1760" s="72"/>
      <c r="AM1760" s="72"/>
    </row>
    <row r="1761" spans="1:39" x14ac:dyDescent="0.25">
      <c r="A1761" s="37" t="s">
        <v>62</v>
      </c>
      <c r="B1761" s="66" t="s">
        <v>1638</v>
      </c>
      <c r="C1761" s="41">
        <v>1056</v>
      </c>
      <c r="D1761" s="41" t="s">
        <v>816</v>
      </c>
      <c r="E1761" s="41">
        <v>10560025</v>
      </c>
      <c r="F1761" s="85" t="s">
        <v>1275</v>
      </c>
      <c r="G1761" s="39" t="s">
        <v>1610</v>
      </c>
      <c r="H1761" s="52" t="s">
        <v>98</v>
      </c>
      <c r="I1761" s="52">
        <v>75.56</v>
      </c>
      <c r="J1761" s="49">
        <v>3178.75</v>
      </c>
      <c r="K1761" s="58">
        <v>0</v>
      </c>
      <c r="L1761" s="58">
        <v>0</v>
      </c>
      <c r="M1761" s="58">
        <v>0</v>
      </c>
      <c r="N1761" s="58">
        <v>0</v>
      </c>
      <c r="O1761" s="58">
        <v>0</v>
      </c>
      <c r="P1761" s="53">
        <v>0</v>
      </c>
      <c r="Q1761" s="65">
        <v>3178.75</v>
      </c>
      <c r="R1761" s="65">
        <v>0</v>
      </c>
      <c r="S1761" s="65">
        <v>0</v>
      </c>
      <c r="T1761" s="65">
        <v>0</v>
      </c>
      <c r="U1761" s="58">
        <v>1350</v>
      </c>
      <c r="V1761" s="65">
        <v>0</v>
      </c>
      <c r="W1761" s="65">
        <v>0</v>
      </c>
      <c r="X1761" s="65">
        <v>0</v>
      </c>
      <c r="Y1761" s="65">
        <v>0</v>
      </c>
      <c r="Z1761" s="51">
        <v>1828.75</v>
      </c>
      <c r="AA1761" s="51">
        <v>0</v>
      </c>
      <c r="AB1761" s="102">
        <v>0</v>
      </c>
      <c r="AC1761" s="81">
        <f t="shared" si="84"/>
        <v>525.39403123345676</v>
      </c>
      <c r="AD1761" s="82">
        <f t="shared" si="85"/>
        <v>10.794285714285715</v>
      </c>
      <c r="AE1761" s="218">
        <v>0</v>
      </c>
      <c r="AF1761">
        <v>0</v>
      </c>
      <c r="AH1761" t="str">
        <f t="shared" si="86"/>
        <v>Chautham</v>
      </c>
      <c r="AJ1761" s="72">
        <v>0</v>
      </c>
      <c r="AK1761" s="72"/>
      <c r="AL1761" s="72"/>
      <c r="AM1761" s="72"/>
    </row>
    <row r="1762" spans="1:39" x14ac:dyDescent="0.25">
      <c r="A1762" s="37" t="s">
        <v>62</v>
      </c>
      <c r="B1762" s="66" t="s">
        <v>1638</v>
      </c>
      <c r="C1762" s="41">
        <v>1056</v>
      </c>
      <c r="D1762" s="41" t="s">
        <v>816</v>
      </c>
      <c r="E1762" s="41">
        <v>10560026</v>
      </c>
      <c r="F1762" s="85" t="s">
        <v>1292</v>
      </c>
      <c r="G1762" s="39" t="s">
        <v>92</v>
      </c>
      <c r="H1762" s="52" t="s">
        <v>93</v>
      </c>
      <c r="I1762" s="52">
        <v>1058.1399999999999</v>
      </c>
      <c r="J1762" s="49">
        <v>42666.530000000006</v>
      </c>
      <c r="K1762" s="58">
        <v>1081.8800000000003</v>
      </c>
      <c r="L1762" s="58">
        <v>43856.689999999995</v>
      </c>
      <c r="M1762" s="58">
        <v>0</v>
      </c>
      <c r="N1762" s="58">
        <v>0</v>
      </c>
      <c r="O1762" s="58">
        <v>1081.8800000000003</v>
      </c>
      <c r="P1762" s="53">
        <v>43856.689999999995</v>
      </c>
      <c r="Q1762" s="65">
        <v>42666.530000000006</v>
      </c>
      <c r="R1762" s="65">
        <v>0</v>
      </c>
      <c r="S1762" s="65">
        <v>0</v>
      </c>
      <c r="T1762" s="65">
        <v>1190.1599999999889</v>
      </c>
      <c r="U1762" s="58">
        <v>0</v>
      </c>
      <c r="V1762" s="65">
        <v>0</v>
      </c>
      <c r="W1762" s="65">
        <v>0</v>
      </c>
      <c r="X1762" s="65">
        <v>42667</v>
      </c>
      <c r="Y1762" s="65">
        <v>0</v>
      </c>
      <c r="Z1762" s="51">
        <v>0</v>
      </c>
      <c r="AA1762" s="51">
        <v>0</v>
      </c>
      <c r="AB1762" s="102">
        <v>0</v>
      </c>
      <c r="AC1762" s="81">
        <f t="shared" si="84"/>
        <v>0</v>
      </c>
      <c r="AD1762" s="82">
        <f t="shared" si="85"/>
        <v>0</v>
      </c>
      <c r="AE1762" s="218">
        <v>-2.7894464349455857E-2</v>
      </c>
      <c r="AF1762">
        <v>19</v>
      </c>
      <c r="AH1762" t="str">
        <f t="shared" si="86"/>
        <v>Chautham</v>
      </c>
      <c r="AJ1762" s="72">
        <v>0</v>
      </c>
      <c r="AK1762" s="72"/>
      <c r="AL1762" s="72"/>
      <c r="AM1762" s="72"/>
    </row>
    <row r="1763" spans="1:39" x14ac:dyDescent="0.25">
      <c r="A1763" s="37" t="s">
        <v>62</v>
      </c>
      <c r="B1763" s="66" t="s">
        <v>1638</v>
      </c>
      <c r="C1763" s="41">
        <v>1056</v>
      </c>
      <c r="D1763" s="41" t="s">
        <v>816</v>
      </c>
      <c r="E1763" s="41">
        <v>10560028</v>
      </c>
      <c r="F1763" s="85" t="s">
        <v>1390</v>
      </c>
      <c r="G1763" s="39" t="s">
        <v>1610</v>
      </c>
      <c r="H1763" s="52" t="s">
        <v>93</v>
      </c>
      <c r="I1763" s="52">
        <v>296.24000000000007</v>
      </c>
      <c r="J1763" s="49">
        <v>14405.020000000002</v>
      </c>
      <c r="K1763" s="58">
        <v>306.24</v>
      </c>
      <c r="L1763" s="58">
        <v>14834.52</v>
      </c>
      <c r="M1763" s="58">
        <v>0</v>
      </c>
      <c r="N1763" s="58">
        <v>0</v>
      </c>
      <c r="O1763" s="58">
        <v>306.24</v>
      </c>
      <c r="P1763" s="53">
        <v>14834.52</v>
      </c>
      <c r="Q1763" s="65">
        <v>14405.020000000002</v>
      </c>
      <c r="R1763" s="65">
        <v>0</v>
      </c>
      <c r="S1763" s="65">
        <v>0</v>
      </c>
      <c r="T1763" s="65">
        <v>429.49999999999818</v>
      </c>
      <c r="U1763" s="58">
        <v>0</v>
      </c>
      <c r="V1763" s="65">
        <v>0</v>
      </c>
      <c r="W1763" s="65">
        <v>0</v>
      </c>
      <c r="X1763" s="65">
        <v>14405</v>
      </c>
      <c r="Y1763" s="65">
        <v>0</v>
      </c>
      <c r="Z1763" s="51">
        <v>0</v>
      </c>
      <c r="AA1763" s="51">
        <v>0</v>
      </c>
      <c r="AB1763" s="102">
        <v>0</v>
      </c>
      <c r="AC1763" s="81">
        <f t="shared" si="84"/>
        <v>392.66614064272204</v>
      </c>
      <c r="AD1763" s="82">
        <f t="shared" si="85"/>
        <v>42.320000000000007</v>
      </c>
      <c r="AE1763" s="218">
        <v>-2.9815994701846864E-2</v>
      </c>
      <c r="AF1763">
        <v>1</v>
      </c>
      <c r="AH1763" t="str">
        <f t="shared" si="86"/>
        <v>Chautham</v>
      </c>
      <c r="AJ1763" s="72">
        <v>0</v>
      </c>
      <c r="AK1763" s="72"/>
      <c r="AL1763" s="72"/>
      <c r="AM1763" s="72"/>
    </row>
    <row r="1764" spans="1:39" x14ac:dyDescent="0.25">
      <c r="A1764" s="37" t="s">
        <v>62</v>
      </c>
      <c r="B1764" s="66" t="s">
        <v>1638</v>
      </c>
      <c r="C1764" s="41">
        <v>1056</v>
      </c>
      <c r="D1764" s="41" t="s">
        <v>816</v>
      </c>
      <c r="E1764" s="41">
        <v>10560031</v>
      </c>
      <c r="F1764" s="85" t="s">
        <v>1391</v>
      </c>
      <c r="G1764" s="39" t="s">
        <v>1610</v>
      </c>
      <c r="H1764" s="52" t="s">
        <v>93</v>
      </c>
      <c r="I1764" s="52">
        <v>577.76</v>
      </c>
      <c r="J1764" s="49">
        <v>23173.149999999998</v>
      </c>
      <c r="K1764" s="58">
        <v>580.84</v>
      </c>
      <c r="L1764" s="58">
        <v>23621.73</v>
      </c>
      <c r="M1764" s="58">
        <v>0</v>
      </c>
      <c r="N1764" s="58">
        <v>0</v>
      </c>
      <c r="O1764" s="58">
        <v>580.84</v>
      </c>
      <c r="P1764" s="53">
        <v>23621.73</v>
      </c>
      <c r="Q1764" s="65">
        <v>23173.149999999998</v>
      </c>
      <c r="R1764" s="65">
        <v>0</v>
      </c>
      <c r="S1764" s="65">
        <v>0</v>
      </c>
      <c r="T1764" s="65">
        <v>448.58000000000175</v>
      </c>
      <c r="U1764" s="58">
        <v>0</v>
      </c>
      <c r="V1764" s="65">
        <v>0</v>
      </c>
      <c r="W1764" s="65">
        <v>0</v>
      </c>
      <c r="X1764" s="65">
        <v>23173</v>
      </c>
      <c r="Y1764" s="65">
        <v>0</v>
      </c>
      <c r="Z1764" s="51">
        <v>0</v>
      </c>
      <c r="AA1764" s="51">
        <v>0</v>
      </c>
      <c r="AB1764" s="102">
        <v>0</v>
      </c>
      <c r="AC1764" s="81">
        <f t="shared" si="84"/>
        <v>98.057527554694005</v>
      </c>
      <c r="AD1764" s="82">
        <f t="shared" si="85"/>
        <v>82.537142857142854</v>
      </c>
      <c r="AE1764" s="218">
        <v>-1.9357748083450105E-2</v>
      </c>
      <c r="AF1764">
        <v>1</v>
      </c>
      <c r="AH1764" t="str">
        <f t="shared" si="86"/>
        <v>Chautham</v>
      </c>
      <c r="AJ1764" s="72">
        <v>0</v>
      </c>
      <c r="AK1764" s="72"/>
      <c r="AL1764" s="72"/>
      <c r="AM1764" s="72"/>
    </row>
    <row r="1765" spans="1:39" x14ac:dyDescent="0.25">
      <c r="A1765" s="37" t="s">
        <v>62</v>
      </c>
      <c r="B1765" s="66" t="s">
        <v>1638</v>
      </c>
      <c r="C1765" s="41">
        <v>1056</v>
      </c>
      <c r="D1765" s="41" t="s">
        <v>816</v>
      </c>
      <c r="E1765" s="41">
        <v>10560033</v>
      </c>
      <c r="F1765" s="85" t="s">
        <v>1433</v>
      </c>
      <c r="G1765" s="39" t="s">
        <v>92</v>
      </c>
      <c r="H1765" s="52" t="s">
        <v>98</v>
      </c>
      <c r="I1765" s="52">
        <v>245.87999999999997</v>
      </c>
      <c r="J1765" s="49">
        <v>10537.349999999999</v>
      </c>
      <c r="K1765" s="58">
        <v>0</v>
      </c>
      <c r="L1765" s="58">
        <v>0</v>
      </c>
      <c r="M1765" s="58">
        <v>0</v>
      </c>
      <c r="N1765" s="58">
        <v>0</v>
      </c>
      <c r="O1765" s="58">
        <v>0</v>
      </c>
      <c r="P1765" s="53">
        <v>0</v>
      </c>
      <c r="Q1765" s="65">
        <v>10537.349999999999</v>
      </c>
      <c r="R1765" s="65">
        <v>0</v>
      </c>
      <c r="S1765" s="65">
        <v>0</v>
      </c>
      <c r="T1765" s="65">
        <v>0</v>
      </c>
      <c r="U1765" s="58">
        <v>0</v>
      </c>
      <c r="V1765" s="65">
        <v>0</v>
      </c>
      <c r="W1765" s="65">
        <v>0</v>
      </c>
      <c r="X1765" s="65">
        <v>0</v>
      </c>
      <c r="Y1765" s="65">
        <v>0</v>
      </c>
      <c r="Z1765" s="51">
        <v>10537.349999999999</v>
      </c>
      <c r="AA1765" s="51">
        <v>0</v>
      </c>
      <c r="AB1765" s="102">
        <v>0</v>
      </c>
      <c r="AC1765" s="81">
        <f t="shared" si="84"/>
        <v>389.23225817471939</v>
      </c>
      <c r="AD1765" s="82">
        <f t="shared" si="85"/>
        <v>35.125714285714281</v>
      </c>
      <c r="AE1765" s="218">
        <v>0</v>
      </c>
      <c r="AF1765">
        <v>0</v>
      </c>
      <c r="AH1765" t="str">
        <f t="shared" si="86"/>
        <v>Chautham</v>
      </c>
      <c r="AJ1765" s="72">
        <v>0</v>
      </c>
      <c r="AK1765" s="72"/>
      <c r="AL1765" s="72"/>
      <c r="AM1765" s="72"/>
    </row>
    <row r="1766" spans="1:39" x14ac:dyDescent="0.25">
      <c r="A1766" s="37" t="s">
        <v>62</v>
      </c>
      <c r="B1766" s="66" t="s">
        <v>1638</v>
      </c>
      <c r="C1766" s="41">
        <v>1056</v>
      </c>
      <c r="D1766" s="41" t="s">
        <v>816</v>
      </c>
      <c r="E1766" s="41">
        <v>10560034</v>
      </c>
      <c r="F1766" s="85" t="s">
        <v>1341</v>
      </c>
      <c r="G1766" s="39" t="s">
        <v>1610</v>
      </c>
      <c r="H1766" s="52" t="s">
        <v>98</v>
      </c>
      <c r="I1766" s="52">
        <v>126.4</v>
      </c>
      <c r="J1766" s="49">
        <v>4456.3099999999995</v>
      </c>
      <c r="K1766" s="58">
        <v>0</v>
      </c>
      <c r="L1766" s="58">
        <v>0</v>
      </c>
      <c r="M1766" s="58">
        <v>0</v>
      </c>
      <c r="N1766" s="58">
        <v>0</v>
      </c>
      <c r="O1766" s="58">
        <v>0</v>
      </c>
      <c r="P1766" s="53">
        <v>0</v>
      </c>
      <c r="Q1766" s="65">
        <v>4456.3099999999995</v>
      </c>
      <c r="R1766" s="65">
        <v>0</v>
      </c>
      <c r="S1766" s="65">
        <v>0</v>
      </c>
      <c r="T1766" s="65">
        <v>0</v>
      </c>
      <c r="U1766" s="58">
        <v>4456</v>
      </c>
      <c r="V1766" s="65">
        <v>0</v>
      </c>
      <c r="W1766" s="65">
        <v>0</v>
      </c>
      <c r="X1766" s="65">
        <v>0</v>
      </c>
      <c r="Y1766" s="65">
        <v>0</v>
      </c>
      <c r="Z1766" s="51">
        <v>0.30999999999949068</v>
      </c>
      <c r="AA1766" s="51">
        <v>0</v>
      </c>
      <c r="AB1766" s="102">
        <v>0</v>
      </c>
      <c r="AC1766" s="81">
        <f t="shared" si="84"/>
        <v>404.45243924050624</v>
      </c>
      <c r="AD1766" s="82">
        <f t="shared" si="85"/>
        <v>18.057142857142857</v>
      </c>
      <c r="AE1766" s="218">
        <v>0</v>
      </c>
      <c r="AF1766">
        <v>0</v>
      </c>
      <c r="AH1766" t="str">
        <f t="shared" si="86"/>
        <v>Chautham</v>
      </c>
      <c r="AJ1766" s="72">
        <v>0</v>
      </c>
      <c r="AK1766" s="72"/>
      <c r="AL1766" s="72"/>
      <c r="AM1766" s="72"/>
    </row>
    <row r="1767" spans="1:39" x14ac:dyDescent="0.25">
      <c r="A1767" s="37" t="s">
        <v>62</v>
      </c>
      <c r="B1767" s="66" t="s">
        <v>1638</v>
      </c>
      <c r="C1767" s="41">
        <v>1056</v>
      </c>
      <c r="D1767" s="41" t="s">
        <v>816</v>
      </c>
      <c r="E1767" s="41">
        <v>10560035</v>
      </c>
      <c r="F1767" s="85" t="s">
        <v>1457</v>
      </c>
      <c r="G1767" s="39" t="s">
        <v>92</v>
      </c>
      <c r="H1767" s="52" t="s">
        <v>93</v>
      </c>
      <c r="I1767" s="52">
        <v>479.48</v>
      </c>
      <c r="J1767" s="49">
        <v>17976.07</v>
      </c>
      <c r="K1767" s="58">
        <v>485.68000000000006</v>
      </c>
      <c r="L1767" s="58">
        <v>17108.990000000002</v>
      </c>
      <c r="M1767" s="58">
        <v>0</v>
      </c>
      <c r="N1767" s="58">
        <v>0</v>
      </c>
      <c r="O1767" s="58">
        <v>485.68000000000006</v>
      </c>
      <c r="P1767" s="53">
        <v>17108.990000000002</v>
      </c>
      <c r="Q1767" s="65">
        <v>17108.990000000002</v>
      </c>
      <c r="R1767" s="65">
        <v>0</v>
      </c>
      <c r="S1767" s="65">
        <v>0</v>
      </c>
      <c r="T1767" s="65">
        <v>0</v>
      </c>
      <c r="U1767" s="58">
        <v>0</v>
      </c>
      <c r="V1767" s="65">
        <v>0</v>
      </c>
      <c r="W1767" s="65">
        <v>0</v>
      </c>
      <c r="X1767" s="65">
        <v>17109</v>
      </c>
      <c r="Y1767" s="65">
        <v>0</v>
      </c>
      <c r="Z1767" s="51">
        <v>0</v>
      </c>
      <c r="AA1767" s="51">
        <v>867</v>
      </c>
      <c r="AB1767" s="102">
        <v>0</v>
      </c>
      <c r="AC1767" s="81">
        <f t="shared" si="84"/>
        <v>165.34925153916743</v>
      </c>
      <c r="AD1767" s="82">
        <f t="shared" si="85"/>
        <v>68.497142857142862</v>
      </c>
      <c r="AE1767" s="218">
        <v>4.8235237179205359E-2</v>
      </c>
      <c r="AF1767">
        <v>2</v>
      </c>
      <c r="AH1767" t="str">
        <f t="shared" si="86"/>
        <v>Chautham</v>
      </c>
      <c r="AJ1767" s="72">
        <v>0</v>
      </c>
      <c r="AK1767" s="72"/>
      <c r="AL1767" s="72"/>
      <c r="AM1767" s="72"/>
    </row>
    <row r="1768" spans="1:39" x14ac:dyDescent="0.25">
      <c r="A1768" s="37" t="s">
        <v>62</v>
      </c>
      <c r="B1768" s="66" t="s">
        <v>1638</v>
      </c>
      <c r="C1768" s="41">
        <v>1056</v>
      </c>
      <c r="D1768" s="41" t="s">
        <v>816</v>
      </c>
      <c r="E1768" s="41">
        <v>10560036</v>
      </c>
      <c r="F1768" s="85" t="s">
        <v>1434</v>
      </c>
      <c r="G1768" s="39" t="s">
        <v>92</v>
      </c>
      <c r="H1768" s="52" t="s">
        <v>93</v>
      </c>
      <c r="I1768" s="52">
        <v>516.34</v>
      </c>
      <c r="J1768" s="49">
        <v>25374.510000000002</v>
      </c>
      <c r="K1768" s="58">
        <v>545.4</v>
      </c>
      <c r="L1768" s="58">
        <v>26551.22</v>
      </c>
      <c r="M1768" s="58">
        <v>0</v>
      </c>
      <c r="N1768" s="58">
        <v>0</v>
      </c>
      <c r="O1768" s="58">
        <v>545.4</v>
      </c>
      <c r="P1768" s="53">
        <v>26551.22</v>
      </c>
      <c r="Q1768" s="65">
        <v>25374.510000000002</v>
      </c>
      <c r="R1768" s="65">
        <v>0</v>
      </c>
      <c r="S1768" s="65">
        <v>0</v>
      </c>
      <c r="T1768" s="65">
        <v>1176.7099999999991</v>
      </c>
      <c r="U1768" s="58">
        <v>0</v>
      </c>
      <c r="V1768" s="65">
        <v>0</v>
      </c>
      <c r="W1768" s="65">
        <v>0</v>
      </c>
      <c r="X1768" s="65">
        <v>25375</v>
      </c>
      <c r="Y1768" s="65">
        <v>0</v>
      </c>
      <c r="Z1768" s="51">
        <v>0</v>
      </c>
      <c r="AA1768" s="51">
        <v>0</v>
      </c>
      <c r="AB1768" s="102">
        <v>0</v>
      </c>
      <c r="AC1768" s="81">
        <f t="shared" si="84"/>
        <v>180.51216278421194</v>
      </c>
      <c r="AD1768" s="82">
        <f t="shared" si="85"/>
        <v>73.762857142857143</v>
      </c>
      <c r="AE1768" s="218">
        <v>-4.6373703373976442E-2</v>
      </c>
      <c r="AF1768">
        <v>2</v>
      </c>
      <c r="AH1768" t="str">
        <f t="shared" si="86"/>
        <v>Chautham</v>
      </c>
      <c r="AJ1768" s="72">
        <v>0</v>
      </c>
      <c r="AK1768" s="72"/>
      <c r="AL1768" s="72"/>
      <c r="AM1768" s="72"/>
    </row>
    <row r="1769" spans="1:39" x14ac:dyDescent="0.25">
      <c r="A1769" s="37" t="s">
        <v>62</v>
      </c>
      <c r="B1769" s="66" t="s">
        <v>1638</v>
      </c>
      <c r="C1769" s="41">
        <v>1056</v>
      </c>
      <c r="D1769" s="41" t="s">
        <v>816</v>
      </c>
      <c r="E1769" s="41">
        <v>10560037</v>
      </c>
      <c r="F1769" s="85" t="s">
        <v>1435</v>
      </c>
      <c r="G1769" s="39" t="s">
        <v>92</v>
      </c>
      <c r="H1769" s="52" t="s">
        <v>93</v>
      </c>
      <c r="I1769" s="52">
        <v>377.12</v>
      </c>
      <c r="J1769" s="49">
        <v>14960.980000000003</v>
      </c>
      <c r="K1769" s="58">
        <v>794.6600000000002</v>
      </c>
      <c r="L1769" s="58">
        <v>31036.779999999988</v>
      </c>
      <c r="M1769" s="58">
        <v>0</v>
      </c>
      <c r="N1769" s="58">
        <v>0</v>
      </c>
      <c r="O1769" s="58">
        <v>794.6600000000002</v>
      </c>
      <c r="P1769" s="53">
        <v>31036.779999999988</v>
      </c>
      <c r="Q1769" s="65">
        <v>14960.980000000003</v>
      </c>
      <c r="R1769" s="65">
        <v>0</v>
      </c>
      <c r="S1769" s="65">
        <v>0</v>
      </c>
      <c r="T1769" s="65">
        <v>16075.799999999985</v>
      </c>
      <c r="U1769" s="58">
        <v>0</v>
      </c>
      <c r="V1769" s="65">
        <v>0</v>
      </c>
      <c r="W1769" s="65">
        <v>0</v>
      </c>
      <c r="X1769" s="65">
        <v>14961</v>
      </c>
      <c r="Y1769" s="65">
        <v>0</v>
      </c>
      <c r="Z1769" s="51">
        <v>0</v>
      </c>
      <c r="AA1769" s="51">
        <v>0</v>
      </c>
      <c r="AB1769" s="102">
        <v>0</v>
      </c>
      <c r="AC1769" s="81">
        <f t="shared" si="84"/>
        <v>256.18377293169289</v>
      </c>
      <c r="AD1769" s="82">
        <f t="shared" si="85"/>
        <v>53.874285714285712</v>
      </c>
      <c r="AE1769" s="218">
        <v>-1.0745151721344446</v>
      </c>
      <c r="AF1769">
        <v>1</v>
      </c>
      <c r="AH1769" t="str">
        <f t="shared" si="86"/>
        <v>Chautham</v>
      </c>
      <c r="AJ1769" s="72">
        <v>0</v>
      </c>
      <c r="AK1769" s="72"/>
      <c r="AL1769" s="72"/>
      <c r="AM1769" s="72"/>
    </row>
    <row r="1770" spans="1:39" x14ac:dyDescent="0.25">
      <c r="A1770" s="37" t="s">
        <v>62</v>
      </c>
      <c r="B1770" s="66" t="s">
        <v>1638</v>
      </c>
      <c r="C1770" s="41">
        <v>1056</v>
      </c>
      <c r="D1770" s="41" t="s">
        <v>816</v>
      </c>
      <c r="E1770" s="41">
        <v>10560039</v>
      </c>
      <c r="F1770" s="85" t="s">
        <v>1552</v>
      </c>
      <c r="G1770" s="39" t="s">
        <v>1610</v>
      </c>
      <c r="H1770" s="52" t="s">
        <v>98</v>
      </c>
      <c r="I1770" s="52">
        <v>396.52000000000004</v>
      </c>
      <c r="J1770" s="49">
        <v>14324.749999999996</v>
      </c>
      <c r="K1770" s="58">
        <v>0</v>
      </c>
      <c r="L1770" s="58">
        <v>0</v>
      </c>
      <c r="M1770" s="58">
        <v>0</v>
      </c>
      <c r="N1770" s="58">
        <v>0</v>
      </c>
      <c r="O1770" s="58">
        <v>0</v>
      </c>
      <c r="P1770" s="53">
        <v>0</v>
      </c>
      <c r="Q1770" s="65">
        <v>14324.749999999996</v>
      </c>
      <c r="R1770" s="65">
        <v>0</v>
      </c>
      <c r="S1770" s="65">
        <v>0</v>
      </c>
      <c r="T1770" s="65">
        <v>0</v>
      </c>
      <c r="U1770" s="58">
        <v>0</v>
      </c>
      <c r="V1770" s="65">
        <v>0</v>
      </c>
      <c r="W1770" s="65">
        <v>0</v>
      </c>
      <c r="X1770" s="65">
        <v>0</v>
      </c>
      <c r="Y1770" s="65">
        <v>0</v>
      </c>
      <c r="Z1770" s="51">
        <v>14324.749999999996</v>
      </c>
      <c r="AA1770" s="51">
        <v>0</v>
      </c>
      <c r="AB1770" s="102">
        <v>0</v>
      </c>
      <c r="AC1770" s="81">
        <f t="shared" si="84"/>
        <v>219.27141783516581</v>
      </c>
      <c r="AD1770" s="82">
        <f t="shared" si="85"/>
        <v>56.645714285714291</v>
      </c>
      <c r="AE1770" s="218">
        <v>0</v>
      </c>
      <c r="AF1770">
        <v>0</v>
      </c>
      <c r="AH1770" t="str">
        <f t="shared" si="86"/>
        <v>Chautham</v>
      </c>
      <c r="AJ1770" s="72">
        <v>0</v>
      </c>
      <c r="AK1770" s="72"/>
      <c r="AL1770" s="72"/>
      <c r="AM1770" s="72"/>
    </row>
    <row r="1771" spans="1:39" x14ac:dyDescent="0.25">
      <c r="A1771" s="37" t="s">
        <v>62</v>
      </c>
      <c r="B1771" s="66" t="s">
        <v>1638</v>
      </c>
      <c r="C1771" s="41">
        <v>1056</v>
      </c>
      <c r="D1771" s="41" t="s">
        <v>816</v>
      </c>
      <c r="E1771" s="41">
        <v>10560040</v>
      </c>
      <c r="F1771" s="85" t="s">
        <v>1553</v>
      </c>
      <c r="G1771" s="39" t="s">
        <v>1610</v>
      </c>
      <c r="H1771" s="52" t="s">
        <v>98</v>
      </c>
      <c r="I1771" s="52">
        <v>177.32</v>
      </c>
      <c r="J1771" s="49">
        <v>7243.52</v>
      </c>
      <c r="K1771" s="58">
        <v>0</v>
      </c>
      <c r="L1771" s="58">
        <v>0</v>
      </c>
      <c r="M1771" s="58">
        <v>0</v>
      </c>
      <c r="N1771" s="58">
        <v>0</v>
      </c>
      <c r="O1771" s="58">
        <v>0</v>
      </c>
      <c r="P1771" s="53">
        <v>0</v>
      </c>
      <c r="Q1771" s="65">
        <v>7243.52</v>
      </c>
      <c r="R1771" s="65">
        <v>0</v>
      </c>
      <c r="S1771" s="65">
        <v>0</v>
      </c>
      <c r="T1771" s="65">
        <v>0</v>
      </c>
      <c r="U1771" s="58">
        <v>0</v>
      </c>
      <c r="V1771" s="65">
        <v>0</v>
      </c>
      <c r="W1771" s="65">
        <v>0</v>
      </c>
      <c r="X1771" s="65">
        <v>0</v>
      </c>
      <c r="Y1771" s="65">
        <v>0</v>
      </c>
      <c r="Z1771" s="51">
        <v>7243.52</v>
      </c>
      <c r="AA1771" s="51">
        <v>0</v>
      </c>
      <c r="AB1771" s="102">
        <v>0</v>
      </c>
      <c r="AC1771" s="81">
        <f t="shared" si="84"/>
        <v>427.02944209339046</v>
      </c>
      <c r="AD1771" s="82">
        <f t="shared" si="85"/>
        <v>25.331428571428571</v>
      </c>
      <c r="AE1771" s="218">
        <v>0</v>
      </c>
      <c r="AF1771">
        <v>0</v>
      </c>
      <c r="AH1771" t="str">
        <f t="shared" si="86"/>
        <v>Chautham</v>
      </c>
      <c r="AJ1771" s="72">
        <v>0</v>
      </c>
      <c r="AK1771" s="72"/>
      <c r="AL1771" s="72"/>
      <c r="AM1771" s="72"/>
    </row>
    <row r="1772" spans="1:39" x14ac:dyDescent="0.25">
      <c r="A1772" s="37" t="s">
        <v>62</v>
      </c>
      <c r="B1772" s="66" t="s">
        <v>1638</v>
      </c>
      <c r="C1772" s="41">
        <v>1063</v>
      </c>
      <c r="D1772" s="41" t="s">
        <v>1565</v>
      </c>
      <c r="E1772" s="41">
        <v>10570001</v>
      </c>
      <c r="F1772" s="85" t="s">
        <v>1175</v>
      </c>
      <c r="G1772" s="39" t="s">
        <v>92</v>
      </c>
      <c r="H1772" s="52" t="s">
        <v>93</v>
      </c>
      <c r="I1772" s="52">
        <v>68.700000000000017</v>
      </c>
      <c r="J1772" s="49">
        <v>2468.79</v>
      </c>
      <c r="K1772" s="58">
        <v>67.3</v>
      </c>
      <c r="L1772" s="58">
        <v>2409.9499999999998</v>
      </c>
      <c r="M1772" s="58">
        <v>1.4000000000000001</v>
      </c>
      <c r="N1772" s="58">
        <v>37.620000000000005</v>
      </c>
      <c r="O1772" s="58">
        <v>68.7</v>
      </c>
      <c r="P1772" s="53">
        <v>2447.5699999999997</v>
      </c>
      <c r="Q1772" s="65">
        <v>2447.5699999999997</v>
      </c>
      <c r="R1772" s="65">
        <v>0</v>
      </c>
      <c r="S1772" s="65">
        <v>5.38</v>
      </c>
      <c r="T1772" s="65">
        <v>0</v>
      </c>
      <c r="U1772" s="58">
        <v>0</v>
      </c>
      <c r="V1772" s="65">
        <v>500</v>
      </c>
      <c r="W1772" s="65">
        <v>0</v>
      </c>
      <c r="X1772" s="65">
        <v>1910</v>
      </c>
      <c r="Y1772" s="65">
        <v>32</v>
      </c>
      <c r="Z1772" s="51">
        <v>0</v>
      </c>
      <c r="AA1772" s="51">
        <v>21</v>
      </c>
      <c r="AB1772" s="102">
        <v>0</v>
      </c>
      <c r="AC1772" s="81">
        <f t="shared" si="84"/>
        <v>453.72551004366807</v>
      </c>
      <c r="AD1772" s="82">
        <f t="shared" si="85"/>
        <v>9.8142857142857167</v>
      </c>
      <c r="AE1772" s="218">
        <v>8.5953037722934136E-3</v>
      </c>
      <c r="AF1772">
        <v>6</v>
      </c>
      <c r="AH1772" t="str">
        <f t="shared" si="86"/>
        <v>Rosera</v>
      </c>
      <c r="AJ1772" s="72">
        <v>500</v>
      </c>
      <c r="AK1772" s="72"/>
      <c r="AL1772" s="72"/>
      <c r="AM1772" s="72"/>
    </row>
    <row r="1773" spans="1:39" x14ac:dyDescent="0.25">
      <c r="A1773" s="37" t="s">
        <v>62</v>
      </c>
      <c r="B1773" s="66" t="s">
        <v>1638</v>
      </c>
      <c r="C1773" s="41">
        <v>1057</v>
      </c>
      <c r="D1773" s="41" t="s">
        <v>1174</v>
      </c>
      <c r="E1773" s="41">
        <v>10570003</v>
      </c>
      <c r="F1773" s="85" t="s">
        <v>1176</v>
      </c>
      <c r="G1773" s="39" t="s">
        <v>92</v>
      </c>
      <c r="H1773" s="52" t="s">
        <v>93</v>
      </c>
      <c r="I1773" s="52">
        <v>330.90000000000003</v>
      </c>
      <c r="J1773" s="49">
        <v>13162.340000000002</v>
      </c>
      <c r="K1773" s="58">
        <v>26.8</v>
      </c>
      <c r="L1773" s="58">
        <v>1130.6399999999999</v>
      </c>
      <c r="M1773" s="58">
        <v>279.60000000000002</v>
      </c>
      <c r="N1773" s="58">
        <v>12017.29</v>
      </c>
      <c r="O1773" s="58">
        <v>306.40000000000003</v>
      </c>
      <c r="P1773" s="53">
        <v>13147.93</v>
      </c>
      <c r="Q1773" s="65">
        <v>13147.93</v>
      </c>
      <c r="R1773" s="65">
        <v>0</v>
      </c>
      <c r="S1773" s="65">
        <v>0</v>
      </c>
      <c r="T1773" s="65">
        <v>0</v>
      </c>
      <c r="U1773" s="58">
        <v>0</v>
      </c>
      <c r="V1773" s="65">
        <v>500</v>
      </c>
      <c r="W1773" s="65">
        <v>0</v>
      </c>
      <c r="X1773" s="65">
        <v>631</v>
      </c>
      <c r="Y1773" s="65">
        <v>12017</v>
      </c>
      <c r="Z1773" s="51">
        <v>0</v>
      </c>
      <c r="AA1773" s="51">
        <v>14</v>
      </c>
      <c r="AB1773" s="102">
        <v>0</v>
      </c>
      <c r="AC1773" s="81">
        <f t="shared" si="84"/>
        <v>293.63672976730129</v>
      </c>
      <c r="AD1773" s="82">
        <f t="shared" si="85"/>
        <v>47.271428571428579</v>
      </c>
      <c r="AE1773" s="218">
        <v>1.0947901361005468E-3</v>
      </c>
      <c r="AF1773">
        <v>11</v>
      </c>
      <c r="AH1773" t="str">
        <f t="shared" si="86"/>
        <v>Warisnagar</v>
      </c>
      <c r="AJ1773" s="72">
        <v>500</v>
      </c>
      <c r="AK1773" s="72"/>
      <c r="AL1773" s="72"/>
      <c r="AM1773" s="72"/>
    </row>
    <row r="1774" spans="1:39" x14ac:dyDescent="0.25">
      <c r="A1774" s="37" t="s">
        <v>62</v>
      </c>
      <c r="B1774" s="66" t="s">
        <v>1638</v>
      </c>
      <c r="C1774" s="41">
        <v>1057</v>
      </c>
      <c r="D1774" s="41" t="s">
        <v>1174</v>
      </c>
      <c r="E1774" s="41">
        <v>10570007</v>
      </c>
      <c r="F1774" s="85" t="s">
        <v>1182</v>
      </c>
      <c r="G1774" s="39" t="s">
        <v>92</v>
      </c>
      <c r="H1774" s="52" t="s">
        <v>93</v>
      </c>
      <c r="I1774" s="52">
        <v>575.9</v>
      </c>
      <c r="J1774" s="49">
        <v>24982.67</v>
      </c>
      <c r="K1774" s="58">
        <v>51.599999999999994</v>
      </c>
      <c r="L1774" s="58">
        <v>2242.3100000000004</v>
      </c>
      <c r="M1774" s="58">
        <v>524.29999999999995</v>
      </c>
      <c r="N1774" s="58">
        <v>22740.359999999997</v>
      </c>
      <c r="O1774" s="58">
        <v>575.9</v>
      </c>
      <c r="P1774" s="53">
        <v>24982.67</v>
      </c>
      <c r="Q1774" s="65">
        <v>24982.67</v>
      </c>
      <c r="R1774" s="65">
        <v>0</v>
      </c>
      <c r="S1774" s="65">
        <v>0</v>
      </c>
      <c r="T1774" s="65">
        <v>0</v>
      </c>
      <c r="U1774" s="58">
        <v>14000</v>
      </c>
      <c r="V1774" s="65">
        <v>0</v>
      </c>
      <c r="W1774" s="65">
        <v>0</v>
      </c>
      <c r="X1774" s="65">
        <v>0</v>
      </c>
      <c r="Y1774" s="65">
        <v>10983</v>
      </c>
      <c r="Z1774" s="51">
        <v>0</v>
      </c>
      <c r="AA1774" s="51">
        <v>0</v>
      </c>
      <c r="AB1774" s="102">
        <v>0</v>
      </c>
      <c r="AC1774" s="81">
        <f t="shared" si="84"/>
        <v>107.66971165132837</v>
      </c>
      <c r="AD1774" s="82">
        <f t="shared" si="85"/>
        <v>82.271428571428572</v>
      </c>
      <c r="AE1774" s="218">
        <v>0</v>
      </c>
      <c r="AF1774">
        <v>8</v>
      </c>
      <c r="AH1774" t="str">
        <f t="shared" si="86"/>
        <v>Warisnagar</v>
      </c>
      <c r="AJ1774" s="72">
        <v>0</v>
      </c>
      <c r="AK1774" s="72"/>
      <c r="AL1774" s="72"/>
      <c r="AM1774" s="72"/>
    </row>
    <row r="1775" spans="1:39" x14ac:dyDescent="0.25">
      <c r="A1775" s="37" t="s">
        <v>62</v>
      </c>
      <c r="B1775" s="66" t="s">
        <v>1638</v>
      </c>
      <c r="C1775" s="41">
        <v>1057</v>
      </c>
      <c r="D1775" s="41" t="s">
        <v>1174</v>
      </c>
      <c r="E1775" s="41">
        <v>10570008</v>
      </c>
      <c r="F1775" s="85" t="s">
        <v>1177</v>
      </c>
      <c r="G1775" s="39" t="s">
        <v>92</v>
      </c>
      <c r="H1775" s="52" t="s">
        <v>93</v>
      </c>
      <c r="I1775" s="52">
        <v>969.19999999999993</v>
      </c>
      <c r="J1775" s="49">
        <v>38410.26999999999</v>
      </c>
      <c r="K1775" s="58">
        <v>87</v>
      </c>
      <c r="L1775" s="58">
        <v>3720.43</v>
      </c>
      <c r="M1775" s="58">
        <v>1175.9199999999998</v>
      </c>
      <c r="N1775" s="58">
        <v>45998.55000000001</v>
      </c>
      <c r="O1775" s="58">
        <v>1262.9199999999998</v>
      </c>
      <c r="P1775" s="53">
        <v>49718.98000000001</v>
      </c>
      <c r="Q1775" s="65">
        <v>38410.26999999999</v>
      </c>
      <c r="R1775" s="65">
        <v>0</v>
      </c>
      <c r="S1775" s="65">
        <v>600.53</v>
      </c>
      <c r="T1775" s="65">
        <v>11308.710000000021</v>
      </c>
      <c r="U1775" s="58">
        <v>0</v>
      </c>
      <c r="V1775" s="65">
        <v>0</v>
      </c>
      <c r="W1775" s="65">
        <v>0</v>
      </c>
      <c r="X1775" s="65">
        <v>0</v>
      </c>
      <c r="Y1775" s="65">
        <v>37810</v>
      </c>
      <c r="Z1775" s="51">
        <v>0</v>
      </c>
      <c r="AA1775" s="51">
        <v>0</v>
      </c>
      <c r="AB1775" s="102" t="s">
        <v>1366</v>
      </c>
      <c r="AC1775" s="81">
        <f t="shared" si="84"/>
        <v>0</v>
      </c>
      <c r="AD1775" s="82">
        <f t="shared" si="85"/>
        <v>0</v>
      </c>
      <c r="AE1775" s="218">
        <v>-0.29441891452468372</v>
      </c>
      <c r="AF1775">
        <v>20</v>
      </c>
      <c r="AH1775" t="str">
        <f t="shared" si="86"/>
        <v>Warisnagar</v>
      </c>
      <c r="AJ1775" s="72">
        <v>0</v>
      </c>
      <c r="AK1775" s="72"/>
      <c r="AL1775" s="72"/>
      <c r="AM1775" s="72"/>
    </row>
    <row r="1776" spans="1:39" x14ac:dyDescent="0.25">
      <c r="A1776" s="37" t="s">
        <v>62</v>
      </c>
      <c r="B1776" s="66" t="s">
        <v>1638</v>
      </c>
      <c r="C1776" s="41">
        <v>1057</v>
      </c>
      <c r="D1776" s="41" t="s">
        <v>1174</v>
      </c>
      <c r="E1776" s="41">
        <v>10570009</v>
      </c>
      <c r="F1776" s="85" t="s">
        <v>1178</v>
      </c>
      <c r="G1776" s="39" t="s">
        <v>92</v>
      </c>
      <c r="H1776" s="52" t="s">
        <v>93</v>
      </c>
      <c r="I1776" s="52">
        <v>799.3</v>
      </c>
      <c r="J1776" s="49">
        <v>31037.74</v>
      </c>
      <c r="K1776" s="58">
        <v>72.7</v>
      </c>
      <c r="L1776" s="58">
        <v>2754.54</v>
      </c>
      <c r="M1776" s="58">
        <v>725.9</v>
      </c>
      <c r="N1776" s="58">
        <v>28266.989999999998</v>
      </c>
      <c r="O1776" s="58">
        <v>798.6</v>
      </c>
      <c r="P1776" s="53">
        <v>31021.53</v>
      </c>
      <c r="Q1776" s="65">
        <v>31021.53</v>
      </c>
      <c r="R1776" s="65">
        <v>0</v>
      </c>
      <c r="S1776" s="65">
        <v>0</v>
      </c>
      <c r="T1776" s="65">
        <v>0</v>
      </c>
      <c r="U1776" s="58">
        <v>0</v>
      </c>
      <c r="V1776" s="65">
        <v>0</v>
      </c>
      <c r="W1776" s="65">
        <v>0</v>
      </c>
      <c r="X1776" s="65">
        <v>2755</v>
      </c>
      <c r="Y1776" s="65">
        <v>28267</v>
      </c>
      <c r="Z1776" s="51">
        <v>0</v>
      </c>
      <c r="AA1776" s="51">
        <v>16</v>
      </c>
      <c r="AB1776" s="102">
        <v>0</v>
      </c>
      <c r="AC1776" s="81">
        <f t="shared" si="84"/>
        <v>0</v>
      </c>
      <c r="AD1776" s="82">
        <f t="shared" si="85"/>
        <v>0</v>
      </c>
      <c r="AE1776" s="218">
        <v>5.2226740735642364E-4</v>
      </c>
      <c r="AF1776">
        <v>6</v>
      </c>
      <c r="AH1776" t="str">
        <f t="shared" si="86"/>
        <v>Warisnagar</v>
      </c>
      <c r="AJ1776" s="72">
        <v>0</v>
      </c>
      <c r="AK1776" s="72"/>
      <c r="AL1776" s="72"/>
      <c r="AM1776" s="72"/>
    </row>
    <row r="1777" spans="1:39" x14ac:dyDescent="0.25">
      <c r="A1777" s="37" t="s">
        <v>62</v>
      </c>
      <c r="B1777" s="66" t="s">
        <v>1638</v>
      </c>
      <c r="C1777" s="41">
        <v>1057</v>
      </c>
      <c r="D1777" s="41" t="s">
        <v>1174</v>
      </c>
      <c r="E1777" s="41">
        <v>10570010</v>
      </c>
      <c r="F1777" s="85" t="s">
        <v>1179</v>
      </c>
      <c r="G1777" s="39" t="s">
        <v>1610</v>
      </c>
      <c r="H1777" s="52" t="s">
        <v>98</v>
      </c>
      <c r="I1777" s="52">
        <v>410.29999999999995</v>
      </c>
      <c r="J1777" s="49">
        <v>14310.439999999999</v>
      </c>
      <c r="K1777" s="58">
        <v>0</v>
      </c>
      <c r="L1777" s="58">
        <v>0</v>
      </c>
      <c r="M1777" s="58">
        <v>0</v>
      </c>
      <c r="N1777" s="58">
        <v>0</v>
      </c>
      <c r="O1777" s="58">
        <v>0</v>
      </c>
      <c r="P1777" s="53">
        <v>0</v>
      </c>
      <c r="Q1777" s="65">
        <v>14310.439999999999</v>
      </c>
      <c r="R1777" s="65">
        <v>0</v>
      </c>
      <c r="S1777" s="65">
        <v>0</v>
      </c>
      <c r="T1777" s="65">
        <v>0</v>
      </c>
      <c r="U1777" s="58">
        <v>0</v>
      </c>
      <c r="V1777" s="65">
        <v>0</v>
      </c>
      <c r="W1777" s="65">
        <v>0</v>
      </c>
      <c r="X1777" s="65">
        <v>0</v>
      </c>
      <c r="Y1777" s="65">
        <v>0</v>
      </c>
      <c r="Z1777" s="51">
        <v>14310.439999999999</v>
      </c>
      <c r="AA1777" s="51">
        <v>0</v>
      </c>
      <c r="AB1777" s="102">
        <v>0</v>
      </c>
      <c r="AC1777" s="81">
        <f t="shared" si="84"/>
        <v>202.0830839873264</v>
      </c>
      <c r="AD1777" s="82">
        <f t="shared" si="85"/>
        <v>58.614285714285707</v>
      </c>
      <c r="AE1777" s="218">
        <v>0</v>
      </c>
      <c r="AF1777">
        <v>0</v>
      </c>
      <c r="AH1777" t="str">
        <f t="shared" si="86"/>
        <v>Warisnagar</v>
      </c>
      <c r="AJ1777" s="72">
        <v>0</v>
      </c>
      <c r="AK1777" s="72"/>
      <c r="AL1777" s="72"/>
      <c r="AM1777" s="72"/>
    </row>
    <row r="1778" spans="1:39" x14ac:dyDescent="0.25">
      <c r="A1778" s="37" t="s">
        <v>62</v>
      </c>
      <c r="B1778" s="66" t="s">
        <v>1638</v>
      </c>
      <c r="C1778" s="41">
        <v>1057</v>
      </c>
      <c r="D1778" s="41" t="s">
        <v>1174</v>
      </c>
      <c r="E1778" s="41">
        <v>10570013</v>
      </c>
      <c r="F1778" s="85" t="s">
        <v>1189</v>
      </c>
      <c r="G1778" s="39" t="s">
        <v>1610</v>
      </c>
      <c r="H1778" s="52" t="s">
        <v>98</v>
      </c>
      <c r="I1778" s="52">
        <v>1114</v>
      </c>
      <c r="J1778" s="49">
        <v>43184.51</v>
      </c>
      <c r="K1778" s="58">
        <v>0</v>
      </c>
      <c r="L1778" s="58">
        <v>0</v>
      </c>
      <c r="M1778" s="58">
        <v>0</v>
      </c>
      <c r="N1778" s="58">
        <v>0</v>
      </c>
      <c r="O1778" s="58">
        <v>0</v>
      </c>
      <c r="P1778" s="53">
        <v>0</v>
      </c>
      <c r="Q1778" s="65">
        <v>43184.51</v>
      </c>
      <c r="R1778" s="65">
        <v>0</v>
      </c>
      <c r="S1778" s="65">
        <v>0</v>
      </c>
      <c r="T1778" s="65">
        <v>0</v>
      </c>
      <c r="U1778" s="58">
        <v>0</v>
      </c>
      <c r="V1778" s="65">
        <v>0</v>
      </c>
      <c r="W1778" s="65">
        <v>0</v>
      </c>
      <c r="X1778" s="65">
        <v>0</v>
      </c>
      <c r="Y1778" s="65">
        <v>0</v>
      </c>
      <c r="Z1778" s="51">
        <v>43184.51</v>
      </c>
      <c r="AA1778" s="51">
        <v>0</v>
      </c>
      <c r="AB1778" s="102">
        <v>0</v>
      </c>
      <c r="AC1778" s="81">
        <f t="shared" si="84"/>
        <v>0</v>
      </c>
      <c r="AD1778" s="82">
        <f t="shared" si="85"/>
        <v>0</v>
      </c>
      <c r="AE1778" s="218">
        <v>0</v>
      </c>
      <c r="AF1778">
        <v>0</v>
      </c>
      <c r="AH1778" t="str">
        <f t="shared" si="86"/>
        <v>Warisnagar</v>
      </c>
      <c r="AJ1778" s="72">
        <v>0</v>
      </c>
      <c r="AK1778" s="72"/>
      <c r="AL1778" s="72"/>
      <c r="AM1778" s="72"/>
    </row>
    <row r="1779" spans="1:39" x14ac:dyDescent="0.25">
      <c r="A1779" s="37" t="s">
        <v>62</v>
      </c>
      <c r="B1779" s="66" t="s">
        <v>1638</v>
      </c>
      <c r="C1779" s="41">
        <v>1063</v>
      </c>
      <c r="D1779" s="41" t="s">
        <v>1565</v>
      </c>
      <c r="E1779" s="41">
        <v>10570017</v>
      </c>
      <c r="F1779" s="85" t="s">
        <v>1244</v>
      </c>
      <c r="G1779" s="39" t="s">
        <v>92</v>
      </c>
      <c r="H1779" s="52" t="s">
        <v>93</v>
      </c>
      <c r="I1779" s="52">
        <v>182.39999999999998</v>
      </c>
      <c r="J1779" s="49">
        <v>8713.17</v>
      </c>
      <c r="K1779" s="58">
        <v>73.5</v>
      </c>
      <c r="L1779" s="58">
        <v>4569.5</v>
      </c>
      <c r="M1779" s="58">
        <v>83.3</v>
      </c>
      <c r="N1779" s="58">
        <v>4133.8899999999994</v>
      </c>
      <c r="O1779" s="58">
        <v>156.80000000000001</v>
      </c>
      <c r="P1779" s="53">
        <v>8703.39</v>
      </c>
      <c r="Q1779" s="65">
        <v>8703.39</v>
      </c>
      <c r="R1779" s="65">
        <v>0</v>
      </c>
      <c r="S1779" s="65">
        <v>0</v>
      </c>
      <c r="T1779" s="65">
        <v>0</v>
      </c>
      <c r="U1779" s="58">
        <v>0</v>
      </c>
      <c r="V1779" s="65">
        <v>500</v>
      </c>
      <c r="W1779" s="65">
        <v>0</v>
      </c>
      <c r="X1779" s="65">
        <v>4070</v>
      </c>
      <c r="Y1779" s="65">
        <v>4134</v>
      </c>
      <c r="Z1779" s="51">
        <v>0</v>
      </c>
      <c r="AA1779" s="51">
        <v>9</v>
      </c>
      <c r="AB1779" s="102">
        <v>0</v>
      </c>
      <c r="AC1779" s="81">
        <f t="shared" si="84"/>
        <v>494.51061315789485</v>
      </c>
      <c r="AD1779" s="82">
        <f t="shared" si="85"/>
        <v>26.057142857142853</v>
      </c>
      <c r="AE1779" s="218">
        <v>1.1224387909337997E-3</v>
      </c>
      <c r="AF1779">
        <v>10</v>
      </c>
      <c r="AH1779" t="str">
        <f t="shared" si="86"/>
        <v>Rosera</v>
      </c>
      <c r="AJ1779" s="72">
        <v>500</v>
      </c>
      <c r="AK1779" s="72"/>
      <c r="AL1779" s="72"/>
      <c r="AM1779" s="72"/>
    </row>
    <row r="1780" spans="1:39" x14ac:dyDescent="0.25">
      <c r="A1780" s="37" t="s">
        <v>62</v>
      </c>
      <c r="B1780" s="66" t="s">
        <v>1638</v>
      </c>
      <c r="C1780" s="41">
        <v>1057</v>
      </c>
      <c r="D1780" s="41" t="s">
        <v>1174</v>
      </c>
      <c r="E1780" s="41">
        <v>10570018</v>
      </c>
      <c r="F1780" s="85" t="s">
        <v>1210</v>
      </c>
      <c r="G1780" s="39" t="s">
        <v>92</v>
      </c>
      <c r="H1780" s="52" t="s">
        <v>93</v>
      </c>
      <c r="I1780" s="52">
        <v>368.49999999999994</v>
      </c>
      <c r="J1780" s="49">
        <v>14598.949999999999</v>
      </c>
      <c r="K1780" s="58">
        <v>42.800000000000004</v>
      </c>
      <c r="L1780" s="58">
        <v>1755.48</v>
      </c>
      <c r="M1780" s="58">
        <v>325.29999999999995</v>
      </c>
      <c r="N1780" s="58">
        <v>12771.689999999999</v>
      </c>
      <c r="O1780" s="58">
        <v>368.09999999999997</v>
      </c>
      <c r="P1780" s="53">
        <v>14527.169999999998</v>
      </c>
      <c r="Q1780" s="65">
        <v>14527.169999999998</v>
      </c>
      <c r="R1780" s="65">
        <v>0</v>
      </c>
      <c r="S1780" s="65">
        <v>361.64000000000004</v>
      </c>
      <c r="T1780" s="65">
        <v>0</v>
      </c>
      <c r="U1780" s="58">
        <v>0</v>
      </c>
      <c r="V1780" s="65">
        <v>0</v>
      </c>
      <c r="W1780" s="65">
        <v>0</v>
      </c>
      <c r="X1780" s="65">
        <v>1755</v>
      </c>
      <c r="Y1780" s="65">
        <v>12410</v>
      </c>
      <c r="Z1780" s="51">
        <v>0</v>
      </c>
      <c r="AA1780" s="51">
        <v>72</v>
      </c>
      <c r="AB1780" s="102">
        <v>0</v>
      </c>
      <c r="AC1780" s="81">
        <f t="shared" si="84"/>
        <v>262.66224830393497</v>
      </c>
      <c r="AD1780" s="82">
        <f t="shared" si="85"/>
        <v>52.642857142857132</v>
      </c>
      <c r="AE1780" s="218">
        <v>4.9167919610657385E-3</v>
      </c>
      <c r="AF1780">
        <v>13</v>
      </c>
      <c r="AH1780" t="str">
        <f t="shared" si="86"/>
        <v>Warisnagar</v>
      </c>
      <c r="AJ1780" s="72">
        <v>0</v>
      </c>
      <c r="AK1780" s="72"/>
      <c r="AL1780" s="72"/>
      <c r="AM1780" s="72"/>
    </row>
    <row r="1781" spans="1:39" x14ac:dyDescent="0.25">
      <c r="A1781" s="37" t="s">
        <v>62</v>
      </c>
      <c r="B1781" s="66" t="s">
        <v>1638</v>
      </c>
      <c r="C1781" s="41">
        <v>1057</v>
      </c>
      <c r="D1781" s="41" t="s">
        <v>1174</v>
      </c>
      <c r="E1781" s="41">
        <v>10570019</v>
      </c>
      <c r="F1781" s="85" t="s">
        <v>1211</v>
      </c>
      <c r="G1781" s="39" t="s">
        <v>92</v>
      </c>
      <c r="H1781" s="52" t="s">
        <v>93</v>
      </c>
      <c r="I1781" s="52">
        <v>522.20000000000005</v>
      </c>
      <c r="J1781" s="49">
        <v>23326.600000000002</v>
      </c>
      <c r="K1781" s="58">
        <v>110.8</v>
      </c>
      <c r="L1781" s="58">
        <v>4325.5</v>
      </c>
      <c r="M1781" s="58">
        <v>411.4</v>
      </c>
      <c r="N1781" s="58">
        <v>18864.14</v>
      </c>
      <c r="O1781" s="58">
        <v>522.19999999999993</v>
      </c>
      <c r="P1781" s="53">
        <v>23189.64</v>
      </c>
      <c r="Q1781" s="65">
        <v>23189.64</v>
      </c>
      <c r="R1781" s="65">
        <v>0</v>
      </c>
      <c r="S1781" s="65">
        <v>136.94999999999999</v>
      </c>
      <c r="T1781" s="65">
        <v>0</v>
      </c>
      <c r="U1781" s="58">
        <v>2147</v>
      </c>
      <c r="V1781" s="65">
        <v>0</v>
      </c>
      <c r="W1781" s="65">
        <v>0</v>
      </c>
      <c r="X1781" s="65">
        <v>2178</v>
      </c>
      <c r="Y1781" s="65">
        <v>18728</v>
      </c>
      <c r="Z1781" s="51">
        <v>0</v>
      </c>
      <c r="AA1781" s="51">
        <v>137</v>
      </c>
      <c r="AB1781" s="102">
        <v>0</v>
      </c>
      <c r="AC1781" s="81">
        <f t="shared" si="84"/>
        <v>158.84601608579084</v>
      </c>
      <c r="AD1781" s="82">
        <f t="shared" si="85"/>
        <v>74.600000000000009</v>
      </c>
      <c r="AE1781" s="218">
        <v>5.8714086064837034E-3</v>
      </c>
      <c r="AF1781">
        <v>11</v>
      </c>
      <c r="AH1781" t="str">
        <f t="shared" si="86"/>
        <v>Warisnagar</v>
      </c>
      <c r="AJ1781" s="72">
        <v>0</v>
      </c>
      <c r="AK1781" s="72"/>
      <c r="AL1781" s="72"/>
      <c r="AM1781" s="72"/>
    </row>
    <row r="1782" spans="1:39" x14ac:dyDescent="0.25">
      <c r="A1782" s="37" t="s">
        <v>62</v>
      </c>
      <c r="B1782" s="66" t="s">
        <v>1638</v>
      </c>
      <c r="C1782" s="41">
        <v>1057</v>
      </c>
      <c r="D1782" s="41" t="s">
        <v>1174</v>
      </c>
      <c r="E1782" s="41">
        <v>10570020</v>
      </c>
      <c r="F1782" s="85" t="s">
        <v>1212</v>
      </c>
      <c r="G1782" s="39" t="s">
        <v>92</v>
      </c>
      <c r="H1782" s="52" t="s">
        <v>93</v>
      </c>
      <c r="I1782" s="52">
        <v>702.10000000000014</v>
      </c>
      <c r="J1782" s="49">
        <v>31689.119999999999</v>
      </c>
      <c r="K1782" s="58">
        <v>706.3</v>
      </c>
      <c r="L1782" s="58">
        <v>31406.68</v>
      </c>
      <c r="M1782" s="58">
        <v>0</v>
      </c>
      <c r="N1782" s="58">
        <v>0</v>
      </c>
      <c r="O1782" s="58">
        <v>706.3</v>
      </c>
      <c r="P1782" s="53">
        <v>31406.68</v>
      </c>
      <c r="Q1782" s="65">
        <v>31406.68</v>
      </c>
      <c r="R1782" s="65">
        <v>0</v>
      </c>
      <c r="S1782" s="65">
        <v>0</v>
      </c>
      <c r="T1782" s="65">
        <v>0</v>
      </c>
      <c r="U1782" s="58">
        <v>0</v>
      </c>
      <c r="V1782" s="65">
        <v>0</v>
      </c>
      <c r="W1782" s="65">
        <v>0</v>
      </c>
      <c r="X1782" s="65">
        <v>31407</v>
      </c>
      <c r="Y1782" s="65">
        <v>0</v>
      </c>
      <c r="Z1782" s="51">
        <v>0</v>
      </c>
      <c r="AA1782" s="51">
        <v>282</v>
      </c>
      <c r="AB1782" s="102">
        <v>0</v>
      </c>
      <c r="AC1782" s="81">
        <f t="shared" si="84"/>
        <v>0</v>
      </c>
      <c r="AD1782" s="82">
        <f t="shared" si="85"/>
        <v>0</v>
      </c>
      <c r="AE1782" s="218">
        <v>8.9128382233397054E-3</v>
      </c>
      <c r="AF1782">
        <v>1</v>
      </c>
      <c r="AH1782" t="str">
        <f t="shared" si="86"/>
        <v>Warisnagar</v>
      </c>
      <c r="AJ1782" s="72">
        <v>0</v>
      </c>
      <c r="AK1782" s="72"/>
      <c r="AL1782" s="72"/>
      <c r="AM1782" s="72"/>
    </row>
    <row r="1783" spans="1:39" x14ac:dyDescent="0.25">
      <c r="A1783" s="37" t="s">
        <v>62</v>
      </c>
      <c r="B1783" s="66" t="s">
        <v>1638</v>
      </c>
      <c r="C1783" s="41">
        <v>1057</v>
      </c>
      <c r="D1783" s="41" t="s">
        <v>1174</v>
      </c>
      <c r="E1783" s="41">
        <v>10570021</v>
      </c>
      <c r="F1783" s="85" t="s">
        <v>1213</v>
      </c>
      <c r="G1783" s="39" t="s">
        <v>92</v>
      </c>
      <c r="H1783" s="52" t="s">
        <v>93</v>
      </c>
      <c r="I1783" s="52">
        <v>540.1</v>
      </c>
      <c r="J1783" s="49">
        <v>20803.150000000001</v>
      </c>
      <c r="K1783" s="58">
        <v>478</v>
      </c>
      <c r="L1783" s="58">
        <v>19255.829999999998</v>
      </c>
      <c r="M1783" s="58">
        <v>41.499999999999993</v>
      </c>
      <c r="N1783" s="58">
        <v>1715.1700000000003</v>
      </c>
      <c r="O1783" s="58">
        <v>519.5</v>
      </c>
      <c r="P1783" s="53">
        <v>20971</v>
      </c>
      <c r="Q1783" s="65">
        <v>20803.150000000001</v>
      </c>
      <c r="R1783" s="65">
        <v>0</v>
      </c>
      <c r="S1783" s="65">
        <v>0</v>
      </c>
      <c r="T1783" s="65">
        <v>167.84999999999854</v>
      </c>
      <c r="U1783" s="58">
        <v>3687.75</v>
      </c>
      <c r="V1783" s="65">
        <v>0</v>
      </c>
      <c r="W1783" s="65">
        <v>0</v>
      </c>
      <c r="X1783" s="65">
        <v>15400</v>
      </c>
      <c r="Y1783" s="65">
        <v>1715</v>
      </c>
      <c r="Z1783" s="51">
        <v>0</v>
      </c>
      <c r="AA1783" s="51">
        <v>0</v>
      </c>
      <c r="AB1783" s="102">
        <v>0</v>
      </c>
      <c r="AC1783" s="81">
        <f t="shared" si="84"/>
        <v>123.17806646917235</v>
      </c>
      <c r="AD1783" s="82">
        <f t="shared" si="85"/>
        <v>77.157142857142858</v>
      </c>
      <c r="AE1783" s="218">
        <v>-8.0684896277726462E-3</v>
      </c>
      <c r="AF1783">
        <v>6</v>
      </c>
      <c r="AH1783" t="str">
        <f t="shared" si="86"/>
        <v>Warisnagar</v>
      </c>
      <c r="AJ1783" s="72">
        <v>0</v>
      </c>
      <c r="AK1783" s="72"/>
      <c r="AL1783" s="72"/>
      <c r="AM1783" s="72"/>
    </row>
    <row r="1784" spans="1:39" x14ac:dyDescent="0.25">
      <c r="A1784" s="37" t="s">
        <v>62</v>
      </c>
      <c r="B1784" s="66" t="s">
        <v>1638</v>
      </c>
      <c r="C1784" s="41">
        <v>1057</v>
      </c>
      <c r="D1784" s="41" t="s">
        <v>1174</v>
      </c>
      <c r="E1784" s="41">
        <v>10570022</v>
      </c>
      <c r="F1784" s="85" t="s">
        <v>1214</v>
      </c>
      <c r="G1784" s="39" t="s">
        <v>1610</v>
      </c>
      <c r="H1784" s="52" t="s">
        <v>98</v>
      </c>
      <c r="I1784" s="52">
        <v>219.2</v>
      </c>
      <c r="J1784" s="49">
        <v>10386.61</v>
      </c>
      <c r="K1784" s="58">
        <v>0</v>
      </c>
      <c r="L1784" s="58">
        <v>0</v>
      </c>
      <c r="M1784" s="58">
        <v>0</v>
      </c>
      <c r="N1784" s="58">
        <v>0</v>
      </c>
      <c r="O1784" s="58">
        <v>0</v>
      </c>
      <c r="P1784" s="53">
        <v>0</v>
      </c>
      <c r="Q1784" s="65">
        <v>10386.61</v>
      </c>
      <c r="R1784" s="65">
        <v>0</v>
      </c>
      <c r="S1784" s="65">
        <v>0</v>
      </c>
      <c r="T1784" s="65">
        <v>0</v>
      </c>
      <c r="U1784" s="58">
        <v>0</v>
      </c>
      <c r="V1784" s="65">
        <v>0</v>
      </c>
      <c r="W1784" s="65">
        <v>0</v>
      </c>
      <c r="X1784" s="65">
        <v>0</v>
      </c>
      <c r="Y1784" s="65">
        <v>0</v>
      </c>
      <c r="Z1784" s="51">
        <v>10386.61</v>
      </c>
      <c r="AA1784" s="51">
        <v>0</v>
      </c>
      <c r="AB1784" s="102">
        <v>0</v>
      </c>
      <c r="AC1784" s="81">
        <f t="shared" si="84"/>
        <v>455.64617591240881</v>
      </c>
      <c r="AD1784" s="82">
        <f t="shared" si="85"/>
        <v>31.314285714285713</v>
      </c>
      <c r="AE1784" s="218">
        <v>0</v>
      </c>
      <c r="AF1784">
        <v>0</v>
      </c>
      <c r="AH1784" t="str">
        <f t="shared" si="86"/>
        <v>Warisnagar</v>
      </c>
      <c r="AJ1784" s="72">
        <v>0</v>
      </c>
      <c r="AK1784" s="72"/>
      <c r="AL1784" s="72"/>
      <c r="AM1784" s="72"/>
    </row>
    <row r="1785" spans="1:39" x14ac:dyDescent="0.25">
      <c r="A1785" s="37" t="s">
        <v>62</v>
      </c>
      <c r="B1785" s="66" t="s">
        <v>1638</v>
      </c>
      <c r="C1785" s="41">
        <v>1057</v>
      </c>
      <c r="D1785" s="41" t="s">
        <v>1174</v>
      </c>
      <c r="E1785" s="41">
        <v>10570024</v>
      </c>
      <c r="F1785" s="85" t="s">
        <v>1215</v>
      </c>
      <c r="G1785" s="39" t="s">
        <v>1610</v>
      </c>
      <c r="H1785" s="52" t="s">
        <v>98</v>
      </c>
      <c r="I1785" s="52">
        <v>921.80000000000007</v>
      </c>
      <c r="J1785" s="49">
        <v>35811.199999999997</v>
      </c>
      <c r="K1785" s="58">
        <v>0</v>
      </c>
      <c r="L1785" s="58">
        <v>0</v>
      </c>
      <c r="M1785" s="58">
        <v>0</v>
      </c>
      <c r="N1785" s="58">
        <v>0</v>
      </c>
      <c r="O1785" s="58">
        <v>0</v>
      </c>
      <c r="P1785" s="53">
        <v>0</v>
      </c>
      <c r="Q1785" s="65">
        <v>35811.199999999997</v>
      </c>
      <c r="R1785" s="65">
        <v>0</v>
      </c>
      <c r="S1785" s="65">
        <v>0</v>
      </c>
      <c r="T1785" s="65">
        <v>0</v>
      </c>
      <c r="U1785" s="58">
        <v>0</v>
      </c>
      <c r="V1785" s="65">
        <v>0</v>
      </c>
      <c r="W1785" s="65">
        <v>0</v>
      </c>
      <c r="X1785" s="65">
        <v>0</v>
      </c>
      <c r="Y1785" s="65">
        <v>0</v>
      </c>
      <c r="Z1785" s="51">
        <v>35811.199999999997</v>
      </c>
      <c r="AA1785" s="51">
        <v>0</v>
      </c>
      <c r="AB1785" s="102">
        <v>0</v>
      </c>
      <c r="AC1785" s="81">
        <f t="shared" si="84"/>
        <v>0</v>
      </c>
      <c r="AD1785" s="82">
        <f t="shared" si="85"/>
        <v>0</v>
      </c>
      <c r="AE1785" s="218">
        <v>0</v>
      </c>
      <c r="AF1785">
        <v>0</v>
      </c>
      <c r="AH1785" t="str">
        <f t="shared" si="86"/>
        <v>Warisnagar</v>
      </c>
      <c r="AJ1785" s="72">
        <v>0</v>
      </c>
      <c r="AK1785" s="72"/>
      <c r="AL1785" s="72"/>
      <c r="AM1785" s="72"/>
    </row>
    <row r="1786" spans="1:39" x14ac:dyDescent="0.25">
      <c r="A1786" s="37" t="s">
        <v>62</v>
      </c>
      <c r="B1786" s="66" t="s">
        <v>1638</v>
      </c>
      <c r="C1786" s="41">
        <v>1057</v>
      </c>
      <c r="D1786" s="41" t="s">
        <v>1174</v>
      </c>
      <c r="E1786" s="41">
        <v>10570025</v>
      </c>
      <c r="F1786" s="85" t="s">
        <v>1224</v>
      </c>
      <c r="G1786" s="39" t="s">
        <v>1610</v>
      </c>
      <c r="H1786" s="52" t="s">
        <v>98</v>
      </c>
      <c r="I1786" s="52">
        <v>1355.8999999999999</v>
      </c>
      <c r="J1786" s="49">
        <v>52349.59</v>
      </c>
      <c r="K1786" s="58">
        <v>0</v>
      </c>
      <c r="L1786" s="58">
        <v>0</v>
      </c>
      <c r="M1786" s="58">
        <v>0</v>
      </c>
      <c r="N1786" s="58">
        <v>0</v>
      </c>
      <c r="O1786" s="58">
        <v>0</v>
      </c>
      <c r="P1786" s="53">
        <v>0</v>
      </c>
      <c r="Q1786" s="65">
        <v>52349.59</v>
      </c>
      <c r="R1786" s="65">
        <v>0</v>
      </c>
      <c r="S1786" s="65">
        <v>0</v>
      </c>
      <c r="T1786" s="65">
        <v>0</v>
      </c>
      <c r="U1786" s="58">
        <v>0</v>
      </c>
      <c r="V1786" s="65">
        <v>0</v>
      </c>
      <c r="W1786" s="65">
        <v>0</v>
      </c>
      <c r="X1786" s="65">
        <v>0</v>
      </c>
      <c r="Y1786" s="65">
        <v>0</v>
      </c>
      <c r="Z1786" s="51">
        <v>52349.59</v>
      </c>
      <c r="AA1786" s="51">
        <v>0</v>
      </c>
      <c r="AB1786" s="102">
        <v>0</v>
      </c>
      <c r="AC1786" s="81">
        <f t="shared" si="84"/>
        <v>0</v>
      </c>
      <c r="AD1786" s="82">
        <f t="shared" si="85"/>
        <v>0</v>
      </c>
      <c r="AE1786" s="218">
        <v>0</v>
      </c>
      <c r="AF1786">
        <v>0</v>
      </c>
      <c r="AH1786" t="str">
        <f t="shared" si="86"/>
        <v>Warisnagar</v>
      </c>
      <c r="AJ1786" s="72">
        <v>0</v>
      </c>
      <c r="AK1786" s="72"/>
      <c r="AL1786" s="72"/>
      <c r="AM1786" s="72"/>
    </row>
    <row r="1787" spans="1:39" x14ac:dyDescent="0.25">
      <c r="A1787" s="37" t="s">
        <v>62</v>
      </c>
      <c r="B1787" s="66" t="s">
        <v>1638</v>
      </c>
      <c r="C1787" s="41">
        <v>1057</v>
      </c>
      <c r="D1787" s="41" t="s">
        <v>1174</v>
      </c>
      <c r="E1787" s="41">
        <v>10570028</v>
      </c>
      <c r="F1787" s="85" t="s">
        <v>1258</v>
      </c>
      <c r="G1787" s="39" t="s">
        <v>92</v>
      </c>
      <c r="H1787" s="52" t="s">
        <v>93</v>
      </c>
      <c r="I1787" s="52">
        <v>363</v>
      </c>
      <c r="J1787" s="49">
        <v>13847.26</v>
      </c>
      <c r="K1787" s="58">
        <v>67</v>
      </c>
      <c r="L1787" s="58">
        <v>2528.71</v>
      </c>
      <c r="M1787" s="58">
        <v>308.10000000000002</v>
      </c>
      <c r="N1787" s="58">
        <v>11535.189999999999</v>
      </c>
      <c r="O1787" s="58">
        <v>375.1</v>
      </c>
      <c r="P1787" s="53">
        <v>14063.899999999998</v>
      </c>
      <c r="Q1787" s="65">
        <v>13847.26</v>
      </c>
      <c r="R1787" s="65">
        <v>0</v>
      </c>
      <c r="S1787" s="65">
        <v>0</v>
      </c>
      <c r="T1787" s="65">
        <v>216.6399999999976</v>
      </c>
      <c r="U1787" s="58">
        <v>0</v>
      </c>
      <c r="V1787" s="65">
        <v>0</v>
      </c>
      <c r="W1787" s="65">
        <v>0</v>
      </c>
      <c r="X1787" s="65">
        <v>2312</v>
      </c>
      <c r="Y1787" s="65">
        <v>11535</v>
      </c>
      <c r="Z1787" s="51">
        <v>0</v>
      </c>
      <c r="AA1787" s="51">
        <v>0</v>
      </c>
      <c r="AB1787" s="102">
        <v>0</v>
      </c>
      <c r="AC1787" s="81">
        <f t="shared" si="84"/>
        <v>257.10890468319565</v>
      </c>
      <c r="AD1787" s="82">
        <f t="shared" si="85"/>
        <v>51.857142857142854</v>
      </c>
      <c r="AE1787" s="218">
        <v>-1.5644972362763292E-2</v>
      </c>
      <c r="AF1787">
        <v>5</v>
      </c>
      <c r="AH1787" t="str">
        <f t="shared" si="86"/>
        <v>Warisnagar</v>
      </c>
      <c r="AJ1787" s="72">
        <v>0</v>
      </c>
      <c r="AK1787" s="72"/>
      <c r="AL1787" s="72"/>
      <c r="AM1787" s="72"/>
    </row>
    <row r="1788" spans="1:39" x14ac:dyDescent="0.25">
      <c r="A1788" s="37" t="s">
        <v>62</v>
      </c>
      <c r="B1788" s="66" t="s">
        <v>1638</v>
      </c>
      <c r="C1788" s="41">
        <v>1057</v>
      </c>
      <c r="D1788" s="41" t="s">
        <v>1174</v>
      </c>
      <c r="E1788" s="41">
        <v>10570029</v>
      </c>
      <c r="F1788" s="85" t="s">
        <v>1259</v>
      </c>
      <c r="G1788" s="39" t="s">
        <v>92</v>
      </c>
      <c r="H1788" s="52" t="s">
        <v>93</v>
      </c>
      <c r="I1788" s="52">
        <v>118.60000000000001</v>
      </c>
      <c r="J1788" s="49">
        <v>4899.49</v>
      </c>
      <c r="K1788" s="58">
        <v>10</v>
      </c>
      <c r="L1788" s="58">
        <v>397.6</v>
      </c>
      <c r="M1788" s="58">
        <v>105</v>
      </c>
      <c r="N1788" s="58">
        <v>4489.91</v>
      </c>
      <c r="O1788" s="58">
        <v>115</v>
      </c>
      <c r="P1788" s="53">
        <v>4887.51</v>
      </c>
      <c r="Q1788" s="65">
        <v>4887.51</v>
      </c>
      <c r="R1788" s="65">
        <v>0</v>
      </c>
      <c r="S1788" s="65">
        <v>0</v>
      </c>
      <c r="T1788" s="65">
        <v>0</v>
      </c>
      <c r="U1788" s="58">
        <v>0</v>
      </c>
      <c r="V1788" s="65">
        <v>0</v>
      </c>
      <c r="W1788" s="65">
        <v>0</v>
      </c>
      <c r="X1788" s="65">
        <v>398</v>
      </c>
      <c r="Y1788" s="65">
        <v>4490</v>
      </c>
      <c r="Z1788" s="51">
        <v>0</v>
      </c>
      <c r="AA1788" s="51">
        <v>11</v>
      </c>
      <c r="AB1788" s="102">
        <v>0</v>
      </c>
      <c r="AC1788" s="81">
        <f t="shared" si="84"/>
        <v>480.36483743676212</v>
      </c>
      <c r="AD1788" s="82">
        <f t="shared" si="85"/>
        <v>16.942857142857143</v>
      </c>
      <c r="AE1788" s="218">
        <v>2.4451524546431494E-3</v>
      </c>
      <c r="AF1788">
        <v>9</v>
      </c>
      <c r="AH1788" t="str">
        <f t="shared" si="86"/>
        <v>Warisnagar</v>
      </c>
      <c r="AJ1788" s="72">
        <v>0</v>
      </c>
      <c r="AK1788" s="72"/>
      <c r="AL1788" s="72"/>
      <c r="AM1788" s="72"/>
    </row>
    <row r="1789" spans="1:39" x14ac:dyDescent="0.25">
      <c r="A1789" s="37" t="s">
        <v>62</v>
      </c>
      <c r="B1789" s="66" t="s">
        <v>1638</v>
      </c>
      <c r="C1789" s="41">
        <v>1057</v>
      </c>
      <c r="D1789" s="41" t="s">
        <v>1174</v>
      </c>
      <c r="E1789" s="41">
        <v>10570030</v>
      </c>
      <c r="F1789" s="85" t="s">
        <v>1260</v>
      </c>
      <c r="G1789" s="39" t="s">
        <v>92</v>
      </c>
      <c r="H1789" s="52" t="s">
        <v>93</v>
      </c>
      <c r="I1789" s="52">
        <v>374.79999999999995</v>
      </c>
      <c r="J1789" s="49">
        <v>14316.720000000001</v>
      </c>
      <c r="K1789" s="58">
        <v>60.3</v>
      </c>
      <c r="L1789" s="58">
        <v>2270.75</v>
      </c>
      <c r="M1789" s="58">
        <v>314.5</v>
      </c>
      <c r="N1789" s="58">
        <v>12040.470000000001</v>
      </c>
      <c r="O1789" s="58">
        <v>374.8</v>
      </c>
      <c r="P1789" s="53">
        <v>14311.220000000001</v>
      </c>
      <c r="Q1789" s="65">
        <v>14311.220000000001</v>
      </c>
      <c r="R1789" s="65">
        <v>0</v>
      </c>
      <c r="S1789" s="65">
        <v>0</v>
      </c>
      <c r="T1789" s="65">
        <v>0</v>
      </c>
      <c r="U1789" s="58">
        <v>0</v>
      </c>
      <c r="V1789" s="65">
        <v>0</v>
      </c>
      <c r="W1789" s="65">
        <v>0</v>
      </c>
      <c r="X1789" s="65">
        <v>2271</v>
      </c>
      <c r="Y1789" s="65">
        <v>12041</v>
      </c>
      <c r="Z1789" s="51">
        <v>0</v>
      </c>
      <c r="AA1789" s="51">
        <v>5</v>
      </c>
      <c r="AB1789" s="102">
        <v>0</v>
      </c>
      <c r="AC1789" s="81">
        <f t="shared" si="84"/>
        <v>248.4416939167557</v>
      </c>
      <c r="AD1789" s="82">
        <f t="shared" si="85"/>
        <v>53.542857142857137</v>
      </c>
      <c r="AE1789" s="218">
        <v>3.8416620566721982E-4</v>
      </c>
      <c r="AF1789">
        <v>6</v>
      </c>
      <c r="AH1789" t="str">
        <f t="shared" si="86"/>
        <v>Warisnagar</v>
      </c>
      <c r="AJ1789" s="72">
        <v>0</v>
      </c>
      <c r="AK1789" s="72"/>
      <c r="AL1789" s="72"/>
      <c r="AM1789" s="72"/>
    </row>
    <row r="1790" spans="1:39" x14ac:dyDescent="0.25">
      <c r="A1790" s="37" t="s">
        <v>62</v>
      </c>
      <c r="B1790" s="66" t="s">
        <v>1638</v>
      </c>
      <c r="C1790" s="41">
        <v>1057</v>
      </c>
      <c r="D1790" s="41" t="s">
        <v>1174</v>
      </c>
      <c r="E1790" s="41">
        <v>10570031</v>
      </c>
      <c r="F1790" s="85" t="s">
        <v>1261</v>
      </c>
      <c r="G1790" s="39" t="s">
        <v>92</v>
      </c>
      <c r="H1790" s="52" t="s">
        <v>93</v>
      </c>
      <c r="I1790" s="52">
        <v>120.89999999999999</v>
      </c>
      <c r="J1790" s="49">
        <v>4986.5</v>
      </c>
      <c r="K1790" s="58">
        <v>120.9</v>
      </c>
      <c r="L1790" s="58">
        <v>4986.9599999999991</v>
      </c>
      <c r="M1790" s="58">
        <v>0</v>
      </c>
      <c r="N1790" s="58">
        <v>0</v>
      </c>
      <c r="O1790" s="58">
        <v>120.9</v>
      </c>
      <c r="P1790" s="53">
        <v>4986.9599999999991</v>
      </c>
      <c r="Q1790" s="65">
        <v>4986.5</v>
      </c>
      <c r="R1790" s="65">
        <v>0</v>
      </c>
      <c r="S1790" s="65">
        <v>0</v>
      </c>
      <c r="T1790" s="65">
        <v>0.45999999999912689</v>
      </c>
      <c r="U1790" s="58">
        <v>0</v>
      </c>
      <c r="V1790" s="65">
        <v>500</v>
      </c>
      <c r="W1790" s="65">
        <v>0</v>
      </c>
      <c r="X1790" s="65">
        <v>4486</v>
      </c>
      <c r="Y1790" s="65">
        <v>0</v>
      </c>
      <c r="Z1790" s="51">
        <v>0</v>
      </c>
      <c r="AA1790" s="51">
        <v>1</v>
      </c>
      <c r="AB1790" s="102">
        <v>0</v>
      </c>
      <c r="AC1790" s="81">
        <f t="shared" si="84"/>
        <v>477.69762613730359</v>
      </c>
      <c r="AD1790" s="82">
        <f t="shared" si="85"/>
        <v>17.271428571428569</v>
      </c>
      <c r="AE1790" s="218">
        <v>-9.2249072495563403E-5</v>
      </c>
      <c r="AF1790">
        <v>1</v>
      </c>
      <c r="AH1790" t="str">
        <f t="shared" si="86"/>
        <v>Warisnagar</v>
      </c>
      <c r="AJ1790" s="72">
        <v>500</v>
      </c>
      <c r="AK1790" s="72"/>
      <c r="AL1790" s="72"/>
      <c r="AM1790" s="72"/>
    </row>
    <row r="1791" spans="1:39" x14ac:dyDescent="0.25">
      <c r="A1791" s="37" t="s">
        <v>62</v>
      </c>
      <c r="B1791" s="66" t="s">
        <v>1638</v>
      </c>
      <c r="C1791" s="41">
        <v>1057</v>
      </c>
      <c r="D1791" s="41" t="s">
        <v>1174</v>
      </c>
      <c r="E1791" s="41">
        <v>10570032</v>
      </c>
      <c r="F1791" s="85" t="s">
        <v>1526</v>
      </c>
      <c r="G1791" s="39" t="s">
        <v>1610</v>
      </c>
      <c r="H1791" s="52" t="s">
        <v>98</v>
      </c>
      <c r="I1791" s="52">
        <v>766.80000000000007</v>
      </c>
      <c r="J1791" s="49">
        <v>32588.590000000004</v>
      </c>
      <c r="K1791" s="58">
        <v>0</v>
      </c>
      <c r="L1791" s="58">
        <v>0</v>
      </c>
      <c r="M1791" s="58">
        <v>0</v>
      </c>
      <c r="N1791" s="58">
        <v>0</v>
      </c>
      <c r="O1791" s="58">
        <v>0</v>
      </c>
      <c r="P1791" s="53">
        <v>0</v>
      </c>
      <c r="Q1791" s="65">
        <v>32588.590000000004</v>
      </c>
      <c r="R1791" s="65">
        <v>0</v>
      </c>
      <c r="S1791" s="65">
        <v>0</v>
      </c>
      <c r="T1791" s="65">
        <v>0</v>
      </c>
      <c r="U1791" s="58">
        <v>0</v>
      </c>
      <c r="V1791" s="65">
        <v>0</v>
      </c>
      <c r="W1791" s="65">
        <v>0</v>
      </c>
      <c r="X1791" s="65">
        <v>0</v>
      </c>
      <c r="Y1791" s="65">
        <v>0</v>
      </c>
      <c r="Z1791" s="51">
        <v>32588.590000000004</v>
      </c>
      <c r="AA1791" s="51">
        <v>0</v>
      </c>
      <c r="AB1791" s="102">
        <v>0</v>
      </c>
      <c r="AC1791" s="81">
        <f t="shared" si="84"/>
        <v>0</v>
      </c>
      <c r="AD1791" s="82">
        <f t="shared" si="85"/>
        <v>0</v>
      </c>
      <c r="AE1791" s="218">
        <v>0</v>
      </c>
      <c r="AF1791">
        <v>0</v>
      </c>
      <c r="AH1791" t="str">
        <f t="shared" si="86"/>
        <v>Warisnagar</v>
      </c>
      <c r="AJ1791" s="72">
        <v>0</v>
      </c>
      <c r="AK1791" s="72"/>
      <c r="AL1791" s="72"/>
      <c r="AM1791" s="72"/>
    </row>
    <row r="1792" spans="1:39" x14ac:dyDescent="0.25">
      <c r="A1792" s="37" t="s">
        <v>62</v>
      </c>
      <c r="B1792" s="66" t="s">
        <v>1638</v>
      </c>
      <c r="C1792" s="41">
        <v>1057</v>
      </c>
      <c r="D1792" s="41" t="s">
        <v>1174</v>
      </c>
      <c r="E1792" s="41">
        <v>10570036</v>
      </c>
      <c r="F1792" s="85" t="s">
        <v>1321</v>
      </c>
      <c r="G1792" s="39" t="s">
        <v>92</v>
      </c>
      <c r="H1792" s="52" t="s">
        <v>93</v>
      </c>
      <c r="I1792" s="52">
        <v>279.59999999999997</v>
      </c>
      <c r="J1792" s="49">
        <v>12813.84</v>
      </c>
      <c r="K1792" s="58">
        <v>279.49999999999994</v>
      </c>
      <c r="L1792" s="58">
        <v>12851.88</v>
      </c>
      <c r="M1792" s="58">
        <v>0</v>
      </c>
      <c r="N1792" s="58">
        <v>0</v>
      </c>
      <c r="O1792" s="58">
        <v>279.49999999999994</v>
      </c>
      <c r="P1792" s="53">
        <v>12851.88</v>
      </c>
      <c r="Q1792" s="65">
        <v>12813.84</v>
      </c>
      <c r="R1792" s="65">
        <v>0</v>
      </c>
      <c r="S1792" s="65">
        <v>0</v>
      </c>
      <c r="T1792" s="65">
        <v>38.039999999999054</v>
      </c>
      <c r="U1792" s="58">
        <v>0</v>
      </c>
      <c r="V1792" s="65">
        <v>0</v>
      </c>
      <c r="W1792" s="65">
        <v>0</v>
      </c>
      <c r="X1792" s="65">
        <v>12814</v>
      </c>
      <c r="Y1792" s="65">
        <v>0</v>
      </c>
      <c r="Z1792" s="51">
        <v>0</v>
      </c>
      <c r="AA1792" s="51">
        <v>0</v>
      </c>
      <c r="AB1792" s="102">
        <v>0</v>
      </c>
      <c r="AC1792" s="81">
        <f t="shared" si="84"/>
        <v>385.33178369098721</v>
      </c>
      <c r="AD1792" s="82">
        <f t="shared" si="85"/>
        <v>39.942857142857136</v>
      </c>
      <c r="AE1792" s="218">
        <v>-2.968665130827219E-3</v>
      </c>
      <c r="AF1792">
        <v>3</v>
      </c>
      <c r="AH1792" t="str">
        <f t="shared" si="86"/>
        <v>Warisnagar</v>
      </c>
      <c r="AJ1792" s="72">
        <v>0</v>
      </c>
      <c r="AK1792" s="72"/>
      <c r="AL1792" s="72"/>
      <c r="AM1792" s="72"/>
    </row>
    <row r="1793" spans="1:39" x14ac:dyDescent="0.25">
      <c r="A1793" s="37" t="s">
        <v>62</v>
      </c>
      <c r="B1793" s="66" t="s">
        <v>1638</v>
      </c>
      <c r="C1793" s="41">
        <v>1057</v>
      </c>
      <c r="D1793" s="41" t="s">
        <v>1174</v>
      </c>
      <c r="E1793" s="41">
        <v>10570037</v>
      </c>
      <c r="F1793" s="85" t="s">
        <v>1276</v>
      </c>
      <c r="G1793" s="39" t="s">
        <v>1610</v>
      </c>
      <c r="H1793" s="52" t="s">
        <v>98</v>
      </c>
      <c r="I1793" s="52">
        <v>222.7</v>
      </c>
      <c r="J1793" s="49">
        <v>8679.4200000000019</v>
      </c>
      <c r="K1793" s="58">
        <v>0</v>
      </c>
      <c r="L1793" s="58">
        <v>0</v>
      </c>
      <c r="M1793" s="58">
        <v>0</v>
      </c>
      <c r="N1793" s="58">
        <v>0</v>
      </c>
      <c r="O1793" s="58">
        <v>0</v>
      </c>
      <c r="P1793" s="53">
        <v>0</v>
      </c>
      <c r="Q1793" s="65">
        <v>8679.4200000000019</v>
      </c>
      <c r="R1793" s="65">
        <v>0</v>
      </c>
      <c r="S1793" s="65">
        <v>0</v>
      </c>
      <c r="T1793" s="65">
        <v>0</v>
      </c>
      <c r="U1793" s="58">
        <v>0</v>
      </c>
      <c r="V1793" s="65">
        <v>0</v>
      </c>
      <c r="W1793" s="65">
        <v>0</v>
      </c>
      <c r="X1793" s="65">
        <v>0</v>
      </c>
      <c r="Y1793" s="65">
        <v>0</v>
      </c>
      <c r="Z1793" s="51">
        <v>8679.4200000000019</v>
      </c>
      <c r="AA1793" s="51">
        <v>0</v>
      </c>
      <c r="AB1793" s="102">
        <v>0</v>
      </c>
      <c r="AC1793" s="81">
        <f t="shared" ref="AC1793:AC1856" si="87">((IF(AD1793=0,0,100-AD1793))*7*(J1793/I1793))*2%</f>
        <v>372.04195473731488</v>
      </c>
      <c r="AD1793" s="82">
        <f t="shared" ref="AD1793:AD1856" si="88">IF((I1793/7)&gt;100,0,(I1793/7))</f>
        <v>31.814285714285713</v>
      </c>
      <c r="AE1793" s="218">
        <v>0</v>
      </c>
      <c r="AF1793">
        <v>0</v>
      </c>
      <c r="AH1793" t="str">
        <f t="shared" si="86"/>
        <v>Warisnagar</v>
      </c>
      <c r="AJ1793" s="72">
        <v>0</v>
      </c>
      <c r="AK1793" s="72"/>
      <c r="AL1793" s="72"/>
      <c r="AM1793" s="72"/>
    </row>
    <row r="1794" spans="1:39" x14ac:dyDescent="0.25">
      <c r="A1794" s="37" t="s">
        <v>62</v>
      </c>
      <c r="B1794" s="66" t="s">
        <v>1638</v>
      </c>
      <c r="C1794" s="41">
        <v>1057</v>
      </c>
      <c r="D1794" s="41" t="s">
        <v>1174</v>
      </c>
      <c r="E1794" s="41">
        <v>10570038</v>
      </c>
      <c r="F1794" s="85" t="s">
        <v>1277</v>
      </c>
      <c r="G1794" s="39" t="s">
        <v>1610</v>
      </c>
      <c r="H1794" s="52" t="s">
        <v>98</v>
      </c>
      <c r="I1794" s="52">
        <v>29.4</v>
      </c>
      <c r="J1794" s="49">
        <v>1194.4100000000001</v>
      </c>
      <c r="K1794" s="58">
        <v>0</v>
      </c>
      <c r="L1794" s="58">
        <v>0</v>
      </c>
      <c r="M1794" s="58">
        <v>0</v>
      </c>
      <c r="N1794" s="58">
        <v>0</v>
      </c>
      <c r="O1794" s="58">
        <v>0</v>
      </c>
      <c r="P1794" s="53">
        <v>0</v>
      </c>
      <c r="Q1794" s="65">
        <v>1194.4100000000001</v>
      </c>
      <c r="R1794" s="65">
        <v>0</v>
      </c>
      <c r="S1794" s="65">
        <v>0</v>
      </c>
      <c r="T1794" s="65">
        <v>0</v>
      </c>
      <c r="U1794" s="58">
        <v>0</v>
      </c>
      <c r="V1794" s="65">
        <v>0</v>
      </c>
      <c r="W1794" s="65">
        <v>0</v>
      </c>
      <c r="X1794" s="65">
        <v>0</v>
      </c>
      <c r="Y1794" s="65">
        <v>0</v>
      </c>
      <c r="Z1794" s="51">
        <v>1194.4100000000001</v>
      </c>
      <c r="AA1794" s="51">
        <v>0</v>
      </c>
      <c r="AB1794" s="102">
        <v>0</v>
      </c>
      <c r="AC1794" s="81">
        <f t="shared" si="87"/>
        <v>544.87846666666678</v>
      </c>
      <c r="AD1794" s="82">
        <f t="shared" si="88"/>
        <v>4.2</v>
      </c>
      <c r="AE1794" s="218">
        <v>0</v>
      </c>
      <c r="AF1794">
        <v>0</v>
      </c>
      <c r="AH1794" t="str">
        <f t="shared" si="86"/>
        <v>Warisnagar</v>
      </c>
      <c r="AJ1794" s="72">
        <v>0</v>
      </c>
      <c r="AK1794" s="72"/>
      <c r="AL1794" s="72"/>
      <c r="AM1794" s="72"/>
    </row>
    <row r="1795" spans="1:39" x14ac:dyDescent="0.25">
      <c r="A1795" s="37" t="s">
        <v>62</v>
      </c>
      <c r="B1795" s="66" t="s">
        <v>1638</v>
      </c>
      <c r="C1795" s="41">
        <v>1057</v>
      </c>
      <c r="D1795" s="41" t="s">
        <v>1174</v>
      </c>
      <c r="E1795" s="41">
        <v>10570042</v>
      </c>
      <c r="F1795" s="85" t="s">
        <v>1458</v>
      </c>
      <c r="G1795" s="39" t="s">
        <v>92</v>
      </c>
      <c r="H1795" s="52" t="s">
        <v>93</v>
      </c>
      <c r="I1795" s="52">
        <v>136.80000000000001</v>
      </c>
      <c r="J1795" s="49">
        <v>5413.4500000000007</v>
      </c>
      <c r="K1795" s="58">
        <v>136</v>
      </c>
      <c r="L1795" s="58">
        <v>5407.36</v>
      </c>
      <c r="M1795" s="58">
        <v>0</v>
      </c>
      <c r="N1795" s="58">
        <v>0</v>
      </c>
      <c r="O1795" s="58">
        <v>136</v>
      </c>
      <c r="P1795" s="53">
        <v>5407.36</v>
      </c>
      <c r="Q1795" s="65">
        <v>5407.36</v>
      </c>
      <c r="R1795" s="65">
        <v>0</v>
      </c>
      <c r="S1795" s="65">
        <v>0</v>
      </c>
      <c r="T1795" s="65">
        <v>0</v>
      </c>
      <c r="U1795" s="58">
        <v>0</v>
      </c>
      <c r="V1795" s="65">
        <v>0</v>
      </c>
      <c r="W1795" s="65">
        <v>0</v>
      </c>
      <c r="X1795" s="65">
        <v>5407</v>
      </c>
      <c r="Y1795" s="65">
        <v>0</v>
      </c>
      <c r="Z1795" s="51">
        <v>0</v>
      </c>
      <c r="AA1795" s="51">
        <v>6</v>
      </c>
      <c r="AB1795" s="102">
        <v>0</v>
      </c>
      <c r="AC1795" s="81">
        <f t="shared" si="87"/>
        <v>445.73904093567262</v>
      </c>
      <c r="AD1795" s="82">
        <f t="shared" si="88"/>
        <v>19.542857142857144</v>
      </c>
      <c r="AE1795" s="218">
        <v>1.1249757548330648E-3</v>
      </c>
      <c r="AF1795">
        <v>1</v>
      </c>
      <c r="AH1795" t="str">
        <f t="shared" si="86"/>
        <v>Warisnagar</v>
      </c>
      <c r="AJ1795" s="72">
        <v>0</v>
      </c>
      <c r="AK1795" s="72"/>
      <c r="AL1795" s="72"/>
      <c r="AM1795" s="72"/>
    </row>
    <row r="1796" spans="1:39" x14ac:dyDescent="0.25">
      <c r="A1796" s="37" t="s">
        <v>62</v>
      </c>
      <c r="B1796" s="66" t="s">
        <v>1638</v>
      </c>
      <c r="C1796" s="41">
        <v>1057</v>
      </c>
      <c r="D1796" s="41" t="s">
        <v>1174</v>
      </c>
      <c r="E1796" s="41">
        <v>10570044</v>
      </c>
      <c r="F1796" s="85" t="s">
        <v>1392</v>
      </c>
      <c r="G1796" s="39" t="s">
        <v>92</v>
      </c>
      <c r="H1796" s="52" t="s">
        <v>93</v>
      </c>
      <c r="I1796" s="52">
        <v>152.30000000000001</v>
      </c>
      <c r="J1796" s="49">
        <v>7335.91</v>
      </c>
      <c r="K1796" s="58">
        <v>150</v>
      </c>
      <c r="L1796" s="58">
        <v>7297.5</v>
      </c>
      <c r="M1796" s="58">
        <v>0</v>
      </c>
      <c r="N1796" s="58">
        <v>0</v>
      </c>
      <c r="O1796" s="58">
        <v>150</v>
      </c>
      <c r="P1796" s="53">
        <v>7297.5</v>
      </c>
      <c r="Q1796" s="65">
        <v>7297.5</v>
      </c>
      <c r="R1796" s="65">
        <v>0</v>
      </c>
      <c r="S1796" s="65">
        <v>0</v>
      </c>
      <c r="T1796" s="65">
        <v>0</v>
      </c>
      <c r="U1796" s="58">
        <v>3100</v>
      </c>
      <c r="V1796" s="65">
        <v>0</v>
      </c>
      <c r="W1796" s="65">
        <v>0</v>
      </c>
      <c r="X1796" s="65">
        <v>4198</v>
      </c>
      <c r="Y1796" s="65">
        <v>0</v>
      </c>
      <c r="Z1796" s="51">
        <v>0</v>
      </c>
      <c r="AA1796" s="51">
        <v>38</v>
      </c>
      <c r="AB1796" s="102">
        <v>0</v>
      </c>
      <c r="AC1796" s="81">
        <f t="shared" si="87"/>
        <v>527.62677701904124</v>
      </c>
      <c r="AD1796" s="82">
        <f t="shared" si="88"/>
        <v>21.75714285714286</v>
      </c>
      <c r="AE1796" s="218">
        <v>5.235887572230283E-3</v>
      </c>
      <c r="AF1796">
        <v>1</v>
      </c>
      <c r="AH1796" t="str">
        <f t="shared" si="86"/>
        <v>Warisnagar</v>
      </c>
      <c r="AJ1796" s="72">
        <v>0</v>
      </c>
      <c r="AK1796" s="72"/>
      <c r="AL1796" s="72"/>
      <c r="AM1796" s="72"/>
    </row>
    <row r="1797" spans="1:39" x14ac:dyDescent="0.25">
      <c r="A1797" s="37" t="s">
        <v>62</v>
      </c>
      <c r="B1797" s="66" t="s">
        <v>1638</v>
      </c>
      <c r="C1797" s="41">
        <v>1057</v>
      </c>
      <c r="D1797" s="41" t="s">
        <v>1174</v>
      </c>
      <c r="E1797" s="41">
        <v>10570045</v>
      </c>
      <c r="F1797" s="85" t="s">
        <v>1342</v>
      </c>
      <c r="G1797" s="39" t="s">
        <v>92</v>
      </c>
      <c r="H1797" s="52" t="s">
        <v>93</v>
      </c>
      <c r="I1797" s="52">
        <v>1094.5</v>
      </c>
      <c r="J1797" s="49">
        <v>44649.23000000001</v>
      </c>
      <c r="K1797" s="58">
        <v>1093.3</v>
      </c>
      <c r="L1797" s="58">
        <v>44736.309999999983</v>
      </c>
      <c r="M1797" s="58">
        <v>0</v>
      </c>
      <c r="N1797" s="58">
        <v>0</v>
      </c>
      <c r="O1797" s="58">
        <v>1093.3</v>
      </c>
      <c r="P1797" s="53">
        <v>44736.309999999983</v>
      </c>
      <c r="Q1797" s="65">
        <v>44649.23000000001</v>
      </c>
      <c r="R1797" s="65">
        <v>0</v>
      </c>
      <c r="S1797" s="65">
        <v>0</v>
      </c>
      <c r="T1797" s="65">
        <v>87.079999999972642</v>
      </c>
      <c r="U1797" s="58">
        <v>7000</v>
      </c>
      <c r="V1797" s="65">
        <v>0</v>
      </c>
      <c r="W1797" s="65">
        <v>0</v>
      </c>
      <c r="X1797" s="65">
        <v>37649</v>
      </c>
      <c r="Y1797" s="65">
        <v>0</v>
      </c>
      <c r="Z1797" s="51">
        <v>0</v>
      </c>
      <c r="AA1797" s="51">
        <v>0</v>
      </c>
      <c r="AB1797" s="102">
        <v>0</v>
      </c>
      <c r="AC1797" s="81">
        <f t="shared" si="87"/>
        <v>0</v>
      </c>
      <c r="AD1797" s="82">
        <f t="shared" si="88"/>
        <v>0</v>
      </c>
      <c r="AE1797" s="218">
        <v>-1.9503135888339536E-3</v>
      </c>
      <c r="AF1797">
        <v>10</v>
      </c>
      <c r="AH1797" t="str">
        <f t="shared" si="86"/>
        <v>Warisnagar</v>
      </c>
      <c r="AJ1797" s="72">
        <v>0</v>
      </c>
      <c r="AK1797" s="72"/>
      <c r="AL1797" s="72"/>
      <c r="AM1797" s="72"/>
    </row>
    <row r="1798" spans="1:39" x14ac:dyDescent="0.25">
      <c r="A1798" s="37" t="s">
        <v>62</v>
      </c>
      <c r="B1798" s="66" t="s">
        <v>1638</v>
      </c>
      <c r="C1798" s="41">
        <v>1057</v>
      </c>
      <c r="D1798" s="41" t="s">
        <v>1174</v>
      </c>
      <c r="E1798" s="41">
        <v>10570046</v>
      </c>
      <c r="F1798" s="85" t="s">
        <v>1343</v>
      </c>
      <c r="G1798" s="39" t="s">
        <v>1610</v>
      </c>
      <c r="H1798" s="52" t="s">
        <v>98</v>
      </c>
      <c r="I1798" s="52">
        <v>550.4</v>
      </c>
      <c r="J1798" s="49">
        <v>19402.710000000003</v>
      </c>
      <c r="K1798" s="58">
        <v>0</v>
      </c>
      <c r="L1798" s="58">
        <v>0</v>
      </c>
      <c r="M1798" s="58">
        <v>0</v>
      </c>
      <c r="N1798" s="58">
        <v>0</v>
      </c>
      <c r="O1798" s="58">
        <v>0</v>
      </c>
      <c r="P1798" s="53">
        <v>0</v>
      </c>
      <c r="Q1798" s="65">
        <v>19402.710000000003</v>
      </c>
      <c r="R1798" s="65">
        <v>0</v>
      </c>
      <c r="S1798" s="65">
        <v>0</v>
      </c>
      <c r="T1798" s="65">
        <v>0</v>
      </c>
      <c r="U1798" s="58">
        <v>0</v>
      </c>
      <c r="V1798" s="65">
        <v>0</v>
      </c>
      <c r="W1798" s="65">
        <v>0</v>
      </c>
      <c r="X1798" s="65">
        <v>0</v>
      </c>
      <c r="Y1798" s="65">
        <v>0</v>
      </c>
      <c r="Z1798" s="51">
        <v>19402.710000000003</v>
      </c>
      <c r="AA1798" s="51">
        <v>0</v>
      </c>
      <c r="AB1798" s="102">
        <v>0</v>
      </c>
      <c r="AC1798" s="81">
        <f t="shared" si="87"/>
        <v>105.47403401162798</v>
      </c>
      <c r="AD1798" s="82">
        <f t="shared" si="88"/>
        <v>78.628571428571419</v>
      </c>
      <c r="AE1798" s="218">
        <v>0</v>
      </c>
      <c r="AF1798">
        <v>0</v>
      </c>
      <c r="AH1798" t="str">
        <f t="shared" si="86"/>
        <v>Warisnagar</v>
      </c>
      <c r="AJ1798" s="72">
        <v>0</v>
      </c>
      <c r="AK1798" s="72"/>
      <c r="AL1798" s="72"/>
      <c r="AM1798" s="72"/>
    </row>
    <row r="1799" spans="1:39" x14ac:dyDescent="0.25">
      <c r="A1799" s="37" t="s">
        <v>62</v>
      </c>
      <c r="B1799" s="66" t="s">
        <v>1638</v>
      </c>
      <c r="C1799" s="41">
        <v>1057</v>
      </c>
      <c r="D1799" s="41" t="s">
        <v>1174</v>
      </c>
      <c r="E1799" s="41">
        <v>10570047</v>
      </c>
      <c r="F1799" s="85" t="s">
        <v>1379</v>
      </c>
      <c r="G1799" s="39" t="s">
        <v>92</v>
      </c>
      <c r="H1799" s="52" t="s">
        <v>93</v>
      </c>
      <c r="I1799" s="52">
        <v>416.49999999999994</v>
      </c>
      <c r="J1799" s="49">
        <v>17936.569999999996</v>
      </c>
      <c r="K1799" s="58">
        <v>348.8</v>
      </c>
      <c r="L1799" s="58">
        <v>13855.48</v>
      </c>
      <c r="M1799" s="58">
        <v>67.199999999999989</v>
      </c>
      <c r="N1799" s="58">
        <v>3845.78</v>
      </c>
      <c r="O1799" s="58">
        <v>416</v>
      </c>
      <c r="P1799" s="53">
        <v>17701.259999999998</v>
      </c>
      <c r="Q1799" s="65">
        <v>17701.259999999998</v>
      </c>
      <c r="R1799" s="65">
        <v>0</v>
      </c>
      <c r="S1799" s="65">
        <v>0</v>
      </c>
      <c r="T1799" s="65">
        <v>0</v>
      </c>
      <c r="U1799" s="58">
        <v>0</v>
      </c>
      <c r="V1799" s="65">
        <v>0</v>
      </c>
      <c r="W1799" s="65">
        <v>0</v>
      </c>
      <c r="X1799" s="65">
        <v>13856</v>
      </c>
      <c r="Y1799" s="65">
        <v>3846</v>
      </c>
      <c r="Z1799" s="51">
        <v>0</v>
      </c>
      <c r="AA1799" s="51">
        <v>235</v>
      </c>
      <c r="AB1799" s="102">
        <v>0</v>
      </c>
      <c r="AC1799" s="81">
        <f t="shared" si="87"/>
        <v>244.17851596638658</v>
      </c>
      <c r="AD1799" s="82">
        <f t="shared" si="88"/>
        <v>59.499999999999993</v>
      </c>
      <c r="AE1799" s="218">
        <v>1.3119007703256405E-2</v>
      </c>
      <c r="AF1799">
        <v>11</v>
      </c>
      <c r="AH1799" t="str">
        <f t="shared" si="86"/>
        <v>Warisnagar</v>
      </c>
      <c r="AJ1799" s="72">
        <v>0</v>
      </c>
      <c r="AK1799" s="72"/>
      <c r="AL1799" s="72"/>
      <c r="AM1799" s="72"/>
    </row>
    <row r="1800" spans="1:39" x14ac:dyDescent="0.25">
      <c r="A1800" s="37" t="s">
        <v>62</v>
      </c>
      <c r="B1800" s="66" t="s">
        <v>1638</v>
      </c>
      <c r="C1800" s="41">
        <v>1057</v>
      </c>
      <c r="D1800" s="41" t="s">
        <v>1174</v>
      </c>
      <c r="E1800" s="41">
        <v>10570049</v>
      </c>
      <c r="F1800" s="85" t="s">
        <v>1393</v>
      </c>
      <c r="G1800" s="39" t="s">
        <v>92</v>
      </c>
      <c r="H1800" s="52" t="s">
        <v>93</v>
      </c>
      <c r="I1800" s="52">
        <v>551.5</v>
      </c>
      <c r="J1800" s="49">
        <v>24937.46</v>
      </c>
      <c r="K1800" s="58">
        <v>92.250000000000028</v>
      </c>
      <c r="L1800" s="58">
        <v>3867.4199999999992</v>
      </c>
      <c r="M1800" s="58">
        <v>477.84000000000003</v>
      </c>
      <c r="N1800" s="58">
        <v>20987.100000000002</v>
      </c>
      <c r="O1800" s="58">
        <v>570.09</v>
      </c>
      <c r="P1800" s="53">
        <v>24854.52</v>
      </c>
      <c r="Q1800" s="65">
        <v>24854.52</v>
      </c>
      <c r="R1800" s="65">
        <v>0</v>
      </c>
      <c r="S1800" s="65">
        <v>0</v>
      </c>
      <c r="T1800" s="65">
        <v>0</v>
      </c>
      <c r="U1800" s="58">
        <v>0</v>
      </c>
      <c r="V1800" s="65">
        <v>0</v>
      </c>
      <c r="W1800" s="65">
        <v>0</v>
      </c>
      <c r="X1800" s="65">
        <v>3867</v>
      </c>
      <c r="Y1800" s="65">
        <v>20986</v>
      </c>
      <c r="Z1800" s="51">
        <v>0</v>
      </c>
      <c r="AA1800" s="51">
        <v>84</v>
      </c>
      <c r="AB1800" s="102">
        <v>0</v>
      </c>
      <c r="AC1800" s="81">
        <f t="shared" si="87"/>
        <v>134.2960221214868</v>
      </c>
      <c r="AD1800" s="82">
        <f t="shared" si="88"/>
        <v>78.785714285714292</v>
      </c>
      <c r="AE1800" s="218">
        <v>3.325920121776584E-3</v>
      </c>
      <c r="AF1800">
        <v>10</v>
      </c>
      <c r="AH1800" t="str">
        <f t="shared" si="86"/>
        <v>Warisnagar</v>
      </c>
      <c r="AJ1800" s="72">
        <v>0</v>
      </c>
      <c r="AK1800" s="72"/>
      <c r="AL1800" s="72"/>
      <c r="AM1800" s="72"/>
    </row>
    <row r="1801" spans="1:39" x14ac:dyDescent="0.25">
      <c r="A1801" s="37" t="s">
        <v>62</v>
      </c>
      <c r="B1801" s="66" t="s">
        <v>1638</v>
      </c>
      <c r="C1801" s="41">
        <v>1057</v>
      </c>
      <c r="D1801" s="41" t="s">
        <v>1174</v>
      </c>
      <c r="E1801" s="41">
        <v>10570051</v>
      </c>
      <c r="F1801" s="85" t="s">
        <v>1542</v>
      </c>
      <c r="G1801" s="39" t="s">
        <v>92</v>
      </c>
      <c r="H1801" s="52" t="s">
        <v>93</v>
      </c>
      <c r="I1801" s="52">
        <v>110.09999999999998</v>
      </c>
      <c r="J1801" s="49">
        <v>4083.6</v>
      </c>
      <c r="K1801" s="58">
        <v>110.10000000000001</v>
      </c>
      <c r="L1801" s="58">
        <v>3955.2799999999997</v>
      </c>
      <c r="M1801" s="58">
        <v>0</v>
      </c>
      <c r="N1801" s="58">
        <v>0</v>
      </c>
      <c r="O1801" s="58">
        <v>110.10000000000001</v>
      </c>
      <c r="P1801" s="53">
        <v>3955.2799999999997</v>
      </c>
      <c r="Q1801" s="65">
        <v>3955.2799999999997</v>
      </c>
      <c r="R1801" s="65">
        <v>0</v>
      </c>
      <c r="S1801" s="65">
        <v>0</v>
      </c>
      <c r="T1801" s="65">
        <v>0</v>
      </c>
      <c r="U1801" s="58">
        <v>3613</v>
      </c>
      <c r="V1801" s="65">
        <v>0</v>
      </c>
      <c r="W1801" s="65">
        <v>0</v>
      </c>
      <c r="X1801" s="65">
        <v>343</v>
      </c>
      <c r="Y1801" s="65">
        <v>0</v>
      </c>
      <c r="Z1801" s="51">
        <v>0</v>
      </c>
      <c r="AA1801" s="51">
        <v>128</v>
      </c>
      <c r="AB1801" s="102">
        <v>0</v>
      </c>
      <c r="AC1801" s="81">
        <f t="shared" si="87"/>
        <v>437.58685558583107</v>
      </c>
      <c r="AD1801" s="82">
        <f t="shared" si="88"/>
        <v>15.728571428571426</v>
      </c>
      <c r="AE1801" s="218">
        <v>3.1423253991576104E-2</v>
      </c>
      <c r="AF1801">
        <v>2</v>
      </c>
      <c r="AH1801" t="str">
        <f t="shared" si="86"/>
        <v>Warisnagar</v>
      </c>
      <c r="AJ1801" s="72">
        <v>0</v>
      </c>
      <c r="AK1801" s="72"/>
      <c r="AL1801" s="72"/>
      <c r="AM1801" s="72"/>
    </row>
    <row r="1802" spans="1:39" x14ac:dyDescent="0.25">
      <c r="A1802" s="37" t="s">
        <v>62</v>
      </c>
      <c r="B1802" s="66" t="s">
        <v>1638</v>
      </c>
      <c r="C1802" s="41">
        <v>1057</v>
      </c>
      <c r="D1802" s="41" t="s">
        <v>1174</v>
      </c>
      <c r="E1802" s="41">
        <v>10570053</v>
      </c>
      <c r="F1802" s="85" t="s">
        <v>1413</v>
      </c>
      <c r="G1802" s="39" t="s">
        <v>1610</v>
      </c>
      <c r="H1802" s="52" t="s">
        <v>98</v>
      </c>
      <c r="I1802" s="52">
        <v>169.70000000000002</v>
      </c>
      <c r="J1802" s="49">
        <v>6882.619999999999</v>
      </c>
      <c r="K1802" s="58">
        <v>0</v>
      </c>
      <c r="L1802" s="58">
        <v>0</v>
      </c>
      <c r="M1802" s="58">
        <v>0</v>
      </c>
      <c r="N1802" s="58">
        <v>0</v>
      </c>
      <c r="O1802" s="58">
        <v>0</v>
      </c>
      <c r="P1802" s="53">
        <v>0</v>
      </c>
      <c r="Q1802" s="65">
        <v>6882.619999999999</v>
      </c>
      <c r="R1802" s="65">
        <v>0</v>
      </c>
      <c r="S1802" s="65">
        <v>0</v>
      </c>
      <c r="T1802" s="65">
        <v>0</v>
      </c>
      <c r="U1802" s="58">
        <v>0</v>
      </c>
      <c r="V1802" s="65">
        <v>0</v>
      </c>
      <c r="W1802" s="65">
        <v>0</v>
      </c>
      <c r="X1802" s="65">
        <v>0</v>
      </c>
      <c r="Y1802" s="65">
        <v>0</v>
      </c>
      <c r="Z1802" s="51">
        <v>6882.619999999999</v>
      </c>
      <c r="AA1802" s="51">
        <v>0</v>
      </c>
      <c r="AB1802" s="102">
        <v>0</v>
      </c>
      <c r="AC1802" s="81">
        <f t="shared" si="87"/>
        <v>430.15361060695329</v>
      </c>
      <c r="AD1802" s="82">
        <f t="shared" si="88"/>
        <v>24.242857142857144</v>
      </c>
      <c r="AE1802" s="218">
        <v>0</v>
      </c>
      <c r="AF1802">
        <v>0</v>
      </c>
      <c r="AH1802" t="str">
        <f t="shared" si="86"/>
        <v>Warisnagar</v>
      </c>
      <c r="AJ1802" s="72">
        <v>0</v>
      </c>
      <c r="AK1802" s="72"/>
      <c r="AL1802" s="72"/>
      <c r="AM1802" s="72"/>
    </row>
    <row r="1803" spans="1:39" x14ac:dyDescent="0.25">
      <c r="A1803" s="37" t="s">
        <v>62</v>
      </c>
      <c r="B1803" s="66" t="s">
        <v>1638</v>
      </c>
      <c r="C1803" s="41">
        <v>1057</v>
      </c>
      <c r="D1803" s="41" t="s">
        <v>1174</v>
      </c>
      <c r="E1803" s="41">
        <v>10570055</v>
      </c>
      <c r="F1803" s="85" t="s">
        <v>1436</v>
      </c>
      <c r="G1803" s="39" t="s">
        <v>92</v>
      </c>
      <c r="H1803" s="52" t="s">
        <v>93</v>
      </c>
      <c r="I1803" s="52">
        <v>384.00000000000006</v>
      </c>
      <c r="J1803" s="49">
        <v>15481.190000000002</v>
      </c>
      <c r="K1803" s="58">
        <v>48.800000000000004</v>
      </c>
      <c r="L1803" s="58">
        <v>1833.89</v>
      </c>
      <c r="M1803" s="58">
        <v>337.31000000000017</v>
      </c>
      <c r="N1803" s="58">
        <v>13708.809999999994</v>
      </c>
      <c r="O1803" s="58">
        <v>386.11000000000018</v>
      </c>
      <c r="P1803" s="53">
        <v>15542.699999999993</v>
      </c>
      <c r="Q1803" s="65">
        <v>15481.190000000002</v>
      </c>
      <c r="R1803" s="65">
        <v>0</v>
      </c>
      <c r="S1803" s="65">
        <v>0</v>
      </c>
      <c r="T1803" s="65">
        <v>61.509999999991123</v>
      </c>
      <c r="U1803" s="58">
        <v>0</v>
      </c>
      <c r="V1803" s="65">
        <v>0</v>
      </c>
      <c r="W1803" s="65">
        <v>0</v>
      </c>
      <c r="X1803" s="65">
        <v>1772</v>
      </c>
      <c r="Y1803" s="65">
        <v>13709</v>
      </c>
      <c r="Z1803" s="51">
        <v>0</v>
      </c>
      <c r="AA1803" s="51">
        <v>0</v>
      </c>
      <c r="AB1803" s="102">
        <v>0</v>
      </c>
      <c r="AC1803" s="81">
        <f t="shared" si="87"/>
        <v>254.79458541666665</v>
      </c>
      <c r="AD1803" s="82">
        <f t="shared" si="88"/>
        <v>54.857142857142868</v>
      </c>
      <c r="AE1803" s="218">
        <v>-3.9732087778776128E-3</v>
      </c>
      <c r="AF1803">
        <v>9</v>
      </c>
      <c r="AH1803" t="str">
        <f t="shared" si="86"/>
        <v>Warisnagar</v>
      </c>
      <c r="AJ1803" s="72">
        <v>0</v>
      </c>
      <c r="AK1803" s="72"/>
      <c r="AL1803" s="72"/>
      <c r="AM1803" s="72"/>
    </row>
    <row r="1804" spans="1:39" x14ac:dyDescent="0.25">
      <c r="A1804" s="37" t="s">
        <v>62</v>
      </c>
      <c r="B1804" s="66" t="s">
        <v>1638</v>
      </c>
      <c r="C1804" s="41">
        <v>1057</v>
      </c>
      <c r="D1804" s="41" t="s">
        <v>1174</v>
      </c>
      <c r="E1804" s="41">
        <v>10570058</v>
      </c>
      <c r="F1804" s="85" t="s">
        <v>1467</v>
      </c>
      <c r="G1804" s="39" t="s">
        <v>1610</v>
      </c>
      <c r="H1804" s="52" t="s">
        <v>98</v>
      </c>
      <c r="I1804" s="52">
        <v>1020.0000000000001</v>
      </c>
      <c r="J1804" s="49">
        <v>37946.300000000003</v>
      </c>
      <c r="K1804" s="58">
        <v>0</v>
      </c>
      <c r="L1804" s="58">
        <v>0</v>
      </c>
      <c r="M1804" s="58">
        <v>0</v>
      </c>
      <c r="N1804" s="58">
        <v>0</v>
      </c>
      <c r="O1804" s="58">
        <v>0</v>
      </c>
      <c r="P1804" s="53">
        <v>0</v>
      </c>
      <c r="Q1804" s="65">
        <v>37946.300000000003</v>
      </c>
      <c r="R1804" s="65">
        <v>0</v>
      </c>
      <c r="S1804" s="65">
        <v>0</v>
      </c>
      <c r="T1804" s="65">
        <v>0</v>
      </c>
      <c r="U1804" s="58">
        <v>0</v>
      </c>
      <c r="V1804" s="65">
        <v>0</v>
      </c>
      <c r="W1804" s="65">
        <v>0</v>
      </c>
      <c r="X1804" s="65">
        <v>0</v>
      </c>
      <c r="Y1804" s="65">
        <v>0</v>
      </c>
      <c r="Z1804" s="51">
        <v>37946.300000000003</v>
      </c>
      <c r="AA1804" s="51">
        <v>0</v>
      </c>
      <c r="AB1804" s="102">
        <v>0</v>
      </c>
      <c r="AC1804" s="81">
        <f t="shared" si="87"/>
        <v>0</v>
      </c>
      <c r="AD1804" s="82">
        <f t="shared" si="88"/>
        <v>0</v>
      </c>
      <c r="AE1804" s="218">
        <v>0</v>
      </c>
      <c r="AF1804">
        <v>0</v>
      </c>
      <c r="AH1804" t="str">
        <f t="shared" si="86"/>
        <v>Warisnagar</v>
      </c>
      <c r="AJ1804" s="72">
        <v>0</v>
      </c>
      <c r="AK1804" s="72"/>
      <c r="AL1804" s="72"/>
      <c r="AM1804" s="72"/>
    </row>
    <row r="1805" spans="1:39" x14ac:dyDescent="0.25">
      <c r="A1805" s="37" t="s">
        <v>62</v>
      </c>
      <c r="B1805" s="66" t="s">
        <v>1638</v>
      </c>
      <c r="C1805" s="41">
        <v>1057</v>
      </c>
      <c r="D1805" s="41" t="s">
        <v>1174</v>
      </c>
      <c r="E1805" s="41">
        <v>10570059</v>
      </c>
      <c r="F1805" s="85" t="s">
        <v>1468</v>
      </c>
      <c r="G1805" s="39" t="s">
        <v>1610</v>
      </c>
      <c r="H1805" s="52" t="s">
        <v>98</v>
      </c>
      <c r="I1805" s="52">
        <v>1816.7</v>
      </c>
      <c r="J1805" s="49">
        <v>78190.090000000011</v>
      </c>
      <c r="K1805" s="58">
        <v>0</v>
      </c>
      <c r="L1805" s="58">
        <v>0</v>
      </c>
      <c r="M1805" s="58">
        <v>0</v>
      </c>
      <c r="N1805" s="58">
        <v>0</v>
      </c>
      <c r="O1805" s="58">
        <v>0</v>
      </c>
      <c r="P1805" s="53">
        <v>0</v>
      </c>
      <c r="Q1805" s="65">
        <v>78190.090000000011</v>
      </c>
      <c r="R1805" s="65">
        <v>0</v>
      </c>
      <c r="S1805" s="65">
        <v>0</v>
      </c>
      <c r="T1805" s="65">
        <v>0</v>
      </c>
      <c r="U1805" s="58">
        <v>0</v>
      </c>
      <c r="V1805" s="65">
        <v>0</v>
      </c>
      <c r="W1805" s="65">
        <v>0</v>
      </c>
      <c r="X1805" s="65">
        <v>0</v>
      </c>
      <c r="Y1805" s="65">
        <v>0</v>
      </c>
      <c r="Z1805" s="51">
        <v>78190.090000000011</v>
      </c>
      <c r="AA1805" s="51">
        <v>0</v>
      </c>
      <c r="AB1805" s="102">
        <v>0</v>
      </c>
      <c r="AC1805" s="81">
        <f t="shared" si="87"/>
        <v>0</v>
      </c>
      <c r="AD1805" s="82">
        <f t="shared" si="88"/>
        <v>0</v>
      </c>
      <c r="AE1805" s="218">
        <v>0</v>
      </c>
      <c r="AF1805">
        <v>0</v>
      </c>
      <c r="AH1805" t="str">
        <f t="shared" si="86"/>
        <v>Warisnagar</v>
      </c>
      <c r="AJ1805" s="72">
        <v>0</v>
      </c>
      <c r="AK1805" s="72"/>
      <c r="AL1805" s="72"/>
      <c r="AM1805" s="72"/>
    </row>
    <row r="1806" spans="1:39" x14ac:dyDescent="0.25">
      <c r="A1806" s="37" t="s">
        <v>62</v>
      </c>
      <c r="B1806" s="66" t="s">
        <v>1638</v>
      </c>
      <c r="C1806" s="41">
        <v>1057</v>
      </c>
      <c r="D1806" s="41" t="s">
        <v>1174</v>
      </c>
      <c r="E1806" s="41">
        <v>10570060</v>
      </c>
      <c r="F1806" s="85" t="s">
        <v>1469</v>
      </c>
      <c r="G1806" s="39" t="s">
        <v>1610</v>
      </c>
      <c r="H1806" s="52" t="s">
        <v>98</v>
      </c>
      <c r="I1806" s="52">
        <v>730.2</v>
      </c>
      <c r="J1806" s="49">
        <v>31853.79</v>
      </c>
      <c r="K1806" s="58">
        <v>0</v>
      </c>
      <c r="L1806" s="58">
        <v>0</v>
      </c>
      <c r="M1806" s="58">
        <v>0</v>
      </c>
      <c r="N1806" s="58">
        <v>0</v>
      </c>
      <c r="O1806" s="58">
        <v>0</v>
      </c>
      <c r="P1806" s="53">
        <v>0</v>
      </c>
      <c r="Q1806" s="65">
        <v>31853.79</v>
      </c>
      <c r="R1806" s="65">
        <v>0</v>
      </c>
      <c r="S1806" s="65">
        <v>0</v>
      </c>
      <c r="T1806" s="65">
        <v>0</v>
      </c>
      <c r="U1806" s="58">
        <v>3785.5</v>
      </c>
      <c r="V1806" s="65">
        <v>0</v>
      </c>
      <c r="W1806" s="65">
        <v>0</v>
      </c>
      <c r="X1806" s="65">
        <v>0</v>
      </c>
      <c r="Y1806" s="65">
        <v>0</v>
      </c>
      <c r="Z1806" s="51">
        <v>28068.29</v>
      </c>
      <c r="AA1806" s="51">
        <v>0</v>
      </c>
      <c r="AB1806" s="102">
        <v>0</v>
      </c>
      <c r="AC1806" s="81">
        <f t="shared" si="87"/>
        <v>0</v>
      </c>
      <c r="AD1806" s="82">
        <f t="shared" si="88"/>
        <v>0</v>
      </c>
      <c r="AE1806" s="218">
        <v>0</v>
      </c>
      <c r="AF1806">
        <v>0</v>
      </c>
      <c r="AH1806" t="str">
        <f t="shared" si="86"/>
        <v>Warisnagar</v>
      </c>
      <c r="AJ1806" s="72">
        <v>0</v>
      </c>
      <c r="AK1806" s="72"/>
      <c r="AL1806" s="72"/>
      <c r="AM1806" s="72"/>
    </row>
    <row r="1807" spans="1:39" x14ac:dyDescent="0.25">
      <c r="A1807" s="37" t="s">
        <v>62</v>
      </c>
      <c r="B1807" s="66" t="s">
        <v>1638</v>
      </c>
      <c r="C1807" s="41">
        <v>1057</v>
      </c>
      <c r="D1807" s="41" t="s">
        <v>1174</v>
      </c>
      <c r="E1807" s="41">
        <v>10570062</v>
      </c>
      <c r="F1807" s="85" t="s">
        <v>1494</v>
      </c>
      <c r="G1807" s="39" t="s">
        <v>1610</v>
      </c>
      <c r="H1807" s="52" t="s">
        <v>98</v>
      </c>
      <c r="I1807" s="52">
        <v>3259.2999999999997</v>
      </c>
      <c r="J1807" s="49">
        <v>124360.57</v>
      </c>
      <c r="K1807" s="58">
        <v>0</v>
      </c>
      <c r="L1807" s="58">
        <v>0</v>
      </c>
      <c r="M1807" s="58">
        <v>0</v>
      </c>
      <c r="N1807" s="58">
        <v>0</v>
      </c>
      <c r="O1807" s="58">
        <v>0</v>
      </c>
      <c r="P1807" s="53">
        <v>0</v>
      </c>
      <c r="Q1807" s="65">
        <v>124360.57</v>
      </c>
      <c r="R1807" s="65">
        <v>0</v>
      </c>
      <c r="S1807" s="65">
        <v>0</v>
      </c>
      <c r="T1807" s="65">
        <v>0</v>
      </c>
      <c r="U1807" s="58">
        <v>0</v>
      </c>
      <c r="V1807" s="65">
        <v>0</v>
      </c>
      <c r="W1807" s="65">
        <v>0</v>
      </c>
      <c r="X1807" s="65">
        <v>0</v>
      </c>
      <c r="Y1807" s="65">
        <v>0</v>
      </c>
      <c r="Z1807" s="51">
        <v>124360.57</v>
      </c>
      <c r="AA1807" s="51">
        <v>0</v>
      </c>
      <c r="AB1807" s="102">
        <v>0</v>
      </c>
      <c r="AC1807" s="81">
        <f t="shared" si="87"/>
        <v>0</v>
      </c>
      <c r="AD1807" s="82">
        <f t="shared" si="88"/>
        <v>0</v>
      </c>
      <c r="AE1807" s="218">
        <v>0</v>
      </c>
      <c r="AF1807">
        <v>0</v>
      </c>
      <c r="AH1807" t="str">
        <f t="shared" si="86"/>
        <v>Warisnagar</v>
      </c>
      <c r="AJ1807" s="72">
        <v>0</v>
      </c>
      <c r="AK1807" s="72"/>
      <c r="AL1807" s="72"/>
      <c r="AM1807" s="72"/>
    </row>
    <row r="1808" spans="1:39" x14ac:dyDescent="0.25">
      <c r="A1808" s="37" t="s">
        <v>62</v>
      </c>
      <c r="B1808" s="66" t="s">
        <v>1638</v>
      </c>
      <c r="C1808" s="41">
        <v>1057</v>
      </c>
      <c r="D1808" s="41" t="s">
        <v>1174</v>
      </c>
      <c r="E1808" s="41">
        <v>10570065</v>
      </c>
      <c r="F1808" s="85" t="s">
        <v>1554</v>
      </c>
      <c r="G1808" s="39" t="s">
        <v>1610</v>
      </c>
      <c r="H1808" s="52" t="s">
        <v>98</v>
      </c>
      <c r="I1808" s="52">
        <v>77.699999999999989</v>
      </c>
      <c r="J1808" s="49">
        <v>3251.68</v>
      </c>
      <c r="K1808" s="58">
        <v>0</v>
      </c>
      <c r="L1808" s="58">
        <v>0</v>
      </c>
      <c r="M1808" s="58">
        <v>0</v>
      </c>
      <c r="N1808" s="58">
        <v>0</v>
      </c>
      <c r="O1808" s="58">
        <v>0</v>
      </c>
      <c r="P1808" s="53">
        <v>0</v>
      </c>
      <c r="Q1808" s="65">
        <v>3251.68</v>
      </c>
      <c r="R1808" s="65">
        <v>0</v>
      </c>
      <c r="S1808" s="65">
        <v>0</v>
      </c>
      <c r="T1808" s="65">
        <v>0</v>
      </c>
      <c r="U1808" s="58">
        <v>0</v>
      </c>
      <c r="V1808" s="65">
        <v>0</v>
      </c>
      <c r="W1808" s="65">
        <v>0</v>
      </c>
      <c r="X1808" s="65">
        <v>0</v>
      </c>
      <c r="Y1808" s="65">
        <v>0</v>
      </c>
      <c r="Z1808" s="51">
        <v>3251.68</v>
      </c>
      <c r="AA1808" s="51">
        <v>0</v>
      </c>
      <c r="AB1808" s="102">
        <v>0</v>
      </c>
      <c r="AC1808" s="81">
        <f t="shared" si="87"/>
        <v>520.85468828828846</v>
      </c>
      <c r="AD1808" s="82">
        <f t="shared" si="88"/>
        <v>11.099999999999998</v>
      </c>
      <c r="AE1808" s="218">
        <v>0</v>
      </c>
      <c r="AF1808">
        <v>0</v>
      </c>
      <c r="AH1808" t="str">
        <f t="shared" si="86"/>
        <v>Warisnagar</v>
      </c>
      <c r="AJ1808" s="72">
        <v>0</v>
      </c>
      <c r="AK1808" s="72"/>
      <c r="AL1808" s="72"/>
      <c r="AM1808" s="72"/>
    </row>
    <row r="1809" spans="1:39" x14ac:dyDescent="0.25">
      <c r="A1809" s="37" t="s">
        <v>62</v>
      </c>
      <c r="B1809" s="66" t="s">
        <v>1638</v>
      </c>
      <c r="C1809" s="41">
        <v>1057</v>
      </c>
      <c r="D1809" s="41" t="s">
        <v>1174</v>
      </c>
      <c r="E1809" s="41">
        <v>10570066</v>
      </c>
      <c r="F1809" s="85" t="s">
        <v>1555</v>
      </c>
      <c r="G1809" s="39" t="s">
        <v>1610</v>
      </c>
      <c r="H1809" s="52" t="s">
        <v>98</v>
      </c>
      <c r="I1809" s="52">
        <v>1788.1</v>
      </c>
      <c r="J1809" s="49">
        <v>71226.48000000001</v>
      </c>
      <c r="K1809" s="58">
        <v>0</v>
      </c>
      <c r="L1809" s="58">
        <v>0</v>
      </c>
      <c r="M1809" s="58">
        <v>0</v>
      </c>
      <c r="N1809" s="58">
        <v>0</v>
      </c>
      <c r="O1809" s="58">
        <v>0</v>
      </c>
      <c r="P1809" s="53">
        <v>0</v>
      </c>
      <c r="Q1809" s="65">
        <v>71226.48000000001</v>
      </c>
      <c r="R1809" s="65">
        <v>0</v>
      </c>
      <c r="S1809" s="65">
        <v>0</v>
      </c>
      <c r="T1809" s="65">
        <v>0</v>
      </c>
      <c r="U1809" s="58">
        <v>0</v>
      </c>
      <c r="V1809" s="65">
        <v>0</v>
      </c>
      <c r="W1809" s="65">
        <v>0</v>
      </c>
      <c r="X1809" s="65">
        <v>0</v>
      </c>
      <c r="Y1809" s="65">
        <v>0</v>
      </c>
      <c r="Z1809" s="51">
        <v>71226.48000000001</v>
      </c>
      <c r="AA1809" s="51">
        <v>0</v>
      </c>
      <c r="AB1809" s="102">
        <v>0</v>
      </c>
      <c r="AC1809" s="81">
        <f t="shared" si="87"/>
        <v>0</v>
      </c>
      <c r="AD1809" s="82">
        <f t="shared" si="88"/>
        <v>0</v>
      </c>
      <c r="AE1809" s="218">
        <v>0</v>
      </c>
      <c r="AF1809">
        <v>0</v>
      </c>
      <c r="AH1809" t="str">
        <f t="shared" si="86"/>
        <v>Warisnagar</v>
      </c>
      <c r="AJ1809" s="72">
        <v>0</v>
      </c>
      <c r="AK1809" s="72"/>
      <c r="AL1809" s="72"/>
      <c r="AM1809" s="72"/>
    </row>
    <row r="1810" spans="1:39" x14ac:dyDescent="0.25">
      <c r="A1810" s="37" t="s">
        <v>62</v>
      </c>
      <c r="B1810" s="66" t="s">
        <v>1638</v>
      </c>
      <c r="C1810" s="41">
        <v>1057</v>
      </c>
      <c r="D1810" s="41" t="s">
        <v>1174</v>
      </c>
      <c r="E1810" s="41">
        <v>10570067</v>
      </c>
      <c r="F1810" s="85" t="s">
        <v>1583</v>
      </c>
      <c r="G1810" s="39" t="s">
        <v>1610</v>
      </c>
      <c r="H1810" s="52" t="s">
        <v>98</v>
      </c>
      <c r="I1810" s="52">
        <v>133.9</v>
      </c>
      <c r="J1810" s="49">
        <v>5255.06</v>
      </c>
      <c r="K1810" s="58">
        <v>0</v>
      </c>
      <c r="L1810" s="58">
        <v>0</v>
      </c>
      <c r="M1810" s="58">
        <v>0</v>
      </c>
      <c r="N1810" s="58">
        <v>0</v>
      </c>
      <c r="O1810" s="58">
        <v>0</v>
      </c>
      <c r="P1810" s="53">
        <v>0</v>
      </c>
      <c r="Q1810" s="65">
        <v>5255.06</v>
      </c>
      <c r="R1810" s="65">
        <v>0</v>
      </c>
      <c r="S1810" s="65">
        <v>0</v>
      </c>
      <c r="T1810" s="65">
        <v>0</v>
      </c>
      <c r="U1810" s="58">
        <v>0</v>
      </c>
      <c r="V1810" s="65">
        <v>0</v>
      </c>
      <c r="W1810" s="65">
        <v>0</v>
      </c>
      <c r="X1810" s="65">
        <v>0</v>
      </c>
      <c r="Y1810" s="65">
        <v>0</v>
      </c>
      <c r="Z1810" s="51">
        <v>5255.06</v>
      </c>
      <c r="AA1810" s="51">
        <v>0</v>
      </c>
      <c r="AB1810" s="102">
        <v>0</v>
      </c>
      <c r="AC1810" s="81">
        <f t="shared" si="87"/>
        <v>444.34495384615371</v>
      </c>
      <c r="AD1810" s="82">
        <f t="shared" si="88"/>
        <v>19.12857142857143</v>
      </c>
      <c r="AE1810" s="218">
        <v>0</v>
      </c>
      <c r="AF1810">
        <v>0</v>
      </c>
      <c r="AH1810" t="str">
        <f t="shared" si="86"/>
        <v>Warisnagar</v>
      </c>
      <c r="AJ1810" s="72">
        <v>0</v>
      </c>
      <c r="AK1810" s="72"/>
      <c r="AL1810" s="72"/>
      <c r="AM1810" s="72"/>
    </row>
    <row r="1811" spans="1:39" x14ac:dyDescent="0.25">
      <c r="A1811" s="37" t="s">
        <v>62</v>
      </c>
      <c r="B1811" s="66" t="s">
        <v>1638</v>
      </c>
      <c r="C1811" s="41">
        <v>1057</v>
      </c>
      <c r="D1811" s="41" t="s">
        <v>1174</v>
      </c>
      <c r="E1811" s="41">
        <v>10570068</v>
      </c>
      <c r="F1811" s="85" t="s">
        <v>1584</v>
      </c>
      <c r="G1811" s="39" t="s">
        <v>1610</v>
      </c>
      <c r="H1811" s="52" t="s">
        <v>98</v>
      </c>
      <c r="I1811" s="52">
        <v>383.40000000000003</v>
      </c>
      <c r="J1811" s="49">
        <v>16254.64</v>
      </c>
      <c r="K1811" s="58">
        <v>0</v>
      </c>
      <c r="L1811" s="58">
        <v>0</v>
      </c>
      <c r="M1811" s="58">
        <v>0</v>
      </c>
      <c r="N1811" s="58">
        <v>0</v>
      </c>
      <c r="O1811" s="58">
        <v>0</v>
      </c>
      <c r="P1811" s="53">
        <v>0</v>
      </c>
      <c r="Q1811" s="65">
        <v>16254.64</v>
      </c>
      <c r="R1811" s="65">
        <v>0</v>
      </c>
      <c r="S1811" s="65">
        <v>0</v>
      </c>
      <c r="T1811" s="65">
        <v>0</v>
      </c>
      <c r="U1811" s="58">
        <v>0</v>
      </c>
      <c r="V1811" s="65">
        <v>0</v>
      </c>
      <c r="W1811" s="65">
        <v>0</v>
      </c>
      <c r="X1811" s="65">
        <v>0</v>
      </c>
      <c r="Y1811" s="65">
        <v>0</v>
      </c>
      <c r="Z1811" s="51">
        <v>16254.64</v>
      </c>
      <c r="AA1811" s="51">
        <v>0</v>
      </c>
      <c r="AB1811" s="102">
        <v>0</v>
      </c>
      <c r="AC1811" s="81">
        <f t="shared" si="87"/>
        <v>268.45169660928531</v>
      </c>
      <c r="AD1811" s="82">
        <f t="shared" si="88"/>
        <v>54.771428571428579</v>
      </c>
      <c r="AE1811" s="218">
        <v>0</v>
      </c>
      <c r="AF1811">
        <v>0</v>
      </c>
      <c r="AH1811" t="str">
        <f t="shared" si="86"/>
        <v>Warisnagar</v>
      </c>
      <c r="AJ1811" s="72">
        <v>0</v>
      </c>
      <c r="AK1811" s="72"/>
      <c r="AL1811" s="72"/>
      <c r="AM1811" s="72"/>
    </row>
    <row r="1812" spans="1:39" x14ac:dyDescent="0.25">
      <c r="A1812" s="37" t="s">
        <v>62</v>
      </c>
      <c r="B1812" s="66" t="s">
        <v>1638</v>
      </c>
      <c r="C1812" s="41">
        <v>1057</v>
      </c>
      <c r="D1812" s="41" t="s">
        <v>1174</v>
      </c>
      <c r="E1812" s="41">
        <v>10570069</v>
      </c>
      <c r="F1812" s="85" t="s">
        <v>1605</v>
      </c>
      <c r="G1812" s="39" t="s">
        <v>1610</v>
      </c>
      <c r="H1812" s="52" t="s">
        <v>98</v>
      </c>
      <c r="I1812" s="52">
        <v>814.40000000000009</v>
      </c>
      <c r="J1812" s="49">
        <v>32186.039999999997</v>
      </c>
      <c r="K1812" s="58">
        <v>0</v>
      </c>
      <c r="L1812" s="58">
        <v>0</v>
      </c>
      <c r="M1812" s="58">
        <v>0</v>
      </c>
      <c r="N1812" s="58">
        <v>0</v>
      </c>
      <c r="O1812" s="58">
        <v>0</v>
      </c>
      <c r="P1812" s="53">
        <v>0</v>
      </c>
      <c r="Q1812" s="65">
        <v>32186.039999999997</v>
      </c>
      <c r="R1812" s="65">
        <v>0</v>
      </c>
      <c r="S1812" s="65">
        <v>0</v>
      </c>
      <c r="T1812" s="65">
        <v>0</v>
      </c>
      <c r="U1812" s="58">
        <v>0</v>
      </c>
      <c r="V1812" s="65">
        <v>0</v>
      </c>
      <c r="W1812" s="65">
        <v>0</v>
      </c>
      <c r="X1812" s="65">
        <v>0</v>
      </c>
      <c r="Y1812" s="65">
        <v>0</v>
      </c>
      <c r="Z1812" s="51">
        <v>32186.039999999997</v>
      </c>
      <c r="AA1812" s="51">
        <v>0</v>
      </c>
      <c r="AB1812" s="102">
        <v>0</v>
      </c>
      <c r="AC1812" s="81">
        <f t="shared" si="87"/>
        <v>0</v>
      </c>
      <c r="AD1812" s="82">
        <f t="shared" si="88"/>
        <v>0</v>
      </c>
      <c r="AE1812" s="218">
        <v>0</v>
      </c>
      <c r="AF1812">
        <v>0</v>
      </c>
      <c r="AH1812" t="str">
        <f t="shared" si="86"/>
        <v>Warisnagar</v>
      </c>
      <c r="AJ1812" s="72">
        <v>0</v>
      </c>
      <c r="AK1812" s="72"/>
      <c r="AL1812" s="72"/>
      <c r="AM1812" s="72"/>
    </row>
    <row r="1813" spans="1:39" x14ac:dyDescent="0.25">
      <c r="A1813" s="37" t="s">
        <v>62</v>
      </c>
      <c r="B1813" s="66" t="s">
        <v>1638</v>
      </c>
      <c r="C1813" s="41">
        <v>1057</v>
      </c>
      <c r="D1813" s="41" t="s">
        <v>1174</v>
      </c>
      <c r="E1813" s="41">
        <v>10570070</v>
      </c>
      <c r="F1813" s="85" t="s">
        <v>1585</v>
      </c>
      <c r="G1813" s="39" t="s">
        <v>1610</v>
      </c>
      <c r="H1813" s="52" t="s">
        <v>98</v>
      </c>
      <c r="I1813" s="52">
        <v>75.2</v>
      </c>
      <c r="J1813" s="49">
        <v>2943.94</v>
      </c>
      <c r="K1813" s="58">
        <v>0</v>
      </c>
      <c r="L1813" s="58">
        <v>0</v>
      </c>
      <c r="M1813" s="58">
        <v>0</v>
      </c>
      <c r="N1813" s="58">
        <v>0</v>
      </c>
      <c r="O1813" s="58">
        <v>0</v>
      </c>
      <c r="P1813" s="53">
        <v>0</v>
      </c>
      <c r="Q1813" s="65">
        <v>2943.94</v>
      </c>
      <c r="R1813" s="65">
        <v>0</v>
      </c>
      <c r="S1813" s="65">
        <v>0</v>
      </c>
      <c r="T1813" s="65">
        <v>0</v>
      </c>
      <c r="U1813" s="58">
        <v>379.5</v>
      </c>
      <c r="V1813" s="65">
        <v>0</v>
      </c>
      <c r="W1813" s="65">
        <v>0</v>
      </c>
      <c r="X1813" s="65">
        <v>0</v>
      </c>
      <c r="Y1813" s="65">
        <v>0</v>
      </c>
      <c r="Z1813" s="51">
        <v>2564.44</v>
      </c>
      <c r="AA1813" s="51">
        <v>0</v>
      </c>
      <c r="AB1813" s="102">
        <v>0</v>
      </c>
      <c r="AC1813" s="81">
        <f t="shared" si="87"/>
        <v>489.19513617021278</v>
      </c>
      <c r="AD1813" s="82">
        <f t="shared" si="88"/>
        <v>10.742857142857144</v>
      </c>
      <c r="AE1813" s="218">
        <v>0</v>
      </c>
      <c r="AF1813">
        <v>0</v>
      </c>
      <c r="AH1813" t="str">
        <f t="shared" ref="AH1813:AH1873" si="89">TEXT(D1813,"0000")</f>
        <v>Warisnagar</v>
      </c>
      <c r="AJ1813" s="72">
        <v>0</v>
      </c>
      <c r="AK1813" s="72"/>
      <c r="AL1813" s="72"/>
      <c r="AM1813" s="72"/>
    </row>
    <row r="1814" spans="1:39" x14ac:dyDescent="0.25">
      <c r="A1814" s="37" t="s">
        <v>62</v>
      </c>
      <c r="B1814" s="66" t="s">
        <v>1638</v>
      </c>
      <c r="C1814" s="41">
        <v>1057</v>
      </c>
      <c r="D1814" s="41" t="s">
        <v>1174</v>
      </c>
      <c r="E1814" s="41">
        <v>10570071</v>
      </c>
      <c r="F1814" s="85" t="s">
        <v>1586</v>
      </c>
      <c r="G1814" s="39" t="s">
        <v>1610</v>
      </c>
      <c r="H1814" s="52" t="s">
        <v>98</v>
      </c>
      <c r="I1814" s="52">
        <v>293.20000000000005</v>
      </c>
      <c r="J1814" s="49">
        <v>11287.699999999999</v>
      </c>
      <c r="K1814" s="58">
        <v>0</v>
      </c>
      <c r="L1814" s="58">
        <v>0</v>
      </c>
      <c r="M1814" s="58">
        <v>0</v>
      </c>
      <c r="N1814" s="58">
        <v>0</v>
      </c>
      <c r="O1814" s="58">
        <v>0</v>
      </c>
      <c r="P1814" s="53">
        <v>0</v>
      </c>
      <c r="Q1814" s="65">
        <v>11287.699999999999</v>
      </c>
      <c r="R1814" s="65">
        <v>0</v>
      </c>
      <c r="S1814" s="65">
        <v>0</v>
      </c>
      <c r="T1814" s="65">
        <v>0</v>
      </c>
      <c r="U1814" s="58">
        <v>0</v>
      </c>
      <c r="V1814" s="65">
        <v>0</v>
      </c>
      <c r="W1814" s="65">
        <v>0</v>
      </c>
      <c r="X1814" s="65">
        <v>0</v>
      </c>
      <c r="Y1814" s="65">
        <v>0</v>
      </c>
      <c r="Z1814" s="51">
        <v>11287.699999999999</v>
      </c>
      <c r="AA1814" s="51">
        <v>0</v>
      </c>
      <c r="AB1814" s="102">
        <v>0</v>
      </c>
      <c r="AC1814" s="81">
        <f t="shared" si="87"/>
        <v>313.22212551159612</v>
      </c>
      <c r="AD1814" s="82">
        <f t="shared" si="88"/>
        <v>41.885714285714293</v>
      </c>
      <c r="AE1814" s="218">
        <v>0</v>
      </c>
      <c r="AF1814">
        <v>0</v>
      </c>
      <c r="AH1814" t="str">
        <f t="shared" si="89"/>
        <v>Warisnagar</v>
      </c>
      <c r="AJ1814" s="72">
        <v>0</v>
      </c>
      <c r="AK1814" s="72"/>
      <c r="AL1814" s="72"/>
      <c r="AM1814" s="72"/>
    </row>
    <row r="1815" spans="1:39" x14ac:dyDescent="0.25">
      <c r="A1815" s="37" t="s">
        <v>62</v>
      </c>
      <c r="B1815" s="66" t="s">
        <v>1638</v>
      </c>
      <c r="C1815" s="41">
        <v>1058</v>
      </c>
      <c r="D1815" s="41" t="s">
        <v>1296</v>
      </c>
      <c r="E1815" s="41">
        <v>10580001</v>
      </c>
      <c r="F1815" s="85" t="s">
        <v>1196</v>
      </c>
      <c r="G1815" s="39" t="s">
        <v>92</v>
      </c>
      <c r="H1815" s="52" t="s">
        <v>93</v>
      </c>
      <c r="I1815" s="52">
        <v>471.72000000000008</v>
      </c>
      <c r="J1815" s="49">
        <v>20485.48</v>
      </c>
      <c r="K1815" s="58">
        <v>469.29999999999995</v>
      </c>
      <c r="L1815" s="58">
        <v>20379.140000000003</v>
      </c>
      <c r="M1815" s="58">
        <v>8.2999999999999972</v>
      </c>
      <c r="N1815" s="58">
        <v>363.47</v>
      </c>
      <c r="O1815" s="58">
        <v>477.59999999999997</v>
      </c>
      <c r="P1815" s="53">
        <v>20742.610000000004</v>
      </c>
      <c r="Q1815" s="65">
        <v>20485.48</v>
      </c>
      <c r="R1815" s="65">
        <v>0</v>
      </c>
      <c r="S1815" s="65">
        <v>363.47</v>
      </c>
      <c r="T1815" s="65">
        <v>257.13000000000466</v>
      </c>
      <c r="U1815" s="58">
        <v>0</v>
      </c>
      <c r="V1815" s="65">
        <v>0</v>
      </c>
      <c r="W1815" s="65">
        <v>0</v>
      </c>
      <c r="X1815" s="65">
        <v>20122</v>
      </c>
      <c r="Y1815" s="65">
        <v>0</v>
      </c>
      <c r="Z1815" s="51">
        <v>0</v>
      </c>
      <c r="AA1815" s="51">
        <v>0</v>
      </c>
      <c r="AB1815" s="102">
        <v>0</v>
      </c>
      <c r="AC1815" s="81">
        <f t="shared" si="87"/>
        <v>198.27123608920533</v>
      </c>
      <c r="AD1815" s="82">
        <f t="shared" si="88"/>
        <v>67.388571428571439</v>
      </c>
      <c r="AE1815" s="218">
        <v>-1.2551817189541308E-2</v>
      </c>
      <c r="AF1815">
        <v>17</v>
      </c>
      <c r="AH1815" t="str">
        <f t="shared" si="89"/>
        <v>Hasanpur</v>
      </c>
      <c r="AJ1815" s="72">
        <v>0</v>
      </c>
      <c r="AK1815" s="72"/>
      <c r="AL1815" s="72"/>
      <c r="AM1815" s="72"/>
    </row>
    <row r="1816" spans="1:39" x14ac:dyDescent="0.25">
      <c r="A1816" s="37" t="s">
        <v>62</v>
      </c>
      <c r="B1816" s="66" t="s">
        <v>1638</v>
      </c>
      <c r="C1816" s="41">
        <v>1058</v>
      </c>
      <c r="D1816" s="41" t="s">
        <v>1296</v>
      </c>
      <c r="E1816" s="41">
        <v>10580002</v>
      </c>
      <c r="F1816" s="85" t="s">
        <v>1216</v>
      </c>
      <c r="G1816" s="39" t="s">
        <v>92</v>
      </c>
      <c r="H1816" s="52" t="s">
        <v>93</v>
      </c>
      <c r="I1816" s="52">
        <v>357.61999999999995</v>
      </c>
      <c r="J1816" s="49">
        <v>15751.06</v>
      </c>
      <c r="K1816" s="58">
        <v>358.60000000000008</v>
      </c>
      <c r="L1816" s="58">
        <v>16360.620000000003</v>
      </c>
      <c r="M1816" s="58">
        <v>5</v>
      </c>
      <c r="N1816" s="58">
        <v>206.26</v>
      </c>
      <c r="O1816" s="58">
        <v>363.60000000000008</v>
      </c>
      <c r="P1816" s="53">
        <v>16566.88</v>
      </c>
      <c r="Q1816" s="65">
        <v>15751.06</v>
      </c>
      <c r="R1816" s="65">
        <v>0</v>
      </c>
      <c r="S1816" s="65">
        <v>206.26</v>
      </c>
      <c r="T1816" s="65">
        <v>815.82000000000153</v>
      </c>
      <c r="U1816" s="58">
        <v>0</v>
      </c>
      <c r="V1816" s="65">
        <v>0</v>
      </c>
      <c r="W1816" s="65">
        <v>0</v>
      </c>
      <c r="X1816" s="65">
        <v>15545</v>
      </c>
      <c r="Y1816" s="65">
        <v>0</v>
      </c>
      <c r="Z1816" s="51">
        <v>0</v>
      </c>
      <c r="AA1816" s="51">
        <v>0</v>
      </c>
      <c r="AB1816" s="102">
        <v>0</v>
      </c>
      <c r="AC1816" s="81">
        <f t="shared" si="87"/>
        <v>301.59655068508482</v>
      </c>
      <c r="AD1816" s="82">
        <f t="shared" si="88"/>
        <v>51.08857142857142</v>
      </c>
      <c r="AE1816" s="218">
        <v>-5.1794609378670489E-2</v>
      </c>
      <c r="AF1816">
        <v>7</v>
      </c>
      <c r="AH1816" t="str">
        <f t="shared" si="89"/>
        <v>Hasanpur</v>
      </c>
      <c r="AJ1816" s="72">
        <v>0</v>
      </c>
      <c r="AK1816" s="72"/>
      <c r="AL1816" s="72"/>
      <c r="AM1816" s="72"/>
    </row>
    <row r="1817" spans="1:39" x14ac:dyDescent="0.25">
      <c r="A1817" s="37" t="s">
        <v>62</v>
      </c>
      <c r="B1817" s="66" t="s">
        <v>1638</v>
      </c>
      <c r="C1817" s="41">
        <v>1058</v>
      </c>
      <c r="D1817" s="41" t="s">
        <v>1296</v>
      </c>
      <c r="E1817" s="41">
        <v>10580004</v>
      </c>
      <c r="F1817" s="85" t="s">
        <v>1205</v>
      </c>
      <c r="G1817" s="39" t="s">
        <v>92</v>
      </c>
      <c r="H1817" s="52" t="s">
        <v>93</v>
      </c>
      <c r="I1817" s="52">
        <v>260.71000000000004</v>
      </c>
      <c r="J1817" s="49">
        <v>10715.659999999998</v>
      </c>
      <c r="K1817" s="58">
        <v>261.8</v>
      </c>
      <c r="L1817" s="58">
        <v>10822.340000000002</v>
      </c>
      <c r="M1817" s="58">
        <v>1.5</v>
      </c>
      <c r="N1817" s="58">
        <v>61.710000000000008</v>
      </c>
      <c r="O1817" s="58">
        <v>263.3</v>
      </c>
      <c r="P1817" s="53">
        <v>10884.050000000001</v>
      </c>
      <c r="Q1817" s="65">
        <v>10715.659999999998</v>
      </c>
      <c r="R1817" s="65">
        <v>0</v>
      </c>
      <c r="S1817" s="65">
        <v>61.710000000000008</v>
      </c>
      <c r="T1817" s="65">
        <v>168.39000000000306</v>
      </c>
      <c r="U1817" s="58">
        <v>0</v>
      </c>
      <c r="V1817" s="65">
        <v>0</v>
      </c>
      <c r="W1817" s="65">
        <v>0</v>
      </c>
      <c r="X1817" s="65">
        <v>10654</v>
      </c>
      <c r="Y1817" s="65">
        <v>0</v>
      </c>
      <c r="Z1817" s="51">
        <v>0</v>
      </c>
      <c r="AA1817" s="51">
        <v>0</v>
      </c>
      <c r="AB1817" s="102">
        <v>0</v>
      </c>
      <c r="AC1817" s="81">
        <f t="shared" si="87"/>
        <v>361.11252206666398</v>
      </c>
      <c r="AD1817" s="82">
        <f t="shared" si="88"/>
        <v>37.244285714285716</v>
      </c>
      <c r="AE1817" s="218">
        <v>-1.5714384368298646E-2</v>
      </c>
      <c r="AF1817">
        <v>3</v>
      </c>
      <c r="AH1817" t="str">
        <f t="shared" si="89"/>
        <v>Hasanpur</v>
      </c>
      <c r="AJ1817" s="72">
        <v>0</v>
      </c>
      <c r="AK1817" s="72"/>
      <c r="AL1817" s="72"/>
      <c r="AM1817" s="72"/>
    </row>
    <row r="1818" spans="1:39" x14ac:dyDescent="0.25">
      <c r="A1818" s="37" t="s">
        <v>62</v>
      </c>
      <c r="B1818" s="66" t="s">
        <v>1638</v>
      </c>
      <c r="C1818" s="41">
        <v>1058</v>
      </c>
      <c r="D1818" s="41" t="s">
        <v>1296</v>
      </c>
      <c r="E1818" s="41">
        <v>10580005</v>
      </c>
      <c r="F1818" s="85" t="s">
        <v>1245</v>
      </c>
      <c r="G1818" s="39" t="s">
        <v>92</v>
      </c>
      <c r="H1818" s="52" t="s">
        <v>93</v>
      </c>
      <c r="I1818" s="52">
        <v>632.79000000000008</v>
      </c>
      <c r="J1818" s="49">
        <v>26055.24</v>
      </c>
      <c r="K1818" s="58">
        <v>621.9</v>
      </c>
      <c r="L1818" s="58">
        <v>26942.77</v>
      </c>
      <c r="M1818" s="58">
        <v>7.6</v>
      </c>
      <c r="N1818" s="58">
        <v>312.16000000000003</v>
      </c>
      <c r="O1818" s="58">
        <v>629.5</v>
      </c>
      <c r="P1818" s="53">
        <v>27254.93</v>
      </c>
      <c r="Q1818" s="65">
        <v>26055.24</v>
      </c>
      <c r="R1818" s="65">
        <v>0</v>
      </c>
      <c r="S1818" s="65">
        <v>312.16000000000003</v>
      </c>
      <c r="T1818" s="65">
        <v>1199.6899999999987</v>
      </c>
      <c r="U1818" s="58">
        <v>0</v>
      </c>
      <c r="V1818" s="65">
        <v>0</v>
      </c>
      <c r="W1818" s="65">
        <v>0</v>
      </c>
      <c r="X1818" s="65">
        <v>25743</v>
      </c>
      <c r="Y1818" s="65">
        <v>0</v>
      </c>
      <c r="Z1818" s="51">
        <v>0</v>
      </c>
      <c r="AA1818" s="51">
        <v>0</v>
      </c>
      <c r="AB1818" s="102">
        <v>0</v>
      </c>
      <c r="AC1818" s="81">
        <f t="shared" si="87"/>
        <v>55.3476723842032</v>
      </c>
      <c r="AD1818" s="82">
        <f t="shared" si="88"/>
        <v>90.398571428571444</v>
      </c>
      <c r="AE1818" s="218">
        <v>-4.6044097079896353E-2</v>
      </c>
      <c r="AF1818">
        <v>10</v>
      </c>
      <c r="AH1818" t="str">
        <f t="shared" si="89"/>
        <v>Hasanpur</v>
      </c>
      <c r="AJ1818" s="72">
        <v>0</v>
      </c>
      <c r="AK1818" s="72"/>
      <c r="AL1818" s="72"/>
      <c r="AM1818" s="72"/>
    </row>
    <row r="1819" spans="1:39" x14ac:dyDescent="0.25">
      <c r="A1819" s="37" t="s">
        <v>62</v>
      </c>
      <c r="B1819" s="66" t="s">
        <v>1638</v>
      </c>
      <c r="C1819" s="41">
        <v>1058</v>
      </c>
      <c r="D1819" s="41" t="s">
        <v>1296</v>
      </c>
      <c r="E1819" s="41">
        <v>10580010</v>
      </c>
      <c r="F1819" s="85" t="s">
        <v>1306</v>
      </c>
      <c r="G1819" s="39" t="s">
        <v>92</v>
      </c>
      <c r="H1819" s="52" t="s">
        <v>93</v>
      </c>
      <c r="I1819" s="52">
        <v>486.31</v>
      </c>
      <c r="J1819" s="49">
        <v>22102.719999999998</v>
      </c>
      <c r="K1819" s="58">
        <v>514.29999999999995</v>
      </c>
      <c r="L1819" s="58">
        <v>25241.11</v>
      </c>
      <c r="M1819" s="58">
        <v>0</v>
      </c>
      <c r="N1819" s="58">
        <v>0</v>
      </c>
      <c r="O1819" s="58">
        <v>514.29999999999995</v>
      </c>
      <c r="P1819" s="53">
        <v>25241.11</v>
      </c>
      <c r="Q1819" s="65">
        <v>22102.719999999998</v>
      </c>
      <c r="R1819" s="65">
        <v>0</v>
      </c>
      <c r="S1819" s="65">
        <v>0</v>
      </c>
      <c r="T1819" s="65">
        <v>3138.3900000000031</v>
      </c>
      <c r="U1819" s="58">
        <v>0</v>
      </c>
      <c r="V1819" s="65">
        <v>0</v>
      </c>
      <c r="W1819" s="65">
        <v>0</v>
      </c>
      <c r="X1819" s="65">
        <v>22103</v>
      </c>
      <c r="Y1819" s="65">
        <v>0</v>
      </c>
      <c r="Z1819" s="51">
        <v>0</v>
      </c>
      <c r="AA1819" s="51">
        <v>0</v>
      </c>
      <c r="AB1819" s="102">
        <v>0</v>
      </c>
      <c r="AC1819" s="81">
        <f t="shared" si="87"/>
        <v>194.24359921860545</v>
      </c>
      <c r="AD1819" s="82">
        <f t="shared" si="88"/>
        <v>69.472857142857137</v>
      </c>
      <c r="AE1819" s="218">
        <v>-0.14199112145473514</v>
      </c>
      <c r="AF1819">
        <v>6</v>
      </c>
      <c r="AH1819" t="str">
        <f t="shared" si="89"/>
        <v>Hasanpur</v>
      </c>
      <c r="AJ1819" s="72">
        <v>0</v>
      </c>
      <c r="AK1819" s="72"/>
      <c r="AL1819" s="72"/>
      <c r="AM1819" s="72"/>
    </row>
    <row r="1820" spans="1:39" x14ac:dyDescent="0.25">
      <c r="A1820" s="37" t="s">
        <v>62</v>
      </c>
      <c r="B1820" s="66" t="s">
        <v>1638</v>
      </c>
      <c r="C1820" s="41">
        <v>1058</v>
      </c>
      <c r="D1820" s="41" t="s">
        <v>1296</v>
      </c>
      <c r="E1820" s="41">
        <v>10580012</v>
      </c>
      <c r="F1820" s="85" t="s">
        <v>1307</v>
      </c>
      <c r="G1820" s="39" t="s">
        <v>92</v>
      </c>
      <c r="H1820" s="52" t="s">
        <v>93</v>
      </c>
      <c r="I1820" s="52">
        <v>477.34000000000003</v>
      </c>
      <c r="J1820" s="49">
        <v>17627.509999999998</v>
      </c>
      <c r="K1820" s="58">
        <v>496.74</v>
      </c>
      <c r="L1820" s="58">
        <v>19871.04</v>
      </c>
      <c r="M1820" s="58">
        <v>0</v>
      </c>
      <c r="N1820" s="58">
        <v>0</v>
      </c>
      <c r="O1820" s="58">
        <v>496.74</v>
      </c>
      <c r="P1820" s="53">
        <v>19871.04</v>
      </c>
      <c r="Q1820" s="65">
        <v>17627.509999999998</v>
      </c>
      <c r="R1820" s="65">
        <v>0</v>
      </c>
      <c r="S1820" s="65">
        <v>0</v>
      </c>
      <c r="T1820" s="65">
        <v>2243.5300000000025</v>
      </c>
      <c r="U1820" s="58">
        <v>0</v>
      </c>
      <c r="V1820" s="65">
        <v>500</v>
      </c>
      <c r="W1820" s="65">
        <v>0</v>
      </c>
      <c r="X1820" s="65">
        <v>17128</v>
      </c>
      <c r="Y1820" s="65">
        <v>0</v>
      </c>
      <c r="Z1820" s="51">
        <v>0</v>
      </c>
      <c r="AA1820" s="51">
        <v>0</v>
      </c>
      <c r="AB1820" s="102">
        <v>0</v>
      </c>
      <c r="AC1820" s="81">
        <f t="shared" si="87"/>
        <v>164.45055417941086</v>
      </c>
      <c r="AD1820" s="82">
        <f t="shared" si="88"/>
        <v>68.191428571428574</v>
      </c>
      <c r="AE1820" s="218">
        <v>-0.12727435695682501</v>
      </c>
      <c r="AF1820">
        <v>3</v>
      </c>
      <c r="AH1820" t="str">
        <f t="shared" si="89"/>
        <v>Hasanpur</v>
      </c>
      <c r="AJ1820" s="72">
        <v>500</v>
      </c>
      <c r="AK1820" s="72"/>
      <c r="AL1820" s="72"/>
      <c r="AM1820" s="72"/>
    </row>
    <row r="1821" spans="1:39" x14ac:dyDescent="0.25">
      <c r="A1821" s="37" t="s">
        <v>62</v>
      </c>
      <c r="B1821" s="66" t="s">
        <v>1638</v>
      </c>
      <c r="C1821" s="41">
        <v>1058</v>
      </c>
      <c r="D1821" s="41" t="s">
        <v>1296</v>
      </c>
      <c r="E1821" s="41">
        <v>10580013</v>
      </c>
      <c r="F1821" s="85" t="s">
        <v>1495</v>
      </c>
      <c r="G1821" s="39" t="s">
        <v>1610</v>
      </c>
      <c r="H1821" s="52" t="s">
        <v>98</v>
      </c>
      <c r="I1821" s="52">
        <v>190.18999999999997</v>
      </c>
      <c r="J1821" s="49">
        <v>6742.0999999999995</v>
      </c>
      <c r="K1821" s="58">
        <v>0</v>
      </c>
      <c r="L1821" s="58">
        <v>0</v>
      </c>
      <c r="M1821" s="58">
        <v>0</v>
      </c>
      <c r="N1821" s="58">
        <v>0</v>
      </c>
      <c r="O1821" s="58">
        <v>0</v>
      </c>
      <c r="P1821" s="53">
        <v>0</v>
      </c>
      <c r="Q1821" s="65">
        <v>6742.0999999999995</v>
      </c>
      <c r="R1821" s="65">
        <v>0</v>
      </c>
      <c r="S1821" s="65">
        <v>0</v>
      </c>
      <c r="T1821" s="65">
        <v>0</v>
      </c>
      <c r="U1821" s="58">
        <v>0</v>
      </c>
      <c r="V1821" s="65">
        <v>0</v>
      </c>
      <c r="W1821" s="65">
        <v>0</v>
      </c>
      <c r="X1821" s="65">
        <v>0</v>
      </c>
      <c r="Y1821" s="65">
        <v>0</v>
      </c>
      <c r="Z1821" s="51">
        <v>6742.0999999999995</v>
      </c>
      <c r="AA1821" s="51">
        <v>0</v>
      </c>
      <c r="AB1821" s="102">
        <v>0</v>
      </c>
      <c r="AC1821" s="81">
        <f t="shared" si="87"/>
        <v>361.44802576371006</v>
      </c>
      <c r="AD1821" s="82">
        <f t="shared" si="88"/>
        <v>27.169999999999995</v>
      </c>
      <c r="AE1821" s="218">
        <v>0</v>
      </c>
      <c r="AF1821">
        <v>0</v>
      </c>
      <c r="AH1821" t="str">
        <f t="shared" si="89"/>
        <v>Hasanpur</v>
      </c>
      <c r="AJ1821" s="72">
        <v>0</v>
      </c>
      <c r="AK1821" s="72"/>
      <c r="AL1821" s="72"/>
      <c r="AM1821" s="72"/>
    </row>
    <row r="1822" spans="1:39" x14ac:dyDescent="0.25">
      <c r="A1822" s="37" t="s">
        <v>62</v>
      </c>
      <c r="B1822" s="66" t="s">
        <v>1638</v>
      </c>
      <c r="C1822" s="41">
        <v>1058</v>
      </c>
      <c r="D1822" s="41" t="s">
        <v>1296</v>
      </c>
      <c r="E1822" s="41">
        <v>10580015</v>
      </c>
      <c r="F1822" s="85" t="s">
        <v>1308</v>
      </c>
      <c r="G1822" s="39" t="s">
        <v>92</v>
      </c>
      <c r="H1822" s="52" t="s">
        <v>93</v>
      </c>
      <c r="I1822" s="52">
        <v>528.97</v>
      </c>
      <c r="J1822" s="49">
        <v>19321.420000000002</v>
      </c>
      <c r="K1822" s="58">
        <v>536.65</v>
      </c>
      <c r="L1822" s="58">
        <v>20538.68</v>
      </c>
      <c r="M1822" s="58">
        <v>0</v>
      </c>
      <c r="N1822" s="58">
        <v>0</v>
      </c>
      <c r="O1822" s="58">
        <v>536.65</v>
      </c>
      <c r="P1822" s="53">
        <v>20538.68</v>
      </c>
      <c r="Q1822" s="65">
        <v>19321.420000000002</v>
      </c>
      <c r="R1822" s="65">
        <v>0</v>
      </c>
      <c r="S1822" s="65">
        <v>0</v>
      </c>
      <c r="T1822" s="65">
        <v>1217.2599999999984</v>
      </c>
      <c r="U1822" s="58">
        <v>0</v>
      </c>
      <c r="V1822" s="65">
        <v>0</v>
      </c>
      <c r="W1822" s="65">
        <v>0</v>
      </c>
      <c r="X1822" s="65">
        <v>19321</v>
      </c>
      <c r="Y1822" s="65">
        <v>0</v>
      </c>
      <c r="Z1822" s="51">
        <v>0</v>
      </c>
      <c r="AA1822" s="51">
        <v>0</v>
      </c>
      <c r="AB1822" s="102">
        <v>0</v>
      </c>
      <c r="AC1822" s="81">
        <f t="shared" si="87"/>
        <v>124.94252840803829</v>
      </c>
      <c r="AD1822" s="82">
        <f t="shared" si="88"/>
        <v>75.567142857142855</v>
      </c>
      <c r="AE1822" s="218">
        <v>-6.3000545508559838E-2</v>
      </c>
      <c r="AF1822">
        <v>7</v>
      </c>
      <c r="AH1822" t="str">
        <f t="shared" si="89"/>
        <v>Hasanpur</v>
      </c>
      <c r="AJ1822" s="72">
        <v>0</v>
      </c>
      <c r="AK1822" s="72"/>
      <c r="AL1822" s="72"/>
      <c r="AM1822" s="72"/>
    </row>
    <row r="1823" spans="1:39" x14ac:dyDescent="0.25">
      <c r="A1823" s="37" t="s">
        <v>62</v>
      </c>
      <c r="B1823" s="66" t="s">
        <v>1638</v>
      </c>
      <c r="C1823" s="41">
        <v>1058</v>
      </c>
      <c r="D1823" s="41" t="s">
        <v>1296</v>
      </c>
      <c r="E1823" s="41">
        <v>10580017</v>
      </c>
      <c r="F1823" s="85" t="s">
        <v>1309</v>
      </c>
      <c r="G1823" s="39" t="s">
        <v>92</v>
      </c>
      <c r="H1823" s="52" t="s">
        <v>93</v>
      </c>
      <c r="I1823" s="52">
        <v>907.59000000000015</v>
      </c>
      <c r="J1823" s="49">
        <v>36631.31</v>
      </c>
      <c r="K1823" s="58">
        <v>692.1</v>
      </c>
      <c r="L1823" s="58">
        <v>28668.79</v>
      </c>
      <c r="M1823" s="58">
        <v>222.79999999999998</v>
      </c>
      <c r="N1823" s="58">
        <v>8405.69</v>
      </c>
      <c r="O1823" s="58">
        <v>914.9</v>
      </c>
      <c r="P1823" s="53">
        <v>37074.480000000003</v>
      </c>
      <c r="Q1823" s="65">
        <v>36631.31</v>
      </c>
      <c r="R1823" s="65">
        <v>0</v>
      </c>
      <c r="S1823" s="65">
        <v>199.16</v>
      </c>
      <c r="T1823" s="65">
        <v>443.17000000000553</v>
      </c>
      <c r="U1823" s="58">
        <v>0</v>
      </c>
      <c r="V1823" s="65">
        <v>0</v>
      </c>
      <c r="W1823" s="65">
        <v>0</v>
      </c>
      <c r="X1823" s="65">
        <v>28226</v>
      </c>
      <c r="Y1823" s="65">
        <v>8206</v>
      </c>
      <c r="Z1823" s="51">
        <v>0</v>
      </c>
      <c r="AA1823" s="51">
        <v>0</v>
      </c>
      <c r="AB1823" s="102">
        <v>0</v>
      </c>
      <c r="AC1823" s="81">
        <f t="shared" si="87"/>
        <v>0</v>
      </c>
      <c r="AD1823" s="82">
        <f t="shared" si="88"/>
        <v>0</v>
      </c>
      <c r="AE1823" s="218">
        <v>-1.2098120433039539E-2</v>
      </c>
      <c r="AF1823">
        <v>6</v>
      </c>
      <c r="AH1823" t="str">
        <f t="shared" si="89"/>
        <v>Hasanpur</v>
      </c>
      <c r="AJ1823" s="72">
        <v>0</v>
      </c>
      <c r="AK1823" s="72"/>
      <c r="AL1823" s="72"/>
      <c r="AM1823" s="72"/>
    </row>
    <row r="1824" spans="1:39" x14ac:dyDescent="0.25">
      <c r="A1824" s="37" t="s">
        <v>62</v>
      </c>
      <c r="B1824" s="66" t="s">
        <v>1638</v>
      </c>
      <c r="C1824" s="41">
        <v>1058</v>
      </c>
      <c r="D1824" s="41" t="s">
        <v>1296</v>
      </c>
      <c r="E1824" s="41">
        <v>10580018</v>
      </c>
      <c r="F1824" s="85" t="s">
        <v>1316</v>
      </c>
      <c r="G1824" s="39" t="s">
        <v>92</v>
      </c>
      <c r="H1824" s="52" t="s">
        <v>93</v>
      </c>
      <c r="I1824" s="52">
        <v>349.25000000000006</v>
      </c>
      <c r="J1824" s="49">
        <v>13574.24</v>
      </c>
      <c r="K1824" s="58">
        <v>343.65000000000003</v>
      </c>
      <c r="L1824" s="58">
        <v>13741.680000000002</v>
      </c>
      <c r="M1824" s="58">
        <v>3.31</v>
      </c>
      <c r="N1824" s="58">
        <v>129.39999999999998</v>
      </c>
      <c r="O1824" s="58">
        <v>346.96000000000004</v>
      </c>
      <c r="P1824" s="53">
        <v>13871.080000000002</v>
      </c>
      <c r="Q1824" s="65">
        <v>13574.24</v>
      </c>
      <c r="R1824" s="65">
        <v>0</v>
      </c>
      <c r="S1824" s="65">
        <v>129.39999999999998</v>
      </c>
      <c r="T1824" s="65">
        <v>296.84000000000196</v>
      </c>
      <c r="U1824" s="58">
        <v>0</v>
      </c>
      <c r="V1824" s="65">
        <v>500</v>
      </c>
      <c r="W1824" s="65">
        <v>0</v>
      </c>
      <c r="X1824" s="65">
        <v>12945</v>
      </c>
      <c r="Y1824" s="65">
        <v>0</v>
      </c>
      <c r="Z1824" s="51">
        <v>0</v>
      </c>
      <c r="AA1824" s="51">
        <v>0</v>
      </c>
      <c r="AB1824" s="102" t="s">
        <v>1366</v>
      </c>
      <c r="AC1824" s="81">
        <f t="shared" si="87"/>
        <v>272.6508048675733</v>
      </c>
      <c r="AD1824" s="82">
        <f t="shared" si="88"/>
        <v>49.892857142857153</v>
      </c>
      <c r="AE1824" s="218">
        <v>-2.1867890946380936E-2</v>
      </c>
      <c r="AF1824">
        <v>13</v>
      </c>
      <c r="AH1824" t="str">
        <f t="shared" si="89"/>
        <v>Hasanpur</v>
      </c>
      <c r="AJ1824" s="72">
        <v>500</v>
      </c>
      <c r="AK1824" s="72"/>
      <c r="AL1824" s="72"/>
      <c r="AM1824" s="72"/>
    </row>
    <row r="1825" spans="1:39" x14ac:dyDescent="0.25">
      <c r="A1825" s="37" t="s">
        <v>62</v>
      </c>
      <c r="B1825" s="66" t="s">
        <v>1638</v>
      </c>
      <c r="C1825" s="41">
        <v>1058</v>
      </c>
      <c r="D1825" s="41" t="s">
        <v>1296</v>
      </c>
      <c r="E1825" s="41">
        <v>10580022</v>
      </c>
      <c r="F1825" s="85" t="s">
        <v>1344</v>
      </c>
      <c r="G1825" s="39" t="s">
        <v>92</v>
      </c>
      <c r="H1825" s="52" t="s">
        <v>93</v>
      </c>
      <c r="I1825" s="52">
        <v>373.56</v>
      </c>
      <c r="J1825" s="49">
        <v>15446.36</v>
      </c>
      <c r="K1825" s="58">
        <v>340.09999999999997</v>
      </c>
      <c r="L1825" s="58">
        <v>14088.849999999999</v>
      </c>
      <c r="M1825" s="58">
        <v>0</v>
      </c>
      <c r="N1825" s="58">
        <v>0</v>
      </c>
      <c r="O1825" s="58">
        <v>340.09999999999997</v>
      </c>
      <c r="P1825" s="53">
        <v>14088.849999999999</v>
      </c>
      <c r="Q1825" s="65">
        <v>14088.849999999999</v>
      </c>
      <c r="R1825" s="65">
        <v>0</v>
      </c>
      <c r="S1825" s="65">
        <v>0</v>
      </c>
      <c r="T1825" s="65">
        <v>0</v>
      </c>
      <c r="U1825" s="58">
        <v>0</v>
      </c>
      <c r="V1825" s="65">
        <v>0</v>
      </c>
      <c r="W1825" s="65">
        <v>0</v>
      </c>
      <c r="X1825" s="65">
        <v>14089</v>
      </c>
      <c r="Y1825" s="65">
        <v>0</v>
      </c>
      <c r="Z1825" s="51">
        <v>0</v>
      </c>
      <c r="AA1825" s="51">
        <v>1357</v>
      </c>
      <c r="AB1825" s="102">
        <v>0</v>
      </c>
      <c r="AC1825" s="81">
        <f t="shared" si="87"/>
        <v>269.95983287289857</v>
      </c>
      <c r="AD1825" s="82">
        <f t="shared" si="88"/>
        <v>53.365714285714283</v>
      </c>
      <c r="AE1825" s="218">
        <v>8.78854306127788E-2</v>
      </c>
      <c r="AF1825">
        <v>2</v>
      </c>
      <c r="AH1825" t="str">
        <f t="shared" si="89"/>
        <v>Hasanpur</v>
      </c>
      <c r="AJ1825" s="72">
        <v>0</v>
      </c>
      <c r="AK1825" s="72"/>
      <c r="AL1825" s="72"/>
      <c r="AM1825" s="72"/>
    </row>
    <row r="1826" spans="1:39" x14ac:dyDescent="0.25">
      <c r="A1826" s="37" t="s">
        <v>62</v>
      </c>
      <c r="B1826" s="66" t="s">
        <v>1638</v>
      </c>
      <c r="C1826" s="41">
        <v>1058</v>
      </c>
      <c r="D1826" s="41" t="s">
        <v>1296</v>
      </c>
      <c r="E1826" s="41">
        <v>10580023</v>
      </c>
      <c r="F1826" s="85" t="s">
        <v>1345</v>
      </c>
      <c r="G1826" s="39" t="s">
        <v>1610</v>
      </c>
      <c r="H1826" s="52" t="s">
        <v>98</v>
      </c>
      <c r="I1826" s="52">
        <v>852.28</v>
      </c>
      <c r="J1826" s="49">
        <v>32910.619999999995</v>
      </c>
      <c r="K1826" s="58">
        <v>0</v>
      </c>
      <c r="L1826" s="58">
        <v>0</v>
      </c>
      <c r="M1826" s="58">
        <v>0</v>
      </c>
      <c r="N1826" s="58">
        <v>0</v>
      </c>
      <c r="O1826" s="58">
        <v>0</v>
      </c>
      <c r="P1826" s="53">
        <v>0</v>
      </c>
      <c r="Q1826" s="65">
        <v>32910.619999999995</v>
      </c>
      <c r="R1826" s="65">
        <v>0</v>
      </c>
      <c r="S1826" s="65">
        <v>0</v>
      </c>
      <c r="T1826" s="65">
        <v>0</v>
      </c>
      <c r="U1826" s="58">
        <v>0</v>
      </c>
      <c r="V1826" s="65">
        <v>0</v>
      </c>
      <c r="W1826" s="65">
        <v>0</v>
      </c>
      <c r="X1826" s="65">
        <v>0</v>
      </c>
      <c r="Y1826" s="65">
        <v>0</v>
      </c>
      <c r="Z1826" s="51">
        <v>32910.619999999995</v>
      </c>
      <c r="AA1826" s="51">
        <v>0</v>
      </c>
      <c r="AB1826" s="102">
        <v>0</v>
      </c>
      <c r="AC1826" s="81">
        <f t="shared" si="87"/>
        <v>0</v>
      </c>
      <c r="AD1826" s="82">
        <f t="shared" si="88"/>
        <v>0</v>
      </c>
      <c r="AE1826" s="218">
        <v>0</v>
      </c>
      <c r="AF1826">
        <v>0</v>
      </c>
      <c r="AH1826" t="str">
        <f t="shared" si="89"/>
        <v>Hasanpur</v>
      </c>
      <c r="AJ1826" s="72">
        <v>0</v>
      </c>
      <c r="AK1826" s="72"/>
      <c r="AL1826" s="72"/>
      <c r="AM1826" s="72"/>
    </row>
    <row r="1827" spans="1:39" x14ac:dyDescent="0.25">
      <c r="A1827" s="37" t="s">
        <v>62</v>
      </c>
      <c r="B1827" s="66" t="s">
        <v>1638</v>
      </c>
      <c r="C1827" s="41">
        <v>1058</v>
      </c>
      <c r="D1827" s="41" t="s">
        <v>1296</v>
      </c>
      <c r="E1827" s="41">
        <v>10580024</v>
      </c>
      <c r="F1827" s="85" t="s">
        <v>1437</v>
      </c>
      <c r="G1827" s="39" t="s">
        <v>92</v>
      </c>
      <c r="H1827" s="52" t="s">
        <v>93</v>
      </c>
      <c r="I1827" s="52">
        <v>451</v>
      </c>
      <c r="J1827" s="49">
        <v>17987.189999999999</v>
      </c>
      <c r="K1827" s="58">
        <v>490.59999999999991</v>
      </c>
      <c r="L1827" s="58">
        <v>21932.309999999998</v>
      </c>
      <c r="M1827" s="58">
        <v>0</v>
      </c>
      <c r="N1827" s="58">
        <v>0</v>
      </c>
      <c r="O1827" s="58">
        <v>490.59999999999991</v>
      </c>
      <c r="P1827" s="53">
        <v>21932.309999999998</v>
      </c>
      <c r="Q1827" s="65">
        <v>17987.189999999999</v>
      </c>
      <c r="R1827" s="65">
        <v>0</v>
      </c>
      <c r="S1827" s="65">
        <v>0</v>
      </c>
      <c r="T1827" s="65">
        <v>3945.119999999999</v>
      </c>
      <c r="U1827" s="58">
        <v>1350</v>
      </c>
      <c r="V1827" s="65">
        <v>0</v>
      </c>
      <c r="W1827" s="65">
        <v>0</v>
      </c>
      <c r="X1827" s="65">
        <v>16637</v>
      </c>
      <c r="Y1827" s="65">
        <v>0</v>
      </c>
      <c r="Z1827" s="51">
        <v>0</v>
      </c>
      <c r="AA1827" s="51">
        <v>0</v>
      </c>
      <c r="AB1827" s="102">
        <v>0</v>
      </c>
      <c r="AC1827" s="81">
        <f t="shared" si="87"/>
        <v>198.61686518847009</v>
      </c>
      <c r="AD1827" s="82">
        <f t="shared" si="88"/>
        <v>64.428571428571431</v>
      </c>
      <c r="AE1827" s="218">
        <v>-0.21932942277253975</v>
      </c>
      <c r="AF1827">
        <v>2</v>
      </c>
      <c r="AH1827" t="str">
        <f t="shared" si="89"/>
        <v>Hasanpur</v>
      </c>
      <c r="AJ1827" s="72">
        <v>0</v>
      </c>
      <c r="AK1827" s="72"/>
      <c r="AL1827" s="72"/>
      <c r="AM1827" s="72"/>
    </row>
    <row r="1828" spans="1:39" x14ac:dyDescent="0.25">
      <c r="A1828" s="37" t="s">
        <v>62</v>
      </c>
      <c r="B1828" s="66" t="s">
        <v>1638</v>
      </c>
      <c r="C1828" s="41">
        <v>1058</v>
      </c>
      <c r="D1828" s="41" t="s">
        <v>1296</v>
      </c>
      <c r="E1828" s="41">
        <v>10580025</v>
      </c>
      <c r="F1828" s="85" t="s">
        <v>1438</v>
      </c>
      <c r="G1828" s="39" t="s">
        <v>92</v>
      </c>
      <c r="H1828" s="52" t="s">
        <v>93</v>
      </c>
      <c r="I1828" s="52">
        <v>813.43000000000029</v>
      </c>
      <c r="J1828" s="49">
        <v>37514.23000000001</v>
      </c>
      <c r="K1828" s="58">
        <v>819.00000000000023</v>
      </c>
      <c r="L1828" s="58">
        <v>38185.279999999992</v>
      </c>
      <c r="M1828" s="58">
        <v>0</v>
      </c>
      <c r="N1828" s="58">
        <v>0</v>
      </c>
      <c r="O1828" s="58">
        <v>819.00000000000023</v>
      </c>
      <c r="P1828" s="53">
        <v>38185.279999999992</v>
      </c>
      <c r="Q1828" s="65">
        <v>37514.23000000001</v>
      </c>
      <c r="R1828" s="65">
        <v>0</v>
      </c>
      <c r="S1828" s="65">
        <v>0</v>
      </c>
      <c r="T1828" s="65">
        <v>671.04999999998108</v>
      </c>
      <c r="U1828" s="58">
        <v>0</v>
      </c>
      <c r="V1828" s="65">
        <v>0</v>
      </c>
      <c r="W1828" s="65">
        <v>0</v>
      </c>
      <c r="X1828" s="65">
        <v>37514</v>
      </c>
      <c r="Y1828" s="65">
        <v>0</v>
      </c>
      <c r="Z1828" s="51">
        <v>0</v>
      </c>
      <c r="AA1828" s="51">
        <v>0</v>
      </c>
      <c r="AB1828" s="102">
        <v>0</v>
      </c>
      <c r="AC1828" s="81">
        <f t="shared" si="87"/>
        <v>0</v>
      </c>
      <c r="AD1828" s="82">
        <f t="shared" si="88"/>
        <v>0</v>
      </c>
      <c r="AE1828" s="218">
        <v>-1.788787881291928E-2</v>
      </c>
      <c r="AF1828">
        <v>13</v>
      </c>
      <c r="AH1828" t="str">
        <f t="shared" si="89"/>
        <v>Hasanpur</v>
      </c>
      <c r="AJ1828" s="72">
        <v>0</v>
      </c>
      <c r="AK1828" s="72"/>
      <c r="AL1828" s="72"/>
      <c r="AM1828" s="72"/>
    </row>
    <row r="1829" spans="1:39" x14ac:dyDescent="0.25">
      <c r="A1829" s="37" t="s">
        <v>62</v>
      </c>
      <c r="B1829" s="66" t="s">
        <v>1638</v>
      </c>
      <c r="C1829" s="41">
        <v>1058</v>
      </c>
      <c r="D1829" s="41" t="s">
        <v>1296</v>
      </c>
      <c r="E1829" s="41">
        <v>10580026</v>
      </c>
      <c r="F1829" s="85" t="s">
        <v>1439</v>
      </c>
      <c r="G1829" s="39" t="s">
        <v>92</v>
      </c>
      <c r="H1829" s="52" t="s">
        <v>93</v>
      </c>
      <c r="I1829" s="52">
        <v>85.49</v>
      </c>
      <c r="J1829" s="49">
        <v>3484.42</v>
      </c>
      <c r="K1829" s="58">
        <v>85.3</v>
      </c>
      <c r="L1829" s="58">
        <v>3501.4700000000003</v>
      </c>
      <c r="M1829" s="58">
        <v>0</v>
      </c>
      <c r="N1829" s="58">
        <v>0</v>
      </c>
      <c r="O1829" s="58">
        <v>85.3</v>
      </c>
      <c r="P1829" s="53">
        <v>3501.4700000000003</v>
      </c>
      <c r="Q1829" s="65">
        <v>3484.42</v>
      </c>
      <c r="R1829" s="65">
        <v>0</v>
      </c>
      <c r="S1829" s="65">
        <v>0</v>
      </c>
      <c r="T1829" s="65">
        <v>17.050000000000182</v>
      </c>
      <c r="U1829" s="58">
        <v>0</v>
      </c>
      <c r="V1829" s="65">
        <v>0</v>
      </c>
      <c r="W1829" s="65">
        <v>0</v>
      </c>
      <c r="X1829" s="65">
        <v>3484</v>
      </c>
      <c r="Y1829" s="65">
        <v>0</v>
      </c>
      <c r="Z1829" s="51">
        <v>0</v>
      </c>
      <c r="AA1829" s="51">
        <v>0</v>
      </c>
      <c r="AB1829" s="102">
        <v>0</v>
      </c>
      <c r="AC1829" s="81">
        <f t="shared" si="87"/>
        <v>500.92664269505207</v>
      </c>
      <c r="AD1829" s="82">
        <f t="shared" si="88"/>
        <v>12.212857142857143</v>
      </c>
      <c r="AE1829" s="218">
        <v>-4.893210347776727E-3</v>
      </c>
      <c r="AF1829">
        <v>1</v>
      </c>
      <c r="AH1829" t="str">
        <f t="shared" si="89"/>
        <v>Hasanpur</v>
      </c>
      <c r="AJ1829" s="72">
        <v>0</v>
      </c>
      <c r="AK1829" s="72"/>
      <c r="AL1829" s="72"/>
      <c r="AM1829" s="72"/>
    </row>
    <row r="1830" spans="1:39" x14ac:dyDescent="0.25">
      <c r="A1830" s="37" t="s">
        <v>62</v>
      </c>
      <c r="B1830" s="66" t="s">
        <v>1638</v>
      </c>
      <c r="C1830" s="41">
        <v>1058</v>
      </c>
      <c r="D1830" s="41" t="s">
        <v>1296</v>
      </c>
      <c r="E1830" s="41">
        <v>10580027</v>
      </c>
      <c r="F1830" s="85" t="s">
        <v>1440</v>
      </c>
      <c r="G1830" s="39" t="s">
        <v>92</v>
      </c>
      <c r="H1830" s="52" t="s">
        <v>93</v>
      </c>
      <c r="I1830" s="52">
        <v>113.82999999999998</v>
      </c>
      <c r="J1830" s="49">
        <v>4240.0600000000004</v>
      </c>
      <c r="K1830" s="58">
        <v>120.96</v>
      </c>
      <c r="L1830" s="58">
        <v>4598.2800000000007</v>
      </c>
      <c r="M1830" s="58">
        <v>0</v>
      </c>
      <c r="N1830" s="58">
        <v>0</v>
      </c>
      <c r="O1830" s="58">
        <v>120.96</v>
      </c>
      <c r="P1830" s="53">
        <v>4598.2800000000007</v>
      </c>
      <c r="Q1830" s="65">
        <v>4240.0600000000004</v>
      </c>
      <c r="R1830" s="65">
        <v>0</v>
      </c>
      <c r="S1830" s="65">
        <v>0</v>
      </c>
      <c r="T1830" s="65">
        <v>358.22000000000025</v>
      </c>
      <c r="U1830" s="58">
        <v>0</v>
      </c>
      <c r="V1830" s="65">
        <v>0</v>
      </c>
      <c r="W1830" s="65">
        <v>0</v>
      </c>
      <c r="X1830" s="65">
        <v>4240</v>
      </c>
      <c r="Y1830" s="65">
        <v>0</v>
      </c>
      <c r="Z1830" s="51">
        <v>0</v>
      </c>
      <c r="AA1830" s="51">
        <v>0</v>
      </c>
      <c r="AB1830" s="102">
        <v>0</v>
      </c>
      <c r="AC1830" s="81">
        <f t="shared" si="87"/>
        <v>436.68557852938602</v>
      </c>
      <c r="AD1830" s="82">
        <f t="shared" si="88"/>
        <v>16.261428571428571</v>
      </c>
      <c r="AE1830" s="218">
        <v>-8.4484653519054029E-2</v>
      </c>
      <c r="AF1830">
        <v>1</v>
      </c>
      <c r="AH1830" t="str">
        <f t="shared" si="89"/>
        <v>Hasanpur</v>
      </c>
      <c r="AJ1830" s="72">
        <v>0</v>
      </c>
      <c r="AK1830" s="72"/>
      <c r="AL1830" s="72"/>
      <c r="AM1830" s="72"/>
    </row>
    <row r="1831" spans="1:39" x14ac:dyDescent="0.25">
      <c r="A1831" s="37" t="s">
        <v>62</v>
      </c>
      <c r="B1831" s="66" t="s">
        <v>1638</v>
      </c>
      <c r="C1831" s="41">
        <v>1058</v>
      </c>
      <c r="D1831" s="41" t="s">
        <v>1296</v>
      </c>
      <c r="E1831" s="41">
        <v>10580028</v>
      </c>
      <c r="F1831" s="85" t="s">
        <v>1441</v>
      </c>
      <c r="G1831" s="39" t="s">
        <v>92</v>
      </c>
      <c r="H1831" s="52" t="s">
        <v>93</v>
      </c>
      <c r="I1831" s="52">
        <v>457.89</v>
      </c>
      <c r="J1831" s="49">
        <v>18071.599999999999</v>
      </c>
      <c r="K1831" s="58">
        <v>457.79999999999995</v>
      </c>
      <c r="L1831" s="58">
        <v>18026.349999999999</v>
      </c>
      <c r="M1831" s="58">
        <v>0</v>
      </c>
      <c r="N1831" s="58">
        <v>0</v>
      </c>
      <c r="O1831" s="58">
        <v>457.79999999999995</v>
      </c>
      <c r="P1831" s="53">
        <v>18026.349999999999</v>
      </c>
      <c r="Q1831" s="65">
        <v>18026.349999999999</v>
      </c>
      <c r="R1831" s="65">
        <v>0</v>
      </c>
      <c r="S1831" s="65">
        <v>0</v>
      </c>
      <c r="T1831" s="65">
        <v>0</v>
      </c>
      <c r="U1831" s="58">
        <v>0</v>
      </c>
      <c r="V1831" s="65">
        <v>0</v>
      </c>
      <c r="W1831" s="65">
        <v>0</v>
      </c>
      <c r="X1831" s="65">
        <v>18026</v>
      </c>
      <c r="Y1831" s="65">
        <v>0</v>
      </c>
      <c r="Z1831" s="51">
        <v>0</v>
      </c>
      <c r="AA1831" s="51">
        <v>46</v>
      </c>
      <c r="AB1831" s="102">
        <v>0</v>
      </c>
      <c r="AC1831" s="81">
        <f t="shared" si="87"/>
        <v>191.10769293935232</v>
      </c>
      <c r="AD1831" s="82">
        <f t="shared" si="88"/>
        <v>65.412857142857135</v>
      </c>
      <c r="AE1831" s="218">
        <v>2.5039288164855353E-3</v>
      </c>
      <c r="AF1831">
        <v>2</v>
      </c>
      <c r="AH1831" t="str">
        <f t="shared" si="89"/>
        <v>Hasanpur</v>
      </c>
      <c r="AJ1831" s="72">
        <v>0</v>
      </c>
      <c r="AK1831" s="72"/>
      <c r="AL1831" s="72"/>
      <c r="AM1831" s="72"/>
    </row>
    <row r="1832" spans="1:39" x14ac:dyDescent="0.25">
      <c r="A1832" s="37" t="s">
        <v>62</v>
      </c>
      <c r="B1832" s="66" t="s">
        <v>1638</v>
      </c>
      <c r="C1832" s="41">
        <v>1058</v>
      </c>
      <c r="D1832" s="41" t="s">
        <v>1296</v>
      </c>
      <c r="E1832" s="41">
        <v>10580029</v>
      </c>
      <c r="F1832" s="85" t="s">
        <v>1214</v>
      </c>
      <c r="G1832" s="39" t="s">
        <v>92</v>
      </c>
      <c r="H1832" s="52" t="s">
        <v>93</v>
      </c>
      <c r="I1832" s="52">
        <v>224.97</v>
      </c>
      <c r="J1832" s="49">
        <v>10049.789999999999</v>
      </c>
      <c r="K1832" s="58">
        <v>271.60000000000002</v>
      </c>
      <c r="L1832" s="58">
        <v>12568.899999999998</v>
      </c>
      <c r="M1832" s="58">
        <v>0</v>
      </c>
      <c r="N1832" s="58">
        <v>0</v>
      </c>
      <c r="O1832" s="58">
        <v>271.60000000000002</v>
      </c>
      <c r="P1832" s="53">
        <v>12568.899999999998</v>
      </c>
      <c r="Q1832" s="65">
        <v>10049.789999999999</v>
      </c>
      <c r="R1832" s="65">
        <v>0</v>
      </c>
      <c r="S1832" s="65">
        <v>0</v>
      </c>
      <c r="T1832" s="65">
        <v>2519.1099999999988</v>
      </c>
      <c r="U1832" s="58">
        <v>0</v>
      </c>
      <c r="V1832" s="65">
        <v>0</v>
      </c>
      <c r="W1832" s="65">
        <v>0</v>
      </c>
      <c r="X1832" s="65">
        <v>10050</v>
      </c>
      <c r="Y1832" s="65">
        <v>0</v>
      </c>
      <c r="Z1832" s="51">
        <v>0</v>
      </c>
      <c r="AA1832" s="51">
        <v>0</v>
      </c>
      <c r="AB1832" s="102">
        <v>0</v>
      </c>
      <c r="AC1832" s="81">
        <f t="shared" si="87"/>
        <v>424.40785382050944</v>
      </c>
      <c r="AD1832" s="82">
        <f t="shared" si="88"/>
        <v>32.138571428571431</v>
      </c>
      <c r="AE1832" s="218">
        <v>-0.25066294917605236</v>
      </c>
      <c r="AF1832">
        <v>11</v>
      </c>
      <c r="AH1832" t="str">
        <f t="shared" si="89"/>
        <v>Hasanpur</v>
      </c>
      <c r="AJ1832" s="72">
        <v>0</v>
      </c>
      <c r="AK1832" s="72"/>
      <c r="AL1832" s="72"/>
      <c r="AM1832" s="72"/>
    </row>
    <row r="1833" spans="1:39" x14ac:dyDescent="0.25">
      <c r="A1833" s="37" t="s">
        <v>62</v>
      </c>
      <c r="B1833" s="66" t="s">
        <v>1638</v>
      </c>
      <c r="C1833" s="41">
        <v>1059</v>
      </c>
      <c r="D1833" s="41" t="s">
        <v>1299</v>
      </c>
      <c r="E1833" s="41">
        <v>10590001</v>
      </c>
      <c r="F1833" s="85" t="s">
        <v>1293</v>
      </c>
      <c r="G1833" s="39" t="s">
        <v>92</v>
      </c>
      <c r="H1833" s="52" t="s">
        <v>93</v>
      </c>
      <c r="I1833" s="52">
        <v>854.70000000000016</v>
      </c>
      <c r="J1833" s="49">
        <v>41986.139999999992</v>
      </c>
      <c r="K1833" s="58">
        <v>915.04</v>
      </c>
      <c r="L1833" s="58">
        <v>45501.96</v>
      </c>
      <c r="M1833" s="58">
        <v>2.64</v>
      </c>
      <c r="N1833" s="58">
        <v>90.02</v>
      </c>
      <c r="O1833" s="58">
        <v>917.68</v>
      </c>
      <c r="P1833" s="53">
        <v>45591.979999999996</v>
      </c>
      <c r="Q1833" s="65">
        <v>41986.139999999992</v>
      </c>
      <c r="R1833" s="65">
        <v>0</v>
      </c>
      <c r="S1833" s="65">
        <v>90.02</v>
      </c>
      <c r="T1833" s="65">
        <v>3605.8400000000038</v>
      </c>
      <c r="U1833" s="58">
        <v>0</v>
      </c>
      <c r="V1833" s="65">
        <v>0</v>
      </c>
      <c r="W1833" s="65">
        <v>0</v>
      </c>
      <c r="X1833" s="65">
        <v>41896</v>
      </c>
      <c r="Y1833" s="65">
        <v>0</v>
      </c>
      <c r="Z1833" s="51">
        <v>0</v>
      </c>
      <c r="AA1833" s="51">
        <v>0</v>
      </c>
      <c r="AB1833" s="102">
        <v>0</v>
      </c>
      <c r="AC1833" s="81">
        <f t="shared" si="87"/>
        <v>0</v>
      </c>
      <c r="AD1833" s="82">
        <f t="shared" si="88"/>
        <v>0</v>
      </c>
      <c r="AE1833" s="218">
        <v>-8.5881674285847767E-2</v>
      </c>
      <c r="AF1833">
        <v>3</v>
      </c>
      <c r="AH1833" t="str">
        <f t="shared" si="89"/>
        <v>Gopalpur Bmc</v>
      </c>
      <c r="AJ1833" s="72">
        <v>0</v>
      </c>
      <c r="AK1833" s="72"/>
      <c r="AL1833" s="72"/>
      <c r="AM1833" s="72"/>
    </row>
    <row r="1834" spans="1:39" x14ac:dyDescent="0.25">
      <c r="A1834" s="37" t="s">
        <v>62</v>
      </c>
      <c r="B1834" s="66" t="s">
        <v>1638</v>
      </c>
      <c r="C1834" s="41">
        <v>1059</v>
      </c>
      <c r="D1834" s="41" t="s">
        <v>1299</v>
      </c>
      <c r="E1834" s="41">
        <v>10590002</v>
      </c>
      <c r="F1834" s="85" t="s">
        <v>1294</v>
      </c>
      <c r="G1834" s="39" t="s">
        <v>92</v>
      </c>
      <c r="H1834" s="52" t="s">
        <v>93</v>
      </c>
      <c r="I1834" s="52">
        <v>86.1</v>
      </c>
      <c r="J1834" s="49">
        <v>5603.66</v>
      </c>
      <c r="K1834" s="58">
        <v>86.100000000000009</v>
      </c>
      <c r="L1834" s="58">
        <v>5610.63</v>
      </c>
      <c r="M1834" s="58">
        <v>0</v>
      </c>
      <c r="N1834" s="58">
        <v>0</v>
      </c>
      <c r="O1834" s="58">
        <v>86.100000000000009</v>
      </c>
      <c r="P1834" s="53">
        <v>5610.63</v>
      </c>
      <c r="Q1834" s="65">
        <v>5603.66</v>
      </c>
      <c r="R1834" s="65">
        <v>0</v>
      </c>
      <c r="S1834" s="65">
        <v>0</v>
      </c>
      <c r="T1834" s="65">
        <v>6.9700000000002547</v>
      </c>
      <c r="U1834" s="58">
        <v>0</v>
      </c>
      <c r="V1834" s="65">
        <v>500</v>
      </c>
      <c r="W1834" s="65">
        <v>0</v>
      </c>
      <c r="X1834" s="65">
        <v>5104</v>
      </c>
      <c r="Y1834" s="65">
        <v>0</v>
      </c>
      <c r="Z1834" s="51">
        <v>0</v>
      </c>
      <c r="AA1834" s="51">
        <v>0</v>
      </c>
      <c r="AB1834" s="102">
        <v>0</v>
      </c>
      <c r="AC1834" s="81">
        <f t="shared" si="87"/>
        <v>799.09102764227634</v>
      </c>
      <c r="AD1834" s="82">
        <f t="shared" si="88"/>
        <v>12.299999999999999</v>
      </c>
      <c r="AE1834" s="218">
        <v>-1.2438299254416319E-3</v>
      </c>
      <c r="AF1834">
        <v>1</v>
      </c>
      <c r="AH1834" t="str">
        <f t="shared" si="89"/>
        <v>Gopalpur Bmc</v>
      </c>
      <c r="AJ1834" s="72">
        <v>500</v>
      </c>
      <c r="AK1834" s="72"/>
      <c r="AL1834" s="72"/>
      <c r="AM1834" s="72"/>
    </row>
    <row r="1835" spans="1:39" x14ac:dyDescent="0.25">
      <c r="A1835" s="37" t="s">
        <v>62</v>
      </c>
      <c r="B1835" s="66" t="s">
        <v>1638</v>
      </c>
      <c r="C1835" s="41">
        <v>1059</v>
      </c>
      <c r="D1835" s="41" t="s">
        <v>1299</v>
      </c>
      <c r="E1835" s="41">
        <v>10590004</v>
      </c>
      <c r="F1835" s="85" t="s">
        <v>1295</v>
      </c>
      <c r="G1835" s="39" t="s">
        <v>92</v>
      </c>
      <c r="H1835" s="52" t="s">
        <v>93</v>
      </c>
      <c r="I1835" s="52">
        <v>960.30000000000007</v>
      </c>
      <c r="J1835" s="49">
        <v>37372.04</v>
      </c>
      <c r="K1835" s="58">
        <v>966.00000000000011</v>
      </c>
      <c r="L1835" s="58">
        <v>37721.910000000003</v>
      </c>
      <c r="M1835" s="58">
        <v>0</v>
      </c>
      <c r="N1835" s="58">
        <v>0</v>
      </c>
      <c r="O1835" s="58">
        <v>966.00000000000011</v>
      </c>
      <c r="P1835" s="53">
        <v>37721.910000000003</v>
      </c>
      <c r="Q1835" s="65">
        <v>37372.04</v>
      </c>
      <c r="R1835" s="65">
        <v>0</v>
      </c>
      <c r="S1835" s="65">
        <v>0</v>
      </c>
      <c r="T1835" s="65">
        <v>349.87000000000262</v>
      </c>
      <c r="U1835" s="58">
        <v>0</v>
      </c>
      <c r="V1835" s="65">
        <v>0</v>
      </c>
      <c r="W1835" s="65">
        <v>0</v>
      </c>
      <c r="X1835" s="65">
        <v>37372</v>
      </c>
      <c r="Y1835" s="65">
        <v>0</v>
      </c>
      <c r="Z1835" s="51">
        <v>0</v>
      </c>
      <c r="AA1835" s="51">
        <v>0</v>
      </c>
      <c r="AB1835" s="102">
        <v>0</v>
      </c>
      <c r="AC1835" s="81">
        <f t="shared" si="87"/>
        <v>0</v>
      </c>
      <c r="AD1835" s="82">
        <f t="shared" si="88"/>
        <v>0</v>
      </c>
      <c r="AE1835" s="218">
        <v>-9.3618116645492883E-3</v>
      </c>
      <c r="AF1835">
        <v>1</v>
      </c>
      <c r="AH1835" t="str">
        <f t="shared" si="89"/>
        <v>Gopalpur Bmc</v>
      </c>
      <c r="AJ1835" s="72">
        <v>0</v>
      </c>
      <c r="AK1835" s="72"/>
      <c r="AL1835" s="72"/>
      <c r="AM1835" s="72"/>
    </row>
    <row r="1836" spans="1:39" x14ac:dyDescent="0.25">
      <c r="A1836" s="37" t="s">
        <v>62</v>
      </c>
      <c r="B1836" s="66" t="s">
        <v>1638</v>
      </c>
      <c r="C1836" s="41">
        <v>1059</v>
      </c>
      <c r="D1836" s="41" t="s">
        <v>1299</v>
      </c>
      <c r="E1836" s="41">
        <v>10590006</v>
      </c>
      <c r="F1836" s="85" t="s">
        <v>1310</v>
      </c>
      <c r="G1836" s="39" t="s">
        <v>92</v>
      </c>
      <c r="H1836" s="52" t="s">
        <v>93</v>
      </c>
      <c r="I1836" s="52">
        <v>1551.2999999999997</v>
      </c>
      <c r="J1836" s="49">
        <v>70969.39</v>
      </c>
      <c r="K1836" s="58">
        <v>1617.9999999999998</v>
      </c>
      <c r="L1836" s="58">
        <v>71075.12999999999</v>
      </c>
      <c r="M1836" s="58">
        <v>0</v>
      </c>
      <c r="N1836" s="58">
        <v>0</v>
      </c>
      <c r="O1836" s="58">
        <v>1617.9999999999998</v>
      </c>
      <c r="P1836" s="53">
        <v>71075.12999999999</v>
      </c>
      <c r="Q1836" s="65">
        <v>70969.39</v>
      </c>
      <c r="R1836" s="65">
        <v>0</v>
      </c>
      <c r="S1836" s="65">
        <v>0</v>
      </c>
      <c r="T1836" s="65">
        <v>105.73999999999069</v>
      </c>
      <c r="U1836" s="58">
        <v>0</v>
      </c>
      <c r="V1836" s="65">
        <v>0</v>
      </c>
      <c r="W1836" s="65">
        <v>0</v>
      </c>
      <c r="X1836" s="65">
        <v>70969</v>
      </c>
      <c r="Y1836" s="65">
        <v>0</v>
      </c>
      <c r="Z1836" s="51">
        <v>0</v>
      </c>
      <c r="AA1836" s="51">
        <v>0</v>
      </c>
      <c r="AB1836" s="102">
        <v>0</v>
      </c>
      <c r="AC1836" s="81">
        <f t="shared" si="87"/>
        <v>0</v>
      </c>
      <c r="AD1836" s="82">
        <f t="shared" si="88"/>
        <v>0</v>
      </c>
      <c r="AE1836" s="218">
        <v>-1.489938126845823E-3</v>
      </c>
      <c r="AF1836">
        <v>12</v>
      </c>
      <c r="AH1836" t="str">
        <f t="shared" si="89"/>
        <v>Gopalpur Bmc</v>
      </c>
      <c r="AJ1836" s="72">
        <v>0</v>
      </c>
      <c r="AK1836" s="72"/>
      <c r="AL1836" s="72"/>
      <c r="AM1836" s="72"/>
    </row>
    <row r="1837" spans="1:39" x14ac:dyDescent="0.25">
      <c r="A1837" s="37" t="s">
        <v>62</v>
      </c>
      <c r="B1837" s="66" t="s">
        <v>1638</v>
      </c>
      <c r="C1837" s="41">
        <v>1059</v>
      </c>
      <c r="D1837" s="41" t="s">
        <v>1299</v>
      </c>
      <c r="E1837" s="41">
        <v>10590008</v>
      </c>
      <c r="F1837" s="85" t="s">
        <v>1369</v>
      </c>
      <c r="G1837" s="39" t="s">
        <v>92</v>
      </c>
      <c r="H1837" s="52" t="s">
        <v>93</v>
      </c>
      <c r="I1837" s="52">
        <v>285.2</v>
      </c>
      <c r="J1837" s="49">
        <v>14488.249999999998</v>
      </c>
      <c r="K1837" s="58">
        <v>292.2</v>
      </c>
      <c r="L1837" s="58">
        <v>14547.45</v>
      </c>
      <c r="M1837" s="58">
        <v>0</v>
      </c>
      <c r="N1837" s="58">
        <v>0</v>
      </c>
      <c r="O1837" s="58">
        <v>292.2</v>
      </c>
      <c r="P1837" s="53">
        <v>14547.45</v>
      </c>
      <c r="Q1837" s="65">
        <v>14488.249999999998</v>
      </c>
      <c r="R1837" s="65">
        <v>0</v>
      </c>
      <c r="S1837" s="65">
        <v>0</v>
      </c>
      <c r="T1837" s="65">
        <v>59.200000000002547</v>
      </c>
      <c r="U1837" s="58">
        <v>0</v>
      </c>
      <c r="V1837" s="65">
        <v>0</v>
      </c>
      <c r="W1837" s="65">
        <v>0</v>
      </c>
      <c r="X1837" s="65">
        <v>14488</v>
      </c>
      <c r="Y1837" s="65">
        <v>0</v>
      </c>
      <c r="Z1837" s="51">
        <v>0</v>
      </c>
      <c r="AA1837" s="51">
        <v>0</v>
      </c>
      <c r="AB1837" s="102">
        <v>0</v>
      </c>
      <c r="AC1837" s="81">
        <f t="shared" si="87"/>
        <v>421.4394179523141</v>
      </c>
      <c r="AD1837" s="82">
        <f t="shared" si="88"/>
        <v>40.74285714285714</v>
      </c>
      <c r="AE1837" s="218">
        <v>-4.0860697461738002E-3</v>
      </c>
      <c r="AF1837">
        <v>1</v>
      </c>
      <c r="AH1837" t="str">
        <f t="shared" si="89"/>
        <v>Gopalpur Bmc</v>
      </c>
      <c r="AJ1837" s="72">
        <v>0</v>
      </c>
      <c r="AK1837" s="72"/>
      <c r="AL1837" s="72"/>
      <c r="AM1837" s="72"/>
    </row>
    <row r="1838" spans="1:39" x14ac:dyDescent="0.25">
      <c r="A1838" s="37" t="s">
        <v>62</v>
      </c>
      <c r="B1838" s="66" t="s">
        <v>1638</v>
      </c>
      <c r="C1838" s="41">
        <v>1059</v>
      </c>
      <c r="D1838" s="41" t="s">
        <v>1299</v>
      </c>
      <c r="E1838" s="41">
        <v>10590010</v>
      </c>
      <c r="F1838" s="85" t="s">
        <v>1370</v>
      </c>
      <c r="G1838" s="39" t="s">
        <v>92</v>
      </c>
      <c r="H1838" s="52" t="s">
        <v>93</v>
      </c>
      <c r="I1838" s="52">
        <v>1695.8999999999996</v>
      </c>
      <c r="J1838" s="49">
        <v>87025.04</v>
      </c>
      <c r="K1838" s="58">
        <v>1695.9000000000003</v>
      </c>
      <c r="L1838" s="58">
        <v>86796.700000000012</v>
      </c>
      <c r="M1838" s="58">
        <v>0</v>
      </c>
      <c r="N1838" s="58">
        <v>0</v>
      </c>
      <c r="O1838" s="58">
        <v>1695.9000000000003</v>
      </c>
      <c r="P1838" s="53">
        <v>86796.700000000012</v>
      </c>
      <c r="Q1838" s="65">
        <v>86796.700000000012</v>
      </c>
      <c r="R1838" s="65">
        <v>0</v>
      </c>
      <c r="S1838" s="65">
        <v>0</v>
      </c>
      <c r="T1838" s="65">
        <v>0</v>
      </c>
      <c r="U1838" s="58">
        <v>0</v>
      </c>
      <c r="V1838" s="65">
        <v>0</v>
      </c>
      <c r="W1838" s="65">
        <v>0</v>
      </c>
      <c r="X1838" s="65">
        <v>86796</v>
      </c>
      <c r="Y1838" s="65">
        <v>0</v>
      </c>
      <c r="Z1838" s="51">
        <v>0</v>
      </c>
      <c r="AA1838" s="51">
        <v>229</v>
      </c>
      <c r="AB1838" s="102">
        <v>0</v>
      </c>
      <c r="AC1838" s="81">
        <f t="shared" si="87"/>
        <v>0</v>
      </c>
      <c r="AD1838" s="82">
        <f t="shared" si="88"/>
        <v>0</v>
      </c>
      <c r="AE1838" s="218">
        <v>2.6238425170500581E-3</v>
      </c>
      <c r="AF1838">
        <v>4</v>
      </c>
      <c r="AH1838" t="str">
        <f t="shared" si="89"/>
        <v>Gopalpur Bmc</v>
      </c>
      <c r="AJ1838" s="72">
        <v>0</v>
      </c>
      <c r="AK1838" s="72"/>
      <c r="AL1838" s="72"/>
      <c r="AM1838" s="72"/>
    </row>
    <row r="1839" spans="1:39" x14ac:dyDescent="0.25">
      <c r="A1839" s="37" t="s">
        <v>62</v>
      </c>
      <c r="B1839" s="66" t="s">
        <v>1638</v>
      </c>
      <c r="C1839" s="41">
        <v>1059</v>
      </c>
      <c r="D1839" s="41" t="s">
        <v>1299</v>
      </c>
      <c r="E1839" s="41">
        <v>10590011</v>
      </c>
      <c r="F1839" s="85" t="s">
        <v>1371</v>
      </c>
      <c r="G1839" s="39" t="s">
        <v>92</v>
      </c>
      <c r="H1839" s="52" t="s">
        <v>93</v>
      </c>
      <c r="I1839" s="52">
        <v>533</v>
      </c>
      <c r="J1839" s="49">
        <v>22596.290000000005</v>
      </c>
      <c r="K1839" s="58">
        <v>520.86</v>
      </c>
      <c r="L1839" s="58">
        <v>22692.03</v>
      </c>
      <c r="M1839" s="58">
        <v>0</v>
      </c>
      <c r="N1839" s="58">
        <v>0</v>
      </c>
      <c r="O1839" s="58">
        <v>520.86</v>
      </c>
      <c r="P1839" s="53">
        <v>22692.03</v>
      </c>
      <c r="Q1839" s="65">
        <v>22596.290000000005</v>
      </c>
      <c r="R1839" s="65">
        <v>0</v>
      </c>
      <c r="S1839" s="65">
        <v>0</v>
      </c>
      <c r="T1839" s="65">
        <v>95.739999999994325</v>
      </c>
      <c r="U1839" s="58">
        <v>0</v>
      </c>
      <c r="V1839" s="65">
        <v>0</v>
      </c>
      <c r="W1839" s="65">
        <v>0</v>
      </c>
      <c r="X1839" s="65">
        <v>22596</v>
      </c>
      <c r="Y1839" s="65">
        <v>0</v>
      </c>
      <c r="Z1839" s="51">
        <v>0</v>
      </c>
      <c r="AA1839" s="51">
        <v>0</v>
      </c>
      <c r="AB1839" s="102">
        <v>0</v>
      </c>
      <c r="AC1839" s="81">
        <f t="shared" si="87"/>
        <v>141.59776472795502</v>
      </c>
      <c r="AD1839" s="82">
        <f t="shared" si="88"/>
        <v>76.142857142857139</v>
      </c>
      <c r="AE1839" s="218">
        <v>-4.2369787252683651E-3</v>
      </c>
      <c r="AF1839">
        <v>6</v>
      </c>
      <c r="AH1839" t="str">
        <f t="shared" si="89"/>
        <v>Gopalpur Bmc</v>
      </c>
      <c r="AJ1839" s="72">
        <v>0</v>
      </c>
      <c r="AK1839" s="72"/>
      <c r="AL1839" s="72"/>
      <c r="AM1839" s="72"/>
    </row>
    <row r="1840" spans="1:39" x14ac:dyDescent="0.25">
      <c r="A1840" s="37" t="s">
        <v>62</v>
      </c>
      <c r="B1840" s="66" t="s">
        <v>1638</v>
      </c>
      <c r="C1840" s="41">
        <v>1059</v>
      </c>
      <c r="D1840" s="41" t="s">
        <v>1299</v>
      </c>
      <c r="E1840" s="41">
        <v>10590012</v>
      </c>
      <c r="F1840" s="85" t="s">
        <v>1372</v>
      </c>
      <c r="G1840" s="39" t="s">
        <v>92</v>
      </c>
      <c r="H1840" s="52" t="s">
        <v>93</v>
      </c>
      <c r="I1840" s="52">
        <v>1009.5999999999999</v>
      </c>
      <c r="J1840" s="49">
        <v>44858.069999999992</v>
      </c>
      <c r="K1840" s="58">
        <v>1009.8000000000001</v>
      </c>
      <c r="L1840" s="58">
        <v>44801.630000000005</v>
      </c>
      <c r="M1840" s="58">
        <v>0</v>
      </c>
      <c r="N1840" s="58">
        <v>0</v>
      </c>
      <c r="O1840" s="58">
        <v>1009.8000000000001</v>
      </c>
      <c r="P1840" s="53">
        <v>44801.630000000005</v>
      </c>
      <c r="Q1840" s="65">
        <v>44801.630000000005</v>
      </c>
      <c r="R1840" s="65">
        <v>0</v>
      </c>
      <c r="S1840" s="65">
        <v>0</v>
      </c>
      <c r="T1840" s="65">
        <v>0</v>
      </c>
      <c r="U1840" s="58">
        <v>0</v>
      </c>
      <c r="V1840" s="65">
        <v>0</v>
      </c>
      <c r="W1840" s="65">
        <v>0</v>
      </c>
      <c r="X1840" s="65">
        <v>44802</v>
      </c>
      <c r="Y1840" s="65">
        <v>0</v>
      </c>
      <c r="Z1840" s="51">
        <v>0</v>
      </c>
      <c r="AA1840" s="51">
        <v>56</v>
      </c>
      <c r="AB1840" s="102">
        <v>0</v>
      </c>
      <c r="AC1840" s="81">
        <f t="shared" si="87"/>
        <v>0</v>
      </c>
      <c r="AD1840" s="82">
        <f t="shared" si="88"/>
        <v>0</v>
      </c>
      <c r="AE1840" s="218">
        <v>1.2581905552331561E-3</v>
      </c>
      <c r="AF1840">
        <v>1</v>
      </c>
      <c r="AH1840" t="str">
        <f t="shared" si="89"/>
        <v>Gopalpur Bmc</v>
      </c>
      <c r="AJ1840" s="72">
        <v>0</v>
      </c>
      <c r="AK1840" s="72"/>
      <c r="AL1840" s="72"/>
      <c r="AM1840" s="72"/>
    </row>
    <row r="1841" spans="1:39" x14ac:dyDescent="0.25">
      <c r="A1841" s="37" t="s">
        <v>62</v>
      </c>
      <c r="B1841" s="66" t="s">
        <v>1638</v>
      </c>
      <c r="C1841" s="41">
        <v>1059</v>
      </c>
      <c r="D1841" s="41" t="s">
        <v>1299</v>
      </c>
      <c r="E1841" s="41">
        <v>10590013</v>
      </c>
      <c r="F1841" s="85" t="s">
        <v>1347</v>
      </c>
      <c r="G1841" s="39" t="s">
        <v>92</v>
      </c>
      <c r="H1841" s="52" t="s">
        <v>93</v>
      </c>
      <c r="I1841" s="52">
        <v>701.6</v>
      </c>
      <c r="J1841" s="49">
        <v>32231.210000000003</v>
      </c>
      <c r="K1841" s="58">
        <v>701.60000000000014</v>
      </c>
      <c r="L1841" s="58">
        <v>31373.9</v>
      </c>
      <c r="M1841" s="58">
        <v>0</v>
      </c>
      <c r="N1841" s="58">
        <v>0</v>
      </c>
      <c r="O1841" s="58">
        <v>701.60000000000014</v>
      </c>
      <c r="P1841" s="53">
        <v>31373.9</v>
      </c>
      <c r="Q1841" s="65">
        <v>31373.9</v>
      </c>
      <c r="R1841" s="65">
        <v>0</v>
      </c>
      <c r="S1841" s="65">
        <v>0</v>
      </c>
      <c r="T1841" s="65">
        <v>0</v>
      </c>
      <c r="U1841" s="58">
        <v>0</v>
      </c>
      <c r="V1841" s="65">
        <v>0</v>
      </c>
      <c r="W1841" s="65">
        <v>0</v>
      </c>
      <c r="X1841" s="65">
        <v>31374</v>
      </c>
      <c r="Y1841" s="65">
        <v>0</v>
      </c>
      <c r="Z1841" s="51">
        <v>0</v>
      </c>
      <c r="AA1841" s="51">
        <v>857</v>
      </c>
      <c r="AB1841" s="102">
        <v>0</v>
      </c>
      <c r="AC1841" s="81">
        <f t="shared" si="87"/>
        <v>0</v>
      </c>
      <c r="AD1841" s="82">
        <f t="shared" si="88"/>
        <v>0</v>
      </c>
      <c r="AE1841" s="218">
        <v>2.6598753196048215E-2</v>
      </c>
      <c r="AF1841">
        <v>1</v>
      </c>
      <c r="AH1841" t="str">
        <f t="shared" si="89"/>
        <v>Gopalpur Bmc</v>
      </c>
      <c r="AJ1841" s="72">
        <v>0</v>
      </c>
      <c r="AK1841" s="72"/>
      <c r="AL1841" s="72"/>
      <c r="AM1841" s="72"/>
    </row>
    <row r="1842" spans="1:39" x14ac:dyDescent="0.25">
      <c r="A1842" s="37" t="s">
        <v>62</v>
      </c>
      <c r="B1842" s="66" t="s">
        <v>1638</v>
      </c>
      <c r="C1842" s="41">
        <v>1059</v>
      </c>
      <c r="D1842" s="41" t="s">
        <v>1299</v>
      </c>
      <c r="E1842" s="41">
        <v>10590014</v>
      </c>
      <c r="F1842" s="85" t="s">
        <v>1443</v>
      </c>
      <c r="G1842" s="39" t="s">
        <v>92</v>
      </c>
      <c r="H1842" s="52" t="s">
        <v>93</v>
      </c>
      <c r="I1842" s="52">
        <v>798.5</v>
      </c>
      <c r="J1842" s="49">
        <v>37350.529999999992</v>
      </c>
      <c r="K1842" s="58">
        <v>795.90000000000009</v>
      </c>
      <c r="L1842" s="58">
        <v>37654.649999999994</v>
      </c>
      <c r="M1842" s="58">
        <v>0</v>
      </c>
      <c r="N1842" s="58">
        <v>0</v>
      </c>
      <c r="O1842" s="58">
        <v>795.90000000000009</v>
      </c>
      <c r="P1842" s="53">
        <v>37654.649999999994</v>
      </c>
      <c r="Q1842" s="65">
        <v>37350.529999999992</v>
      </c>
      <c r="R1842" s="65">
        <v>0</v>
      </c>
      <c r="S1842" s="65">
        <v>0</v>
      </c>
      <c r="T1842" s="65">
        <v>304.12000000000262</v>
      </c>
      <c r="U1842" s="58">
        <v>0</v>
      </c>
      <c r="V1842" s="65">
        <v>0</v>
      </c>
      <c r="W1842" s="65">
        <v>0</v>
      </c>
      <c r="X1842" s="65">
        <v>37351</v>
      </c>
      <c r="Y1842" s="65">
        <v>0</v>
      </c>
      <c r="Z1842" s="51">
        <v>0</v>
      </c>
      <c r="AA1842" s="51">
        <v>0</v>
      </c>
      <c r="AB1842" s="102">
        <v>0</v>
      </c>
      <c r="AC1842" s="81">
        <f t="shared" si="87"/>
        <v>0</v>
      </c>
      <c r="AD1842" s="82">
        <f t="shared" si="88"/>
        <v>0</v>
      </c>
      <c r="AE1842" s="218">
        <v>-8.1423208720198259E-3</v>
      </c>
      <c r="AF1842">
        <v>1</v>
      </c>
      <c r="AH1842" t="str">
        <f t="shared" si="89"/>
        <v>Gopalpur Bmc</v>
      </c>
      <c r="AJ1842" s="72">
        <v>0</v>
      </c>
      <c r="AK1842" s="72"/>
      <c r="AL1842" s="72"/>
      <c r="AM1842" s="72"/>
    </row>
    <row r="1843" spans="1:39" x14ac:dyDescent="0.25">
      <c r="A1843" s="37" t="s">
        <v>62</v>
      </c>
      <c r="B1843" s="66" t="s">
        <v>1638</v>
      </c>
      <c r="C1843" s="41">
        <v>1059</v>
      </c>
      <c r="D1843" s="41" t="s">
        <v>1299</v>
      </c>
      <c r="E1843" s="41">
        <v>10590016</v>
      </c>
      <c r="F1843" s="85" t="s">
        <v>1470</v>
      </c>
      <c r="G1843" s="39" t="s">
        <v>1610</v>
      </c>
      <c r="H1843" s="52" t="s">
        <v>98</v>
      </c>
      <c r="I1843" s="52">
        <v>395.2</v>
      </c>
      <c r="J1843" s="49">
        <v>19416.779999999995</v>
      </c>
      <c r="K1843" s="58">
        <v>0</v>
      </c>
      <c r="L1843" s="58">
        <v>0</v>
      </c>
      <c r="M1843" s="58">
        <v>0</v>
      </c>
      <c r="N1843" s="58">
        <v>0</v>
      </c>
      <c r="O1843" s="58">
        <v>0</v>
      </c>
      <c r="P1843" s="53">
        <v>0</v>
      </c>
      <c r="Q1843" s="65">
        <v>19416.779999999995</v>
      </c>
      <c r="R1843" s="65">
        <v>0</v>
      </c>
      <c r="S1843" s="65">
        <v>0</v>
      </c>
      <c r="T1843" s="65">
        <v>0</v>
      </c>
      <c r="U1843" s="58">
        <v>0</v>
      </c>
      <c r="V1843" s="65">
        <v>0</v>
      </c>
      <c r="W1843" s="65">
        <v>0</v>
      </c>
      <c r="X1843" s="65">
        <v>0</v>
      </c>
      <c r="Y1843" s="65">
        <v>0</v>
      </c>
      <c r="Z1843" s="51">
        <v>19416.779999999995</v>
      </c>
      <c r="AA1843" s="51">
        <v>0</v>
      </c>
      <c r="AB1843" s="102">
        <v>0</v>
      </c>
      <c r="AC1843" s="81">
        <f t="shared" si="87"/>
        <v>299.50579676113358</v>
      </c>
      <c r="AD1843" s="82">
        <f t="shared" si="88"/>
        <v>56.457142857142856</v>
      </c>
      <c r="AE1843" s="218">
        <v>0</v>
      </c>
      <c r="AF1843">
        <v>0</v>
      </c>
      <c r="AH1843" t="str">
        <f t="shared" si="89"/>
        <v>Gopalpur Bmc</v>
      </c>
      <c r="AJ1843" s="72">
        <v>0</v>
      </c>
      <c r="AK1843" s="72"/>
      <c r="AL1843" s="72"/>
      <c r="AM1843" s="72"/>
    </row>
    <row r="1844" spans="1:39" x14ac:dyDescent="0.25">
      <c r="A1844" s="37" t="s">
        <v>62</v>
      </c>
      <c r="B1844" s="66" t="s">
        <v>1638</v>
      </c>
      <c r="C1844" s="41">
        <v>1014</v>
      </c>
      <c r="D1844" s="41" t="s">
        <v>368</v>
      </c>
      <c r="E1844" s="41">
        <v>10600002</v>
      </c>
      <c r="F1844" s="85" t="s">
        <v>1323</v>
      </c>
      <c r="G1844" s="39" t="s">
        <v>92</v>
      </c>
      <c r="H1844" s="52" t="s">
        <v>93</v>
      </c>
      <c r="I1844" s="52">
        <v>567</v>
      </c>
      <c r="J1844" s="49">
        <v>21359.279999999999</v>
      </c>
      <c r="K1844" s="58">
        <v>561.18000000000006</v>
      </c>
      <c r="L1844" s="58">
        <v>21352.670000000002</v>
      </c>
      <c r="M1844" s="58">
        <v>0</v>
      </c>
      <c r="N1844" s="58">
        <v>0</v>
      </c>
      <c r="O1844" s="58">
        <v>561.18000000000006</v>
      </c>
      <c r="P1844" s="53">
        <v>21352.670000000002</v>
      </c>
      <c r="Q1844" s="65">
        <v>21352.670000000002</v>
      </c>
      <c r="R1844" s="65">
        <v>0</v>
      </c>
      <c r="S1844" s="65">
        <v>0</v>
      </c>
      <c r="T1844" s="65">
        <v>0</v>
      </c>
      <c r="U1844" s="58">
        <v>0</v>
      </c>
      <c r="V1844" s="65">
        <v>0</v>
      </c>
      <c r="W1844" s="65">
        <v>0</v>
      </c>
      <c r="X1844" s="65">
        <v>21353</v>
      </c>
      <c r="Y1844" s="65">
        <v>0</v>
      </c>
      <c r="Z1844" s="51">
        <v>0</v>
      </c>
      <c r="AA1844" s="51">
        <v>6</v>
      </c>
      <c r="AB1844" s="102">
        <v>0</v>
      </c>
      <c r="AC1844" s="81">
        <f t="shared" si="87"/>
        <v>100.20402962962963</v>
      </c>
      <c r="AD1844" s="82">
        <f t="shared" si="88"/>
        <v>81</v>
      </c>
      <c r="AE1844" s="218">
        <v>3.0946736032286411E-4</v>
      </c>
      <c r="AF1844">
        <v>1</v>
      </c>
      <c r="AH1844" t="str">
        <f t="shared" si="89"/>
        <v>Dumraon</v>
      </c>
      <c r="AJ1844" s="72">
        <v>0</v>
      </c>
      <c r="AK1844" s="72"/>
      <c r="AL1844" s="72"/>
      <c r="AM1844" s="72"/>
    </row>
    <row r="1845" spans="1:39" x14ac:dyDescent="0.25">
      <c r="A1845" s="37" t="s">
        <v>62</v>
      </c>
      <c r="B1845" s="66" t="s">
        <v>1638</v>
      </c>
      <c r="C1845" s="41">
        <v>1014</v>
      </c>
      <c r="D1845" s="41" t="s">
        <v>368</v>
      </c>
      <c r="E1845" s="41">
        <v>10600004</v>
      </c>
      <c r="F1845" s="85" t="s">
        <v>1324</v>
      </c>
      <c r="G1845" s="39" t="s">
        <v>92</v>
      </c>
      <c r="H1845" s="52" t="s">
        <v>93</v>
      </c>
      <c r="I1845" s="52">
        <v>211.29999999999998</v>
      </c>
      <c r="J1845" s="49">
        <v>8632.73</v>
      </c>
      <c r="K1845" s="58">
        <v>211.85</v>
      </c>
      <c r="L1845" s="58">
        <v>9437.27</v>
      </c>
      <c r="M1845" s="58">
        <v>0</v>
      </c>
      <c r="N1845" s="58">
        <v>0</v>
      </c>
      <c r="O1845" s="58">
        <v>211.85</v>
      </c>
      <c r="P1845" s="53">
        <v>9437.27</v>
      </c>
      <c r="Q1845" s="65">
        <v>8632.73</v>
      </c>
      <c r="R1845" s="65">
        <v>0</v>
      </c>
      <c r="S1845" s="65">
        <v>0</v>
      </c>
      <c r="T1845" s="65">
        <v>804.54000000000087</v>
      </c>
      <c r="U1845" s="58">
        <v>0</v>
      </c>
      <c r="V1845" s="65">
        <v>0</v>
      </c>
      <c r="W1845" s="65">
        <v>0</v>
      </c>
      <c r="X1845" s="65">
        <v>8633</v>
      </c>
      <c r="Y1845" s="65">
        <v>0</v>
      </c>
      <c r="Z1845" s="51">
        <v>0</v>
      </c>
      <c r="AA1845" s="51">
        <v>0</v>
      </c>
      <c r="AB1845" s="102">
        <v>0</v>
      </c>
      <c r="AC1845" s="81">
        <f t="shared" si="87"/>
        <v>399.31993857075258</v>
      </c>
      <c r="AD1845" s="82">
        <f t="shared" si="88"/>
        <v>30.185714285714283</v>
      </c>
      <c r="AE1845" s="218">
        <v>-9.319647434820745E-2</v>
      </c>
      <c r="AF1845">
        <v>2</v>
      </c>
      <c r="AH1845" t="str">
        <f t="shared" si="89"/>
        <v>Dumraon</v>
      </c>
      <c r="AJ1845" s="72">
        <v>0</v>
      </c>
      <c r="AK1845" s="72"/>
      <c r="AL1845" s="72"/>
      <c r="AM1845" s="72"/>
    </row>
    <row r="1846" spans="1:39" x14ac:dyDescent="0.25">
      <c r="A1846" s="37" t="s">
        <v>62</v>
      </c>
      <c r="B1846" s="66" t="s">
        <v>1638</v>
      </c>
      <c r="C1846" s="41">
        <v>1014</v>
      </c>
      <c r="D1846" s="41" t="s">
        <v>368</v>
      </c>
      <c r="E1846" s="41">
        <v>10600005</v>
      </c>
      <c r="F1846" s="85" t="s">
        <v>1335</v>
      </c>
      <c r="G1846" s="39" t="s">
        <v>92</v>
      </c>
      <c r="H1846" s="52" t="s">
        <v>93</v>
      </c>
      <c r="I1846" s="52">
        <v>159.1</v>
      </c>
      <c r="J1846" s="49">
        <v>6107.17</v>
      </c>
      <c r="K1846" s="58">
        <v>158.01999999999998</v>
      </c>
      <c r="L1846" s="58">
        <v>6071.4499999999989</v>
      </c>
      <c r="M1846" s="58">
        <v>0.76</v>
      </c>
      <c r="N1846" s="58">
        <v>26.68</v>
      </c>
      <c r="O1846" s="58">
        <v>158.77999999999997</v>
      </c>
      <c r="P1846" s="53">
        <v>6098.1299999999992</v>
      </c>
      <c r="Q1846" s="65">
        <v>6098.1299999999992</v>
      </c>
      <c r="R1846" s="65">
        <v>0</v>
      </c>
      <c r="S1846" s="65">
        <v>26.68</v>
      </c>
      <c r="T1846" s="65">
        <v>0</v>
      </c>
      <c r="U1846" s="58">
        <v>0</v>
      </c>
      <c r="V1846" s="65">
        <v>0</v>
      </c>
      <c r="W1846" s="65">
        <v>0</v>
      </c>
      <c r="X1846" s="65">
        <v>6071</v>
      </c>
      <c r="Y1846" s="65">
        <v>0</v>
      </c>
      <c r="Z1846" s="51">
        <v>0</v>
      </c>
      <c r="AA1846" s="51">
        <v>9</v>
      </c>
      <c r="AB1846" s="102">
        <v>0</v>
      </c>
      <c r="AC1846" s="81">
        <f t="shared" si="87"/>
        <v>415.2568514142049</v>
      </c>
      <c r="AD1846" s="82">
        <f t="shared" si="88"/>
        <v>22.728571428571428</v>
      </c>
      <c r="AE1846" s="218">
        <v>1.4802273393406231E-3</v>
      </c>
      <c r="AF1846">
        <v>2</v>
      </c>
      <c r="AH1846" t="str">
        <f t="shared" si="89"/>
        <v>Dumraon</v>
      </c>
      <c r="AJ1846" s="72">
        <v>0</v>
      </c>
      <c r="AK1846" s="72"/>
      <c r="AL1846" s="72"/>
      <c r="AM1846" s="72"/>
    </row>
    <row r="1847" spans="1:39" x14ac:dyDescent="0.25">
      <c r="A1847" s="37" t="s">
        <v>62</v>
      </c>
      <c r="B1847" s="66" t="s">
        <v>1638</v>
      </c>
      <c r="C1847" s="41">
        <v>1014</v>
      </c>
      <c r="D1847" s="41" t="s">
        <v>368</v>
      </c>
      <c r="E1847" s="41">
        <v>10600006</v>
      </c>
      <c r="F1847" s="85" t="s">
        <v>1325</v>
      </c>
      <c r="G1847" s="39" t="s">
        <v>92</v>
      </c>
      <c r="H1847" s="52" t="s">
        <v>93</v>
      </c>
      <c r="I1847" s="52">
        <v>31.3</v>
      </c>
      <c r="J1847" s="49">
        <v>1257.04</v>
      </c>
      <c r="K1847" s="58">
        <v>31.340000000000003</v>
      </c>
      <c r="L1847" s="58">
        <v>1170.55</v>
      </c>
      <c r="M1847" s="58">
        <v>0</v>
      </c>
      <c r="N1847" s="58">
        <v>0</v>
      </c>
      <c r="O1847" s="58">
        <v>31.340000000000003</v>
      </c>
      <c r="P1847" s="53">
        <v>1170.55</v>
      </c>
      <c r="Q1847" s="65">
        <v>1170.55</v>
      </c>
      <c r="R1847" s="65">
        <v>0</v>
      </c>
      <c r="S1847" s="65">
        <v>0</v>
      </c>
      <c r="T1847" s="65">
        <v>0</v>
      </c>
      <c r="U1847" s="58">
        <v>0</v>
      </c>
      <c r="V1847" s="65">
        <v>0</v>
      </c>
      <c r="W1847" s="65">
        <v>0</v>
      </c>
      <c r="X1847" s="65">
        <v>1171</v>
      </c>
      <c r="Y1847" s="65">
        <v>0</v>
      </c>
      <c r="Z1847" s="51">
        <v>0</v>
      </c>
      <c r="AA1847" s="51">
        <v>86</v>
      </c>
      <c r="AB1847" s="102">
        <v>0</v>
      </c>
      <c r="AC1847" s="81">
        <f t="shared" si="87"/>
        <v>537.11351309904148</v>
      </c>
      <c r="AD1847" s="82">
        <f t="shared" si="88"/>
        <v>4.4714285714285715</v>
      </c>
      <c r="AE1847" s="218">
        <v>6.8804493094889591E-2</v>
      </c>
      <c r="AF1847">
        <v>1</v>
      </c>
      <c r="AH1847" t="str">
        <f t="shared" si="89"/>
        <v>Dumraon</v>
      </c>
      <c r="AJ1847" s="72">
        <v>0</v>
      </c>
      <c r="AK1847" s="72"/>
      <c r="AL1847" s="72"/>
      <c r="AM1847" s="72"/>
    </row>
    <row r="1848" spans="1:39" x14ac:dyDescent="0.25">
      <c r="A1848" s="37" t="s">
        <v>62</v>
      </c>
      <c r="B1848" s="66" t="s">
        <v>1638</v>
      </c>
      <c r="C1848" s="41">
        <v>1014</v>
      </c>
      <c r="D1848" s="41" t="s">
        <v>368</v>
      </c>
      <c r="E1848" s="41">
        <v>10600008</v>
      </c>
      <c r="F1848" s="85" t="s">
        <v>1326</v>
      </c>
      <c r="G1848" s="39" t="s">
        <v>92</v>
      </c>
      <c r="H1848" s="52" t="s">
        <v>93</v>
      </c>
      <c r="I1848" s="52">
        <v>94.9</v>
      </c>
      <c r="J1848" s="49">
        <v>3439.7200000000003</v>
      </c>
      <c r="K1848" s="58">
        <v>95.8</v>
      </c>
      <c r="L1848" s="58">
        <v>3435.39</v>
      </c>
      <c r="M1848" s="58">
        <v>0</v>
      </c>
      <c r="N1848" s="58">
        <v>0</v>
      </c>
      <c r="O1848" s="58">
        <v>95.8</v>
      </c>
      <c r="P1848" s="53">
        <v>3435.39</v>
      </c>
      <c r="Q1848" s="65">
        <v>3435.39</v>
      </c>
      <c r="R1848" s="65">
        <v>0</v>
      </c>
      <c r="S1848" s="65">
        <v>0</v>
      </c>
      <c r="T1848" s="65">
        <v>0</v>
      </c>
      <c r="U1848" s="58">
        <v>0</v>
      </c>
      <c r="V1848" s="65">
        <v>500</v>
      </c>
      <c r="W1848" s="65">
        <v>0</v>
      </c>
      <c r="X1848" s="65">
        <v>2935</v>
      </c>
      <c r="Y1848" s="65">
        <v>0</v>
      </c>
      <c r="Z1848" s="51">
        <v>0</v>
      </c>
      <c r="AA1848" s="51">
        <v>5</v>
      </c>
      <c r="AB1848" s="102">
        <v>0</v>
      </c>
      <c r="AC1848" s="81">
        <f t="shared" si="87"/>
        <v>438.64585289778705</v>
      </c>
      <c r="AD1848" s="82">
        <f t="shared" si="88"/>
        <v>13.557142857142859</v>
      </c>
      <c r="AE1848" s="218">
        <v>1.2588233926018343E-3</v>
      </c>
      <c r="AF1848">
        <v>1</v>
      </c>
      <c r="AH1848" t="str">
        <f t="shared" si="89"/>
        <v>Dumraon</v>
      </c>
      <c r="AJ1848" s="72">
        <v>500</v>
      </c>
      <c r="AK1848" s="72"/>
      <c r="AL1848" s="72"/>
      <c r="AM1848" s="72"/>
    </row>
    <row r="1849" spans="1:39" x14ac:dyDescent="0.25">
      <c r="A1849" s="37" t="s">
        <v>62</v>
      </c>
      <c r="B1849" s="66" t="s">
        <v>1638</v>
      </c>
      <c r="C1849" s="41">
        <v>1014</v>
      </c>
      <c r="D1849" s="41" t="s">
        <v>368</v>
      </c>
      <c r="E1849" s="41">
        <v>10600009</v>
      </c>
      <c r="F1849" s="85" t="s">
        <v>1327</v>
      </c>
      <c r="G1849" s="39" t="s">
        <v>92</v>
      </c>
      <c r="H1849" s="52" t="s">
        <v>93</v>
      </c>
      <c r="I1849" s="52">
        <v>50.999999999999993</v>
      </c>
      <c r="J1849" s="49">
        <v>1861.96</v>
      </c>
      <c r="K1849" s="58">
        <v>50.22</v>
      </c>
      <c r="L1849" s="58">
        <v>1860.6299999999999</v>
      </c>
      <c r="M1849" s="58">
        <v>0</v>
      </c>
      <c r="N1849" s="58">
        <v>0</v>
      </c>
      <c r="O1849" s="58">
        <v>50.22</v>
      </c>
      <c r="P1849" s="53">
        <v>1860.6299999999999</v>
      </c>
      <c r="Q1849" s="65">
        <v>1860.6299999999999</v>
      </c>
      <c r="R1849" s="65">
        <v>0</v>
      </c>
      <c r="S1849" s="65">
        <v>0</v>
      </c>
      <c r="T1849" s="65">
        <v>0</v>
      </c>
      <c r="U1849" s="58">
        <v>0</v>
      </c>
      <c r="V1849" s="65">
        <v>0</v>
      </c>
      <c r="W1849" s="65">
        <v>0</v>
      </c>
      <c r="X1849" s="65">
        <v>1861</v>
      </c>
      <c r="Y1849" s="65">
        <v>0</v>
      </c>
      <c r="Z1849" s="51">
        <v>0</v>
      </c>
      <c r="AA1849" s="51">
        <v>1</v>
      </c>
      <c r="AB1849" s="102">
        <v>0</v>
      </c>
      <c r="AC1849" s="81">
        <f t="shared" si="87"/>
        <v>473.88707450980399</v>
      </c>
      <c r="AD1849" s="82">
        <f t="shared" si="88"/>
        <v>7.2857142857142847</v>
      </c>
      <c r="AE1849" s="218">
        <v>7.1430105909909701E-4</v>
      </c>
      <c r="AF1849">
        <v>1</v>
      </c>
      <c r="AH1849" t="str">
        <f t="shared" si="89"/>
        <v>Dumraon</v>
      </c>
      <c r="AJ1849" s="72">
        <v>0</v>
      </c>
      <c r="AK1849" s="72"/>
      <c r="AL1849" s="72"/>
      <c r="AM1849" s="72"/>
    </row>
    <row r="1850" spans="1:39" x14ac:dyDescent="0.25">
      <c r="A1850" s="37" t="s">
        <v>62</v>
      </c>
      <c r="B1850" s="66" t="s">
        <v>1638</v>
      </c>
      <c r="C1850" s="41">
        <v>1014</v>
      </c>
      <c r="D1850" s="41" t="s">
        <v>368</v>
      </c>
      <c r="E1850" s="41">
        <v>10600012</v>
      </c>
      <c r="F1850" s="85" t="s">
        <v>1394</v>
      </c>
      <c r="G1850" s="39" t="s">
        <v>92</v>
      </c>
      <c r="H1850" s="52" t="s">
        <v>93</v>
      </c>
      <c r="I1850" s="52">
        <v>286</v>
      </c>
      <c r="J1850" s="49">
        <v>11463.089999999997</v>
      </c>
      <c r="K1850" s="58">
        <v>306.81999999999994</v>
      </c>
      <c r="L1850" s="58">
        <v>12285.490000000007</v>
      </c>
      <c r="M1850" s="58">
        <v>0</v>
      </c>
      <c r="N1850" s="58">
        <v>0</v>
      </c>
      <c r="O1850" s="58">
        <v>306.81999999999994</v>
      </c>
      <c r="P1850" s="53">
        <v>12285.490000000007</v>
      </c>
      <c r="Q1850" s="65">
        <v>11463.089999999997</v>
      </c>
      <c r="R1850" s="65">
        <v>0</v>
      </c>
      <c r="S1850" s="65">
        <v>0</v>
      </c>
      <c r="T1850" s="65">
        <v>822.40000000001055</v>
      </c>
      <c r="U1850" s="58">
        <v>0</v>
      </c>
      <c r="V1850" s="65">
        <v>0</v>
      </c>
      <c r="W1850" s="65">
        <v>0</v>
      </c>
      <c r="X1850" s="65">
        <v>11463</v>
      </c>
      <c r="Y1850" s="65">
        <v>0</v>
      </c>
      <c r="Z1850" s="51">
        <v>0</v>
      </c>
      <c r="AA1850" s="51">
        <v>0</v>
      </c>
      <c r="AB1850" s="102">
        <v>0</v>
      </c>
      <c r="AC1850" s="81">
        <f t="shared" si="87"/>
        <v>331.86847972027959</v>
      </c>
      <c r="AD1850" s="82">
        <f t="shared" si="88"/>
        <v>40.857142857142854</v>
      </c>
      <c r="AE1850" s="218">
        <v>-7.1743308305178694E-2</v>
      </c>
      <c r="AF1850">
        <v>3</v>
      </c>
      <c r="AH1850" t="str">
        <f t="shared" si="89"/>
        <v>Dumraon</v>
      </c>
      <c r="AJ1850" s="72">
        <v>0</v>
      </c>
      <c r="AK1850" s="72"/>
      <c r="AL1850" s="72"/>
      <c r="AM1850" s="72"/>
    </row>
    <row r="1851" spans="1:39" x14ac:dyDescent="0.25">
      <c r="A1851" s="37" t="s">
        <v>62</v>
      </c>
      <c r="B1851" s="66" t="s">
        <v>1638</v>
      </c>
      <c r="C1851" s="41">
        <v>1061</v>
      </c>
      <c r="D1851" s="41" t="s">
        <v>1388</v>
      </c>
      <c r="E1851" s="41">
        <v>10610001</v>
      </c>
      <c r="F1851" s="85" t="s">
        <v>1395</v>
      </c>
      <c r="G1851" s="39" t="s">
        <v>92</v>
      </c>
      <c r="H1851" s="52" t="s">
        <v>93</v>
      </c>
      <c r="I1851" s="52">
        <v>652.40000000000009</v>
      </c>
      <c r="J1851" s="49">
        <v>29921.079999999994</v>
      </c>
      <c r="K1851" s="58">
        <v>673.89999999999986</v>
      </c>
      <c r="L1851" s="58">
        <v>30874.07</v>
      </c>
      <c r="M1851" s="58">
        <v>3.3</v>
      </c>
      <c r="N1851" s="58">
        <v>172.57999999999998</v>
      </c>
      <c r="O1851" s="58">
        <v>677.19999999999982</v>
      </c>
      <c r="P1851" s="53">
        <v>31046.65</v>
      </c>
      <c r="Q1851" s="65">
        <v>29921.079999999994</v>
      </c>
      <c r="R1851" s="65">
        <v>0</v>
      </c>
      <c r="S1851" s="65">
        <v>172.57999999999998</v>
      </c>
      <c r="T1851" s="65">
        <v>1125.570000000007</v>
      </c>
      <c r="U1851" s="58">
        <v>0</v>
      </c>
      <c r="V1851" s="65">
        <v>0</v>
      </c>
      <c r="W1851" s="65">
        <v>0</v>
      </c>
      <c r="X1851" s="65">
        <v>29748</v>
      </c>
      <c r="Y1851" s="65">
        <v>0</v>
      </c>
      <c r="Z1851" s="51">
        <v>0</v>
      </c>
      <c r="AA1851" s="51">
        <v>0</v>
      </c>
      <c r="AB1851" s="102">
        <v>0</v>
      </c>
      <c r="AC1851" s="81">
        <f t="shared" si="87"/>
        <v>43.66166180257499</v>
      </c>
      <c r="AD1851" s="82">
        <f t="shared" si="88"/>
        <v>93.200000000000017</v>
      </c>
      <c r="AE1851" s="218">
        <v>-3.7617960314266972E-2</v>
      </c>
      <c r="AF1851">
        <v>8</v>
      </c>
      <c r="AH1851" t="str">
        <f t="shared" si="89"/>
        <v>Mahua BMC</v>
      </c>
      <c r="AJ1851" s="72">
        <v>0</v>
      </c>
      <c r="AK1851" s="72"/>
      <c r="AL1851" s="72"/>
      <c r="AM1851" s="72"/>
    </row>
    <row r="1852" spans="1:39" x14ac:dyDescent="0.25">
      <c r="A1852" s="37" t="s">
        <v>62</v>
      </c>
      <c r="B1852" s="66" t="s">
        <v>1638</v>
      </c>
      <c r="C1852" s="41">
        <v>1061</v>
      </c>
      <c r="D1852" s="41" t="s">
        <v>1388</v>
      </c>
      <c r="E1852" s="41">
        <v>10610002</v>
      </c>
      <c r="F1852" s="85" t="s">
        <v>1328</v>
      </c>
      <c r="G1852" s="39" t="s">
        <v>92</v>
      </c>
      <c r="H1852" s="52" t="s">
        <v>93</v>
      </c>
      <c r="I1852" s="52">
        <v>355.8</v>
      </c>
      <c r="J1852" s="49">
        <v>16986.100000000002</v>
      </c>
      <c r="K1852" s="58">
        <v>359.5</v>
      </c>
      <c r="L1852" s="58">
        <v>17769.59</v>
      </c>
      <c r="M1852" s="58">
        <v>0</v>
      </c>
      <c r="N1852" s="58">
        <v>0</v>
      </c>
      <c r="O1852" s="58">
        <v>359.5</v>
      </c>
      <c r="P1852" s="53">
        <v>17769.59</v>
      </c>
      <c r="Q1852" s="65">
        <v>16986.100000000002</v>
      </c>
      <c r="R1852" s="65">
        <v>0</v>
      </c>
      <c r="S1852" s="65">
        <v>0</v>
      </c>
      <c r="T1852" s="65">
        <v>783.48999999999796</v>
      </c>
      <c r="U1852" s="58">
        <v>0</v>
      </c>
      <c r="V1852" s="65">
        <v>0</v>
      </c>
      <c r="W1852" s="65">
        <v>0</v>
      </c>
      <c r="X1852" s="65">
        <v>16986</v>
      </c>
      <c r="Y1852" s="65">
        <v>0</v>
      </c>
      <c r="Z1852" s="51">
        <v>0</v>
      </c>
      <c r="AA1852" s="51">
        <v>0</v>
      </c>
      <c r="AB1852" s="102">
        <v>0</v>
      </c>
      <c r="AC1852" s="81">
        <f t="shared" si="87"/>
        <v>328.64618437324339</v>
      </c>
      <c r="AD1852" s="82">
        <f t="shared" si="88"/>
        <v>50.828571428571429</v>
      </c>
      <c r="AE1852" s="218">
        <v>-4.612536132484784E-2</v>
      </c>
      <c r="AF1852">
        <v>9</v>
      </c>
      <c r="AH1852" t="str">
        <f t="shared" si="89"/>
        <v>Mahua BMC</v>
      </c>
      <c r="AJ1852" s="72">
        <v>0</v>
      </c>
      <c r="AK1852" s="72"/>
      <c r="AL1852" s="72"/>
      <c r="AM1852" s="72"/>
    </row>
    <row r="1853" spans="1:39" x14ac:dyDescent="0.25">
      <c r="A1853" s="37" t="s">
        <v>62</v>
      </c>
      <c r="B1853" s="66" t="s">
        <v>1638</v>
      </c>
      <c r="C1853" s="41">
        <v>1061</v>
      </c>
      <c r="D1853" s="41" t="s">
        <v>1388</v>
      </c>
      <c r="E1853" s="41">
        <v>10610003</v>
      </c>
      <c r="F1853" s="85" t="s">
        <v>1396</v>
      </c>
      <c r="G1853" s="39" t="s">
        <v>92</v>
      </c>
      <c r="H1853" s="52" t="s">
        <v>93</v>
      </c>
      <c r="I1853" s="52">
        <v>244.90000000000003</v>
      </c>
      <c r="J1853" s="49">
        <v>9665.7899999999991</v>
      </c>
      <c r="K1853" s="58">
        <v>231</v>
      </c>
      <c r="L1853" s="58">
        <v>9240.2100000000009</v>
      </c>
      <c r="M1853" s="58">
        <v>0</v>
      </c>
      <c r="N1853" s="58">
        <v>0</v>
      </c>
      <c r="O1853" s="58">
        <v>231</v>
      </c>
      <c r="P1853" s="53">
        <v>9240.2100000000009</v>
      </c>
      <c r="Q1853" s="65">
        <v>9240.2100000000009</v>
      </c>
      <c r="R1853" s="65">
        <v>0</v>
      </c>
      <c r="S1853" s="65">
        <v>0</v>
      </c>
      <c r="T1853" s="65">
        <v>0</v>
      </c>
      <c r="U1853" s="58">
        <v>0</v>
      </c>
      <c r="V1853" s="65">
        <v>0</v>
      </c>
      <c r="W1853" s="65">
        <v>0</v>
      </c>
      <c r="X1853" s="65">
        <v>9240</v>
      </c>
      <c r="Y1853" s="65">
        <v>0</v>
      </c>
      <c r="Z1853" s="51">
        <v>0</v>
      </c>
      <c r="AA1853" s="51">
        <v>426</v>
      </c>
      <c r="AB1853" s="102">
        <v>0</v>
      </c>
      <c r="AC1853" s="81">
        <f t="shared" si="87"/>
        <v>359.2405903634135</v>
      </c>
      <c r="AD1853" s="82">
        <f t="shared" si="88"/>
        <v>34.985714285714288</v>
      </c>
      <c r="AE1853" s="218">
        <v>4.4029510262482231E-2</v>
      </c>
      <c r="AF1853">
        <v>3</v>
      </c>
      <c r="AH1853" t="str">
        <f t="shared" si="89"/>
        <v>Mahua BMC</v>
      </c>
      <c r="AJ1853" s="72">
        <v>0</v>
      </c>
      <c r="AK1853" s="72"/>
      <c r="AL1853" s="72"/>
      <c r="AM1853" s="72"/>
    </row>
    <row r="1854" spans="1:39" x14ac:dyDescent="0.25">
      <c r="A1854" s="37" t="s">
        <v>62</v>
      </c>
      <c r="B1854" s="66" t="s">
        <v>1638</v>
      </c>
      <c r="C1854" s="41">
        <v>1061</v>
      </c>
      <c r="D1854" s="41" t="s">
        <v>1388</v>
      </c>
      <c r="E1854" s="41">
        <v>10610004</v>
      </c>
      <c r="F1854" s="85" t="s">
        <v>1397</v>
      </c>
      <c r="G1854" s="39" t="s">
        <v>92</v>
      </c>
      <c r="H1854" s="52" t="s">
        <v>93</v>
      </c>
      <c r="I1854" s="52">
        <v>372.2</v>
      </c>
      <c r="J1854" s="49">
        <v>16566.579999999998</v>
      </c>
      <c r="K1854" s="58">
        <v>393.6</v>
      </c>
      <c r="L1854" s="58">
        <v>17874.589999999997</v>
      </c>
      <c r="M1854" s="58">
        <v>8.4</v>
      </c>
      <c r="N1854" s="58">
        <v>298.87</v>
      </c>
      <c r="O1854" s="58">
        <v>402</v>
      </c>
      <c r="P1854" s="53">
        <v>18173.459999999995</v>
      </c>
      <c r="Q1854" s="65">
        <v>16566.579999999998</v>
      </c>
      <c r="R1854" s="65">
        <v>0</v>
      </c>
      <c r="S1854" s="65">
        <v>298.87</v>
      </c>
      <c r="T1854" s="65">
        <v>1606.8799999999974</v>
      </c>
      <c r="U1854" s="58">
        <v>7264</v>
      </c>
      <c r="V1854" s="65">
        <v>0</v>
      </c>
      <c r="W1854" s="65">
        <v>0</v>
      </c>
      <c r="X1854" s="65">
        <v>9004</v>
      </c>
      <c r="Y1854" s="65">
        <v>0</v>
      </c>
      <c r="Z1854" s="51">
        <v>0</v>
      </c>
      <c r="AA1854" s="51">
        <v>0</v>
      </c>
      <c r="AB1854" s="102">
        <v>0</v>
      </c>
      <c r="AC1854" s="81">
        <f t="shared" si="87"/>
        <v>291.8068202041913</v>
      </c>
      <c r="AD1854" s="82">
        <f t="shared" si="88"/>
        <v>53.171428571428571</v>
      </c>
      <c r="AE1854" s="218">
        <v>-9.6995276031624972E-2</v>
      </c>
      <c r="AF1854">
        <v>9</v>
      </c>
      <c r="AH1854" t="str">
        <f t="shared" si="89"/>
        <v>Mahua BMC</v>
      </c>
      <c r="AJ1854" s="72">
        <v>0</v>
      </c>
      <c r="AK1854" s="72"/>
      <c r="AL1854" s="72"/>
      <c r="AM1854" s="72"/>
    </row>
    <row r="1855" spans="1:39" x14ac:dyDescent="0.25">
      <c r="A1855" s="37" t="s">
        <v>62</v>
      </c>
      <c r="B1855" s="66" t="s">
        <v>1638</v>
      </c>
      <c r="C1855" s="41">
        <v>1061</v>
      </c>
      <c r="D1855" s="41" t="s">
        <v>1388</v>
      </c>
      <c r="E1855" s="41">
        <v>10610005</v>
      </c>
      <c r="F1855" s="85" t="s">
        <v>456</v>
      </c>
      <c r="G1855" s="39" t="s">
        <v>92</v>
      </c>
      <c r="H1855" s="52" t="s">
        <v>93</v>
      </c>
      <c r="I1855" s="52">
        <v>876.5</v>
      </c>
      <c r="J1855" s="49">
        <v>39337.26</v>
      </c>
      <c r="K1855" s="58">
        <v>913.8</v>
      </c>
      <c r="L1855" s="58">
        <v>39592.789999999994</v>
      </c>
      <c r="M1855" s="58">
        <v>0</v>
      </c>
      <c r="N1855" s="58">
        <v>0</v>
      </c>
      <c r="O1855" s="58">
        <v>913.8</v>
      </c>
      <c r="P1855" s="53">
        <v>39592.789999999994</v>
      </c>
      <c r="Q1855" s="65">
        <v>39337.26</v>
      </c>
      <c r="R1855" s="65">
        <v>0</v>
      </c>
      <c r="S1855" s="65">
        <v>0</v>
      </c>
      <c r="T1855" s="65">
        <v>255.52999999999156</v>
      </c>
      <c r="U1855" s="58">
        <v>0</v>
      </c>
      <c r="V1855" s="65">
        <v>0</v>
      </c>
      <c r="W1855" s="65">
        <v>0</v>
      </c>
      <c r="X1855" s="65">
        <v>39337</v>
      </c>
      <c r="Y1855" s="65">
        <v>0</v>
      </c>
      <c r="Z1855" s="51">
        <v>0</v>
      </c>
      <c r="AA1855" s="51">
        <v>0</v>
      </c>
      <c r="AB1855" s="102">
        <v>0</v>
      </c>
      <c r="AC1855" s="81">
        <f t="shared" si="87"/>
        <v>0</v>
      </c>
      <c r="AD1855" s="82">
        <f t="shared" si="88"/>
        <v>0</v>
      </c>
      <c r="AE1855" s="218">
        <v>-6.4958769370309869E-3</v>
      </c>
      <c r="AF1855">
        <v>6</v>
      </c>
      <c r="AH1855" t="str">
        <f t="shared" si="89"/>
        <v>Mahua BMC</v>
      </c>
      <c r="AJ1855" s="72">
        <v>0</v>
      </c>
      <c r="AK1855" s="72"/>
      <c r="AL1855" s="72"/>
      <c r="AM1855" s="72"/>
    </row>
    <row r="1856" spans="1:39" x14ac:dyDescent="0.25">
      <c r="A1856" s="37" t="s">
        <v>62</v>
      </c>
      <c r="B1856" s="66" t="s">
        <v>1638</v>
      </c>
      <c r="C1856" s="41">
        <v>1061</v>
      </c>
      <c r="D1856" s="41" t="s">
        <v>1388</v>
      </c>
      <c r="E1856" s="41">
        <v>10610006</v>
      </c>
      <c r="F1856" s="85" t="s">
        <v>1329</v>
      </c>
      <c r="G1856" s="39" t="s">
        <v>92</v>
      </c>
      <c r="H1856" s="52" t="s">
        <v>93</v>
      </c>
      <c r="I1856" s="52">
        <v>376.30000000000013</v>
      </c>
      <c r="J1856" s="49">
        <v>19390.95</v>
      </c>
      <c r="K1856" s="58">
        <v>380.3</v>
      </c>
      <c r="L1856" s="58">
        <v>19787.390000000003</v>
      </c>
      <c r="M1856" s="58">
        <v>0</v>
      </c>
      <c r="N1856" s="58">
        <v>0</v>
      </c>
      <c r="O1856" s="58">
        <v>380.3</v>
      </c>
      <c r="P1856" s="53">
        <v>19787.390000000003</v>
      </c>
      <c r="Q1856" s="65">
        <v>19390.95</v>
      </c>
      <c r="R1856" s="65">
        <v>0</v>
      </c>
      <c r="S1856" s="65">
        <v>0</v>
      </c>
      <c r="T1856" s="65">
        <v>396.44000000000233</v>
      </c>
      <c r="U1856" s="58">
        <v>0</v>
      </c>
      <c r="V1856" s="65">
        <v>0</v>
      </c>
      <c r="W1856" s="65">
        <v>0</v>
      </c>
      <c r="X1856" s="65">
        <v>19391</v>
      </c>
      <c r="Y1856" s="65">
        <v>0</v>
      </c>
      <c r="Z1856" s="51">
        <v>0</v>
      </c>
      <c r="AA1856" s="51">
        <v>0</v>
      </c>
      <c r="AB1856" s="102">
        <v>0</v>
      </c>
      <c r="AC1856" s="81">
        <f t="shared" si="87"/>
        <v>333.60885011958521</v>
      </c>
      <c r="AD1856" s="82">
        <f t="shared" si="88"/>
        <v>53.757142857142874</v>
      </c>
      <c r="AE1856" s="218">
        <v>-2.0444588841702048E-2</v>
      </c>
      <c r="AF1856">
        <v>10</v>
      </c>
      <c r="AH1856" t="str">
        <f t="shared" si="89"/>
        <v>Mahua BMC</v>
      </c>
      <c r="AJ1856" s="72">
        <v>0</v>
      </c>
      <c r="AK1856" s="72"/>
      <c r="AL1856" s="72"/>
      <c r="AM1856" s="72"/>
    </row>
    <row r="1857" spans="1:39" x14ac:dyDescent="0.25">
      <c r="A1857" s="37" t="s">
        <v>62</v>
      </c>
      <c r="B1857" s="66" t="s">
        <v>1638</v>
      </c>
      <c r="C1857" s="41">
        <v>1061</v>
      </c>
      <c r="D1857" s="41" t="s">
        <v>1388</v>
      </c>
      <c r="E1857" s="41">
        <v>10610008</v>
      </c>
      <c r="F1857" s="85" t="s">
        <v>1330</v>
      </c>
      <c r="G1857" s="39" t="s">
        <v>92</v>
      </c>
      <c r="H1857" s="52" t="s">
        <v>93</v>
      </c>
      <c r="I1857" s="52">
        <v>401.70000000000005</v>
      </c>
      <c r="J1857" s="49">
        <v>18429.719999999998</v>
      </c>
      <c r="K1857" s="58">
        <v>416.29999999999995</v>
      </c>
      <c r="L1857" s="58">
        <v>18537.760000000002</v>
      </c>
      <c r="M1857" s="58">
        <v>0</v>
      </c>
      <c r="N1857" s="58">
        <v>0</v>
      </c>
      <c r="O1857" s="58">
        <v>416.29999999999995</v>
      </c>
      <c r="P1857" s="53">
        <v>18537.760000000002</v>
      </c>
      <c r="Q1857" s="65">
        <v>18429.719999999998</v>
      </c>
      <c r="R1857" s="65">
        <v>0</v>
      </c>
      <c r="S1857" s="65">
        <v>0</v>
      </c>
      <c r="T1857" s="65">
        <v>108.04000000000451</v>
      </c>
      <c r="U1857" s="58">
        <v>0</v>
      </c>
      <c r="V1857" s="65">
        <v>0</v>
      </c>
      <c r="W1857" s="65">
        <v>0</v>
      </c>
      <c r="X1857" s="65">
        <v>18430</v>
      </c>
      <c r="Y1857" s="65">
        <v>0</v>
      </c>
      <c r="Z1857" s="51">
        <v>0</v>
      </c>
      <c r="AA1857" s="51">
        <v>0</v>
      </c>
      <c r="AB1857" s="102">
        <v>0</v>
      </c>
      <c r="AC1857" s="81">
        <f t="shared" ref="AC1857:AC1919" si="90">((IF(AD1857=0,0,100-AD1857))*7*(J1857/I1857))*2%</f>
        <v>273.71598088125461</v>
      </c>
      <c r="AD1857" s="82">
        <f t="shared" ref="AD1857:AD1919" si="91">IF((I1857/7)&gt;100,0,(I1857/7))</f>
        <v>57.385714285714293</v>
      </c>
      <c r="AE1857" s="218">
        <v>-5.8622702895108842E-3</v>
      </c>
      <c r="AF1857">
        <v>3</v>
      </c>
      <c r="AH1857" t="str">
        <f t="shared" si="89"/>
        <v>Mahua BMC</v>
      </c>
      <c r="AJ1857" s="72">
        <v>0</v>
      </c>
      <c r="AK1857" s="72"/>
      <c r="AL1857" s="72"/>
      <c r="AM1857" s="72"/>
    </row>
    <row r="1858" spans="1:39" x14ac:dyDescent="0.25">
      <c r="A1858" s="37" t="s">
        <v>62</v>
      </c>
      <c r="B1858" s="66" t="s">
        <v>1638</v>
      </c>
      <c r="C1858" s="41">
        <v>1061</v>
      </c>
      <c r="D1858" s="41" t="s">
        <v>1388</v>
      </c>
      <c r="E1858" s="41">
        <v>10610009</v>
      </c>
      <c r="F1858" s="85" t="s">
        <v>1346</v>
      </c>
      <c r="G1858" s="39" t="s">
        <v>92</v>
      </c>
      <c r="H1858" s="52" t="s">
        <v>93</v>
      </c>
      <c r="I1858" s="52">
        <v>1284.5999999999997</v>
      </c>
      <c r="J1858" s="49">
        <v>59584.720000000008</v>
      </c>
      <c r="K1858" s="58">
        <v>1277.6000000000004</v>
      </c>
      <c r="L1858" s="58">
        <v>59074.82</v>
      </c>
      <c r="M1858" s="58">
        <v>12.6</v>
      </c>
      <c r="N1858" s="58">
        <v>570.17999999999995</v>
      </c>
      <c r="O1858" s="58">
        <v>1290.2000000000003</v>
      </c>
      <c r="P1858" s="53">
        <v>59645</v>
      </c>
      <c r="Q1858" s="65">
        <v>59584.720000000008</v>
      </c>
      <c r="R1858" s="65">
        <v>0</v>
      </c>
      <c r="S1858" s="65">
        <v>570.17999999999995</v>
      </c>
      <c r="T1858" s="65">
        <v>60.27999999999156</v>
      </c>
      <c r="U1858" s="58">
        <v>2800</v>
      </c>
      <c r="V1858" s="65">
        <v>0</v>
      </c>
      <c r="W1858" s="65">
        <v>0</v>
      </c>
      <c r="X1858" s="65">
        <v>56215</v>
      </c>
      <c r="Y1858" s="65">
        <v>0</v>
      </c>
      <c r="Z1858" s="51">
        <v>0</v>
      </c>
      <c r="AA1858" s="51">
        <v>0</v>
      </c>
      <c r="AB1858" s="102">
        <v>0</v>
      </c>
      <c r="AC1858" s="81">
        <f t="shared" si="90"/>
        <v>0</v>
      </c>
      <c r="AD1858" s="82">
        <f t="shared" si="91"/>
        <v>0</v>
      </c>
      <c r="AE1858" s="218">
        <v>-1.011668763400945E-3</v>
      </c>
      <c r="AF1858">
        <v>31</v>
      </c>
      <c r="AH1858" t="str">
        <f t="shared" si="89"/>
        <v>Mahua BMC</v>
      </c>
      <c r="AJ1858" s="72">
        <v>0</v>
      </c>
      <c r="AK1858" s="72"/>
      <c r="AL1858" s="72"/>
      <c r="AM1858" s="72"/>
    </row>
    <row r="1859" spans="1:39" x14ac:dyDescent="0.25">
      <c r="A1859" s="37" t="s">
        <v>62</v>
      </c>
      <c r="B1859" s="66" t="s">
        <v>1638</v>
      </c>
      <c r="C1859" s="41">
        <v>1061</v>
      </c>
      <c r="D1859" s="41" t="s">
        <v>1388</v>
      </c>
      <c r="E1859" s="41">
        <v>10610010</v>
      </c>
      <c r="F1859" s="85" t="s">
        <v>1331</v>
      </c>
      <c r="G1859" s="39" t="s">
        <v>92</v>
      </c>
      <c r="H1859" s="52" t="s">
        <v>93</v>
      </c>
      <c r="I1859" s="52">
        <v>446.99999999999994</v>
      </c>
      <c r="J1859" s="49">
        <v>21833.449999999993</v>
      </c>
      <c r="K1859" s="58">
        <v>462.90000000000003</v>
      </c>
      <c r="L1859" s="58">
        <v>21899.94</v>
      </c>
      <c r="M1859" s="58">
        <v>0</v>
      </c>
      <c r="N1859" s="58">
        <v>0</v>
      </c>
      <c r="O1859" s="58">
        <v>462.90000000000003</v>
      </c>
      <c r="P1859" s="53">
        <v>21899.94</v>
      </c>
      <c r="Q1859" s="65">
        <v>21833.449999999993</v>
      </c>
      <c r="R1859" s="65">
        <v>0</v>
      </c>
      <c r="S1859" s="65">
        <v>0</v>
      </c>
      <c r="T1859" s="65">
        <v>66.490000000005239</v>
      </c>
      <c r="U1859" s="58">
        <v>0</v>
      </c>
      <c r="V1859" s="65">
        <v>0</v>
      </c>
      <c r="W1859" s="65">
        <v>0</v>
      </c>
      <c r="X1859" s="65">
        <v>21833</v>
      </c>
      <c r="Y1859" s="65">
        <v>0</v>
      </c>
      <c r="Z1859" s="51">
        <v>0</v>
      </c>
      <c r="AA1859" s="51">
        <v>0</v>
      </c>
      <c r="AB1859" s="102">
        <v>0</v>
      </c>
      <c r="AC1859" s="81">
        <f t="shared" si="90"/>
        <v>247.15270022371365</v>
      </c>
      <c r="AD1859" s="82">
        <f t="shared" si="91"/>
        <v>63.857142857142847</v>
      </c>
      <c r="AE1859" s="218">
        <v>-3.0453272387096523E-3</v>
      </c>
      <c r="AF1859">
        <v>16</v>
      </c>
      <c r="AH1859" t="str">
        <f t="shared" si="89"/>
        <v>Mahua BMC</v>
      </c>
      <c r="AJ1859" s="72">
        <v>0</v>
      </c>
      <c r="AK1859" s="72"/>
      <c r="AL1859" s="72"/>
      <c r="AM1859" s="72"/>
    </row>
    <row r="1860" spans="1:39" x14ac:dyDescent="0.25">
      <c r="A1860" s="37" t="s">
        <v>62</v>
      </c>
      <c r="B1860" s="66" t="s">
        <v>1638</v>
      </c>
      <c r="C1860" s="41">
        <v>1061</v>
      </c>
      <c r="D1860" s="41" t="s">
        <v>1388</v>
      </c>
      <c r="E1860" s="41">
        <v>10610011</v>
      </c>
      <c r="F1860" s="85" t="s">
        <v>1398</v>
      </c>
      <c r="G1860" s="39" t="s">
        <v>1610</v>
      </c>
      <c r="H1860" s="52" t="s">
        <v>98</v>
      </c>
      <c r="I1860" s="52">
        <v>359.09999999999991</v>
      </c>
      <c r="J1860" s="49">
        <v>14323.449999999999</v>
      </c>
      <c r="K1860" s="58">
        <v>0</v>
      </c>
      <c r="L1860" s="58">
        <v>0</v>
      </c>
      <c r="M1860" s="58">
        <v>0</v>
      </c>
      <c r="N1860" s="58">
        <v>0</v>
      </c>
      <c r="O1860" s="58">
        <v>0</v>
      </c>
      <c r="P1860" s="53">
        <v>0</v>
      </c>
      <c r="Q1860" s="65">
        <v>14323.449999999999</v>
      </c>
      <c r="R1860" s="65">
        <v>0</v>
      </c>
      <c r="S1860" s="65">
        <v>0</v>
      </c>
      <c r="T1860" s="65">
        <v>0</v>
      </c>
      <c r="U1860" s="58">
        <v>0</v>
      </c>
      <c r="V1860" s="65">
        <v>0</v>
      </c>
      <c r="W1860" s="65">
        <v>0</v>
      </c>
      <c r="X1860" s="65">
        <v>0</v>
      </c>
      <c r="Y1860" s="65">
        <v>0</v>
      </c>
      <c r="Z1860" s="51">
        <v>14323.449999999999</v>
      </c>
      <c r="AA1860" s="51">
        <v>0</v>
      </c>
      <c r="AB1860" s="102">
        <v>0</v>
      </c>
      <c r="AC1860" s="81">
        <f t="shared" si="90"/>
        <v>271.95010331384032</v>
      </c>
      <c r="AD1860" s="82">
        <f t="shared" si="91"/>
        <v>51.29999999999999</v>
      </c>
      <c r="AE1860" s="218">
        <v>0</v>
      </c>
      <c r="AF1860">
        <v>0</v>
      </c>
      <c r="AH1860" t="str">
        <f t="shared" si="89"/>
        <v>Mahua BMC</v>
      </c>
      <c r="AJ1860" s="72">
        <v>0</v>
      </c>
      <c r="AK1860" s="72"/>
      <c r="AL1860" s="72"/>
      <c r="AM1860" s="72"/>
    </row>
    <row r="1861" spans="1:39" x14ac:dyDescent="0.25">
      <c r="A1861" s="37" t="s">
        <v>62</v>
      </c>
      <c r="B1861" s="66" t="s">
        <v>1638</v>
      </c>
      <c r="C1861" s="41">
        <v>1061</v>
      </c>
      <c r="D1861" s="41" t="s">
        <v>1388</v>
      </c>
      <c r="E1861" s="41">
        <v>10610013</v>
      </c>
      <c r="F1861" s="85" t="s">
        <v>1399</v>
      </c>
      <c r="G1861" s="39" t="s">
        <v>1610</v>
      </c>
      <c r="H1861" s="52" t="s">
        <v>98</v>
      </c>
      <c r="I1861" s="52">
        <v>128.29999999999998</v>
      </c>
      <c r="J1861" s="49">
        <v>4640.1799999999994</v>
      </c>
      <c r="K1861" s="58">
        <v>0</v>
      </c>
      <c r="L1861" s="58">
        <v>0</v>
      </c>
      <c r="M1861" s="58">
        <v>0</v>
      </c>
      <c r="N1861" s="58">
        <v>0</v>
      </c>
      <c r="O1861" s="58">
        <v>0</v>
      </c>
      <c r="P1861" s="53">
        <v>0</v>
      </c>
      <c r="Q1861" s="65">
        <v>4640.1799999999994</v>
      </c>
      <c r="R1861" s="65">
        <v>0</v>
      </c>
      <c r="S1861" s="65">
        <v>0</v>
      </c>
      <c r="T1861" s="65">
        <v>0</v>
      </c>
      <c r="U1861" s="58">
        <v>0</v>
      </c>
      <c r="V1861" s="65">
        <v>0</v>
      </c>
      <c r="W1861" s="65">
        <v>0</v>
      </c>
      <c r="X1861" s="65">
        <v>0</v>
      </c>
      <c r="Y1861" s="65">
        <v>0</v>
      </c>
      <c r="Z1861" s="51">
        <v>4640.1799999999994</v>
      </c>
      <c r="AA1861" s="51">
        <v>0</v>
      </c>
      <c r="AB1861" s="102">
        <v>0</v>
      </c>
      <c r="AC1861" s="81">
        <f t="shared" si="90"/>
        <v>413.52936960249417</v>
      </c>
      <c r="AD1861" s="82">
        <f t="shared" si="91"/>
        <v>18.328571428571426</v>
      </c>
      <c r="AE1861" s="218">
        <v>0</v>
      </c>
      <c r="AF1861">
        <v>0</v>
      </c>
      <c r="AH1861" t="str">
        <f t="shared" si="89"/>
        <v>Mahua BMC</v>
      </c>
      <c r="AJ1861" s="72">
        <v>0</v>
      </c>
      <c r="AK1861" s="72"/>
      <c r="AL1861" s="72"/>
      <c r="AM1861" s="72"/>
    </row>
    <row r="1862" spans="1:39" x14ac:dyDescent="0.25">
      <c r="A1862" s="37" t="s">
        <v>62</v>
      </c>
      <c r="B1862" s="66" t="s">
        <v>1638</v>
      </c>
      <c r="C1862" s="41">
        <v>1061</v>
      </c>
      <c r="D1862" s="41" t="s">
        <v>1388</v>
      </c>
      <c r="E1862" s="41">
        <v>10610017</v>
      </c>
      <c r="F1862" s="85" t="s">
        <v>1400</v>
      </c>
      <c r="G1862" s="39" t="s">
        <v>92</v>
      </c>
      <c r="H1862" s="52" t="s">
        <v>93</v>
      </c>
      <c r="I1862" s="52">
        <v>172.39999999999998</v>
      </c>
      <c r="J1862" s="49">
        <v>7083.14</v>
      </c>
      <c r="K1862" s="58">
        <v>172.4</v>
      </c>
      <c r="L1862" s="58">
        <v>7090.41</v>
      </c>
      <c r="M1862" s="58">
        <v>0</v>
      </c>
      <c r="N1862" s="58">
        <v>0</v>
      </c>
      <c r="O1862" s="58">
        <v>172.4</v>
      </c>
      <c r="P1862" s="53">
        <v>7090.41</v>
      </c>
      <c r="Q1862" s="65">
        <v>7083.14</v>
      </c>
      <c r="R1862" s="65">
        <v>0</v>
      </c>
      <c r="S1862" s="65">
        <v>0</v>
      </c>
      <c r="T1862" s="65">
        <v>7.2699999999995271</v>
      </c>
      <c r="U1862" s="58">
        <v>0</v>
      </c>
      <c r="V1862" s="65">
        <v>0</v>
      </c>
      <c r="W1862" s="65">
        <v>0</v>
      </c>
      <c r="X1862" s="65">
        <v>7083</v>
      </c>
      <c r="Y1862" s="65">
        <v>0</v>
      </c>
      <c r="Z1862" s="51">
        <v>0</v>
      </c>
      <c r="AA1862" s="51">
        <v>0</v>
      </c>
      <c r="AB1862" s="102">
        <v>0</v>
      </c>
      <c r="AC1862" s="81">
        <f t="shared" si="90"/>
        <v>433.53418375870075</v>
      </c>
      <c r="AD1862" s="82">
        <f t="shared" si="91"/>
        <v>24.628571428571426</v>
      </c>
      <c r="AE1862" s="218">
        <v>-1.0263809553389496E-3</v>
      </c>
      <c r="AF1862">
        <v>1</v>
      </c>
      <c r="AH1862" t="str">
        <f t="shared" si="89"/>
        <v>Mahua BMC</v>
      </c>
      <c r="AJ1862" s="72">
        <v>0</v>
      </c>
      <c r="AK1862" s="72"/>
      <c r="AL1862" s="72"/>
      <c r="AM1862" s="72"/>
    </row>
    <row r="1863" spans="1:39" x14ac:dyDescent="0.25">
      <c r="A1863" s="37" t="s">
        <v>62</v>
      </c>
      <c r="B1863" s="66" t="s">
        <v>1638</v>
      </c>
      <c r="C1863" s="41">
        <v>1061</v>
      </c>
      <c r="D1863" s="41" t="s">
        <v>1388</v>
      </c>
      <c r="E1863" s="41">
        <v>10610018</v>
      </c>
      <c r="F1863" s="85" t="s">
        <v>1401</v>
      </c>
      <c r="G1863" s="39" t="s">
        <v>92</v>
      </c>
      <c r="H1863" s="52" t="s">
        <v>93</v>
      </c>
      <c r="I1863" s="52">
        <v>490.30000000000007</v>
      </c>
      <c r="J1863" s="49">
        <v>22436.33</v>
      </c>
      <c r="K1863" s="58">
        <v>394.2</v>
      </c>
      <c r="L1863" s="58">
        <v>17344.95</v>
      </c>
      <c r="M1863" s="58">
        <v>123.29999999999998</v>
      </c>
      <c r="N1863" s="58">
        <v>5532.47</v>
      </c>
      <c r="O1863" s="58">
        <v>517.5</v>
      </c>
      <c r="P1863" s="53">
        <v>22877.420000000002</v>
      </c>
      <c r="Q1863" s="65">
        <v>22436.33</v>
      </c>
      <c r="R1863" s="65">
        <v>0</v>
      </c>
      <c r="S1863" s="65">
        <v>0</v>
      </c>
      <c r="T1863" s="65">
        <v>441.09000000000015</v>
      </c>
      <c r="U1863" s="58">
        <v>8424</v>
      </c>
      <c r="V1863" s="65">
        <v>0</v>
      </c>
      <c r="W1863" s="65">
        <v>0</v>
      </c>
      <c r="X1863" s="65">
        <v>8479</v>
      </c>
      <c r="Y1863" s="65">
        <v>5533</v>
      </c>
      <c r="Z1863" s="51">
        <v>0</v>
      </c>
      <c r="AA1863" s="51">
        <v>0</v>
      </c>
      <c r="AB1863" s="102">
        <v>0</v>
      </c>
      <c r="AC1863" s="81">
        <f t="shared" si="90"/>
        <v>191.91916789720565</v>
      </c>
      <c r="AD1863" s="82">
        <f t="shared" si="91"/>
        <v>70.042857142857159</v>
      </c>
      <c r="AE1863" s="218">
        <v>-1.9659632390858939E-2</v>
      </c>
      <c r="AF1863">
        <v>14</v>
      </c>
      <c r="AH1863" t="str">
        <f t="shared" si="89"/>
        <v>Mahua BMC</v>
      </c>
      <c r="AJ1863" s="72">
        <v>0</v>
      </c>
      <c r="AK1863" s="72"/>
      <c r="AL1863" s="72"/>
      <c r="AM1863" s="72"/>
    </row>
    <row r="1864" spans="1:39" x14ac:dyDescent="0.25">
      <c r="A1864" s="37" t="s">
        <v>62</v>
      </c>
      <c r="B1864" s="66" t="s">
        <v>1638</v>
      </c>
      <c r="C1864" s="41">
        <v>1061</v>
      </c>
      <c r="D1864" s="41" t="s">
        <v>1388</v>
      </c>
      <c r="E1864" s="41">
        <v>10610019</v>
      </c>
      <c r="F1864" s="85" t="s">
        <v>1414</v>
      </c>
      <c r="G1864" s="39" t="s">
        <v>92</v>
      </c>
      <c r="H1864" s="52" t="s">
        <v>93</v>
      </c>
      <c r="I1864" s="52">
        <v>55.500000000000007</v>
      </c>
      <c r="J1864" s="49">
        <v>2887.8299999999995</v>
      </c>
      <c r="K1864" s="58">
        <v>55.6</v>
      </c>
      <c r="L1864" s="58">
        <v>2996.8599999999997</v>
      </c>
      <c r="M1864" s="58">
        <v>0</v>
      </c>
      <c r="N1864" s="58">
        <v>0</v>
      </c>
      <c r="O1864" s="58">
        <v>55.6</v>
      </c>
      <c r="P1864" s="53">
        <v>2996.8599999999997</v>
      </c>
      <c r="Q1864" s="65">
        <v>2887.8299999999995</v>
      </c>
      <c r="R1864" s="65">
        <v>0</v>
      </c>
      <c r="S1864" s="65">
        <v>0</v>
      </c>
      <c r="T1864" s="65">
        <v>109.0300000000002</v>
      </c>
      <c r="U1864" s="58">
        <v>0</v>
      </c>
      <c r="V1864" s="65">
        <v>0</v>
      </c>
      <c r="W1864" s="65">
        <v>0</v>
      </c>
      <c r="X1864" s="65">
        <v>2888</v>
      </c>
      <c r="Y1864" s="65">
        <v>0</v>
      </c>
      <c r="Z1864" s="51">
        <v>0</v>
      </c>
      <c r="AA1864" s="51">
        <v>0</v>
      </c>
      <c r="AB1864" s="102">
        <v>0</v>
      </c>
      <c r="AC1864" s="81">
        <f t="shared" si="90"/>
        <v>670.70502162162143</v>
      </c>
      <c r="AD1864" s="82">
        <f t="shared" si="91"/>
        <v>7.9285714285714297</v>
      </c>
      <c r="AE1864" s="218">
        <v>-3.7754992503021376E-2</v>
      </c>
      <c r="AF1864">
        <v>5</v>
      </c>
      <c r="AH1864" t="str">
        <f t="shared" si="89"/>
        <v>Mahua BMC</v>
      </c>
      <c r="AJ1864" s="72">
        <v>0</v>
      </c>
      <c r="AK1864" s="72"/>
      <c r="AL1864" s="72"/>
      <c r="AM1864" s="72"/>
    </row>
    <row r="1865" spans="1:39" x14ac:dyDescent="0.25">
      <c r="A1865" s="37" t="s">
        <v>62</v>
      </c>
      <c r="B1865" s="66" t="s">
        <v>1638</v>
      </c>
      <c r="C1865" s="41">
        <v>1061</v>
      </c>
      <c r="D1865" s="41" t="s">
        <v>1388</v>
      </c>
      <c r="E1865" s="41">
        <v>10610020</v>
      </c>
      <c r="F1865" s="85" t="s">
        <v>1402</v>
      </c>
      <c r="G1865" s="39" t="s">
        <v>92</v>
      </c>
      <c r="H1865" s="52" t="s">
        <v>93</v>
      </c>
      <c r="I1865" s="52">
        <v>368.19999999999993</v>
      </c>
      <c r="J1865" s="49">
        <v>15690.300000000001</v>
      </c>
      <c r="K1865" s="58">
        <v>367.70000000000005</v>
      </c>
      <c r="L1865" s="58">
        <v>15215.1</v>
      </c>
      <c r="M1865" s="58">
        <v>0</v>
      </c>
      <c r="N1865" s="58">
        <v>0</v>
      </c>
      <c r="O1865" s="58">
        <v>367.70000000000005</v>
      </c>
      <c r="P1865" s="53">
        <v>15215.1</v>
      </c>
      <c r="Q1865" s="65">
        <v>15215.1</v>
      </c>
      <c r="R1865" s="65">
        <v>0</v>
      </c>
      <c r="S1865" s="65">
        <v>0</v>
      </c>
      <c r="T1865" s="65">
        <v>0</v>
      </c>
      <c r="U1865" s="58">
        <v>0</v>
      </c>
      <c r="V1865" s="65">
        <v>0</v>
      </c>
      <c r="W1865" s="65">
        <v>0</v>
      </c>
      <c r="X1865" s="65">
        <v>15214</v>
      </c>
      <c r="Y1865" s="65">
        <v>0</v>
      </c>
      <c r="Z1865" s="51">
        <v>0</v>
      </c>
      <c r="AA1865" s="51">
        <v>476</v>
      </c>
      <c r="AB1865" s="102">
        <v>0</v>
      </c>
      <c r="AC1865" s="81">
        <f t="shared" si="90"/>
        <v>282.78335361216745</v>
      </c>
      <c r="AD1865" s="82">
        <f t="shared" si="91"/>
        <v>52.599999999999987</v>
      </c>
      <c r="AE1865" s="218">
        <v>3.0286227796791694E-2</v>
      </c>
      <c r="AF1865">
        <v>13</v>
      </c>
      <c r="AH1865" t="str">
        <f t="shared" si="89"/>
        <v>Mahua BMC</v>
      </c>
      <c r="AJ1865" s="72">
        <v>0</v>
      </c>
      <c r="AK1865" s="72"/>
      <c r="AL1865" s="72"/>
      <c r="AM1865" s="72"/>
    </row>
    <row r="1866" spans="1:39" x14ac:dyDescent="0.25">
      <c r="A1866" s="37" t="s">
        <v>62</v>
      </c>
      <c r="B1866" s="66" t="s">
        <v>1638</v>
      </c>
      <c r="C1866" s="41">
        <v>1061</v>
      </c>
      <c r="D1866" s="41" t="s">
        <v>1388</v>
      </c>
      <c r="E1866" s="41">
        <v>10610022</v>
      </c>
      <c r="F1866" s="85" t="s">
        <v>1403</v>
      </c>
      <c r="G1866" s="39" t="s">
        <v>92</v>
      </c>
      <c r="H1866" s="52" t="s">
        <v>93</v>
      </c>
      <c r="I1866" s="52">
        <v>208.29999999999998</v>
      </c>
      <c r="J1866" s="49">
        <v>10826.160000000002</v>
      </c>
      <c r="K1866" s="58">
        <v>192.5</v>
      </c>
      <c r="L1866" s="58">
        <v>10495.18</v>
      </c>
      <c r="M1866" s="58">
        <v>0</v>
      </c>
      <c r="N1866" s="58">
        <v>0</v>
      </c>
      <c r="O1866" s="58">
        <v>192.5</v>
      </c>
      <c r="P1866" s="53">
        <v>10495.18</v>
      </c>
      <c r="Q1866" s="65">
        <v>10495.18</v>
      </c>
      <c r="R1866" s="65">
        <v>0</v>
      </c>
      <c r="S1866" s="65">
        <v>0</v>
      </c>
      <c r="T1866" s="65">
        <v>0</v>
      </c>
      <c r="U1866" s="58">
        <v>0</v>
      </c>
      <c r="V1866" s="65">
        <v>0</v>
      </c>
      <c r="W1866" s="65">
        <v>0</v>
      </c>
      <c r="X1866" s="65">
        <v>10495</v>
      </c>
      <c r="Y1866" s="65">
        <v>0</v>
      </c>
      <c r="Z1866" s="51">
        <v>0</v>
      </c>
      <c r="AA1866" s="51">
        <v>331</v>
      </c>
      <c r="AB1866" s="102" t="s">
        <v>68</v>
      </c>
      <c r="AC1866" s="81">
        <f t="shared" si="90"/>
        <v>511.11117349976018</v>
      </c>
      <c r="AD1866" s="82">
        <f t="shared" si="91"/>
        <v>29.757142857142856</v>
      </c>
      <c r="AE1866" s="218">
        <v>3.0572243528638163E-2</v>
      </c>
      <c r="AF1866">
        <v>4</v>
      </c>
      <c r="AH1866" t="str">
        <f t="shared" si="89"/>
        <v>Mahua BMC</v>
      </c>
      <c r="AJ1866" s="72">
        <v>0</v>
      </c>
      <c r="AK1866" s="72"/>
      <c r="AL1866" s="72"/>
      <c r="AM1866" s="72"/>
    </row>
    <row r="1867" spans="1:39" x14ac:dyDescent="0.25">
      <c r="A1867" s="37" t="s">
        <v>62</v>
      </c>
      <c r="B1867" s="66" t="s">
        <v>1638</v>
      </c>
      <c r="C1867" s="41">
        <v>1061</v>
      </c>
      <c r="D1867" s="41" t="s">
        <v>1388</v>
      </c>
      <c r="E1867" s="41">
        <v>10610024</v>
      </c>
      <c r="F1867" s="85" t="s">
        <v>1415</v>
      </c>
      <c r="G1867" s="39" t="s">
        <v>92</v>
      </c>
      <c r="H1867" s="52" t="s">
        <v>93</v>
      </c>
      <c r="I1867" s="52">
        <v>320.59999999999997</v>
      </c>
      <c r="J1867" s="49">
        <v>12543.25</v>
      </c>
      <c r="K1867" s="58">
        <v>314.5</v>
      </c>
      <c r="L1867" s="58">
        <v>12161.140000000001</v>
      </c>
      <c r="M1867" s="58">
        <v>4.7</v>
      </c>
      <c r="N1867" s="58">
        <v>201.23999999999998</v>
      </c>
      <c r="O1867" s="58">
        <v>319.2</v>
      </c>
      <c r="P1867" s="53">
        <v>12362.380000000001</v>
      </c>
      <c r="Q1867" s="65">
        <v>12362.380000000001</v>
      </c>
      <c r="R1867" s="65">
        <v>0</v>
      </c>
      <c r="S1867" s="65">
        <v>201.23999999999998</v>
      </c>
      <c r="T1867" s="65">
        <v>0</v>
      </c>
      <c r="U1867" s="58">
        <v>0</v>
      </c>
      <c r="V1867" s="65">
        <v>0</v>
      </c>
      <c r="W1867" s="65">
        <v>0</v>
      </c>
      <c r="X1867" s="65">
        <v>12162</v>
      </c>
      <c r="Y1867" s="65">
        <v>0</v>
      </c>
      <c r="Z1867" s="51">
        <v>0</v>
      </c>
      <c r="AA1867" s="51">
        <v>180</v>
      </c>
      <c r="AB1867" s="102">
        <v>0</v>
      </c>
      <c r="AC1867" s="81">
        <f t="shared" si="90"/>
        <v>296.87517467248915</v>
      </c>
      <c r="AD1867" s="82">
        <f t="shared" si="91"/>
        <v>45.8</v>
      </c>
      <c r="AE1867" s="218">
        <v>1.4419707810973948E-2</v>
      </c>
      <c r="AF1867">
        <v>8</v>
      </c>
      <c r="AH1867" t="str">
        <f t="shared" si="89"/>
        <v>Mahua BMC</v>
      </c>
      <c r="AJ1867" s="72">
        <v>0</v>
      </c>
      <c r="AK1867" s="72"/>
      <c r="AL1867" s="72"/>
      <c r="AM1867" s="72"/>
    </row>
    <row r="1868" spans="1:39" x14ac:dyDescent="0.25">
      <c r="A1868" s="37" t="s">
        <v>62</v>
      </c>
      <c r="B1868" s="66" t="s">
        <v>1638</v>
      </c>
      <c r="C1868" s="41">
        <v>1061</v>
      </c>
      <c r="D1868" s="41" t="s">
        <v>1388</v>
      </c>
      <c r="E1868" s="41">
        <v>10610026</v>
      </c>
      <c r="F1868" s="85" t="s">
        <v>1444</v>
      </c>
      <c r="G1868" s="39" t="s">
        <v>92</v>
      </c>
      <c r="H1868" s="52" t="s">
        <v>93</v>
      </c>
      <c r="I1868" s="52">
        <v>160.10000000000002</v>
      </c>
      <c r="J1868" s="49">
        <v>9003.0300000000007</v>
      </c>
      <c r="K1868" s="58">
        <v>156.4</v>
      </c>
      <c r="L1868" s="58">
        <v>9061.2700000000023</v>
      </c>
      <c r="M1868" s="58">
        <v>0</v>
      </c>
      <c r="N1868" s="58">
        <v>0</v>
      </c>
      <c r="O1868" s="58">
        <v>156.4</v>
      </c>
      <c r="P1868" s="53">
        <v>9061.2700000000023</v>
      </c>
      <c r="Q1868" s="65">
        <v>9003.0300000000007</v>
      </c>
      <c r="R1868" s="65">
        <v>0</v>
      </c>
      <c r="S1868" s="65">
        <v>0</v>
      </c>
      <c r="T1868" s="65">
        <v>58.240000000001601</v>
      </c>
      <c r="U1868" s="58">
        <v>0</v>
      </c>
      <c r="V1868" s="65">
        <v>0</v>
      </c>
      <c r="W1868" s="65">
        <v>0</v>
      </c>
      <c r="X1868" s="65">
        <v>9003</v>
      </c>
      <c r="Y1868" s="65">
        <v>0</v>
      </c>
      <c r="Z1868" s="51">
        <v>0</v>
      </c>
      <c r="AA1868" s="51">
        <v>0</v>
      </c>
      <c r="AB1868" s="102">
        <v>0</v>
      </c>
      <c r="AC1868" s="81">
        <f t="shared" si="90"/>
        <v>607.21247932542167</v>
      </c>
      <c r="AD1868" s="82">
        <f t="shared" si="91"/>
        <v>22.871428571428574</v>
      </c>
      <c r="AE1868" s="218">
        <v>-6.4689332369215246E-3</v>
      </c>
      <c r="AF1868">
        <v>8</v>
      </c>
      <c r="AH1868" t="str">
        <f t="shared" si="89"/>
        <v>Mahua BMC</v>
      </c>
      <c r="AJ1868" s="72">
        <v>0</v>
      </c>
      <c r="AK1868" s="72"/>
      <c r="AL1868" s="72"/>
      <c r="AM1868" s="72"/>
    </row>
    <row r="1869" spans="1:39" x14ac:dyDescent="0.25">
      <c r="A1869" s="37" t="s">
        <v>62</v>
      </c>
      <c r="B1869" s="66" t="s">
        <v>1638</v>
      </c>
      <c r="C1869" s="41">
        <v>1061</v>
      </c>
      <c r="D1869" s="41" t="s">
        <v>1388</v>
      </c>
      <c r="E1869" s="41">
        <v>10610027</v>
      </c>
      <c r="F1869" s="85" t="s">
        <v>1445</v>
      </c>
      <c r="G1869" s="39" t="s">
        <v>1610</v>
      </c>
      <c r="H1869" s="52" t="s">
        <v>98</v>
      </c>
      <c r="I1869" s="52">
        <v>1658.6</v>
      </c>
      <c r="J1869" s="49">
        <v>64538.03</v>
      </c>
      <c r="K1869" s="58">
        <v>0</v>
      </c>
      <c r="L1869" s="58">
        <v>0</v>
      </c>
      <c r="M1869" s="58">
        <v>0</v>
      </c>
      <c r="N1869" s="58">
        <v>0</v>
      </c>
      <c r="O1869" s="58">
        <v>0</v>
      </c>
      <c r="P1869" s="53">
        <v>0</v>
      </c>
      <c r="Q1869" s="65">
        <v>64538.03</v>
      </c>
      <c r="R1869" s="65">
        <v>0</v>
      </c>
      <c r="S1869" s="65">
        <v>0</v>
      </c>
      <c r="T1869" s="65">
        <v>0</v>
      </c>
      <c r="U1869" s="58">
        <v>0</v>
      </c>
      <c r="V1869" s="65">
        <v>0</v>
      </c>
      <c r="W1869" s="65">
        <v>0</v>
      </c>
      <c r="X1869" s="65">
        <v>0</v>
      </c>
      <c r="Y1869" s="65">
        <v>0</v>
      </c>
      <c r="Z1869" s="51">
        <v>64538.03</v>
      </c>
      <c r="AA1869" s="51">
        <v>0</v>
      </c>
      <c r="AB1869" s="102">
        <v>0</v>
      </c>
      <c r="AC1869" s="81">
        <f t="shared" si="90"/>
        <v>0</v>
      </c>
      <c r="AD1869" s="82">
        <f t="shared" si="91"/>
        <v>0</v>
      </c>
      <c r="AE1869" s="218">
        <v>0</v>
      </c>
      <c r="AF1869">
        <v>0</v>
      </c>
      <c r="AH1869" t="str">
        <f t="shared" si="89"/>
        <v>Mahua BMC</v>
      </c>
      <c r="AJ1869" s="72">
        <v>0</v>
      </c>
      <c r="AK1869" s="72"/>
      <c r="AL1869" s="72"/>
      <c r="AM1869" s="72"/>
    </row>
    <row r="1870" spans="1:39" x14ac:dyDescent="0.25">
      <c r="A1870" s="37" t="s">
        <v>62</v>
      </c>
      <c r="B1870" s="66" t="s">
        <v>1638</v>
      </c>
      <c r="C1870" s="41">
        <v>1061</v>
      </c>
      <c r="D1870" s="41" t="s">
        <v>1388</v>
      </c>
      <c r="E1870" s="41">
        <v>10610028</v>
      </c>
      <c r="F1870" s="85" t="s">
        <v>1446</v>
      </c>
      <c r="G1870" s="39" t="s">
        <v>1610</v>
      </c>
      <c r="H1870" s="52" t="s">
        <v>98</v>
      </c>
      <c r="I1870" s="52">
        <v>231.60000000000002</v>
      </c>
      <c r="J1870" s="49">
        <v>8724.1800000000021</v>
      </c>
      <c r="K1870" s="58">
        <v>0</v>
      </c>
      <c r="L1870" s="58">
        <v>0</v>
      </c>
      <c r="M1870" s="58">
        <v>0</v>
      </c>
      <c r="N1870" s="58">
        <v>0</v>
      </c>
      <c r="O1870" s="58">
        <v>0</v>
      </c>
      <c r="P1870" s="53">
        <v>0</v>
      </c>
      <c r="Q1870" s="65">
        <v>8724.1800000000021</v>
      </c>
      <c r="R1870" s="65">
        <v>0</v>
      </c>
      <c r="S1870" s="65">
        <v>0</v>
      </c>
      <c r="T1870" s="65">
        <v>0</v>
      </c>
      <c r="U1870" s="58">
        <v>0</v>
      </c>
      <c r="V1870" s="65">
        <v>0</v>
      </c>
      <c r="W1870" s="65">
        <v>0</v>
      </c>
      <c r="X1870" s="65">
        <v>0</v>
      </c>
      <c r="Y1870" s="65">
        <v>0</v>
      </c>
      <c r="Z1870" s="51">
        <v>8724.1800000000021</v>
      </c>
      <c r="AA1870" s="51">
        <v>0</v>
      </c>
      <c r="AB1870" s="102">
        <v>0</v>
      </c>
      <c r="AC1870" s="81">
        <f t="shared" si="90"/>
        <v>352.8847937823835</v>
      </c>
      <c r="AD1870" s="82">
        <f t="shared" si="91"/>
        <v>33.085714285714289</v>
      </c>
      <c r="AE1870" s="218">
        <v>0</v>
      </c>
      <c r="AF1870">
        <v>0</v>
      </c>
      <c r="AH1870" t="str">
        <f t="shared" si="89"/>
        <v>Mahua BMC</v>
      </c>
      <c r="AJ1870" s="72">
        <v>0</v>
      </c>
      <c r="AK1870" s="72"/>
      <c r="AL1870" s="72"/>
      <c r="AM1870" s="72"/>
    </row>
    <row r="1871" spans="1:39" x14ac:dyDescent="0.25">
      <c r="A1871" s="37" t="s">
        <v>62</v>
      </c>
      <c r="B1871" s="66" t="s">
        <v>1638</v>
      </c>
      <c r="C1871" s="41">
        <v>1061</v>
      </c>
      <c r="D1871" s="41" t="s">
        <v>1388</v>
      </c>
      <c r="E1871" s="41">
        <v>10610031</v>
      </c>
      <c r="F1871" s="85" t="s">
        <v>1447</v>
      </c>
      <c r="G1871" s="39" t="s">
        <v>1610</v>
      </c>
      <c r="H1871" s="52" t="s">
        <v>98</v>
      </c>
      <c r="I1871" s="52">
        <v>9.6</v>
      </c>
      <c r="J1871" s="49">
        <v>381.6</v>
      </c>
      <c r="K1871" s="58">
        <v>0</v>
      </c>
      <c r="L1871" s="58">
        <v>0</v>
      </c>
      <c r="M1871" s="58">
        <v>0</v>
      </c>
      <c r="N1871" s="58">
        <v>0</v>
      </c>
      <c r="O1871" s="58">
        <v>0</v>
      </c>
      <c r="P1871" s="53">
        <v>0</v>
      </c>
      <c r="Q1871" s="65">
        <v>381.6</v>
      </c>
      <c r="R1871" s="65">
        <v>0</v>
      </c>
      <c r="S1871" s="65">
        <v>0</v>
      </c>
      <c r="T1871" s="65">
        <v>0</v>
      </c>
      <c r="U1871" s="58">
        <v>0</v>
      </c>
      <c r="V1871" s="65">
        <v>0</v>
      </c>
      <c r="W1871" s="65">
        <v>0</v>
      </c>
      <c r="X1871" s="65">
        <v>0</v>
      </c>
      <c r="Y1871" s="65">
        <v>0</v>
      </c>
      <c r="Z1871" s="51">
        <v>381.6</v>
      </c>
      <c r="AA1871" s="51">
        <v>0</v>
      </c>
      <c r="AB1871" s="102">
        <v>0</v>
      </c>
      <c r="AC1871" s="81">
        <f t="shared" si="90"/>
        <v>548.86800000000017</v>
      </c>
      <c r="AD1871" s="82">
        <f t="shared" si="91"/>
        <v>1.3714285714285714</v>
      </c>
      <c r="AE1871" s="218">
        <v>0</v>
      </c>
      <c r="AF1871">
        <v>0</v>
      </c>
      <c r="AH1871" t="str">
        <f t="shared" si="89"/>
        <v>Mahua BMC</v>
      </c>
      <c r="AJ1871" s="72">
        <v>0</v>
      </c>
      <c r="AK1871" s="72"/>
      <c r="AL1871" s="72"/>
      <c r="AM1871" s="72"/>
    </row>
    <row r="1872" spans="1:39" x14ac:dyDescent="0.25">
      <c r="A1872" s="37" t="s">
        <v>62</v>
      </c>
      <c r="B1872" s="66" t="s">
        <v>1638</v>
      </c>
      <c r="C1872" s="41">
        <v>1061</v>
      </c>
      <c r="D1872" s="41" t="s">
        <v>1388</v>
      </c>
      <c r="E1872" s="41">
        <v>10610032</v>
      </c>
      <c r="F1872" s="85" t="s">
        <v>1622</v>
      </c>
      <c r="G1872" s="39" t="s">
        <v>1610</v>
      </c>
      <c r="H1872" s="52" t="s">
        <v>98</v>
      </c>
      <c r="I1872" s="52">
        <v>303.3</v>
      </c>
      <c r="J1872" s="49">
        <v>11498.73</v>
      </c>
      <c r="K1872" s="58">
        <v>0</v>
      </c>
      <c r="L1872" s="58">
        <v>0</v>
      </c>
      <c r="M1872" s="58">
        <v>0</v>
      </c>
      <c r="N1872" s="58">
        <v>0</v>
      </c>
      <c r="O1872" s="58">
        <v>0</v>
      </c>
      <c r="P1872" s="53">
        <v>0</v>
      </c>
      <c r="Q1872" s="65">
        <v>11498.73</v>
      </c>
      <c r="R1872" s="65">
        <v>0</v>
      </c>
      <c r="S1872" s="65">
        <v>0</v>
      </c>
      <c r="T1872" s="65">
        <v>0</v>
      </c>
      <c r="U1872" s="58">
        <v>0</v>
      </c>
      <c r="V1872" s="65">
        <v>0</v>
      </c>
      <c r="W1872" s="65">
        <v>0</v>
      </c>
      <c r="X1872" s="65">
        <v>0</v>
      </c>
      <c r="Y1872" s="65">
        <v>0</v>
      </c>
      <c r="Z1872" s="51">
        <v>11498.73</v>
      </c>
      <c r="AA1872" s="51">
        <v>0</v>
      </c>
      <c r="AB1872" s="102">
        <v>0</v>
      </c>
      <c r="AC1872" s="81">
        <f t="shared" si="90"/>
        <v>300.79434164193862</v>
      </c>
      <c r="AD1872" s="82">
        <f t="shared" si="91"/>
        <v>43.328571428571429</v>
      </c>
      <c r="AE1872" s="218">
        <v>0</v>
      </c>
      <c r="AF1872">
        <v>0</v>
      </c>
      <c r="AH1872" t="str">
        <f t="shared" si="89"/>
        <v>Mahua BMC</v>
      </c>
      <c r="AJ1872" s="72">
        <v>0</v>
      </c>
      <c r="AK1872" s="72"/>
      <c r="AL1872" s="72"/>
      <c r="AM1872" s="72"/>
    </row>
    <row r="1873" spans="1:39" x14ac:dyDescent="0.25">
      <c r="A1873" s="37" t="s">
        <v>62</v>
      </c>
      <c r="B1873" s="66" t="s">
        <v>1638</v>
      </c>
      <c r="C1873" s="41">
        <v>1061</v>
      </c>
      <c r="D1873" s="41" t="s">
        <v>1388</v>
      </c>
      <c r="E1873" s="41">
        <v>10610034</v>
      </c>
      <c r="F1873" s="85" t="s">
        <v>1448</v>
      </c>
      <c r="G1873" s="39" t="s">
        <v>1610</v>
      </c>
      <c r="H1873" s="52" t="s">
        <v>98</v>
      </c>
      <c r="I1873" s="52">
        <v>135.1</v>
      </c>
      <c r="J1873" s="49">
        <v>5222.1499999999996</v>
      </c>
      <c r="K1873" s="58">
        <v>0</v>
      </c>
      <c r="L1873" s="58">
        <v>0</v>
      </c>
      <c r="M1873" s="58">
        <v>0</v>
      </c>
      <c r="N1873" s="58">
        <v>0</v>
      </c>
      <c r="O1873" s="58">
        <v>0</v>
      </c>
      <c r="P1873" s="53">
        <v>0</v>
      </c>
      <c r="Q1873" s="65">
        <v>5222.1499999999996</v>
      </c>
      <c r="R1873" s="65">
        <v>0</v>
      </c>
      <c r="S1873" s="65">
        <v>0</v>
      </c>
      <c r="T1873" s="65">
        <v>0</v>
      </c>
      <c r="U1873" s="58">
        <v>0</v>
      </c>
      <c r="V1873" s="65">
        <v>0</v>
      </c>
      <c r="W1873" s="65">
        <v>0</v>
      </c>
      <c r="X1873" s="65">
        <v>0</v>
      </c>
      <c r="Y1873" s="65">
        <v>0</v>
      </c>
      <c r="Z1873" s="51">
        <v>5222.1499999999996</v>
      </c>
      <c r="AA1873" s="51">
        <v>0</v>
      </c>
      <c r="AB1873" s="102">
        <v>0</v>
      </c>
      <c r="AC1873" s="81">
        <f t="shared" si="90"/>
        <v>436.71244041450774</v>
      </c>
      <c r="AD1873" s="82">
        <f t="shared" si="91"/>
        <v>19.3</v>
      </c>
      <c r="AE1873" s="218">
        <v>0</v>
      </c>
      <c r="AF1873">
        <v>0</v>
      </c>
      <c r="AH1873" t="str">
        <f t="shared" si="89"/>
        <v>Mahua BMC</v>
      </c>
      <c r="AJ1873" s="72">
        <v>0</v>
      </c>
      <c r="AK1873" s="72"/>
      <c r="AL1873" s="72"/>
      <c r="AM1873" s="72"/>
    </row>
    <row r="1874" spans="1:39" x14ac:dyDescent="0.25">
      <c r="A1874" s="37" t="s">
        <v>62</v>
      </c>
      <c r="B1874" s="66" t="s">
        <v>1638</v>
      </c>
      <c r="C1874" s="41">
        <v>1061</v>
      </c>
      <c r="D1874" s="41" t="s">
        <v>1388</v>
      </c>
      <c r="E1874" s="41">
        <v>10610035</v>
      </c>
      <c r="F1874" s="85" t="s">
        <v>1449</v>
      </c>
      <c r="G1874" s="39" t="s">
        <v>1610</v>
      </c>
      <c r="H1874" s="52" t="s">
        <v>98</v>
      </c>
      <c r="I1874" s="52">
        <v>521.00000000000011</v>
      </c>
      <c r="J1874" s="49">
        <v>17229.22</v>
      </c>
      <c r="K1874" s="58">
        <v>0</v>
      </c>
      <c r="L1874" s="58">
        <v>0</v>
      </c>
      <c r="M1874" s="58">
        <v>0</v>
      </c>
      <c r="N1874" s="58">
        <v>0</v>
      </c>
      <c r="O1874" s="58">
        <v>0</v>
      </c>
      <c r="P1874" s="53">
        <v>0</v>
      </c>
      <c r="Q1874" s="65">
        <v>17229.22</v>
      </c>
      <c r="R1874" s="65">
        <v>0</v>
      </c>
      <c r="S1874" s="65">
        <v>0</v>
      </c>
      <c r="T1874" s="65">
        <v>0</v>
      </c>
      <c r="U1874" s="58">
        <v>0</v>
      </c>
      <c r="V1874" s="65">
        <v>0</v>
      </c>
      <c r="W1874" s="65">
        <v>0</v>
      </c>
      <c r="X1874" s="65">
        <v>0</v>
      </c>
      <c r="Y1874" s="65">
        <v>0</v>
      </c>
      <c r="Z1874" s="51">
        <v>17229.22</v>
      </c>
      <c r="AA1874" s="51">
        <v>0</v>
      </c>
      <c r="AB1874" s="102">
        <v>0</v>
      </c>
      <c r="AC1874" s="81">
        <f t="shared" si="90"/>
        <v>118.388882149712</v>
      </c>
      <c r="AD1874" s="82">
        <f t="shared" si="91"/>
        <v>74.428571428571445</v>
      </c>
      <c r="AE1874" s="218">
        <v>0</v>
      </c>
      <c r="AF1874">
        <v>0</v>
      </c>
      <c r="AH1874" t="str">
        <f t="shared" ref="AH1874:AH1935" si="92">TEXT(D1874,"0000")</f>
        <v>Mahua BMC</v>
      </c>
      <c r="AJ1874" s="72">
        <v>0</v>
      </c>
      <c r="AK1874" s="72"/>
      <c r="AL1874" s="72"/>
      <c r="AM1874" s="72"/>
    </row>
    <row r="1875" spans="1:39" x14ac:dyDescent="0.25">
      <c r="A1875" s="37" t="s">
        <v>62</v>
      </c>
      <c r="B1875" s="66" t="s">
        <v>1638</v>
      </c>
      <c r="C1875" s="41">
        <v>1061</v>
      </c>
      <c r="D1875" s="41" t="s">
        <v>1388</v>
      </c>
      <c r="E1875" s="41">
        <v>10610036</v>
      </c>
      <c r="F1875" s="85" t="s">
        <v>1450</v>
      </c>
      <c r="G1875" s="39" t="s">
        <v>1610</v>
      </c>
      <c r="H1875" s="52" t="s">
        <v>98</v>
      </c>
      <c r="I1875" s="52">
        <v>457.20000000000005</v>
      </c>
      <c r="J1875" s="49">
        <v>17206.16</v>
      </c>
      <c r="K1875" s="58">
        <v>0</v>
      </c>
      <c r="L1875" s="58">
        <v>0</v>
      </c>
      <c r="M1875" s="58">
        <v>0</v>
      </c>
      <c r="N1875" s="58">
        <v>0</v>
      </c>
      <c r="O1875" s="58">
        <v>0</v>
      </c>
      <c r="P1875" s="53">
        <v>0</v>
      </c>
      <c r="Q1875" s="65">
        <v>17206.16</v>
      </c>
      <c r="R1875" s="65">
        <v>0</v>
      </c>
      <c r="S1875" s="65">
        <v>0</v>
      </c>
      <c r="T1875" s="65">
        <v>0</v>
      </c>
      <c r="U1875" s="58">
        <v>0</v>
      </c>
      <c r="V1875" s="65">
        <v>0</v>
      </c>
      <c r="W1875" s="65">
        <v>0</v>
      </c>
      <c r="X1875" s="65">
        <v>0</v>
      </c>
      <c r="Y1875" s="65">
        <v>0</v>
      </c>
      <c r="Z1875" s="51">
        <v>17206.16</v>
      </c>
      <c r="AA1875" s="51">
        <v>0</v>
      </c>
      <c r="AB1875" s="102">
        <v>0</v>
      </c>
      <c r="AC1875" s="81">
        <f t="shared" si="90"/>
        <v>182.74959090113734</v>
      </c>
      <c r="AD1875" s="82">
        <f t="shared" si="91"/>
        <v>65.314285714285717</v>
      </c>
      <c r="AE1875" s="218">
        <v>0</v>
      </c>
      <c r="AF1875">
        <v>0</v>
      </c>
      <c r="AH1875" t="str">
        <f t="shared" si="92"/>
        <v>Mahua BMC</v>
      </c>
      <c r="AJ1875" s="72">
        <v>0</v>
      </c>
      <c r="AK1875" s="72"/>
      <c r="AL1875" s="72"/>
      <c r="AM1875" s="72"/>
    </row>
    <row r="1876" spans="1:39" x14ac:dyDescent="0.25">
      <c r="A1876" s="37" t="s">
        <v>62</v>
      </c>
      <c r="B1876" s="66" t="s">
        <v>1638</v>
      </c>
      <c r="C1876" s="41">
        <v>1061</v>
      </c>
      <c r="D1876" s="41" t="s">
        <v>1388</v>
      </c>
      <c r="E1876" s="41">
        <v>10610038</v>
      </c>
      <c r="F1876" s="85" t="s">
        <v>1451</v>
      </c>
      <c r="G1876" s="39" t="s">
        <v>1610</v>
      </c>
      <c r="H1876" s="52" t="s">
        <v>98</v>
      </c>
      <c r="I1876" s="52">
        <v>1268.1000000000001</v>
      </c>
      <c r="J1876" s="49">
        <v>47150.31</v>
      </c>
      <c r="K1876" s="58">
        <v>0</v>
      </c>
      <c r="L1876" s="58">
        <v>0</v>
      </c>
      <c r="M1876" s="58">
        <v>0</v>
      </c>
      <c r="N1876" s="58">
        <v>0</v>
      </c>
      <c r="O1876" s="58">
        <v>0</v>
      </c>
      <c r="P1876" s="53">
        <v>0</v>
      </c>
      <c r="Q1876" s="65">
        <v>47150.31</v>
      </c>
      <c r="R1876" s="65">
        <v>0</v>
      </c>
      <c r="S1876" s="65">
        <v>0</v>
      </c>
      <c r="T1876" s="65">
        <v>0</v>
      </c>
      <c r="U1876" s="58">
        <v>0</v>
      </c>
      <c r="V1876" s="65">
        <v>0</v>
      </c>
      <c r="W1876" s="65">
        <v>0</v>
      </c>
      <c r="X1876" s="65">
        <v>0</v>
      </c>
      <c r="Y1876" s="65">
        <v>0</v>
      </c>
      <c r="Z1876" s="51">
        <v>47150.31</v>
      </c>
      <c r="AA1876" s="51">
        <v>0</v>
      </c>
      <c r="AB1876" s="102">
        <v>0</v>
      </c>
      <c r="AC1876" s="81">
        <f t="shared" si="90"/>
        <v>0</v>
      </c>
      <c r="AD1876" s="82">
        <f t="shared" si="91"/>
        <v>0</v>
      </c>
      <c r="AE1876" s="218">
        <v>0</v>
      </c>
      <c r="AF1876">
        <v>0</v>
      </c>
      <c r="AH1876" t="str">
        <f t="shared" si="92"/>
        <v>Mahua BMC</v>
      </c>
      <c r="AJ1876" s="72">
        <v>0</v>
      </c>
      <c r="AK1876" s="72"/>
      <c r="AL1876" s="72"/>
      <c r="AM1876" s="72"/>
    </row>
    <row r="1877" spans="1:39" x14ac:dyDescent="0.25">
      <c r="A1877" s="37" t="s">
        <v>62</v>
      </c>
      <c r="B1877" s="66" t="s">
        <v>1638</v>
      </c>
      <c r="C1877" s="41">
        <v>1061</v>
      </c>
      <c r="D1877" s="41" t="s">
        <v>1388</v>
      </c>
      <c r="E1877" s="41">
        <v>10610045</v>
      </c>
      <c r="F1877" s="85" t="s">
        <v>1459</v>
      </c>
      <c r="G1877" s="39" t="s">
        <v>1610</v>
      </c>
      <c r="H1877" s="52" t="s">
        <v>98</v>
      </c>
      <c r="I1877" s="52">
        <v>746.4</v>
      </c>
      <c r="J1877" s="49">
        <v>28681.739999999998</v>
      </c>
      <c r="K1877" s="58">
        <v>0</v>
      </c>
      <c r="L1877" s="58">
        <v>0</v>
      </c>
      <c r="M1877" s="58">
        <v>0</v>
      </c>
      <c r="N1877" s="58">
        <v>0</v>
      </c>
      <c r="O1877" s="58">
        <v>0</v>
      </c>
      <c r="P1877" s="53">
        <v>0</v>
      </c>
      <c r="Q1877" s="65">
        <v>28681.739999999998</v>
      </c>
      <c r="R1877" s="65">
        <v>0</v>
      </c>
      <c r="S1877" s="65">
        <v>0</v>
      </c>
      <c r="T1877" s="65">
        <v>0</v>
      </c>
      <c r="U1877" s="58">
        <v>0</v>
      </c>
      <c r="V1877" s="65">
        <v>0</v>
      </c>
      <c r="W1877" s="65">
        <v>0</v>
      </c>
      <c r="X1877" s="65">
        <v>0</v>
      </c>
      <c r="Y1877" s="65">
        <v>0</v>
      </c>
      <c r="Z1877" s="51">
        <v>28681.739999999998</v>
      </c>
      <c r="AA1877" s="51">
        <v>0</v>
      </c>
      <c r="AB1877" s="102">
        <v>0</v>
      </c>
      <c r="AC1877" s="81">
        <f t="shared" si="90"/>
        <v>0</v>
      </c>
      <c r="AD1877" s="82">
        <f t="shared" si="91"/>
        <v>0</v>
      </c>
      <c r="AE1877" s="218">
        <v>0</v>
      </c>
      <c r="AF1877">
        <v>0</v>
      </c>
      <c r="AH1877" t="str">
        <f t="shared" si="92"/>
        <v>Mahua BMC</v>
      </c>
      <c r="AJ1877" s="72">
        <v>0</v>
      </c>
      <c r="AK1877" s="72"/>
      <c r="AL1877" s="72"/>
      <c r="AM1877" s="72"/>
    </row>
    <row r="1878" spans="1:39" x14ac:dyDescent="0.25">
      <c r="A1878" s="37" t="s">
        <v>62</v>
      </c>
      <c r="B1878" s="66" t="s">
        <v>1638</v>
      </c>
      <c r="C1878" s="41">
        <v>1061</v>
      </c>
      <c r="D1878" s="41" t="s">
        <v>1388</v>
      </c>
      <c r="E1878" s="41">
        <v>10610046</v>
      </c>
      <c r="F1878" s="85" t="s">
        <v>1460</v>
      </c>
      <c r="G1878" s="39" t="s">
        <v>1610</v>
      </c>
      <c r="H1878" s="52" t="s">
        <v>98</v>
      </c>
      <c r="I1878" s="52">
        <v>38.799999999999997</v>
      </c>
      <c r="J1878" s="49">
        <v>1461.6</v>
      </c>
      <c r="K1878" s="58">
        <v>0</v>
      </c>
      <c r="L1878" s="58">
        <v>0</v>
      </c>
      <c r="M1878" s="58">
        <v>0</v>
      </c>
      <c r="N1878" s="58">
        <v>0</v>
      </c>
      <c r="O1878" s="58">
        <v>0</v>
      </c>
      <c r="P1878" s="53">
        <v>0</v>
      </c>
      <c r="Q1878" s="65">
        <v>1461.6</v>
      </c>
      <c r="R1878" s="65">
        <v>0</v>
      </c>
      <c r="S1878" s="65">
        <v>0</v>
      </c>
      <c r="T1878" s="65">
        <v>0</v>
      </c>
      <c r="U1878" s="58">
        <v>0</v>
      </c>
      <c r="V1878" s="65">
        <v>0</v>
      </c>
      <c r="W1878" s="65">
        <v>0</v>
      </c>
      <c r="X1878" s="65">
        <v>0</v>
      </c>
      <c r="Y1878" s="65">
        <v>0</v>
      </c>
      <c r="Z1878" s="51">
        <v>1461.6</v>
      </c>
      <c r="AA1878" s="51">
        <v>0</v>
      </c>
      <c r="AB1878" s="102">
        <v>0</v>
      </c>
      <c r="AC1878" s="81">
        <f t="shared" si="90"/>
        <v>498.14944329896912</v>
      </c>
      <c r="AD1878" s="82">
        <f t="shared" si="91"/>
        <v>5.5428571428571427</v>
      </c>
      <c r="AE1878" s="218">
        <v>0</v>
      </c>
      <c r="AF1878">
        <v>0</v>
      </c>
      <c r="AH1878" t="str">
        <f t="shared" si="92"/>
        <v>Mahua BMC</v>
      </c>
      <c r="AJ1878" s="72">
        <v>0</v>
      </c>
      <c r="AK1878" s="72"/>
      <c r="AL1878" s="72"/>
      <c r="AM1878" s="72"/>
    </row>
    <row r="1879" spans="1:39" x14ac:dyDescent="0.25">
      <c r="A1879" s="37" t="s">
        <v>62</v>
      </c>
      <c r="B1879" s="66" t="s">
        <v>1638</v>
      </c>
      <c r="C1879" s="41">
        <v>1061</v>
      </c>
      <c r="D1879" s="41" t="s">
        <v>1388</v>
      </c>
      <c r="E1879" s="41">
        <v>10610047</v>
      </c>
      <c r="F1879" s="85" t="s">
        <v>1623</v>
      </c>
      <c r="G1879" s="39" t="s">
        <v>1610</v>
      </c>
      <c r="H1879" s="52" t="s">
        <v>98</v>
      </c>
      <c r="I1879" s="52">
        <v>30.8</v>
      </c>
      <c r="J1879" s="49">
        <v>1062.9100000000001</v>
      </c>
      <c r="K1879" s="58">
        <v>0</v>
      </c>
      <c r="L1879" s="58">
        <v>0</v>
      </c>
      <c r="M1879" s="58">
        <v>0</v>
      </c>
      <c r="N1879" s="58">
        <v>0</v>
      </c>
      <c r="O1879" s="58">
        <v>0</v>
      </c>
      <c r="P1879" s="53">
        <v>0</v>
      </c>
      <c r="Q1879" s="65">
        <v>1062.9100000000001</v>
      </c>
      <c r="R1879" s="65">
        <v>0</v>
      </c>
      <c r="S1879" s="65">
        <v>0</v>
      </c>
      <c r="T1879" s="65">
        <v>0</v>
      </c>
      <c r="U1879" s="58">
        <v>0</v>
      </c>
      <c r="V1879" s="65">
        <v>0</v>
      </c>
      <c r="W1879" s="65">
        <v>0</v>
      </c>
      <c r="X1879" s="65">
        <v>0</v>
      </c>
      <c r="Y1879" s="65">
        <v>0</v>
      </c>
      <c r="Z1879" s="51">
        <v>1062.9100000000001</v>
      </c>
      <c r="AA1879" s="51">
        <v>0</v>
      </c>
      <c r="AB1879" s="102">
        <v>0</v>
      </c>
      <c r="AC1879" s="81">
        <f t="shared" si="90"/>
        <v>461.88270909090915</v>
      </c>
      <c r="AD1879" s="82">
        <f t="shared" si="91"/>
        <v>4.4000000000000004</v>
      </c>
      <c r="AE1879" s="218">
        <v>0</v>
      </c>
      <c r="AF1879">
        <v>0</v>
      </c>
      <c r="AH1879" t="str">
        <f t="shared" si="92"/>
        <v>Mahua BMC</v>
      </c>
      <c r="AJ1879" s="72">
        <v>0</v>
      </c>
      <c r="AK1879" s="72"/>
      <c r="AL1879" s="72"/>
      <c r="AM1879" s="72"/>
    </row>
    <row r="1880" spans="1:39" x14ac:dyDescent="0.25">
      <c r="A1880" s="37" t="s">
        <v>62</v>
      </c>
      <c r="B1880" s="66" t="s">
        <v>1638</v>
      </c>
      <c r="C1880" s="41">
        <v>1061</v>
      </c>
      <c r="D1880" s="41" t="s">
        <v>1388</v>
      </c>
      <c r="E1880" s="41">
        <v>10610050</v>
      </c>
      <c r="F1880" s="85" t="s">
        <v>1474</v>
      </c>
      <c r="G1880" s="39" t="s">
        <v>1610</v>
      </c>
      <c r="H1880" s="52" t="s">
        <v>98</v>
      </c>
      <c r="I1880" s="52">
        <v>484.9</v>
      </c>
      <c r="J1880" s="49">
        <v>19812.759999999998</v>
      </c>
      <c r="K1880" s="58">
        <v>0</v>
      </c>
      <c r="L1880" s="58">
        <v>0</v>
      </c>
      <c r="M1880" s="58">
        <v>0</v>
      </c>
      <c r="N1880" s="58">
        <v>0</v>
      </c>
      <c r="O1880" s="58">
        <v>0</v>
      </c>
      <c r="P1880" s="53">
        <v>0</v>
      </c>
      <c r="Q1880" s="65">
        <v>19812.759999999998</v>
      </c>
      <c r="R1880" s="65">
        <v>0</v>
      </c>
      <c r="S1880" s="65">
        <v>0</v>
      </c>
      <c r="T1880" s="65">
        <v>0</v>
      </c>
      <c r="U1880" s="58">
        <v>0</v>
      </c>
      <c r="V1880" s="65">
        <v>0</v>
      </c>
      <c r="W1880" s="65">
        <v>0</v>
      </c>
      <c r="X1880" s="65">
        <v>0</v>
      </c>
      <c r="Y1880" s="65">
        <v>0</v>
      </c>
      <c r="Z1880" s="51">
        <v>19812.759999999998</v>
      </c>
      <c r="AA1880" s="51">
        <v>0</v>
      </c>
      <c r="AB1880" s="102">
        <v>0</v>
      </c>
      <c r="AC1880" s="81">
        <f t="shared" si="90"/>
        <v>175.77746652918125</v>
      </c>
      <c r="AD1880" s="82">
        <f t="shared" si="91"/>
        <v>69.271428571428572</v>
      </c>
      <c r="AE1880" s="218">
        <v>0</v>
      </c>
      <c r="AF1880">
        <v>0</v>
      </c>
      <c r="AH1880" t="str">
        <f t="shared" si="92"/>
        <v>Mahua BMC</v>
      </c>
      <c r="AJ1880" s="72">
        <v>0</v>
      </c>
      <c r="AK1880" s="72"/>
      <c r="AL1880" s="72"/>
      <c r="AM1880" s="72"/>
    </row>
    <row r="1881" spans="1:39" x14ac:dyDescent="0.25">
      <c r="A1881" s="37" t="s">
        <v>62</v>
      </c>
      <c r="B1881" s="66" t="s">
        <v>1638</v>
      </c>
      <c r="C1881" s="41">
        <v>1061</v>
      </c>
      <c r="D1881" s="41" t="s">
        <v>1388</v>
      </c>
      <c r="E1881" s="41">
        <v>10610051</v>
      </c>
      <c r="F1881" s="85" t="s">
        <v>1475</v>
      </c>
      <c r="G1881" s="39" t="s">
        <v>1610</v>
      </c>
      <c r="H1881" s="52" t="s">
        <v>98</v>
      </c>
      <c r="I1881" s="52">
        <v>187.39999999999998</v>
      </c>
      <c r="J1881" s="49">
        <v>7202.7200000000012</v>
      </c>
      <c r="K1881" s="58">
        <v>0</v>
      </c>
      <c r="L1881" s="58">
        <v>0</v>
      </c>
      <c r="M1881" s="58">
        <v>0</v>
      </c>
      <c r="N1881" s="58">
        <v>0</v>
      </c>
      <c r="O1881" s="58">
        <v>0</v>
      </c>
      <c r="P1881" s="53">
        <v>0</v>
      </c>
      <c r="Q1881" s="65">
        <v>7202.7200000000012</v>
      </c>
      <c r="R1881" s="65">
        <v>0</v>
      </c>
      <c r="S1881" s="65">
        <v>0</v>
      </c>
      <c r="T1881" s="65">
        <v>0</v>
      </c>
      <c r="U1881" s="58">
        <v>0</v>
      </c>
      <c r="V1881" s="65">
        <v>0</v>
      </c>
      <c r="W1881" s="65">
        <v>0</v>
      </c>
      <c r="X1881" s="65">
        <v>0</v>
      </c>
      <c r="Y1881" s="65">
        <v>0</v>
      </c>
      <c r="Z1881" s="51">
        <v>7202.7200000000012</v>
      </c>
      <c r="AA1881" s="51">
        <v>0</v>
      </c>
      <c r="AB1881" s="102">
        <v>0</v>
      </c>
      <c r="AC1881" s="81">
        <f t="shared" si="90"/>
        <v>394.03567470651035</v>
      </c>
      <c r="AD1881" s="82">
        <f t="shared" si="91"/>
        <v>26.771428571428569</v>
      </c>
      <c r="AE1881" s="218">
        <v>0</v>
      </c>
      <c r="AF1881">
        <v>0</v>
      </c>
      <c r="AH1881" t="str">
        <f t="shared" si="92"/>
        <v>Mahua BMC</v>
      </c>
      <c r="AJ1881" s="72">
        <v>0</v>
      </c>
      <c r="AK1881" s="72"/>
      <c r="AL1881" s="72"/>
      <c r="AM1881" s="72"/>
    </row>
    <row r="1882" spans="1:39" x14ac:dyDescent="0.25">
      <c r="A1882" s="37" t="s">
        <v>62</v>
      </c>
      <c r="B1882" s="66" t="s">
        <v>1638</v>
      </c>
      <c r="C1882" s="41">
        <v>1061</v>
      </c>
      <c r="D1882" s="41" t="s">
        <v>1388</v>
      </c>
      <c r="E1882" s="41">
        <v>10610052</v>
      </c>
      <c r="F1882" s="85" t="s">
        <v>1478</v>
      </c>
      <c r="G1882" s="39" t="s">
        <v>1610</v>
      </c>
      <c r="H1882" s="52" t="s">
        <v>98</v>
      </c>
      <c r="I1882" s="52">
        <v>814.5</v>
      </c>
      <c r="J1882" s="49">
        <v>32749.870000000003</v>
      </c>
      <c r="K1882" s="58">
        <v>0</v>
      </c>
      <c r="L1882" s="58">
        <v>0</v>
      </c>
      <c r="M1882" s="58">
        <v>0</v>
      </c>
      <c r="N1882" s="58">
        <v>0</v>
      </c>
      <c r="O1882" s="58">
        <v>0</v>
      </c>
      <c r="P1882" s="53">
        <v>0</v>
      </c>
      <c r="Q1882" s="65">
        <v>32749.870000000003</v>
      </c>
      <c r="R1882" s="65">
        <v>0</v>
      </c>
      <c r="S1882" s="65">
        <v>0</v>
      </c>
      <c r="T1882" s="65">
        <v>0</v>
      </c>
      <c r="U1882" s="58">
        <v>0</v>
      </c>
      <c r="V1882" s="65">
        <v>0</v>
      </c>
      <c r="W1882" s="65">
        <v>0</v>
      </c>
      <c r="X1882" s="65">
        <v>0</v>
      </c>
      <c r="Y1882" s="65">
        <v>0</v>
      </c>
      <c r="Z1882" s="51">
        <v>32749.870000000003</v>
      </c>
      <c r="AA1882" s="51">
        <v>0</v>
      </c>
      <c r="AB1882" s="102">
        <v>0</v>
      </c>
      <c r="AC1882" s="81">
        <f t="shared" si="90"/>
        <v>0</v>
      </c>
      <c r="AD1882" s="82">
        <f t="shared" si="91"/>
        <v>0</v>
      </c>
      <c r="AE1882" s="218">
        <v>0</v>
      </c>
      <c r="AF1882">
        <v>0</v>
      </c>
      <c r="AH1882" t="str">
        <f t="shared" si="92"/>
        <v>Mahua BMC</v>
      </c>
      <c r="AJ1882" s="72">
        <v>0</v>
      </c>
      <c r="AK1882" s="72"/>
      <c r="AL1882" s="72"/>
      <c r="AM1882" s="72"/>
    </row>
    <row r="1883" spans="1:39" x14ac:dyDescent="0.25">
      <c r="A1883" s="37" t="s">
        <v>62</v>
      </c>
      <c r="B1883" s="66" t="s">
        <v>1638</v>
      </c>
      <c r="C1883" s="41">
        <v>1061</v>
      </c>
      <c r="D1883" s="41" t="s">
        <v>1388</v>
      </c>
      <c r="E1883" s="41">
        <v>10610054</v>
      </c>
      <c r="F1883" s="85" t="s">
        <v>1556</v>
      </c>
      <c r="G1883" s="39" t="s">
        <v>92</v>
      </c>
      <c r="H1883" s="52" t="s">
        <v>93</v>
      </c>
      <c r="I1883" s="52">
        <v>707.1</v>
      </c>
      <c r="J1883" s="49">
        <v>27803.780000000002</v>
      </c>
      <c r="K1883" s="58">
        <v>716.9</v>
      </c>
      <c r="L1883" s="58">
        <v>28216.21</v>
      </c>
      <c r="M1883" s="58">
        <v>0</v>
      </c>
      <c r="N1883" s="58">
        <v>0</v>
      </c>
      <c r="O1883" s="58">
        <v>716.9</v>
      </c>
      <c r="P1883" s="53">
        <v>28216.21</v>
      </c>
      <c r="Q1883" s="65">
        <v>27803.780000000002</v>
      </c>
      <c r="R1883" s="65">
        <v>0</v>
      </c>
      <c r="S1883" s="65">
        <v>0</v>
      </c>
      <c r="T1883" s="65">
        <v>412.42999999999665</v>
      </c>
      <c r="U1883" s="58">
        <v>0</v>
      </c>
      <c r="V1883" s="65">
        <v>0</v>
      </c>
      <c r="W1883" s="65">
        <v>0</v>
      </c>
      <c r="X1883" s="65">
        <v>27804</v>
      </c>
      <c r="Y1883" s="65">
        <v>0</v>
      </c>
      <c r="Z1883" s="51">
        <v>0</v>
      </c>
      <c r="AA1883" s="51">
        <v>0</v>
      </c>
      <c r="AB1883" s="102">
        <v>0</v>
      </c>
      <c r="AC1883" s="81">
        <f t="shared" si="90"/>
        <v>0</v>
      </c>
      <c r="AD1883" s="82">
        <f t="shared" si="91"/>
        <v>0</v>
      </c>
      <c r="AE1883" s="218">
        <v>-1.483359456879592E-2</v>
      </c>
      <c r="AF1883">
        <v>4</v>
      </c>
      <c r="AH1883" t="str">
        <f t="shared" si="92"/>
        <v>Mahua BMC</v>
      </c>
      <c r="AJ1883" s="72">
        <v>0</v>
      </c>
      <c r="AK1883" s="72"/>
      <c r="AL1883" s="72"/>
      <c r="AM1883" s="72"/>
    </row>
    <row r="1884" spans="1:39" x14ac:dyDescent="0.25">
      <c r="A1884" s="37" t="s">
        <v>62</v>
      </c>
      <c r="B1884" s="66" t="s">
        <v>1638</v>
      </c>
      <c r="C1884" s="41">
        <v>1061</v>
      </c>
      <c r="D1884" s="41" t="s">
        <v>1388</v>
      </c>
      <c r="E1884" s="41">
        <v>10610055</v>
      </c>
      <c r="F1884" s="85" t="s">
        <v>1527</v>
      </c>
      <c r="G1884" s="39" t="s">
        <v>92</v>
      </c>
      <c r="H1884" s="52" t="s">
        <v>93</v>
      </c>
      <c r="I1884" s="52">
        <v>192.80000000000004</v>
      </c>
      <c r="J1884" s="49">
        <v>9425.5600000000013</v>
      </c>
      <c r="K1884" s="58">
        <v>173.70000000000002</v>
      </c>
      <c r="L1884" s="58">
        <v>8425.7000000000007</v>
      </c>
      <c r="M1884" s="58">
        <v>22.7</v>
      </c>
      <c r="N1884" s="58">
        <v>1320.25</v>
      </c>
      <c r="O1884" s="58">
        <v>196.4</v>
      </c>
      <c r="P1884" s="53">
        <v>9745.9500000000007</v>
      </c>
      <c r="Q1884" s="65">
        <v>9425.5600000000013</v>
      </c>
      <c r="R1884" s="65">
        <v>0</v>
      </c>
      <c r="S1884" s="65">
        <v>0</v>
      </c>
      <c r="T1884" s="65">
        <v>320.38999999999942</v>
      </c>
      <c r="U1884" s="58">
        <v>0</v>
      </c>
      <c r="V1884" s="65">
        <v>0</v>
      </c>
      <c r="W1884" s="65">
        <v>0</v>
      </c>
      <c r="X1884" s="65">
        <v>8106</v>
      </c>
      <c r="Y1884" s="65">
        <v>1320</v>
      </c>
      <c r="Z1884" s="51">
        <v>0</v>
      </c>
      <c r="AA1884" s="51">
        <v>0</v>
      </c>
      <c r="AB1884" s="102">
        <v>0</v>
      </c>
      <c r="AC1884" s="81">
        <f t="shared" si="90"/>
        <v>495.91743070539417</v>
      </c>
      <c r="AD1884" s="82">
        <f t="shared" si="91"/>
        <v>27.542857142857148</v>
      </c>
      <c r="AE1884" s="218">
        <v>-3.3991614291352383E-2</v>
      </c>
      <c r="AF1884">
        <v>11</v>
      </c>
      <c r="AH1884" t="str">
        <f t="shared" si="92"/>
        <v>Mahua BMC</v>
      </c>
      <c r="AJ1884" s="72">
        <v>0</v>
      </c>
      <c r="AK1884" s="72"/>
      <c r="AL1884" s="72"/>
      <c r="AM1884" s="72"/>
    </row>
    <row r="1885" spans="1:39" x14ac:dyDescent="0.25">
      <c r="A1885" s="37" t="s">
        <v>62</v>
      </c>
      <c r="B1885" s="66" t="s">
        <v>1638</v>
      </c>
      <c r="C1885" s="41">
        <v>1061</v>
      </c>
      <c r="D1885" s="41" t="s">
        <v>1388</v>
      </c>
      <c r="E1885" s="41">
        <v>10610056</v>
      </c>
      <c r="F1885" s="85" t="s">
        <v>1528</v>
      </c>
      <c r="G1885" s="39" t="s">
        <v>1610</v>
      </c>
      <c r="H1885" s="52" t="s">
        <v>98</v>
      </c>
      <c r="I1885" s="52">
        <v>1609.0999999999997</v>
      </c>
      <c r="J1885" s="49">
        <v>64081.01</v>
      </c>
      <c r="K1885" s="58">
        <v>0</v>
      </c>
      <c r="L1885" s="58">
        <v>0</v>
      </c>
      <c r="M1885" s="58">
        <v>0</v>
      </c>
      <c r="N1885" s="58">
        <v>0</v>
      </c>
      <c r="O1885" s="58">
        <v>0</v>
      </c>
      <c r="P1885" s="53">
        <v>0</v>
      </c>
      <c r="Q1885" s="65">
        <v>64081.01</v>
      </c>
      <c r="R1885" s="65">
        <v>0</v>
      </c>
      <c r="S1885" s="65">
        <v>0</v>
      </c>
      <c r="T1885" s="65">
        <v>0</v>
      </c>
      <c r="U1885" s="58">
        <v>0</v>
      </c>
      <c r="V1885" s="65">
        <v>0</v>
      </c>
      <c r="W1885" s="65">
        <v>0</v>
      </c>
      <c r="X1885" s="65">
        <v>0</v>
      </c>
      <c r="Y1885" s="65">
        <v>0</v>
      </c>
      <c r="Z1885" s="51">
        <v>64081.01</v>
      </c>
      <c r="AA1885" s="51">
        <v>0</v>
      </c>
      <c r="AB1885" s="102">
        <v>0</v>
      </c>
      <c r="AC1885" s="81">
        <f t="shared" si="90"/>
        <v>0</v>
      </c>
      <c r="AD1885" s="82">
        <f t="shared" si="91"/>
        <v>0</v>
      </c>
      <c r="AE1885" s="218">
        <v>0</v>
      </c>
      <c r="AF1885">
        <v>0</v>
      </c>
      <c r="AH1885" t="str">
        <f t="shared" si="92"/>
        <v>Mahua BMC</v>
      </c>
      <c r="AJ1885" s="72">
        <v>0</v>
      </c>
      <c r="AK1885" s="72"/>
      <c r="AL1885" s="72"/>
      <c r="AM1885" s="72"/>
    </row>
    <row r="1886" spans="1:39" x14ac:dyDescent="0.25">
      <c r="A1886" s="37" t="s">
        <v>62</v>
      </c>
      <c r="B1886" s="66" t="s">
        <v>1638</v>
      </c>
      <c r="C1886" s="41">
        <v>1061</v>
      </c>
      <c r="D1886" s="41" t="s">
        <v>1388</v>
      </c>
      <c r="E1886" s="41">
        <v>10610059</v>
      </c>
      <c r="F1886" s="85" t="s">
        <v>1543</v>
      </c>
      <c r="G1886" s="39" t="s">
        <v>1610</v>
      </c>
      <c r="H1886" s="52" t="s">
        <v>98</v>
      </c>
      <c r="I1886" s="52">
        <v>76.8</v>
      </c>
      <c r="J1886" s="49">
        <v>2457.71</v>
      </c>
      <c r="K1886" s="58">
        <v>0</v>
      </c>
      <c r="L1886" s="58">
        <v>0</v>
      </c>
      <c r="M1886" s="58">
        <v>0</v>
      </c>
      <c r="N1886" s="58">
        <v>0</v>
      </c>
      <c r="O1886" s="58">
        <v>0</v>
      </c>
      <c r="P1886" s="53">
        <v>0</v>
      </c>
      <c r="Q1886" s="65">
        <v>2457.71</v>
      </c>
      <c r="R1886" s="65">
        <v>0</v>
      </c>
      <c r="S1886" s="65">
        <v>0</v>
      </c>
      <c r="T1886" s="65">
        <v>0</v>
      </c>
      <c r="U1886" s="58">
        <v>0</v>
      </c>
      <c r="V1886" s="65">
        <v>0</v>
      </c>
      <c r="W1886" s="65">
        <v>0</v>
      </c>
      <c r="X1886" s="65">
        <v>0</v>
      </c>
      <c r="Y1886" s="65">
        <v>0</v>
      </c>
      <c r="Z1886" s="51">
        <v>2457.71</v>
      </c>
      <c r="AA1886" s="51">
        <v>0</v>
      </c>
      <c r="AB1886" s="102">
        <v>0</v>
      </c>
      <c r="AC1886" s="81">
        <f t="shared" si="90"/>
        <v>398.86585208333332</v>
      </c>
      <c r="AD1886" s="82">
        <f t="shared" si="91"/>
        <v>10.971428571428572</v>
      </c>
      <c r="AE1886" s="218">
        <v>0</v>
      </c>
      <c r="AF1886">
        <v>0</v>
      </c>
      <c r="AH1886" t="str">
        <f t="shared" si="92"/>
        <v>Mahua BMC</v>
      </c>
      <c r="AJ1886" s="72">
        <v>0</v>
      </c>
      <c r="AK1886" s="72"/>
      <c r="AL1886" s="72"/>
      <c r="AM1886" s="72"/>
    </row>
    <row r="1887" spans="1:39" x14ac:dyDescent="0.25">
      <c r="A1887" s="37" t="s">
        <v>62</v>
      </c>
      <c r="B1887" s="66" t="s">
        <v>1638</v>
      </c>
      <c r="C1887" s="41">
        <v>1061</v>
      </c>
      <c r="D1887" s="41" t="s">
        <v>1388</v>
      </c>
      <c r="E1887" s="41">
        <v>10610064</v>
      </c>
      <c r="F1887" s="85" t="s">
        <v>1589</v>
      </c>
      <c r="G1887" s="39" t="s">
        <v>1610</v>
      </c>
      <c r="H1887" s="52" t="s">
        <v>98</v>
      </c>
      <c r="I1887" s="52">
        <v>878.70000000000016</v>
      </c>
      <c r="J1887" s="49">
        <v>36370.460000000006</v>
      </c>
      <c r="K1887" s="58">
        <v>0</v>
      </c>
      <c r="L1887" s="58">
        <v>0</v>
      </c>
      <c r="M1887" s="58">
        <v>0</v>
      </c>
      <c r="N1887" s="58">
        <v>0</v>
      </c>
      <c r="O1887" s="58">
        <v>0</v>
      </c>
      <c r="P1887" s="53">
        <v>0</v>
      </c>
      <c r="Q1887" s="65">
        <v>36370.460000000006</v>
      </c>
      <c r="R1887" s="65">
        <v>0</v>
      </c>
      <c r="S1887" s="65">
        <v>0</v>
      </c>
      <c r="T1887" s="65">
        <v>0</v>
      </c>
      <c r="U1887" s="58">
        <v>0</v>
      </c>
      <c r="V1887" s="65">
        <v>0</v>
      </c>
      <c r="W1887" s="65">
        <v>0</v>
      </c>
      <c r="X1887" s="65">
        <v>0</v>
      </c>
      <c r="Y1887" s="65">
        <v>0</v>
      </c>
      <c r="Z1887" s="51">
        <v>36370.460000000006</v>
      </c>
      <c r="AA1887" s="51">
        <v>0</v>
      </c>
      <c r="AB1887" s="102">
        <v>0</v>
      </c>
      <c r="AC1887" s="81">
        <f t="shared" si="90"/>
        <v>0</v>
      </c>
      <c r="AD1887" s="82">
        <f t="shared" si="91"/>
        <v>0</v>
      </c>
      <c r="AE1887" s="218">
        <v>0</v>
      </c>
      <c r="AF1887">
        <v>0</v>
      </c>
      <c r="AH1887" t="str">
        <f t="shared" si="92"/>
        <v>Mahua BMC</v>
      </c>
      <c r="AJ1887" s="72">
        <v>0</v>
      </c>
      <c r="AK1887" s="72"/>
      <c r="AL1887" s="72"/>
      <c r="AM1887" s="72"/>
    </row>
    <row r="1888" spans="1:39" x14ac:dyDescent="0.25">
      <c r="A1888" s="37" t="s">
        <v>62</v>
      </c>
      <c r="B1888" s="66" t="s">
        <v>1638</v>
      </c>
      <c r="C1888" s="41">
        <v>1061</v>
      </c>
      <c r="D1888" s="41" t="s">
        <v>1388</v>
      </c>
      <c r="E1888" s="41">
        <v>10610071</v>
      </c>
      <c r="F1888" s="85" t="s">
        <v>1624</v>
      </c>
      <c r="G1888" s="39" t="s">
        <v>1610</v>
      </c>
      <c r="H1888" s="52" t="s">
        <v>98</v>
      </c>
      <c r="I1888" s="52">
        <v>239.30000000000004</v>
      </c>
      <c r="J1888" s="49">
        <v>8778.36</v>
      </c>
      <c r="K1888" s="58">
        <v>0</v>
      </c>
      <c r="L1888" s="58">
        <v>0</v>
      </c>
      <c r="M1888" s="58">
        <v>0</v>
      </c>
      <c r="N1888" s="58">
        <v>0</v>
      </c>
      <c r="O1888" s="58">
        <v>0</v>
      </c>
      <c r="P1888" s="53">
        <v>0</v>
      </c>
      <c r="Q1888" s="65">
        <v>8778.36</v>
      </c>
      <c r="R1888" s="65">
        <v>0</v>
      </c>
      <c r="S1888" s="65">
        <v>0</v>
      </c>
      <c r="T1888" s="65">
        <v>0</v>
      </c>
      <c r="U1888" s="58">
        <v>0</v>
      </c>
      <c r="V1888" s="65">
        <v>0</v>
      </c>
      <c r="W1888" s="65">
        <v>0</v>
      </c>
      <c r="X1888" s="65">
        <v>0</v>
      </c>
      <c r="Y1888" s="65">
        <v>0</v>
      </c>
      <c r="Z1888" s="51">
        <v>8778.36</v>
      </c>
      <c r="AA1888" s="51">
        <v>0</v>
      </c>
      <c r="AB1888" s="102">
        <v>0</v>
      </c>
      <c r="AC1888" s="81">
        <f t="shared" si="90"/>
        <v>338.00170931884662</v>
      </c>
      <c r="AD1888" s="82">
        <f t="shared" si="91"/>
        <v>34.18571428571429</v>
      </c>
      <c r="AE1888" s="218">
        <v>0</v>
      </c>
      <c r="AF1888">
        <v>0</v>
      </c>
      <c r="AH1888" t="str">
        <f t="shared" si="92"/>
        <v>Mahua BMC</v>
      </c>
      <c r="AJ1888" s="72">
        <v>0</v>
      </c>
      <c r="AK1888" s="72"/>
      <c r="AL1888" s="72"/>
      <c r="AM1888" s="72"/>
    </row>
    <row r="1889" spans="1:39" x14ac:dyDescent="0.25">
      <c r="A1889" s="37" t="s">
        <v>62</v>
      </c>
      <c r="B1889" s="66" t="s">
        <v>1638</v>
      </c>
      <c r="C1889" s="41">
        <v>1061</v>
      </c>
      <c r="D1889" s="41" t="s">
        <v>1388</v>
      </c>
      <c r="E1889" s="41">
        <v>10610072</v>
      </c>
      <c r="F1889" s="85" t="s">
        <v>1625</v>
      </c>
      <c r="G1889" s="39" t="s">
        <v>1610</v>
      </c>
      <c r="H1889" s="52" t="s">
        <v>98</v>
      </c>
      <c r="I1889" s="52">
        <v>351.3</v>
      </c>
      <c r="J1889" s="49">
        <v>13509.560000000001</v>
      </c>
      <c r="K1889" s="58">
        <v>0</v>
      </c>
      <c r="L1889" s="58">
        <v>0</v>
      </c>
      <c r="M1889" s="58">
        <v>0</v>
      </c>
      <c r="N1889" s="58">
        <v>0</v>
      </c>
      <c r="O1889" s="58">
        <v>0</v>
      </c>
      <c r="P1889" s="53">
        <v>0</v>
      </c>
      <c r="Q1889" s="65">
        <v>13509.560000000001</v>
      </c>
      <c r="R1889" s="65">
        <v>0</v>
      </c>
      <c r="S1889" s="65">
        <v>0</v>
      </c>
      <c r="T1889" s="65">
        <v>0</v>
      </c>
      <c r="U1889" s="58">
        <v>0</v>
      </c>
      <c r="V1889" s="65">
        <v>0</v>
      </c>
      <c r="W1889" s="65">
        <v>0</v>
      </c>
      <c r="X1889" s="65">
        <v>0</v>
      </c>
      <c r="Y1889" s="65">
        <v>0</v>
      </c>
      <c r="Z1889" s="51">
        <v>13509.560000000001</v>
      </c>
      <c r="AA1889" s="51">
        <v>0</v>
      </c>
      <c r="AB1889" s="102">
        <v>0</v>
      </c>
      <c r="AC1889" s="81">
        <f t="shared" si="90"/>
        <v>268.19149285510963</v>
      </c>
      <c r="AD1889" s="82">
        <f t="shared" si="91"/>
        <v>50.18571428571429</v>
      </c>
      <c r="AE1889" s="218">
        <v>0</v>
      </c>
      <c r="AF1889">
        <v>0</v>
      </c>
      <c r="AH1889" t="str">
        <f t="shared" si="92"/>
        <v>Mahua BMC</v>
      </c>
      <c r="AJ1889" s="72">
        <v>0</v>
      </c>
      <c r="AK1889" s="72"/>
      <c r="AL1889" s="72"/>
      <c r="AM1889" s="72"/>
    </row>
    <row r="1890" spans="1:39" x14ac:dyDescent="0.25">
      <c r="A1890" s="37" t="s">
        <v>62</v>
      </c>
      <c r="B1890" s="66" t="s">
        <v>1638</v>
      </c>
      <c r="C1890" s="41">
        <v>1061</v>
      </c>
      <c r="D1890" s="41" t="s">
        <v>1388</v>
      </c>
      <c r="E1890" s="41">
        <v>10610073</v>
      </c>
      <c r="F1890" s="85" t="s">
        <v>1626</v>
      </c>
      <c r="G1890" s="39" t="s">
        <v>1610</v>
      </c>
      <c r="H1890" s="52" t="s">
        <v>98</v>
      </c>
      <c r="I1890" s="52">
        <v>307.7</v>
      </c>
      <c r="J1890" s="49">
        <v>12180.52</v>
      </c>
      <c r="K1890" s="58">
        <v>0</v>
      </c>
      <c r="L1890" s="58">
        <v>0</v>
      </c>
      <c r="M1890" s="58">
        <v>0</v>
      </c>
      <c r="N1890" s="58">
        <v>0</v>
      </c>
      <c r="O1890" s="58">
        <v>0</v>
      </c>
      <c r="P1890" s="53">
        <v>0</v>
      </c>
      <c r="Q1890" s="65">
        <v>12180.52</v>
      </c>
      <c r="R1890" s="65">
        <v>0</v>
      </c>
      <c r="S1890" s="65">
        <v>0</v>
      </c>
      <c r="T1890" s="65">
        <v>0</v>
      </c>
      <c r="U1890" s="58">
        <v>0</v>
      </c>
      <c r="V1890" s="65">
        <v>0</v>
      </c>
      <c r="W1890" s="65">
        <v>0</v>
      </c>
      <c r="X1890" s="65">
        <v>0</v>
      </c>
      <c r="Y1890" s="65">
        <v>0</v>
      </c>
      <c r="Z1890" s="51">
        <v>12180.52</v>
      </c>
      <c r="AA1890" s="51">
        <v>0</v>
      </c>
      <c r="AB1890" s="102">
        <v>0</v>
      </c>
      <c r="AC1890" s="81">
        <f t="shared" si="90"/>
        <v>310.58940500487489</v>
      </c>
      <c r="AD1890" s="82">
        <f t="shared" si="91"/>
        <v>43.957142857142856</v>
      </c>
      <c r="AE1890" s="218">
        <v>0</v>
      </c>
      <c r="AF1890">
        <v>0</v>
      </c>
      <c r="AH1890" t="str">
        <f t="shared" si="92"/>
        <v>Mahua BMC</v>
      </c>
      <c r="AJ1890" s="72">
        <v>0</v>
      </c>
      <c r="AK1890" s="72"/>
      <c r="AL1890" s="72"/>
      <c r="AM1890" s="72"/>
    </row>
    <row r="1891" spans="1:39" x14ac:dyDescent="0.25">
      <c r="A1891" s="37" t="s">
        <v>62</v>
      </c>
      <c r="B1891" s="66" t="s">
        <v>1638</v>
      </c>
      <c r="C1891" s="41">
        <v>1061</v>
      </c>
      <c r="D1891" s="41" t="s">
        <v>1388</v>
      </c>
      <c r="E1891" s="41">
        <v>10610074</v>
      </c>
      <c r="F1891" s="85" t="s">
        <v>1627</v>
      </c>
      <c r="G1891" s="39" t="s">
        <v>1610</v>
      </c>
      <c r="H1891" s="52" t="s">
        <v>98</v>
      </c>
      <c r="I1891" s="52">
        <v>489.90000000000003</v>
      </c>
      <c r="J1891" s="49">
        <v>21682.22</v>
      </c>
      <c r="K1891" s="58">
        <v>0</v>
      </c>
      <c r="L1891" s="58">
        <v>0</v>
      </c>
      <c r="M1891" s="58">
        <v>0</v>
      </c>
      <c r="N1891" s="58">
        <v>0</v>
      </c>
      <c r="O1891" s="58">
        <v>0</v>
      </c>
      <c r="P1891" s="53">
        <v>0</v>
      </c>
      <c r="Q1891" s="65">
        <v>21682.22</v>
      </c>
      <c r="R1891" s="65">
        <v>0</v>
      </c>
      <c r="S1891" s="65">
        <v>0</v>
      </c>
      <c r="T1891" s="65">
        <v>0</v>
      </c>
      <c r="U1891" s="58">
        <v>0</v>
      </c>
      <c r="V1891" s="65">
        <v>0</v>
      </c>
      <c r="W1891" s="65">
        <v>0</v>
      </c>
      <c r="X1891" s="65">
        <v>0</v>
      </c>
      <c r="Y1891" s="65">
        <v>0</v>
      </c>
      <c r="Z1891" s="51">
        <v>21682.22</v>
      </c>
      <c r="AA1891" s="51">
        <v>0</v>
      </c>
      <c r="AB1891" s="102">
        <v>0</v>
      </c>
      <c r="AC1891" s="81">
        <f t="shared" si="90"/>
        <v>185.97405274545818</v>
      </c>
      <c r="AD1891" s="82">
        <f t="shared" si="91"/>
        <v>69.985714285714295</v>
      </c>
      <c r="AE1891" s="218">
        <v>0</v>
      </c>
      <c r="AF1891">
        <v>0</v>
      </c>
      <c r="AH1891" t="str">
        <f t="shared" si="92"/>
        <v>Mahua BMC</v>
      </c>
      <c r="AJ1891" s="72">
        <v>0</v>
      </c>
      <c r="AK1891" s="72"/>
      <c r="AL1891" s="72"/>
      <c r="AM1891" s="72"/>
    </row>
    <row r="1892" spans="1:39" x14ac:dyDescent="0.25">
      <c r="A1892" s="37" t="s">
        <v>62</v>
      </c>
      <c r="B1892" s="66" t="s">
        <v>1638</v>
      </c>
      <c r="C1892" s="41">
        <v>1057</v>
      </c>
      <c r="D1892" s="41" t="s">
        <v>1174</v>
      </c>
      <c r="E1892" s="41">
        <v>10630002</v>
      </c>
      <c r="F1892" s="85" t="s">
        <v>1453</v>
      </c>
      <c r="G1892" s="39" t="s">
        <v>92</v>
      </c>
      <c r="H1892" s="52" t="s">
        <v>93</v>
      </c>
      <c r="I1892" s="52">
        <v>199.5</v>
      </c>
      <c r="J1892" s="49">
        <v>8680.2000000000007</v>
      </c>
      <c r="K1892" s="58">
        <v>187.2</v>
      </c>
      <c r="L1892" s="58">
        <v>8227.44</v>
      </c>
      <c r="M1892" s="58">
        <v>12.3</v>
      </c>
      <c r="N1892" s="58">
        <v>440.42</v>
      </c>
      <c r="O1892" s="58">
        <v>199.5</v>
      </c>
      <c r="P1892" s="53">
        <v>8667.86</v>
      </c>
      <c r="Q1892" s="65">
        <v>8667.86</v>
      </c>
      <c r="R1892" s="65">
        <v>0</v>
      </c>
      <c r="S1892" s="65">
        <v>0</v>
      </c>
      <c r="T1892" s="65">
        <v>0</v>
      </c>
      <c r="U1892" s="58">
        <v>0</v>
      </c>
      <c r="V1892" s="65">
        <v>0</v>
      </c>
      <c r="W1892" s="65">
        <v>0</v>
      </c>
      <c r="X1892" s="65">
        <v>8227</v>
      </c>
      <c r="Y1892" s="65">
        <v>440</v>
      </c>
      <c r="Z1892" s="51">
        <v>0</v>
      </c>
      <c r="AA1892" s="51">
        <v>13</v>
      </c>
      <c r="AB1892" s="102">
        <v>0</v>
      </c>
      <c r="AC1892" s="81">
        <f t="shared" si="90"/>
        <v>435.53284210526328</v>
      </c>
      <c r="AD1892" s="82">
        <f t="shared" si="91"/>
        <v>28.5</v>
      </c>
      <c r="AE1892" s="218">
        <v>1.4216262298103897E-3</v>
      </c>
      <c r="AF1892">
        <v>6</v>
      </c>
      <c r="AH1892" t="str">
        <f t="shared" si="92"/>
        <v>Warisnagar</v>
      </c>
      <c r="AJ1892" s="72">
        <v>0</v>
      </c>
      <c r="AK1892" s="72"/>
      <c r="AL1892" s="72"/>
      <c r="AM1892" s="72"/>
    </row>
    <row r="1893" spans="1:39" x14ac:dyDescent="0.25">
      <c r="A1893" s="37" t="s">
        <v>62</v>
      </c>
      <c r="B1893" s="66" t="s">
        <v>1638</v>
      </c>
      <c r="C1893" s="41">
        <v>1063</v>
      </c>
      <c r="D1893" s="41" t="s">
        <v>1565</v>
      </c>
      <c r="E1893" s="41">
        <v>10630003</v>
      </c>
      <c r="F1893" s="85" t="s">
        <v>1354</v>
      </c>
      <c r="G1893" s="39" t="s">
        <v>92</v>
      </c>
      <c r="H1893" s="52" t="s">
        <v>93</v>
      </c>
      <c r="I1893" s="52">
        <v>35.4</v>
      </c>
      <c r="J1893" s="49">
        <v>2149.64</v>
      </c>
      <c r="K1893" s="58">
        <v>35.999999999999986</v>
      </c>
      <c r="L1893" s="58">
        <v>2160.2599999999998</v>
      </c>
      <c r="M1893" s="58">
        <v>0.3</v>
      </c>
      <c r="N1893" s="58">
        <v>8.06</v>
      </c>
      <c r="O1893" s="58">
        <v>36.299999999999983</v>
      </c>
      <c r="P1893" s="53">
        <v>2168.3199999999997</v>
      </c>
      <c r="Q1893" s="65">
        <v>2149.64</v>
      </c>
      <c r="R1893" s="65">
        <v>0</v>
      </c>
      <c r="S1893" s="65">
        <v>8.06</v>
      </c>
      <c r="T1893" s="65">
        <v>18.679999999999836</v>
      </c>
      <c r="U1893" s="58">
        <v>0</v>
      </c>
      <c r="V1893" s="65">
        <v>0</v>
      </c>
      <c r="W1893" s="65">
        <v>0</v>
      </c>
      <c r="X1893" s="65">
        <v>2142</v>
      </c>
      <c r="Y1893" s="65">
        <v>0</v>
      </c>
      <c r="Z1893" s="51">
        <v>0</v>
      </c>
      <c r="AA1893" s="51">
        <v>0</v>
      </c>
      <c r="AB1893" s="102">
        <v>0</v>
      </c>
      <c r="AC1893" s="81">
        <f t="shared" si="90"/>
        <v>807.14731299435039</v>
      </c>
      <c r="AD1893" s="82">
        <f t="shared" si="91"/>
        <v>5.0571428571428569</v>
      </c>
      <c r="AE1893" s="218">
        <v>-8.6898271338455915E-3</v>
      </c>
      <c r="AF1893">
        <v>6</v>
      </c>
      <c r="AH1893" t="str">
        <f t="shared" si="92"/>
        <v>Rosera</v>
      </c>
      <c r="AJ1893" s="72">
        <v>0</v>
      </c>
      <c r="AK1893" s="72"/>
      <c r="AL1893" s="72"/>
      <c r="AM1893" s="72"/>
    </row>
    <row r="1894" spans="1:39" x14ac:dyDescent="0.25">
      <c r="A1894" s="37" t="s">
        <v>62</v>
      </c>
      <c r="B1894" s="66" t="s">
        <v>1638</v>
      </c>
      <c r="C1894" s="41">
        <v>1063</v>
      </c>
      <c r="D1894" s="41" t="s">
        <v>1565</v>
      </c>
      <c r="E1894" s="41">
        <v>10630004</v>
      </c>
      <c r="F1894" s="85" t="s">
        <v>1380</v>
      </c>
      <c r="G1894" s="39" t="s">
        <v>92</v>
      </c>
      <c r="H1894" s="52" t="s">
        <v>93</v>
      </c>
      <c r="I1894" s="52">
        <v>257.7</v>
      </c>
      <c r="J1894" s="49">
        <v>10146.659999999998</v>
      </c>
      <c r="K1894" s="58">
        <v>258.8</v>
      </c>
      <c r="L1894" s="58">
        <v>10162.979999999998</v>
      </c>
      <c r="M1894" s="58">
        <v>0.3</v>
      </c>
      <c r="N1894" s="58">
        <v>13.34</v>
      </c>
      <c r="O1894" s="58">
        <v>259.10000000000002</v>
      </c>
      <c r="P1894" s="53">
        <v>10176.319999999998</v>
      </c>
      <c r="Q1894" s="65">
        <v>10146.659999999998</v>
      </c>
      <c r="R1894" s="65">
        <v>0</v>
      </c>
      <c r="S1894" s="65">
        <v>13.34</v>
      </c>
      <c r="T1894" s="65">
        <v>29.659999999999854</v>
      </c>
      <c r="U1894" s="58">
        <v>0</v>
      </c>
      <c r="V1894" s="65">
        <v>0</v>
      </c>
      <c r="W1894" s="65">
        <v>0</v>
      </c>
      <c r="X1894" s="65">
        <v>10133</v>
      </c>
      <c r="Y1894" s="65">
        <v>0</v>
      </c>
      <c r="Z1894" s="51">
        <v>0</v>
      </c>
      <c r="AA1894" s="51">
        <v>0</v>
      </c>
      <c r="AB1894" s="102">
        <v>0</v>
      </c>
      <c r="AC1894" s="81">
        <f t="shared" si="90"/>
        <v>348.30172433061693</v>
      </c>
      <c r="AD1894" s="82">
        <f t="shared" si="91"/>
        <v>36.81428571428571</v>
      </c>
      <c r="AE1894" s="218">
        <v>-2.9231293844476764E-3</v>
      </c>
      <c r="AF1894">
        <v>7</v>
      </c>
      <c r="AH1894" t="str">
        <f t="shared" si="92"/>
        <v>Rosera</v>
      </c>
      <c r="AJ1894" s="72">
        <v>0</v>
      </c>
      <c r="AK1894" s="72"/>
      <c r="AL1894" s="72"/>
      <c r="AM1894" s="72"/>
    </row>
    <row r="1895" spans="1:39" x14ac:dyDescent="0.25">
      <c r="A1895" s="37" t="s">
        <v>62</v>
      </c>
      <c r="B1895" s="66" t="s">
        <v>1638</v>
      </c>
      <c r="C1895" s="41">
        <v>1063</v>
      </c>
      <c r="D1895" s="41" t="s">
        <v>1565</v>
      </c>
      <c r="E1895" s="41">
        <v>10630008</v>
      </c>
      <c r="F1895" s="85" t="s">
        <v>1355</v>
      </c>
      <c r="G1895" s="39" t="s">
        <v>92</v>
      </c>
      <c r="H1895" s="52" t="s">
        <v>93</v>
      </c>
      <c r="I1895" s="52">
        <v>27.6</v>
      </c>
      <c r="J1895" s="49">
        <v>1001.6</v>
      </c>
      <c r="K1895" s="58">
        <v>26.5</v>
      </c>
      <c r="L1895" s="58">
        <v>1009.39</v>
      </c>
      <c r="M1895" s="58">
        <v>0</v>
      </c>
      <c r="N1895" s="58">
        <v>0</v>
      </c>
      <c r="O1895" s="58">
        <v>26.5</v>
      </c>
      <c r="P1895" s="53">
        <v>1009.39</v>
      </c>
      <c r="Q1895" s="65">
        <v>1001.6</v>
      </c>
      <c r="R1895" s="65">
        <v>0</v>
      </c>
      <c r="S1895" s="65">
        <v>0</v>
      </c>
      <c r="T1895" s="65">
        <v>7.7899999999999636</v>
      </c>
      <c r="U1895" s="58">
        <v>0</v>
      </c>
      <c r="V1895" s="65">
        <v>0</v>
      </c>
      <c r="W1895" s="65">
        <v>0</v>
      </c>
      <c r="X1895" s="65">
        <v>1002</v>
      </c>
      <c r="Y1895" s="65">
        <v>0</v>
      </c>
      <c r="Z1895" s="51">
        <v>0</v>
      </c>
      <c r="AA1895" s="51">
        <v>0</v>
      </c>
      <c r="AB1895" s="102">
        <v>0</v>
      </c>
      <c r="AC1895" s="81">
        <f t="shared" si="90"/>
        <v>488.02597101449271</v>
      </c>
      <c r="AD1895" s="82">
        <f t="shared" si="91"/>
        <v>3.9428571428571431</v>
      </c>
      <c r="AE1895" s="218">
        <v>-7.7775559105430943E-3</v>
      </c>
      <c r="AF1895">
        <v>1</v>
      </c>
      <c r="AH1895" t="str">
        <f t="shared" si="92"/>
        <v>Rosera</v>
      </c>
      <c r="AJ1895" s="72">
        <v>0</v>
      </c>
      <c r="AK1895" s="72"/>
      <c r="AL1895" s="72"/>
      <c r="AM1895" s="72"/>
    </row>
    <row r="1896" spans="1:39" x14ac:dyDescent="0.25">
      <c r="A1896" s="37" t="s">
        <v>62</v>
      </c>
      <c r="B1896" s="66" t="s">
        <v>1638</v>
      </c>
      <c r="C1896" s="41">
        <v>1063</v>
      </c>
      <c r="D1896" s="41" t="s">
        <v>1565</v>
      </c>
      <c r="E1896" s="41">
        <v>10630009</v>
      </c>
      <c r="F1896" s="85" t="s">
        <v>1356</v>
      </c>
      <c r="G1896" s="39" t="s">
        <v>92</v>
      </c>
      <c r="H1896" s="52" t="s">
        <v>93</v>
      </c>
      <c r="I1896" s="52">
        <v>1139.3000000000004</v>
      </c>
      <c r="J1896" s="49">
        <v>47754.49</v>
      </c>
      <c r="K1896" s="58">
        <v>804.55</v>
      </c>
      <c r="L1896" s="58">
        <v>47799.75</v>
      </c>
      <c r="M1896" s="58">
        <v>0.7</v>
      </c>
      <c r="N1896" s="58">
        <v>30.389999999999997</v>
      </c>
      <c r="O1896" s="58">
        <v>805.25</v>
      </c>
      <c r="P1896" s="53">
        <v>47830.14</v>
      </c>
      <c r="Q1896" s="65">
        <v>47754.49</v>
      </c>
      <c r="R1896" s="65">
        <v>0</v>
      </c>
      <c r="S1896" s="65">
        <v>30.389999999999997</v>
      </c>
      <c r="T1896" s="65">
        <v>75.650000000001455</v>
      </c>
      <c r="U1896" s="58">
        <v>0</v>
      </c>
      <c r="V1896" s="65">
        <v>0</v>
      </c>
      <c r="W1896" s="65">
        <v>0</v>
      </c>
      <c r="X1896" s="65">
        <v>47724</v>
      </c>
      <c r="Y1896" s="65">
        <v>0</v>
      </c>
      <c r="Z1896" s="51">
        <v>0</v>
      </c>
      <c r="AA1896" s="51">
        <v>0</v>
      </c>
      <c r="AB1896" s="102">
        <v>0</v>
      </c>
      <c r="AC1896" s="81">
        <f t="shared" si="90"/>
        <v>0</v>
      </c>
      <c r="AD1896" s="82">
        <f t="shared" si="91"/>
        <v>0</v>
      </c>
      <c r="AE1896" s="218">
        <v>-1.5841442343955817E-3</v>
      </c>
      <c r="AF1896">
        <v>5</v>
      </c>
      <c r="AH1896" t="str">
        <f t="shared" si="92"/>
        <v>Rosera</v>
      </c>
      <c r="AJ1896" s="72">
        <v>0</v>
      </c>
      <c r="AK1896" s="72"/>
      <c r="AL1896" s="72"/>
      <c r="AM1896" s="72"/>
    </row>
    <row r="1897" spans="1:39" x14ac:dyDescent="0.25">
      <c r="A1897" s="37" t="s">
        <v>62</v>
      </c>
      <c r="B1897" s="66" t="s">
        <v>1638</v>
      </c>
      <c r="C1897" s="41">
        <v>1063</v>
      </c>
      <c r="D1897" s="41" t="s">
        <v>1565</v>
      </c>
      <c r="E1897" s="41">
        <v>10630010</v>
      </c>
      <c r="F1897" s="85" t="s">
        <v>1357</v>
      </c>
      <c r="G1897" s="39" t="s">
        <v>1610</v>
      </c>
      <c r="H1897" s="52" t="s">
        <v>98</v>
      </c>
      <c r="I1897" s="52">
        <v>873.3</v>
      </c>
      <c r="J1897" s="49">
        <v>36763.83</v>
      </c>
      <c r="K1897" s="58">
        <v>0</v>
      </c>
      <c r="L1897" s="58">
        <v>0</v>
      </c>
      <c r="M1897" s="58">
        <v>0</v>
      </c>
      <c r="N1897" s="58">
        <v>0</v>
      </c>
      <c r="O1897" s="58">
        <v>0</v>
      </c>
      <c r="P1897" s="53">
        <v>0</v>
      </c>
      <c r="Q1897" s="65">
        <v>36763.83</v>
      </c>
      <c r="R1897" s="65">
        <v>0</v>
      </c>
      <c r="S1897" s="65">
        <v>0</v>
      </c>
      <c r="T1897" s="65">
        <v>0</v>
      </c>
      <c r="U1897" s="58">
        <v>0</v>
      </c>
      <c r="V1897" s="65">
        <v>0</v>
      </c>
      <c r="W1897" s="65">
        <v>0</v>
      </c>
      <c r="X1897" s="65">
        <v>0</v>
      </c>
      <c r="Y1897" s="65">
        <v>0</v>
      </c>
      <c r="Z1897" s="51">
        <v>36763.83</v>
      </c>
      <c r="AA1897" s="51">
        <v>0</v>
      </c>
      <c r="AB1897" s="102">
        <v>0</v>
      </c>
      <c r="AC1897" s="81">
        <f t="shared" si="90"/>
        <v>0</v>
      </c>
      <c r="AD1897" s="82">
        <f t="shared" si="91"/>
        <v>0</v>
      </c>
      <c r="AE1897" s="218">
        <v>0</v>
      </c>
      <c r="AF1897">
        <v>0</v>
      </c>
      <c r="AH1897" t="str">
        <f t="shared" si="92"/>
        <v>Rosera</v>
      </c>
      <c r="AJ1897" s="72">
        <v>0</v>
      </c>
      <c r="AK1897" s="72"/>
      <c r="AL1897" s="72"/>
      <c r="AM1897" s="72"/>
    </row>
    <row r="1898" spans="1:39" x14ac:dyDescent="0.25">
      <c r="A1898" s="37" t="s">
        <v>62</v>
      </c>
      <c r="B1898" s="66" t="s">
        <v>1638</v>
      </c>
      <c r="C1898" s="41">
        <v>1063</v>
      </c>
      <c r="D1898" s="41" t="s">
        <v>1565</v>
      </c>
      <c r="E1898" s="41">
        <v>10630011</v>
      </c>
      <c r="F1898" s="85" t="s">
        <v>1358</v>
      </c>
      <c r="G1898" s="39" t="s">
        <v>1610</v>
      </c>
      <c r="H1898" s="52" t="s">
        <v>98</v>
      </c>
      <c r="I1898" s="52">
        <v>136.30000000000001</v>
      </c>
      <c r="J1898" s="49">
        <v>4075.46</v>
      </c>
      <c r="K1898" s="58">
        <v>0</v>
      </c>
      <c r="L1898" s="58">
        <v>0</v>
      </c>
      <c r="M1898" s="58">
        <v>0</v>
      </c>
      <c r="N1898" s="58">
        <v>0</v>
      </c>
      <c r="O1898" s="58">
        <v>0</v>
      </c>
      <c r="P1898" s="53">
        <v>0</v>
      </c>
      <c r="Q1898" s="65">
        <v>4075.46</v>
      </c>
      <c r="R1898" s="65">
        <v>0</v>
      </c>
      <c r="S1898" s="65">
        <v>0</v>
      </c>
      <c r="T1898" s="65">
        <v>0</v>
      </c>
      <c r="U1898" s="58">
        <v>0</v>
      </c>
      <c r="V1898" s="65">
        <v>0</v>
      </c>
      <c r="W1898" s="65">
        <v>0</v>
      </c>
      <c r="X1898" s="65">
        <v>0</v>
      </c>
      <c r="Y1898" s="65">
        <v>0</v>
      </c>
      <c r="Z1898" s="51">
        <v>4075.46</v>
      </c>
      <c r="AA1898" s="51">
        <v>0</v>
      </c>
      <c r="AB1898" s="102">
        <v>0</v>
      </c>
      <c r="AC1898" s="81">
        <f t="shared" si="90"/>
        <v>337.10004431401313</v>
      </c>
      <c r="AD1898" s="82">
        <f t="shared" si="91"/>
        <v>19.471428571428572</v>
      </c>
      <c r="AE1898" s="218">
        <v>0</v>
      </c>
      <c r="AF1898">
        <v>0</v>
      </c>
      <c r="AH1898" t="str">
        <f t="shared" si="92"/>
        <v>Rosera</v>
      </c>
      <c r="AJ1898" s="72">
        <v>0</v>
      </c>
      <c r="AK1898" s="72"/>
      <c r="AL1898" s="72"/>
      <c r="AM1898" s="72"/>
    </row>
    <row r="1899" spans="1:39" x14ac:dyDescent="0.25">
      <c r="A1899" s="37" t="s">
        <v>62</v>
      </c>
      <c r="B1899" s="66" t="s">
        <v>1638</v>
      </c>
      <c r="C1899" s="41">
        <v>1063</v>
      </c>
      <c r="D1899" s="41" t="s">
        <v>1565</v>
      </c>
      <c r="E1899" s="41">
        <v>10630012</v>
      </c>
      <c r="F1899" s="85" t="s">
        <v>1359</v>
      </c>
      <c r="G1899" s="39" t="s">
        <v>92</v>
      </c>
      <c r="H1899" s="52" t="s">
        <v>98</v>
      </c>
      <c r="I1899" s="52">
        <v>80.8</v>
      </c>
      <c r="J1899" s="49">
        <v>3073.8300000000004</v>
      </c>
      <c r="K1899" s="58">
        <v>0</v>
      </c>
      <c r="L1899" s="58">
        <v>0</v>
      </c>
      <c r="M1899" s="58">
        <v>0</v>
      </c>
      <c r="N1899" s="58">
        <v>0</v>
      </c>
      <c r="O1899" s="58">
        <v>0</v>
      </c>
      <c r="P1899" s="53">
        <v>0</v>
      </c>
      <c r="Q1899" s="65">
        <v>3073.8300000000004</v>
      </c>
      <c r="R1899" s="65">
        <v>0</v>
      </c>
      <c r="S1899" s="65">
        <v>0</v>
      </c>
      <c r="T1899" s="65">
        <v>0</v>
      </c>
      <c r="U1899" s="58">
        <v>0</v>
      </c>
      <c r="V1899" s="65">
        <v>0</v>
      </c>
      <c r="W1899" s="65">
        <v>0</v>
      </c>
      <c r="X1899" s="65">
        <v>0</v>
      </c>
      <c r="Y1899" s="65">
        <v>0</v>
      </c>
      <c r="Z1899" s="51">
        <v>3073.8300000000004</v>
      </c>
      <c r="AA1899" s="51">
        <v>0</v>
      </c>
      <c r="AB1899" s="102">
        <v>0</v>
      </c>
      <c r="AC1899" s="81">
        <f t="shared" si="90"/>
        <v>471.1177069306932</v>
      </c>
      <c r="AD1899" s="82">
        <f t="shared" si="91"/>
        <v>11.542857142857143</v>
      </c>
      <c r="AE1899" s="218">
        <v>0</v>
      </c>
      <c r="AF1899">
        <v>0</v>
      </c>
      <c r="AH1899" t="str">
        <f t="shared" si="92"/>
        <v>Rosera</v>
      </c>
      <c r="AJ1899" s="72">
        <v>0</v>
      </c>
      <c r="AK1899" s="72"/>
      <c r="AL1899" s="72"/>
      <c r="AM1899" s="72"/>
    </row>
    <row r="1900" spans="1:39" x14ac:dyDescent="0.25">
      <c r="A1900" s="37" t="s">
        <v>62</v>
      </c>
      <c r="B1900" s="66" t="s">
        <v>1638</v>
      </c>
      <c r="C1900" s="41">
        <v>1063</v>
      </c>
      <c r="D1900" s="41" t="s">
        <v>1565</v>
      </c>
      <c r="E1900" s="41">
        <v>10630014</v>
      </c>
      <c r="F1900" s="85" t="s">
        <v>1461</v>
      </c>
      <c r="G1900" s="39" t="s">
        <v>92</v>
      </c>
      <c r="H1900" s="52" t="s">
        <v>93</v>
      </c>
      <c r="I1900" s="52">
        <v>360</v>
      </c>
      <c r="J1900" s="49">
        <v>13728.370000000003</v>
      </c>
      <c r="K1900" s="58">
        <v>351.4</v>
      </c>
      <c r="L1900" s="58">
        <v>13688.210000000001</v>
      </c>
      <c r="M1900" s="58">
        <v>0</v>
      </c>
      <c r="N1900" s="58">
        <v>0</v>
      </c>
      <c r="O1900" s="58">
        <v>351.4</v>
      </c>
      <c r="P1900" s="53">
        <v>13688.210000000001</v>
      </c>
      <c r="Q1900" s="65">
        <v>13688.210000000001</v>
      </c>
      <c r="R1900" s="65">
        <v>0</v>
      </c>
      <c r="S1900" s="65">
        <v>0</v>
      </c>
      <c r="T1900" s="65">
        <v>0</v>
      </c>
      <c r="U1900" s="58">
        <v>0</v>
      </c>
      <c r="V1900" s="65">
        <v>0</v>
      </c>
      <c r="W1900" s="65">
        <v>0</v>
      </c>
      <c r="X1900" s="65">
        <v>13689</v>
      </c>
      <c r="Y1900" s="65">
        <v>0</v>
      </c>
      <c r="Z1900" s="51">
        <v>0</v>
      </c>
      <c r="AA1900" s="51">
        <v>39</v>
      </c>
      <c r="AB1900" s="102">
        <v>0</v>
      </c>
      <c r="AC1900" s="81">
        <f t="shared" si="90"/>
        <v>259.31365555555561</v>
      </c>
      <c r="AD1900" s="82">
        <f t="shared" si="91"/>
        <v>51.428571428571431</v>
      </c>
      <c r="AE1900" s="218">
        <v>2.925329081311304E-3</v>
      </c>
      <c r="AF1900">
        <v>9</v>
      </c>
      <c r="AH1900" t="str">
        <f t="shared" si="92"/>
        <v>Rosera</v>
      </c>
      <c r="AJ1900" s="72">
        <v>0</v>
      </c>
      <c r="AK1900" s="72"/>
      <c r="AL1900" s="72"/>
      <c r="AM1900" s="72"/>
    </row>
    <row r="1901" spans="1:39" x14ac:dyDescent="0.25">
      <c r="A1901" s="37" t="s">
        <v>62</v>
      </c>
      <c r="B1901" s="66" t="s">
        <v>1638</v>
      </c>
      <c r="C1901" s="41">
        <v>1057</v>
      </c>
      <c r="D1901" s="41" t="s">
        <v>1174</v>
      </c>
      <c r="E1901" s="41">
        <v>10630016</v>
      </c>
      <c r="F1901" s="85" t="s">
        <v>1404</v>
      </c>
      <c r="G1901" s="39" t="s">
        <v>1610</v>
      </c>
      <c r="H1901" s="52" t="s">
        <v>98</v>
      </c>
      <c r="I1901" s="52">
        <v>528.70000000000005</v>
      </c>
      <c r="J1901" s="49">
        <v>19825.839999999997</v>
      </c>
      <c r="K1901" s="58">
        <v>0</v>
      </c>
      <c r="L1901" s="58">
        <v>0</v>
      </c>
      <c r="M1901" s="58">
        <v>0</v>
      </c>
      <c r="N1901" s="58">
        <v>0</v>
      </c>
      <c r="O1901" s="58">
        <v>0</v>
      </c>
      <c r="P1901" s="53">
        <v>0</v>
      </c>
      <c r="Q1901" s="65">
        <v>19825.839999999997</v>
      </c>
      <c r="R1901" s="65">
        <v>0</v>
      </c>
      <c r="S1901" s="65">
        <v>0</v>
      </c>
      <c r="T1901" s="65">
        <v>0</v>
      </c>
      <c r="U1901" s="58">
        <v>0</v>
      </c>
      <c r="V1901" s="65">
        <v>0</v>
      </c>
      <c r="W1901" s="65">
        <v>0</v>
      </c>
      <c r="X1901" s="65">
        <v>0</v>
      </c>
      <c r="Y1901" s="65">
        <v>0</v>
      </c>
      <c r="Z1901" s="51">
        <v>19825.839999999997</v>
      </c>
      <c r="AA1901" s="51">
        <v>0</v>
      </c>
      <c r="AB1901" s="102">
        <v>0</v>
      </c>
      <c r="AC1901" s="81">
        <f t="shared" si="90"/>
        <v>128.47234318138823</v>
      </c>
      <c r="AD1901" s="82">
        <f t="shared" si="91"/>
        <v>75.528571428571439</v>
      </c>
      <c r="AE1901" s="218">
        <v>0</v>
      </c>
      <c r="AF1901">
        <v>0</v>
      </c>
      <c r="AH1901" t="str">
        <f t="shared" si="92"/>
        <v>Warisnagar</v>
      </c>
      <c r="AJ1901" s="72">
        <v>0</v>
      </c>
      <c r="AK1901" s="72"/>
      <c r="AL1901" s="72"/>
      <c r="AM1901" s="72"/>
    </row>
    <row r="1902" spans="1:39" x14ac:dyDescent="0.25">
      <c r="A1902" s="37" t="s">
        <v>62</v>
      </c>
      <c r="B1902" s="66" t="s">
        <v>1638</v>
      </c>
      <c r="C1902" s="41">
        <v>1063</v>
      </c>
      <c r="D1902" s="41" t="s">
        <v>1565</v>
      </c>
      <c r="E1902" s="41">
        <v>10630017</v>
      </c>
      <c r="F1902" s="85" t="s">
        <v>1405</v>
      </c>
      <c r="G1902" s="39" t="s">
        <v>1610</v>
      </c>
      <c r="H1902" s="52" t="s">
        <v>98</v>
      </c>
      <c r="I1902" s="52">
        <v>160.5</v>
      </c>
      <c r="J1902" s="49">
        <v>5721.57</v>
      </c>
      <c r="K1902" s="58">
        <v>0</v>
      </c>
      <c r="L1902" s="58">
        <v>0</v>
      </c>
      <c r="M1902" s="58">
        <v>0</v>
      </c>
      <c r="N1902" s="58">
        <v>0</v>
      </c>
      <c r="O1902" s="58">
        <v>0</v>
      </c>
      <c r="P1902" s="53">
        <v>0</v>
      </c>
      <c r="Q1902" s="65">
        <v>5721.57</v>
      </c>
      <c r="R1902" s="65">
        <v>0</v>
      </c>
      <c r="S1902" s="65">
        <v>0</v>
      </c>
      <c r="T1902" s="65">
        <v>0</v>
      </c>
      <c r="U1902" s="58">
        <v>0</v>
      </c>
      <c r="V1902" s="65">
        <v>0</v>
      </c>
      <c r="W1902" s="65">
        <v>0</v>
      </c>
      <c r="X1902" s="65">
        <v>0</v>
      </c>
      <c r="Y1902" s="65">
        <v>0</v>
      </c>
      <c r="Z1902" s="51">
        <v>5721.57</v>
      </c>
      <c r="AA1902" s="51">
        <v>0</v>
      </c>
      <c r="AB1902" s="102">
        <v>0</v>
      </c>
      <c r="AC1902" s="81">
        <f t="shared" si="90"/>
        <v>384.64635700934582</v>
      </c>
      <c r="AD1902" s="82">
        <f t="shared" si="91"/>
        <v>22.928571428571427</v>
      </c>
      <c r="AE1902" s="218">
        <v>0</v>
      </c>
      <c r="AF1902">
        <v>0</v>
      </c>
      <c r="AH1902" t="str">
        <f t="shared" si="92"/>
        <v>Rosera</v>
      </c>
      <c r="AJ1902" s="72">
        <v>0</v>
      </c>
      <c r="AK1902" s="72"/>
      <c r="AL1902" s="72"/>
      <c r="AM1902" s="72"/>
    </row>
    <row r="1903" spans="1:39" x14ac:dyDescent="0.25">
      <c r="A1903" s="37" t="s">
        <v>62</v>
      </c>
      <c r="B1903" s="66" t="s">
        <v>1638</v>
      </c>
      <c r="C1903" s="41">
        <v>1063</v>
      </c>
      <c r="D1903" s="41" t="s">
        <v>1565</v>
      </c>
      <c r="E1903" s="41">
        <v>10630018</v>
      </c>
      <c r="F1903" s="85" t="s">
        <v>1471</v>
      </c>
      <c r="G1903" s="39" t="s">
        <v>1610</v>
      </c>
      <c r="H1903" s="52" t="s">
        <v>98</v>
      </c>
      <c r="I1903" s="52">
        <v>1264.5999999999999</v>
      </c>
      <c r="J1903" s="49">
        <v>46918.62</v>
      </c>
      <c r="K1903" s="58">
        <v>0</v>
      </c>
      <c r="L1903" s="58">
        <v>0</v>
      </c>
      <c r="M1903" s="58">
        <v>0</v>
      </c>
      <c r="N1903" s="58">
        <v>0</v>
      </c>
      <c r="O1903" s="58">
        <v>0</v>
      </c>
      <c r="P1903" s="53">
        <v>0</v>
      </c>
      <c r="Q1903" s="65">
        <v>46918.62</v>
      </c>
      <c r="R1903" s="65">
        <v>0</v>
      </c>
      <c r="S1903" s="65">
        <v>0</v>
      </c>
      <c r="T1903" s="65">
        <v>0</v>
      </c>
      <c r="U1903" s="58">
        <v>0</v>
      </c>
      <c r="V1903" s="65">
        <v>0</v>
      </c>
      <c r="W1903" s="65">
        <v>0</v>
      </c>
      <c r="X1903" s="65">
        <v>0</v>
      </c>
      <c r="Y1903" s="65">
        <v>0</v>
      </c>
      <c r="Z1903" s="51">
        <v>46918.62</v>
      </c>
      <c r="AA1903" s="51">
        <v>0</v>
      </c>
      <c r="AB1903" s="102">
        <v>0</v>
      </c>
      <c r="AC1903" s="81">
        <f t="shared" si="90"/>
        <v>0</v>
      </c>
      <c r="AD1903" s="82">
        <f t="shared" si="91"/>
        <v>0</v>
      </c>
      <c r="AE1903" s="218">
        <v>0</v>
      </c>
      <c r="AF1903">
        <v>0</v>
      </c>
      <c r="AH1903" t="str">
        <f t="shared" si="92"/>
        <v>Rosera</v>
      </c>
      <c r="AJ1903" s="72">
        <v>0</v>
      </c>
      <c r="AK1903" s="72"/>
      <c r="AL1903" s="72"/>
      <c r="AM1903" s="72"/>
    </row>
    <row r="1904" spans="1:39" x14ac:dyDescent="0.25">
      <c r="A1904" s="37" t="s">
        <v>62</v>
      </c>
      <c r="B1904" s="66" t="s">
        <v>1638</v>
      </c>
      <c r="C1904" s="41">
        <v>1063</v>
      </c>
      <c r="D1904" s="41" t="s">
        <v>1565</v>
      </c>
      <c r="E1904" s="41">
        <v>10630019</v>
      </c>
      <c r="F1904" s="85" t="s">
        <v>1406</v>
      </c>
      <c r="G1904" s="39" t="s">
        <v>1610</v>
      </c>
      <c r="H1904" s="52" t="s">
        <v>98</v>
      </c>
      <c r="I1904" s="52">
        <v>1138.9000000000001</v>
      </c>
      <c r="J1904" s="49">
        <v>41512.339999999997</v>
      </c>
      <c r="K1904" s="58">
        <v>0</v>
      </c>
      <c r="L1904" s="58">
        <v>0</v>
      </c>
      <c r="M1904" s="58">
        <v>0</v>
      </c>
      <c r="N1904" s="58">
        <v>0</v>
      </c>
      <c r="O1904" s="58">
        <v>0</v>
      </c>
      <c r="P1904" s="53">
        <v>0</v>
      </c>
      <c r="Q1904" s="65">
        <v>41512.339999999997</v>
      </c>
      <c r="R1904" s="65">
        <v>0</v>
      </c>
      <c r="S1904" s="65">
        <v>0</v>
      </c>
      <c r="T1904" s="65">
        <v>0</v>
      </c>
      <c r="U1904" s="58">
        <v>0</v>
      </c>
      <c r="V1904" s="65">
        <v>0</v>
      </c>
      <c r="W1904" s="65">
        <v>0</v>
      </c>
      <c r="X1904" s="65">
        <v>0</v>
      </c>
      <c r="Y1904" s="65">
        <v>0</v>
      </c>
      <c r="Z1904" s="51">
        <v>41512.339999999997</v>
      </c>
      <c r="AA1904" s="51">
        <v>0</v>
      </c>
      <c r="AB1904" s="102">
        <v>0</v>
      </c>
      <c r="AC1904" s="81">
        <f t="shared" si="90"/>
        <v>0</v>
      </c>
      <c r="AD1904" s="82">
        <f t="shared" si="91"/>
        <v>0</v>
      </c>
      <c r="AE1904" s="218">
        <v>0</v>
      </c>
      <c r="AF1904">
        <v>0</v>
      </c>
      <c r="AH1904" t="str">
        <f t="shared" si="92"/>
        <v>Rosera</v>
      </c>
      <c r="AJ1904" s="72">
        <v>0</v>
      </c>
      <c r="AK1904" s="72"/>
      <c r="AL1904" s="72"/>
      <c r="AM1904" s="72"/>
    </row>
    <row r="1905" spans="1:39" x14ac:dyDescent="0.25">
      <c r="A1905" s="37" t="s">
        <v>62</v>
      </c>
      <c r="B1905" s="66" t="s">
        <v>1638</v>
      </c>
      <c r="C1905" s="41">
        <v>1063</v>
      </c>
      <c r="D1905" s="41" t="s">
        <v>1565</v>
      </c>
      <c r="E1905" s="41">
        <v>10630022</v>
      </c>
      <c r="F1905" s="85" t="s">
        <v>1544</v>
      </c>
      <c r="G1905" s="39" t="s">
        <v>1610</v>
      </c>
      <c r="H1905" s="52" t="s">
        <v>98</v>
      </c>
      <c r="I1905" s="52">
        <v>367.09999999999997</v>
      </c>
      <c r="J1905" s="49">
        <v>13729.989999999998</v>
      </c>
      <c r="K1905" s="58">
        <v>0</v>
      </c>
      <c r="L1905" s="58">
        <v>0</v>
      </c>
      <c r="M1905" s="58">
        <v>0</v>
      </c>
      <c r="N1905" s="58">
        <v>0</v>
      </c>
      <c r="O1905" s="58">
        <v>0</v>
      </c>
      <c r="P1905" s="53">
        <v>0</v>
      </c>
      <c r="Q1905" s="65">
        <v>13729.989999999998</v>
      </c>
      <c r="R1905" s="65">
        <v>0</v>
      </c>
      <c r="S1905" s="65">
        <v>0</v>
      </c>
      <c r="T1905" s="65">
        <v>0</v>
      </c>
      <c r="U1905" s="58">
        <v>0</v>
      </c>
      <c r="V1905" s="65">
        <v>0</v>
      </c>
      <c r="W1905" s="65">
        <v>0</v>
      </c>
      <c r="X1905" s="65">
        <v>0</v>
      </c>
      <c r="Y1905" s="65">
        <v>0</v>
      </c>
      <c r="Z1905" s="51">
        <v>13729.989999999998</v>
      </c>
      <c r="AA1905" s="51">
        <v>0</v>
      </c>
      <c r="AB1905" s="102">
        <v>0</v>
      </c>
      <c r="AC1905" s="81">
        <f t="shared" si="90"/>
        <v>249.01736153636611</v>
      </c>
      <c r="AD1905" s="82">
        <f t="shared" si="91"/>
        <v>52.442857142857136</v>
      </c>
      <c r="AE1905" s="218">
        <v>0</v>
      </c>
      <c r="AF1905">
        <v>0</v>
      </c>
      <c r="AH1905" t="str">
        <f t="shared" si="92"/>
        <v>Rosera</v>
      </c>
      <c r="AJ1905" s="72">
        <v>0</v>
      </c>
      <c r="AK1905" s="72"/>
      <c r="AL1905" s="72"/>
      <c r="AM1905" s="72"/>
    </row>
    <row r="1906" spans="1:39" x14ac:dyDescent="0.25">
      <c r="A1906" s="37" t="s">
        <v>62</v>
      </c>
      <c r="B1906" s="66" t="s">
        <v>1638</v>
      </c>
      <c r="C1906" s="41">
        <v>1063</v>
      </c>
      <c r="D1906" s="41" t="s">
        <v>1565</v>
      </c>
      <c r="E1906" s="41">
        <v>10630023</v>
      </c>
      <c r="F1906" s="85" t="s">
        <v>1628</v>
      </c>
      <c r="G1906" s="39" t="s">
        <v>1610</v>
      </c>
      <c r="H1906" s="52" t="s">
        <v>98</v>
      </c>
      <c r="I1906" s="52">
        <v>143.69999999999999</v>
      </c>
      <c r="J1906" s="49">
        <v>5207.88</v>
      </c>
      <c r="K1906" s="58">
        <v>0</v>
      </c>
      <c r="L1906" s="58">
        <v>0</v>
      </c>
      <c r="M1906" s="58">
        <v>0</v>
      </c>
      <c r="N1906" s="58">
        <v>0</v>
      </c>
      <c r="O1906" s="58">
        <v>0</v>
      </c>
      <c r="P1906" s="53">
        <v>0</v>
      </c>
      <c r="Q1906" s="65">
        <v>5207.88</v>
      </c>
      <c r="R1906" s="65">
        <v>0</v>
      </c>
      <c r="S1906" s="65">
        <v>0</v>
      </c>
      <c r="T1906" s="65">
        <v>0</v>
      </c>
      <c r="U1906" s="58">
        <v>0</v>
      </c>
      <c r="V1906" s="65">
        <v>0</v>
      </c>
      <c r="W1906" s="65">
        <v>0</v>
      </c>
      <c r="X1906" s="65">
        <v>0</v>
      </c>
      <c r="Y1906" s="65">
        <v>0</v>
      </c>
      <c r="Z1906" s="51">
        <v>5207.88</v>
      </c>
      <c r="AA1906" s="51">
        <v>0</v>
      </c>
      <c r="AB1906" s="102">
        <v>0</v>
      </c>
      <c r="AC1906" s="81">
        <f t="shared" si="90"/>
        <v>403.22110563674329</v>
      </c>
      <c r="AD1906" s="82">
        <f t="shared" si="91"/>
        <v>20.528571428571428</v>
      </c>
      <c r="AE1906" s="218">
        <v>0</v>
      </c>
      <c r="AF1906">
        <v>0</v>
      </c>
      <c r="AH1906" t="str">
        <f t="shared" si="92"/>
        <v>Rosera</v>
      </c>
      <c r="AJ1906" s="72">
        <v>0</v>
      </c>
      <c r="AK1906" s="72"/>
      <c r="AL1906" s="72"/>
      <c r="AM1906" s="72"/>
    </row>
    <row r="1907" spans="1:39" x14ac:dyDescent="0.25">
      <c r="A1907" s="37" t="s">
        <v>62</v>
      </c>
      <c r="B1907" s="66" t="s">
        <v>1638</v>
      </c>
      <c r="C1907" s="41">
        <v>1063</v>
      </c>
      <c r="D1907" s="41" t="s">
        <v>1565</v>
      </c>
      <c r="E1907" s="41">
        <v>10630024</v>
      </c>
      <c r="F1907" s="85" t="s">
        <v>1570</v>
      </c>
      <c r="G1907" s="39" t="s">
        <v>1610</v>
      </c>
      <c r="H1907" s="52" t="s">
        <v>93</v>
      </c>
      <c r="I1907" s="52">
        <v>12.1</v>
      </c>
      <c r="J1907" s="49">
        <v>593.36</v>
      </c>
      <c r="K1907" s="58">
        <v>12.1</v>
      </c>
      <c r="L1907" s="58">
        <v>593.75</v>
      </c>
      <c r="M1907" s="58">
        <v>0</v>
      </c>
      <c r="N1907" s="58">
        <v>0</v>
      </c>
      <c r="O1907" s="58">
        <v>12.1</v>
      </c>
      <c r="P1907" s="53">
        <v>593.75</v>
      </c>
      <c r="Q1907" s="65">
        <v>593.36</v>
      </c>
      <c r="R1907" s="65">
        <v>0</v>
      </c>
      <c r="S1907" s="65">
        <v>0</v>
      </c>
      <c r="T1907" s="65">
        <v>0.38999999999998636</v>
      </c>
      <c r="U1907" s="58">
        <v>0</v>
      </c>
      <c r="V1907" s="65">
        <v>0</v>
      </c>
      <c r="W1907" s="65">
        <v>0</v>
      </c>
      <c r="X1907" s="65">
        <v>593</v>
      </c>
      <c r="Y1907" s="65">
        <v>0</v>
      </c>
      <c r="Z1907" s="51">
        <v>0</v>
      </c>
      <c r="AA1907" s="51">
        <v>0</v>
      </c>
      <c r="AB1907" s="102">
        <v>0</v>
      </c>
      <c r="AC1907" s="81">
        <f t="shared" si="90"/>
        <v>674.66503140495877</v>
      </c>
      <c r="AD1907" s="82">
        <f t="shared" si="91"/>
        <v>1.7285714285714284</v>
      </c>
      <c r="AE1907" s="218">
        <v>-6.572738303896224E-4</v>
      </c>
      <c r="AF1907">
        <v>1</v>
      </c>
      <c r="AH1907" t="str">
        <f t="shared" si="92"/>
        <v>Rosera</v>
      </c>
      <c r="AJ1907" s="72">
        <v>0</v>
      </c>
      <c r="AK1907" s="72"/>
      <c r="AL1907" s="72"/>
      <c r="AM1907" s="72"/>
    </row>
    <row r="1908" spans="1:39" x14ac:dyDescent="0.25">
      <c r="A1908" s="37" t="s">
        <v>62</v>
      </c>
      <c r="B1908" s="66" t="s">
        <v>1638</v>
      </c>
      <c r="C1908" s="41">
        <v>1063</v>
      </c>
      <c r="D1908" s="41" t="s">
        <v>1565</v>
      </c>
      <c r="E1908" s="41">
        <v>10630025</v>
      </c>
      <c r="F1908" s="85" t="s">
        <v>1607</v>
      </c>
      <c r="G1908" s="39" t="s">
        <v>1610</v>
      </c>
      <c r="H1908" s="52" t="s">
        <v>93</v>
      </c>
      <c r="I1908" s="52">
        <v>286</v>
      </c>
      <c r="J1908" s="49">
        <v>12097.029999999999</v>
      </c>
      <c r="K1908" s="58">
        <v>246.60000000000002</v>
      </c>
      <c r="L1908" s="58">
        <v>12093.849999999999</v>
      </c>
      <c r="M1908" s="58">
        <v>0</v>
      </c>
      <c r="N1908" s="58">
        <v>0</v>
      </c>
      <c r="O1908" s="58">
        <v>246.60000000000002</v>
      </c>
      <c r="P1908" s="53">
        <v>12093.849999999999</v>
      </c>
      <c r="Q1908" s="65">
        <v>12093.849999999999</v>
      </c>
      <c r="R1908" s="65">
        <v>0</v>
      </c>
      <c r="S1908" s="65">
        <v>0</v>
      </c>
      <c r="T1908" s="65">
        <v>0</v>
      </c>
      <c r="U1908" s="58">
        <v>0</v>
      </c>
      <c r="V1908" s="65">
        <v>0</v>
      </c>
      <c r="W1908" s="65">
        <v>0</v>
      </c>
      <c r="X1908" s="65">
        <v>12094</v>
      </c>
      <c r="Y1908" s="65">
        <v>0</v>
      </c>
      <c r="Z1908" s="51">
        <v>0</v>
      </c>
      <c r="AA1908" s="51">
        <v>3</v>
      </c>
      <c r="AB1908" s="102">
        <v>0</v>
      </c>
      <c r="AC1908" s="81">
        <f t="shared" si="90"/>
        <v>350.22170769230769</v>
      </c>
      <c r="AD1908" s="82">
        <f t="shared" si="91"/>
        <v>40.857142857142854</v>
      </c>
      <c r="AE1908" s="218">
        <v>2.6287444108184332E-4</v>
      </c>
      <c r="AF1908">
        <v>1</v>
      </c>
      <c r="AH1908" t="str">
        <f t="shared" si="92"/>
        <v>Rosera</v>
      </c>
      <c r="AJ1908" s="72">
        <v>0</v>
      </c>
      <c r="AK1908" s="72"/>
      <c r="AL1908" s="72"/>
      <c r="AM1908" s="72"/>
    </row>
    <row r="1909" spans="1:39" x14ac:dyDescent="0.25">
      <c r="A1909" s="37" t="s">
        <v>62</v>
      </c>
      <c r="B1909" s="66" t="s">
        <v>1638</v>
      </c>
      <c r="C1909" s="41">
        <v>1063</v>
      </c>
      <c r="D1909" s="41" t="s">
        <v>1565</v>
      </c>
      <c r="E1909" s="41">
        <v>10630026</v>
      </c>
      <c r="F1909" s="85" t="s">
        <v>1608</v>
      </c>
      <c r="G1909" s="39" t="s">
        <v>1610</v>
      </c>
      <c r="H1909" s="52" t="s">
        <v>98</v>
      </c>
      <c r="I1909" s="52">
        <v>170.2</v>
      </c>
      <c r="J1909" s="49">
        <v>5535.49</v>
      </c>
      <c r="K1909" s="58">
        <v>0</v>
      </c>
      <c r="L1909" s="58">
        <v>0</v>
      </c>
      <c r="M1909" s="58">
        <v>0</v>
      </c>
      <c r="N1909" s="58">
        <v>0</v>
      </c>
      <c r="O1909" s="58">
        <v>0</v>
      </c>
      <c r="P1909" s="53">
        <v>0</v>
      </c>
      <c r="Q1909" s="65">
        <v>5535.49</v>
      </c>
      <c r="R1909" s="65">
        <v>0</v>
      </c>
      <c r="S1909" s="65">
        <v>0</v>
      </c>
      <c r="T1909" s="65">
        <v>0</v>
      </c>
      <c r="U1909" s="58">
        <v>0</v>
      </c>
      <c r="V1909" s="65">
        <v>0</v>
      </c>
      <c r="W1909" s="65">
        <v>0</v>
      </c>
      <c r="X1909" s="65">
        <v>0</v>
      </c>
      <c r="Y1909" s="65">
        <v>0</v>
      </c>
      <c r="Z1909" s="51">
        <v>5535.49</v>
      </c>
      <c r="AA1909" s="51">
        <v>0</v>
      </c>
      <c r="AB1909" s="102">
        <v>0</v>
      </c>
      <c r="AC1909" s="81">
        <f t="shared" si="90"/>
        <v>344.61840211515863</v>
      </c>
      <c r="AD1909" s="82">
        <f t="shared" si="91"/>
        <v>24.314285714285713</v>
      </c>
      <c r="AE1909" s="218">
        <v>0</v>
      </c>
      <c r="AF1909">
        <v>0</v>
      </c>
      <c r="AH1909" t="str">
        <f t="shared" si="92"/>
        <v>Rosera</v>
      </c>
      <c r="AJ1909" s="72">
        <v>0</v>
      </c>
      <c r="AK1909" s="72"/>
      <c r="AL1909" s="72"/>
      <c r="AM1909" s="72"/>
    </row>
    <row r="1910" spans="1:39" x14ac:dyDescent="0.25">
      <c r="A1910" s="37" t="s">
        <v>62</v>
      </c>
      <c r="B1910" s="66" t="s">
        <v>1638</v>
      </c>
      <c r="C1910" s="41">
        <v>1063</v>
      </c>
      <c r="D1910" s="41" t="s">
        <v>1565</v>
      </c>
      <c r="E1910" s="41">
        <v>10630028</v>
      </c>
      <c r="F1910" s="85" t="s">
        <v>1590</v>
      </c>
      <c r="G1910" s="39" t="s">
        <v>1610</v>
      </c>
      <c r="H1910" s="52" t="s">
        <v>98</v>
      </c>
      <c r="I1910" s="52">
        <v>10</v>
      </c>
      <c r="J1910" s="49">
        <v>319.2</v>
      </c>
      <c r="K1910" s="58">
        <v>0</v>
      </c>
      <c r="L1910" s="58">
        <v>0</v>
      </c>
      <c r="M1910" s="58">
        <v>0</v>
      </c>
      <c r="N1910" s="58">
        <v>0</v>
      </c>
      <c r="O1910" s="58">
        <v>0</v>
      </c>
      <c r="P1910" s="53">
        <v>0</v>
      </c>
      <c r="Q1910" s="65">
        <v>319.2</v>
      </c>
      <c r="R1910" s="65">
        <v>0</v>
      </c>
      <c r="S1910" s="65">
        <v>0</v>
      </c>
      <c r="T1910" s="65">
        <v>0</v>
      </c>
      <c r="U1910" s="58">
        <v>0</v>
      </c>
      <c r="V1910" s="65">
        <v>0</v>
      </c>
      <c r="W1910" s="65">
        <v>0</v>
      </c>
      <c r="X1910" s="65">
        <v>0</v>
      </c>
      <c r="Y1910" s="65">
        <v>0</v>
      </c>
      <c r="Z1910" s="51">
        <v>319.2</v>
      </c>
      <c r="AA1910" s="51">
        <v>0</v>
      </c>
      <c r="AB1910" s="102">
        <v>0</v>
      </c>
      <c r="AC1910" s="81">
        <f t="shared" si="90"/>
        <v>440.49599999999998</v>
      </c>
      <c r="AD1910" s="82">
        <f t="shared" si="91"/>
        <v>1.4285714285714286</v>
      </c>
      <c r="AE1910" s="218">
        <v>0</v>
      </c>
      <c r="AF1910">
        <v>0</v>
      </c>
      <c r="AH1910" t="str">
        <f t="shared" si="92"/>
        <v>Rosera</v>
      </c>
      <c r="AJ1910" s="72">
        <v>0</v>
      </c>
      <c r="AK1910" s="72"/>
      <c r="AL1910" s="72"/>
      <c r="AM1910" s="72"/>
    </row>
    <row r="1911" spans="1:39" x14ac:dyDescent="0.25">
      <c r="A1911" s="37" t="s">
        <v>62</v>
      </c>
      <c r="B1911" s="66" t="s">
        <v>1638</v>
      </c>
      <c r="C1911" s="41">
        <v>1063</v>
      </c>
      <c r="D1911" s="41" t="s">
        <v>1565</v>
      </c>
      <c r="E1911" s="41">
        <v>10630030</v>
      </c>
      <c r="F1911" s="85" t="s">
        <v>1571</v>
      </c>
      <c r="G1911" s="39" t="s">
        <v>1610</v>
      </c>
      <c r="H1911" s="52" t="s">
        <v>98</v>
      </c>
      <c r="I1911" s="52">
        <v>95.799999999999983</v>
      </c>
      <c r="J1911" s="49">
        <v>3518.23</v>
      </c>
      <c r="K1911" s="58">
        <v>0</v>
      </c>
      <c r="L1911" s="58">
        <v>0</v>
      </c>
      <c r="M1911" s="58">
        <v>0</v>
      </c>
      <c r="N1911" s="58">
        <v>0</v>
      </c>
      <c r="O1911" s="58">
        <v>0</v>
      </c>
      <c r="P1911" s="53">
        <v>0</v>
      </c>
      <c r="Q1911" s="65">
        <v>3518.23</v>
      </c>
      <c r="R1911" s="65">
        <v>0</v>
      </c>
      <c r="S1911" s="65">
        <v>0</v>
      </c>
      <c r="T1911" s="65">
        <v>0</v>
      </c>
      <c r="U1911" s="58">
        <v>0</v>
      </c>
      <c r="V1911" s="65">
        <v>0</v>
      </c>
      <c r="W1911" s="65">
        <v>0</v>
      </c>
      <c r="X1911" s="65">
        <v>0</v>
      </c>
      <c r="Y1911" s="65">
        <v>0</v>
      </c>
      <c r="Z1911" s="51">
        <v>3518.23</v>
      </c>
      <c r="AA1911" s="51">
        <v>0</v>
      </c>
      <c r="AB1911" s="102">
        <v>0</v>
      </c>
      <c r="AC1911" s="81">
        <f t="shared" si="90"/>
        <v>443.78174655532371</v>
      </c>
      <c r="AD1911" s="82">
        <f t="shared" si="91"/>
        <v>13.685714285714283</v>
      </c>
      <c r="AE1911" s="218">
        <v>0</v>
      </c>
      <c r="AF1911">
        <v>0</v>
      </c>
      <c r="AH1911" t="str">
        <f t="shared" si="92"/>
        <v>Rosera</v>
      </c>
      <c r="AJ1911" s="72">
        <v>0</v>
      </c>
      <c r="AK1911" s="72"/>
      <c r="AL1911" s="72"/>
      <c r="AM1911" s="72"/>
    </row>
    <row r="1912" spans="1:39" x14ac:dyDescent="0.25">
      <c r="A1912" s="37" t="s">
        <v>62</v>
      </c>
      <c r="B1912" s="66" t="s">
        <v>1638</v>
      </c>
      <c r="C1912" s="41">
        <v>1063</v>
      </c>
      <c r="D1912" s="41" t="s">
        <v>1565</v>
      </c>
      <c r="E1912" s="41">
        <v>10630032</v>
      </c>
      <c r="F1912" s="85" t="s">
        <v>1572</v>
      </c>
      <c r="G1912" s="39" t="s">
        <v>1610</v>
      </c>
      <c r="H1912" s="52" t="s">
        <v>98</v>
      </c>
      <c r="I1912" s="52">
        <v>192.49999999999997</v>
      </c>
      <c r="J1912" s="49">
        <v>8342.73</v>
      </c>
      <c r="K1912" s="58">
        <v>0</v>
      </c>
      <c r="L1912" s="58">
        <v>0</v>
      </c>
      <c r="M1912" s="58">
        <v>0</v>
      </c>
      <c r="N1912" s="58">
        <v>0</v>
      </c>
      <c r="O1912" s="58">
        <v>0</v>
      </c>
      <c r="P1912" s="53">
        <v>0</v>
      </c>
      <c r="Q1912" s="65">
        <v>8342.73</v>
      </c>
      <c r="R1912" s="65">
        <v>0</v>
      </c>
      <c r="S1912" s="65">
        <v>0</v>
      </c>
      <c r="T1912" s="65">
        <v>0</v>
      </c>
      <c r="U1912" s="58">
        <v>0</v>
      </c>
      <c r="V1912" s="65">
        <v>0</v>
      </c>
      <c r="W1912" s="65">
        <v>0</v>
      </c>
      <c r="X1912" s="65">
        <v>0</v>
      </c>
      <c r="Y1912" s="65">
        <v>0</v>
      </c>
      <c r="Z1912" s="51">
        <v>8342.73</v>
      </c>
      <c r="AA1912" s="51">
        <v>0</v>
      </c>
      <c r="AB1912" s="102">
        <v>0</v>
      </c>
      <c r="AC1912" s="81">
        <f t="shared" si="90"/>
        <v>439.88940000000002</v>
      </c>
      <c r="AD1912" s="82">
        <f t="shared" si="91"/>
        <v>27.499999999999996</v>
      </c>
      <c r="AE1912" s="218">
        <v>0</v>
      </c>
      <c r="AF1912">
        <v>0</v>
      </c>
      <c r="AH1912" t="str">
        <f t="shared" si="92"/>
        <v>Rosera</v>
      </c>
      <c r="AJ1912" s="72">
        <v>0</v>
      </c>
      <c r="AK1912" s="72"/>
      <c r="AL1912" s="72"/>
      <c r="AM1912" s="72"/>
    </row>
    <row r="1913" spans="1:39" x14ac:dyDescent="0.25">
      <c r="A1913" s="37" t="s">
        <v>62</v>
      </c>
      <c r="B1913" s="66" t="s">
        <v>1638</v>
      </c>
      <c r="C1913" s="41">
        <v>1063</v>
      </c>
      <c r="D1913" s="41" t="s">
        <v>1565</v>
      </c>
      <c r="E1913" s="41">
        <v>10630033</v>
      </c>
      <c r="F1913" s="85" t="s">
        <v>1573</v>
      </c>
      <c r="G1913" s="39" t="s">
        <v>1610</v>
      </c>
      <c r="H1913" s="52" t="s">
        <v>98</v>
      </c>
      <c r="I1913" s="52">
        <v>21.4</v>
      </c>
      <c r="J1913" s="49">
        <v>850.86</v>
      </c>
      <c r="K1913" s="58">
        <v>0</v>
      </c>
      <c r="L1913" s="58">
        <v>0</v>
      </c>
      <c r="M1913" s="58">
        <v>0</v>
      </c>
      <c r="N1913" s="58">
        <v>0</v>
      </c>
      <c r="O1913" s="58">
        <v>0</v>
      </c>
      <c r="P1913" s="53">
        <v>0</v>
      </c>
      <c r="Q1913" s="65">
        <v>850.86</v>
      </c>
      <c r="R1913" s="65">
        <v>0</v>
      </c>
      <c r="S1913" s="65">
        <v>0</v>
      </c>
      <c r="T1913" s="65">
        <v>0</v>
      </c>
      <c r="U1913" s="58">
        <v>0</v>
      </c>
      <c r="V1913" s="65">
        <v>0</v>
      </c>
      <c r="W1913" s="65">
        <v>0</v>
      </c>
      <c r="X1913" s="65">
        <v>0</v>
      </c>
      <c r="Y1913" s="65">
        <v>0</v>
      </c>
      <c r="Z1913" s="51">
        <v>850.86</v>
      </c>
      <c r="AA1913" s="51">
        <v>0</v>
      </c>
      <c r="AB1913" s="102">
        <v>0</v>
      </c>
      <c r="AC1913" s="81">
        <f t="shared" si="90"/>
        <v>539.6201831775702</v>
      </c>
      <c r="AD1913" s="82">
        <f t="shared" si="91"/>
        <v>3.0571428571428569</v>
      </c>
      <c r="AE1913" s="218">
        <v>0</v>
      </c>
      <c r="AF1913">
        <v>0</v>
      </c>
      <c r="AH1913" t="str">
        <f t="shared" si="92"/>
        <v>Rosera</v>
      </c>
      <c r="AJ1913" s="72">
        <v>0</v>
      </c>
      <c r="AK1913" s="72"/>
      <c r="AL1913" s="72"/>
      <c r="AM1913" s="72"/>
    </row>
    <row r="1914" spans="1:39" x14ac:dyDescent="0.25">
      <c r="A1914" s="37" t="s">
        <v>62</v>
      </c>
      <c r="B1914" s="66" t="s">
        <v>1638</v>
      </c>
      <c r="C1914" s="41">
        <v>1063</v>
      </c>
      <c r="D1914" s="41" t="s">
        <v>1565</v>
      </c>
      <c r="E1914" s="41">
        <v>10630034</v>
      </c>
      <c r="F1914" s="85" t="s">
        <v>1574</v>
      </c>
      <c r="G1914" s="39" t="s">
        <v>1610</v>
      </c>
      <c r="H1914" s="52" t="s">
        <v>98</v>
      </c>
      <c r="I1914" s="52">
        <v>177.39999999999998</v>
      </c>
      <c r="J1914" s="49">
        <v>5369.39</v>
      </c>
      <c r="K1914" s="58">
        <v>0</v>
      </c>
      <c r="L1914" s="58">
        <v>0</v>
      </c>
      <c r="M1914" s="58">
        <v>0</v>
      </c>
      <c r="N1914" s="58">
        <v>0</v>
      </c>
      <c r="O1914" s="58">
        <v>0</v>
      </c>
      <c r="P1914" s="53">
        <v>0</v>
      </c>
      <c r="Q1914" s="65">
        <v>5369.39</v>
      </c>
      <c r="R1914" s="65">
        <v>0</v>
      </c>
      <c r="S1914" s="65">
        <v>0</v>
      </c>
      <c r="T1914" s="65">
        <v>0</v>
      </c>
      <c r="U1914" s="58">
        <v>0</v>
      </c>
      <c r="V1914" s="65">
        <v>0</v>
      </c>
      <c r="W1914" s="65">
        <v>0</v>
      </c>
      <c r="X1914" s="65">
        <v>0</v>
      </c>
      <c r="Y1914" s="65">
        <v>0</v>
      </c>
      <c r="Z1914" s="51">
        <v>5369.39</v>
      </c>
      <c r="AA1914" s="51">
        <v>0</v>
      </c>
      <c r="AB1914" s="102">
        <v>0</v>
      </c>
      <c r="AC1914" s="81">
        <f t="shared" si="90"/>
        <v>316.35210980834285</v>
      </c>
      <c r="AD1914" s="82">
        <f t="shared" si="91"/>
        <v>25.342857142857138</v>
      </c>
      <c r="AE1914" s="218">
        <v>0</v>
      </c>
      <c r="AF1914">
        <v>0</v>
      </c>
      <c r="AH1914" t="str">
        <f t="shared" si="92"/>
        <v>Rosera</v>
      </c>
      <c r="AJ1914" s="72">
        <v>0</v>
      </c>
      <c r="AK1914" s="72"/>
      <c r="AL1914" s="72"/>
      <c r="AM1914" s="72"/>
    </row>
    <row r="1915" spans="1:39" x14ac:dyDescent="0.25">
      <c r="A1915" s="37" t="s">
        <v>62</v>
      </c>
      <c r="B1915" s="66" t="s">
        <v>1638</v>
      </c>
      <c r="C1915" s="41">
        <v>1063</v>
      </c>
      <c r="D1915" s="41" t="s">
        <v>1565</v>
      </c>
      <c r="E1915" s="41">
        <v>10630035</v>
      </c>
      <c r="F1915" s="85" t="s">
        <v>1575</v>
      </c>
      <c r="G1915" s="39" t="s">
        <v>1610</v>
      </c>
      <c r="H1915" s="52" t="s">
        <v>98</v>
      </c>
      <c r="I1915" s="52">
        <v>252.29999999999998</v>
      </c>
      <c r="J1915" s="49">
        <v>8401.9699999999993</v>
      </c>
      <c r="K1915" s="58">
        <v>0</v>
      </c>
      <c r="L1915" s="58">
        <v>0</v>
      </c>
      <c r="M1915" s="58">
        <v>0</v>
      </c>
      <c r="N1915" s="58">
        <v>0</v>
      </c>
      <c r="O1915" s="58">
        <v>0</v>
      </c>
      <c r="P1915" s="53">
        <v>0</v>
      </c>
      <c r="Q1915" s="65">
        <v>8401.9699999999993</v>
      </c>
      <c r="R1915" s="65">
        <v>0</v>
      </c>
      <c r="S1915" s="65">
        <v>0</v>
      </c>
      <c r="T1915" s="65">
        <v>0</v>
      </c>
      <c r="U1915" s="58">
        <v>0</v>
      </c>
      <c r="V1915" s="65">
        <v>0</v>
      </c>
      <c r="W1915" s="65">
        <v>0</v>
      </c>
      <c r="X1915" s="65">
        <v>0</v>
      </c>
      <c r="Y1915" s="65">
        <v>0</v>
      </c>
      <c r="Z1915" s="51">
        <v>8401.9699999999993</v>
      </c>
      <c r="AA1915" s="51">
        <v>0</v>
      </c>
      <c r="AB1915" s="102">
        <v>0</v>
      </c>
      <c r="AC1915" s="81">
        <f t="shared" si="90"/>
        <v>298.18168600871979</v>
      </c>
      <c r="AD1915" s="82">
        <f t="shared" si="91"/>
        <v>36.042857142857137</v>
      </c>
      <c r="AE1915" s="218">
        <v>0</v>
      </c>
      <c r="AF1915">
        <v>0</v>
      </c>
      <c r="AH1915" t="str">
        <f t="shared" si="92"/>
        <v>Rosera</v>
      </c>
      <c r="AJ1915" s="72">
        <v>0</v>
      </c>
      <c r="AK1915" s="72"/>
      <c r="AL1915" s="72"/>
      <c r="AM1915" s="72"/>
    </row>
    <row r="1916" spans="1:39" x14ac:dyDescent="0.25">
      <c r="A1916" s="37" t="s">
        <v>62</v>
      </c>
      <c r="B1916" s="66" t="s">
        <v>1638</v>
      </c>
      <c r="C1916" s="41">
        <v>1063</v>
      </c>
      <c r="D1916" s="41" t="s">
        <v>1565</v>
      </c>
      <c r="E1916" s="41">
        <v>10630036</v>
      </c>
      <c r="F1916" s="85" t="s">
        <v>1591</v>
      </c>
      <c r="G1916" s="39" t="s">
        <v>1610</v>
      </c>
      <c r="H1916" s="52" t="s">
        <v>98</v>
      </c>
      <c r="I1916" s="52">
        <v>513.79999999999995</v>
      </c>
      <c r="J1916" s="49">
        <v>17855.53</v>
      </c>
      <c r="K1916" s="58">
        <v>0</v>
      </c>
      <c r="L1916" s="58">
        <v>0</v>
      </c>
      <c r="M1916" s="58">
        <v>0</v>
      </c>
      <c r="N1916" s="58">
        <v>0</v>
      </c>
      <c r="O1916" s="58">
        <v>0</v>
      </c>
      <c r="P1916" s="53">
        <v>0</v>
      </c>
      <c r="Q1916" s="65">
        <v>17855.53</v>
      </c>
      <c r="R1916" s="65">
        <v>0</v>
      </c>
      <c r="S1916" s="65">
        <v>0</v>
      </c>
      <c r="T1916" s="65">
        <v>0</v>
      </c>
      <c r="U1916" s="58">
        <v>0</v>
      </c>
      <c r="V1916" s="65">
        <v>0</v>
      </c>
      <c r="W1916" s="65">
        <v>0</v>
      </c>
      <c r="X1916" s="65">
        <v>0</v>
      </c>
      <c r="Y1916" s="65">
        <v>0</v>
      </c>
      <c r="Z1916" s="51">
        <v>17855.53</v>
      </c>
      <c r="AA1916" s="51">
        <v>0</v>
      </c>
      <c r="AB1916" s="102">
        <v>0</v>
      </c>
      <c r="AC1916" s="81">
        <f t="shared" si="90"/>
        <v>129.41610299727526</v>
      </c>
      <c r="AD1916" s="82">
        <f t="shared" si="91"/>
        <v>73.399999999999991</v>
      </c>
      <c r="AE1916" s="218">
        <v>0</v>
      </c>
      <c r="AF1916">
        <v>0</v>
      </c>
      <c r="AH1916" t="str">
        <f t="shared" si="92"/>
        <v>Rosera</v>
      </c>
      <c r="AJ1916" s="72">
        <v>0</v>
      </c>
      <c r="AK1916" s="72"/>
      <c r="AL1916" s="72"/>
      <c r="AM1916" s="72"/>
    </row>
    <row r="1917" spans="1:39" x14ac:dyDescent="0.25">
      <c r="A1917" s="37" t="s">
        <v>62</v>
      </c>
      <c r="B1917" s="66" t="s">
        <v>1638</v>
      </c>
      <c r="C1917" s="41">
        <v>1063</v>
      </c>
      <c r="D1917" s="41" t="s">
        <v>1565</v>
      </c>
      <c r="E1917" s="41">
        <v>10630038</v>
      </c>
      <c r="F1917" s="85" t="s">
        <v>1629</v>
      </c>
      <c r="G1917" s="39" t="s">
        <v>1610</v>
      </c>
      <c r="H1917" s="52" t="s">
        <v>98</v>
      </c>
      <c r="I1917" s="52">
        <v>282.3</v>
      </c>
      <c r="J1917" s="49">
        <v>9734.83</v>
      </c>
      <c r="K1917" s="58">
        <v>0</v>
      </c>
      <c r="L1917" s="58">
        <v>0</v>
      </c>
      <c r="M1917" s="58">
        <v>0</v>
      </c>
      <c r="N1917" s="58">
        <v>0</v>
      </c>
      <c r="O1917" s="58">
        <v>0</v>
      </c>
      <c r="P1917" s="53">
        <v>0</v>
      </c>
      <c r="Q1917" s="65">
        <v>9734.83</v>
      </c>
      <c r="R1917" s="65">
        <v>0</v>
      </c>
      <c r="S1917" s="65">
        <v>0</v>
      </c>
      <c r="T1917" s="65">
        <v>0</v>
      </c>
      <c r="U1917" s="58">
        <v>0</v>
      </c>
      <c r="V1917" s="65">
        <v>0</v>
      </c>
      <c r="W1917" s="65">
        <v>0</v>
      </c>
      <c r="X1917" s="65">
        <v>0</v>
      </c>
      <c r="Y1917" s="65">
        <v>0</v>
      </c>
      <c r="Z1917" s="51">
        <v>9734.83</v>
      </c>
      <c r="AA1917" s="51">
        <v>0</v>
      </c>
      <c r="AB1917" s="102">
        <v>0</v>
      </c>
      <c r="AC1917" s="81">
        <f t="shared" si="90"/>
        <v>288.07924130357776</v>
      </c>
      <c r="AD1917" s="82">
        <f t="shared" si="91"/>
        <v>40.328571428571429</v>
      </c>
      <c r="AE1917" s="218">
        <v>0</v>
      </c>
      <c r="AF1917">
        <v>0</v>
      </c>
      <c r="AH1917" t="str">
        <f t="shared" si="92"/>
        <v>Rosera</v>
      </c>
      <c r="AJ1917" s="72">
        <v>0</v>
      </c>
      <c r="AK1917" s="72"/>
      <c r="AL1917" s="72"/>
      <c r="AM1917" s="72"/>
    </row>
    <row r="1918" spans="1:39" x14ac:dyDescent="0.25">
      <c r="A1918" s="37" t="s">
        <v>62</v>
      </c>
      <c r="B1918" s="66" t="s">
        <v>1638</v>
      </c>
      <c r="C1918" s="41">
        <v>1063</v>
      </c>
      <c r="D1918" s="41" t="s">
        <v>1565</v>
      </c>
      <c r="E1918" s="41">
        <v>10630039</v>
      </c>
      <c r="F1918" s="85" t="s">
        <v>1630</v>
      </c>
      <c r="G1918" s="39" t="s">
        <v>1610</v>
      </c>
      <c r="H1918" s="52" t="s">
        <v>98</v>
      </c>
      <c r="I1918" s="52">
        <v>311.5</v>
      </c>
      <c r="J1918" s="49">
        <v>10976.21</v>
      </c>
      <c r="K1918" s="58">
        <v>0</v>
      </c>
      <c r="L1918" s="58">
        <v>0</v>
      </c>
      <c r="M1918" s="58">
        <v>0</v>
      </c>
      <c r="N1918" s="58">
        <v>0</v>
      </c>
      <c r="O1918" s="58">
        <v>0</v>
      </c>
      <c r="P1918" s="53">
        <v>0</v>
      </c>
      <c r="Q1918" s="65">
        <v>10976.21</v>
      </c>
      <c r="R1918" s="65">
        <v>0</v>
      </c>
      <c r="S1918" s="65">
        <v>0</v>
      </c>
      <c r="T1918" s="65">
        <v>0</v>
      </c>
      <c r="U1918" s="58">
        <v>0</v>
      </c>
      <c r="V1918" s="65">
        <v>0</v>
      </c>
      <c r="W1918" s="65">
        <v>0</v>
      </c>
      <c r="X1918" s="65">
        <v>0</v>
      </c>
      <c r="Y1918" s="65">
        <v>0</v>
      </c>
      <c r="Z1918" s="51">
        <v>10976.21</v>
      </c>
      <c r="AA1918" s="51">
        <v>0</v>
      </c>
      <c r="AB1918" s="102">
        <v>0</v>
      </c>
      <c r="AC1918" s="81">
        <f t="shared" si="90"/>
        <v>273.788608988764</v>
      </c>
      <c r="AD1918" s="82">
        <f t="shared" si="91"/>
        <v>44.5</v>
      </c>
      <c r="AE1918" s="218">
        <v>0</v>
      </c>
      <c r="AF1918">
        <v>0</v>
      </c>
      <c r="AH1918" t="str">
        <f t="shared" si="92"/>
        <v>Rosera</v>
      </c>
      <c r="AJ1918" s="72">
        <v>0</v>
      </c>
      <c r="AK1918" s="72"/>
      <c r="AL1918" s="72"/>
      <c r="AM1918" s="72"/>
    </row>
    <row r="1919" spans="1:39" x14ac:dyDescent="0.25">
      <c r="A1919" s="37" t="s">
        <v>62</v>
      </c>
      <c r="B1919" s="66" t="s">
        <v>1638</v>
      </c>
      <c r="C1919" s="41">
        <v>1063</v>
      </c>
      <c r="D1919" s="41" t="s">
        <v>1565</v>
      </c>
      <c r="E1919" s="41">
        <v>10630040</v>
      </c>
      <c r="F1919" s="85" t="s">
        <v>1631</v>
      </c>
      <c r="G1919" s="39" t="s">
        <v>1610</v>
      </c>
      <c r="H1919" s="52" t="s">
        <v>98</v>
      </c>
      <c r="I1919" s="52">
        <v>159.69999999999999</v>
      </c>
      <c r="J1919" s="49">
        <v>4816.8100000000004</v>
      </c>
      <c r="K1919" s="58">
        <v>0</v>
      </c>
      <c r="L1919" s="58">
        <v>0</v>
      </c>
      <c r="M1919" s="58">
        <v>0</v>
      </c>
      <c r="N1919" s="58">
        <v>0</v>
      </c>
      <c r="O1919" s="58">
        <v>0</v>
      </c>
      <c r="P1919" s="53">
        <v>0</v>
      </c>
      <c r="Q1919" s="65">
        <v>4816.8100000000004</v>
      </c>
      <c r="R1919" s="65">
        <v>0</v>
      </c>
      <c r="S1919" s="65">
        <v>0</v>
      </c>
      <c r="T1919" s="65">
        <v>0</v>
      </c>
      <c r="U1919" s="58">
        <v>0</v>
      </c>
      <c r="V1919" s="65">
        <v>0</v>
      </c>
      <c r="W1919" s="65">
        <v>0</v>
      </c>
      <c r="X1919" s="65">
        <v>0</v>
      </c>
      <c r="Y1919" s="65">
        <v>0</v>
      </c>
      <c r="Z1919" s="51">
        <v>4816.8100000000004</v>
      </c>
      <c r="AA1919" s="51">
        <v>0</v>
      </c>
      <c r="AB1919" s="102">
        <v>0</v>
      </c>
      <c r="AC1919" s="81">
        <f t="shared" si="90"/>
        <v>325.92641740763935</v>
      </c>
      <c r="AD1919" s="82">
        <f t="shared" si="91"/>
        <v>22.814285714285713</v>
      </c>
      <c r="AE1919" s="218">
        <v>0</v>
      </c>
      <c r="AF1919">
        <v>0</v>
      </c>
      <c r="AH1919" t="str">
        <f t="shared" si="92"/>
        <v>Rosera</v>
      </c>
      <c r="AJ1919" s="72">
        <v>0</v>
      </c>
      <c r="AK1919" s="72"/>
      <c r="AL1919" s="72"/>
      <c r="AM1919" s="72"/>
    </row>
    <row r="1920" spans="1:39" x14ac:dyDescent="0.25">
      <c r="A1920" s="37" t="s">
        <v>62</v>
      </c>
      <c r="B1920" s="66" t="s">
        <v>1638</v>
      </c>
      <c r="C1920" s="41">
        <v>1063</v>
      </c>
      <c r="D1920" s="41" t="s">
        <v>1565</v>
      </c>
      <c r="E1920" s="41">
        <v>10630041</v>
      </c>
      <c r="F1920" s="85" t="s">
        <v>1632</v>
      </c>
      <c r="G1920" s="39" t="s">
        <v>1610</v>
      </c>
      <c r="H1920" s="52" t="s">
        <v>98</v>
      </c>
      <c r="I1920" s="52">
        <v>174.2</v>
      </c>
      <c r="J1920" s="49">
        <v>6039.84</v>
      </c>
      <c r="K1920" s="58">
        <v>0</v>
      </c>
      <c r="L1920" s="58">
        <v>0</v>
      </c>
      <c r="M1920" s="58">
        <v>0</v>
      </c>
      <c r="N1920" s="58">
        <v>0</v>
      </c>
      <c r="O1920" s="58">
        <v>0</v>
      </c>
      <c r="P1920" s="53">
        <v>0</v>
      </c>
      <c r="Q1920" s="65">
        <v>6039.84</v>
      </c>
      <c r="R1920" s="65">
        <v>0</v>
      </c>
      <c r="S1920" s="65">
        <v>0</v>
      </c>
      <c r="T1920" s="65">
        <v>0</v>
      </c>
      <c r="U1920" s="58">
        <v>0</v>
      </c>
      <c r="V1920" s="65">
        <v>0</v>
      </c>
      <c r="W1920" s="65">
        <v>0</v>
      </c>
      <c r="X1920" s="65">
        <v>0</v>
      </c>
      <c r="Y1920" s="65">
        <v>0</v>
      </c>
      <c r="Z1920" s="51">
        <v>6039.84</v>
      </c>
      <c r="AA1920" s="51">
        <v>0</v>
      </c>
      <c r="AB1920" s="102">
        <v>0</v>
      </c>
      <c r="AC1920" s="81">
        <f t="shared" ref="AC1920:AC1981" si="93">((IF(AD1920=0,0,100-AD1920))*7*(J1920/I1920))*2%</f>
        <v>364.6093997703789</v>
      </c>
      <c r="AD1920" s="82">
        <f t="shared" ref="AD1920:AD1981" si="94">IF((I1920/7)&gt;100,0,(I1920/7))</f>
        <v>24.885714285714283</v>
      </c>
      <c r="AE1920" s="218">
        <v>0</v>
      </c>
      <c r="AF1920">
        <v>0</v>
      </c>
      <c r="AH1920" t="str">
        <f t="shared" si="92"/>
        <v>Rosera</v>
      </c>
      <c r="AJ1920" s="72">
        <v>0</v>
      </c>
      <c r="AK1920" s="72"/>
      <c r="AL1920" s="72"/>
      <c r="AM1920" s="72"/>
    </row>
    <row r="1921" spans="1:39" x14ac:dyDescent="0.25">
      <c r="A1921" s="37" t="s">
        <v>62</v>
      </c>
      <c r="B1921" s="66" t="s">
        <v>1638</v>
      </c>
      <c r="C1921" s="41">
        <v>1063</v>
      </c>
      <c r="D1921" s="41" t="s">
        <v>1565</v>
      </c>
      <c r="E1921" s="41">
        <v>10630042</v>
      </c>
      <c r="F1921" s="85" t="s">
        <v>1633</v>
      </c>
      <c r="G1921" s="39" t="s">
        <v>1610</v>
      </c>
      <c r="H1921" s="52" t="s">
        <v>98</v>
      </c>
      <c r="I1921" s="52">
        <v>147.80000000000001</v>
      </c>
      <c r="J1921" s="49">
        <v>5037.8500000000004</v>
      </c>
      <c r="K1921" s="58">
        <v>0</v>
      </c>
      <c r="L1921" s="58">
        <v>0</v>
      </c>
      <c r="M1921" s="58">
        <v>0</v>
      </c>
      <c r="N1921" s="58">
        <v>0</v>
      </c>
      <c r="O1921" s="58">
        <v>0</v>
      </c>
      <c r="P1921" s="53">
        <v>0</v>
      </c>
      <c r="Q1921" s="65">
        <v>5037.8500000000004</v>
      </c>
      <c r="R1921" s="65">
        <v>0</v>
      </c>
      <c r="S1921" s="65">
        <v>0</v>
      </c>
      <c r="T1921" s="65">
        <v>0</v>
      </c>
      <c r="U1921" s="58">
        <v>0</v>
      </c>
      <c r="V1921" s="65">
        <v>0</v>
      </c>
      <c r="W1921" s="65">
        <v>0</v>
      </c>
      <c r="X1921" s="65">
        <v>0</v>
      </c>
      <c r="Y1921" s="65">
        <v>0</v>
      </c>
      <c r="Z1921" s="51">
        <v>5037.8500000000004</v>
      </c>
      <c r="AA1921" s="51">
        <v>0</v>
      </c>
      <c r="AB1921" s="102">
        <v>0</v>
      </c>
      <c r="AC1921" s="81">
        <f t="shared" si="93"/>
        <v>376.44124086603523</v>
      </c>
      <c r="AD1921" s="82">
        <f t="shared" si="94"/>
        <v>21.114285714285717</v>
      </c>
      <c r="AE1921" s="218">
        <v>0</v>
      </c>
      <c r="AF1921">
        <v>0</v>
      </c>
      <c r="AH1921" t="str">
        <f t="shared" si="92"/>
        <v>Rosera</v>
      </c>
      <c r="AJ1921" s="72">
        <v>0</v>
      </c>
      <c r="AK1921" s="72"/>
      <c r="AL1921" s="72"/>
      <c r="AM1921" s="72"/>
    </row>
    <row r="1922" spans="1:39" x14ac:dyDescent="0.25">
      <c r="A1922" s="37" t="s">
        <v>62</v>
      </c>
      <c r="B1922" s="66" t="s">
        <v>1638</v>
      </c>
      <c r="C1922" s="41">
        <v>1063</v>
      </c>
      <c r="D1922" s="41" t="s">
        <v>1565</v>
      </c>
      <c r="E1922" s="41">
        <v>10630043</v>
      </c>
      <c r="F1922" s="85" t="s">
        <v>1634</v>
      </c>
      <c r="G1922" s="39" t="s">
        <v>1610</v>
      </c>
      <c r="H1922" s="52" t="s">
        <v>98</v>
      </c>
      <c r="I1922" s="52">
        <v>57.4</v>
      </c>
      <c r="J1922" s="49">
        <v>1923.17</v>
      </c>
      <c r="K1922" s="58">
        <v>0</v>
      </c>
      <c r="L1922" s="58">
        <v>0</v>
      </c>
      <c r="M1922" s="58">
        <v>0</v>
      </c>
      <c r="N1922" s="58">
        <v>0</v>
      </c>
      <c r="O1922" s="58">
        <v>0</v>
      </c>
      <c r="P1922" s="53">
        <v>0</v>
      </c>
      <c r="Q1922" s="65">
        <v>1923.17</v>
      </c>
      <c r="R1922" s="65">
        <v>0</v>
      </c>
      <c r="S1922" s="65">
        <v>0</v>
      </c>
      <c r="T1922" s="65">
        <v>0</v>
      </c>
      <c r="U1922" s="58">
        <v>0</v>
      </c>
      <c r="V1922" s="65">
        <v>0</v>
      </c>
      <c r="W1922" s="65">
        <v>0</v>
      </c>
      <c r="X1922" s="65">
        <v>0</v>
      </c>
      <c r="Y1922" s="65">
        <v>0</v>
      </c>
      <c r="Z1922" s="51">
        <v>1923.17</v>
      </c>
      <c r="AA1922" s="51">
        <v>0</v>
      </c>
      <c r="AB1922" s="102">
        <v>0</v>
      </c>
      <c r="AC1922" s="81">
        <f t="shared" si="93"/>
        <v>430.60245365853672</v>
      </c>
      <c r="AD1922" s="82">
        <f t="shared" si="94"/>
        <v>8.1999999999999993</v>
      </c>
      <c r="AE1922" s="218">
        <v>0</v>
      </c>
      <c r="AF1922">
        <v>0</v>
      </c>
      <c r="AH1922" t="str">
        <f t="shared" si="92"/>
        <v>Rosera</v>
      </c>
      <c r="AJ1922" s="72">
        <v>0</v>
      </c>
      <c r="AK1922" s="72"/>
      <c r="AL1922" s="72"/>
      <c r="AM1922" s="72"/>
    </row>
    <row r="1923" spans="1:39" x14ac:dyDescent="0.25">
      <c r="A1923" s="37" t="s">
        <v>62</v>
      </c>
      <c r="B1923" s="66" t="s">
        <v>1638</v>
      </c>
      <c r="C1923" s="41">
        <v>1062</v>
      </c>
      <c r="D1923" s="41" t="s">
        <v>1381</v>
      </c>
      <c r="E1923" s="41">
        <v>10640001</v>
      </c>
      <c r="F1923" s="85" t="s">
        <v>1382</v>
      </c>
      <c r="G1923" s="39" t="s">
        <v>92</v>
      </c>
      <c r="H1923" s="52" t="s">
        <v>93</v>
      </c>
      <c r="I1923" s="52">
        <v>1181.9099999999999</v>
      </c>
      <c r="J1923" s="49">
        <v>49132.75</v>
      </c>
      <c r="K1923" s="58">
        <v>1186.1000000000001</v>
      </c>
      <c r="L1923" s="58">
        <v>48047.95</v>
      </c>
      <c r="M1923" s="58">
        <v>0</v>
      </c>
      <c r="N1923" s="58">
        <v>0</v>
      </c>
      <c r="O1923" s="58">
        <v>1186.1000000000001</v>
      </c>
      <c r="P1923" s="53">
        <v>48047.95</v>
      </c>
      <c r="Q1923" s="65">
        <v>48047.95</v>
      </c>
      <c r="R1923" s="65">
        <v>0</v>
      </c>
      <c r="S1923" s="65">
        <v>0</v>
      </c>
      <c r="T1923" s="65">
        <v>0</v>
      </c>
      <c r="U1923" s="58">
        <v>0</v>
      </c>
      <c r="V1923" s="65">
        <v>0</v>
      </c>
      <c r="W1923" s="65">
        <v>0</v>
      </c>
      <c r="X1923" s="65">
        <v>48048</v>
      </c>
      <c r="Y1923" s="65">
        <v>0</v>
      </c>
      <c r="Z1923" s="51">
        <v>0</v>
      </c>
      <c r="AA1923" s="51">
        <v>1085</v>
      </c>
      <c r="AB1923" s="102">
        <v>0</v>
      </c>
      <c r="AC1923" s="81">
        <f t="shared" si="93"/>
        <v>0</v>
      </c>
      <c r="AD1923" s="82">
        <f t="shared" si="94"/>
        <v>0</v>
      </c>
      <c r="AE1923" s="218">
        <v>2.2078959553454732E-2</v>
      </c>
      <c r="AF1923">
        <v>5</v>
      </c>
      <c r="AH1923" t="str">
        <f t="shared" si="92"/>
        <v>Singhia BMC</v>
      </c>
      <c r="AJ1923" s="72">
        <v>0</v>
      </c>
      <c r="AK1923" s="72"/>
      <c r="AL1923" s="72"/>
      <c r="AM1923" s="72"/>
    </row>
    <row r="1924" spans="1:39" x14ac:dyDescent="0.25">
      <c r="A1924" s="37" t="s">
        <v>62</v>
      </c>
      <c r="B1924" s="66" t="s">
        <v>1638</v>
      </c>
      <c r="C1924" s="41">
        <v>1062</v>
      </c>
      <c r="D1924" s="41" t="s">
        <v>1381</v>
      </c>
      <c r="E1924" s="41">
        <v>10640003</v>
      </c>
      <c r="F1924" s="85" t="s">
        <v>1383</v>
      </c>
      <c r="G1924" s="39" t="s">
        <v>92</v>
      </c>
      <c r="H1924" s="52" t="s">
        <v>93</v>
      </c>
      <c r="I1924" s="52">
        <v>1666.5400000000002</v>
      </c>
      <c r="J1924" s="49">
        <v>74398.99000000002</v>
      </c>
      <c r="K1924" s="58">
        <v>1683.3</v>
      </c>
      <c r="L1924" s="58">
        <v>74496.069999999992</v>
      </c>
      <c r="M1924" s="58">
        <v>16.999999999999996</v>
      </c>
      <c r="N1924" s="58">
        <v>722.95</v>
      </c>
      <c r="O1924" s="58">
        <v>1700.3</v>
      </c>
      <c r="P1924" s="53">
        <v>75219.01999999999</v>
      </c>
      <c r="Q1924" s="65">
        <v>74398.99000000002</v>
      </c>
      <c r="R1924" s="65">
        <v>0</v>
      </c>
      <c r="S1924" s="65">
        <v>722.95</v>
      </c>
      <c r="T1924" s="65">
        <v>820.02999999996973</v>
      </c>
      <c r="U1924" s="58">
        <v>0</v>
      </c>
      <c r="V1924" s="65">
        <v>0</v>
      </c>
      <c r="W1924" s="65">
        <v>0</v>
      </c>
      <c r="X1924" s="65">
        <v>73676</v>
      </c>
      <c r="Y1924" s="65">
        <v>0</v>
      </c>
      <c r="Z1924" s="51">
        <v>0</v>
      </c>
      <c r="AA1924" s="51">
        <v>0</v>
      </c>
      <c r="AB1924" s="102">
        <v>0</v>
      </c>
      <c r="AC1924" s="81">
        <f t="shared" si="93"/>
        <v>0</v>
      </c>
      <c r="AD1924" s="82">
        <f t="shared" si="94"/>
        <v>0</v>
      </c>
      <c r="AE1924" s="218">
        <v>-1.1022058229553513E-2</v>
      </c>
      <c r="AF1924">
        <v>30</v>
      </c>
      <c r="AH1924" t="str">
        <f t="shared" si="92"/>
        <v>Singhia BMC</v>
      </c>
      <c r="AJ1924" s="72">
        <v>0</v>
      </c>
      <c r="AK1924" s="72"/>
      <c r="AL1924" s="72"/>
      <c r="AM1924" s="72"/>
    </row>
    <row r="1925" spans="1:39" x14ac:dyDescent="0.25">
      <c r="A1925" s="37" t="s">
        <v>62</v>
      </c>
      <c r="B1925" s="66" t="s">
        <v>1638</v>
      </c>
      <c r="C1925" s="41">
        <v>1062</v>
      </c>
      <c r="D1925" s="41" t="s">
        <v>1381</v>
      </c>
      <c r="E1925" s="41">
        <v>10640005</v>
      </c>
      <c r="F1925" s="85" t="s">
        <v>1384</v>
      </c>
      <c r="G1925" s="39" t="s">
        <v>92</v>
      </c>
      <c r="H1925" s="52" t="s">
        <v>93</v>
      </c>
      <c r="I1925" s="52">
        <v>128.17999999999998</v>
      </c>
      <c r="J1925" s="49">
        <v>5412.5300000000007</v>
      </c>
      <c r="K1925" s="58">
        <v>126.20000000000002</v>
      </c>
      <c r="L1925" s="58">
        <v>5328.83</v>
      </c>
      <c r="M1925" s="58">
        <v>1.4000000000000001</v>
      </c>
      <c r="N1925" s="58">
        <v>59.220000000000013</v>
      </c>
      <c r="O1925" s="58">
        <v>127.60000000000002</v>
      </c>
      <c r="P1925" s="53">
        <v>5388.05</v>
      </c>
      <c r="Q1925" s="65">
        <v>5388.05</v>
      </c>
      <c r="R1925" s="65">
        <v>0</v>
      </c>
      <c r="S1925" s="65">
        <v>59.220000000000013</v>
      </c>
      <c r="T1925" s="65">
        <v>0</v>
      </c>
      <c r="U1925" s="58">
        <v>0</v>
      </c>
      <c r="V1925" s="65">
        <v>0</v>
      </c>
      <c r="W1925" s="65">
        <v>0</v>
      </c>
      <c r="X1925" s="65">
        <v>5329</v>
      </c>
      <c r="Y1925" s="65">
        <v>0</v>
      </c>
      <c r="Z1925" s="51">
        <v>0</v>
      </c>
      <c r="AA1925" s="51">
        <v>24</v>
      </c>
      <c r="AB1925" s="102">
        <v>0</v>
      </c>
      <c r="AC1925" s="81">
        <f t="shared" si="93"/>
        <v>482.9135441722579</v>
      </c>
      <c r="AD1925" s="82">
        <f t="shared" si="94"/>
        <v>18.311428571428568</v>
      </c>
      <c r="AE1925" s="218">
        <v>4.5228386724878141E-3</v>
      </c>
      <c r="AF1925">
        <v>2</v>
      </c>
      <c r="AH1925" t="str">
        <f t="shared" si="92"/>
        <v>Singhia BMC</v>
      </c>
      <c r="AJ1925" s="72">
        <v>0</v>
      </c>
      <c r="AK1925" s="72"/>
      <c r="AL1925" s="72"/>
      <c r="AM1925" s="72"/>
    </row>
    <row r="1926" spans="1:39" x14ac:dyDescent="0.25">
      <c r="A1926" s="37" t="s">
        <v>62</v>
      </c>
      <c r="B1926" s="66" t="s">
        <v>1638</v>
      </c>
      <c r="C1926" s="41">
        <v>1062</v>
      </c>
      <c r="D1926" s="41" t="s">
        <v>1381</v>
      </c>
      <c r="E1926" s="41">
        <v>10640006</v>
      </c>
      <c r="F1926" s="85" t="s">
        <v>1385</v>
      </c>
      <c r="G1926" s="39" t="s">
        <v>92</v>
      </c>
      <c r="H1926" s="52" t="s">
        <v>93</v>
      </c>
      <c r="I1926" s="52">
        <v>226.09000000000003</v>
      </c>
      <c r="J1926" s="49">
        <v>11947.189999999999</v>
      </c>
      <c r="K1926" s="58">
        <v>243.9</v>
      </c>
      <c r="L1926" s="58">
        <v>12908.810000000001</v>
      </c>
      <c r="M1926" s="58">
        <v>4.6999999999999993</v>
      </c>
      <c r="N1926" s="58">
        <v>235.79999999999998</v>
      </c>
      <c r="O1926" s="58">
        <v>248.6</v>
      </c>
      <c r="P1926" s="53">
        <v>13144.61</v>
      </c>
      <c r="Q1926" s="65">
        <v>11947.189999999999</v>
      </c>
      <c r="R1926" s="65">
        <v>0</v>
      </c>
      <c r="S1926" s="65">
        <v>235.79999999999998</v>
      </c>
      <c r="T1926" s="65">
        <v>1197.4200000000019</v>
      </c>
      <c r="U1926" s="58">
        <v>0</v>
      </c>
      <c r="V1926" s="65">
        <v>0</v>
      </c>
      <c r="W1926" s="65">
        <v>0</v>
      </c>
      <c r="X1926" s="65">
        <v>11711</v>
      </c>
      <c r="Y1926" s="65">
        <v>0</v>
      </c>
      <c r="Z1926" s="51">
        <v>0</v>
      </c>
      <c r="AA1926" s="51">
        <v>0</v>
      </c>
      <c r="AB1926" s="102">
        <v>0</v>
      </c>
      <c r="AC1926" s="81">
        <f t="shared" si="93"/>
        <v>500.85300658144973</v>
      </c>
      <c r="AD1926" s="82">
        <f t="shared" si="94"/>
        <v>32.298571428571435</v>
      </c>
      <c r="AE1926" s="218">
        <v>-0.10022607826610291</v>
      </c>
      <c r="AF1926">
        <v>7</v>
      </c>
      <c r="AH1926" t="str">
        <f t="shared" si="92"/>
        <v>Singhia BMC</v>
      </c>
      <c r="AJ1926" s="72">
        <v>0</v>
      </c>
      <c r="AK1926" s="72"/>
      <c r="AL1926" s="72"/>
      <c r="AM1926" s="72"/>
    </row>
    <row r="1927" spans="1:39" x14ac:dyDescent="0.25">
      <c r="A1927" s="37" t="s">
        <v>62</v>
      </c>
      <c r="B1927" s="66" t="s">
        <v>1638</v>
      </c>
      <c r="C1927" s="41">
        <v>1062</v>
      </c>
      <c r="D1927" s="41" t="s">
        <v>1381</v>
      </c>
      <c r="E1927" s="41">
        <v>10640007</v>
      </c>
      <c r="F1927" s="85" t="s">
        <v>1386</v>
      </c>
      <c r="G1927" s="39" t="s">
        <v>1610</v>
      </c>
      <c r="H1927" s="52" t="s">
        <v>98</v>
      </c>
      <c r="I1927" s="52">
        <v>146.53</v>
      </c>
      <c r="J1927" s="49">
        <v>6711.92</v>
      </c>
      <c r="K1927" s="58">
        <v>0</v>
      </c>
      <c r="L1927" s="58">
        <v>0</v>
      </c>
      <c r="M1927" s="58">
        <v>0</v>
      </c>
      <c r="N1927" s="58">
        <v>0</v>
      </c>
      <c r="O1927" s="58">
        <v>0</v>
      </c>
      <c r="P1927" s="53">
        <v>0</v>
      </c>
      <c r="Q1927" s="65">
        <v>6711.92</v>
      </c>
      <c r="R1927" s="65">
        <v>0</v>
      </c>
      <c r="S1927" s="65">
        <v>0</v>
      </c>
      <c r="T1927" s="65">
        <v>0</v>
      </c>
      <c r="U1927" s="58">
        <v>0</v>
      </c>
      <c r="V1927" s="65">
        <v>0</v>
      </c>
      <c r="W1927" s="65">
        <v>0</v>
      </c>
      <c r="X1927" s="65">
        <v>0</v>
      </c>
      <c r="Y1927" s="65">
        <v>0</v>
      </c>
      <c r="Z1927" s="51">
        <v>6711.92</v>
      </c>
      <c r="AA1927" s="51">
        <v>0</v>
      </c>
      <c r="AB1927" s="102">
        <v>0</v>
      </c>
      <c r="AC1927" s="81">
        <f t="shared" si="93"/>
        <v>507.04242986419166</v>
      </c>
      <c r="AD1927" s="82">
        <f t="shared" si="94"/>
        <v>20.932857142857141</v>
      </c>
      <c r="AE1927" s="218">
        <v>0</v>
      </c>
      <c r="AF1927">
        <v>0</v>
      </c>
      <c r="AH1927" t="str">
        <f t="shared" si="92"/>
        <v>Singhia BMC</v>
      </c>
      <c r="AJ1927" s="72">
        <v>0</v>
      </c>
      <c r="AK1927" s="72"/>
      <c r="AL1927" s="72"/>
      <c r="AM1927" s="72"/>
    </row>
    <row r="1928" spans="1:39" x14ac:dyDescent="0.25">
      <c r="A1928" s="37" t="s">
        <v>62</v>
      </c>
      <c r="B1928" s="66" t="s">
        <v>1638</v>
      </c>
      <c r="C1928" s="41">
        <v>1062</v>
      </c>
      <c r="D1928" s="41" t="s">
        <v>1381</v>
      </c>
      <c r="E1928" s="41">
        <v>10640008</v>
      </c>
      <c r="F1928" s="85" t="s">
        <v>1496</v>
      </c>
      <c r="G1928" s="39" t="s">
        <v>1610</v>
      </c>
      <c r="H1928" s="52" t="s">
        <v>93</v>
      </c>
      <c r="I1928" s="52">
        <v>122.94999999999999</v>
      </c>
      <c r="J1928" s="49">
        <v>5485.51</v>
      </c>
      <c r="K1928" s="58">
        <v>122.30000000000001</v>
      </c>
      <c r="L1928" s="58">
        <v>5456.35</v>
      </c>
      <c r="M1928" s="58">
        <v>0</v>
      </c>
      <c r="N1928" s="58">
        <v>0</v>
      </c>
      <c r="O1928" s="58">
        <v>122.30000000000001</v>
      </c>
      <c r="P1928" s="53">
        <v>5456.35</v>
      </c>
      <c r="Q1928" s="65">
        <v>5456.35</v>
      </c>
      <c r="R1928" s="65">
        <v>0</v>
      </c>
      <c r="S1928" s="65">
        <v>0</v>
      </c>
      <c r="T1928" s="65">
        <v>0</v>
      </c>
      <c r="U1928" s="58">
        <v>0</v>
      </c>
      <c r="V1928" s="65">
        <v>0</v>
      </c>
      <c r="W1928" s="65">
        <v>0</v>
      </c>
      <c r="X1928" s="65">
        <v>5456</v>
      </c>
      <c r="Y1928" s="65">
        <v>0</v>
      </c>
      <c r="Z1928" s="51">
        <v>0</v>
      </c>
      <c r="AA1928" s="51">
        <v>30</v>
      </c>
      <c r="AB1928" s="102">
        <v>0</v>
      </c>
      <c r="AC1928" s="81">
        <f t="shared" si="93"/>
        <v>514.91070280601878</v>
      </c>
      <c r="AD1928" s="82">
        <f t="shared" si="94"/>
        <v>17.564285714285713</v>
      </c>
      <c r="AE1928" s="218">
        <v>5.3158229590320417E-3</v>
      </c>
      <c r="AF1928">
        <v>1</v>
      </c>
      <c r="AH1928" t="str">
        <f t="shared" si="92"/>
        <v>Singhia BMC</v>
      </c>
      <c r="AJ1928" s="72">
        <v>0</v>
      </c>
      <c r="AK1928" s="72"/>
      <c r="AL1928" s="72"/>
      <c r="AM1928" s="72"/>
    </row>
    <row r="1929" spans="1:39" x14ac:dyDescent="0.25">
      <c r="A1929" s="37" t="s">
        <v>62</v>
      </c>
      <c r="B1929" s="66" t="s">
        <v>1638</v>
      </c>
      <c r="C1929" s="41">
        <v>1062</v>
      </c>
      <c r="D1929" s="41" t="s">
        <v>1381</v>
      </c>
      <c r="E1929" s="41">
        <v>10640009</v>
      </c>
      <c r="F1929" s="85" t="s">
        <v>1454</v>
      </c>
      <c r="G1929" s="39" t="s">
        <v>92</v>
      </c>
      <c r="H1929" s="52" t="s">
        <v>93</v>
      </c>
      <c r="I1929" s="52">
        <v>187.36999999999998</v>
      </c>
      <c r="J1929" s="49">
        <v>9533.26</v>
      </c>
      <c r="K1929" s="58">
        <v>213.9</v>
      </c>
      <c r="L1929" s="58">
        <v>10730.78</v>
      </c>
      <c r="M1929" s="58">
        <v>0</v>
      </c>
      <c r="N1929" s="58">
        <v>0</v>
      </c>
      <c r="O1929" s="58">
        <v>213.9</v>
      </c>
      <c r="P1929" s="53">
        <v>10730.78</v>
      </c>
      <c r="Q1929" s="65">
        <v>9533.26</v>
      </c>
      <c r="R1929" s="65">
        <v>0</v>
      </c>
      <c r="S1929" s="65">
        <v>0</v>
      </c>
      <c r="T1929" s="65">
        <v>1197.5200000000004</v>
      </c>
      <c r="U1929" s="58">
        <v>0</v>
      </c>
      <c r="V1929" s="65">
        <v>0</v>
      </c>
      <c r="W1929" s="65">
        <v>0</v>
      </c>
      <c r="X1929" s="65">
        <v>9533</v>
      </c>
      <c r="Y1929" s="65">
        <v>0</v>
      </c>
      <c r="Z1929" s="51">
        <v>0</v>
      </c>
      <c r="AA1929" s="51">
        <v>0</v>
      </c>
      <c r="AB1929" s="102">
        <v>0</v>
      </c>
      <c r="AC1929" s="81">
        <f t="shared" si="93"/>
        <v>521.64541535998296</v>
      </c>
      <c r="AD1929" s="82">
        <f t="shared" si="94"/>
        <v>26.767142857142854</v>
      </c>
      <c r="AE1929" s="218">
        <v>-0.12561495228284977</v>
      </c>
      <c r="AF1929">
        <v>1</v>
      </c>
      <c r="AH1929" t="str">
        <f t="shared" si="92"/>
        <v>Singhia BMC</v>
      </c>
      <c r="AJ1929" s="72">
        <v>0</v>
      </c>
      <c r="AK1929" s="72"/>
      <c r="AL1929" s="72"/>
      <c r="AM1929" s="72"/>
    </row>
    <row r="1930" spans="1:39" x14ac:dyDescent="0.25">
      <c r="A1930" s="37" t="s">
        <v>62</v>
      </c>
      <c r="B1930" s="66" t="s">
        <v>1638</v>
      </c>
      <c r="C1930" s="41">
        <v>1062</v>
      </c>
      <c r="D1930" s="41" t="s">
        <v>1381</v>
      </c>
      <c r="E1930" s="41">
        <v>10640010</v>
      </c>
      <c r="F1930" s="85" t="s">
        <v>1416</v>
      </c>
      <c r="G1930" s="39" t="s">
        <v>1610</v>
      </c>
      <c r="H1930" s="52" t="s">
        <v>98</v>
      </c>
      <c r="I1930" s="52">
        <v>178.24</v>
      </c>
      <c r="J1930" s="49">
        <v>7097.3899999999994</v>
      </c>
      <c r="K1930" s="58">
        <v>0</v>
      </c>
      <c r="L1930" s="58">
        <v>0</v>
      </c>
      <c r="M1930" s="58">
        <v>0</v>
      </c>
      <c r="N1930" s="58">
        <v>0</v>
      </c>
      <c r="O1930" s="58">
        <v>0</v>
      </c>
      <c r="P1930" s="53">
        <v>0</v>
      </c>
      <c r="Q1930" s="65">
        <v>7097.3899999999994</v>
      </c>
      <c r="R1930" s="65">
        <v>0</v>
      </c>
      <c r="S1930" s="65">
        <v>0</v>
      </c>
      <c r="T1930" s="65">
        <v>0</v>
      </c>
      <c r="U1930" s="58">
        <v>0</v>
      </c>
      <c r="V1930" s="65">
        <v>0</v>
      </c>
      <c r="W1930" s="65">
        <v>0</v>
      </c>
      <c r="X1930" s="65">
        <v>0</v>
      </c>
      <c r="Y1930" s="65">
        <v>0</v>
      </c>
      <c r="Z1930" s="51">
        <v>7097.3899999999994</v>
      </c>
      <c r="AA1930" s="51">
        <v>0</v>
      </c>
      <c r="AB1930" s="102">
        <v>0</v>
      </c>
      <c r="AC1930" s="81">
        <f t="shared" si="93"/>
        <v>415.52224039497298</v>
      </c>
      <c r="AD1930" s="82">
        <f t="shared" si="94"/>
        <v>25.462857142857143</v>
      </c>
      <c r="AE1930" s="218">
        <v>0</v>
      </c>
      <c r="AF1930">
        <v>0</v>
      </c>
      <c r="AH1930" t="str">
        <f t="shared" si="92"/>
        <v>Singhia BMC</v>
      </c>
      <c r="AJ1930" s="72">
        <v>0</v>
      </c>
      <c r="AK1930" s="72"/>
      <c r="AL1930" s="72"/>
      <c r="AM1930" s="72"/>
    </row>
    <row r="1931" spans="1:39" x14ac:dyDescent="0.25">
      <c r="A1931" s="37" t="s">
        <v>62</v>
      </c>
      <c r="B1931" s="66" t="s">
        <v>1638</v>
      </c>
      <c r="C1931" s="41">
        <v>1062</v>
      </c>
      <c r="D1931" s="41" t="s">
        <v>1381</v>
      </c>
      <c r="E1931" s="41">
        <v>10640011</v>
      </c>
      <c r="F1931" s="85" t="s">
        <v>1417</v>
      </c>
      <c r="G1931" s="39" t="s">
        <v>1610</v>
      </c>
      <c r="H1931" s="52" t="s">
        <v>98</v>
      </c>
      <c r="I1931" s="52">
        <v>230.85</v>
      </c>
      <c r="J1931" s="49">
        <v>10974.25</v>
      </c>
      <c r="K1931" s="58">
        <v>0</v>
      </c>
      <c r="L1931" s="58">
        <v>0</v>
      </c>
      <c r="M1931" s="58">
        <v>0</v>
      </c>
      <c r="N1931" s="58">
        <v>0</v>
      </c>
      <c r="O1931" s="58">
        <v>0</v>
      </c>
      <c r="P1931" s="53">
        <v>0</v>
      </c>
      <c r="Q1931" s="65">
        <v>10974.25</v>
      </c>
      <c r="R1931" s="65">
        <v>0</v>
      </c>
      <c r="S1931" s="65">
        <v>0</v>
      </c>
      <c r="T1931" s="65">
        <v>0</v>
      </c>
      <c r="U1931" s="58">
        <v>0</v>
      </c>
      <c r="V1931" s="65">
        <v>0</v>
      </c>
      <c r="W1931" s="65">
        <v>0</v>
      </c>
      <c r="X1931" s="65">
        <v>0</v>
      </c>
      <c r="Y1931" s="65">
        <v>0</v>
      </c>
      <c r="Z1931" s="51">
        <v>10974.25</v>
      </c>
      <c r="AA1931" s="51">
        <v>0</v>
      </c>
      <c r="AB1931" s="102">
        <v>0</v>
      </c>
      <c r="AC1931" s="81">
        <f t="shared" si="93"/>
        <v>446.05322828676623</v>
      </c>
      <c r="AD1931" s="82">
        <f t="shared" si="94"/>
        <v>32.978571428571428</v>
      </c>
      <c r="AE1931" s="218">
        <v>0</v>
      </c>
      <c r="AF1931">
        <v>0</v>
      </c>
      <c r="AH1931" t="str">
        <f t="shared" si="92"/>
        <v>Singhia BMC</v>
      </c>
      <c r="AJ1931" s="72">
        <v>0</v>
      </c>
      <c r="AK1931" s="72"/>
      <c r="AL1931" s="72"/>
      <c r="AM1931" s="72"/>
    </row>
    <row r="1932" spans="1:39" x14ac:dyDescent="0.25">
      <c r="A1932" s="37" t="s">
        <v>62</v>
      </c>
      <c r="B1932" s="66" t="s">
        <v>1638</v>
      </c>
      <c r="C1932" s="41">
        <v>1065</v>
      </c>
      <c r="D1932" s="41" t="s">
        <v>1407</v>
      </c>
      <c r="E1932" s="41">
        <v>10650001</v>
      </c>
      <c r="F1932" s="85" t="s">
        <v>1408</v>
      </c>
      <c r="G1932" s="39" t="s">
        <v>92</v>
      </c>
      <c r="H1932" s="52" t="s">
        <v>93</v>
      </c>
      <c r="I1932" s="52">
        <v>342.69999999999993</v>
      </c>
      <c r="J1932" s="49">
        <v>13978.22</v>
      </c>
      <c r="K1932" s="58">
        <v>344.50000000000006</v>
      </c>
      <c r="L1932" s="58">
        <v>14333.530000000002</v>
      </c>
      <c r="M1932" s="58">
        <v>0</v>
      </c>
      <c r="N1932" s="58">
        <v>0</v>
      </c>
      <c r="O1932" s="58">
        <v>344.50000000000006</v>
      </c>
      <c r="P1932" s="53">
        <v>14333.530000000002</v>
      </c>
      <c r="Q1932" s="65">
        <v>13978.22</v>
      </c>
      <c r="R1932" s="65">
        <v>0</v>
      </c>
      <c r="S1932" s="65">
        <v>0</v>
      </c>
      <c r="T1932" s="65">
        <v>355.31000000000313</v>
      </c>
      <c r="U1932" s="58">
        <v>0</v>
      </c>
      <c r="V1932" s="65">
        <v>0</v>
      </c>
      <c r="W1932" s="65">
        <v>0</v>
      </c>
      <c r="X1932" s="65">
        <v>13978</v>
      </c>
      <c r="Y1932" s="65">
        <v>0</v>
      </c>
      <c r="Z1932" s="51">
        <v>0</v>
      </c>
      <c r="AA1932" s="51">
        <v>0</v>
      </c>
      <c r="AB1932" s="102">
        <v>0</v>
      </c>
      <c r="AC1932" s="81">
        <f t="shared" si="93"/>
        <v>291.47464289466012</v>
      </c>
      <c r="AD1932" s="82">
        <f t="shared" si="94"/>
        <v>48.957142857142848</v>
      </c>
      <c r="AE1932" s="218">
        <v>-2.5418830151478739E-2</v>
      </c>
      <c r="AF1932">
        <v>3</v>
      </c>
      <c r="AH1932" t="str">
        <f t="shared" si="92"/>
        <v>Bachhwara BMC</v>
      </c>
      <c r="AJ1932" s="72">
        <v>0</v>
      </c>
      <c r="AK1932" s="72"/>
      <c r="AL1932" s="72"/>
      <c r="AM1932" s="72"/>
    </row>
    <row r="1933" spans="1:39" x14ac:dyDescent="0.25">
      <c r="A1933" s="37" t="s">
        <v>62</v>
      </c>
      <c r="B1933" s="66" t="s">
        <v>1638</v>
      </c>
      <c r="C1933" s="41">
        <v>1065</v>
      </c>
      <c r="D1933" s="41" t="s">
        <v>1407</v>
      </c>
      <c r="E1933" s="41">
        <v>10650003</v>
      </c>
      <c r="F1933" s="85" t="s">
        <v>1409</v>
      </c>
      <c r="G1933" s="39" t="s">
        <v>92</v>
      </c>
      <c r="H1933" s="52" t="s">
        <v>93</v>
      </c>
      <c r="I1933" s="52">
        <v>1148.0999999999999</v>
      </c>
      <c r="J1933" s="49">
        <v>48286.16</v>
      </c>
      <c r="K1933" s="58">
        <v>1159.5</v>
      </c>
      <c r="L1933" s="58">
        <v>48329.989999999983</v>
      </c>
      <c r="M1933" s="58">
        <v>0</v>
      </c>
      <c r="N1933" s="58">
        <v>0</v>
      </c>
      <c r="O1933" s="58">
        <v>1159.5</v>
      </c>
      <c r="P1933" s="53">
        <v>48329.989999999983</v>
      </c>
      <c r="Q1933" s="65">
        <v>48286.16</v>
      </c>
      <c r="R1933" s="65">
        <v>0</v>
      </c>
      <c r="S1933" s="65">
        <v>0</v>
      </c>
      <c r="T1933" s="65">
        <v>43.829999999979918</v>
      </c>
      <c r="U1933" s="58">
        <v>0</v>
      </c>
      <c r="V1933" s="65">
        <v>0</v>
      </c>
      <c r="W1933" s="65">
        <v>0</v>
      </c>
      <c r="X1933" s="65">
        <v>48286</v>
      </c>
      <c r="Y1933" s="65">
        <v>0</v>
      </c>
      <c r="Z1933" s="51">
        <v>0</v>
      </c>
      <c r="AA1933" s="51">
        <v>0</v>
      </c>
      <c r="AB1933" s="102">
        <v>0</v>
      </c>
      <c r="AC1933" s="81">
        <f t="shared" si="93"/>
        <v>0</v>
      </c>
      <c r="AD1933" s="82">
        <f t="shared" si="94"/>
        <v>0</v>
      </c>
      <c r="AE1933" s="218">
        <v>-9.0771351459672741E-4</v>
      </c>
      <c r="AF1933">
        <v>22</v>
      </c>
      <c r="AH1933" t="str">
        <f t="shared" si="92"/>
        <v>Bachhwara BMC</v>
      </c>
      <c r="AJ1933" s="72">
        <v>0</v>
      </c>
      <c r="AK1933" s="72"/>
      <c r="AL1933" s="72"/>
      <c r="AM1933" s="72"/>
    </row>
    <row r="1934" spans="1:39" x14ac:dyDescent="0.25">
      <c r="A1934" s="37" t="s">
        <v>62</v>
      </c>
      <c r="B1934" s="66" t="s">
        <v>1638</v>
      </c>
      <c r="C1934" s="41">
        <v>1065</v>
      </c>
      <c r="D1934" s="41" t="s">
        <v>1407</v>
      </c>
      <c r="E1934" s="41">
        <v>10650004</v>
      </c>
      <c r="F1934" s="85" t="s">
        <v>1455</v>
      </c>
      <c r="G1934" s="39" t="s">
        <v>92</v>
      </c>
      <c r="H1934" s="52" t="s">
        <v>93</v>
      </c>
      <c r="I1934" s="52">
        <v>587.9</v>
      </c>
      <c r="J1934" s="49">
        <v>23108.5</v>
      </c>
      <c r="K1934" s="58">
        <v>360.7000000000001</v>
      </c>
      <c r="L1934" s="58">
        <v>14426.989999999998</v>
      </c>
      <c r="M1934" s="58">
        <v>241.10000000000002</v>
      </c>
      <c r="N1934" s="58">
        <v>9247.43</v>
      </c>
      <c r="O1934" s="58">
        <v>601.80000000000018</v>
      </c>
      <c r="P1934" s="53">
        <v>23674.42</v>
      </c>
      <c r="Q1934" s="65">
        <v>23108.5</v>
      </c>
      <c r="R1934" s="65">
        <v>0</v>
      </c>
      <c r="S1934" s="65">
        <v>0</v>
      </c>
      <c r="T1934" s="65">
        <v>565.91999999999825</v>
      </c>
      <c r="U1934" s="58">
        <v>0</v>
      </c>
      <c r="V1934" s="65">
        <v>0</v>
      </c>
      <c r="W1934" s="65">
        <v>0</v>
      </c>
      <c r="X1934" s="65">
        <v>13860</v>
      </c>
      <c r="Y1934" s="65">
        <v>9248</v>
      </c>
      <c r="Z1934" s="51">
        <v>0</v>
      </c>
      <c r="AA1934" s="51">
        <v>1</v>
      </c>
      <c r="AB1934" s="102">
        <v>0</v>
      </c>
      <c r="AC1934" s="81">
        <f t="shared" si="93"/>
        <v>88.125968702160264</v>
      </c>
      <c r="AD1934" s="82">
        <f t="shared" si="94"/>
        <v>83.98571428571428</v>
      </c>
      <c r="AE1934" s="218">
        <v>-2.4489689940930752E-2</v>
      </c>
      <c r="AF1934">
        <v>7</v>
      </c>
      <c r="AH1934" t="str">
        <f t="shared" si="92"/>
        <v>Bachhwara BMC</v>
      </c>
      <c r="AJ1934" s="72">
        <v>0</v>
      </c>
      <c r="AK1934" s="72"/>
      <c r="AL1934" s="72"/>
      <c r="AM1934" s="72"/>
    </row>
    <row r="1935" spans="1:39" x14ac:dyDescent="0.25">
      <c r="A1935" s="37" t="s">
        <v>62</v>
      </c>
      <c r="B1935" s="66" t="s">
        <v>1638</v>
      </c>
      <c r="C1935" s="41">
        <v>1065</v>
      </c>
      <c r="D1935" s="41" t="s">
        <v>1407</v>
      </c>
      <c r="E1935" s="41">
        <v>10650011</v>
      </c>
      <c r="F1935" s="85" t="s">
        <v>1476</v>
      </c>
      <c r="G1935" s="39" t="s">
        <v>92</v>
      </c>
      <c r="H1935" s="52" t="s">
        <v>93</v>
      </c>
      <c r="I1935" s="52">
        <v>609.70000000000005</v>
      </c>
      <c r="J1935" s="49">
        <v>24124.81</v>
      </c>
      <c r="K1935" s="58">
        <v>604.9</v>
      </c>
      <c r="L1935" s="58">
        <v>25093.21</v>
      </c>
      <c r="M1935" s="58">
        <v>0</v>
      </c>
      <c r="N1935" s="58">
        <v>0</v>
      </c>
      <c r="O1935" s="58">
        <v>604.9</v>
      </c>
      <c r="P1935" s="53">
        <v>25093.21</v>
      </c>
      <c r="Q1935" s="65">
        <v>24124.81</v>
      </c>
      <c r="R1935" s="65">
        <v>0</v>
      </c>
      <c r="S1935" s="65">
        <v>0</v>
      </c>
      <c r="T1935" s="65">
        <v>968.39999999999782</v>
      </c>
      <c r="U1935" s="58">
        <v>0</v>
      </c>
      <c r="V1935" s="65">
        <v>0</v>
      </c>
      <c r="W1935" s="65">
        <v>0</v>
      </c>
      <c r="X1935" s="65">
        <v>24125</v>
      </c>
      <c r="Y1935" s="65">
        <v>0</v>
      </c>
      <c r="Z1935" s="51">
        <v>0</v>
      </c>
      <c r="AA1935" s="51">
        <v>0</v>
      </c>
      <c r="AB1935" s="102">
        <v>0</v>
      </c>
      <c r="AC1935" s="81">
        <f t="shared" si="93"/>
        <v>71.460401607347833</v>
      </c>
      <c r="AD1935" s="82">
        <f t="shared" si="94"/>
        <v>87.100000000000009</v>
      </c>
      <c r="AE1935" s="218">
        <v>-4.0141248780819323E-2</v>
      </c>
      <c r="AF1935">
        <v>9</v>
      </c>
      <c r="AH1935" t="str">
        <f t="shared" si="92"/>
        <v>Bachhwara BMC</v>
      </c>
      <c r="AJ1935" s="72">
        <v>0</v>
      </c>
      <c r="AK1935" s="72"/>
      <c r="AL1935" s="72"/>
      <c r="AM1935" s="72"/>
    </row>
    <row r="1936" spans="1:39" x14ac:dyDescent="0.25">
      <c r="A1936" s="37" t="s">
        <v>62</v>
      </c>
      <c r="B1936" s="66" t="s">
        <v>1638</v>
      </c>
      <c r="C1936" s="41">
        <v>1065</v>
      </c>
      <c r="D1936" s="41" t="s">
        <v>1407</v>
      </c>
      <c r="E1936" s="41">
        <v>10650013</v>
      </c>
      <c r="F1936" s="85" t="s">
        <v>1576</v>
      </c>
      <c r="G1936" s="39" t="s">
        <v>92</v>
      </c>
      <c r="H1936" s="52" t="s">
        <v>93</v>
      </c>
      <c r="I1936" s="52">
        <v>320.39999999999998</v>
      </c>
      <c r="J1936" s="49">
        <v>12186.970000000001</v>
      </c>
      <c r="K1936" s="58">
        <v>341.6</v>
      </c>
      <c r="L1936" s="58">
        <v>12188.9</v>
      </c>
      <c r="M1936" s="58">
        <v>0</v>
      </c>
      <c r="N1936" s="58">
        <v>0</v>
      </c>
      <c r="O1936" s="58">
        <v>341.6</v>
      </c>
      <c r="P1936" s="53">
        <v>12188.9</v>
      </c>
      <c r="Q1936" s="65">
        <v>12186.970000000001</v>
      </c>
      <c r="R1936" s="65">
        <v>0</v>
      </c>
      <c r="S1936" s="65">
        <v>0</v>
      </c>
      <c r="T1936" s="65">
        <v>1.929999999998472</v>
      </c>
      <c r="U1936" s="58">
        <v>0</v>
      </c>
      <c r="V1936" s="65">
        <v>0</v>
      </c>
      <c r="W1936" s="65">
        <v>0</v>
      </c>
      <c r="X1936" s="65">
        <v>12187</v>
      </c>
      <c r="Y1936" s="65">
        <v>0</v>
      </c>
      <c r="Z1936" s="51">
        <v>0</v>
      </c>
      <c r="AA1936" s="51">
        <v>0</v>
      </c>
      <c r="AB1936" s="102">
        <v>0</v>
      </c>
      <c r="AC1936" s="81">
        <f t="shared" si="93"/>
        <v>288.77489463171048</v>
      </c>
      <c r="AD1936" s="82">
        <f t="shared" si="94"/>
        <v>45.771428571428565</v>
      </c>
      <c r="AE1936" s="218">
        <v>-1.583658612434815E-4</v>
      </c>
      <c r="AF1936">
        <v>3</v>
      </c>
      <c r="AH1936" t="str">
        <f t="shared" ref="AH1936:AH1994" si="95">TEXT(D1936,"0000")</f>
        <v>Bachhwara BMC</v>
      </c>
      <c r="AJ1936" s="72">
        <v>0</v>
      </c>
      <c r="AK1936" s="72"/>
      <c r="AL1936" s="72"/>
      <c r="AM1936" s="72"/>
    </row>
    <row r="1937" spans="1:39" x14ac:dyDescent="0.25">
      <c r="A1937" s="37" t="s">
        <v>62</v>
      </c>
      <c r="B1937" s="66" t="s">
        <v>1638</v>
      </c>
      <c r="C1937" s="41">
        <v>1008</v>
      </c>
      <c r="D1937" s="41" t="s">
        <v>217</v>
      </c>
      <c r="E1937" s="41">
        <v>10650014</v>
      </c>
      <c r="F1937" s="85" t="s">
        <v>1532</v>
      </c>
      <c r="G1937" s="39" t="s">
        <v>92</v>
      </c>
      <c r="H1937" s="52" t="s">
        <v>93</v>
      </c>
      <c r="I1937" s="52">
        <v>604.20000000000005</v>
      </c>
      <c r="J1937" s="49">
        <v>24496.67</v>
      </c>
      <c r="K1937" s="58">
        <v>603.19999999999982</v>
      </c>
      <c r="L1937" s="58">
        <v>23692.079999999998</v>
      </c>
      <c r="M1937" s="58">
        <v>0</v>
      </c>
      <c r="N1937" s="58">
        <v>0</v>
      </c>
      <c r="O1937" s="58">
        <v>603.19999999999982</v>
      </c>
      <c r="P1937" s="53">
        <v>23692.079999999998</v>
      </c>
      <c r="Q1937" s="65">
        <v>23692.079999999998</v>
      </c>
      <c r="R1937" s="65">
        <v>0</v>
      </c>
      <c r="S1937" s="65">
        <v>0</v>
      </c>
      <c r="T1937" s="65">
        <v>0</v>
      </c>
      <c r="U1937" s="58">
        <v>0</v>
      </c>
      <c r="V1937" s="65">
        <v>0</v>
      </c>
      <c r="W1937" s="65">
        <v>0</v>
      </c>
      <c r="X1937" s="65">
        <v>23692</v>
      </c>
      <c r="Y1937" s="65">
        <v>0</v>
      </c>
      <c r="Z1937" s="51">
        <v>0</v>
      </c>
      <c r="AA1937" s="51">
        <v>805</v>
      </c>
      <c r="AB1937" s="102">
        <v>0</v>
      </c>
      <c r="AC1937" s="81">
        <f t="shared" si="93"/>
        <v>77.682257067196275</v>
      </c>
      <c r="AD1937" s="82">
        <f t="shared" si="94"/>
        <v>86.314285714285717</v>
      </c>
      <c r="AE1937" s="218">
        <v>3.2844872384695564E-2</v>
      </c>
      <c r="AF1937">
        <v>1</v>
      </c>
      <c r="AH1937" t="str">
        <f t="shared" si="95"/>
        <v>Teghra</v>
      </c>
      <c r="AJ1937" s="72">
        <v>0</v>
      </c>
      <c r="AK1937" s="72"/>
      <c r="AL1937" s="72"/>
      <c r="AM1937" s="72"/>
    </row>
    <row r="1938" spans="1:39" x14ac:dyDescent="0.25">
      <c r="A1938" s="37" t="s">
        <v>62</v>
      </c>
      <c r="B1938" s="66" t="s">
        <v>1638</v>
      </c>
      <c r="C1938" s="41">
        <v>1065</v>
      </c>
      <c r="D1938" s="41" t="s">
        <v>1407</v>
      </c>
      <c r="E1938" s="41">
        <v>10650015</v>
      </c>
      <c r="F1938" s="85" t="s">
        <v>1557</v>
      </c>
      <c r="G1938" s="39" t="s">
        <v>92</v>
      </c>
      <c r="H1938" s="52" t="s">
        <v>93</v>
      </c>
      <c r="I1938" s="52">
        <v>99.8</v>
      </c>
      <c r="J1938" s="49">
        <v>3658.8100000000004</v>
      </c>
      <c r="K1938" s="58">
        <v>34</v>
      </c>
      <c r="L1938" s="58">
        <v>1099.22</v>
      </c>
      <c r="M1938" s="58">
        <v>0</v>
      </c>
      <c r="N1938" s="58">
        <v>0</v>
      </c>
      <c r="O1938" s="58">
        <v>34</v>
      </c>
      <c r="P1938" s="53">
        <v>1099.22</v>
      </c>
      <c r="Q1938" s="65">
        <v>1099.22</v>
      </c>
      <c r="R1938" s="65">
        <v>0</v>
      </c>
      <c r="S1938" s="65">
        <v>0</v>
      </c>
      <c r="T1938" s="65">
        <v>0</v>
      </c>
      <c r="U1938" s="58">
        <v>0</v>
      </c>
      <c r="V1938" s="65">
        <v>0</v>
      </c>
      <c r="W1938" s="65">
        <v>0</v>
      </c>
      <c r="X1938" s="65">
        <v>1099</v>
      </c>
      <c r="Y1938" s="65">
        <v>0</v>
      </c>
      <c r="Z1938" s="51">
        <v>2560</v>
      </c>
      <c r="AA1938" s="51">
        <v>0</v>
      </c>
      <c r="AB1938" s="102">
        <v>0</v>
      </c>
      <c r="AC1938" s="81">
        <f t="shared" si="93"/>
        <v>440.08371983967947</v>
      </c>
      <c r="AD1938" s="82">
        <f t="shared" si="94"/>
        <v>14.257142857142856</v>
      </c>
      <c r="AE1938" s="218">
        <v>0.69956898554448033</v>
      </c>
      <c r="AF1938">
        <v>1</v>
      </c>
      <c r="AH1938" t="str">
        <f t="shared" si="95"/>
        <v>Bachhwara BMC</v>
      </c>
      <c r="AJ1938" s="72">
        <v>0</v>
      </c>
      <c r="AK1938" s="72"/>
      <c r="AL1938" s="72"/>
      <c r="AM1938" s="72"/>
    </row>
    <row r="1939" spans="1:39" x14ac:dyDescent="0.25">
      <c r="A1939" s="37" t="s">
        <v>62</v>
      </c>
      <c r="B1939" s="66" t="s">
        <v>1638</v>
      </c>
      <c r="C1939" s="41">
        <v>1065</v>
      </c>
      <c r="D1939" s="41" t="s">
        <v>1407</v>
      </c>
      <c r="E1939" s="41">
        <v>10650016</v>
      </c>
      <c r="F1939" s="85" t="s">
        <v>1533</v>
      </c>
      <c r="G1939" s="39" t="s">
        <v>92</v>
      </c>
      <c r="H1939" s="52" t="s">
        <v>93</v>
      </c>
      <c r="I1939" s="52">
        <v>235.10000000000002</v>
      </c>
      <c r="J1939" s="49">
        <v>8755.43</v>
      </c>
      <c r="K1939" s="58">
        <v>113.49999999999999</v>
      </c>
      <c r="L1939" s="58">
        <v>4267.25</v>
      </c>
      <c r="M1939" s="58">
        <v>126.6</v>
      </c>
      <c r="N1939" s="58">
        <v>4488.2900000000009</v>
      </c>
      <c r="O1939" s="58">
        <v>240.09999999999997</v>
      </c>
      <c r="P1939" s="53">
        <v>8755.5400000000009</v>
      </c>
      <c r="Q1939" s="65">
        <v>8755.43</v>
      </c>
      <c r="R1939" s="65">
        <v>0</v>
      </c>
      <c r="S1939" s="65">
        <v>0</v>
      </c>
      <c r="T1939" s="65">
        <v>0.11000000000058208</v>
      </c>
      <c r="U1939" s="58">
        <v>0</v>
      </c>
      <c r="V1939" s="65">
        <v>0</v>
      </c>
      <c r="W1939" s="65">
        <v>0</v>
      </c>
      <c r="X1939" s="65">
        <v>4267</v>
      </c>
      <c r="Y1939" s="65">
        <v>4488</v>
      </c>
      <c r="Z1939" s="51">
        <v>0</v>
      </c>
      <c r="AA1939" s="51">
        <v>0</v>
      </c>
      <c r="AB1939" s="102">
        <v>0</v>
      </c>
      <c r="AC1939" s="81">
        <f t="shared" si="93"/>
        <v>346.26962203317737</v>
      </c>
      <c r="AD1939" s="82">
        <f t="shared" si="94"/>
        <v>33.585714285714289</v>
      </c>
      <c r="AE1939" s="218">
        <v>-1.2563631940473749E-5</v>
      </c>
      <c r="AF1939">
        <v>4</v>
      </c>
      <c r="AH1939" t="str">
        <f t="shared" si="95"/>
        <v>Bachhwara BMC</v>
      </c>
      <c r="AJ1939" s="72">
        <v>0</v>
      </c>
      <c r="AK1939" s="72"/>
      <c r="AL1939" s="72"/>
      <c r="AM1939" s="72"/>
    </row>
    <row r="1940" spans="1:39" x14ac:dyDescent="0.25">
      <c r="A1940" s="37" t="s">
        <v>62</v>
      </c>
      <c r="B1940" s="66" t="s">
        <v>1638</v>
      </c>
      <c r="C1940" s="41">
        <v>1065</v>
      </c>
      <c r="D1940" s="41" t="s">
        <v>1407</v>
      </c>
      <c r="E1940" s="41">
        <v>10650018</v>
      </c>
      <c r="F1940" s="85" t="s">
        <v>1545</v>
      </c>
      <c r="G1940" s="39" t="s">
        <v>1610</v>
      </c>
      <c r="H1940" s="52" t="s">
        <v>98</v>
      </c>
      <c r="I1940" s="52">
        <v>944</v>
      </c>
      <c r="J1940" s="49">
        <v>37160.269999999997</v>
      </c>
      <c r="K1940" s="58">
        <v>0</v>
      </c>
      <c r="L1940" s="58">
        <v>0</v>
      </c>
      <c r="M1940" s="58">
        <v>0</v>
      </c>
      <c r="N1940" s="58">
        <v>0</v>
      </c>
      <c r="O1940" s="58">
        <v>0</v>
      </c>
      <c r="P1940" s="53">
        <v>0</v>
      </c>
      <c r="Q1940" s="65">
        <v>37160.269999999997</v>
      </c>
      <c r="R1940" s="65">
        <v>0</v>
      </c>
      <c r="S1940" s="65">
        <v>0</v>
      </c>
      <c r="T1940" s="65">
        <v>0</v>
      </c>
      <c r="U1940" s="58">
        <v>0</v>
      </c>
      <c r="V1940" s="65">
        <v>0</v>
      </c>
      <c r="W1940" s="65">
        <v>0</v>
      </c>
      <c r="X1940" s="65">
        <v>0</v>
      </c>
      <c r="Y1940" s="65">
        <v>0</v>
      </c>
      <c r="Z1940" s="51">
        <v>37160.269999999997</v>
      </c>
      <c r="AA1940" s="51">
        <v>0</v>
      </c>
      <c r="AB1940" s="102">
        <v>0</v>
      </c>
      <c r="AC1940" s="81">
        <f t="shared" si="93"/>
        <v>0</v>
      </c>
      <c r="AD1940" s="82">
        <f t="shared" si="94"/>
        <v>0</v>
      </c>
      <c r="AE1940" s="218">
        <v>0</v>
      </c>
      <c r="AF1940">
        <v>0</v>
      </c>
      <c r="AH1940" t="str">
        <f t="shared" si="95"/>
        <v>Bachhwara BMC</v>
      </c>
      <c r="AJ1940" s="72">
        <v>0</v>
      </c>
      <c r="AK1940" s="72"/>
      <c r="AL1940" s="72"/>
      <c r="AM1940" s="72"/>
    </row>
    <row r="1941" spans="1:39" x14ac:dyDescent="0.25">
      <c r="A1941" s="37" t="s">
        <v>62</v>
      </c>
      <c r="B1941" s="66" t="s">
        <v>1638</v>
      </c>
      <c r="C1941" s="41">
        <v>1066</v>
      </c>
      <c r="D1941" s="41" t="s">
        <v>1501</v>
      </c>
      <c r="E1941" s="41">
        <v>10660001</v>
      </c>
      <c r="F1941" s="85" t="s">
        <v>1506</v>
      </c>
      <c r="G1941" s="39" t="s">
        <v>92</v>
      </c>
      <c r="H1941" s="52" t="s">
        <v>93</v>
      </c>
      <c r="I1941" s="52">
        <v>750.59999999999991</v>
      </c>
      <c r="J1941" s="49">
        <v>40211.21</v>
      </c>
      <c r="K1941" s="58">
        <v>736.5</v>
      </c>
      <c r="L1941" s="58">
        <v>39723.26</v>
      </c>
      <c r="M1941" s="58">
        <v>9.4</v>
      </c>
      <c r="N1941" s="58">
        <v>516.07000000000005</v>
      </c>
      <c r="O1941" s="58">
        <v>745.9</v>
      </c>
      <c r="P1941" s="53">
        <v>40239.33</v>
      </c>
      <c r="Q1941" s="65">
        <v>40211.21</v>
      </c>
      <c r="R1941" s="65">
        <v>0</v>
      </c>
      <c r="S1941" s="65">
        <v>516.07000000000005</v>
      </c>
      <c r="T1941" s="65">
        <v>28.120000000002619</v>
      </c>
      <c r="U1941" s="58">
        <v>0</v>
      </c>
      <c r="V1941" s="65">
        <v>0</v>
      </c>
      <c r="W1941" s="65">
        <v>0</v>
      </c>
      <c r="X1941" s="65">
        <v>39695</v>
      </c>
      <c r="Y1941" s="65">
        <v>0</v>
      </c>
      <c r="Z1941" s="51">
        <v>0</v>
      </c>
      <c r="AA1941" s="51">
        <v>0</v>
      </c>
      <c r="AB1941" s="102">
        <v>0</v>
      </c>
      <c r="AC1941" s="81">
        <f t="shared" si="93"/>
        <v>0</v>
      </c>
      <c r="AD1941" s="82">
        <f t="shared" si="94"/>
        <v>0</v>
      </c>
      <c r="AE1941" s="218">
        <v>-6.9930748166997759E-4</v>
      </c>
      <c r="AF1941">
        <v>5</v>
      </c>
      <c r="AH1941" t="str">
        <f t="shared" si="95"/>
        <v>Gaighat</v>
      </c>
      <c r="AJ1941" s="72">
        <v>0</v>
      </c>
      <c r="AK1941" s="72"/>
      <c r="AL1941" s="72"/>
      <c r="AM1941" s="72"/>
    </row>
    <row r="1942" spans="1:39" x14ac:dyDescent="0.25">
      <c r="A1942" s="37" t="s">
        <v>62</v>
      </c>
      <c r="B1942" s="66" t="s">
        <v>1638</v>
      </c>
      <c r="C1942" s="41">
        <v>1066</v>
      </c>
      <c r="D1942" s="41" t="s">
        <v>1501</v>
      </c>
      <c r="E1942" s="41">
        <v>10660002</v>
      </c>
      <c r="F1942" s="85" t="s">
        <v>1507</v>
      </c>
      <c r="G1942" s="39" t="s">
        <v>92</v>
      </c>
      <c r="H1942" s="52" t="s">
        <v>93</v>
      </c>
      <c r="I1942" s="52">
        <v>339.29999999999995</v>
      </c>
      <c r="J1942" s="49">
        <v>15394.060000000001</v>
      </c>
      <c r="K1942" s="58">
        <v>328</v>
      </c>
      <c r="L1942" s="58">
        <v>15106.94</v>
      </c>
      <c r="M1942" s="58">
        <v>9.3000000000000007</v>
      </c>
      <c r="N1942" s="58">
        <v>416.12</v>
      </c>
      <c r="O1942" s="58">
        <v>337.3</v>
      </c>
      <c r="P1942" s="53">
        <v>15523.060000000001</v>
      </c>
      <c r="Q1942" s="65">
        <v>15394.060000000001</v>
      </c>
      <c r="R1942" s="65">
        <v>0</v>
      </c>
      <c r="S1942" s="65">
        <v>416.12</v>
      </c>
      <c r="T1942" s="65">
        <v>129</v>
      </c>
      <c r="U1942" s="58">
        <v>0</v>
      </c>
      <c r="V1942" s="65">
        <v>0</v>
      </c>
      <c r="W1942" s="65">
        <v>0</v>
      </c>
      <c r="X1942" s="65">
        <v>14978</v>
      </c>
      <c r="Y1942" s="65">
        <v>0</v>
      </c>
      <c r="Z1942" s="51">
        <v>0</v>
      </c>
      <c r="AA1942" s="51">
        <v>0</v>
      </c>
      <c r="AB1942" s="102">
        <v>0</v>
      </c>
      <c r="AC1942" s="81">
        <f t="shared" si="93"/>
        <v>327.29958396699095</v>
      </c>
      <c r="AD1942" s="82">
        <f t="shared" si="94"/>
        <v>48.471428571428568</v>
      </c>
      <c r="AE1942" s="218">
        <v>-8.3798556066430815E-3</v>
      </c>
      <c r="AF1942">
        <v>8</v>
      </c>
      <c r="AH1942" t="str">
        <f t="shared" si="95"/>
        <v>Gaighat</v>
      </c>
      <c r="AJ1942" s="72">
        <v>0</v>
      </c>
      <c r="AK1942" s="72"/>
      <c r="AL1942" s="72"/>
      <c r="AM1942" s="72"/>
    </row>
    <row r="1943" spans="1:39" x14ac:dyDescent="0.25">
      <c r="A1943" s="37" t="s">
        <v>62</v>
      </c>
      <c r="B1943" s="66" t="s">
        <v>1638</v>
      </c>
      <c r="C1943" s="41">
        <v>1066</v>
      </c>
      <c r="D1943" s="41" t="s">
        <v>1501</v>
      </c>
      <c r="E1943" s="41">
        <v>10660004</v>
      </c>
      <c r="F1943" s="85" t="s">
        <v>1508</v>
      </c>
      <c r="G1943" s="39" t="s">
        <v>92</v>
      </c>
      <c r="H1943" s="52" t="s">
        <v>93</v>
      </c>
      <c r="I1943" s="52">
        <v>666.7</v>
      </c>
      <c r="J1943" s="49">
        <v>28741.4</v>
      </c>
      <c r="K1943" s="58">
        <v>644</v>
      </c>
      <c r="L1943" s="58">
        <v>27975.330000000005</v>
      </c>
      <c r="M1943" s="58">
        <v>14.599999999999998</v>
      </c>
      <c r="N1943" s="58">
        <v>629.75</v>
      </c>
      <c r="O1943" s="58">
        <v>658.6</v>
      </c>
      <c r="P1943" s="53">
        <v>28605.080000000005</v>
      </c>
      <c r="Q1943" s="65">
        <v>28605.080000000005</v>
      </c>
      <c r="R1943" s="65">
        <v>0</v>
      </c>
      <c r="S1943" s="65">
        <v>629.75</v>
      </c>
      <c r="T1943" s="65">
        <v>0</v>
      </c>
      <c r="U1943" s="58">
        <v>0</v>
      </c>
      <c r="V1943" s="65">
        <v>0</v>
      </c>
      <c r="W1943" s="65">
        <v>0</v>
      </c>
      <c r="X1943" s="65">
        <v>27976</v>
      </c>
      <c r="Y1943" s="65">
        <v>0</v>
      </c>
      <c r="Z1943" s="51">
        <v>0</v>
      </c>
      <c r="AA1943" s="51">
        <v>136</v>
      </c>
      <c r="AB1943" s="102">
        <v>0</v>
      </c>
      <c r="AC1943" s="81">
        <f t="shared" si="93"/>
        <v>28.711223038848029</v>
      </c>
      <c r="AD1943" s="82">
        <f t="shared" si="94"/>
        <v>95.242857142857147</v>
      </c>
      <c r="AE1943" s="218">
        <v>4.7429839882537411E-3</v>
      </c>
      <c r="AF1943">
        <v>19</v>
      </c>
      <c r="AH1943" t="str">
        <f t="shared" si="95"/>
        <v>Gaighat</v>
      </c>
      <c r="AJ1943" s="72">
        <v>0</v>
      </c>
      <c r="AK1943" s="72"/>
      <c r="AL1943" s="72"/>
      <c r="AM1943" s="72"/>
    </row>
    <row r="1944" spans="1:39" x14ac:dyDescent="0.25">
      <c r="A1944" s="37" t="s">
        <v>62</v>
      </c>
      <c r="B1944" s="66" t="s">
        <v>1638</v>
      </c>
      <c r="C1944" s="41">
        <v>1066</v>
      </c>
      <c r="D1944" s="41" t="s">
        <v>1501</v>
      </c>
      <c r="E1944" s="41">
        <v>10660005</v>
      </c>
      <c r="F1944" s="85" t="s">
        <v>1509</v>
      </c>
      <c r="G1944" s="39" t="s">
        <v>92</v>
      </c>
      <c r="H1944" s="52" t="s">
        <v>93</v>
      </c>
      <c r="I1944" s="52">
        <v>593.10000000000014</v>
      </c>
      <c r="J1944" s="49">
        <v>29681.730000000007</v>
      </c>
      <c r="K1944" s="58">
        <v>578.40000000000009</v>
      </c>
      <c r="L1944" s="58">
        <v>29594.52</v>
      </c>
      <c r="M1944" s="58">
        <v>3.5999999999999996</v>
      </c>
      <c r="N1944" s="58">
        <v>173.41</v>
      </c>
      <c r="O1944" s="58">
        <v>582.00000000000011</v>
      </c>
      <c r="P1944" s="53">
        <v>29767.93</v>
      </c>
      <c r="Q1944" s="65">
        <v>29681.730000000007</v>
      </c>
      <c r="R1944" s="65">
        <v>0</v>
      </c>
      <c r="S1944" s="65">
        <v>173.41</v>
      </c>
      <c r="T1944" s="65">
        <v>86.199999999993452</v>
      </c>
      <c r="U1944" s="58">
        <v>0</v>
      </c>
      <c r="V1944" s="65">
        <v>0</v>
      </c>
      <c r="W1944" s="65">
        <v>0</v>
      </c>
      <c r="X1944" s="65">
        <v>29508</v>
      </c>
      <c r="Y1944" s="65">
        <v>0</v>
      </c>
      <c r="Z1944" s="51">
        <v>0</v>
      </c>
      <c r="AA1944" s="51">
        <v>0</v>
      </c>
      <c r="AB1944" s="102">
        <v>0</v>
      </c>
      <c r="AC1944" s="81">
        <f t="shared" si="93"/>
        <v>106.99635599393011</v>
      </c>
      <c r="AD1944" s="82">
        <f t="shared" si="94"/>
        <v>84.728571428571442</v>
      </c>
      <c r="AE1944" s="218">
        <v>-2.9041433905636037E-3</v>
      </c>
      <c r="AF1944">
        <v>17</v>
      </c>
      <c r="AH1944" t="str">
        <f t="shared" si="95"/>
        <v>Gaighat</v>
      </c>
      <c r="AJ1944" s="72">
        <v>0</v>
      </c>
      <c r="AK1944" s="72"/>
      <c r="AL1944" s="72"/>
      <c r="AM1944" s="72"/>
    </row>
    <row r="1945" spans="1:39" x14ac:dyDescent="0.25">
      <c r="A1945" s="37" t="s">
        <v>62</v>
      </c>
      <c r="B1945" s="66" t="s">
        <v>1638</v>
      </c>
      <c r="C1945" s="41">
        <v>1066</v>
      </c>
      <c r="D1945" s="41" t="s">
        <v>1501</v>
      </c>
      <c r="E1945" s="41">
        <v>10660006</v>
      </c>
      <c r="F1945" s="85" t="s">
        <v>1510</v>
      </c>
      <c r="G1945" s="39" t="s">
        <v>92</v>
      </c>
      <c r="H1945" s="52" t="s">
        <v>93</v>
      </c>
      <c r="I1945" s="52">
        <v>283.3</v>
      </c>
      <c r="J1945" s="49">
        <v>12661.22</v>
      </c>
      <c r="K1945" s="58">
        <v>287.89999999999998</v>
      </c>
      <c r="L1945" s="58">
        <v>12006.42</v>
      </c>
      <c r="M1945" s="58">
        <v>11.8</v>
      </c>
      <c r="N1945" s="58">
        <v>495.16999999999996</v>
      </c>
      <c r="O1945" s="58">
        <v>299.7</v>
      </c>
      <c r="P1945" s="53">
        <v>12501.59</v>
      </c>
      <c r="Q1945" s="65">
        <v>12501.59</v>
      </c>
      <c r="R1945" s="65">
        <v>0</v>
      </c>
      <c r="S1945" s="65">
        <v>495.16999999999996</v>
      </c>
      <c r="T1945" s="65">
        <v>0</v>
      </c>
      <c r="U1945" s="58">
        <v>0</v>
      </c>
      <c r="V1945" s="65">
        <v>0</v>
      </c>
      <c r="W1945" s="65">
        <v>0</v>
      </c>
      <c r="X1945" s="65">
        <v>12006</v>
      </c>
      <c r="Y1945" s="65">
        <v>0</v>
      </c>
      <c r="Z1945" s="51">
        <v>0</v>
      </c>
      <c r="AA1945" s="51">
        <v>160</v>
      </c>
      <c r="AB1945" s="102">
        <v>0</v>
      </c>
      <c r="AC1945" s="81">
        <f t="shared" si="93"/>
        <v>372.46243374514648</v>
      </c>
      <c r="AD1945" s="82">
        <f t="shared" si="94"/>
        <v>40.471428571428575</v>
      </c>
      <c r="AE1945" s="218">
        <v>1.260778977065395E-2</v>
      </c>
      <c r="AF1945">
        <v>12</v>
      </c>
      <c r="AH1945" t="str">
        <f t="shared" si="95"/>
        <v>Gaighat</v>
      </c>
      <c r="AJ1945" s="72">
        <v>0</v>
      </c>
      <c r="AK1945" s="72"/>
      <c r="AL1945" s="72"/>
      <c r="AM1945" s="72"/>
    </row>
    <row r="1946" spans="1:39" x14ac:dyDescent="0.25">
      <c r="A1946" s="37" t="s">
        <v>62</v>
      </c>
      <c r="B1946" s="66" t="s">
        <v>1638</v>
      </c>
      <c r="C1946" s="41">
        <v>1066</v>
      </c>
      <c r="D1946" s="41" t="s">
        <v>1501</v>
      </c>
      <c r="E1946" s="41">
        <v>10660007</v>
      </c>
      <c r="F1946" s="85" t="s">
        <v>1511</v>
      </c>
      <c r="G1946" s="39" t="s">
        <v>1610</v>
      </c>
      <c r="H1946" s="52" t="s">
        <v>98</v>
      </c>
      <c r="I1946" s="52">
        <v>153.69999999999999</v>
      </c>
      <c r="J1946" s="49">
        <v>6366.89</v>
      </c>
      <c r="K1946" s="58">
        <v>0</v>
      </c>
      <c r="L1946" s="58">
        <v>0</v>
      </c>
      <c r="M1946" s="58">
        <v>0</v>
      </c>
      <c r="N1946" s="58">
        <v>0</v>
      </c>
      <c r="O1946" s="58">
        <v>0</v>
      </c>
      <c r="P1946" s="53">
        <v>0</v>
      </c>
      <c r="Q1946" s="65">
        <v>6366.89</v>
      </c>
      <c r="R1946" s="65">
        <v>0</v>
      </c>
      <c r="S1946" s="65">
        <v>0</v>
      </c>
      <c r="T1946" s="65">
        <v>0</v>
      </c>
      <c r="U1946" s="58">
        <v>0</v>
      </c>
      <c r="V1946" s="65">
        <v>0</v>
      </c>
      <c r="W1946" s="65">
        <v>0</v>
      </c>
      <c r="X1946" s="65">
        <v>0</v>
      </c>
      <c r="Y1946" s="65">
        <v>0</v>
      </c>
      <c r="Z1946" s="51">
        <v>6366.89</v>
      </c>
      <c r="AA1946" s="51">
        <v>0</v>
      </c>
      <c r="AB1946" s="102">
        <v>0</v>
      </c>
      <c r="AC1946" s="81">
        <f t="shared" si="93"/>
        <v>452.60013103448279</v>
      </c>
      <c r="AD1946" s="82">
        <f t="shared" si="94"/>
        <v>21.957142857142856</v>
      </c>
      <c r="AE1946" s="218">
        <v>0</v>
      </c>
      <c r="AF1946">
        <v>0</v>
      </c>
      <c r="AH1946" t="str">
        <f t="shared" si="95"/>
        <v>Gaighat</v>
      </c>
      <c r="AJ1946" s="72">
        <v>0</v>
      </c>
      <c r="AK1946" s="72"/>
      <c r="AL1946" s="72"/>
      <c r="AM1946" s="72"/>
    </row>
    <row r="1947" spans="1:39" x14ac:dyDescent="0.25">
      <c r="A1947" s="37" t="s">
        <v>62</v>
      </c>
      <c r="B1947" s="66" t="s">
        <v>1638</v>
      </c>
      <c r="C1947" s="41">
        <v>1066</v>
      </c>
      <c r="D1947" s="41" t="s">
        <v>1501</v>
      </c>
      <c r="E1947" s="41">
        <v>10660010</v>
      </c>
      <c r="F1947" s="85" t="s">
        <v>1512</v>
      </c>
      <c r="G1947" s="39" t="s">
        <v>1610</v>
      </c>
      <c r="H1947" s="52" t="s">
        <v>98</v>
      </c>
      <c r="I1947" s="52">
        <v>2133.9</v>
      </c>
      <c r="J1947" s="49">
        <v>83843.42</v>
      </c>
      <c r="K1947" s="58">
        <v>0</v>
      </c>
      <c r="L1947" s="58">
        <v>0</v>
      </c>
      <c r="M1947" s="58">
        <v>0</v>
      </c>
      <c r="N1947" s="58">
        <v>0</v>
      </c>
      <c r="O1947" s="58">
        <v>0</v>
      </c>
      <c r="P1947" s="53">
        <v>0</v>
      </c>
      <c r="Q1947" s="65">
        <v>83843.42</v>
      </c>
      <c r="R1947" s="65">
        <v>0</v>
      </c>
      <c r="S1947" s="65">
        <v>0</v>
      </c>
      <c r="T1947" s="65">
        <v>0</v>
      </c>
      <c r="U1947" s="58">
        <v>0</v>
      </c>
      <c r="V1947" s="65">
        <v>0</v>
      </c>
      <c r="W1947" s="65">
        <v>0</v>
      </c>
      <c r="X1947" s="65">
        <v>0</v>
      </c>
      <c r="Y1947" s="65">
        <v>0</v>
      </c>
      <c r="Z1947" s="51">
        <v>83843.42</v>
      </c>
      <c r="AA1947" s="51">
        <v>0</v>
      </c>
      <c r="AB1947" s="102">
        <v>0</v>
      </c>
      <c r="AC1947" s="81">
        <f t="shared" si="93"/>
        <v>0</v>
      </c>
      <c r="AD1947" s="82">
        <f t="shared" si="94"/>
        <v>0</v>
      </c>
      <c r="AE1947" s="218">
        <v>0</v>
      </c>
      <c r="AF1947">
        <v>0</v>
      </c>
      <c r="AH1947" t="str">
        <f t="shared" si="95"/>
        <v>Gaighat</v>
      </c>
      <c r="AJ1947" s="72">
        <v>0</v>
      </c>
      <c r="AK1947" s="72"/>
      <c r="AL1947" s="72"/>
      <c r="AM1947" s="72"/>
    </row>
    <row r="1948" spans="1:39" x14ac:dyDescent="0.25">
      <c r="A1948" s="37" t="s">
        <v>62</v>
      </c>
      <c r="B1948" s="66" t="s">
        <v>1638</v>
      </c>
      <c r="C1948" s="41">
        <v>1066</v>
      </c>
      <c r="D1948" s="41" t="s">
        <v>1501</v>
      </c>
      <c r="E1948" s="41">
        <v>10660011</v>
      </c>
      <c r="F1948" s="85" t="s">
        <v>1513</v>
      </c>
      <c r="G1948" s="39" t="s">
        <v>1610</v>
      </c>
      <c r="H1948" s="52" t="s">
        <v>98</v>
      </c>
      <c r="I1948" s="52">
        <v>1114.8000000000002</v>
      </c>
      <c r="J1948" s="49">
        <v>46124.31</v>
      </c>
      <c r="K1948" s="58">
        <v>0</v>
      </c>
      <c r="L1948" s="58">
        <v>0</v>
      </c>
      <c r="M1948" s="58">
        <v>0</v>
      </c>
      <c r="N1948" s="58">
        <v>0</v>
      </c>
      <c r="O1948" s="58">
        <v>0</v>
      </c>
      <c r="P1948" s="53">
        <v>0</v>
      </c>
      <c r="Q1948" s="65">
        <v>46124.31</v>
      </c>
      <c r="R1948" s="65">
        <v>0</v>
      </c>
      <c r="S1948" s="65">
        <v>0</v>
      </c>
      <c r="T1948" s="65">
        <v>0</v>
      </c>
      <c r="U1948" s="58">
        <v>0</v>
      </c>
      <c r="V1948" s="65">
        <v>0</v>
      </c>
      <c r="W1948" s="65">
        <v>0</v>
      </c>
      <c r="X1948" s="65">
        <v>0</v>
      </c>
      <c r="Y1948" s="65">
        <v>0</v>
      </c>
      <c r="Z1948" s="51">
        <v>46124.31</v>
      </c>
      <c r="AA1948" s="51">
        <v>0</v>
      </c>
      <c r="AB1948" s="102">
        <v>0</v>
      </c>
      <c r="AC1948" s="81">
        <f t="shared" si="93"/>
        <v>0</v>
      </c>
      <c r="AD1948" s="82">
        <f t="shared" si="94"/>
        <v>0</v>
      </c>
      <c r="AE1948" s="218">
        <v>0</v>
      </c>
      <c r="AF1948">
        <v>0</v>
      </c>
      <c r="AH1948" t="str">
        <f t="shared" si="95"/>
        <v>Gaighat</v>
      </c>
      <c r="AJ1948" s="72">
        <v>0</v>
      </c>
      <c r="AK1948" s="72"/>
      <c r="AL1948" s="72"/>
      <c r="AM1948" s="72"/>
    </row>
    <row r="1949" spans="1:39" x14ac:dyDescent="0.25">
      <c r="A1949" s="37" t="s">
        <v>62</v>
      </c>
      <c r="B1949" s="66" t="s">
        <v>1638</v>
      </c>
      <c r="C1949" s="41">
        <v>1066</v>
      </c>
      <c r="D1949" s="41" t="s">
        <v>1501</v>
      </c>
      <c r="E1949" s="41">
        <v>10660012</v>
      </c>
      <c r="F1949" s="85" t="s">
        <v>1529</v>
      </c>
      <c r="G1949" s="39" t="s">
        <v>1610</v>
      </c>
      <c r="H1949" s="52" t="s">
        <v>98</v>
      </c>
      <c r="I1949" s="52">
        <v>14.4</v>
      </c>
      <c r="J1949" s="49">
        <v>530.5</v>
      </c>
      <c r="K1949" s="58">
        <v>0</v>
      </c>
      <c r="L1949" s="58">
        <v>0</v>
      </c>
      <c r="M1949" s="58">
        <v>0</v>
      </c>
      <c r="N1949" s="58">
        <v>0</v>
      </c>
      <c r="O1949" s="58">
        <v>0</v>
      </c>
      <c r="P1949" s="53">
        <v>0</v>
      </c>
      <c r="Q1949" s="65">
        <v>530.5</v>
      </c>
      <c r="R1949" s="65">
        <v>0</v>
      </c>
      <c r="S1949" s="65">
        <v>0</v>
      </c>
      <c r="T1949" s="65">
        <v>0</v>
      </c>
      <c r="U1949" s="58">
        <v>0</v>
      </c>
      <c r="V1949" s="65">
        <v>0</v>
      </c>
      <c r="W1949" s="65">
        <v>0</v>
      </c>
      <c r="X1949" s="65">
        <v>0</v>
      </c>
      <c r="Y1949" s="65">
        <v>0</v>
      </c>
      <c r="Z1949" s="51">
        <v>530.5</v>
      </c>
      <c r="AA1949" s="51">
        <v>0</v>
      </c>
      <c r="AB1949" s="102">
        <v>0</v>
      </c>
      <c r="AC1949" s="81">
        <f t="shared" si="93"/>
        <v>505.15388888888884</v>
      </c>
      <c r="AD1949" s="82">
        <f t="shared" si="94"/>
        <v>2.0571428571428574</v>
      </c>
      <c r="AE1949" s="218">
        <v>0</v>
      </c>
      <c r="AF1949">
        <v>0</v>
      </c>
      <c r="AH1949" t="str">
        <f t="shared" si="95"/>
        <v>Gaighat</v>
      </c>
      <c r="AJ1949" s="72">
        <v>0</v>
      </c>
      <c r="AK1949" s="72"/>
      <c r="AL1949" s="72"/>
      <c r="AM1949" s="72"/>
    </row>
    <row r="1950" spans="1:39" x14ac:dyDescent="0.25">
      <c r="A1950" s="37" t="s">
        <v>62</v>
      </c>
      <c r="B1950" s="66" t="s">
        <v>1638</v>
      </c>
      <c r="C1950" s="41">
        <v>1066</v>
      </c>
      <c r="D1950" s="41" t="s">
        <v>1501</v>
      </c>
      <c r="E1950" s="41">
        <v>10660013</v>
      </c>
      <c r="F1950" s="85" t="s">
        <v>1514</v>
      </c>
      <c r="G1950" s="39" t="s">
        <v>92</v>
      </c>
      <c r="H1950" s="52" t="s">
        <v>93</v>
      </c>
      <c r="I1950" s="52">
        <v>469.80000000000013</v>
      </c>
      <c r="J1950" s="49">
        <v>20018.07</v>
      </c>
      <c r="K1950" s="58">
        <v>468.09999999999997</v>
      </c>
      <c r="L1950" s="58">
        <v>19876.960000000003</v>
      </c>
      <c r="M1950" s="58">
        <v>0</v>
      </c>
      <c r="N1950" s="58">
        <v>0</v>
      </c>
      <c r="O1950" s="58">
        <v>468.09999999999997</v>
      </c>
      <c r="P1950" s="53">
        <v>19876.960000000003</v>
      </c>
      <c r="Q1950" s="65">
        <v>19876.960000000003</v>
      </c>
      <c r="R1950" s="65">
        <v>0</v>
      </c>
      <c r="S1950" s="65">
        <v>0</v>
      </c>
      <c r="T1950" s="65">
        <v>0</v>
      </c>
      <c r="U1950" s="58">
        <v>0</v>
      </c>
      <c r="V1950" s="65">
        <v>0</v>
      </c>
      <c r="W1950" s="65">
        <v>0</v>
      </c>
      <c r="X1950" s="65">
        <v>19877</v>
      </c>
      <c r="Y1950" s="65">
        <v>0</v>
      </c>
      <c r="Z1950" s="51">
        <v>0</v>
      </c>
      <c r="AA1950" s="51">
        <v>141</v>
      </c>
      <c r="AB1950" s="102">
        <v>0</v>
      </c>
      <c r="AC1950" s="81">
        <f t="shared" si="93"/>
        <v>196.17538160919526</v>
      </c>
      <c r="AD1950" s="82">
        <f t="shared" si="94"/>
        <v>67.114285714285728</v>
      </c>
      <c r="AE1950" s="218">
        <v>7.0491311100419245E-3</v>
      </c>
      <c r="AF1950">
        <v>3</v>
      </c>
      <c r="AH1950" t="str">
        <f t="shared" si="95"/>
        <v>Gaighat</v>
      </c>
      <c r="AJ1950" s="72">
        <v>0</v>
      </c>
      <c r="AK1950" s="72"/>
      <c r="AL1950" s="72"/>
      <c r="AM1950" s="72"/>
    </row>
    <row r="1951" spans="1:39" x14ac:dyDescent="0.25">
      <c r="A1951" s="37" t="s">
        <v>62</v>
      </c>
      <c r="B1951" s="66" t="s">
        <v>1638</v>
      </c>
      <c r="C1951" s="41">
        <v>1066</v>
      </c>
      <c r="D1951" s="41" t="s">
        <v>1501</v>
      </c>
      <c r="E1951" s="41">
        <v>10660015</v>
      </c>
      <c r="F1951" s="85" t="s">
        <v>1515</v>
      </c>
      <c r="G1951" s="39" t="s">
        <v>1610</v>
      </c>
      <c r="H1951" s="52" t="s">
        <v>98</v>
      </c>
      <c r="I1951" s="52">
        <v>1166.0999999999999</v>
      </c>
      <c r="J1951" s="49">
        <v>48588.55</v>
      </c>
      <c r="K1951" s="58">
        <v>0</v>
      </c>
      <c r="L1951" s="58">
        <v>0</v>
      </c>
      <c r="M1951" s="58">
        <v>0</v>
      </c>
      <c r="N1951" s="58">
        <v>0</v>
      </c>
      <c r="O1951" s="58">
        <v>0</v>
      </c>
      <c r="P1951" s="53">
        <v>0</v>
      </c>
      <c r="Q1951" s="65">
        <v>48588.55</v>
      </c>
      <c r="R1951" s="65">
        <v>0</v>
      </c>
      <c r="S1951" s="65">
        <v>0</v>
      </c>
      <c r="T1951" s="65">
        <v>0</v>
      </c>
      <c r="U1951" s="58">
        <v>0</v>
      </c>
      <c r="V1951" s="65">
        <v>0</v>
      </c>
      <c r="W1951" s="65">
        <v>0</v>
      </c>
      <c r="X1951" s="65">
        <v>0</v>
      </c>
      <c r="Y1951" s="65">
        <v>0</v>
      </c>
      <c r="Z1951" s="51">
        <v>48588.55</v>
      </c>
      <c r="AA1951" s="51">
        <v>0</v>
      </c>
      <c r="AB1951" s="102">
        <v>0</v>
      </c>
      <c r="AC1951" s="81">
        <f t="shared" si="93"/>
        <v>0</v>
      </c>
      <c r="AD1951" s="82">
        <f t="shared" si="94"/>
        <v>0</v>
      </c>
      <c r="AE1951" s="218">
        <v>0</v>
      </c>
      <c r="AF1951">
        <v>0</v>
      </c>
      <c r="AH1951" t="str">
        <f t="shared" si="95"/>
        <v>Gaighat</v>
      </c>
      <c r="AJ1951" s="72">
        <v>0</v>
      </c>
      <c r="AK1951" s="72"/>
      <c r="AL1951" s="72"/>
      <c r="AM1951" s="72"/>
    </row>
    <row r="1952" spans="1:39" x14ac:dyDescent="0.25">
      <c r="A1952" s="37" t="s">
        <v>62</v>
      </c>
      <c r="B1952" s="66" t="s">
        <v>1638</v>
      </c>
      <c r="C1952" s="41">
        <v>1066</v>
      </c>
      <c r="D1952" s="41" t="s">
        <v>1501</v>
      </c>
      <c r="E1952" s="41">
        <v>10660016</v>
      </c>
      <c r="F1952" s="85" t="s">
        <v>1516</v>
      </c>
      <c r="G1952" s="39" t="s">
        <v>1610</v>
      </c>
      <c r="H1952" s="52" t="s">
        <v>98</v>
      </c>
      <c r="I1952" s="52">
        <v>767</v>
      </c>
      <c r="J1952" s="49">
        <v>30216.16</v>
      </c>
      <c r="K1952" s="58">
        <v>0</v>
      </c>
      <c r="L1952" s="58">
        <v>0</v>
      </c>
      <c r="M1952" s="58">
        <v>0</v>
      </c>
      <c r="N1952" s="58">
        <v>0</v>
      </c>
      <c r="O1952" s="58">
        <v>0</v>
      </c>
      <c r="P1952" s="53">
        <v>0</v>
      </c>
      <c r="Q1952" s="65">
        <v>30216.16</v>
      </c>
      <c r="R1952" s="65">
        <v>0</v>
      </c>
      <c r="S1952" s="65">
        <v>0</v>
      </c>
      <c r="T1952" s="65">
        <v>0</v>
      </c>
      <c r="U1952" s="58">
        <v>0</v>
      </c>
      <c r="V1952" s="65">
        <v>0</v>
      </c>
      <c r="W1952" s="65">
        <v>0</v>
      </c>
      <c r="X1952" s="65">
        <v>0</v>
      </c>
      <c r="Y1952" s="65">
        <v>0</v>
      </c>
      <c r="Z1952" s="51">
        <v>30216.16</v>
      </c>
      <c r="AA1952" s="51">
        <v>0</v>
      </c>
      <c r="AB1952" s="102">
        <v>0</v>
      </c>
      <c r="AC1952" s="81">
        <f t="shared" si="93"/>
        <v>0</v>
      </c>
      <c r="AD1952" s="82">
        <f t="shared" si="94"/>
        <v>0</v>
      </c>
      <c r="AE1952" s="218">
        <v>0</v>
      </c>
      <c r="AF1952">
        <v>0</v>
      </c>
      <c r="AH1952" t="str">
        <f t="shared" si="95"/>
        <v>Gaighat</v>
      </c>
      <c r="AJ1952" s="72">
        <v>0</v>
      </c>
      <c r="AK1952" s="72"/>
      <c r="AL1952" s="72"/>
      <c r="AM1952" s="72"/>
    </row>
    <row r="1953" spans="1:39" x14ac:dyDescent="0.25">
      <c r="A1953" s="37" t="s">
        <v>62</v>
      </c>
      <c r="B1953" s="66" t="s">
        <v>1638</v>
      </c>
      <c r="C1953" s="41">
        <v>1066</v>
      </c>
      <c r="D1953" s="41" t="s">
        <v>1501</v>
      </c>
      <c r="E1953" s="41">
        <v>10660017</v>
      </c>
      <c r="F1953" s="85" t="s">
        <v>1502</v>
      </c>
      <c r="G1953" s="39" t="s">
        <v>92</v>
      </c>
      <c r="H1953" s="52" t="s">
        <v>93</v>
      </c>
      <c r="I1953" s="52">
        <v>179.5</v>
      </c>
      <c r="J1953" s="49">
        <v>8112.2599999999993</v>
      </c>
      <c r="K1953" s="58">
        <v>178.29999999999998</v>
      </c>
      <c r="L1953" s="58">
        <v>7826.23</v>
      </c>
      <c r="M1953" s="58">
        <v>1</v>
      </c>
      <c r="N1953" s="58">
        <v>44.88000000000001</v>
      </c>
      <c r="O1953" s="58">
        <v>179.29999999999998</v>
      </c>
      <c r="P1953" s="53">
        <v>7871.11</v>
      </c>
      <c r="Q1953" s="65">
        <v>7871.11</v>
      </c>
      <c r="R1953" s="65">
        <v>0</v>
      </c>
      <c r="S1953" s="65">
        <v>44.88000000000001</v>
      </c>
      <c r="T1953" s="65">
        <v>0</v>
      </c>
      <c r="U1953" s="58">
        <v>0</v>
      </c>
      <c r="V1953" s="65">
        <v>0</v>
      </c>
      <c r="W1953" s="65">
        <v>0</v>
      </c>
      <c r="X1953" s="65">
        <v>7826</v>
      </c>
      <c r="Y1953" s="65">
        <v>0</v>
      </c>
      <c r="Z1953" s="51">
        <v>0</v>
      </c>
      <c r="AA1953" s="51">
        <v>241</v>
      </c>
      <c r="AB1953" s="102">
        <v>0</v>
      </c>
      <c r="AC1953" s="81">
        <f t="shared" si="93"/>
        <v>470.46588635097493</v>
      </c>
      <c r="AD1953" s="82">
        <f t="shared" si="94"/>
        <v>25.642857142857142</v>
      </c>
      <c r="AE1953" s="218">
        <v>2.9726611326560005E-2</v>
      </c>
      <c r="AF1953">
        <v>8</v>
      </c>
      <c r="AH1953" t="str">
        <f t="shared" si="95"/>
        <v>Gaighat</v>
      </c>
      <c r="AJ1953" s="72">
        <v>0</v>
      </c>
      <c r="AK1953" s="72"/>
      <c r="AL1953" s="72"/>
      <c r="AM1953" s="72"/>
    </row>
    <row r="1954" spans="1:39" x14ac:dyDescent="0.25">
      <c r="A1954" s="37" t="s">
        <v>62</v>
      </c>
      <c r="B1954" s="66" t="s">
        <v>1638</v>
      </c>
      <c r="C1954" s="41">
        <v>1066</v>
      </c>
      <c r="D1954" s="41" t="s">
        <v>1501</v>
      </c>
      <c r="E1954" s="41">
        <v>10660021</v>
      </c>
      <c r="F1954" s="85" t="s">
        <v>1518</v>
      </c>
      <c r="G1954" s="39" t="s">
        <v>1610</v>
      </c>
      <c r="H1954" s="52" t="s">
        <v>98</v>
      </c>
      <c r="I1954" s="52">
        <v>324.20000000000005</v>
      </c>
      <c r="J1954" s="49">
        <v>12503.45</v>
      </c>
      <c r="K1954" s="58">
        <v>0</v>
      </c>
      <c r="L1954" s="58">
        <v>0</v>
      </c>
      <c r="M1954" s="58">
        <v>0</v>
      </c>
      <c r="N1954" s="58">
        <v>0</v>
      </c>
      <c r="O1954" s="58">
        <v>0</v>
      </c>
      <c r="P1954" s="53">
        <v>0</v>
      </c>
      <c r="Q1954" s="65">
        <v>12503.45</v>
      </c>
      <c r="R1954" s="65">
        <v>0</v>
      </c>
      <c r="S1954" s="65">
        <v>0</v>
      </c>
      <c r="T1954" s="65">
        <v>0</v>
      </c>
      <c r="U1954" s="58">
        <v>0</v>
      </c>
      <c r="V1954" s="65">
        <v>0</v>
      </c>
      <c r="W1954" s="65">
        <v>0</v>
      </c>
      <c r="X1954" s="65">
        <v>0</v>
      </c>
      <c r="Y1954" s="65">
        <v>0</v>
      </c>
      <c r="Z1954" s="51">
        <v>12503.45</v>
      </c>
      <c r="AA1954" s="51">
        <v>0</v>
      </c>
      <c r="AB1954" s="102">
        <v>0</v>
      </c>
      <c r="AC1954" s="81">
        <f t="shared" si="93"/>
        <v>289.87023504009863</v>
      </c>
      <c r="AD1954" s="82">
        <f t="shared" si="94"/>
        <v>46.314285714285724</v>
      </c>
      <c r="AE1954" s="218">
        <v>0</v>
      </c>
      <c r="AF1954">
        <v>0</v>
      </c>
      <c r="AH1954" t="str">
        <f t="shared" si="95"/>
        <v>Gaighat</v>
      </c>
      <c r="AJ1954" s="72">
        <v>0</v>
      </c>
      <c r="AK1954" s="72"/>
      <c r="AL1954" s="72"/>
      <c r="AM1954" s="72"/>
    </row>
    <row r="1955" spans="1:39" x14ac:dyDescent="0.25">
      <c r="A1955" s="37" t="s">
        <v>62</v>
      </c>
      <c r="B1955" s="66" t="s">
        <v>1638</v>
      </c>
      <c r="C1955" s="41">
        <v>1066</v>
      </c>
      <c r="D1955" s="41" t="s">
        <v>1501</v>
      </c>
      <c r="E1955" s="41">
        <v>10660022</v>
      </c>
      <c r="F1955" s="85" t="s">
        <v>1519</v>
      </c>
      <c r="G1955" s="39" t="s">
        <v>1610</v>
      </c>
      <c r="H1955" s="52" t="s">
        <v>98</v>
      </c>
      <c r="I1955" s="52">
        <v>282.3</v>
      </c>
      <c r="J1955" s="49">
        <v>13150.68</v>
      </c>
      <c r="K1955" s="58">
        <v>0</v>
      </c>
      <c r="L1955" s="58">
        <v>0</v>
      </c>
      <c r="M1955" s="58">
        <v>0</v>
      </c>
      <c r="N1955" s="58">
        <v>0</v>
      </c>
      <c r="O1955" s="58">
        <v>0</v>
      </c>
      <c r="P1955" s="53">
        <v>0</v>
      </c>
      <c r="Q1955" s="65">
        <v>13150.68</v>
      </c>
      <c r="R1955" s="65">
        <v>0</v>
      </c>
      <c r="S1955" s="65">
        <v>0</v>
      </c>
      <c r="T1955" s="65">
        <v>0</v>
      </c>
      <c r="U1955" s="58">
        <v>0</v>
      </c>
      <c r="V1955" s="65">
        <v>0</v>
      </c>
      <c r="W1955" s="65">
        <v>0</v>
      </c>
      <c r="X1955" s="65">
        <v>0</v>
      </c>
      <c r="Y1955" s="65">
        <v>0</v>
      </c>
      <c r="Z1955" s="51">
        <v>13150.68</v>
      </c>
      <c r="AA1955" s="51">
        <v>0</v>
      </c>
      <c r="AB1955" s="102">
        <v>0</v>
      </c>
      <c r="AC1955" s="81">
        <f t="shared" si="93"/>
        <v>389.16323315621685</v>
      </c>
      <c r="AD1955" s="82">
        <f t="shared" si="94"/>
        <v>40.328571428571429</v>
      </c>
      <c r="AE1955" s="218">
        <v>0</v>
      </c>
      <c r="AF1955">
        <v>0</v>
      </c>
      <c r="AH1955" t="str">
        <f t="shared" si="95"/>
        <v>Gaighat</v>
      </c>
      <c r="AJ1955" s="72">
        <v>0</v>
      </c>
      <c r="AK1955" s="72"/>
      <c r="AL1955" s="72"/>
      <c r="AM1955" s="72"/>
    </row>
    <row r="1956" spans="1:39" x14ac:dyDescent="0.25">
      <c r="A1956" s="37" t="s">
        <v>62</v>
      </c>
      <c r="B1956" s="66" t="s">
        <v>1638</v>
      </c>
      <c r="C1956" s="41">
        <v>1066</v>
      </c>
      <c r="D1956" s="41" t="s">
        <v>1501</v>
      </c>
      <c r="E1956" s="41">
        <v>10660023</v>
      </c>
      <c r="F1956" s="85" t="s">
        <v>1520</v>
      </c>
      <c r="G1956" s="39" t="s">
        <v>1610</v>
      </c>
      <c r="H1956" s="52" t="s">
        <v>98</v>
      </c>
      <c r="I1956" s="52">
        <v>8574.5000000000018</v>
      </c>
      <c r="J1956" s="49">
        <v>357362.23</v>
      </c>
      <c r="K1956" s="58">
        <v>0</v>
      </c>
      <c r="L1956" s="58">
        <v>0</v>
      </c>
      <c r="M1956" s="58">
        <v>0</v>
      </c>
      <c r="N1956" s="58">
        <v>0</v>
      </c>
      <c r="O1956" s="58">
        <v>0</v>
      </c>
      <c r="P1956" s="53">
        <v>0</v>
      </c>
      <c r="Q1956" s="65">
        <v>357362.23</v>
      </c>
      <c r="R1956" s="65">
        <v>0</v>
      </c>
      <c r="S1956" s="65">
        <v>0</v>
      </c>
      <c r="T1956" s="65">
        <v>0</v>
      </c>
      <c r="U1956" s="58">
        <v>0</v>
      </c>
      <c r="V1956" s="65">
        <v>0</v>
      </c>
      <c r="W1956" s="65">
        <v>0</v>
      </c>
      <c r="X1956" s="65">
        <v>0</v>
      </c>
      <c r="Y1956" s="65">
        <v>0</v>
      </c>
      <c r="Z1956" s="51">
        <v>357362.23</v>
      </c>
      <c r="AA1956" s="51">
        <v>0</v>
      </c>
      <c r="AB1956" s="102">
        <v>0</v>
      </c>
      <c r="AC1956" s="81">
        <f t="shared" si="93"/>
        <v>0</v>
      </c>
      <c r="AD1956" s="82">
        <f t="shared" si="94"/>
        <v>0</v>
      </c>
      <c r="AE1956" s="218">
        <v>0</v>
      </c>
      <c r="AF1956">
        <v>0</v>
      </c>
      <c r="AH1956" t="str">
        <f t="shared" si="95"/>
        <v>Gaighat</v>
      </c>
      <c r="AJ1956" s="72">
        <v>0</v>
      </c>
      <c r="AK1956" s="72"/>
      <c r="AL1956" s="72"/>
      <c r="AM1956" s="72"/>
    </row>
    <row r="1957" spans="1:39" x14ac:dyDescent="0.25">
      <c r="A1957" s="37" t="s">
        <v>62</v>
      </c>
      <c r="B1957" s="66" t="s">
        <v>1638</v>
      </c>
      <c r="C1957" s="41">
        <v>1066</v>
      </c>
      <c r="D1957" s="41" t="s">
        <v>1501</v>
      </c>
      <c r="E1957" s="41">
        <v>10660024</v>
      </c>
      <c r="F1957" s="85" t="s">
        <v>1510</v>
      </c>
      <c r="G1957" s="39" t="s">
        <v>1610</v>
      </c>
      <c r="H1957" s="52" t="s">
        <v>98</v>
      </c>
      <c r="I1957" s="52">
        <v>174.60000000000002</v>
      </c>
      <c r="J1957" s="49">
        <v>6538.51</v>
      </c>
      <c r="K1957" s="58">
        <v>0</v>
      </c>
      <c r="L1957" s="58">
        <v>0</v>
      </c>
      <c r="M1957" s="58">
        <v>0</v>
      </c>
      <c r="N1957" s="58">
        <v>0</v>
      </c>
      <c r="O1957" s="58">
        <v>0</v>
      </c>
      <c r="P1957" s="53">
        <v>0</v>
      </c>
      <c r="Q1957" s="65">
        <v>6538.51</v>
      </c>
      <c r="R1957" s="65">
        <v>0</v>
      </c>
      <c r="S1957" s="65">
        <v>0</v>
      </c>
      <c r="T1957" s="65">
        <v>0</v>
      </c>
      <c r="U1957" s="58">
        <v>0</v>
      </c>
      <c r="V1957" s="65">
        <v>0</v>
      </c>
      <c r="W1957" s="65">
        <v>0</v>
      </c>
      <c r="X1957" s="65">
        <v>0</v>
      </c>
      <c r="Y1957" s="65">
        <v>0</v>
      </c>
      <c r="Z1957" s="51">
        <v>6538.51</v>
      </c>
      <c r="AA1957" s="51">
        <v>0</v>
      </c>
      <c r="AB1957" s="102">
        <v>0</v>
      </c>
      <c r="AC1957" s="81">
        <f t="shared" si="93"/>
        <v>393.5089523482244</v>
      </c>
      <c r="AD1957" s="82">
        <f t="shared" si="94"/>
        <v>24.942857142857147</v>
      </c>
      <c r="AE1957" s="218">
        <v>0</v>
      </c>
      <c r="AF1957">
        <v>0</v>
      </c>
      <c r="AH1957" t="str">
        <f t="shared" si="95"/>
        <v>Gaighat</v>
      </c>
      <c r="AJ1957" s="72">
        <v>0</v>
      </c>
      <c r="AK1957" s="72"/>
      <c r="AL1957" s="72"/>
      <c r="AM1957" s="72"/>
    </row>
    <row r="1958" spans="1:39" x14ac:dyDescent="0.25">
      <c r="A1958" s="37" t="s">
        <v>62</v>
      </c>
      <c r="B1958" s="66" t="s">
        <v>1638</v>
      </c>
      <c r="C1958" s="41">
        <v>1066</v>
      </c>
      <c r="D1958" s="41" t="s">
        <v>1501</v>
      </c>
      <c r="E1958" s="41">
        <v>10660026</v>
      </c>
      <c r="F1958" s="85" t="s">
        <v>1635</v>
      </c>
      <c r="G1958" s="39" t="s">
        <v>1610</v>
      </c>
      <c r="H1958" s="52" t="s">
        <v>93</v>
      </c>
      <c r="I1958" s="52">
        <v>52</v>
      </c>
      <c r="J1958" s="49">
        <v>2148.0100000000002</v>
      </c>
      <c r="K1958" s="58">
        <v>51.199999999999996</v>
      </c>
      <c r="L1958" s="58">
        <v>2168.08</v>
      </c>
      <c r="M1958" s="58">
        <v>0</v>
      </c>
      <c r="N1958" s="58">
        <v>0</v>
      </c>
      <c r="O1958" s="58">
        <v>51.199999999999996</v>
      </c>
      <c r="P1958" s="53">
        <v>2168.08</v>
      </c>
      <c r="Q1958" s="65">
        <v>2148.0100000000002</v>
      </c>
      <c r="R1958" s="65">
        <v>0</v>
      </c>
      <c r="S1958" s="65">
        <v>0</v>
      </c>
      <c r="T1958" s="65">
        <v>20.069999999999709</v>
      </c>
      <c r="U1958" s="58">
        <v>0</v>
      </c>
      <c r="V1958" s="65">
        <v>0</v>
      </c>
      <c r="W1958" s="65">
        <v>0</v>
      </c>
      <c r="X1958" s="65">
        <v>2148</v>
      </c>
      <c r="Y1958" s="65">
        <v>0</v>
      </c>
      <c r="Z1958" s="51">
        <v>0</v>
      </c>
      <c r="AA1958" s="51">
        <v>0</v>
      </c>
      <c r="AB1958" s="102">
        <v>0</v>
      </c>
      <c r="AC1958" s="81">
        <f t="shared" si="93"/>
        <v>535.35018461538471</v>
      </c>
      <c r="AD1958" s="82">
        <f t="shared" si="94"/>
        <v>7.4285714285714288</v>
      </c>
      <c r="AE1958" s="218">
        <v>-9.3435319202423203E-3</v>
      </c>
      <c r="AF1958">
        <v>5</v>
      </c>
      <c r="AH1958" t="str">
        <f t="shared" si="95"/>
        <v>Gaighat</v>
      </c>
      <c r="AJ1958" s="72">
        <v>0</v>
      </c>
      <c r="AK1958" s="72"/>
      <c r="AL1958" s="72"/>
      <c r="AM1958" s="72"/>
    </row>
    <row r="1959" spans="1:39" x14ac:dyDescent="0.25">
      <c r="A1959" s="37" t="s">
        <v>62</v>
      </c>
      <c r="B1959" s="66" t="s">
        <v>1638</v>
      </c>
      <c r="C1959" s="41">
        <v>1066</v>
      </c>
      <c r="D1959" s="41" t="s">
        <v>1501</v>
      </c>
      <c r="E1959" s="41">
        <v>10660027</v>
      </c>
      <c r="F1959" s="85" t="s">
        <v>1636</v>
      </c>
      <c r="G1959" s="39" t="s">
        <v>1610</v>
      </c>
      <c r="H1959" s="52" t="s">
        <v>93</v>
      </c>
      <c r="I1959" s="52">
        <v>130.30000000000001</v>
      </c>
      <c r="J1959" s="49">
        <v>5942.5399999999991</v>
      </c>
      <c r="K1959" s="58">
        <v>129.1</v>
      </c>
      <c r="L1959" s="58">
        <v>5781.1399999999994</v>
      </c>
      <c r="M1959" s="58">
        <v>0</v>
      </c>
      <c r="N1959" s="58">
        <v>0</v>
      </c>
      <c r="O1959" s="58">
        <v>129.1</v>
      </c>
      <c r="P1959" s="53">
        <v>5781.1399999999994</v>
      </c>
      <c r="Q1959" s="65">
        <v>5781.1399999999994</v>
      </c>
      <c r="R1959" s="65">
        <v>0</v>
      </c>
      <c r="S1959" s="65">
        <v>0</v>
      </c>
      <c r="T1959" s="65">
        <v>0</v>
      </c>
      <c r="U1959" s="58">
        <v>0</v>
      </c>
      <c r="V1959" s="65">
        <v>0</v>
      </c>
      <c r="W1959" s="65">
        <v>0</v>
      </c>
      <c r="X1959" s="65">
        <v>5782</v>
      </c>
      <c r="Y1959" s="65">
        <v>0</v>
      </c>
      <c r="Z1959" s="51">
        <v>0</v>
      </c>
      <c r="AA1959" s="51">
        <v>161</v>
      </c>
      <c r="AB1959" s="102">
        <v>0</v>
      </c>
      <c r="AC1959" s="81">
        <f t="shared" si="93"/>
        <v>519.64160214888716</v>
      </c>
      <c r="AD1959" s="82">
        <f t="shared" si="94"/>
        <v>18.614285714285717</v>
      </c>
      <c r="AE1959" s="218">
        <v>2.7160103255510212E-2</v>
      </c>
      <c r="AF1959">
        <v>7</v>
      </c>
      <c r="AH1959" t="str">
        <f t="shared" si="95"/>
        <v>Gaighat</v>
      </c>
      <c r="AJ1959" s="72">
        <v>0</v>
      </c>
      <c r="AK1959" s="72"/>
      <c r="AL1959" s="72"/>
      <c r="AM1959" s="72"/>
    </row>
    <row r="1960" spans="1:39" x14ac:dyDescent="0.25">
      <c r="A1960" s="37" t="s">
        <v>62</v>
      </c>
      <c r="B1960" s="66" t="s">
        <v>1638</v>
      </c>
      <c r="C1960" s="41">
        <v>1066</v>
      </c>
      <c r="D1960" s="41" t="s">
        <v>1501</v>
      </c>
      <c r="E1960" s="41">
        <v>10660028</v>
      </c>
      <c r="F1960" s="85" t="s">
        <v>1592</v>
      </c>
      <c r="G1960" s="39" t="s">
        <v>1610</v>
      </c>
      <c r="H1960" s="52" t="s">
        <v>93</v>
      </c>
      <c r="I1960" s="52">
        <v>729.50000000000011</v>
      </c>
      <c r="J1960" s="49">
        <v>38125.490000000005</v>
      </c>
      <c r="K1960" s="58">
        <v>726.0999999999998</v>
      </c>
      <c r="L1960" s="58">
        <v>38271.480000000003</v>
      </c>
      <c r="M1960" s="58">
        <v>0</v>
      </c>
      <c r="N1960" s="58">
        <v>0</v>
      </c>
      <c r="O1960" s="58">
        <v>726.0999999999998</v>
      </c>
      <c r="P1960" s="53">
        <v>38271.480000000003</v>
      </c>
      <c r="Q1960" s="65">
        <v>38125.490000000005</v>
      </c>
      <c r="R1960" s="65">
        <v>0</v>
      </c>
      <c r="S1960" s="65">
        <v>0</v>
      </c>
      <c r="T1960" s="65">
        <v>145.98999999999796</v>
      </c>
      <c r="U1960" s="58">
        <v>0</v>
      </c>
      <c r="V1960" s="65">
        <v>0</v>
      </c>
      <c r="W1960" s="65">
        <v>0</v>
      </c>
      <c r="X1960" s="65">
        <v>38125</v>
      </c>
      <c r="Y1960" s="65">
        <v>0</v>
      </c>
      <c r="Z1960" s="51">
        <v>0</v>
      </c>
      <c r="AA1960" s="51">
        <v>0</v>
      </c>
      <c r="AB1960" s="102">
        <v>0</v>
      </c>
      <c r="AC1960" s="81">
        <f t="shared" si="93"/>
        <v>0</v>
      </c>
      <c r="AD1960" s="82">
        <f t="shared" si="94"/>
        <v>0</v>
      </c>
      <c r="AE1960" s="218">
        <v>-3.8291966870458044E-3</v>
      </c>
      <c r="AF1960">
        <v>20</v>
      </c>
      <c r="AH1960" t="str">
        <f t="shared" si="95"/>
        <v>Gaighat</v>
      </c>
      <c r="AJ1960" s="72">
        <v>0</v>
      </c>
      <c r="AK1960" s="72"/>
      <c r="AL1960" s="72"/>
      <c r="AM1960" s="72"/>
    </row>
    <row r="1961" spans="1:39" x14ac:dyDescent="0.25">
      <c r="A1961" s="37" t="s">
        <v>62</v>
      </c>
      <c r="B1961" s="66" t="s">
        <v>1638</v>
      </c>
      <c r="C1961" s="41">
        <v>1066</v>
      </c>
      <c r="D1961" s="41" t="s">
        <v>1501</v>
      </c>
      <c r="E1961" s="41">
        <v>10660029</v>
      </c>
      <c r="F1961" s="85" t="s">
        <v>1637</v>
      </c>
      <c r="G1961" s="39" t="s">
        <v>1610</v>
      </c>
      <c r="H1961" s="52" t="s">
        <v>93</v>
      </c>
      <c r="I1961" s="52">
        <v>31.2</v>
      </c>
      <c r="J1961" s="49">
        <v>1338.78</v>
      </c>
      <c r="K1961" s="58">
        <v>34.70000000000001</v>
      </c>
      <c r="L1961" s="58">
        <v>1466.4999999999998</v>
      </c>
      <c r="M1961" s="58">
        <v>0</v>
      </c>
      <c r="N1961" s="58">
        <v>0</v>
      </c>
      <c r="O1961" s="58">
        <v>34.70000000000001</v>
      </c>
      <c r="P1961" s="53">
        <v>1466.4999999999998</v>
      </c>
      <c r="Q1961" s="65">
        <v>1338.78</v>
      </c>
      <c r="R1961" s="65">
        <v>0</v>
      </c>
      <c r="S1961" s="65">
        <v>0</v>
      </c>
      <c r="T1961" s="65">
        <v>127.7199999999998</v>
      </c>
      <c r="U1961" s="58">
        <v>0</v>
      </c>
      <c r="V1961" s="65">
        <v>0</v>
      </c>
      <c r="W1961" s="65">
        <v>0</v>
      </c>
      <c r="X1961" s="65">
        <v>1339</v>
      </c>
      <c r="Y1961" s="65">
        <v>0</v>
      </c>
      <c r="Z1961" s="51">
        <v>0</v>
      </c>
      <c r="AA1961" s="51">
        <v>0</v>
      </c>
      <c r="AB1961" s="102">
        <v>0</v>
      </c>
      <c r="AC1961" s="81">
        <f t="shared" si="93"/>
        <v>573.95901538461533</v>
      </c>
      <c r="AD1961" s="82">
        <f t="shared" si="94"/>
        <v>4.4571428571428573</v>
      </c>
      <c r="AE1961" s="218">
        <v>-9.5400289816101075E-2</v>
      </c>
      <c r="AF1961">
        <v>2</v>
      </c>
      <c r="AH1961" t="str">
        <f t="shared" si="95"/>
        <v>Gaighat</v>
      </c>
      <c r="AJ1961" s="72">
        <v>0</v>
      </c>
      <c r="AK1961" s="72"/>
      <c r="AL1961" s="72"/>
      <c r="AM1961" s="72"/>
    </row>
    <row r="1962" spans="1:39" x14ac:dyDescent="0.25">
      <c r="A1962" s="37" t="s">
        <v>62</v>
      </c>
      <c r="B1962" s="66" t="s">
        <v>1638</v>
      </c>
      <c r="C1962" s="41">
        <v>1066</v>
      </c>
      <c r="D1962" s="41" t="s">
        <v>1501</v>
      </c>
      <c r="E1962" s="41">
        <v>10660032</v>
      </c>
      <c r="F1962" s="85" t="s">
        <v>1514</v>
      </c>
      <c r="G1962" s="39" t="s">
        <v>1610</v>
      </c>
      <c r="H1962" s="52" t="s">
        <v>98</v>
      </c>
      <c r="I1962" s="52">
        <v>120.39999999999999</v>
      </c>
      <c r="J1962" s="49">
        <v>5213.6400000000003</v>
      </c>
      <c r="K1962" s="58">
        <v>0</v>
      </c>
      <c r="L1962" s="58">
        <v>0</v>
      </c>
      <c r="M1962" s="58">
        <v>0</v>
      </c>
      <c r="N1962" s="58">
        <v>0</v>
      </c>
      <c r="O1962" s="58">
        <v>0</v>
      </c>
      <c r="P1962" s="53">
        <v>0</v>
      </c>
      <c r="Q1962" s="65">
        <v>5213.6400000000003</v>
      </c>
      <c r="R1962" s="65">
        <v>0</v>
      </c>
      <c r="S1962" s="65">
        <v>0</v>
      </c>
      <c r="T1962" s="65">
        <v>0</v>
      </c>
      <c r="U1962" s="58">
        <v>0</v>
      </c>
      <c r="V1962" s="65">
        <v>0</v>
      </c>
      <c r="W1962" s="65">
        <v>0</v>
      </c>
      <c r="X1962" s="65">
        <v>0</v>
      </c>
      <c r="Y1962" s="65">
        <v>0</v>
      </c>
      <c r="Z1962" s="51">
        <v>5213.6400000000003</v>
      </c>
      <c r="AA1962" s="51">
        <v>0</v>
      </c>
      <c r="AB1962" s="102">
        <v>0</v>
      </c>
      <c r="AC1962" s="81">
        <f t="shared" si="93"/>
        <v>501.96440930232569</v>
      </c>
      <c r="AD1962" s="82">
        <f t="shared" si="94"/>
        <v>17.2</v>
      </c>
      <c r="AE1962" s="218">
        <v>0</v>
      </c>
      <c r="AF1962">
        <v>0</v>
      </c>
      <c r="AH1962" t="str">
        <f t="shared" si="95"/>
        <v>Gaighat</v>
      </c>
      <c r="AJ1962" s="72">
        <v>0</v>
      </c>
      <c r="AK1962" s="72"/>
      <c r="AL1962" s="72"/>
      <c r="AM1962" s="72"/>
    </row>
    <row r="1963" spans="1:39" x14ac:dyDescent="0.25">
      <c r="A1963" s="37" t="s">
        <v>62</v>
      </c>
      <c r="B1963" s="66" t="s">
        <v>1654</v>
      </c>
      <c r="C1963" s="41">
        <v>1001</v>
      </c>
      <c r="D1963" s="41" t="s">
        <v>91</v>
      </c>
      <c r="E1963" s="41">
        <v>10010013</v>
      </c>
      <c r="F1963" s="85" t="s">
        <v>94</v>
      </c>
      <c r="G1963" s="39" t="s">
        <v>92</v>
      </c>
      <c r="H1963" s="52" t="s">
        <v>93</v>
      </c>
      <c r="I1963" s="52">
        <v>539.80000000000007</v>
      </c>
      <c r="J1963" s="49">
        <v>20378.330000000002</v>
      </c>
      <c r="K1963" s="58">
        <v>533.44000000000017</v>
      </c>
      <c r="L1963" s="58">
        <v>20541.239999999998</v>
      </c>
      <c r="M1963" s="58">
        <v>2.16</v>
      </c>
      <c r="N1963" s="58">
        <v>81.669999999999987</v>
      </c>
      <c r="O1963" s="58">
        <v>535.60000000000014</v>
      </c>
      <c r="P1963" s="53">
        <v>20622.909999999996</v>
      </c>
      <c r="Q1963" s="65">
        <v>20378.330000000002</v>
      </c>
      <c r="R1963" s="65">
        <v>0</v>
      </c>
      <c r="S1963" s="65">
        <v>81.669999999999987</v>
      </c>
      <c r="T1963" s="65">
        <v>244.57999999999447</v>
      </c>
      <c r="U1963" s="58">
        <v>0</v>
      </c>
      <c r="V1963" s="65">
        <v>0</v>
      </c>
      <c r="W1963" s="65">
        <v>0</v>
      </c>
      <c r="X1963" s="65">
        <v>20297</v>
      </c>
      <c r="Y1963" s="65">
        <v>0</v>
      </c>
      <c r="Z1963" s="51">
        <v>0</v>
      </c>
      <c r="AA1963" s="51">
        <v>0</v>
      </c>
      <c r="AB1963" s="102" t="s">
        <v>66</v>
      </c>
      <c r="AC1963" s="81">
        <f t="shared" si="93"/>
        <v>120.95622326787691</v>
      </c>
      <c r="AD1963" s="82">
        <f t="shared" si="94"/>
        <v>77.114285714285728</v>
      </c>
      <c r="AE1963" s="218">
        <v>-1.2001964832250456E-2</v>
      </c>
      <c r="AF1963">
        <v>14</v>
      </c>
      <c r="AH1963" t="str">
        <f t="shared" si="95"/>
        <v>Majhaul</v>
      </c>
      <c r="AJ1963" s="72">
        <v>0</v>
      </c>
      <c r="AK1963" s="72"/>
      <c r="AL1963" s="72"/>
      <c r="AM1963" s="72"/>
    </row>
    <row r="1964" spans="1:39" x14ac:dyDescent="0.25">
      <c r="A1964" s="37" t="s">
        <v>62</v>
      </c>
      <c r="B1964" s="66" t="s">
        <v>1654</v>
      </c>
      <c r="C1964" s="41">
        <v>1001</v>
      </c>
      <c r="D1964" s="41" t="s">
        <v>91</v>
      </c>
      <c r="E1964" s="41">
        <v>10010019</v>
      </c>
      <c r="F1964" s="85" t="s">
        <v>96</v>
      </c>
      <c r="G1964" s="39" t="s">
        <v>92</v>
      </c>
      <c r="H1964" s="52" t="s">
        <v>93</v>
      </c>
      <c r="I1964" s="52">
        <v>870.69999999999993</v>
      </c>
      <c r="J1964" s="49">
        <v>34052.019999999997</v>
      </c>
      <c r="K1964" s="58">
        <v>858.77</v>
      </c>
      <c r="L1964" s="58">
        <v>33696.32</v>
      </c>
      <c r="M1964" s="58">
        <v>12.54</v>
      </c>
      <c r="N1964" s="58">
        <v>465.60999999999996</v>
      </c>
      <c r="O1964" s="58">
        <v>871.31</v>
      </c>
      <c r="P1964" s="53">
        <v>34161.93</v>
      </c>
      <c r="Q1964" s="65">
        <v>34052.019999999997</v>
      </c>
      <c r="R1964" s="65">
        <v>0</v>
      </c>
      <c r="S1964" s="65">
        <v>465.60999999999996</v>
      </c>
      <c r="T1964" s="65">
        <v>109.91000000000349</v>
      </c>
      <c r="U1964" s="58">
        <v>0</v>
      </c>
      <c r="V1964" s="65">
        <v>0</v>
      </c>
      <c r="W1964" s="65">
        <v>0</v>
      </c>
      <c r="X1964" s="65">
        <v>33586</v>
      </c>
      <c r="Y1964" s="65">
        <v>0</v>
      </c>
      <c r="Z1964" s="51">
        <v>0</v>
      </c>
      <c r="AA1964" s="51">
        <v>0</v>
      </c>
      <c r="AB1964" s="102" t="s">
        <v>66</v>
      </c>
      <c r="AC1964" s="81">
        <f t="shared" si="93"/>
        <v>0</v>
      </c>
      <c r="AD1964" s="82">
        <f t="shared" si="94"/>
        <v>0</v>
      </c>
      <c r="AE1964" s="218">
        <v>-3.2277086645668453E-3</v>
      </c>
      <c r="AF1964">
        <v>11</v>
      </c>
      <c r="AH1964" t="str">
        <f t="shared" si="95"/>
        <v>Majhaul</v>
      </c>
      <c r="AJ1964" s="72">
        <v>0</v>
      </c>
      <c r="AK1964" s="72"/>
      <c r="AL1964" s="72"/>
      <c r="AM1964" s="72"/>
    </row>
    <row r="1965" spans="1:39" x14ac:dyDescent="0.25">
      <c r="A1965" s="37" t="s">
        <v>62</v>
      </c>
      <c r="B1965" s="66" t="s">
        <v>1654</v>
      </c>
      <c r="C1965" s="41">
        <v>1058</v>
      </c>
      <c r="D1965" s="41" t="s">
        <v>1296</v>
      </c>
      <c r="E1965" s="41">
        <v>10010038</v>
      </c>
      <c r="F1965" s="85" t="s">
        <v>97</v>
      </c>
      <c r="G1965" s="39" t="s">
        <v>92</v>
      </c>
      <c r="H1965" s="52" t="s">
        <v>93</v>
      </c>
      <c r="I1965" s="52">
        <v>898.31999999999994</v>
      </c>
      <c r="J1965" s="49">
        <v>36880.49</v>
      </c>
      <c r="K1965" s="58">
        <v>560</v>
      </c>
      <c r="L1965" s="58">
        <v>23010.199999999997</v>
      </c>
      <c r="M1965" s="58">
        <v>341.1</v>
      </c>
      <c r="N1965" s="58">
        <v>13950.7</v>
      </c>
      <c r="O1965" s="58">
        <v>901.1</v>
      </c>
      <c r="P1965" s="53">
        <v>36960.899999999994</v>
      </c>
      <c r="Q1965" s="65">
        <v>36880.49</v>
      </c>
      <c r="R1965" s="65">
        <v>0</v>
      </c>
      <c r="S1965" s="65">
        <v>200.85</v>
      </c>
      <c r="T1965" s="65">
        <v>80.409999999996217</v>
      </c>
      <c r="U1965" s="58">
        <v>0</v>
      </c>
      <c r="V1965" s="65">
        <v>0</v>
      </c>
      <c r="W1965" s="65">
        <v>0</v>
      </c>
      <c r="X1965" s="65">
        <v>22930</v>
      </c>
      <c r="Y1965" s="65">
        <v>13749</v>
      </c>
      <c r="Z1965" s="51">
        <v>0</v>
      </c>
      <c r="AA1965" s="51">
        <v>1</v>
      </c>
      <c r="AB1965" s="102">
        <v>0</v>
      </c>
      <c r="AC1965" s="81">
        <f t="shared" si="93"/>
        <v>0</v>
      </c>
      <c r="AD1965" s="82">
        <f t="shared" si="94"/>
        <v>0</v>
      </c>
      <c r="AE1965" s="218">
        <v>-2.1802855656200939E-3</v>
      </c>
      <c r="AF1965">
        <v>7</v>
      </c>
      <c r="AH1965" t="str">
        <f t="shared" si="95"/>
        <v>Hasanpur</v>
      </c>
      <c r="AJ1965" s="72">
        <v>0</v>
      </c>
      <c r="AK1965" s="72"/>
      <c r="AL1965" s="72"/>
      <c r="AM1965" s="72"/>
    </row>
    <row r="1966" spans="1:39" x14ac:dyDescent="0.25">
      <c r="A1966" s="37" t="s">
        <v>62</v>
      </c>
      <c r="B1966" s="66" t="s">
        <v>1654</v>
      </c>
      <c r="C1966" s="41">
        <v>1058</v>
      </c>
      <c r="D1966" s="41" t="s">
        <v>1296</v>
      </c>
      <c r="E1966" s="41">
        <v>10010044</v>
      </c>
      <c r="F1966" s="85" t="s">
        <v>1534</v>
      </c>
      <c r="G1966" s="39" t="s">
        <v>92</v>
      </c>
      <c r="H1966" s="52" t="s">
        <v>93</v>
      </c>
      <c r="I1966" s="52">
        <v>266.92</v>
      </c>
      <c r="J1966" s="49">
        <v>10951.000000000002</v>
      </c>
      <c r="K1966" s="58">
        <v>214.6</v>
      </c>
      <c r="L1966" s="58">
        <v>8800.82</v>
      </c>
      <c r="M1966" s="58">
        <v>51.300000000000011</v>
      </c>
      <c r="N1966" s="58">
        <v>2124.69</v>
      </c>
      <c r="O1966" s="58">
        <v>265.89999999999998</v>
      </c>
      <c r="P1966" s="53">
        <v>10925.51</v>
      </c>
      <c r="Q1966" s="65">
        <v>10925.51</v>
      </c>
      <c r="R1966" s="65">
        <v>0</v>
      </c>
      <c r="S1966" s="65">
        <v>203.65</v>
      </c>
      <c r="T1966" s="65">
        <v>0</v>
      </c>
      <c r="U1966" s="58">
        <v>0</v>
      </c>
      <c r="V1966" s="65">
        <v>0</v>
      </c>
      <c r="W1966" s="65">
        <v>0</v>
      </c>
      <c r="X1966" s="65">
        <v>8801</v>
      </c>
      <c r="Y1966" s="65">
        <v>1920</v>
      </c>
      <c r="Z1966" s="51">
        <v>0</v>
      </c>
      <c r="AA1966" s="51">
        <v>26</v>
      </c>
      <c r="AB1966" s="102">
        <v>0</v>
      </c>
      <c r="AC1966" s="81">
        <f t="shared" si="93"/>
        <v>355.36183725460819</v>
      </c>
      <c r="AD1966" s="82">
        <f t="shared" si="94"/>
        <v>38.131428571428572</v>
      </c>
      <c r="AE1966" s="218">
        <v>2.3276413112959179E-3</v>
      </c>
      <c r="AF1966">
        <v>9</v>
      </c>
      <c r="AH1966" t="str">
        <f t="shared" si="95"/>
        <v>Hasanpur</v>
      </c>
      <c r="AJ1966" s="72">
        <v>0</v>
      </c>
      <c r="AK1966" s="72"/>
      <c r="AL1966" s="72"/>
      <c r="AM1966" s="72"/>
    </row>
    <row r="1967" spans="1:39" x14ac:dyDescent="0.25">
      <c r="A1967" s="37" t="s">
        <v>62</v>
      </c>
      <c r="B1967" s="66" t="s">
        <v>1654</v>
      </c>
      <c r="C1967" s="41">
        <v>1001</v>
      </c>
      <c r="D1967" s="41" t="s">
        <v>91</v>
      </c>
      <c r="E1967" s="41">
        <v>10010047</v>
      </c>
      <c r="F1967" s="85" t="s">
        <v>815</v>
      </c>
      <c r="G1967" s="39" t="s">
        <v>1610</v>
      </c>
      <c r="H1967" s="52" t="s">
        <v>98</v>
      </c>
      <c r="I1967" s="52">
        <v>304.39999999999998</v>
      </c>
      <c r="J1967" s="49">
        <v>11934.76</v>
      </c>
      <c r="K1967" s="58">
        <v>0</v>
      </c>
      <c r="L1967" s="58">
        <v>0</v>
      </c>
      <c r="M1967" s="58">
        <v>0</v>
      </c>
      <c r="N1967" s="58">
        <v>0</v>
      </c>
      <c r="O1967" s="58">
        <v>0</v>
      </c>
      <c r="P1967" s="53">
        <v>0</v>
      </c>
      <c r="Q1967" s="65">
        <v>11934.76</v>
      </c>
      <c r="R1967" s="65">
        <v>0</v>
      </c>
      <c r="S1967" s="65">
        <v>0</v>
      </c>
      <c r="T1967" s="65">
        <v>0</v>
      </c>
      <c r="U1967" s="58">
        <v>0</v>
      </c>
      <c r="V1967" s="65">
        <v>0</v>
      </c>
      <c r="W1967" s="65">
        <v>0</v>
      </c>
      <c r="X1967" s="65">
        <v>0</v>
      </c>
      <c r="Y1967" s="65">
        <v>0</v>
      </c>
      <c r="Z1967" s="51">
        <v>11934.76</v>
      </c>
      <c r="AA1967" s="51">
        <v>0</v>
      </c>
      <c r="AB1967" s="102">
        <v>0</v>
      </c>
      <c r="AC1967" s="81">
        <f t="shared" si="93"/>
        <v>310.20966202365315</v>
      </c>
      <c r="AD1967" s="82">
        <f t="shared" si="94"/>
        <v>43.48571428571428</v>
      </c>
      <c r="AE1967" s="218">
        <v>0</v>
      </c>
      <c r="AF1967">
        <v>0</v>
      </c>
      <c r="AH1967" t="str">
        <f t="shared" si="95"/>
        <v>Majhaul</v>
      </c>
      <c r="AJ1967" s="72">
        <v>0</v>
      </c>
      <c r="AK1967" s="72"/>
      <c r="AL1967" s="72"/>
      <c r="AM1967" s="72"/>
    </row>
    <row r="1968" spans="1:39" x14ac:dyDescent="0.25">
      <c r="A1968" s="37" t="s">
        <v>62</v>
      </c>
      <c r="B1968" s="66" t="s">
        <v>1654</v>
      </c>
      <c r="C1968" s="41">
        <v>1001</v>
      </c>
      <c r="D1968" s="41" t="s">
        <v>91</v>
      </c>
      <c r="E1968" s="41">
        <v>10010049</v>
      </c>
      <c r="F1968" s="85" t="s">
        <v>1185</v>
      </c>
      <c r="G1968" s="39" t="s">
        <v>1610</v>
      </c>
      <c r="H1968" s="52" t="s">
        <v>98</v>
      </c>
      <c r="I1968" s="52">
        <v>377.29999999999995</v>
      </c>
      <c r="J1968" s="49">
        <v>14733.16</v>
      </c>
      <c r="K1968" s="58">
        <v>0</v>
      </c>
      <c r="L1968" s="58">
        <v>0</v>
      </c>
      <c r="M1968" s="58">
        <v>0</v>
      </c>
      <c r="N1968" s="58">
        <v>0</v>
      </c>
      <c r="O1968" s="58">
        <v>0</v>
      </c>
      <c r="P1968" s="53">
        <v>0</v>
      </c>
      <c r="Q1968" s="65">
        <v>14733.16</v>
      </c>
      <c r="R1968" s="65">
        <v>0</v>
      </c>
      <c r="S1968" s="65">
        <v>0</v>
      </c>
      <c r="T1968" s="65">
        <v>0</v>
      </c>
      <c r="U1968" s="58">
        <v>0</v>
      </c>
      <c r="V1968" s="65">
        <v>0</v>
      </c>
      <c r="W1968" s="65">
        <v>0</v>
      </c>
      <c r="X1968" s="65">
        <v>0</v>
      </c>
      <c r="Y1968" s="65">
        <v>0</v>
      </c>
      <c r="Z1968" s="51">
        <v>14733.16</v>
      </c>
      <c r="AA1968" s="51">
        <v>0</v>
      </c>
      <c r="AB1968" s="102">
        <v>0</v>
      </c>
      <c r="AC1968" s="81">
        <f t="shared" si="93"/>
        <v>252.02177217068655</v>
      </c>
      <c r="AD1968" s="82">
        <f t="shared" si="94"/>
        <v>53.899999999999991</v>
      </c>
      <c r="AE1968" s="218">
        <v>0</v>
      </c>
      <c r="AF1968">
        <v>0</v>
      </c>
      <c r="AH1968" t="str">
        <f t="shared" si="95"/>
        <v>Majhaul</v>
      </c>
      <c r="AJ1968" s="72">
        <v>0</v>
      </c>
      <c r="AK1968" s="72"/>
      <c r="AL1968" s="72"/>
      <c r="AM1968" s="72"/>
    </row>
    <row r="1969" spans="1:39" x14ac:dyDescent="0.25">
      <c r="A1969" s="37" t="s">
        <v>62</v>
      </c>
      <c r="B1969" s="66" t="s">
        <v>1654</v>
      </c>
      <c r="C1969" s="41">
        <v>1058</v>
      </c>
      <c r="D1969" s="41" t="s">
        <v>1296</v>
      </c>
      <c r="E1969" s="41">
        <v>10010050</v>
      </c>
      <c r="F1969" s="85" t="s">
        <v>99</v>
      </c>
      <c r="G1969" s="39" t="s">
        <v>92</v>
      </c>
      <c r="H1969" s="52" t="s">
        <v>98</v>
      </c>
      <c r="I1969" s="52">
        <v>1326.46</v>
      </c>
      <c r="J1969" s="49">
        <v>56669.54</v>
      </c>
      <c r="K1969" s="58">
        <v>0</v>
      </c>
      <c r="L1969" s="58">
        <v>0</v>
      </c>
      <c r="M1969" s="58">
        <v>0</v>
      </c>
      <c r="N1969" s="58">
        <v>0</v>
      </c>
      <c r="O1969" s="58">
        <v>0</v>
      </c>
      <c r="P1969" s="53">
        <v>0</v>
      </c>
      <c r="Q1969" s="65">
        <v>56669.54</v>
      </c>
      <c r="R1969" s="65">
        <v>0</v>
      </c>
      <c r="S1969" s="65">
        <v>0</v>
      </c>
      <c r="T1969" s="65">
        <v>0</v>
      </c>
      <c r="U1969" s="58">
        <v>0</v>
      </c>
      <c r="V1969" s="65">
        <v>0</v>
      </c>
      <c r="W1969" s="65">
        <v>0</v>
      </c>
      <c r="X1969" s="65">
        <v>0</v>
      </c>
      <c r="Y1969" s="65">
        <v>0</v>
      </c>
      <c r="Z1969" s="51">
        <v>56669.54</v>
      </c>
      <c r="AA1969" s="51">
        <v>0</v>
      </c>
      <c r="AB1969" s="102">
        <v>0</v>
      </c>
      <c r="AC1969" s="81">
        <f t="shared" si="93"/>
        <v>0</v>
      </c>
      <c r="AD1969" s="82">
        <f t="shared" si="94"/>
        <v>0</v>
      </c>
      <c r="AE1969" s="218">
        <v>0</v>
      </c>
      <c r="AF1969">
        <v>0</v>
      </c>
      <c r="AH1969" t="str">
        <f t="shared" si="95"/>
        <v>Hasanpur</v>
      </c>
      <c r="AJ1969" s="72">
        <v>0</v>
      </c>
      <c r="AK1969" s="72"/>
      <c r="AL1969" s="72"/>
      <c r="AM1969" s="72"/>
    </row>
    <row r="1970" spans="1:39" x14ac:dyDescent="0.25">
      <c r="A1970" s="37" t="s">
        <v>62</v>
      </c>
      <c r="B1970" s="66" t="s">
        <v>1654</v>
      </c>
      <c r="C1970" s="41">
        <v>1001</v>
      </c>
      <c r="D1970" s="41" t="s">
        <v>91</v>
      </c>
      <c r="E1970" s="41">
        <v>10010055</v>
      </c>
      <c r="F1970" s="85" t="s">
        <v>101</v>
      </c>
      <c r="G1970" s="39" t="s">
        <v>92</v>
      </c>
      <c r="H1970" s="52" t="s">
        <v>93</v>
      </c>
      <c r="I1970" s="52">
        <v>96.5</v>
      </c>
      <c r="J1970" s="49">
        <v>4031.67</v>
      </c>
      <c r="K1970" s="58">
        <v>97.7</v>
      </c>
      <c r="L1970" s="58">
        <v>4114.78</v>
      </c>
      <c r="M1970" s="58">
        <v>0.5</v>
      </c>
      <c r="N1970" s="58">
        <v>17.399999999999999</v>
      </c>
      <c r="O1970" s="58">
        <v>98.2</v>
      </c>
      <c r="P1970" s="53">
        <v>4132.1799999999994</v>
      </c>
      <c r="Q1970" s="65">
        <v>4031.67</v>
      </c>
      <c r="R1970" s="65">
        <v>0</v>
      </c>
      <c r="S1970" s="65">
        <v>0</v>
      </c>
      <c r="T1970" s="65">
        <v>100.50999999999931</v>
      </c>
      <c r="U1970" s="58">
        <v>0</v>
      </c>
      <c r="V1970" s="65">
        <v>500</v>
      </c>
      <c r="W1970" s="65">
        <v>0</v>
      </c>
      <c r="X1970" s="65">
        <v>3517</v>
      </c>
      <c r="Y1970" s="65">
        <v>15</v>
      </c>
      <c r="Z1970" s="51">
        <v>0</v>
      </c>
      <c r="AA1970" s="51">
        <v>0</v>
      </c>
      <c r="AB1970" s="102">
        <v>0</v>
      </c>
      <c r="AC1970" s="81">
        <f t="shared" si="93"/>
        <v>504.27209222797933</v>
      </c>
      <c r="AD1970" s="82">
        <f t="shared" si="94"/>
        <v>13.785714285714286</v>
      </c>
      <c r="AE1970" s="218">
        <v>-2.4930115808089279E-2</v>
      </c>
      <c r="AF1970">
        <v>7</v>
      </c>
      <c r="AH1970" t="str">
        <f t="shared" si="95"/>
        <v>Majhaul</v>
      </c>
      <c r="AJ1970" s="72">
        <v>500</v>
      </c>
      <c r="AK1970" s="72"/>
      <c r="AL1970" s="72"/>
      <c r="AM1970" s="72"/>
    </row>
    <row r="1971" spans="1:39" x14ac:dyDescent="0.25">
      <c r="A1971" s="37" t="s">
        <v>62</v>
      </c>
      <c r="B1971" s="66" t="s">
        <v>1654</v>
      </c>
      <c r="C1971" s="41">
        <v>1001</v>
      </c>
      <c r="D1971" s="41" t="s">
        <v>91</v>
      </c>
      <c r="E1971" s="41">
        <v>10010057</v>
      </c>
      <c r="F1971" s="85" t="s">
        <v>416</v>
      </c>
      <c r="G1971" s="39" t="s">
        <v>1610</v>
      </c>
      <c r="H1971" s="52" t="s">
        <v>98</v>
      </c>
      <c r="I1971" s="52">
        <v>10349.799999999999</v>
      </c>
      <c r="J1971" s="49">
        <v>391721.52000000008</v>
      </c>
      <c r="K1971" s="58">
        <v>0</v>
      </c>
      <c r="L1971" s="58">
        <v>0</v>
      </c>
      <c r="M1971" s="58">
        <v>0</v>
      </c>
      <c r="N1971" s="58">
        <v>0</v>
      </c>
      <c r="O1971" s="58">
        <v>0</v>
      </c>
      <c r="P1971" s="53">
        <v>0</v>
      </c>
      <c r="Q1971" s="65">
        <v>391721.52000000008</v>
      </c>
      <c r="R1971" s="65">
        <v>0</v>
      </c>
      <c r="S1971" s="65">
        <v>0</v>
      </c>
      <c r="T1971" s="65">
        <v>0</v>
      </c>
      <c r="U1971" s="58">
        <v>0</v>
      </c>
      <c r="V1971" s="65">
        <v>0</v>
      </c>
      <c r="W1971" s="65">
        <v>0</v>
      </c>
      <c r="X1971" s="65">
        <v>0</v>
      </c>
      <c r="Y1971" s="65">
        <v>0</v>
      </c>
      <c r="Z1971" s="51">
        <v>391721.52000000008</v>
      </c>
      <c r="AA1971" s="51">
        <v>0</v>
      </c>
      <c r="AB1971" s="102">
        <v>0</v>
      </c>
      <c r="AC1971" s="81">
        <f t="shared" si="93"/>
        <v>0</v>
      </c>
      <c r="AD1971" s="82">
        <f t="shared" si="94"/>
        <v>0</v>
      </c>
      <c r="AE1971" s="218">
        <v>0</v>
      </c>
      <c r="AF1971">
        <v>0</v>
      </c>
      <c r="AH1971" t="str">
        <f t="shared" si="95"/>
        <v>Majhaul</v>
      </c>
      <c r="AJ1971" s="72">
        <v>0</v>
      </c>
      <c r="AK1971" s="72"/>
      <c r="AL1971" s="72"/>
      <c r="AM1971" s="72"/>
    </row>
    <row r="1972" spans="1:39" x14ac:dyDescent="0.25">
      <c r="A1972" s="37" t="s">
        <v>62</v>
      </c>
      <c r="B1972" s="66" t="s">
        <v>1654</v>
      </c>
      <c r="C1972" s="41">
        <v>1001</v>
      </c>
      <c r="D1972" s="41" t="s">
        <v>91</v>
      </c>
      <c r="E1972" s="41">
        <v>10010076</v>
      </c>
      <c r="F1972" s="85" t="s">
        <v>422</v>
      </c>
      <c r="G1972" s="39" t="s">
        <v>92</v>
      </c>
      <c r="H1972" s="52" t="s">
        <v>93</v>
      </c>
      <c r="I1972" s="52">
        <v>950.4</v>
      </c>
      <c r="J1972" s="49">
        <v>42632.9</v>
      </c>
      <c r="K1972" s="58">
        <v>423.30000000000007</v>
      </c>
      <c r="L1972" s="58">
        <v>18101.669999999998</v>
      </c>
      <c r="M1972" s="58">
        <v>453.90000000000015</v>
      </c>
      <c r="N1972" s="58">
        <v>19515.239999999998</v>
      </c>
      <c r="O1972" s="58">
        <v>877.20000000000027</v>
      </c>
      <c r="P1972" s="53">
        <v>37616.909999999996</v>
      </c>
      <c r="Q1972" s="65">
        <v>37616.909999999996</v>
      </c>
      <c r="R1972" s="65">
        <v>0</v>
      </c>
      <c r="S1972" s="65">
        <v>0</v>
      </c>
      <c r="T1972" s="65">
        <v>0</v>
      </c>
      <c r="U1972" s="58">
        <v>0</v>
      </c>
      <c r="V1972" s="65">
        <v>0</v>
      </c>
      <c r="W1972" s="65">
        <v>0</v>
      </c>
      <c r="X1972" s="65">
        <v>18100</v>
      </c>
      <c r="Y1972" s="65">
        <v>19513</v>
      </c>
      <c r="Z1972" s="51">
        <v>0</v>
      </c>
      <c r="AA1972" s="51">
        <v>5020</v>
      </c>
      <c r="AB1972" s="102">
        <v>0</v>
      </c>
      <c r="AC1972" s="81">
        <f t="shared" si="93"/>
        <v>0</v>
      </c>
      <c r="AD1972" s="82">
        <f t="shared" si="94"/>
        <v>0</v>
      </c>
      <c r="AE1972" s="218">
        <v>0.11765537882715005</v>
      </c>
      <c r="AF1972">
        <v>14</v>
      </c>
      <c r="AH1972" t="str">
        <f t="shared" si="95"/>
        <v>Majhaul</v>
      </c>
      <c r="AJ1972" s="72">
        <v>0</v>
      </c>
      <c r="AK1972" s="72"/>
      <c r="AL1972" s="72"/>
      <c r="AM1972" s="72"/>
    </row>
    <row r="1973" spans="1:39" x14ac:dyDescent="0.25">
      <c r="A1973" s="37" t="s">
        <v>62</v>
      </c>
      <c r="B1973" s="66" t="s">
        <v>1654</v>
      </c>
      <c r="C1973" s="41">
        <v>1058</v>
      </c>
      <c r="D1973" s="41" t="s">
        <v>1296</v>
      </c>
      <c r="E1973" s="41">
        <v>10010079</v>
      </c>
      <c r="F1973" s="85" t="s">
        <v>1558</v>
      </c>
      <c r="G1973" s="39" t="s">
        <v>1610</v>
      </c>
      <c r="H1973" s="52" t="s">
        <v>98</v>
      </c>
      <c r="I1973" s="52">
        <v>214.5</v>
      </c>
      <c r="J1973" s="49">
        <v>9160.99</v>
      </c>
      <c r="K1973" s="58">
        <v>0</v>
      </c>
      <c r="L1973" s="58">
        <v>0</v>
      </c>
      <c r="M1973" s="58">
        <v>0</v>
      </c>
      <c r="N1973" s="58">
        <v>0</v>
      </c>
      <c r="O1973" s="58">
        <v>0</v>
      </c>
      <c r="P1973" s="53">
        <v>0</v>
      </c>
      <c r="Q1973" s="65">
        <v>9160.99</v>
      </c>
      <c r="R1973" s="65">
        <v>0</v>
      </c>
      <c r="S1973" s="65">
        <v>0</v>
      </c>
      <c r="T1973" s="65">
        <v>0</v>
      </c>
      <c r="U1973" s="58">
        <v>0</v>
      </c>
      <c r="V1973" s="65">
        <v>0</v>
      </c>
      <c r="W1973" s="65">
        <v>0</v>
      </c>
      <c r="X1973" s="65">
        <v>0</v>
      </c>
      <c r="Y1973" s="65">
        <v>0</v>
      </c>
      <c r="Z1973" s="51">
        <v>9160.99</v>
      </c>
      <c r="AA1973" s="51">
        <v>0</v>
      </c>
      <c r="AB1973" s="102">
        <v>0</v>
      </c>
      <c r="AC1973" s="81">
        <f t="shared" si="93"/>
        <v>414.70029324009323</v>
      </c>
      <c r="AD1973" s="82">
        <f t="shared" si="94"/>
        <v>30.642857142857142</v>
      </c>
      <c r="AE1973" s="218">
        <v>0</v>
      </c>
      <c r="AF1973">
        <v>0</v>
      </c>
      <c r="AH1973" t="str">
        <f t="shared" si="95"/>
        <v>Hasanpur</v>
      </c>
      <c r="AJ1973" s="72">
        <v>0</v>
      </c>
      <c r="AK1973" s="72"/>
      <c r="AL1973" s="72"/>
      <c r="AM1973" s="72"/>
    </row>
    <row r="1974" spans="1:39" x14ac:dyDescent="0.25">
      <c r="A1974" s="37" t="s">
        <v>62</v>
      </c>
      <c r="B1974" s="66" t="s">
        <v>1654</v>
      </c>
      <c r="C1974" s="41">
        <v>1001</v>
      </c>
      <c r="D1974" s="41" t="s">
        <v>91</v>
      </c>
      <c r="E1974" s="41">
        <v>10010082</v>
      </c>
      <c r="F1974" s="85" t="s">
        <v>446</v>
      </c>
      <c r="G1974" s="39" t="s">
        <v>92</v>
      </c>
      <c r="H1974" s="52" t="s">
        <v>93</v>
      </c>
      <c r="I1974" s="52">
        <v>1291.7000000000003</v>
      </c>
      <c r="J1974" s="49">
        <v>50584.000000000007</v>
      </c>
      <c r="K1974" s="58">
        <v>1182.6599999999999</v>
      </c>
      <c r="L1974" s="58">
        <v>46299.049999999996</v>
      </c>
      <c r="M1974" s="58">
        <v>110.13999999999999</v>
      </c>
      <c r="N1974" s="58">
        <v>4309.5499999999993</v>
      </c>
      <c r="O1974" s="58">
        <v>1292.7999999999997</v>
      </c>
      <c r="P1974" s="53">
        <v>50608.599999999991</v>
      </c>
      <c r="Q1974" s="65">
        <v>50584.000000000007</v>
      </c>
      <c r="R1974" s="65">
        <v>0</v>
      </c>
      <c r="S1974" s="65">
        <v>0</v>
      </c>
      <c r="T1974" s="65">
        <v>24.599999999983993</v>
      </c>
      <c r="U1974" s="58">
        <v>0</v>
      </c>
      <c r="V1974" s="65">
        <v>0</v>
      </c>
      <c r="W1974" s="65">
        <v>0</v>
      </c>
      <c r="X1974" s="65">
        <v>46274</v>
      </c>
      <c r="Y1974" s="65">
        <v>4310</v>
      </c>
      <c r="Z1974" s="51">
        <v>0</v>
      </c>
      <c r="AA1974" s="51">
        <v>0</v>
      </c>
      <c r="AB1974" s="102" t="s">
        <v>66</v>
      </c>
      <c r="AC1974" s="81">
        <f t="shared" si="93"/>
        <v>0</v>
      </c>
      <c r="AD1974" s="82">
        <f t="shared" si="94"/>
        <v>0</v>
      </c>
      <c r="AE1974" s="218">
        <v>-4.8631978491190872E-4</v>
      </c>
      <c r="AF1974">
        <v>7</v>
      </c>
      <c r="AH1974" t="str">
        <f t="shared" si="95"/>
        <v>Majhaul</v>
      </c>
      <c r="AJ1974" s="72">
        <v>0</v>
      </c>
      <c r="AK1974" s="72"/>
      <c r="AL1974" s="72"/>
      <c r="AM1974" s="72"/>
    </row>
    <row r="1975" spans="1:39" x14ac:dyDescent="0.25">
      <c r="A1975" s="37" t="s">
        <v>62</v>
      </c>
      <c r="B1975" s="66" t="s">
        <v>1654</v>
      </c>
      <c r="C1975" s="41">
        <v>1001</v>
      </c>
      <c r="D1975" s="41" t="s">
        <v>91</v>
      </c>
      <c r="E1975" s="41">
        <v>10010084</v>
      </c>
      <c r="F1975" s="85" t="s">
        <v>447</v>
      </c>
      <c r="G1975" s="39" t="s">
        <v>1610</v>
      </c>
      <c r="H1975" s="52" t="s">
        <v>98</v>
      </c>
      <c r="I1975" s="52">
        <v>252.70000000000002</v>
      </c>
      <c r="J1975" s="49">
        <v>8797.52</v>
      </c>
      <c r="K1975" s="58">
        <v>0</v>
      </c>
      <c r="L1975" s="58">
        <v>0</v>
      </c>
      <c r="M1975" s="58">
        <v>0</v>
      </c>
      <c r="N1975" s="58">
        <v>0</v>
      </c>
      <c r="O1975" s="58">
        <v>0</v>
      </c>
      <c r="P1975" s="53">
        <v>0</v>
      </c>
      <c r="Q1975" s="65">
        <v>8797.52</v>
      </c>
      <c r="R1975" s="65">
        <v>0</v>
      </c>
      <c r="S1975" s="65">
        <v>0</v>
      </c>
      <c r="T1975" s="65">
        <v>0</v>
      </c>
      <c r="U1975" s="58">
        <v>0</v>
      </c>
      <c r="V1975" s="65">
        <v>0</v>
      </c>
      <c r="W1975" s="65">
        <v>0</v>
      </c>
      <c r="X1975" s="65">
        <v>0</v>
      </c>
      <c r="Y1975" s="65">
        <v>0</v>
      </c>
      <c r="Z1975" s="51">
        <v>8797.52</v>
      </c>
      <c r="AA1975" s="51">
        <v>0</v>
      </c>
      <c r="AB1975" s="102">
        <v>0</v>
      </c>
      <c r="AC1975" s="81">
        <f t="shared" si="93"/>
        <v>311.44682991689751</v>
      </c>
      <c r="AD1975" s="82">
        <f t="shared" si="94"/>
        <v>36.1</v>
      </c>
      <c r="AE1975" s="218">
        <v>0</v>
      </c>
      <c r="AF1975">
        <v>0</v>
      </c>
      <c r="AH1975" t="str">
        <f t="shared" si="95"/>
        <v>Majhaul</v>
      </c>
      <c r="AJ1975" s="72">
        <v>0</v>
      </c>
      <c r="AK1975" s="72"/>
      <c r="AL1975" s="72"/>
      <c r="AM1975" s="72"/>
    </row>
    <row r="1976" spans="1:39" x14ac:dyDescent="0.25">
      <c r="A1976" s="37" t="s">
        <v>62</v>
      </c>
      <c r="B1976" s="66" t="s">
        <v>1654</v>
      </c>
      <c r="C1976" s="41">
        <v>1058</v>
      </c>
      <c r="D1976" s="41" t="s">
        <v>1296</v>
      </c>
      <c r="E1976" s="41">
        <v>10010086</v>
      </c>
      <c r="F1976" s="85" t="s">
        <v>468</v>
      </c>
      <c r="G1976" s="39" t="s">
        <v>92</v>
      </c>
      <c r="H1976" s="52" t="s">
        <v>93</v>
      </c>
      <c r="I1976" s="52">
        <v>144.84</v>
      </c>
      <c r="J1976" s="49">
        <v>6738.02</v>
      </c>
      <c r="K1976" s="58">
        <v>125.67000000000002</v>
      </c>
      <c r="L1976" s="58">
        <v>6825.0600000000013</v>
      </c>
      <c r="M1976" s="58">
        <v>1.6099999999999999</v>
      </c>
      <c r="N1976" s="58">
        <v>84.320000000000007</v>
      </c>
      <c r="O1976" s="58">
        <v>127.28000000000002</v>
      </c>
      <c r="P1976" s="53">
        <v>6909.380000000001</v>
      </c>
      <c r="Q1976" s="65">
        <v>6738.02</v>
      </c>
      <c r="R1976" s="65">
        <v>0</v>
      </c>
      <c r="S1976" s="65">
        <v>84.320000000000007</v>
      </c>
      <c r="T1976" s="65">
        <v>171.36000000000058</v>
      </c>
      <c r="U1976" s="58">
        <v>0</v>
      </c>
      <c r="V1976" s="65">
        <v>500</v>
      </c>
      <c r="W1976" s="65">
        <v>0</v>
      </c>
      <c r="X1976" s="65">
        <v>6154</v>
      </c>
      <c r="Y1976" s="65">
        <v>0</v>
      </c>
      <c r="Z1976" s="51">
        <v>0</v>
      </c>
      <c r="AA1976" s="51">
        <v>0</v>
      </c>
      <c r="AB1976" s="102" t="s">
        <v>66</v>
      </c>
      <c r="AC1976" s="81">
        <f t="shared" si="93"/>
        <v>516.5257088097211</v>
      </c>
      <c r="AD1976" s="82">
        <f t="shared" si="94"/>
        <v>20.69142857142857</v>
      </c>
      <c r="AE1976" s="218">
        <v>-2.5431803408122945E-2</v>
      </c>
      <c r="AF1976">
        <v>6</v>
      </c>
      <c r="AH1976" t="str">
        <f t="shared" si="95"/>
        <v>Hasanpur</v>
      </c>
      <c r="AJ1976" s="72">
        <v>500</v>
      </c>
      <c r="AK1976" s="72"/>
      <c r="AL1976" s="72"/>
      <c r="AM1976" s="72"/>
    </row>
    <row r="1977" spans="1:39" x14ac:dyDescent="0.25">
      <c r="A1977" s="37" t="s">
        <v>62</v>
      </c>
      <c r="B1977" s="66" t="s">
        <v>1654</v>
      </c>
      <c r="C1977" s="41">
        <v>1058</v>
      </c>
      <c r="D1977" s="41" t="s">
        <v>1296</v>
      </c>
      <c r="E1977" s="41">
        <v>10010089</v>
      </c>
      <c r="F1977" s="85" t="s">
        <v>469</v>
      </c>
      <c r="G1977" s="39" t="s">
        <v>92</v>
      </c>
      <c r="H1977" s="52" t="s">
        <v>93</v>
      </c>
      <c r="I1977" s="52">
        <v>478.14000000000004</v>
      </c>
      <c r="J1977" s="49">
        <v>20368.75</v>
      </c>
      <c r="K1977" s="58">
        <v>280</v>
      </c>
      <c r="L1977" s="58">
        <v>11979.2</v>
      </c>
      <c r="M1977" s="58">
        <v>197.9</v>
      </c>
      <c r="N1977" s="58">
        <v>8457.380000000001</v>
      </c>
      <c r="O1977" s="58">
        <v>477.9</v>
      </c>
      <c r="P1977" s="53">
        <v>20436.580000000002</v>
      </c>
      <c r="Q1977" s="65">
        <v>20368.75</v>
      </c>
      <c r="R1977" s="65">
        <v>0</v>
      </c>
      <c r="S1977" s="65">
        <v>0</v>
      </c>
      <c r="T1977" s="65">
        <v>67.830000000001746</v>
      </c>
      <c r="U1977" s="58">
        <v>0</v>
      </c>
      <c r="V1977" s="65">
        <v>0</v>
      </c>
      <c r="W1977" s="65">
        <v>0</v>
      </c>
      <c r="X1977" s="65">
        <v>11912</v>
      </c>
      <c r="Y1977" s="65">
        <v>8457</v>
      </c>
      <c r="Z1977" s="51">
        <v>0</v>
      </c>
      <c r="AA1977" s="51">
        <v>0</v>
      </c>
      <c r="AB1977" s="102">
        <v>0</v>
      </c>
      <c r="AC1977" s="81">
        <f t="shared" si="93"/>
        <v>189.02459007821975</v>
      </c>
      <c r="AD1977" s="82">
        <f t="shared" si="94"/>
        <v>68.305714285714288</v>
      </c>
      <c r="AE1977" s="218">
        <v>-3.3301012580547037E-3</v>
      </c>
      <c r="AF1977">
        <v>6</v>
      </c>
      <c r="AH1977" t="str">
        <f t="shared" si="95"/>
        <v>Hasanpur</v>
      </c>
      <c r="AJ1977" s="72">
        <v>0</v>
      </c>
      <c r="AK1977" s="72"/>
      <c r="AL1977" s="72"/>
      <c r="AM1977" s="72"/>
    </row>
    <row r="1978" spans="1:39" x14ac:dyDescent="0.25">
      <c r="A1978" s="37" t="s">
        <v>62</v>
      </c>
      <c r="B1978" s="66" t="s">
        <v>1654</v>
      </c>
      <c r="C1978" s="41">
        <v>1001</v>
      </c>
      <c r="D1978" s="41" t="s">
        <v>91</v>
      </c>
      <c r="E1978" s="41">
        <v>10010092</v>
      </c>
      <c r="F1978" s="85" t="s">
        <v>516</v>
      </c>
      <c r="G1978" s="39" t="s">
        <v>1610</v>
      </c>
      <c r="H1978" s="52" t="s">
        <v>98</v>
      </c>
      <c r="I1978" s="52">
        <v>768.8</v>
      </c>
      <c r="J1978" s="49">
        <v>25940.47</v>
      </c>
      <c r="K1978" s="58">
        <v>0</v>
      </c>
      <c r="L1978" s="58">
        <v>0</v>
      </c>
      <c r="M1978" s="58">
        <v>0</v>
      </c>
      <c r="N1978" s="58">
        <v>0</v>
      </c>
      <c r="O1978" s="58">
        <v>0</v>
      </c>
      <c r="P1978" s="53">
        <v>0</v>
      </c>
      <c r="Q1978" s="65">
        <v>25940.47</v>
      </c>
      <c r="R1978" s="65">
        <v>0</v>
      </c>
      <c r="S1978" s="65">
        <v>0</v>
      </c>
      <c r="T1978" s="65">
        <v>0</v>
      </c>
      <c r="U1978" s="58">
        <v>0</v>
      </c>
      <c r="V1978" s="65">
        <v>0</v>
      </c>
      <c r="W1978" s="65">
        <v>0</v>
      </c>
      <c r="X1978" s="65">
        <v>0</v>
      </c>
      <c r="Y1978" s="65">
        <v>0</v>
      </c>
      <c r="Z1978" s="51">
        <v>25940.47</v>
      </c>
      <c r="AA1978" s="51">
        <v>0</v>
      </c>
      <c r="AB1978" s="102">
        <v>0</v>
      </c>
      <c r="AC1978" s="81">
        <f t="shared" si="93"/>
        <v>0</v>
      </c>
      <c r="AD1978" s="82">
        <f t="shared" si="94"/>
        <v>0</v>
      </c>
      <c r="AE1978" s="218">
        <v>0</v>
      </c>
      <c r="AF1978">
        <v>0</v>
      </c>
      <c r="AH1978" t="str">
        <f t="shared" si="95"/>
        <v>Majhaul</v>
      </c>
      <c r="AJ1978" s="72">
        <v>0</v>
      </c>
      <c r="AK1978" s="72"/>
      <c r="AL1978" s="72"/>
      <c r="AM1978" s="72"/>
    </row>
    <row r="1979" spans="1:39" x14ac:dyDescent="0.25">
      <c r="A1979" s="37" t="s">
        <v>62</v>
      </c>
      <c r="B1979" s="66" t="s">
        <v>1654</v>
      </c>
      <c r="C1979" s="41">
        <v>1058</v>
      </c>
      <c r="D1979" s="41" t="s">
        <v>1296</v>
      </c>
      <c r="E1979" s="41">
        <v>10010095</v>
      </c>
      <c r="F1979" s="85" t="s">
        <v>517</v>
      </c>
      <c r="G1979" s="39" t="s">
        <v>92</v>
      </c>
      <c r="H1979" s="52" t="s">
        <v>93</v>
      </c>
      <c r="I1979" s="52">
        <v>248.10000000000002</v>
      </c>
      <c r="J1979" s="49">
        <v>10205.619999999999</v>
      </c>
      <c r="K1979" s="58">
        <v>242.1</v>
      </c>
      <c r="L1979" s="58">
        <v>9954.33</v>
      </c>
      <c r="M1979" s="58">
        <v>5</v>
      </c>
      <c r="N1979" s="58">
        <v>194.6</v>
      </c>
      <c r="O1979" s="58">
        <v>247.1</v>
      </c>
      <c r="P1979" s="53">
        <v>10148.93</v>
      </c>
      <c r="Q1979" s="65">
        <v>10148.93</v>
      </c>
      <c r="R1979" s="65">
        <v>0</v>
      </c>
      <c r="S1979" s="65">
        <v>194.6</v>
      </c>
      <c r="T1979" s="65">
        <v>0</v>
      </c>
      <c r="U1979" s="58">
        <v>0</v>
      </c>
      <c r="V1979" s="65">
        <v>0</v>
      </c>
      <c r="W1979" s="65">
        <v>0</v>
      </c>
      <c r="X1979" s="65">
        <v>9954</v>
      </c>
      <c r="Y1979" s="65">
        <v>0</v>
      </c>
      <c r="Z1979" s="51">
        <v>0</v>
      </c>
      <c r="AA1979" s="51">
        <v>57</v>
      </c>
      <c r="AB1979" s="102">
        <v>0</v>
      </c>
      <c r="AC1979" s="81">
        <f t="shared" si="93"/>
        <v>371.77909536477216</v>
      </c>
      <c r="AD1979" s="82">
        <f t="shared" si="94"/>
        <v>35.442857142857143</v>
      </c>
      <c r="AE1979" s="218">
        <v>5.554782560980979E-3</v>
      </c>
      <c r="AF1979">
        <v>3</v>
      </c>
      <c r="AH1979" t="str">
        <f t="shared" si="95"/>
        <v>Hasanpur</v>
      </c>
      <c r="AJ1979" s="72">
        <v>0</v>
      </c>
      <c r="AK1979" s="72"/>
      <c r="AL1979" s="72"/>
      <c r="AM1979" s="72"/>
    </row>
    <row r="1980" spans="1:39" x14ac:dyDescent="0.25">
      <c r="A1980" s="37" t="s">
        <v>62</v>
      </c>
      <c r="B1980" s="66" t="s">
        <v>1654</v>
      </c>
      <c r="C1980" s="41">
        <v>1001</v>
      </c>
      <c r="D1980" s="41" t="s">
        <v>91</v>
      </c>
      <c r="E1980" s="41">
        <v>10010097</v>
      </c>
      <c r="F1980" s="85" t="s">
        <v>519</v>
      </c>
      <c r="G1980" s="39" t="s">
        <v>92</v>
      </c>
      <c r="H1980" s="52" t="s">
        <v>93</v>
      </c>
      <c r="I1980" s="52">
        <v>1086.6000000000001</v>
      </c>
      <c r="J1980" s="49">
        <v>42017.4</v>
      </c>
      <c r="K1980" s="58">
        <v>1209.4700000000003</v>
      </c>
      <c r="L1980" s="58">
        <v>48110.990000000013</v>
      </c>
      <c r="M1980" s="58">
        <v>1.79</v>
      </c>
      <c r="N1980" s="58">
        <v>70.400000000000006</v>
      </c>
      <c r="O1980" s="58">
        <v>1211.2600000000002</v>
      </c>
      <c r="P1980" s="53">
        <v>48181.390000000014</v>
      </c>
      <c r="Q1980" s="65">
        <v>42017.4</v>
      </c>
      <c r="R1980" s="65">
        <v>0</v>
      </c>
      <c r="S1980" s="65">
        <v>70.400000000000006</v>
      </c>
      <c r="T1980" s="65">
        <v>6163.9900000000125</v>
      </c>
      <c r="U1980" s="58">
        <v>0</v>
      </c>
      <c r="V1980" s="65">
        <v>0</v>
      </c>
      <c r="W1980" s="65">
        <v>0</v>
      </c>
      <c r="X1980" s="65">
        <v>41947</v>
      </c>
      <c r="Y1980" s="65">
        <v>0</v>
      </c>
      <c r="Z1980" s="51">
        <v>0</v>
      </c>
      <c r="AA1980" s="51">
        <v>0</v>
      </c>
      <c r="AB1980" s="102">
        <v>0</v>
      </c>
      <c r="AC1980" s="81">
        <f t="shared" si="93"/>
        <v>0</v>
      </c>
      <c r="AD1980" s="82">
        <f t="shared" si="94"/>
        <v>0</v>
      </c>
      <c r="AE1980" s="218">
        <v>-0.14670089058342525</v>
      </c>
      <c r="AF1980">
        <v>11</v>
      </c>
      <c r="AH1980" t="str">
        <f t="shared" si="95"/>
        <v>Majhaul</v>
      </c>
      <c r="AJ1980" s="72">
        <v>0</v>
      </c>
      <c r="AK1980" s="72"/>
      <c r="AL1980" s="72"/>
      <c r="AM1980" s="72"/>
    </row>
    <row r="1981" spans="1:39" x14ac:dyDescent="0.25">
      <c r="A1981" s="37" t="s">
        <v>62</v>
      </c>
      <c r="B1981" s="66" t="s">
        <v>1654</v>
      </c>
      <c r="C1981" s="41">
        <v>1058</v>
      </c>
      <c r="D1981" s="41" t="s">
        <v>1296</v>
      </c>
      <c r="E1981" s="41">
        <v>10010099</v>
      </c>
      <c r="F1981" s="85" t="s">
        <v>553</v>
      </c>
      <c r="G1981" s="39" t="s">
        <v>92</v>
      </c>
      <c r="H1981" s="52" t="s">
        <v>93</v>
      </c>
      <c r="I1981" s="52">
        <v>223.26</v>
      </c>
      <c r="J1981" s="49">
        <v>9659.0800000000017</v>
      </c>
      <c r="K1981" s="58">
        <v>229.70000000000002</v>
      </c>
      <c r="L1981" s="58">
        <v>9654.5500000000011</v>
      </c>
      <c r="M1981" s="58">
        <v>0</v>
      </c>
      <c r="N1981" s="58">
        <v>0</v>
      </c>
      <c r="O1981" s="58">
        <v>229.70000000000002</v>
      </c>
      <c r="P1981" s="53">
        <v>9654.5500000000011</v>
      </c>
      <c r="Q1981" s="65">
        <v>9654.5500000000011</v>
      </c>
      <c r="R1981" s="65">
        <v>0</v>
      </c>
      <c r="S1981" s="65">
        <v>0</v>
      </c>
      <c r="T1981" s="65">
        <v>0</v>
      </c>
      <c r="U1981" s="58">
        <v>0</v>
      </c>
      <c r="V1981" s="65">
        <v>500</v>
      </c>
      <c r="W1981" s="65">
        <v>0</v>
      </c>
      <c r="X1981" s="65">
        <v>9155</v>
      </c>
      <c r="Y1981" s="65">
        <v>0</v>
      </c>
      <c r="Z1981" s="51">
        <v>0</v>
      </c>
      <c r="AA1981" s="51">
        <v>4</v>
      </c>
      <c r="AB1981" s="102" t="s">
        <v>66</v>
      </c>
      <c r="AC1981" s="81">
        <f t="shared" si="93"/>
        <v>412.51185158111628</v>
      </c>
      <c r="AD1981" s="82">
        <f t="shared" si="94"/>
        <v>31.894285714285711</v>
      </c>
      <c r="AE1981" s="218">
        <v>4.6898876497561404E-4</v>
      </c>
      <c r="AF1981">
        <v>1</v>
      </c>
      <c r="AH1981" t="str">
        <f t="shared" si="95"/>
        <v>Hasanpur</v>
      </c>
      <c r="AJ1981" s="72">
        <v>500</v>
      </c>
      <c r="AK1981" s="72"/>
      <c r="AL1981" s="72"/>
      <c r="AM1981" s="72"/>
    </row>
    <row r="1982" spans="1:39" x14ac:dyDescent="0.25">
      <c r="A1982" s="37" t="s">
        <v>62</v>
      </c>
      <c r="B1982" s="66" t="s">
        <v>1654</v>
      </c>
      <c r="C1982" s="41">
        <v>1001</v>
      </c>
      <c r="D1982" s="41" t="s">
        <v>91</v>
      </c>
      <c r="E1982" s="41">
        <v>10010108</v>
      </c>
      <c r="F1982" s="85" t="s">
        <v>628</v>
      </c>
      <c r="G1982" s="39" t="s">
        <v>92</v>
      </c>
      <c r="H1982" s="52" t="s">
        <v>93</v>
      </c>
      <c r="I1982" s="52">
        <v>221.9</v>
      </c>
      <c r="J1982" s="49">
        <v>8113.9400000000014</v>
      </c>
      <c r="K1982" s="58">
        <v>225.09999999999997</v>
      </c>
      <c r="L1982" s="58">
        <v>8413.7099999999991</v>
      </c>
      <c r="M1982" s="58">
        <v>0.17</v>
      </c>
      <c r="N1982" s="58">
        <v>6.55</v>
      </c>
      <c r="O1982" s="58">
        <v>225.26999999999995</v>
      </c>
      <c r="P1982" s="53">
        <v>8420.2599999999984</v>
      </c>
      <c r="Q1982" s="65">
        <v>8113.9400000000014</v>
      </c>
      <c r="R1982" s="65">
        <v>0</v>
      </c>
      <c r="S1982" s="65">
        <v>6.55</v>
      </c>
      <c r="T1982" s="65">
        <v>306.31999999999698</v>
      </c>
      <c r="U1982" s="58">
        <v>0</v>
      </c>
      <c r="V1982" s="65">
        <v>500</v>
      </c>
      <c r="W1982" s="65">
        <v>0</v>
      </c>
      <c r="X1982" s="65">
        <v>7607</v>
      </c>
      <c r="Y1982" s="65">
        <v>0</v>
      </c>
      <c r="Z1982" s="51">
        <v>0</v>
      </c>
      <c r="AA1982" s="51">
        <v>0</v>
      </c>
      <c r="AB1982" s="102" t="s">
        <v>66</v>
      </c>
      <c r="AC1982" s="81">
        <f t="shared" ref="AC1982:AC2045" si="96">((IF(AD1982=0,0,100-AD1982))*7*(J1982/I1982))*2%</f>
        <v>349.64170473186118</v>
      </c>
      <c r="AD1982" s="82">
        <f t="shared" ref="AD1982:AD2045" si="97">IF((I1982/7)&gt;100,0,(I1982/7))</f>
        <v>31.7</v>
      </c>
      <c r="AE1982" s="218">
        <v>-3.7752312686561269E-2</v>
      </c>
      <c r="AF1982">
        <v>7</v>
      </c>
      <c r="AH1982" t="str">
        <f t="shared" si="95"/>
        <v>Majhaul</v>
      </c>
      <c r="AJ1982" s="72">
        <v>500</v>
      </c>
      <c r="AK1982" s="72"/>
      <c r="AL1982" s="72"/>
      <c r="AM1982" s="72"/>
    </row>
    <row r="1983" spans="1:39" x14ac:dyDescent="0.25">
      <c r="A1983" s="37" t="s">
        <v>62</v>
      </c>
      <c r="B1983" s="66" t="s">
        <v>1654</v>
      </c>
      <c r="C1983" s="41">
        <v>1001</v>
      </c>
      <c r="D1983" s="41" t="s">
        <v>91</v>
      </c>
      <c r="E1983" s="41">
        <v>10010109</v>
      </c>
      <c r="F1983" s="85" t="s">
        <v>629</v>
      </c>
      <c r="G1983" s="39" t="s">
        <v>1610</v>
      </c>
      <c r="H1983" s="52" t="s">
        <v>98</v>
      </c>
      <c r="I1983" s="52">
        <v>284.79999999999995</v>
      </c>
      <c r="J1983" s="49">
        <v>9895.65</v>
      </c>
      <c r="K1983" s="58">
        <v>0</v>
      </c>
      <c r="L1983" s="58">
        <v>0</v>
      </c>
      <c r="M1983" s="58">
        <v>0</v>
      </c>
      <c r="N1983" s="58">
        <v>0</v>
      </c>
      <c r="O1983" s="58">
        <v>0</v>
      </c>
      <c r="P1983" s="53">
        <v>0</v>
      </c>
      <c r="Q1983" s="65">
        <v>9895.65</v>
      </c>
      <c r="R1983" s="65">
        <v>0</v>
      </c>
      <c r="S1983" s="65">
        <v>0</v>
      </c>
      <c r="T1983" s="65">
        <v>0</v>
      </c>
      <c r="U1983" s="58">
        <v>0</v>
      </c>
      <c r="V1983" s="65">
        <v>0</v>
      </c>
      <c r="W1983" s="65">
        <v>0</v>
      </c>
      <c r="X1983" s="65">
        <v>0</v>
      </c>
      <c r="Y1983" s="65">
        <v>0</v>
      </c>
      <c r="Z1983" s="51">
        <v>9895.65</v>
      </c>
      <c r="AA1983" s="51">
        <v>0</v>
      </c>
      <c r="AB1983" s="102">
        <v>0</v>
      </c>
      <c r="AC1983" s="81">
        <f t="shared" si="96"/>
        <v>288.53046910112363</v>
      </c>
      <c r="AD1983" s="82">
        <f t="shared" si="97"/>
        <v>40.685714285714276</v>
      </c>
      <c r="AE1983" s="218">
        <v>0</v>
      </c>
      <c r="AF1983">
        <v>0</v>
      </c>
      <c r="AH1983" t="str">
        <f t="shared" si="95"/>
        <v>Majhaul</v>
      </c>
      <c r="AJ1983" s="72">
        <v>0</v>
      </c>
      <c r="AK1983" s="72"/>
      <c r="AL1983" s="72"/>
      <c r="AM1983" s="72"/>
    </row>
    <row r="1984" spans="1:39" x14ac:dyDescent="0.25">
      <c r="A1984" s="37" t="s">
        <v>62</v>
      </c>
      <c r="B1984" s="66" t="s">
        <v>1654</v>
      </c>
      <c r="C1984" s="41">
        <v>1001</v>
      </c>
      <c r="D1984" s="41" t="s">
        <v>91</v>
      </c>
      <c r="E1984" s="41">
        <v>10010113</v>
      </c>
      <c r="F1984" s="85" t="s">
        <v>804</v>
      </c>
      <c r="G1984" s="39" t="s">
        <v>92</v>
      </c>
      <c r="H1984" s="52" t="s">
        <v>93</v>
      </c>
      <c r="I1984" s="52">
        <v>792.60000000000014</v>
      </c>
      <c r="J1984" s="49">
        <v>31801.710000000006</v>
      </c>
      <c r="K1984" s="58">
        <v>793.47</v>
      </c>
      <c r="L1984" s="58">
        <v>32218.53</v>
      </c>
      <c r="M1984" s="58">
        <v>1.3</v>
      </c>
      <c r="N1984" s="58">
        <v>62.53</v>
      </c>
      <c r="O1984" s="58">
        <v>794.77</v>
      </c>
      <c r="P1984" s="53">
        <v>32281.059999999998</v>
      </c>
      <c r="Q1984" s="65">
        <v>31801.710000000006</v>
      </c>
      <c r="R1984" s="65">
        <v>0</v>
      </c>
      <c r="S1984" s="65">
        <v>62.53</v>
      </c>
      <c r="T1984" s="65">
        <v>479.34999999999127</v>
      </c>
      <c r="U1984" s="58">
        <v>0</v>
      </c>
      <c r="V1984" s="65">
        <v>0</v>
      </c>
      <c r="W1984" s="65">
        <v>0</v>
      </c>
      <c r="X1984" s="65">
        <v>31739</v>
      </c>
      <c r="Y1984" s="65">
        <v>0</v>
      </c>
      <c r="Z1984" s="51">
        <v>0</v>
      </c>
      <c r="AA1984" s="51">
        <v>0</v>
      </c>
      <c r="AB1984" s="102">
        <v>0</v>
      </c>
      <c r="AC1984" s="81">
        <f t="shared" si="96"/>
        <v>0</v>
      </c>
      <c r="AD1984" s="82">
        <f t="shared" si="97"/>
        <v>0</v>
      </c>
      <c r="AE1984" s="218">
        <v>-1.5073088837046535E-2</v>
      </c>
      <c r="AF1984">
        <v>28</v>
      </c>
      <c r="AH1984" t="str">
        <f t="shared" si="95"/>
        <v>Majhaul</v>
      </c>
      <c r="AJ1984" s="72">
        <v>0</v>
      </c>
      <c r="AK1984" s="72"/>
      <c r="AL1984" s="72"/>
      <c r="AM1984" s="72"/>
    </row>
    <row r="1985" spans="1:39" x14ac:dyDescent="0.25">
      <c r="A1985" s="37" t="s">
        <v>62</v>
      </c>
      <c r="B1985" s="66" t="s">
        <v>1654</v>
      </c>
      <c r="C1985" s="41">
        <v>1001</v>
      </c>
      <c r="D1985" s="41" t="s">
        <v>91</v>
      </c>
      <c r="E1985" s="41">
        <v>10010121</v>
      </c>
      <c r="F1985" s="85" t="s">
        <v>1116</v>
      </c>
      <c r="G1985" s="39" t="s">
        <v>92</v>
      </c>
      <c r="H1985" s="52" t="s">
        <v>93</v>
      </c>
      <c r="I1985" s="52">
        <v>1341.9999999999998</v>
      </c>
      <c r="J1985" s="49">
        <v>52229.67</v>
      </c>
      <c r="K1985" s="58">
        <v>1195.3999999999999</v>
      </c>
      <c r="L1985" s="58">
        <v>45178.539999999994</v>
      </c>
      <c r="M1985" s="58">
        <v>243.41000000000003</v>
      </c>
      <c r="N1985" s="58">
        <v>9492.82</v>
      </c>
      <c r="O1985" s="58">
        <v>1438.81</v>
      </c>
      <c r="P1985" s="53">
        <v>54671.359999999993</v>
      </c>
      <c r="Q1985" s="65">
        <v>52229.67</v>
      </c>
      <c r="R1985" s="65">
        <v>0</v>
      </c>
      <c r="S1985" s="65">
        <v>31.240000000000002</v>
      </c>
      <c r="T1985" s="65">
        <v>2441.6899999999951</v>
      </c>
      <c r="U1985" s="58">
        <v>0</v>
      </c>
      <c r="V1985" s="65">
        <v>0</v>
      </c>
      <c r="W1985" s="65">
        <v>0</v>
      </c>
      <c r="X1985" s="65">
        <v>42737</v>
      </c>
      <c r="Y1985" s="65">
        <v>9461</v>
      </c>
      <c r="Z1985" s="51">
        <v>0</v>
      </c>
      <c r="AA1985" s="51">
        <v>0</v>
      </c>
      <c r="AB1985" s="102">
        <v>0</v>
      </c>
      <c r="AC1985" s="81">
        <f t="shared" si="96"/>
        <v>0</v>
      </c>
      <c r="AD1985" s="82">
        <f t="shared" si="97"/>
        <v>0</v>
      </c>
      <c r="AE1985" s="218">
        <v>-4.674909874023702E-2</v>
      </c>
      <c r="AF1985">
        <v>17</v>
      </c>
      <c r="AH1985" t="str">
        <f t="shared" si="95"/>
        <v>Majhaul</v>
      </c>
      <c r="AJ1985" s="72">
        <v>0</v>
      </c>
      <c r="AK1985" s="72"/>
      <c r="AL1985" s="72"/>
      <c r="AM1985" s="72"/>
    </row>
    <row r="1986" spans="1:39" x14ac:dyDescent="0.25">
      <c r="A1986" s="37" t="s">
        <v>62</v>
      </c>
      <c r="B1986" s="66" t="s">
        <v>1654</v>
      </c>
      <c r="C1986" s="41">
        <v>1001</v>
      </c>
      <c r="D1986" s="41" t="s">
        <v>91</v>
      </c>
      <c r="E1986" s="41">
        <v>10010125</v>
      </c>
      <c r="F1986" s="85" t="s">
        <v>1126</v>
      </c>
      <c r="G1986" s="39" t="s">
        <v>1610</v>
      </c>
      <c r="H1986" s="52" t="s">
        <v>98</v>
      </c>
      <c r="I1986" s="52">
        <v>427.99999999999994</v>
      </c>
      <c r="J1986" s="49">
        <v>19077.98</v>
      </c>
      <c r="K1986" s="58">
        <v>0</v>
      </c>
      <c r="L1986" s="58">
        <v>0</v>
      </c>
      <c r="M1986" s="58">
        <v>0</v>
      </c>
      <c r="N1986" s="58">
        <v>0</v>
      </c>
      <c r="O1986" s="58">
        <v>0</v>
      </c>
      <c r="P1986" s="53">
        <v>0</v>
      </c>
      <c r="Q1986" s="65">
        <v>19077.98</v>
      </c>
      <c r="R1986" s="65">
        <v>0</v>
      </c>
      <c r="S1986" s="65">
        <v>0</v>
      </c>
      <c r="T1986" s="65">
        <v>0</v>
      </c>
      <c r="U1986" s="58">
        <v>0</v>
      </c>
      <c r="V1986" s="65">
        <v>0</v>
      </c>
      <c r="W1986" s="65">
        <v>0</v>
      </c>
      <c r="X1986" s="65">
        <v>0</v>
      </c>
      <c r="Y1986" s="65">
        <v>0</v>
      </c>
      <c r="Z1986" s="51">
        <v>19077.98</v>
      </c>
      <c r="AA1986" s="51">
        <v>0</v>
      </c>
      <c r="AB1986" s="102">
        <v>0</v>
      </c>
      <c r="AC1986" s="81">
        <f t="shared" si="96"/>
        <v>242.48647476635526</v>
      </c>
      <c r="AD1986" s="82">
        <f t="shared" si="97"/>
        <v>61.142857142857132</v>
      </c>
      <c r="AE1986" s="218">
        <v>0</v>
      </c>
      <c r="AF1986">
        <v>0</v>
      </c>
      <c r="AH1986" t="str">
        <f t="shared" si="95"/>
        <v>Majhaul</v>
      </c>
      <c r="AJ1986" s="72">
        <v>0</v>
      </c>
      <c r="AK1986" s="72"/>
      <c r="AL1986" s="72"/>
      <c r="AM1986" s="72"/>
    </row>
    <row r="1987" spans="1:39" x14ac:dyDescent="0.25">
      <c r="A1987" s="37" t="s">
        <v>62</v>
      </c>
      <c r="B1987" s="66" t="s">
        <v>1654</v>
      </c>
      <c r="C1987" s="41">
        <v>1001</v>
      </c>
      <c r="D1987" s="41" t="s">
        <v>91</v>
      </c>
      <c r="E1987" s="41">
        <v>10010128</v>
      </c>
      <c r="F1987" s="85" t="s">
        <v>1127</v>
      </c>
      <c r="G1987" s="39" t="s">
        <v>92</v>
      </c>
      <c r="H1987" s="52" t="s">
        <v>93</v>
      </c>
      <c r="I1987" s="52">
        <v>924.59999999999991</v>
      </c>
      <c r="J1987" s="49">
        <v>39360.720000000001</v>
      </c>
      <c r="K1987" s="58">
        <v>887.62000000000035</v>
      </c>
      <c r="L1987" s="58">
        <v>37979.349999999991</v>
      </c>
      <c r="M1987" s="58">
        <v>0</v>
      </c>
      <c r="N1987" s="58">
        <v>0</v>
      </c>
      <c r="O1987" s="58">
        <v>887.62000000000035</v>
      </c>
      <c r="P1987" s="53">
        <v>37979.349999999991</v>
      </c>
      <c r="Q1987" s="65">
        <v>37979.349999999991</v>
      </c>
      <c r="R1987" s="65">
        <v>0</v>
      </c>
      <c r="S1987" s="65">
        <v>0</v>
      </c>
      <c r="T1987" s="65">
        <v>0</v>
      </c>
      <c r="U1987" s="58">
        <v>0</v>
      </c>
      <c r="V1987" s="65">
        <v>0</v>
      </c>
      <c r="W1987" s="65">
        <v>0</v>
      </c>
      <c r="X1987" s="65">
        <v>37973</v>
      </c>
      <c r="Y1987" s="65">
        <v>0</v>
      </c>
      <c r="Z1987" s="51">
        <v>0</v>
      </c>
      <c r="AA1987" s="51">
        <v>1388</v>
      </c>
      <c r="AB1987" s="102">
        <v>0</v>
      </c>
      <c r="AC1987" s="81">
        <f t="shared" si="96"/>
        <v>0</v>
      </c>
      <c r="AD1987" s="82">
        <f t="shared" si="97"/>
        <v>0</v>
      </c>
      <c r="AE1987" s="218">
        <v>3.5095140536047356E-2</v>
      </c>
      <c r="AF1987">
        <v>18</v>
      </c>
      <c r="AH1987" t="str">
        <f t="shared" si="95"/>
        <v>Majhaul</v>
      </c>
      <c r="AJ1987" s="72">
        <v>0</v>
      </c>
      <c r="AK1987" s="72"/>
      <c r="AL1987" s="72"/>
      <c r="AM1987" s="72"/>
    </row>
    <row r="1988" spans="1:39" x14ac:dyDescent="0.25">
      <c r="A1988" s="37" t="s">
        <v>62</v>
      </c>
      <c r="B1988" s="66" t="s">
        <v>1654</v>
      </c>
      <c r="C1988" s="41">
        <v>1001</v>
      </c>
      <c r="D1988" s="41" t="s">
        <v>91</v>
      </c>
      <c r="E1988" s="41">
        <v>10010129</v>
      </c>
      <c r="F1988" s="85" t="s">
        <v>1128</v>
      </c>
      <c r="G1988" s="39" t="s">
        <v>1610</v>
      </c>
      <c r="H1988" s="52" t="s">
        <v>98</v>
      </c>
      <c r="I1988" s="52">
        <v>1007.6000000000001</v>
      </c>
      <c r="J1988" s="49">
        <v>43097.689999999995</v>
      </c>
      <c r="K1988" s="58">
        <v>0</v>
      </c>
      <c r="L1988" s="58">
        <v>0</v>
      </c>
      <c r="M1988" s="58">
        <v>0</v>
      </c>
      <c r="N1988" s="58">
        <v>0</v>
      </c>
      <c r="O1988" s="58">
        <v>0</v>
      </c>
      <c r="P1988" s="53">
        <v>0</v>
      </c>
      <c r="Q1988" s="65">
        <v>43097.689999999995</v>
      </c>
      <c r="R1988" s="65">
        <v>0</v>
      </c>
      <c r="S1988" s="65">
        <v>0</v>
      </c>
      <c r="T1988" s="65">
        <v>0</v>
      </c>
      <c r="U1988" s="58">
        <v>0</v>
      </c>
      <c r="V1988" s="65">
        <v>0</v>
      </c>
      <c r="W1988" s="65">
        <v>0</v>
      </c>
      <c r="X1988" s="65">
        <v>0</v>
      </c>
      <c r="Y1988" s="65">
        <v>0</v>
      </c>
      <c r="Z1988" s="51">
        <v>43097.689999999995</v>
      </c>
      <c r="AA1988" s="51">
        <v>0</v>
      </c>
      <c r="AB1988" s="102">
        <v>0</v>
      </c>
      <c r="AC1988" s="81">
        <f t="shared" si="96"/>
        <v>0</v>
      </c>
      <c r="AD1988" s="82">
        <f t="shared" si="97"/>
        <v>0</v>
      </c>
      <c r="AE1988" s="218">
        <v>0</v>
      </c>
      <c r="AF1988">
        <v>0</v>
      </c>
      <c r="AH1988" t="str">
        <f t="shared" si="95"/>
        <v>Majhaul</v>
      </c>
      <c r="AJ1988" s="72">
        <v>0</v>
      </c>
      <c r="AK1988" s="72"/>
      <c r="AL1988" s="72"/>
      <c r="AM1988" s="72"/>
    </row>
    <row r="1989" spans="1:39" x14ac:dyDescent="0.25">
      <c r="A1989" s="37" t="s">
        <v>62</v>
      </c>
      <c r="B1989" s="66" t="s">
        <v>1654</v>
      </c>
      <c r="C1989" s="41">
        <v>1001</v>
      </c>
      <c r="D1989" s="41" t="s">
        <v>91</v>
      </c>
      <c r="E1989" s="41">
        <v>10010130</v>
      </c>
      <c r="F1989" s="85" t="s">
        <v>1150</v>
      </c>
      <c r="G1989" s="39" t="s">
        <v>1610</v>
      </c>
      <c r="H1989" s="52" t="s">
        <v>98</v>
      </c>
      <c r="I1989" s="52">
        <v>505.4</v>
      </c>
      <c r="J1989" s="49">
        <v>18620.93</v>
      </c>
      <c r="K1989" s="58">
        <v>0</v>
      </c>
      <c r="L1989" s="58">
        <v>0</v>
      </c>
      <c r="M1989" s="58">
        <v>0</v>
      </c>
      <c r="N1989" s="58">
        <v>0</v>
      </c>
      <c r="O1989" s="58">
        <v>0</v>
      </c>
      <c r="P1989" s="53">
        <v>0</v>
      </c>
      <c r="Q1989" s="65">
        <v>18620.93</v>
      </c>
      <c r="R1989" s="65">
        <v>0</v>
      </c>
      <c r="S1989" s="65">
        <v>0</v>
      </c>
      <c r="T1989" s="65">
        <v>0</v>
      </c>
      <c r="U1989" s="58">
        <v>0</v>
      </c>
      <c r="V1989" s="65">
        <v>0</v>
      </c>
      <c r="W1989" s="65">
        <v>0</v>
      </c>
      <c r="X1989" s="65">
        <v>0</v>
      </c>
      <c r="Y1989" s="65">
        <v>0</v>
      </c>
      <c r="Z1989" s="51">
        <v>18620.93</v>
      </c>
      <c r="AA1989" s="51">
        <v>0</v>
      </c>
      <c r="AB1989" s="102">
        <v>0</v>
      </c>
      <c r="AC1989" s="81">
        <f t="shared" si="96"/>
        <v>143.39663545706372</v>
      </c>
      <c r="AD1989" s="82">
        <f t="shared" si="97"/>
        <v>72.2</v>
      </c>
      <c r="AE1989" s="218">
        <v>0</v>
      </c>
      <c r="AF1989">
        <v>0</v>
      </c>
      <c r="AH1989" t="str">
        <f t="shared" si="95"/>
        <v>Majhaul</v>
      </c>
      <c r="AJ1989" s="72">
        <v>0</v>
      </c>
      <c r="AK1989" s="72"/>
      <c r="AL1989" s="72"/>
      <c r="AM1989" s="72"/>
    </row>
    <row r="1990" spans="1:39" x14ac:dyDescent="0.25">
      <c r="A1990" s="37" t="s">
        <v>62</v>
      </c>
      <c r="B1990" s="66" t="s">
        <v>1654</v>
      </c>
      <c r="C1990" s="41">
        <v>1001</v>
      </c>
      <c r="D1990" s="41" t="s">
        <v>91</v>
      </c>
      <c r="E1990" s="41">
        <v>10010131</v>
      </c>
      <c r="F1990" s="85" t="s">
        <v>1151</v>
      </c>
      <c r="G1990" s="39" t="s">
        <v>1610</v>
      </c>
      <c r="H1990" s="52" t="s">
        <v>98</v>
      </c>
      <c r="I1990" s="52">
        <v>838.59999999999991</v>
      </c>
      <c r="J1990" s="49">
        <v>32002.35</v>
      </c>
      <c r="K1990" s="58">
        <v>0</v>
      </c>
      <c r="L1990" s="58">
        <v>0</v>
      </c>
      <c r="M1990" s="58">
        <v>0</v>
      </c>
      <c r="N1990" s="58">
        <v>0</v>
      </c>
      <c r="O1990" s="58">
        <v>0</v>
      </c>
      <c r="P1990" s="53">
        <v>0</v>
      </c>
      <c r="Q1990" s="65">
        <v>32002.35</v>
      </c>
      <c r="R1990" s="65">
        <v>0</v>
      </c>
      <c r="S1990" s="65">
        <v>0</v>
      </c>
      <c r="T1990" s="65">
        <v>0</v>
      </c>
      <c r="U1990" s="58">
        <v>0</v>
      </c>
      <c r="V1990" s="65">
        <v>0</v>
      </c>
      <c r="W1990" s="65">
        <v>0</v>
      </c>
      <c r="X1990" s="65">
        <v>0</v>
      </c>
      <c r="Y1990" s="65">
        <v>0</v>
      </c>
      <c r="Z1990" s="51">
        <v>32002.35</v>
      </c>
      <c r="AA1990" s="51">
        <v>0</v>
      </c>
      <c r="AB1990" s="102">
        <v>0</v>
      </c>
      <c r="AC1990" s="81">
        <f t="shared" si="96"/>
        <v>0</v>
      </c>
      <c r="AD1990" s="82">
        <f t="shared" si="97"/>
        <v>0</v>
      </c>
      <c r="AE1990" s="218">
        <v>0</v>
      </c>
      <c r="AF1990">
        <v>0</v>
      </c>
      <c r="AH1990" t="str">
        <f t="shared" si="95"/>
        <v>Majhaul</v>
      </c>
      <c r="AJ1990" s="72">
        <v>0</v>
      </c>
      <c r="AK1990" s="72"/>
      <c r="AL1990" s="72"/>
      <c r="AM1990" s="72"/>
    </row>
    <row r="1991" spans="1:39" x14ac:dyDescent="0.25">
      <c r="A1991" s="37" t="s">
        <v>62</v>
      </c>
      <c r="B1991" s="66" t="s">
        <v>1654</v>
      </c>
      <c r="C1991" s="41">
        <v>1001</v>
      </c>
      <c r="D1991" s="41" t="s">
        <v>91</v>
      </c>
      <c r="E1991" s="41">
        <v>10010140</v>
      </c>
      <c r="F1991" s="85" t="s">
        <v>1246</v>
      </c>
      <c r="G1991" s="39" t="s">
        <v>92</v>
      </c>
      <c r="H1991" s="52" t="s">
        <v>93</v>
      </c>
      <c r="I1991" s="52">
        <v>208.5</v>
      </c>
      <c r="J1991" s="49">
        <v>9052.2000000000007</v>
      </c>
      <c r="K1991" s="58">
        <v>233.91</v>
      </c>
      <c r="L1991" s="58">
        <v>10423.44</v>
      </c>
      <c r="M1991" s="58">
        <v>0</v>
      </c>
      <c r="N1991" s="58">
        <v>0</v>
      </c>
      <c r="O1991" s="58">
        <v>233.91</v>
      </c>
      <c r="P1991" s="53">
        <v>10423.44</v>
      </c>
      <c r="Q1991" s="65">
        <v>9052.2000000000007</v>
      </c>
      <c r="R1991" s="65">
        <v>0</v>
      </c>
      <c r="S1991" s="65">
        <v>0</v>
      </c>
      <c r="T1991" s="65">
        <v>1371.2399999999998</v>
      </c>
      <c r="U1991" s="58">
        <v>0</v>
      </c>
      <c r="V1991" s="65">
        <v>0</v>
      </c>
      <c r="W1991" s="65">
        <v>0</v>
      </c>
      <c r="X1991" s="65">
        <v>9052</v>
      </c>
      <c r="Y1991" s="65">
        <v>0</v>
      </c>
      <c r="Z1991" s="51">
        <v>0</v>
      </c>
      <c r="AA1991" s="51">
        <v>0</v>
      </c>
      <c r="AB1991" s="102" t="s">
        <v>66</v>
      </c>
      <c r="AC1991" s="81">
        <f t="shared" si="96"/>
        <v>426.77758273381306</v>
      </c>
      <c r="AD1991" s="82">
        <f t="shared" si="97"/>
        <v>29.785714285714285</v>
      </c>
      <c r="AE1991" s="218">
        <v>-0.15148140783455952</v>
      </c>
      <c r="AF1991">
        <v>4</v>
      </c>
      <c r="AH1991" t="str">
        <f t="shared" si="95"/>
        <v>Majhaul</v>
      </c>
      <c r="AJ1991" s="72">
        <v>0</v>
      </c>
      <c r="AK1991" s="72"/>
      <c r="AL1991" s="72"/>
      <c r="AM1991" s="72"/>
    </row>
    <row r="1992" spans="1:39" x14ac:dyDescent="0.25">
      <c r="A1992" s="37" t="s">
        <v>62</v>
      </c>
      <c r="B1992" s="66" t="s">
        <v>1654</v>
      </c>
      <c r="C1992" s="41">
        <v>1001</v>
      </c>
      <c r="D1992" s="41" t="s">
        <v>91</v>
      </c>
      <c r="E1992" s="41">
        <v>10010143</v>
      </c>
      <c r="F1992" s="85" t="s">
        <v>479</v>
      </c>
      <c r="G1992" s="39" t="s">
        <v>92</v>
      </c>
      <c r="H1992" s="52" t="s">
        <v>93</v>
      </c>
      <c r="I1992" s="52">
        <v>212.29999999999995</v>
      </c>
      <c r="J1992" s="49">
        <v>7332.0800000000008</v>
      </c>
      <c r="K1992" s="58">
        <v>206.39999999999998</v>
      </c>
      <c r="L1992" s="58">
        <v>7719.5499999999984</v>
      </c>
      <c r="M1992" s="58">
        <v>0</v>
      </c>
      <c r="N1992" s="58">
        <v>0</v>
      </c>
      <c r="O1992" s="58">
        <v>206.39999999999998</v>
      </c>
      <c r="P1992" s="53">
        <v>7719.5499999999984</v>
      </c>
      <c r="Q1992" s="65">
        <v>7332.0800000000008</v>
      </c>
      <c r="R1992" s="65">
        <v>0</v>
      </c>
      <c r="S1992" s="65">
        <v>0</v>
      </c>
      <c r="T1992" s="65">
        <v>387.46999999999753</v>
      </c>
      <c r="U1992" s="58">
        <v>0</v>
      </c>
      <c r="V1992" s="65">
        <v>0</v>
      </c>
      <c r="W1992" s="65">
        <v>0</v>
      </c>
      <c r="X1992" s="65">
        <v>7332</v>
      </c>
      <c r="Y1992" s="65">
        <v>0</v>
      </c>
      <c r="Z1992" s="51">
        <v>0</v>
      </c>
      <c r="AA1992" s="51">
        <v>0</v>
      </c>
      <c r="AB1992" s="102">
        <v>0</v>
      </c>
      <c r="AC1992" s="81">
        <f t="shared" si="96"/>
        <v>336.86815035327385</v>
      </c>
      <c r="AD1992" s="82">
        <f t="shared" si="97"/>
        <v>30.328571428571422</v>
      </c>
      <c r="AE1992" s="218">
        <v>-5.2845850018002731E-2</v>
      </c>
      <c r="AF1992">
        <v>7</v>
      </c>
      <c r="AH1992" t="str">
        <f t="shared" si="95"/>
        <v>Majhaul</v>
      </c>
      <c r="AJ1992" s="72">
        <v>0</v>
      </c>
      <c r="AK1992" s="72"/>
      <c r="AL1992" s="72"/>
      <c r="AM1992" s="72"/>
    </row>
    <row r="1993" spans="1:39" x14ac:dyDescent="0.25">
      <c r="A1993" s="37" t="s">
        <v>62</v>
      </c>
      <c r="B1993" s="66" t="s">
        <v>1654</v>
      </c>
      <c r="C1993" s="41">
        <v>1001</v>
      </c>
      <c r="D1993" s="41" t="s">
        <v>91</v>
      </c>
      <c r="E1993" s="41">
        <v>10010144</v>
      </c>
      <c r="F1993" s="85" t="s">
        <v>1418</v>
      </c>
      <c r="G1993" s="39" t="s">
        <v>92</v>
      </c>
      <c r="H1993" s="52" t="s">
        <v>93</v>
      </c>
      <c r="I1993" s="52">
        <v>127.6</v>
      </c>
      <c r="J1993" s="49">
        <v>4488.5599999999995</v>
      </c>
      <c r="K1993" s="58">
        <v>128.13</v>
      </c>
      <c r="L1993" s="58">
        <v>4312.74</v>
      </c>
      <c r="M1993" s="58">
        <v>0</v>
      </c>
      <c r="N1993" s="58">
        <v>0</v>
      </c>
      <c r="O1993" s="58">
        <v>128.13</v>
      </c>
      <c r="P1993" s="53">
        <v>4312.74</v>
      </c>
      <c r="Q1993" s="65">
        <v>4312.74</v>
      </c>
      <c r="R1993" s="65">
        <v>0</v>
      </c>
      <c r="S1993" s="65">
        <v>0</v>
      </c>
      <c r="T1993" s="65">
        <v>0</v>
      </c>
      <c r="U1993" s="58">
        <v>0</v>
      </c>
      <c r="V1993" s="65">
        <v>0</v>
      </c>
      <c r="W1993" s="65">
        <v>0</v>
      </c>
      <c r="X1993" s="65">
        <v>4313</v>
      </c>
      <c r="Y1993" s="65">
        <v>0</v>
      </c>
      <c r="Z1993" s="51">
        <v>0</v>
      </c>
      <c r="AA1993" s="51">
        <v>176</v>
      </c>
      <c r="AB1993" s="102">
        <v>0</v>
      </c>
      <c r="AC1993" s="81">
        <f t="shared" si="96"/>
        <v>402.70403510971784</v>
      </c>
      <c r="AD1993" s="82">
        <f t="shared" si="97"/>
        <v>18.228571428571428</v>
      </c>
      <c r="AE1993" s="218">
        <v>3.9170691714046316E-2</v>
      </c>
      <c r="AF1993">
        <v>3</v>
      </c>
      <c r="AH1993" t="str">
        <f t="shared" si="95"/>
        <v>Majhaul</v>
      </c>
      <c r="AJ1993" s="72">
        <v>0</v>
      </c>
      <c r="AK1993" s="72"/>
      <c r="AL1993" s="72"/>
      <c r="AM1993" s="72"/>
    </row>
    <row r="1994" spans="1:39" x14ac:dyDescent="0.25">
      <c r="A1994" s="37" t="s">
        <v>62</v>
      </c>
      <c r="B1994" s="66" t="s">
        <v>1654</v>
      </c>
      <c r="C1994" s="41">
        <v>1001</v>
      </c>
      <c r="D1994" s="41" t="s">
        <v>91</v>
      </c>
      <c r="E1994" s="41">
        <v>10010145</v>
      </c>
      <c r="F1994" s="85" t="s">
        <v>499</v>
      </c>
      <c r="G1994" s="39" t="s">
        <v>92</v>
      </c>
      <c r="H1994" s="52" t="s">
        <v>93</v>
      </c>
      <c r="I1994" s="52">
        <v>182.50000000000003</v>
      </c>
      <c r="J1994" s="49">
        <v>7271.33</v>
      </c>
      <c r="K1994" s="58">
        <v>186.25999999999996</v>
      </c>
      <c r="L1994" s="58">
        <v>8040.72</v>
      </c>
      <c r="M1994" s="58">
        <v>1.9</v>
      </c>
      <c r="N1994" s="58">
        <v>88.149999999999991</v>
      </c>
      <c r="O1994" s="58">
        <v>188.15999999999997</v>
      </c>
      <c r="P1994" s="53">
        <v>8128.87</v>
      </c>
      <c r="Q1994" s="65">
        <v>7271.33</v>
      </c>
      <c r="R1994" s="65">
        <v>0</v>
      </c>
      <c r="S1994" s="65">
        <v>88.149999999999991</v>
      </c>
      <c r="T1994" s="65">
        <v>857.54</v>
      </c>
      <c r="U1994" s="58">
        <v>0</v>
      </c>
      <c r="V1994" s="65">
        <v>0</v>
      </c>
      <c r="W1994" s="65">
        <v>0</v>
      </c>
      <c r="X1994" s="65">
        <v>7183</v>
      </c>
      <c r="Y1994" s="65">
        <v>0</v>
      </c>
      <c r="Z1994" s="51">
        <v>0</v>
      </c>
      <c r="AA1994" s="51">
        <v>0</v>
      </c>
      <c r="AB1994" s="102">
        <v>0</v>
      </c>
      <c r="AC1994" s="81">
        <f t="shared" si="96"/>
        <v>412.37405753424645</v>
      </c>
      <c r="AD1994" s="82">
        <f t="shared" si="97"/>
        <v>26.071428571428577</v>
      </c>
      <c r="AE1994" s="218">
        <v>-0.11793440814816546</v>
      </c>
      <c r="AF1994">
        <v>6</v>
      </c>
      <c r="AH1994" t="str">
        <f t="shared" si="95"/>
        <v>Majhaul</v>
      </c>
      <c r="AJ1994" s="72">
        <v>0</v>
      </c>
      <c r="AK1994" s="72"/>
      <c r="AL1994" s="72"/>
      <c r="AM1994" s="72"/>
    </row>
    <row r="1995" spans="1:39" x14ac:dyDescent="0.25">
      <c r="A1995" s="37" t="s">
        <v>62</v>
      </c>
      <c r="B1995" s="66" t="s">
        <v>1654</v>
      </c>
      <c r="C1995" s="41">
        <v>1001</v>
      </c>
      <c r="D1995" s="41" t="s">
        <v>91</v>
      </c>
      <c r="E1995" s="41">
        <v>10010146</v>
      </c>
      <c r="F1995" s="85" t="s">
        <v>1419</v>
      </c>
      <c r="G1995" s="39" t="s">
        <v>92</v>
      </c>
      <c r="H1995" s="52" t="s">
        <v>93</v>
      </c>
      <c r="I1995" s="52">
        <v>141.60000000000002</v>
      </c>
      <c r="J1995" s="49">
        <v>5780.19</v>
      </c>
      <c r="K1995" s="58">
        <v>140.97</v>
      </c>
      <c r="L1995" s="58">
        <v>5878.74</v>
      </c>
      <c r="M1995" s="58">
        <v>0</v>
      </c>
      <c r="N1995" s="58">
        <v>0</v>
      </c>
      <c r="O1995" s="58">
        <v>140.97</v>
      </c>
      <c r="P1995" s="53">
        <v>5878.74</v>
      </c>
      <c r="Q1995" s="65">
        <v>5780.19</v>
      </c>
      <c r="R1995" s="65">
        <v>0</v>
      </c>
      <c r="S1995" s="65">
        <v>0</v>
      </c>
      <c r="T1995" s="65">
        <v>98.550000000000182</v>
      </c>
      <c r="U1995" s="58">
        <v>0</v>
      </c>
      <c r="V1995" s="65">
        <v>0</v>
      </c>
      <c r="W1995" s="65">
        <v>0</v>
      </c>
      <c r="X1995" s="65">
        <v>5780</v>
      </c>
      <c r="Y1995" s="65">
        <v>0</v>
      </c>
      <c r="Z1995" s="51">
        <v>0</v>
      </c>
      <c r="AA1995" s="51">
        <v>0</v>
      </c>
      <c r="AB1995" s="102">
        <v>0</v>
      </c>
      <c r="AC1995" s="81">
        <f t="shared" si="96"/>
        <v>455.88391186440668</v>
      </c>
      <c r="AD1995" s="82">
        <f t="shared" si="97"/>
        <v>20.228571428571431</v>
      </c>
      <c r="AE1995" s="218">
        <v>-1.7049612555988677E-2</v>
      </c>
      <c r="AF1995">
        <v>3</v>
      </c>
      <c r="AH1995" t="str">
        <f t="shared" ref="AH1995:AH2058" si="98">TEXT(D1995,"0000")</f>
        <v>Majhaul</v>
      </c>
      <c r="AJ1995" s="72">
        <v>0</v>
      </c>
      <c r="AK1995" s="72"/>
      <c r="AL1995" s="72"/>
      <c r="AM1995" s="72"/>
    </row>
    <row r="1996" spans="1:39" x14ac:dyDescent="0.25">
      <c r="A1996" s="37" t="s">
        <v>62</v>
      </c>
      <c r="B1996" s="66" t="s">
        <v>1654</v>
      </c>
      <c r="C1996" s="41">
        <v>1001</v>
      </c>
      <c r="D1996" s="41" t="s">
        <v>91</v>
      </c>
      <c r="E1996" s="41">
        <v>10010147</v>
      </c>
      <c r="F1996" s="85" t="s">
        <v>1420</v>
      </c>
      <c r="G1996" s="39" t="s">
        <v>1610</v>
      </c>
      <c r="H1996" s="52" t="s">
        <v>98</v>
      </c>
      <c r="I1996" s="52">
        <v>125.39999999999999</v>
      </c>
      <c r="J1996" s="49">
        <v>4963.3599999999997</v>
      </c>
      <c r="K1996" s="58">
        <v>0</v>
      </c>
      <c r="L1996" s="58">
        <v>0</v>
      </c>
      <c r="M1996" s="58">
        <v>0</v>
      </c>
      <c r="N1996" s="58">
        <v>0</v>
      </c>
      <c r="O1996" s="58">
        <v>0</v>
      </c>
      <c r="P1996" s="53">
        <v>0</v>
      </c>
      <c r="Q1996" s="65">
        <v>4963.3599999999997</v>
      </c>
      <c r="R1996" s="65">
        <v>0</v>
      </c>
      <c r="S1996" s="65">
        <v>0</v>
      </c>
      <c r="T1996" s="65">
        <v>0</v>
      </c>
      <c r="U1996" s="58">
        <v>0</v>
      </c>
      <c r="V1996" s="65">
        <v>0</v>
      </c>
      <c r="W1996" s="65">
        <v>0</v>
      </c>
      <c r="X1996" s="65">
        <v>0</v>
      </c>
      <c r="Y1996" s="65">
        <v>0</v>
      </c>
      <c r="Z1996" s="51">
        <v>4963.3599999999997</v>
      </c>
      <c r="AA1996" s="51">
        <v>0</v>
      </c>
      <c r="AB1996" s="102">
        <v>0</v>
      </c>
      <c r="AC1996" s="81">
        <f t="shared" si="96"/>
        <v>454.85592599681019</v>
      </c>
      <c r="AD1996" s="82">
        <f t="shared" si="97"/>
        <v>17.914285714285715</v>
      </c>
      <c r="AE1996" s="218">
        <v>0</v>
      </c>
      <c r="AF1996">
        <v>0</v>
      </c>
      <c r="AH1996" t="str">
        <f t="shared" si="98"/>
        <v>Majhaul</v>
      </c>
      <c r="AJ1996" s="72">
        <v>0</v>
      </c>
      <c r="AK1996" s="72"/>
      <c r="AL1996" s="72"/>
      <c r="AM1996" s="72"/>
    </row>
    <row r="1997" spans="1:39" x14ac:dyDescent="0.25">
      <c r="A1997" s="37" t="s">
        <v>62</v>
      </c>
      <c r="B1997" s="66" t="s">
        <v>1654</v>
      </c>
      <c r="C1997" s="41">
        <v>1001</v>
      </c>
      <c r="D1997" s="41" t="s">
        <v>91</v>
      </c>
      <c r="E1997" s="41">
        <v>10010148</v>
      </c>
      <c r="F1997" s="85" t="s">
        <v>1421</v>
      </c>
      <c r="G1997" s="39" t="s">
        <v>92</v>
      </c>
      <c r="H1997" s="52" t="s">
        <v>93</v>
      </c>
      <c r="I1997" s="52">
        <v>258.59999999999997</v>
      </c>
      <c r="J1997" s="49">
        <v>10905.74</v>
      </c>
      <c r="K1997" s="58">
        <v>258.10999999999996</v>
      </c>
      <c r="L1997" s="58">
        <v>11456.050000000001</v>
      </c>
      <c r="M1997" s="58">
        <v>5.3599999999999994</v>
      </c>
      <c r="N1997" s="58">
        <v>234.2</v>
      </c>
      <c r="O1997" s="58">
        <v>263.46999999999997</v>
      </c>
      <c r="P1997" s="53">
        <v>11690.250000000002</v>
      </c>
      <c r="Q1997" s="65">
        <v>10905.74</v>
      </c>
      <c r="R1997" s="65">
        <v>0</v>
      </c>
      <c r="S1997" s="65">
        <v>234.2</v>
      </c>
      <c r="T1997" s="65">
        <v>784.51000000000204</v>
      </c>
      <c r="U1997" s="58">
        <v>0</v>
      </c>
      <c r="V1997" s="65">
        <v>0</v>
      </c>
      <c r="W1997" s="65">
        <v>0</v>
      </c>
      <c r="X1997" s="65">
        <v>10672</v>
      </c>
      <c r="Y1997" s="65">
        <v>0</v>
      </c>
      <c r="Z1997" s="51">
        <v>0</v>
      </c>
      <c r="AA1997" s="51">
        <v>0</v>
      </c>
      <c r="AB1997" s="102">
        <v>0</v>
      </c>
      <c r="AC1997" s="81">
        <f t="shared" si="96"/>
        <v>372.29649156999238</v>
      </c>
      <c r="AD1997" s="82">
        <f t="shared" si="97"/>
        <v>36.942857142857136</v>
      </c>
      <c r="AE1997" s="218">
        <v>-7.193551285836651E-2</v>
      </c>
      <c r="AF1997">
        <v>6</v>
      </c>
      <c r="AH1997" t="str">
        <f t="shared" si="98"/>
        <v>Majhaul</v>
      </c>
      <c r="AJ1997" s="72">
        <v>0</v>
      </c>
      <c r="AK1997" s="72"/>
      <c r="AL1997" s="72"/>
      <c r="AM1997" s="72"/>
    </row>
    <row r="1998" spans="1:39" x14ac:dyDescent="0.25">
      <c r="A1998" s="37" t="s">
        <v>62</v>
      </c>
      <c r="B1998" s="66" t="s">
        <v>1654</v>
      </c>
      <c r="C1998" s="41">
        <v>1001</v>
      </c>
      <c r="D1998" s="41" t="s">
        <v>91</v>
      </c>
      <c r="E1998" s="41">
        <v>10010149</v>
      </c>
      <c r="F1998" s="85" t="s">
        <v>1422</v>
      </c>
      <c r="G1998" s="39" t="s">
        <v>92</v>
      </c>
      <c r="H1998" s="52" t="s">
        <v>93</v>
      </c>
      <c r="I1998" s="52">
        <v>239.60000000000002</v>
      </c>
      <c r="J1998" s="49">
        <v>9215.5599999999977</v>
      </c>
      <c r="K1998" s="58">
        <v>237.49999999999997</v>
      </c>
      <c r="L1998" s="58">
        <v>9641.3599999999969</v>
      </c>
      <c r="M1998" s="58">
        <v>0</v>
      </c>
      <c r="N1998" s="58">
        <v>0</v>
      </c>
      <c r="O1998" s="58">
        <v>237.49999999999997</v>
      </c>
      <c r="P1998" s="53">
        <v>9641.3599999999969</v>
      </c>
      <c r="Q1998" s="65">
        <v>9215.5599999999977</v>
      </c>
      <c r="R1998" s="65">
        <v>0</v>
      </c>
      <c r="S1998" s="65">
        <v>0</v>
      </c>
      <c r="T1998" s="65">
        <v>425.79999999999927</v>
      </c>
      <c r="U1998" s="58">
        <v>0</v>
      </c>
      <c r="V1998" s="65">
        <v>0</v>
      </c>
      <c r="W1998" s="65">
        <v>0</v>
      </c>
      <c r="X1998" s="65">
        <v>9216</v>
      </c>
      <c r="Y1998" s="65">
        <v>0</v>
      </c>
      <c r="Z1998" s="51">
        <v>0</v>
      </c>
      <c r="AA1998" s="51">
        <v>0</v>
      </c>
      <c r="AB1998" s="102">
        <v>0</v>
      </c>
      <c r="AC1998" s="81">
        <f t="shared" si="96"/>
        <v>354.16058631051737</v>
      </c>
      <c r="AD1998" s="82">
        <f t="shared" si="97"/>
        <v>34.228571428571435</v>
      </c>
      <c r="AE1998" s="218">
        <v>-4.6204462886682889E-2</v>
      </c>
      <c r="AF1998">
        <v>6</v>
      </c>
      <c r="AH1998" t="str">
        <f t="shared" si="98"/>
        <v>Majhaul</v>
      </c>
      <c r="AJ1998" s="72">
        <v>0</v>
      </c>
      <c r="AK1998" s="72"/>
      <c r="AL1998" s="72"/>
      <c r="AM1998" s="72"/>
    </row>
    <row r="1999" spans="1:39" x14ac:dyDescent="0.25">
      <c r="A1999" s="37" t="s">
        <v>62</v>
      </c>
      <c r="B1999" s="66" t="s">
        <v>1654</v>
      </c>
      <c r="C1999" s="41">
        <v>1002</v>
      </c>
      <c r="D1999" s="41" t="s">
        <v>103</v>
      </c>
      <c r="E1999" s="41">
        <v>10020002</v>
      </c>
      <c r="F1999" s="85" t="s">
        <v>104</v>
      </c>
      <c r="G1999" s="39" t="s">
        <v>92</v>
      </c>
      <c r="H1999" s="52" t="s">
        <v>93</v>
      </c>
      <c r="I1999" s="52">
        <v>2289.9999999999995</v>
      </c>
      <c r="J1999" s="49">
        <v>104825.51000000001</v>
      </c>
      <c r="K1999" s="58">
        <v>1429.3</v>
      </c>
      <c r="L1999" s="58">
        <v>69901.180000000022</v>
      </c>
      <c r="M1999" s="58">
        <v>855.59999999999991</v>
      </c>
      <c r="N1999" s="58">
        <v>38780.26</v>
      </c>
      <c r="O1999" s="58">
        <v>2284.8999999999996</v>
      </c>
      <c r="P1999" s="53">
        <v>108681.44000000003</v>
      </c>
      <c r="Q1999" s="65">
        <v>104825.51000000001</v>
      </c>
      <c r="R1999" s="65">
        <v>0</v>
      </c>
      <c r="S1999" s="65">
        <v>973.04000000000008</v>
      </c>
      <c r="T1999" s="65">
        <v>3855.9300000000221</v>
      </c>
      <c r="U1999" s="58">
        <v>0</v>
      </c>
      <c r="V1999" s="65">
        <v>0</v>
      </c>
      <c r="W1999" s="65">
        <v>0</v>
      </c>
      <c r="X1999" s="65">
        <v>66045</v>
      </c>
      <c r="Y1999" s="65">
        <v>37807</v>
      </c>
      <c r="Z1999" s="51">
        <v>0</v>
      </c>
      <c r="AA1999" s="51">
        <v>0</v>
      </c>
      <c r="AB1999" s="102">
        <v>0</v>
      </c>
      <c r="AC1999" s="81">
        <f t="shared" si="96"/>
        <v>0</v>
      </c>
      <c r="AD1999" s="82">
        <f t="shared" si="97"/>
        <v>0</v>
      </c>
      <c r="AE1999" s="218">
        <v>-3.6784271309531637E-2</v>
      </c>
      <c r="AF1999">
        <v>14</v>
      </c>
      <c r="AH1999" t="str">
        <f t="shared" si="98"/>
        <v>Laldiyara</v>
      </c>
      <c r="AJ1999" s="72">
        <v>0</v>
      </c>
      <c r="AK1999" s="72"/>
      <c r="AL1999" s="72"/>
      <c r="AM1999" s="72"/>
    </row>
    <row r="2000" spans="1:39" x14ac:dyDescent="0.25">
      <c r="A2000" s="37" t="s">
        <v>62</v>
      </c>
      <c r="B2000" s="66" t="s">
        <v>1654</v>
      </c>
      <c r="C2000" s="41">
        <v>1002</v>
      </c>
      <c r="D2000" s="41" t="s">
        <v>103</v>
      </c>
      <c r="E2000" s="41">
        <v>10020004</v>
      </c>
      <c r="F2000" s="85" t="s">
        <v>105</v>
      </c>
      <c r="G2000" s="39" t="s">
        <v>92</v>
      </c>
      <c r="H2000" s="52" t="s">
        <v>93</v>
      </c>
      <c r="I2000" s="52">
        <v>547</v>
      </c>
      <c r="J2000" s="49">
        <v>21791.75</v>
      </c>
      <c r="K2000" s="58">
        <v>547</v>
      </c>
      <c r="L2000" s="58">
        <v>21791.750000000004</v>
      </c>
      <c r="M2000" s="58">
        <v>0</v>
      </c>
      <c r="N2000" s="58">
        <v>0</v>
      </c>
      <c r="O2000" s="58">
        <v>547</v>
      </c>
      <c r="P2000" s="53">
        <v>21791.750000000004</v>
      </c>
      <c r="Q2000" s="65">
        <v>21791.75</v>
      </c>
      <c r="R2000" s="65">
        <v>0</v>
      </c>
      <c r="S2000" s="65">
        <v>0</v>
      </c>
      <c r="T2000" s="65">
        <v>0</v>
      </c>
      <c r="U2000" s="58">
        <v>0</v>
      </c>
      <c r="V2000" s="65">
        <v>0</v>
      </c>
      <c r="W2000" s="65">
        <v>0</v>
      </c>
      <c r="X2000" s="65">
        <v>21792</v>
      </c>
      <c r="Y2000" s="65">
        <v>0</v>
      </c>
      <c r="Z2000" s="51">
        <v>0</v>
      </c>
      <c r="AA2000" s="51">
        <v>0</v>
      </c>
      <c r="AB2000" s="102">
        <v>0</v>
      </c>
      <c r="AC2000" s="81">
        <f t="shared" si="96"/>
        <v>121.90631627056675</v>
      </c>
      <c r="AD2000" s="82">
        <f t="shared" si="97"/>
        <v>78.142857142857139</v>
      </c>
      <c r="AE2000" s="218">
        <v>-1.6694293974057673E-16</v>
      </c>
      <c r="AF2000">
        <v>1</v>
      </c>
      <c r="AH2000" t="str">
        <f t="shared" si="98"/>
        <v>Laldiyara</v>
      </c>
      <c r="AJ2000" s="72">
        <v>0</v>
      </c>
      <c r="AK2000" s="72"/>
      <c r="AL2000" s="72"/>
      <c r="AM2000" s="72"/>
    </row>
    <row r="2001" spans="1:39" x14ac:dyDescent="0.25">
      <c r="A2001" s="37" t="s">
        <v>62</v>
      </c>
      <c r="B2001" s="66" t="s">
        <v>1654</v>
      </c>
      <c r="C2001" s="41">
        <v>1002</v>
      </c>
      <c r="D2001" s="41" t="s">
        <v>103</v>
      </c>
      <c r="E2001" s="41">
        <v>10020006</v>
      </c>
      <c r="F2001" s="85" t="s">
        <v>107</v>
      </c>
      <c r="G2001" s="39" t="s">
        <v>1610</v>
      </c>
      <c r="H2001" s="52" t="s">
        <v>98</v>
      </c>
      <c r="I2001" s="52">
        <v>174.20000000000002</v>
      </c>
      <c r="J2001" s="49">
        <v>6760.23</v>
      </c>
      <c r="K2001" s="58">
        <v>0</v>
      </c>
      <c r="L2001" s="58">
        <v>0</v>
      </c>
      <c r="M2001" s="58">
        <v>0</v>
      </c>
      <c r="N2001" s="58">
        <v>0</v>
      </c>
      <c r="O2001" s="58">
        <v>0</v>
      </c>
      <c r="P2001" s="53">
        <v>0</v>
      </c>
      <c r="Q2001" s="65">
        <v>6760.23</v>
      </c>
      <c r="R2001" s="65">
        <v>0</v>
      </c>
      <c r="S2001" s="65">
        <v>0</v>
      </c>
      <c r="T2001" s="65">
        <v>0</v>
      </c>
      <c r="U2001" s="58">
        <v>0</v>
      </c>
      <c r="V2001" s="65">
        <v>0</v>
      </c>
      <c r="W2001" s="65">
        <v>0</v>
      </c>
      <c r="X2001" s="65">
        <v>0</v>
      </c>
      <c r="Y2001" s="65">
        <v>0</v>
      </c>
      <c r="Z2001" s="51">
        <v>6760.23</v>
      </c>
      <c r="AA2001" s="51">
        <v>0</v>
      </c>
      <c r="AB2001" s="102">
        <v>0</v>
      </c>
      <c r="AC2001" s="81">
        <f t="shared" si="96"/>
        <v>408.0974665901262</v>
      </c>
      <c r="AD2001" s="82">
        <f t="shared" si="97"/>
        <v>24.88571428571429</v>
      </c>
      <c r="AE2001" s="218">
        <v>0</v>
      </c>
      <c r="AF2001">
        <v>0</v>
      </c>
      <c r="AH2001" t="str">
        <f t="shared" si="98"/>
        <v>Laldiyara</v>
      </c>
      <c r="AJ2001" s="72">
        <v>0</v>
      </c>
      <c r="AK2001" s="72"/>
      <c r="AL2001" s="72"/>
      <c r="AM2001" s="72"/>
    </row>
    <row r="2002" spans="1:39" x14ac:dyDescent="0.25">
      <c r="A2002" s="37" t="s">
        <v>62</v>
      </c>
      <c r="B2002" s="66" t="s">
        <v>1654</v>
      </c>
      <c r="C2002" s="41">
        <v>1002</v>
      </c>
      <c r="D2002" s="41" t="s">
        <v>103</v>
      </c>
      <c r="E2002" s="41">
        <v>10020007</v>
      </c>
      <c r="F2002" s="85" t="s">
        <v>108</v>
      </c>
      <c r="G2002" s="39" t="s">
        <v>1610</v>
      </c>
      <c r="H2002" s="52" t="s">
        <v>98</v>
      </c>
      <c r="I2002" s="52">
        <v>511.20000000000005</v>
      </c>
      <c r="J2002" s="49">
        <v>21402.719999999998</v>
      </c>
      <c r="K2002" s="58">
        <v>0</v>
      </c>
      <c r="L2002" s="58">
        <v>0</v>
      </c>
      <c r="M2002" s="58">
        <v>0</v>
      </c>
      <c r="N2002" s="58">
        <v>0</v>
      </c>
      <c r="O2002" s="58">
        <v>0</v>
      </c>
      <c r="P2002" s="53">
        <v>0</v>
      </c>
      <c r="Q2002" s="65">
        <v>21402.719999999998</v>
      </c>
      <c r="R2002" s="65">
        <v>0</v>
      </c>
      <c r="S2002" s="65">
        <v>0</v>
      </c>
      <c r="T2002" s="65">
        <v>0</v>
      </c>
      <c r="U2002" s="58">
        <v>0</v>
      </c>
      <c r="V2002" s="65">
        <v>0</v>
      </c>
      <c r="W2002" s="65">
        <v>0</v>
      </c>
      <c r="X2002" s="65">
        <v>0</v>
      </c>
      <c r="Y2002" s="65">
        <v>0</v>
      </c>
      <c r="Z2002" s="51">
        <v>21402.719999999998</v>
      </c>
      <c r="AA2002" s="51">
        <v>0</v>
      </c>
      <c r="AB2002" s="102">
        <v>0</v>
      </c>
      <c r="AC2002" s="81">
        <f t="shared" si="96"/>
        <v>158.09207887323936</v>
      </c>
      <c r="AD2002" s="82">
        <f t="shared" si="97"/>
        <v>73.028571428571439</v>
      </c>
      <c r="AE2002" s="218">
        <v>0</v>
      </c>
      <c r="AF2002">
        <v>0</v>
      </c>
      <c r="AH2002" t="str">
        <f t="shared" si="98"/>
        <v>Laldiyara</v>
      </c>
      <c r="AJ2002" s="72">
        <v>0</v>
      </c>
      <c r="AK2002" s="72"/>
      <c r="AL2002" s="72"/>
      <c r="AM2002" s="72"/>
    </row>
    <row r="2003" spans="1:39" x14ac:dyDescent="0.25">
      <c r="A2003" s="37" t="s">
        <v>62</v>
      </c>
      <c r="B2003" s="66" t="s">
        <v>1654</v>
      </c>
      <c r="C2003" s="41">
        <v>1002</v>
      </c>
      <c r="D2003" s="41" t="s">
        <v>103</v>
      </c>
      <c r="E2003" s="41">
        <v>10020008</v>
      </c>
      <c r="F2003" s="85" t="s">
        <v>109</v>
      </c>
      <c r="G2003" s="39" t="s">
        <v>1610</v>
      </c>
      <c r="H2003" s="52" t="s">
        <v>98</v>
      </c>
      <c r="I2003" s="52">
        <v>1534.8999999999999</v>
      </c>
      <c r="J2003" s="49">
        <v>61782.28</v>
      </c>
      <c r="K2003" s="58">
        <v>0</v>
      </c>
      <c r="L2003" s="58">
        <v>0</v>
      </c>
      <c r="M2003" s="58">
        <v>0</v>
      </c>
      <c r="N2003" s="58">
        <v>0</v>
      </c>
      <c r="O2003" s="58">
        <v>0</v>
      </c>
      <c r="P2003" s="53">
        <v>0</v>
      </c>
      <c r="Q2003" s="65">
        <v>61782.28</v>
      </c>
      <c r="R2003" s="65">
        <v>0</v>
      </c>
      <c r="S2003" s="65">
        <v>0</v>
      </c>
      <c r="T2003" s="65">
        <v>0</v>
      </c>
      <c r="U2003" s="58">
        <v>0</v>
      </c>
      <c r="V2003" s="65">
        <v>0</v>
      </c>
      <c r="W2003" s="65">
        <v>0</v>
      </c>
      <c r="X2003" s="65">
        <v>0</v>
      </c>
      <c r="Y2003" s="65">
        <v>0</v>
      </c>
      <c r="Z2003" s="51">
        <v>61782.28</v>
      </c>
      <c r="AA2003" s="51">
        <v>0</v>
      </c>
      <c r="AB2003" s="102">
        <v>0</v>
      </c>
      <c r="AC2003" s="81">
        <f t="shared" si="96"/>
        <v>0</v>
      </c>
      <c r="AD2003" s="82">
        <f t="shared" si="97"/>
        <v>0</v>
      </c>
      <c r="AE2003" s="218">
        <v>0</v>
      </c>
      <c r="AF2003">
        <v>0</v>
      </c>
      <c r="AH2003" t="str">
        <f t="shared" si="98"/>
        <v>Laldiyara</v>
      </c>
      <c r="AJ2003" s="72">
        <v>0</v>
      </c>
      <c r="AK2003" s="72"/>
      <c r="AL2003" s="72"/>
      <c r="AM2003" s="72"/>
    </row>
    <row r="2004" spans="1:39" x14ac:dyDescent="0.25">
      <c r="A2004" s="37" t="s">
        <v>62</v>
      </c>
      <c r="B2004" s="66" t="s">
        <v>1654</v>
      </c>
      <c r="C2004" s="41">
        <v>1002</v>
      </c>
      <c r="D2004" s="41" t="s">
        <v>103</v>
      </c>
      <c r="E2004" s="41">
        <v>10020010</v>
      </c>
      <c r="F2004" s="85" t="s">
        <v>1206</v>
      </c>
      <c r="G2004" s="39" t="s">
        <v>92</v>
      </c>
      <c r="H2004" s="52" t="s">
        <v>93</v>
      </c>
      <c r="I2004" s="52">
        <v>121</v>
      </c>
      <c r="J2004" s="49">
        <v>5075.68</v>
      </c>
      <c r="K2004" s="58">
        <v>121.20000000000002</v>
      </c>
      <c r="L2004" s="58">
        <v>5094.7700000000004</v>
      </c>
      <c r="M2004" s="58">
        <v>0.30000000000000004</v>
      </c>
      <c r="N2004" s="58">
        <v>12.41</v>
      </c>
      <c r="O2004" s="58">
        <v>121.50000000000001</v>
      </c>
      <c r="P2004" s="53">
        <v>5107.18</v>
      </c>
      <c r="Q2004" s="65">
        <v>5075.68</v>
      </c>
      <c r="R2004" s="65">
        <v>0</v>
      </c>
      <c r="S2004" s="65">
        <v>12.41</v>
      </c>
      <c r="T2004" s="65">
        <v>31.5</v>
      </c>
      <c r="U2004" s="58">
        <v>0</v>
      </c>
      <c r="V2004" s="65">
        <v>0</v>
      </c>
      <c r="W2004" s="65">
        <v>0</v>
      </c>
      <c r="X2004" s="65">
        <v>5063</v>
      </c>
      <c r="Y2004" s="65">
        <v>0</v>
      </c>
      <c r="Z2004" s="51">
        <v>0</v>
      </c>
      <c r="AA2004" s="51">
        <v>0</v>
      </c>
      <c r="AB2004" s="102" t="s">
        <v>66</v>
      </c>
      <c r="AC2004" s="81">
        <f t="shared" si="96"/>
        <v>485.75516033057852</v>
      </c>
      <c r="AD2004" s="82">
        <f t="shared" si="97"/>
        <v>17.285714285714285</v>
      </c>
      <c r="AE2004" s="218">
        <v>-6.2060650001576137E-3</v>
      </c>
      <c r="AF2004">
        <v>3</v>
      </c>
      <c r="AH2004" t="str">
        <f t="shared" si="98"/>
        <v>Laldiyara</v>
      </c>
      <c r="AJ2004" s="72">
        <v>0</v>
      </c>
      <c r="AK2004" s="72"/>
      <c r="AL2004" s="72"/>
      <c r="AM2004" s="72"/>
    </row>
    <row r="2005" spans="1:39" x14ac:dyDescent="0.25">
      <c r="A2005" s="37" t="s">
        <v>62</v>
      </c>
      <c r="B2005" s="66" t="s">
        <v>1654</v>
      </c>
      <c r="C2005" s="41">
        <v>1002</v>
      </c>
      <c r="D2005" s="41" t="s">
        <v>103</v>
      </c>
      <c r="E2005" s="41">
        <v>10020013</v>
      </c>
      <c r="F2005" s="85" t="s">
        <v>597</v>
      </c>
      <c r="G2005" s="39" t="s">
        <v>1610</v>
      </c>
      <c r="H2005" s="52" t="s">
        <v>98</v>
      </c>
      <c r="I2005" s="52">
        <v>1284.6000000000001</v>
      </c>
      <c r="J2005" s="49">
        <v>51337.03</v>
      </c>
      <c r="K2005" s="58">
        <v>0</v>
      </c>
      <c r="L2005" s="58">
        <v>0</v>
      </c>
      <c r="M2005" s="58">
        <v>0</v>
      </c>
      <c r="N2005" s="58">
        <v>0</v>
      </c>
      <c r="O2005" s="58">
        <v>0</v>
      </c>
      <c r="P2005" s="53">
        <v>0</v>
      </c>
      <c r="Q2005" s="65">
        <v>51337.03</v>
      </c>
      <c r="R2005" s="65">
        <v>0</v>
      </c>
      <c r="S2005" s="65">
        <v>0</v>
      </c>
      <c r="T2005" s="65">
        <v>0</v>
      </c>
      <c r="U2005" s="58">
        <v>0</v>
      </c>
      <c r="V2005" s="65">
        <v>0</v>
      </c>
      <c r="W2005" s="65">
        <v>0</v>
      </c>
      <c r="X2005" s="65">
        <v>0</v>
      </c>
      <c r="Y2005" s="65">
        <v>0</v>
      </c>
      <c r="Z2005" s="51">
        <v>51337.03</v>
      </c>
      <c r="AA2005" s="51">
        <v>0</v>
      </c>
      <c r="AB2005" s="102">
        <v>0</v>
      </c>
      <c r="AC2005" s="81">
        <f t="shared" si="96"/>
        <v>0</v>
      </c>
      <c r="AD2005" s="82">
        <f t="shared" si="97"/>
        <v>0</v>
      </c>
      <c r="AE2005" s="218">
        <v>0</v>
      </c>
      <c r="AF2005">
        <v>0</v>
      </c>
      <c r="AH2005" t="str">
        <f t="shared" si="98"/>
        <v>Laldiyara</v>
      </c>
      <c r="AJ2005" s="72">
        <v>0</v>
      </c>
      <c r="AK2005" s="72"/>
      <c r="AL2005" s="72"/>
      <c r="AM2005" s="72"/>
    </row>
    <row r="2006" spans="1:39" x14ac:dyDescent="0.25">
      <c r="A2006" s="37" t="s">
        <v>62</v>
      </c>
      <c r="B2006" s="66" t="s">
        <v>1654</v>
      </c>
      <c r="C2006" s="41">
        <v>1002</v>
      </c>
      <c r="D2006" s="41" t="s">
        <v>103</v>
      </c>
      <c r="E2006" s="41">
        <v>10020015</v>
      </c>
      <c r="F2006" s="85" t="s">
        <v>110</v>
      </c>
      <c r="G2006" s="39" t="s">
        <v>1610</v>
      </c>
      <c r="H2006" s="52" t="s">
        <v>98</v>
      </c>
      <c r="I2006" s="52">
        <v>23077.7</v>
      </c>
      <c r="J2006" s="49">
        <v>911324.91999999993</v>
      </c>
      <c r="K2006" s="58">
        <v>0</v>
      </c>
      <c r="L2006" s="58">
        <v>0</v>
      </c>
      <c r="M2006" s="58">
        <v>0</v>
      </c>
      <c r="N2006" s="58">
        <v>0</v>
      </c>
      <c r="O2006" s="58">
        <v>0</v>
      </c>
      <c r="P2006" s="53">
        <v>0</v>
      </c>
      <c r="Q2006" s="65">
        <v>911324.91999999993</v>
      </c>
      <c r="R2006" s="65">
        <v>0</v>
      </c>
      <c r="S2006" s="65">
        <v>0</v>
      </c>
      <c r="T2006" s="65">
        <v>0</v>
      </c>
      <c r="U2006" s="58">
        <v>0</v>
      </c>
      <c r="V2006" s="65">
        <v>0</v>
      </c>
      <c r="W2006" s="65">
        <v>0</v>
      </c>
      <c r="X2006" s="65">
        <v>0</v>
      </c>
      <c r="Y2006" s="65">
        <v>0</v>
      </c>
      <c r="Z2006" s="51">
        <v>911324.91999999993</v>
      </c>
      <c r="AA2006" s="51">
        <v>0</v>
      </c>
      <c r="AB2006" s="102">
        <v>0</v>
      </c>
      <c r="AC2006" s="81">
        <f t="shared" si="96"/>
        <v>0</v>
      </c>
      <c r="AD2006" s="82">
        <f t="shared" si="97"/>
        <v>0</v>
      </c>
      <c r="AE2006" s="218">
        <v>0</v>
      </c>
      <c r="AF2006">
        <v>0</v>
      </c>
      <c r="AH2006" t="str">
        <f t="shared" si="98"/>
        <v>Laldiyara</v>
      </c>
      <c r="AJ2006" s="72">
        <v>0</v>
      </c>
      <c r="AK2006" s="72"/>
      <c r="AL2006" s="72"/>
      <c r="AM2006" s="72"/>
    </row>
    <row r="2007" spans="1:39" x14ac:dyDescent="0.25">
      <c r="A2007" s="37" t="s">
        <v>62</v>
      </c>
      <c r="B2007" s="66" t="s">
        <v>1654</v>
      </c>
      <c r="C2007" s="41">
        <v>1002</v>
      </c>
      <c r="D2007" s="41" t="s">
        <v>103</v>
      </c>
      <c r="E2007" s="41">
        <v>10020016</v>
      </c>
      <c r="F2007" s="85" t="s">
        <v>111</v>
      </c>
      <c r="G2007" s="39" t="s">
        <v>1610</v>
      </c>
      <c r="H2007" s="52" t="s">
        <v>98</v>
      </c>
      <c r="I2007" s="52">
        <v>23457.100000000006</v>
      </c>
      <c r="J2007" s="49">
        <v>926195.17999999993</v>
      </c>
      <c r="K2007" s="58">
        <v>0</v>
      </c>
      <c r="L2007" s="58">
        <v>0</v>
      </c>
      <c r="M2007" s="58">
        <v>0</v>
      </c>
      <c r="N2007" s="58">
        <v>0</v>
      </c>
      <c r="O2007" s="58">
        <v>0</v>
      </c>
      <c r="P2007" s="53">
        <v>0</v>
      </c>
      <c r="Q2007" s="65">
        <v>926195.17999999993</v>
      </c>
      <c r="R2007" s="65">
        <v>0</v>
      </c>
      <c r="S2007" s="65">
        <v>0</v>
      </c>
      <c r="T2007" s="65">
        <v>0</v>
      </c>
      <c r="U2007" s="58">
        <v>0</v>
      </c>
      <c r="V2007" s="65">
        <v>0</v>
      </c>
      <c r="W2007" s="65">
        <v>0</v>
      </c>
      <c r="X2007" s="65">
        <v>0</v>
      </c>
      <c r="Y2007" s="65">
        <v>0</v>
      </c>
      <c r="Z2007" s="51">
        <v>926195.17999999993</v>
      </c>
      <c r="AA2007" s="51">
        <v>0</v>
      </c>
      <c r="AB2007" s="102">
        <v>0</v>
      </c>
      <c r="AC2007" s="81">
        <f t="shared" si="96"/>
        <v>0</v>
      </c>
      <c r="AD2007" s="82">
        <f t="shared" si="97"/>
        <v>0</v>
      </c>
      <c r="AE2007" s="218">
        <v>0</v>
      </c>
      <c r="AF2007">
        <v>0</v>
      </c>
      <c r="AH2007" t="str">
        <f t="shared" si="98"/>
        <v>Laldiyara</v>
      </c>
      <c r="AJ2007" s="72">
        <v>0</v>
      </c>
      <c r="AK2007" s="72"/>
      <c r="AL2007" s="72"/>
      <c r="AM2007" s="72"/>
    </row>
    <row r="2008" spans="1:39" x14ac:dyDescent="0.25">
      <c r="A2008" s="37" t="s">
        <v>62</v>
      </c>
      <c r="B2008" s="66" t="s">
        <v>1654</v>
      </c>
      <c r="C2008" s="41">
        <v>1002</v>
      </c>
      <c r="D2008" s="41" t="s">
        <v>103</v>
      </c>
      <c r="E2008" s="41">
        <v>10020017</v>
      </c>
      <c r="F2008" s="85" t="s">
        <v>112</v>
      </c>
      <c r="G2008" s="39" t="s">
        <v>92</v>
      </c>
      <c r="H2008" s="52" t="s">
        <v>93</v>
      </c>
      <c r="I2008" s="52">
        <v>4159.3999999999996</v>
      </c>
      <c r="J2008" s="49">
        <v>172211.45</v>
      </c>
      <c r="K2008" s="58">
        <v>4889.3000000000029</v>
      </c>
      <c r="L2008" s="58">
        <v>174938.52999999997</v>
      </c>
      <c r="M2008" s="58">
        <v>24.6</v>
      </c>
      <c r="N2008" s="58">
        <v>1129.0899999999999</v>
      </c>
      <c r="O2008" s="58">
        <v>4913.9000000000033</v>
      </c>
      <c r="P2008" s="53">
        <v>176067.61999999997</v>
      </c>
      <c r="Q2008" s="65">
        <v>172211.45</v>
      </c>
      <c r="R2008" s="65">
        <v>0</v>
      </c>
      <c r="S2008" s="65">
        <v>1129.0899999999999</v>
      </c>
      <c r="T2008" s="65">
        <v>3856.1699999999546</v>
      </c>
      <c r="U2008" s="58">
        <v>0</v>
      </c>
      <c r="V2008" s="65">
        <v>0</v>
      </c>
      <c r="W2008" s="65">
        <v>0</v>
      </c>
      <c r="X2008" s="65">
        <v>171082</v>
      </c>
      <c r="Y2008" s="65">
        <v>0</v>
      </c>
      <c r="Z2008" s="51">
        <v>0</v>
      </c>
      <c r="AA2008" s="51">
        <v>0</v>
      </c>
      <c r="AB2008" s="102">
        <v>0</v>
      </c>
      <c r="AC2008" s="81">
        <f t="shared" si="96"/>
        <v>0</v>
      </c>
      <c r="AD2008" s="82">
        <f t="shared" si="97"/>
        <v>0</v>
      </c>
      <c r="AE2008" s="218">
        <v>-2.2392065103684768E-2</v>
      </c>
      <c r="AF2008">
        <v>61</v>
      </c>
      <c r="AH2008" t="str">
        <f t="shared" si="98"/>
        <v>Laldiyara</v>
      </c>
      <c r="AJ2008" s="72">
        <v>0</v>
      </c>
      <c r="AK2008" s="72"/>
      <c r="AL2008" s="72"/>
      <c r="AM2008" s="72"/>
    </row>
    <row r="2009" spans="1:39" x14ac:dyDescent="0.25">
      <c r="A2009" s="37" t="s">
        <v>62</v>
      </c>
      <c r="B2009" s="66" t="s">
        <v>1654</v>
      </c>
      <c r="C2009" s="41">
        <v>1002</v>
      </c>
      <c r="D2009" s="41" t="s">
        <v>103</v>
      </c>
      <c r="E2009" s="41">
        <v>10020018</v>
      </c>
      <c r="F2009" s="85" t="s">
        <v>1639</v>
      </c>
      <c r="G2009" s="39" t="s">
        <v>1610</v>
      </c>
      <c r="H2009" s="52" t="s">
        <v>98</v>
      </c>
      <c r="I2009" s="52">
        <v>121.2</v>
      </c>
      <c r="J2009" s="49">
        <v>5795.78</v>
      </c>
      <c r="K2009" s="58">
        <v>0</v>
      </c>
      <c r="L2009" s="58">
        <v>0</v>
      </c>
      <c r="M2009" s="58">
        <v>0</v>
      </c>
      <c r="N2009" s="58">
        <v>0</v>
      </c>
      <c r="O2009" s="58">
        <v>0</v>
      </c>
      <c r="P2009" s="53">
        <v>0</v>
      </c>
      <c r="Q2009" s="65">
        <v>5795.78</v>
      </c>
      <c r="R2009" s="65">
        <v>0</v>
      </c>
      <c r="S2009" s="65">
        <v>0</v>
      </c>
      <c r="T2009" s="65">
        <v>0</v>
      </c>
      <c r="U2009" s="58">
        <v>0</v>
      </c>
      <c r="V2009" s="65">
        <v>0</v>
      </c>
      <c r="W2009" s="65">
        <v>0</v>
      </c>
      <c r="X2009" s="65">
        <v>0</v>
      </c>
      <c r="Y2009" s="65">
        <v>0</v>
      </c>
      <c r="Z2009" s="51">
        <v>5795.78</v>
      </c>
      <c r="AA2009" s="51">
        <v>0</v>
      </c>
      <c r="AB2009" s="102">
        <v>0</v>
      </c>
      <c r="AC2009" s="81">
        <f t="shared" si="96"/>
        <v>553.56393795379529</v>
      </c>
      <c r="AD2009" s="82">
        <f t="shared" si="97"/>
        <v>17.314285714285713</v>
      </c>
      <c r="AE2009" s="218">
        <v>0</v>
      </c>
      <c r="AF2009">
        <v>0</v>
      </c>
      <c r="AH2009" t="str">
        <f t="shared" si="98"/>
        <v>Laldiyara</v>
      </c>
      <c r="AJ2009" s="72">
        <v>0</v>
      </c>
      <c r="AK2009" s="72"/>
      <c r="AL2009" s="72"/>
      <c r="AM2009" s="72"/>
    </row>
    <row r="2010" spans="1:39" x14ac:dyDescent="0.25">
      <c r="A2010" s="37" t="s">
        <v>62</v>
      </c>
      <c r="B2010" s="66" t="s">
        <v>1654</v>
      </c>
      <c r="C2010" s="41">
        <v>1002</v>
      </c>
      <c r="D2010" s="41" t="s">
        <v>103</v>
      </c>
      <c r="E2010" s="41">
        <v>10020021</v>
      </c>
      <c r="F2010" s="85" t="s">
        <v>113</v>
      </c>
      <c r="G2010" s="39" t="s">
        <v>92</v>
      </c>
      <c r="H2010" s="52" t="s">
        <v>93</v>
      </c>
      <c r="I2010" s="52">
        <v>3818.9</v>
      </c>
      <c r="J2010" s="49">
        <v>165955.81</v>
      </c>
      <c r="K2010" s="58">
        <v>3619.1000000000008</v>
      </c>
      <c r="L2010" s="58">
        <v>158320.24999999997</v>
      </c>
      <c r="M2010" s="58">
        <v>261.40000000000003</v>
      </c>
      <c r="N2010" s="58">
        <v>11051.51</v>
      </c>
      <c r="O2010" s="58">
        <v>3880.5000000000009</v>
      </c>
      <c r="P2010" s="53">
        <v>169371.75999999998</v>
      </c>
      <c r="Q2010" s="65">
        <v>165955.81</v>
      </c>
      <c r="R2010" s="65">
        <v>0</v>
      </c>
      <c r="S2010" s="65">
        <v>1577.89</v>
      </c>
      <c r="T2010" s="65">
        <v>3415.9499999999825</v>
      </c>
      <c r="U2010" s="58">
        <v>0</v>
      </c>
      <c r="V2010" s="65">
        <v>0</v>
      </c>
      <c r="W2010" s="65">
        <v>0</v>
      </c>
      <c r="X2010" s="65">
        <v>154904</v>
      </c>
      <c r="Y2010" s="65">
        <v>9474</v>
      </c>
      <c r="Z2010" s="51">
        <v>0</v>
      </c>
      <c r="AA2010" s="51">
        <v>0</v>
      </c>
      <c r="AB2010" s="102">
        <v>0</v>
      </c>
      <c r="AC2010" s="81">
        <f t="shared" si="96"/>
        <v>0</v>
      </c>
      <c r="AD2010" s="82">
        <f t="shared" si="97"/>
        <v>0</v>
      </c>
      <c r="AE2010" s="218">
        <v>-2.0583491472820282E-2</v>
      </c>
      <c r="AF2010">
        <v>29</v>
      </c>
      <c r="AH2010" t="str">
        <f t="shared" si="98"/>
        <v>Laldiyara</v>
      </c>
      <c r="AJ2010" s="72">
        <v>0</v>
      </c>
      <c r="AK2010" s="72"/>
      <c r="AL2010" s="72"/>
      <c r="AM2010" s="72"/>
    </row>
    <row r="2011" spans="1:39" x14ac:dyDescent="0.25">
      <c r="A2011" s="37" t="s">
        <v>62</v>
      </c>
      <c r="B2011" s="66" t="s">
        <v>1654</v>
      </c>
      <c r="C2011" s="41">
        <v>1002</v>
      </c>
      <c r="D2011" s="41" t="s">
        <v>103</v>
      </c>
      <c r="E2011" s="41">
        <v>10020023</v>
      </c>
      <c r="F2011" s="85" t="s">
        <v>115</v>
      </c>
      <c r="G2011" s="39" t="s">
        <v>92</v>
      </c>
      <c r="H2011" s="52" t="s">
        <v>93</v>
      </c>
      <c r="I2011" s="52">
        <v>863.7</v>
      </c>
      <c r="J2011" s="49">
        <v>33914.730000000003</v>
      </c>
      <c r="K2011" s="58">
        <v>840</v>
      </c>
      <c r="L2011" s="58">
        <v>32795.910000000003</v>
      </c>
      <c r="M2011" s="58">
        <v>8.4</v>
      </c>
      <c r="N2011" s="58">
        <v>321.87</v>
      </c>
      <c r="O2011" s="58">
        <v>848.4</v>
      </c>
      <c r="P2011" s="53">
        <v>33117.780000000006</v>
      </c>
      <c r="Q2011" s="65">
        <v>33117.780000000006</v>
      </c>
      <c r="R2011" s="65">
        <v>0</v>
      </c>
      <c r="S2011" s="65">
        <v>321.87</v>
      </c>
      <c r="T2011" s="65">
        <v>0</v>
      </c>
      <c r="U2011" s="58">
        <v>0</v>
      </c>
      <c r="V2011" s="65">
        <v>0</v>
      </c>
      <c r="W2011" s="65">
        <v>0</v>
      </c>
      <c r="X2011" s="65">
        <v>32796</v>
      </c>
      <c r="Y2011" s="65">
        <v>0</v>
      </c>
      <c r="Z2011" s="51">
        <v>0</v>
      </c>
      <c r="AA2011" s="51">
        <v>797</v>
      </c>
      <c r="AB2011" s="102">
        <v>0</v>
      </c>
      <c r="AC2011" s="81">
        <f t="shared" si="96"/>
        <v>0</v>
      </c>
      <c r="AD2011" s="82">
        <f t="shared" si="97"/>
        <v>0</v>
      </c>
      <c r="AE2011" s="218">
        <v>2.3498639086909936E-2</v>
      </c>
      <c r="AF2011">
        <v>24</v>
      </c>
      <c r="AH2011" t="str">
        <f t="shared" si="98"/>
        <v>Laldiyara</v>
      </c>
      <c r="AJ2011" s="72">
        <v>0</v>
      </c>
      <c r="AK2011" s="72"/>
      <c r="AL2011" s="72"/>
      <c r="AM2011" s="72"/>
    </row>
    <row r="2012" spans="1:39" x14ac:dyDescent="0.25">
      <c r="A2012" s="37" t="s">
        <v>62</v>
      </c>
      <c r="B2012" s="66" t="s">
        <v>1654</v>
      </c>
      <c r="C2012" s="41">
        <v>1002</v>
      </c>
      <c r="D2012" s="41" t="s">
        <v>103</v>
      </c>
      <c r="E2012" s="41">
        <v>10020024</v>
      </c>
      <c r="F2012" s="85" t="s">
        <v>116</v>
      </c>
      <c r="G2012" s="39" t="s">
        <v>92</v>
      </c>
      <c r="H2012" s="52" t="s">
        <v>93</v>
      </c>
      <c r="I2012" s="52">
        <v>2716.7000000000003</v>
      </c>
      <c r="J2012" s="49">
        <v>110978.13</v>
      </c>
      <c r="K2012" s="58">
        <v>2704.1199999999985</v>
      </c>
      <c r="L2012" s="58">
        <v>113219.00999999995</v>
      </c>
      <c r="M2012" s="58">
        <v>0</v>
      </c>
      <c r="N2012" s="58">
        <v>0</v>
      </c>
      <c r="O2012" s="58">
        <v>2704.1199999999985</v>
      </c>
      <c r="P2012" s="53">
        <v>113219.00999999995</v>
      </c>
      <c r="Q2012" s="65">
        <v>110978.13</v>
      </c>
      <c r="R2012" s="65">
        <v>0</v>
      </c>
      <c r="S2012" s="65">
        <v>0</v>
      </c>
      <c r="T2012" s="65">
        <v>2240.8799999999464</v>
      </c>
      <c r="U2012" s="58">
        <v>0</v>
      </c>
      <c r="V2012" s="65">
        <v>0</v>
      </c>
      <c r="W2012" s="65">
        <v>0</v>
      </c>
      <c r="X2012" s="65">
        <v>110978</v>
      </c>
      <c r="Y2012" s="65">
        <v>0</v>
      </c>
      <c r="Z2012" s="51">
        <v>0</v>
      </c>
      <c r="AA2012" s="51">
        <v>0</v>
      </c>
      <c r="AB2012" s="102">
        <v>0</v>
      </c>
      <c r="AC2012" s="81">
        <f t="shared" si="96"/>
        <v>0</v>
      </c>
      <c r="AD2012" s="82">
        <f t="shared" si="97"/>
        <v>0</v>
      </c>
      <c r="AE2012" s="218">
        <v>-2.0192086494879184E-2</v>
      </c>
      <c r="AF2012">
        <v>65</v>
      </c>
      <c r="AH2012" t="str">
        <f t="shared" si="98"/>
        <v>Laldiyara</v>
      </c>
      <c r="AJ2012" s="72">
        <v>0</v>
      </c>
      <c r="AK2012" s="72"/>
      <c r="AL2012" s="72"/>
      <c r="AM2012" s="72"/>
    </row>
    <row r="2013" spans="1:39" x14ac:dyDescent="0.25">
      <c r="A2013" s="37" t="s">
        <v>62</v>
      </c>
      <c r="B2013" s="66" t="s">
        <v>1654</v>
      </c>
      <c r="C2013" s="41">
        <v>1002</v>
      </c>
      <c r="D2013" s="41" t="s">
        <v>103</v>
      </c>
      <c r="E2013" s="41">
        <v>10020025</v>
      </c>
      <c r="F2013" s="85" t="s">
        <v>117</v>
      </c>
      <c r="G2013" s="39" t="s">
        <v>92</v>
      </c>
      <c r="H2013" s="52" t="s">
        <v>93</v>
      </c>
      <c r="I2013" s="52">
        <v>853.40000000000009</v>
      </c>
      <c r="J2013" s="49">
        <v>35364.029999999992</v>
      </c>
      <c r="K2013" s="58">
        <v>838.96</v>
      </c>
      <c r="L2013" s="58">
        <v>34588.270000000004</v>
      </c>
      <c r="M2013" s="58">
        <v>11.229999999999999</v>
      </c>
      <c r="N2013" s="58">
        <v>461.55</v>
      </c>
      <c r="O2013" s="58">
        <v>850.19</v>
      </c>
      <c r="P2013" s="53">
        <v>35049.820000000007</v>
      </c>
      <c r="Q2013" s="65">
        <v>35049.820000000007</v>
      </c>
      <c r="R2013" s="65">
        <v>0</v>
      </c>
      <c r="S2013" s="65">
        <v>461.55</v>
      </c>
      <c r="T2013" s="65">
        <v>0</v>
      </c>
      <c r="U2013" s="58">
        <v>0</v>
      </c>
      <c r="V2013" s="65">
        <v>0</v>
      </c>
      <c r="W2013" s="65">
        <v>0</v>
      </c>
      <c r="X2013" s="65">
        <v>34588</v>
      </c>
      <c r="Y2013" s="65">
        <v>0</v>
      </c>
      <c r="Z2013" s="51">
        <v>0</v>
      </c>
      <c r="AA2013" s="51">
        <v>314</v>
      </c>
      <c r="AB2013" s="102">
        <v>0</v>
      </c>
      <c r="AC2013" s="81">
        <f t="shared" si="96"/>
        <v>0</v>
      </c>
      <c r="AD2013" s="82">
        <f t="shared" si="97"/>
        <v>0</v>
      </c>
      <c r="AE2013" s="218">
        <v>8.8850167811752416E-3</v>
      </c>
      <c r="AF2013">
        <v>18</v>
      </c>
      <c r="AH2013" t="str">
        <f t="shared" si="98"/>
        <v>Laldiyara</v>
      </c>
      <c r="AJ2013" s="72">
        <v>0</v>
      </c>
      <c r="AK2013" s="72"/>
      <c r="AL2013" s="72"/>
      <c r="AM2013" s="72"/>
    </row>
    <row r="2014" spans="1:39" x14ac:dyDescent="0.25">
      <c r="A2014" s="37" t="s">
        <v>62</v>
      </c>
      <c r="B2014" s="66" t="s">
        <v>1654</v>
      </c>
      <c r="C2014" s="41">
        <v>1002</v>
      </c>
      <c r="D2014" s="41" t="s">
        <v>103</v>
      </c>
      <c r="E2014" s="41">
        <v>10020026</v>
      </c>
      <c r="F2014" s="85" t="s">
        <v>118</v>
      </c>
      <c r="G2014" s="39" t="s">
        <v>92</v>
      </c>
      <c r="H2014" s="52" t="s">
        <v>93</v>
      </c>
      <c r="I2014" s="52">
        <v>434.5</v>
      </c>
      <c r="J2014" s="49">
        <v>17768.519999999997</v>
      </c>
      <c r="K2014" s="58">
        <v>470.99999999999994</v>
      </c>
      <c r="L2014" s="58">
        <v>19375.710000000003</v>
      </c>
      <c r="M2014" s="58">
        <v>0.60000000000000009</v>
      </c>
      <c r="N2014" s="58">
        <v>24.16</v>
      </c>
      <c r="O2014" s="58">
        <v>471.59999999999997</v>
      </c>
      <c r="P2014" s="53">
        <v>19399.870000000003</v>
      </c>
      <c r="Q2014" s="65">
        <v>17768.519999999997</v>
      </c>
      <c r="R2014" s="65">
        <v>0</v>
      </c>
      <c r="S2014" s="65">
        <v>24.16</v>
      </c>
      <c r="T2014" s="65">
        <v>1631.3500000000058</v>
      </c>
      <c r="U2014" s="58">
        <v>0</v>
      </c>
      <c r="V2014" s="65">
        <v>0</v>
      </c>
      <c r="W2014" s="65">
        <v>0</v>
      </c>
      <c r="X2014" s="65">
        <v>17744</v>
      </c>
      <c r="Y2014" s="65">
        <v>0</v>
      </c>
      <c r="Z2014" s="51">
        <v>0</v>
      </c>
      <c r="AA2014" s="51">
        <v>0</v>
      </c>
      <c r="AB2014" s="102">
        <v>0</v>
      </c>
      <c r="AC2014" s="81">
        <f t="shared" si="96"/>
        <v>217.1480810126582</v>
      </c>
      <c r="AD2014" s="82">
        <f t="shared" si="97"/>
        <v>62.071428571428569</v>
      </c>
      <c r="AE2014" s="218">
        <v>-9.1811248207504401E-2</v>
      </c>
      <c r="AF2014">
        <v>4</v>
      </c>
      <c r="AH2014" t="str">
        <f t="shared" si="98"/>
        <v>Laldiyara</v>
      </c>
      <c r="AJ2014" s="72">
        <v>0</v>
      </c>
      <c r="AK2014" s="72"/>
      <c r="AL2014" s="72"/>
      <c r="AM2014" s="72"/>
    </row>
    <row r="2015" spans="1:39" x14ac:dyDescent="0.25">
      <c r="A2015" s="37" t="s">
        <v>62</v>
      </c>
      <c r="B2015" s="66" t="s">
        <v>1654</v>
      </c>
      <c r="C2015" s="41">
        <v>1002</v>
      </c>
      <c r="D2015" s="41" t="s">
        <v>103</v>
      </c>
      <c r="E2015" s="41">
        <v>10020027</v>
      </c>
      <c r="F2015" s="85" t="s">
        <v>119</v>
      </c>
      <c r="G2015" s="39" t="s">
        <v>92</v>
      </c>
      <c r="H2015" s="52" t="s">
        <v>93</v>
      </c>
      <c r="I2015" s="52">
        <v>692.4</v>
      </c>
      <c r="J2015" s="49">
        <v>29909.32</v>
      </c>
      <c r="K2015" s="58">
        <v>702.39999999999986</v>
      </c>
      <c r="L2015" s="58">
        <v>30357.319999999996</v>
      </c>
      <c r="M2015" s="58">
        <v>0</v>
      </c>
      <c r="N2015" s="58">
        <v>0</v>
      </c>
      <c r="O2015" s="58">
        <v>702.39999999999986</v>
      </c>
      <c r="P2015" s="53">
        <v>30357.319999999996</v>
      </c>
      <c r="Q2015" s="65">
        <v>29909.32</v>
      </c>
      <c r="R2015" s="65">
        <v>0</v>
      </c>
      <c r="S2015" s="65">
        <v>0</v>
      </c>
      <c r="T2015" s="65">
        <v>447.99999999999636</v>
      </c>
      <c r="U2015" s="58">
        <v>0</v>
      </c>
      <c r="V2015" s="65">
        <v>0</v>
      </c>
      <c r="W2015" s="65">
        <v>0</v>
      </c>
      <c r="X2015" s="65">
        <v>29909</v>
      </c>
      <c r="Y2015" s="65">
        <v>0</v>
      </c>
      <c r="Z2015" s="51">
        <v>0</v>
      </c>
      <c r="AA2015" s="51">
        <v>0</v>
      </c>
      <c r="AB2015" s="102">
        <v>0</v>
      </c>
      <c r="AC2015" s="81">
        <f t="shared" si="96"/>
        <v>6.5658819179665135</v>
      </c>
      <c r="AD2015" s="82">
        <f t="shared" si="97"/>
        <v>98.914285714285711</v>
      </c>
      <c r="AE2015" s="218">
        <v>-1.4978608674486627E-2</v>
      </c>
      <c r="AF2015">
        <v>1</v>
      </c>
      <c r="AH2015" t="str">
        <f t="shared" si="98"/>
        <v>Laldiyara</v>
      </c>
      <c r="AJ2015" s="72">
        <v>0</v>
      </c>
      <c r="AK2015" s="72"/>
      <c r="AL2015" s="72"/>
      <c r="AM2015" s="72"/>
    </row>
    <row r="2016" spans="1:39" x14ac:dyDescent="0.25">
      <c r="A2016" s="37" t="s">
        <v>62</v>
      </c>
      <c r="B2016" s="66" t="s">
        <v>1654</v>
      </c>
      <c r="C2016" s="41">
        <v>1002</v>
      </c>
      <c r="D2016" s="41" t="s">
        <v>103</v>
      </c>
      <c r="E2016" s="41">
        <v>10020029</v>
      </c>
      <c r="F2016" s="85" t="s">
        <v>120</v>
      </c>
      <c r="G2016" s="39" t="s">
        <v>92</v>
      </c>
      <c r="H2016" s="52" t="s">
        <v>93</v>
      </c>
      <c r="I2016" s="52">
        <v>402.50000000000006</v>
      </c>
      <c r="J2016" s="49">
        <v>16155.63</v>
      </c>
      <c r="K2016" s="58">
        <v>364.89000000000004</v>
      </c>
      <c r="L2016" s="58">
        <v>16090.23</v>
      </c>
      <c r="M2016" s="58">
        <v>1.5699999999999998</v>
      </c>
      <c r="N2016" s="58">
        <v>64.98</v>
      </c>
      <c r="O2016" s="58">
        <v>366.46000000000004</v>
      </c>
      <c r="P2016" s="53">
        <v>16155.21</v>
      </c>
      <c r="Q2016" s="65">
        <v>16155.21</v>
      </c>
      <c r="R2016" s="65">
        <v>0</v>
      </c>
      <c r="S2016" s="65">
        <v>64.98</v>
      </c>
      <c r="T2016" s="65">
        <v>0</v>
      </c>
      <c r="U2016" s="58">
        <v>0</v>
      </c>
      <c r="V2016" s="65">
        <v>0</v>
      </c>
      <c r="W2016" s="65">
        <v>0</v>
      </c>
      <c r="X2016" s="65">
        <v>16090</v>
      </c>
      <c r="Y2016" s="65">
        <v>0</v>
      </c>
      <c r="Z2016" s="51">
        <v>0</v>
      </c>
      <c r="AA2016" s="51">
        <v>1</v>
      </c>
      <c r="AB2016" s="102">
        <v>0</v>
      </c>
      <c r="AC2016" s="81">
        <f t="shared" si="96"/>
        <v>238.82235652173907</v>
      </c>
      <c r="AD2016" s="82">
        <f t="shared" si="97"/>
        <v>57.500000000000007</v>
      </c>
      <c r="AE2016" s="218">
        <v>2.5997129174168559E-5</v>
      </c>
      <c r="AF2016">
        <v>6</v>
      </c>
      <c r="AH2016" t="str">
        <f t="shared" si="98"/>
        <v>Laldiyara</v>
      </c>
      <c r="AJ2016" s="72">
        <v>0</v>
      </c>
      <c r="AK2016" s="72"/>
      <c r="AL2016" s="72"/>
      <c r="AM2016" s="72"/>
    </row>
    <row r="2017" spans="1:39" x14ac:dyDescent="0.25">
      <c r="A2017" s="37" t="s">
        <v>62</v>
      </c>
      <c r="B2017" s="66" t="s">
        <v>1654</v>
      </c>
      <c r="C2017" s="41">
        <v>1002</v>
      </c>
      <c r="D2017" s="41" t="s">
        <v>103</v>
      </c>
      <c r="E2017" s="41">
        <v>10020032</v>
      </c>
      <c r="F2017" s="85" t="s">
        <v>121</v>
      </c>
      <c r="G2017" s="39" t="s">
        <v>92</v>
      </c>
      <c r="H2017" s="52" t="s">
        <v>93</v>
      </c>
      <c r="I2017" s="52">
        <v>1326.5000000000002</v>
      </c>
      <c r="J2017" s="49">
        <v>59183.209999999985</v>
      </c>
      <c r="K2017" s="58">
        <v>1312.39</v>
      </c>
      <c r="L2017" s="58">
        <v>58930.369999999995</v>
      </c>
      <c r="M2017" s="58">
        <v>14.879999999999999</v>
      </c>
      <c r="N2017" s="58">
        <v>705.99000000000012</v>
      </c>
      <c r="O2017" s="58">
        <v>1327.2700000000002</v>
      </c>
      <c r="P2017" s="53">
        <v>59636.359999999993</v>
      </c>
      <c r="Q2017" s="65">
        <v>59183.209999999985</v>
      </c>
      <c r="R2017" s="65">
        <v>0</v>
      </c>
      <c r="S2017" s="65">
        <v>705.99000000000012</v>
      </c>
      <c r="T2017" s="65">
        <v>453.15000000000873</v>
      </c>
      <c r="U2017" s="58">
        <v>0</v>
      </c>
      <c r="V2017" s="65">
        <v>0</v>
      </c>
      <c r="W2017" s="65">
        <v>0</v>
      </c>
      <c r="X2017" s="65">
        <v>58477</v>
      </c>
      <c r="Y2017" s="65">
        <v>0</v>
      </c>
      <c r="Z2017" s="51">
        <v>0</v>
      </c>
      <c r="AA2017" s="51">
        <v>0</v>
      </c>
      <c r="AB2017" s="102">
        <v>0</v>
      </c>
      <c r="AC2017" s="81">
        <f t="shared" si="96"/>
        <v>0</v>
      </c>
      <c r="AD2017" s="82">
        <f t="shared" si="97"/>
        <v>0</v>
      </c>
      <c r="AE2017" s="218">
        <v>-7.6567323739284987E-3</v>
      </c>
      <c r="AF2017">
        <v>23</v>
      </c>
      <c r="AH2017" t="str">
        <f t="shared" si="98"/>
        <v>Laldiyara</v>
      </c>
      <c r="AJ2017" s="72">
        <v>0</v>
      </c>
      <c r="AK2017" s="72"/>
      <c r="AL2017" s="72"/>
      <c r="AM2017" s="72"/>
    </row>
    <row r="2018" spans="1:39" x14ac:dyDescent="0.25">
      <c r="A2018" s="37" t="s">
        <v>62</v>
      </c>
      <c r="B2018" s="66" t="s">
        <v>1654</v>
      </c>
      <c r="C2018" s="41">
        <v>1002</v>
      </c>
      <c r="D2018" s="41" t="s">
        <v>103</v>
      </c>
      <c r="E2018" s="41">
        <v>10020034</v>
      </c>
      <c r="F2018" s="85" t="s">
        <v>122</v>
      </c>
      <c r="G2018" s="39" t="s">
        <v>92</v>
      </c>
      <c r="H2018" s="52" t="s">
        <v>93</v>
      </c>
      <c r="I2018" s="52">
        <v>922.99999999999989</v>
      </c>
      <c r="J2018" s="49">
        <v>41976.799999999996</v>
      </c>
      <c r="K2018" s="58">
        <v>905.57000000000016</v>
      </c>
      <c r="L2018" s="58">
        <v>39978.069999999992</v>
      </c>
      <c r="M2018" s="58">
        <v>10.329999999999998</v>
      </c>
      <c r="N2018" s="58">
        <v>419.98</v>
      </c>
      <c r="O2018" s="58">
        <v>915.9000000000002</v>
      </c>
      <c r="P2018" s="53">
        <v>40398.049999999996</v>
      </c>
      <c r="Q2018" s="65">
        <v>40398.049999999996</v>
      </c>
      <c r="R2018" s="65">
        <v>0</v>
      </c>
      <c r="S2018" s="65">
        <v>419.98</v>
      </c>
      <c r="T2018" s="65">
        <v>0</v>
      </c>
      <c r="U2018" s="58">
        <v>0</v>
      </c>
      <c r="V2018" s="65">
        <v>0</v>
      </c>
      <c r="W2018" s="65">
        <v>0</v>
      </c>
      <c r="X2018" s="65">
        <v>39976</v>
      </c>
      <c r="Y2018" s="65">
        <v>0</v>
      </c>
      <c r="Z2018" s="51">
        <v>0</v>
      </c>
      <c r="AA2018" s="51">
        <v>1581</v>
      </c>
      <c r="AB2018" s="102">
        <v>0</v>
      </c>
      <c r="AC2018" s="81">
        <f t="shared" si="96"/>
        <v>0</v>
      </c>
      <c r="AD2018" s="82">
        <f t="shared" si="97"/>
        <v>0</v>
      </c>
      <c r="AE2018" s="218">
        <v>3.7610060795487038E-2</v>
      </c>
      <c r="AF2018">
        <v>24</v>
      </c>
      <c r="AH2018" t="str">
        <f t="shared" si="98"/>
        <v>Laldiyara</v>
      </c>
      <c r="AJ2018" s="72">
        <v>0</v>
      </c>
      <c r="AK2018" s="72"/>
      <c r="AL2018" s="72"/>
      <c r="AM2018" s="72"/>
    </row>
    <row r="2019" spans="1:39" x14ac:dyDescent="0.25">
      <c r="A2019" s="37" t="s">
        <v>62</v>
      </c>
      <c r="B2019" s="66" t="s">
        <v>1654</v>
      </c>
      <c r="C2019" s="41">
        <v>1002</v>
      </c>
      <c r="D2019" s="41" t="s">
        <v>103</v>
      </c>
      <c r="E2019" s="41">
        <v>10020035</v>
      </c>
      <c r="F2019" s="85" t="s">
        <v>123</v>
      </c>
      <c r="G2019" s="39" t="s">
        <v>92</v>
      </c>
      <c r="H2019" s="52" t="s">
        <v>93</v>
      </c>
      <c r="I2019" s="52">
        <v>1725</v>
      </c>
      <c r="J2019" s="49">
        <v>75978.74000000002</v>
      </c>
      <c r="K2019" s="58">
        <v>1743.6000000000001</v>
      </c>
      <c r="L2019" s="58">
        <v>77607.03</v>
      </c>
      <c r="M2019" s="58">
        <v>48.599999999999994</v>
      </c>
      <c r="N2019" s="58">
        <v>2195.2800000000002</v>
      </c>
      <c r="O2019" s="58">
        <v>1792.2</v>
      </c>
      <c r="P2019" s="53">
        <v>79802.31</v>
      </c>
      <c r="Q2019" s="65">
        <v>75978.74000000002</v>
      </c>
      <c r="R2019" s="65">
        <v>0</v>
      </c>
      <c r="S2019" s="65">
        <v>2101.8000000000002</v>
      </c>
      <c r="T2019" s="65">
        <v>3823.5699999999779</v>
      </c>
      <c r="U2019" s="58">
        <v>0</v>
      </c>
      <c r="V2019" s="65">
        <v>0</v>
      </c>
      <c r="W2019" s="65">
        <v>0</v>
      </c>
      <c r="X2019" s="65">
        <v>73784</v>
      </c>
      <c r="Y2019" s="65">
        <v>93</v>
      </c>
      <c r="Z2019" s="51">
        <v>0</v>
      </c>
      <c r="AA2019" s="51">
        <v>0</v>
      </c>
      <c r="AB2019" s="102">
        <v>0</v>
      </c>
      <c r="AC2019" s="81">
        <f t="shared" si="96"/>
        <v>0</v>
      </c>
      <c r="AD2019" s="82">
        <f t="shared" si="97"/>
        <v>0</v>
      </c>
      <c r="AE2019" s="218">
        <v>-5.0324209114286138E-2</v>
      </c>
      <c r="AF2019">
        <v>6</v>
      </c>
      <c r="AH2019" t="str">
        <f t="shared" si="98"/>
        <v>Laldiyara</v>
      </c>
      <c r="AJ2019" s="72">
        <v>0</v>
      </c>
      <c r="AK2019" s="72"/>
      <c r="AL2019" s="72"/>
      <c r="AM2019" s="72"/>
    </row>
    <row r="2020" spans="1:39" x14ac:dyDescent="0.25">
      <c r="A2020" s="37" t="s">
        <v>62</v>
      </c>
      <c r="B2020" s="66" t="s">
        <v>1654</v>
      </c>
      <c r="C2020" s="41">
        <v>1002</v>
      </c>
      <c r="D2020" s="41" t="s">
        <v>103</v>
      </c>
      <c r="E2020" s="41">
        <v>10020038</v>
      </c>
      <c r="F2020" s="85" t="s">
        <v>124</v>
      </c>
      <c r="G2020" s="39" t="s">
        <v>92</v>
      </c>
      <c r="H2020" s="52" t="s">
        <v>93</v>
      </c>
      <c r="I2020" s="52">
        <v>654.4</v>
      </c>
      <c r="J2020" s="49">
        <v>27184.079999999994</v>
      </c>
      <c r="K2020" s="58">
        <v>645.72</v>
      </c>
      <c r="L2020" s="58">
        <v>26661.340000000004</v>
      </c>
      <c r="M2020" s="58">
        <v>6.0299999999999994</v>
      </c>
      <c r="N2020" s="58">
        <v>250.62</v>
      </c>
      <c r="O2020" s="58">
        <v>651.75</v>
      </c>
      <c r="P2020" s="53">
        <v>26911.960000000003</v>
      </c>
      <c r="Q2020" s="65">
        <v>26911.960000000003</v>
      </c>
      <c r="R2020" s="65">
        <v>0</v>
      </c>
      <c r="S2020" s="65">
        <v>250.62</v>
      </c>
      <c r="T2020" s="65">
        <v>0</v>
      </c>
      <c r="U2020" s="58">
        <v>0</v>
      </c>
      <c r="V2020" s="65">
        <v>0</v>
      </c>
      <c r="W2020" s="65">
        <v>0</v>
      </c>
      <c r="X2020" s="65">
        <v>26660</v>
      </c>
      <c r="Y2020" s="65">
        <v>0</v>
      </c>
      <c r="Z2020" s="51">
        <v>0</v>
      </c>
      <c r="AA2020" s="51">
        <v>273</v>
      </c>
      <c r="AB2020" s="102">
        <v>0</v>
      </c>
      <c r="AC2020" s="81">
        <f t="shared" si="96"/>
        <v>37.884903667481687</v>
      </c>
      <c r="AD2020" s="82">
        <f t="shared" si="97"/>
        <v>93.48571428571428</v>
      </c>
      <c r="AE2020" s="218">
        <v>1.0010270717272453E-2</v>
      </c>
      <c r="AF2020">
        <v>12</v>
      </c>
      <c r="AH2020" t="str">
        <f t="shared" si="98"/>
        <v>Laldiyara</v>
      </c>
      <c r="AJ2020" s="72">
        <v>0</v>
      </c>
      <c r="AK2020" s="72"/>
      <c r="AL2020" s="72"/>
      <c r="AM2020" s="72"/>
    </row>
    <row r="2021" spans="1:39" x14ac:dyDescent="0.25">
      <c r="A2021" s="37" t="s">
        <v>62</v>
      </c>
      <c r="B2021" s="66" t="s">
        <v>1654</v>
      </c>
      <c r="C2021" s="41">
        <v>1002</v>
      </c>
      <c r="D2021" s="41" t="s">
        <v>103</v>
      </c>
      <c r="E2021" s="41">
        <v>10020041</v>
      </c>
      <c r="F2021" s="85" t="s">
        <v>125</v>
      </c>
      <c r="G2021" s="39" t="s">
        <v>92</v>
      </c>
      <c r="H2021" s="52" t="s">
        <v>93</v>
      </c>
      <c r="I2021" s="52">
        <v>197.8</v>
      </c>
      <c r="J2021" s="49">
        <v>10153.499999999998</v>
      </c>
      <c r="K2021" s="58">
        <v>198.35</v>
      </c>
      <c r="L2021" s="58">
        <v>10086.570000000002</v>
      </c>
      <c r="M2021" s="58">
        <v>0</v>
      </c>
      <c r="N2021" s="58">
        <v>0</v>
      </c>
      <c r="O2021" s="58">
        <v>198.35</v>
      </c>
      <c r="P2021" s="53">
        <v>10086.570000000002</v>
      </c>
      <c r="Q2021" s="65">
        <v>10086.570000000002</v>
      </c>
      <c r="R2021" s="65">
        <v>0</v>
      </c>
      <c r="S2021" s="65">
        <v>0</v>
      </c>
      <c r="T2021" s="65">
        <v>0</v>
      </c>
      <c r="U2021" s="58">
        <v>0</v>
      </c>
      <c r="V2021" s="65">
        <v>500</v>
      </c>
      <c r="W2021" s="65">
        <v>0</v>
      </c>
      <c r="X2021" s="65">
        <v>9587</v>
      </c>
      <c r="Y2021" s="65">
        <v>0</v>
      </c>
      <c r="Z2021" s="51">
        <v>0</v>
      </c>
      <c r="AA2021" s="51">
        <v>66</v>
      </c>
      <c r="AB2021" s="102">
        <v>0</v>
      </c>
      <c r="AC2021" s="81">
        <f t="shared" si="96"/>
        <v>515.58015166835173</v>
      </c>
      <c r="AD2021" s="82">
        <f t="shared" si="97"/>
        <v>28.25714285714286</v>
      </c>
      <c r="AE2021" s="218">
        <v>6.5918156300779698E-3</v>
      </c>
      <c r="AF2021">
        <v>6</v>
      </c>
      <c r="AH2021" t="str">
        <f t="shared" si="98"/>
        <v>Laldiyara</v>
      </c>
      <c r="AJ2021" s="72">
        <v>500</v>
      </c>
      <c r="AK2021" s="72"/>
      <c r="AL2021" s="72"/>
      <c r="AM2021" s="72"/>
    </row>
    <row r="2022" spans="1:39" x14ac:dyDescent="0.25">
      <c r="A2022" s="37" t="s">
        <v>62</v>
      </c>
      <c r="B2022" s="66" t="s">
        <v>1654</v>
      </c>
      <c r="C2022" s="41">
        <v>1002</v>
      </c>
      <c r="D2022" s="41" t="s">
        <v>103</v>
      </c>
      <c r="E2022" s="41">
        <v>10020042</v>
      </c>
      <c r="F2022" s="85" t="s">
        <v>126</v>
      </c>
      <c r="G2022" s="39" t="s">
        <v>92</v>
      </c>
      <c r="H2022" s="52" t="s">
        <v>93</v>
      </c>
      <c r="I2022" s="52">
        <v>793.30000000000007</v>
      </c>
      <c r="J2022" s="49">
        <v>30748.829999999998</v>
      </c>
      <c r="K2022" s="58">
        <v>794.00000000000011</v>
      </c>
      <c r="L2022" s="58">
        <v>31188.700000000004</v>
      </c>
      <c r="M2022" s="58">
        <v>0</v>
      </c>
      <c r="N2022" s="58">
        <v>0</v>
      </c>
      <c r="O2022" s="58">
        <v>794.00000000000011</v>
      </c>
      <c r="P2022" s="53">
        <v>31188.700000000004</v>
      </c>
      <c r="Q2022" s="65">
        <v>30748.829999999998</v>
      </c>
      <c r="R2022" s="65">
        <v>0</v>
      </c>
      <c r="S2022" s="65">
        <v>0</v>
      </c>
      <c r="T2022" s="65">
        <v>439.87000000000626</v>
      </c>
      <c r="U2022" s="58">
        <v>0</v>
      </c>
      <c r="V2022" s="65">
        <v>0</v>
      </c>
      <c r="W2022" s="65">
        <v>0</v>
      </c>
      <c r="X2022" s="65">
        <v>30749</v>
      </c>
      <c r="Y2022" s="65">
        <v>0</v>
      </c>
      <c r="Z2022" s="51">
        <v>0</v>
      </c>
      <c r="AA2022" s="51">
        <v>0</v>
      </c>
      <c r="AB2022" s="102">
        <v>0</v>
      </c>
      <c r="AC2022" s="81">
        <f t="shared" si="96"/>
        <v>0</v>
      </c>
      <c r="AD2022" s="82">
        <f t="shared" si="97"/>
        <v>0</v>
      </c>
      <c r="AE2022" s="218">
        <v>-1.4305259744842529E-2</v>
      </c>
      <c r="AF2022">
        <v>1</v>
      </c>
      <c r="AH2022" t="str">
        <f t="shared" si="98"/>
        <v>Laldiyara</v>
      </c>
      <c r="AJ2022" s="72">
        <v>0</v>
      </c>
      <c r="AK2022" s="72"/>
      <c r="AL2022" s="72"/>
      <c r="AM2022" s="72"/>
    </row>
    <row r="2023" spans="1:39" x14ac:dyDescent="0.25">
      <c r="A2023" s="37" t="s">
        <v>62</v>
      </c>
      <c r="B2023" s="66" t="s">
        <v>1654</v>
      </c>
      <c r="C2023" s="41">
        <v>1002</v>
      </c>
      <c r="D2023" s="41" t="s">
        <v>103</v>
      </c>
      <c r="E2023" s="41">
        <v>10020043</v>
      </c>
      <c r="F2023" s="85" t="s">
        <v>598</v>
      </c>
      <c r="G2023" s="39" t="s">
        <v>92</v>
      </c>
      <c r="H2023" s="52" t="s">
        <v>93</v>
      </c>
      <c r="I2023" s="52">
        <v>844.19999999999993</v>
      </c>
      <c r="J2023" s="49">
        <v>37306.31</v>
      </c>
      <c r="K2023" s="58">
        <v>839.94000000000017</v>
      </c>
      <c r="L2023" s="58">
        <v>37331.370000000003</v>
      </c>
      <c r="M2023" s="58">
        <v>9.6400000000000023</v>
      </c>
      <c r="N2023" s="58">
        <v>416.47999999999996</v>
      </c>
      <c r="O2023" s="58">
        <v>849.58000000000015</v>
      </c>
      <c r="P2023" s="53">
        <v>37747.850000000006</v>
      </c>
      <c r="Q2023" s="65">
        <v>37306.31</v>
      </c>
      <c r="R2023" s="65">
        <v>0</v>
      </c>
      <c r="S2023" s="65">
        <v>416.47999999999996</v>
      </c>
      <c r="T2023" s="65">
        <v>441.54000000000815</v>
      </c>
      <c r="U2023" s="58">
        <v>0</v>
      </c>
      <c r="V2023" s="65">
        <v>0</v>
      </c>
      <c r="W2023" s="65">
        <v>0</v>
      </c>
      <c r="X2023" s="65">
        <v>36890</v>
      </c>
      <c r="Y2023" s="65">
        <v>0</v>
      </c>
      <c r="Z2023" s="51">
        <v>0</v>
      </c>
      <c r="AA2023" s="51">
        <v>0</v>
      </c>
      <c r="AB2023" s="102">
        <v>0</v>
      </c>
      <c r="AC2023" s="81">
        <f t="shared" si="96"/>
        <v>0</v>
      </c>
      <c r="AD2023" s="82">
        <f t="shared" si="97"/>
        <v>0</v>
      </c>
      <c r="AE2023" s="218">
        <v>-1.1835531308242712E-2</v>
      </c>
      <c r="AF2023">
        <v>8</v>
      </c>
      <c r="AH2023" t="str">
        <f t="shared" si="98"/>
        <v>Laldiyara</v>
      </c>
      <c r="AJ2023" s="72">
        <v>0</v>
      </c>
      <c r="AK2023" s="72"/>
      <c r="AL2023" s="72"/>
      <c r="AM2023" s="72"/>
    </row>
    <row r="2024" spans="1:39" x14ac:dyDescent="0.25">
      <c r="A2024" s="37" t="s">
        <v>62</v>
      </c>
      <c r="B2024" s="66" t="s">
        <v>1654</v>
      </c>
      <c r="C2024" s="41">
        <v>1002</v>
      </c>
      <c r="D2024" s="41" t="s">
        <v>103</v>
      </c>
      <c r="E2024" s="41">
        <v>10020044</v>
      </c>
      <c r="F2024" s="85" t="s">
        <v>127</v>
      </c>
      <c r="G2024" s="39" t="s">
        <v>92</v>
      </c>
      <c r="H2024" s="52" t="s">
        <v>93</v>
      </c>
      <c r="I2024" s="52">
        <v>1249.4999999999998</v>
      </c>
      <c r="J2024" s="49">
        <v>56005.189999999995</v>
      </c>
      <c r="K2024" s="58">
        <v>1245.4499999999998</v>
      </c>
      <c r="L2024" s="58">
        <v>55343.790000000008</v>
      </c>
      <c r="M2024" s="58">
        <v>8.42</v>
      </c>
      <c r="N2024" s="58">
        <v>383.03</v>
      </c>
      <c r="O2024" s="58">
        <v>1253.8699999999999</v>
      </c>
      <c r="P2024" s="53">
        <v>55726.820000000007</v>
      </c>
      <c r="Q2024" s="65">
        <v>55726.820000000007</v>
      </c>
      <c r="R2024" s="65">
        <v>0</v>
      </c>
      <c r="S2024" s="65">
        <v>383.03</v>
      </c>
      <c r="T2024" s="65">
        <v>0</v>
      </c>
      <c r="U2024" s="58">
        <v>0</v>
      </c>
      <c r="V2024" s="65">
        <v>0</v>
      </c>
      <c r="W2024" s="65">
        <v>0</v>
      </c>
      <c r="X2024" s="65">
        <v>55345</v>
      </c>
      <c r="Y2024" s="65">
        <v>0</v>
      </c>
      <c r="Z2024" s="51">
        <v>0</v>
      </c>
      <c r="AA2024" s="51">
        <v>277</v>
      </c>
      <c r="AB2024" s="102">
        <v>0</v>
      </c>
      <c r="AC2024" s="81">
        <f t="shared" si="96"/>
        <v>0</v>
      </c>
      <c r="AD2024" s="82">
        <f t="shared" si="97"/>
        <v>0</v>
      </c>
      <c r="AE2024" s="218">
        <v>4.9704322045865407E-3</v>
      </c>
      <c r="AF2024">
        <v>21</v>
      </c>
      <c r="AH2024" t="str">
        <f t="shared" si="98"/>
        <v>Laldiyara</v>
      </c>
      <c r="AJ2024" s="72">
        <v>0</v>
      </c>
      <c r="AK2024" s="72"/>
      <c r="AL2024" s="72"/>
      <c r="AM2024" s="72"/>
    </row>
    <row r="2025" spans="1:39" x14ac:dyDescent="0.25">
      <c r="A2025" s="37" t="s">
        <v>62</v>
      </c>
      <c r="B2025" s="66" t="s">
        <v>1654</v>
      </c>
      <c r="C2025" s="41">
        <v>1002</v>
      </c>
      <c r="D2025" s="41" t="s">
        <v>103</v>
      </c>
      <c r="E2025" s="41">
        <v>10020047</v>
      </c>
      <c r="F2025" s="85" t="s">
        <v>426</v>
      </c>
      <c r="G2025" s="39" t="s">
        <v>1610</v>
      </c>
      <c r="H2025" s="52" t="s">
        <v>98</v>
      </c>
      <c r="I2025" s="52">
        <v>3185.8</v>
      </c>
      <c r="J2025" s="49">
        <v>136446.35999999999</v>
      </c>
      <c r="K2025" s="58">
        <v>0</v>
      </c>
      <c r="L2025" s="58">
        <v>0</v>
      </c>
      <c r="M2025" s="58">
        <v>0</v>
      </c>
      <c r="N2025" s="58">
        <v>0</v>
      </c>
      <c r="O2025" s="58">
        <v>0</v>
      </c>
      <c r="P2025" s="53">
        <v>0</v>
      </c>
      <c r="Q2025" s="65">
        <v>136446.35999999999</v>
      </c>
      <c r="R2025" s="65">
        <v>0</v>
      </c>
      <c r="S2025" s="65">
        <v>0</v>
      </c>
      <c r="T2025" s="65">
        <v>0</v>
      </c>
      <c r="U2025" s="58">
        <v>0</v>
      </c>
      <c r="V2025" s="65">
        <v>0</v>
      </c>
      <c r="W2025" s="65">
        <v>0</v>
      </c>
      <c r="X2025" s="65">
        <v>0</v>
      </c>
      <c r="Y2025" s="65">
        <v>0</v>
      </c>
      <c r="Z2025" s="51">
        <v>136446.35999999999</v>
      </c>
      <c r="AA2025" s="51">
        <v>0</v>
      </c>
      <c r="AB2025" s="102">
        <v>0</v>
      </c>
      <c r="AC2025" s="81">
        <f t="shared" si="96"/>
        <v>0</v>
      </c>
      <c r="AD2025" s="82">
        <f t="shared" si="97"/>
        <v>0</v>
      </c>
      <c r="AE2025" s="218">
        <v>0</v>
      </c>
      <c r="AF2025">
        <v>0</v>
      </c>
      <c r="AH2025" t="str">
        <f t="shared" si="98"/>
        <v>Laldiyara</v>
      </c>
      <c r="AJ2025" s="72">
        <v>0</v>
      </c>
      <c r="AK2025" s="72"/>
      <c r="AL2025" s="72"/>
      <c r="AM2025" s="72"/>
    </row>
    <row r="2026" spans="1:39" x14ac:dyDescent="0.25">
      <c r="A2026" s="37" t="s">
        <v>62</v>
      </c>
      <c r="B2026" s="66" t="s">
        <v>1654</v>
      </c>
      <c r="C2026" s="41">
        <v>1002</v>
      </c>
      <c r="D2026" s="41" t="s">
        <v>103</v>
      </c>
      <c r="E2026" s="41">
        <v>10020050</v>
      </c>
      <c r="F2026" s="85" t="s">
        <v>128</v>
      </c>
      <c r="G2026" s="39" t="s">
        <v>92</v>
      </c>
      <c r="H2026" s="52" t="s">
        <v>93</v>
      </c>
      <c r="I2026" s="52">
        <v>1290.5</v>
      </c>
      <c r="J2026" s="49">
        <v>61972.800000000017</v>
      </c>
      <c r="K2026" s="58">
        <v>1288.3</v>
      </c>
      <c r="L2026" s="58">
        <v>61671.859999999993</v>
      </c>
      <c r="M2026" s="58">
        <v>5.1999999999999993</v>
      </c>
      <c r="N2026" s="58">
        <v>232.33999999999997</v>
      </c>
      <c r="O2026" s="58">
        <v>1293.5</v>
      </c>
      <c r="P2026" s="53">
        <v>61904.19999999999</v>
      </c>
      <c r="Q2026" s="65">
        <v>61904.19999999999</v>
      </c>
      <c r="R2026" s="65">
        <v>0</v>
      </c>
      <c r="S2026" s="65">
        <v>232.33999999999997</v>
      </c>
      <c r="T2026" s="65">
        <v>0</v>
      </c>
      <c r="U2026" s="58">
        <v>0</v>
      </c>
      <c r="V2026" s="65">
        <v>0</v>
      </c>
      <c r="W2026" s="65">
        <v>0</v>
      </c>
      <c r="X2026" s="65">
        <v>61672</v>
      </c>
      <c r="Y2026" s="65">
        <v>0</v>
      </c>
      <c r="Z2026" s="51">
        <v>0</v>
      </c>
      <c r="AA2026" s="51">
        <v>68</v>
      </c>
      <c r="AB2026" s="102">
        <v>0</v>
      </c>
      <c r="AC2026" s="81">
        <f t="shared" si="96"/>
        <v>0</v>
      </c>
      <c r="AD2026" s="82">
        <f t="shared" si="97"/>
        <v>0</v>
      </c>
      <c r="AE2026" s="218">
        <v>1.1069372369818312E-3</v>
      </c>
      <c r="AF2026">
        <v>11</v>
      </c>
      <c r="AH2026" t="str">
        <f t="shared" si="98"/>
        <v>Laldiyara</v>
      </c>
      <c r="AJ2026" s="72">
        <v>0</v>
      </c>
      <c r="AK2026" s="72"/>
      <c r="AL2026" s="72"/>
      <c r="AM2026" s="72"/>
    </row>
    <row r="2027" spans="1:39" x14ac:dyDescent="0.25">
      <c r="A2027" s="37" t="s">
        <v>62</v>
      </c>
      <c r="B2027" s="66" t="s">
        <v>1654</v>
      </c>
      <c r="C2027" s="41">
        <v>1002</v>
      </c>
      <c r="D2027" s="41" t="s">
        <v>103</v>
      </c>
      <c r="E2027" s="41">
        <v>10020052</v>
      </c>
      <c r="F2027" s="85" t="s">
        <v>1497</v>
      </c>
      <c r="G2027" s="39" t="s">
        <v>1610</v>
      </c>
      <c r="H2027" s="52" t="s">
        <v>98</v>
      </c>
      <c r="I2027" s="52">
        <v>544.70000000000005</v>
      </c>
      <c r="J2027" s="49">
        <v>29613.39</v>
      </c>
      <c r="K2027" s="58">
        <v>0</v>
      </c>
      <c r="L2027" s="58">
        <v>0</v>
      </c>
      <c r="M2027" s="58">
        <v>0</v>
      </c>
      <c r="N2027" s="58">
        <v>0</v>
      </c>
      <c r="O2027" s="58">
        <v>0</v>
      </c>
      <c r="P2027" s="53">
        <v>0</v>
      </c>
      <c r="Q2027" s="65">
        <v>29613.39</v>
      </c>
      <c r="R2027" s="65">
        <v>0</v>
      </c>
      <c r="S2027" s="65">
        <v>0</v>
      </c>
      <c r="T2027" s="65">
        <v>0</v>
      </c>
      <c r="U2027" s="58">
        <v>0</v>
      </c>
      <c r="V2027" s="65">
        <v>0</v>
      </c>
      <c r="W2027" s="65">
        <v>0</v>
      </c>
      <c r="X2027" s="65">
        <v>0</v>
      </c>
      <c r="Y2027" s="65">
        <v>0</v>
      </c>
      <c r="Z2027" s="51">
        <v>29613.39</v>
      </c>
      <c r="AA2027" s="51">
        <v>0</v>
      </c>
      <c r="AB2027" s="102">
        <v>0</v>
      </c>
      <c r="AC2027" s="81">
        <f t="shared" si="96"/>
        <v>168.86210637047913</v>
      </c>
      <c r="AD2027" s="82">
        <f t="shared" si="97"/>
        <v>77.814285714285717</v>
      </c>
      <c r="AE2027" s="218">
        <v>0</v>
      </c>
      <c r="AF2027">
        <v>0</v>
      </c>
      <c r="AH2027" t="str">
        <f t="shared" si="98"/>
        <v>Laldiyara</v>
      </c>
      <c r="AJ2027" s="72">
        <v>0</v>
      </c>
      <c r="AK2027" s="72"/>
      <c r="AL2027" s="72"/>
      <c r="AM2027" s="72"/>
    </row>
    <row r="2028" spans="1:39" x14ac:dyDescent="0.25">
      <c r="A2028" s="37" t="s">
        <v>62</v>
      </c>
      <c r="B2028" s="66" t="s">
        <v>1654</v>
      </c>
      <c r="C2028" s="41">
        <v>1002</v>
      </c>
      <c r="D2028" s="41" t="s">
        <v>103</v>
      </c>
      <c r="E2028" s="41">
        <v>10020054</v>
      </c>
      <c r="F2028" s="85" t="s">
        <v>129</v>
      </c>
      <c r="G2028" s="39" t="s">
        <v>1610</v>
      </c>
      <c r="H2028" s="52" t="s">
        <v>98</v>
      </c>
      <c r="I2028" s="52">
        <v>1897.6000000000001</v>
      </c>
      <c r="J2028" s="49">
        <v>82227.440000000017</v>
      </c>
      <c r="K2028" s="58">
        <v>0</v>
      </c>
      <c r="L2028" s="58">
        <v>0</v>
      </c>
      <c r="M2028" s="58">
        <v>0</v>
      </c>
      <c r="N2028" s="58">
        <v>0</v>
      </c>
      <c r="O2028" s="58">
        <v>0</v>
      </c>
      <c r="P2028" s="53">
        <v>0</v>
      </c>
      <c r="Q2028" s="65">
        <v>82227.440000000017</v>
      </c>
      <c r="R2028" s="65">
        <v>0</v>
      </c>
      <c r="S2028" s="65">
        <v>0</v>
      </c>
      <c r="T2028" s="65">
        <v>0</v>
      </c>
      <c r="U2028" s="58">
        <v>0</v>
      </c>
      <c r="V2028" s="65">
        <v>0</v>
      </c>
      <c r="W2028" s="65">
        <v>0</v>
      </c>
      <c r="X2028" s="65">
        <v>0</v>
      </c>
      <c r="Y2028" s="65">
        <v>0</v>
      </c>
      <c r="Z2028" s="51">
        <v>82227.440000000017</v>
      </c>
      <c r="AA2028" s="51">
        <v>0</v>
      </c>
      <c r="AB2028" s="102">
        <v>0</v>
      </c>
      <c r="AC2028" s="81">
        <f t="shared" si="96"/>
        <v>0</v>
      </c>
      <c r="AD2028" s="82">
        <f t="shared" si="97"/>
        <v>0</v>
      </c>
      <c r="AE2028" s="218">
        <v>0</v>
      </c>
      <c r="AF2028">
        <v>0</v>
      </c>
      <c r="AH2028" t="str">
        <f t="shared" si="98"/>
        <v>Laldiyara</v>
      </c>
      <c r="AJ2028" s="72">
        <v>0</v>
      </c>
      <c r="AK2028" s="72"/>
      <c r="AL2028" s="72"/>
      <c r="AM2028" s="72"/>
    </row>
    <row r="2029" spans="1:39" x14ac:dyDescent="0.25">
      <c r="A2029" s="37" t="s">
        <v>62</v>
      </c>
      <c r="B2029" s="66" t="s">
        <v>1654</v>
      </c>
      <c r="C2029" s="41">
        <v>1002</v>
      </c>
      <c r="D2029" s="41" t="s">
        <v>103</v>
      </c>
      <c r="E2029" s="41">
        <v>10020056</v>
      </c>
      <c r="F2029" s="85" t="s">
        <v>1611</v>
      </c>
      <c r="G2029" s="39" t="s">
        <v>1610</v>
      </c>
      <c r="H2029" s="52" t="s">
        <v>98</v>
      </c>
      <c r="I2029" s="52">
        <v>261.89999999999998</v>
      </c>
      <c r="J2029" s="49">
        <v>14013.33</v>
      </c>
      <c r="K2029" s="58">
        <v>0</v>
      </c>
      <c r="L2029" s="58">
        <v>0</v>
      </c>
      <c r="M2029" s="58">
        <v>0</v>
      </c>
      <c r="N2029" s="58">
        <v>0</v>
      </c>
      <c r="O2029" s="58">
        <v>0</v>
      </c>
      <c r="P2029" s="53">
        <v>0</v>
      </c>
      <c r="Q2029" s="65">
        <v>14013.33</v>
      </c>
      <c r="R2029" s="65">
        <v>0</v>
      </c>
      <c r="S2029" s="65">
        <v>0</v>
      </c>
      <c r="T2029" s="65">
        <v>0</v>
      </c>
      <c r="U2029" s="58">
        <v>0</v>
      </c>
      <c r="V2029" s="65">
        <v>0</v>
      </c>
      <c r="W2029" s="65">
        <v>0</v>
      </c>
      <c r="X2029" s="65">
        <v>0</v>
      </c>
      <c r="Y2029" s="65">
        <v>0</v>
      </c>
      <c r="Z2029" s="51">
        <v>14013.33</v>
      </c>
      <c r="AA2029" s="51">
        <v>0</v>
      </c>
      <c r="AB2029" s="102">
        <v>0</v>
      </c>
      <c r="AC2029" s="81">
        <f t="shared" si="96"/>
        <v>468.82320526918681</v>
      </c>
      <c r="AD2029" s="82">
        <f t="shared" si="97"/>
        <v>37.414285714285711</v>
      </c>
      <c r="AE2029" s="218">
        <v>0</v>
      </c>
      <c r="AF2029">
        <v>0</v>
      </c>
      <c r="AH2029" t="str">
        <f t="shared" si="98"/>
        <v>Laldiyara</v>
      </c>
      <c r="AJ2029" s="72">
        <v>0</v>
      </c>
      <c r="AK2029" s="72"/>
      <c r="AL2029" s="72"/>
      <c r="AM2029" s="72"/>
    </row>
    <row r="2030" spans="1:39" x14ac:dyDescent="0.25">
      <c r="A2030" s="37" t="s">
        <v>62</v>
      </c>
      <c r="B2030" s="66" t="s">
        <v>1654</v>
      </c>
      <c r="C2030" s="41">
        <v>1002</v>
      </c>
      <c r="D2030" s="41" t="s">
        <v>103</v>
      </c>
      <c r="E2030" s="41">
        <v>10020057</v>
      </c>
      <c r="F2030" s="85" t="s">
        <v>130</v>
      </c>
      <c r="G2030" s="39" t="s">
        <v>92</v>
      </c>
      <c r="H2030" s="52" t="s">
        <v>93</v>
      </c>
      <c r="I2030" s="52">
        <v>2490.8000000000002</v>
      </c>
      <c r="J2030" s="49">
        <v>116822.73999999999</v>
      </c>
      <c r="K2030" s="58">
        <v>1935.64</v>
      </c>
      <c r="L2030" s="58">
        <v>94341.759999999995</v>
      </c>
      <c r="M2030" s="58">
        <v>553.96999999999991</v>
      </c>
      <c r="N2030" s="58">
        <v>24387.279999999999</v>
      </c>
      <c r="O2030" s="58">
        <v>2489.61</v>
      </c>
      <c r="P2030" s="53">
        <v>118729.04</v>
      </c>
      <c r="Q2030" s="65">
        <v>116822.73999999999</v>
      </c>
      <c r="R2030" s="65">
        <v>0</v>
      </c>
      <c r="S2030" s="65">
        <v>1722.23</v>
      </c>
      <c r="T2030" s="65">
        <v>1906.3000000000029</v>
      </c>
      <c r="U2030" s="58">
        <v>0</v>
      </c>
      <c r="V2030" s="65">
        <v>0</v>
      </c>
      <c r="W2030" s="65">
        <v>0</v>
      </c>
      <c r="X2030" s="65">
        <v>92436</v>
      </c>
      <c r="Y2030" s="65">
        <v>22665</v>
      </c>
      <c r="Z2030" s="51">
        <v>0</v>
      </c>
      <c r="AA2030" s="51">
        <v>0</v>
      </c>
      <c r="AB2030" s="102">
        <v>0</v>
      </c>
      <c r="AC2030" s="81">
        <f t="shared" si="96"/>
        <v>0</v>
      </c>
      <c r="AD2030" s="82">
        <f t="shared" si="97"/>
        <v>0</v>
      </c>
      <c r="AE2030" s="218">
        <v>-1.6317884685806916E-2</v>
      </c>
      <c r="AF2030">
        <v>11</v>
      </c>
      <c r="AH2030" t="str">
        <f t="shared" si="98"/>
        <v>Laldiyara</v>
      </c>
      <c r="AJ2030" s="72">
        <v>0</v>
      </c>
      <c r="AK2030" s="72"/>
      <c r="AL2030" s="72"/>
      <c r="AM2030" s="72"/>
    </row>
    <row r="2031" spans="1:39" x14ac:dyDescent="0.25">
      <c r="A2031" s="37" t="s">
        <v>62</v>
      </c>
      <c r="B2031" s="66" t="s">
        <v>1654</v>
      </c>
      <c r="C2031" s="41">
        <v>1002</v>
      </c>
      <c r="D2031" s="41" t="s">
        <v>103</v>
      </c>
      <c r="E2031" s="41">
        <v>10020058</v>
      </c>
      <c r="F2031" s="85" t="s">
        <v>131</v>
      </c>
      <c r="G2031" s="39" t="s">
        <v>92</v>
      </c>
      <c r="H2031" s="52" t="s">
        <v>93</v>
      </c>
      <c r="I2031" s="52">
        <v>636.10000000000014</v>
      </c>
      <c r="J2031" s="49">
        <v>27788.609999999993</v>
      </c>
      <c r="K2031" s="58">
        <v>463.78999999999996</v>
      </c>
      <c r="L2031" s="58">
        <v>21262.27</v>
      </c>
      <c r="M2031" s="58">
        <v>168.28</v>
      </c>
      <c r="N2031" s="58">
        <v>6681.7000000000007</v>
      </c>
      <c r="O2031" s="58">
        <v>632.06999999999994</v>
      </c>
      <c r="P2031" s="53">
        <v>27943.97</v>
      </c>
      <c r="Q2031" s="65">
        <v>27788.609999999993</v>
      </c>
      <c r="R2031" s="65">
        <v>0</v>
      </c>
      <c r="S2031" s="65">
        <v>230.28000000000003</v>
      </c>
      <c r="T2031" s="65">
        <v>155.36000000000786</v>
      </c>
      <c r="U2031" s="58">
        <v>0</v>
      </c>
      <c r="V2031" s="65">
        <v>0</v>
      </c>
      <c r="W2031" s="65">
        <v>0</v>
      </c>
      <c r="X2031" s="65">
        <v>21107</v>
      </c>
      <c r="Y2031" s="65">
        <v>6451</v>
      </c>
      <c r="Z2031" s="51">
        <v>0</v>
      </c>
      <c r="AA2031" s="51">
        <v>0</v>
      </c>
      <c r="AB2031" s="102">
        <v>0</v>
      </c>
      <c r="AC2031" s="81">
        <f t="shared" si="96"/>
        <v>55.830598302153575</v>
      </c>
      <c r="AD2031" s="82">
        <f t="shared" si="97"/>
        <v>90.871428571428595</v>
      </c>
      <c r="AE2031" s="218">
        <v>-5.5907798195018715E-3</v>
      </c>
      <c r="AF2031">
        <v>8</v>
      </c>
      <c r="AH2031" t="str">
        <f t="shared" si="98"/>
        <v>Laldiyara</v>
      </c>
      <c r="AJ2031" s="72">
        <v>0</v>
      </c>
      <c r="AK2031" s="72"/>
      <c r="AL2031" s="72"/>
      <c r="AM2031" s="72"/>
    </row>
    <row r="2032" spans="1:39" x14ac:dyDescent="0.25">
      <c r="A2032" s="37" t="s">
        <v>62</v>
      </c>
      <c r="B2032" s="66" t="s">
        <v>1654</v>
      </c>
      <c r="C2032" s="41">
        <v>1002</v>
      </c>
      <c r="D2032" s="41" t="s">
        <v>103</v>
      </c>
      <c r="E2032" s="41">
        <v>10020059</v>
      </c>
      <c r="F2032" s="85" t="s">
        <v>132</v>
      </c>
      <c r="G2032" s="39" t="s">
        <v>92</v>
      </c>
      <c r="H2032" s="52" t="s">
        <v>93</v>
      </c>
      <c r="I2032" s="52">
        <v>1165.2</v>
      </c>
      <c r="J2032" s="49">
        <v>48855.72</v>
      </c>
      <c r="K2032" s="58">
        <v>815.2</v>
      </c>
      <c r="L2032" s="58">
        <v>33339.839999999997</v>
      </c>
      <c r="M2032" s="58">
        <v>366.18</v>
      </c>
      <c r="N2032" s="58">
        <v>15588.36</v>
      </c>
      <c r="O2032" s="58">
        <v>1181.3800000000001</v>
      </c>
      <c r="P2032" s="53">
        <v>48928.2</v>
      </c>
      <c r="Q2032" s="65">
        <v>48855.72</v>
      </c>
      <c r="R2032" s="65">
        <v>0</v>
      </c>
      <c r="S2032" s="65">
        <v>417.91999999999996</v>
      </c>
      <c r="T2032" s="65">
        <v>72.479999999995925</v>
      </c>
      <c r="U2032" s="58">
        <v>0</v>
      </c>
      <c r="V2032" s="65">
        <v>0</v>
      </c>
      <c r="W2032" s="65">
        <v>0</v>
      </c>
      <c r="X2032" s="65">
        <v>33268</v>
      </c>
      <c r="Y2032" s="65">
        <v>15170</v>
      </c>
      <c r="Z2032" s="51">
        <v>0</v>
      </c>
      <c r="AA2032" s="51">
        <v>0</v>
      </c>
      <c r="AB2032" s="102">
        <v>0</v>
      </c>
      <c r="AC2032" s="81">
        <f t="shared" si="96"/>
        <v>0</v>
      </c>
      <c r="AD2032" s="82">
        <f t="shared" si="97"/>
        <v>0</v>
      </c>
      <c r="AE2032" s="218">
        <v>-1.4835519771276716E-3</v>
      </c>
      <c r="AF2032">
        <v>10</v>
      </c>
      <c r="AH2032" t="str">
        <f t="shared" si="98"/>
        <v>Laldiyara</v>
      </c>
      <c r="AJ2032" s="72">
        <v>0</v>
      </c>
      <c r="AK2032" s="72"/>
      <c r="AL2032" s="72"/>
      <c r="AM2032" s="72"/>
    </row>
    <row r="2033" spans="1:39" x14ac:dyDescent="0.25">
      <c r="A2033" s="37" t="s">
        <v>62</v>
      </c>
      <c r="B2033" s="66" t="s">
        <v>1654</v>
      </c>
      <c r="C2033" s="41">
        <v>1002</v>
      </c>
      <c r="D2033" s="41" t="s">
        <v>103</v>
      </c>
      <c r="E2033" s="41">
        <v>10020062</v>
      </c>
      <c r="F2033" s="85" t="s">
        <v>133</v>
      </c>
      <c r="G2033" s="39" t="s">
        <v>92</v>
      </c>
      <c r="H2033" s="52" t="s">
        <v>93</v>
      </c>
      <c r="I2033" s="52">
        <v>318.5</v>
      </c>
      <c r="J2033" s="49">
        <v>13213.39</v>
      </c>
      <c r="K2033" s="58">
        <v>320.84000000000003</v>
      </c>
      <c r="L2033" s="58">
        <v>13876.17</v>
      </c>
      <c r="M2033" s="58">
        <v>4.0599999999999996</v>
      </c>
      <c r="N2033" s="58">
        <v>168.02</v>
      </c>
      <c r="O2033" s="58">
        <v>324.90000000000003</v>
      </c>
      <c r="P2033" s="53">
        <v>14044.19</v>
      </c>
      <c r="Q2033" s="65">
        <v>13213.39</v>
      </c>
      <c r="R2033" s="65">
        <v>0</v>
      </c>
      <c r="S2033" s="65">
        <v>168.02</v>
      </c>
      <c r="T2033" s="65">
        <v>830.80000000000109</v>
      </c>
      <c r="U2033" s="58">
        <v>0</v>
      </c>
      <c r="V2033" s="65">
        <v>0</v>
      </c>
      <c r="W2033" s="65">
        <v>0</v>
      </c>
      <c r="X2033" s="65">
        <v>13045</v>
      </c>
      <c r="Y2033" s="65">
        <v>0</v>
      </c>
      <c r="Z2033" s="51">
        <v>0</v>
      </c>
      <c r="AA2033" s="51">
        <v>0</v>
      </c>
      <c r="AB2033" s="102">
        <v>0</v>
      </c>
      <c r="AC2033" s="81">
        <f t="shared" si="96"/>
        <v>316.54055164835165</v>
      </c>
      <c r="AD2033" s="82">
        <f t="shared" si="97"/>
        <v>45.5</v>
      </c>
      <c r="AE2033" s="218">
        <v>-6.2875613298328525E-2</v>
      </c>
      <c r="AF2033">
        <v>12</v>
      </c>
      <c r="AH2033" t="str">
        <f t="shared" si="98"/>
        <v>Laldiyara</v>
      </c>
      <c r="AJ2033" s="72">
        <v>0</v>
      </c>
      <c r="AK2033" s="72"/>
      <c r="AL2033" s="72"/>
      <c r="AM2033" s="72"/>
    </row>
    <row r="2034" spans="1:39" x14ac:dyDescent="0.25">
      <c r="A2034" s="37" t="s">
        <v>62</v>
      </c>
      <c r="B2034" s="66" t="s">
        <v>1654</v>
      </c>
      <c r="C2034" s="41">
        <v>1002</v>
      </c>
      <c r="D2034" s="41" t="s">
        <v>103</v>
      </c>
      <c r="E2034" s="41">
        <v>10020063</v>
      </c>
      <c r="F2034" s="85" t="s">
        <v>134</v>
      </c>
      <c r="G2034" s="39" t="s">
        <v>92</v>
      </c>
      <c r="H2034" s="52" t="s">
        <v>93</v>
      </c>
      <c r="I2034" s="52">
        <v>913.2</v>
      </c>
      <c r="J2034" s="49">
        <v>42362.640000000007</v>
      </c>
      <c r="K2034" s="58">
        <v>528.21</v>
      </c>
      <c r="L2034" s="58">
        <v>27021.43</v>
      </c>
      <c r="M2034" s="58">
        <v>393.4</v>
      </c>
      <c r="N2034" s="58">
        <v>16957.47</v>
      </c>
      <c r="O2034" s="58">
        <v>921.61</v>
      </c>
      <c r="P2034" s="53">
        <v>43978.9</v>
      </c>
      <c r="Q2034" s="65">
        <v>42362.640000000007</v>
      </c>
      <c r="R2034" s="65">
        <v>0</v>
      </c>
      <c r="S2034" s="65">
        <v>264.84000000000003</v>
      </c>
      <c r="T2034" s="65">
        <v>1616.2599999999948</v>
      </c>
      <c r="U2034" s="58">
        <v>0</v>
      </c>
      <c r="V2034" s="65">
        <v>0</v>
      </c>
      <c r="W2034" s="65">
        <v>0</v>
      </c>
      <c r="X2034" s="65">
        <v>25405</v>
      </c>
      <c r="Y2034" s="65">
        <v>16693</v>
      </c>
      <c r="Z2034" s="51">
        <v>0</v>
      </c>
      <c r="AA2034" s="51">
        <v>0</v>
      </c>
      <c r="AB2034" s="102">
        <v>0</v>
      </c>
      <c r="AC2034" s="81">
        <f t="shared" si="96"/>
        <v>0</v>
      </c>
      <c r="AD2034" s="82">
        <f t="shared" si="97"/>
        <v>0</v>
      </c>
      <c r="AE2034" s="218">
        <v>-3.8152957417195779E-2</v>
      </c>
      <c r="AF2034">
        <v>11</v>
      </c>
      <c r="AH2034" t="str">
        <f t="shared" si="98"/>
        <v>Laldiyara</v>
      </c>
      <c r="AJ2034" s="72">
        <v>0</v>
      </c>
      <c r="AK2034" s="72"/>
      <c r="AL2034" s="72"/>
      <c r="AM2034" s="72"/>
    </row>
    <row r="2035" spans="1:39" x14ac:dyDescent="0.25">
      <c r="A2035" s="37" t="s">
        <v>62</v>
      </c>
      <c r="B2035" s="66" t="s">
        <v>1654</v>
      </c>
      <c r="C2035" s="41">
        <v>1002</v>
      </c>
      <c r="D2035" s="41" t="s">
        <v>103</v>
      </c>
      <c r="E2035" s="41">
        <v>10020064</v>
      </c>
      <c r="F2035" s="85" t="s">
        <v>135</v>
      </c>
      <c r="G2035" s="39" t="s">
        <v>1610</v>
      </c>
      <c r="H2035" s="52" t="s">
        <v>98</v>
      </c>
      <c r="I2035" s="52">
        <v>264.60000000000002</v>
      </c>
      <c r="J2035" s="49">
        <v>11065.510000000002</v>
      </c>
      <c r="K2035" s="58">
        <v>0</v>
      </c>
      <c r="L2035" s="58">
        <v>0</v>
      </c>
      <c r="M2035" s="58">
        <v>0</v>
      </c>
      <c r="N2035" s="58">
        <v>0</v>
      </c>
      <c r="O2035" s="58">
        <v>0</v>
      </c>
      <c r="P2035" s="53">
        <v>0</v>
      </c>
      <c r="Q2035" s="65">
        <v>11065.510000000002</v>
      </c>
      <c r="R2035" s="65">
        <v>0</v>
      </c>
      <c r="S2035" s="65">
        <v>0</v>
      </c>
      <c r="T2035" s="65">
        <v>0</v>
      </c>
      <c r="U2035" s="58">
        <v>0</v>
      </c>
      <c r="V2035" s="65">
        <v>0</v>
      </c>
      <c r="W2035" s="65">
        <v>0</v>
      </c>
      <c r="X2035" s="65">
        <v>0</v>
      </c>
      <c r="Y2035" s="65">
        <v>0</v>
      </c>
      <c r="Z2035" s="51">
        <v>11065.510000000002</v>
      </c>
      <c r="AA2035" s="51">
        <v>0</v>
      </c>
      <c r="AB2035" s="102">
        <v>0</v>
      </c>
      <c r="AC2035" s="81">
        <f t="shared" si="96"/>
        <v>364.16651957671957</v>
      </c>
      <c r="AD2035" s="82">
        <f t="shared" si="97"/>
        <v>37.800000000000004</v>
      </c>
      <c r="AE2035" s="218">
        <v>0</v>
      </c>
      <c r="AF2035">
        <v>0</v>
      </c>
      <c r="AH2035" t="str">
        <f t="shared" si="98"/>
        <v>Laldiyara</v>
      </c>
      <c r="AJ2035" s="72">
        <v>0</v>
      </c>
      <c r="AK2035" s="72"/>
      <c r="AL2035" s="72"/>
      <c r="AM2035" s="72"/>
    </row>
    <row r="2036" spans="1:39" x14ac:dyDescent="0.25">
      <c r="A2036" s="37" t="s">
        <v>62</v>
      </c>
      <c r="B2036" s="66" t="s">
        <v>1654</v>
      </c>
      <c r="C2036" s="41">
        <v>1002</v>
      </c>
      <c r="D2036" s="41" t="s">
        <v>103</v>
      </c>
      <c r="E2036" s="41">
        <v>10020068</v>
      </c>
      <c r="F2036" s="85" t="s">
        <v>106</v>
      </c>
      <c r="G2036" s="39" t="s">
        <v>92</v>
      </c>
      <c r="H2036" s="52" t="s">
        <v>93</v>
      </c>
      <c r="I2036" s="52">
        <v>1467.8000000000002</v>
      </c>
      <c r="J2036" s="49">
        <v>63504.840000000004</v>
      </c>
      <c r="K2036" s="58">
        <v>1501.5</v>
      </c>
      <c r="L2036" s="58">
        <v>65561.239999999991</v>
      </c>
      <c r="M2036" s="58">
        <v>0</v>
      </c>
      <c r="N2036" s="58">
        <v>0</v>
      </c>
      <c r="O2036" s="58">
        <v>1501.5</v>
      </c>
      <c r="P2036" s="53">
        <v>65561.239999999991</v>
      </c>
      <c r="Q2036" s="65">
        <v>63504.840000000004</v>
      </c>
      <c r="R2036" s="65">
        <v>0</v>
      </c>
      <c r="S2036" s="65">
        <v>0</v>
      </c>
      <c r="T2036" s="65">
        <v>2056.3999999999869</v>
      </c>
      <c r="U2036" s="58">
        <v>0</v>
      </c>
      <c r="V2036" s="65">
        <v>0</v>
      </c>
      <c r="W2036" s="65">
        <v>0</v>
      </c>
      <c r="X2036" s="65">
        <v>63505</v>
      </c>
      <c r="Y2036" s="65">
        <v>0</v>
      </c>
      <c r="Z2036" s="51">
        <v>0</v>
      </c>
      <c r="AA2036" s="51">
        <v>0</v>
      </c>
      <c r="AB2036" s="102">
        <v>0</v>
      </c>
      <c r="AC2036" s="81">
        <f t="shared" si="96"/>
        <v>0</v>
      </c>
      <c r="AD2036" s="82">
        <f t="shared" si="97"/>
        <v>0</v>
      </c>
      <c r="AE2036" s="218">
        <v>-3.238178381364297E-2</v>
      </c>
      <c r="AF2036">
        <v>33</v>
      </c>
      <c r="AH2036" t="str">
        <f t="shared" si="98"/>
        <v>Laldiyara</v>
      </c>
      <c r="AJ2036" s="72">
        <v>0</v>
      </c>
      <c r="AK2036" s="72"/>
      <c r="AL2036" s="72"/>
      <c r="AM2036" s="72"/>
    </row>
    <row r="2037" spans="1:39" x14ac:dyDescent="0.25">
      <c r="A2037" s="37" t="s">
        <v>62</v>
      </c>
      <c r="B2037" s="66" t="s">
        <v>1654</v>
      </c>
      <c r="C2037" s="41">
        <v>1002</v>
      </c>
      <c r="D2037" s="41" t="s">
        <v>103</v>
      </c>
      <c r="E2037" s="41">
        <v>10020069</v>
      </c>
      <c r="F2037" s="85" t="s">
        <v>448</v>
      </c>
      <c r="G2037" s="39" t="s">
        <v>92</v>
      </c>
      <c r="H2037" s="52" t="s">
        <v>93</v>
      </c>
      <c r="I2037" s="52">
        <v>173.9</v>
      </c>
      <c r="J2037" s="49">
        <v>7333.9900000000007</v>
      </c>
      <c r="K2037" s="58">
        <v>179</v>
      </c>
      <c r="L2037" s="58">
        <v>7315.73</v>
      </c>
      <c r="M2037" s="58">
        <v>0</v>
      </c>
      <c r="N2037" s="58">
        <v>0</v>
      </c>
      <c r="O2037" s="58">
        <v>179</v>
      </c>
      <c r="P2037" s="53">
        <v>7315.73</v>
      </c>
      <c r="Q2037" s="65">
        <v>7315.73</v>
      </c>
      <c r="R2037" s="65">
        <v>0</v>
      </c>
      <c r="S2037" s="65">
        <v>0</v>
      </c>
      <c r="T2037" s="65">
        <v>0</v>
      </c>
      <c r="U2037" s="58">
        <v>0</v>
      </c>
      <c r="V2037" s="65">
        <v>500</v>
      </c>
      <c r="W2037" s="65">
        <v>0</v>
      </c>
      <c r="X2037" s="65">
        <v>6816</v>
      </c>
      <c r="Y2037" s="65">
        <v>0</v>
      </c>
      <c r="Z2037" s="51">
        <v>0</v>
      </c>
      <c r="AA2037" s="51">
        <v>18</v>
      </c>
      <c r="AB2037" s="102">
        <v>0</v>
      </c>
      <c r="AC2037" s="81">
        <f t="shared" si="96"/>
        <v>443.75067728579648</v>
      </c>
      <c r="AD2037" s="82">
        <f t="shared" si="97"/>
        <v>24.842857142857145</v>
      </c>
      <c r="AE2037" s="218">
        <v>2.4897770517823348E-3</v>
      </c>
      <c r="AF2037">
        <v>1</v>
      </c>
      <c r="AH2037" t="str">
        <f t="shared" si="98"/>
        <v>Laldiyara</v>
      </c>
      <c r="AJ2037" s="72">
        <v>500</v>
      </c>
      <c r="AK2037" s="72"/>
      <c r="AL2037" s="72"/>
      <c r="AM2037" s="72"/>
    </row>
    <row r="2038" spans="1:39" x14ac:dyDescent="0.25">
      <c r="A2038" s="37" t="s">
        <v>62</v>
      </c>
      <c r="B2038" s="66" t="s">
        <v>1654</v>
      </c>
      <c r="C2038" s="41">
        <v>1002</v>
      </c>
      <c r="D2038" s="41" t="s">
        <v>103</v>
      </c>
      <c r="E2038" s="41">
        <v>10020070</v>
      </c>
      <c r="F2038" s="85" t="s">
        <v>466</v>
      </c>
      <c r="G2038" s="39" t="s">
        <v>92</v>
      </c>
      <c r="H2038" s="52" t="s">
        <v>93</v>
      </c>
      <c r="I2038" s="52">
        <v>784.00000000000011</v>
      </c>
      <c r="J2038" s="49">
        <v>31227.010000000006</v>
      </c>
      <c r="K2038" s="58">
        <v>787.4</v>
      </c>
      <c r="L2038" s="58">
        <v>35104.409999999996</v>
      </c>
      <c r="M2038" s="58">
        <v>0</v>
      </c>
      <c r="N2038" s="58">
        <v>0</v>
      </c>
      <c r="O2038" s="58">
        <v>787.4</v>
      </c>
      <c r="P2038" s="53">
        <v>35104.409999999996</v>
      </c>
      <c r="Q2038" s="65">
        <v>31227.010000000006</v>
      </c>
      <c r="R2038" s="65">
        <v>0</v>
      </c>
      <c r="S2038" s="65">
        <v>0</v>
      </c>
      <c r="T2038" s="65">
        <v>3877.3999999999905</v>
      </c>
      <c r="U2038" s="58">
        <v>0</v>
      </c>
      <c r="V2038" s="65">
        <v>0</v>
      </c>
      <c r="W2038" s="65">
        <v>0</v>
      </c>
      <c r="X2038" s="65">
        <v>31227</v>
      </c>
      <c r="Y2038" s="65">
        <v>0</v>
      </c>
      <c r="Z2038" s="51">
        <v>0</v>
      </c>
      <c r="AA2038" s="51">
        <v>0</v>
      </c>
      <c r="AB2038" s="102">
        <v>0</v>
      </c>
      <c r="AC2038" s="81">
        <f t="shared" si="96"/>
        <v>0</v>
      </c>
      <c r="AD2038" s="82">
        <f t="shared" si="97"/>
        <v>0</v>
      </c>
      <c r="AE2038" s="218">
        <v>-0.12416814802313733</v>
      </c>
      <c r="AF2038">
        <v>10</v>
      </c>
      <c r="AH2038" t="str">
        <f t="shared" si="98"/>
        <v>Laldiyara</v>
      </c>
      <c r="AJ2038" s="72">
        <v>0</v>
      </c>
      <c r="AK2038" s="72"/>
      <c r="AL2038" s="72"/>
      <c r="AM2038" s="72"/>
    </row>
    <row r="2039" spans="1:39" x14ac:dyDescent="0.25">
      <c r="A2039" s="37" t="s">
        <v>62</v>
      </c>
      <c r="B2039" s="66" t="s">
        <v>1654</v>
      </c>
      <c r="C2039" s="41">
        <v>1002</v>
      </c>
      <c r="D2039" s="41" t="s">
        <v>103</v>
      </c>
      <c r="E2039" s="41">
        <v>10020073</v>
      </c>
      <c r="F2039" s="85" t="s">
        <v>483</v>
      </c>
      <c r="G2039" s="39" t="s">
        <v>1610</v>
      </c>
      <c r="H2039" s="52" t="s">
        <v>98</v>
      </c>
      <c r="I2039" s="52">
        <v>993.8</v>
      </c>
      <c r="J2039" s="49">
        <v>38038.81</v>
      </c>
      <c r="K2039" s="58">
        <v>0</v>
      </c>
      <c r="L2039" s="58">
        <v>0</v>
      </c>
      <c r="M2039" s="58">
        <v>0</v>
      </c>
      <c r="N2039" s="58">
        <v>0</v>
      </c>
      <c r="O2039" s="58">
        <v>0</v>
      </c>
      <c r="P2039" s="53">
        <v>0</v>
      </c>
      <c r="Q2039" s="65">
        <v>38038.81</v>
      </c>
      <c r="R2039" s="65">
        <v>0</v>
      </c>
      <c r="S2039" s="65">
        <v>0</v>
      </c>
      <c r="T2039" s="65">
        <v>0</v>
      </c>
      <c r="U2039" s="58">
        <v>0</v>
      </c>
      <c r="V2039" s="65">
        <v>0</v>
      </c>
      <c r="W2039" s="65">
        <v>0</v>
      </c>
      <c r="X2039" s="65">
        <v>0</v>
      </c>
      <c r="Y2039" s="65">
        <v>0</v>
      </c>
      <c r="Z2039" s="51">
        <v>38038.81</v>
      </c>
      <c r="AA2039" s="51">
        <v>0</v>
      </c>
      <c r="AB2039" s="102">
        <v>0</v>
      </c>
      <c r="AC2039" s="81">
        <f t="shared" si="96"/>
        <v>0</v>
      </c>
      <c r="AD2039" s="82">
        <f t="shared" si="97"/>
        <v>0</v>
      </c>
      <c r="AE2039" s="218">
        <v>0</v>
      </c>
      <c r="AF2039">
        <v>0</v>
      </c>
      <c r="AH2039" t="str">
        <f t="shared" si="98"/>
        <v>Laldiyara</v>
      </c>
      <c r="AJ2039" s="72">
        <v>0</v>
      </c>
      <c r="AK2039" s="72"/>
      <c r="AL2039" s="72"/>
      <c r="AM2039" s="72"/>
    </row>
    <row r="2040" spans="1:39" x14ac:dyDescent="0.25">
      <c r="A2040" s="37" t="s">
        <v>62</v>
      </c>
      <c r="B2040" s="66" t="s">
        <v>1654</v>
      </c>
      <c r="C2040" s="41">
        <v>1002</v>
      </c>
      <c r="D2040" s="41" t="s">
        <v>103</v>
      </c>
      <c r="E2040" s="41">
        <v>10020075</v>
      </c>
      <c r="F2040" s="85" t="s">
        <v>262</v>
      </c>
      <c r="G2040" s="39" t="s">
        <v>92</v>
      </c>
      <c r="H2040" s="52" t="s">
        <v>93</v>
      </c>
      <c r="I2040" s="52">
        <v>235.90000000000003</v>
      </c>
      <c r="J2040" s="49">
        <v>10620.95</v>
      </c>
      <c r="K2040" s="58">
        <v>235.12</v>
      </c>
      <c r="L2040" s="58">
        <v>10621.41</v>
      </c>
      <c r="M2040" s="58">
        <v>0</v>
      </c>
      <c r="N2040" s="58">
        <v>0</v>
      </c>
      <c r="O2040" s="58">
        <v>235.12</v>
      </c>
      <c r="P2040" s="53">
        <v>10621.41</v>
      </c>
      <c r="Q2040" s="65">
        <v>10620.95</v>
      </c>
      <c r="R2040" s="65">
        <v>0</v>
      </c>
      <c r="S2040" s="65">
        <v>0</v>
      </c>
      <c r="T2040" s="65">
        <v>0.45999999999912689</v>
      </c>
      <c r="U2040" s="58">
        <v>0</v>
      </c>
      <c r="V2040" s="65">
        <v>0</v>
      </c>
      <c r="W2040" s="65">
        <v>0</v>
      </c>
      <c r="X2040" s="65">
        <v>10621</v>
      </c>
      <c r="Y2040" s="65">
        <v>0</v>
      </c>
      <c r="Z2040" s="51">
        <v>0</v>
      </c>
      <c r="AA2040" s="51">
        <v>0</v>
      </c>
      <c r="AB2040" s="102">
        <v>0</v>
      </c>
      <c r="AC2040" s="81">
        <f t="shared" si="96"/>
        <v>417.9044421364984</v>
      </c>
      <c r="AD2040" s="82">
        <f t="shared" si="97"/>
        <v>33.700000000000003</v>
      </c>
      <c r="AE2040" s="218">
        <v>-4.3310626638777777E-5</v>
      </c>
      <c r="AF2040">
        <v>6</v>
      </c>
      <c r="AH2040" t="str">
        <f t="shared" si="98"/>
        <v>Laldiyara</v>
      </c>
      <c r="AJ2040" s="72">
        <v>0</v>
      </c>
      <c r="AK2040" s="72"/>
      <c r="AL2040" s="72"/>
      <c r="AM2040" s="72"/>
    </row>
    <row r="2041" spans="1:39" x14ac:dyDescent="0.25">
      <c r="A2041" s="37" t="s">
        <v>62</v>
      </c>
      <c r="B2041" s="66" t="s">
        <v>1654</v>
      </c>
      <c r="C2041" s="41">
        <v>1002</v>
      </c>
      <c r="D2041" s="41" t="s">
        <v>103</v>
      </c>
      <c r="E2041" s="41">
        <v>10020077</v>
      </c>
      <c r="F2041" s="85" t="s">
        <v>1129</v>
      </c>
      <c r="G2041" s="39" t="s">
        <v>92</v>
      </c>
      <c r="H2041" s="52" t="s">
        <v>93</v>
      </c>
      <c r="I2041" s="52">
        <v>275.20000000000005</v>
      </c>
      <c r="J2041" s="49">
        <v>13481.390000000001</v>
      </c>
      <c r="K2041" s="58">
        <v>275.79999999999995</v>
      </c>
      <c r="L2041" s="58">
        <v>13497.869999999997</v>
      </c>
      <c r="M2041" s="58">
        <v>0</v>
      </c>
      <c r="N2041" s="58">
        <v>0</v>
      </c>
      <c r="O2041" s="58">
        <v>275.79999999999995</v>
      </c>
      <c r="P2041" s="53">
        <v>13497.869999999997</v>
      </c>
      <c r="Q2041" s="65">
        <v>13481.390000000001</v>
      </c>
      <c r="R2041" s="65">
        <v>0</v>
      </c>
      <c r="S2041" s="65">
        <v>0</v>
      </c>
      <c r="T2041" s="65">
        <v>16.479999999995925</v>
      </c>
      <c r="U2041" s="58">
        <v>0</v>
      </c>
      <c r="V2041" s="65">
        <v>500</v>
      </c>
      <c r="W2041" s="65">
        <v>0</v>
      </c>
      <c r="X2041" s="65">
        <v>12981</v>
      </c>
      <c r="Y2041" s="65">
        <v>0</v>
      </c>
      <c r="Z2041" s="51">
        <v>0</v>
      </c>
      <c r="AA2041" s="51">
        <v>0</v>
      </c>
      <c r="AB2041" s="102">
        <v>0</v>
      </c>
      <c r="AC2041" s="81">
        <f t="shared" si="96"/>
        <v>416.19872616279065</v>
      </c>
      <c r="AD2041" s="82">
        <f t="shared" si="97"/>
        <v>39.314285714285724</v>
      </c>
      <c r="AE2041" s="218">
        <v>-1.2224258774500198E-3</v>
      </c>
      <c r="AF2041">
        <v>1</v>
      </c>
      <c r="AH2041" t="str">
        <f t="shared" si="98"/>
        <v>Laldiyara</v>
      </c>
      <c r="AJ2041" s="72">
        <v>500</v>
      </c>
      <c r="AK2041" s="72"/>
      <c r="AL2041" s="72"/>
      <c r="AM2041" s="72"/>
    </row>
    <row r="2042" spans="1:39" x14ac:dyDescent="0.25">
      <c r="A2042" s="37" t="s">
        <v>62</v>
      </c>
      <c r="B2042" s="66" t="s">
        <v>1654</v>
      </c>
      <c r="C2042" s="41">
        <v>1002</v>
      </c>
      <c r="D2042" s="41" t="s">
        <v>103</v>
      </c>
      <c r="E2042" s="41">
        <v>10020078</v>
      </c>
      <c r="F2042" s="85" t="s">
        <v>1130</v>
      </c>
      <c r="G2042" s="39" t="s">
        <v>92</v>
      </c>
      <c r="H2042" s="52" t="s">
        <v>93</v>
      </c>
      <c r="I2042" s="52">
        <v>581.5</v>
      </c>
      <c r="J2042" s="49">
        <v>25087.100000000002</v>
      </c>
      <c r="K2042" s="58">
        <v>581.16000000000008</v>
      </c>
      <c r="L2042" s="58">
        <v>37249.379999999997</v>
      </c>
      <c r="M2042" s="58">
        <v>0</v>
      </c>
      <c r="N2042" s="58">
        <v>0</v>
      </c>
      <c r="O2042" s="58">
        <v>581.16000000000008</v>
      </c>
      <c r="P2042" s="53">
        <v>37249.379999999997</v>
      </c>
      <c r="Q2042" s="65">
        <v>25087.100000000002</v>
      </c>
      <c r="R2042" s="65">
        <v>0</v>
      </c>
      <c r="S2042" s="65">
        <v>0</v>
      </c>
      <c r="T2042" s="65">
        <v>12162.279999999995</v>
      </c>
      <c r="U2042" s="58">
        <v>0</v>
      </c>
      <c r="V2042" s="65">
        <v>0</v>
      </c>
      <c r="W2042" s="65">
        <v>0</v>
      </c>
      <c r="X2042" s="65">
        <v>25087</v>
      </c>
      <c r="Y2042" s="65">
        <v>0</v>
      </c>
      <c r="Z2042" s="51">
        <v>0</v>
      </c>
      <c r="AA2042" s="51">
        <v>0</v>
      </c>
      <c r="AB2042" s="102">
        <v>0</v>
      </c>
      <c r="AC2042" s="81">
        <f t="shared" si="96"/>
        <v>102.24665004299229</v>
      </c>
      <c r="AD2042" s="82">
        <f t="shared" si="97"/>
        <v>83.071428571428569</v>
      </c>
      <c r="AE2042" s="218">
        <v>-0.48480214931179744</v>
      </c>
      <c r="AF2042">
        <v>2</v>
      </c>
      <c r="AH2042" t="str">
        <f t="shared" si="98"/>
        <v>Laldiyara</v>
      </c>
      <c r="AJ2042" s="72">
        <v>0</v>
      </c>
      <c r="AK2042" s="72"/>
      <c r="AL2042" s="72"/>
      <c r="AM2042" s="72"/>
    </row>
    <row r="2043" spans="1:39" x14ac:dyDescent="0.25">
      <c r="A2043" s="37" t="s">
        <v>62</v>
      </c>
      <c r="B2043" s="66" t="s">
        <v>1654</v>
      </c>
      <c r="C2043" s="41">
        <v>1002</v>
      </c>
      <c r="D2043" s="41" t="s">
        <v>103</v>
      </c>
      <c r="E2043" s="41">
        <v>10020079</v>
      </c>
      <c r="F2043" s="85" t="s">
        <v>1131</v>
      </c>
      <c r="G2043" s="39" t="s">
        <v>92</v>
      </c>
      <c r="H2043" s="52" t="s">
        <v>93</v>
      </c>
      <c r="I2043" s="52">
        <v>55.699999999999996</v>
      </c>
      <c r="J2043" s="49">
        <v>2471.4199999999996</v>
      </c>
      <c r="K2043" s="58">
        <v>52.4</v>
      </c>
      <c r="L2043" s="58">
        <v>2478.73</v>
      </c>
      <c r="M2043" s="58">
        <v>0</v>
      </c>
      <c r="N2043" s="58">
        <v>0</v>
      </c>
      <c r="O2043" s="58">
        <v>52.4</v>
      </c>
      <c r="P2043" s="53">
        <v>2478.73</v>
      </c>
      <c r="Q2043" s="65">
        <v>2471.4199999999996</v>
      </c>
      <c r="R2043" s="65">
        <v>0</v>
      </c>
      <c r="S2043" s="65">
        <v>0</v>
      </c>
      <c r="T2043" s="65">
        <v>7.3100000000004002</v>
      </c>
      <c r="U2043" s="58">
        <v>0</v>
      </c>
      <c r="V2043" s="65">
        <v>500</v>
      </c>
      <c r="W2043" s="65">
        <v>0</v>
      </c>
      <c r="X2043" s="65">
        <v>1971</v>
      </c>
      <c r="Y2043" s="65">
        <v>0</v>
      </c>
      <c r="Z2043" s="51">
        <v>0</v>
      </c>
      <c r="AA2043" s="51">
        <v>0</v>
      </c>
      <c r="AB2043" s="102">
        <v>0</v>
      </c>
      <c r="AC2043" s="81">
        <f t="shared" si="96"/>
        <v>571.75436481149006</v>
      </c>
      <c r="AD2043" s="82">
        <f t="shared" si="97"/>
        <v>7.9571428571428564</v>
      </c>
      <c r="AE2043" s="218">
        <v>-2.9578137265217574E-3</v>
      </c>
      <c r="AF2043">
        <v>3</v>
      </c>
      <c r="AH2043" t="str">
        <f t="shared" si="98"/>
        <v>Laldiyara</v>
      </c>
      <c r="AJ2043" s="72">
        <v>500</v>
      </c>
      <c r="AK2043" s="72"/>
      <c r="AL2043" s="72"/>
      <c r="AM2043" s="72"/>
    </row>
    <row r="2044" spans="1:39" x14ac:dyDescent="0.25">
      <c r="A2044" s="37" t="s">
        <v>62</v>
      </c>
      <c r="B2044" s="66" t="s">
        <v>1654</v>
      </c>
      <c r="C2044" s="41">
        <v>1002</v>
      </c>
      <c r="D2044" s="41" t="s">
        <v>103</v>
      </c>
      <c r="E2044" s="41">
        <v>10020081</v>
      </c>
      <c r="F2044" s="85" t="s">
        <v>1169</v>
      </c>
      <c r="G2044" s="39" t="s">
        <v>92</v>
      </c>
      <c r="H2044" s="52" t="s">
        <v>98</v>
      </c>
      <c r="I2044" s="52">
        <v>2110.6</v>
      </c>
      <c r="J2044" s="49">
        <v>90024.25</v>
      </c>
      <c r="K2044" s="58">
        <v>0</v>
      </c>
      <c r="L2044" s="58">
        <v>0</v>
      </c>
      <c r="M2044" s="58">
        <v>0</v>
      </c>
      <c r="N2044" s="58">
        <v>0</v>
      </c>
      <c r="O2044" s="58">
        <v>0</v>
      </c>
      <c r="P2044" s="53">
        <v>0</v>
      </c>
      <c r="Q2044" s="65">
        <v>90024.25</v>
      </c>
      <c r="R2044" s="65">
        <v>0</v>
      </c>
      <c r="S2044" s="65">
        <v>0</v>
      </c>
      <c r="T2044" s="65">
        <v>0</v>
      </c>
      <c r="U2044" s="58">
        <v>0</v>
      </c>
      <c r="V2044" s="65">
        <v>0</v>
      </c>
      <c r="W2044" s="65">
        <v>0</v>
      </c>
      <c r="X2044" s="65">
        <v>0</v>
      </c>
      <c r="Y2044" s="65">
        <v>0</v>
      </c>
      <c r="Z2044" s="51">
        <v>90024.25</v>
      </c>
      <c r="AA2044" s="51">
        <v>0</v>
      </c>
      <c r="AB2044" s="102">
        <v>0</v>
      </c>
      <c r="AC2044" s="81">
        <f t="shared" si="96"/>
        <v>0</v>
      </c>
      <c r="AD2044" s="82">
        <f t="shared" si="97"/>
        <v>0</v>
      </c>
      <c r="AE2044" s="218">
        <v>0</v>
      </c>
      <c r="AF2044">
        <v>0</v>
      </c>
      <c r="AH2044" t="str">
        <f t="shared" si="98"/>
        <v>Laldiyara</v>
      </c>
      <c r="AJ2044" s="72">
        <v>0</v>
      </c>
      <c r="AK2044" s="72"/>
      <c r="AL2044" s="72"/>
      <c r="AM2044" s="72"/>
    </row>
    <row r="2045" spans="1:39" x14ac:dyDescent="0.25">
      <c r="A2045" s="37" t="s">
        <v>62</v>
      </c>
      <c r="B2045" s="66" t="s">
        <v>1654</v>
      </c>
      <c r="C2045" s="41">
        <v>1002</v>
      </c>
      <c r="D2045" s="41" t="s">
        <v>103</v>
      </c>
      <c r="E2045" s="41">
        <v>10020082</v>
      </c>
      <c r="F2045" s="85" t="s">
        <v>1170</v>
      </c>
      <c r="G2045" s="39" t="s">
        <v>92</v>
      </c>
      <c r="H2045" s="52" t="s">
        <v>98</v>
      </c>
      <c r="I2045" s="52">
        <v>1692.1999999999998</v>
      </c>
      <c r="J2045" s="49">
        <v>75719.070000000007</v>
      </c>
      <c r="K2045" s="58">
        <v>0</v>
      </c>
      <c r="L2045" s="58">
        <v>0</v>
      </c>
      <c r="M2045" s="58">
        <v>0</v>
      </c>
      <c r="N2045" s="58">
        <v>0</v>
      </c>
      <c r="O2045" s="58">
        <v>0</v>
      </c>
      <c r="P2045" s="53">
        <v>0</v>
      </c>
      <c r="Q2045" s="65">
        <v>75719.070000000007</v>
      </c>
      <c r="R2045" s="65">
        <v>0</v>
      </c>
      <c r="S2045" s="65">
        <v>0</v>
      </c>
      <c r="T2045" s="65">
        <v>0</v>
      </c>
      <c r="U2045" s="58">
        <v>0</v>
      </c>
      <c r="V2045" s="65">
        <v>0</v>
      </c>
      <c r="W2045" s="65">
        <v>0</v>
      </c>
      <c r="X2045" s="65">
        <v>0</v>
      </c>
      <c r="Y2045" s="65">
        <v>0</v>
      </c>
      <c r="Z2045" s="51">
        <v>75719.070000000007</v>
      </c>
      <c r="AA2045" s="51">
        <v>0</v>
      </c>
      <c r="AB2045" s="102">
        <v>0</v>
      </c>
      <c r="AC2045" s="81">
        <f t="shared" si="96"/>
        <v>0</v>
      </c>
      <c r="AD2045" s="82">
        <f t="shared" si="97"/>
        <v>0</v>
      </c>
      <c r="AE2045" s="218">
        <v>0</v>
      </c>
      <c r="AF2045">
        <v>0</v>
      </c>
      <c r="AH2045" t="str">
        <f t="shared" si="98"/>
        <v>Laldiyara</v>
      </c>
      <c r="AJ2045" s="72">
        <v>0</v>
      </c>
      <c r="AK2045" s="72"/>
      <c r="AL2045" s="72"/>
      <c r="AM2045" s="72"/>
    </row>
    <row r="2046" spans="1:39" x14ac:dyDescent="0.25">
      <c r="A2046" s="37" t="s">
        <v>62</v>
      </c>
      <c r="B2046" s="66" t="s">
        <v>1654</v>
      </c>
      <c r="C2046" s="41">
        <v>1002</v>
      </c>
      <c r="D2046" s="41" t="s">
        <v>103</v>
      </c>
      <c r="E2046" s="41">
        <v>10020083</v>
      </c>
      <c r="F2046" s="85" t="s">
        <v>1225</v>
      </c>
      <c r="G2046" s="39" t="s">
        <v>92</v>
      </c>
      <c r="H2046" s="52" t="s">
        <v>93</v>
      </c>
      <c r="I2046" s="52">
        <v>544.1</v>
      </c>
      <c r="J2046" s="49">
        <v>21802.089999999997</v>
      </c>
      <c r="K2046" s="58">
        <v>543.19999999999993</v>
      </c>
      <c r="L2046" s="58">
        <v>23007.79</v>
      </c>
      <c r="M2046" s="58">
        <v>0</v>
      </c>
      <c r="N2046" s="58">
        <v>0</v>
      </c>
      <c r="O2046" s="58">
        <v>543.19999999999993</v>
      </c>
      <c r="P2046" s="53">
        <v>23007.79</v>
      </c>
      <c r="Q2046" s="65">
        <v>21802.089999999997</v>
      </c>
      <c r="R2046" s="65">
        <v>0</v>
      </c>
      <c r="S2046" s="65">
        <v>0</v>
      </c>
      <c r="T2046" s="65">
        <v>1205.7000000000044</v>
      </c>
      <c r="U2046" s="58">
        <v>0</v>
      </c>
      <c r="V2046" s="65">
        <v>0</v>
      </c>
      <c r="W2046" s="65">
        <v>0</v>
      </c>
      <c r="X2046" s="65">
        <v>21802</v>
      </c>
      <c r="Y2046" s="65">
        <v>0</v>
      </c>
      <c r="Z2046" s="51">
        <v>0</v>
      </c>
      <c r="AA2046" s="51">
        <v>0</v>
      </c>
      <c r="AB2046" s="102">
        <v>0</v>
      </c>
      <c r="AC2046" s="81">
        <f t="shared" ref="AC2046:AC2109" si="99">((IF(AD2046=0,0,100-AD2046))*7*(J2046/I2046))*2%</f>
        <v>124.93827719169269</v>
      </c>
      <c r="AD2046" s="82">
        <f t="shared" ref="AD2046:AD2109" si="100">IF((I2046/7)&gt;100,0,(I2046/7))</f>
        <v>77.728571428571428</v>
      </c>
      <c r="AE2046" s="218">
        <v>-5.5302037556950026E-2</v>
      </c>
      <c r="AF2046">
        <v>2</v>
      </c>
      <c r="AH2046" t="str">
        <f t="shared" si="98"/>
        <v>Laldiyara</v>
      </c>
      <c r="AJ2046" s="72">
        <v>0</v>
      </c>
      <c r="AK2046" s="72"/>
      <c r="AL2046" s="72"/>
      <c r="AM2046" s="72"/>
    </row>
    <row r="2047" spans="1:39" x14ac:dyDescent="0.25">
      <c r="A2047" s="37" t="s">
        <v>62</v>
      </c>
      <c r="B2047" s="66" t="s">
        <v>1654</v>
      </c>
      <c r="C2047" s="41">
        <v>1002</v>
      </c>
      <c r="D2047" s="41" t="s">
        <v>103</v>
      </c>
      <c r="E2047" s="41">
        <v>10020084</v>
      </c>
      <c r="F2047" s="85" t="s">
        <v>1217</v>
      </c>
      <c r="G2047" s="39" t="s">
        <v>92</v>
      </c>
      <c r="H2047" s="52" t="s">
        <v>93</v>
      </c>
      <c r="I2047" s="52">
        <v>619.9</v>
      </c>
      <c r="J2047" s="49">
        <v>25785.239999999994</v>
      </c>
      <c r="K2047" s="58">
        <v>142.91</v>
      </c>
      <c r="L2047" s="58">
        <v>5690.7300000000005</v>
      </c>
      <c r="M2047" s="58">
        <v>480.51000000000005</v>
      </c>
      <c r="N2047" s="58">
        <v>19541.920000000006</v>
      </c>
      <c r="O2047" s="58">
        <v>623.42000000000007</v>
      </c>
      <c r="P2047" s="53">
        <v>25232.650000000005</v>
      </c>
      <c r="Q2047" s="65">
        <v>25232.650000000005</v>
      </c>
      <c r="R2047" s="65">
        <v>0</v>
      </c>
      <c r="S2047" s="65">
        <v>0</v>
      </c>
      <c r="T2047" s="65">
        <v>0</v>
      </c>
      <c r="U2047" s="58">
        <v>0</v>
      </c>
      <c r="V2047" s="65">
        <v>0</v>
      </c>
      <c r="W2047" s="65">
        <v>0</v>
      </c>
      <c r="X2047" s="65">
        <v>5691</v>
      </c>
      <c r="Y2047" s="65">
        <v>19540</v>
      </c>
      <c r="Z2047" s="51">
        <v>0</v>
      </c>
      <c r="AA2047" s="51">
        <v>554</v>
      </c>
      <c r="AB2047" s="102">
        <v>0</v>
      </c>
      <c r="AC2047" s="81">
        <f t="shared" si="99"/>
        <v>66.636480851750321</v>
      </c>
      <c r="AD2047" s="82">
        <f t="shared" si="100"/>
        <v>88.55714285714285</v>
      </c>
      <c r="AE2047" s="218">
        <v>2.1430477280800542E-2</v>
      </c>
      <c r="AF2047">
        <v>25</v>
      </c>
      <c r="AH2047" t="str">
        <f t="shared" si="98"/>
        <v>Laldiyara</v>
      </c>
      <c r="AJ2047" s="72">
        <v>0</v>
      </c>
      <c r="AK2047" s="72"/>
      <c r="AL2047" s="72"/>
      <c r="AM2047" s="72"/>
    </row>
    <row r="2048" spans="1:39" x14ac:dyDescent="0.25">
      <c r="A2048" s="37" t="s">
        <v>62</v>
      </c>
      <c r="B2048" s="66" t="s">
        <v>1654</v>
      </c>
      <c r="C2048" s="41">
        <v>1002</v>
      </c>
      <c r="D2048" s="41" t="s">
        <v>103</v>
      </c>
      <c r="E2048" s="41">
        <v>10020087</v>
      </c>
      <c r="F2048" s="85" t="s">
        <v>1498</v>
      </c>
      <c r="G2048" s="39" t="s">
        <v>92</v>
      </c>
      <c r="H2048" s="52" t="s">
        <v>93</v>
      </c>
      <c r="I2048" s="52">
        <v>785.30000000000007</v>
      </c>
      <c r="J2048" s="49">
        <v>31461.650000000005</v>
      </c>
      <c r="K2048" s="58">
        <v>796.28</v>
      </c>
      <c r="L2048" s="58">
        <v>32263.86</v>
      </c>
      <c r="M2048" s="58">
        <v>0</v>
      </c>
      <c r="N2048" s="58">
        <v>0</v>
      </c>
      <c r="O2048" s="58">
        <v>796.28</v>
      </c>
      <c r="P2048" s="53">
        <v>32263.86</v>
      </c>
      <c r="Q2048" s="65">
        <v>31461.650000000005</v>
      </c>
      <c r="R2048" s="65">
        <v>0</v>
      </c>
      <c r="S2048" s="65">
        <v>0</v>
      </c>
      <c r="T2048" s="65">
        <v>802.20999999999549</v>
      </c>
      <c r="U2048" s="58">
        <v>0</v>
      </c>
      <c r="V2048" s="65">
        <v>0</v>
      </c>
      <c r="W2048" s="65">
        <v>0</v>
      </c>
      <c r="X2048" s="65">
        <v>31462</v>
      </c>
      <c r="Y2048" s="65">
        <v>0</v>
      </c>
      <c r="Z2048" s="51">
        <v>0</v>
      </c>
      <c r="AA2048" s="51">
        <v>0</v>
      </c>
      <c r="AB2048" s="102">
        <v>0</v>
      </c>
      <c r="AC2048" s="81">
        <f t="shared" si="99"/>
        <v>0</v>
      </c>
      <c r="AD2048" s="82">
        <f t="shared" si="100"/>
        <v>0</v>
      </c>
      <c r="AE2048" s="218">
        <v>-2.5498026962984949E-2</v>
      </c>
      <c r="AF2048">
        <v>2</v>
      </c>
      <c r="AH2048" t="str">
        <f t="shared" si="98"/>
        <v>Laldiyara</v>
      </c>
      <c r="AJ2048" s="72">
        <v>0</v>
      </c>
      <c r="AK2048" s="72"/>
      <c r="AL2048" s="72"/>
      <c r="AM2048" s="72"/>
    </row>
    <row r="2049" spans="1:39" x14ac:dyDescent="0.25">
      <c r="A2049" s="37" t="s">
        <v>62</v>
      </c>
      <c r="B2049" s="66" t="s">
        <v>1654</v>
      </c>
      <c r="C2049" s="41">
        <v>1002</v>
      </c>
      <c r="D2049" s="41" t="s">
        <v>103</v>
      </c>
      <c r="E2049" s="41">
        <v>10020088</v>
      </c>
      <c r="F2049" s="85" t="s">
        <v>1535</v>
      </c>
      <c r="G2049" s="39" t="s">
        <v>92</v>
      </c>
      <c r="H2049" s="52" t="s">
        <v>93</v>
      </c>
      <c r="I2049" s="52">
        <v>326.10000000000008</v>
      </c>
      <c r="J2049" s="49">
        <v>13091.91</v>
      </c>
      <c r="K2049" s="58">
        <v>328.2</v>
      </c>
      <c r="L2049" s="58">
        <v>13171.439999999999</v>
      </c>
      <c r="M2049" s="58">
        <v>0</v>
      </c>
      <c r="N2049" s="58">
        <v>0</v>
      </c>
      <c r="O2049" s="58">
        <v>328.2</v>
      </c>
      <c r="P2049" s="53">
        <v>13171.439999999999</v>
      </c>
      <c r="Q2049" s="65">
        <v>13091.91</v>
      </c>
      <c r="R2049" s="65">
        <v>0</v>
      </c>
      <c r="S2049" s="65">
        <v>0</v>
      </c>
      <c r="T2049" s="65">
        <v>79.529999999998836</v>
      </c>
      <c r="U2049" s="58">
        <v>0</v>
      </c>
      <c r="V2049" s="65">
        <v>0</v>
      </c>
      <c r="W2049" s="65">
        <v>0</v>
      </c>
      <c r="X2049" s="65">
        <v>13092</v>
      </c>
      <c r="Y2049" s="65">
        <v>0</v>
      </c>
      <c r="Z2049" s="51">
        <v>0</v>
      </c>
      <c r="AA2049" s="51">
        <v>0</v>
      </c>
      <c r="AB2049" s="102">
        <v>0</v>
      </c>
      <c r="AC2049" s="81">
        <f t="shared" si="99"/>
        <v>300.2186537258508</v>
      </c>
      <c r="AD2049" s="82">
        <f t="shared" si="100"/>
        <v>46.585714285714296</v>
      </c>
      <c r="AE2049" s="218">
        <v>-6.0747438685416289E-3</v>
      </c>
      <c r="AF2049">
        <v>1</v>
      </c>
      <c r="AH2049" t="str">
        <f t="shared" si="98"/>
        <v>Laldiyara</v>
      </c>
      <c r="AJ2049" s="72">
        <v>0</v>
      </c>
      <c r="AK2049" s="72"/>
      <c r="AL2049" s="72"/>
      <c r="AM2049" s="72"/>
    </row>
    <row r="2050" spans="1:39" x14ac:dyDescent="0.25">
      <c r="A2050" s="37" t="s">
        <v>62</v>
      </c>
      <c r="B2050" s="66" t="s">
        <v>1654</v>
      </c>
      <c r="C2050" s="41">
        <v>1003</v>
      </c>
      <c r="D2050" s="41" t="s">
        <v>137</v>
      </c>
      <c r="E2050" s="41">
        <v>10030002</v>
      </c>
      <c r="F2050" s="85" t="s">
        <v>113</v>
      </c>
      <c r="G2050" s="39" t="s">
        <v>1610</v>
      </c>
      <c r="H2050" s="52" t="s">
        <v>98</v>
      </c>
      <c r="I2050" s="52">
        <v>550.5</v>
      </c>
      <c r="J2050" s="49">
        <v>23621.440000000002</v>
      </c>
      <c r="K2050" s="58">
        <v>0</v>
      </c>
      <c r="L2050" s="58">
        <v>0</v>
      </c>
      <c r="M2050" s="58">
        <v>0</v>
      </c>
      <c r="N2050" s="58">
        <v>0</v>
      </c>
      <c r="O2050" s="58">
        <v>0</v>
      </c>
      <c r="P2050" s="53">
        <v>0</v>
      </c>
      <c r="Q2050" s="65">
        <v>23621.440000000002</v>
      </c>
      <c r="R2050" s="65">
        <v>0</v>
      </c>
      <c r="S2050" s="65">
        <v>0</v>
      </c>
      <c r="T2050" s="65">
        <v>0</v>
      </c>
      <c r="U2050" s="58">
        <v>0</v>
      </c>
      <c r="V2050" s="65">
        <v>0</v>
      </c>
      <c r="W2050" s="65">
        <v>0</v>
      </c>
      <c r="X2050" s="65">
        <v>0</v>
      </c>
      <c r="Y2050" s="65">
        <v>0</v>
      </c>
      <c r="Z2050" s="51">
        <v>23621.440000000002</v>
      </c>
      <c r="AA2050" s="51">
        <v>0</v>
      </c>
      <c r="AB2050" s="102">
        <v>0</v>
      </c>
      <c r="AC2050" s="81">
        <f t="shared" si="99"/>
        <v>128.2981028156222</v>
      </c>
      <c r="AD2050" s="82">
        <f t="shared" si="100"/>
        <v>78.642857142857139</v>
      </c>
      <c r="AE2050" s="218">
        <v>0</v>
      </c>
      <c r="AF2050">
        <v>0</v>
      </c>
      <c r="AH2050" t="str">
        <f t="shared" si="98"/>
        <v>Asarganj</v>
      </c>
      <c r="AJ2050" s="72">
        <v>0</v>
      </c>
      <c r="AK2050" s="72"/>
      <c r="AL2050" s="72"/>
      <c r="AM2050" s="72"/>
    </row>
    <row r="2051" spans="1:39" x14ac:dyDescent="0.25">
      <c r="A2051" s="37" t="s">
        <v>62</v>
      </c>
      <c r="B2051" s="66" t="s">
        <v>1654</v>
      </c>
      <c r="C2051" s="41">
        <v>1003</v>
      </c>
      <c r="D2051" s="41" t="s">
        <v>137</v>
      </c>
      <c r="E2051" s="41">
        <v>10030003</v>
      </c>
      <c r="F2051" s="85" t="s">
        <v>138</v>
      </c>
      <c r="G2051" s="39" t="s">
        <v>92</v>
      </c>
      <c r="H2051" s="52" t="s">
        <v>93</v>
      </c>
      <c r="I2051" s="52">
        <v>1763.1499999999994</v>
      </c>
      <c r="J2051" s="49">
        <v>86346.29</v>
      </c>
      <c r="K2051" s="58">
        <v>1745.5000000000002</v>
      </c>
      <c r="L2051" s="58">
        <v>83800.819999999992</v>
      </c>
      <c r="M2051" s="58">
        <v>25.3</v>
      </c>
      <c r="N2051" s="58">
        <v>1814</v>
      </c>
      <c r="O2051" s="58">
        <v>1770.8000000000002</v>
      </c>
      <c r="P2051" s="53">
        <v>85614.819999999992</v>
      </c>
      <c r="Q2051" s="65">
        <v>85614.819999999992</v>
      </c>
      <c r="R2051" s="65">
        <v>0</v>
      </c>
      <c r="S2051" s="65">
        <v>1814</v>
      </c>
      <c r="T2051" s="65">
        <v>0</v>
      </c>
      <c r="U2051" s="58">
        <v>0</v>
      </c>
      <c r="V2051" s="65">
        <v>0</v>
      </c>
      <c r="W2051" s="65">
        <v>0</v>
      </c>
      <c r="X2051" s="65">
        <v>83801</v>
      </c>
      <c r="Y2051" s="65">
        <v>0</v>
      </c>
      <c r="Z2051" s="51">
        <v>0</v>
      </c>
      <c r="AA2051" s="51">
        <v>731</v>
      </c>
      <c r="AB2051" s="102">
        <v>0</v>
      </c>
      <c r="AC2051" s="81">
        <f t="shared" si="99"/>
        <v>0</v>
      </c>
      <c r="AD2051" s="82">
        <f t="shared" si="100"/>
        <v>0</v>
      </c>
      <c r="AE2051" s="218">
        <v>8.4713541253480743E-3</v>
      </c>
      <c r="AF2051">
        <v>66</v>
      </c>
      <c r="AH2051" t="str">
        <f t="shared" si="98"/>
        <v>Asarganj</v>
      </c>
      <c r="AJ2051" s="72">
        <v>0</v>
      </c>
      <c r="AK2051" s="72"/>
      <c r="AL2051" s="72"/>
      <c r="AM2051" s="72"/>
    </row>
    <row r="2052" spans="1:39" x14ac:dyDescent="0.25">
      <c r="A2052" s="37" t="s">
        <v>62</v>
      </c>
      <c r="B2052" s="66" t="s">
        <v>1654</v>
      </c>
      <c r="C2052" s="41">
        <v>1003</v>
      </c>
      <c r="D2052" s="41" t="s">
        <v>137</v>
      </c>
      <c r="E2052" s="41">
        <v>10030007</v>
      </c>
      <c r="F2052" s="85" t="s">
        <v>139</v>
      </c>
      <c r="G2052" s="39" t="s">
        <v>1610</v>
      </c>
      <c r="H2052" s="52" t="s">
        <v>98</v>
      </c>
      <c r="I2052" s="52">
        <v>658.05</v>
      </c>
      <c r="J2052" s="49">
        <v>19974.05</v>
      </c>
      <c r="K2052" s="58">
        <v>0</v>
      </c>
      <c r="L2052" s="58">
        <v>0</v>
      </c>
      <c r="M2052" s="58">
        <v>0</v>
      </c>
      <c r="N2052" s="58">
        <v>0</v>
      </c>
      <c r="O2052" s="58">
        <v>0</v>
      </c>
      <c r="P2052" s="53">
        <v>0</v>
      </c>
      <c r="Q2052" s="65">
        <v>19974.05</v>
      </c>
      <c r="R2052" s="65">
        <v>0</v>
      </c>
      <c r="S2052" s="65">
        <v>0</v>
      </c>
      <c r="T2052" s="65">
        <v>0</v>
      </c>
      <c r="U2052" s="58">
        <v>0</v>
      </c>
      <c r="V2052" s="65">
        <v>0</v>
      </c>
      <c r="W2052" s="65">
        <v>0</v>
      </c>
      <c r="X2052" s="65">
        <v>0</v>
      </c>
      <c r="Y2052" s="65">
        <v>0</v>
      </c>
      <c r="Z2052" s="51">
        <v>19974.05</v>
      </c>
      <c r="AA2052" s="51">
        <v>0</v>
      </c>
      <c r="AB2052" s="102">
        <v>0</v>
      </c>
      <c r="AC2052" s="81">
        <f t="shared" si="99"/>
        <v>25.466496390851781</v>
      </c>
      <c r="AD2052" s="82">
        <f t="shared" si="100"/>
        <v>94.007142857142853</v>
      </c>
      <c r="AE2052" s="218">
        <v>0</v>
      </c>
      <c r="AF2052">
        <v>0</v>
      </c>
      <c r="AH2052" t="str">
        <f t="shared" si="98"/>
        <v>Asarganj</v>
      </c>
      <c r="AJ2052" s="72">
        <v>0</v>
      </c>
      <c r="AK2052" s="72"/>
      <c r="AL2052" s="72"/>
      <c r="AM2052" s="72"/>
    </row>
    <row r="2053" spans="1:39" x14ac:dyDescent="0.25">
      <c r="A2053" s="37" t="s">
        <v>62</v>
      </c>
      <c r="B2053" s="66" t="s">
        <v>1654</v>
      </c>
      <c r="C2053" s="41">
        <v>1003</v>
      </c>
      <c r="D2053" s="41" t="s">
        <v>137</v>
      </c>
      <c r="E2053" s="41">
        <v>10030009</v>
      </c>
      <c r="F2053" s="85" t="s">
        <v>140</v>
      </c>
      <c r="G2053" s="39" t="s">
        <v>1610</v>
      </c>
      <c r="H2053" s="52" t="s">
        <v>98</v>
      </c>
      <c r="I2053" s="52">
        <v>9867.25</v>
      </c>
      <c r="J2053" s="49">
        <v>416748.67</v>
      </c>
      <c r="K2053" s="58">
        <v>0</v>
      </c>
      <c r="L2053" s="58">
        <v>0</v>
      </c>
      <c r="M2053" s="58">
        <v>0</v>
      </c>
      <c r="N2053" s="58">
        <v>0</v>
      </c>
      <c r="O2053" s="58">
        <v>0</v>
      </c>
      <c r="P2053" s="53">
        <v>0</v>
      </c>
      <c r="Q2053" s="65">
        <v>416748.67</v>
      </c>
      <c r="R2053" s="65">
        <v>0</v>
      </c>
      <c r="S2053" s="65">
        <v>0</v>
      </c>
      <c r="T2053" s="65">
        <v>0</v>
      </c>
      <c r="U2053" s="58">
        <v>0</v>
      </c>
      <c r="V2053" s="65">
        <v>0</v>
      </c>
      <c r="W2053" s="65">
        <v>0</v>
      </c>
      <c r="X2053" s="65">
        <v>0</v>
      </c>
      <c r="Y2053" s="65">
        <v>0</v>
      </c>
      <c r="Z2053" s="51">
        <v>416748.67</v>
      </c>
      <c r="AA2053" s="51">
        <v>0</v>
      </c>
      <c r="AB2053" s="102">
        <v>0</v>
      </c>
      <c r="AC2053" s="81">
        <f t="shared" si="99"/>
        <v>0</v>
      </c>
      <c r="AD2053" s="82">
        <f t="shared" si="100"/>
        <v>0</v>
      </c>
      <c r="AE2053" s="218">
        <v>0</v>
      </c>
      <c r="AF2053">
        <v>0</v>
      </c>
      <c r="AH2053" t="str">
        <f t="shared" si="98"/>
        <v>Asarganj</v>
      </c>
      <c r="AJ2053" s="72">
        <v>0</v>
      </c>
      <c r="AK2053" s="72"/>
      <c r="AL2053" s="72"/>
      <c r="AM2053" s="72"/>
    </row>
    <row r="2054" spans="1:39" x14ac:dyDescent="0.25">
      <c r="A2054" s="37" t="s">
        <v>62</v>
      </c>
      <c r="B2054" s="66" t="s">
        <v>1654</v>
      </c>
      <c r="C2054" s="41">
        <v>1003</v>
      </c>
      <c r="D2054" s="41" t="s">
        <v>137</v>
      </c>
      <c r="E2054" s="41">
        <v>10030010</v>
      </c>
      <c r="F2054" s="85" t="s">
        <v>141</v>
      </c>
      <c r="G2054" s="39" t="s">
        <v>92</v>
      </c>
      <c r="H2054" s="52" t="s">
        <v>93</v>
      </c>
      <c r="I2054" s="52">
        <v>261.3</v>
      </c>
      <c r="J2054" s="49">
        <v>9665.36</v>
      </c>
      <c r="K2054" s="58">
        <v>266.8</v>
      </c>
      <c r="L2054" s="58">
        <v>10728.419999999998</v>
      </c>
      <c r="M2054" s="58">
        <v>8</v>
      </c>
      <c r="N2054" s="58">
        <v>276.08</v>
      </c>
      <c r="O2054" s="58">
        <v>274.8</v>
      </c>
      <c r="P2054" s="53">
        <v>11004.499999999998</v>
      </c>
      <c r="Q2054" s="65">
        <v>9665.36</v>
      </c>
      <c r="R2054" s="65">
        <v>0</v>
      </c>
      <c r="S2054" s="65">
        <v>0</v>
      </c>
      <c r="T2054" s="65">
        <v>1339.1399999999976</v>
      </c>
      <c r="U2054" s="58">
        <v>0</v>
      </c>
      <c r="V2054" s="65">
        <v>0</v>
      </c>
      <c r="W2054" s="65">
        <v>0</v>
      </c>
      <c r="X2054" s="65">
        <v>9389</v>
      </c>
      <c r="Y2054" s="65">
        <v>276</v>
      </c>
      <c r="Z2054" s="51">
        <v>0</v>
      </c>
      <c r="AA2054" s="51">
        <v>0</v>
      </c>
      <c r="AB2054" s="102">
        <v>0</v>
      </c>
      <c r="AC2054" s="81">
        <f t="shared" si="99"/>
        <v>324.54599556065824</v>
      </c>
      <c r="AD2054" s="82">
        <f t="shared" si="100"/>
        <v>37.328571428571429</v>
      </c>
      <c r="AE2054" s="218">
        <v>-0.1385504523370053</v>
      </c>
      <c r="AF2054">
        <v>3</v>
      </c>
      <c r="AH2054" t="str">
        <f t="shared" si="98"/>
        <v>Asarganj</v>
      </c>
      <c r="AJ2054" s="72">
        <v>0</v>
      </c>
      <c r="AK2054" s="72"/>
      <c r="AL2054" s="72"/>
      <c r="AM2054" s="72"/>
    </row>
    <row r="2055" spans="1:39" x14ac:dyDescent="0.25">
      <c r="A2055" s="37" t="s">
        <v>62</v>
      </c>
      <c r="B2055" s="66" t="s">
        <v>1654</v>
      </c>
      <c r="C2055" s="41">
        <v>1003</v>
      </c>
      <c r="D2055" s="41" t="s">
        <v>137</v>
      </c>
      <c r="E2055" s="41">
        <v>10030011</v>
      </c>
      <c r="F2055" s="85" t="s">
        <v>142</v>
      </c>
      <c r="G2055" s="39" t="s">
        <v>92</v>
      </c>
      <c r="H2055" s="52" t="s">
        <v>93</v>
      </c>
      <c r="I2055" s="52">
        <v>1483.8000000000002</v>
      </c>
      <c r="J2055" s="49">
        <v>64082.889999999992</v>
      </c>
      <c r="K2055" s="58">
        <v>1462.6999999999998</v>
      </c>
      <c r="L2055" s="58">
        <v>63119.900000000009</v>
      </c>
      <c r="M2055" s="58">
        <v>6.6000000000000005</v>
      </c>
      <c r="N2055" s="58">
        <v>288.27</v>
      </c>
      <c r="O2055" s="58">
        <v>1469.2999999999997</v>
      </c>
      <c r="P2055" s="53">
        <v>63408.170000000006</v>
      </c>
      <c r="Q2055" s="65">
        <v>63408.170000000006</v>
      </c>
      <c r="R2055" s="65">
        <v>0</v>
      </c>
      <c r="S2055" s="65">
        <v>288.27</v>
      </c>
      <c r="T2055" s="65">
        <v>0</v>
      </c>
      <c r="U2055" s="58">
        <v>0</v>
      </c>
      <c r="V2055" s="65">
        <v>0</v>
      </c>
      <c r="W2055" s="65">
        <v>0</v>
      </c>
      <c r="X2055" s="65">
        <v>63122</v>
      </c>
      <c r="Y2055" s="65">
        <v>0</v>
      </c>
      <c r="Z2055" s="51">
        <v>0</v>
      </c>
      <c r="AA2055" s="51">
        <v>673</v>
      </c>
      <c r="AB2055" s="102">
        <v>0</v>
      </c>
      <c r="AC2055" s="81">
        <f t="shared" si="99"/>
        <v>0</v>
      </c>
      <c r="AD2055" s="82">
        <f t="shared" si="100"/>
        <v>0</v>
      </c>
      <c r="AE2055" s="218">
        <v>1.0528863476662596E-2</v>
      </c>
      <c r="AF2055">
        <v>18</v>
      </c>
      <c r="AH2055" t="str">
        <f t="shared" si="98"/>
        <v>Asarganj</v>
      </c>
      <c r="AJ2055" s="72">
        <v>0</v>
      </c>
      <c r="AK2055" s="72"/>
      <c r="AL2055" s="72"/>
      <c r="AM2055" s="72"/>
    </row>
    <row r="2056" spans="1:39" x14ac:dyDescent="0.25">
      <c r="A2056" s="37" t="s">
        <v>62</v>
      </c>
      <c r="B2056" s="66" t="s">
        <v>1654</v>
      </c>
      <c r="C2056" s="41">
        <v>1003</v>
      </c>
      <c r="D2056" s="41" t="s">
        <v>137</v>
      </c>
      <c r="E2056" s="41">
        <v>10030012</v>
      </c>
      <c r="F2056" s="85" t="s">
        <v>467</v>
      </c>
      <c r="G2056" s="39" t="s">
        <v>1610</v>
      </c>
      <c r="H2056" s="52" t="s">
        <v>98</v>
      </c>
      <c r="I2056" s="52">
        <v>477.6</v>
      </c>
      <c r="J2056" s="49">
        <v>18026.550000000003</v>
      </c>
      <c r="K2056" s="58">
        <v>0</v>
      </c>
      <c r="L2056" s="58">
        <v>0</v>
      </c>
      <c r="M2056" s="58">
        <v>0</v>
      </c>
      <c r="N2056" s="58">
        <v>0</v>
      </c>
      <c r="O2056" s="58">
        <v>0</v>
      </c>
      <c r="P2056" s="53">
        <v>0</v>
      </c>
      <c r="Q2056" s="65">
        <v>18026.550000000003</v>
      </c>
      <c r="R2056" s="65">
        <v>0</v>
      </c>
      <c r="S2056" s="65">
        <v>0</v>
      </c>
      <c r="T2056" s="65">
        <v>0</v>
      </c>
      <c r="U2056" s="58">
        <v>0</v>
      </c>
      <c r="V2056" s="65">
        <v>0</v>
      </c>
      <c r="W2056" s="65">
        <v>0</v>
      </c>
      <c r="X2056" s="65">
        <v>0</v>
      </c>
      <c r="Y2056" s="65">
        <v>0</v>
      </c>
      <c r="Z2056" s="51">
        <v>18026.550000000003</v>
      </c>
      <c r="AA2056" s="51">
        <v>0</v>
      </c>
      <c r="AB2056" s="102">
        <v>0</v>
      </c>
      <c r="AC2056" s="81">
        <f t="shared" si="99"/>
        <v>167.88545728643217</v>
      </c>
      <c r="AD2056" s="82">
        <f t="shared" si="100"/>
        <v>68.228571428571428</v>
      </c>
      <c r="AE2056" s="218">
        <v>0</v>
      </c>
      <c r="AF2056">
        <v>0</v>
      </c>
      <c r="AH2056" t="str">
        <f t="shared" si="98"/>
        <v>Asarganj</v>
      </c>
      <c r="AJ2056" s="72">
        <v>0</v>
      </c>
      <c r="AK2056" s="72"/>
      <c r="AL2056" s="72"/>
      <c r="AM2056" s="72"/>
    </row>
    <row r="2057" spans="1:39" x14ac:dyDescent="0.25">
      <c r="A2057" s="37" t="s">
        <v>62</v>
      </c>
      <c r="B2057" s="66" t="s">
        <v>1654</v>
      </c>
      <c r="C2057" s="41">
        <v>1003</v>
      </c>
      <c r="D2057" s="41" t="s">
        <v>137</v>
      </c>
      <c r="E2057" s="41">
        <v>10030013</v>
      </c>
      <c r="F2057" s="85" t="s">
        <v>143</v>
      </c>
      <c r="G2057" s="39" t="s">
        <v>92</v>
      </c>
      <c r="H2057" s="52" t="s">
        <v>93</v>
      </c>
      <c r="I2057" s="52">
        <v>656.5</v>
      </c>
      <c r="J2057" s="49">
        <v>35036.949999999997</v>
      </c>
      <c r="K2057" s="58">
        <v>612.38000000000011</v>
      </c>
      <c r="L2057" s="58">
        <v>36268.499999999993</v>
      </c>
      <c r="M2057" s="58">
        <v>18.82</v>
      </c>
      <c r="N2057" s="58">
        <v>1034.7199999999998</v>
      </c>
      <c r="O2057" s="58">
        <v>631.20000000000016</v>
      </c>
      <c r="P2057" s="53">
        <v>37303.219999999994</v>
      </c>
      <c r="Q2057" s="65">
        <v>35036.949999999997</v>
      </c>
      <c r="R2057" s="65">
        <v>0</v>
      </c>
      <c r="S2057" s="65">
        <v>1034.7199999999998</v>
      </c>
      <c r="T2057" s="65">
        <v>2266.2699999999968</v>
      </c>
      <c r="U2057" s="58">
        <v>0</v>
      </c>
      <c r="V2057" s="65">
        <v>0</v>
      </c>
      <c r="W2057" s="65">
        <v>0</v>
      </c>
      <c r="X2057" s="65">
        <v>34002</v>
      </c>
      <c r="Y2057" s="65">
        <v>0</v>
      </c>
      <c r="Z2057" s="51">
        <v>0</v>
      </c>
      <c r="AA2057" s="51">
        <v>0</v>
      </c>
      <c r="AB2057" s="102" t="s">
        <v>66</v>
      </c>
      <c r="AC2057" s="81">
        <f t="shared" si="99"/>
        <v>46.431297029702918</v>
      </c>
      <c r="AD2057" s="82">
        <f t="shared" si="100"/>
        <v>93.785714285714292</v>
      </c>
      <c r="AE2057" s="218">
        <v>-6.4682285415825214E-2</v>
      </c>
      <c r="AF2057">
        <v>12</v>
      </c>
      <c r="AH2057" t="str">
        <f t="shared" si="98"/>
        <v>Asarganj</v>
      </c>
      <c r="AJ2057" s="72">
        <v>0</v>
      </c>
      <c r="AK2057" s="72"/>
      <c r="AL2057" s="72"/>
      <c r="AM2057" s="72"/>
    </row>
    <row r="2058" spans="1:39" x14ac:dyDescent="0.25">
      <c r="A2058" s="37" t="s">
        <v>62</v>
      </c>
      <c r="B2058" s="66" t="s">
        <v>1654</v>
      </c>
      <c r="C2058" s="41">
        <v>1003</v>
      </c>
      <c r="D2058" s="41" t="s">
        <v>137</v>
      </c>
      <c r="E2058" s="41">
        <v>10030016</v>
      </c>
      <c r="F2058" s="85" t="s">
        <v>145</v>
      </c>
      <c r="G2058" s="39" t="s">
        <v>92</v>
      </c>
      <c r="H2058" s="52" t="s">
        <v>93</v>
      </c>
      <c r="I2058" s="52">
        <v>1258.8500000000001</v>
      </c>
      <c r="J2058" s="49">
        <v>55572.649999999994</v>
      </c>
      <c r="K2058" s="58">
        <v>219.82</v>
      </c>
      <c r="L2058" s="58">
        <v>11649.44</v>
      </c>
      <c r="M2058" s="58">
        <v>1053.4199999999998</v>
      </c>
      <c r="N2058" s="58">
        <v>45472.770000000004</v>
      </c>
      <c r="O2058" s="58">
        <v>1273.2399999999998</v>
      </c>
      <c r="P2058" s="53">
        <v>57122.210000000006</v>
      </c>
      <c r="Q2058" s="65">
        <v>55572.649999999994</v>
      </c>
      <c r="R2058" s="65">
        <v>0</v>
      </c>
      <c r="S2058" s="65">
        <v>348.73</v>
      </c>
      <c r="T2058" s="65">
        <v>1549.5600000000122</v>
      </c>
      <c r="U2058" s="58">
        <v>0</v>
      </c>
      <c r="V2058" s="65">
        <v>0</v>
      </c>
      <c r="W2058" s="65">
        <v>0</v>
      </c>
      <c r="X2058" s="65">
        <v>10100</v>
      </c>
      <c r="Y2058" s="65">
        <v>45124</v>
      </c>
      <c r="Z2058" s="51">
        <v>0</v>
      </c>
      <c r="AA2058" s="51">
        <v>0</v>
      </c>
      <c r="AB2058" s="102">
        <v>0</v>
      </c>
      <c r="AC2058" s="81">
        <f t="shared" si="99"/>
        <v>0</v>
      </c>
      <c r="AD2058" s="82">
        <f t="shared" si="100"/>
        <v>0</v>
      </c>
      <c r="AE2058" s="218">
        <v>-2.7883500246974228E-2</v>
      </c>
      <c r="AF2058">
        <v>14</v>
      </c>
      <c r="AH2058" t="str">
        <f t="shared" si="98"/>
        <v>Asarganj</v>
      </c>
      <c r="AJ2058" s="72">
        <v>0</v>
      </c>
      <c r="AK2058" s="72"/>
      <c r="AL2058" s="72"/>
      <c r="AM2058" s="72"/>
    </row>
    <row r="2059" spans="1:39" x14ac:dyDescent="0.25">
      <c r="A2059" s="37" t="s">
        <v>62</v>
      </c>
      <c r="B2059" s="66" t="s">
        <v>1654</v>
      </c>
      <c r="C2059" s="41">
        <v>1003</v>
      </c>
      <c r="D2059" s="41" t="s">
        <v>137</v>
      </c>
      <c r="E2059" s="41">
        <v>10030017</v>
      </c>
      <c r="F2059" s="85" t="s">
        <v>146</v>
      </c>
      <c r="G2059" s="39" t="s">
        <v>92</v>
      </c>
      <c r="H2059" s="52" t="s">
        <v>93</v>
      </c>
      <c r="I2059" s="52">
        <v>1356.6999999999998</v>
      </c>
      <c r="J2059" s="49">
        <v>70442.429999999993</v>
      </c>
      <c r="K2059" s="58">
        <v>1340.0500000000002</v>
      </c>
      <c r="L2059" s="58">
        <v>69014.580000000016</v>
      </c>
      <c r="M2059" s="58">
        <v>30.439999999999998</v>
      </c>
      <c r="N2059" s="58">
        <v>1672.8</v>
      </c>
      <c r="O2059" s="58">
        <v>1370.4900000000002</v>
      </c>
      <c r="P2059" s="53">
        <v>70687.380000000019</v>
      </c>
      <c r="Q2059" s="65">
        <v>70442.429999999993</v>
      </c>
      <c r="R2059" s="65">
        <v>0</v>
      </c>
      <c r="S2059" s="65">
        <v>1672.8</v>
      </c>
      <c r="T2059" s="65">
        <v>244.95000000002619</v>
      </c>
      <c r="U2059" s="58">
        <v>0</v>
      </c>
      <c r="V2059" s="65">
        <v>0</v>
      </c>
      <c r="W2059" s="65">
        <v>0</v>
      </c>
      <c r="X2059" s="65">
        <v>68769</v>
      </c>
      <c r="Y2059" s="65">
        <v>0</v>
      </c>
      <c r="Z2059" s="51">
        <v>0</v>
      </c>
      <c r="AA2059" s="51">
        <v>1</v>
      </c>
      <c r="AB2059" s="102">
        <v>0</v>
      </c>
      <c r="AC2059" s="81">
        <f t="shared" si="99"/>
        <v>0</v>
      </c>
      <c r="AD2059" s="82">
        <f t="shared" si="100"/>
        <v>0</v>
      </c>
      <c r="AE2059" s="218">
        <v>-3.4773076397283031E-3</v>
      </c>
      <c r="AF2059">
        <v>35</v>
      </c>
      <c r="AH2059" t="str">
        <f t="shared" ref="AH2059:AH2122" si="101">TEXT(D2059,"0000")</f>
        <v>Asarganj</v>
      </c>
      <c r="AJ2059" s="72">
        <v>0</v>
      </c>
      <c r="AK2059" s="72"/>
      <c r="AL2059" s="72"/>
      <c r="AM2059" s="72"/>
    </row>
    <row r="2060" spans="1:39" x14ac:dyDescent="0.25">
      <c r="A2060" s="37" t="s">
        <v>62</v>
      </c>
      <c r="B2060" s="66" t="s">
        <v>1654</v>
      </c>
      <c r="C2060" s="41">
        <v>1003</v>
      </c>
      <c r="D2060" s="41" t="s">
        <v>137</v>
      </c>
      <c r="E2060" s="41">
        <v>10030018</v>
      </c>
      <c r="F2060" s="85" t="s">
        <v>147</v>
      </c>
      <c r="G2060" s="39" t="s">
        <v>92</v>
      </c>
      <c r="H2060" s="52" t="s">
        <v>93</v>
      </c>
      <c r="I2060" s="52">
        <v>831.8</v>
      </c>
      <c r="J2060" s="49">
        <v>35539.03</v>
      </c>
      <c r="K2060" s="58">
        <v>818.49</v>
      </c>
      <c r="L2060" s="58">
        <v>35891.94</v>
      </c>
      <c r="M2060" s="58">
        <v>28.169999999999995</v>
      </c>
      <c r="N2060" s="58">
        <v>1149.0999999999999</v>
      </c>
      <c r="O2060" s="58">
        <v>846.66</v>
      </c>
      <c r="P2060" s="53">
        <v>37041.040000000001</v>
      </c>
      <c r="Q2060" s="65">
        <v>35539.03</v>
      </c>
      <c r="R2060" s="65">
        <v>0</v>
      </c>
      <c r="S2060" s="65">
        <v>1149.0999999999999</v>
      </c>
      <c r="T2060" s="65">
        <v>1502.010000000002</v>
      </c>
      <c r="U2060" s="58">
        <v>0</v>
      </c>
      <c r="V2060" s="65">
        <v>0</v>
      </c>
      <c r="W2060" s="65">
        <v>0</v>
      </c>
      <c r="X2060" s="65">
        <v>34390</v>
      </c>
      <c r="Y2060" s="65">
        <v>0</v>
      </c>
      <c r="Z2060" s="51">
        <v>0</v>
      </c>
      <c r="AA2060" s="51">
        <v>0</v>
      </c>
      <c r="AB2060" s="102">
        <v>0</v>
      </c>
      <c r="AC2060" s="81">
        <f t="shared" si="99"/>
        <v>0</v>
      </c>
      <c r="AD2060" s="82">
        <f t="shared" si="100"/>
        <v>0</v>
      </c>
      <c r="AE2060" s="218">
        <v>-4.2263674613516523E-2</v>
      </c>
      <c r="AF2060">
        <v>23</v>
      </c>
      <c r="AH2060" t="str">
        <f t="shared" si="101"/>
        <v>Asarganj</v>
      </c>
      <c r="AJ2060" s="72">
        <v>0</v>
      </c>
      <c r="AK2060" s="72"/>
      <c r="AL2060" s="72"/>
      <c r="AM2060" s="72"/>
    </row>
    <row r="2061" spans="1:39" x14ac:dyDescent="0.25">
      <c r="A2061" s="37" t="s">
        <v>62</v>
      </c>
      <c r="B2061" s="66" t="s">
        <v>1654</v>
      </c>
      <c r="C2061" s="41">
        <v>1003</v>
      </c>
      <c r="D2061" s="41" t="s">
        <v>137</v>
      </c>
      <c r="E2061" s="41">
        <v>10030019</v>
      </c>
      <c r="F2061" s="85" t="s">
        <v>148</v>
      </c>
      <c r="G2061" s="39" t="s">
        <v>92</v>
      </c>
      <c r="H2061" s="52" t="s">
        <v>93</v>
      </c>
      <c r="I2061" s="52">
        <v>366.59999999999997</v>
      </c>
      <c r="J2061" s="49">
        <v>16227.67</v>
      </c>
      <c r="K2061" s="58">
        <v>355.25999999999988</v>
      </c>
      <c r="L2061" s="58">
        <v>17038.8</v>
      </c>
      <c r="M2061" s="58">
        <v>16.419999999999998</v>
      </c>
      <c r="N2061" s="58">
        <v>1088.72</v>
      </c>
      <c r="O2061" s="58">
        <v>371.67999999999989</v>
      </c>
      <c r="P2061" s="53">
        <v>18127.52</v>
      </c>
      <c r="Q2061" s="65">
        <v>16227.67</v>
      </c>
      <c r="R2061" s="65">
        <v>0</v>
      </c>
      <c r="S2061" s="65">
        <v>1088.72</v>
      </c>
      <c r="T2061" s="65">
        <v>1899.8500000000004</v>
      </c>
      <c r="U2061" s="58">
        <v>0</v>
      </c>
      <c r="V2061" s="65">
        <v>0</v>
      </c>
      <c r="W2061" s="65">
        <v>0</v>
      </c>
      <c r="X2061" s="65">
        <v>15139</v>
      </c>
      <c r="Y2061" s="65">
        <v>0</v>
      </c>
      <c r="Z2061" s="51">
        <v>0</v>
      </c>
      <c r="AA2061" s="51">
        <v>0</v>
      </c>
      <c r="AB2061" s="102">
        <v>0</v>
      </c>
      <c r="AC2061" s="81">
        <f t="shared" si="99"/>
        <v>295.16122084015285</v>
      </c>
      <c r="AD2061" s="82">
        <f t="shared" si="100"/>
        <v>52.371428571428567</v>
      </c>
      <c r="AE2061" s="218">
        <v>-0.11707472483726872</v>
      </c>
      <c r="AF2061">
        <v>7</v>
      </c>
      <c r="AH2061" t="str">
        <f t="shared" si="101"/>
        <v>Asarganj</v>
      </c>
      <c r="AJ2061" s="72">
        <v>0</v>
      </c>
      <c r="AK2061" s="72"/>
      <c r="AL2061" s="72"/>
      <c r="AM2061" s="72"/>
    </row>
    <row r="2062" spans="1:39" x14ac:dyDescent="0.25">
      <c r="A2062" s="37" t="s">
        <v>62</v>
      </c>
      <c r="B2062" s="66" t="s">
        <v>1654</v>
      </c>
      <c r="C2062" s="41">
        <v>1003</v>
      </c>
      <c r="D2062" s="41" t="s">
        <v>137</v>
      </c>
      <c r="E2062" s="41">
        <v>10030021</v>
      </c>
      <c r="F2062" s="85" t="s">
        <v>149</v>
      </c>
      <c r="G2062" s="39" t="s">
        <v>92</v>
      </c>
      <c r="H2062" s="52" t="s">
        <v>93</v>
      </c>
      <c r="I2062" s="52">
        <v>489.35</v>
      </c>
      <c r="J2062" s="49">
        <v>20491.550000000003</v>
      </c>
      <c r="K2062" s="58">
        <v>545.23</v>
      </c>
      <c r="L2062" s="58">
        <v>23756.930000000004</v>
      </c>
      <c r="M2062" s="58">
        <v>21.92</v>
      </c>
      <c r="N2062" s="58">
        <v>919.30000000000007</v>
      </c>
      <c r="O2062" s="58">
        <v>567.15</v>
      </c>
      <c r="P2062" s="53">
        <v>24676.230000000003</v>
      </c>
      <c r="Q2062" s="65">
        <v>20491.550000000003</v>
      </c>
      <c r="R2062" s="65">
        <v>0</v>
      </c>
      <c r="S2062" s="65">
        <v>919.30000000000007</v>
      </c>
      <c r="T2062" s="65">
        <v>4184.68</v>
      </c>
      <c r="U2062" s="58">
        <v>0</v>
      </c>
      <c r="V2062" s="65">
        <v>0</v>
      </c>
      <c r="W2062" s="65">
        <v>0</v>
      </c>
      <c r="X2062" s="65">
        <v>19572</v>
      </c>
      <c r="Y2062" s="65">
        <v>0</v>
      </c>
      <c r="Z2062" s="51">
        <v>0</v>
      </c>
      <c r="AA2062" s="51">
        <v>0</v>
      </c>
      <c r="AB2062" s="102">
        <v>0</v>
      </c>
      <c r="AC2062" s="81">
        <f t="shared" si="99"/>
        <v>176.41953642587106</v>
      </c>
      <c r="AD2062" s="82">
        <f t="shared" si="100"/>
        <v>69.907142857142858</v>
      </c>
      <c r="AE2062" s="218">
        <v>-0.20421490809626405</v>
      </c>
      <c r="AF2062">
        <v>10</v>
      </c>
      <c r="AH2062" t="str">
        <f t="shared" si="101"/>
        <v>Asarganj</v>
      </c>
      <c r="AJ2062" s="72">
        <v>0</v>
      </c>
      <c r="AK2062" s="72"/>
      <c r="AL2062" s="72"/>
      <c r="AM2062" s="72"/>
    </row>
    <row r="2063" spans="1:39" x14ac:dyDescent="0.25">
      <c r="A2063" s="37" t="s">
        <v>62</v>
      </c>
      <c r="B2063" s="66" t="s">
        <v>1654</v>
      </c>
      <c r="C2063" s="41">
        <v>1003</v>
      </c>
      <c r="D2063" s="41" t="s">
        <v>137</v>
      </c>
      <c r="E2063" s="41">
        <v>10030022</v>
      </c>
      <c r="F2063" s="85" t="s">
        <v>150</v>
      </c>
      <c r="G2063" s="39" t="s">
        <v>92</v>
      </c>
      <c r="H2063" s="52" t="s">
        <v>93</v>
      </c>
      <c r="I2063" s="52">
        <v>1357.5</v>
      </c>
      <c r="J2063" s="49">
        <v>55637.19</v>
      </c>
      <c r="K2063" s="58">
        <v>1313.5399999999997</v>
      </c>
      <c r="L2063" s="58">
        <v>55503.30000000001</v>
      </c>
      <c r="M2063" s="58">
        <v>111.48</v>
      </c>
      <c r="N2063" s="58">
        <v>4533.3100000000004</v>
      </c>
      <c r="O2063" s="58">
        <v>1425.0199999999998</v>
      </c>
      <c r="P2063" s="53">
        <v>60036.610000000008</v>
      </c>
      <c r="Q2063" s="65">
        <v>55637.19</v>
      </c>
      <c r="R2063" s="65">
        <v>0</v>
      </c>
      <c r="S2063" s="65">
        <v>646.72</v>
      </c>
      <c r="T2063" s="65">
        <v>4399.4200000000055</v>
      </c>
      <c r="U2063" s="58">
        <v>0</v>
      </c>
      <c r="V2063" s="65">
        <v>0</v>
      </c>
      <c r="W2063" s="65">
        <v>0</v>
      </c>
      <c r="X2063" s="65">
        <v>51103</v>
      </c>
      <c r="Y2063" s="65">
        <v>3887</v>
      </c>
      <c r="Z2063" s="51">
        <v>0</v>
      </c>
      <c r="AA2063" s="51">
        <v>0</v>
      </c>
      <c r="AB2063" s="102">
        <v>0</v>
      </c>
      <c r="AC2063" s="81">
        <f t="shared" si="99"/>
        <v>0</v>
      </c>
      <c r="AD2063" s="82">
        <f t="shared" si="100"/>
        <v>0</v>
      </c>
      <c r="AE2063" s="218">
        <v>-7.9073368011576523E-2</v>
      </c>
      <c r="AF2063">
        <v>24</v>
      </c>
      <c r="AH2063" t="str">
        <f t="shared" si="101"/>
        <v>Asarganj</v>
      </c>
      <c r="AJ2063" s="72">
        <v>0</v>
      </c>
      <c r="AK2063" s="72"/>
      <c r="AL2063" s="72"/>
      <c r="AM2063" s="72"/>
    </row>
    <row r="2064" spans="1:39" x14ac:dyDescent="0.25">
      <c r="A2064" s="37" t="s">
        <v>62</v>
      </c>
      <c r="B2064" s="66" t="s">
        <v>1654</v>
      </c>
      <c r="C2064" s="41">
        <v>1003</v>
      </c>
      <c r="D2064" s="41" t="s">
        <v>137</v>
      </c>
      <c r="E2064" s="41">
        <v>10030023</v>
      </c>
      <c r="F2064" s="85" t="s">
        <v>151</v>
      </c>
      <c r="G2064" s="39" t="s">
        <v>92</v>
      </c>
      <c r="H2064" s="52" t="s">
        <v>93</v>
      </c>
      <c r="I2064" s="52">
        <v>414.29999999999995</v>
      </c>
      <c r="J2064" s="49">
        <v>17161.95</v>
      </c>
      <c r="K2064" s="58">
        <v>406.98999999999995</v>
      </c>
      <c r="L2064" s="58">
        <v>17059.980000000003</v>
      </c>
      <c r="M2064" s="58">
        <v>10.290000000000001</v>
      </c>
      <c r="N2064" s="58">
        <v>443.41</v>
      </c>
      <c r="O2064" s="58">
        <v>417.28</v>
      </c>
      <c r="P2064" s="53">
        <v>17503.390000000003</v>
      </c>
      <c r="Q2064" s="65">
        <v>17161.95</v>
      </c>
      <c r="R2064" s="65">
        <v>0</v>
      </c>
      <c r="S2064" s="65">
        <v>443.41</v>
      </c>
      <c r="T2064" s="65">
        <v>341.44000000000233</v>
      </c>
      <c r="U2064" s="58">
        <v>0</v>
      </c>
      <c r="V2064" s="65">
        <v>0</v>
      </c>
      <c r="W2064" s="65">
        <v>0</v>
      </c>
      <c r="X2064" s="65">
        <v>16719</v>
      </c>
      <c r="Y2064" s="65">
        <v>0</v>
      </c>
      <c r="Z2064" s="51">
        <v>0</v>
      </c>
      <c r="AA2064" s="51">
        <v>0</v>
      </c>
      <c r="AB2064" s="102">
        <v>0</v>
      </c>
      <c r="AC2064" s="81">
        <f t="shared" si="99"/>
        <v>236.69655394641575</v>
      </c>
      <c r="AD2064" s="82">
        <f t="shared" si="100"/>
        <v>59.185714285714276</v>
      </c>
      <c r="AE2064" s="218">
        <v>-1.9895175082085794E-2</v>
      </c>
      <c r="AF2064">
        <v>17</v>
      </c>
      <c r="AH2064" t="str">
        <f t="shared" si="101"/>
        <v>Asarganj</v>
      </c>
      <c r="AJ2064" s="72">
        <v>0</v>
      </c>
      <c r="AK2064" s="72"/>
      <c r="AL2064" s="72"/>
      <c r="AM2064" s="72"/>
    </row>
    <row r="2065" spans="1:39" x14ac:dyDescent="0.25">
      <c r="A2065" s="37" t="s">
        <v>62</v>
      </c>
      <c r="B2065" s="66" t="s">
        <v>1654</v>
      </c>
      <c r="C2065" s="41">
        <v>1003</v>
      </c>
      <c r="D2065" s="41" t="s">
        <v>137</v>
      </c>
      <c r="E2065" s="41">
        <v>10030025</v>
      </c>
      <c r="F2065" s="85" t="s">
        <v>152</v>
      </c>
      <c r="G2065" s="39" t="s">
        <v>92</v>
      </c>
      <c r="H2065" s="52" t="s">
        <v>93</v>
      </c>
      <c r="I2065" s="52">
        <v>781.14999999999986</v>
      </c>
      <c r="J2065" s="49">
        <v>31326.61</v>
      </c>
      <c r="K2065" s="58">
        <v>788.25</v>
      </c>
      <c r="L2065" s="58">
        <v>31576.28</v>
      </c>
      <c r="M2065" s="58">
        <v>8.76</v>
      </c>
      <c r="N2065" s="58">
        <v>350.83000000000004</v>
      </c>
      <c r="O2065" s="58">
        <v>797.01</v>
      </c>
      <c r="P2065" s="53">
        <v>31927.11</v>
      </c>
      <c r="Q2065" s="65">
        <v>31326.61</v>
      </c>
      <c r="R2065" s="65">
        <v>0</v>
      </c>
      <c r="S2065" s="65">
        <v>350.83000000000004</v>
      </c>
      <c r="T2065" s="65">
        <v>600.5</v>
      </c>
      <c r="U2065" s="58">
        <v>0</v>
      </c>
      <c r="V2065" s="65">
        <v>0</v>
      </c>
      <c r="W2065" s="65">
        <v>0</v>
      </c>
      <c r="X2065" s="65">
        <v>30976</v>
      </c>
      <c r="Y2065" s="65">
        <v>0</v>
      </c>
      <c r="Z2065" s="51">
        <v>0</v>
      </c>
      <c r="AA2065" s="51">
        <v>0</v>
      </c>
      <c r="AB2065" s="102">
        <v>0</v>
      </c>
      <c r="AC2065" s="81">
        <f t="shared" si="99"/>
        <v>0</v>
      </c>
      <c r="AD2065" s="82">
        <f t="shared" si="100"/>
        <v>0</v>
      </c>
      <c r="AE2065" s="218">
        <v>-1.9169006796458346E-2</v>
      </c>
      <c r="AF2065">
        <v>7</v>
      </c>
      <c r="AH2065" t="str">
        <f t="shared" si="101"/>
        <v>Asarganj</v>
      </c>
      <c r="AJ2065" s="72">
        <v>0</v>
      </c>
      <c r="AK2065" s="72"/>
      <c r="AL2065" s="72"/>
      <c r="AM2065" s="72"/>
    </row>
    <row r="2066" spans="1:39" x14ac:dyDescent="0.25">
      <c r="A2066" s="37" t="s">
        <v>62</v>
      </c>
      <c r="B2066" s="66" t="s">
        <v>1654</v>
      </c>
      <c r="C2066" s="41">
        <v>1003</v>
      </c>
      <c r="D2066" s="41" t="s">
        <v>137</v>
      </c>
      <c r="E2066" s="41">
        <v>10030026</v>
      </c>
      <c r="F2066" s="85" t="s">
        <v>153</v>
      </c>
      <c r="G2066" s="39" t="s">
        <v>92</v>
      </c>
      <c r="H2066" s="52" t="s">
        <v>93</v>
      </c>
      <c r="I2066" s="52">
        <v>1269.95</v>
      </c>
      <c r="J2066" s="49">
        <v>52119.66</v>
      </c>
      <c r="K2066" s="58">
        <v>1281.4199999999996</v>
      </c>
      <c r="L2066" s="58">
        <v>52096.279999999992</v>
      </c>
      <c r="M2066" s="58">
        <v>2.8200000000000003</v>
      </c>
      <c r="N2066" s="58">
        <v>230.26</v>
      </c>
      <c r="O2066" s="58">
        <v>1284.2399999999996</v>
      </c>
      <c r="P2066" s="53">
        <v>52326.539999999994</v>
      </c>
      <c r="Q2066" s="65">
        <v>52119.66</v>
      </c>
      <c r="R2066" s="65">
        <v>0</v>
      </c>
      <c r="S2066" s="65">
        <v>230.26</v>
      </c>
      <c r="T2066" s="65">
        <v>206.8799999999901</v>
      </c>
      <c r="U2066" s="58">
        <v>0</v>
      </c>
      <c r="V2066" s="65">
        <v>0</v>
      </c>
      <c r="W2066" s="65">
        <v>0</v>
      </c>
      <c r="X2066" s="65">
        <v>51889</v>
      </c>
      <c r="Y2066" s="65">
        <v>0</v>
      </c>
      <c r="Z2066" s="51">
        <v>0</v>
      </c>
      <c r="AA2066" s="51">
        <v>0</v>
      </c>
      <c r="AB2066" s="102">
        <v>0</v>
      </c>
      <c r="AC2066" s="81">
        <f t="shared" si="99"/>
        <v>0</v>
      </c>
      <c r="AD2066" s="82">
        <f t="shared" si="100"/>
        <v>0</v>
      </c>
      <c r="AE2066" s="218">
        <v>-3.9693275052060982E-3</v>
      </c>
      <c r="AF2066">
        <v>46</v>
      </c>
      <c r="AH2066" t="str">
        <f t="shared" si="101"/>
        <v>Asarganj</v>
      </c>
      <c r="AJ2066" s="72">
        <v>0</v>
      </c>
      <c r="AK2066" s="72"/>
      <c r="AL2066" s="72"/>
      <c r="AM2066" s="72"/>
    </row>
    <row r="2067" spans="1:39" x14ac:dyDescent="0.25">
      <c r="A2067" s="37" t="s">
        <v>62</v>
      </c>
      <c r="B2067" s="66" t="s">
        <v>1654</v>
      </c>
      <c r="C2067" s="41">
        <v>1003</v>
      </c>
      <c r="D2067" s="41" t="s">
        <v>137</v>
      </c>
      <c r="E2067" s="41">
        <v>10030027</v>
      </c>
      <c r="F2067" s="85" t="s">
        <v>154</v>
      </c>
      <c r="G2067" s="39" t="s">
        <v>92</v>
      </c>
      <c r="H2067" s="52" t="s">
        <v>93</v>
      </c>
      <c r="I2067" s="52">
        <v>1040.8499999999999</v>
      </c>
      <c r="J2067" s="49">
        <v>40753.650000000009</v>
      </c>
      <c r="K2067" s="58">
        <v>1000.3000000000001</v>
      </c>
      <c r="L2067" s="58">
        <v>39874.719999999994</v>
      </c>
      <c r="M2067" s="58">
        <v>28.400000000000002</v>
      </c>
      <c r="N2067" s="58">
        <v>1161.8499999999999</v>
      </c>
      <c r="O2067" s="58">
        <v>1028.7</v>
      </c>
      <c r="P2067" s="53">
        <v>41036.569999999992</v>
      </c>
      <c r="Q2067" s="65">
        <v>40753.650000000009</v>
      </c>
      <c r="R2067" s="65">
        <v>0</v>
      </c>
      <c r="S2067" s="65">
        <v>1161.8499999999999</v>
      </c>
      <c r="T2067" s="65">
        <v>282.9199999999837</v>
      </c>
      <c r="U2067" s="58">
        <v>0</v>
      </c>
      <c r="V2067" s="65">
        <v>0</v>
      </c>
      <c r="W2067" s="65">
        <v>0</v>
      </c>
      <c r="X2067" s="65">
        <v>39592</v>
      </c>
      <c r="Y2067" s="65">
        <v>0</v>
      </c>
      <c r="Z2067" s="51">
        <v>0</v>
      </c>
      <c r="AA2067" s="51">
        <v>0</v>
      </c>
      <c r="AB2067" s="102" t="s">
        <v>66</v>
      </c>
      <c r="AC2067" s="81">
        <f t="shared" si="99"/>
        <v>0</v>
      </c>
      <c r="AD2067" s="82">
        <f t="shared" si="100"/>
        <v>0</v>
      </c>
      <c r="AE2067" s="218">
        <v>-6.942200269177942E-3</v>
      </c>
      <c r="AF2067">
        <v>47</v>
      </c>
      <c r="AH2067" t="str">
        <f t="shared" si="101"/>
        <v>Asarganj</v>
      </c>
      <c r="AJ2067" s="72">
        <v>0</v>
      </c>
      <c r="AK2067" s="72"/>
      <c r="AL2067" s="72"/>
      <c r="AM2067" s="72"/>
    </row>
    <row r="2068" spans="1:39" x14ac:dyDescent="0.25">
      <c r="A2068" s="37" t="s">
        <v>62</v>
      </c>
      <c r="B2068" s="66" t="s">
        <v>1654</v>
      </c>
      <c r="C2068" s="41">
        <v>1003</v>
      </c>
      <c r="D2068" s="41" t="s">
        <v>137</v>
      </c>
      <c r="E2068" s="41">
        <v>10030028</v>
      </c>
      <c r="F2068" s="85" t="s">
        <v>155</v>
      </c>
      <c r="G2068" s="39" t="s">
        <v>92</v>
      </c>
      <c r="H2068" s="52" t="s">
        <v>93</v>
      </c>
      <c r="I2068" s="52">
        <v>1153.7499999999998</v>
      </c>
      <c r="J2068" s="49">
        <v>49445.799999999996</v>
      </c>
      <c r="K2068" s="58">
        <v>1148.2999999999997</v>
      </c>
      <c r="L2068" s="58">
        <v>49603.189999999995</v>
      </c>
      <c r="M2068" s="58">
        <v>22</v>
      </c>
      <c r="N2068" s="58">
        <v>884.84999999999968</v>
      </c>
      <c r="O2068" s="58">
        <v>1170.2999999999997</v>
      </c>
      <c r="P2068" s="53">
        <v>50488.039999999994</v>
      </c>
      <c r="Q2068" s="65">
        <v>49445.799999999996</v>
      </c>
      <c r="R2068" s="65">
        <v>0</v>
      </c>
      <c r="S2068" s="65">
        <v>884.84999999999968</v>
      </c>
      <c r="T2068" s="65">
        <v>1042.239999999998</v>
      </c>
      <c r="U2068" s="58">
        <v>0</v>
      </c>
      <c r="V2068" s="65">
        <v>0</v>
      </c>
      <c r="W2068" s="65">
        <v>0</v>
      </c>
      <c r="X2068" s="65">
        <v>48561</v>
      </c>
      <c r="Y2068" s="65">
        <v>0</v>
      </c>
      <c r="Z2068" s="51">
        <v>0</v>
      </c>
      <c r="AA2068" s="51">
        <v>0</v>
      </c>
      <c r="AB2068" s="102">
        <v>0</v>
      </c>
      <c r="AC2068" s="81">
        <f t="shared" si="99"/>
        <v>0</v>
      </c>
      <c r="AD2068" s="82">
        <f t="shared" si="100"/>
        <v>0</v>
      </c>
      <c r="AE2068" s="218">
        <v>-2.1078433355310219E-2</v>
      </c>
      <c r="AF2068">
        <v>46</v>
      </c>
      <c r="AH2068" t="str">
        <f t="shared" si="101"/>
        <v>Asarganj</v>
      </c>
      <c r="AJ2068" s="72">
        <v>0</v>
      </c>
      <c r="AK2068" s="72"/>
      <c r="AL2068" s="72"/>
      <c r="AM2068" s="72"/>
    </row>
    <row r="2069" spans="1:39" x14ac:dyDescent="0.25">
      <c r="A2069" s="37" t="s">
        <v>62</v>
      </c>
      <c r="B2069" s="66" t="s">
        <v>1654</v>
      </c>
      <c r="C2069" s="41">
        <v>1003</v>
      </c>
      <c r="D2069" s="41" t="s">
        <v>137</v>
      </c>
      <c r="E2069" s="41">
        <v>10030030</v>
      </c>
      <c r="F2069" s="85" t="s">
        <v>1612</v>
      </c>
      <c r="G2069" s="39" t="s">
        <v>92</v>
      </c>
      <c r="H2069" s="52" t="s">
        <v>93</v>
      </c>
      <c r="I2069" s="52">
        <v>120.75</v>
      </c>
      <c r="J2069" s="49">
        <v>5869.8899999999994</v>
      </c>
      <c r="K2069" s="58">
        <v>103.5</v>
      </c>
      <c r="L2069" s="58">
        <v>4976.3200000000006</v>
      </c>
      <c r="M2069" s="58">
        <v>0</v>
      </c>
      <c r="N2069" s="58">
        <v>0</v>
      </c>
      <c r="O2069" s="58">
        <v>103.5</v>
      </c>
      <c r="P2069" s="53">
        <v>4976.3200000000006</v>
      </c>
      <c r="Q2069" s="65">
        <v>4976.3200000000006</v>
      </c>
      <c r="R2069" s="65">
        <v>0</v>
      </c>
      <c r="S2069" s="65">
        <v>0</v>
      </c>
      <c r="T2069" s="65">
        <v>0</v>
      </c>
      <c r="U2069" s="58">
        <v>0</v>
      </c>
      <c r="V2069" s="65">
        <v>0</v>
      </c>
      <c r="W2069" s="65">
        <v>0</v>
      </c>
      <c r="X2069" s="65">
        <v>4976</v>
      </c>
      <c r="Y2069" s="65">
        <v>0</v>
      </c>
      <c r="Z2069" s="51">
        <v>0</v>
      </c>
      <c r="AA2069" s="51">
        <v>894</v>
      </c>
      <c r="AB2069" s="102">
        <v>0</v>
      </c>
      <c r="AC2069" s="81">
        <f t="shared" si="99"/>
        <v>563.16915652173907</v>
      </c>
      <c r="AD2069" s="82">
        <f t="shared" si="100"/>
        <v>17.25</v>
      </c>
      <c r="AE2069" s="218">
        <v>0.15222942849014187</v>
      </c>
      <c r="AF2069">
        <v>1</v>
      </c>
      <c r="AH2069" t="str">
        <f t="shared" si="101"/>
        <v>Asarganj</v>
      </c>
      <c r="AJ2069" s="72">
        <v>0</v>
      </c>
      <c r="AK2069" s="72"/>
      <c r="AL2069" s="72"/>
      <c r="AM2069" s="72"/>
    </row>
    <row r="2070" spans="1:39" x14ac:dyDescent="0.25">
      <c r="A2070" s="37" t="s">
        <v>62</v>
      </c>
      <c r="B2070" s="66" t="s">
        <v>1654</v>
      </c>
      <c r="C2070" s="41">
        <v>1003</v>
      </c>
      <c r="D2070" s="41" t="s">
        <v>137</v>
      </c>
      <c r="E2070" s="41">
        <v>10030031</v>
      </c>
      <c r="F2070" s="85" t="s">
        <v>156</v>
      </c>
      <c r="G2070" s="39" t="s">
        <v>92</v>
      </c>
      <c r="H2070" s="52" t="s">
        <v>93</v>
      </c>
      <c r="I2070" s="52">
        <v>832.74999999999989</v>
      </c>
      <c r="J2070" s="49">
        <v>31607.940000000006</v>
      </c>
      <c r="K2070" s="58">
        <v>814.01</v>
      </c>
      <c r="L2070" s="58">
        <v>31610.38</v>
      </c>
      <c r="M2070" s="58">
        <v>0</v>
      </c>
      <c r="N2070" s="58">
        <v>0</v>
      </c>
      <c r="O2070" s="58">
        <v>814.01</v>
      </c>
      <c r="P2070" s="53">
        <v>31610.38</v>
      </c>
      <c r="Q2070" s="65">
        <v>31607.940000000006</v>
      </c>
      <c r="R2070" s="65">
        <v>0</v>
      </c>
      <c r="S2070" s="65">
        <v>0</v>
      </c>
      <c r="T2070" s="65">
        <v>2.4399999999950523</v>
      </c>
      <c r="U2070" s="58">
        <v>0</v>
      </c>
      <c r="V2070" s="65">
        <v>0</v>
      </c>
      <c r="W2070" s="65">
        <v>0</v>
      </c>
      <c r="X2070" s="65">
        <v>31608</v>
      </c>
      <c r="Y2070" s="65">
        <v>0</v>
      </c>
      <c r="Z2070" s="51">
        <v>0</v>
      </c>
      <c r="AA2070" s="51">
        <v>0</v>
      </c>
      <c r="AB2070" s="102">
        <v>0</v>
      </c>
      <c r="AC2070" s="81">
        <f t="shared" si="99"/>
        <v>0</v>
      </c>
      <c r="AD2070" s="82">
        <f t="shared" si="100"/>
        <v>0</v>
      </c>
      <c r="AE2070" s="218">
        <v>-7.719579320876501E-5</v>
      </c>
      <c r="AF2070">
        <v>23</v>
      </c>
      <c r="AH2070" t="str">
        <f t="shared" si="101"/>
        <v>Asarganj</v>
      </c>
      <c r="AJ2070" s="72">
        <v>0</v>
      </c>
      <c r="AK2070" s="72"/>
      <c r="AL2070" s="72"/>
      <c r="AM2070" s="72"/>
    </row>
    <row r="2071" spans="1:39" x14ac:dyDescent="0.25">
      <c r="A2071" s="37" t="s">
        <v>62</v>
      </c>
      <c r="B2071" s="66" t="s">
        <v>1654</v>
      </c>
      <c r="C2071" s="41">
        <v>1003</v>
      </c>
      <c r="D2071" s="41" t="s">
        <v>137</v>
      </c>
      <c r="E2071" s="41">
        <v>10030032</v>
      </c>
      <c r="F2071" s="85" t="s">
        <v>157</v>
      </c>
      <c r="G2071" s="39" t="s">
        <v>92</v>
      </c>
      <c r="H2071" s="52" t="s">
        <v>93</v>
      </c>
      <c r="I2071" s="52">
        <v>1228.6000000000001</v>
      </c>
      <c r="J2071" s="49">
        <v>45649.77</v>
      </c>
      <c r="K2071" s="58">
        <v>1269.8</v>
      </c>
      <c r="L2071" s="58">
        <v>46368.42</v>
      </c>
      <c r="M2071" s="58">
        <v>3.4</v>
      </c>
      <c r="N2071" s="58">
        <v>92.92</v>
      </c>
      <c r="O2071" s="58">
        <v>1273.2</v>
      </c>
      <c r="P2071" s="53">
        <v>46461.34</v>
      </c>
      <c r="Q2071" s="65">
        <v>45649.77</v>
      </c>
      <c r="R2071" s="65">
        <v>0</v>
      </c>
      <c r="S2071" s="65">
        <v>92.92</v>
      </c>
      <c r="T2071" s="65">
        <v>811.56999999999971</v>
      </c>
      <c r="U2071" s="58">
        <v>0</v>
      </c>
      <c r="V2071" s="65">
        <v>0</v>
      </c>
      <c r="W2071" s="65">
        <v>0</v>
      </c>
      <c r="X2071" s="65">
        <v>45557</v>
      </c>
      <c r="Y2071" s="65">
        <v>0</v>
      </c>
      <c r="Z2071" s="51">
        <v>0</v>
      </c>
      <c r="AA2071" s="51">
        <v>0</v>
      </c>
      <c r="AB2071" s="102">
        <v>0</v>
      </c>
      <c r="AC2071" s="81">
        <f t="shared" si="99"/>
        <v>0</v>
      </c>
      <c r="AD2071" s="82">
        <f t="shared" si="100"/>
        <v>0</v>
      </c>
      <c r="AE2071" s="218">
        <v>-1.7778183767409996E-2</v>
      </c>
      <c r="AF2071">
        <v>17</v>
      </c>
      <c r="AH2071" t="str">
        <f t="shared" si="101"/>
        <v>Asarganj</v>
      </c>
      <c r="AJ2071" s="72">
        <v>0</v>
      </c>
      <c r="AK2071" s="72"/>
      <c r="AL2071" s="72"/>
      <c r="AM2071" s="72"/>
    </row>
    <row r="2072" spans="1:39" x14ac:dyDescent="0.25">
      <c r="A2072" s="37" t="s">
        <v>62</v>
      </c>
      <c r="B2072" s="66" t="s">
        <v>1654</v>
      </c>
      <c r="C2072" s="41">
        <v>1003</v>
      </c>
      <c r="D2072" s="41" t="s">
        <v>137</v>
      </c>
      <c r="E2072" s="41">
        <v>10030034</v>
      </c>
      <c r="F2072" s="85" t="s">
        <v>158</v>
      </c>
      <c r="G2072" s="39" t="s">
        <v>92</v>
      </c>
      <c r="H2072" s="52" t="s">
        <v>93</v>
      </c>
      <c r="I2072" s="52">
        <v>1252.8500000000001</v>
      </c>
      <c r="J2072" s="49">
        <v>54611.91</v>
      </c>
      <c r="K2072" s="58">
        <v>1262.9500000000003</v>
      </c>
      <c r="L2072" s="58">
        <v>53600.160000000003</v>
      </c>
      <c r="M2072" s="58">
        <v>0</v>
      </c>
      <c r="N2072" s="58">
        <v>0</v>
      </c>
      <c r="O2072" s="58">
        <v>1262.9500000000003</v>
      </c>
      <c r="P2072" s="53">
        <v>53600.160000000003</v>
      </c>
      <c r="Q2072" s="65">
        <v>53600.160000000003</v>
      </c>
      <c r="R2072" s="65">
        <v>0</v>
      </c>
      <c r="S2072" s="65">
        <v>0</v>
      </c>
      <c r="T2072" s="65">
        <v>0</v>
      </c>
      <c r="U2072" s="58">
        <v>0</v>
      </c>
      <c r="V2072" s="65">
        <v>0</v>
      </c>
      <c r="W2072" s="65">
        <v>0</v>
      </c>
      <c r="X2072" s="65">
        <v>53600</v>
      </c>
      <c r="Y2072" s="65">
        <v>0</v>
      </c>
      <c r="Z2072" s="51">
        <v>0</v>
      </c>
      <c r="AA2072" s="51">
        <v>1012</v>
      </c>
      <c r="AB2072" s="102">
        <v>0</v>
      </c>
      <c r="AC2072" s="81">
        <f t="shared" si="99"/>
        <v>0</v>
      </c>
      <c r="AD2072" s="82">
        <f t="shared" si="100"/>
        <v>0</v>
      </c>
      <c r="AE2072" s="218">
        <v>1.8526178630265816E-2</v>
      </c>
      <c r="AF2072">
        <v>36</v>
      </c>
      <c r="AH2072" t="str">
        <f t="shared" si="101"/>
        <v>Asarganj</v>
      </c>
      <c r="AJ2072" s="72">
        <v>0</v>
      </c>
      <c r="AK2072" s="72"/>
      <c r="AL2072" s="72"/>
      <c r="AM2072" s="72"/>
    </row>
    <row r="2073" spans="1:39" x14ac:dyDescent="0.25">
      <c r="A2073" s="37" t="s">
        <v>62</v>
      </c>
      <c r="B2073" s="66" t="s">
        <v>1654</v>
      </c>
      <c r="C2073" s="41">
        <v>1003</v>
      </c>
      <c r="D2073" s="41" t="s">
        <v>137</v>
      </c>
      <c r="E2073" s="41">
        <v>10030035</v>
      </c>
      <c r="F2073" s="85" t="s">
        <v>159</v>
      </c>
      <c r="G2073" s="39" t="s">
        <v>92</v>
      </c>
      <c r="H2073" s="52" t="s">
        <v>93</v>
      </c>
      <c r="I2073" s="52">
        <v>733.25</v>
      </c>
      <c r="J2073" s="49">
        <v>30872.15</v>
      </c>
      <c r="K2073" s="58">
        <v>729.36999999999989</v>
      </c>
      <c r="L2073" s="58">
        <v>30835.039999999997</v>
      </c>
      <c r="M2073" s="58">
        <v>3.42</v>
      </c>
      <c r="N2073" s="58">
        <v>147.18</v>
      </c>
      <c r="O2073" s="58">
        <v>732.78999999999985</v>
      </c>
      <c r="P2073" s="53">
        <v>30982.219999999998</v>
      </c>
      <c r="Q2073" s="65">
        <v>30872.15</v>
      </c>
      <c r="R2073" s="65">
        <v>0</v>
      </c>
      <c r="S2073" s="65">
        <v>147.18</v>
      </c>
      <c r="T2073" s="65">
        <v>110.06999999999607</v>
      </c>
      <c r="U2073" s="58">
        <v>0</v>
      </c>
      <c r="V2073" s="65">
        <v>0</v>
      </c>
      <c r="W2073" s="65">
        <v>0</v>
      </c>
      <c r="X2073" s="65">
        <v>30725</v>
      </c>
      <c r="Y2073" s="65">
        <v>0</v>
      </c>
      <c r="Z2073" s="51">
        <v>0</v>
      </c>
      <c r="AA2073" s="51">
        <v>0</v>
      </c>
      <c r="AB2073" s="102">
        <v>0</v>
      </c>
      <c r="AC2073" s="81">
        <f t="shared" si="99"/>
        <v>0</v>
      </c>
      <c r="AD2073" s="82">
        <f t="shared" si="100"/>
        <v>0</v>
      </c>
      <c r="AE2073" s="218">
        <v>-3.5653493520858143E-3</v>
      </c>
      <c r="AF2073">
        <v>8</v>
      </c>
      <c r="AH2073" t="str">
        <f t="shared" si="101"/>
        <v>Asarganj</v>
      </c>
      <c r="AJ2073" s="72">
        <v>0</v>
      </c>
      <c r="AK2073" s="72"/>
      <c r="AL2073" s="72"/>
      <c r="AM2073" s="72"/>
    </row>
    <row r="2074" spans="1:39" x14ac:dyDescent="0.25">
      <c r="A2074" s="37" t="s">
        <v>62</v>
      </c>
      <c r="B2074" s="66" t="s">
        <v>1654</v>
      </c>
      <c r="C2074" s="41">
        <v>1003</v>
      </c>
      <c r="D2074" s="41" t="s">
        <v>137</v>
      </c>
      <c r="E2074" s="41">
        <v>10030037</v>
      </c>
      <c r="F2074" s="85" t="s">
        <v>160</v>
      </c>
      <c r="G2074" s="39" t="s">
        <v>92</v>
      </c>
      <c r="H2074" s="52" t="s">
        <v>93</v>
      </c>
      <c r="I2074" s="52">
        <v>1552.05</v>
      </c>
      <c r="J2074" s="49">
        <v>59144.13</v>
      </c>
      <c r="K2074" s="58">
        <v>1559.55</v>
      </c>
      <c r="L2074" s="58">
        <v>60422.469999999987</v>
      </c>
      <c r="M2074" s="58">
        <v>20.689999999999998</v>
      </c>
      <c r="N2074" s="58">
        <v>812.35000000000014</v>
      </c>
      <c r="O2074" s="58">
        <v>1580.24</v>
      </c>
      <c r="P2074" s="53">
        <v>61234.819999999985</v>
      </c>
      <c r="Q2074" s="65">
        <v>59144.13</v>
      </c>
      <c r="R2074" s="65">
        <v>0</v>
      </c>
      <c r="S2074" s="65">
        <v>812.35000000000014</v>
      </c>
      <c r="T2074" s="65">
        <v>2090.6899999999878</v>
      </c>
      <c r="U2074" s="58">
        <v>0</v>
      </c>
      <c r="V2074" s="65">
        <v>0</v>
      </c>
      <c r="W2074" s="65">
        <v>0</v>
      </c>
      <c r="X2074" s="65">
        <v>58332</v>
      </c>
      <c r="Y2074" s="65">
        <v>0</v>
      </c>
      <c r="Z2074" s="51">
        <v>0</v>
      </c>
      <c r="AA2074" s="51">
        <v>0</v>
      </c>
      <c r="AB2074" s="102">
        <v>0</v>
      </c>
      <c r="AC2074" s="81">
        <f t="shared" si="99"/>
        <v>0</v>
      </c>
      <c r="AD2074" s="82">
        <f t="shared" si="100"/>
        <v>0</v>
      </c>
      <c r="AE2074" s="218">
        <v>-3.5349070144408037E-2</v>
      </c>
      <c r="AF2074">
        <v>16</v>
      </c>
      <c r="AH2074" t="str">
        <f t="shared" si="101"/>
        <v>Asarganj</v>
      </c>
      <c r="AJ2074" s="72">
        <v>0</v>
      </c>
      <c r="AK2074" s="72"/>
      <c r="AL2074" s="72"/>
      <c r="AM2074" s="72"/>
    </row>
    <row r="2075" spans="1:39" x14ac:dyDescent="0.25">
      <c r="A2075" s="37" t="s">
        <v>62</v>
      </c>
      <c r="B2075" s="66" t="s">
        <v>1654</v>
      </c>
      <c r="C2075" s="41">
        <v>1003</v>
      </c>
      <c r="D2075" s="41" t="s">
        <v>137</v>
      </c>
      <c r="E2075" s="41">
        <v>10030038</v>
      </c>
      <c r="F2075" s="85" t="s">
        <v>161</v>
      </c>
      <c r="G2075" s="39" t="s">
        <v>92</v>
      </c>
      <c r="H2075" s="52" t="s">
        <v>93</v>
      </c>
      <c r="I2075" s="52">
        <v>748.4</v>
      </c>
      <c r="J2075" s="49">
        <v>32072.59</v>
      </c>
      <c r="K2075" s="58">
        <v>661.12999999999977</v>
      </c>
      <c r="L2075" s="58">
        <v>32237.08</v>
      </c>
      <c r="M2075" s="58">
        <v>0</v>
      </c>
      <c r="N2075" s="58">
        <v>0</v>
      </c>
      <c r="O2075" s="58">
        <v>661.12999999999977</v>
      </c>
      <c r="P2075" s="53">
        <v>32237.08</v>
      </c>
      <c r="Q2075" s="65">
        <v>32072.59</v>
      </c>
      <c r="R2075" s="65">
        <v>0</v>
      </c>
      <c r="S2075" s="65">
        <v>0</v>
      </c>
      <c r="T2075" s="65">
        <v>164.4900000000016</v>
      </c>
      <c r="U2075" s="58">
        <v>0</v>
      </c>
      <c r="V2075" s="65">
        <v>0</v>
      </c>
      <c r="W2075" s="65">
        <v>0</v>
      </c>
      <c r="X2075" s="65">
        <v>32073</v>
      </c>
      <c r="Y2075" s="65">
        <v>0</v>
      </c>
      <c r="Z2075" s="51">
        <v>0</v>
      </c>
      <c r="AA2075" s="51">
        <v>0</v>
      </c>
      <c r="AB2075" s="102">
        <v>0</v>
      </c>
      <c r="AC2075" s="81">
        <f t="shared" si="99"/>
        <v>0</v>
      </c>
      <c r="AD2075" s="82">
        <f t="shared" si="100"/>
        <v>0</v>
      </c>
      <c r="AE2075" s="218">
        <v>-5.128678413561287E-3</v>
      </c>
      <c r="AF2075">
        <v>22</v>
      </c>
      <c r="AH2075" t="str">
        <f t="shared" si="101"/>
        <v>Asarganj</v>
      </c>
      <c r="AJ2075" s="72">
        <v>0</v>
      </c>
      <c r="AK2075" s="72"/>
      <c r="AL2075" s="72"/>
      <c r="AM2075" s="72"/>
    </row>
    <row r="2076" spans="1:39" x14ac:dyDescent="0.25">
      <c r="A2076" s="37" t="s">
        <v>62</v>
      </c>
      <c r="B2076" s="66" t="s">
        <v>1654</v>
      </c>
      <c r="C2076" s="41">
        <v>1003</v>
      </c>
      <c r="D2076" s="41" t="s">
        <v>137</v>
      </c>
      <c r="E2076" s="41">
        <v>10030040</v>
      </c>
      <c r="F2076" s="85" t="s">
        <v>162</v>
      </c>
      <c r="G2076" s="39" t="s">
        <v>1610</v>
      </c>
      <c r="H2076" s="52" t="s">
        <v>98</v>
      </c>
      <c r="I2076" s="52">
        <v>348.6</v>
      </c>
      <c r="J2076" s="49">
        <v>15540.58</v>
      </c>
      <c r="K2076" s="58">
        <v>0</v>
      </c>
      <c r="L2076" s="58">
        <v>0</v>
      </c>
      <c r="M2076" s="58">
        <v>0</v>
      </c>
      <c r="N2076" s="58">
        <v>0</v>
      </c>
      <c r="O2076" s="58">
        <v>0</v>
      </c>
      <c r="P2076" s="53">
        <v>0</v>
      </c>
      <c r="Q2076" s="65">
        <v>15540.58</v>
      </c>
      <c r="R2076" s="65">
        <v>0</v>
      </c>
      <c r="S2076" s="65">
        <v>0</v>
      </c>
      <c r="T2076" s="65">
        <v>0</v>
      </c>
      <c r="U2076" s="58">
        <v>0</v>
      </c>
      <c r="V2076" s="65">
        <v>0</v>
      </c>
      <c r="W2076" s="65">
        <v>0</v>
      </c>
      <c r="X2076" s="65">
        <v>0</v>
      </c>
      <c r="Y2076" s="65">
        <v>0</v>
      </c>
      <c r="Z2076" s="51">
        <v>15540.58</v>
      </c>
      <c r="AA2076" s="51">
        <v>0</v>
      </c>
      <c r="AB2076" s="102">
        <v>0</v>
      </c>
      <c r="AC2076" s="81">
        <f t="shared" si="99"/>
        <v>313.30807871485939</v>
      </c>
      <c r="AD2076" s="82">
        <f t="shared" si="100"/>
        <v>49.800000000000004</v>
      </c>
      <c r="AE2076" s="218">
        <v>0</v>
      </c>
      <c r="AF2076">
        <v>0</v>
      </c>
      <c r="AH2076" t="str">
        <f t="shared" si="101"/>
        <v>Asarganj</v>
      </c>
      <c r="AJ2076" s="72">
        <v>0</v>
      </c>
      <c r="AK2076" s="72"/>
      <c r="AL2076" s="72"/>
      <c r="AM2076" s="72"/>
    </row>
    <row r="2077" spans="1:39" x14ac:dyDescent="0.25">
      <c r="A2077" s="37" t="s">
        <v>62</v>
      </c>
      <c r="B2077" s="66" t="s">
        <v>1654</v>
      </c>
      <c r="C2077" s="41">
        <v>1003</v>
      </c>
      <c r="D2077" s="41" t="s">
        <v>137</v>
      </c>
      <c r="E2077" s="41">
        <v>10030041</v>
      </c>
      <c r="F2077" s="85" t="s">
        <v>163</v>
      </c>
      <c r="G2077" s="39" t="s">
        <v>1610</v>
      </c>
      <c r="H2077" s="52" t="s">
        <v>98</v>
      </c>
      <c r="I2077" s="52">
        <v>1178.4000000000001</v>
      </c>
      <c r="J2077" s="49">
        <v>47613.349999999991</v>
      </c>
      <c r="K2077" s="58">
        <v>0</v>
      </c>
      <c r="L2077" s="58">
        <v>0</v>
      </c>
      <c r="M2077" s="58">
        <v>0</v>
      </c>
      <c r="N2077" s="58">
        <v>0</v>
      </c>
      <c r="O2077" s="58">
        <v>0</v>
      </c>
      <c r="P2077" s="53">
        <v>0</v>
      </c>
      <c r="Q2077" s="65">
        <v>47613.349999999991</v>
      </c>
      <c r="R2077" s="65">
        <v>0</v>
      </c>
      <c r="S2077" s="65">
        <v>0</v>
      </c>
      <c r="T2077" s="65">
        <v>0</v>
      </c>
      <c r="U2077" s="58">
        <v>0</v>
      </c>
      <c r="V2077" s="65">
        <v>0</v>
      </c>
      <c r="W2077" s="65">
        <v>0</v>
      </c>
      <c r="X2077" s="65">
        <v>0</v>
      </c>
      <c r="Y2077" s="65">
        <v>0</v>
      </c>
      <c r="Z2077" s="51">
        <v>47613.349999999991</v>
      </c>
      <c r="AA2077" s="51">
        <v>0</v>
      </c>
      <c r="AB2077" s="102">
        <v>0</v>
      </c>
      <c r="AC2077" s="81">
        <f t="shared" si="99"/>
        <v>0</v>
      </c>
      <c r="AD2077" s="82">
        <f t="shared" si="100"/>
        <v>0</v>
      </c>
      <c r="AE2077" s="218">
        <v>0</v>
      </c>
      <c r="AF2077">
        <v>0</v>
      </c>
      <c r="AH2077" t="str">
        <f t="shared" si="101"/>
        <v>Asarganj</v>
      </c>
      <c r="AJ2077" s="72">
        <v>0</v>
      </c>
      <c r="AK2077" s="72"/>
      <c r="AL2077" s="72"/>
      <c r="AM2077" s="72"/>
    </row>
    <row r="2078" spans="1:39" x14ac:dyDescent="0.25">
      <c r="A2078" s="37" t="s">
        <v>62</v>
      </c>
      <c r="B2078" s="66" t="s">
        <v>1654</v>
      </c>
      <c r="C2078" s="41">
        <v>1003</v>
      </c>
      <c r="D2078" s="41" t="s">
        <v>137</v>
      </c>
      <c r="E2078" s="41">
        <v>10030042</v>
      </c>
      <c r="F2078" s="85" t="s">
        <v>164</v>
      </c>
      <c r="G2078" s="39" t="s">
        <v>1610</v>
      </c>
      <c r="H2078" s="52" t="s">
        <v>98</v>
      </c>
      <c r="I2078" s="52">
        <v>741.90000000000009</v>
      </c>
      <c r="J2078" s="49">
        <v>31225.510000000002</v>
      </c>
      <c r="K2078" s="58">
        <v>0</v>
      </c>
      <c r="L2078" s="58">
        <v>0</v>
      </c>
      <c r="M2078" s="58">
        <v>0</v>
      </c>
      <c r="N2078" s="58">
        <v>0</v>
      </c>
      <c r="O2078" s="58">
        <v>0</v>
      </c>
      <c r="P2078" s="53">
        <v>0</v>
      </c>
      <c r="Q2078" s="65">
        <v>31225.510000000002</v>
      </c>
      <c r="R2078" s="65">
        <v>0</v>
      </c>
      <c r="S2078" s="65">
        <v>0</v>
      </c>
      <c r="T2078" s="65">
        <v>0</v>
      </c>
      <c r="U2078" s="58">
        <v>0</v>
      </c>
      <c r="V2078" s="65">
        <v>0</v>
      </c>
      <c r="W2078" s="65">
        <v>0</v>
      </c>
      <c r="X2078" s="65">
        <v>0</v>
      </c>
      <c r="Y2078" s="65">
        <v>0</v>
      </c>
      <c r="Z2078" s="51">
        <v>31225.510000000002</v>
      </c>
      <c r="AA2078" s="51">
        <v>0</v>
      </c>
      <c r="AB2078" s="102">
        <v>0</v>
      </c>
      <c r="AC2078" s="81">
        <f t="shared" si="99"/>
        <v>0</v>
      </c>
      <c r="AD2078" s="82">
        <f t="shared" si="100"/>
        <v>0</v>
      </c>
      <c r="AE2078" s="218">
        <v>0</v>
      </c>
      <c r="AF2078">
        <v>0</v>
      </c>
      <c r="AH2078" t="str">
        <f t="shared" si="101"/>
        <v>Asarganj</v>
      </c>
      <c r="AJ2078" s="72">
        <v>0</v>
      </c>
      <c r="AK2078" s="72"/>
      <c r="AL2078" s="72"/>
      <c r="AM2078" s="72"/>
    </row>
    <row r="2079" spans="1:39" x14ac:dyDescent="0.25">
      <c r="A2079" s="37" t="s">
        <v>62</v>
      </c>
      <c r="B2079" s="66" t="s">
        <v>1654</v>
      </c>
      <c r="C2079" s="41">
        <v>1003</v>
      </c>
      <c r="D2079" s="41" t="s">
        <v>137</v>
      </c>
      <c r="E2079" s="41">
        <v>10030043</v>
      </c>
      <c r="F2079" s="85" t="s">
        <v>165</v>
      </c>
      <c r="G2079" s="39" t="s">
        <v>1610</v>
      </c>
      <c r="H2079" s="52" t="s">
        <v>98</v>
      </c>
      <c r="I2079" s="52">
        <v>9558.7999999999993</v>
      </c>
      <c r="J2079" s="49">
        <v>404444.38999999996</v>
      </c>
      <c r="K2079" s="58">
        <v>0</v>
      </c>
      <c r="L2079" s="58">
        <v>0</v>
      </c>
      <c r="M2079" s="58">
        <v>0</v>
      </c>
      <c r="N2079" s="58">
        <v>0</v>
      </c>
      <c r="O2079" s="58">
        <v>0</v>
      </c>
      <c r="P2079" s="53">
        <v>0</v>
      </c>
      <c r="Q2079" s="65">
        <v>404444.38999999996</v>
      </c>
      <c r="R2079" s="65">
        <v>0</v>
      </c>
      <c r="S2079" s="65">
        <v>0</v>
      </c>
      <c r="T2079" s="65">
        <v>0</v>
      </c>
      <c r="U2079" s="58">
        <v>0</v>
      </c>
      <c r="V2079" s="65">
        <v>0</v>
      </c>
      <c r="W2079" s="65">
        <v>0</v>
      </c>
      <c r="X2079" s="65">
        <v>0</v>
      </c>
      <c r="Y2079" s="65">
        <v>0</v>
      </c>
      <c r="Z2079" s="51">
        <v>404444.38999999996</v>
      </c>
      <c r="AA2079" s="51">
        <v>0</v>
      </c>
      <c r="AB2079" s="102">
        <v>0</v>
      </c>
      <c r="AC2079" s="81">
        <f t="shared" si="99"/>
        <v>0</v>
      </c>
      <c r="AD2079" s="82">
        <f t="shared" si="100"/>
        <v>0</v>
      </c>
      <c r="AE2079" s="218">
        <v>0</v>
      </c>
      <c r="AF2079">
        <v>0</v>
      </c>
      <c r="AH2079" t="str">
        <f t="shared" si="101"/>
        <v>Asarganj</v>
      </c>
      <c r="AJ2079" s="72">
        <v>0</v>
      </c>
      <c r="AK2079" s="72"/>
      <c r="AL2079" s="72"/>
      <c r="AM2079" s="72"/>
    </row>
    <row r="2080" spans="1:39" x14ac:dyDescent="0.25">
      <c r="A2080" s="37" t="s">
        <v>62</v>
      </c>
      <c r="B2080" s="66" t="s">
        <v>1654</v>
      </c>
      <c r="C2080" s="41">
        <v>1003</v>
      </c>
      <c r="D2080" s="41" t="s">
        <v>137</v>
      </c>
      <c r="E2080" s="41">
        <v>10030044</v>
      </c>
      <c r="F2080" s="85" t="s">
        <v>166</v>
      </c>
      <c r="G2080" s="39" t="s">
        <v>1610</v>
      </c>
      <c r="H2080" s="52" t="s">
        <v>98</v>
      </c>
      <c r="I2080" s="52">
        <v>9558.7999999999993</v>
      </c>
      <c r="J2080" s="49">
        <v>404444.38999999996</v>
      </c>
      <c r="K2080" s="58">
        <v>0</v>
      </c>
      <c r="L2080" s="58">
        <v>0</v>
      </c>
      <c r="M2080" s="58">
        <v>0</v>
      </c>
      <c r="N2080" s="58">
        <v>0</v>
      </c>
      <c r="O2080" s="58">
        <v>0</v>
      </c>
      <c r="P2080" s="53">
        <v>0</v>
      </c>
      <c r="Q2080" s="65">
        <v>404444.38999999996</v>
      </c>
      <c r="R2080" s="65">
        <v>0</v>
      </c>
      <c r="S2080" s="65">
        <v>0</v>
      </c>
      <c r="T2080" s="65">
        <v>0</v>
      </c>
      <c r="U2080" s="58">
        <v>0</v>
      </c>
      <c r="V2080" s="65">
        <v>0</v>
      </c>
      <c r="W2080" s="65">
        <v>0</v>
      </c>
      <c r="X2080" s="65">
        <v>0</v>
      </c>
      <c r="Y2080" s="65">
        <v>0</v>
      </c>
      <c r="Z2080" s="51">
        <v>404444.38999999996</v>
      </c>
      <c r="AA2080" s="51">
        <v>0</v>
      </c>
      <c r="AB2080" s="102">
        <v>0</v>
      </c>
      <c r="AC2080" s="81">
        <f t="shared" si="99"/>
        <v>0</v>
      </c>
      <c r="AD2080" s="82">
        <f t="shared" si="100"/>
        <v>0</v>
      </c>
      <c r="AE2080" s="218">
        <v>0</v>
      </c>
      <c r="AF2080">
        <v>0</v>
      </c>
      <c r="AH2080" t="str">
        <f t="shared" si="101"/>
        <v>Asarganj</v>
      </c>
      <c r="AJ2080" s="72">
        <v>0</v>
      </c>
      <c r="AK2080" s="72"/>
      <c r="AL2080" s="72"/>
      <c r="AM2080" s="72"/>
    </row>
    <row r="2081" spans="1:39" x14ac:dyDescent="0.25">
      <c r="A2081" s="37" t="s">
        <v>62</v>
      </c>
      <c r="B2081" s="66" t="s">
        <v>1654</v>
      </c>
      <c r="C2081" s="41">
        <v>1003</v>
      </c>
      <c r="D2081" s="41" t="s">
        <v>137</v>
      </c>
      <c r="E2081" s="41">
        <v>10030045</v>
      </c>
      <c r="F2081" s="85" t="s">
        <v>167</v>
      </c>
      <c r="G2081" s="39" t="s">
        <v>1610</v>
      </c>
      <c r="H2081" s="52" t="s">
        <v>98</v>
      </c>
      <c r="I2081" s="52">
        <v>1078.05</v>
      </c>
      <c r="J2081" s="49">
        <v>44321.919999999998</v>
      </c>
      <c r="K2081" s="58">
        <v>0</v>
      </c>
      <c r="L2081" s="58">
        <v>0</v>
      </c>
      <c r="M2081" s="58">
        <v>0</v>
      </c>
      <c r="N2081" s="58">
        <v>0</v>
      </c>
      <c r="O2081" s="58">
        <v>0</v>
      </c>
      <c r="P2081" s="53">
        <v>0</v>
      </c>
      <c r="Q2081" s="65">
        <v>44321.919999999998</v>
      </c>
      <c r="R2081" s="65">
        <v>0</v>
      </c>
      <c r="S2081" s="65">
        <v>0</v>
      </c>
      <c r="T2081" s="65">
        <v>0</v>
      </c>
      <c r="U2081" s="58">
        <v>0</v>
      </c>
      <c r="V2081" s="65">
        <v>0</v>
      </c>
      <c r="W2081" s="65">
        <v>0</v>
      </c>
      <c r="X2081" s="65">
        <v>0</v>
      </c>
      <c r="Y2081" s="65">
        <v>0</v>
      </c>
      <c r="Z2081" s="51">
        <v>44321.919999999998</v>
      </c>
      <c r="AA2081" s="51">
        <v>0</v>
      </c>
      <c r="AB2081" s="102">
        <v>0</v>
      </c>
      <c r="AC2081" s="81">
        <f t="shared" si="99"/>
        <v>0</v>
      </c>
      <c r="AD2081" s="82">
        <f t="shared" si="100"/>
        <v>0</v>
      </c>
      <c r="AE2081" s="218">
        <v>0</v>
      </c>
      <c r="AF2081">
        <v>0</v>
      </c>
      <c r="AH2081" t="str">
        <f t="shared" si="101"/>
        <v>Asarganj</v>
      </c>
      <c r="AJ2081" s="72">
        <v>0</v>
      </c>
      <c r="AK2081" s="72"/>
      <c r="AL2081" s="72"/>
      <c r="AM2081" s="72"/>
    </row>
    <row r="2082" spans="1:39" x14ac:dyDescent="0.25">
      <c r="A2082" s="37" t="s">
        <v>62</v>
      </c>
      <c r="B2082" s="66" t="s">
        <v>1654</v>
      </c>
      <c r="C2082" s="41">
        <v>1003</v>
      </c>
      <c r="D2082" s="41" t="s">
        <v>137</v>
      </c>
      <c r="E2082" s="41">
        <v>10030046</v>
      </c>
      <c r="F2082" s="85" t="s">
        <v>168</v>
      </c>
      <c r="G2082" s="39" t="s">
        <v>1610</v>
      </c>
      <c r="H2082" s="52" t="s">
        <v>98</v>
      </c>
      <c r="I2082" s="52">
        <v>844.15000000000009</v>
      </c>
      <c r="J2082" s="49">
        <v>35219.4</v>
      </c>
      <c r="K2082" s="58">
        <v>0</v>
      </c>
      <c r="L2082" s="58">
        <v>0</v>
      </c>
      <c r="M2082" s="58">
        <v>0</v>
      </c>
      <c r="N2082" s="58">
        <v>0</v>
      </c>
      <c r="O2082" s="58">
        <v>0</v>
      </c>
      <c r="P2082" s="53">
        <v>0</v>
      </c>
      <c r="Q2082" s="65">
        <v>35219.4</v>
      </c>
      <c r="R2082" s="65">
        <v>0</v>
      </c>
      <c r="S2082" s="65">
        <v>0</v>
      </c>
      <c r="T2082" s="65">
        <v>0</v>
      </c>
      <c r="U2082" s="58">
        <v>0</v>
      </c>
      <c r="V2082" s="65">
        <v>0</v>
      </c>
      <c r="W2082" s="65">
        <v>0</v>
      </c>
      <c r="X2082" s="65">
        <v>0</v>
      </c>
      <c r="Y2082" s="65">
        <v>0</v>
      </c>
      <c r="Z2082" s="51">
        <v>35219.4</v>
      </c>
      <c r="AA2082" s="51">
        <v>0</v>
      </c>
      <c r="AB2082" s="102">
        <v>0</v>
      </c>
      <c r="AC2082" s="81">
        <f t="shared" si="99"/>
        <v>0</v>
      </c>
      <c r="AD2082" s="82">
        <f t="shared" si="100"/>
        <v>0</v>
      </c>
      <c r="AE2082" s="218">
        <v>0</v>
      </c>
      <c r="AF2082">
        <v>0</v>
      </c>
      <c r="AH2082" t="str">
        <f t="shared" si="101"/>
        <v>Asarganj</v>
      </c>
      <c r="AJ2082" s="72">
        <v>0</v>
      </c>
      <c r="AK2082" s="72"/>
      <c r="AL2082" s="72"/>
      <c r="AM2082" s="72"/>
    </row>
    <row r="2083" spans="1:39" x14ac:dyDescent="0.25">
      <c r="A2083" s="37" t="s">
        <v>62</v>
      </c>
      <c r="B2083" s="66" t="s">
        <v>1654</v>
      </c>
      <c r="C2083" s="41">
        <v>1003</v>
      </c>
      <c r="D2083" s="41" t="s">
        <v>137</v>
      </c>
      <c r="E2083" s="41">
        <v>10030047</v>
      </c>
      <c r="F2083" s="85" t="s">
        <v>169</v>
      </c>
      <c r="G2083" s="39" t="s">
        <v>1610</v>
      </c>
      <c r="H2083" s="52" t="s">
        <v>98</v>
      </c>
      <c r="I2083" s="52">
        <v>741.90000000000009</v>
      </c>
      <c r="J2083" s="49">
        <v>31225.510000000002</v>
      </c>
      <c r="K2083" s="58">
        <v>0</v>
      </c>
      <c r="L2083" s="58">
        <v>0</v>
      </c>
      <c r="M2083" s="58">
        <v>0</v>
      </c>
      <c r="N2083" s="58">
        <v>0</v>
      </c>
      <c r="O2083" s="58">
        <v>0</v>
      </c>
      <c r="P2083" s="53">
        <v>0</v>
      </c>
      <c r="Q2083" s="65">
        <v>31225.510000000002</v>
      </c>
      <c r="R2083" s="65">
        <v>0</v>
      </c>
      <c r="S2083" s="65">
        <v>0</v>
      </c>
      <c r="T2083" s="65">
        <v>0</v>
      </c>
      <c r="U2083" s="58">
        <v>0</v>
      </c>
      <c r="V2083" s="65">
        <v>0</v>
      </c>
      <c r="W2083" s="65">
        <v>0</v>
      </c>
      <c r="X2083" s="65">
        <v>0</v>
      </c>
      <c r="Y2083" s="65">
        <v>0</v>
      </c>
      <c r="Z2083" s="51">
        <v>31225.510000000002</v>
      </c>
      <c r="AA2083" s="51">
        <v>0</v>
      </c>
      <c r="AB2083" s="102">
        <v>0</v>
      </c>
      <c r="AC2083" s="81">
        <f t="shared" si="99"/>
        <v>0</v>
      </c>
      <c r="AD2083" s="82">
        <f t="shared" si="100"/>
        <v>0</v>
      </c>
      <c r="AE2083" s="218">
        <v>0</v>
      </c>
      <c r="AF2083">
        <v>0</v>
      </c>
      <c r="AH2083" t="str">
        <f t="shared" si="101"/>
        <v>Asarganj</v>
      </c>
      <c r="AJ2083" s="72">
        <v>0</v>
      </c>
      <c r="AK2083" s="72"/>
      <c r="AL2083" s="72"/>
      <c r="AM2083" s="72"/>
    </row>
    <row r="2084" spans="1:39" x14ac:dyDescent="0.25">
      <c r="A2084" s="37" t="s">
        <v>62</v>
      </c>
      <c r="B2084" s="66" t="s">
        <v>1654</v>
      </c>
      <c r="C2084" s="41">
        <v>1003</v>
      </c>
      <c r="D2084" s="41" t="s">
        <v>137</v>
      </c>
      <c r="E2084" s="41">
        <v>10030048</v>
      </c>
      <c r="F2084" s="85" t="s">
        <v>170</v>
      </c>
      <c r="G2084" s="39" t="s">
        <v>1610</v>
      </c>
      <c r="H2084" s="52" t="s">
        <v>98</v>
      </c>
      <c r="I2084" s="52">
        <v>741.90000000000009</v>
      </c>
      <c r="J2084" s="49">
        <v>31225.510000000002</v>
      </c>
      <c r="K2084" s="58">
        <v>0</v>
      </c>
      <c r="L2084" s="58">
        <v>0</v>
      </c>
      <c r="M2084" s="58">
        <v>0</v>
      </c>
      <c r="N2084" s="58">
        <v>0</v>
      </c>
      <c r="O2084" s="58">
        <v>0</v>
      </c>
      <c r="P2084" s="53">
        <v>0</v>
      </c>
      <c r="Q2084" s="65">
        <v>31225.510000000002</v>
      </c>
      <c r="R2084" s="65">
        <v>0</v>
      </c>
      <c r="S2084" s="65">
        <v>0</v>
      </c>
      <c r="T2084" s="65">
        <v>0</v>
      </c>
      <c r="U2084" s="58">
        <v>0</v>
      </c>
      <c r="V2084" s="65">
        <v>0</v>
      </c>
      <c r="W2084" s="65">
        <v>0</v>
      </c>
      <c r="X2084" s="65">
        <v>0</v>
      </c>
      <c r="Y2084" s="65">
        <v>0</v>
      </c>
      <c r="Z2084" s="51">
        <v>31225.510000000002</v>
      </c>
      <c r="AA2084" s="51">
        <v>0</v>
      </c>
      <c r="AB2084" s="102">
        <v>0</v>
      </c>
      <c r="AC2084" s="81">
        <f t="shared" si="99"/>
        <v>0</v>
      </c>
      <c r="AD2084" s="82">
        <f t="shared" si="100"/>
        <v>0</v>
      </c>
      <c r="AE2084" s="218">
        <v>0</v>
      </c>
      <c r="AF2084">
        <v>0</v>
      </c>
      <c r="AH2084" t="str">
        <f t="shared" si="101"/>
        <v>Asarganj</v>
      </c>
      <c r="AJ2084" s="72">
        <v>0</v>
      </c>
      <c r="AK2084" s="72"/>
      <c r="AL2084" s="72"/>
      <c r="AM2084" s="72"/>
    </row>
    <row r="2085" spans="1:39" x14ac:dyDescent="0.25">
      <c r="A2085" s="37" t="s">
        <v>62</v>
      </c>
      <c r="B2085" s="66" t="s">
        <v>1654</v>
      </c>
      <c r="C2085" s="41">
        <v>1003</v>
      </c>
      <c r="D2085" s="41" t="s">
        <v>137</v>
      </c>
      <c r="E2085" s="41">
        <v>10030050</v>
      </c>
      <c r="F2085" s="85" t="s">
        <v>171</v>
      </c>
      <c r="G2085" s="39" t="s">
        <v>92</v>
      </c>
      <c r="H2085" s="52" t="s">
        <v>93</v>
      </c>
      <c r="I2085" s="52">
        <v>558.45000000000005</v>
      </c>
      <c r="J2085" s="49">
        <v>19913.68</v>
      </c>
      <c r="K2085" s="58">
        <v>566.83000000000015</v>
      </c>
      <c r="L2085" s="58">
        <v>22844.880000000001</v>
      </c>
      <c r="M2085" s="58">
        <v>2.69</v>
      </c>
      <c r="N2085" s="58">
        <v>105.95</v>
      </c>
      <c r="O2085" s="58">
        <v>569.52000000000021</v>
      </c>
      <c r="P2085" s="53">
        <v>22950.83</v>
      </c>
      <c r="Q2085" s="65">
        <v>19913.68</v>
      </c>
      <c r="R2085" s="65">
        <v>0</v>
      </c>
      <c r="S2085" s="65">
        <v>105.95</v>
      </c>
      <c r="T2085" s="65">
        <v>3037.1500000000015</v>
      </c>
      <c r="U2085" s="58">
        <v>0</v>
      </c>
      <c r="V2085" s="65">
        <v>0</v>
      </c>
      <c r="W2085" s="65">
        <v>0</v>
      </c>
      <c r="X2085" s="65">
        <v>19808</v>
      </c>
      <c r="Y2085" s="65">
        <v>0</v>
      </c>
      <c r="Z2085" s="51">
        <v>0</v>
      </c>
      <c r="AA2085" s="51">
        <v>0</v>
      </c>
      <c r="AB2085" s="102">
        <v>0</v>
      </c>
      <c r="AC2085" s="81">
        <f t="shared" si="99"/>
        <v>100.95018010564951</v>
      </c>
      <c r="AD2085" s="82">
        <f t="shared" si="100"/>
        <v>79.778571428571439</v>
      </c>
      <c r="AE2085" s="218">
        <v>-0.15251575801157805</v>
      </c>
      <c r="AF2085">
        <v>10</v>
      </c>
      <c r="AH2085" t="str">
        <f t="shared" si="101"/>
        <v>Asarganj</v>
      </c>
      <c r="AJ2085" s="72">
        <v>0</v>
      </c>
      <c r="AK2085" s="72"/>
      <c r="AL2085" s="72"/>
      <c r="AM2085" s="72"/>
    </row>
    <row r="2086" spans="1:39" x14ac:dyDescent="0.25">
      <c r="A2086" s="37" t="s">
        <v>62</v>
      </c>
      <c r="B2086" s="66" t="s">
        <v>1654</v>
      </c>
      <c r="C2086" s="41">
        <v>1003</v>
      </c>
      <c r="D2086" s="41" t="s">
        <v>137</v>
      </c>
      <c r="E2086" s="41">
        <v>10030051</v>
      </c>
      <c r="F2086" s="85" t="s">
        <v>172</v>
      </c>
      <c r="G2086" s="39" t="s">
        <v>92</v>
      </c>
      <c r="H2086" s="52" t="s">
        <v>93</v>
      </c>
      <c r="I2086" s="52">
        <v>3783.4</v>
      </c>
      <c r="J2086" s="49">
        <v>142314.67000000001</v>
      </c>
      <c r="K2086" s="58">
        <v>3728.7199999999993</v>
      </c>
      <c r="L2086" s="58">
        <v>141030.64000000001</v>
      </c>
      <c r="M2086" s="58">
        <v>72.92</v>
      </c>
      <c r="N2086" s="58">
        <v>2751.3200000000006</v>
      </c>
      <c r="O2086" s="58">
        <v>3801.6399999999994</v>
      </c>
      <c r="P2086" s="53">
        <v>143781.96000000002</v>
      </c>
      <c r="Q2086" s="65">
        <v>142314.67000000001</v>
      </c>
      <c r="R2086" s="65">
        <v>0</v>
      </c>
      <c r="S2086" s="65">
        <v>2751.3200000000006</v>
      </c>
      <c r="T2086" s="65">
        <v>1467.2900000000081</v>
      </c>
      <c r="U2086" s="58">
        <v>0</v>
      </c>
      <c r="V2086" s="65">
        <v>0</v>
      </c>
      <c r="W2086" s="65">
        <v>0</v>
      </c>
      <c r="X2086" s="65">
        <v>139563</v>
      </c>
      <c r="Y2086" s="65">
        <v>0</v>
      </c>
      <c r="Z2086" s="51">
        <v>0</v>
      </c>
      <c r="AA2086" s="51">
        <v>0</v>
      </c>
      <c r="AB2086" s="102">
        <v>0</v>
      </c>
      <c r="AC2086" s="81">
        <f t="shared" si="99"/>
        <v>0</v>
      </c>
      <c r="AD2086" s="82">
        <f t="shared" si="100"/>
        <v>0</v>
      </c>
      <c r="AE2086" s="218">
        <v>-1.0310180953235586E-2</v>
      </c>
      <c r="AF2086">
        <v>7</v>
      </c>
      <c r="AH2086" t="str">
        <f t="shared" si="101"/>
        <v>Asarganj</v>
      </c>
      <c r="AJ2086" s="72">
        <v>0</v>
      </c>
      <c r="AK2086" s="72"/>
      <c r="AL2086" s="72"/>
      <c r="AM2086" s="72"/>
    </row>
    <row r="2087" spans="1:39" x14ac:dyDescent="0.25">
      <c r="A2087" s="37" t="s">
        <v>62</v>
      </c>
      <c r="B2087" s="66" t="s">
        <v>1654</v>
      </c>
      <c r="C2087" s="41">
        <v>1003</v>
      </c>
      <c r="D2087" s="41" t="s">
        <v>137</v>
      </c>
      <c r="E2087" s="41">
        <v>10030053</v>
      </c>
      <c r="F2087" s="85" t="s">
        <v>173</v>
      </c>
      <c r="G2087" s="39" t="s">
        <v>92</v>
      </c>
      <c r="H2087" s="52" t="s">
        <v>93</v>
      </c>
      <c r="I2087" s="52">
        <v>276.10000000000002</v>
      </c>
      <c r="J2087" s="49">
        <v>11385.11</v>
      </c>
      <c r="K2087" s="58">
        <v>290.7</v>
      </c>
      <c r="L2087" s="58">
        <v>11653.09</v>
      </c>
      <c r="M2087" s="58">
        <v>3.35</v>
      </c>
      <c r="N2087" s="58">
        <v>131.97999999999999</v>
      </c>
      <c r="O2087" s="58">
        <v>294.05</v>
      </c>
      <c r="P2087" s="53">
        <v>11785.07</v>
      </c>
      <c r="Q2087" s="65">
        <v>11385.11</v>
      </c>
      <c r="R2087" s="65">
        <v>0</v>
      </c>
      <c r="S2087" s="65">
        <v>131.97999999999999</v>
      </c>
      <c r="T2087" s="65">
        <v>399.95999999999913</v>
      </c>
      <c r="U2087" s="58">
        <v>0</v>
      </c>
      <c r="V2087" s="65">
        <v>0</v>
      </c>
      <c r="W2087" s="65">
        <v>0</v>
      </c>
      <c r="X2087" s="65">
        <v>11253</v>
      </c>
      <c r="Y2087" s="65">
        <v>0</v>
      </c>
      <c r="Z2087" s="51">
        <v>0</v>
      </c>
      <c r="AA2087" s="51">
        <v>0</v>
      </c>
      <c r="AB2087" s="102">
        <v>0</v>
      </c>
      <c r="AC2087" s="81">
        <f t="shared" si="99"/>
        <v>349.59421434262953</v>
      </c>
      <c r="AD2087" s="82">
        <f t="shared" si="100"/>
        <v>39.442857142857143</v>
      </c>
      <c r="AE2087" s="218">
        <v>-3.5130095361397398E-2</v>
      </c>
      <c r="AF2087">
        <v>8</v>
      </c>
      <c r="AH2087" t="str">
        <f t="shared" si="101"/>
        <v>Asarganj</v>
      </c>
      <c r="AJ2087" s="72">
        <v>0</v>
      </c>
      <c r="AK2087" s="72"/>
      <c r="AL2087" s="72"/>
      <c r="AM2087" s="72"/>
    </row>
    <row r="2088" spans="1:39" x14ac:dyDescent="0.25">
      <c r="A2088" s="37" t="s">
        <v>62</v>
      </c>
      <c r="B2088" s="66" t="s">
        <v>1654</v>
      </c>
      <c r="C2088" s="41">
        <v>1003</v>
      </c>
      <c r="D2088" s="41" t="s">
        <v>137</v>
      </c>
      <c r="E2088" s="41">
        <v>10030055</v>
      </c>
      <c r="F2088" s="85" t="s">
        <v>174</v>
      </c>
      <c r="G2088" s="39" t="s">
        <v>92</v>
      </c>
      <c r="H2088" s="52" t="s">
        <v>93</v>
      </c>
      <c r="I2088" s="52">
        <v>211.55</v>
      </c>
      <c r="J2088" s="49">
        <v>9037.58</v>
      </c>
      <c r="K2088" s="58">
        <v>217.16</v>
      </c>
      <c r="L2088" s="58">
        <v>9972.1999999999989</v>
      </c>
      <c r="M2088" s="58">
        <v>2.4900000000000007</v>
      </c>
      <c r="N2088" s="58">
        <v>111.92999999999999</v>
      </c>
      <c r="O2088" s="58">
        <v>219.65</v>
      </c>
      <c r="P2088" s="53">
        <v>10084.129999999999</v>
      </c>
      <c r="Q2088" s="65">
        <v>9037.58</v>
      </c>
      <c r="R2088" s="65">
        <v>0</v>
      </c>
      <c r="S2088" s="65">
        <v>111.92999999999999</v>
      </c>
      <c r="T2088" s="65">
        <v>1046.5499999999993</v>
      </c>
      <c r="U2088" s="58">
        <v>0</v>
      </c>
      <c r="V2088" s="65">
        <v>0</v>
      </c>
      <c r="W2088" s="65">
        <v>0</v>
      </c>
      <c r="X2088" s="65">
        <v>8926</v>
      </c>
      <c r="Y2088" s="65">
        <v>0</v>
      </c>
      <c r="Z2088" s="51">
        <v>0</v>
      </c>
      <c r="AA2088" s="51">
        <v>0</v>
      </c>
      <c r="AB2088" s="102">
        <v>0</v>
      </c>
      <c r="AC2088" s="81">
        <f t="shared" si="99"/>
        <v>417.33925322618768</v>
      </c>
      <c r="AD2088" s="82">
        <f t="shared" si="100"/>
        <v>30.221428571428572</v>
      </c>
      <c r="AE2088" s="218">
        <v>-0.11579980481500571</v>
      </c>
      <c r="AF2088">
        <v>5</v>
      </c>
      <c r="AH2088" t="str">
        <f t="shared" si="101"/>
        <v>Asarganj</v>
      </c>
      <c r="AJ2088" s="72">
        <v>0</v>
      </c>
      <c r="AK2088" s="72"/>
      <c r="AL2088" s="72"/>
      <c r="AM2088" s="72"/>
    </row>
    <row r="2089" spans="1:39" x14ac:dyDescent="0.25">
      <c r="A2089" s="37" t="s">
        <v>62</v>
      </c>
      <c r="B2089" s="66" t="s">
        <v>1654</v>
      </c>
      <c r="C2089" s="41">
        <v>1003</v>
      </c>
      <c r="D2089" s="41" t="s">
        <v>137</v>
      </c>
      <c r="E2089" s="41">
        <v>10030056</v>
      </c>
      <c r="F2089" s="85" t="s">
        <v>175</v>
      </c>
      <c r="G2089" s="39" t="s">
        <v>92</v>
      </c>
      <c r="H2089" s="52" t="s">
        <v>93</v>
      </c>
      <c r="I2089" s="52">
        <v>175.95</v>
      </c>
      <c r="J2089" s="49">
        <v>5795.920000000001</v>
      </c>
      <c r="K2089" s="58">
        <v>188.03</v>
      </c>
      <c r="L2089" s="58">
        <v>9017.2000000000007</v>
      </c>
      <c r="M2089" s="58">
        <v>0</v>
      </c>
      <c r="N2089" s="58">
        <v>0</v>
      </c>
      <c r="O2089" s="58">
        <v>188.03</v>
      </c>
      <c r="P2089" s="53">
        <v>9017.2000000000007</v>
      </c>
      <c r="Q2089" s="65">
        <v>5795.920000000001</v>
      </c>
      <c r="R2089" s="65">
        <v>0</v>
      </c>
      <c r="S2089" s="65">
        <v>0</v>
      </c>
      <c r="T2089" s="65">
        <v>3221.2799999999997</v>
      </c>
      <c r="U2089" s="58">
        <v>0</v>
      </c>
      <c r="V2089" s="65">
        <v>500</v>
      </c>
      <c r="W2089" s="65">
        <v>0</v>
      </c>
      <c r="X2089" s="65">
        <v>5296</v>
      </c>
      <c r="Y2089" s="65">
        <v>0</v>
      </c>
      <c r="Z2089" s="51">
        <v>0</v>
      </c>
      <c r="AA2089" s="51">
        <v>0</v>
      </c>
      <c r="AB2089" s="102" t="s">
        <v>66</v>
      </c>
      <c r="AC2089" s="81">
        <f t="shared" si="99"/>
        <v>345.25170514350668</v>
      </c>
      <c r="AD2089" s="82">
        <f t="shared" si="100"/>
        <v>25.135714285714283</v>
      </c>
      <c r="AE2089" s="218">
        <v>-0.55578406879321995</v>
      </c>
      <c r="AF2089">
        <v>2</v>
      </c>
      <c r="AH2089" t="str">
        <f t="shared" si="101"/>
        <v>Asarganj</v>
      </c>
      <c r="AJ2089" s="72">
        <v>500</v>
      </c>
      <c r="AK2089" s="72"/>
      <c r="AL2089" s="72"/>
      <c r="AM2089" s="72"/>
    </row>
    <row r="2090" spans="1:39" x14ac:dyDescent="0.25">
      <c r="A2090" s="37" t="s">
        <v>62</v>
      </c>
      <c r="B2090" s="66" t="s">
        <v>1654</v>
      </c>
      <c r="C2090" s="41">
        <v>1003</v>
      </c>
      <c r="D2090" s="41" t="s">
        <v>137</v>
      </c>
      <c r="E2090" s="41">
        <v>10030059</v>
      </c>
      <c r="F2090" s="85" t="s">
        <v>176</v>
      </c>
      <c r="G2090" s="39" t="s">
        <v>92</v>
      </c>
      <c r="H2090" s="52" t="s">
        <v>93</v>
      </c>
      <c r="I2090" s="52">
        <v>748.65</v>
      </c>
      <c r="J2090" s="49">
        <v>32215.430000000004</v>
      </c>
      <c r="K2090" s="58">
        <v>763.63</v>
      </c>
      <c r="L2090" s="58">
        <v>35515.159999999996</v>
      </c>
      <c r="M2090" s="58">
        <v>0</v>
      </c>
      <c r="N2090" s="58">
        <v>0</v>
      </c>
      <c r="O2090" s="58">
        <v>763.63</v>
      </c>
      <c r="P2090" s="53">
        <v>35515.159999999996</v>
      </c>
      <c r="Q2090" s="65">
        <v>32215.430000000004</v>
      </c>
      <c r="R2090" s="65">
        <v>0</v>
      </c>
      <c r="S2090" s="65">
        <v>0</v>
      </c>
      <c r="T2090" s="65">
        <v>3299.7299999999923</v>
      </c>
      <c r="U2090" s="58">
        <v>0</v>
      </c>
      <c r="V2090" s="65">
        <v>0</v>
      </c>
      <c r="W2090" s="65">
        <v>0</v>
      </c>
      <c r="X2090" s="65">
        <v>32215</v>
      </c>
      <c r="Y2090" s="65">
        <v>0</v>
      </c>
      <c r="Z2090" s="51">
        <v>0</v>
      </c>
      <c r="AA2090" s="51">
        <v>0</v>
      </c>
      <c r="AB2090" s="102">
        <v>0</v>
      </c>
      <c r="AC2090" s="81">
        <f t="shared" si="99"/>
        <v>0</v>
      </c>
      <c r="AD2090" s="82">
        <f t="shared" si="100"/>
        <v>0</v>
      </c>
      <c r="AE2090" s="218">
        <v>-0.10242700469930067</v>
      </c>
      <c r="AF2090">
        <v>12</v>
      </c>
      <c r="AH2090" t="str">
        <f t="shared" si="101"/>
        <v>Asarganj</v>
      </c>
      <c r="AJ2090" s="72">
        <v>0</v>
      </c>
      <c r="AK2090" s="72"/>
      <c r="AL2090" s="72"/>
      <c r="AM2090" s="72"/>
    </row>
    <row r="2091" spans="1:39" x14ac:dyDescent="0.25">
      <c r="A2091" s="37" t="s">
        <v>62</v>
      </c>
      <c r="B2091" s="66" t="s">
        <v>1654</v>
      </c>
      <c r="C2091" s="41">
        <v>1003</v>
      </c>
      <c r="D2091" s="41" t="s">
        <v>137</v>
      </c>
      <c r="E2091" s="41">
        <v>10030061</v>
      </c>
      <c r="F2091" s="85" t="s">
        <v>178</v>
      </c>
      <c r="G2091" s="39" t="s">
        <v>92</v>
      </c>
      <c r="H2091" s="52" t="s">
        <v>93</v>
      </c>
      <c r="I2091" s="52">
        <v>511.55</v>
      </c>
      <c r="J2091" s="49">
        <v>19841.429999999997</v>
      </c>
      <c r="K2091" s="58">
        <v>511.72000000000008</v>
      </c>
      <c r="L2091" s="58">
        <v>18395.300000000003</v>
      </c>
      <c r="M2091" s="58">
        <v>10.45</v>
      </c>
      <c r="N2091" s="58">
        <v>354.85</v>
      </c>
      <c r="O2091" s="58">
        <v>522.17000000000007</v>
      </c>
      <c r="P2091" s="53">
        <v>18750.150000000001</v>
      </c>
      <c r="Q2091" s="65">
        <v>18750.150000000001</v>
      </c>
      <c r="R2091" s="65">
        <v>0</v>
      </c>
      <c r="S2091" s="65">
        <v>354.85</v>
      </c>
      <c r="T2091" s="65">
        <v>0</v>
      </c>
      <c r="U2091" s="58">
        <v>0</v>
      </c>
      <c r="V2091" s="65">
        <v>0</v>
      </c>
      <c r="W2091" s="65">
        <v>0</v>
      </c>
      <c r="X2091" s="65">
        <v>18396</v>
      </c>
      <c r="Y2091" s="65">
        <v>0</v>
      </c>
      <c r="Z2091" s="51">
        <v>0</v>
      </c>
      <c r="AA2091" s="51">
        <v>1091</v>
      </c>
      <c r="AB2091" s="102">
        <v>0</v>
      </c>
      <c r="AC2091" s="81">
        <f t="shared" si="99"/>
        <v>146.18776203694645</v>
      </c>
      <c r="AD2091" s="82">
        <f t="shared" si="100"/>
        <v>73.078571428571436</v>
      </c>
      <c r="AE2091" s="218">
        <v>5.5000068039450553E-2</v>
      </c>
      <c r="AF2091">
        <v>9</v>
      </c>
      <c r="AH2091" t="str">
        <f t="shared" si="101"/>
        <v>Asarganj</v>
      </c>
      <c r="AJ2091" s="72">
        <v>0</v>
      </c>
      <c r="AK2091" s="72"/>
      <c r="AL2091" s="72"/>
      <c r="AM2091" s="72"/>
    </row>
    <row r="2092" spans="1:39" x14ac:dyDescent="0.25">
      <c r="A2092" s="37" t="s">
        <v>62</v>
      </c>
      <c r="B2092" s="66" t="s">
        <v>1654</v>
      </c>
      <c r="C2092" s="41">
        <v>1003</v>
      </c>
      <c r="D2092" s="41" t="s">
        <v>137</v>
      </c>
      <c r="E2092" s="41">
        <v>10030063</v>
      </c>
      <c r="F2092" s="85" t="s">
        <v>437</v>
      </c>
      <c r="G2092" s="39" t="s">
        <v>92</v>
      </c>
      <c r="H2092" s="52" t="s">
        <v>93</v>
      </c>
      <c r="I2092" s="52">
        <v>1730.5500000000002</v>
      </c>
      <c r="J2092" s="49">
        <v>72841.159999999989</v>
      </c>
      <c r="K2092" s="58">
        <v>1763.98</v>
      </c>
      <c r="L2092" s="58">
        <v>75460.87999999999</v>
      </c>
      <c r="M2092" s="58">
        <v>8.9</v>
      </c>
      <c r="N2092" s="58">
        <v>421.89999999999992</v>
      </c>
      <c r="O2092" s="58">
        <v>1772.88</v>
      </c>
      <c r="P2092" s="53">
        <v>75882.779999999984</v>
      </c>
      <c r="Q2092" s="65">
        <v>72841.159999999989</v>
      </c>
      <c r="R2092" s="65">
        <v>0</v>
      </c>
      <c r="S2092" s="65">
        <v>421.89999999999992</v>
      </c>
      <c r="T2092" s="65">
        <v>3041.6199999999953</v>
      </c>
      <c r="U2092" s="58">
        <v>0</v>
      </c>
      <c r="V2092" s="65">
        <v>0</v>
      </c>
      <c r="W2092" s="65">
        <v>0</v>
      </c>
      <c r="X2092" s="65">
        <v>72419</v>
      </c>
      <c r="Y2092" s="65">
        <v>0</v>
      </c>
      <c r="Z2092" s="51">
        <v>0</v>
      </c>
      <c r="AA2092" s="51">
        <v>0</v>
      </c>
      <c r="AB2092" s="102">
        <v>0</v>
      </c>
      <c r="AC2092" s="81">
        <f t="shared" si="99"/>
        <v>0</v>
      </c>
      <c r="AD2092" s="82">
        <f t="shared" si="100"/>
        <v>0</v>
      </c>
      <c r="AE2092" s="218">
        <v>-4.1756885804674113E-2</v>
      </c>
      <c r="AF2092">
        <v>8</v>
      </c>
      <c r="AH2092" t="str">
        <f t="shared" si="101"/>
        <v>Asarganj</v>
      </c>
      <c r="AJ2092" s="72">
        <v>0</v>
      </c>
      <c r="AK2092" s="72"/>
      <c r="AL2092" s="72"/>
      <c r="AM2092" s="72"/>
    </row>
    <row r="2093" spans="1:39" x14ac:dyDescent="0.25">
      <c r="A2093" s="37" t="s">
        <v>62</v>
      </c>
      <c r="B2093" s="66" t="s">
        <v>1654</v>
      </c>
      <c r="C2093" s="41">
        <v>1003</v>
      </c>
      <c r="D2093" s="41" t="s">
        <v>137</v>
      </c>
      <c r="E2093" s="41">
        <v>10030064</v>
      </c>
      <c r="F2093" s="85" t="s">
        <v>427</v>
      </c>
      <c r="G2093" s="39" t="s">
        <v>92</v>
      </c>
      <c r="H2093" s="52" t="s">
        <v>93</v>
      </c>
      <c r="I2093" s="52">
        <v>1222.5999999999999</v>
      </c>
      <c r="J2093" s="49">
        <v>51792.54</v>
      </c>
      <c r="K2093" s="58">
        <v>1227.2899999999997</v>
      </c>
      <c r="L2093" s="58">
        <v>54094.290000000008</v>
      </c>
      <c r="M2093" s="58">
        <v>0</v>
      </c>
      <c r="N2093" s="58">
        <v>0</v>
      </c>
      <c r="O2093" s="58">
        <v>1227.2899999999997</v>
      </c>
      <c r="P2093" s="53">
        <v>54094.290000000008</v>
      </c>
      <c r="Q2093" s="65">
        <v>51792.54</v>
      </c>
      <c r="R2093" s="65">
        <v>0</v>
      </c>
      <c r="S2093" s="65">
        <v>0</v>
      </c>
      <c r="T2093" s="65">
        <v>2301.7500000000073</v>
      </c>
      <c r="U2093" s="58">
        <v>0</v>
      </c>
      <c r="V2093" s="65">
        <v>0</v>
      </c>
      <c r="W2093" s="65">
        <v>0</v>
      </c>
      <c r="X2093" s="65">
        <v>51793</v>
      </c>
      <c r="Y2093" s="65">
        <v>0</v>
      </c>
      <c r="Z2093" s="51">
        <v>0</v>
      </c>
      <c r="AA2093" s="51">
        <v>0</v>
      </c>
      <c r="AB2093" s="102">
        <v>0</v>
      </c>
      <c r="AC2093" s="81">
        <f t="shared" si="99"/>
        <v>0</v>
      </c>
      <c r="AD2093" s="82">
        <f t="shared" si="100"/>
        <v>0</v>
      </c>
      <c r="AE2093" s="218">
        <v>-4.444172848058827E-2</v>
      </c>
      <c r="AF2093">
        <v>5</v>
      </c>
      <c r="AH2093" t="str">
        <f t="shared" si="101"/>
        <v>Asarganj</v>
      </c>
      <c r="AJ2093" s="72">
        <v>0</v>
      </c>
      <c r="AK2093" s="72"/>
      <c r="AL2093" s="72"/>
      <c r="AM2093" s="72"/>
    </row>
    <row r="2094" spans="1:39" x14ac:dyDescent="0.25">
      <c r="A2094" s="37" t="s">
        <v>62</v>
      </c>
      <c r="B2094" s="66" t="s">
        <v>1654</v>
      </c>
      <c r="C2094" s="41">
        <v>1003</v>
      </c>
      <c r="D2094" s="41" t="s">
        <v>137</v>
      </c>
      <c r="E2094" s="41">
        <v>10030065</v>
      </c>
      <c r="F2094" s="85" t="s">
        <v>470</v>
      </c>
      <c r="G2094" s="39" t="s">
        <v>92</v>
      </c>
      <c r="H2094" s="52" t="s">
        <v>93</v>
      </c>
      <c r="I2094" s="52">
        <v>260.05</v>
      </c>
      <c r="J2094" s="49">
        <v>10369.039999999999</v>
      </c>
      <c r="K2094" s="58">
        <v>299.15999999999997</v>
      </c>
      <c r="L2094" s="58">
        <v>10921.16</v>
      </c>
      <c r="M2094" s="58">
        <v>3.3099999999999996</v>
      </c>
      <c r="N2094" s="58">
        <v>121.12</v>
      </c>
      <c r="O2094" s="58">
        <v>302.46999999999997</v>
      </c>
      <c r="P2094" s="53">
        <v>11042.28</v>
      </c>
      <c r="Q2094" s="65">
        <v>10369.039999999999</v>
      </c>
      <c r="R2094" s="65">
        <v>0</v>
      </c>
      <c r="S2094" s="65">
        <v>121.12</v>
      </c>
      <c r="T2094" s="65">
        <v>673.2400000000016</v>
      </c>
      <c r="U2094" s="58">
        <v>0</v>
      </c>
      <c r="V2094" s="65">
        <v>500</v>
      </c>
      <c r="W2094" s="65">
        <v>0</v>
      </c>
      <c r="X2094" s="65">
        <v>9748</v>
      </c>
      <c r="Y2094" s="65">
        <v>0</v>
      </c>
      <c r="Z2094" s="51">
        <v>0</v>
      </c>
      <c r="AA2094" s="51">
        <v>0</v>
      </c>
      <c r="AB2094" s="102">
        <v>0</v>
      </c>
      <c r="AC2094" s="81">
        <f t="shared" si="99"/>
        <v>350.8447720053835</v>
      </c>
      <c r="AD2094" s="82">
        <f t="shared" si="100"/>
        <v>37.15</v>
      </c>
      <c r="AE2094" s="218">
        <v>-6.492790075069646E-2</v>
      </c>
      <c r="AF2094">
        <v>4</v>
      </c>
      <c r="AH2094" t="str">
        <f t="shared" si="101"/>
        <v>Asarganj</v>
      </c>
      <c r="AJ2094" s="72">
        <v>500</v>
      </c>
      <c r="AK2094" s="72"/>
      <c r="AL2094" s="72"/>
      <c r="AM2094" s="72"/>
    </row>
    <row r="2095" spans="1:39" x14ac:dyDescent="0.25">
      <c r="A2095" s="37" t="s">
        <v>62</v>
      </c>
      <c r="B2095" s="66" t="s">
        <v>1654</v>
      </c>
      <c r="C2095" s="41">
        <v>1003</v>
      </c>
      <c r="D2095" s="41" t="s">
        <v>137</v>
      </c>
      <c r="E2095" s="41">
        <v>10030066</v>
      </c>
      <c r="F2095" s="85" t="s">
        <v>471</v>
      </c>
      <c r="G2095" s="39" t="s">
        <v>92</v>
      </c>
      <c r="H2095" s="52" t="s">
        <v>93</v>
      </c>
      <c r="I2095" s="52">
        <v>3836.1000000000004</v>
      </c>
      <c r="J2095" s="49">
        <v>169049.77999999997</v>
      </c>
      <c r="K2095" s="58">
        <v>2433.7600000000002</v>
      </c>
      <c r="L2095" s="58">
        <v>116201.54999999999</v>
      </c>
      <c r="M2095" s="58">
        <v>1427.12</v>
      </c>
      <c r="N2095" s="58">
        <v>60479.33</v>
      </c>
      <c r="O2095" s="58">
        <v>3860.88</v>
      </c>
      <c r="P2095" s="53">
        <v>176680.88</v>
      </c>
      <c r="Q2095" s="65">
        <v>169049.77999999997</v>
      </c>
      <c r="R2095" s="65">
        <v>0</v>
      </c>
      <c r="S2095" s="65">
        <v>1326.1299999999999</v>
      </c>
      <c r="T2095" s="65">
        <v>7631.1000000000349</v>
      </c>
      <c r="U2095" s="58">
        <v>0</v>
      </c>
      <c r="V2095" s="65">
        <v>0</v>
      </c>
      <c r="W2095" s="65">
        <v>0</v>
      </c>
      <c r="X2095" s="65">
        <v>108570</v>
      </c>
      <c r="Y2095" s="65">
        <v>59154</v>
      </c>
      <c r="Z2095" s="51">
        <v>0</v>
      </c>
      <c r="AA2095" s="51">
        <v>0</v>
      </c>
      <c r="AB2095" s="102">
        <v>0</v>
      </c>
      <c r="AC2095" s="81">
        <f t="shared" si="99"/>
        <v>0</v>
      </c>
      <c r="AD2095" s="82">
        <f t="shared" si="100"/>
        <v>0</v>
      </c>
      <c r="AE2095" s="218">
        <v>-4.514114126620003E-2</v>
      </c>
      <c r="AF2095">
        <v>18</v>
      </c>
      <c r="AH2095" t="str">
        <f t="shared" si="101"/>
        <v>Asarganj</v>
      </c>
      <c r="AJ2095" s="72">
        <v>0</v>
      </c>
      <c r="AK2095" s="72"/>
      <c r="AL2095" s="72"/>
      <c r="AM2095" s="72"/>
    </row>
    <row r="2096" spans="1:39" x14ac:dyDescent="0.25">
      <c r="A2096" s="37" t="s">
        <v>62</v>
      </c>
      <c r="B2096" s="66" t="s">
        <v>1654</v>
      </c>
      <c r="C2096" s="41">
        <v>1003</v>
      </c>
      <c r="D2096" s="41" t="s">
        <v>137</v>
      </c>
      <c r="E2096" s="41">
        <v>10030068</v>
      </c>
      <c r="F2096" s="85" t="s">
        <v>1230</v>
      </c>
      <c r="G2096" s="39" t="s">
        <v>92</v>
      </c>
      <c r="H2096" s="52" t="s">
        <v>93</v>
      </c>
      <c r="I2096" s="52">
        <v>924.15000000000009</v>
      </c>
      <c r="J2096" s="49">
        <v>32781.410000000003</v>
      </c>
      <c r="K2096" s="58">
        <v>1106.7700000000002</v>
      </c>
      <c r="L2096" s="58">
        <v>45579.51999999999</v>
      </c>
      <c r="M2096" s="58">
        <v>39.129999999999995</v>
      </c>
      <c r="N2096" s="58">
        <v>1984.25</v>
      </c>
      <c r="O2096" s="58">
        <v>1145.9000000000001</v>
      </c>
      <c r="P2096" s="53">
        <v>47563.76999999999</v>
      </c>
      <c r="Q2096" s="65">
        <v>32781.410000000003</v>
      </c>
      <c r="R2096" s="65">
        <v>0</v>
      </c>
      <c r="S2096" s="65">
        <v>1984.25</v>
      </c>
      <c r="T2096" s="65">
        <v>14782.359999999986</v>
      </c>
      <c r="U2096" s="58">
        <v>0</v>
      </c>
      <c r="V2096" s="65">
        <v>0</v>
      </c>
      <c r="W2096" s="65">
        <v>0</v>
      </c>
      <c r="X2096" s="65">
        <v>30797</v>
      </c>
      <c r="Y2096" s="65">
        <v>0</v>
      </c>
      <c r="Z2096" s="51">
        <v>0</v>
      </c>
      <c r="AA2096" s="51">
        <v>0</v>
      </c>
      <c r="AB2096" s="102">
        <v>0</v>
      </c>
      <c r="AC2096" s="81">
        <f t="shared" si="99"/>
        <v>0</v>
      </c>
      <c r="AD2096" s="82">
        <f t="shared" si="100"/>
        <v>0</v>
      </c>
      <c r="AE2096" s="218">
        <v>-0.45093728427178648</v>
      </c>
      <c r="AF2096">
        <v>9</v>
      </c>
      <c r="AH2096" t="str">
        <f t="shared" si="101"/>
        <v>Asarganj</v>
      </c>
      <c r="AJ2096" s="72">
        <v>0</v>
      </c>
      <c r="AK2096" s="72"/>
      <c r="AL2096" s="72"/>
      <c r="AM2096" s="72"/>
    </row>
    <row r="2097" spans="1:39" x14ac:dyDescent="0.25">
      <c r="A2097" s="37" t="s">
        <v>62</v>
      </c>
      <c r="B2097" s="66" t="s">
        <v>1654</v>
      </c>
      <c r="C2097" s="41">
        <v>1003</v>
      </c>
      <c r="D2097" s="41" t="s">
        <v>137</v>
      </c>
      <c r="E2097" s="41">
        <v>10030069</v>
      </c>
      <c r="F2097" s="85" t="s">
        <v>512</v>
      </c>
      <c r="G2097" s="39" t="s">
        <v>92</v>
      </c>
      <c r="H2097" s="52" t="s">
        <v>98</v>
      </c>
      <c r="I2097" s="52">
        <v>1034</v>
      </c>
      <c r="J2097" s="49">
        <v>36889.08</v>
      </c>
      <c r="K2097" s="58">
        <v>0</v>
      </c>
      <c r="L2097" s="58">
        <v>0</v>
      </c>
      <c r="M2097" s="58">
        <v>0</v>
      </c>
      <c r="N2097" s="58">
        <v>0</v>
      </c>
      <c r="O2097" s="58">
        <v>0</v>
      </c>
      <c r="P2097" s="53">
        <v>0</v>
      </c>
      <c r="Q2097" s="65">
        <v>36889.08</v>
      </c>
      <c r="R2097" s="65">
        <v>0</v>
      </c>
      <c r="S2097" s="65">
        <v>0</v>
      </c>
      <c r="T2097" s="65">
        <v>0</v>
      </c>
      <c r="U2097" s="58">
        <v>3997</v>
      </c>
      <c r="V2097" s="65">
        <v>0</v>
      </c>
      <c r="W2097" s="65">
        <v>0</v>
      </c>
      <c r="X2097" s="65">
        <v>0</v>
      </c>
      <c r="Y2097" s="65">
        <v>0</v>
      </c>
      <c r="Z2097" s="51">
        <v>32892.080000000002</v>
      </c>
      <c r="AA2097" s="51">
        <v>0</v>
      </c>
      <c r="AB2097" s="102">
        <v>0</v>
      </c>
      <c r="AC2097" s="81">
        <f t="shared" si="99"/>
        <v>0</v>
      </c>
      <c r="AD2097" s="82">
        <f t="shared" si="100"/>
        <v>0</v>
      </c>
      <c r="AE2097" s="218">
        <v>0</v>
      </c>
      <c r="AF2097">
        <v>0</v>
      </c>
      <c r="AH2097" t="str">
        <f t="shared" si="101"/>
        <v>Asarganj</v>
      </c>
      <c r="AJ2097" s="72">
        <v>0</v>
      </c>
      <c r="AK2097" s="72"/>
      <c r="AL2097" s="72"/>
      <c r="AM2097" s="72"/>
    </row>
    <row r="2098" spans="1:39" x14ac:dyDescent="0.25">
      <c r="A2098" s="37" t="s">
        <v>62</v>
      </c>
      <c r="B2098" s="66" t="s">
        <v>1654</v>
      </c>
      <c r="C2098" s="41">
        <v>1003</v>
      </c>
      <c r="D2098" s="41" t="s">
        <v>137</v>
      </c>
      <c r="E2098" s="41">
        <v>10030070</v>
      </c>
      <c r="F2098" s="85" t="s">
        <v>554</v>
      </c>
      <c r="G2098" s="39" t="s">
        <v>92</v>
      </c>
      <c r="H2098" s="52" t="s">
        <v>93</v>
      </c>
      <c r="I2098" s="52">
        <v>658.99999999999989</v>
      </c>
      <c r="J2098" s="49">
        <v>28804.89</v>
      </c>
      <c r="K2098" s="58">
        <v>671.2</v>
      </c>
      <c r="L2098" s="58">
        <v>30660.71</v>
      </c>
      <c r="M2098" s="58">
        <v>13.9</v>
      </c>
      <c r="N2098" s="58">
        <v>659.34999999999991</v>
      </c>
      <c r="O2098" s="58">
        <v>685.1</v>
      </c>
      <c r="P2098" s="53">
        <v>31320.059999999998</v>
      </c>
      <c r="Q2098" s="65">
        <v>28804.89</v>
      </c>
      <c r="R2098" s="65">
        <v>0</v>
      </c>
      <c r="S2098" s="65">
        <v>659.34999999999991</v>
      </c>
      <c r="T2098" s="65">
        <v>2515.1699999999983</v>
      </c>
      <c r="U2098" s="58">
        <v>0</v>
      </c>
      <c r="V2098" s="65">
        <v>0</v>
      </c>
      <c r="W2098" s="65">
        <v>0</v>
      </c>
      <c r="X2098" s="65">
        <v>28146</v>
      </c>
      <c r="Y2098" s="65">
        <v>0</v>
      </c>
      <c r="Z2098" s="51">
        <v>0</v>
      </c>
      <c r="AA2098" s="51">
        <v>0</v>
      </c>
      <c r="AB2098" s="102">
        <v>0</v>
      </c>
      <c r="AC2098" s="81">
        <f t="shared" si="99"/>
        <v>35.842200000000119</v>
      </c>
      <c r="AD2098" s="82">
        <f t="shared" si="100"/>
        <v>94.142857142857125</v>
      </c>
      <c r="AE2098" s="218">
        <v>-8.731746588860427E-2</v>
      </c>
      <c r="AF2098">
        <v>5</v>
      </c>
      <c r="AH2098" t="str">
        <f t="shared" si="101"/>
        <v>Asarganj</v>
      </c>
      <c r="AJ2098" s="72">
        <v>0</v>
      </c>
      <c r="AK2098" s="72"/>
      <c r="AL2098" s="72"/>
      <c r="AM2098" s="72"/>
    </row>
    <row r="2099" spans="1:39" x14ac:dyDescent="0.25">
      <c r="A2099" s="37" t="s">
        <v>62</v>
      </c>
      <c r="B2099" s="66" t="s">
        <v>1654</v>
      </c>
      <c r="C2099" s="41">
        <v>1003</v>
      </c>
      <c r="D2099" s="41" t="s">
        <v>137</v>
      </c>
      <c r="E2099" s="41">
        <v>10030071</v>
      </c>
      <c r="F2099" s="85" t="s">
        <v>555</v>
      </c>
      <c r="G2099" s="39" t="s">
        <v>92</v>
      </c>
      <c r="H2099" s="52" t="s">
        <v>93</v>
      </c>
      <c r="I2099" s="52">
        <v>242</v>
      </c>
      <c r="J2099" s="49">
        <v>10451.550000000001</v>
      </c>
      <c r="K2099" s="58">
        <v>230.72</v>
      </c>
      <c r="L2099" s="58">
        <v>10241.070000000002</v>
      </c>
      <c r="M2099" s="58">
        <v>0</v>
      </c>
      <c r="N2099" s="58">
        <v>0</v>
      </c>
      <c r="O2099" s="58">
        <v>230.72</v>
      </c>
      <c r="P2099" s="53">
        <v>10241.070000000002</v>
      </c>
      <c r="Q2099" s="65">
        <v>10241.070000000002</v>
      </c>
      <c r="R2099" s="65">
        <v>0</v>
      </c>
      <c r="S2099" s="65">
        <v>0</v>
      </c>
      <c r="T2099" s="65">
        <v>0</v>
      </c>
      <c r="U2099" s="58">
        <v>0</v>
      </c>
      <c r="V2099" s="65">
        <v>500</v>
      </c>
      <c r="W2099" s="65">
        <v>0</v>
      </c>
      <c r="X2099" s="65">
        <v>9740</v>
      </c>
      <c r="Y2099" s="65">
        <v>0</v>
      </c>
      <c r="Z2099" s="51">
        <v>0</v>
      </c>
      <c r="AA2099" s="51">
        <v>212</v>
      </c>
      <c r="AB2099" s="102">
        <v>0</v>
      </c>
      <c r="AC2099" s="81">
        <f t="shared" si="99"/>
        <v>395.60412396694221</v>
      </c>
      <c r="AD2099" s="82">
        <f t="shared" si="100"/>
        <v>34.571428571428569</v>
      </c>
      <c r="AE2099" s="218">
        <v>2.0138639723294587E-2</v>
      </c>
      <c r="AF2099">
        <v>5</v>
      </c>
      <c r="AH2099" t="str">
        <f t="shared" si="101"/>
        <v>Asarganj</v>
      </c>
      <c r="AJ2099" s="72">
        <v>500</v>
      </c>
      <c r="AK2099" s="72"/>
      <c r="AL2099" s="72"/>
      <c r="AM2099" s="72"/>
    </row>
    <row r="2100" spans="1:39" x14ac:dyDescent="0.25">
      <c r="A2100" s="37" t="s">
        <v>62</v>
      </c>
      <c r="B2100" s="66" t="s">
        <v>1654</v>
      </c>
      <c r="C2100" s="41">
        <v>1003</v>
      </c>
      <c r="D2100" s="41" t="s">
        <v>137</v>
      </c>
      <c r="E2100" s="41">
        <v>10030072</v>
      </c>
      <c r="F2100" s="85" t="s">
        <v>1102</v>
      </c>
      <c r="G2100" s="39" t="s">
        <v>92</v>
      </c>
      <c r="H2100" s="52" t="s">
        <v>93</v>
      </c>
      <c r="I2100" s="52">
        <v>1278.1499999999999</v>
      </c>
      <c r="J2100" s="49">
        <v>52195.229999999996</v>
      </c>
      <c r="K2100" s="58">
        <v>1262.0000000000002</v>
      </c>
      <c r="L2100" s="58">
        <v>52576.070000000007</v>
      </c>
      <c r="M2100" s="58">
        <v>14.280000000000001</v>
      </c>
      <c r="N2100" s="58">
        <v>602.24</v>
      </c>
      <c r="O2100" s="58">
        <v>1276.2800000000002</v>
      </c>
      <c r="P2100" s="53">
        <v>53178.310000000005</v>
      </c>
      <c r="Q2100" s="65">
        <v>52195.229999999996</v>
      </c>
      <c r="R2100" s="65">
        <v>0</v>
      </c>
      <c r="S2100" s="65">
        <v>602.24</v>
      </c>
      <c r="T2100" s="65">
        <v>983.08000000000902</v>
      </c>
      <c r="U2100" s="58">
        <v>0</v>
      </c>
      <c r="V2100" s="65">
        <v>0</v>
      </c>
      <c r="W2100" s="65">
        <v>0</v>
      </c>
      <c r="X2100" s="65">
        <v>51593</v>
      </c>
      <c r="Y2100" s="65">
        <v>0</v>
      </c>
      <c r="Z2100" s="51">
        <v>0</v>
      </c>
      <c r="AA2100" s="51">
        <v>0</v>
      </c>
      <c r="AB2100" s="102">
        <v>0</v>
      </c>
      <c r="AC2100" s="81">
        <f t="shared" si="99"/>
        <v>0</v>
      </c>
      <c r="AD2100" s="82">
        <f t="shared" si="100"/>
        <v>0</v>
      </c>
      <c r="AE2100" s="218">
        <v>-1.8834671290844183E-2</v>
      </c>
      <c r="AF2100">
        <v>26</v>
      </c>
      <c r="AH2100" t="str">
        <f t="shared" si="101"/>
        <v>Asarganj</v>
      </c>
      <c r="AJ2100" s="72">
        <v>0</v>
      </c>
      <c r="AK2100" s="72"/>
      <c r="AL2100" s="72"/>
      <c r="AM2100" s="72"/>
    </row>
    <row r="2101" spans="1:39" x14ac:dyDescent="0.25">
      <c r="A2101" s="37" t="s">
        <v>62</v>
      </c>
      <c r="B2101" s="66" t="s">
        <v>1654</v>
      </c>
      <c r="C2101" s="41">
        <v>1003</v>
      </c>
      <c r="D2101" s="41" t="s">
        <v>137</v>
      </c>
      <c r="E2101" s="41">
        <v>10030074</v>
      </c>
      <c r="F2101" s="85" t="s">
        <v>1162</v>
      </c>
      <c r="G2101" s="39" t="s">
        <v>92</v>
      </c>
      <c r="H2101" s="52" t="s">
        <v>93</v>
      </c>
      <c r="I2101" s="52">
        <v>1789.2500000000005</v>
      </c>
      <c r="J2101" s="49">
        <v>77246.06</v>
      </c>
      <c r="K2101" s="58">
        <v>2003.4199999999998</v>
      </c>
      <c r="L2101" s="58">
        <v>89642.96</v>
      </c>
      <c r="M2101" s="58">
        <v>0</v>
      </c>
      <c r="N2101" s="58">
        <v>0</v>
      </c>
      <c r="O2101" s="58">
        <v>2003.4199999999998</v>
      </c>
      <c r="P2101" s="53">
        <v>89642.96</v>
      </c>
      <c r="Q2101" s="65">
        <v>77246.06</v>
      </c>
      <c r="R2101" s="65">
        <v>0</v>
      </c>
      <c r="S2101" s="65">
        <v>0</v>
      </c>
      <c r="T2101" s="65">
        <v>12396.900000000009</v>
      </c>
      <c r="U2101" s="58">
        <v>0</v>
      </c>
      <c r="V2101" s="65">
        <v>0</v>
      </c>
      <c r="W2101" s="65">
        <v>0</v>
      </c>
      <c r="X2101" s="65">
        <v>77246</v>
      </c>
      <c r="Y2101" s="65">
        <v>0</v>
      </c>
      <c r="Z2101" s="51">
        <v>0</v>
      </c>
      <c r="AA2101" s="51">
        <v>0</v>
      </c>
      <c r="AB2101" s="102">
        <v>0</v>
      </c>
      <c r="AC2101" s="81">
        <f t="shared" si="99"/>
        <v>0</v>
      </c>
      <c r="AD2101" s="82">
        <f t="shared" si="100"/>
        <v>0</v>
      </c>
      <c r="AE2101" s="218">
        <v>-0.1604858552008997</v>
      </c>
      <c r="AF2101">
        <v>3</v>
      </c>
      <c r="AH2101" t="str">
        <f t="shared" si="101"/>
        <v>Asarganj</v>
      </c>
      <c r="AJ2101" s="72">
        <v>0</v>
      </c>
      <c r="AK2101" s="72"/>
      <c r="AL2101" s="72"/>
      <c r="AM2101" s="72"/>
    </row>
    <row r="2102" spans="1:39" x14ac:dyDescent="0.25">
      <c r="A2102" s="37" t="s">
        <v>62</v>
      </c>
      <c r="B2102" s="66" t="s">
        <v>1654</v>
      </c>
      <c r="C2102" s="41">
        <v>1003</v>
      </c>
      <c r="D2102" s="41" t="s">
        <v>137</v>
      </c>
      <c r="E2102" s="41">
        <v>10030075</v>
      </c>
      <c r="F2102" s="85" t="s">
        <v>1132</v>
      </c>
      <c r="G2102" s="39" t="s">
        <v>92</v>
      </c>
      <c r="H2102" s="52" t="s">
        <v>93</v>
      </c>
      <c r="I2102" s="52">
        <v>548.15</v>
      </c>
      <c r="J2102" s="49">
        <v>24882.249999999996</v>
      </c>
      <c r="K2102" s="58">
        <v>553.17999999999995</v>
      </c>
      <c r="L2102" s="58">
        <v>25404.300000000003</v>
      </c>
      <c r="M2102" s="58">
        <v>0</v>
      </c>
      <c r="N2102" s="58">
        <v>0</v>
      </c>
      <c r="O2102" s="58">
        <v>553.17999999999995</v>
      </c>
      <c r="P2102" s="53">
        <v>25404.300000000003</v>
      </c>
      <c r="Q2102" s="65">
        <v>24882.249999999996</v>
      </c>
      <c r="R2102" s="65">
        <v>0</v>
      </c>
      <c r="S2102" s="65">
        <v>0</v>
      </c>
      <c r="T2102" s="65">
        <v>522.05000000000655</v>
      </c>
      <c r="U2102" s="58">
        <v>0</v>
      </c>
      <c r="V2102" s="65">
        <v>0</v>
      </c>
      <c r="W2102" s="65">
        <v>0</v>
      </c>
      <c r="X2102" s="65">
        <v>24882</v>
      </c>
      <c r="Y2102" s="65">
        <v>0</v>
      </c>
      <c r="Z2102" s="51">
        <v>0</v>
      </c>
      <c r="AA2102" s="51">
        <v>0</v>
      </c>
      <c r="AB2102" s="102">
        <v>0</v>
      </c>
      <c r="AC2102" s="81">
        <f t="shared" si="99"/>
        <v>137.85896789200038</v>
      </c>
      <c r="AD2102" s="82">
        <f t="shared" si="100"/>
        <v>78.30714285714285</v>
      </c>
      <c r="AE2102" s="218">
        <v>-2.09808196606017E-2</v>
      </c>
      <c r="AF2102">
        <v>7</v>
      </c>
      <c r="AH2102" t="str">
        <f t="shared" si="101"/>
        <v>Asarganj</v>
      </c>
      <c r="AJ2102" s="72">
        <v>0</v>
      </c>
      <c r="AK2102" s="72"/>
      <c r="AL2102" s="72"/>
      <c r="AM2102" s="72"/>
    </row>
    <row r="2103" spans="1:39" x14ac:dyDescent="0.25">
      <c r="A2103" s="37" t="s">
        <v>62</v>
      </c>
      <c r="B2103" s="66" t="s">
        <v>1654</v>
      </c>
      <c r="C2103" s="41">
        <v>1003</v>
      </c>
      <c r="D2103" s="41" t="s">
        <v>137</v>
      </c>
      <c r="E2103" s="41">
        <v>10030077</v>
      </c>
      <c r="F2103" s="85" t="s">
        <v>1171</v>
      </c>
      <c r="G2103" s="39" t="s">
        <v>1610</v>
      </c>
      <c r="H2103" s="52" t="s">
        <v>98</v>
      </c>
      <c r="I2103" s="52">
        <v>150.55000000000001</v>
      </c>
      <c r="J2103" s="49">
        <v>5548.1799999999994</v>
      </c>
      <c r="K2103" s="58">
        <v>0</v>
      </c>
      <c r="L2103" s="58">
        <v>0</v>
      </c>
      <c r="M2103" s="58">
        <v>0</v>
      </c>
      <c r="N2103" s="58">
        <v>0</v>
      </c>
      <c r="O2103" s="58">
        <v>0</v>
      </c>
      <c r="P2103" s="53">
        <v>0</v>
      </c>
      <c r="Q2103" s="65">
        <v>5548.1799999999994</v>
      </c>
      <c r="R2103" s="65">
        <v>0</v>
      </c>
      <c r="S2103" s="65">
        <v>0</v>
      </c>
      <c r="T2103" s="65">
        <v>0</v>
      </c>
      <c r="U2103" s="58">
        <v>0</v>
      </c>
      <c r="V2103" s="65">
        <v>0</v>
      </c>
      <c r="W2103" s="65">
        <v>0</v>
      </c>
      <c r="X2103" s="65">
        <v>0</v>
      </c>
      <c r="Y2103" s="65">
        <v>0</v>
      </c>
      <c r="Z2103" s="51">
        <v>5548.1799999999994</v>
      </c>
      <c r="AA2103" s="51">
        <v>0</v>
      </c>
      <c r="AB2103" s="102">
        <v>0</v>
      </c>
      <c r="AC2103" s="81">
        <f t="shared" si="99"/>
        <v>404.97475934905333</v>
      </c>
      <c r="AD2103" s="82">
        <f t="shared" si="100"/>
        <v>21.50714285714286</v>
      </c>
      <c r="AE2103" s="218">
        <v>0</v>
      </c>
      <c r="AF2103">
        <v>0</v>
      </c>
      <c r="AH2103" t="str">
        <f t="shared" si="101"/>
        <v>Asarganj</v>
      </c>
      <c r="AJ2103" s="72">
        <v>0</v>
      </c>
      <c r="AK2103" s="72"/>
      <c r="AL2103" s="72"/>
      <c r="AM2103" s="72"/>
    </row>
    <row r="2104" spans="1:39" x14ac:dyDescent="0.25">
      <c r="A2104" s="37" t="s">
        <v>62</v>
      </c>
      <c r="B2104" s="66" t="s">
        <v>1654</v>
      </c>
      <c r="C2104" s="41">
        <v>1003</v>
      </c>
      <c r="D2104" s="41" t="s">
        <v>137</v>
      </c>
      <c r="E2104" s="41">
        <v>10030078</v>
      </c>
      <c r="F2104" s="85" t="s">
        <v>1218</v>
      </c>
      <c r="G2104" s="39" t="s">
        <v>92</v>
      </c>
      <c r="H2104" s="52" t="s">
        <v>93</v>
      </c>
      <c r="I2104" s="52">
        <v>856.50000000000023</v>
      </c>
      <c r="J2104" s="49">
        <v>40255.300000000003</v>
      </c>
      <c r="K2104" s="58">
        <v>838.57999999999993</v>
      </c>
      <c r="L2104" s="58">
        <v>43133.599999999999</v>
      </c>
      <c r="M2104" s="58">
        <v>0</v>
      </c>
      <c r="N2104" s="58">
        <v>0</v>
      </c>
      <c r="O2104" s="58">
        <v>838.57999999999993</v>
      </c>
      <c r="P2104" s="53">
        <v>43133.599999999999</v>
      </c>
      <c r="Q2104" s="65">
        <v>40255.300000000003</v>
      </c>
      <c r="R2104" s="65">
        <v>0</v>
      </c>
      <c r="S2104" s="65">
        <v>0</v>
      </c>
      <c r="T2104" s="65">
        <v>2878.2999999999956</v>
      </c>
      <c r="U2104" s="58">
        <v>0</v>
      </c>
      <c r="V2104" s="65">
        <v>0</v>
      </c>
      <c r="W2104" s="65">
        <v>0</v>
      </c>
      <c r="X2104" s="65">
        <v>40255</v>
      </c>
      <c r="Y2104" s="65">
        <v>0</v>
      </c>
      <c r="Z2104" s="51">
        <v>0</v>
      </c>
      <c r="AA2104" s="51">
        <v>0</v>
      </c>
      <c r="AB2104" s="102">
        <v>0</v>
      </c>
      <c r="AC2104" s="81">
        <f t="shared" si="99"/>
        <v>0</v>
      </c>
      <c r="AD2104" s="82">
        <f t="shared" si="100"/>
        <v>0</v>
      </c>
      <c r="AE2104" s="218">
        <v>-7.1501143948747015E-2</v>
      </c>
      <c r="AF2104">
        <v>5</v>
      </c>
      <c r="AH2104" t="str">
        <f t="shared" si="101"/>
        <v>Asarganj</v>
      </c>
      <c r="AJ2104" s="72">
        <v>0</v>
      </c>
      <c r="AK2104" s="72"/>
      <c r="AL2104" s="72"/>
      <c r="AM2104" s="72"/>
    </row>
    <row r="2105" spans="1:39" x14ac:dyDescent="0.25">
      <c r="A2105" s="37" t="s">
        <v>62</v>
      </c>
      <c r="B2105" s="66" t="s">
        <v>1654</v>
      </c>
      <c r="C2105" s="41">
        <v>1003</v>
      </c>
      <c r="D2105" s="41" t="s">
        <v>137</v>
      </c>
      <c r="E2105" s="41">
        <v>10030080</v>
      </c>
      <c r="F2105" s="85" t="s">
        <v>1226</v>
      </c>
      <c r="G2105" s="39" t="s">
        <v>92</v>
      </c>
      <c r="H2105" s="52" t="s">
        <v>93</v>
      </c>
      <c r="I2105" s="52">
        <v>936.3499999999998</v>
      </c>
      <c r="J2105" s="49">
        <v>38242.29</v>
      </c>
      <c r="K2105" s="58">
        <v>950.16999999999973</v>
      </c>
      <c r="L2105" s="58">
        <v>36561.570000000007</v>
      </c>
      <c r="M2105" s="58">
        <v>0</v>
      </c>
      <c r="N2105" s="58">
        <v>0</v>
      </c>
      <c r="O2105" s="58">
        <v>950.16999999999973</v>
      </c>
      <c r="P2105" s="53">
        <v>36561.570000000007</v>
      </c>
      <c r="Q2105" s="65">
        <v>36561.570000000007</v>
      </c>
      <c r="R2105" s="65">
        <v>0</v>
      </c>
      <c r="S2105" s="65">
        <v>0</v>
      </c>
      <c r="T2105" s="65">
        <v>0</v>
      </c>
      <c r="U2105" s="58">
        <v>0</v>
      </c>
      <c r="V2105" s="65">
        <v>0</v>
      </c>
      <c r="W2105" s="65">
        <v>0</v>
      </c>
      <c r="X2105" s="65">
        <v>36563</v>
      </c>
      <c r="Y2105" s="65">
        <v>0</v>
      </c>
      <c r="Z2105" s="51">
        <v>0</v>
      </c>
      <c r="AA2105" s="51">
        <v>1679</v>
      </c>
      <c r="AB2105" s="102">
        <v>0</v>
      </c>
      <c r="AC2105" s="81">
        <f t="shared" si="99"/>
        <v>0</v>
      </c>
      <c r="AD2105" s="82">
        <f t="shared" si="100"/>
        <v>0</v>
      </c>
      <c r="AE2105" s="218">
        <v>4.394925094705348E-2</v>
      </c>
      <c r="AF2105">
        <v>27</v>
      </c>
      <c r="AH2105" t="str">
        <f t="shared" si="101"/>
        <v>Asarganj</v>
      </c>
      <c r="AJ2105" s="72">
        <v>0</v>
      </c>
      <c r="AK2105" s="72"/>
      <c r="AL2105" s="72"/>
      <c r="AM2105" s="72"/>
    </row>
    <row r="2106" spans="1:39" x14ac:dyDescent="0.25">
      <c r="A2106" s="37" t="s">
        <v>62</v>
      </c>
      <c r="B2106" s="66" t="s">
        <v>1654</v>
      </c>
      <c r="C2106" s="41">
        <v>1003</v>
      </c>
      <c r="D2106" s="41" t="s">
        <v>137</v>
      </c>
      <c r="E2106" s="41">
        <v>10030082</v>
      </c>
      <c r="F2106" s="85" t="s">
        <v>1278</v>
      </c>
      <c r="G2106" s="39" t="s">
        <v>92</v>
      </c>
      <c r="H2106" s="52" t="s">
        <v>93</v>
      </c>
      <c r="I2106" s="52">
        <v>680.50000000000011</v>
      </c>
      <c r="J2106" s="49">
        <v>28373.25</v>
      </c>
      <c r="K2106" s="58">
        <v>670.37000000000012</v>
      </c>
      <c r="L2106" s="58">
        <v>27668.150000000005</v>
      </c>
      <c r="M2106" s="58">
        <v>0</v>
      </c>
      <c r="N2106" s="58">
        <v>0</v>
      </c>
      <c r="O2106" s="58">
        <v>670.37000000000012</v>
      </c>
      <c r="P2106" s="53">
        <v>27668.150000000005</v>
      </c>
      <c r="Q2106" s="65">
        <v>27668.150000000005</v>
      </c>
      <c r="R2106" s="65">
        <v>0</v>
      </c>
      <c r="S2106" s="65">
        <v>0</v>
      </c>
      <c r="T2106" s="65">
        <v>0</v>
      </c>
      <c r="U2106" s="58">
        <v>0</v>
      </c>
      <c r="V2106" s="65">
        <v>0</v>
      </c>
      <c r="W2106" s="65">
        <v>0</v>
      </c>
      <c r="X2106" s="65">
        <v>27668</v>
      </c>
      <c r="Y2106" s="65">
        <v>0</v>
      </c>
      <c r="Z2106" s="51">
        <v>0</v>
      </c>
      <c r="AA2106" s="51">
        <v>705</v>
      </c>
      <c r="AB2106" s="102">
        <v>0</v>
      </c>
      <c r="AC2106" s="81">
        <f t="shared" si="99"/>
        <v>16.260936811168126</v>
      </c>
      <c r="AD2106" s="82">
        <f t="shared" si="100"/>
        <v>97.214285714285737</v>
      </c>
      <c r="AE2106" s="218">
        <v>2.4850871859938319E-2</v>
      </c>
      <c r="AF2106">
        <v>1</v>
      </c>
      <c r="AH2106" t="str">
        <f t="shared" si="101"/>
        <v>Asarganj</v>
      </c>
      <c r="AJ2106" s="72">
        <v>0</v>
      </c>
      <c r="AK2106" s="72"/>
      <c r="AL2106" s="72"/>
      <c r="AM2106" s="72"/>
    </row>
    <row r="2107" spans="1:39" x14ac:dyDescent="0.25">
      <c r="A2107" s="37" t="s">
        <v>62</v>
      </c>
      <c r="B2107" s="66" t="s">
        <v>1654</v>
      </c>
      <c r="C2107" s="41">
        <v>1003</v>
      </c>
      <c r="D2107" s="41" t="s">
        <v>137</v>
      </c>
      <c r="E2107" s="41">
        <v>10030084</v>
      </c>
      <c r="F2107" s="85" t="s">
        <v>1285</v>
      </c>
      <c r="G2107" s="39" t="s">
        <v>92</v>
      </c>
      <c r="H2107" s="52" t="s">
        <v>93</v>
      </c>
      <c r="I2107" s="52">
        <v>362.85</v>
      </c>
      <c r="J2107" s="49">
        <v>16638.939999999999</v>
      </c>
      <c r="K2107" s="58">
        <v>423.16999999999996</v>
      </c>
      <c r="L2107" s="58">
        <v>21234.730000000003</v>
      </c>
      <c r="M2107" s="58">
        <v>0</v>
      </c>
      <c r="N2107" s="58">
        <v>0</v>
      </c>
      <c r="O2107" s="58">
        <v>423.16999999999996</v>
      </c>
      <c r="P2107" s="53">
        <v>21234.730000000003</v>
      </c>
      <c r="Q2107" s="65">
        <v>16638.939999999999</v>
      </c>
      <c r="R2107" s="65">
        <v>0</v>
      </c>
      <c r="S2107" s="65">
        <v>0</v>
      </c>
      <c r="T2107" s="65">
        <v>4595.7900000000045</v>
      </c>
      <c r="U2107" s="58">
        <v>0</v>
      </c>
      <c r="V2107" s="65">
        <v>0</v>
      </c>
      <c r="W2107" s="65">
        <v>0</v>
      </c>
      <c r="X2107" s="65">
        <v>16639</v>
      </c>
      <c r="Y2107" s="65">
        <v>0</v>
      </c>
      <c r="Z2107" s="51">
        <v>0</v>
      </c>
      <c r="AA2107" s="51">
        <v>0</v>
      </c>
      <c r="AB2107" s="102">
        <v>0</v>
      </c>
      <c r="AC2107" s="81">
        <f t="shared" si="99"/>
        <v>309.20868794267597</v>
      </c>
      <c r="AD2107" s="82">
        <f t="shared" si="100"/>
        <v>51.835714285714289</v>
      </c>
      <c r="AE2107" s="218">
        <v>-0.27620689779517232</v>
      </c>
      <c r="AF2107">
        <v>1</v>
      </c>
      <c r="AH2107" t="str">
        <f t="shared" si="101"/>
        <v>Asarganj</v>
      </c>
      <c r="AJ2107" s="72">
        <v>0</v>
      </c>
      <c r="AK2107" s="72"/>
      <c r="AL2107" s="72"/>
      <c r="AM2107" s="72"/>
    </row>
    <row r="2108" spans="1:39" x14ac:dyDescent="0.25">
      <c r="A2108" s="37" t="s">
        <v>62</v>
      </c>
      <c r="B2108" s="66" t="s">
        <v>1654</v>
      </c>
      <c r="C2108" s="41">
        <v>1003</v>
      </c>
      <c r="D2108" s="43" t="s">
        <v>137</v>
      </c>
      <c r="E2108" s="41">
        <v>10030085</v>
      </c>
      <c r="F2108" s="85" t="s">
        <v>1286</v>
      </c>
      <c r="G2108" s="39" t="s">
        <v>92</v>
      </c>
      <c r="H2108" s="52" t="s">
        <v>93</v>
      </c>
      <c r="I2108" s="52">
        <v>939.65000000000009</v>
      </c>
      <c r="J2108" s="49">
        <v>46155.87999999999</v>
      </c>
      <c r="K2108" s="58">
        <v>1025.57</v>
      </c>
      <c r="L2108" s="58">
        <v>51864.099999999991</v>
      </c>
      <c r="M2108" s="58">
        <v>0</v>
      </c>
      <c r="N2108" s="58">
        <v>0</v>
      </c>
      <c r="O2108" s="58">
        <v>1025.57</v>
      </c>
      <c r="P2108" s="53">
        <v>51864.099999999991</v>
      </c>
      <c r="Q2108" s="65">
        <v>46155.87999999999</v>
      </c>
      <c r="R2108" s="65">
        <v>0</v>
      </c>
      <c r="S2108" s="65">
        <v>0</v>
      </c>
      <c r="T2108" s="65">
        <v>5708.2200000000012</v>
      </c>
      <c r="U2108" s="58">
        <v>0</v>
      </c>
      <c r="V2108" s="65">
        <v>0</v>
      </c>
      <c r="W2108" s="65">
        <v>0</v>
      </c>
      <c r="X2108" s="65">
        <v>46156</v>
      </c>
      <c r="Y2108" s="65">
        <v>0</v>
      </c>
      <c r="Z2108" s="51">
        <v>0</v>
      </c>
      <c r="AA2108" s="51">
        <v>0</v>
      </c>
      <c r="AB2108" s="102">
        <v>0</v>
      </c>
      <c r="AC2108" s="81">
        <f t="shared" si="99"/>
        <v>0</v>
      </c>
      <c r="AD2108" s="82">
        <f t="shared" si="100"/>
        <v>0</v>
      </c>
      <c r="AE2108" s="218">
        <v>-0.12367265015854974</v>
      </c>
      <c r="AF2108">
        <v>1</v>
      </c>
      <c r="AH2108" t="str">
        <f t="shared" si="101"/>
        <v>Asarganj</v>
      </c>
      <c r="AJ2108" s="72">
        <v>0</v>
      </c>
      <c r="AK2108" s="72"/>
      <c r="AL2108" s="72"/>
      <c r="AM2108" s="72"/>
    </row>
    <row r="2109" spans="1:39" x14ac:dyDescent="0.25">
      <c r="A2109" s="37" t="s">
        <v>62</v>
      </c>
      <c r="B2109" s="66" t="s">
        <v>1654</v>
      </c>
      <c r="C2109" s="41">
        <v>1003</v>
      </c>
      <c r="D2109" s="43" t="s">
        <v>137</v>
      </c>
      <c r="E2109" s="41">
        <v>10030087</v>
      </c>
      <c r="F2109" s="85" t="s">
        <v>1489</v>
      </c>
      <c r="G2109" s="39" t="s">
        <v>92</v>
      </c>
      <c r="H2109" s="52" t="s">
        <v>93</v>
      </c>
      <c r="I2109" s="52">
        <v>384.29999999999995</v>
      </c>
      <c r="J2109" s="49">
        <v>22122.190000000002</v>
      </c>
      <c r="K2109" s="58">
        <v>390.77000000000004</v>
      </c>
      <c r="L2109" s="58">
        <v>21789.469999999994</v>
      </c>
      <c r="M2109" s="58">
        <v>0</v>
      </c>
      <c r="N2109" s="58">
        <v>0</v>
      </c>
      <c r="O2109" s="58">
        <v>390.77000000000004</v>
      </c>
      <c r="P2109" s="53">
        <v>21789.469999999994</v>
      </c>
      <c r="Q2109" s="65">
        <v>21789.469999999994</v>
      </c>
      <c r="R2109" s="65">
        <v>0</v>
      </c>
      <c r="S2109" s="65">
        <v>0</v>
      </c>
      <c r="T2109" s="65">
        <v>0</v>
      </c>
      <c r="U2109" s="58">
        <v>0</v>
      </c>
      <c r="V2109" s="65">
        <v>0</v>
      </c>
      <c r="W2109" s="65">
        <v>0</v>
      </c>
      <c r="X2109" s="65">
        <v>21789</v>
      </c>
      <c r="Y2109" s="65">
        <v>0</v>
      </c>
      <c r="Z2109" s="51">
        <v>0</v>
      </c>
      <c r="AA2109" s="51">
        <v>333</v>
      </c>
      <c r="AB2109" s="102">
        <v>0</v>
      </c>
      <c r="AC2109" s="81">
        <f t="shared" si="99"/>
        <v>363.46476102003663</v>
      </c>
      <c r="AD2109" s="82">
        <f t="shared" si="100"/>
        <v>54.899999999999991</v>
      </c>
      <c r="AE2109" s="218">
        <v>1.5040102268356271E-2</v>
      </c>
      <c r="AF2109">
        <v>1</v>
      </c>
      <c r="AH2109" t="str">
        <f t="shared" si="101"/>
        <v>Asarganj</v>
      </c>
      <c r="AJ2109" s="72">
        <v>0</v>
      </c>
      <c r="AK2109" s="72"/>
      <c r="AL2109" s="72"/>
      <c r="AM2109" s="72"/>
    </row>
    <row r="2110" spans="1:39" x14ac:dyDescent="0.25">
      <c r="A2110" s="37" t="s">
        <v>62</v>
      </c>
      <c r="B2110" s="66" t="s">
        <v>1654</v>
      </c>
      <c r="C2110" s="41">
        <v>1003</v>
      </c>
      <c r="D2110" s="43" t="s">
        <v>137</v>
      </c>
      <c r="E2110" s="41">
        <v>10030088</v>
      </c>
      <c r="F2110" s="85" t="s">
        <v>1490</v>
      </c>
      <c r="G2110" s="39" t="s">
        <v>92</v>
      </c>
      <c r="H2110" s="52" t="s">
        <v>93</v>
      </c>
      <c r="I2110" s="52">
        <v>509.34999999999997</v>
      </c>
      <c r="J2110" s="49">
        <v>19206.509999999998</v>
      </c>
      <c r="K2110" s="58">
        <v>496.1</v>
      </c>
      <c r="L2110" s="58">
        <v>18910.490000000002</v>
      </c>
      <c r="M2110" s="58">
        <v>0</v>
      </c>
      <c r="N2110" s="58">
        <v>0</v>
      </c>
      <c r="O2110" s="58">
        <v>496.1</v>
      </c>
      <c r="P2110" s="53">
        <v>18910.490000000002</v>
      </c>
      <c r="Q2110" s="65">
        <v>18910.490000000002</v>
      </c>
      <c r="R2110" s="65">
        <v>0</v>
      </c>
      <c r="S2110" s="65">
        <v>0</v>
      </c>
      <c r="T2110" s="65">
        <v>0</v>
      </c>
      <c r="U2110" s="58">
        <v>0</v>
      </c>
      <c r="V2110" s="65">
        <v>0</v>
      </c>
      <c r="W2110" s="65">
        <v>0</v>
      </c>
      <c r="X2110" s="65">
        <v>18910</v>
      </c>
      <c r="Y2110" s="65">
        <v>0</v>
      </c>
      <c r="Z2110" s="51">
        <v>0</v>
      </c>
      <c r="AA2110" s="51">
        <v>297</v>
      </c>
      <c r="AB2110" s="102">
        <v>0</v>
      </c>
      <c r="AC2110" s="81">
        <f t="shared" ref="AC2110:AC2173" si="102">((IF(AD2110=0,0,100-AD2110))*7*(J2110/I2110))*2%</f>
        <v>143.78015633650736</v>
      </c>
      <c r="AD2110" s="82">
        <f t="shared" ref="AD2110:AD2173" si="103">IF((I2110/7)&gt;100,0,(I2110/7))</f>
        <v>72.764285714285705</v>
      </c>
      <c r="AE2110" s="218">
        <v>1.5412482538472468E-2</v>
      </c>
      <c r="AF2110">
        <v>1</v>
      </c>
      <c r="AH2110" t="str">
        <f t="shared" si="101"/>
        <v>Asarganj</v>
      </c>
      <c r="AJ2110" s="72">
        <v>0</v>
      </c>
      <c r="AK2110" s="72"/>
      <c r="AL2110" s="72"/>
      <c r="AM2110" s="72"/>
    </row>
    <row r="2111" spans="1:39" x14ac:dyDescent="0.25">
      <c r="A2111" s="37" t="s">
        <v>62</v>
      </c>
      <c r="B2111" s="66" t="s">
        <v>1654</v>
      </c>
      <c r="C2111" s="41">
        <v>1003</v>
      </c>
      <c r="D2111" s="43" t="s">
        <v>137</v>
      </c>
      <c r="E2111" s="41">
        <v>10030089</v>
      </c>
      <c r="F2111" s="85" t="s">
        <v>1491</v>
      </c>
      <c r="G2111" s="39" t="s">
        <v>92</v>
      </c>
      <c r="H2111" s="52" t="s">
        <v>93</v>
      </c>
      <c r="I2111" s="52">
        <v>995.10000000000014</v>
      </c>
      <c r="J2111" s="49">
        <v>50918.04</v>
      </c>
      <c r="K2111" s="58">
        <v>1190.29</v>
      </c>
      <c r="L2111" s="58">
        <v>62253.899999999994</v>
      </c>
      <c r="M2111" s="58">
        <v>0</v>
      </c>
      <c r="N2111" s="58">
        <v>0</v>
      </c>
      <c r="O2111" s="58">
        <v>1190.29</v>
      </c>
      <c r="P2111" s="53">
        <v>62253.899999999994</v>
      </c>
      <c r="Q2111" s="65">
        <v>50918.04</v>
      </c>
      <c r="R2111" s="65">
        <v>0</v>
      </c>
      <c r="S2111" s="65">
        <v>0</v>
      </c>
      <c r="T2111" s="65">
        <v>11335.859999999993</v>
      </c>
      <c r="U2111" s="58">
        <v>0</v>
      </c>
      <c r="V2111" s="65">
        <v>0</v>
      </c>
      <c r="W2111" s="65">
        <v>0</v>
      </c>
      <c r="X2111" s="65">
        <v>50918</v>
      </c>
      <c r="Y2111" s="65">
        <v>0</v>
      </c>
      <c r="Z2111" s="51">
        <v>0</v>
      </c>
      <c r="AA2111" s="51">
        <v>0</v>
      </c>
      <c r="AB2111" s="102">
        <v>0</v>
      </c>
      <c r="AC2111" s="81">
        <f t="shared" si="102"/>
        <v>0</v>
      </c>
      <c r="AD2111" s="82">
        <f t="shared" si="103"/>
        <v>0</v>
      </c>
      <c r="AE2111" s="218">
        <v>-0.22262954347810704</v>
      </c>
      <c r="AF2111">
        <v>2</v>
      </c>
      <c r="AH2111" t="str">
        <f t="shared" si="101"/>
        <v>Asarganj</v>
      </c>
      <c r="AJ2111" s="72">
        <v>0</v>
      </c>
      <c r="AK2111" s="72"/>
      <c r="AL2111" s="72"/>
      <c r="AM2111" s="72"/>
    </row>
    <row r="2112" spans="1:39" x14ac:dyDescent="0.25">
      <c r="A2112" s="37" t="s">
        <v>62</v>
      </c>
      <c r="B2112" s="66" t="s">
        <v>1654</v>
      </c>
      <c r="C2112" s="41">
        <v>1003</v>
      </c>
      <c r="D2112" s="43" t="s">
        <v>137</v>
      </c>
      <c r="E2112" s="41">
        <v>10030090</v>
      </c>
      <c r="F2112" s="85" t="s">
        <v>1492</v>
      </c>
      <c r="G2112" s="39" t="s">
        <v>92</v>
      </c>
      <c r="H2112" s="52" t="s">
        <v>93</v>
      </c>
      <c r="I2112" s="52">
        <v>523.55000000000007</v>
      </c>
      <c r="J2112" s="49">
        <v>22252.25</v>
      </c>
      <c r="K2112" s="58">
        <v>575.95999999999992</v>
      </c>
      <c r="L2112" s="58">
        <v>26048.040000000005</v>
      </c>
      <c r="M2112" s="58">
        <v>0</v>
      </c>
      <c r="N2112" s="58">
        <v>0</v>
      </c>
      <c r="O2112" s="58">
        <v>575.95999999999992</v>
      </c>
      <c r="P2112" s="53">
        <v>26048.040000000005</v>
      </c>
      <c r="Q2112" s="65">
        <v>22252.25</v>
      </c>
      <c r="R2112" s="65">
        <v>0</v>
      </c>
      <c r="S2112" s="65">
        <v>0</v>
      </c>
      <c r="T2112" s="65">
        <v>3795.7900000000045</v>
      </c>
      <c r="U2112" s="58">
        <v>0</v>
      </c>
      <c r="V2112" s="65">
        <v>0</v>
      </c>
      <c r="W2112" s="65">
        <v>0</v>
      </c>
      <c r="X2112" s="65">
        <v>22252</v>
      </c>
      <c r="Y2112" s="65">
        <v>0</v>
      </c>
      <c r="Z2112" s="51">
        <v>0</v>
      </c>
      <c r="AA2112" s="51">
        <v>0</v>
      </c>
      <c r="AB2112" s="102">
        <v>0</v>
      </c>
      <c r="AC2112" s="81">
        <f t="shared" si="102"/>
        <v>149.99176821698012</v>
      </c>
      <c r="AD2112" s="82">
        <f t="shared" si="103"/>
        <v>74.792857142857159</v>
      </c>
      <c r="AE2112" s="218">
        <v>-0.17058005370243479</v>
      </c>
      <c r="AF2112">
        <v>1</v>
      </c>
      <c r="AH2112" t="str">
        <f t="shared" si="101"/>
        <v>Asarganj</v>
      </c>
      <c r="AJ2112" s="72">
        <v>0</v>
      </c>
      <c r="AK2112" s="72"/>
      <c r="AL2112" s="72"/>
      <c r="AM2112" s="72"/>
    </row>
    <row r="2113" spans="1:39" x14ac:dyDescent="0.25">
      <c r="A2113" s="37" t="s">
        <v>62</v>
      </c>
      <c r="B2113" s="66" t="s">
        <v>1654</v>
      </c>
      <c r="C2113" s="41">
        <v>1006</v>
      </c>
      <c r="D2113" s="43" t="s">
        <v>179</v>
      </c>
      <c r="E2113" s="41">
        <v>10060002</v>
      </c>
      <c r="F2113" s="85" t="s">
        <v>805</v>
      </c>
      <c r="G2113" s="39" t="s">
        <v>1610</v>
      </c>
      <c r="H2113" s="52" t="s">
        <v>98</v>
      </c>
      <c r="I2113" s="52">
        <v>1069.1999999999998</v>
      </c>
      <c r="J2113" s="49">
        <v>45605.69999999999</v>
      </c>
      <c r="K2113" s="58">
        <v>0</v>
      </c>
      <c r="L2113" s="58">
        <v>0</v>
      </c>
      <c r="M2113" s="58">
        <v>0</v>
      </c>
      <c r="N2113" s="58">
        <v>0</v>
      </c>
      <c r="O2113" s="58">
        <v>0</v>
      </c>
      <c r="P2113" s="53">
        <v>0</v>
      </c>
      <c r="Q2113" s="65">
        <v>45605.69999999999</v>
      </c>
      <c r="R2113" s="65">
        <v>0</v>
      </c>
      <c r="S2113" s="65">
        <v>0</v>
      </c>
      <c r="T2113" s="65">
        <v>0</v>
      </c>
      <c r="U2113" s="58">
        <v>0</v>
      </c>
      <c r="V2113" s="65">
        <v>0</v>
      </c>
      <c r="W2113" s="65">
        <v>0</v>
      </c>
      <c r="X2113" s="65">
        <v>0</v>
      </c>
      <c r="Y2113" s="65">
        <v>0</v>
      </c>
      <c r="Z2113" s="51">
        <v>45605.69999999999</v>
      </c>
      <c r="AA2113" s="51">
        <v>0</v>
      </c>
      <c r="AB2113" s="102">
        <v>0</v>
      </c>
      <c r="AC2113" s="81">
        <f t="shared" si="102"/>
        <v>0</v>
      </c>
      <c r="AD2113" s="82">
        <f t="shared" si="103"/>
        <v>0</v>
      </c>
      <c r="AE2113" s="218">
        <v>0</v>
      </c>
      <c r="AF2113">
        <v>0</v>
      </c>
      <c r="AH2113" t="str">
        <f t="shared" si="101"/>
        <v>Sonvarsha</v>
      </c>
      <c r="AJ2113" s="72">
        <v>0</v>
      </c>
      <c r="AK2113" s="72"/>
      <c r="AL2113" s="72"/>
      <c r="AM2113" s="72"/>
    </row>
    <row r="2114" spans="1:39" x14ac:dyDescent="0.25">
      <c r="A2114" s="37" t="s">
        <v>62</v>
      </c>
      <c r="B2114" s="66" t="s">
        <v>1654</v>
      </c>
      <c r="C2114" s="41">
        <v>1006</v>
      </c>
      <c r="D2114" s="43" t="s">
        <v>179</v>
      </c>
      <c r="E2114" s="41">
        <v>10060003</v>
      </c>
      <c r="F2114" s="85" t="s">
        <v>180</v>
      </c>
      <c r="G2114" s="39" t="s">
        <v>1610</v>
      </c>
      <c r="H2114" s="52" t="s">
        <v>98</v>
      </c>
      <c r="I2114" s="52">
        <v>1684.1999999999998</v>
      </c>
      <c r="J2114" s="49">
        <v>68672.449999999983</v>
      </c>
      <c r="K2114" s="58">
        <v>0</v>
      </c>
      <c r="L2114" s="58">
        <v>0</v>
      </c>
      <c r="M2114" s="58">
        <v>0</v>
      </c>
      <c r="N2114" s="58">
        <v>0</v>
      </c>
      <c r="O2114" s="58">
        <v>0</v>
      </c>
      <c r="P2114" s="53">
        <v>0</v>
      </c>
      <c r="Q2114" s="65">
        <v>68672.449999999983</v>
      </c>
      <c r="R2114" s="65">
        <v>0</v>
      </c>
      <c r="S2114" s="65">
        <v>0</v>
      </c>
      <c r="T2114" s="65">
        <v>0</v>
      </c>
      <c r="U2114" s="58">
        <v>0</v>
      </c>
      <c r="V2114" s="65">
        <v>0</v>
      </c>
      <c r="W2114" s="65">
        <v>0</v>
      </c>
      <c r="X2114" s="65">
        <v>0</v>
      </c>
      <c r="Y2114" s="65">
        <v>0</v>
      </c>
      <c r="Z2114" s="51">
        <v>68672.449999999983</v>
      </c>
      <c r="AA2114" s="51">
        <v>0</v>
      </c>
      <c r="AB2114" s="102">
        <v>0</v>
      </c>
      <c r="AC2114" s="81">
        <f t="shared" si="102"/>
        <v>0</v>
      </c>
      <c r="AD2114" s="82">
        <f t="shared" si="103"/>
        <v>0</v>
      </c>
      <c r="AE2114" s="218">
        <v>0</v>
      </c>
      <c r="AF2114">
        <v>0</v>
      </c>
      <c r="AH2114" t="str">
        <f t="shared" si="101"/>
        <v>Sonvarsha</v>
      </c>
      <c r="AJ2114" s="72">
        <v>0</v>
      </c>
      <c r="AK2114" s="72"/>
      <c r="AL2114" s="72"/>
      <c r="AM2114" s="72"/>
    </row>
    <row r="2115" spans="1:39" x14ac:dyDescent="0.25">
      <c r="A2115" s="37" t="s">
        <v>62</v>
      </c>
      <c r="B2115" s="66" t="s">
        <v>1654</v>
      </c>
      <c r="C2115" s="41">
        <v>1006</v>
      </c>
      <c r="D2115" s="43" t="s">
        <v>179</v>
      </c>
      <c r="E2115" s="41">
        <v>10060004</v>
      </c>
      <c r="F2115" s="85" t="s">
        <v>181</v>
      </c>
      <c r="G2115" s="39" t="s">
        <v>92</v>
      </c>
      <c r="H2115" s="52" t="s">
        <v>98</v>
      </c>
      <c r="I2115" s="52">
        <v>2797.4999999999995</v>
      </c>
      <c r="J2115" s="49">
        <v>113997.08</v>
      </c>
      <c r="K2115" s="58">
        <v>0</v>
      </c>
      <c r="L2115" s="58">
        <v>0</v>
      </c>
      <c r="M2115" s="58">
        <v>0</v>
      </c>
      <c r="N2115" s="58">
        <v>0</v>
      </c>
      <c r="O2115" s="58">
        <v>0</v>
      </c>
      <c r="P2115" s="53">
        <v>0</v>
      </c>
      <c r="Q2115" s="65">
        <v>113997.08</v>
      </c>
      <c r="R2115" s="65">
        <v>0</v>
      </c>
      <c r="S2115" s="65">
        <v>0</v>
      </c>
      <c r="T2115" s="65">
        <v>0</v>
      </c>
      <c r="U2115" s="58">
        <v>0</v>
      </c>
      <c r="V2115" s="65">
        <v>0</v>
      </c>
      <c r="W2115" s="65">
        <v>0</v>
      </c>
      <c r="X2115" s="65">
        <v>0</v>
      </c>
      <c r="Y2115" s="65">
        <v>0</v>
      </c>
      <c r="Z2115" s="51">
        <v>113997.08</v>
      </c>
      <c r="AA2115" s="51">
        <v>0</v>
      </c>
      <c r="AB2115" s="102">
        <v>0</v>
      </c>
      <c r="AC2115" s="81">
        <f t="shared" si="102"/>
        <v>0</v>
      </c>
      <c r="AD2115" s="82">
        <f t="shared" si="103"/>
        <v>0</v>
      </c>
      <c r="AE2115" s="218">
        <v>0</v>
      </c>
      <c r="AF2115">
        <v>0</v>
      </c>
      <c r="AH2115" t="str">
        <f t="shared" si="101"/>
        <v>Sonvarsha</v>
      </c>
      <c r="AJ2115" s="72">
        <v>0</v>
      </c>
      <c r="AK2115" s="72"/>
      <c r="AL2115" s="72"/>
      <c r="AM2115" s="72"/>
    </row>
    <row r="2116" spans="1:39" x14ac:dyDescent="0.25">
      <c r="A2116" s="37" t="s">
        <v>62</v>
      </c>
      <c r="B2116" s="66" t="s">
        <v>1654</v>
      </c>
      <c r="C2116" s="41">
        <v>1006</v>
      </c>
      <c r="D2116" s="43" t="s">
        <v>179</v>
      </c>
      <c r="E2116" s="41">
        <v>10060005</v>
      </c>
      <c r="F2116" s="85" t="s">
        <v>182</v>
      </c>
      <c r="G2116" s="39" t="s">
        <v>1610</v>
      </c>
      <c r="H2116" s="52" t="s">
        <v>98</v>
      </c>
      <c r="I2116" s="52">
        <v>806.6</v>
      </c>
      <c r="J2116" s="49">
        <v>34066.209999999992</v>
      </c>
      <c r="K2116" s="58">
        <v>0</v>
      </c>
      <c r="L2116" s="58">
        <v>0</v>
      </c>
      <c r="M2116" s="58">
        <v>0</v>
      </c>
      <c r="N2116" s="58">
        <v>0</v>
      </c>
      <c r="O2116" s="58">
        <v>0</v>
      </c>
      <c r="P2116" s="53">
        <v>0</v>
      </c>
      <c r="Q2116" s="65">
        <v>34066.209999999992</v>
      </c>
      <c r="R2116" s="65">
        <v>0</v>
      </c>
      <c r="S2116" s="65">
        <v>0</v>
      </c>
      <c r="T2116" s="65">
        <v>0</v>
      </c>
      <c r="U2116" s="58">
        <v>0</v>
      </c>
      <c r="V2116" s="65">
        <v>0</v>
      </c>
      <c r="W2116" s="65">
        <v>0</v>
      </c>
      <c r="X2116" s="65">
        <v>0</v>
      </c>
      <c r="Y2116" s="65">
        <v>0</v>
      </c>
      <c r="Z2116" s="51">
        <v>34066.209999999992</v>
      </c>
      <c r="AA2116" s="51">
        <v>0</v>
      </c>
      <c r="AB2116" s="102">
        <v>0</v>
      </c>
      <c r="AC2116" s="81">
        <f t="shared" si="102"/>
        <v>0</v>
      </c>
      <c r="AD2116" s="82">
        <f t="shared" si="103"/>
        <v>0</v>
      </c>
      <c r="AE2116" s="218">
        <v>0</v>
      </c>
      <c r="AF2116">
        <v>0</v>
      </c>
      <c r="AH2116" t="str">
        <f t="shared" si="101"/>
        <v>Sonvarsha</v>
      </c>
      <c r="AJ2116" s="72">
        <v>0</v>
      </c>
      <c r="AK2116" s="72"/>
      <c r="AL2116" s="72"/>
      <c r="AM2116" s="72"/>
    </row>
    <row r="2117" spans="1:39" x14ac:dyDescent="0.25">
      <c r="A2117" s="37" t="s">
        <v>62</v>
      </c>
      <c r="B2117" s="66" t="s">
        <v>1654</v>
      </c>
      <c r="C2117" s="41">
        <v>1006</v>
      </c>
      <c r="D2117" s="41" t="s">
        <v>179</v>
      </c>
      <c r="E2117" s="41">
        <v>10060007</v>
      </c>
      <c r="F2117" s="85" t="s">
        <v>183</v>
      </c>
      <c r="G2117" s="39" t="s">
        <v>1610</v>
      </c>
      <c r="H2117" s="52" t="s">
        <v>98</v>
      </c>
      <c r="I2117" s="52">
        <v>804.90000000000009</v>
      </c>
      <c r="J2117" s="49">
        <v>30342.960000000003</v>
      </c>
      <c r="K2117" s="58">
        <v>0</v>
      </c>
      <c r="L2117" s="58">
        <v>0</v>
      </c>
      <c r="M2117" s="58">
        <v>0</v>
      </c>
      <c r="N2117" s="58">
        <v>0</v>
      </c>
      <c r="O2117" s="58">
        <v>0</v>
      </c>
      <c r="P2117" s="53">
        <v>0</v>
      </c>
      <c r="Q2117" s="65">
        <v>30342.960000000003</v>
      </c>
      <c r="R2117" s="65">
        <v>0</v>
      </c>
      <c r="S2117" s="65">
        <v>0</v>
      </c>
      <c r="T2117" s="65">
        <v>0</v>
      </c>
      <c r="U2117" s="58">
        <v>0</v>
      </c>
      <c r="V2117" s="65">
        <v>0</v>
      </c>
      <c r="W2117" s="65">
        <v>0</v>
      </c>
      <c r="X2117" s="65">
        <v>0</v>
      </c>
      <c r="Y2117" s="65">
        <v>0</v>
      </c>
      <c r="Z2117" s="51">
        <v>30342.960000000003</v>
      </c>
      <c r="AA2117" s="51">
        <v>0</v>
      </c>
      <c r="AB2117" s="102">
        <v>0</v>
      </c>
      <c r="AC2117" s="81">
        <f t="shared" si="102"/>
        <v>0</v>
      </c>
      <c r="AD2117" s="82">
        <f t="shared" si="103"/>
        <v>0</v>
      </c>
      <c r="AE2117" s="218">
        <v>0</v>
      </c>
      <c r="AF2117">
        <v>0</v>
      </c>
      <c r="AH2117" t="str">
        <f t="shared" si="101"/>
        <v>Sonvarsha</v>
      </c>
      <c r="AJ2117" s="72">
        <v>0</v>
      </c>
      <c r="AK2117" s="72"/>
      <c r="AL2117" s="72"/>
      <c r="AM2117" s="72"/>
    </row>
    <row r="2118" spans="1:39" x14ac:dyDescent="0.25">
      <c r="A2118" s="37" t="s">
        <v>62</v>
      </c>
      <c r="B2118" s="66" t="s">
        <v>1654</v>
      </c>
      <c r="C2118" s="41">
        <v>1006</v>
      </c>
      <c r="D2118" s="41" t="s">
        <v>179</v>
      </c>
      <c r="E2118" s="41">
        <v>10060008</v>
      </c>
      <c r="F2118" s="85" t="s">
        <v>184</v>
      </c>
      <c r="G2118" s="39" t="s">
        <v>1610</v>
      </c>
      <c r="H2118" s="52" t="s">
        <v>98</v>
      </c>
      <c r="I2118" s="52">
        <v>496.00000000000006</v>
      </c>
      <c r="J2118" s="49">
        <v>20292.740000000002</v>
      </c>
      <c r="K2118" s="58">
        <v>0</v>
      </c>
      <c r="L2118" s="58">
        <v>0</v>
      </c>
      <c r="M2118" s="58">
        <v>0</v>
      </c>
      <c r="N2118" s="58">
        <v>0</v>
      </c>
      <c r="O2118" s="58">
        <v>0</v>
      </c>
      <c r="P2118" s="53">
        <v>0</v>
      </c>
      <c r="Q2118" s="65">
        <v>20292.740000000002</v>
      </c>
      <c r="R2118" s="65">
        <v>0</v>
      </c>
      <c r="S2118" s="65">
        <v>0</v>
      </c>
      <c r="T2118" s="65">
        <v>0</v>
      </c>
      <c r="U2118" s="58">
        <v>0</v>
      </c>
      <c r="V2118" s="65">
        <v>0</v>
      </c>
      <c r="W2118" s="65">
        <v>0</v>
      </c>
      <c r="X2118" s="65">
        <v>0</v>
      </c>
      <c r="Y2118" s="65">
        <v>0</v>
      </c>
      <c r="Z2118" s="51">
        <v>20292.740000000002</v>
      </c>
      <c r="AA2118" s="51">
        <v>0</v>
      </c>
      <c r="AB2118" s="102">
        <v>0</v>
      </c>
      <c r="AC2118" s="81">
        <f t="shared" si="102"/>
        <v>166.92415161290322</v>
      </c>
      <c r="AD2118" s="82">
        <f t="shared" si="103"/>
        <v>70.857142857142861</v>
      </c>
      <c r="AE2118" s="218">
        <v>0</v>
      </c>
      <c r="AF2118">
        <v>0</v>
      </c>
      <c r="AH2118" t="str">
        <f t="shared" si="101"/>
        <v>Sonvarsha</v>
      </c>
      <c r="AJ2118" s="72">
        <v>0</v>
      </c>
      <c r="AK2118" s="72"/>
      <c r="AL2118" s="72"/>
      <c r="AM2118" s="72"/>
    </row>
    <row r="2119" spans="1:39" x14ac:dyDescent="0.25">
      <c r="A2119" s="37" t="s">
        <v>62</v>
      </c>
      <c r="B2119" s="66" t="s">
        <v>1654</v>
      </c>
      <c r="C2119" s="41">
        <v>1006</v>
      </c>
      <c r="D2119" s="41" t="s">
        <v>179</v>
      </c>
      <c r="E2119" s="41">
        <v>10060009</v>
      </c>
      <c r="F2119" s="85" t="s">
        <v>185</v>
      </c>
      <c r="G2119" s="39" t="s">
        <v>1610</v>
      </c>
      <c r="H2119" s="52" t="s">
        <v>98</v>
      </c>
      <c r="I2119" s="52">
        <v>1240.6999999999998</v>
      </c>
      <c r="J2119" s="49">
        <v>53884.69999999999</v>
      </c>
      <c r="K2119" s="58">
        <v>0</v>
      </c>
      <c r="L2119" s="58">
        <v>0</v>
      </c>
      <c r="M2119" s="58">
        <v>0</v>
      </c>
      <c r="N2119" s="58">
        <v>0</v>
      </c>
      <c r="O2119" s="58">
        <v>0</v>
      </c>
      <c r="P2119" s="53">
        <v>0</v>
      </c>
      <c r="Q2119" s="65">
        <v>53884.69999999999</v>
      </c>
      <c r="R2119" s="65">
        <v>0</v>
      </c>
      <c r="S2119" s="65">
        <v>0</v>
      </c>
      <c r="T2119" s="65">
        <v>0</v>
      </c>
      <c r="U2119" s="58">
        <v>0</v>
      </c>
      <c r="V2119" s="65">
        <v>0</v>
      </c>
      <c r="W2119" s="65">
        <v>0</v>
      </c>
      <c r="X2119" s="65">
        <v>0</v>
      </c>
      <c r="Y2119" s="65">
        <v>0</v>
      </c>
      <c r="Z2119" s="51">
        <v>53884.69999999999</v>
      </c>
      <c r="AA2119" s="51">
        <v>0</v>
      </c>
      <c r="AB2119" s="102">
        <v>0</v>
      </c>
      <c r="AC2119" s="81">
        <f t="shared" si="102"/>
        <v>0</v>
      </c>
      <c r="AD2119" s="82">
        <f t="shared" si="103"/>
        <v>0</v>
      </c>
      <c r="AE2119" s="218">
        <v>0</v>
      </c>
      <c r="AF2119">
        <v>0</v>
      </c>
      <c r="AH2119" t="str">
        <f t="shared" si="101"/>
        <v>Sonvarsha</v>
      </c>
      <c r="AJ2119" s="72">
        <v>0</v>
      </c>
      <c r="AK2119" s="72"/>
      <c r="AL2119" s="72"/>
      <c r="AM2119" s="72"/>
    </row>
    <row r="2120" spans="1:39" x14ac:dyDescent="0.25">
      <c r="A2120" s="37" t="s">
        <v>62</v>
      </c>
      <c r="B2120" s="66" t="s">
        <v>1654</v>
      </c>
      <c r="C2120" s="41">
        <v>1006</v>
      </c>
      <c r="D2120" s="41" t="s">
        <v>179</v>
      </c>
      <c r="E2120" s="41">
        <v>10060010</v>
      </c>
      <c r="F2120" s="85" t="s">
        <v>186</v>
      </c>
      <c r="G2120" s="39" t="s">
        <v>1610</v>
      </c>
      <c r="H2120" s="52" t="s">
        <v>98</v>
      </c>
      <c r="I2120" s="52">
        <v>1949.8999999999999</v>
      </c>
      <c r="J2120" s="49">
        <v>83303.539999999994</v>
      </c>
      <c r="K2120" s="58">
        <v>0</v>
      </c>
      <c r="L2120" s="58">
        <v>0</v>
      </c>
      <c r="M2120" s="58">
        <v>0</v>
      </c>
      <c r="N2120" s="58">
        <v>0</v>
      </c>
      <c r="O2120" s="58">
        <v>0</v>
      </c>
      <c r="P2120" s="53">
        <v>0</v>
      </c>
      <c r="Q2120" s="65">
        <v>83303.539999999994</v>
      </c>
      <c r="R2120" s="65">
        <v>0</v>
      </c>
      <c r="S2120" s="65">
        <v>0</v>
      </c>
      <c r="T2120" s="65">
        <v>0</v>
      </c>
      <c r="U2120" s="58">
        <v>0</v>
      </c>
      <c r="V2120" s="65">
        <v>0</v>
      </c>
      <c r="W2120" s="65">
        <v>0</v>
      </c>
      <c r="X2120" s="65">
        <v>0</v>
      </c>
      <c r="Y2120" s="65">
        <v>0</v>
      </c>
      <c r="Z2120" s="51">
        <v>83303.539999999994</v>
      </c>
      <c r="AA2120" s="51">
        <v>0</v>
      </c>
      <c r="AB2120" s="102">
        <v>0</v>
      </c>
      <c r="AC2120" s="81">
        <f t="shared" si="102"/>
        <v>0</v>
      </c>
      <c r="AD2120" s="82">
        <f t="shared" si="103"/>
        <v>0</v>
      </c>
      <c r="AE2120" s="218">
        <v>0</v>
      </c>
      <c r="AF2120">
        <v>0</v>
      </c>
      <c r="AH2120" t="str">
        <f t="shared" si="101"/>
        <v>Sonvarsha</v>
      </c>
      <c r="AJ2120" s="72">
        <v>0</v>
      </c>
      <c r="AK2120" s="72"/>
      <c r="AL2120" s="72"/>
      <c r="AM2120" s="72"/>
    </row>
    <row r="2121" spans="1:39" x14ac:dyDescent="0.25">
      <c r="A2121" s="37" t="s">
        <v>62</v>
      </c>
      <c r="B2121" s="66" t="s">
        <v>1654</v>
      </c>
      <c r="C2121" s="41">
        <v>1059</v>
      </c>
      <c r="D2121" s="41" t="s">
        <v>1299</v>
      </c>
      <c r="E2121" s="41">
        <v>10060011</v>
      </c>
      <c r="F2121" s="85" t="s">
        <v>187</v>
      </c>
      <c r="G2121" s="39" t="s">
        <v>92</v>
      </c>
      <c r="H2121" s="52" t="s">
        <v>93</v>
      </c>
      <c r="I2121" s="52">
        <v>566.70000000000016</v>
      </c>
      <c r="J2121" s="49">
        <v>27696.18</v>
      </c>
      <c r="K2121" s="58">
        <v>564.6</v>
      </c>
      <c r="L2121" s="58">
        <v>27295.930000000004</v>
      </c>
      <c r="M2121" s="58">
        <v>11.450000000000001</v>
      </c>
      <c r="N2121" s="58">
        <v>551.74</v>
      </c>
      <c r="O2121" s="58">
        <v>576.05000000000007</v>
      </c>
      <c r="P2121" s="53">
        <v>27847.670000000006</v>
      </c>
      <c r="Q2121" s="65">
        <v>27696.18</v>
      </c>
      <c r="R2121" s="65">
        <v>0</v>
      </c>
      <c r="S2121" s="65">
        <v>551.74</v>
      </c>
      <c r="T2121" s="65">
        <v>151.49000000000524</v>
      </c>
      <c r="U2121" s="58">
        <v>0</v>
      </c>
      <c r="V2121" s="65">
        <v>0</v>
      </c>
      <c r="W2121" s="65">
        <v>0</v>
      </c>
      <c r="X2121" s="65">
        <v>27144</v>
      </c>
      <c r="Y2121" s="65">
        <v>0</v>
      </c>
      <c r="Z2121" s="51">
        <v>0</v>
      </c>
      <c r="AA2121" s="51">
        <v>0</v>
      </c>
      <c r="AB2121" s="102">
        <v>0</v>
      </c>
      <c r="AC2121" s="81">
        <f t="shared" si="102"/>
        <v>130.29471656961334</v>
      </c>
      <c r="AD2121" s="82">
        <f t="shared" si="103"/>
        <v>80.957142857142884</v>
      </c>
      <c r="AE2121" s="218">
        <v>-5.4697073748078339E-3</v>
      </c>
      <c r="AF2121">
        <v>26</v>
      </c>
      <c r="AH2121" t="str">
        <f t="shared" si="101"/>
        <v>Gopalpur Bmc</v>
      </c>
      <c r="AJ2121" s="72">
        <v>0</v>
      </c>
      <c r="AK2121" s="72"/>
      <c r="AL2121" s="72"/>
      <c r="AM2121" s="72"/>
    </row>
    <row r="2122" spans="1:39" x14ac:dyDescent="0.25">
      <c r="A2122" s="37" t="s">
        <v>62</v>
      </c>
      <c r="B2122" s="66" t="s">
        <v>1654</v>
      </c>
      <c r="C2122" s="41">
        <v>1006</v>
      </c>
      <c r="D2122" s="41" t="s">
        <v>179</v>
      </c>
      <c r="E2122" s="41">
        <v>10060014</v>
      </c>
      <c r="F2122" s="85" t="s">
        <v>188</v>
      </c>
      <c r="G2122" s="39" t="s">
        <v>1610</v>
      </c>
      <c r="H2122" s="52" t="s">
        <v>98</v>
      </c>
      <c r="I2122" s="52">
        <v>563.29999999999995</v>
      </c>
      <c r="J2122" s="49">
        <v>21745.88</v>
      </c>
      <c r="K2122" s="58">
        <v>0</v>
      </c>
      <c r="L2122" s="58">
        <v>0</v>
      </c>
      <c r="M2122" s="58">
        <v>0</v>
      </c>
      <c r="N2122" s="58">
        <v>0</v>
      </c>
      <c r="O2122" s="58">
        <v>0</v>
      </c>
      <c r="P2122" s="53">
        <v>0</v>
      </c>
      <c r="Q2122" s="65">
        <v>21745.88</v>
      </c>
      <c r="R2122" s="65">
        <v>0</v>
      </c>
      <c r="S2122" s="65">
        <v>0</v>
      </c>
      <c r="T2122" s="65">
        <v>0</v>
      </c>
      <c r="U2122" s="58">
        <v>0</v>
      </c>
      <c r="V2122" s="65">
        <v>0</v>
      </c>
      <c r="W2122" s="65">
        <v>0</v>
      </c>
      <c r="X2122" s="65">
        <v>0</v>
      </c>
      <c r="Y2122" s="65">
        <v>0</v>
      </c>
      <c r="Z2122" s="54">
        <v>21745.88</v>
      </c>
      <c r="AA2122" s="51">
        <v>0</v>
      </c>
      <c r="AB2122" s="102">
        <v>0</v>
      </c>
      <c r="AC2122" s="81">
        <f t="shared" si="102"/>
        <v>105.54453385407427</v>
      </c>
      <c r="AD2122" s="82">
        <f t="shared" si="103"/>
        <v>80.471428571428561</v>
      </c>
      <c r="AE2122" s="218">
        <v>0</v>
      </c>
      <c r="AF2122">
        <v>0</v>
      </c>
      <c r="AH2122" t="str">
        <f t="shared" si="101"/>
        <v>Sonvarsha</v>
      </c>
      <c r="AJ2122" s="72">
        <v>0</v>
      </c>
      <c r="AK2122" s="72"/>
      <c r="AL2122" s="72"/>
      <c r="AM2122" s="72"/>
    </row>
    <row r="2123" spans="1:39" x14ac:dyDescent="0.25">
      <c r="A2123" s="37" t="s">
        <v>62</v>
      </c>
      <c r="B2123" s="66" t="s">
        <v>1654</v>
      </c>
      <c r="C2123" s="41">
        <v>1006</v>
      </c>
      <c r="D2123" s="41" t="s">
        <v>179</v>
      </c>
      <c r="E2123" s="41">
        <v>10060015</v>
      </c>
      <c r="F2123" s="85" t="s">
        <v>189</v>
      </c>
      <c r="G2123" s="39" t="s">
        <v>1610</v>
      </c>
      <c r="H2123" s="52" t="s">
        <v>98</v>
      </c>
      <c r="I2123" s="52">
        <v>181.39999999999998</v>
      </c>
      <c r="J2123" s="49">
        <v>8186.69</v>
      </c>
      <c r="K2123" s="58">
        <v>0</v>
      </c>
      <c r="L2123" s="58">
        <v>0</v>
      </c>
      <c r="M2123" s="58">
        <v>0</v>
      </c>
      <c r="N2123" s="58">
        <v>0</v>
      </c>
      <c r="O2123" s="58">
        <v>0</v>
      </c>
      <c r="P2123" s="53">
        <v>0</v>
      </c>
      <c r="Q2123" s="65">
        <v>8186.69</v>
      </c>
      <c r="R2123" s="65">
        <v>0</v>
      </c>
      <c r="S2123" s="65">
        <v>0</v>
      </c>
      <c r="T2123" s="65">
        <v>0</v>
      </c>
      <c r="U2123" s="58">
        <v>0</v>
      </c>
      <c r="V2123" s="65">
        <v>0</v>
      </c>
      <c r="W2123" s="65">
        <v>0</v>
      </c>
      <c r="X2123" s="65">
        <v>0</v>
      </c>
      <c r="Y2123" s="65">
        <v>0</v>
      </c>
      <c r="Z2123" s="55">
        <v>8186.69</v>
      </c>
      <c r="AA2123" s="51">
        <v>0</v>
      </c>
      <c r="AB2123" s="102">
        <v>0</v>
      </c>
      <c r="AC2123" s="81">
        <f t="shared" si="102"/>
        <v>468.09453517089315</v>
      </c>
      <c r="AD2123" s="82">
        <f t="shared" si="103"/>
        <v>25.914285714285711</v>
      </c>
      <c r="AE2123" s="218">
        <v>0</v>
      </c>
      <c r="AF2123">
        <v>0</v>
      </c>
      <c r="AH2123" t="str">
        <f t="shared" ref="AH2123:AH2186" si="104">TEXT(D2123,"0000")</f>
        <v>Sonvarsha</v>
      </c>
      <c r="AJ2123" s="72">
        <v>0</v>
      </c>
      <c r="AK2123" s="72"/>
      <c r="AL2123" s="72"/>
      <c r="AM2123" s="72"/>
    </row>
    <row r="2124" spans="1:39" x14ac:dyDescent="0.25">
      <c r="A2124" s="37" t="s">
        <v>62</v>
      </c>
      <c r="B2124" s="66" t="s">
        <v>1654</v>
      </c>
      <c r="C2124" s="41">
        <v>1006</v>
      </c>
      <c r="D2124" s="41" t="s">
        <v>179</v>
      </c>
      <c r="E2124" s="41">
        <v>10060020</v>
      </c>
      <c r="F2124" s="85" t="s">
        <v>190</v>
      </c>
      <c r="G2124" s="39" t="s">
        <v>1610</v>
      </c>
      <c r="H2124" s="52" t="s">
        <v>98</v>
      </c>
      <c r="I2124" s="52">
        <v>1395.4</v>
      </c>
      <c r="J2124" s="49">
        <v>53463.72</v>
      </c>
      <c r="K2124" s="58">
        <v>0</v>
      </c>
      <c r="L2124" s="58">
        <v>0</v>
      </c>
      <c r="M2124" s="58">
        <v>0</v>
      </c>
      <c r="N2124" s="58">
        <v>0</v>
      </c>
      <c r="O2124" s="58">
        <v>0</v>
      </c>
      <c r="P2124" s="53">
        <v>0</v>
      </c>
      <c r="Q2124" s="65">
        <v>53463.72</v>
      </c>
      <c r="R2124" s="65">
        <v>0</v>
      </c>
      <c r="S2124" s="65">
        <v>0</v>
      </c>
      <c r="T2124" s="65">
        <v>0</v>
      </c>
      <c r="U2124" s="58">
        <v>0</v>
      </c>
      <c r="V2124" s="65">
        <v>0</v>
      </c>
      <c r="W2124" s="65">
        <v>0</v>
      </c>
      <c r="X2124" s="65">
        <v>0</v>
      </c>
      <c r="Y2124" s="65">
        <v>0</v>
      </c>
      <c r="Z2124" s="51">
        <v>53463.72</v>
      </c>
      <c r="AA2124" s="51">
        <v>0</v>
      </c>
      <c r="AB2124" s="102">
        <v>0</v>
      </c>
      <c r="AC2124" s="81">
        <f t="shared" si="102"/>
        <v>0</v>
      </c>
      <c r="AD2124" s="82">
        <f t="shared" si="103"/>
        <v>0</v>
      </c>
      <c r="AE2124" s="218">
        <v>0</v>
      </c>
      <c r="AF2124">
        <v>0</v>
      </c>
      <c r="AH2124" t="str">
        <f t="shared" si="104"/>
        <v>Sonvarsha</v>
      </c>
      <c r="AJ2124" s="72">
        <v>0</v>
      </c>
      <c r="AK2124" s="72"/>
      <c r="AL2124" s="72"/>
      <c r="AM2124" s="72"/>
    </row>
    <row r="2125" spans="1:39" x14ac:dyDescent="0.25">
      <c r="A2125" s="37" t="s">
        <v>62</v>
      </c>
      <c r="B2125" s="66" t="s">
        <v>1654</v>
      </c>
      <c r="C2125" s="41">
        <v>1006</v>
      </c>
      <c r="D2125" s="41" t="s">
        <v>179</v>
      </c>
      <c r="E2125" s="41">
        <v>10060021</v>
      </c>
      <c r="F2125" s="85" t="s">
        <v>191</v>
      </c>
      <c r="G2125" s="39" t="s">
        <v>1610</v>
      </c>
      <c r="H2125" s="52" t="s">
        <v>98</v>
      </c>
      <c r="I2125" s="52">
        <v>2470.1</v>
      </c>
      <c r="J2125" s="49">
        <v>107591.61000000002</v>
      </c>
      <c r="K2125" s="58">
        <v>0</v>
      </c>
      <c r="L2125" s="58">
        <v>0</v>
      </c>
      <c r="M2125" s="58">
        <v>0</v>
      </c>
      <c r="N2125" s="58">
        <v>0</v>
      </c>
      <c r="O2125" s="58">
        <v>0</v>
      </c>
      <c r="P2125" s="53">
        <v>0</v>
      </c>
      <c r="Q2125" s="65">
        <v>107591.61000000002</v>
      </c>
      <c r="R2125" s="65">
        <v>0</v>
      </c>
      <c r="S2125" s="65">
        <v>0</v>
      </c>
      <c r="T2125" s="65">
        <v>0</v>
      </c>
      <c r="U2125" s="58">
        <v>0</v>
      </c>
      <c r="V2125" s="65">
        <v>0</v>
      </c>
      <c r="W2125" s="65">
        <v>0</v>
      </c>
      <c r="X2125" s="65">
        <v>0</v>
      </c>
      <c r="Y2125" s="65">
        <v>0</v>
      </c>
      <c r="Z2125" s="51">
        <v>107591.61000000002</v>
      </c>
      <c r="AA2125" s="51">
        <v>0</v>
      </c>
      <c r="AB2125" s="102">
        <v>0</v>
      </c>
      <c r="AC2125" s="81">
        <f t="shared" si="102"/>
        <v>0</v>
      </c>
      <c r="AD2125" s="82">
        <f t="shared" si="103"/>
        <v>0</v>
      </c>
      <c r="AE2125" s="218">
        <v>0</v>
      </c>
      <c r="AF2125">
        <v>0</v>
      </c>
      <c r="AH2125" t="str">
        <f t="shared" si="104"/>
        <v>Sonvarsha</v>
      </c>
      <c r="AJ2125" s="72">
        <v>0</v>
      </c>
      <c r="AK2125" s="72"/>
      <c r="AL2125" s="72"/>
      <c r="AM2125" s="72"/>
    </row>
    <row r="2126" spans="1:39" x14ac:dyDescent="0.25">
      <c r="A2126" s="37" t="s">
        <v>62</v>
      </c>
      <c r="B2126" s="66" t="s">
        <v>1654</v>
      </c>
      <c r="C2126" s="41">
        <v>1006</v>
      </c>
      <c r="D2126" s="41" t="s">
        <v>179</v>
      </c>
      <c r="E2126" s="41">
        <v>10060022</v>
      </c>
      <c r="F2126" s="85" t="s">
        <v>599</v>
      </c>
      <c r="G2126" s="39" t="s">
        <v>92</v>
      </c>
      <c r="H2126" s="52" t="s">
        <v>93</v>
      </c>
      <c r="I2126" s="52">
        <v>949.5</v>
      </c>
      <c r="J2126" s="49">
        <v>36409.130000000005</v>
      </c>
      <c r="K2126" s="58">
        <v>642.29999999999984</v>
      </c>
      <c r="L2126" s="58">
        <v>25369.989999999998</v>
      </c>
      <c r="M2126" s="58">
        <v>424.00000000000006</v>
      </c>
      <c r="N2126" s="58">
        <v>16597</v>
      </c>
      <c r="O2126" s="58">
        <v>1066.3</v>
      </c>
      <c r="P2126" s="53">
        <v>41966.99</v>
      </c>
      <c r="Q2126" s="65">
        <v>36409.130000000005</v>
      </c>
      <c r="R2126" s="65">
        <v>0</v>
      </c>
      <c r="S2126" s="65">
        <v>579.38</v>
      </c>
      <c r="T2126" s="65">
        <v>5557.8599999999933</v>
      </c>
      <c r="U2126" s="58">
        <v>0</v>
      </c>
      <c r="V2126" s="65">
        <v>0</v>
      </c>
      <c r="W2126" s="65">
        <v>0</v>
      </c>
      <c r="X2126" s="65">
        <v>19813</v>
      </c>
      <c r="Y2126" s="65">
        <v>16017</v>
      </c>
      <c r="Z2126" s="51">
        <v>0</v>
      </c>
      <c r="AA2126" s="51">
        <v>0</v>
      </c>
      <c r="AB2126" s="102">
        <v>0</v>
      </c>
      <c r="AC2126" s="81">
        <f t="shared" si="102"/>
        <v>0</v>
      </c>
      <c r="AD2126" s="82">
        <f t="shared" si="103"/>
        <v>0</v>
      </c>
      <c r="AE2126" s="218">
        <v>-0.1526501731845829</v>
      </c>
      <c r="AF2126">
        <v>26</v>
      </c>
      <c r="AH2126" t="str">
        <f t="shared" si="104"/>
        <v>Sonvarsha</v>
      </c>
      <c r="AJ2126" s="72">
        <v>0</v>
      </c>
      <c r="AK2126" s="72"/>
      <c r="AL2126" s="72"/>
      <c r="AM2126" s="72"/>
    </row>
    <row r="2127" spans="1:39" x14ac:dyDescent="0.25">
      <c r="A2127" s="37" t="s">
        <v>62</v>
      </c>
      <c r="B2127" s="66" t="s">
        <v>1654</v>
      </c>
      <c r="C2127" s="41">
        <v>1006</v>
      </c>
      <c r="D2127" s="41" t="s">
        <v>179</v>
      </c>
      <c r="E2127" s="41">
        <v>10060023</v>
      </c>
      <c r="F2127" s="85" t="s">
        <v>192</v>
      </c>
      <c r="G2127" s="39" t="s">
        <v>92</v>
      </c>
      <c r="H2127" s="52" t="s">
        <v>98</v>
      </c>
      <c r="I2127" s="52">
        <v>135.10000000000002</v>
      </c>
      <c r="J2127" s="49">
        <v>6242.89</v>
      </c>
      <c r="K2127" s="58">
        <v>0</v>
      </c>
      <c r="L2127" s="58">
        <v>0</v>
      </c>
      <c r="M2127" s="58">
        <v>0</v>
      </c>
      <c r="N2127" s="58">
        <v>0</v>
      </c>
      <c r="O2127" s="58">
        <v>0</v>
      </c>
      <c r="P2127" s="53">
        <v>0</v>
      </c>
      <c r="Q2127" s="65">
        <v>6242.89</v>
      </c>
      <c r="R2127" s="65">
        <v>0</v>
      </c>
      <c r="S2127" s="65">
        <v>0</v>
      </c>
      <c r="T2127" s="65">
        <v>0</v>
      </c>
      <c r="U2127" s="58">
        <v>0</v>
      </c>
      <c r="V2127" s="65">
        <v>0</v>
      </c>
      <c r="W2127" s="65">
        <v>0</v>
      </c>
      <c r="X2127" s="65">
        <v>0</v>
      </c>
      <c r="Y2127" s="65">
        <v>0</v>
      </c>
      <c r="Z2127" s="51">
        <v>6242.89</v>
      </c>
      <c r="AA2127" s="51">
        <v>0</v>
      </c>
      <c r="AB2127" s="102">
        <v>0</v>
      </c>
      <c r="AC2127" s="81">
        <f t="shared" si="102"/>
        <v>522.07380621761649</v>
      </c>
      <c r="AD2127" s="82">
        <f t="shared" si="103"/>
        <v>19.300000000000004</v>
      </c>
      <c r="AE2127" s="218">
        <v>0</v>
      </c>
      <c r="AF2127">
        <v>0</v>
      </c>
      <c r="AH2127" t="str">
        <f t="shared" si="104"/>
        <v>Sonvarsha</v>
      </c>
      <c r="AJ2127" s="72">
        <v>0</v>
      </c>
      <c r="AK2127" s="72"/>
      <c r="AL2127" s="72"/>
      <c r="AM2127" s="72"/>
    </row>
    <row r="2128" spans="1:39" x14ac:dyDescent="0.25">
      <c r="A2128" s="37" t="s">
        <v>62</v>
      </c>
      <c r="B2128" s="66" t="s">
        <v>1654</v>
      </c>
      <c r="C2128" s="41">
        <v>1006</v>
      </c>
      <c r="D2128" s="41" t="s">
        <v>179</v>
      </c>
      <c r="E2128" s="41">
        <v>10060026</v>
      </c>
      <c r="F2128" s="85" t="s">
        <v>193</v>
      </c>
      <c r="G2128" s="39" t="s">
        <v>92</v>
      </c>
      <c r="H2128" s="52" t="s">
        <v>93</v>
      </c>
      <c r="I2128" s="52">
        <v>1023.9999999999999</v>
      </c>
      <c r="J2128" s="49">
        <v>52835.95</v>
      </c>
      <c r="K2128" s="58">
        <v>663.1</v>
      </c>
      <c r="L2128" s="58">
        <v>38320.03</v>
      </c>
      <c r="M2128" s="58">
        <v>367.04999999999995</v>
      </c>
      <c r="N2128" s="58">
        <v>17500.600000000002</v>
      </c>
      <c r="O2128" s="58">
        <v>1030.1500000000001</v>
      </c>
      <c r="P2128" s="53">
        <v>55820.630000000005</v>
      </c>
      <c r="Q2128" s="65">
        <v>52835.95</v>
      </c>
      <c r="R2128" s="65">
        <v>0</v>
      </c>
      <c r="S2128" s="65">
        <v>0</v>
      </c>
      <c r="T2128" s="65">
        <v>2984.6800000000076</v>
      </c>
      <c r="U2128" s="58">
        <v>0</v>
      </c>
      <c r="V2128" s="65">
        <v>0</v>
      </c>
      <c r="W2128" s="65">
        <v>0</v>
      </c>
      <c r="X2128" s="65">
        <v>35336</v>
      </c>
      <c r="Y2128" s="65">
        <v>17500</v>
      </c>
      <c r="Z2128" s="51">
        <v>0</v>
      </c>
      <c r="AA2128" s="51">
        <v>0</v>
      </c>
      <c r="AB2128" s="102">
        <v>0</v>
      </c>
      <c r="AC2128" s="81">
        <f t="shared" si="102"/>
        <v>0</v>
      </c>
      <c r="AD2128" s="82">
        <f t="shared" si="103"/>
        <v>0</v>
      </c>
      <c r="AE2128" s="218">
        <v>-5.6489568182269981E-2</v>
      </c>
      <c r="AF2128">
        <v>13</v>
      </c>
      <c r="AH2128" t="str">
        <f t="shared" si="104"/>
        <v>Sonvarsha</v>
      </c>
      <c r="AJ2128" s="72">
        <v>0</v>
      </c>
      <c r="AK2128" s="72"/>
      <c r="AL2128" s="72"/>
      <c r="AM2128" s="72"/>
    </row>
    <row r="2129" spans="1:39" x14ac:dyDescent="0.25">
      <c r="A2129" s="37" t="s">
        <v>62</v>
      </c>
      <c r="B2129" s="66" t="s">
        <v>1654</v>
      </c>
      <c r="C2129" s="41">
        <v>1059</v>
      </c>
      <c r="D2129" s="41" t="s">
        <v>1299</v>
      </c>
      <c r="E2129" s="41">
        <v>10060027</v>
      </c>
      <c r="F2129" s="85" t="s">
        <v>194</v>
      </c>
      <c r="G2129" s="39" t="s">
        <v>92</v>
      </c>
      <c r="H2129" s="52" t="s">
        <v>93</v>
      </c>
      <c r="I2129" s="52">
        <v>1655.5000000000002</v>
      </c>
      <c r="J2129" s="49">
        <v>74161.37</v>
      </c>
      <c r="K2129" s="58">
        <v>1700.5399999999997</v>
      </c>
      <c r="L2129" s="58">
        <v>76661.439999999988</v>
      </c>
      <c r="M2129" s="58">
        <v>22.86</v>
      </c>
      <c r="N2129" s="58">
        <v>1023.9300000000001</v>
      </c>
      <c r="O2129" s="58">
        <v>1723.3999999999996</v>
      </c>
      <c r="P2129" s="53">
        <v>77685.369999999981</v>
      </c>
      <c r="Q2129" s="65">
        <v>74161.37</v>
      </c>
      <c r="R2129" s="65">
        <v>0</v>
      </c>
      <c r="S2129" s="65">
        <v>1023.9300000000001</v>
      </c>
      <c r="T2129" s="65">
        <v>3523.9999999999854</v>
      </c>
      <c r="U2129" s="58">
        <v>0</v>
      </c>
      <c r="V2129" s="65">
        <v>0</v>
      </c>
      <c r="W2129" s="65">
        <v>0</v>
      </c>
      <c r="X2129" s="65">
        <v>75259</v>
      </c>
      <c r="Y2129" s="65">
        <v>0</v>
      </c>
      <c r="Z2129" s="51">
        <v>0</v>
      </c>
      <c r="AA2129" s="51">
        <v>-2122</v>
      </c>
      <c r="AB2129" s="102" t="s">
        <v>66</v>
      </c>
      <c r="AC2129" s="81">
        <f t="shared" si="102"/>
        <v>0</v>
      </c>
      <c r="AD2129" s="82">
        <f t="shared" si="103"/>
        <v>0</v>
      </c>
      <c r="AE2129" s="218">
        <v>-4.7518000274266586E-2</v>
      </c>
      <c r="AF2129">
        <v>82</v>
      </c>
      <c r="AH2129" t="str">
        <f t="shared" si="104"/>
        <v>Gopalpur Bmc</v>
      </c>
      <c r="AJ2129" s="72">
        <v>0</v>
      </c>
      <c r="AK2129" s="72"/>
      <c r="AL2129" s="72"/>
      <c r="AM2129" s="72"/>
    </row>
    <row r="2130" spans="1:39" x14ac:dyDescent="0.25">
      <c r="A2130" s="37" t="s">
        <v>62</v>
      </c>
      <c r="B2130" s="66" t="s">
        <v>1654</v>
      </c>
      <c r="C2130" s="41">
        <v>1006</v>
      </c>
      <c r="D2130" s="41" t="s">
        <v>179</v>
      </c>
      <c r="E2130" s="41">
        <v>10060028</v>
      </c>
      <c r="F2130" s="85" t="s">
        <v>195</v>
      </c>
      <c r="G2130" s="39" t="s">
        <v>1610</v>
      </c>
      <c r="H2130" s="52" t="s">
        <v>98</v>
      </c>
      <c r="I2130" s="52">
        <v>335.59999999999997</v>
      </c>
      <c r="J2130" s="49">
        <v>12536.580000000002</v>
      </c>
      <c r="K2130" s="58">
        <v>0</v>
      </c>
      <c r="L2130" s="58">
        <v>0</v>
      </c>
      <c r="M2130" s="58">
        <v>0</v>
      </c>
      <c r="N2130" s="58">
        <v>0</v>
      </c>
      <c r="O2130" s="58">
        <v>0</v>
      </c>
      <c r="P2130" s="53">
        <v>0</v>
      </c>
      <c r="Q2130" s="65">
        <v>12536.580000000002</v>
      </c>
      <c r="R2130" s="65">
        <v>0</v>
      </c>
      <c r="S2130" s="65">
        <v>0</v>
      </c>
      <c r="T2130" s="65">
        <v>0</v>
      </c>
      <c r="U2130" s="58">
        <v>0</v>
      </c>
      <c r="V2130" s="65">
        <v>0</v>
      </c>
      <c r="W2130" s="65">
        <v>0</v>
      </c>
      <c r="X2130" s="65">
        <v>0</v>
      </c>
      <c r="Y2130" s="65">
        <v>0</v>
      </c>
      <c r="Z2130" s="51">
        <v>12536.580000000002</v>
      </c>
      <c r="AA2130" s="51">
        <v>0</v>
      </c>
      <c r="AB2130" s="102">
        <v>0</v>
      </c>
      <c r="AC2130" s="81">
        <f t="shared" si="102"/>
        <v>272.24849535160911</v>
      </c>
      <c r="AD2130" s="82">
        <f t="shared" si="103"/>
        <v>47.942857142857136</v>
      </c>
      <c r="AE2130" s="218">
        <v>0</v>
      </c>
      <c r="AF2130">
        <v>0</v>
      </c>
      <c r="AH2130" t="str">
        <f t="shared" si="104"/>
        <v>Sonvarsha</v>
      </c>
      <c r="AJ2130" s="72">
        <v>0</v>
      </c>
      <c r="AK2130" s="72"/>
      <c r="AL2130" s="72"/>
      <c r="AM2130" s="72"/>
    </row>
    <row r="2131" spans="1:39" x14ac:dyDescent="0.25">
      <c r="A2131" s="37" t="s">
        <v>62</v>
      </c>
      <c r="B2131" s="66" t="s">
        <v>1654</v>
      </c>
      <c r="C2131" s="41">
        <v>1006</v>
      </c>
      <c r="D2131" s="41" t="s">
        <v>179</v>
      </c>
      <c r="E2131" s="41">
        <v>10060029</v>
      </c>
      <c r="F2131" s="85" t="s">
        <v>196</v>
      </c>
      <c r="G2131" s="39" t="s">
        <v>92</v>
      </c>
      <c r="H2131" s="52" t="s">
        <v>93</v>
      </c>
      <c r="I2131" s="52">
        <v>2746.2</v>
      </c>
      <c r="J2131" s="49">
        <v>136623.52000000002</v>
      </c>
      <c r="K2131" s="58">
        <v>2341.5000000000005</v>
      </c>
      <c r="L2131" s="58">
        <v>116407.32999999999</v>
      </c>
      <c r="M2131" s="58">
        <v>417.73999999999995</v>
      </c>
      <c r="N2131" s="58">
        <v>21075.67</v>
      </c>
      <c r="O2131" s="58">
        <v>2759.2400000000002</v>
      </c>
      <c r="P2131" s="53">
        <v>137483</v>
      </c>
      <c r="Q2131" s="65">
        <v>136623.52000000002</v>
      </c>
      <c r="R2131" s="65">
        <v>0</v>
      </c>
      <c r="S2131" s="65">
        <v>1326.36</v>
      </c>
      <c r="T2131" s="65">
        <v>859.47999999998137</v>
      </c>
      <c r="U2131" s="58">
        <v>0</v>
      </c>
      <c r="V2131" s="65">
        <v>0</v>
      </c>
      <c r="W2131" s="65">
        <v>0</v>
      </c>
      <c r="X2131" s="65">
        <v>115548</v>
      </c>
      <c r="Y2131" s="65">
        <v>19749</v>
      </c>
      <c r="Z2131" s="51">
        <v>0</v>
      </c>
      <c r="AA2131" s="51">
        <v>0</v>
      </c>
      <c r="AB2131" s="102">
        <v>0</v>
      </c>
      <c r="AC2131" s="81">
        <f t="shared" si="102"/>
        <v>0</v>
      </c>
      <c r="AD2131" s="82">
        <f t="shared" si="103"/>
        <v>0</v>
      </c>
      <c r="AE2131" s="218">
        <v>-6.2908641206139418E-3</v>
      </c>
      <c r="AF2131">
        <v>42</v>
      </c>
      <c r="AH2131" t="str">
        <f t="shared" si="104"/>
        <v>Sonvarsha</v>
      </c>
      <c r="AJ2131" s="72">
        <v>0</v>
      </c>
      <c r="AK2131" s="72"/>
      <c r="AL2131" s="72"/>
      <c r="AM2131" s="72"/>
    </row>
    <row r="2132" spans="1:39" x14ac:dyDescent="0.25">
      <c r="A2132" s="37" t="s">
        <v>62</v>
      </c>
      <c r="B2132" s="66" t="s">
        <v>1654</v>
      </c>
      <c r="C2132" s="41">
        <v>1006</v>
      </c>
      <c r="D2132" s="41" t="s">
        <v>179</v>
      </c>
      <c r="E2132" s="41">
        <v>10060031</v>
      </c>
      <c r="F2132" s="85" t="s">
        <v>197</v>
      </c>
      <c r="G2132" s="39" t="s">
        <v>92</v>
      </c>
      <c r="H2132" s="52" t="s">
        <v>93</v>
      </c>
      <c r="I2132" s="52">
        <v>414.8</v>
      </c>
      <c r="J2132" s="49">
        <v>18538.780000000002</v>
      </c>
      <c r="K2132" s="58">
        <v>416.67999999999995</v>
      </c>
      <c r="L2132" s="58">
        <v>17963.829999999998</v>
      </c>
      <c r="M2132" s="58">
        <v>0</v>
      </c>
      <c r="N2132" s="58">
        <v>0</v>
      </c>
      <c r="O2132" s="58">
        <v>416.67999999999995</v>
      </c>
      <c r="P2132" s="53">
        <v>17963.829999999998</v>
      </c>
      <c r="Q2132" s="65">
        <v>17963.829999999998</v>
      </c>
      <c r="R2132" s="65">
        <v>0</v>
      </c>
      <c r="S2132" s="65">
        <v>0</v>
      </c>
      <c r="T2132" s="65">
        <v>0</v>
      </c>
      <c r="U2132" s="58">
        <v>2522</v>
      </c>
      <c r="V2132" s="65">
        <v>0</v>
      </c>
      <c r="W2132" s="65">
        <v>0</v>
      </c>
      <c r="X2132" s="65">
        <v>15443</v>
      </c>
      <c r="Y2132" s="65">
        <v>0</v>
      </c>
      <c r="Z2132" s="51">
        <v>0</v>
      </c>
      <c r="AA2132" s="51">
        <v>574</v>
      </c>
      <c r="AB2132" s="102" t="s">
        <v>68</v>
      </c>
      <c r="AC2132" s="81">
        <f t="shared" si="102"/>
        <v>254.9305716489875</v>
      </c>
      <c r="AD2132" s="82">
        <f t="shared" si="103"/>
        <v>59.25714285714286</v>
      </c>
      <c r="AE2132" s="218">
        <v>3.1013367654182437E-2</v>
      </c>
      <c r="AF2132">
        <v>11</v>
      </c>
      <c r="AH2132" t="str">
        <f t="shared" si="104"/>
        <v>Sonvarsha</v>
      </c>
      <c r="AJ2132" s="72">
        <v>0</v>
      </c>
      <c r="AK2132" s="72"/>
      <c r="AL2132" s="72"/>
      <c r="AM2132" s="72"/>
    </row>
    <row r="2133" spans="1:39" x14ac:dyDescent="0.25">
      <c r="A2133" s="37" t="s">
        <v>62</v>
      </c>
      <c r="B2133" s="66" t="s">
        <v>1654</v>
      </c>
      <c r="C2133" s="41">
        <v>1059</v>
      </c>
      <c r="D2133" s="41" t="s">
        <v>1299</v>
      </c>
      <c r="E2133" s="41">
        <v>10060032</v>
      </c>
      <c r="F2133" s="85" t="s">
        <v>198</v>
      </c>
      <c r="G2133" s="39" t="s">
        <v>92</v>
      </c>
      <c r="H2133" s="52" t="s">
        <v>93</v>
      </c>
      <c r="I2133" s="52">
        <v>3362.2000000000003</v>
      </c>
      <c r="J2133" s="49">
        <v>181198.71000000002</v>
      </c>
      <c r="K2133" s="58">
        <v>3394.9800000000005</v>
      </c>
      <c r="L2133" s="58">
        <v>182217.58999999997</v>
      </c>
      <c r="M2133" s="58">
        <v>32.340000000000003</v>
      </c>
      <c r="N2133" s="58">
        <v>2102.1</v>
      </c>
      <c r="O2133" s="58">
        <v>3427.3200000000006</v>
      </c>
      <c r="P2133" s="53">
        <v>184319.68999999997</v>
      </c>
      <c r="Q2133" s="65">
        <v>181198.71000000002</v>
      </c>
      <c r="R2133" s="65">
        <v>0</v>
      </c>
      <c r="S2133" s="65">
        <v>2102.1</v>
      </c>
      <c r="T2133" s="65">
        <v>3120.9799999999523</v>
      </c>
      <c r="U2133" s="58">
        <v>0</v>
      </c>
      <c r="V2133" s="65">
        <v>0</v>
      </c>
      <c r="W2133" s="65">
        <v>0</v>
      </c>
      <c r="X2133" s="65">
        <v>179097</v>
      </c>
      <c r="Y2133" s="65">
        <v>0</v>
      </c>
      <c r="Z2133" s="51">
        <v>0</v>
      </c>
      <c r="AA2133" s="51">
        <v>0</v>
      </c>
      <c r="AB2133" s="102">
        <v>0</v>
      </c>
      <c r="AC2133" s="81">
        <f t="shared" si="102"/>
        <v>0</v>
      </c>
      <c r="AD2133" s="82">
        <f t="shared" si="103"/>
        <v>0</v>
      </c>
      <c r="AE2133" s="218">
        <v>-1.7224074056597601E-2</v>
      </c>
      <c r="AF2133">
        <v>58</v>
      </c>
      <c r="AH2133" t="str">
        <f t="shared" si="104"/>
        <v>Gopalpur Bmc</v>
      </c>
      <c r="AJ2133" s="72">
        <v>0</v>
      </c>
      <c r="AK2133" s="72"/>
      <c r="AL2133" s="72"/>
      <c r="AM2133" s="72"/>
    </row>
    <row r="2134" spans="1:39" x14ac:dyDescent="0.25">
      <c r="A2134" s="37" t="s">
        <v>62</v>
      </c>
      <c r="B2134" s="66" t="s">
        <v>1654</v>
      </c>
      <c r="C2134" s="41">
        <v>1006</v>
      </c>
      <c r="D2134" s="41" t="s">
        <v>179</v>
      </c>
      <c r="E2134" s="41">
        <v>10060036</v>
      </c>
      <c r="F2134" s="85" t="s">
        <v>1521</v>
      </c>
      <c r="G2134" s="39" t="s">
        <v>92</v>
      </c>
      <c r="H2134" s="52" t="s">
        <v>93</v>
      </c>
      <c r="I2134" s="52">
        <v>3357.0999999999995</v>
      </c>
      <c r="J2134" s="49">
        <v>173093.46</v>
      </c>
      <c r="K2134" s="58">
        <v>621.1400000000001</v>
      </c>
      <c r="L2134" s="58">
        <v>34810.910000000003</v>
      </c>
      <c r="M2134" s="58">
        <v>3743.9999999999995</v>
      </c>
      <c r="N2134" s="58">
        <v>212112.33999999997</v>
      </c>
      <c r="O2134" s="58">
        <v>4365.1399999999994</v>
      </c>
      <c r="P2134" s="53">
        <v>246923.24999999997</v>
      </c>
      <c r="Q2134" s="65">
        <v>173093.46</v>
      </c>
      <c r="R2134" s="65">
        <v>0</v>
      </c>
      <c r="S2134" s="65">
        <v>0</v>
      </c>
      <c r="T2134" s="65">
        <v>73829.789999999979</v>
      </c>
      <c r="U2134" s="58">
        <v>0</v>
      </c>
      <c r="V2134" s="65">
        <v>0</v>
      </c>
      <c r="W2134" s="65">
        <v>0</v>
      </c>
      <c r="X2134" s="65">
        <v>0</v>
      </c>
      <c r="Y2134" s="65">
        <v>173093</v>
      </c>
      <c r="Z2134" s="51">
        <v>0</v>
      </c>
      <c r="AA2134" s="51">
        <v>0</v>
      </c>
      <c r="AB2134" s="102" t="s">
        <v>66</v>
      </c>
      <c r="AC2134" s="81">
        <f t="shared" si="102"/>
        <v>0</v>
      </c>
      <c r="AD2134" s="82">
        <f t="shared" si="103"/>
        <v>0</v>
      </c>
      <c r="AE2134" s="218">
        <v>-0.42653136634971639</v>
      </c>
      <c r="AF2134">
        <v>12</v>
      </c>
      <c r="AH2134" t="str">
        <f t="shared" si="104"/>
        <v>Sonvarsha</v>
      </c>
      <c r="AJ2134" s="72">
        <v>0</v>
      </c>
      <c r="AK2134" s="72"/>
      <c r="AL2134" s="72"/>
      <c r="AM2134" s="72"/>
    </row>
    <row r="2135" spans="1:39" x14ac:dyDescent="0.25">
      <c r="A2135" s="37" t="s">
        <v>62</v>
      </c>
      <c r="B2135" s="66" t="s">
        <v>1654</v>
      </c>
      <c r="C2135" s="41">
        <v>1006</v>
      </c>
      <c r="D2135" s="41" t="s">
        <v>179</v>
      </c>
      <c r="E2135" s="41">
        <v>10060041</v>
      </c>
      <c r="F2135" s="85" t="s">
        <v>199</v>
      </c>
      <c r="G2135" s="39" t="s">
        <v>1610</v>
      </c>
      <c r="H2135" s="52" t="s">
        <v>98</v>
      </c>
      <c r="I2135" s="52">
        <v>267.60000000000002</v>
      </c>
      <c r="J2135" s="49">
        <v>10441.34</v>
      </c>
      <c r="K2135" s="58">
        <v>0</v>
      </c>
      <c r="L2135" s="58">
        <v>0</v>
      </c>
      <c r="M2135" s="58">
        <v>0</v>
      </c>
      <c r="N2135" s="58">
        <v>0</v>
      </c>
      <c r="O2135" s="58">
        <v>0</v>
      </c>
      <c r="P2135" s="53">
        <v>0</v>
      </c>
      <c r="Q2135" s="65">
        <v>10441.34</v>
      </c>
      <c r="R2135" s="65">
        <v>0</v>
      </c>
      <c r="S2135" s="65">
        <v>0</v>
      </c>
      <c r="T2135" s="65">
        <v>0</v>
      </c>
      <c r="U2135" s="58">
        <v>0</v>
      </c>
      <c r="V2135" s="65">
        <v>0</v>
      </c>
      <c r="W2135" s="65">
        <v>0</v>
      </c>
      <c r="X2135" s="65">
        <v>0</v>
      </c>
      <c r="Y2135" s="65">
        <v>0</v>
      </c>
      <c r="Z2135" s="51">
        <v>10441.34</v>
      </c>
      <c r="AA2135" s="51">
        <v>0</v>
      </c>
      <c r="AB2135" s="102">
        <v>0</v>
      </c>
      <c r="AC2135" s="81">
        <f t="shared" si="102"/>
        <v>337.43164544095663</v>
      </c>
      <c r="AD2135" s="82">
        <f t="shared" si="103"/>
        <v>38.228571428571435</v>
      </c>
      <c r="AE2135" s="218">
        <v>0</v>
      </c>
      <c r="AF2135">
        <v>0</v>
      </c>
      <c r="AH2135" t="str">
        <f t="shared" si="104"/>
        <v>Sonvarsha</v>
      </c>
      <c r="AJ2135" s="72">
        <v>0</v>
      </c>
      <c r="AK2135" s="72"/>
      <c r="AL2135" s="72"/>
      <c r="AM2135" s="72"/>
    </row>
    <row r="2136" spans="1:39" x14ac:dyDescent="0.25">
      <c r="A2136" s="37" t="s">
        <v>62</v>
      </c>
      <c r="B2136" s="66" t="s">
        <v>1654</v>
      </c>
      <c r="C2136" s="41">
        <v>1006</v>
      </c>
      <c r="D2136" s="41" t="s">
        <v>179</v>
      </c>
      <c r="E2136" s="41">
        <v>10060045</v>
      </c>
      <c r="F2136" s="85" t="s">
        <v>1613</v>
      </c>
      <c r="G2136" s="39" t="s">
        <v>1610</v>
      </c>
      <c r="H2136" s="52" t="s">
        <v>98</v>
      </c>
      <c r="I2136" s="52">
        <v>524.1</v>
      </c>
      <c r="J2136" s="49">
        <v>23724.18</v>
      </c>
      <c r="K2136" s="58">
        <v>0</v>
      </c>
      <c r="L2136" s="58">
        <v>0</v>
      </c>
      <c r="M2136" s="58">
        <v>0</v>
      </c>
      <c r="N2136" s="58">
        <v>0</v>
      </c>
      <c r="O2136" s="58">
        <v>0</v>
      </c>
      <c r="P2136" s="53">
        <v>0</v>
      </c>
      <c r="Q2136" s="65">
        <v>23724.18</v>
      </c>
      <c r="R2136" s="65">
        <v>0</v>
      </c>
      <c r="S2136" s="65">
        <v>0</v>
      </c>
      <c r="T2136" s="65">
        <v>0</v>
      </c>
      <c r="U2136" s="58">
        <v>0</v>
      </c>
      <c r="V2136" s="65">
        <v>0</v>
      </c>
      <c r="W2136" s="65">
        <v>0</v>
      </c>
      <c r="X2136" s="65">
        <v>0</v>
      </c>
      <c r="Y2136" s="65">
        <v>0</v>
      </c>
      <c r="Z2136" s="51">
        <v>23724.18</v>
      </c>
      <c r="AA2136" s="51">
        <v>0</v>
      </c>
      <c r="AB2136" s="102">
        <v>0</v>
      </c>
      <c r="AC2136" s="81">
        <f t="shared" si="102"/>
        <v>159.24759633657692</v>
      </c>
      <c r="AD2136" s="82">
        <f t="shared" si="103"/>
        <v>74.871428571428581</v>
      </c>
      <c r="AE2136" s="218">
        <v>0</v>
      </c>
      <c r="AF2136">
        <v>0</v>
      </c>
      <c r="AH2136" t="str">
        <f t="shared" si="104"/>
        <v>Sonvarsha</v>
      </c>
      <c r="AJ2136" s="72">
        <v>0</v>
      </c>
      <c r="AK2136" s="72"/>
      <c r="AL2136" s="72"/>
      <c r="AM2136" s="72"/>
    </row>
    <row r="2137" spans="1:39" x14ac:dyDescent="0.25">
      <c r="A2137" s="37" t="s">
        <v>62</v>
      </c>
      <c r="B2137" s="66" t="s">
        <v>1654</v>
      </c>
      <c r="C2137" s="41">
        <v>1059</v>
      </c>
      <c r="D2137" s="41" t="s">
        <v>1299</v>
      </c>
      <c r="E2137" s="41">
        <v>10060049</v>
      </c>
      <c r="F2137" s="85" t="s">
        <v>200</v>
      </c>
      <c r="G2137" s="39" t="s">
        <v>92</v>
      </c>
      <c r="H2137" s="52" t="s">
        <v>93</v>
      </c>
      <c r="I2137" s="52">
        <v>935.60000000000014</v>
      </c>
      <c r="J2137" s="49">
        <v>43898.340000000004</v>
      </c>
      <c r="K2137" s="58">
        <v>928.96</v>
      </c>
      <c r="L2137" s="58">
        <v>44119.840000000011</v>
      </c>
      <c r="M2137" s="58">
        <v>7.05</v>
      </c>
      <c r="N2137" s="58">
        <v>371.96999999999997</v>
      </c>
      <c r="O2137" s="58">
        <v>936.01</v>
      </c>
      <c r="P2137" s="53">
        <v>44491.810000000012</v>
      </c>
      <c r="Q2137" s="65">
        <v>43898.340000000004</v>
      </c>
      <c r="R2137" s="65">
        <v>0</v>
      </c>
      <c r="S2137" s="65">
        <v>371.96999999999997</v>
      </c>
      <c r="T2137" s="65">
        <v>593.47000000000844</v>
      </c>
      <c r="U2137" s="58">
        <v>0</v>
      </c>
      <c r="V2137" s="65">
        <v>0</v>
      </c>
      <c r="W2137" s="65">
        <v>0</v>
      </c>
      <c r="X2137" s="65">
        <v>43526</v>
      </c>
      <c r="Y2137" s="65">
        <v>0</v>
      </c>
      <c r="Z2137" s="51">
        <v>0</v>
      </c>
      <c r="AA2137" s="51">
        <v>0</v>
      </c>
      <c r="AB2137" s="102">
        <v>0</v>
      </c>
      <c r="AC2137" s="81">
        <f t="shared" si="102"/>
        <v>0</v>
      </c>
      <c r="AD2137" s="82">
        <f t="shared" si="103"/>
        <v>0</v>
      </c>
      <c r="AE2137" s="218">
        <v>-1.3519190019486121E-2</v>
      </c>
      <c r="AF2137">
        <v>31</v>
      </c>
      <c r="AH2137" t="str">
        <f t="shared" si="104"/>
        <v>Gopalpur Bmc</v>
      </c>
      <c r="AJ2137" s="72">
        <v>0</v>
      </c>
      <c r="AK2137" s="72"/>
      <c r="AL2137" s="72"/>
      <c r="AM2137" s="72"/>
    </row>
    <row r="2138" spans="1:39" x14ac:dyDescent="0.25">
      <c r="A2138" s="37" t="s">
        <v>62</v>
      </c>
      <c r="B2138" s="66" t="s">
        <v>1654</v>
      </c>
      <c r="C2138" s="41">
        <v>1059</v>
      </c>
      <c r="D2138" s="41" t="s">
        <v>1299</v>
      </c>
      <c r="E2138" s="41">
        <v>10060050</v>
      </c>
      <c r="F2138" s="85" t="s">
        <v>201</v>
      </c>
      <c r="G2138" s="39" t="s">
        <v>92</v>
      </c>
      <c r="H2138" s="52" t="s">
        <v>93</v>
      </c>
      <c r="I2138" s="52">
        <v>699.40000000000009</v>
      </c>
      <c r="J2138" s="49">
        <v>33307.43</v>
      </c>
      <c r="K2138" s="58">
        <v>709.36000000000013</v>
      </c>
      <c r="L2138" s="58">
        <v>32858.1</v>
      </c>
      <c r="M2138" s="58">
        <v>9.3999999999999986</v>
      </c>
      <c r="N2138" s="58">
        <v>440.15000000000003</v>
      </c>
      <c r="O2138" s="58">
        <v>718.7600000000001</v>
      </c>
      <c r="P2138" s="53">
        <v>33298.25</v>
      </c>
      <c r="Q2138" s="65">
        <v>33298.25</v>
      </c>
      <c r="R2138" s="65">
        <v>0</v>
      </c>
      <c r="S2138" s="65">
        <v>440.15000000000003</v>
      </c>
      <c r="T2138" s="65">
        <v>0</v>
      </c>
      <c r="U2138" s="58">
        <v>0</v>
      </c>
      <c r="V2138" s="65">
        <v>0</v>
      </c>
      <c r="W2138" s="65">
        <v>0</v>
      </c>
      <c r="X2138" s="65">
        <v>32858</v>
      </c>
      <c r="Y2138" s="65">
        <v>0</v>
      </c>
      <c r="Z2138" s="51">
        <v>0</v>
      </c>
      <c r="AA2138" s="51">
        <v>9</v>
      </c>
      <c r="AB2138" s="102">
        <v>0</v>
      </c>
      <c r="AC2138" s="81">
        <f t="shared" si="102"/>
        <v>0.57147434944230602</v>
      </c>
      <c r="AD2138" s="82">
        <f t="shared" si="103"/>
        <v>99.914285714285725</v>
      </c>
      <c r="AE2138" s="218">
        <v>2.7561417977911508E-4</v>
      </c>
      <c r="AF2138">
        <v>22</v>
      </c>
      <c r="AH2138" t="str">
        <f t="shared" si="104"/>
        <v>Gopalpur Bmc</v>
      </c>
      <c r="AJ2138" s="72">
        <v>0</v>
      </c>
      <c r="AK2138" s="72"/>
      <c r="AL2138" s="72"/>
      <c r="AM2138" s="72"/>
    </row>
    <row r="2139" spans="1:39" x14ac:dyDescent="0.25">
      <c r="A2139" s="37" t="s">
        <v>62</v>
      </c>
      <c r="B2139" s="66" t="s">
        <v>1654</v>
      </c>
      <c r="C2139" s="41">
        <v>1006</v>
      </c>
      <c r="D2139" s="41" t="s">
        <v>179</v>
      </c>
      <c r="E2139" s="41">
        <v>10060051</v>
      </c>
      <c r="F2139" s="85" t="s">
        <v>1361</v>
      </c>
      <c r="G2139" s="39" t="s">
        <v>1610</v>
      </c>
      <c r="H2139" s="52" t="s">
        <v>98</v>
      </c>
      <c r="I2139" s="52">
        <v>148.4</v>
      </c>
      <c r="J2139" s="49">
        <v>5812.23</v>
      </c>
      <c r="K2139" s="58">
        <v>0</v>
      </c>
      <c r="L2139" s="58">
        <v>0</v>
      </c>
      <c r="M2139" s="58">
        <v>0</v>
      </c>
      <c r="N2139" s="58">
        <v>0</v>
      </c>
      <c r="O2139" s="58">
        <v>0</v>
      </c>
      <c r="P2139" s="53">
        <v>0</v>
      </c>
      <c r="Q2139" s="65">
        <v>5812.23</v>
      </c>
      <c r="R2139" s="65">
        <v>0</v>
      </c>
      <c r="S2139" s="65">
        <v>0</v>
      </c>
      <c r="T2139" s="65">
        <v>0</v>
      </c>
      <c r="U2139" s="58">
        <v>0</v>
      </c>
      <c r="V2139" s="65">
        <v>0</v>
      </c>
      <c r="W2139" s="65">
        <v>0</v>
      </c>
      <c r="X2139" s="65">
        <v>0</v>
      </c>
      <c r="Y2139" s="65">
        <v>0</v>
      </c>
      <c r="Z2139" s="51">
        <v>5812.23</v>
      </c>
      <c r="AA2139" s="51">
        <v>0</v>
      </c>
      <c r="AB2139" s="102">
        <v>0</v>
      </c>
      <c r="AC2139" s="81">
        <f t="shared" si="102"/>
        <v>432.07898490566032</v>
      </c>
      <c r="AD2139" s="82">
        <f t="shared" si="103"/>
        <v>21.2</v>
      </c>
      <c r="AE2139" s="218">
        <v>0</v>
      </c>
      <c r="AF2139">
        <v>0</v>
      </c>
      <c r="AH2139" t="str">
        <f t="shared" si="104"/>
        <v>Sonvarsha</v>
      </c>
      <c r="AJ2139" s="72">
        <v>0</v>
      </c>
      <c r="AK2139" s="72"/>
      <c r="AL2139" s="72"/>
      <c r="AM2139" s="72"/>
    </row>
    <row r="2140" spans="1:39" x14ac:dyDescent="0.25">
      <c r="A2140" s="37" t="s">
        <v>62</v>
      </c>
      <c r="B2140" s="66" t="s">
        <v>1654</v>
      </c>
      <c r="C2140" s="41">
        <v>1006</v>
      </c>
      <c r="D2140" s="41" t="s">
        <v>179</v>
      </c>
      <c r="E2140" s="41">
        <v>10060052</v>
      </c>
      <c r="F2140" s="85" t="s">
        <v>1640</v>
      </c>
      <c r="G2140" s="39" t="s">
        <v>1610</v>
      </c>
      <c r="H2140" s="52" t="s">
        <v>98</v>
      </c>
      <c r="I2140" s="52">
        <v>279.40000000000003</v>
      </c>
      <c r="J2140" s="49">
        <v>10602.6</v>
      </c>
      <c r="K2140" s="58">
        <v>0</v>
      </c>
      <c r="L2140" s="58">
        <v>0</v>
      </c>
      <c r="M2140" s="58">
        <v>0</v>
      </c>
      <c r="N2140" s="58">
        <v>0</v>
      </c>
      <c r="O2140" s="58">
        <v>0</v>
      </c>
      <c r="P2140" s="53">
        <v>0</v>
      </c>
      <c r="Q2140" s="65">
        <v>10602.6</v>
      </c>
      <c r="R2140" s="65">
        <v>0</v>
      </c>
      <c r="S2140" s="65">
        <v>0</v>
      </c>
      <c r="T2140" s="65">
        <v>0</v>
      </c>
      <c r="U2140" s="58">
        <v>0</v>
      </c>
      <c r="V2140" s="65">
        <v>0</v>
      </c>
      <c r="W2140" s="65">
        <v>0</v>
      </c>
      <c r="X2140" s="65">
        <v>0</v>
      </c>
      <c r="Y2140" s="65">
        <v>0</v>
      </c>
      <c r="Z2140" s="51">
        <v>10602.6</v>
      </c>
      <c r="AA2140" s="51">
        <v>0</v>
      </c>
      <c r="AB2140" s="102">
        <v>0</v>
      </c>
      <c r="AC2140" s="81">
        <f t="shared" si="102"/>
        <v>319.21643235504649</v>
      </c>
      <c r="AD2140" s="82">
        <f t="shared" si="103"/>
        <v>39.914285714285718</v>
      </c>
      <c r="AE2140" s="218">
        <v>0</v>
      </c>
      <c r="AF2140">
        <v>0</v>
      </c>
      <c r="AH2140" t="str">
        <f t="shared" si="104"/>
        <v>Sonvarsha</v>
      </c>
      <c r="AJ2140" s="72">
        <v>0</v>
      </c>
      <c r="AK2140" s="72"/>
      <c r="AL2140" s="72"/>
      <c r="AM2140" s="72"/>
    </row>
    <row r="2141" spans="1:39" x14ac:dyDescent="0.25">
      <c r="A2141" s="37" t="s">
        <v>62</v>
      </c>
      <c r="B2141" s="66" t="s">
        <v>1654</v>
      </c>
      <c r="C2141" s="41">
        <v>1006</v>
      </c>
      <c r="D2141" s="41" t="s">
        <v>179</v>
      </c>
      <c r="E2141" s="41">
        <v>10060055</v>
      </c>
      <c r="F2141" s="85" t="s">
        <v>1373</v>
      </c>
      <c r="G2141" s="39" t="s">
        <v>1610</v>
      </c>
      <c r="H2141" s="52" t="s">
        <v>98</v>
      </c>
      <c r="I2141" s="52">
        <v>244.20000000000002</v>
      </c>
      <c r="J2141" s="49">
        <v>9221.9699999999993</v>
      </c>
      <c r="K2141" s="58">
        <v>0</v>
      </c>
      <c r="L2141" s="58">
        <v>0</v>
      </c>
      <c r="M2141" s="58">
        <v>0</v>
      </c>
      <c r="N2141" s="58">
        <v>0</v>
      </c>
      <c r="O2141" s="58">
        <v>0</v>
      </c>
      <c r="P2141" s="53">
        <v>0</v>
      </c>
      <c r="Q2141" s="65">
        <v>9221.9699999999993</v>
      </c>
      <c r="R2141" s="65">
        <v>0</v>
      </c>
      <c r="S2141" s="65">
        <v>0</v>
      </c>
      <c r="T2141" s="65">
        <v>0</v>
      </c>
      <c r="U2141" s="58">
        <v>0</v>
      </c>
      <c r="V2141" s="65">
        <v>0</v>
      </c>
      <c r="W2141" s="65">
        <v>0</v>
      </c>
      <c r="X2141" s="65">
        <v>0</v>
      </c>
      <c r="Y2141" s="65">
        <v>0</v>
      </c>
      <c r="Z2141" s="51">
        <v>9221.9699999999993</v>
      </c>
      <c r="AA2141" s="51">
        <v>0</v>
      </c>
      <c r="AB2141" s="102">
        <v>0</v>
      </c>
      <c r="AC2141" s="81">
        <f t="shared" si="102"/>
        <v>344.25666879606877</v>
      </c>
      <c r="AD2141" s="82">
        <f t="shared" si="103"/>
        <v>34.885714285714286</v>
      </c>
      <c r="AE2141" s="218">
        <v>0</v>
      </c>
      <c r="AF2141">
        <v>0</v>
      </c>
      <c r="AH2141" t="str">
        <f t="shared" si="104"/>
        <v>Sonvarsha</v>
      </c>
      <c r="AJ2141" s="72">
        <v>0</v>
      </c>
      <c r="AK2141" s="72"/>
      <c r="AL2141" s="72"/>
      <c r="AM2141" s="72"/>
    </row>
    <row r="2142" spans="1:39" x14ac:dyDescent="0.25">
      <c r="A2142" s="37" t="s">
        <v>62</v>
      </c>
      <c r="B2142" s="66" t="s">
        <v>1654</v>
      </c>
      <c r="C2142" s="41">
        <v>1006</v>
      </c>
      <c r="D2142" s="41" t="s">
        <v>179</v>
      </c>
      <c r="E2142" s="41">
        <v>10060058</v>
      </c>
      <c r="F2142" s="85" t="s">
        <v>202</v>
      </c>
      <c r="G2142" s="39" t="s">
        <v>92</v>
      </c>
      <c r="H2142" s="52" t="s">
        <v>93</v>
      </c>
      <c r="I2142" s="52">
        <v>376.3</v>
      </c>
      <c r="J2142" s="49">
        <v>15046.57</v>
      </c>
      <c r="K2142" s="58">
        <v>201.11999999999998</v>
      </c>
      <c r="L2142" s="58">
        <v>8194.0199999999986</v>
      </c>
      <c r="M2142" s="58">
        <v>167.82999999999998</v>
      </c>
      <c r="N2142" s="58">
        <v>6860.34</v>
      </c>
      <c r="O2142" s="58">
        <v>368.94999999999993</v>
      </c>
      <c r="P2142" s="53">
        <v>15054.359999999999</v>
      </c>
      <c r="Q2142" s="65">
        <v>15046.57</v>
      </c>
      <c r="R2142" s="65">
        <v>0</v>
      </c>
      <c r="S2142" s="65">
        <v>94.67</v>
      </c>
      <c r="T2142" s="65">
        <v>7.7899999999990541</v>
      </c>
      <c r="U2142" s="58">
        <v>0</v>
      </c>
      <c r="V2142" s="65">
        <v>0</v>
      </c>
      <c r="W2142" s="65">
        <v>0</v>
      </c>
      <c r="X2142" s="65">
        <v>8186</v>
      </c>
      <c r="Y2142" s="65">
        <v>6766</v>
      </c>
      <c r="Z2142" s="51">
        <v>0</v>
      </c>
      <c r="AA2142" s="51">
        <v>0</v>
      </c>
      <c r="AB2142" s="102">
        <v>0</v>
      </c>
      <c r="AC2142" s="81">
        <f t="shared" si="102"/>
        <v>258.86658033483923</v>
      </c>
      <c r="AD2142" s="82">
        <f t="shared" si="103"/>
        <v>53.75714285714286</v>
      </c>
      <c r="AE2142" s="218">
        <v>-5.1772596678173531E-4</v>
      </c>
      <c r="AF2142">
        <v>5</v>
      </c>
      <c r="AH2142" t="str">
        <f t="shared" si="104"/>
        <v>Sonvarsha</v>
      </c>
      <c r="AJ2142" s="72">
        <v>0</v>
      </c>
      <c r="AK2142" s="72"/>
      <c r="AL2142" s="72"/>
      <c r="AM2142" s="72"/>
    </row>
    <row r="2143" spans="1:39" x14ac:dyDescent="0.25">
      <c r="A2143" s="37" t="s">
        <v>62</v>
      </c>
      <c r="B2143" s="66" t="s">
        <v>1654</v>
      </c>
      <c r="C2143" s="41">
        <v>1006</v>
      </c>
      <c r="D2143" s="41" t="s">
        <v>179</v>
      </c>
      <c r="E2143" s="41">
        <v>10060061</v>
      </c>
      <c r="F2143" s="85" t="s">
        <v>1387</v>
      </c>
      <c r="G2143" s="39" t="s">
        <v>1610</v>
      </c>
      <c r="H2143" s="52" t="s">
        <v>98</v>
      </c>
      <c r="I2143" s="52">
        <v>132.1</v>
      </c>
      <c r="J2143" s="49">
        <v>5079.92</v>
      </c>
      <c r="K2143" s="58">
        <v>0</v>
      </c>
      <c r="L2143" s="58">
        <v>0</v>
      </c>
      <c r="M2143" s="58">
        <v>0</v>
      </c>
      <c r="N2143" s="58">
        <v>0</v>
      </c>
      <c r="O2143" s="58">
        <v>0</v>
      </c>
      <c r="P2143" s="53">
        <v>0</v>
      </c>
      <c r="Q2143" s="65">
        <v>5079.92</v>
      </c>
      <c r="R2143" s="65">
        <v>0</v>
      </c>
      <c r="S2143" s="65">
        <v>0</v>
      </c>
      <c r="T2143" s="65">
        <v>0</v>
      </c>
      <c r="U2143" s="58">
        <v>4200</v>
      </c>
      <c r="V2143" s="65">
        <v>0</v>
      </c>
      <c r="W2143" s="65">
        <v>0</v>
      </c>
      <c r="X2143" s="65">
        <v>0</v>
      </c>
      <c r="Y2143" s="65">
        <v>0</v>
      </c>
      <c r="Z2143" s="51">
        <v>879.92000000000007</v>
      </c>
      <c r="AA2143" s="51">
        <v>0</v>
      </c>
      <c r="AB2143" s="102">
        <v>0</v>
      </c>
      <c r="AC2143" s="81">
        <f t="shared" si="102"/>
        <v>436.77313671461025</v>
      </c>
      <c r="AD2143" s="82">
        <f t="shared" si="103"/>
        <v>18.87142857142857</v>
      </c>
      <c r="AE2143" s="218">
        <v>0</v>
      </c>
      <c r="AF2143">
        <v>0</v>
      </c>
      <c r="AH2143" t="str">
        <f t="shared" si="104"/>
        <v>Sonvarsha</v>
      </c>
      <c r="AJ2143" s="72">
        <v>0</v>
      </c>
      <c r="AK2143" s="72"/>
      <c r="AL2143" s="72"/>
      <c r="AM2143" s="72"/>
    </row>
    <row r="2144" spans="1:39" x14ac:dyDescent="0.25">
      <c r="A2144" s="37" t="s">
        <v>62</v>
      </c>
      <c r="B2144" s="66" t="s">
        <v>1654</v>
      </c>
      <c r="C2144" s="41">
        <v>1006</v>
      </c>
      <c r="D2144" s="41" t="s">
        <v>179</v>
      </c>
      <c r="E2144" s="41">
        <v>10060062</v>
      </c>
      <c r="F2144" s="85" t="s">
        <v>472</v>
      </c>
      <c r="G2144" s="39" t="s">
        <v>1610</v>
      </c>
      <c r="H2144" s="52" t="s">
        <v>98</v>
      </c>
      <c r="I2144" s="52">
        <v>303.09999999999997</v>
      </c>
      <c r="J2144" s="49">
        <v>12861.05</v>
      </c>
      <c r="K2144" s="58">
        <v>0</v>
      </c>
      <c r="L2144" s="58">
        <v>0</v>
      </c>
      <c r="M2144" s="58">
        <v>0</v>
      </c>
      <c r="N2144" s="58">
        <v>0</v>
      </c>
      <c r="O2144" s="58">
        <v>0</v>
      </c>
      <c r="P2144" s="53">
        <v>0</v>
      </c>
      <c r="Q2144" s="65">
        <v>12861.05</v>
      </c>
      <c r="R2144" s="65">
        <v>0</v>
      </c>
      <c r="S2144" s="65">
        <v>0</v>
      </c>
      <c r="T2144" s="65">
        <v>0</v>
      </c>
      <c r="U2144" s="58">
        <v>0</v>
      </c>
      <c r="V2144" s="65">
        <v>0</v>
      </c>
      <c r="W2144" s="65">
        <v>0</v>
      </c>
      <c r="X2144" s="65">
        <v>0</v>
      </c>
      <c r="Y2144" s="65">
        <v>0</v>
      </c>
      <c r="Z2144" s="51">
        <v>12861.05</v>
      </c>
      <c r="AA2144" s="51">
        <v>0</v>
      </c>
      <c r="AB2144" s="102">
        <v>0</v>
      </c>
      <c r="AC2144" s="81">
        <f t="shared" si="102"/>
        <v>336.82287990762131</v>
      </c>
      <c r="AD2144" s="82">
        <f t="shared" si="103"/>
        <v>43.3</v>
      </c>
      <c r="AE2144" s="218">
        <v>0</v>
      </c>
      <c r="AF2144">
        <v>0</v>
      </c>
      <c r="AH2144" t="str">
        <f t="shared" si="104"/>
        <v>Sonvarsha</v>
      </c>
      <c r="AJ2144" s="72">
        <v>0</v>
      </c>
      <c r="AK2144" s="72"/>
      <c r="AL2144" s="72"/>
      <c r="AM2144" s="72"/>
    </row>
    <row r="2145" spans="1:39" x14ac:dyDescent="0.25">
      <c r="A2145" s="37" t="s">
        <v>62</v>
      </c>
      <c r="B2145" s="66" t="s">
        <v>1654</v>
      </c>
      <c r="C2145" s="41">
        <v>1059</v>
      </c>
      <c r="D2145" s="41" t="s">
        <v>1299</v>
      </c>
      <c r="E2145" s="41">
        <v>10060069</v>
      </c>
      <c r="F2145" s="85" t="s">
        <v>439</v>
      </c>
      <c r="G2145" s="39" t="s">
        <v>92</v>
      </c>
      <c r="H2145" s="52" t="s">
        <v>93</v>
      </c>
      <c r="I2145" s="52">
        <v>306.60000000000002</v>
      </c>
      <c r="J2145" s="49">
        <v>14488.59</v>
      </c>
      <c r="K2145" s="58">
        <v>306.60000000000008</v>
      </c>
      <c r="L2145" s="58">
        <v>14488.59</v>
      </c>
      <c r="M2145" s="58">
        <v>0</v>
      </c>
      <c r="N2145" s="58">
        <v>0</v>
      </c>
      <c r="O2145" s="58">
        <v>306.60000000000008</v>
      </c>
      <c r="P2145" s="53">
        <v>14488.59</v>
      </c>
      <c r="Q2145" s="65">
        <v>14488.59</v>
      </c>
      <c r="R2145" s="65">
        <v>0</v>
      </c>
      <c r="S2145" s="65">
        <v>0</v>
      </c>
      <c r="T2145" s="65">
        <v>0</v>
      </c>
      <c r="U2145" s="58">
        <v>0</v>
      </c>
      <c r="V2145" s="65">
        <v>0</v>
      </c>
      <c r="W2145" s="65">
        <v>0</v>
      </c>
      <c r="X2145" s="65">
        <v>14489</v>
      </c>
      <c r="Y2145" s="65">
        <v>0</v>
      </c>
      <c r="Z2145" s="51">
        <v>0</v>
      </c>
      <c r="AA2145" s="51">
        <v>0</v>
      </c>
      <c r="AB2145" s="102">
        <v>0</v>
      </c>
      <c r="AC2145" s="81">
        <f t="shared" si="102"/>
        <v>371.80765205479446</v>
      </c>
      <c r="AD2145" s="82">
        <f t="shared" si="103"/>
        <v>43.800000000000004</v>
      </c>
      <c r="AE2145" s="218">
        <v>0</v>
      </c>
      <c r="AF2145">
        <v>1</v>
      </c>
      <c r="AH2145" t="str">
        <f t="shared" si="104"/>
        <v>Gopalpur Bmc</v>
      </c>
      <c r="AJ2145" s="72">
        <v>0</v>
      </c>
      <c r="AK2145" s="72"/>
      <c r="AL2145" s="72"/>
      <c r="AM2145" s="72"/>
    </row>
    <row r="2146" spans="1:39" x14ac:dyDescent="0.25">
      <c r="A2146" s="37" t="s">
        <v>62</v>
      </c>
      <c r="B2146" s="66" t="s">
        <v>1654</v>
      </c>
      <c r="C2146" s="41">
        <v>1059</v>
      </c>
      <c r="D2146" s="41" t="s">
        <v>1299</v>
      </c>
      <c r="E2146" s="41">
        <v>10060074</v>
      </c>
      <c r="F2146" s="85" t="s">
        <v>473</v>
      </c>
      <c r="G2146" s="39" t="s">
        <v>92</v>
      </c>
      <c r="H2146" s="52" t="s">
        <v>93</v>
      </c>
      <c r="I2146" s="52">
        <v>359.20000000000005</v>
      </c>
      <c r="J2146" s="49">
        <v>16262.78</v>
      </c>
      <c r="K2146" s="58">
        <v>350.75</v>
      </c>
      <c r="L2146" s="58">
        <v>16347.11</v>
      </c>
      <c r="M2146" s="58">
        <v>6.1300000000000008</v>
      </c>
      <c r="N2146" s="58">
        <v>283.39999999999998</v>
      </c>
      <c r="O2146" s="58">
        <v>356.88</v>
      </c>
      <c r="P2146" s="53">
        <v>16630.510000000002</v>
      </c>
      <c r="Q2146" s="65">
        <v>16262.78</v>
      </c>
      <c r="R2146" s="65">
        <v>0</v>
      </c>
      <c r="S2146" s="65">
        <v>283.39999999999998</v>
      </c>
      <c r="T2146" s="65">
        <v>367.73000000000138</v>
      </c>
      <c r="U2146" s="58">
        <v>0</v>
      </c>
      <c r="V2146" s="65">
        <v>0</v>
      </c>
      <c r="W2146" s="65">
        <v>0</v>
      </c>
      <c r="X2146" s="65">
        <v>15979</v>
      </c>
      <c r="Y2146" s="65">
        <v>0</v>
      </c>
      <c r="Z2146" s="51">
        <v>0</v>
      </c>
      <c r="AA2146" s="51">
        <v>0</v>
      </c>
      <c r="AB2146" s="102" t="s">
        <v>1366</v>
      </c>
      <c r="AC2146" s="81">
        <f t="shared" si="102"/>
        <v>308.59439999999995</v>
      </c>
      <c r="AD2146" s="82">
        <f t="shared" si="103"/>
        <v>51.314285714285724</v>
      </c>
      <c r="AE2146" s="218">
        <v>-2.2611755185767832E-2</v>
      </c>
      <c r="AF2146">
        <v>11</v>
      </c>
      <c r="AH2146" t="str">
        <f t="shared" si="104"/>
        <v>Gopalpur Bmc</v>
      </c>
      <c r="AJ2146" s="72">
        <v>0</v>
      </c>
      <c r="AK2146" s="72"/>
      <c r="AL2146" s="72"/>
      <c r="AM2146" s="72"/>
    </row>
    <row r="2147" spans="1:39" x14ac:dyDescent="0.25">
      <c r="A2147" s="37" t="s">
        <v>62</v>
      </c>
      <c r="B2147" s="66" t="s">
        <v>1654</v>
      </c>
      <c r="C2147" s="41">
        <v>1006</v>
      </c>
      <c r="D2147" s="41" t="s">
        <v>179</v>
      </c>
      <c r="E2147" s="41">
        <v>10060076</v>
      </c>
      <c r="F2147" s="85" t="s">
        <v>505</v>
      </c>
      <c r="G2147" s="39" t="s">
        <v>92</v>
      </c>
      <c r="H2147" s="52" t="s">
        <v>93</v>
      </c>
      <c r="I2147" s="52">
        <v>364.09999999999997</v>
      </c>
      <c r="J2147" s="49">
        <v>15531.999999999998</v>
      </c>
      <c r="K2147" s="58">
        <v>364.09999999999997</v>
      </c>
      <c r="L2147" s="58">
        <v>15539.349999999999</v>
      </c>
      <c r="M2147" s="58">
        <v>0</v>
      </c>
      <c r="N2147" s="58">
        <v>0</v>
      </c>
      <c r="O2147" s="58">
        <v>364.09999999999997</v>
      </c>
      <c r="P2147" s="53">
        <v>15539.349999999999</v>
      </c>
      <c r="Q2147" s="65">
        <v>15531.999999999998</v>
      </c>
      <c r="R2147" s="65">
        <v>0</v>
      </c>
      <c r="S2147" s="65">
        <v>0</v>
      </c>
      <c r="T2147" s="65">
        <v>7.3500000000003638</v>
      </c>
      <c r="U2147" s="58">
        <v>0</v>
      </c>
      <c r="V2147" s="65">
        <v>0</v>
      </c>
      <c r="W2147" s="65">
        <v>0</v>
      </c>
      <c r="X2147" s="65">
        <v>15532</v>
      </c>
      <c r="Y2147" s="65">
        <v>0</v>
      </c>
      <c r="Z2147" s="51">
        <v>0</v>
      </c>
      <c r="AA2147" s="51">
        <v>0</v>
      </c>
      <c r="AB2147" s="102">
        <v>0</v>
      </c>
      <c r="AC2147" s="81">
        <f t="shared" si="102"/>
        <v>286.58054380664652</v>
      </c>
      <c r="AD2147" s="82">
        <f t="shared" si="103"/>
        <v>52.014285714285712</v>
      </c>
      <c r="AE2147" s="218">
        <v>-4.7321658511462558E-4</v>
      </c>
      <c r="AF2147">
        <v>1</v>
      </c>
      <c r="AH2147" t="str">
        <f t="shared" si="104"/>
        <v>Sonvarsha</v>
      </c>
      <c r="AJ2147" s="72">
        <v>0</v>
      </c>
      <c r="AK2147" s="72"/>
      <c r="AL2147" s="72"/>
      <c r="AM2147" s="72"/>
    </row>
    <row r="2148" spans="1:39" x14ac:dyDescent="0.25">
      <c r="A2148" s="37" t="s">
        <v>62</v>
      </c>
      <c r="B2148" s="66" t="s">
        <v>1654</v>
      </c>
      <c r="C2148" s="41">
        <v>1006</v>
      </c>
      <c r="D2148" s="41" t="s">
        <v>179</v>
      </c>
      <c r="E2148" s="41">
        <v>10060077</v>
      </c>
      <c r="F2148" s="85" t="s">
        <v>494</v>
      </c>
      <c r="G2148" s="39" t="s">
        <v>92</v>
      </c>
      <c r="H2148" s="52" t="s">
        <v>93</v>
      </c>
      <c r="I2148" s="52">
        <v>1416.7</v>
      </c>
      <c r="J2148" s="49">
        <v>61236.909999999996</v>
      </c>
      <c r="K2148" s="58">
        <v>1271.67</v>
      </c>
      <c r="L2148" s="58">
        <v>53546.63</v>
      </c>
      <c r="M2148" s="58">
        <v>179.78</v>
      </c>
      <c r="N2148" s="58">
        <v>7901.0600000000013</v>
      </c>
      <c r="O2148" s="58">
        <v>1451.45</v>
      </c>
      <c r="P2148" s="53">
        <v>61447.69</v>
      </c>
      <c r="Q2148" s="65">
        <v>61236.909999999996</v>
      </c>
      <c r="R2148" s="65">
        <v>0</v>
      </c>
      <c r="S2148" s="65">
        <v>876.6400000000001</v>
      </c>
      <c r="T2148" s="65">
        <v>210.78000000000611</v>
      </c>
      <c r="U2148" s="58">
        <v>0</v>
      </c>
      <c r="V2148" s="65">
        <v>0</v>
      </c>
      <c r="W2148" s="65">
        <v>0</v>
      </c>
      <c r="X2148" s="65">
        <v>53336</v>
      </c>
      <c r="Y2148" s="65">
        <v>7024</v>
      </c>
      <c r="Z2148" s="51">
        <v>0</v>
      </c>
      <c r="AA2148" s="51">
        <v>0</v>
      </c>
      <c r="AB2148" s="102">
        <v>0</v>
      </c>
      <c r="AC2148" s="81">
        <f t="shared" si="102"/>
        <v>0</v>
      </c>
      <c r="AD2148" s="82">
        <f t="shared" si="103"/>
        <v>0</v>
      </c>
      <c r="AE2148" s="218">
        <v>-3.4420417359400748E-3</v>
      </c>
      <c r="AF2148">
        <v>37</v>
      </c>
      <c r="AH2148" t="str">
        <f t="shared" si="104"/>
        <v>Sonvarsha</v>
      </c>
      <c r="AJ2148" s="72">
        <v>0</v>
      </c>
      <c r="AK2148" s="72"/>
      <c r="AL2148" s="72"/>
      <c r="AM2148" s="72"/>
    </row>
    <row r="2149" spans="1:39" x14ac:dyDescent="0.25">
      <c r="A2149" s="37" t="s">
        <v>62</v>
      </c>
      <c r="B2149" s="66" t="s">
        <v>1654</v>
      </c>
      <c r="C2149" s="41">
        <v>1006</v>
      </c>
      <c r="D2149" s="41" t="s">
        <v>179</v>
      </c>
      <c r="E2149" s="41">
        <v>10060083</v>
      </c>
      <c r="F2149" s="85" t="s">
        <v>490</v>
      </c>
      <c r="G2149" s="39" t="s">
        <v>1610</v>
      </c>
      <c r="H2149" s="52" t="s">
        <v>98</v>
      </c>
      <c r="I2149" s="52">
        <v>2915.4000000000005</v>
      </c>
      <c r="J2149" s="49">
        <v>117628.83000000002</v>
      </c>
      <c r="K2149" s="58">
        <v>0</v>
      </c>
      <c r="L2149" s="58">
        <v>0</v>
      </c>
      <c r="M2149" s="58">
        <v>0</v>
      </c>
      <c r="N2149" s="58">
        <v>0</v>
      </c>
      <c r="O2149" s="58">
        <v>0</v>
      </c>
      <c r="P2149" s="53">
        <v>0</v>
      </c>
      <c r="Q2149" s="65">
        <v>117628.83000000002</v>
      </c>
      <c r="R2149" s="65">
        <v>0</v>
      </c>
      <c r="S2149" s="65">
        <v>0</v>
      </c>
      <c r="T2149" s="65">
        <v>0</v>
      </c>
      <c r="U2149" s="58">
        <v>0</v>
      </c>
      <c r="V2149" s="65">
        <v>0</v>
      </c>
      <c r="W2149" s="65">
        <v>0</v>
      </c>
      <c r="X2149" s="65">
        <v>0</v>
      </c>
      <c r="Y2149" s="65">
        <v>0</v>
      </c>
      <c r="Z2149" s="51">
        <v>117628.83000000002</v>
      </c>
      <c r="AA2149" s="51">
        <v>0</v>
      </c>
      <c r="AB2149" s="102">
        <v>0</v>
      </c>
      <c r="AC2149" s="81">
        <f t="shared" si="102"/>
        <v>0</v>
      </c>
      <c r="AD2149" s="82">
        <f t="shared" si="103"/>
        <v>0</v>
      </c>
      <c r="AE2149" s="218">
        <v>0</v>
      </c>
      <c r="AF2149">
        <v>0</v>
      </c>
      <c r="AH2149" t="str">
        <f t="shared" si="104"/>
        <v>Sonvarsha</v>
      </c>
      <c r="AJ2149" s="72">
        <v>0</v>
      </c>
      <c r="AK2149" s="72"/>
      <c r="AL2149" s="72"/>
      <c r="AM2149" s="72"/>
    </row>
    <row r="2150" spans="1:39" x14ac:dyDescent="0.25">
      <c r="A2150" s="37" t="s">
        <v>62</v>
      </c>
      <c r="B2150" s="66" t="s">
        <v>1654</v>
      </c>
      <c r="C2150" s="41">
        <v>1006</v>
      </c>
      <c r="D2150" s="41" t="s">
        <v>179</v>
      </c>
      <c r="E2150" s="41">
        <v>10060089</v>
      </c>
      <c r="F2150" s="85" t="s">
        <v>1522</v>
      </c>
      <c r="G2150" s="39" t="s">
        <v>1610</v>
      </c>
      <c r="H2150" s="52" t="s">
        <v>98</v>
      </c>
      <c r="I2150" s="52">
        <v>516</v>
      </c>
      <c r="J2150" s="49">
        <v>17596.240000000002</v>
      </c>
      <c r="K2150" s="58">
        <v>0</v>
      </c>
      <c r="L2150" s="58">
        <v>0</v>
      </c>
      <c r="M2150" s="58">
        <v>0</v>
      </c>
      <c r="N2150" s="58">
        <v>0</v>
      </c>
      <c r="O2150" s="58">
        <v>0</v>
      </c>
      <c r="P2150" s="53">
        <v>0</v>
      </c>
      <c r="Q2150" s="65">
        <v>17596.240000000002</v>
      </c>
      <c r="R2150" s="65">
        <v>0</v>
      </c>
      <c r="S2150" s="65">
        <v>0</v>
      </c>
      <c r="T2150" s="65">
        <v>0</v>
      </c>
      <c r="U2150" s="58">
        <v>0</v>
      </c>
      <c r="V2150" s="65">
        <v>0</v>
      </c>
      <c r="W2150" s="65">
        <v>0</v>
      </c>
      <c r="X2150" s="65">
        <v>0</v>
      </c>
      <c r="Y2150" s="65">
        <v>0</v>
      </c>
      <c r="Z2150" s="51">
        <v>17596.240000000002</v>
      </c>
      <c r="AA2150" s="51">
        <v>0</v>
      </c>
      <c r="AB2150" s="102">
        <v>0</v>
      </c>
      <c r="AC2150" s="81">
        <f t="shared" si="102"/>
        <v>125.49256434108533</v>
      </c>
      <c r="AD2150" s="82">
        <f t="shared" si="103"/>
        <v>73.714285714285708</v>
      </c>
      <c r="AE2150" s="218">
        <v>0</v>
      </c>
      <c r="AF2150">
        <v>0</v>
      </c>
      <c r="AH2150" t="str">
        <f t="shared" si="104"/>
        <v>Sonvarsha</v>
      </c>
      <c r="AJ2150" s="72">
        <v>0</v>
      </c>
      <c r="AK2150" s="72"/>
      <c r="AL2150" s="72"/>
      <c r="AM2150" s="72"/>
    </row>
    <row r="2151" spans="1:39" x14ac:dyDescent="0.25">
      <c r="A2151" s="37" t="s">
        <v>62</v>
      </c>
      <c r="B2151" s="66" t="s">
        <v>1654</v>
      </c>
      <c r="C2151" s="41">
        <v>1059</v>
      </c>
      <c r="D2151" s="41" t="s">
        <v>1299</v>
      </c>
      <c r="E2151" s="41">
        <v>10060090</v>
      </c>
      <c r="F2151" s="85" t="s">
        <v>520</v>
      </c>
      <c r="G2151" s="39" t="s">
        <v>92</v>
      </c>
      <c r="H2151" s="52" t="s">
        <v>93</v>
      </c>
      <c r="I2151" s="52">
        <v>611</v>
      </c>
      <c r="J2151" s="49">
        <v>28061.579999999998</v>
      </c>
      <c r="K2151" s="58">
        <v>839.7600000000001</v>
      </c>
      <c r="L2151" s="58">
        <v>36696.149999999994</v>
      </c>
      <c r="M2151" s="58">
        <v>0</v>
      </c>
      <c r="N2151" s="58">
        <v>0</v>
      </c>
      <c r="O2151" s="58">
        <v>839.7600000000001</v>
      </c>
      <c r="P2151" s="53">
        <v>36696.149999999994</v>
      </c>
      <c r="Q2151" s="65">
        <v>28061.579999999998</v>
      </c>
      <c r="R2151" s="65">
        <v>0</v>
      </c>
      <c r="S2151" s="65">
        <v>0</v>
      </c>
      <c r="T2151" s="65">
        <v>8634.5699999999961</v>
      </c>
      <c r="U2151" s="58">
        <v>0</v>
      </c>
      <c r="V2151" s="65">
        <v>0</v>
      </c>
      <c r="W2151" s="65">
        <v>0</v>
      </c>
      <c r="X2151" s="65">
        <v>28062</v>
      </c>
      <c r="Y2151" s="65">
        <v>0</v>
      </c>
      <c r="Z2151" s="51">
        <v>0</v>
      </c>
      <c r="AA2151" s="51">
        <v>0</v>
      </c>
      <c r="AB2151" s="102">
        <v>0</v>
      </c>
      <c r="AC2151" s="81">
        <f t="shared" si="102"/>
        <v>81.750593126022864</v>
      </c>
      <c r="AD2151" s="82">
        <f t="shared" si="103"/>
        <v>87.285714285714292</v>
      </c>
      <c r="AE2151" s="218">
        <v>-0.30770077807450602</v>
      </c>
      <c r="AF2151">
        <v>3</v>
      </c>
      <c r="AH2151" t="str">
        <f t="shared" si="104"/>
        <v>Gopalpur Bmc</v>
      </c>
      <c r="AJ2151" s="72">
        <v>0</v>
      </c>
      <c r="AK2151" s="72"/>
      <c r="AL2151" s="72"/>
      <c r="AM2151" s="72"/>
    </row>
    <row r="2152" spans="1:39" x14ac:dyDescent="0.25">
      <c r="A2152" s="37" t="s">
        <v>62</v>
      </c>
      <c r="B2152" s="66" t="s">
        <v>1654</v>
      </c>
      <c r="C2152" s="41">
        <v>1006</v>
      </c>
      <c r="D2152" s="41" t="s">
        <v>179</v>
      </c>
      <c r="E2152" s="41">
        <v>10060096</v>
      </c>
      <c r="F2152" s="85" t="s">
        <v>521</v>
      </c>
      <c r="G2152" s="39" t="s">
        <v>1610</v>
      </c>
      <c r="H2152" s="52" t="s">
        <v>98</v>
      </c>
      <c r="I2152" s="52">
        <v>1044.7</v>
      </c>
      <c r="J2152" s="49">
        <v>39857.62999999999</v>
      </c>
      <c r="K2152" s="58">
        <v>0</v>
      </c>
      <c r="L2152" s="58">
        <v>0</v>
      </c>
      <c r="M2152" s="58">
        <v>0</v>
      </c>
      <c r="N2152" s="58">
        <v>0</v>
      </c>
      <c r="O2152" s="58">
        <v>0</v>
      </c>
      <c r="P2152" s="53">
        <v>0</v>
      </c>
      <c r="Q2152" s="65">
        <v>39857.62999999999</v>
      </c>
      <c r="R2152" s="65">
        <v>0</v>
      </c>
      <c r="S2152" s="65">
        <v>0</v>
      </c>
      <c r="T2152" s="65">
        <v>0</v>
      </c>
      <c r="U2152" s="58">
        <v>0</v>
      </c>
      <c r="V2152" s="65">
        <v>0</v>
      </c>
      <c r="W2152" s="65">
        <v>0</v>
      </c>
      <c r="X2152" s="65">
        <v>0</v>
      </c>
      <c r="Y2152" s="65">
        <v>0</v>
      </c>
      <c r="Z2152" s="51">
        <v>39857.62999999999</v>
      </c>
      <c r="AA2152" s="51">
        <v>0</v>
      </c>
      <c r="AB2152" s="102">
        <v>0</v>
      </c>
      <c r="AC2152" s="81">
        <f t="shared" si="102"/>
        <v>0</v>
      </c>
      <c r="AD2152" s="82">
        <f t="shared" si="103"/>
        <v>0</v>
      </c>
      <c r="AE2152" s="218">
        <v>0</v>
      </c>
      <c r="AF2152">
        <v>0</v>
      </c>
      <c r="AH2152" t="str">
        <f t="shared" si="104"/>
        <v>Sonvarsha</v>
      </c>
      <c r="AJ2152" s="72">
        <v>0</v>
      </c>
      <c r="AK2152" s="72"/>
      <c r="AL2152" s="72"/>
      <c r="AM2152" s="72"/>
    </row>
    <row r="2153" spans="1:39" x14ac:dyDescent="0.25">
      <c r="A2153" s="37" t="s">
        <v>62</v>
      </c>
      <c r="B2153" s="66" t="s">
        <v>1654</v>
      </c>
      <c r="C2153" s="41">
        <v>1006</v>
      </c>
      <c r="D2153" s="41" t="s">
        <v>179</v>
      </c>
      <c r="E2153" s="41">
        <v>10060097</v>
      </c>
      <c r="F2153" s="85" t="s">
        <v>556</v>
      </c>
      <c r="G2153" s="39" t="s">
        <v>1610</v>
      </c>
      <c r="H2153" s="52" t="s">
        <v>98</v>
      </c>
      <c r="I2153" s="52">
        <v>1146.2</v>
      </c>
      <c r="J2153" s="49">
        <v>47356.810000000012</v>
      </c>
      <c r="K2153" s="58">
        <v>0</v>
      </c>
      <c r="L2153" s="58">
        <v>0</v>
      </c>
      <c r="M2153" s="58">
        <v>0</v>
      </c>
      <c r="N2153" s="58">
        <v>0</v>
      </c>
      <c r="O2153" s="58">
        <v>0</v>
      </c>
      <c r="P2153" s="53">
        <v>0</v>
      </c>
      <c r="Q2153" s="65">
        <v>47356.810000000012</v>
      </c>
      <c r="R2153" s="65">
        <v>0</v>
      </c>
      <c r="S2153" s="65">
        <v>0</v>
      </c>
      <c r="T2153" s="65">
        <v>0</v>
      </c>
      <c r="U2153" s="58">
        <v>0</v>
      </c>
      <c r="V2153" s="65">
        <v>0</v>
      </c>
      <c r="W2153" s="65">
        <v>0</v>
      </c>
      <c r="X2153" s="65">
        <v>0</v>
      </c>
      <c r="Y2153" s="65">
        <v>0</v>
      </c>
      <c r="Z2153" s="51">
        <v>47356.810000000012</v>
      </c>
      <c r="AA2153" s="51">
        <v>0</v>
      </c>
      <c r="AB2153" s="102">
        <v>0</v>
      </c>
      <c r="AC2153" s="81">
        <f t="shared" si="102"/>
        <v>0</v>
      </c>
      <c r="AD2153" s="82">
        <f t="shared" si="103"/>
        <v>0</v>
      </c>
      <c r="AE2153" s="218">
        <v>0</v>
      </c>
      <c r="AF2153">
        <v>0</v>
      </c>
      <c r="AH2153" t="str">
        <f t="shared" si="104"/>
        <v>Sonvarsha</v>
      </c>
      <c r="AJ2153" s="72">
        <v>0</v>
      </c>
      <c r="AK2153" s="72"/>
      <c r="AL2153" s="72"/>
      <c r="AM2153" s="72"/>
    </row>
    <row r="2154" spans="1:39" x14ac:dyDescent="0.25">
      <c r="A2154" s="37" t="s">
        <v>62</v>
      </c>
      <c r="B2154" s="66" t="s">
        <v>1654</v>
      </c>
      <c r="C2154" s="41">
        <v>1006</v>
      </c>
      <c r="D2154" s="41" t="s">
        <v>179</v>
      </c>
      <c r="E2154" s="41">
        <v>10060098</v>
      </c>
      <c r="F2154" s="85" t="s">
        <v>645</v>
      </c>
      <c r="G2154" s="39" t="s">
        <v>92</v>
      </c>
      <c r="H2154" s="52" t="s">
        <v>93</v>
      </c>
      <c r="I2154" s="52">
        <v>1938.6</v>
      </c>
      <c r="J2154" s="49">
        <v>87973.1</v>
      </c>
      <c r="K2154" s="58">
        <v>1357.9700000000005</v>
      </c>
      <c r="L2154" s="58">
        <v>65500.400000000009</v>
      </c>
      <c r="M2154" s="58">
        <v>574.05000000000007</v>
      </c>
      <c r="N2154" s="58">
        <v>23877.249999999996</v>
      </c>
      <c r="O2154" s="58">
        <v>1932.0200000000004</v>
      </c>
      <c r="P2154" s="53">
        <v>89377.650000000009</v>
      </c>
      <c r="Q2154" s="65">
        <v>87973.1</v>
      </c>
      <c r="R2154" s="65">
        <v>0</v>
      </c>
      <c r="S2154" s="65">
        <v>585.89</v>
      </c>
      <c r="T2154" s="65">
        <v>1404.5500000000029</v>
      </c>
      <c r="U2154" s="58">
        <v>0</v>
      </c>
      <c r="V2154" s="65">
        <v>0</v>
      </c>
      <c r="W2154" s="65">
        <v>0</v>
      </c>
      <c r="X2154" s="65">
        <v>64096</v>
      </c>
      <c r="Y2154" s="65">
        <v>23291</v>
      </c>
      <c r="Z2154" s="51">
        <v>0</v>
      </c>
      <c r="AA2154" s="51">
        <v>0</v>
      </c>
      <c r="AB2154" s="102">
        <v>0</v>
      </c>
      <c r="AC2154" s="81">
        <f t="shared" si="102"/>
        <v>0</v>
      </c>
      <c r="AD2154" s="82">
        <f t="shared" si="103"/>
        <v>0</v>
      </c>
      <c r="AE2154" s="218">
        <v>-1.596567587137435E-2</v>
      </c>
      <c r="AF2154">
        <v>20</v>
      </c>
      <c r="AH2154" t="str">
        <f t="shared" si="104"/>
        <v>Sonvarsha</v>
      </c>
      <c r="AJ2154" s="72">
        <v>0</v>
      </c>
      <c r="AK2154" s="72"/>
      <c r="AL2154" s="72"/>
      <c r="AM2154" s="72"/>
    </row>
    <row r="2155" spans="1:39" x14ac:dyDescent="0.25">
      <c r="A2155" s="37" t="s">
        <v>62</v>
      </c>
      <c r="B2155" s="66" t="s">
        <v>1654</v>
      </c>
      <c r="C2155" s="41">
        <v>1006</v>
      </c>
      <c r="D2155" s="41" t="s">
        <v>179</v>
      </c>
      <c r="E2155" s="41">
        <v>10060104</v>
      </c>
      <c r="F2155" s="85" t="s">
        <v>650</v>
      </c>
      <c r="G2155" s="39" t="s">
        <v>1610</v>
      </c>
      <c r="H2155" s="52" t="s">
        <v>98</v>
      </c>
      <c r="I2155" s="52">
        <v>1895.6</v>
      </c>
      <c r="J2155" s="49">
        <v>71212.319999999992</v>
      </c>
      <c r="K2155" s="58">
        <v>0</v>
      </c>
      <c r="L2155" s="58">
        <v>0</v>
      </c>
      <c r="M2155" s="58">
        <v>0</v>
      </c>
      <c r="N2155" s="58">
        <v>0</v>
      </c>
      <c r="O2155" s="58">
        <v>0</v>
      </c>
      <c r="P2155" s="53">
        <v>0</v>
      </c>
      <c r="Q2155" s="65">
        <v>71212.319999999992</v>
      </c>
      <c r="R2155" s="65">
        <v>0</v>
      </c>
      <c r="S2155" s="65">
        <v>0</v>
      </c>
      <c r="T2155" s="65">
        <v>0</v>
      </c>
      <c r="U2155" s="58">
        <v>0</v>
      </c>
      <c r="V2155" s="65">
        <v>0</v>
      </c>
      <c r="W2155" s="65">
        <v>0</v>
      </c>
      <c r="X2155" s="65">
        <v>0</v>
      </c>
      <c r="Y2155" s="65">
        <v>0</v>
      </c>
      <c r="Z2155" s="51">
        <v>71212.319999999992</v>
      </c>
      <c r="AA2155" s="51">
        <v>0</v>
      </c>
      <c r="AB2155" s="102">
        <v>0</v>
      </c>
      <c r="AC2155" s="81">
        <f t="shared" si="102"/>
        <v>0</v>
      </c>
      <c r="AD2155" s="82">
        <f t="shared" si="103"/>
        <v>0</v>
      </c>
      <c r="AE2155" s="218">
        <v>0</v>
      </c>
      <c r="AF2155">
        <v>0</v>
      </c>
      <c r="AH2155" t="str">
        <f t="shared" si="104"/>
        <v>Sonvarsha</v>
      </c>
      <c r="AJ2155" s="72">
        <v>0</v>
      </c>
      <c r="AK2155" s="72"/>
      <c r="AL2155" s="72"/>
      <c r="AM2155" s="72"/>
    </row>
    <row r="2156" spans="1:39" x14ac:dyDescent="0.25">
      <c r="A2156" s="37" t="s">
        <v>62</v>
      </c>
      <c r="B2156" s="66" t="s">
        <v>1654</v>
      </c>
      <c r="C2156" s="41">
        <v>1006</v>
      </c>
      <c r="D2156" s="41" t="s">
        <v>179</v>
      </c>
      <c r="E2156" s="41">
        <v>10060106</v>
      </c>
      <c r="F2156" s="85" t="s">
        <v>678</v>
      </c>
      <c r="G2156" s="39" t="s">
        <v>92</v>
      </c>
      <c r="H2156" s="52" t="s">
        <v>93</v>
      </c>
      <c r="I2156" s="52">
        <v>842.90000000000009</v>
      </c>
      <c r="J2156" s="49">
        <v>42034.84</v>
      </c>
      <c r="K2156" s="58">
        <v>840.0200000000001</v>
      </c>
      <c r="L2156" s="58">
        <v>46696.02</v>
      </c>
      <c r="M2156" s="58">
        <v>8.43</v>
      </c>
      <c r="N2156" s="58">
        <v>368.73</v>
      </c>
      <c r="O2156" s="58">
        <v>848.45</v>
      </c>
      <c r="P2156" s="53">
        <v>47064.75</v>
      </c>
      <c r="Q2156" s="65">
        <v>42034.84</v>
      </c>
      <c r="R2156" s="65">
        <v>0</v>
      </c>
      <c r="S2156" s="65">
        <v>368.73</v>
      </c>
      <c r="T2156" s="65">
        <v>5029.9100000000035</v>
      </c>
      <c r="U2156" s="58">
        <v>0</v>
      </c>
      <c r="V2156" s="65">
        <v>0</v>
      </c>
      <c r="W2156" s="65">
        <v>0</v>
      </c>
      <c r="X2156" s="65">
        <v>41666</v>
      </c>
      <c r="Y2156" s="65">
        <v>0</v>
      </c>
      <c r="Z2156" s="51">
        <v>0</v>
      </c>
      <c r="AA2156" s="51">
        <v>0</v>
      </c>
      <c r="AB2156" s="102">
        <v>0</v>
      </c>
      <c r="AC2156" s="81">
        <f t="shared" si="102"/>
        <v>0</v>
      </c>
      <c r="AD2156" s="82">
        <f t="shared" si="103"/>
        <v>0</v>
      </c>
      <c r="AE2156" s="218">
        <v>-0.11966050067039637</v>
      </c>
      <c r="AF2156">
        <v>12</v>
      </c>
      <c r="AH2156" t="str">
        <f t="shared" si="104"/>
        <v>Sonvarsha</v>
      </c>
      <c r="AJ2156" s="72">
        <v>0</v>
      </c>
      <c r="AK2156" s="72"/>
      <c r="AL2156" s="72"/>
      <c r="AM2156" s="72"/>
    </row>
    <row r="2157" spans="1:39" x14ac:dyDescent="0.25">
      <c r="A2157" s="37" t="s">
        <v>62</v>
      </c>
      <c r="B2157" s="66" t="s">
        <v>1654</v>
      </c>
      <c r="C2157" s="41">
        <v>1006</v>
      </c>
      <c r="D2157" s="41" t="s">
        <v>179</v>
      </c>
      <c r="E2157" s="41">
        <v>10060107</v>
      </c>
      <c r="F2157" s="85" t="s">
        <v>642</v>
      </c>
      <c r="G2157" s="39" t="s">
        <v>1610</v>
      </c>
      <c r="H2157" s="52" t="s">
        <v>98</v>
      </c>
      <c r="I2157" s="52">
        <v>1014.5</v>
      </c>
      <c r="J2157" s="49">
        <v>41000.629999999997</v>
      </c>
      <c r="K2157" s="58">
        <v>0</v>
      </c>
      <c r="L2157" s="58">
        <v>0</v>
      </c>
      <c r="M2157" s="58">
        <v>0</v>
      </c>
      <c r="N2157" s="58">
        <v>0</v>
      </c>
      <c r="O2157" s="58">
        <v>0</v>
      </c>
      <c r="P2157" s="53">
        <v>0</v>
      </c>
      <c r="Q2157" s="65">
        <v>41000.629999999997</v>
      </c>
      <c r="R2157" s="65">
        <v>0</v>
      </c>
      <c r="S2157" s="65">
        <v>0</v>
      </c>
      <c r="T2157" s="65">
        <v>0</v>
      </c>
      <c r="U2157" s="58">
        <v>0</v>
      </c>
      <c r="V2157" s="65">
        <v>0</v>
      </c>
      <c r="W2157" s="65">
        <v>0</v>
      </c>
      <c r="X2157" s="65">
        <v>0</v>
      </c>
      <c r="Y2157" s="65">
        <v>0</v>
      </c>
      <c r="Z2157" s="51">
        <v>41000.629999999997</v>
      </c>
      <c r="AA2157" s="51">
        <v>0</v>
      </c>
      <c r="AB2157" s="102">
        <v>0</v>
      </c>
      <c r="AC2157" s="81">
        <f t="shared" si="102"/>
        <v>0</v>
      </c>
      <c r="AD2157" s="82">
        <f t="shared" si="103"/>
        <v>0</v>
      </c>
      <c r="AE2157" s="218">
        <v>0</v>
      </c>
      <c r="AF2157">
        <v>0</v>
      </c>
      <c r="AH2157" t="str">
        <f t="shared" si="104"/>
        <v>Sonvarsha</v>
      </c>
      <c r="AJ2157" s="72">
        <v>0</v>
      </c>
      <c r="AK2157" s="72"/>
      <c r="AL2157" s="72"/>
      <c r="AM2157" s="72"/>
    </row>
    <row r="2158" spans="1:39" x14ac:dyDescent="0.25">
      <c r="A2158" s="37" t="s">
        <v>62</v>
      </c>
      <c r="B2158" s="66" t="s">
        <v>1654</v>
      </c>
      <c r="C2158" s="41">
        <v>1006</v>
      </c>
      <c r="D2158" s="41" t="s">
        <v>179</v>
      </c>
      <c r="E2158" s="41">
        <v>10060110</v>
      </c>
      <c r="F2158" s="85" t="s">
        <v>823</v>
      </c>
      <c r="G2158" s="39" t="s">
        <v>92</v>
      </c>
      <c r="H2158" s="52" t="s">
        <v>93</v>
      </c>
      <c r="I2158" s="52">
        <v>514.09999999999991</v>
      </c>
      <c r="J2158" s="49">
        <v>21750.089999999997</v>
      </c>
      <c r="K2158" s="58">
        <v>259.19999999999993</v>
      </c>
      <c r="L2158" s="58">
        <v>11032.62</v>
      </c>
      <c r="M2158" s="58">
        <v>313.8</v>
      </c>
      <c r="N2158" s="58">
        <v>13245.6</v>
      </c>
      <c r="O2158" s="58">
        <v>573</v>
      </c>
      <c r="P2158" s="53">
        <v>24278.22</v>
      </c>
      <c r="Q2158" s="65">
        <v>21750.089999999997</v>
      </c>
      <c r="R2158" s="65">
        <v>0</v>
      </c>
      <c r="S2158" s="65">
        <v>125.57</v>
      </c>
      <c r="T2158" s="65">
        <v>2528.1300000000047</v>
      </c>
      <c r="U2158" s="58">
        <v>0</v>
      </c>
      <c r="V2158" s="65">
        <v>500</v>
      </c>
      <c r="W2158" s="65">
        <v>0</v>
      </c>
      <c r="X2158" s="65">
        <v>8004</v>
      </c>
      <c r="Y2158" s="65">
        <v>13120</v>
      </c>
      <c r="Z2158" s="51">
        <v>0</v>
      </c>
      <c r="AA2158" s="51">
        <v>1</v>
      </c>
      <c r="AB2158" s="102">
        <v>0</v>
      </c>
      <c r="AC2158" s="81">
        <f t="shared" si="102"/>
        <v>157.29786932503407</v>
      </c>
      <c r="AD2158" s="82">
        <f t="shared" si="103"/>
        <v>73.442857142857136</v>
      </c>
      <c r="AE2158" s="218">
        <v>-0.11623538109497501</v>
      </c>
      <c r="AF2158">
        <v>9</v>
      </c>
      <c r="AH2158" t="str">
        <f t="shared" si="104"/>
        <v>Sonvarsha</v>
      </c>
      <c r="AJ2158" s="72">
        <v>500</v>
      </c>
      <c r="AK2158" s="72"/>
      <c r="AL2158" s="72"/>
      <c r="AM2158" s="72"/>
    </row>
    <row r="2159" spans="1:39" x14ac:dyDescent="0.25">
      <c r="A2159" s="37" t="s">
        <v>62</v>
      </c>
      <c r="B2159" s="66" t="s">
        <v>1654</v>
      </c>
      <c r="C2159" s="41">
        <v>1006</v>
      </c>
      <c r="D2159" s="41" t="s">
        <v>179</v>
      </c>
      <c r="E2159" s="41">
        <v>10060111</v>
      </c>
      <c r="F2159" s="85" t="s">
        <v>824</v>
      </c>
      <c r="G2159" s="39" t="s">
        <v>92</v>
      </c>
      <c r="H2159" s="52" t="s">
        <v>93</v>
      </c>
      <c r="I2159" s="52">
        <v>385.4</v>
      </c>
      <c r="J2159" s="49">
        <v>16364.379999999997</v>
      </c>
      <c r="K2159" s="58">
        <v>381.71000000000004</v>
      </c>
      <c r="L2159" s="58">
        <v>18391.519999999997</v>
      </c>
      <c r="M2159" s="58">
        <v>0</v>
      </c>
      <c r="N2159" s="58">
        <v>0</v>
      </c>
      <c r="O2159" s="58">
        <v>381.71000000000004</v>
      </c>
      <c r="P2159" s="53">
        <v>18391.519999999997</v>
      </c>
      <c r="Q2159" s="65">
        <v>16364.379999999997</v>
      </c>
      <c r="R2159" s="65">
        <v>0</v>
      </c>
      <c r="S2159" s="65">
        <v>0</v>
      </c>
      <c r="T2159" s="65">
        <v>2027.1399999999994</v>
      </c>
      <c r="U2159" s="58">
        <v>0</v>
      </c>
      <c r="V2159" s="65">
        <v>0</v>
      </c>
      <c r="W2159" s="65">
        <v>0</v>
      </c>
      <c r="X2159" s="65">
        <v>16364</v>
      </c>
      <c r="Y2159" s="65">
        <v>0</v>
      </c>
      <c r="Z2159" s="51">
        <v>0</v>
      </c>
      <c r="AA2159" s="51">
        <v>0</v>
      </c>
      <c r="AB2159" s="102" t="s">
        <v>66</v>
      </c>
      <c r="AC2159" s="81">
        <f t="shared" si="102"/>
        <v>267.1631524649714</v>
      </c>
      <c r="AD2159" s="82">
        <f t="shared" si="103"/>
        <v>55.057142857142857</v>
      </c>
      <c r="AE2159" s="218">
        <v>-0.12387514834048095</v>
      </c>
      <c r="AF2159">
        <v>2</v>
      </c>
      <c r="AH2159" t="str">
        <f t="shared" si="104"/>
        <v>Sonvarsha</v>
      </c>
      <c r="AJ2159" s="72">
        <v>0</v>
      </c>
      <c r="AK2159" s="72"/>
      <c r="AL2159" s="72"/>
      <c r="AM2159" s="72"/>
    </row>
    <row r="2160" spans="1:39" x14ac:dyDescent="0.25">
      <c r="A2160" s="37" t="s">
        <v>62</v>
      </c>
      <c r="B2160" s="66" t="s">
        <v>1654</v>
      </c>
      <c r="C2160" s="41">
        <v>1006</v>
      </c>
      <c r="D2160" s="41" t="s">
        <v>179</v>
      </c>
      <c r="E2160" s="41">
        <v>10060113</v>
      </c>
      <c r="F2160" s="85" t="s">
        <v>825</v>
      </c>
      <c r="G2160" s="39" t="s">
        <v>1610</v>
      </c>
      <c r="H2160" s="52" t="s">
        <v>98</v>
      </c>
      <c r="I2160" s="52">
        <v>883.9</v>
      </c>
      <c r="J2160" s="49">
        <v>35852.170000000006</v>
      </c>
      <c r="K2160" s="58">
        <v>0</v>
      </c>
      <c r="L2160" s="58">
        <v>0</v>
      </c>
      <c r="M2160" s="58">
        <v>0</v>
      </c>
      <c r="N2160" s="58">
        <v>0</v>
      </c>
      <c r="O2160" s="58">
        <v>0</v>
      </c>
      <c r="P2160" s="53">
        <v>0</v>
      </c>
      <c r="Q2160" s="65">
        <v>35852.170000000006</v>
      </c>
      <c r="R2160" s="65">
        <v>0</v>
      </c>
      <c r="S2160" s="65">
        <v>0</v>
      </c>
      <c r="T2160" s="65">
        <v>0</v>
      </c>
      <c r="U2160" s="58">
        <v>0</v>
      </c>
      <c r="V2160" s="65">
        <v>0</v>
      </c>
      <c r="W2160" s="65">
        <v>0</v>
      </c>
      <c r="X2160" s="65">
        <v>0</v>
      </c>
      <c r="Y2160" s="65">
        <v>0</v>
      </c>
      <c r="Z2160" s="51">
        <v>35852.170000000006</v>
      </c>
      <c r="AA2160" s="51">
        <v>0</v>
      </c>
      <c r="AB2160" s="102">
        <v>0</v>
      </c>
      <c r="AC2160" s="81">
        <f t="shared" si="102"/>
        <v>0</v>
      </c>
      <c r="AD2160" s="82">
        <f t="shared" si="103"/>
        <v>0</v>
      </c>
      <c r="AE2160" s="218">
        <v>0</v>
      </c>
      <c r="AF2160">
        <v>0</v>
      </c>
      <c r="AH2160" t="str">
        <f t="shared" si="104"/>
        <v>Sonvarsha</v>
      </c>
      <c r="AJ2160" s="72">
        <v>0</v>
      </c>
      <c r="AK2160" s="72"/>
      <c r="AL2160" s="72"/>
      <c r="AM2160" s="72"/>
    </row>
    <row r="2161" spans="1:39" x14ac:dyDescent="0.25">
      <c r="A2161" s="37" t="s">
        <v>62</v>
      </c>
      <c r="B2161" s="66" t="s">
        <v>1654</v>
      </c>
      <c r="C2161" s="41">
        <v>1006</v>
      </c>
      <c r="D2161" s="41" t="s">
        <v>179</v>
      </c>
      <c r="E2161" s="41">
        <v>10060114</v>
      </c>
      <c r="F2161" s="85" t="s">
        <v>1106</v>
      </c>
      <c r="G2161" s="39" t="s">
        <v>92</v>
      </c>
      <c r="H2161" s="52" t="s">
        <v>93</v>
      </c>
      <c r="I2161" s="52">
        <v>209.50000000000003</v>
      </c>
      <c r="J2161" s="49">
        <v>9840.24</v>
      </c>
      <c r="K2161" s="58">
        <v>209.5</v>
      </c>
      <c r="L2161" s="58">
        <v>9840.25</v>
      </c>
      <c r="M2161" s="58">
        <v>0</v>
      </c>
      <c r="N2161" s="58">
        <v>0</v>
      </c>
      <c r="O2161" s="58">
        <v>209.5</v>
      </c>
      <c r="P2161" s="53">
        <v>9840.25</v>
      </c>
      <c r="Q2161" s="65">
        <v>9840.24</v>
      </c>
      <c r="R2161" s="65">
        <v>0</v>
      </c>
      <c r="S2161" s="65">
        <v>0</v>
      </c>
      <c r="T2161" s="65">
        <v>1.0000000000218279E-2</v>
      </c>
      <c r="U2161" s="58">
        <v>0</v>
      </c>
      <c r="V2161" s="65">
        <v>0</v>
      </c>
      <c r="W2161" s="65">
        <v>0</v>
      </c>
      <c r="X2161" s="65">
        <v>9840</v>
      </c>
      <c r="Y2161" s="65">
        <v>0</v>
      </c>
      <c r="Z2161" s="51">
        <v>0</v>
      </c>
      <c r="AA2161" s="51">
        <v>0</v>
      </c>
      <c r="AB2161" s="102">
        <v>0</v>
      </c>
      <c r="AC2161" s="81">
        <f t="shared" si="102"/>
        <v>460.77687064439141</v>
      </c>
      <c r="AD2161" s="82">
        <f t="shared" si="103"/>
        <v>29.928571428571434</v>
      </c>
      <c r="AE2161" s="218">
        <v>-1.0162353763951162E-6</v>
      </c>
      <c r="AF2161">
        <v>1</v>
      </c>
      <c r="AH2161" t="str">
        <f t="shared" si="104"/>
        <v>Sonvarsha</v>
      </c>
      <c r="AJ2161" s="72">
        <v>0</v>
      </c>
      <c r="AK2161" s="72"/>
      <c r="AL2161" s="72"/>
      <c r="AM2161" s="72"/>
    </row>
    <row r="2162" spans="1:39" x14ac:dyDescent="0.25">
      <c r="A2162" s="37" t="s">
        <v>62</v>
      </c>
      <c r="B2162" s="66" t="s">
        <v>1654</v>
      </c>
      <c r="C2162" s="41">
        <v>1006</v>
      </c>
      <c r="D2162" s="41" t="s">
        <v>179</v>
      </c>
      <c r="E2162" s="41">
        <v>10060115</v>
      </c>
      <c r="F2162" s="85" t="s">
        <v>1536</v>
      </c>
      <c r="G2162" s="39" t="s">
        <v>92</v>
      </c>
      <c r="H2162" s="52" t="s">
        <v>93</v>
      </c>
      <c r="I2162" s="52">
        <v>427.50000000000006</v>
      </c>
      <c r="J2162" s="49">
        <v>23091.51</v>
      </c>
      <c r="K2162" s="58">
        <v>435.5</v>
      </c>
      <c r="L2162" s="58">
        <v>23440.269999999997</v>
      </c>
      <c r="M2162" s="58">
        <v>0</v>
      </c>
      <c r="N2162" s="58">
        <v>0</v>
      </c>
      <c r="O2162" s="58">
        <v>435.5</v>
      </c>
      <c r="P2162" s="53">
        <v>23440.269999999997</v>
      </c>
      <c r="Q2162" s="65">
        <v>23091.51</v>
      </c>
      <c r="R2162" s="65">
        <v>0</v>
      </c>
      <c r="S2162" s="65">
        <v>0</v>
      </c>
      <c r="T2162" s="65">
        <v>348.7599999999984</v>
      </c>
      <c r="U2162" s="58">
        <v>0</v>
      </c>
      <c r="V2162" s="65">
        <v>500</v>
      </c>
      <c r="W2162" s="65">
        <v>0</v>
      </c>
      <c r="X2162" s="65">
        <v>22592</v>
      </c>
      <c r="Y2162" s="65">
        <v>0</v>
      </c>
      <c r="Z2162" s="51">
        <v>0</v>
      </c>
      <c r="AA2162" s="51">
        <v>0</v>
      </c>
      <c r="AB2162" s="102">
        <v>0</v>
      </c>
      <c r="AC2162" s="81">
        <f t="shared" si="102"/>
        <v>294.38299298245602</v>
      </c>
      <c r="AD2162" s="82">
        <f t="shared" si="103"/>
        <v>61.071428571428577</v>
      </c>
      <c r="AE2162" s="218">
        <v>-1.5103386482737527E-2</v>
      </c>
      <c r="AF2162">
        <v>3</v>
      </c>
      <c r="AH2162" t="str">
        <f t="shared" si="104"/>
        <v>Sonvarsha</v>
      </c>
      <c r="AJ2162" s="72">
        <v>500</v>
      </c>
      <c r="AK2162" s="72"/>
      <c r="AL2162" s="72"/>
      <c r="AM2162" s="72"/>
    </row>
    <row r="2163" spans="1:39" x14ac:dyDescent="0.25">
      <c r="A2163" s="37" t="s">
        <v>62</v>
      </c>
      <c r="B2163" s="66" t="s">
        <v>1654</v>
      </c>
      <c r="C2163" s="41">
        <v>1006</v>
      </c>
      <c r="D2163" s="41" t="s">
        <v>179</v>
      </c>
      <c r="E2163" s="41">
        <v>10060116</v>
      </c>
      <c r="F2163" s="85" t="s">
        <v>1163</v>
      </c>
      <c r="G2163" s="39" t="s">
        <v>92</v>
      </c>
      <c r="H2163" s="52" t="s">
        <v>93</v>
      </c>
      <c r="I2163" s="52">
        <v>107.9</v>
      </c>
      <c r="J2163" s="49">
        <v>3902.65</v>
      </c>
      <c r="K2163" s="58">
        <v>108.50000000000001</v>
      </c>
      <c r="L2163" s="58">
        <v>4057.4</v>
      </c>
      <c r="M2163" s="58">
        <v>0.2</v>
      </c>
      <c r="N2163" s="58">
        <v>7.62</v>
      </c>
      <c r="O2163" s="58">
        <v>108.70000000000002</v>
      </c>
      <c r="P2163" s="53">
        <v>4065.02</v>
      </c>
      <c r="Q2163" s="65">
        <v>3902.65</v>
      </c>
      <c r="R2163" s="65">
        <v>0</v>
      </c>
      <c r="S2163" s="65">
        <v>7.62</v>
      </c>
      <c r="T2163" s="65">
        <v>162.36999999999989</v>
      </c>
      <c r="U2163" s="58">
        <v>0</v>
      </c>
      <c r="V2163" s="65">
        <v>0</v>
      </c>
      <c r="W2163" s="65">
        <v>0</v>
      </c>
      <c r="X2163" s="65">
        <v>3895</v>
      </c>
      <c r="Y2163" s="65">
        <v>0</v>
      </c>
      <c r="Z2163" s="51">
        <v>0</v>
      </c>
      <c r="AA2163" s="51">
        <v>0</v>
      </c>
      <c r="AB2163" s="102">
        <v>0</v>
      </c>
      <c r="AC2163" s="81">
        <f t="shared" si="102"/>
        <v>428.31493327154777</v>
      </c>
      <c r="AD2163" s="82">
        <f t="shared" si="103"/>
        <v>15.414285714285715</v>
      </c>
      <c r="AE2163" s="218">
        <v>-4.16050632262693E-2</v>
      </c>
      <c r="AF2163">
        <v>2</v>
      </c>
      <c r="AH2163" t="str">
        <f t="shared" si="104"/>
        <v>Sonvarsha</v>
      </c>
      <c r="AJ2163" s="72">
        <v>0</v>
      </c>
      <c r="AK2163" s="72"/>
      <c r="AL2163" s="72"/>
      <c r="AM2163" s="72"/>
    </row>
    <row r="2164" spans="1:39" x14ac:dyDescent="0.25">
      <c r="A2164" s="37" t="s">
        <v>62</v>
      </c>
      <c r="B2164" s="66" t="s">
        <v>1654</v>
      </c>
      <c r="C2164" s="41">
        <v>1006</v>
      </c>
      <c r="D2164" s="41" t="s">
        <v>179</v>
      </c>
      <c r="E2164" s="41">
        <v>10060118</v>
      </c>
      <c r="F2164" s="85" t="s">
        <v>1167</v>
      </c>
      <c r="G2164" s="39" t="s">
        <v>92</v>
      </c>
      <c r="H2164" s="52" t="s">
        <v>93</v>
      </c>
      <c r="I2164" s="52">
        <v>434.5</v>
      </c>
      <c r="J2164" s="49">
        <v>22951.5</v>
      </c>
      <c r="K2164" s="58">
        <v>30.88</v>
      </c>
      <c r="L2164" s="58">
        <v>1406.9199999999998</v>
      </c>
      <c r="M2164" s="58">
        <v>393.37000000000006</v>
      </c>
      <c r="N2164" s="58">
        <v>23454.409999999996</v>
      </c>
      <c r="O2164" s="58">
        <v>424.25000000000006</v>
      </c>
      <c r="P2164" s="53">
        <v>24861.329999999994</v>
      </c>
      <c r="Q2164" s="65">
        <v>22951.5</v>
      </c>
      <c r="R2164" s="65">
        <v>0</v>
      </c>
      <c r="S2164" s="65">
        <v>0</v>
      </c>
      <c r="T2164" s="65">
        <v>1909.8299999999945</v>
      </c>
      <c r="U2164" s="58">
        <v>0</v>
      </c>
      <c r="V2164" s="65">
        <v>0</v>
      </c>
      <c r="W2164" s="65">
        <v>0</v>
      </c>
      <c r="X2164" s="65">
        <v>0</v>
      </c>
      <c r="Y2164" s="65">
        <v>22951</v>
      </c>
      <c r="Z2164" s="51">
        <v>0</v>
      </c>
      <c r="AA2164" s="51">
        <v>1</v>
      </c>
      <c r="AB2164" s="102" t="s">
        <v>66</v>
      </c>
      <c r="AC2164" s="81">
        <f t="shared" si="102"/>
        <v>280.48898734177214</v>
      </c>
      <c r="AD2164" s="82">
        <f t="shared" si="103"/>
        <v>62.071428571428569</v>
      </c>
      <c r="AE2164" s="218">
        <v>-8.3211554800339607E-2</v>
      </c>
      <c r="AF2164">
        <v>6</v>
      </c>
      <c r="AH2164" t="str">
        <f t="shared" si="104"/>
        <v>Sonvarsha</v>
      </c>
      <c r="AJ2164" s="72">
        <v>0</v>
      </c>
      <c r="AK2164" s="72"/>
      <c r="AL2164" s="72"/>
      <c r="AM2164" s="72"/>
    </row>
    <row r="2165" spans="1:39" x14ac:dyDescent="0.25">
      <c r="A2165" s="37" t="s">
        <v>62</v>
      </c>
      <c r="B2165" s="66" t="s">
        <v>1654</v>
      </c>
      <c r="C2165" s="41">
        <v>1006</v>
      </c>
      <c r="D2165" s="41" t="s">
        <v>179</v>
      </c>
      <c r="E2165" s="41">
        <v>10060122</v>
      </c>
      <c r="F2165" s="85" t="s">
        <v>1186</v>
      </c>
      <c r="G2165" s="39" t="s">
        <v>1610</v>
      </c>
      <c r="H2165" s="52" t="s">
        <v>98</v>
      </c>
      <c r="I2165" s="52">
        <v>50.300000000000004</v>
      </c>
      <c r="J2165" s="49">
        <v>1900.46</v>
      </c>
      <c r="K2165" s="58">
        <v>0</v>
      </c>
      <c r="L2165" s="58">
        <v>0</v>
      </c>
      <c r="M2165" s="58">
        <v>0</v>
      </c>
      <c r="N2165" s="58">
        <v>0</v>
      </c>
      <c r="O2165" s="58">
        <v>0</v>
      </c>
      <c r="P2165" s="53">
        <v>0</v>
      </c>
      <c r="Q2165" s="65">
        <v>1900.46</v>
      </c>
      <c r="R2165" s="65">
        <v>0</v>
      </c>
      <c r="S2165" s="65">
        <v>0</v>
      </c>
      <c r="T2165" s="65">
        <v>0</v>
      </c>
      <c r="U2165" s="58">
        <v>0</v>
      </c>
      <c r="V2165" s="65">
        <v>0</v>
      </c>
      <c r="W2165" s="65">
        <v>0</v>
      </c>
      <c r="X2165" s="65">
        <v>0</v>
      </c>
      <c r="Y2165" s="65">
        <v>0</v>
      </c>
      <c r="Z2165" s="51">
        <v>1900.46</v>
      </c>
      <c r="AA2165" s="51">
        <v>0</v>
      </c>
      <c r="AB2165" s="102">
        <v>0</v>
      </c>
      <c r="AC2165" s="81">
        <f t="shared" si="102"/>
        <v>490.94586958250505</v>
      </c>
      <c r="AD2165" s="82">
        <f t="shared" si="103"/>
        <v>7.1857142857142859</v>
      </c>
      <c r="AE2165" s="218">
        <v>0</v>
      </c>
      <c r="AF2165">
        <v>0</v>
      </c>
      <c r="AH2165" t="str">
        <f t="shared" si="104"/>
        <v>Sonvarsha</v>
      </c>
      <c r="AJ2165" s="72">
        <v>0</v>
      </c>
      <c r="AK2165" s="72"/>
      <c r="AL2165" s="72"/>
      <c r="AM2165" s="72"/>
    </row>
    <row r="2166" spans="1:39" x14ac:dyDescent="0.25">
      <c r="A2166" s="37" t="s">
        <v>62</v>
      </c>
      <c r="B2166" s="66" t="s">
        <v>1654</v>
      </c>
      <c r="C2166" s="41">
        <v>1006</v>
      </c>
      <c r="D2166" s="41" t="s">
        <v>179</v>
      </c>
      <c r="E2166" s="41">
        <v>10060125</v>
      </c>
      <c r="F2166" s="85" t="s">
        <v>1267</v>
      </c>
      <c r="G2166" s="39" t="s">
        <v>1610</v>
      </c>
      <c r="H2166" s="52" t="s">
        <v>98</v>
      </c>
      <c r="I2166" s="52">
        <v>130.69999999999999</v>
      </c>
      <c r="J2166" s="49">
        <v>5306.9699999999993</v>
      </c>
      <c r="K2166" s="58">
        <v>0</v>
      </c>
      <c r="L2166" s="58">
        <v>0</v>
      </c>
      <c r="M2166" s="58">
        <v>0</v>
      </c>
      <c r="N2166" s="58">
        <v>0</v>
      </c>
      <c r="O2166" s="58">
        <v>0</v>
      </c>
      <c r="P2166" s="53">
        <v>0</v>
      </c>
      <c r="Q2166" s="65">
        <v>5306.9699999999993</v>
      </c>
      <c r="R2166" s="65">
        <v>0</v>
      </c>
      <c r="S2166" s="65">
        <v>0</v>
      </c>
      <c r="T2166" s="65">
        <v>0</v>
      </c>
      <c r="U2166" s="58">
        <v>0</v>
      </c>
      <c r="V2166" s="65">
        <v>0</v>
      </c>
      <c r="W2166" s="65">
        <v>0</v>
      </c>
      <c r="X2166" s="65">
        <v>0</v>
      </c>
      <c r="Y2166" s="65">
        <v>0</v>
      </c>
      <c r="Z2166" s="51">
        <v>5306.9699999999993</v>
      </c>
      <c r="AA2166" s="51">
        <v>0</v>
      </c>
      <c r="AB2166" s="102">
        <v>0</v>
      </c>
      <c r="AC2166" s="81">
        <f t="shared" si="102"/>
        <v>462.3195135424636</v>
      </c>
      <c r="AD2166" s="82">
        <f t="shared" si="103"/>
        <v>18.671428571428571</v>
      </c>
      <c r="AE2166" s="218">
        <v>0</v>
      </c>
      <c r="AF2166">
        <v>0</v>
      </c>
      <c r="AH2166" t="str">
        <f t="shared" si="104"/>
        <v>Sonvarsha</v>
      </c>
      <c r="AJ2166" s="72">
        <v>0</v>
      </c>
      <c r="AK2166" s="72"/>
      <c r="AL2166" s="72"/>
      <c r="AM2166" s="72"/>
    </row>
    <row r="2167" spans="1:39" x14ac:dyDescent="0.25">
      <c r="A2167" s="37" t="s">
        <v>62</v>
      </c>
      <c r="B2167" s="66" t="s">
        <v>1654</v>
      </c>
      <c r="C2167" s="41">
        <v>1006</v>
      </c>
      <c r="D2167" s="41" t="s">
        <v>179</v>
      </c>
      <c r="E2167" s="41">
        <v>10060126</v>
      </c>
      <c r="F2167" s="85" t="s">
        <v>1268</v>
      </c>
      <c r="G2167" s="39" t="s">
        <v>92</v>
      </c>
      <c r="H2167" s="52" t="s">
        <v>93</v>
      </c>
      <c r="I2167" s="52">
        <v>1001.2000000000002</v>
      </c>
      <c r="J2167" s="49">
        <v>35215.64</v>
      </c>
      <c r="K2167" s="58">
        <v>617.5</v>
      </c>
      <c r="L2167" s="58">
        <v>21640.78</v>
      </c>
      <c r="M2167" s="58">
        <v>463.9</v>
      </c>
      <c r="N2167" s="58">
        <v>16775.080000000002</v>
      </c>
      <c r="O2167" s="58">
        <v>1081.4000000000001</v>
      </c>
      <c r="P2167" s="53">
        <v>38415.86</v>
      </c>
      <c r="Q2167" s="65">
        <v>35215.64</v>
      </c>
      <c r="R2167" s="65">
        <v>0</v>
      </c>
      <c r="S2167" s="65">
        <v>0</v>
      </c>
      <c r="T2167" s="65">
        <v>3200.2200000000012</v>
      </c>
      <c r="U2167" s="58">
        <v>0</v>
      </c>
      <c r="V2167" s="65">
        <v>0</v>
      </c>
      <c r="W2167" s="65">
        <v>0</v>
      </c>
      <c r="X2167" s="65">
        <v>18439</v>
      </c>
      <c r="Y2167" s="65">
        <v>16777</v>
      </c>
      <c r="Z2167" s="51">
        <v>0</v>
      </c>
      <c r="AA2167" s="51">
        <v>0</v>
      </c>
      <c r="AB2167" s="102">
        <v>0</v>
      </c>
      <c r="AC2167" s="81">
        <f t="shared" si="102"/>
        <v>0</v>
      </c>
      <c r="AD2167" s="82">
        <f t="shared" si="103"/>
        <v>0</v>
      </c>
      <c r="AE2167" s="218">
        <v>-9.0874963510531148E-2</v>
      </c>
      <c r="AF2167">
        <v>6</v>
      </c>
      <c r="AH2167" t="str">
        <f t="shared" si="104"/>
        <v>Sonvarsha</v>
      </c>
      <c r="AJ2167" s="72">
        <v>0</v>
      </c>
      <c r="AK2167" s="72"/>
      <c r="AL2167" s="72"/>
      <c r="AM2167" s="72"/>
    </row>
    <row r="2168" spans="1:39" x14ac:dyDescent="0.25">
      <c r="A2168" s="37" t="s">
        <v>62</v>
      </c>
      <c r="B2168" s="66" t="s">
        <v>1654</v>
      </c>
      <c r="C2168" s="41">
        <v>1006</v>
      </c>
      <c r="D2168" s="41" t="s">
        <v>179</v>
      </c>
      <c r="E2168" s="41">
        <v>10060129</v>
      </c>
      <c r="F2168" s="85" t="s">
        <v>1347</v>
      </c>
      <c r="G2168" s="39" t="s">
        <v>92</v>
      </c>
      <c r="H2168" s="52" t="s">
        <v>93</v>
      </c>
      <c r="I2168" s="52">
        <v>426.00000000000006</v>
      </c>
      <c r="J2168" s="49">
        <v>18660.999999999996</v>
      </c>
      <c r="K2168" s="58">
        <v>299.8</v>
      </c>
      <c r="L2168" s="58">
        <v>13753.43</v>
      </c>
      <c r="M2168" s="58">
        <v>169</v>
      </c>
      <c r="N2168" s="58">
        <v>6971.4</v>
      </c>
      <c r="O2168" s="58">
        <v>468.8</v>
      </c>
      <c r="P2168" s="53">
        <v>20724.830000000002</v>
      </c>
      <c r="Q2168" s="65">
        <v>18660.999999999996</v>
      </c>
      <c r="R2168" s="65">
        <v>0</v>
      </c>
      <c r="S2168" s="65">
        <v>198.42000000000004</v>
      </c>
      <c r="T2168" s="65">
        <v>2063.8300000000054</v>
      </c>
      <c r="U2168" s="58">
        <v>0</v>
      </c>
      <c r="V2168" s="65">
        <v>0</v>
      </c>
      <c r="W2168" s="65">
        <v>0</v>
      </c>
      <c r="X2168" s="65">
        <v>11690</v>
      </c>
      <c r="Y2168" s="65">
        <v>6773</v>
      </c>
      <c r="Z2168" s="51">
        <v>0</v>
      </c>
      <c r="AA2168" s="51">
        <v>0</v>
      </c>
      <c r="AB2168" s="102">
        <v>0</v>
      </c>
      <c r="AC2168" s="81">
        <f t="shared" si="102"/>
        <v>240.05230046948341</v>
      </c>
      <c r="AD2168" s="82">
        <f t="shared" si="103"/>
        <v>60.857142857142868</v>
      </c>
      <c r="AE2168" s="218">
        <v>-0.11059589518246642</v>
      </c>
      <c r="AF2168">
        <v>8</v>
      </c>
      <c r="AH2168" t="str">
        <f t="shared" si="104"/>
        <v>Sonvarsha</v>
      </c>
      <c r="AJ2168" s="72">
        <v>0</v>
      </c>
      <c r="AK2168" s="72"/>
      <c r="AL2168" s="72"/>
      <c r="AM2168" s="72"/>
    </row>
    <row r="2169" spans="1:39" x14ac:dyDescent="0.25">
      <c r="A2169" s="37" t="s">
        <v>62</v>
      </c>
      <c r="B2169" s="66" t="s">
        <v>1654</v>
      </c>
      <c r="C2169" s="41">
        <v>1006</v>
      </c>
      <c r="D2169" s="41" t="s">
        <v>179</v>
      </c>
      <c r="E2169" s="41">
        <v>10060130</v>
      </c>
      <c r="F2169" s="85" t="s">
        <v>1332</v>
      </c>
      <c r="G2169" s="39" t="s">
        <v>92</v>
      </c>
      <c r="H2169" s="52" t="s">
        <v>93</v>
      </c>
      <c r="I2169" s="52">
        <v>1963.1000000000001</v>
      </c>
      <c r="J2169" s="49">
        <v>87450.680000000022</v>
      </c>
      <c r="K2169" s="58">
        <v>1655.7900000000004</v>
      </c>
      <c r="L2169" s="58">
        <v>78577.179999999993</v>
      </c>
      <c r="M2169" s="58">
        <v>177.67999999999998</v>
      </c>
      <c r="N2169" s="58">
        <v>8864.4599999999991</v>
      </c>
      <c r="O2169" s="58">
        <v>1833.4700000000005</v>
      </c>
      <c r="P2169" s="53">
        <v>87441.639999999985</v>
      </c>
      <c r="Q2169" s="65">
        <v>87441.639999999985</v>
      </c>
      <c r="R2169" s="65">
        <v>0</v>
      </c>
      <c r="S2169" s="65">
        <v>584.81999999999994</v>
      </c>
      <c r="T2169" s="65">
        <v>0</v>
      </c>
      <c r="U2169" s="58">
        <v>7000</v>
      </c>
      <c r="V2169" s="65">
        <v>0</v>
      </c>
      <c r="W2169" s="65">
        <v>0</v>
      </c>
      <c r="X2169" s="65">
        <v>71576</v>
      </c>
      <c r="Y2169" s="65">
        <v>8279</v>
      </c>
      <c r="Z2169" s="51">
        <v>0</v>
      </c>
      <c r="AA2169" s="51">
        <v>11</v>
      </c>
      <c r="AB2169" s="102" t="s">
        <v>68</v>
      </c>
      <c r="AC2169" s="81">
        <f t="shared" si="102"/>
        <v>0</v>
      </c>
      <c r="AD2169" s="82">
        <f t="shared" si="103"/>
        <v>0</v>
      </c>
      <c r="AE2169" s="218">
        <v>1.0337255239224269E-4</v>
      </c>
      <c r="AF2169">
        <v>21</v>
      </c>
      <c r="AH2169" t="str">
        <f t="shared" si="104"/>
        <v>Sonvarsha</v>
      </c>
      <c r="AJ2169" s="72">
        <v>0</v>
      </c>
      <c r="AK2169" s="72"/>
      <c r="AL2169" s="72"/>
      <c r="AM2169" s="72"/>
    </row>
    <row r="2170" spans="1:39" x14ac:dyDescent="0.25">
      <c r="A2170" s="37" t="s">
        <v>62</v>
      </c>
      <c r="B2170" s="66" t="s">
        <v>1654</v>
      </c>
      <c r="C2170" s="41">
        <v>1006</v>
      </c>
      <c r="D2170" s="41" t="s">
        <v>179</v>
      </c>
      <c r="E2170" s="41">
        <v>10060133</v>
      </c>
      <c r="F2170" s="85" t="s">
        <v>1463</v>
      </c>
      <c r="G2170" s="39" t="s">
        <v>1610</v>
      </c>
      <c r="H2170" s="52" t="s">
        <v>98</v>
      </c>
      <c r="I2170" s="52">
        <v>688.7</v>
      </c>
      <c r="J2170" s="49">
        <v>26021.519999999997</v>
      </c>
      <c r="K2170" s="58">
        <v>0</v>
      </c>
      <c r="L2170" s="58">
        <v>0</v>
      </c>
      <c r="M2170" s="58">
        <v>0</v>
      </c>
      <c r="N2170" s="58">
        <v>0</v>
      </c>
      <c r="O2170" s="58">
        <v>0</v>
      </c>
      <c r="P2170" s="53">
        <v>0</v>
      </c>
      <c r="Q2170" s="65">
        <v>26021.519999999997</v>
      </c>
      <c r="R2170" s="65">
        <v>0</v>
      </c>
      <c r="S2170" s="65">
        <v>0</v>
      </c>
      <c r="T2170" s="65">
        <v>0</v>
      </c>
      <c r="U2170" s="58">
        <v>0</v>
      </c>
      <c r="V2170" s="65">
        <v>0</v>
      </c>
      <c r="W2170" s="65">
        <v>0</v>
      </c>
      <c r="X2170" s="65">
        <v>0</v>
      </c>
      <c r="Y2170" s="65">
        <v>0</v>
      </c>
      <c r="Z2170" s="51">
        <v>26021.519999999997</v>
      </c>
      <c r="AA2170" s="51">
        <v>0</v>
      </c>
      <c r="AB2170" s="102">
        <v>0</v>
      </c>
      <c r="AC2170" s="81">
        <f t="shared" si="102"/>
        <v>8.53907872803833</v>
      </c>
      <c r="AD2170" s="82">
        <f t="shared" si="103"/>
        <v>98.385714285714286</v>
      </c>
      <c r="AE2170" s="218">
        <v>0</v>
      </c>
      <c r="AF2170">
        <v>0</v>
      </c>
      <c r="AH2170" t="str">
        <f t="shared" si="104"/>
        <v>Sonvarsha</v>
      </c>
      <c r="AJ2170" s="72">
        <v>0</v>
      </c>
      <c r="AK2170" s="72"/>
      <c r="AL2170" s="72"/>
      <c r="AM2170" s="72"/>
    </row>
    <row r="2171" spans="1:39" x14ac:dyDescent="0.25">
      <c r="A2171" s="37" t="s">
        <v>62</v>
      </c>
      <c r="B2171" s="66" t="s">
        <v>1654</v>
      </c>
      <c r="C2171" s="41">
        <v>1006</v>
      </c>
      <c r="D2171" s="41" t="s">
        <v>179</v>
      </c>
      <c r="E2171" s="41">
        <v>10060135</v>
      </c>
      <c r="F2171" s="85" t="s">
        <v>1614</v>
      </c>
      <c r="G2171" s="39" t="s">
        <v>1610</v>
      </c>
      <c r="H2171" s="52" t="s">
        <v>93</v>
      </c>
      <c r="I2171" s="52">
        <v>365.7</v>
      </c>
      <c r="J2171" s="49">
        <v>15559.37</v>
      </c>
      <c r="K2171" s="58">
        <v>326.95999999999998</v>
      </c>
      <c r="L2171" s="58">
        <v>13520.01</v>
      </c>
      <c r="M2171" s="58">
        <v>40.200000000000003</v>
      </c>
      <c r="N2171" s="58">
        <v>1639.5500000000002</v>
      </c>
      <c r="O2171" s="58">
        <v>367.15999999999997</v>
      </c>
      <c r="P2171" s="53">
        <v>15159.560000000001</v>
      </c>
      <c r="Q2171" s="65">
        <v>15159.560000000001</v>
      </c>
      <c r="R2171" s="65">
        <v>0</v>
      </c>
      <c r="S2171" s="65">
        <v>0</v>
      </c>
      <c r="T2171" s="65">
        <v>0</v>
      </c>
      <c r="U2171" s="58">
        <v>0</v>
      </c>
      <c r="V2171" s="65">
        <v>0</v>
      </c>
      <c r="W2171" s="65">
        <v>0</v>
      </c>
      <c r="X2171" s="65">
        <v>13520</v>
      </c>
      <c r="Y2171" s="65">
        <v>1639</v>
      </c>
      <c r="Z2171" s="51">
        <v>0</v>
      </c>
      <c r="AA2171" s="51">
        <v>400</v>
      </c>
      <c r="AB2171" s="102">
        <v>0</v>
      </c>
      <c r="AC2171" s="81">
        <f t="shared" si="102"/>
        <v>284.46800060158603</v>
      </c>
      <c r="AD2171" s="82">
        <f t="shared" si="103"/>
        <v>52.24285714285714</v>
      </c>
      <c r="AE2171" s="218">
        <v>2.5695770458572516E-2</v>
      </c>
      <c r="AF2171">
        <v>7</v>
      </c>
      <c r="AH2171" t="str">
        <f t="shared" si="104"/>
        <v>Sonvarsha</v>
      </c>
      <c r="AJ2171" s="72">
        <v>0</v>
      </c>
      <c r="AK2171" s="72"/>
      <c r="AL2171" s="72"/>
      <c r="AM2171" s="72"/>
    </row>
    <row r="2172" spans="1:39" x14ac:dyDescent="0.25">
      <c r="A2172" s="37" t="s">
        <v>62</v>
      </c>
      <c r="B2172" s="66" t="s">
        <v>1654</v>
      </c>
      <c r="C2172" s="41">
        <v>1006</v>
      </c>
      <c r="D2172" s="41" t="s">
        <v>179</v>
      </c>
      <c r="E2172" s="41">
        <v>10060136</v>
      </c>
      <c r="F2172" s="85" t="s">
        <v>1577</v>
      </c>
      <c r="G2172" s="39" t="s">
        <v>1610</v>
      </c>
      <c r="H2172" s="52" t="s">
        <v>98</v>
      </c>
      <c r="I2172" s="52">
        <v>706.80000000000007</v>
      </c>
      <c r="J2172" s="49">
        <v>24063.060000000005</v>
      </c>
      <c r="K2172" s="58">
        <v>0</v>
      </c>
      <c r="L2172" s="58">
        <v>0</v>
      </c>
      <c r="M2172" s="58">
        <v>0</v>
      </c>
      <c r="N2172" s="58">
        <v>0</v>
      </c>
      <c r="O2172" s="58">
        <v>0</v>
      </c>
      <c r="P2172" s="53">
        <v>0</v>
      </c>
      <c r="Q2172" s="65">
        <v>24063.060000000005</v>
      </c>
      <c r="R2172" s="65">
        <v>0</v>
      </c>
      <c r="S2172" s="65">
        <v>0</v>
      </c>
      <c r="T2172" s="65">
        <v>0</v>
      </c>
      <c r="U2172" s="58">
        <v>0</v>
      </c>
      <c r="V2172" s="65">
        <v>0</v>
      </c>
      <c r="W2172" s="65">
        <v>0</v>
      </c>
      <c r="X2172" s="65">
        <v>0</v>
      </c>
      <c r="Y2172" s="65">
        <v>0</v>
      </c>
      <c r="Z2172" s="51">
        <v>24063.060000000005</v>
      </c>
      <c r="AA2172" s="51">
        <v>0</v>
      </c>
      <c r="AB2172" s="102">
        <v>0</v>
      </c>
      <c r="AC2172" s="81">
        <f t="shared" si="102"/>
        <v>0</v>
      </c>
      <c r="AD2172" s="82">
        <f t="shared" si="103"/>
        <v>0</v>
      </c>
      <c r="AE2172" s="218">
        <v>0</v>
      </c>
      <c r="AF2172">
        <v>0</v>
      </c>
      <c r="AH2172" t="str">
        <f t="shared" si="104"/>
        <v>Sonvarsha</v>
      </c>
      <c r="AJ2172" s="72">
        <v>0</v>
      </c>
      <c r="AK2172" s="72"/>
      <c r="AL2172" s="72"/>
      <c r="AM2172" s="72"/>
    </row>
    <row r="2173" spans="1:39" x14ac:dyDescent="0.25">
      <c r="A2173" s="37" t="s">
        <v>62</v>
      </c>
      <c r="B2173" s="66" t="s">
        <v>1654</v>
      </c>
      <c r="C2173" s="41">
        <v>1007</v>
      </c>
      <c r="D2173" s="41" t="s">
        <v>203</v>
      </c>
      <c r="E2173" s="41">
        <v>10070002</v>
      </c>
      <c r="F2173" s="85" t="s">
        <v>204</v>
      </c>
      <c r="G2173" s="39" t="s">
        <v>1610</v>
      </c>
      <c r="H2173" s="52" t="s">
        <v>98</v>
      </c>
      <c r="I2173" s="52">
        <v>4698.4999999999991</v>
      </c>
      <c r="J2173" s="49">
        <v>190521.7</v>
      </c>
      <c r="K2173" s="58">
        <v>0</v>
      </c>
      <c r="L2173" s="58">
        <v>0</v>
      </c>
      <c r="M2173" s="58">
        <v>0</v>
      </c>
      <c r="N2173" s="58">
        <v>0</v>
      </c>
      <c r="O2173" s="58">
        <v>0</v>
      </c>
      <c r="P2173" s="53">
        <v>0</v>
      </c>
      <c r="Q2173" s="65">
        <v>190521.7</v>
      </c>
      <c r="R2173" s="65">
        <v>0</v>
      </c>
      <c r="S2173" s="65">
        <v>0</v>
      </c>
      <c r="T2173" s="65">
        <v>0</v>
      </c>
      <c r="U2173" s="58">
        <v>0</v>
      </c>
      <c r="V2173" s="65">
        <v>0</v>
      </c>
      <c r="W2173" s="65">
        <v>0</v>
      </c>
      <c r="X2173" s="65">
        <v>0</v>
      </c>
      <c r="Y2173" s="65">
        <v>0</v>
      </c>
      <c r="Z2173" s="51">
        <v>190521.7</v>
      </c>
      <c r="AA2173" s="51">
        <v>0</v>
      </c>
      <c r="AB2173" s="102">
        <v>0</v>
      </c>
      <c r="AC2173" s="81">
        <f t="shared" si="102"/>
        <v>0</v>
      </c>
      <c r="AD2173" s="82">
        <f t="shared" si="103"/>
        <v>0</v>
      </c>
      <c r="AE2173" s="218">
        <v>0</v>
      </c>
      <c r="AF2173">
        <v>0</v>
      </c>
      <c r="AH2173" t="str">
        <f t="shared" si="104"/>
        <v>Araria</v>
      </c>
      <c r="AJ2173" s="72">
        <v>0</v>
      </c>
      <c r="AK2173" s="72"/>
      <c r="AL2173" s="72"/>
      <c r="AM2173" s="72"/>
    </row>
    <row r="2174" spans="1:39" x14ac:dyDescent="0.25">
      <c r="A2174" s="37" t="s">
        <v>62</v>
      </c>
      <c r="B2174" s="66" t="s">
        <v>1654</v>
      </c>
      <c r="C2174" s="41">
        <v>1007</v>
      </c>
      <c r="D2174" s="41" t="s">
        <v>203</v>
      </c>
      <c r="E2174" s="41">
        <v>10070003</v>
      </c>
      <c r="F2174" s="85" t="s">
        <v>205</v>
      </c>
      <c r="G2174" s="39" t="s">
        <v>1610</v>
      </c>
      <c r="H2174" s="52" t="s">
        <v>98</v>
      </c>
      <c r="I2174" s="52">
        <v>778.80000000000007</v>
      </c>
      <c r="J2174" s="49">
        <v>27834.05</v>
      </c>
      <c r="K2174" s="58">
        <v>0</v>
      </c>
      <c r="L2174" s="58">
        <v>0</v>
      </c>
      <c r="M2174" s="58">
        <v>0</v>
      </c>
      <c r="N2174" s="58">
        <v>0</v>
      </c>
      <c r="O2174" s="58">
        <v>0</v>
      </c>
      <c r="P2174" s="53">
        <v>0</v>
      </c>
      <c r="Q2174" s="65">
        <v>27834.05</v>
      </c>
      <c r="R2174" s="65">
        <v>0</v>
      </c>
      <c r="S2174" s="65">
        <v>0</v>
      </c>
      <c r="T2174" s="65">
        <v>0</v>
      </c>
      <c r="U2174" s="58">
        <v>0</v>
      </c>
      <c r="V2174" s="65">
        <v>0</v>
      </c>
      <c r="W2174" s="65">
        <v>0</v>
      </c>
      <c r="X2174" s="65">
        <v>0</v>
      </c>
      <c r="Y2174" s="65">
        <v>0</v>
      </c>
      <c r="Z2174" s="51">
        <v>27834.05</v>
      </c>
      <c r="AA2174" s="51">
        <v>0</v>
      </c>
      <c r="AB2174" s="102">
        <v>0</v>
      </c>
      <c r="AC2174" s="81">
        <f t="shared" ref="AC2174:AC2237" si="105">((IF(AD2174=0,0,100-AD2174))*7*(J2174/I2174))*2%</f>
        <v>0</v>
      </c>
      <c r="AD2174" s="82">
        <f t="shared" ref="AD2174:AD2237" si="106">IF((I2174/7)&gt;100,0,(I2174/7))</f>
        <v>0</v>
      </c>
      <c r="AE2174" s="218">
        <v>0</v>
      </c>
      <c r="AF2174">
        <v>0</v>
      </c>
      <c r="AH2174" t="str">
        <f t="shared" si="104"/>
        <v>Araria</v>
      </c>
      <c r="AJ2174" s="72">
        <v>0</v>
      </c>
      <c r="AK2174" s="72"/>
      <c r="AL2174" s="72"/>
      <c r="AM2174" s="72"/>
    </row>
    <row r="2175" spans="1:39" x14ac:dyDescent="0.25">
      <c r="A2175" s="37" t="s">
        <v>62</v>
      </c>
      <c r="B2175" s="66" t="s">
        <v>1654</v>
      </c>
      <c r="C2175" s="41">
        <v>1056</v>
      </c>
      <c r="D2175" s="41" t="s">
        <v>816</v>
      </c>
      <c r="E2175" s="41">
        <v>10070004</v>
      </c>
      <c r="F2175" s="85" t="s">
        <v>206</v>
      </c>
      <c r="G2175" s="39" t="s">
        <v>92</v>
      </c>
      <c r="H2175" s="52" t="s">
        <v>98</v>
      </c>
      <c r="I2175" s="52">
        <v>67.599999999999994</v>
      </c>
      <c r="J2175" s="49">
        <v>2151.35</v>
      </c>
      <c r="K2175" s="58">
        <v>0</v>
      </c>
      <c r="L2175" s="58">
        <v>0</v>
      </c>
      <c r="M2175" s="58">
        <v>0</v>
      </c>
      <c r="N2175" s="58">
        <v>0</v>
      </c>
      <c r="O2175" s="58">
        <v>0</v>
      </c>
      <c r="P2175" s="53">
        <v>0</v>
      </c>
      <c r="Q2175" s="65">
        <v>2151.35</v>
      </c>
      <c r="R2175" s="65">
        <v>0</v>
      </c>
      <c r="S2175" s="65">
        <v>0</v>
      </c>
      <c r="T2175" s="65">
        <v>0</v>
      </c>
      <c r="U2175" s="58">
        <v>0</v>
      </c>
      <c r="V2175" s="65">
        <v>0</v>
      </c>
      <c r="W2175" s="65">
        <v>0</v>
      </c>
      <c r="X2175" s="65">
        <v>0</v>
      </c>
      <c r="Y2175" s="65">
        <v>0</v>
      </c>
      <c r="Z2175" s="51">
        <v>2151.35</v>
      </c>
      <c r="AA2175" s="51">
        <v>0</v>
      </c>
      <c r="AB2175" s="102">
        <v>0</v>
      </c>
      <c r="AC2175" s="81">
        <f t="shared" si="105"/>
        <v>402.51885798816568</v>
      </c>
      <c r="AD2175" s="82">
        <f t="shared" si="106"/>
        <v>9.6571428571428566</v>
      </c>
      <c r="AE2175" s="218">
        <v>0</v>
      </c>
      <c r="AF2175">
        <v>0</v>
      </c>
      <c r="AH2175" t="str">
        <f t="shared" si="104"/>
        <v>Chautham</v>
      </c>
      <c r="AJ2175" s="72">
        <v>0</v>
      </c>
      <c r="AK2175" s="72"/>
      <c r="AL2175" s="72"/>
      <c r="AM2175" s="72"/>
    </row>
    <row r="2176" spans="1:39" x14ac:dyDescent="0.25">
      <c r="A2176" s="37" t="s">
        <v>62</v>
      </c>
      <c r="B2176" s="66" t="s">
        <v>1654</v>
      </c>
      <c r="C2176" s="41">
        <v>1056</v>
      </c>
      <c r="D2176" s="41" t="s">
        <v>816</v>
      </c>
      <c r="E2176" s="41">
        <v>10070008</v>
      </c>
      <c r="F2176" s="85" t="s">
        <v>207</v>
      </c>
      <c r="G2176" s="39" t="s">
        <v>92</v>
      </c>
      <c r="H2176" s="52" t="s">
        <v>98</v>
      </c>
      <c r="I2176" s="52">
        <v>331.40000000000003</v>
      </c>
      <c r="J2176" s="49">
        <v>11383.310000000001</v>
      </c>
      <c r="K2176" s="58">
        <v>0</v>
      </c>
      <c r="L2176" s="58">
        <v>0</v>
      </c>
      <c r="M2176" s="58">
        <v>0</v>
      </c>
      <c r="N2176" s="58">
        <v>0</v>
      </c>
      <c r="O2176" s="58">
        <v>0</v>
      </c>
      <c r="P2176" s="53">
        <v>0</v>
      </c>
      <c r="Q2176" s="65">
        <v>11383.310000000001</v>
      </c>
      <c r="R2176" s="65">
        <v>0</v>
      </c>
      <c r="S2176" s="65">
        <v>0</v>
      </c>
      <c r="T2176" s="65">
        <v>0</v>
      </c>
      <c r="U2176" s="58">
        <v>0</v>
      </c>
      <c r="V2176" s="65">
        <v>0</v>
      </c>
      <c r="W2176" s="65">
        <v>0</v>
      </c>
      <c r="X2176" s="65">
        <v>0</v>
      </c>
      <c r="Y2176" s="65">
        <v>0</v>
      </c>
      <c r="Z2176" s="51">
        <v>11383.310000000001</v>
      </c>
      <c r="AA2176" s="51">
        <v>0</v>
      </c>
      <c r="AB2176" s="102">
        <v>0</v>
      </c>
      <c r="AC2176" s="81">
        <f t="shared" si="105"/>
        <v>253.22197139408567</v>
      </c>
      <c r="AD2176" s="82">
        <f t="shared" si="106"/>
        <v>47.342857142857149</v>
      </c>
      <c r="AE2176" s="218">
        <v>0</v>
      </c>
      <c r="AF2176">
        <v>0</v>
      </c>
      <c r="AH2176" t="str">
        <f t="shared" si="104"/>
        <v>Chautham</v>
      </c>
      <c r="AJ2176" s="72">
        <v>0</v>
      </c>
      <c r="AK2176" s="72"/>
      <c r="AL2176" s="72"/>
      <c r="AM2176" s="72"/>
    </row>
    <row r="2177" spans="1:39" x14ac:dyDescent="0.25">
      <c r="A2177" s="37" t="s">
        <v>62</v>
      </c>
      <c r="B2177" s="66" t="s">
        <v>1654</v>
      </c>
      <c r="C2177" s="41">
        <v>1007</v>
      </c>
      <c r="D2177" s="41" t="s">
        <v>203</v>
      </c>
      <c r="E2177" s="41">
        <v>10070013</v>
      </c>
      <c r="F2177" s="85" t="s">
        <v>208</v>
      </c>
      <c r="G2177" s="39" t="s">
        <v>92</v>
      </c>
      <c r="H2177" s="52" t="s">
        <v>93</v>
      </c>
      <c r="I2177" s="52">
        <v>189.3</v>
      </c>
      <c r="J2177" s="49">
        <v>7821.64</v>
      </c>
      <c r="K2177" s="58">
        <v>157.86999999999998</v>
      </c>
      <c r="L2177" s="58">
        <v>6181.5</v>
      </c>
      <c r="M2177" s="58">
        <v>33.769999999999996</v>
      </c>
      <c r="N2177" s="58">
        <v>1285.77</v>
      </c>
      <c r="O2177" s="58">
        <v>191.64</v>
      </c>
      <c r="P2177" s="53">
        <v>7467.27</v>
      </c>
      <c r="Q2177" s="65">
        <v>7467.27</v>
      </c>
      <c r="R2177" s="65">
        <v>0</v>
      </c>
      <c r="S2177" s="65">
        <v>130.09</v>
      </c>
      <c r="T2177" s="65">
        <v>0</v>
      </c>
      <c r="U2177" s="58">
        <v>0</v>
      </c>
      <c r="V2177" s="65">
        <v>0</v>
      </c>
      <c r="W2177" s="65">
        <v>0</v>
      </c>
      <c r="X2177" s="65">
        <v>6182</v>
      </c>
      <c r="Y2177" s="65">
        <v>1155</v>
      </c>
      <c r="Z2177" s="54">
        <v>0</v>
      </c>
      <c r="AA2177" s="51">
        <v>355</v>
      </c>
      <c r="AB2177" s="102">
        <v>0</v>
      </c>
      <c r="AC2177" s="81">
        <f t="shared" si="105"/>
        <v>422.02974622292658</v>
      </c>
      <c r="AD2177" s="82">
        <f t="shared" si="106"/>
        <v>27.042857142857144</v>
      </c>
      <c r="AE2177" s="218">
        <v>4.5306355188937344E-2</v>
      </c>
      <c r="AF2177">
        <v>10</v>
      </c>
      <c r="AH2177" t="str">
        <f t="shared" si="104"/>
        <v>Araria</v>
      </c>
      <c r="AJ2177" s="72">
        <v>0</v>
      </c>
      <c r="AK2177" s="72"/>
      <c r="AL2177" s="72"/>
      <c r="AM2177" s="72"/>
    </row>
    <row r="2178" spans="1:39" x14ac:dyDescent="0.25">
      <c r="A2178" s="37" t="s">
        <v>62</v>
      </c>
      <c r="B2178" s="66" t="s">
        <v>1654</v>
      </c>
      <c r="C2178" s="41">
        <v>1007</v>
      </c>
      <c r="D2178" s="41" t="s">
        <v>203</v>
      </c>
      <c r="E2178" s="41">
        <v>10070016</v>
      </c>
      <c r="F2178" s="85" t="s">
        <v>209</v>
      </c>
      <c r="G2178" s="39" t="s">
        <v>92</v>
      </c>
      <c r="H2178" s="52" t="s">
        <v>93</v>
      </c>
      <c r="I2178" s="52">
        <v>181.49999999999997</v>
      </c>
      <c r="J2178" s="49">
        <v>7600.2100000000009</v>
      </c>
      <c r="K2178" s="58">
        <v>180.42000000000002</v>
      </c>
      <c r="L2178" s="58">
        <v>7423.6</v>
      </c>
      <c r="M2178" s="58">
        <v>1.4100000000000004</v>
      </c>
      <c r="N2178" s="58">
        <v>58.230000000000004</v>
      </c>
      <c r="O2178" s="58">
        <v>181.83</v>
      </c>
      <c r="P2178" s="53">
        <v>7481.83</v>
      </c>
      <c r="Q2178" s="65">
        <v>7481.83</v>
      </c>
      <c r="R2178" s="65">
        <v>0</v>
      </c>
      <c r="S2178" s="65">
        <v>58.230000000000004</v>
      </c>
      <c r="T2178" s="65">
        <v>0</v>
      </c>
      <c r="U2178" s="58">
        <v>0</v>
      </c>
      <c r="V2178" s="65">
        <v>0</v>
      </c>
      <c r="W2178" s="65">
        <v>0</v>
      </c>
      <c r="X2178" s="65">
        <v>7423</v>
      </c>
      <c r="Y2178" s="65">
        <v>0</v>
      </c>
      <c r="Z2178" s="55">
        <v>0</v>
      </c>
      <c r="AA2178" s="51">
        <v>119</v>
      </c>
      <c r="AB2178" s="102">
        <v>0</v>
      </c>
      <c r="AC2178" s="81">
        <f t="shared" si="105"/>
        <v>434.23789366391202</v>
      </c>
      <c r="AD2178" s="82">
        <f t="shared" si="106"/>
        <v>25.928571428571423</v>
      </c>
      <c r="AE2178" s="218">
        <v>1.5575885403166623E-2</v>
      </c>
      <c r="AF2178">
        <v>5</v>
      </c>
      <c r="AH2178" t="str">
        <f t="shared" si="104"/>
        <v>Araria</v>
      </c>
      <c r="AJ2178" s="72">
        <v>0</v>
      </c>
      <c r="AK2178" s="72"/>
      <c r="AL2178" s="72"/>
      <c r="AM2178" s="72"/>
    </row>
    <row r="2179" spans="1:39" x14ac:dyDescent="0.25">
      <c r="A2179" s="37" t="s">
        <v>62</v>
      </c>
      <c r="B2179" s="66" t="s">
        <v>1654</v>
      </c>
      <c r="C2179" s="41">
        <v>1007</v>
      </c>
      <c r="D2179" s="41" t="s">
        <v>203</v>
      </c>
      <c r="E2179" s="41">
        <v>10070018</v>
      </c>
      <c r="F2179" s="85" t="s">
        <v>210</v>
      </c>
      <c r="G2179" s="39" t="s">
        <v>1610</v>
      </c>
      <c r="H2179" s="52" t="s">
        <v>98</v>
      </c>
      <c r="I2179" s="52">
        <v>10871.300000000001</v>
      </c>
      <c r="J2179" s="49">
        <v>428921.62</v>
      </c>
      <c r="K2179" s="58">
        <v>0</v>
      </c>
      <c r="L2179" s="58">
        <v>0</v>
      </c>
      <c r="M2179" s="58">
        <v>0</v>
      </c>
      <c r="N2179" s="58">
        <v>0</v>
      </c>
      <c r="O2179" s="58">
        <v>0</v>
      </c>
      <c r="P2179" s="53">
        <v>0</v>
      </c>
      <c r="Q2179" s="65">
        <v>428921.62</v>
      </c>
      <c r="R2179" s="65">
        <v>0</v>
      </c>
      <c r="S2179" s="65">
        <v>0</v>
      </c>
      <c r="T2179" s="65">
        <v>0</v>
      </c>
      <c r="U2179" s="58">
        <v>0</v>
      </c>
      <c r="V2179" s="65">
        <v>0</v>
      </c>
      <c r="W2179" s="65">
        <v>0</v>
      </c>
      <c r="X2179" s="65">
        <v>0</v>
      </c>
      <c r="Y2179" s="65">
        <v>0</v>
      </c>
      <c r="Z2179" s="51">
        <v>428921.62</v>
      </c>
      <c r="AA2179" s="51">
        <v>0</v>
      </c>
      <c r="AB2179" s="102">
        <v>0</v>
      </c>
      <c r="AC2179" s="81">
        <f t="shared" si="105"/>
        <v>0</v>
      </c>
      <c r="AD2179" s="82">
        <f t="shared" si="106"/>
        <v>0</v>
      </c>
      <c r="AE2179" s="218">
        <v>0</v>
      </c>
      <c r="AF2179">
        <v>0</v>
      </c>
      <c r="AH2179" t="str">
        <f t="shared" si="104"/>
        <v>Araria</v>
      </c>
      <c r="AJ2179" s="72">
        <v>0</v>
      </c>
      <c r="AK2179" s="72"/>
      <c r="AL2179" s="72"/>
      <c r="AM2179" s="72"/>
    </row>
    <row r="2180" spans="1:39" x14ac:dyDescent="0.25">
      <c r="A2180" s="37" t="s">
        <v>62</v>
      </c>
      <c r="B2180" s="66" t="s">
        <v>1654</v>
      </c>
      <c r="C2180" s="41">
        <v>1007</v>
      </c>
      <c r="D2180" s="43" t="s">
        <v>203</v>
      </c>
      <c r="E2180" s="41">
        <v>10070019</v>
      </c>
      <c r="F2180" s="85" t="s">
        <v>211</v>
      </c>
      <c r="G2180" s="39" t="s">
        <v>1610</v>
      </c>
      <c r="H2180" s="52" t="s">
        <v>98</v>
      </c>
      <c r="I2180" s="52">
        <v>6881.3</v>
      </c>
      <c r="J2180" s="49">
        <v>270157.03999999998</v>
      </c>
      <c r="K2180" s="58">
        <v>0</v>
      </c>
      <c r="L2180" s="58">
        <v>0</v>
      </c>
      <c r="M2180" s="58">
        <v>0</v>
      </c>
      <c r="N2180" s="58">
        <v>0</v>
      </c>
      <c r="O2180" s="58">
        <v>0</v>
      </c>
      <c r="P2180" s="53">
        <v>0</v>
      </c>
      <c r="Q2180" s="65">
        <v>270157.03999999998</v>
      </c>
      <c r="R2180" s="65">
        <v>0</v>
      </c>
      <c r="S2180" s="65">
        <v>0</v>
      </c>
      <c r="T2180" s="65">
        <v>0</v>
      </c>
      <c r="U2180" s="58">
        <v>0</v>
      </c>
      <c r="V2180" s="65">
        <v>0</v>
      </c>
      <c r="W2180" s="65">
        <v>0</v>
      </c>
      <c r="X2180" s="65">
        <v>0</v>
      </c>
      <c r="Y2180" s="65">
        <v>0</v>
      </c>
      <c r="Z2180" s="51">
        <v>270157.03999999998</v>
      </c>
      <c r="AA2180" s="51">
        <v>0</v>
      </c>
      <c r="AB2180" s="102">
        <v>0</v>
      </c>
      <c r="AC2180" s="81">
        <f t="shared" si="105"/>
        <v>0</v>
      </c>
      <c r="AD2180" s="82">
        <f t="shared" si="106"/>
        <v>0</v>
      </c>
      <c r="AE2180" s="218">
        <v>0</v>
      </c>
      <c r="AF2180">
        <v>0</v>
      </c>
      <c r="AH2180" t="str">
        <f t="shared" si="104"/>
        <v>Araria</v>
      </c>
      <c r="AJ2180" s="72">
        <v>0</v>
      </c>
      <c r="AK2180" s="72"/>
      <c r="AL2180" s="72"/>
      <c r="AM2180" s="72"/>
    </row>
    <row r="2181" spans="1:39" x14ac:dyDescent="0.25">
      <c r="A2181" s="37" t="s">
        <v>62</v>
      </c>
      <c r="B2181" s="66" t="s">
        <v>1654</v>
      </c>
      <c r="C2181" s="41">
        <v>1007</v>
      </c>
      <c r="D2181" s="43" t="s">
        <v>203</v>
      </c>
      <c r="E2181" s="41">
        <v>10070020</v>
      </c>
      <c r="F2181" s="85" t="s">
        <v>212</v>
      </c>
      <c r="G2181" s="39" t="s">
        <v>1610</v>
      </c>
      <c r="H2181" s="52" t="s">
        <v>98</v>
      </c>
      <c r="I2181" s="52">
        <v>5332.2</v>
      </c>
      <c r="J2181" s="49">
        <v>206951.72999999998</v>
      </c>
      <c r="K2181" s="58">
        <v>0</v>
      </c>
      <c r="L2181" s="58">
        <v>0</v>
      </c>
      <c r="M2181" s="58">
        <v>0</v>
      </c>
      <c r="N2181" s="58">
        <v>0</v>
      </c>
      <c r="O2181" s="58">
        <v>0</v>
      </c>
      <c r="P2181" s="53">
        <v>0</v>
      </c>
      <c r="Q2181" s="65">
        <v>206951.72999999998</v>
      </c>
      <c r="R2181" s="65">
        <v>0</v>
      </c>
      <c r="S2181" s="65">
        <v>0</v>
      </c>
      <c r="T2181" s="65">
        <v>0</v>
      </c>
      <c r="U2181" s="58">
        <v>0</v>
      </c>
      <c r="V2181" s="65">
        <v>0</v>
      </c>
      <c r="W2181" s="65">
        <v>0</v>
      </c>
      <c r="X2181" s="65">
        <v>0</v>
      </c>
      <c r="Y2181" s="65">
        <v>0</v>
      </c>
      <c r="Z2181" s="54">
        <v>206951.72999999998</v>
      </c>
      <c r="AA2181" s="51">
        <v>0</v>
      </c>
      <c r="AB2181" s="102">
        <v>0</v>
      </c>
      <c r="AC2181" s="81">
        <f t="shared" si="105"/>
        <v>0</v>
      </c>
      <c r="AD2181" s="82">
        <f t="shared" si="106"/>
        <v>0</v>
      </c>
      <c r="AE2181" s="218">
        <v>0</v>
      </c>
      <c r="AF2181">
        <v>0</v>
      </c>
      <c r="AH2181" t="str">
        <f t="shared" si="104"/>
        <v>Araria</v>
      </c>
      <c r="AJ2181" s="72">
        <v>0</v>
      </c>
      <c r="AK2181" s="72"/>
      <c r="AL2181" s="72"/>
      <c r="AM2181" s="72"/>
    </row>
    <row r="2182" spans="1:39" x14ac:dyDescent="0.25">
      <c r="A2182" s="37" t="s">
        <v>62</v>
      </c>
      <c r="B2182" s="66" t="s">
        <v>1654</v>
      </c>
      <c r="C2182" s="41">
        <v>1007</v>
      </c>
      <c r="D2182" s="43" t="s">
        <v>203</v>
      </c>
      <c r="E2182" s="41">
        <v>10070024</v>
      </c>
      <c r="F2182" s="85" t="s">
        <v>213</v>
      </c>
      <c r="G2182" s="39" t="s">
        <v>1610</v>
      </c>
      <c r="H2182" s="52" t="s">
        <v>98</v>
      </c>
      <c r="I2182" s="52">
        <v>659.59999999999991</v>
      </c>
      <c r="J2182" s="49">
        <v>26012.36</v>
      </c>
      <c r="K2182" s="58">
        <v>0</v>
      </c>
      <c r="L2182" s="58">
        <v>0</v>
      </c>
      <c r="M2182" s="58">
        <v>0</v>
      </c>
      <c r="N2182" s="58">
        <v>0</v>
      </c>
      <c r="O2182" s="58">
        <v>0</v>
      </c>
      <c r="P2182" s="53">
        <v>0</v>
      </c>
      <c r="Q2182" s="65">
        <v>26012.36</v>
      </c>
      <c r="R2182" s="65">
        <v>0</v>
      </c>
      <c r="S2182" s="65">
        <v>0</v>
      </c>
      <c r="T2182" s="65">
        <v>0</v>
      </c>
      <c r="U2182" s="58">
        <v>0</v>
      </c>
      <c r="V2182" s="65">
        <v>0</v>
      </c>
      <c r="W2182" s="65">
        <v>0</v>
      </c>
      <c r="X2182" s="65">
        <v>0</v>
      </c>
      <c r="Y2182" s="65">
        <v>0</v>
      </c>
      <c r="Z2182" s="55">
        <v>26012.36</v>
      </c>
      <c r="AA2182" s="51">
        <v>0</v>
      </c>
      <c r="AB2182" s="102">
        <v>0</v>
      </c>
      <c r="AC2182" s="81">
        <f t="shared" si="105"/>
        <v>31.864746634323922</v>
      </c>
      <c r="AD2182" s="82">
        <f t="shared" si="106"/>
        <v>94.228571428571414</v>
      </c>
      <c r="AE2182" s="218">
        <v>0</v>
      </c>
      <c r="AF2182">
        <v>0</v>
      </c>
      <c r="AH2182" t="str">
        <f t="shared" si="104"/>
        <v>Araria</v>
      </c>
      <c r="AJ2182" s="72">
        <v>0</v>
      </c>
      <c r="AK2182" s="72"/>
      <c r="AL2182" s="72"/>
      <c r="AM2182" s="72"/>
    </row>
    <row r="2183" spans="1:39" x14ac:dyDescent="0.25">
      <c r="A2183" s="37" t="s">
        <v>62</v>
      </c>
      <c r="B2183" s="66" t="s">
        <v>1654</v>
      </c>
      <c r="C2183" s="41">
        <v>1007</v>
      </c>
      <c r="D2183" s="43" t="s">
        <v>203</v>
      </c>
      <c r="E2183" s="41">
        <v>10070026</v>
      </c>
      <c r="F2183" s="85" t="s">
        <v>214</v>
      </c>
      <c r="G2183" s="39" t="s">
        <v>1610</v>
      </c>
      <c r="H2183" s="52" t="s">
        <v>98</v>
      </c>
      <c r="I2183" s="52">
        <v>4065.9000000000005</v>
      </c>
      <c r="J2183" s="49">
        <v>155262.79</v>
      </c>
      <c r="K2183" s="58">
        <v>0</v>
      </c>
      <c r="L2183" s="58">
        <v>0</v>
      </c>
      <c r="M2183" s="58">
        <v>0</v>
      </c>
      <c r="N2183" s="58">
        <v>0</v>
      </c>
      <c r="O2183" s="58">
        <v>0</v>
      </c>
      <c r="P2183" s="53">
        <v>0</v>
      </c>
      <c r="Q2183" s="65">
        <v>155262.79</v>
      </c>
      <c r="R2183" s="65">
        <v>0</v>
      </c>
      <c r="S2183" s="65">
        <v>0</v>
      </c>
      <c r="T2183" s="65">
        <v>0</v>
      </c>
      <c r="U2183" s="58">
        <v>0</v>
      </c>
      <c r="V2183" s="65">
        <v>0</v>
      </c>
      <c r="W2183" s="65">
        <v>0</v>
      </c>
      <c r="X2183" s="65">
        <v>0</v>
      </c>
      <c r="Y2183" s="65">
        <v>0</v>
      </c>
      <c r="Z2183" s="51">
        <v>155262.79</v>
      </c>
      <c r="AA2183" s="51">
        <v>0</v>
      </c>
      <c r="AB2183" s="102">
        <v>0</v>
      </c>
      <c r="AC2183" s="81">
        <f t="shared" si="105"/>
        <v>0</v>
      </c>
      <c r="AD2183" s="82">
        <f t="shared" si="106"/>
        <v>0</v>
      </c>
      <c r="AE2183" s="218">
        <v>0</v>
      </c>
      <c r="AF2183">
        <v>0</v>
      </c>
      <c r="AH2183" t="str">
        <f t="shared" si="104"/>
        <v>Araria</v>
      </c>
      <c r="AJ2183" s="72">
        <v>0</v>
      </c>
      <c r="AK2183" s="72"/>
      <c r="AL2183" s="72"/>
      <c r="AM2183" s="72"/>
    </row>
    <row r="2184" spans="1:39" x14ac:dyDescent="0.25">
      <c r="A2184" s="37" t="s">
        <v>62</v>
      </c>
      <c r="B2184" s="66" t="s">
        <v>1654</v>
      </c>
      <c r="C2184" s="41">
        <v>1010</v>
      </c>
      <c r="D2184" s="41" t="s">
        <v>1311</v>
      </c>
      <c r="E2184" s="41">
        <v>10070033</v>
      </c>
      <c r="F2184" s="85" t="s">
        <v>215</v>
      </c>
      <c r="G2184" s="39" t="s">
        <v>92</v>
      </c>
      <c r="H2184" s="52" t="s">
        <v>93</v>
      </c>
      <c r="I2184" s="52">
        <v>427.69999999999993</v>
      </c>
      <c r="J2184" s="49">
        <v>22524.59</v>
      </c>
      <c r="K2184" s="58">
        <v>953.2</v>
      </c>
      <c r="L2184" s="58">
        <v>53683.68</v>
      </c>
      <c r="M2184" s="58">
        <v>0</v>
      </c>
      <c r="N2184" s="58">
        <v>0</v>
      </c>
      <c r="O2184" s="58">
        <v>953.2</v>
      </c>
      <c r="P2184" s="53">
        <v>53683.68</v>
      </c>
      <c r="Q2184" s="65">
        <v>22524.59</v>
      </c>
      <c r="R2184" s="65">
        <v>0</v>
      </c>
      <c r="S2184" s="65">
        <v>0</v>
      </c>
      <c r="T2184" s="65">
        <v>31159.09</v>
      </c>
      <c r="U2184" s="58">
        <v>0</v>
      </c>
      <c r="V2184" s="65">
        <v>0</v>
      </c>
      <c r="W2184" s="65">
        <v>0</v>
      </c>
      <c r="X2184" s="65">
        <v>22525</v>
      </c>
      <c r="Y2184" s="65">
        <v>0</v>
      </c>
      <c r="Z2184" s="51">
        <v>0</v>
      </c>
      <c r="AA2184" s="51">
        <v>0</v>
      </c>
      <c r="AB2184" s="102" t="s">
        <v>66</v>
      </c>
      <c r="AC2184" s="81">
        <f t="shared" si="105"/>
        <v>286.81065499181682</v>
      </c>
      <c r="AD2184" s="82">
        <f t="shared" si="106"/>
        <v>61.099999999999987</v>
      </c>
      <c r="AE2184" s="218">
        <v>-1.3833366112324352</v>
      </c>
      <c r="AF2184">
        <v>2</v>
      </c>
      <c r="AH2184" t="str">
        <f t="shared" si="104"/>
        <v>Parbatta</v>
      </c>
      <c r="AJ2184" s="72">
        <v>0</v>
      </c>
      <c r="AK2184" s="72"/>
      <c r="AL2184" s="72"/>
      <c r="AM2184" s="72"/>
    </row>
    <row r="2185" spans="1:39" x14ac:dyDescent="0.25">
      <c r="A2185" s="37" t="s">
        <v>62</v>
      </c>
      <c r="B2185" s="66" t="s">
        <v>1654</v>
      </c>
      <c r="C2185" s="41">
        <v>1056</v>
      </c>
      <c r="D2185" s="41" t="s">
        <v>816</v>
      </c>
      <c r="E2185" s="41">
        <v>10070039</v>
      </c>
      <c r="F2185" s="85" t="s">
        <v>1219</v>
      </c>
      <c r="G2185" s="39" t="s">
        <v>1610</v>
      </c>
      <c r="H2185" s="52" t="s">
        <v>98</v>
      </c>
      <c r="I2185" s="52">
        <v>122.64</v>
      </c>
      <c r="J2185" s="49">
        <v>3996.0899999999997</v>
      </c>
      <c r="K2185" s="58">
        <v>0</v>
      </c>
      <c r="L2185" s="58">
        <v>0</v>
      </c>
      <c r="M2185" s="58">
        <v>0</v>
      </c>
      <c r="N2185" s="58">
        <v>0</v>
      </c>
      <c r="O2185" s="58">
        <v>0</v>
      </c>
      <c r="P2185" s="53">
        <v>0</v>
      </c>
      <c r="Q2185" s="65">
        <v>3996.0899999999997</v>
      </c>
      <c r="R2185" s="65">
        <v>0</v>
      </c>
      <c r="S2185" s="65">
        <v>0</v>
      </c>
      <c r="T2185" s="65">
        <v>0</v>
      </c>
      <c r="U2185" s="58">
        <v>0</v>
      </c>
      <c r="V2185" s="65">
        <v>0</v>
      </c>
      <c r="W2185" s="65">
        <v>0</v>
      </c>
      <c r="X2185" s="65">
        <v>0</v>
      </c>
      <c r="Y2185" s="65">
        <v>0</v>
      </c>
      <c r="Z2185" s="51">
        <v>3996.0899999999997</v>
      </c>
      <c r="AA2185" s="51">
        <v>0</v>
      </c>
      <c r="AB2185" s="102">
        <v>0</v>
      </c>
      <c r="AC2185" s="81">
        <f t="shared" si="105"/>
        <v>376.25285753424652</v>
      </c>
      <c r="AD2185" s="82">
        <f t="shared" si="106"/>
        <v>17.52</v>
      </c>
      <c r="AE2185" s="218">
        <v>0</v>
      </c>
      <c r="AF2185">
        <v>0</v>
      </c>
      <c r="AH2185" t="str">
        <f t="shared" si="104"/>
        <v>Chautham</v>
      </c>
      <c r="AJ2185" s="72">
        <v>0</v>
      </c>
      <c r="AK2185" s="72"/>
      <c r="AL2185" s="72"/>
      <c r="AM2185" s="72"/>
    </row>
    <row r="2186" spans="1:39" x14ac:dyDescent="0.25">
      <c r="A2186" s="37" t="s">
        <v>62</v>
      </c>
      <c r="B2186" s="66" t="s">
        <v>1654</v>
      </c>
      <c r="C2186" s="41">
        <v>1007</v>
      </c>
      <c r="D2186" s="41" t="s">
        <v>203</v>
      </c>
      <c r="E2186" s="41">
        <v>10070042</v>
      </c>
      <c r="F2186" s="85" t="s">
        <v>216</v>
      </c>
      <c r="G2186" s="39" t="s">
        <v>92</v>
      </c>
      <c r="H2186" s="52" t="s">
        <v>93</v>
      </c>
      <c r="I2186" s="52">
        <v>204.20000000000002</v>
      </c>
      <c r="J2186" s="49">
        <v>8384.66</v>
      </c>
      <c r="K2186" s="58">
        <v>200.70000000000002</v>
      </c>
      <c r="L2186" s="58">
        <v>8515.4600000000009</v>
      </c>
      <c r="M2186" s="58">
        <v>3.5</v>
      </c>
      <c r="N2186" s="58">
        <v>142.55000000000001</v>
      </c>
      <c r="O2186" s="58">
        <v>204.20000000000002</v>
      </c>
      <c r="P2186" s="53">
        <v>8658.01</v>
      </c>
      <c r="Q2186" s="65">
        <v>8384.66</v>
      </c>
      <c r="R2186" s="65">
        <v>0</v>
      </c>
      <c r="S2186" s="65">
        <v>142.55000000000001</v>
      </c>
      <c r="T2186" s="65">
        <v>273.35000000000036</v>
      </c>
      <c r="U2186" s="58">
        <v>0</v>
      </c>
      <c r="V2186" s="65">
        <v>0</v>
      </c>
      <c r="W2186" s="65">
        <v>0</v>
      </c>
      <c r="X2186" s="65">
        <v>8242</v>
      </c>
      <c r="Y2186" s="65">
        <v>0</v>
      </c>
      <c r="Z2186" s="51">
        <v>0</v>
      </c>
      <c r="AA2186" s="51">
        <v>0</v>
      </c>
      <c r="AB2186" s="102">
        <v>0</v>
      </c>
      <c r="AC2186" s="81">
        <f t="shared" si="105"/>
        <v>407.16106052889313</v>
      </c>
      <c r="AD2186" s="82">
        <f t="shared" si="106"/>
        <v>29.171428571428574</v>
      </c>
      <c r="AE2186" s="218">
        <v>-3.2601202672499587E-2</v>
      </c>
      <c r="AF2186">
        <v>4</v>
      </c>
      <c r="AH2186" t="str">
        <f t="shared" si="104"/>
        <v>Araria</v>
      </c>
      <c r="AJ2186" s="72">
        <v>0</v>
      </c>
      <c r="AK2186" s="72"/>
      <c r="AL2186" s="72"/>
      <c r="AM2186" s="72"/>
    </row>
    <row r="2187" spans="1:39" x14ac:dyDescent="0.25">
      <c r="A2187" s="37" t="s">
        <v>62</v>
      </c>
      <c r="B2187" s="66" t="s">
        <v>1654</v>
      </c>
      <c r="C2187" s="41">
        <v>1007</v>
      </c>
      <c r="D2187" s="41" t="s">
        <v>203</v>
      </c>
      <c r="E2187" s="41">
        <v>10070043</v>
      </c>
      <c r="F2187" s="85" t="s">
        <v>203</v>
      </c>
      <c r="G2187" s="39" t="s">
        <v>1610</v>
      </c>
      <c r="H2187" s="52" t="s">
        <v>98</v>
      </c>
      <c r="I2187" s="52">
        <v>9992.9999999999982</v>
      </c>
      <c r="J2187" s="49">
        <v>397263.98000000004</v>
      </c>
      <c r="K2187" s="58">
        <v>0</v>
      </c>
      <c r="L2187" s="58">
        <v>0</v>
      </c>
      <c r="M2187" s="58">
        <v>0</v>
      </c>
      <c r="N2187" s="58">
        <v>0</v>
      </c>
      <c r="O2187" s="58">
        <v>0</v>
      </c>
      <c r="P2187" s="53">
        <v>0</v>
      </c>
      <c r="Q2187" s="65">
        <v>397263.98000000004</v>
      </c>
      <c r="R2187" s="65">
        <v>0</v>
      </c>
      <c r="S2187" s="65">
        <v>0</v>
      </c>
      <c r="T2187" s="65">
        <v>0</v>
      </c>
      <c r="U2187" s="58">
        <v>0</v>
      </c>
      <c r="V2187" s="65">
        <v>0</v>
      </c>
      <c r="W2187" s="65">
        <v>0</v>
      </c>
      <c r="X2187" s="65">
        <v>0</v>
      </c>
      <c r="Y2187" s="65">
        <v>0</v>
      </c>
      <c r="Z2187" s="51">
        <v>397263.98000000004</v>
      </c>
      <c r="AA2187" s="51">
        <v>0</v>
      </c>
      <c r="AB2187" s="102">
        <v>0</v>
      </c>
      <c r="AC2187" s="81">
        <f t="shared" si="105"/>
        <v>0</v>
      </c>
      <c r="AD2187" s="82">
        <f t="shared" si="106"/>
        <v>0</v>
      </c>
      <c r="AE2187" s="218">
        <v>0</v>
      </c>
      <c r="AF2187">
        <v>0</v>
      </c>
      <c r="AH2187" t="str">
        <f t="shared" ref="AH2187:AH2249" si="107">TEXT(D2187,"0000")</f>
        <v>Araria</v>
      </c>
      <c r="AJ2187" s="72">
        <v>0</v>
      </c>
      <c r="AK2187" s="72"/>
      <c r="AL2187" s="72"/>
      <c r="AM2187" s="72"/>
    </row>
    <row r="2188" spans="1:39" x14ac:dyDescent="0.25">
      <c r="A2188" s="37" t="s">
        <v>62</v>
      </c>
      <c r="B2188" s="66" t="s">
        <v>1654</v>
      </c>
      <c r="C2188" s="41">
        <v>1007</v>
      </c>
      <c r="D2188" s="41" t="s">
        <v>203</v>
      </c>
      <c r="E2188" s="41">
        <v>10070045</v>
      </c>
      <c r="F2188" s="85" t="s">
        <v>209</v>
      </c>
      <c r="G2188" s="39" t="s">
        <v>92</v>
      </c>
      <c r="H2188" s="52" t="s">
        <v>93</v>
      </c>
      <c r="I2188" s="52">
        <v>118.60000000000001</v>
      </c>
      <c r="J2188" s="49">
        <v>4685.07</v>
      </c>
      <c r="K2188" s="58">
        <v>118.6</v>
      </c>
      <c r="L2188" s="58">
        <v>4730.95</v>
      </c>
      <c r="M2188" s="58">
        <v>0</v>
      </c>
      <c r="N2188" s="58">
        <v>0</v>
      </c>
      <c r="O2188" s="58">
        <v>118.6</v>
      </c>
      <c r="P2188" s="53">
        <v>4730.95</v>
      </c>
      <c r="Q2188" s="65">
        <v>4685.07</v>
      </c>
      <c r="R2188" s="65">
        <v>0</v>
      </c>
      <c r="S2188" s="65">
        <v>0</v>
      </c>
      <c r="T2188" s="65">
        <v>45.880000000000109</v>
      </c>
      <c r="U2188" s="58">
        <v>0</v>
      </c>
      <c r="V2188" s="65">
        <v>0</v>
      </c>
      <c r="W2188" s="65">
        <v>0</v>
      </c>
      <c r="X2188" s="65">
        <v>4685</v>
      </c>
      <c r="Y2188" s="65">
        <v>0</v>
      </c>
      <c r="Z2188" s="51">
        <v>0</v>
      </c>
      <c r="AA2188" s="51">
        <v>0</v>
      </c>
      <c r="AB2188" s="102">
        <v>0</v>
      </c>
      <c r="AC2188" s="81">
        <f t="shared" si="105"/>
        <v>459.34227622259687</v>
      </c>
      <c r="AD2188" s="82">
        <f t="shared" si="106"/>
        <v>16.942857142857143</v>
      </c>
      <c r="AE2188" s="218">
        <v>-9.7928099259989958E-3</v>
      </c>
      <c r="AF2188">
        <v>1</v>
      </c>
      <c r="AH2188" t="str">
        <f t="shared" si="107"/>
        <v>Araria</v>
      </c>
      <c r="AJ2188" s="72">
        <v>0</v>
      </c>
      <c r="AK2188" s="72"/>
      <c r="AL2188" s="72"/>
      <c r="AM2188" s="72"/>
    </row>
    <row r="2189" spans="1:39" x14ac:dyDescent="0.25">
      <c r="A2189" s="37" t="s">
        <v>62</v>
      </c>
      <c r="B2189" s="66" t="s">
        <v>1654</v>
      </c>
      <c r="C2189" s="41">
        <v>1056</v>
      </c>
      <c r="D2189" s="41" t="s">
        <v>816</v>
      </c>
      <c r="E2189" s="41">
        <v>10070046</v>
      </c>
      <c r="F2189" s="85" t="s">
        <v>491</v>
      </c>
      <c r="G2189" s="39" t="s">
        <v>92</v>
      </c>
      <c r="H2189" s="52" t="s">
        <v>93</v>
      </c>
      <c r="I2189" s="52">
        <v>1340.9199999999998</v>
      </c>
      <c r="J2189" s="49">
        <v>53112.959999999999</v>
      </c>
      <c r="K2189" s="58">
        <v>1337.31</v>
      </c>
      <c r="L2189" s="58">
        <v>54593.32</v>
      </c>
      <c r="M2189" s="58">
        <v>5.6000000000000005</v>
      </c>
      <c r="N2189" s="58">
        <v>202.98000000000002</v>
      </c>
      <c r="O2189" s="58">
        <v>1342.9099999999999</v>
      </c>
      <c r="P2189" s="53">
        <v>54796.3</v>
      </c>
      <c r="Q2189" s="65">
        <v>53112.959999999999</v>
      </c>
      <c r="R2189" s="65">
        <v>0</v>
      </c>
      <c r="S2189" s="65">
        <v>202.98000000000002</v>
      </c>
      <c r="T2189" s="65">
        <v>1683.3400000000038</v>
      </c>
      <c r="U2189" s="58">
        <v>0</v>
      </c>
      <c r="V2189" s="65">
        <v>0</v>
      </c>
      <c r="W2189" s="65">
        <v>0</v>
      </c>
      <c r="X2189" s="65">
        <v>52910</v>
      </c>
      <c r="Y2189" s="65">
        <v>0</v>
      </c>
      <c r="Z2189" s="51">
        <v>0</v>
      </c>
      <c r="AA2189" s="51">
        <v>0</v>
      </c>
      <c r="AB2189" s="102">
        <v>0</v>
      </c>
      <c r="AC2189" s="81">
        <f t="shared" si="105"/>
        <v>0</v>
      </c>
      <c r="AD2189" s="82">
        <f t="shared" si="106"/>
        <v>0</v>
      </c>
      <c r="AE2189" s="218">
        <v>-3.1693582884478738E-2</v>
      </c>
      <c r="AF2189">
        <v>7</v>
      </c>
      <c r="AH2189" t="str">
        <f t="shared" si="107"/>
        <v>Chautham</v>
      </c>
      <c r="AJ2189" s="72">
        <v>0</v>
      </c>
      <c r="AK2189" s="72"/>
      <c r="AL2189" s="72"/>
      <c r="AM2189" s="72"/>
    </row>
    <row r="2190" spans="1:39" x14ac:dyDescent="0.25">
      <c r="A2190" s="37" t="s">
        <v>62</v>
      </c>
      <c r="B2190" s="66" t="s">
        <v>1654</v>
      </c>
      <c r="C2190" s="41">
        <v>1010</v>
      </c>
      <c r="D2190" s="41" t="s">
        <v>1311</v>
      </c>
      <c r="E2190" s="41">
        <v>10070048</v>
      </c>
      <c r="F2190" s="85" t="s">
        <v>513</v>
      </c>
      <c r="G2190" s="39" t="s">
        <v>92</v>
      </c>
      <c r="H2190" s="52" t="s">
        <v>93</v>
      </c>
      <c r="I2190" s="52">
        <v>1633</v>
      </c>
      <c r="J2190" s="49">
        <v>64740.470000000008</v>
      </c>
      <c r="K2190" s="58">
        <v>1645.3100000000002</v>
      </c>
      <c r="L2190" s="58">
        <v>69130.62999999999</v>
      </c>
      <c r="M2190" s="58">
        <v>0</v>
      </c>
      <c r="N2190" s="58">
        <v>0</v>
      </c>
      <c r="O2190" s="58">
        <v>1645.3100000000002</v>
      </c>
      <c r="P2190" s="53">
        <v>69130.62999999999</v>
      </c>
      <c r="Q2190" s="65">
        <v>64740.470000000008</v>
      </c>
      <c r="R2190" s="65">
        <v>0</v>
      </c>
      <c r="S2190" s="65">
        <v>0</v>
      </c>
      <c r="T2190" s="65">
        <v>4390.1599999999817</v>
      </c>
      <c r="U2190" s="58">
        <v>0</v>
      </c>
      <c r="V2190" s="65">
        <v>0</v>
      </c>
      <c r="W2190" s="65">
        <v>0</v>
      </c>
      <c r="X2190" s="65">
        <v>64740</v>
      </c>
      <c r="Y2190" s="65">
        <v>0</v>
      </c>
      <c r="Z2190" s="51">
        <v>0</v>
      </c>
      <c r="AA2190" s="51">
        <v>0</v>
      </c>
      <c r="AB2190" s="102">
        <v>0</v>
      </c>
      <c r="AC2190" s="81">
        <f t="shared" si="105"/>
        <v>0</v>
      </c>
      <c r="AD2190" s="82">
        <f t="shared" si="106"/>
        <v>0</v>
      </c>
      <c r="AE2190" s="218">
        <v>-6.7811679464174129E-2</v>
      </c>
      <c r="AF2190">
        <v>9</v>
      </c>
      <c r="AH2190" t="str">
        <f t="shared" si="107"/>
        <v>Parbatta</v>
      </c>
      <c r="AJ2190" s="72">
        <v>0</v>
      </c>
      <c r="AK2190" s="72"/>
      <c r="AL2190" s="72"/>
      <c r="AM2190" s="72"/>
    </row>
    <row r="2191" spans="1:39" x14ac:dyDescent="0.25">
      <c r="A2191" s="37" t="s">
        <v>62</v>
      </c>
      <c r="B2191" s="66" t="s">
        <v>1654</v>
      </c>
      <c r="C2191" s="41">
        <v>1056</v>
      </c>
      <c r="D2191" s="41" t="s">
        <v>816</v>
      </c>
      <c r="E2191" s="41">
        <v>10070053</v>
      </c>
      <c r="F2191" s="85" t="s">
        <v>1262</v>
      </c>
      <c r="G2191" s="39" t="s">
        <v>92</v>
      </c>
      <c r="H2191" s="52" t="s">
        <v>93</v>
      </c>
      <c r="I2191" s="52">
        <v>328.27999999999992</v>
      </c>
      <c r="J2191" s="49">
        <v>11899.739999999998</v>
      </c>
      <c r="K2191" s="58">
        <v>443.40999999999997</v>
      </c>
      <c r="L2191" s="58">
        <v>18074.63</v>
      </c>
      <c r="M2191" s="58">
        <v>0</v>
      </c>
      <c r="N2191" s="58">
        <v>0</v>
      </c>
      <c r="O2191" s="58">
        <v>443.40999999999997</v>
      </c>
      <c r="P2191" s="53">
        <v>18074.63</v>
      </c>
      <c r="Q2191" s="65">
        <v>11899.739999999998</v>
      </c>
      <c r="R2191" s="65">
        <v>0</v>
      </c>
      <c r="S2191" s="65">
        <v>0</v>
      </c>
      <c r="T2191" s="65">
        <v>6174.8900000000031</v>
      </c>
      <c r="U2191" s="58">
        <v>0</v>
      </c>
      <c r="V2191" s="65">
        <v>0</v>
      </c>
      <c r="W2191" s="65">
        <v>0</v>
      </c>
      <c r="X2191" s="65">
        <v>11900</v>
      </c>
      <c r="Y2191" s="65">
        <v>0</v>
      </c>
      <c r="Z2191" s="51">
        <v>0</v>
      </c>
      <c r="AA2191" s="51">
        <v>0</v>
      </c>
      <c r="AB2191" s="102" t="s">
        <v>66</v>
      </c>
      <c r="AC2191" s="81">
        <f t="shared" si="105"/>
        <v>269.48771492628259</v>
      </c>
      <c r="AD2191" s="82">
        <f t="shared" si="106"/>
        <v>46.897142857142846</v>
      </c>
      <c r="AE2191" s="218">
        <v>-0.51890965684964585</v>
      </c>
      <c r="AF2191">
        <v>2</v>
      </c>
      <c r="AH2191" t="str">
        <f t="shared" si="107"/>
        <v>Chautham</v>
      </c>
      <c r="AJ2191" s="72">
        <v>0</v>
      </c>
      <c r="AK2191" s="72"/>
      <c r="AL2191" s="72"/>
      <c r="AM2191" s="72"/>
    </row>
    <row r="2192" spans="1:39" x14ac:dyDescent="0.25">
      <c r="A2192" s="37" t="s">
        <v>62</v>
      </c>
      <c r="B2192" s="66" t="s">
        <v>1654</v>
      </c>
      <c r="C2192" s="41">
        <v>1056</v>
      </c>
      <c r="D2192" s="41" t="s">
        <v>816</v>
      </c>
      <c r="E2192" s="41">
        <v>10070056</v>
      </c>
      <c r="F2192" s="85" t="s">
        <v>524</v>
      </c>
      <c r="G2192" s="39" t="s">
        <v>1610</v>
      </c>
      <c r="H2192" s="52" t="s">
        <v>98</v>
      </c>
      <c r="I2192" s="52">
        <v>182.26</v>
      </c>
      <c r="J2192" s="49">
        <v>7481.3600000000006</v>
      </c>
      <c r="K2192" s="58">
        <v>0</v>
      </c>
      <c r="L2192" s="58">
        <v>0</v>
      </c>
      <c r="M2192" s="58">
        <v>0</v>
      </c>
      <c r="N2192" s="58">
        <v>0</v>
      </c>
      <c r="O2192" s="58">
        <v>0</v>
      </c>
      <c r="P2192" s="53">
        <v>0</v>
      </c>
      <c r="Q2192" s="65">
        <v>7481.3600000000006</v>
      </c>
      <c r="R2192" s="65">
        <v>0</v>
      </c>
      <c r="S2192" s="65">
        <v>0</v>
      </c>
      <c r="T2192" s="65">
        <v>0</v>
      </c>
      <c r="U2192" s="58">
        <v>0</v>
      </c>
      <c r="V2192" s="65">
        <v>0</v>
      </c>
      <c r="W2192" s="65">
        <v>0</v>
      </c>
      <c r="X2192" s="65">
        <v>0</v>
      </c>
      <c r="Y2192" s="65">
        <v>0</v>
      </c>
      <c r="Z2192" s="51">
        <v>7481.3600000000006</v>
      </c>
      <c r="AA2192" s="51">
        <v>0</v>
      </c>
      <c r="AB2192" s="102">
        <v>0</v>
      </c>
      <c r="AC2192" s="81">
        <f t="shared" si="105"/>
        <v>425.04107608910363</v>
      </c>
      <c r="AD2192" s="82">
        <f t="shared" si="106"/>
        <v>26.037142857142857</v>
      </c>
      <c r="AE2192" s="218">
        <v>0</v>
      </c>
      <c r="AF2192">
        <v>0</v>
      </c>
      <c r="AH2192" t="str">
        <f t="shared" si="107"/>
        <v>Chautham</v>
      </c>
      <c r="AJ2192" s="72">
        <v>0</v>
      </c>
      <c r="AK2192" s="72"/>
      <c r="AL2192" s="72"/>
      <c r="AM2192" s="72"/>
    </row>
    <row r="2193" spans="1:39" x14ac:dyDescent="0.25">
      <c r="A2193" s="37" t="s">
        <v>62</v>
      </c>
      <c r="B2193" s="66" t="s">
        <v>1654</v>
      </c>
      <c r="C2193" s="41">
        <v>1056</v>
      </c>
      <c r="D2193" s="41" t="s">
        <v>816</v>
      </c>
      <c r="E2193" s="41">
        <v>10070058</v>
      </c>
      <c r="F2193" s="85" t="s">
        <v>1254</v>
      </c>
      <c r="G2193" s="39" t="s">
        <v>1610</v>
      </c>
      <c r="H2193" s="52" t="s">
        <v>98</v>
      </c>
      <c r="I2193" s="52">
        <v>39.559999999999995</v>
      </c>
      <c r="J2193" s="49">
        <v>1365.7300000000002</v>
      </c>
      <c r="K2193" s="58">
        <v>0</v>
      </c>
      <c r="L2193" s="58">
        <v>0</v>
      </c>
      <c r="M2193" s="58">
        <v>0</v>
      </c>
      <c r="N2193" s="58">
        <v>0</v>
      </c>
      <c r="O2193" s="58">
        <v>0</v>
      </c>
      <c r="P2193" s="53">
        <v>0</v>
      </c>
      <c r="Q2193" s="65">
        <v>1365.7300000000002</v>
      </c>
      <c r="R2193" s="65">
        <v>0</v>
      </c>
      <c r="S2193" s="65">
        <v>0</v>
      </c>
      <c r="T2193" s="65">
        <v>0</v>
      </c>
      <c r="U2193" s="58">
        <v>0</v>
      </c>
      <c r="V2193" s="65">
        <v>0</v>
      </c>
      <c r="W2193" s="65">
        <v>0</v>
      </c>
      <c r="X2193" s="65">
        <v>0</v>
      </c>
      <c r="Y2193" s="65">
        <v>0</v>
      </c>
      <c r="Z2193" s="51">
        <v>1365.7300000000002</v>
      </c>
      <c r="AA2193" s="51">
        <v>0</v>
      </c>
      <c r="AB2193" s="102">
        <v>0</v>
      </c>
      <c r="AC2193" s="81">
        <f t="shared" si="105"/>
        <v>456.00744246713867</v>
      </c>
      <c r="AD2193" s="82">
        <f t="shared" si="106"/>
        <v>5.6514285714285704</v>
      </c>
      <c r="AE2193" s="218">
        <v>0</v>
      </c>
      <c r="AF2193">
        <v>0</v>
      </c>
      <c r="AH2193" t="str">
        <f t="shared" si="107"/>
        <v>Chautham</v>
      </c>
      <c r="AJ2193" s="72">
        <v>0</v>
      </c>
      <c r="AK2193" s="72"/>
      <c r="AL2193" s="72"/>
      <c r="AM2193" s="72"/>
    </row>
    <row r="2194" spans="1:39" x14ac:dyDescent="0.25">
      <c r="A2194" s="37" t="s">
        <v>62</v>
      </c>
      <c r="B2194" s="66" t="s">
        <v>1654</v>
      </c>
      <c r="C2194" s="41">
        <v>1056</v>
      </c>
      <c r="D2194" s="41" t="s">
        <v>816</v>
      </c>
      <c r="E2194" s="41">
        <v>10070059</v>
      </c>
      <c r="F2194" s="85" t="s">
        <v>552</v>
      </c>
      <c r="G2194" s="39" t="s">
        <v>1610</v>
      </c>
      <c r="H2194" s="52" t="s">
        <v>93</v>
      </c>
      <c r="I2194" s="52">
        <v>784.3599999999999</v>
      </c>
      <c r="J2194" s="49">
        <v>30470.569999999996</v>
      </c>
      <c r="K2194" s="58">
        <v>0</v>
      </c>
      <c r="L2194" s="58">
        <v>0</v>
      </c>
      <c r="M2194" s="58">
        <v>0</v>
      </c>
      <c r="N2194" s="58">
        <v>0</v>
      </c>
      <c r="O2194" s="58">
        <v>0</v>
      </c>
      <c r="P2194" s="53">
        <v>0</v>
      </c>
      <c r="Q2194" s="65">
        <v>0</v>
      </c>
      <c r="R2194" s="65">
        <v>0</v>
      </c>
      <c r="S2194" s="65">
        <v>0</v>
      </c>
      <c r="T2194" s="65">
        <v>0</v>
      </c>
      <c r="U2194" s="58">
        <v>0</v>
      </c>
      <c r="V2194" s="65">
        <v>0</v>
      </c>
      <c r="W2194" s="65">
        <v>0</v>
      </c>
      <c r="X2194" s="65">
        <v>0</v>
      </c>
      <c r="Y2194" s="65">
        <v>0</v>
      </c>
      <c r="Z2194" s="51">
        <v>0</v>
      </c>
      <c r="AA2194" s="51">
        <v>30471</v>
      </c>
      <c r="AB2194" s="102">
        <v>0</v>
      </c>
      <c r="AC2194" s="81">
        <f t="shared" si="105"/>
        <v>0</v>
      </c>
      <c r="AD2194" s="82">
        <f t="shared" si="106"/>
        <v>0</v>
      </c>
      <c r="AE2194" s="218">
        <v>1</v>
      </c>
      <c r="AF2194">
        <v>0</v>
      </c>
      <c r="AH2194" t="str">
        <f t="shared" si="107"/>
        <v>Chautham</v>
      </c>
      <c r="AJ2194" s="72">
        <v>0</v>
      </c>
      <c r="AK2194" s="72"/>
      <c r="AL2194" s="72"/>
      <c r="AM2194" s="72"/>
    </row>
    <row r="2195" spans="1:39" x14ac:dyDescent="0.25">
      <c r="A2195" s="37" t="s">
        <v>62</v>
      </c>
      <c r="B2195" s="66" t="s">
        <v>1654</v>
      </c>
      <c r="C2195" s="41">
        <v>1056</v>
      </c>
      <c r="D2195" s="41" t="s">
        <v>816</v>
      </c>
      <c r="E2195" s="41">
        <v>10070060</v>
      </c>
      <c r="F2195" s="85" t="s">
        <v>1300</v>
      </c>
      <c r="G2195" s="39" t="s">
        <v>1610</v>
      </c>
      <c r="H2195" s="52" t="s">
        <v>98</v>
      </c>
      <c r="I2195" s="52">
        <v>51.3</v>
      </c>
      <c r="J2195" s="49">
        <v>2269.89</v>
      </c>
      <c r="K2195" s="58">
        <v>0</v>
      </c>
      <c r="L2195" s="58">
        <v>0</v>
      </c>
      <c r="M2195" s="58">
        <v>0</v>
      </c>
      <c r="N2195" s="58">
        <v>0</v>
      </c>
      <c r="O2195" s="58">
        <v>0</v>
      </c>
      <c r="P2195" s="53">
        <v>0</v>
      </c>
      <c r="Q2195" s="65">
        <v>2269.89</v>
      </c>
      <c r="R2195" s="65">
        <v>0</v>
      </c>
      <c r="S2195" s="65">
        <v>0</v>
      </c>
      <c r="T2195" s="65">
        <v>0</v>
      </c>
      <c r="U2195" s="58">
        <v>0</v>
      </c>
      <c r="V2195" s="65">
        <v>0</v>
      </c>
      <c r="W2195" s="65">
        <v>0</v>
      </c>
      <c r="X2195" s="65">
        <v>0</v>
      </c>
      <c r="Y2195" s="65">
        <v>0</v>
      </c>
      <c r="Z2195" s="54">
        <v>2269.89</v>
      </c>
      <c r="AA2195" s="51">
        <v>0</v>
      </c>
      <c r="AB2195" s="102">
        <v>0</v>
      </c>
      <c r="AC2195" s="81">
        <f t="shared" si="105"/>
        <v>574.06535789473696</v>
      </c>
      <c r="AD2195" s="82">
        <f t="shared" si="106"/>
        <v>7.3285714285714283</v>
      </c>
      <c r="AE2195" s="218">
        <v>0</v>
      </c>
      <c r="AF2195">
        <v>0</v>
      </c>
      <c r="AH2195" t="str">
        <f t="shared" si="107"/>
        <v>Chautham</v>
      </c>
      <c r="AJ2195" s="72">
        <v>0</v>
      </c>
      <c r="AK2195" s="72"/>
      <c r="AL2195" s="72"/>
      <c r="AM2195" s="72"/>
    </row>
    <row r="2196" spans="1:39" x14ac:dyDescent="0.25">
      <c r="A2196" s="37" t="s">
        <v>62</v>
      </c>
      <c r="B2196" s="66" t="s">
        <v>1654</v>
      </c>
      <c r="C2196" s="41">
        <v>1007</v>
      </c>
      <c r="D2196" s="41" t="s">
        <v>203</v>
      </c>
      <c r="E2196" s="41">
        <v>10070061</v>
      </c>
      <c r="F2196" s="85" t="s">
        <v>557</v>
      </c>
      <c r="G2196" s="39" t="s">
        <v>1610</v>
      </c>
      <c r="H2196" s="52" t="s">
        <v>98</v>
      </c>
      <c r="I2196" s="52">
        <v>248.4</v>
      </c>
      <c r="J2196" s="49">
        <v>9676.4399999999987</v>
      </c>
      <c r="K2196" s="58">
        <v>0</v>
      </c>
      <c r="L2196" s="58">
        <v>0</v>
      </c>
      <c r="M2196" s="58">
        <v>0</v>
      </c>
      <c r="N2196" s="58">
        <v>0</v>
      </c>
      <c r="O2196" s="58">
        <v>0</v>
      </c>
      <c r="P2196" s="53">
        <v>0</v>
      </c>
      <c r="Q2196" s="65">
        <v>9676.4399999999987</v>
      </c>
      <c r="R2196" s="65">
        <v>0</v>
      </c>
      <c r="S2196" s="65">
        <v>0</v>
      </c>
      <c r="T2196" s="65">
        <v>0</v>
      </c>
      <c r="U2196" s="58">
        <v>0</v>
      </c>
      <c r="V2196" s="65">
        <v>0</v>
      </c>
      <c r="W2196" s="65">
        <v>0</v>
      </c>
      <c r="X2196" s="65">
        <v>0</v>
      </c>
      <c r="Y2196" s="65">
        <v>0</v>
      </c>
      <c r="Z2196" s="55">
        <v>9676.4399999999987</v>
      </c>
      <c r="AA2196" s="51">
        <v>0</v>
      </c>
      <c r="AB2196" s="102">
        <v>0</v>
      </c>
      <c r="AC2196" s="81">
        <f t="shared" si="105"/>
        <v>351.8422144927535</v>
      </c>
      <c r="AD2196" s="82">
        <f t="shared" si="106"/>
        <v>35.485714285714288</v>
      </c>
      <c r="AE2196" s="218">
        <v>0</v>
      </c>
      <c r="AF2196">
        <v>0</v>
      </c>
      <c r="AH2196" t="str">
        <f t="shared" si="107"/>
        <v>Araria</v>
      </c>
      <c r="AJ2196" s="72">
        <v>0</v>
      </c>
      <c r="AK2196" s="72"/>
      <c r="AL2196" s="72"/>
      <c r="AM2196" s="72"/>
    </row>
    <row r="2197" spans="1:39" x14ac:dyDescent="0.25">
      <c r="A2197" s="37" t="s">
        <v>62</v>
      </c>
      <c r="B2197" s="66" t="s">
        <v>1654</v>
      </c>
      <c r="C2197" s="41">
        <v>1010</v>
      </c>
      <c r="D2197" s="41" t="s">
        <v>1311</v>
      </c>
      <c r="E2197" s="41">
        <v>10070063</v>
      </c>
      <c r="F2197" s="85" t="s">
        <v>623</v>
      </c>
      <c r="G2197" s="39" t="s">
        <v>92</v>
      </c>
      <c r="H2197" s="52" t="s">
        <v>93</v>
      </c>
      <c r="I2197" s="52">
        <v>319.39999999999998</v>
      </c>
      <c r="J2197" s="49">
        <v>12313.89</v>
      </c>
      <c r="K2197" s="58">
        <v>288.40000000000003</v>
      </c>
      <c r="L2197" s="58">
        <v>11586.899999999998</v>
      </c>
      <c r="M2197" s="58">
        <v>0</v>
      </c>
      <c r="N2197" s="58">
        <v>0</v>
      </c>
      <c r="O2197" s="58">
        <v>288.40000000000003</v>
      </c>
      <c r="P2197" s="53">
        <v>11586.899999999998</v>
      </c>
      <c r="Q2197" s="65">
        <v>11586.899999999998</v>
      </c>
      <c r="R2197" s="65">
        <v>0</v>
      </c>
      <c r="S2197" s="65">
        <v>0</v>
      </c>
      <c r="T2197" s="65">
        <v>0</v>
      </c>
      <c r="U2197" s="58">
        <v>0</v>
      </c>
      <c r="V2197" s="65">
        <v>0</v>
      </c>
      <c r="W2197" s="65">
        <v>0</v>
      </c>
      <c r="X2197" s="65">
        <v>11587</v>
      </c>
      <c r="Y2197" s="65">
        <v>0</v>
      </c>
      <c r="Z2197" s="51">
        <v>0</v>
      </c>
      <c r="AA2197" s="51">
        <v>727</v>
      </c>
      <c r="AB2197" s="102" t="s">
        <v>1366</v>
      </c>
      <c r="AC2197" s="81">
        <f t="shared" si="105"/>
        <v>293.46690882905455</v>
      </c>
      <c r="AD2197" s="82">
        <f t="shared" si="106"/>
        <v>45.628571428571426</v>
      </c>
      <c r="AE2197" s="218">
        <v>5.9038208072347699E-2</v>
      </c>
      <c r="AF2197">
        <v>1</v>
      </c>
      <c r="AH2197" t="str">
        <f t="shared" si="107"/>
        <v>Parbatta</v>
      </c>
      <c r="AJ2197" s="72">
        <v>0</v>
      </c>
      <c r="AK2197" s="72"/>
      <c r="AL2197" s="72"/>
      <c r="AM2197" s="72"/>
    </row>
    <row r="2198" spans="1:39" x14ac:dyDescent="0.25">
      <c r="A2198" s="37" t="s">
        <v>62</v>
      </c>
      <c r="B2198" s="66" t="s">
        <v>1654</v>
      </c>
      <c r="C2198" s="41">
        <v>1056</v>
      </c>
      <c r="D2198" s="41" t="s">
        <v>816</v>
      </c>
      <c r="E2198" s="41">
        <v>10070064</v>
      </c>
      <c r="F2198" s="85" t="s">
        <v>624</v>
      </c>
      <c r="G2198" s="39" t="s">
        <v>92</v>
      </c>
      <c r="H2198" s="52" t="s">
        <v>93</v>
      </c>
      <c r="I2198" s="52">
        <v>783.5200000000001</v>
      </c>
      <c r="J2198" s="49">
        <v>31439.880000000008</v>
      </c>
      <c r="K2198" s="58">
        <v>691.74</v>
      </c>
      <c r="L2198" s="58">
        <v>28156.449999999997</v>
      </c>
      <c r="M2198" s="58">
        <v>97</v>
      </c>
      <c r="N2198" s="58">
        <v>4193.5</v>
      </c>
      <c r="O2198" s="58">
        <v>788.74</v>
      </c>
      <c r="P2198" s="53">
        <v>32349.949999999997</v>
      </c>
      <c r="Q2198" s="65">
        <v>31439.880000000008</v>
      </c>
      <c r="R2198" s="65">
        <v>0</v>
      </c>
      <c r="S2198" s="65">
        <v>157.17000000000002</v>
      </c>
      <c r="T2198" s="65">
        <v>910.0699999999888</v>
      </c>
      <c r="U2198" s="58">
        <v>0</v>
      </c>
      <c r="V2198" s="65">
        <v>0</v>
      </c>
      <c r="W2198" s="65">
        <v>0</v>
      </c>
      <c r="X2198" s="65">
        <v>27248</v>
      </c>
      <c r="Y2198" s="65">
        <v>4035</v>
      </c>
      <c r="Z2198" s="51">
        <v>0</v>
      </c>
      <c r="AA2198" s="51">
        <v>0</v>
      </c>
      <c r="AB2198" s="102">
        <v>0</v>
      </c>
      <c r="AC2198" s="81">
        <f t="shared" si="105"/>
        <v>0</v>
      </c>
      <c r="AD2198" s="82">
        <f t="shared" si="106"/>
        <v>0</v>
      </c>
      <c r="AE2198" s="218">
        <v>-2.8946357301617834E-2</v>
      </c>
      <c r="AF2198">
        <v>8</v>
      </c>
      <c r="AH2198" t="str">
        <f t="shared" si="107"/>
        <v>Chautham</v>
      </c>
      <c r="AJ2198" s="72">
        <v>0</v>
      </c>
      <c r="AK2198" s="72"/>
      <c r="AL2198" s="72"/>
      <c r="AM2198" s="72"/>
    </row>
    <row r="2199" spans="1:39" x14ac:dyDescent="0.25">
      <c r="A2199" s="37" t="s">
        <v>62</v>
      </c>
      <c r="B2199" s="66" t="s">
        <v>1654</v>
      </c>
      <c r="C2199" s="41">
        <v>1007</v>
      </c>
      <c r="D2199" s="41" t="s">
        <v>203</v>
      </c>
      <c r="E2199" s="41">
        <v>10070067</v>
      </c>
      <c r="F2199" s="85" t="s">
        <v>1530</v>
      </c>
      <c r="G2199" s="39" t="s">
        <v>1610</v>
      </c>
      <c r="H2199" s="52" t="s">
        <v>98</v>
      </c>
      <c r="I2199" s="52">
        <v>1357.2</v>
      </c>
      <c r="J2199" s="49">
        <v>54092.17</v>
      </c>
      <c r="K2199" s="58">
        <v>0</v>
      </c>
      <c r="L2199" s="58">
        <v>0</v>
      </c>
      <c r="M2199" s="58">
        <v>0</v>
      </c>
      <c r="N2199" s="58">
        <v>0</v>
      </c>
      <c r="O2199" s="58">
        <v>0</v>
      </c>
      <c r="P2199" s="53">
        <v>0</v>
      </c>
      <c r="Q2199" s="65">
        <v>54092.17</v>
      </c>
      <c r="R2199" s="65">
        <v>0</v>
      </c>
      <c r="S2199" s="65">
        <v>0</v>
      </c>
      <c r="T2199" s="65">
        <v>0</v>
      </c>
      <c r="U2199" s="58">
        <v>0</v>
      </c>
      <c r="V2199" s="65">
        <v>0</v>
      </c>
      <c r="W2199" s="65">
        <v>0</v>
      </c>
      <c r="X2199" s="65">
        <v>0</v>
      </c>
      <c r="Y2199" s="65">
        <v>0</v>
      </c>
      <c r="Z2199" s="51">
        <v>54092.17</v>
      </c>
      <c r="AA2199" s="51">
        <v>0</v>
      </c>
      <c r="AB2199" s="102">
        <v>0</v>
      </c>
      <c r="AC2199" s="81">
        <f t="shared" si="105"/>
        <v>0</v>
      </c>
      <c r="AD2199" s="82">
        <f t="shared" si="106"/>
        <v>0</v>
      </c>
      <c r="AE2199" s="218">
        <v>0</v>
      </c>
      <c r="AF2199">
        <v>0</v>
      </c>
      <c r="AH2199" t="str">
        <f t="shared" si="107"/>
        <v>Araria</v>
      </c>
      <c r="AJ2199" s="72">
        <v>0</v>
      </c>
      <c r="AK2199" s="72"/>
      <c r="AL2199" s="72"/>
      <c r="AM2199" s="72"/>
    </row>
    <row r="2200" spans="1:39" x14ac:dyDescent="0.25">
      <c r="A2200" s="37" t="s">
        <v>62</v>
      </c>
      <c r="B2200" s="66" t="s">
        <v>1654</v>
      </c>
      <c r="C2200" s="41">
        <v>1007</v>
      </c>
      <c r="D2200" s="41" t="s">
        <v>203</v>
      </c>
      <c r="E2200" s="41">
        <v>10070074</v>
      </c>
      <c r="F2200" s="85" t="s">
        <v>1133</v>
      </c>
      <c r="G2200" s="39" t="s">
        <v>1610</v>
      </c>
      <c r="H2200" s="52" t="s">
        <v>98</v>
      </c>
      <c r="I2200" s="52">
        <v>237.89999999999998</v>
      </c>
      <c r="J2200" s="49">
        <v>9327.2900000000009</v>
      </c>
      <c r="K2200" s="58">
        <v>0</v>
      </c>
      <c r="L2200" s="58">
        <v>0</v>
      </c>
      <c r="M2200" s="58">
        <v>0</v>
      </c>
      <c r="N2200" s="58">
        <v>0</v>
      </c>
      <c r="O2200" s="58">
        <v>0</v>
      </c>
      <c r="P2200" s="53">
        <v>0</v>
      </c>
      <c r="Q2200" s="65">
        <v>9327.2900000000009</v>
      </c>
      <c r="R2200" s="65">
        <v>0</v>
      </c>
      <c r="S2200" s="65">
        <v>0</v>
      </c>
      <c r="T2200" s="65">
        <v>0</v>
      </c>
      <c r="U2200" s="58">
        <v>0</v>
      </c>
      <c r="V2200" s="65">
        <v>0</v>
      </c>
      <c r="W2200" s="65">
        <v>0</v>
      </c>
      <c r="X2200" s="65">
        <v>0</v>
      </c>
      <c r="Y2200" s="65">
        <v>0</v>
      </c>
      <c r="Z2200" s="51">
        <v>9327.2900000000009</v>
      </c>
      <c r="AA2200" s="51">
        <v>0</v>
      </c>
      <c r="AB2200" s="102">
        <v>0</v>
      </c>
      <c r="AC2200" s="81">
        <f t="shared" si="105"/>
        <v>362.34894569146712</v>
      </c>
      <c r="AD2200" s="82">
        <f t="shared" si="106"/>
        <v>33.98571428571428</v>
      </c>
      <c r="AE2200" s="218">
        <v>0</v>
      </c>
      <c r="AF2200">
        <v>0</v>
      </c>
      <c r="AH2200" t="str">
        <f t="shared" si="107"/>
        <v>Araria</v>
      </c>
      <c r="AJ2200" s="72">
        <v>0</v>
      </c>
      <c r="AK2200" s="72"/>
      <c r="AL2200" s="72"/>
      <c r="AM2200" s="72"/>
    </row>
    <row r="2201" spans="1:39" x14ac:dyDescent="0.25">
      <c r="A2201" s="37" t="s">
        <v>62</v>
      </c>
      <c r="B2201" s="66" t="s">
        <v>1654</v>
      </c>
      <c r="C2201" s="41">
        <v>1007</v>
      </c>
      <c r="D2201" s="41" t="s">
        <v>203</v>
      </c>
      <c r="E2201" s="41">
        <v>10070077</v>
      </c>
      <c r="F2201" s="85" t="s">
        <v>1301</v>
      </c>
      <c r="G2201" s="39" t="s">
        <v>92</v>
      </c>
      <c r="H2201" s="52" t="s">
        <v>93</v>
      </c>
      <c r="I2201" s="52">
        <v>394.09999999999997</v>
      </c>
      <c r="J2201" s="49">
        <v>13576.29</v>
      </c>
      <c r="K2201" s="58">
        <v>384.66</v>
      </c>
      <c r="L2201" s="58">
        <v>14067.06</v>
      </c>
      <c r="M2201" s="58">
        <v>9.44</v>
      </c>
      <c r="N2201" s="58">
        <v>427.28999999999996</v>
      </c>
      <c r="O2201" s="58">
        <v>394.1</v>
      </c>
      <c r="P2201" s="53">
        <v>14494.349999999999</v>
      </c>
      <c r="Q2201" s="65">
        <v>13576.29</v>
      </c>
      <c r="R2201" s="65">
        <v>0</v>
      </c>
      <c r="S2201" s="65">
        <v>0</v>
      </c>
      <c r="T2201" s="65">
        <v>918.05999999999767</v>
      </c>
      <c r="U2201" s="58">
        <v>0</v>
      </c>
      <c r="V2201" s="65">
        <v>500</v>
      </c>
      <c r="W2201" s="65">
        <v>0</v>
      </c>
      <c r="X2201" s="65">
        <v>12649</v>
      </c>
      <c r="Y2201" s="65">
        <v>427</v>
      </c>
      <c r="Z2201" s="51">
        <v>0</v>
      </c>
      <c r="AA2201" s="51">
        <v>0</v>
      </c>
      <c r="AB2201" s="102">
        <v>0</v>
      </c>
      <c r="AC2201" s="81">
        <f t="shared" si="105"/>
        <v>210.75803658969809</v>
      </c>
      <c r="AD2201" s="82">
        <f t="shared" si="106"/>
        <v>56.3</v>
      </c>
      <c r="AE2201" s="218">
        <v>-6.7622303294935335E-2</v>
      </c>
      <c r="AF2201">
        <v>3</v>
      </c>
      <c r="AH2201" t="str">
        <f t="shared" si="107"/>
        <v>Araria</v>
      </c>
      <c r="AJ2201" s="72">
        <v>500</v>
      </c>
      <c r="AK2201" s="72"/>
      <c r="AL2201" s="72"/>
      <c r="AM2201" s="72"/>
    </row>
    <row r="2202" spans="1:39" x14ac:dyDescent="0.25">
      <c r="A2202" s="37" t="s">
        <v>62</v>
      </c>
      <c r="B2202" s="66" t="s">
        <v>1654</v>
      </c>
      <c r="C2202" s="41">
        <v>1007</v>
      </c>
      <c r="D2202" s="41" t="s">
        <v>203</v>
      </c>
      <c r="E2202" s="41">
        <v>10070078</v>
      </c>
      <c r="F2202" s="85" t="s">
        <v>1302</v>
      </c>
      <c r="G2202" s="39" t="s">
        <v>92</v>
      </c>
      <c r="H2202" s="52" t="s">
        <v>93</v>
      </c>
      <c r="I2202" s="52">
        <v>839.99999999999989</v>
      </c>
      <c r="J2202" s="49">
        <v>31389.32</v>
      </c>
      <c r="K2202" s="58">
        <v>840</v>
      </c>
      <c r="L2202" s="58">
        <v>31995.599999999999</v>
      </c>
      <c r="M2202" s="58">
        <v>0</v>
      </c>
      <c r="N2202" s="58">
        <v>0</v>
      </c>
      <c r="O2202" s="58">
        <v>840</v>
      </c>
      <c r="P2202" s="53">
        <v>31995.599999999999</v>
      </c>
      <c r="Q2202" s="65">
        <v>31389.32</v>
      </c>
      <c r="R2202" s="65">
        <v>0</v>
      </c>
      <c r="S2202" s="65">
        <v>0</v>
      </c>
      <c r="T2202" s="65">
        <v>606.27999999999884</v>
      </c>
      <c r="U2202" s="58">
        <v>0</v>
      </c>
      <c r="V2202" s="65">
        <v>0</v>
      </c>
      <c r="W2202" s="65">
        <v>0</v>
      </c>
      <c r="X2202" s="65">
        <v>31389</v>
      </c>
      <c r="Y2202" s="65">
        <v>0</v>
      </c>
      <c r="Z2202" s="51">
        <v>0</v>
      </c>
      <c r="AA2202" s="51">
        <v>0</v>
      </c>
      <c r="AB2202" s="102">
        <v>0</v>
      </c>
      <c r="AC2202" s="81">
        <f t="shared" si="105"/>
        <v>0</v>
      </c>
      <c r="AD2202" s="82">
        <f t="shared" si="106"/>
        <v>0</v>
      </c>
      <c r="AE2202" s="218">
        <v>-1.9314849764187271E-2</v>
      </c>
      <c r="AF2202">
        <v>1</v>
      </c>
      <c r="AH2202" t="str">
        <f t="shared" si="107"/>
        <v>Araria</v>
      </c>
      <c r="AJ2202" s="72">
        <v>0</v>
      </c>
      <c r="AK2202" s="72"/>
      <c r="AL2202" s="72"/>
      <c r="AM2202" s="72"/>
    </row>
    <row r="2203" spans="1:39" x14ac:dyDescent="0.25">
      <c r="A2203" s="37" t="s">
        <v>62</v>
      </c>
      <c r="B2203" s="66" t="s">
        <v>1654</v>
      </c>
      <c r="C2203" s="41">
        <v>1007</v>
      </c>
      <c r="D2203" s="41" t="s">
        <v>203</v>
      </c>
      <c r="E2203" s="41">
        <v>10070079</v>
      </c>
      <c r="F2203" s="85" t="s">
        <v>1537</v>
      </c>
      <c r="G2203" s="39" t="s">
        <v>1610</v>
      </c>
      <c r="H2203" s="52" t="s">
        <v>98</v>
      </c>
      <c r="I2203" s="52">
        <v>69.600000000000009</v>
      </c>
      <c r="J2203" s="49">
        <v>3405.6600000000003</v>
      </c>
      <c r="K2203" s="58">
        <v>0</v>
      </c>
      <c r="L2203" s="58">
        <v>0</v>
      </c>
      <c r="M2203" s="58">
        <v>0</v>
      </c>
      <c r="N2203" s="58">
        <v>0</v>
      </c>
      <c r="O2203" s="58">
        <v>0</v>
      </c>
      <c r="P2203" s="53">
        <v>0</v>
      </c>
      <c r="Q2203" s="65">
        <v>3405.6600000000003</v>
      </c>
      <c r="R2203" s="65">
        <v>0</v>
      </c>
      <c r="S2203" s="65">
        <v>0</v>
      </c>
      <c r="T2203" s="65">
        <v>0</v>
      </c>
      <c r="U2203" s="58">
        <v>0</v>
      </c>
      <c r="V2203" s="65">
        <v>0</v>
      </c>
      <c r="W2203" s="65">
        <v>0</v>
      </c>
      <c r="X2203" s="65">
        <v>0</v>
      </c>
      <c r="Y2203" s="65">
        <v>0</v>
      </c>
      <c r="Z2203" s="51">
        <v>3405.6600000000003</v>
      </c>
      <c r="AA2203" s="51">
        <v>0</v>
      </c>
      <c r="AB2203" s="102">
        <v>0</v>
      </c>
      <c r="AC2203" s="81">
        <f t="shared" si="105"/>
        <v>616.93335172413788</v>
      </c>
      <c r="AD2203" s="82">
        <f t="shared" si="106"/>
        <v>9.9428571428571448</v>
      </c>
      <c r="AE2203" s="218">
        <v>0</v>
      </c>
      <c r="AF2203">
        <v>0</v>
      </c>
      <c r="AH2203" t="str">
        <f t="shared" si="107"/>
        <v>Araria</v>
      </c>
      <c r="AJ2203" s="72">
        <v>0</v>
      </c>
      <c r="AK2203" s="72"/>
      <c r="AL2203" s="72"/>
      <c r="AM2203" s="72"/>
    </row>
    <row r="2204" spans="1:39" x14ac:dyDescent="0.25">
      <c r="A2204" s="37" t="s">
        <v>62</v>
      </c>
      <c r="B2204" s="66" t="s">
        <v>1654</v>
      </c>
      <c r="C2204" s="41">
        <v>1055</v>
      </c>
      <c r="D2204" s="41" t="s">
        <v>1125</v>
      </c>
      <c r="E2204" s="41">
        <v>10080001</v>
      </c>
      <c r="F2204" s="85" t="s">
        <v>600</v>
      </c>
      <c r="G2204" s="39" t="s">
        <v>1610</v>
      </c>
      <c r="H2204" s="52" t="s">
        <v>98</v>
      </c>
      <c r="I2204" s="52">
        <v>563.30000000000018</v>
      </c>
      <c r="J2204" s="49">
        <v>22252.629999999997</v>
      </c>
      <c r="K2204" s="58">
        <v>0</v>
      </c>
      <c r="L2204" s="58">
        <v>0</v>
      </c>
      <c r="M2204" s="58">
        <v>0</v>
      </c>
      <c r="N2204" s="58">
        <v>0</v>
      </c>
      <c r="O2204" s="58">
        <v>0</v>
      </c>
      <c r="P2204" s="53">
        <v>0</v>
      </c>
      <c r="Q2204" s="65">
        <v>22252.629999999997</v>
      </c>
      <c r="R2204" s="65">
        <v>0</v>
      </c>
      <c r="S2204" s="65">
        <v>0</v>
      </c>
      <c r="T2204" s="65">
        <v>0</v>
      </c>
      <c r="U2204" s="58">
        <v>0</v>
      </c>
      <c r="V2204" s="65">
        <v>0</v>
      </c>
      <c r="W2204" s="65">
        <v>0</v>
      </c>
      <c r="X2204" s="65">
        <v>0</v>
      </c>
      <c r="Y2204" s="65">
        <v>0</v>
      </c>
      <c r="Z2204" s="51">
        <v>22252.629999999997</v>
      </c>
      <c r="AA2204" s="51">
        <v>0</v>
      </c>
      <c r="AB2204" s="102">
        <v>0</v>
      </c>
      <c r="AC2204" s="81">
        <f t="shared" si="105"/>
        <v>108.00406607491544</v>
      </c>
      <c r="AD2204" s="82">
        <f t="shared" si="106"/>
        <v>80.471428571428604</v>
      </c>
      <c r="AE2204" s="218">
        <v>0</v>
      </c>
      <c r="AF2204">
        <v>0</v>
      </c>
      <c r="AH2204" t="str">
        <f t="shared" si="107"/>
        <v>Matihani</v>
      </c>
      <c r="AJ2204" s="72">
        <v>0</v>
      </c>
      <c r="AK2204" s="72"/>
      <c r="AL2204" s="72"/>
      <c r="AM2204" s="72"/>
    </row>
    <row r="2205" spans="1:39" x14ac:dyDescent="0.25">
      <c r="A2205" s="37" t="s">
        <v>62</v>
      </c>
      <c r="B2205" s="66" t="s">
        <v>1654</v>
      </c>
      <c r="C2205" s="41">
        <v>1008</v>
      </c>
      <c r="D2205" s="41" t="s">
        <v>217</v>
      </c>
      <c r="E2205" s="41">
        <v>10080002</v>
      </c>
      <c r="F2205" s="85" t="s">
        <v>218</v>
      </c>
      <c r="G2205" s="39" t="s">
        <v>92</v>
      </c>
      <c r="H2205" s="52" t="s">
        <v>98</v>
      </c>
      <c r="I2205" s="52">
        <v>332.70000000000005</v>
      </c>
      <c r="J2205" s="49">
        <v>12316.500000000002</v>
      </c>
      <c r="K2205" s="58">
        <v>0</v>
      </c>
      <c r="L2205" s="58">
        <v>0</v>
      </c>
      <c r="M2205" s="58">
        <v>0</v>
      </c>
      <c r="N2205" s="58">
        <v>0</v>
      </c>
      <c r="O2205" s="58">
        <v>0</v>
      </c>
      <c r="P2205" s="53">
        <v>0</v>
      </c>
      <c r="Q2205" s="65">
        <v>12316.500000000002</v>
      </c>
      <c r="R2205" s="65">
        <v>0</v>
      </c>
      <c r="S2205" s="65">
        <v>0</v>
      </c>
      <c r="T2205" s="65">
        <v>0</v>
      </c>
      <c r="U2205" s="58">
        <v>0</v>
      </c>
      <c r="V2205" s="65">
        <v>0</v>
      </c>
      <c r="W2205" s="65">
        <v>0</v>
      </c>
      <c r="X2205" s="65">
        <v>0</v>
      </c>
      <c r="Y2205" s="65">
        <v>0</v>
      </c>
      <c r="Z2205" s="51">
        <v>12316.500000000002</v>
      </c>
      <c r="AA2205" s="51">
        <v>0</v>
      </c>
      <c r="AB2205" s="102">
        <v>0</v>
      </c>
      <c r="AC2205" s="81">
        <f t="shared" si="105"/>
        <v>271.94772768259691</v>
      </c>
      <c r="AD2205" s="82">
        <f t="shared" si="106"/>
        <v>47.528571428571432</v>
      </c>
      <c r="AE2205" s="218">
        <v>0</v>
      </c>
      <c r="AF2205">
        <v>0</v>
      </c>
      <c r="AH2205" t="str">
        <f t="shared" si="107"/>
        <v>Teghra</v>
      </c>
      <c r="AJ2205" s="72">
        <v>0</v>
      </c>
      <c r="AK2205" s="72"/>
      <c r="AL2205" s="72"/>
      <c r="AM2205" s="72"/>
    </row>
    <row r="2206" spans="1:39" x14ac:dyDescent="0.25">
      <c r="A2206" s="37" t="s">
        <v>62</v>
      </c>
      <c r="B2206" s="66" t="s">
        <v>1654</v>
      </c>
      <c r="C2206" s="41">
        <v>1008</v>
      </c>
      <c r="D2206" s="41" t="s">
        <v>217</v>
      </c>
      <c r="E2206" s="41">
        <v>10080003</v>
      </c>
      <c r="F2206" s="85" t="s">
        <v>219</v>
      </c>
      <c r="G2206" s="39" t="s">
        <v>1610</v>
      </c>
      <c r="H2206" s="52" t="s">
        <v>98</v>
      </c>
      <c r="I2206" s="52">
        <v>28.2</v>
      </c>
      <c r="J2206" s="49">
        <v>1018.72</v>
      </c>
      <c r="K2206" s="58">
        <v>0</v>
      </c>
      <c r="L2206" s="58">
        <v>0</v>
      </c>
      <c r="M2206" s="58">
        <v>0</v>
      </c>
      <c r="N2206" s="58">
        <v>0</v>
      </c>
      <c r="O2206" s="58">
        <v>0</v>
      </c>
      <c r="P2206" s="53">
        <v>0</v>
      </c>
      <c r="Q2206" s="65">
        <v>1018.72</v>
      </c>
      <c r="R2206" s="65">
        <v>0</v>
      </c>
      <c r="S2206" s="65">
        <v>0</v>
      </c>
      <c r="T2206" s="65">
        <v>0</v>
      </c>
      <c r="U2206" s="58">
        <v>0</v>
      </c>
      <c r="V2206" s="65">
        <v>0</v>
      </c>
      <c r="W2206" s="65">
        <v>0</v>
      </c>
      <c r="X2206" s="65">
        <v>0</v>
      </c>
      <c r="Y2206" s="65">
        <v>0</v>
      </c>
      <c r="Z2206" s="51">
        <v>1018.72</v>
      </c>
      <c r="AA2206" s="51">
        <v>0</v>
      </c>
      <c r="AB2206" s="102">
        <v>0</v>
      </c>
      <c r="AC2206" s="81">
        <f t="shared" si="105"/>
        <v>485.37311773049652</v>
      </c>
      <c r="AD2206" s="82">
        <f t="shared" si="106"/>
        <v>4.0285714285714285</v>
      </c>
      <c r="AE2206" s="218">
        <v>0</v>
      </c>
      <c r="AF2206">
        <v>0</v>
      </c>
      <c r="AH2206" t="str">
        <f t="shared" si="107"/>
        <v>Teghra</v>
      </c>
      <c r="AJ2206" s="72">
        <v>0</v>
      </c>
      <c r="AK2206" s="72"/>
      <c r="AL2206" s="72"/>
      <c r="AM2206" s="72"/>
    </row>
    <row r="2207" spans="1:39" x14ac:dyDescent="0.25">
      <c r="A2207" s="37" t="s">
        <v>62</v>
      </c>
      <c r="B2207" s="66" t="s">
        <v>1654</v>
      </c>
      <c r="C2207" s="41">
        <v>1008</v>
      </c>
      <c r="D2207" s="41" t="s">
        <v>217</v>
      </c>
      <c r="E2207" s="41">
        <v>10080004</v>
      </c>
      <c r="F2207" s="85" t="s">
        <v>220</v>
      </c>
      <c r="G2207" s="39" t="s">
        <v>1610</v>
      </c>
      <c r="H2207" s="52" t="s">
        <v>98</v>
      </c>
      <c r="I2207" s="52">
        <v>7.05</v>
      </c>
      <c r="J2207" s="49">
        <v>287.32</v>
      </c>
      <c r="K2207" s="58">
        <v>0</v>
      </c>
      <c r="L2207" s="58">
        <v>0</v>
      </c>
      <c r="M2207" s="58">
        <v>0</v>
      </c>
      <c r="N2207" s="58">
        <v>0</v>
      </c>
      <c r="O2207" s="58">
        <v>0</v>
      </c>
      <c r="P2207" s="53">
        <v>0</v>
      </c>
      <c r="Q2207" s="65">
        <v>287.32</v>
      </c>
      <c r="R2207" s="65">
        <v>0</v>
      </c>
      <c r="S2207" s="65">
        <v>0</v>
      </c>
      <c r="T2207" s="65">
        <v>0</v>
      </c>
      <c r="U2207" s="58">
        <v>0</v>
      </c>
      <c r="V2207" s="65">
        <v>0</v>
      </c>
      <c r="W2207" s="65">
        <v>0</v>
      </c>
      <c r="X2207" s="65">
        <v>0</v>
      </c>
      <c r="Y2207" s="65">
        <v>0</v>
      </c>
      <c r="Z2207" s="51">
        <v>287.32</v>
      </c>
      <c r="AA2207" s="51">
        <v>0</v>
      </c>
      <c r="AB2207" s="102">
        <v>0</v>
      </c>
      <c r="AC2207" s="81">
        <f t="shared" si="105"/>
        <v>564.81813900709221</v>
      </c>
      <c r="AD2207" s="82">
        <f t="shared" si="106"/>
        <v>1.0071428571428571</v>
      </c>
      <c r="AE2207" s="218">
        <v>0</v>
      </c>
      <c r="AF2207">
        <v>0</v>
      </c>
      <c r="AH2207" t="str">
        <f t="shared" si="107"/>
        <v>Teghra</v>
      </c>
      <c r="AJ2207" s="72">
        <v>0</v>
      </c>
      <c r="AK2207" s="72"/>
      <c r="AL2207" s="72"/>
      <c r="AM2207" s="72"/>
    </row>
    <row r="2208" spans="1:39" x14ac:dyDescent="0.25">
      <c r="A2208" s="37" t="s">
        <v>62</v>
      </c>
      <c r="B2208" s="66" t="s">
        <v>1654</v>
      </c>
      <c r="C2208" s="41">
        <v>1008</v>
      </c>
      <c r="D2208" s="41" t="s">
        <v>217</v>
      </c>
      <c r="E2208" s="41">
        <v>10080006</v>
      </c>
      <c r="F2208" s="85" t="s">
        <v>221</v>
      </c>
      <c r="G2208" s="39" t="s">
        <v>1610</v>
      </c>
      <c r="H2208" s="52" t="s">
        <v>98</v>
      </c>
      <c r="I2208" s="52">
        <v>269.8</v>
      </c>
      <c r="J2208" s="49">
        <v>10171.82</v>
      </c>
      <c r="K2208" s="58">
        <v>0</v>
      </c>
      <c r="L2208" s="58">
        <v>0</v>
      </c>
      <c r="M2208" s="58">
        <v>0</v>
      </c>
      <c r="N2208" s="58">
        <v>0</v>
      </c>
      <c r="O2208" s="58">
        <v>0</v>
      </c>
      <c r="P2208" s="53">
        <v>0</v>
      </c>
      <c r="Q2208" s="65">
        <v>10171.82</v>
      </c>
      <c r="R2208" s="65">
        <v>0</v>
      </c>
      <c r="S2208" s="65">
        <v>0</v>
      </c>
      <c r="T2208" s="65">
        <v>0</v>
      </c>
      <c r="U2208" s="58">
        <v>0</v>
      </c>
      <c r="V2208" s="65">
        <v>0</v>
      </c>
      <c r="W2208" s="65">
        <v>0</v>
      </c>
      <c r="X2208" s="65">
        <v>0</v>
      </c>
      <c r="Y2208" s="65">
        <v>0</v>
      </c>
      <c r="Z2208" s="51">
        <v>10171.82</v>
      </c>
      <c r="AA2208" s="51">
        <v>0</v>
      </c>
      <c r="AB2208" s="102">
        <v>0</v>
      </c>
      <c r="AC2208" s="81">
        <f t="shared" si="105"/>
        <v>324.38228050407707</v>
      </c>
      <c r="AD2208" s="82">
        <f t="shared" si="106"/>
        <v>38.542857142857144</v>
      </c>
      <c r="AE2208" s="218">
        <v>0</v>
      </c>
      <c r="AF2208">
        <v>0</v>
      </c>
      <c r="AH2208" t="str">
        <f t="shared" si="107"/>
        <v>Teghra</v>
      </c>
      <c r="AJ2208" s="72">
        <v>0</v>
      </c>
      <c r="AK2208" s="72"/>
      <c r="AL2208" s="72"/>
      <c r="AM2208" s="72"/>
    </row>
    <row r="2209" spans="1:39" x14ac:dyDescent="0.25">
      <c r="A2209" s="37" t="s">
        <v>62</v>
      </c>
      <c r="B2209" s="66" t="s">
        <v>1654</v>
      </c>
      <c r="C2209" s="41">
        <v>1008</v>
      </c>
      <c r="D2209" s="41" t="s">
        <v>217</v>
      </c>
      <c r="E2209" s="41">
        <v>10080007</v>
      </c>
      <c r="F2209" s="85" t="s">
        <v>222</v>
      </c>
      <c r="G2209" s="39" t="s">
        <v>1610</v>
      </c>
      <c r="H2209" s="52" t="s">
        <v>98</v>
      </c>
      <c r="I2209" s="52">
        <v>708.35</v>
      </c>
      <c r="J2209" s="49">
        <v>26521.7</v>
      </c>
      <c r="K2209" s="58">
        <v>0</v>
      </c>
      <c r="L2209" s="58">
        <v>0</v>
      </c>
      <c r="M2209" s="58">
        <v>0</v>
      </c>
      <c r="N2209" s="58">
        <v>0</v>
      </c>
      <c r="O2209" s="58">
        <v>0</v>
      </c>
      <c r="P2209" s="53">
        <v>0</v>
      </c>
      <c r="Q2209" s="65">
        <v>26521.7</v>
      </c>
      <c r="R2209" s="65">
        <v>0</v>
      </c>
      <c r="S2209" s="65">
        <v>0</v>
      </c>
      <c r="T2209" s="65">
        <v>0</v>
      </c>
      <c r="U2209" s="58">
        <v>0</v>
      </c>
      <c r="V2209" s="65">
        <v>0</v>
      </c>
      <c r="W2209" s="65">
        <v>0</v>
      </c>
      <c r="X2209" s="65">
        <v>0</v>
      </c>
      <c r="Y2209" s="65">
        <v>0</v>
      </c>
      <c r="Z2209" s="51">
        <v>26521.7</v>
      </c>
      <c r="AA2209" s="51">
        <v>0</v>
      </c>
      <c r="AB2209" s="102">
        <v>0</v>
      </c>
      <c r="AC2209" s="81">
        <f t="shared" si="105"/>
        <v>0</v>
      </c>
      <c r="AD2209" s="82">
        <f t="shared" si="106"/>
        <v>0</v>
      </c>
      <c r="AE2209" s="218">
        <v>0</v>
      </c>
      <c r="AF2209">
        <v>0</v>
      </c>
      <c r="AH2209" t="str">
        <f t="shared" si="107"/>
        <v>Teghra</v>
      </c>
      <c r="AJ2209" s="72">
        <v>0</v>
      </c>
      <c r="AK2209" s="72"/>
      <c r="AL2209" s="72"/>
      <c r="AM2209" s="72"/>
    </row>
    <row r="2210" spans="1:39" x14ac:dyDescent="0.25">
      <c r="A2210" s="37" t="s">
        <v>62</v>
      </c>
      <c r="B2210" s="66" t="s">
        <v>1654</v>
      </c>
      <c r="C2210" s="41">
        <v>1008</v>
      </c>
      <c r="D2210" s="41" t="s">
        <v>217</v>
      </c>
      <c r="E2210" s="41">
        <v>10080012</v>
      </c>
      <c r="F2210" s="85" t="s">
        <v>1199</v>
      </c>
      <c r="G2210" s="39" t="s">
        <v>1610</v>
      </c>
      <c r="H2210" s="52" t="s">
        <v>98</v>
      </c>
      <c r="I2210" s="52">
        <v>389.7</v>
      </c>
      <c r="J2210" s="49">
        <v>14575.04</v>
      </c>
      <c r="K2210" s="58">
        <v>0</v>
      </c>
      <c r="L2210" s="58">
        <v>0</v>
      </c>
      <c r="M2210" s="58">
        <v>0</v>
      </c>
      <c r="N2210" s="58">
        <v>0</v>
      </c>
      <c r="O2210" s="58">
        <v>0</v>
      </c>
      <c r="P2210" s="53">
        <v>0</v>
      </c>
      <c r="Q2210" s="65">
        <v>14575.04</v>
      </c>
      <c r="R2210" s="65">
        <v>0</v>
      </c>
      <c r="S2210" s="65">
        <v>0</v>
      </c>
      <c r="T2210" s="65">
        <v>0</v>
      </c>
      <c r="U2210" s="58">
        <v>0</v>
      </c>
      <c r="V2210" s="65">
        <v>0</v>
      </c>
      <c r="W2210" s="65">
        <v>0</v>
      </c>
      <c r="X2210" s="65">
        <v>0</v>
      </c>
      <c r="Y2210" s="65">
        <v>0</v>
      </c>
      <c r="Z2210" s="51">
        <v>14575.04</v>
      </c>
      <c r="AA2210" s="51">
        <v>0</v>
      </c>
      <c r="AB2210" s="102">
        <v>0</v>
      </c>
      <c r="AC2210" s="81">
        <f t="shared" si="105"/>
        <v>232.10854051834747</v>
      </c>
      <c r="AD2210" s="82">
        <f t="shared" si="106"/>
        <v>55.671428571428571</v>
      </c>
      <c r="AE2210" s="218">
        <v>0</v>
      </c>
      <c r="AF2210">
        <v>0</v>
      </c>
      <c r="AH2210" t="str">
        <f t="shared" si="107"/>
        <v>Teghra</v>
      </c>
      <c r="AJ2210" s="72">
        <v>0</v>
      </c>
      <c r="AK2210" s="72"/>
      <c r="AL2210" s="72"/>
      <c r="AM2210" s="72"/>
    </row>
    <row r="2211" spans="1:39" x14ac:dyDescent="0.25">
      <c r="A2211" s="37" t="s">
        <v>62</v>
      </c>
      <c r="B2211" s="66" t="s">
        <v>1654</v>
      </c>
      <c r="C2211" s="41">
        <v>1008</v>
      </c>
      <c r="D2211" s="41" t="s">
        <v>217</v>
      </c>
      <c r="E2211" s="41">
        <v>10080013</v>
      </c>
      <c r="F2211" s="85" t="s">
        <v>223</v>
      </c>
      <c r="G2211" s="39" t="s">
        <v>1610</v>
      </c>
      <c r="H2211" s="52" t="s">
        <v>98</v>
      </c>
      <c r="I2211" s="52">
        <v>408.49999999999994</v>
      </c>
      <c r="J2211" s="49">
        <v>17309.050000000003</v>
      </c>
      <c r="K2211" s="58">
        <v>0</v>
      </c>
      <c r="L2211" s="58">
        <v>0</v>
      </c>
      <c r="M2211" s="58">
        <v>0</v>
      </c>
      <c r="N2211" s="58">
        <v>0</v>
      </c>
      <c r="O2211" s="58">
        <v>0</v>
      </c>
      <c r="P2211" s="53">
        <v>0</v>
      </c>
      <c r="Q2211" s="65">
        <v>17309.050000000003</v>
      </c>
      <c r="R2211" s="65">
        <v>0</v>
      </c>
      <c r="S2211" s="65">
        <v>0</v>
      </c>
      <c r="T2211" s="65">
        <v>0</v>
      </c>
      <c r="U2211" s="58">
        <v>0</v>
      </c>
      <c r="V2211" s="65">
        <v>0</v>
      </c>
      <c r="W2211" s="65">
        <v>0</v>
      </c>
      <c r="X2211" s="65">
        <v>0</v>
      </c>
      <c r="Y2211" s="65">
        <v>0</v>
      </c>
      <c r="Z2211" s="51">
        <v>17309.050000000003</v>
      </c>
      <c r="AA2211" s="51">
        <v>0</v>
      </c>
      <c r="AB2211" s="102">
        <v>0</v>
      </c>
      <c r="AC2211" s="81">
        <f t="shared" si="105"/>
        <v>247.03001591187279</v>
      </c>
      <c r="AD2211" s="82">
        <f t="shared" si="106"/>
        <v>58.357142857142847</v>
      </c>
      <c r="AE2211" s="218">
        <v>0</v>
      </c>
      <c r="AF2211">
        <v>0</v>
      </c>
      <c r="AH2211" t="str">
        <f t="shared" si="107"/>
        <v>Teghra</v>
      </c>
      <c r="AJ2211" s="72">
        <v>0</v>
      </c>
      <c r="AK2211" s="72"/>
      <c r="AL2211" s="72"/>
      <c r="AM2211" s="72"/>
    </row>
    <row r="2212" spans="1:39" x14ac:dyDescent="0.25">
      <c r="A2212" s="37" t="s">
        <v>62</v>
      </c>
      <c r="B2212" s="66" t="s">
        <v>1654</v>
      </c>
      <c r="C2212" s="41">
        <v>1008</v>
      </c>
      <c r="D2212" s="41" t="s">
        <v>217</v>
      </c>
      <c r="E2212" s="41">
        <v>10080014</v>
      </c>
      <c r="F2212" s="85" t="s">
        <v>224</v>
      </c>
      <c r="G2212" s="39" t="s">
        <v>1610</v>
      </c>
      <c r="H2212" s="52" t="s">
        <v>98</v>
      </c>
      <c r="I2212" s="52">
        <v>500.29999999999995</v>
      </c>
      <c r="J2212" s="49">
        <v>20581.310000000001</v>
      </c>
      <c r="K2212" s="58">
        <v>0</v>
      </c>
      <c r="L2212" s="58">
        <v>0</v>
      </c>
      <c r="M2212" s="58">
        <v>0</v>
      </c>
      <c r="N2212" s="58">
        <v>0</v>
      </c>
      <c r="O2212" s="58">
        <v>0</v>
      </c>
      <c r="P2212" s="53">
        <v>0</v>
      </c>
      <c r="Q2212" s="65">
        <v>20581.310000000001</v>
      </c>
      <c r="R2212" s="65">
        <v>0</v>
      </c>
      <c r="S2212" s="65">
        <v>0</v>
      </c>
      <c r="T2212" s="65">
        <v>0</v>
      </c>
      <c r="U2212" s="58">
        <v>0</v>
      </c>
      <c r="V2212" s="65">
        <v>0</v>
      </c>
      <c r="W2212" s="65">
        <v>0</v>
      </c>
      <c r="X2212" s="65">
        <v>0</v>
      </c>
      <c r="Y2212" s="65">
        <v>0</v>
      </c>
      <c r="Z2212" s="51">
        <v>20581.310000000001</v>
      </c>
      <c r="AA2212" s="51">
        <v>0</v>
      </c>
      <c r="AB2212" s="102">
        <v>0</v>
      </c>
      <c r="AC2212" s="81">
        <f t="shared" si="105"/>
        <v>164.30492132720377</v>
      </c>
      <c r="AD2212" s="82">
        <f t="shared" si="106"/>
        <v>71.471428571428561</v>
      </c>
      <c r="AE2212" s="218">
        <v>0</v>
      </c>
      <c r="AF2212">
        <v>0</v>
      </c>
      <c r="AH2212" t="str">
        <f t="shared" si="107"/>
        <v>Teghra</v>
      </c>
      <c r="AJ2212" s="72">
        <v>0</v>
      </c>
      <c r="AK2212" s="72"/>
      <c r="AL2212" s="72"/>
      <c r="AM2212" s="72"/>
    </row>
    <row r="2213" spans="1:39" x14ac:dyDescent="0.25">
      <c r="A2213" s="37" t="s">
        <v>62</v>
      </c>
      <c r="B2213" s="66" t="s">
        <v>1654</v>
      </c>
      <c r="C2213" s="41">
        <v>1008</v>
      </c>
      <c r="D2213" s="41" t="s">
        <v>217</v>
      </c>
      <c r="E2213" s="41">
        <v>10080015</v>
      </c>
      <c r="F2213" s="85" t="s">
        <v>225</v>
      </c>
      <c r="G2213" s="39" t="s">
        <v>92</v>
      </c>
      <c r="H2213" s="52" t="s">
        <v>93</v>
      </c>
      <c r="I2213" s="52">
        <v>1282.2500000000002</v>
      </c>
      <c r="J2213" s="49">
        <v>48339.549999999988</v>
      </c>
      <c r="K2213" s="58">
        <v>1277.4000000000001</v>
      </c>
      <c r="L2213" s="58">
        <v>48657.62</v>
      </c>
      <c r="M2213" s="58">
        <v>2.6000000000000005</v>
      </c>
      <c r="N2213" s="58">
        <v>94.430000000000021</v>
      </c>
      <c r="O2213" s="58">
        <v>1280</v>
      </c>
      <c r="P2213" s="53">
        <v>48752.05</v>
      </c>
      <c r="Q2213" s="65">
        <v>48339.549999999988</v>
      </c>
      <c r="R2213" s="65">
        <v>0</v>
      </c>
      <c r="S2213" s="65">
        <v>94.430000000000021</v>
      </c>
      <c r="T2213" s="65">
        <v>412.50000000001455</v>
      </c>
      <c r="U2213" s="58">
        <v>0</v>
      </c>
      <c r="V2213" s="65">
        <v>0</v>
      </c>
      <c r="W2213" s="65">
        <v>0</v>
      </c>
      <c r="X2213" s="65">
        <v>48245</v>
      </c>
      <c r="Y2213" s="65">
        <v>0</v>
      </c>
      <c r="Z2213" s="51">
        <v>0</v>
      </c>
      <c r="AA2213" s="51">
        <v>0</v>
      </c>
      <c r="AB2213" s="102">
        <v>0</v>
      </c>
      <c r="AC2213" s="81">
        <f t="shared" si="105"/>
        <v>0</v>
      </c>
      <c r="AD2213" s="82">
        <f t="shared" si="106"/>
        <v>0</v>
      </c>
      <c r="AE2213" s="218">
        <v>-8.5333851887329244E-3</v>
      </c>
      <c r="AF2213">
        <v>9</v>
      </c>
      <c r="AH2213" t="str">
        <f t="shared" si="107"/>
        <v>Teghra</v>
      </c>
      <c r="AJ2213" s="72">
        <v>0</v>
      </c>
      <c r="AK2213" s="72"/>
      <c r="AL2213" s="72"/>
      <c r="AM2213" s="72"/>
    </row>
    <row r="2214" spans="1:39" x14ac:dyDescent="0.25">
      <c r="A2214" s="37" t="s">
        <v>62</v>
      </c>
      <c r="B2214" s="66" t="s">
        <v>1654</v>
      </c>
      <c r="C2214" s="41">
        <v>1008</v>
      </c>
      <c r="D2214" s="41" t="s">
        <v>217</v>
      </c>
      <c r="E2214" s="41">
        <v>10080016</v>
      </c>
      <c r="F2214" s="85" t="s">
        <v>226</v>
      </c>
      <c r="G2214" s="39" t="s">
        <v>92</v>
      </c>
      <c r="H2214" s="52" t="s">
        <v>93</v>
      </c>
      <c r="I2214" s="52">
        <v>140.95000000000002</v>
      </c>
      <c r="J2214" s="49">
        <v>5390.8799999999992</v>
      </c>
      <c r="K2214" s="58">
        <v>140.1</v>
      </c>
      <c r="L2214" s="58">
        <v>5358.1900000000005</v>
      </c>
      <c r="M2214" s="58">
        <v>1.0999999999999999</v>
      </c>
      <c r="N2214" s="58">
        <v>39.989999999999995</v>
      </c>
      <c r="O2214" s="58">
        <v>141.19999999999999</v>
      </c>
      <c r="P2214" s="53">
        <v>5398.18</v>
      </c>
      <c r="Q2214" s="65">
        <v>5390.8799999999992</v>
      </c>
      <c r="R2214" s="65">
        <v>0</v>
      </c>
      <c r="S2214" s="65">
        <v>39.989999999999995</v>
      </c>
      <c r="T2214" s="65">
        <v>7.3000000000010914</v>
      </c>
      <c r="U2214" s="58">
        <v>0</v>
      </c>
      <c r="V2214" s="65">
        <v>500</v>
      </c>
      <c r="W2214" s="65">
        <v>0</v>
      </c>
      <c r="X2214" s="65">
        <v>4851</v>
      </c>
      <c r="Y2214" s="65">
        <v>0</v>
      </c>
      <c r="Z2214" s="51">
        <v>0</v>
      </c>
      <c r="AA2214" s="51">
        <v>0</v>
      </c>
      <c r="AB2214" s="102">
        <v>0</v>
      </c>
      <c r="AC2214" s="81">
        <f t="shared" si="105"/>
        <v>427.63695835402609</v>
      </c>
      <c r="AD2214" s="82">
        <f t="shared" si="106"/>
        <v>20.13571428571429</v>
      </c>
      <c r="AE2214" s="218">
        <v>-1.3541388418961454E-3</v>
      </c>
      <c r="AF2214">
        <v>3</v>
      </c>
      <c r="AH2214" t="str">
        <f t="shared" si="107"/>
        <v>Teghra</v>
      </c>
      <c r="AJ2214" s="72">
        <v>500</v>
      </c>
      <c r="AK2214" s="72"/>
      <c r="AL2214" s="72"/>
      <c r="AM2214" s="72"/>
    </row>
    <row r="2215" spans="1:39" x14ac:dyDescent="0.25">
      <c r="A2215" s="37" t="s">
        <v>62</v>
      </c>
      <c r="B2215" s="66" t="s">
        <v>1654</v>
      </c>
      <c r="C2215" s="41">
        <v>1008</v>
      </c>
      <c r="D2215" s="41" t="s">
        <v>217</v>
      </c>
      <c r="E2215" s="41">
        <v>10080022</v>
      </c>
      <c r="F2215" s="85" t="s">
        <v>228</v>
      </c>
      <c r="G2215" s="39" t="s">
        <v>92</v>
      </c>
      <c r="H2215" s="52" t="s">
        <v>93</v>
      </c>
      <c r="I2215" s="52">
        <v>169.1</v>
      </c>
      <c r="J2215" s="49">
        <v>7599.18</v>
      </c>
      <c r="K2215" s="58">
        <v>179.86</v>
      </c>
      <c r="L2215" s="58">
        <v>8078.17</v>
      </c>
      <c r="M2215" s="58">
        <v>2.86</v>
      </c>
      <c r="N2215" s="58">
        <v>119.48000000000002</v>
      </c>
      <c r="O2215" s="58">
        <v>182.72000000000003</v>
      </c>
      <c r="P2215" s="53">
        <v>8197.65</v>
      </c>
      <c r="Q2215" s="65">
        <v>7599.18</v>
      </c>
      <c r="R2215" s="65">
        <v>0</v>
      </c>
      <c r="S2215" s="65">
        <v>119.48000000000002</v>
      </c>
      <c r="T2215" s="65">
        <v>598.46999999999935</v>
      </c>
      <c r="U2215" s="58">
        <v>0</v>
      </c>
      <c r="V2215" s="65">
        <v>0</v>
      </c>
      <c r="W2215" s="65">
        <v>0</v>
      </c>
      <c r="X2215" s="65">
        <v>8078</v>
      </c>
      <c r="Y2215" s="65">
        <v>0</v>
      </c>
      <c r="Z2215" s="51">
        <v>0</v>
      </c>
      <c r="AA2215" s="51">
        <v>-598</v>
      </c>
      <c r="AB2215" s="102" t="s">
        <v>68</v>
      </c>
      <c r="AC2215" s="81">
        <f t="shared" si="105"/>
        <v>477.1619943228859</v>
      </c>
      <c r="AD2215" s="82">
        <f t="shared" si="106"/>
        <v>24.157142857142855</v>
      </c>
      <c r="AE2215" s="218">
        <v>-7.8754549833008211E-2</v>
      </c>
      <c r="AF2215">
        <v>6</v>
      </c>
      <c r="AH2215" t="str">
        <f t="shared" si="107"/>
        <v>Teghra</v>
      </c>
      <c r="AJ2215" s="72">
        <v>0</v>
      </c>
      <c r="AK2215" s="72"/>
      <c r="AL2215" s="72"/>
      <c r="AM2215" s="72"/>
    </row>
    <row r="2216" spans="1:39" x14ac:dyDescent="0.25">
      <c r="A2216" s="37" t="s">
        <v>62</v>
      </c>
      <c r="B2216" s="66" t="s">
        <v>1654</v>
      </c>
      <c r="C2216" s="41">
        <v>1008</v>
      </c>
      <c r="D2216" s="41" t="s">
        <v>217</v>
      </c>
      <c r="E2216" s="41">
        <v>10080024</v>
      </c>
      <c r="F2216" s="85" t="s">
        <v>230</v>
      </c>
      <c r="G2216" s="39" t="s">
        <v>1610</v>
      </c>
      <c r="H2216" s="52" t="s">
        <v>98</v>
      </c>
      <c r="I2216" s="52">
        <v>4877.2000000000007</v>
      </c>
      <c r="J2216" s="49">
        <v>197551.37999999998</v>
      </c>
      <c r="K2216" s="58">
        <v>0</v>
      </c>
      <c r="L2216" s="58">
        <v>0</v>
      </c>
      <c r="M2216" s="58">
        <v>0</v>
      </c>
      <c r="N2216" s="58">
        <v>0</v>
      </c>
      <c r="O2216" s="58">
        <v>0</v>
      </c>
      <c r="P2216" s="53">
        <v>0</v>
      </c>
      <c r="Q2216" s="65">
        <v>197551.37999999998</v>
      </c>
      <c r="R2216" s="65">
        <v>0</v>
      </c>
      <c r="S2216" s="65">
        <v>0</v>
      </c>
      <c r="T2216" s="65">
        <v>0</v>
      </c>
      <c r="U2216" s="58">
        <v>0</v>
      </c>
      <c r="V2216" s="65">
        <v>0</v>
      </c>
      <c r="W2216" s="65">
        <v>0</v>
      </c>
      <c r="X2216" s="65">
        <v>0</v>
      </c>
      <c r="Y2216" s="65">
        <v>0</v>
      </c>
      <c r="Z2216" s="51">
        <v>197551.37999999998</v>
      </c>
      <c r="AA2216" s="51">
        <v>0</v>
      </c>
      <c r="AB2216" s="102">
        <v>0</v>
      </c>
      <c r="AC2216" s="81">
        <f t="shared" si="105"/>
        <v>0</v>
      </c>
      <c r="AD2216" s="82">
        <f t="shared" si="106"/>
        <v>0</v>
      </c>
      <c r="AE2216" s="218">
        <v>0</v>
      </c>
      <c r="AF2216">
        <v>0</v>
      </c>
      <c r="AH2216" t="str">
        <f t="shared" si="107"/>
        <v>Teghra</v>
      </c>
      <c r="AJ2216" s="72">
        <v>0</v>
      </c>
      <c r="AK2216" s="72"/>
      <c r="AL2216" s="72"/>
      <c r="AM2216" s="72"/>
    </row>
    <row r="2217" spans="1:39" x14ac:dyDescent="0.25">
      <c r="A2217" s="37" t="s">
        <v>62</v>
      </c>
      <c r="B2217" s="66" t="s">
        <v>1654</v>
      </c>
      <c r="C2217" s="41">
        <v>1008</v>
      </c>
      <c r="D2217" s="41" t="s">
        <v>217</v>
      </c>
      <c r="E2217" s="41">
        <v>10080025</v>
      </c>
      <c r="F2217" s="85" t="s">
        <v>231</v>
      </c>
      <c r="G2217" s="39" t="s">
        <v>92</v>
      </c>
      <c r="H2217" s="52" t="s">
        <v>93</v>
      </c>
      <c r="I2217" s="52">
        <v>830.99999999999989</v>
      </c>
      <c r="J2217" s="49">
        <v>29860.539999999994</v>
      </c>
      <c r="K2217" s="58">
        <v>770.09999999999991</v>
      </c>
      <c r="L2217" s="58">
        <v>29362.57</v>
      </c>
      <c r="M2217" s="58">
        <v>12.79</v>
      </c>
      <c r="N2217" s="58">
        <v>483.05</v>
      </c>
      <c r="O2217" s="58">
        <v>782.88999999999987</v>
      </c>
      <c r="P2217" s="53">
        <v>29845.62</v>
      </c>
      <c r="Q2217" s="65">
        <v>29845.62</v>
      </c>
      <c r="R2217" s="65">
        <v>0</v>
      </c>
      <c r="S2217" s="65">
        <v>483.05</v>
      </c>
      <c r="T2217" s="65">
        <v>0</v>
      </c>
      <c r="U2217" s="58">
        <v>0</v>
      </c>
      <c r="V2217" s="65">
        <v>0</v>
      </c>
      <c r="W2217" s="65">
        <v>0</v>
      </c>
      <c r="X2217" s="65">
        <v>29363</v>
      </c>
      <c r="Y2217" s="65">
        <v>0</v>
      </c>
      <c r="Z2217" s="51">
        <v>0</v>
      </c>
      <c r="AA2217" s="51">
        <v>14</v>
      </c>
      <c r="AB2217" s="102">
        <v>0</v>
      </c>
      <c r="AC2217" s="81">
        <f t="shared" si="105"/>
        <v>0</v>
      </c>
      <c r="AD2217" s="82">
        <f t="shared" si="106"/>
        <v>0</v>
      </c>
      <c r="AE2217" s="218">
        <v>4.9965606784052195E-4</v>
      </c>
      <c r="AF2217">
        <v>23</v>
      </c>
      <c r="AH2217" t="str">
        <f t="shared" si="107"/>
        <v>Teghra</v>
      </c>
      <c r="AJ2217" s="72">
        <v>0</v>
      </c>
      <c r="AK2217" s="72"/>
      <c r="AL2217" s="72"/>
      <c r="AM2217" s="72"/>
    </row>
    <row r="2218" spans="1:39" x14ac:dyDescent="0.25">
      <c r="A2218" s="37" t="s">
        <v>62</v>
      </c>
      <c r="B2218" s="66" t="s">
        <v>1654</v>
      </c>
      <c r="C2218" s="41">
        <v>1008</v>
      </c>
      <c r="D2218" s="41" t="s">
        <v>217</v>
      </c>
      <c r="E2218" s="41">
        <v>10080032</v>
      </c>
      <c r="F2218" s="85" t="s">
        <v>233</v>
      </c>
      <c r="G2218" s="39" t="s">
        <v>92</v>
      </c>
      <c r="H2218" s="52" t="s">
        <v>93</v>
      </c>
      <c r="I2218" s="52">
        <v>187.55</v>
      </c>
      <c r="J2218" s="49">
        <v>8600.01</v>
      </c>
      <c r="K2218" s="58">
        <v>36.910000000000004</v>
      </c>
      <c r="L2218" s="58">
        <v>1693.0499999999997</v>
      </c>
      <c r="M2218" s="58">
        <v>144.73000000000002</v>
      </c>
      <c r="N2218" s="58">
        <v>6651.2199999999993</v>
      </c>
      <c r="O2218" s="58">
        <v>181.64000000000001</v>
      </c>
      <c r="P2218" s="53">
        <v>8344.2699999999986</v>
      </c>
      <c r="Q2218" s="65">
        <v>8344.2699999999986</v>
      </c>
      <c r="R2218" s="65">
        <v>0</v>
      </c>
      <c r="S2218" s="65">
        <v>191.84</v>
      </c>
      <c r="T2218" s="65">
        <v>0</v>
      </c>
      <c r="U2218" s="58">
        <v>0</v>
      </c>
      <c r="V2218" s="65">
        <v>0</v>
      </c>
      <c r="W2218" s="65">
        <v>0</v>
      </c>
      <c r="X2218" s="65">
        <v>1693</v>
      </c>
      <c r="Y2218" s="65">
        <v>6459</v>
      </c>
      <c r="Z2218" s="51">
        <v>0</v>
      </c>
      <c r="AA2218" s="51">
        <v>256</v>
      </c>
      <c r="AB2218" s="102">
        <v>0</v>
      </c>
      <c r="AC2218" s="81">
        <f t="shared" si="105"/>
        <v>469.96268989602777</v>
      </c>
      <c r="AD2218" s="82">
        <f t="shared" si="106"/>
        <v>26.792857142857144</v>
      </c>
      <c r="AE2218" s="218">
        <v>2.9737174724215623E-2</v>
      </c>
      <c r="AF2218">
        <v>11</v>
      </c>
      <c r="AH2218" t="str">
        <f t="shared" si="107"/>
        <v>Teghra</v>
      </c>
      <c r="AJ2218" s="72">
        <v>0</v>
      </c>
      <c r="AK2218" s="72"/>
      <c r="AL2218" s="72"/>
      <c r="AM2218" s="72"/>
    </row>
    <row r="2219" spans="1:39" x14ac:dyDescent="0.25">
      <c r="A2219" s="37" t="s">
        <v>62</v>
      </c>
      <c r="B2219" s="66" t="s">
        <v>1654</v>
      </c>
      <c r="C2219" s="41">
        <v>1008</v>
      </c>
      <c r="D2219" s="41" t="s">
        <v>217</v>
      </c>
      <c r="E2219" s="41">
        <v>10080037</v>
      </c>
      <c r="F2219" s="85" t="s">
        <v>1546</v>
      </c>
      <c r="G2219" s="39" t="s">
        <v>1610</v>
      </c>
      <c r="H2219" s="52" t="s">
        <v>98</v>
      </c>
      <c r="I2219" s="52">
        <v>206.25</v>
      </c>
      <c r="J2219" s="49">
        <v>8337.92</v>
      </c>
      <c r="K2219" s="58">
        <v>0</v>
      </c>
      <c r="L2219" s="58">
        <v>0</v>
      </c>
      <c r="M2219" s="58">
        <v>0</v>
      </c>
      <c r="N2219" s="58">
        <v>0</v>
      </c>
      <c r="O2219" s="58">
        <v>0</v>
      </c>
      <c r="P2219" s="53">
        <v>0</v>
      </c>
      <c r="Q2219" s="65">
        <v>8337.92</v>
      </c>
      <c r="R2219" s="65">
        <v>0</v>
      </c>
      <c r="S2219" s="65">
        <v>0</v>
      </c>
      <c r="T2219" s="65">
        <v>0</v>
      </c>
      <c r="U2219" s="58">
        <v>0</v>
      </c>
      <c r="V2219" s="65">
        <v>0</v>
      </c>
      <c r="W2219" s="65">
        <v>0</v>
      </c>
      <c r="X2219" s="65">
        <v>0</v>
      </c>
      <c r="Y2219" s="65">
        <v>0</v>
      </c>
      <c r="Z2219" s="51">
        <v>8337.92</v>
      </c>
      <c r="AA2219" s="51">
        <v>0</v>
      </c>
      <c r="AB2219" s="102">
        <v>0</v>
      </c>
      <c r="AC2219" s="81">
        <f t="shared" si="105"/>
        <v>399.20950303030298</v>
      </c>
      <c r="AD2219" s="82">
        <f t="shared" si="106"/>
        <v>29.464285714285715</v>
      </c>
      <c r="AE2219" s="218">
        <v>0</v>
      </c>
      <c r="AF2219">
        <v>0</v>
      </c>
      <c r="AH2219" t="str">
        <f t="shared" si="107"/>
        <v>Teghra</v>
      </c>
      <c r="AJ2219" s="72">
        <v>0</v>
      </c>
      <c r="AK2219" s="72"/>
      <c r="AL2219" s="72"/>
      <c r="AM2219" s="72"/>
    </row>
    <row r="2220" spans="1:39" x14ac:dyDescent="0.25">
      <c r="A2220" s="37" t="s">
        <v>62</v>
      </c>
      <c r="B2220" s="66" t="s">
        <v>1654</v>
      </c>
      <c r="C2220" s="41">
        <v>1008</v>
      </c>
      <c r="D2220" s="41" t="s">
        <v>217</v>
      </c>
      <c r="E2220" s="41">
        <v>10080039</v>
      </c>
      <c r="F2220" s="85" t="s">
        <v>558</v>
      </c>
      <c r="G2220" s="39" t="s">
        <v>1610</v>
      </c>
      <c r="H2220" s="52" t="s">
        <v>98</v>
      </c>
      <c r="I2220" s="52">
        <v>6077.45</v>
      </c>
      <c r="J2220" s="49">
        <v>243864.52</v>
      </c>
      <c r="K2220" s="58">
        <v>0</v>
      </c>
      <c r="L2220" s="58">
        <v>0</v>
      </c>
      <c r="M2220" s="58">
        <v>0</v>
      </c>
      <c r="N2220" s="58">
        <v>0</v>
      </c>
      <c r="O2220" s="58">
        <v>0</v>
      </c>
      <c r="P2220" s="53">
        <v>0</v>
      </c>
      <c r="Q2220" s="65">
        <v>243864.52</v>
      </c>
      <c r="R2220" s="65">
        <v>0</v>
      </c>
      <c r="S2220" s="65">
        <v>0</v>
      </c>
      <c r="T2220" s="65">
        <v>0</v>
      </c>
      <c r="U2220" s="58">
        <v>0</v>
      </c>
      <c r="V2220" s="65">
        <v>0</v>
      </c>
      <c r="W2220" s="65">
        <v>0</v>
      </c>
      <c r="X2220" s="65">
        <v>0</v>
      </c>
      <c r="Y2220" s="65">
        <v>0</v>
      </c>
      <c r="Z2220" s="51">
        <v>243864.52</v>
      </c>
      <c r="AA2220" s="51">
        <v>0</v>
      </c>
      <c r="AB2220" s="102">
        <v>0</v>
      </c>
      <c r="AC2220" s="81">
        <f t="shared" si="105"/>
        <v>0</v>
      </c>
      <c r="AD2220" s="82">
        <f t="shared" si="106"/>
        <v>0</v>
      </c>
      <c r="AE2220" s="218">
        <v>0</v>
      </c>
      <c r="AF2220">
        <v>0</v>
      </c>
      <c r="AH2220" t="str">
        <f t="shared" si="107"/>
        <v>Teghra</v>
      </c>
      <c r="AJ2220" s="72">
        <v>0</v>
      </c>
      <c r="AK2220" s="72"/>
      <c r="AL2220" s="72"/>
      <c r="AM2220" s="72"/>
    </row>
    <row r="2221" spans="1:39" x14ac:dyDescent="0.25">
      <c r="A2221" s="37" t="s">
        <v>62</v>
      </c>
      <c r="B2221" s="66" t="s">
        <v>1654</v>
      </c>
      <c r="C2221" s="41">
        <v>1008</v>
      </c>
      <c r="D2221" s="41" t="s">
        <v>217</v>
      </c>
      <c r="E2221" s="41">
        <v>10080040</v>
      </c>
      <c r="F2221" s="85" t="s">
        <v>234</v>
      </c>
      <c r="G2221" s="39" t="s">
        <v>1610</v>
      </c>
      <c r="H2221" s="52" t="s">
        <v>98</v>
      </c>
      <c r="I2221" s="52">
        <v>783.80000000000007</v>
      </c>
      <c r="J2221" s="49">
        <v>32152.699999999997</v>
      </c>
      <c r="K2221" s="58">
        <v>0</v>
      </c>
      <c r="L2221" s="58">
        <v>0</v>
      </c>
      <c r="M2221" s="58">
        <v>0</v>
      </c>
      <c r="N2221" s="58">
        <v>0</v>
      </c>
      <c r="O2221" s="58">
        <v>0</v>
      </c>
      <c r="P2221" s="53">
        <v>0</v>
      </c>
      <c r="Q2221" s="65">
        <v>32152.699999999997</v>
      </c>
      <c r="R2221" s="65">
        <v>0</v>
      </c>
      <c r="S2221" s="65">
        <v>0</v>
      </c>
      <c r="T2221" s="65">
        <v>0</v>
      </c>
      <c r="U2221" s="58">
        <v>0</v>
      </c>
      <c r="V2221" s="65">
        <v>0</v>
      </c>
      <c r="W2221" s="65">
        <v>0</v>
      </c>
      <c r="X2221" s="65">
        <v>0</v>
      </c>
      <c r="Y2221" s="65">
        <v>0</v>
      </c>
      <c r="Z2221" s="51">
        <v>32152.699999999997</v>
      </c>
      <c r="AA2221" s="51">
        <v>0</v>
      </c>
      <c r="AB2221" s="102">
        <v>0</v>
      </c>
      <c r="AC2221" s="81">
        <f t="shared" si="105"/>
        <v>0</v>
      </c>
      <c r="AD2221" s="82">
        <f t="shared" si="106"/>
        <v>0</v>
      </c>
      <c r="AE2221" s="218">
        <v>0</v>
      </c>
      <c r="AF2221">
        <v>0</v>
      </c>
      <c r="AH2221" t="str">
        <f t="shared" si="107"/>
        <v>Teghra</v>
      </c>
      <c r="AJ2221" s="72">
        <v>0</v>
      </c>
      <c r="AK2221" s="72"/>
      <c r="AL2221" s="72"/>
      <c r="AM2221" s="72"/>
    </row>
    <row r="2222" spans="1:39" x14ac:dyDescent="0.25">
      <c r="A2222" s="37" t="s">
        <v>62</v>
      </c>
      <c r="B2222" s="66" t="s">
        <v>1654</v>
      </c>
      <c r="C2222" s="41">
        <v>1008</v>
      </c>
      <c r="D2222" s="41" t="s">
        <v>217</v>
      </c>
      <c r="E2222" s="41">
        <v>10080041</v>
      </c>
      <c r="F2222" s="85" t="s">
        <v>1538</v>
      </c>
      <c r="G2222" s="39" t="s">
        <v>1610</v>
      </c>
      <c r="H2222" s="52" t="s">
        <v>98</v>
      </c>
      <c r="I2222" s="52">
        <v>166.75</v>
      </c>
      <c r="J2222" s="49">
        <v>6909.5199999999995</v>
      </c>
      <c r="K2222" s="58">
        <v>0</v>
      </c>
      <c r="L2222" s="58">
        <v>0</v>
      </c>
      <c r="M2222" s="58">
        <v>0</v>
      </c>
      <c r="N2222" s="58">
        <v>0</v>
      </c>
      <c r="O2222" s="58">
        <v>0</v>
      </c>
      <c r="P2222" s="53">
        <v>0</v>
      </c>
      <c r="Q2222" s="65">
        <v>6909.5199999999995</v>
      </c>
      <c r="R2222" s="65">
        <v>0</v>
      </c>
      <c r="S2222" s="65">
        <v>0</v>
      </c>
      <c r="T2222" s="65">
        <v>0</v>
      </c>
      <c r="U2222" s="58">
        <v>0</v>
      </c>
      <c r="V2222" s="65">
        <v>0</v>
      </c>
      <c r="W2222" s="65">
        <v>0</v>
      </c>
      <c r="X2222" s="65">
        <v>0</v>
      </c>
      <c r="Y2222" s="65">
        <v>0</v>
      </c>
      <c r="Z2222" s="51">
        <v>6909.5199999999995</v>
      </c>
      <c r="AA2222" s="51">
        <v>0</v>
      </c>
      <c r="AB2222" s="102">
        <v>0</v>
      </c>
      <c r="AC2222" s="81">
        <f t="shared" si="105"/>
        <v>441.91922518740625</v>
      </c>
      <c r="AD2222" s="82">
        <f t="shared" si="106"/>
        <v>23.821428571428573</v>
      </c>
      <c r="AE2222" s="218">
        <v>0</v>
      </c>
      <c r="AF2222">
        <v>0</v>
      </c>
      <c r="AH2222" t="str">
        <f t="shared" si="107"/>
        <v>Teghra</v>
      </c>
      <c r="AJ2222" s="72">
        <v>0</v>
      </c>
      <c r="AK2222" s="72"/>
      <c r="AL2222" s="72"/>
      <c r="AM2222" s="72"/>
    </row>
    <row r="2223" spans="1:39" x14ac:dyDescent="0.25">
      <c r="A2223" s="37" t="s">
        <v>62</v>
      </c>
      <c r="B2223" s="66" t="s">
        <v>1654</v>
      </c>
      <c r="C2223" s="41">
        <v>1008</v>
      </c>
      <c r="D2223" s="41" t="s">
        <v>217</v>
      </c>
      <c r="E2223" s="41">
        <v>10080048</v>
      </c>
      <c r="F2223" s="85" t="s">
        <v>235</v>
      </c>
      <c r="G2223" s="39" t="s">
        <v>92</v>
      </c>
      <c r="H2223" s="52" t="s">
        <v>93</v>
      </c>
      <c r="I2223" s="52">
        <v>86.699999999999989</v>
      </c>
      <c r="J2223" s="49">
        <v>3912.49</v>
      </c>
      <c r="K2223" s="58">
        <v>85.14</v>
      </c>
      <c r="L2223" s="58">
        <v>3702.2400000000002</v>
      </c>
      <c r="M2223" s="58">
        <v>0.61</v>
      </c>
      <c r="N2223" s="58">
        <v>26.54</v>
      </c>
      <c r="O2223" s="58">
        <v>85.75</v>
      </c>
      <c r="P2223" s="53">
        <v>3728.78</v>
      </c>
      <c r="Q2223" s="65">
        <v>3728.78</v>
      </c>
      <c r="R2223" s="65">
        <v>0</v>
      </c>
      <c r="S2223" s="65">
        <v>26.54</v>
      </c>
      <c r="T2223" s="65">
        <v>0</v>
      </c>
      <c r="U2223" s="58">
        <v>0</v>
      </c>
      <c r="V2223" s="65">
        <v>500</v>
      </c>
      <c r="W2223" s="65">
        <v>0</v>
      </c>
      <c r="X2223" s="65">
        <v>3203</v>
      </c>
      <c r="Y2223" s="65">
        <v>0</v>
      </c>
      <c r="Z2223" s="51">
        <v>0</v>
      </c>
      <c r="AA2223" s="51">
        <v>183</v>
      </c>
      <c r="AB2223" s="102">
        <v>0</v>
      </c>
      <c r="AC2223" s="81">
        <f t="shared" si="105"/>
        <v>553.52482514417534</v>
      </c>
      <c r="AD2223" s="82">
        <f t="shared" si="106"/>
        <v>12.385714285714284</v>
      </c>
      <c r="AE2223" s="218">
        <v>4.695475260000654E-2</v>
      </c>
      <c r="AF2223">
        <v>4</v>
      </c>
      <c r="AH2223" t="str">
        <f t="shared" si="107"/>
        <v>Teghra</v>
      </c>
      <c r="AJ2223" s="72">
        <v>500</v>
      </c>
      <c r="AK2223" s="72"/>
      <c r="AL2223" s="72"/>
      <c r="AM2223" s="72"/>
    </row>
    <row r="2224" spans="1:39" x14ac:dyDescent="0.25">
      <c r="A2224" s="37" t="s">
        <v>62</v>
      </c>
      <c r="B2224" s="66" t="s">
        <v>1654</v>
      </c>
      <c r="C2224" s="41">
        <v>1008</v>
      </c>
      <c r="D2224" s="41" t="s">
        <v>217</v>
      </c>
      <c r="E2224" s="41">
        <v>10080052</v>
      </c>
      <c r="F2224" s="85" t="s">
        <v>237</v>
      </c>
      <c r="G2224" s="39" t="s">
        <v>92</v>
      </c>
      <c r="H2224" s="52" t="s">
        <v>93</v>
      </c>
      <c r="I2224" s="52">
        <v>498.64999999999992</v>
      </c>
      <c r="J2224" s="49">
        <v>19804.659999999996</v>
      </c>
      <c r="K2224" s="58">
        <v>506.40000000000009</v>
      </c>
      <c r="L2224" s="58">
        <v>20340.52</v>
      </c>
      <c r="M2224" s="58">
        <v>1.55</v>
      </c>
      <c r="N2224" s="58">
        <v>62.22</v>
      </c>
      <c r="O2224" s="58">
        <v>507.9500000000001</v>
      </c>
      <c r="P2224" s="53">
        <v>20402.740000000002</v>
      </c>
      <c r="Q2224" s="65">
        <v>19804.659999999996</v>
      </c>
      <c r="R2224" s="65">
        <v>0</v>
      </c>
      <c r="S2224" s="65">
        <v>62.22</v>
      </c>
      <c r="T2224" s="65">
        <v>598.08000000000538</v>
      </c>
      <c r="U2224" s="58">
        <v>0</v>
      </c>
      <c r="V2224" s="65">
        <v>0</v>
      </c>
      <c r="W2224" s="65">
        <v>0</v>
      </c>
      <c r="X2224" s="65">
        <v>19742</v>
      </c>
      <c r="Y2224" s="65">
        <v>0</v>
      </c>
      <c r="Z2224" s="51">
        <v>0</v>
      </c>
      <c r="AA2224" s="51">
        <v>0</v>
      </c>
      <c r="AB2224" s="102">
        <v>0</v>
      </c>
      <c r="AC2224" s="81">
        <f t="shared" si="105"/>
        <v>159.93856576757247</v>
      </c>
      <c r="AD2224" s="82">
        <f t="shared" si="106"/>
        <v>71.23571428571428</v>
      </c>
      <c r="AE2224" s="218">
        <v>-3.0198953175667016E-2</v>
      </c>
      <c r="AF2224">
        <v>4</v>
      </c>
      <c r="AH2224" t="str">
        <f t="shared" si="107"/>
        <v>Teghra</v>
      </c>
      <c r="AJ2224" s="72">
        <v>0</v>
      </c>
      <c r="AK2224" s="72"/>
      <c r="AL2224" s="72"/>
      <c r="AM2224" s="72"/>
    </row>
    <row r="2225" spans="1:39" x14ac:dyDescent="0.25">
      <c r="A2225" s="37" t="s">
        <v>62</v>
      </c>
      <c r="B2225" s="66" t="s">
        <v>1654</v>
      </c>
      <c r="C2225" s="41">
        <v>1008</v>
      </c>
      <c r="D2225" s="41" t="s">
        <v>217</v>
      </c>
      <c r="E2225" s="41">
        <v>10080053</v>
      </c>
      <c r="F2225" s="85" t="s">
        <v>238</v>
      </c>
      <c r="G2225" s="39" t="s">
        <v>92</v>
      </c>
      <c r="H2225" s="52" t="s">
        <v>93</v>
      </c>
      <c r="I2225" s="52">
        <v>13.45</v>
      </c>
      <c r="J2225" s="49">
        <v>547.82000000000005</v>
      </c>
      <c r="K2225" s="58">
        <v>13</v>
      </c>
      <c r="L2225" s="58">
        <v>524.03</v>
      </c>
      <c r="M2225" s="58">
        <v>0</v>
      </c>
      <c r="N2225" s="58">
        <v>0</v>
      </c>
      <c r="O2225" s="58">
        <v>13</v>
      </c>
      <c r="P2225" s="53">
        <v>524.03</v>
      </c>
      <c r="Q2225" s="65">
        <v>524.03</v>
      </c>
      <c r="R2225" s="65">
        <v>0</v>
      </c>
      <c r="S2225" s="65">
        <v>0</v>
      </c>
      <c r="T2225" s="65">
        <v>0</v>
      </c>
      <c r="U2225" s="58">
        <v>0</v>
      </c>
      <c r="V2225" s="65">
        <v>0</v>
      </c>
      <c r="W2225" s="65">
        <v>0</v>
      </c>
      <c r="X2225" s="65">
        <v>524</v>
      </c>
      <c r="Y2225" s="65">
        <v>0</v>
      </c>
      <c r="Z2225" s="51">
        <v>0</v>
      </c>
      <c r="AA2225" s="51">
        <v>24</v>
      </c>
      <c r="AB2225" s="102">
        <v>0</v>
      </c>
      <c r="AC2225" s="81">
        <f t="shared" si="105"/>
        <v>559.26516133829011</v>
      </c>
      <c r="AD2225" s="82">
        <f t="shared" si="106"/>
        <v>1.9214285714285713</v>
      </c>
      <c r="AE2225" s="218">
        <v>4.3426672994779446E-2</v>
      </c>
      <c r="AF2225">
        <v>1</v>
      </c>
      <c r="AH2225" t="str">
        <f t="shared" si="107"/>
        <v>Teghra</v>
      </c>
      <c r="AJ2225" s="72">
        <v>0</v>
      </c>
      <c r="AK2225" s="72"/>
      <c r="AL2225" s="72"/>
      <c r="AM2225" s="72"/>
    </row>
    <row r="2226" spans="1:39" x14ac:dyDescent="0.25">
      <c r="A2226" s="37" t="s">
        <v>62</v>
      </c>
      <c r="B2226" s="66" t="s">
        <v>1654</v>
      </c>
      <c r="C2226" s="41">
        <v>1008</v>
      </c>
      <c r="D2226" s="41" t="s">
        <v>217</v>
      </c>
      <c r="E2226" s="41">
        <v>10080054</v>
      </c>
      <c r="F2226" s="85" t="s">
        <v>239</v>
      </c>
      <c r="G2226" s="39" t="s">
        <v>1610</v>
      </c>
      <c r="H2226" s="52" t="s">
        <v>98</v>
      </c>
      <c r="I2226" s="52">
        <v>1177.8</v>
      </c>
      <c r="J2226" s="49">
        <v>45147.109999999993</v>
      </c>
      <c r="K2226" s="58">
        <v>0</v>
      </c>
      <c r="L2226" s="58">
        <v>0</v>
      </c>
      <c r="M2226" s="58">
        <v>0</v>
      </c>
      <c r="N2226" s="58">
        <v>0</v>
      </c>
      <c r="O2226" s="58">
        <v>0</v>
      </c>
      <c r="P2226" s="53">
        <v>0</v>
      </c>
      <c r="Q2226" s="65">
        <v>45147.109999999993</v>
      </c>
      <c r="R2226" s="65">
        <v>0</v>
      </c>
      <c r="S2226" s="65">
        <v>0</v>
      </c>
      <c r="T2226" s="65">
        <v>0</v>
      </c>
      <c r="U2226" s="58">
        <v>0</v>
      </c>
      <c r="V2226" s="65">
        <v>0</v>
      </c>
      <c r="W2226" s="65">
        <v>0</v>
      </c>
      <c r="X2226" s="65">
        <v>0</v>
      </c>
      <c r="Y2226" s="65">
        <v>0</v>
      </c>
      <c r="Z2226" s="51">
        <v>45147.109999999993</v>
      </c>
      <c r="AA2226" s="51">
        <v>0</v>
      </c>
      <c r="AB2226" s="102">
        <v>0</v>
      </c>
      <c r="AC2226" s="81">
        <f t="shared" si="105"/>
        <v>0</v>
      </c>
      <c r="AD2226" s="82">
        <f t="shared" si="106"/>
        <v>0</v>
      </c>
      <c r="AE2226" s="218">
        <v>0</v>
      </c>
      <c r="AF2226">
        <v>0</v>
      </c>
      <c r="AH2226" t="str">
        <f t="shared" si="107"/>
        <v>Teghra</v>
      </c>
      <c r="AJ2226" s="72">
        <v>0</v>
      </c>
      <c r="AK2226" s="72"/>
      <c r="AL2226" s="72"/>
      <c r="AM2226" s="72"/>
    </row>
    <row r="2227" spans="1:39" x14ac:dyDescent="0.25">
      <c r="A2227" s="37" t="s">
        <v>62</v>
      </c>
      <c r="B2227" s="66" t="s">
        <v>1654</v>
      </c>
      <c r="C2227" s="41">
        <v>1008</v>
      </c>
      <c r="D2227" s="41" t="s">
        <v>217</v>
      </c>
      <c r="E2227" s="41">
        <v>10080055</v>
      </c>
      <c r="F2227" s="85" t="s">
        <v>240</v>
      </c>
      <c r="G2227" s="39" t="s">
        <v>92</v>
      </c>
      <c r="H2227" s="52" t="s">
        <v>93</v>
      </c>
      <c r="I2227" s="52">
        <v>358.20000000000005</v>
      </c>
      <c r="J2227" s="49">
        <v>13693.159999999998</v>
      </c>
      <c r="K2227" s="58">
        <v>145.68</v>
      </c>
      <c r="L2227" s="58">
        <v>6020.4</v>
      </c>
      <c r="M2227" s="58">
        <v>184.31999999999996</v>
      </c>
      <c r="N2227" s="58">
        <v>7662.85</v>
      </c>
      <c r="O2227" s="58">
        <v>330</v>
      </c>
      <c r="P2227" s="53">
        <v>13683.25</v>
      </c>
      <c r="Q2227" s="65">
        <v>13683.25</v>
      </c>
      <c r="R2227" s="65">
        <v>0</v>
      </c>
      <c r="S2227" s="65">
        <v>0</v>
      </c>
      <c r="T2227" s="65">
        <v>0</v>
      </c>
      <c r="U2227" s="58">
        <v>0</v>
      </c>
      <c r="V2227" s="65">
        <v>0</v>
      </c>
      <c r="W2227" s="65">
        <v>0</v>
      </c>
      <c r="X2227" s="65">
        <v>6020</v>
      </c>
      <c r="Y2227" s="65">
        <v>7663</v>
      </c>
      <c r="Z2227" s="51">
        <v>0</v>
      </c>
      <c r="AA2227" s="51">
        <v>10</v>
      </c>
      <c r="AB2227" s="102">
        <v>0</v>
      </c>
      <c r="AC2227" s="81">
        <f t="shared" si="105"/>
        <v>261.32451635957557</v>
      </c>
      <c r="AD2227" s="82">
        <f t="shared" si="106"/>
        <v>51.171428571428578</v>
      </c>
      <c r="AE2227" s="218">
        <v>7.2371899546912742E-4</v>
      </c>
      <c r="AF2227">
        <v>12</v>
      </c>
      <c r="AH2227" t="str">
        <f t="shared" si="107"/>
        <v>Teghra</v>
      </c>
      <c r="AJ2227" s="72">
        <v>0</v>
      </c>
      <c r="AK2227" s="72"/>
      <c r="AL2227" s="72"/>
      <c r="AM2227" s="72"/>
    </row>
    <row r="2228" spans="1:39" x14ac:dyDescent="0.25">
      <c r="A2228" s="37" t="s">
        <v>62</v>
      </c>
      <c r="B2228" s="66" t="s">
        <v>1654</v>
      </c>
      <c r="C2228" s="41">
        <v>1008</v>
      </c>
      <c r="D2228" s="41" t="s">
        <v>217</v>
      </c>
      <c r="E2228" s="41">
        <v>10080061</v>
      </c>
      <c r="F2228" s="85" t="s">
        <v>241</v>
      </c>
      <c r="G2228" s="39" t="s">
        <v>1610</v>
      </c>
      <c r="H2228" s="52" t="s">
        <v>93</v>
      </c>
      <c r="I2228" s="52">
        <v>209.45000000000002</v>
      </c>
      <c r="J2228" s="49">
        <v>7774.0199999999986</v>
      </c>
      <c r="K2228" s="58">
        <v>209.29999999999998</v>
      </c>
      <c r="L2228" s="58">
        <v>7768.5300000000016</v>
      </c>
      <c r="M2228" s="58">
        <v>0</v>
      </c>
      <c r="N2228" s="58">
        <v>0</v>
      </c>
      <c r="O2228" s="58">
        <v>209.29999999999998</v>
      </c>
      <c r="P2228" s="53">
        <v>7768.5300000000016</v>
      </c>
      <c r="Q2228" s="65">
        <v>7768.5300000000016</v>
      </c>
      <c r="R2228" s="65">
        <v>0</v>
      </c>
      <c r="S2228" s="65">
        <v>0</v>
      </c>
      <c r="T2228" s="65">
        <v>0</v>
      </c>
      <c r="U2228" s="58">
        <v>0</v>
      </c>
      <c r="V2228" s="65">
        <v>0</v>
      </c>
      <c r="W2228" s="65">
        <v>0</v>
      </c>
      <c r="X2228" s="65">
        <v>7769</v>
      </c>
      <c r="Y2228" s="65">
        <v>0</v>
      </c>
      <c r="Z2228" s="51">
        <v>0</v>
      </c>
      <c r="AA2228" s="51">
        <v>5</v>
      </c>
      <c r="AB2228" s="102">
        <v>0</v>
      </c>
      <c r="AC2228" s="81">
        <f t="shared" si="105"/>
        <v>364.14853291955109</v>
      </c>
      <c r="AD2228" s="82">
        <f t="shared" si="106"/>
        <v>29.921428571428574</v>
      </c>
      <c r="AE2228" s="218">
        <v>7.0619833753927236E-4</v>
      </c>
      <c r="AF2228">
        <v>1</v>
      </c>
      <c r="AH2228" t="str">
        <f t="shared" si="107"/>
        <v>Teghra</v>
      </c>
      <c r="AJ2228" s="72">
        <v>0</v>
      </c>
      <c r="AK2228" s="72"/>
      <c r="AL2228" s="72"/>
      <c r="AM2228" s="72"/>
    </row>
    <row r="2229" spans="1:39" x14ac:dyDescent="0.25">
      <c r="A2229" s="37" t="s">
        <v>62</v>
      </c>
      <c r="B2229" s="66" t="s">
        <v>1654</v>
      </c>
      <c r="C2229" s="41">
        <v>1008</v>
      </c>
      <c r="D2229" s="41" t="s">
        <v>217</v>
      </c>
      <c r="E2229" s="41">
        <v>10080065</v>
      </c>
      <c r="F2229" s="85" t="s">
        <v>242</v>
      </c>
      <c r="G2229" s="39" t="s">
        <v>92</v>
      </c>
      <c r="H2229" s="52" t="s">
        <v>93</v>
      </c>
      <c r="I2229" s="52">
        <v>410.6</v>
      </c>
      <c r="J2229" s="49">
        <v>15899.070000000002</v>
      </c>
      <c r="K2229" s="58">
        <v>391.55000000000007</v>
      </c>
      <c r="L2229" s="58">
        <v>15790.230000000001</v>
      </c>
      <c r="M2229" s="58">
        <v>0.64999999999999991</v>
      </c>
      <c r="N2229" s="58">
        <v>26.36</v>
      </c>
      <c r="O2229" s="58">
        <v>392.20000000000005</v>
      </c>
      <c r="P2229" s="53">
        <v>15816.590000000002</v>
      </c>
      <c r="Q2229" s="65">
        <v>15816.590000000002</v>
      </c>
      <c r="R2229" s="65">
        <v>0</v>
      </c>
      <c r="S2229" s="65">
        <v>26.36</v>
      </c>
      <c r="T2229" s="65">
        <v>0</v>
      </c>
      <c r="U2229" s="58">
        <v>0</v>
      </c>
      <c r="V2229" s="65">
        <v>500</v>
      </c>
      <c r="W2229" s="65">
        <v>0</v>
      </c>
      <c r="X2229" s="65">
        <v>15290</v>
      </c>
      <c r="Y2229" s="65">
        <v>0</v>
      </c>
      <c r="Z2229" s="54">
        <v>0</v>
      </c>
      <c r="AA2229" s="51">
        <v>83</v>
      </c>
      <c r="AB2229" s="102">
        <v>0</v>
      </c>
      <c r="AC2229" s="81">
        <f t="shared" si="105"/>
        <v>224.12035353141746</v>
      </c>
      <c r="AD2229" s="82">
        <f t="shared" si="106"/>
        <v>58.657142857142858</v>
      </c>
      <c r="AE2229" s="218">
        <v>5.1877248166087419E-3</v>
      </c>
      <c r="AF2229">
        <v>2</v>
      </c>
      <c r="AH2229" t="str">
        <f t="shared" si="107"/>
        <v>Teghra</v>
      </c>
      <c r="AJ2229" s="72">
        <v>500</v>
      </c>
      <c r="AK2229" s="72"/>
      <c r="AL2229" s="72"/>
      <c r="AM2229" s="72"/>
    </row>
    <row r="2230" spans="1:39" x14ac:dyDescent="0.25">
      <c r="A2230" s="37" t="s">
        <v>62</v>
      </c>
      <c r="B2230" s="66" t="s">
        <v>1654</v>
      </c>
      <c r="C2230" s="41">
        <v>1008</v>
      </c>
      <c r="D2230" s="41" t="s">
        <v>217</v>
      </c>
      <c r="E2230" s="41">
        <v>10080067</v>
      </c>
      <c r="F2230" s="85" t="s">
        <v>243</v>
      </c>
      <c r="G2230" s="39" t="s">
        <v>92</v>
      </c>
      <c r="H2230" s="52" t="s">
        <v>93</v>
      </c>
      <c r="I2230" s="52">
        <v>124.65000000000002</v>
      </c>
      <c r="J2230" s="49">
        <v>5039.29</v>
      </c>
      <c r="K2230" s="58">
        <v>115.87</v>
      </c>
      <c r="L2230" s="58">
        <v>4541.6400000000003</v>
      </c>
      <c r="M2230" s="58">
        <v>0</v>
      </c>
      <c r="N2230" s="58">
        <v>0</v>
      </c>
      <c r="O2230" s="58">
        <v>115.87</v>
      </c>
      <c r="P2230" s="53">
        <v>4541.6400000000003</v>
      </c>
      <c r="Q2230" s="65">
        <v>4541.6400000000003</v>
      </c>
      <c r="R2230" s="65">
        <v>0</v>
      </c>
      <c r="S2230" s="65">
        <v>0</v>
      </c>
      <c r="T2230" s="65">
        <v>0</v>
      </c>
      <c r="U2230" s="58">
        <v>0</v>
      </c>
      <c r="V2230" s="65">
        <v>500</v>
      </c>
      <c r="W2230" s="65">
        <v>0</v>
      </c>
      <c r="X2230" s="65">
        <v>4042</v>
      </c>
      <c r="Y2230" s="65">
        <v>0</v>
      </c>
      <c r="Z2230" s="55">
        <v>0</v>
      </c>
      <c r="AA2230" s="51">
        <v>497</v>
      </c>
      <c r="AB2230" s="102">
        <v>0</v>
      </c>
      <c r="AC2230" s="81">
        <f t="shared" si="105"/>
        <v>465.19943866827094</v>
      </c>
      <c r="AD2230" s="82">
        <f t="shared" si="106"/>
        <v>17.80714285714286</v>
      </c>
      <c r="AE2230" s="218">
        <v>9.8753991137640357E-2</v>
      </c>
      <c r="AF2230">
        <v>4</v>
      </c>
      <c r="AH2230" t="str">
        <f t="shared" si="107"/>
        <v>Teghra</v>
      </c>
      <c r="AJ2230" s="72">
        <v>500</v>
      </c>
      <c r="AK2230" s="72"/>
      <c r="AL2230" s="72"/>
      <c r="AM2230" s="72"/>
    </row>
    <row r="2231" spans="1:39" x14ac:dyDescent="0.25">
      <c r="A2231" s="37" t="s">
        <v>62</v>
      </c>
      <c r="B2231" s="66" t="s">
        <v>1654</v>
      </c>
      <c r="C2231" s="41">
        <v>1008</v>
      </c>
      <c r="D2231" s="41" t="s">
        <v>217</v>
      </c>
      <c r="E2231" s="41">
        <v>10080073</v>
      </c>
      <c r="F2231" s="85" t="s">
        <v>1523</v>
      </c>
      <c r="G2231" s="39" t="s">
        <v>1610</v>
      </c>
      <c r="H2231" s="52" t="s">
        <v>98</v>
      </c>
      <c r="I2231" s="52">
        <v>5637.7000000000007</v>
      </c>
      <c r="J2231" s="49">
        <v>224895.87000000005</v>
      </c>
      <c r="K2231" s="58">
        <v>0</v>
      </c>
      <c r="L2231" s="58">
        <v>0</v>
      </c>
      <c r="M2231" s="58">
        <v>0</v>
      </c>
      <c r="N2231" s="58">
        <v>0</v>
      </c>
      <c r="O2231" s="58">
        <v>0</v>
      </c>
      <c r="P2231" s="53">
        <v>0</v>
      </c>
      <c r="Q2231" s="65">
        <v>224895.87000000005</v>
      </c>
      <c r="R2231" s="65">
        <v>0</v>
      </c>
      <c r="S2231" s="65">
        <v>0</v>
      </c>
      <c r="T2231" s="65">
        <v>0</v>
      </c>
      <c r="U2231" s="58">
        <v>0</v>
      </c>
      <c r="V2231" s="65">
        <v>0</v>
      </c>
      <c r="W2231" s="65">
        <v>0</v>
      </c>
      <c r="X2231" s="65">
        <v>0</v>
      </c>
      <c r="Y2231" s="65">
        <v>0</v>
      </c>
      <c r="Z2231" s="51">
        <v>224895.87000000005</v>
      </c>
      <c r="AA2231" s="51">
        <v>0</v>
      </c>
      <c r="AB2231" s="102">
        <v>0</v>
      </c>
      <c r="AC2231" s="81">
        <f t="shared" si="105"/>
        <v>0</v>
      </c>
      <c r="AD2231" s="82">
        <f t="shared" si="106"/>
        <v>0</v>
      </c>
      <c r="AE2231" s="218">
        <v>0</v>
      </c>
      <c r="AF2231">
        <v>0</v>
      </c>
      <c r="AH2231" t="str">
        <f t="shared" si="107"/>
        <v>Teghra</v>
      </c>
      <c r="AJ2231" s="72">
        <v>0</v>
      </c>
      <c r="AK2231" s="72"/>
      <c r="AL2231" s="72"/>
      <c r="AM2231" s="72"/>
    </row>
    <row r="2232" spans="1:39" x14ac:dyDescent="0.25">
      <c r="A2232" s="37" t="s">
        <v>62</v>
      </c>
      <c r="B2232" s="66" t="s">
        <v>1654</v>
      </c>
      <c r="C2232" s="41">
        <v>1008</v>
      </c>
      <c r="D2232" s="41" t="s">
        <v>217</v>
      </c>
      <c r="E2232" s="41">
        <v>10080076</v>
      </c>
      <c r="F2232" s="85" t="s">
        <v>461</v>
      </c>
      <c r="G2232" s="39" t="s">
        <v>1610</v>
      </c>
      <c r="H2232" s="52" t="s">
        <v>98</v>
      </c>
      <c r="I2232" s="52">
        <v>258.90000000000003</v>
      </c>
      <c r="J2232" s="49">
        <v>9934.2799999999988</v>
      </c>
      <c r="K2232" s="58">
        <v>0</v>
      </c>
      <c r="L2232" s="58">
        <v>0</v>
      </c>
      <c r="M2232" s="58">
        <v>0</v>
      </c>
      <c r="N2232" s="58">
        <v>0</v>
      </c>
      <c r="O2232" s="58">
        <v>0</v>
      </c>
      <c r="P2232" s="53">
        <v>0</v>
      </c>
      <c r="Q2232" s="65">
        <v>9934.2799999999988</v>
      </c>
      <c r="R2232" s="65">
        <v>0</v>
      </c>
      <c r="S2232" s="65">
        <v>0</v>
      </c>
      <c r="T2232" s="65">
        <v>0</v>
      </c>
      <c r="U2232" s="58">
        <v>0</v>
      </c>
      <c r="V2232" s="65">
        <v>0</v>
      </c>
      <c r="W2232" s="65">
        <v>0</v>
      </c>
      <c r="X2232" s="65">
        <v>0</v>
      </c>
      <c r="Y2232" s="65">
        <v>0</v>
      </c>
      <c r="Z2232" s="51">
        <v>9934.2799999999988</v>
      </c>
      <c r="AA2232" s="51">
        <v>0</v>
      </c>
      <c r="AB2232" s="102">
        <v>0</v>
      </c>
      <c r="AC2232" s="81">
        <f t="shared" si="105"/>
        <v>338.50991950560046</v>
      </c>
      <c r="AD2232" s="82">
        <f t="shared" si="106"/>
        <v>36.985714285714288</v>
      </c>
      <c r="AE2232" s="218">
        <v>0</v>
      </c>
      <c r="AF2232">
        <v>0</v>
      </c>
      <c r="AH2232" t="str">
        <f t="shared" si="107"/>
        <v>Teghra</v>
      </c>
      <c r="AJ2232" s="72">
        <v>0</v>
      </c>
      <c r="AK2232" s="72"/>
      <c r="AL2232" s="72"/>
      <c r="AM2232" s="72"/>
    </row>
    <row r="2233" spans="1:39" x14ac:dyDescent="0.25">
      <c r="A2233" s="37" t="s">
        <v>62</v>
      </c>
      <c r="B2233" s="66" t="s">
        <v>1654</v>
      </c>
      <c r="C2233" s="41">
        <v>1008</v>
      </c>
      <c r="D2233" s="41" t="s">
        <v>217</v>
      </c>
      <c r="E2233" s="41">
        <v>10080077</v>
      </c>
      <c r="F2233" s="85" t="s">
        <v>463</v>
      </c>
      <c r="G2233" s="39" t="s">
        <v>92</v>
      </c>
      <c r="H2233" s="52" t="s">
        <v>93</v>
      </c>
      <c r="I2233" s="52">
        <v>26.65</v>
      </c>
      <c r="J2233" s="49">
        <v>1196.5900000000001</v>
      </c>
      <c r="K2233" s="58">
        <v>27.28</v>
      </c>
      <c r="L2233" s="58">
        <v>1193.8699999999999</v>
      </c>
      <c r="M2233" s="58">
        <v>0</v>
      </c>
      <c r="N2233" s="58">
        <v>0</v>
      </c>
      <c r="O2233" s="58">
        <v>27.28</v>
      </c>
      <c r="P2233" s="53">
        <v>1193.8699999999999</v>
      </c>
      <c r="Q2233" s="65">
        <v>1193.8699999999999</v>
      </c>
      <c r="R2233" s="65">
        <v>0</v>
      </c>
      <c r="S2233" s="65">
        <v>0</v>
      </c>
      <c r="T2233" s="65">
        <v>0</v>
      </c>
      <c r="U2233" s="58">
        <v>0</v>
      </c>
      <c r="V2233" s="65">
        <v>0</v>
      </c>
      <c r="W2233" s="65">
        <v>0</v>
      </c>
      <c r="X2233" s="65">
        <v>1194</v>
      </c>
      <c r="Y2233" s="65">
        <v>0</v>
      </c>
      <c r="Z2233" s="51">
        <v>0</v>
      </c>
      <c r="AA2233" s="51">
        <v>3</v>
      </c>
      <c r="AB2233" s="102">
        <v>0</v>
      </c>
      <c r="AC2233" s="81">
        <f t="shared" si="105"/>
        <v>604.67082664165127</v>
      </c>
      <c r="AD2233" s="82">
        <f t="shared" si="106"/>
        <v>3.8071428571428569</v>
      </c>
      <c r="AE2233" s="218">
        <v>2.2731261334293738E-3</v>
      </c>
      <c r="AF2233">
        <v>3</v>
      </c>
      <c r="AH2233" t="str">
        <f t="shared" si="107"/>
        <v>Teghra</v>
      </c>
      <c r="AJ2233" s="72">
        <v>0</v>
      </c>
      <c r="AK2233" s="72"/>
      <c r="AL2233" s="72"/>
      <c r="AM2233" s="72"/>
    </row>
    <row r="2234" spans="1:39" x14ac:dyDescent="0.25">
      <c r="A2234" s="37" t="s">
        <v>62</v>
      </c>
      <c r="B2234" s="66" t="s">
        <v>1654</v>
      </c>
      <c r="C2234" s="41">
        <v>1008</v>
      </c>
      <c r="D2234" s="41" t="s">
        <v>217</v>
      </c>
      <c r="E2234" s="41">
        <v>10080078</v>
      </c>
      <c r="F2234" s="85" t="s">
        <v>601</v>
      </c>
      <c r="G2234" s="39" t="s">
        <v>1610</v>
      </c>
      <c r="H2234" s="52" t="s">
        <v>98</v>
      </c>
      <c r="I2234" s="52">
        <v>72.05</v>
      </c>
      <c r="J2234" s="49">
        <v>2662.75</v>
      </c>
      <c r="K2234" s="58">
        <v>0</v>
      </c>
      <c r="L2234" s="58">
        <v>0</v>
      </c>
      <c r="M2234" s="58">
        <v>0</v>
      </c>
      <c r="N2234" s="58">
        <v>0</v>
      </c>
      <c r="O2234" s="58">
        <v>0</v>
      </c>
      <c r="P2234" s="53">
        <v>0</v>
      </c>
      <c r="Q2234" s="65">
        <v>2662.75</v>
      </c>
      <c r="R2234" s="65">
        <v>0</v>
      </c>
      <c r="S2234" s="65">
        <v>0</v>
      </c>
      <c r="T2234" s="65">
        <v>0</v>
      </c>
      <c r="U2234" s="58">
        <v>0</v>
      </c>
      <c r="V2234" s="65">
        <v>0</v>
      </c>
      <c r="W2234" s="65">
        <v>0</v>
      </c>
      <c r="X2234" s="65">
        <v>0</v>
      </c>
      <c r="Y2234" s="65">
        <v>0</v>
      </c>
      <c r="Z2234" s="51">
        <v>2662.75</v>
      </c>
      <c r="AA2234" s="51">
        <v>0</v>
      </c>
      <c r="AB2234" s="102">
        <v>0</v>
      </c>
      <c r="AC2234" s="81">
        <f t="shared" si="105"/>
        <v>464.14264052741157</v>
      </c>
      <c r="AD2234" s="82">
        <f t="shared" si="106"/>
        <v>10.292857142857143</v>
      </c>
      <c r="AE2234" s="218">
        <v>0</v>
      </c>
      <c r="AF2234">
        <v>0</v>
      </c>
      <c r="AH2234" t="str">
        <f t="shared" si="107"/>
        <v>Teghra</v>
      </c>
      <c r="AJ2234" s="72">
        <v>0</v>
      </c>
      <c r="AK2234" s="72"/>
      <c r="AL2234" s="72"/>
      <c r="AM2234" s="72"/>
    </row>
    <row r="2235" spans="1:39" x14ac:dyDescent="0.25">
      <c r="A2235" s="37" t="s">
        <v>62</v>
      </c>
      <c r="B2235" s="66" t="s">
        <v>1654</v>
      </c>
      <c r="C2235" s="41">
        <v>1008</v>
      </c>
      <c r="D2235" s="41" t="s">
        <v>217</v>
      </c>
      <c r="E2235" s="41">
        <v>10080080</v>
      </c>
      <c r="F2235" s="85" t="s">
        <v>485</v>
      </c>
      <c r="G2235" s="39" t="s">
        <v>1610</v>
      </c>
      <c r="H2235" s="52" t="s">
        <v>98</v>
      </c>
      <c r="I2235" s="52">
        <v>281.34999999999997</v>
      </c>
      <c r="J2235" s="49">
        <v>10661.09</v>
      </c>
      <c r="K2235" s="58">
        <v>0</v>
      </c>
      <c r="L2235" s="58">
        <v>0</v>
      </c>
      <c r="M2235" s="58">
        <v>0</v>
      </c>
      <c r="N2235" s="58">
        <v>0</v>
      </c>
      <c r="O2235" s="58">
        <v>0</v>
      </c>
      <c r="P2235" s="53">
        <v>0</v>
      </c>
      <c r="Q2235" s="65">
        <v>10661.09</v>
      </c>
      <c r="R2235" s="65">
        <v>0</v>
      </c>
      <c r="S2235" s="65">
        <v>0</v>
      </c>
      <c r="T2235" s="65">
        <v>0</v>
      </c>
      <c r="U2235" s="58">
        <v>0</v>
      </c>
      <c r="V2235" s="65">
        <v>0</v>
      </c>
      <c r="W2235" s="65">
        <v>0</v>
      </c>
      <c r="X2235" s="65">
        <v>0</v>
      </c>
      <c r="Y2235" s="65">
        <v>0</v>
      </c>
      <c r="Z2235" s="51">
        <v>10661.09</v>
      </c>
      <c r="AA2235" s="51">
        <v>0</v>
      </c>
      <c r="AB2235" s="102">
        <v>0</v>
      </c>
      <c r="AC2235" s="81">
        <f t="shared" si="105"/>
        <v>317.27494782299635</v>
      </c>
      <c r="AD2235" s="82">
        <f t="shared" si="106"/>
        <v>40.192857142857136</v>
      </c>
      <c r="AE2235" s="218">
        <v>0</v>
      </c>
      <c r="AF2235">
        <v>0</v>
      </c>
      <c r="AH2235" t="str">
        <f t="shared" si="107"/>
        <v>Teghra</v>
      </c>
      <c r="AJ2235" s="72">
        <v>0</v>
      </c>
      <c r="AK2235" s="72"/>
      <c r="AL2235" s="72"/>
      <c r="AM2235" s="72"/>
    </row>
    <row r="2236" spans="1:39" x14ac:dyDescent="0.25">
      <c r="A2236" s="37" t="s">
        <v>62</v>
      </c>
      <c r="B2236" s="66" t="s">
        <v>1654</v>
      </c>
      <c r="C2236" s="41">
        <v>1008</v>
      </c>
      <c r="D2236" s="41" t="s">
        <v>217</v>
      </c>
      <c r="E2236" s="41">
        <v>10080083</v>
      </c>
      <c r="F2236" s="85" t="s">
        <v>487</v>
      </c>
      <c r="G2236" s="39" t="s">
        <v>1610</v>
      </c>
      <c r="H2236" s="52" t="s">
        <v>98</v>
      </c>
      <c r="I2236" s="52">
        <v>338.55</v>
      </c>
      <c r="J2236" s="49">
        <v>12436.000000000002</v>
      </c>
      <c r="K2236" s="58">
        <v>0</v>
      </c>
      <c r="L2236" s="58">
        <v>0</v>
      </c>
      <c r="M2236" s="58">
        <v>0</v>
      </c>
      <c r="N2236" s="58">
        <v>0</v>
      </c>
      <c r="O2236" s="58">
        <v>0</v>
      </c>
      <c r="P2236" s="53">
        <v>0</v>
      </c>
      <c r="Q2236" s="65">
        <v>12436.000000000002</v>
      </c>
      <c r="R2236" s="65">
        <v>0</v>
      </c>
      <c r="S2236" s="65">
        <v>0</v>
      </c>
      <c r="T2236" s="65">
        <v>0</v>
      </c>
      <c r="U2236" s="58">
        <v>0</v>
      </c>
      <c r="V2236" s="65">
        <v>0</v>
      </c>
      <c r="W2236" s="65">
        <v>0</v>
      </c>
      <c r="X2236" s="65">
        <v>0</v>
      </c>
      <c r="Y2236" s="65">
        <v>0</v>
      </c>
      <c r="Z2236" s="51">
        <v>12436.000000000002</v>
      </c>
      <c r="AA2236" s="51">
        <v>0</v>
      </c>
      <c r="AB2236" s="102">
        <v>0</v>
      </c>
      <c r="AC2236" s="81">
        <f t="shared" si="105"/>
        <v>265.54377196869001</v>
      </c>
      <c r="AD2236" s="82">
        <f t="shared" si="106"/>
        <v>48.364285714285714</v>
      </c>
      <c r="AE2236" s="218">
        <v>0</v>
      </c>
      <c r="AF2236">
        <v>0</v>
      </c>
      <c r="AH2236" t="str">
        <f t="shared" si="107"/>
        <v>Teghra</v>
      </c>
      <c r="AJ2236" s="72">
        <v>0</v>
      </c>
      <c r="AK2236" s="72"/>
      <c r="AL2236" s="72"/>
      <c r="AM2236" s="72"/>
    </row>
    <row r="2237" spans="1:39" x14ac:dyDescent="0.25">
      <c r="A2237" s="37" t="s">
        <v>62</v>
      </c>
      <c r="B2237" s="66" t="s">
        <v>1654</v>
      </c>
      <c r="C2237" s="41">
        <v>1008</v>
      </c>
      <c r="D2237" s="41" t="s">
        <v>217</v>
      </c>
      <c r="E2237" s="41">
        <v>10080086</v>
      </c>
      <c r="F2237" s="85" t="s">
        <v>547</v>
      </c>
      <c r="G2237" s="39" t="s">
        <v>92</v>
      </c>
      <c r="H2237" s="52" t="s">
        <v>93</v>
      </c>
      <c r="I2237" s="52">
        <v>207.25</v>
      </c>
      <c r="J2237" s="49">
        <v>8107.2199999999993</v>
      </c>
      <c r="K2237" s="58">
        <v>207.5</v>
      </c>
      <c r="L2237" s="58">
        <v>8116.66</v>
      </c>
      <c r="M2237" s="58">
        <v>7</v>
      </c>
      <c r="N2237" s="58">
        <v>276.24</v>
      </c>
      <c r="O2237" s="58">
        <v>214.5</v>
      </c>
      <c r="P2237" s="53">
        <v>8392.9</v>
      </c>
      <c r="Q2237" s="65">
        <v>8107.2199999999993</v>
      </c>
      <c r="R2237" s="65">
        <v>0</v>
      </c>
      <c r="S2237" s="65">
        <v>276.24</v>
      </c>
      <c r="T2237" s="65">
        <v>285.68000000000029</v>
      </c>
      <c r="U2237" s="58">
        <v>0</v>
      </c>
      <c r="V2237" s="65">
        <v>500</v>
      </c>
      <c r="W2237" s="65">
        <v>0</v>
      </c>
      <c r="X2237" s="65">
        <v>7331</v>
      </c>
      <c r="Y2237" s="65">
        <v>0</v>
      </c>
      <c r="Z2237" s="51">
        <v>0</v>
      </c>
      <c r="AA2237" s="51">
        <v>0</v>
      </c>
      <c r="AB2237" s="102">
        <v>0</v>
      </c>
      <c r="AC2237" s="81">
        <f t="shared" si="105"/>
        <v>385.50857949336546</v>
      </c>
      <c r="AD2237" s="82">
        <f t="shared" si="106"/>
        <v>29.607142857142858</v>
      </c>
      <c r="AE2237" s="218">
        <v>-3.5237726372295351E-2</v>
      </c>
      <c r="AF2237">
        <v>2</v>
      </c>
      <c r="AH2237" t="str">
        <f t="shared" si="107"/>
        <v>Teghra</v>
      </c>
      <c r="AJ2237" s="72">
        <v>500</v>
      </c>
      <c r="AK2237" s="72"/>
      <c r="AL2237" s="72"/>
      <c r="AM2237" s="72"/>
    </row>
    <row r="2238" spans="1:39" x14ac:dyDescent="0.25">
      <c r="A2238" s="37" t="s">
        <v>62</v>
      </c>
      <c r="B2238" s="66" t="s">
        <v>1654</v>
      </c>
      <c r="C2238" s="41">
        <v>1008</v>
      </c>
      <c r="D2238" s="41" t="s">
        <v>217</v>
      </c>
      <c r="E2238" s="41">
        <v>10080087</v>
      </c>
      <c r="F2238" s="85" t="s">
        <v>568</v>
      </c>
      <c r="G2238" s="39" t="s">
        <v>92</v>
      </c>
      <c r="H2238" s="52" t="s">
        <v>93</v>
      </c>
      <c r="I2238" s="52">
        <v>522.05000000000007</v>
      </c>
      <c r="J2238" s="49">
        <v>21303.149999999998</v>
      </c>
      <c r="K2238" s="58">
        <v>546.64</v>
      </c>
      <c r="L2238" s="58">
        <v>21092.02</v>
      </c>
      <c r="M2238" s="58">
        <v>0.48999999999999994</v>
      </c>
      <c r="N2238" s="58">
        <v>18.78</v>
      </c>
      <c r="O2238" s="58">
        <v>547.13</v>
      </c>
      <c r="P2238" s="53">
        <v>21110.799999999999</v>
      </c>
      <c r="Q2238" s="65">
        <v>21110.799999999999</v>
      </c>
      <c r="R2238" s="65">
        <v>0</v>
      </c>
      <c r="S2238" s="65">
        <v>18.78</v>
      </c>
      <c r="T2238" s="65">
        <v>0</v>
      </c>
      <c r="U2238" s="58">
        <v>0</v>
      </c>
      <c r="V2238" s="65">
        <v>0</v>
      </c>
      <c r="W2238" s="65">
        <v>0</v>
      </c>
      <c r="X2238" s="65">
        <v>21092</v>
      </c>
      <c r="Y2238" s="65">
        <v>0</v>
      </c>
      <c r="Z2238" s="51">
        <v>0</v>
      </c>
      <c r="AA2238" s="51">
        <v>192</v>
      </c>
      <c r="AB2238" s="102">
        <v>0</v>
      </c>
      <c r="AC2238" s="81">
        <f t="shared" ref="AC2238:AC2301" si="108">((IF(AD2238=0,0,100-AD2238))*7*(J2238/I2238))*2%</f>
        <v>145.23112891485482</v>
      </c>
      <c r="AD2238" s="82">
        <f t="shared" ref="AD2238:AD2301" si="109">IF((I2238/7)&gt;100,0,(I2238/7))</f>
        <v>74.578571428571436</v>
      </c>
      <c r="AE2238" s="218">
        <v>9.029181130490024E-3</v>
      </c>
      <c r="AF2238">
        <v>4</v>
      </c>
      <c r="AH2238" t="str">
        <f t="shared" si="107"/>
        <v>Teghra</v>
      </c>
      <c r="AJ2238" s="72">
        <v>0</v>
      </c>
      <c r="AK2238" s="72"/>
      <c r="AL2238" s="72"/>
      <c r="AM2238" s="72"/>
    </row>
    <row r="2239" spans="1:39" x14ac:dyDescent="0.25">
      <c r="A2239" s="37" t="s">
        <v>62</v>
      </c>
      <c r="B2239" s="66" t="s">
        <v>1654</v>
      </c>
      <c r="C2239" s="41">
        <v>1008</v>
      </c>
      <c r="D2239" s="41" t="s">
        <v>217</v>
      </c>
      <c r="E2239" s="41">
        <v>10080088</v>
      </c>
      <c r="F2239" s="85" t="s">
        <v>569</v>
      </c>
      <c r="G2239" s="39" t="s">
        <v>92</v>
      </c>
      <c r="H2239" s="52" t="s">
        <v>93</v>
      </c>
      <c r="I2239" s="52">
        <v>668</v>
      </c>
      <c r="J2239" s="49">
        <v>25006.65</v>
      </c>
      <c r="K2239" s="58">
        <v>715.1</v>
      </c>
      <c r="L2239" s="58">
        <v>24623.55</v>
      </c>
      <c r="M2239" s="58">
        <v>1.7</v>
      </c>
      <c r="N2239" s="58">
        <v>62.109999999999992</v>
      </c>
      <c r="O2239" s="58">
        <v>716.80000000000007</v>
      </c>
      <c r="P2239" s="53">
        <v>24685.66</v>
      </c>
      <c r="Q2239" s="65">
        <v>24685.66</v>
      </c>
      <c r="R2239" s="65">
        <v>0</v>
      </c>
      <c r="S2239" s="65">
        <v>62.109999999999992</v>
      </c>
      <c r="T2239" s="65">
        <v>0</v>
      </c>
      <c r="U2239" s="58">
        <v>0</v>
      </c>
      <c r="V2239" s="65">
        <v>0</v>
      </c>
      <c r="W2239" s="65">
        <v>0</v>
      </c>
      <c r="X2239" s="65">
        <v>24623</v>
      </c>
      <c r="Y2239" s="65">
        <v>0</v>
      </c>
      <c r="Z2239" s="51">
        <v>0</v>
      </c>
      <c r="AA2239" s="51">
        <v>322</v>
      </c>
      <c r="AB2239" s="102">
        <v>0</v>
      </c>
      <c r="AC2239" s="81">
        <f t="shared" si="108"/>
        <v>23.958467065868259</v>
      </c>
      <c r="AD2239" s="82">
        <f t="shared" si="109"/>
        <v>95.428571428571431</v>
      </c>
      <c r="AE2239" s="218">
        <v>1.2836185574637209E-2</v>
      </c>
      <c r="AF2239">
        <v>8</v>
      </c>
      <c r="AH2239" t="str">
        <f t="shared" si="107"/>
        <v>Teghra</v>
      </c>
      <c r="AJ2239" s="72">
        <v>0</v>
      </c>
      <c r="AK2239" s="72"/>
      <c r="AL2239" s="72"/>
      <c r="AM2239" s="72"/>
    </row>
    <row r="2240" spans="1:39" x14ac:dyDescent="0.25">
      <c r="A2240" s="37" t="s">
        <v>62</v>
      </c>
      <c r="B2240" s="66" t="s">
        <v>1654</v>
      </c>
      <c r="C2240" s="41">
        <v>1008</v>
      </c>
      <c r="D2240" s="41" t="s">
        <v>217</v>
      </c>
      <c r="E2240" s="41">
        <v>10080090</v>
      </c>
      <c r="F2240" s="85" t="s">
        <v>630</v>
      </c>
      <c r="G2240" s="39" t="s">
        <v>1610</v>
      </c>
      <c r="H2240" s="52" t="s">
        <v>98</v>
      </c>
      <c r="I2240" s="52">
        <v>272.55</v>
      </c>
      <c r="J2240" s="49">
        <v>10867.189999999999</v>
      </c>
      <c r="K2240" s="58">
        <v>0</v>
      </c>
      <c r="L2240" s="58">
        <v>0</v>
      </c>
      <c r="M2240" s="58">
        <v>0</v>
      </c>
      <c r="N2240" s="58">
        <v>0</v>
      </c>
      <c r="O2240" s="58">
        <v>0</v>
      </c>
      <c r="P2240" s="53">
        <v>0</v>
      </c>
      <c r="Q2240" s="65">
        <v>10867.189999999999</v>
      </c>
      <c r="R2240" s="65">
        <v>0</v>
      </c>
      <c r="S2240" s="65">
        <v>0</v>
      </c>
      <c r="T2240" s="65">
        <v>0</v>
      </c>
      <c r="U2240" s="58">
        <v>0</v>
      </c>
      <c r="V2240" s="65">
        <v>0</v>
      </c>
      <c r="W2240" s="65">
        <v>0</v>
      </c>
      <c r="X2240" s="65">
        <v>0</v>
      </c>
      <c r="Y2240" s="65">
        <v>0</v>
      </c>
      <c r="Z2240" s="51">
        <v>10867.189999999999</v>
      </c>
      <c r="AA2240" s="51">
        <v>0</v>
      </c>
      <c r="AB2240" s="102">
        <v>0</v>
      </c>
      <c r="AC2240" s="81">
        <f t="shared" si="108"/>
        <v>340.86812441753801</v>
      </c>
      <c r="AD2240" s="82">
        <f t="shared" si="109"/>
        <v>38.93571428571429</v>
      </c>
      <c r="AE2240" s="218">
        <v>0</v>
      </c>
      <c r="AF2240">
        <v>0</v>
      </c>
      <c r="AH2240" t="str">
        <f t="shared" si="107"/>
        <v>Teghra</v>
      </c>
      <c r="AJ2240" s="72">
        <v>0</v>
      </c>
      <c r="AK2240" s="72"/>
      <c r="AL2240" s="72"/>
      <c r="AM2240" s="72"/>
    </row>
    <row r="2241" spans="1:39" x14ac:dyDescent="0.25">
      <c r="A2241" s="37" t="s">
        <v>62</v>
      </c>
      <c r="B2241" s="66" t="s">
        <v>1654</v>
      </c>
      <c r="C2241" s="41">
        <v>1008</v>
      </c>
      <c r="D2241" s="41" t="s">
        <v>217</v>
      </c>
      <c r="E2241" s="41">
        <v>10080093</v>
      </c>
      <c r="F2241" s="85" t="s">
        <v>806</v>
      </c>
      <c r="G2241" s="39" t="s">
        <v>92</v>
      </c>
      <c r="H2241" s="52" t="s">
        <v>93</v>
      </c>
      <c r="I2241" s="52">
        <v>415.3</v>
      </c>
      <c r="J2241" s="49">
        <v>15850.14</v>
      </c>
      <c r="K2241" s="58">
        <v>414.8</v>
      </c>
      <c r="L2241" s="58">
        <v>15625.52</v>
      </c>
      <c r="M2241" s="58">
        <v>0</v>
      </c>
      <c r="N2241" s="58">
        <v>0</v>
      </c>
      <c r="O2241" s="58">
        <v>414.8</v>
      </c>
      <c r="P2241" s="53">
        <v>15625.52</v>
      </c>
      <c r="Q2241" s="65">
        <v>15625.52</v>
      </c>
      <c r="R2241" s="65">
        <v>0</v>
      </c>
      <c r="S2241" s="65">
        <v>0</v>
      </c>
      <c r="T2241" s="65">
        <v>0</v>
      </c>
      <c r="U2241" s="58">
        <v>0</v>
      </c>
      <c r="V2241" s="65">
        <v>0</v>
      </c>
      <c r="W2241" s="65">
        <v>0</v>
      </c>
      <c r="X2241" s="65">
        <v>15626</v>
      </c>
      <c r="Y2241" s="65">
        <v>0</v>
      </c>
      <c r="Z2241" s="51">
        <v>0</v>
      </c>
      <c r="AA2241" s="51">
        <v>224</v>
      </c>
      <c r="AB2241" s="102">
        <v>0</v>
      </c>
      <c r="AC2241" s="81">
        <f t="shared" si="108"/>
        <v>217.31446462797976</v>
      </c>
      <c r="AD2241" s="82">
        <f t="shared" si="109"/>
        <v>59.328571428571429</v>
      </c>
      <c r="AE2241" s="218">
        <v>1.4171483658819354E-2</v>
      </c>
      <c r="AF2241">
        <v>1</v>
      </c>
      <c r="AH2241" t="str">
        <f t="shared" si="107"/>
        <v>Teghra</v>
      </c>
      <c r="AJ2241" s="72">
        <v>0</v>
      </c>
      <c r="AK2241" s="72"/>
      <c r="AL2241" s="72"/>
      <c r="AM2241" s="72"/>
    </row>
    <row r="2242" spans="1:39" x14ac:dyDescent="0.25">
      <c r="A2242" s="37" t="s">
        <v>62</v>
      </c>
      <c r="B2242" s="66" t="s">
        <v>1654</v>
      </c>
      <c r="C2242" s="41">
        <v>1008</v>
      </c>
      <c r="D2242" s="41" t="s">
        <v>217</v>
      </c>
      <c r="E2242" s="41">
        <v>10080097</v>
      </c>
      <c r="F2242" s="85" t="s">
        <v>643</v>
      </c>
      <c r="G2242" s="39" t="s">
        <v>1610</v>
      </c>
      <c r="H2242" s="52" t="s">
        <v>98</v>
      </c>
      <c r="I2242" s="52">
        <v>180.79999999999998</v>
      </c>
      <c r="J2242" s="49">
        <v>7173.7800000000007</v>
      </c>
      <c r="K2242" s="58">
        <v>0</v>
      </c>
      <c r="L2242" s="58">
        <v>0</v>
      </c>
      <c r="M2242" s="58">
        <v>0</v>
      </c>
      <c r="N2242" s="58">
        <v>0</v>
      </c>
      <c r="O2242" s="58">
        <v>0</v>
      </c>
      <c r="P2242" s="53">
        <v>0</v>
      </c>
      <c r="Q2242" s="65">
        <v>7173.7800000000007</v>
      </c>
      <c r="R2242" s="65">
        <v>0</v>
      </c>
      <c r="S2242" s="65">
        <v>0</v>
      </c>
      <c r="T2242" s="65">
        <v>0</v>
      </c>
      <c r="U2242" s="58">
        <v>0</v>
      </c>
      <c r="V2242" s="65">
        <v>0</v>
      </c>
      <c r="W2242" s="65">
        <v>0</v>
      </c>
      <c r="X2242" s="65">
        <v>0</v>
      </c>
      <c r="Y2242" s="65">
        <v>0</v>
      </c>
      <c r="Z2242" s="51">
        <v>7173.7800000000007</v>
      </c>
      <c r="AA2242" s="51">
        <v>0</v>
      </c>
      <c r="AB2242" s="102">
        <v>0</v>
      </c>
      <c r="AC2242" s="81">
        <f t="shared" si="108"/>
        <v>412.01621415929213</v>
      </c>
      <c r="AD2242" s="82">
        <f t="shared" si="109"/>
        <v>25.828571428571426</v>
      </c>
      <c r="AE2242" s="218">
        <v>0</v>
      </c>
      <c r="AF2242">
        <v>0</v>
      </c>
      <c r="AH2242" t="str">
        <f t="shared" si="107"/>
        <v>Teghra</v>
      </c>
      <c r="AJ2242" s="72">
        <v>0</v>
      </c>
      <c r="AK2242" s="72"/>
      <c r="AL2242" s="72"/>
      <c r="AM2242" s="72"/>
    </row>
    <row r="2243" spans="1:39" x14ac:dyDescent="0.25">
      <c r="A2243" s="37" t="s">
        <v>62</v>
      </c>
      <c r="B2243" s="66" t="s">
        <v>1654</v>
      </c>
      <c r="C2243" s="41">
        <v>1008</v>
      </c>
      <c r="D2243" s="41" t="s">
        <v>217</v>
      </c>
      <c r="E2243" s="41">
        <v>10080099</v>
      </c>
      <c r="F2243" s="85" t="s">
        <v>807</v>
      </c>
      <c r="G2243" s="39" t="s">
        <v>92</v>
      </c>
      <c r="H2243" s="52" t="s">
        <v>93</v>
      </c>
      <c r="I2243" s="52">
        <v>119.45</v>
      </c>
      <c r="J2243" s="49">
        <v>4396.75</v>
      </c>
      <c r="K2243" s="58">
        <v>119</v>
      </c>
      <c r="L2243" s="58">
        <v>4432.75</v>
      </c>
      <c r="M2243" s="58">
        <v>0</v>
      </c>
      <c r="N2243" s="58">
        <v>0</v>
      </c>
      <c r="O2243" s="58">
        <v>119</v>
      </c>
      <c r="P2243" s="53">
        <v>4432.75</v>
      </c>
      <c r="Q2243" s="65">
        <v>4396.75</v>
      </c>
      <c r="R2243" s="65">
        <v>0</v>
      </c>
      <c r="S2243" s="65">
        <v>0</v>
      </c>
      <c r="T2243" s="65">
        <v>36</v>
      </c>
      <c r="U2243" s="58">
        <v>0</v>
      </c>
      <c r="V2243" s="65">
        <v>0</v>
      </c>
      <c r="W2243" s="65">
        <v>0</v>
      </c>
      <c r="X2243" s="65">
        <v>4433</v>
      </c>
      <c r="Y2243" s="65">
        <v>0</v>
      </c>
      <c r="Z2243" s="51">
        <v>0</v>
      </c>
      <c r="AA2243" s="51">
        <v>-36</v>
      </c>
      <c r="AB2243" s="102" t="s">
        <v>68</v>
      </c>
      <c r="AC2243" s="81">
        <f t="shared" si="108"/>
        <v>427.38103181247379</v>
      </c>
      <c r="AD2243" s="82">
        <f t="shared" si="109"/>
        <v>17.064285714285713</v>
      </c>
      <c r="AE2243" s="218">
        <v>-8.1878660374139992E-3</v>
      </c>
      <c r="AF2243">
        <v>1</v>
      </c>
      <c r="AH2243" t="str">
        <f t="shared" si="107"/>
        <v>Teghra</v>
      </c>
      <c r="AJ2243" s="72">
        <v>0</v>
      </c>
      <c r="AK2243" s="72"/>
      <c r="AL2243" s="72"/>
      <c r="AM2243" s="72"/>
    </row>
    <row r="2244" spans="1:39" x14ac:dyDescent="0.25">
      <c r="A2244" s="37" t="s">
        <v>62</v>
      </c>
      <c r="B2244" s="66" t="s">
        <v>1654</v>
      </c>
      <c r="C2244" s="41">
        <v>1008</v>
      </c>
      <c r="D2244" s="41" t="s">
        <v>217</v>
      </c>
      <c r="E2244" s="41">
        <v>10080100</v>
      </c>
      <c r="F2244" s="85" t="s">
        <v>1117</v>
      </c>
      <c r="G2244" s="39" t="s">
        <v>92</v>
      </c>
      <c r="H2244" s="52" t="s">
        <v>93</v>
      </c>
      <c r="I2244" s="52">
        <v>22.65</v>
      </c>
      <c r="J2244" s="49">
        <v>797.41000000000008</v>
      </c>
      <c r="K2244" s="58">
        <v>44.69</v>
      </c>
      <c r="L2244" s="58">
        <v>1490.86</v>
      </c>
      <c r="M2244" s="58">
        <v>0</v>
      </c>
      <c r="N2244" s="58">
        <v>0</v>
      </c>
      <c r="O2244" s="58">
        <v>44.69</v>
      </c>
      <c r="P2244" s="53">
        <v>1490.86</v>
      </c>
      <c r="Q2244" s="65">
        <v>797.41000000000008</v>
      </c>
      <c r="R2244" s="65">
        <v>0</v>
      </c>
      <c r="S2244" s="65">
        <v>0</v>
      </c>
      <c r="T2244" s="65">
        <v>693.44999999999982</v>
      </c>
      <c r="U2244" s="58">
        <v>0</v>
      </c>
      <c r="V2244" s="65">
        <v>500</v>
      </c>
      <c r="W2244" s="65">
        <v>0</v>
      </c>
      <c r="X2244" s="65">
        <v>297</v>
      </c>
      <c r="Y2244" s="65">
        <v>0</v>
      </c>
      <c r="Z2244" s="51">
        <v>0</v>
      </c>
      <c r="AA2244" s="51">
        <v>0</v>
      </c>
      <c r="AB2244" s="102">
        <v>0</v>
      </c>
      <c r="AC2244" s="81">
        <f t="shared" si="108"/>
        <v>476.93215320088314</v>
      </c>
      <c r="AD2244" s="82">
        <f t="shared" si="109"/>
        <v>3.2357142857142853</v>
      </c>
      <c r="AE2244" s="218">
        <v>-0.86962792039226966</v>
      </c>
      <c r="AF2244">
        <v>1</v>
      </c>
      <c r="AH2244" t="str">
        <f t="shared" si="107"/>
        <v>Teghra</v>
      </c>
      <c r="AJ2244" s="72">
        <v>500</v>
      </c>
      <c r="AK2244" s="72"/>
      <c r="AL2244" s="72"/>
      <c r="AM2244" s="72"/>
    </row>
    <row r="2245" spans="1:39" x14ac:dyDescent="0.25">
      <c r="A2245" s="37" t="s">
        <v>62</v>
      </c>
      <c r="B2245" s="66" t="s">
        <v>1654</v>
      </c>
      <c r="C2245" s="41">
        <v>1008</v>
      </c>
      <c r="D2245" s="41" t="s">
        <v>217</v>
      </c>
      <c r="E2245" s="41">
        <v>10080107</v>
      </c>
      <c r="F2245" s="85" t="s">
        <v>317</v>
      </c>
      <c r="G2245" s="39" t="s">
        <v>1610</v>
      </c>
      <c r="H2245" s="52" t="s">
        <v>98</v>
      </c>
      <c r="I2245" s="52">
        <v>1409.3</v>
      </c>
      <c r="J2245" s="49">
        <v>52385.599999999999</v>
      </c>
      <c r="K2245" s="58">
        <v>0</v>
      </c>
      <c r="L2245" s="58">
        <v>0</v>
      </c>
      <c r="M2245" s="58">
        <v>0</v>
      </c>
      <c r="N2245" s="58">
        <v>0</v>
      </c>
      <c r="O2245" s="58">
        <v>0</v>
      </c>
      <c r="P2245" s="53">
        <v>0</v>
      </c>
      <c r="Q2245" s="65">
        <v>52385.599999999999</v>
      </c>
      <c r="R2245" s="65">
        <v>0</v>
      </c>
      <c r="S2245" s="65">
        <v>0</v>
      </c>
      <c r="T2245" s="65">
        <v>0</v>
      </c>
      <c r="U2245" s="58">
        <v>0</v>
      </c>
      <c r="V2245" s="65">
        <v>0</v>
      </c>
      <c r="W2245" s="65">
        <v>0</v>
      </c>
      <c r="X2245" s="65">
        <v>0</v>
      </c>
      <c r="Y2245" s="65">
        <v>0</v>
      </c>
      <c r="Z2245" s="51">
        <v>52385.599999999999</v>
      </c>
      <c r="AA2245" s="51">
        <v>0</v>
      </c>
      <c r="AB2245" s="102">
        <v>0</v>
      </c>
      <c r="AC2245" s="81">
        <f t="shared" si="108"/>
        <v>0</v>
      </c>
      <c r="AD2245" s="82">
        <f t="shared" si="109"/>
        <v>0</v>
      </c>
      <c r="AE2245" s="218">
        <v>0</v>
      </c>
      <c r="AF2245">
        <v>0</v>
      </c>
      <c r="AH2245" t="str">
        <f t="shared" si="107"/>
        <v>Teghra</v>
      </c>
      <c r="AJ2245" s="72">
        <v>0</v>
      </c>
      <c r="AK2245" s="72"/>
      <c r="AL2245" s="72"/>
      <c r="AM2245" s="72"/>
    </row>
    <row r="2246" spans="1:39" x14ac:dyDescent="0.25">
      <c r="A2246" s="37" t="s">
        <v>62</v>
      </c>
      <c r="B2246" s="66" t="s">
        <v>1654</v>
      </c>
      <c r="C2246" s="41">
        <v>1008</v>
      </c>
      <c r="D2246" s="41" t="s">
        <v>217</v>
      </c>
      <c r="E2246" s="41">
        <v>10080112</v>
      </c>
      <c r="F2246" s="85" t="s">
        <v>1190</v>
      </c>
      <c r="G2246" s="39" t="s">
        <v>1610</v>
      </c>
      <c r="H2246" s="52" t="s">
        <v>98</v>
      </c>
      <c r="I2246" s="52">
        <v>1211.4000000000001</v>
      </c>
      <c r="J2246" s="49">
        <v>50621.299999999996</v>
      </c>
      <c r="K2246" s="58">
        <v>0</v>
      </c>
      <c r="L2246" s="58">
        <v>0</v>
      </c>
      <c r="M2246" s="58">
        <v>0</v>
      </c>
      <c r="N2246" s="58">
        <v>0</v>
      </c>
      <c r="O2246" s="58">
        <v>0</v>
      </c>
      <c r="P2246" s="53">
        <v>0</v>
      </c>
      <c r="Q2246" s="65">
        <v>50621.299999999996</v>
      </c>
      <c r="R2246" s="65">
        <v>0</v>
      </c>
      <c r="S2246" s="65">
        <v>0</v>
      </c>
      <c r="T2246" s="65">
        <v>0</v>
      </c>
      <c r="U2246" s="58">
        <v>0</v>
      </c>
      <c r="V2246" s="65">
        <v>0</v>
      </c>
      <c r="W2246" s="65">
        <v>0</v>
      </c>
      <c r="X2246" s="65">
        <v>0</v>
      </c>
      <c r="Y2246" s="65">
        <v>0</v>
      </c>
      <c r="Z2246" s="51">
        <v>50621.299999999996</v>
      </c>
      <c r="AA2246" s="51">
        <v>0</v>
      </c>
      <c r="AB2246" s="102">
        <v>0</v>
      </c>
      <c r="AC2246" s="81">
        <f t="shared" si="108"/>
        <v>0</v>
      </c>
      <c r="AD2246" s="82">
        <f t="shared" si="109"/>
        <v>0</v>
      </c>
      <c r="AE2246" s="218">
        <v>0</v>
      </c>
      <c r="AF2246">
        <v>0</v>
      </c>
      <c r="AH2246" t="str">
        <f t="shared" si="107"/>
        <v>Teghra</v>
      </c>
      <c r="AJ2246" s="72">
        <v>0</v>
      </c>
      <c r="AK2246" s="72"/>
      <c r="AL2246" s="72"/>
      <c r="AM2246" s="72"/>
    </row>
    <row r="2247" spans="1:39" x14ac:dyDescent="0.25">
      <c r="A2247" s="37" t="s">
        <v>62</v>
      </c>
      <c r="B2247" s="66" t="s">
        <v>1654</v>
      </c>
      <c r="C2247" s="41">
        <v>1008</v>
      </c>
      <c r="D2247" s="41" t="s">
        <v>217</v>
      </c>
      <c r="E2247" s="41">
        <v>10080113</v>
      </c>
      <c r="F2247" s="85" t="s">
        <v>1191</v>
      </c>
      <c r="G2247" s="39" t="s">
        <v>1610</v>
      </c>
      <c r="H2247" s="52" t="s">
        <v>98</v>
      </c>
      <c r="I2247" s="52">
        <v>469.90000000000003</v>
      </c>
      <c r="J2247" s="49">
        <v>17752.54</v>
      </c>
      <c r="K2247" s="58">
        <v>0</v>
      </c>
      <c r="L2247" s="58">
        <v>0</v>
      </c>
      <c r="M2247" s="58">
        <v>0</v>
      </c>
      <c r="N2247" s="58">
        <v>0</v>
      </c>
      <c r="O2247" s="58">
        <v>0</v>
      </c>
      <c r="P2247" s="53">
        <v>0</v>
      </c>
      <c r="Q2247" s="65">
        <v>17752.54</v>
      </c>
      <c r="R2247" s="65">
        <v>0</v>
      </c>
      <c r="S2247" s="65">
        <v>0</v>
      </c>
      <c r="T2247" s="65">
        <v>0</v>
      </c>
      <c r="U2247" s="58">
        <v>0</v>
      </c>
      <c r="V2247" s="65">
        <v>0</v>
      </c>
      <c r="W2247" s="65">
        <v>0</v>
      </c>
      <c r="X2247" s="65">
        <v>0</v>
      </c>
      <c r="Y2247" s="65">
        <v>0</v>
      </c>
      <c r="Z2247" s="51">
        <v>17752.54</v>
      </c>
      <c r="AA2247" s="51">
        <v>0</v>
      </c>
      <c r="AB2247" s="102">
        <v>0</v>
      </c>
      <c r="AC2247" s="81">
        <f t="shared" si="108"/>
        <v>173.86079821238556</v>
      </c>
      <c r="AD2247" s="82">
        <f t="shared" si="109"/>
        <v>67.128571428571433</v>
      </c>
      <c r="AE2247" s="218">
        <v>0</v>
      </c>
      <c r="AF2247">
        <v>0</v>
      </c>
      <c r="AH2247" t="str">
        <f t="shared" si="107"/>
        <v>Teghra</v>
      </c>
      <c r="AJ2247" s="72">
        <v>0</v>
      </c>
      <c r="AK2247" s="72"/>
      <c r="AL2247" s="72"/>
      <c r="AM2247" s="72"/>
    </row>
    <row r="2248" spans="1:39" x14ac:dyDescent="0.25">
      <c r="A2248" s="37" t="s">
        <v>62</v>
      </c>
      <c r="B2248" s="66" t="s">
        <v>1654</v>
      </c>
      <c r="C2248" s="41">
        <v>1008</v>
      </c>
      <c r="D2248" s="41" t="s">
        <v>217</v>
      </c>
      <c r="E2248" s="41">
        <v>10080115</v>
      </c>
      <c r="F2248" s="85" t="s">
        <v>1231</v>
      </c>
      <c r="G2248" s="39" t="s">
        <v>92</v>
      </c>
      <c r="H2248" s="52" t="s">
        <v>93</v>
      </c>
      <c r="I2248" s="52">
        <v>268.39999999999998</v>
      </c>
      <c r="J2248" s="49">
        <v>10267.66</v>
      </c>
      <c r="K2248" s="58">
        <v>268.10000000000002</v>
      </c>
      <c r="L2248" s="58">
        <v>10211.93</v>
      </c>
      <c r="M2248" s="58">
        <v>0</v>
      </c>
      <c r="N2248" s="58">
        <v>0</v>
      </c>
      <c r="O2248" s="58">
        <v>268.10000000000002</v>
      </c>
      <c r="P2248" s="53">
        <v>10211.93</v>
      </c>
      <c r="Q2248" s="65">
        <v>10211.93</v>
      </c>
      <c r="R2248" s="65">
        <v>0</v>
      </c>
      <c r="S2248" s="65">
        <v>0</v>
      </c>
      <c r="T2248" s="65">
        <v>0</v>
      </c>
      <c r="U2248" s="58">
        <v>0</v>
      </c>
      <c r="V2248" s="65">
        <v>0</v>
      </c>
      <c r="W2248" s="65">
        <v>0</v>
      </c>
      <c r="X2248" s="65">
        <v>10212</v>
      </c>
      <c r="Y2248" s="65">
        <v>0</v>
      </c>
      <c r="Z2248" s="51">
        <v>0</v>
      </c>
      <c r="AA2248" s="51">
        <v>56</v>
      </c>
      <c r="AB2248" s="102">
        <v>0</v>
      </c>
      <c r="AC2248" s="81">
        <f t="shared" si="108"/>
        <v>330.21773889716849</v>
      </c>
      <c r="AD2248" s="82">
        <f t="shared" si="109"/>
        <v>38.342857142857142</v>
      </c>
      <c r="AE2248" s="218">
        <v>5.4277216035590941E-3</v>
      </c>
      <c r="AF2248">
        <v>1</v>
      </c>
      <c r="AH2248" t="str">
        <f t="shared" si="107"/>
        <v>Teghra</v>
      </c>
      <c r="AJ2248" s="72">
        <v>0</v>
      </c>
      <c r="AK2248" s="72"/>
      <c r="AL2248" s="72"/>
      <c r="AM2248" s="72"/>
    </row>
    <row r="2249" spans="1:39" x14ac:dyDescent="0.25">
      <c r="A2249" s="37" t="s">
        <v>62</v>
      </c>
      <c r="B2249" s="66" t="s">
        <v>1654</v>
      </c>
      <c r="C2249" s="41">
        <v>1008</v>
      </c>
      <c r="D2249" s="41" t="s">
        <v>217</v>
      </c>
      <c r="E2249" s="41">
        <v>10080119</v>
      </c>
      <c r="F2249" s="85" t="s">
        <v>1279</v>
      </c>
      <c r="G2249" s="39" t="s">
        <v>92</v>
      </c>
      <c r="H2249" s="52" t="s">
        <v>93</v>
      </c>
      <c r="I2249" s="52">
        <v>119.19999999999999</v>
      </c>
      <c r="J2249" s="49">
        <v>4685.38</v>
      </c>
      <c r="K2249" s="58">
        <v>118.81</v>
      </c>
      <c r="L2249" s="58">
        <v>4837.9400000000005</v>
      </c>
      <c r="M2249" s="58">
        <v>0</v>
      </c>
      <c r="N2249" s="58">
        <v>0</v>
      </c>
      <c r="O2249" s="58">
        <v>118.81</v>
      </c>
      <c r="P2249" s="53">
        <v>4837.9400000000005</v>
      </c>
      <c r="Q2249" s="65">
        <v>4685.38</v>
      </c>
      <c r="R2249" s="65">
        <v>0</v>
      </c>
      <c r="S2249" s="65">
        <v>0</v>
      </c>
      <c r="T2249" s="65">
        <v>152.5600000000004</v>
      </c>
      <c r="U2249" s="58">
        <v>0</v>
      </c>
      <c r="V2249" s="65">
        <v>0</v>
      </c>
      <c r="W2249" s="65">
        <v>0</v>
      </c>
      <c r="X2249" s="65">
        <v>4685</v>
      </c>
      <c r="Y2249" s="65">
        <v>0</v>
      </c>
      <c r="Z2249" s="51">
        <v>0</v>
      </c>
      <c r="AA2249" s="51">
        <v>0</v>
      </c>
      <c r="AB2249" s="102">
        <v>0</v>
      </c>
      <c r="AC2249" s="81">
        <f t="shared" si="108"/>
        <v>456.58870872483243</v>
      </c>
      <c r="AD2249" s="82">
        <f t="shared" si="109"/>
        <v>17.028571428571428</v>
      </c>
      <c r="AE2249" s="218">
        <v>-3.2560859524734469E-2</v>
      </c>
      <c r="AF2249">
        <v>1</v>
      </c>
      <c r="AH2249" t="str">
        <f t="shared" si="107"/>
        <v>Teghra</v>
      </c>
      <c r="AJ2249" s="72">
        <v>0</v>
      </c>
      <c r="AK2249" s="72"/>
      <c r="AL2249" s="72"/>
      <c r="AM2249" s="72"/>
    </row>
    <row r="2250" spans="1:39" x14ac:dyDescent="0.25">
      <c r="A2250" s="37" t="s">
        <v>62</v>
      </c>
      <c r="B2250" s="66" t="s">
        <v>1654</v>
      </c>
      <c r="C2250" s="41">
        <v>1008</v>
      </c>
      <c r="D2250" s="41" t="s">
        <v>217</v>
      </c>
      <c r="E2250" s="41">
        <v>10080120</v>
      </c>
      <c r="F2250" s="85" t="s">
        <v>1336</v>
      </c>
      <c r="G2250" s="39" t="s">
        <v>92</v>
      </c>
      <c r="H2250" s="52" t="s">
        <v>93</v>
      </c>
      <c r="I2250" s="52">
        <v>615.00000000000011</v>
      </c>
      <c r="J2250" s="49">
        <v>24298.669999999995</v>
      </c>
      <c r="K2250" s="58">
        <v>547.20000000000005</v>
      </c>
      <c r="L2250" s="58">
        <v>21198.180000000004</v>
      </c>
      <c r="M2250" s="58">
        <v>67.22999999999999</v>
      </c>
      <c r="N2250" s="58">
        <v>2421.91</v>
      </c>
      <c r="O2250" s="58">
        <v>614.43000000000006</v>
      </c>
      <c r="P2250" s="53">
        <v>23620.090000000004</v>
      </c>
      <c r="Q2250" s="65">
        <v>23620.090000000004</v>
      </c>
      <c r="R2250" s="65">
        <v>0</v>
      </c>
      <c r="S2250" s="65">
        <v>0</v>
      </c>
      <c r="T2250" s="65">
        <v>0</v>
      </c>
      <c r="U2250" s="58">
        <v>0</v>
      </c>
      <c r="V2250" s="65">
        <v>0</v>
      </c>
      <c r="W2250" s="65">
        <v>0</v>
      </c>
      <c r="X2250" s="65">
        <v>21197</v>
      </c>
      <c r="Y2250" s="65">
        <v>2422</v>
      </c>
      <c r="Z2250" s="51">
        <v>0</v>
      </c>
      <c r="AA2250" s="51">
        <v>680</v>
      </c>
      <c r="AB2250" s="102">
        <v>0</v>
      </c>
      <c r="AC2250" s="81">
        <f t="shared" si="108"/>
        <v>67.167055284552731</v>
      </c>
      <c r="AD2250" s="82">
        <f t="shared" si="109"/>
        <v>87.857142857142875</v>
      </c>
      <c r="AE2250" s="218">
        <v>2.7926631375297124E-2</v>
      </c>
      <c r="AF2250">
        <v>11</v>
      </c>
      <c r="AH2250" t="str">
        <f t="shared" ref="AH2250:AH2313" si="110">TEXT(D2250,"0000")</f>
        <v>Teghra</v>
      </c>
      <c r="AJ2250" s="72">
        <v>0</v>
      </c>
      <c r="AK2250" s="72"/>
      <c r="AL2250" s="72"/>
      <c r="AM2250" s="72"/>
    </row>
    <row r="2251" spans="1:39" x14ac:dyDescent="0.25">
      <c r="A2251" s="37" t="s">
        <v>62</v>
      </c>
      <c r="B2251" s="66" t="s">
        <v>1654</v>
      </c>
      <c r="C2251" s="41">
        <v>1008</v>
      </c>
      <c r="D2251" s="41" t="s">
        <v>217</v>
      </c>
      <c r="E2251" s="41">
        <v>10080122</v>
      </c>
      <c r="F2251" s="85" t="s">
        <v>1348</v>
      </c>
      <c r="G2251" s="39" t="s">
        <v>92</v>
      </c>
      <c r="H2251" s="52" t="s">
        <v>93</v>
      </c>
      <c r="I2251" s="52">
        <v>603.04999999999995</v>
      </c>
      <c r="J2251" s="49">
        <v>23753.03</v>
      </c>
      <c r="K2251" s="58">
        <v>603</v>
      </c>
      <c r="L2251" s="58">
        <v>23722.02</v>
      </c>
      <c r="M2251" s="58">
        <v>0</v>
      </c>
      <c r="N2251" s="58">
        <v>0</v>
      </c>
      <c r="O2251" s="58">
        <v>603</v>
      </c>
      <c r="P2251" s="53">
        <v>23722.02</v>
      </c>
      <c r="Q2251" s="65">
        <v>23722.02</v>
      </c>
      <c r="R2251" s="65">
        <v>0</v>
      </c>
      <c r="S2251" s="65">
        <v>0</v>
      </c>
      <c r="T2251" s="65">
        <v>0</v>
      </c>
      <c r="U2251" s="58">
        <v>0</v>
      </c>
      <c r="V2251" s="65">
        <v>0</v>
      </c>
      <c r="W2251" s="65">
        <v>0</v>
      </c>
      <c r="X2251" s="65">
        <v>23722</v>
      </c>
      <c r="Y2251" s="65">
        <v>0</v>
      </c>
      <c r="Z2251" s="51">
        <v>0</v>
      </c>
      <c r="AA2251" s="51">
        <v>31</v>
      </c>
      <c r="AB2251" s="102">
        <v>0</v>
      </c>
      <c r="AC2251" s="81">
        <f t="shared" si="108"/>
        <v>76.373642600116113</v>
      </c>
      <c r="AD2251" s="82">
        <f t="shared" si="109"/>
        <v>86.149999999999991</v>
      </c>
      <c r="AE2251" s="218">
        <v>1.3055176539581855E-3</v>
      </c>
      <c r="AF2251">
        <v>1</v>
      </c>
      <c r="AH2251" t="str">
        <f t="shared" si="110"/>
        <v>Teghra</v>
      </c>
      <c r="AJ2251" s="72">
        <v>0</v>
      </c>
      <c r="AK2251" s="72"/>
      <c r="AL2251" s="72"/>
      <c r="AM2251" s="72"/>
    </row>
    <row r="2252" spans="1:39" x14ac:dyDescent="0.25">
      <c r="A2252" s="37" t="s">
        <v>62</v>
      </c>
      <c r="B2252" s="66" t="s">
        <v>1654</v>
      </c>
      <c r="C2252" s="41">
        <v>1008</v>
      </c>
      <c r="D2252" s="41" t="s">
        <v>217</v>
      </c>
      <c r="E2252" s="41">
        <v>10080124</v>
      </c>
      <c r="F2252" s="85" t="s">
        <v>1362</v>
      </c>
      <c r="G2252" s="39" t="s">
        <v>92</v>
      </c>
      <c r="H2252" s="52" t="s">
        <v>93</v>
      </c>
      <c r="I2252" s="52">
        <v>215.75</v>
      </c>
      <c r="J2252" s="49">
        <v>8763.35</v>
      </c>
      <c r="K2252" s="58">
        <v>215</v>
      </c>
      <c r="L2252" s="58">
        <v>8726.85</v>
      </c>
      <c r="M2252" s="58">
        <v>0</v>
      </c>
      <c r="N2252" s="58">
        <v>0</v>
      </c>
      <c r="O2252" s="58">
        <v>215</v>
      </c>
      <c r="P2252" s="53">
        <v>8726.85</v>
      </c>
      <c r="Q2252" s="65">
        <v>8726.85</v>
      </c>
      <c r="R2252" s="65">
        <v>0</v>
      </c>
      <c r="S2252" s="65">
        <v>0</v>
      </c>
      <c r="T2252" s="65">
        <v>0</v>
      </c>
      <c r="U2252" s="58">
        <v>0</v>
      </c>
      <c r="V2252" s="65">
        <v>0</v>
      </c>
      <c r="W2252" s="65">
        <v>0</v>
      </c>
      <c r="X2252" s="65">
        <v>8727</v>
      </c>
      <c r="Y2252" s="65">
        <v>0</v>
      </c>
      <c r="Z2252" s="51">
        <v>0</v>
      </c>
      <c r="AA2252" s="51">
        <v>36</v>
      </c>
      <c r="AB2252" s="102">
        <v>0</v>
      </c>
      <c r="AC2252" s="81">
        <f t="shared" si="108"/>
        <v>393.38607068366167</v>
      </c>
      <c r="AD2252" s="82">
        <f t="shared" si="109"/>
        <v>30.821428571428573</v>
      </c>
      <c r="AE2252" s="218">
        <v>4.1650738587412344E-3</v>
      </c>
      <c r="AF2252">
        <v>1</v>
      </c>
      <c r="AH2252" t="str">
        <f t="shared" si="110"/>
        <v>Teghra</v>
      </c>
      <c r="AJ2252" s="72">
        <v>0</v>
      </c>
      <c r="AK2252" s="72"/>
      <c r="AL2252" s="72"/>
      <c r="AM2252" s="72"/>
    </row>
    <row r="2253" spans="1:39" x14ac:dyDescent="0.25">
      <c r="A2253" s="37" t="s">
        <v>62</v>
      </c>
      <c r="B2253" s="66" t="s">
        <v>1654</v>
      </c>
      <c r="C2253" s="41">
        <v>1008</v>
      </c>
      <c r="D2253" s="41" t="s">
        <v>217</v>
      </c>
      <c r="E2253" s="41">
        <v>10080126</v>
      </c>
      <c r="F2253" s="85" t="s">
        <v>1423</v>
      </c>
      <c r="G2253" s="39" t="s">
        <v>92</v>
      </c>
      <c r="H2253" s="52" t="s">
        <v>93</v>
      </c>
      <c r="I2253" s="52">
        <v>211.65</v>
      </c>
      <c r="J2253" s="49">
        <v>7678.3199999999988</v>
      </c>
      <c r="K2253" s="58">
        <v>211</v>
      </c>
      <c r="L2253" s="58">
        <v>7570.6799999999994</v>
      </c>
      <c r="M2253" s="58">
        <v>0</v>
      </c>
      <c r="N2253" s="58">
        <v>0</v>
      </c>
      <c r="O2253" s="58">
        <v>211</v>
      </c>
      <c r="P2253" s="53">
        <v>7570.6799999999994</v>
      </c>
      <c r="Q2253" s="65">
        <v>7570.6799999999994</v>
      </c>
      <c r="R2253" s="65">
        <v>0</v>
      </c>
      <c r="S2253" s="65">
        <v>0</v>
      </c>
      <c r="T2253" s="65">
        <v>0</v>
      </c>
      <c r="U2253" s="58">
        <v>0</v>
      </c>
      <c r="V2253" s="65">
        <v>0</v>
      </c>
      <c r="W2253" s="65">
        <v>0</v>
      </c>
      <c r="X2253" s="65">
        <v>7571</v>
      </c>
      <c r="Y2253" s="65">
        <v>0</v>
      </c>
      <c r="Z2253" s="51">
        <v>0</v>
      </c>
      <c r="AA2253" s="51">
        <v>107</v>
      </c>
      <c r="AB2253" s="102">
        <v>0</v>
      </c>
      <c r="AC2253" s="81">
        <f t="shared" si="108"/>
        <v>354.33097774627907</v>
      </c>
      <c r="AD2253" s="82">
        <f t="shared" si="109"/>
        <v>30.235714285714288</v>
      </c>
      <c r="AE2253" s="218">
        <v>1.4018691588784974E-2</v>
      </c>
      <c r="AF2253">
        <v>1</v>
      </c>
      <c r="AH2253" t="str">
        <f t="shared" si="110"/>
        <v>Teghra</v>
      </c>
      <c r="AJ2253" s="72">
        <v>0</v>
      </c>
      <c r="AK2253" s="72"/>
      <c r="AL2253" s="72"/>
      <c r="AM2253" s="72"/>
    </row>
    <row r="2254" spans="1:39" x14ac:dyDescent="0.25">
      <c r="A2254" s="37" t="s">
        <v>62</v>
      </c>
      <c r="B2254" s="66" t="s">
        <v>1654</v>
      </c>
      <c r="C2254" s="41">
        <v>1008</v>
      </c>
      <c r="D2254" s="41" t="s">
        <v>217</v>
      </c>
      <c r="E2254" s="41">
        <v>10080128</v>
      </c>
      <c r="F2254" s="85" t="s">
        <v>1599</v>
      </c>
      <c r="G2254" s="39" t="s">
        <v>92</v>
      </c>
      <c r="H2254" s="52" t="s">
        <v>98</v>
      </c>
      <c r="I2254" s="52">
        <v>268.3</v>
      </c>
      <c r="J2254" s="49">
        <v>10818.85</v>
      </c>
      <c r="K2254" s="58">
        <v>0</v>
      </c>
      <c r="L2254" s="58">
        <v>0</v>
      </c>
      <c r="M2254" s="58">
        <v>0</v>
      </c>
      <c r="N2254" s="58">
        <v>0</v>
      </c>
      <c r="O2254" s="58">
        <v>0</v>
      </c>
      <c r="P2254" s="53">
        <v>0</v>
      </c>
      <c r="Q2254" s="65">
        <v>10818.85</v>
      </c>
      <c r="R2254" s="65">
        <v>0</v>
      </c>
      <c r="S2254" s="65">
        <v>0</v>
      </c>
      <c r="T2254" s="65">
        <v>0</v>
      </c>
      <c r="U2254" s="58">
        <v>0</v>
      </c>
      <c r="V2254" s="65">
        <v>0</v>
      </c>
      <c r="W2254" s="65">
        <v>0</v>
      </c>
      <c r="X2254" s="65">
        <v>0</v>
      </c>
      <c r="Y2254" s="65">
        <v>0</v>
      </c>
      <c r="Z2254" s="51">
        <v>10818.85</v>
      </c>
      <c r="AA2254" s="51">
        <v>0</v>
      </c>
      <c r="AB2254" s="102">
        <v>0</v>
      </c>
      <c r="AC2254" s="81">
        <f t="shared" si="108"/>
        <v>348.15486731270971</v>
      </c>
      <c r="AD2254" s="82">
        <f t="shared" si="109"/>
        <v>38.328571428571429</v>
      </c>
      <c r="AE2254" s="218">
        <v>0</v>
      </c>
      <c r="AF2254">
        <v>0</v>
      </c>
      <c r="AH2254" t="str">
        <f t="shared" si="110"/>
        <v>Teghra</v>
      </c>
      <c r="AJ2254" s="72">
        <v>0</v>
      </c>
      <c r="AK2254" s="72"/>
      <c r="AL2254" s="72"/>
      <c r="AM2254" s="72"/>
    </row>
    <row r="2255" spans="1:39" x14ac:dyDescent="0.25">
      <c r="A2255" s="37" t="s">
        <v>62</v>
      </c>
      <c r="B2255" s="66" t="s">
        <v>1654</v>
      </c>
      <c r="C2255" s="41">
        <v>1009</v>
      </c>
      <c r="D2255" s="41" t="s">
        <v>244</v>
      </c>
      <c r="E2255" s="41">
        <v>10090001</v>
      </c>
      <c r="F2255" s="85" t="s">
        <v>245</v>
      </c>
      <c r="G2255" s="39" t="s">
        <v>92</v>
      </c>
      <c r="H2255" s="52" t="s">
        <v>98</v>
      </c>
      <c r="I2255" s="52">
        <v>562.09999999999991</v>
      </c>
      <c r="J2255" s="49">
        <v>24544.149999999998</v>
      </c>
      <c r="K2255" s="58">
        <v>0</v>
      </c>
      <c r="L2255" s="58">
        <v>0</v>
      </c>
      <c r="M2255" s="58">
        <v>0</v>
      </c>
      <c r="N2255" s="58">
        <v>0</v>
      </c>
      <c r="O2255" s="58">
        <v>0</v>
      </c>
      <c r="P2255" s="53">
        <v>0</v>
      </c>
      <c r="Q2255" s="65">
        <v>24544.149999999998</v>
      </c>
      <c r="R2255" s="65">
        <v>0</v>
      </c>
      <c r="S2255" s="65">
        <v>0</v>
      </c>
      <c r="T2255" s="65">
        <v>0</v>
      </c>
      <c r="U2255" s="58">
        <v>0</v>
      </c>
      <c r="V2255" s="65">
        <v>0</v>
      </c>
      <c r="W2255" s="65">
        <v>0</v>
      </c>
      <c r="X2255" s="65">
        <v>0</v>
      </c>
      <c r="Y2255" s="65">
        <v>0</v>
      </c>
      <c r="Z2255" s="51">
        <v>24544.149999999998</v>
      </c>
      <c r="AA2255" s="51">
        <v>0</v>
      </c>
      <c r="AB2255" s="102">
        <v>0</v>
      </c>
      <c r="AC2255" s="81">
        <f t="shared" si="108"/>
        <v>120.42833250311344</v>
      </c>
      <c r="AD2255" s="82">
        <f t="shared" si="109"/>
        <v>80.299999999999983</v>
      </c>
      <c r="AE2255" s="218">
        <v>0</v>
      </c>
      <c r="AF2255">
        <v>0</v>
      </c>
      <c r="AH2255" t="str">
        <f t="shared" si="110"/>
        <v>Halsi</v>
      </c>
      <c r="AJ2255" s="72">
        <v>0</v>
      </c>
      <c r="AK2255" s="72"/>
      <c r="AL2255" s="72"/>
      <c r="AM2255" s="72"/>
    </row>
    <row r="2256" spans="1:39" x14ac:dyDescent="0.25">
      <c r="A2256" s="37" t="s">
        <v>62</v>
      </c>
      <c r="B2256" s="66" t="s">
        <v>1654</v>
      </c>
      <c r="C2256" s="41">
        <v>1009</v>
      </c>
      <c r="D2256" s="41" t="s">
        <v>244</v>
      </c>
      <c r="E2256" s="41">
        <v>10090002</v>
      </c>
      <c r="F2256" s="85" t="s">
        <v>246</v>
      </c>
      <c r="G2256" s="39" t="s">
        <v>92</v>
      </c>
      <c r="H2256" s="52" t="s">
        <v>93</v>
      </c>
      <c r="I2256" s="52">
        <v>1372.3000000000002</v>
      </c>
      <c r="J2256" s="49">
        <v>58079.34</v>
      </c>
      <c r="K2256" s="58">
        <v>1434.9600000000003</v>
      </c>
      <c r="L2256" s="58">
        <v>60704.5</v>
      </c>
      <c r="M2256" s="58">
        <v>55.959999999999994</v>
      </c>
      <c r="N2256" s="58">
        <v>2389.1000000000004</v>
      </c>
      <c r="O2256" s="58">
        <v>1490.9200000000003</v>
      </c>
      <c r="P2256" s="53">
        <v>63093.599999999999</v>
      </c>
      <c r="Q2256" s="65">
        <v>58079.34</v>
      </c>
      <c r="R2256" s="65">
        <v>0</v>
      </c>
      <c r="S2256" s="65">
        <v>99.460000000000008</v>
      </c>
      <c r="T2256" s="65">
        <v>5014.260000000002</v>
      </c>
      <c r="U2256" s="58">
        <v>0</v>
      </c>
      <c r="V2256" s="65">
        <v>0</v>
      </c>
      <c r="W2256" s="65">
        <v>0</v>
      </c>
      <c r="X2256" s="65">
        <v>55690</v>
      </c>
      <c r="Y2256" s="65">
        <v>2290</v>
      </c>
      <c r="Z2256" s="51">
        <v>0</v>
      </c>
      <c r="AA2256" s="51">
        <v>0</v>
      </c>
      <c r="AB2256" s="102">
        <v>0</v>
      </c>
      <c r="AC2256" s="81">
        <f t="shared" si="108"/>
        <v>0</v>
      </c>
      <c r="AD2256" s="82">
        <f t="shared" si="109"/>
        <v>0</v>
      </c>
      <c r="AE2256" s="218">
        <v>-8.6334658761618194E-2</v>
      </c>
      <c r="AF2256">
        <v>14</v>
      </c>
      <c r="AH2256" t="str">
        <f t="shared" si="110"/>
        <v>Halsi</v>
      </c>
      <c r="AJ2256" s="72">
        <v>0</v>
      </c>
      <c r="AK2256" s="72"/>
      <c r="AL2256" s="72"/>
      <c r="AM2256" s="72"/>
    </row>
    <row r="2257" spans="1:39" x14ac:dyDescent="0.25">
      <c r="A2257" s="37" t="s">
        <v>62</v>
      </c>
      <c r="B2257" s="66" t="s">
        <v>1654</v>
      </c>
      <c r="C2257" s="41">
        <v>1009</v>
      </c>
      <c r="D2257" s="41" t="s">
        <v>244</v>
      </c>
      <c r="E2257" s="41">
        <v>10090003</v>
      </c>
      <c r="F2257" s="85" t="s">
        <v>247</v>
      </c>
      <c r="G2257" s="39" t="s">
        <v>92</v>
      </c>
      <c r="H2257" s="52" t="s">
        <v>93</v>
      </c>
      <c r="I2257" s="52">
        <v>42.6</v>
      </c>
      <c r="J2257" s="49">
        <v>1457.1599999999999</v>
      </c>
      <c r="K2257" s="58">
        <v>43.3</v>
      </c>
      <c r="L2257" s="58">
        <v>1521.3400000000001</v>
      </c>
      <c r="M2257" s="58">
        <v>0.6</v>
      </c>
      <c r="N2257" s="58">
        <v>21.06</v>
      </c>
      <c r="O2257" s="58">
        <v>43.9</v>
      </c>
      <c r="P2257" s="53">
        <v>1542.4</v>
      </c>
      <c r="Q2257" s="65">
        <v>1457.1599999999999</v>
      </c>
      <c r="R2257" s="65">
        <v>0</v>
      </c>
      <c r="S2257" s="65">
        <v>21.06</v>
      </c>
      <c r="T2257" s="65">
        <v>85.240000000000236</v>
      </c>
      <c r="U2257" s="58">
        <v>0</v>
      </c>
      <c r="V2257" s="65">
        <v>0</v>
      </c>
      <c r="W2257" s="65">
        <v>0</v>
      </c>
      <c r="X2257" s="65">
        <v>1436</v>
      </c>
      <c r="Y2257" s="65">
        <v>0</v>
      </c>
      <c r="Z2257" s="51">
        <v>0</v>
      </c>
      <c r="AA2257" s="51">
        <v>0</v>
      </c>
      <c r="AB2257" s="102">
        <v>0</v>
      </c>
      <c r="AC2257" s="81">
        <f t="shared" si="108"/>
        <v>449.73567323943661</v>
      </c>
      <c r="AD2257" s="82">
        <f t="shared" si="109"/>
        <v>6.0857142857142863</v>
      </c>
      <c r="AE2257" s="218">
        <v>-5.8497351011556897E-2</v>
      </c>
      <c r="AF2257">
        <v>3</v>
      </c>
      <c r="AH2257" t="str">
        <f t="shared" si="110"/>
        <v>Halsi</v>
      </c>
      <c r="AJ2257" s="72">
        <v>0</v>
      </c>
      <c r="AK2257" s="72"/>
      <c r="AL2257" s="72"/>
      <c r="AM2257" s="72"/>
    </row>
    <row r="2258" spans="1:39" x14ac:dyDescent="0.25">
      <c r="A2258" s="37" t="s">
        <v>62</v>
      </c>
      <c r="B2258" s="66" t="s">
        <v>1654</v>
      </c>
      <c r="C2258" s="41">
        <v>1009</v>
      </c>
      <c r="D2258" s="41" t="s">
        <v>244</v>
      </c>
      <c r="E2258" s="41">
        <v>10090005</v>
      </c>
      <c r="F2258" s="85" t="s">
        <v>248</v>
      </c>
      <c r="G2258" s="39" t="s">
        <v>92</v>
      </c>
      <c r="H2258" s="52" t="s">
        <v>98</v>
      </c>
      <c r="I2258" s="52">
        <v>104.1</v>
      </c>
      <c r="J2258" s="49">
        <v>4314.33</v>
      </c>
      <c r="K2258" s="58">
        <v>0</v>
      </c>
      <c r="L2258" s="58">
        <v>0</v>
      </c>
      <c r="M2258" s="58">
        <v>0</v>
      </c>
      <c r="N2258" s="58">
        <v>0</v>
      </c>
      <c r="O2258" s="58">
        <v>0</v>
      </c>
      <c r="P2258" s="53">
        <v>0</v>
      </c>
      <c r="Q2258" s="65">
        <v>4314.33</v>
      </c>
      <c r="R2258" s="65">
        <v>0</v>
      </c>
      <c r="S2258" s="65">
        <v>0</v>
      </c>
      <c r="T2258" s="65">
        <v>0</v>
      </c>
      <c r="U2258" s="58">
        <v>0</v>
      </c>
      <c r="V2258" s="65">
        <v>0</v>
      </c>
      <c r="W2258" s="65">
        <v>0</v>
      </c>
      <c r="X2258" s="65">
        <v>0</v>
      </c>
      <c r="Y2258" s="65">
        <v>0</v>
      </c>
      <c r="Z2258" s="51">
        <v>4314.33</v>
      </c>
      <c r="AA2258" s="51">
        <v>0</v>
      </c>
      <c r="AB2258" s="102">
        <v>0</v>
      </c>
      <c r="AC2258" s="81">
        <f t="shared" si="108"/>
        <v>493.93069106628252</v>
      </c>
      <c r="AD2258" s="82">
        <f t="shared" si="109"/>
        <v>14.87142857142857</v>
      </c>
      <c r="AE2258" s="218">
        <v>0</v>
      </c>
      <c r="AF2258">
        <v>0</v>
      </c>
      <c r="AH2258" t="str">
        <f t="shared" si="110"/>
        <v>Halsi</v>
      </c>
      <c r="AJ2258" s="72">
        <v>0</v>
      </c>
      <c r="AK2258" s="72"/>
      <c r="AL2258" s="72"/>
      <c r="AM2258" s="72"/>
    </row>
    <row r="2259" spans="1:39" x14ac:dyDescent="0.25">
      <c r="A2259" s="37" t="s">
        <v>62</v>
      </c>
      <c r="B2259" s="66" t="s">
        <v>1654</v>
      </c>
      <c r="C2259" s="41">
        <v>1009</v>
      </c>
      <c r="D2259" s="41" t="s">
        <v>244</v>
      </c>
      <c r="E2259" s="41">
        <v>10090006</v>
      </c>
      <c r="F2259" s="85" t="s">
        <v>249</v>
      </c>
      <c r="G2259" s="39" t="s">
        <v>92</v>
      </c>
      <c r="H2259" s="52" t="s">
        <v>93</v>
      </c>
      <c r="I2259" s="52">
        <v>1504.8</v>
      </c>
      <c r="J2259" s="49">
        <v>64291.140000000007</v>
      </c>
      <c r="K2259" s="58">
        <v>1455.6000000000001</v>
      </c>
      <c r="L2259" s="58">
        <v>65879.360000000001</v>
      </c>
      <c r="M2259" s="58">
        <v>19.100000000000001</v>
      </c>
      <c r="N2259" s="58">
        <v>709.18</v>
      </c>
      <c r="O2259" s="58">
        <v>1474.7</v>
      </c>
      <c r="P2259" s="53">
        <v>66588.539999999994</v>
      </c>
      <c r="Q2259" s="65">
        <v>64291.140000000007</v>
      </c>
      <c r="R2259" s="65">
        <v>0</v>
      </c>
      <c r="S2259" s="65">
        <v>709.18</v>
      </c>
      <c r="T2259" s="65">
        <v>2297.3999999999869</v>
      </c>
      <c r="U2259" s="58">
        <v>0</v>
      </c>
      <c r="V2259" s="65">
        <v>0</v>
      </c>
      <c r="W2259" s="65">
        <v>0</v>
      </c>
      <c r="X2259" s="65">
        <v>63582</v>
      </c>
      <c r="Y2259" s="65">
        <v>0</v>
      </c>
      <c r="Z2259" s="51">
        <v>0</v>
      </c>
      <c r="AA2259" s="51">
        <v>0</v>
      </c>
      <c r="AB2259" s="102">
        <v>0</v>
      </c>
      <c r="AC2259" s="81">
        <f t="shared" si="108"/>
        <v>0</v>
      </c>
      <c r="AD2259" s="82">
        <f t="shared" si="109"/>
        <v>0</v>
      </c>
      <c r="AE2259" s="218">
        <v>-3.5734317356948202E-2</v>
      </c>
      <c r="AF2259">
        <v>10</v>
      </c>
      <c r="AH2259" t="str">
        <f t="shared" si="110"/>
        <v>Halsi</v>
      </c>
      <c r="AJ2259" s="72">
        <v>0</v>
      </c>
      <c r="AK2259" s="72"/>
      <c r="AL2259" s="72"/>
      <c r="AM2259" s="72"/>
    </row>
    <row r="2260" spans="1:39" x14ac:dyDescent="0.25">
      <c r="A2260" s="37" t="s">
        <v>62</v>
      </c>
      <c r="B2260" s="66" t="s">
        <v>1654</v>
      </c>
      <c r="C2260" s="41">
        <v>1009</v>
      </c>
      <c r="D2260" s="41" t="s">
        <v>244</v>
      </c>
      <c r="E2260" s="41">
        <v>10090007</v>
      </c>
      <c r="F2260" s="85" t="s">
        <v>250</v>
      </c>
      <c r="G2260" s="39" t="s">
        <v>92</v>
      </c>
      <c r="H2260" s="52" t="s">
        <v>93</v>
      </c>
      <c r="I2260" s="52">
        <v>516.5</v>
      </c>
      <c r="J2260" s="49">
        <v>19063.680000000004</v>
      </c>
      <c r="K2260" s="58">
        <v>597.5</v>
      </c>
      <c r="L2260" s="58">
        <v>24692.09</v>
      </c>
      <c r="M2260" s="58">
        <v>7.6</v>
      </c>
      <c r="N2260" s="58">
        <v>292.07000000000005</v>
      </c>
      <c r="O2260" s="58">
        <v>605.1</v>
      </c>
      <c r="P2260" s="53">
        <v>24984.16</v>
      </c>
      <c r="Q2260" s="65">
        <v>19063.680000000004</v>
      </c>
      <c r="R2260" s="65">
        <v>0</v>
      </c>
      <c r="S2260" s="65">
        <v>292.07000000000005</v>
      </c>
      <c r="T2260" s="65">
        <v>5920.4799999999959</v>
      </c>
      <c r="U2260" s="58">
        <v>0</v>
      </c>
      <c r="V2260" s="65">
        <v>0</v>
      </c>
      <c r="W2260" s="65">
        <v>0</v>
      </c>
      <c r="X2260" s="65">
        <v>18772</v>
      </c>
      <c r="Y2260" s="65">
        <v>0</v>
      </c>
      <c r="Z2260" s="51">
        <v>0</v>
      </c>
      <c r="AA2260" s="51">
        <v>0</v>
      </c>
      <c r="AB2260" s="102">
        <v>0</v>
      </c>
      <c r="AC2260" s="81">
        <f t="shared" si="108"/>
        <v>135.45731965150048</v>
      </c>
      <c r="AD2260" s="82">
        <f t="shared" si="109"/>
        <v>73.785714285714292</v>
      </c>
      <c r="AE2260" s="218">
        <v>-0.31056333299761613</v>
      </c>
      <c r="AF2260">
        <v>5</v>
      </c>
      <c r="AH2260" t="str">
        <f t="shared" si="110"/>
        <v>Halsi</v>
      </c>
      <c r="AJ2260" s="72">
        <v>0</v>
      </c>
      <c r="AK2260" s="72"/>
      <c r="AL2260" s="72"/>
      <c r="AM2260" s="72"/>
    </row>
    <row r="2261" spans="1:39" x14ac:dyDescent="0.25">
      <c r="A2261" s="37" t="s">
        <v>62</v>
      </c>
      <c r="B2261" s="66" t="s">
        <v>1654</v>
      </c>
      <c r="C2261" s="41">
        <v>1009</v>
      </c>
      <c r="D2261" s="41" t="s">
        <v>244</v>
      </c>
      <c r="E2261" s="41">
        <v>10090008</v>
      </c>
      <c r="F2261" s="85" t="s">
        <v>251</v>
      </c>
      <c r="G2261" s="39" t="s">
        <v>92</v>
      </c>
      <c r="H2261" s="52" t="s">
        <v>93</v>
      </c>
      <c r="I2261" s="52">
        <v>785.4</v>
      </c>
      <c r="J2261" s="49">
        <v>32033.660000000003</v>
      </c>
      <c r="K2261" s="58">
        <v>789.9000000000002</v>
      </c>
      <c r="L2261" s="58">
        <v>31015.890000000003</v>
      </c>
      <c r="M2261" s="58">
        <v>11.200000000000001</v>
      </c>
      <c r="N2261" s="58">
        <v>432.38</v>
      </c>
      <c r="O2261" s="58">
        <v>801.10000000000025</v>
      </c>
      <c r="P2261" s="53">
        <v>31448.270000000004</v>
      </c>
      <c r="Q2261" s="65">
        <v>31448.270000000004</v>
      </c>
      <c r="R2261" s="65">
        <v>0</v>
      </c>
      <c r="S2261" s="65">
        <v>432.38</v>
      </c>
      <c r="T2261" s="65">
        <v>0</v>
      </c>
      <c r="U2261" s="58">
        <v>0</v>
      </c>
      <c r="V2261" s="65">
        <v>0</v>
      </c>
      <c r="W2261" s="65">
        <v>0</v>
      </c>
      <c r="X2261" s="65">
        <v>31016</v>
      </c>
      <c r="Y2261" s="65">
        <v>0</v>
      </c>
      <c r="Z2261" s="51">
        <v>0</v>
      </c>
      <c r="AA2261" s="51">
        <v>585</v>
      </c>
      <c r="AB2261" s="102">
        <v>0</v>
      </c>
      <c r="AC2261" s="81">
        <f t="shared" si="108"/>
        <v>0</v>
      </c>
      <c r="AD2261" s="82">
        <f t="shared" si="109"/>
        <v>0</v>
      </c>
      <c r="AE2261" s="218">
        <v>1.8274215309771014E-2</v>
      </c>
      <c r="AF2261">
        <v>28</v>
      </c>
      <c r="AH2261" t="str">
        <f t="shared" si="110"/>
        <v>Halsi</v>
      </c>
      <c r="AJ2261" s="72">
        <v>0</v>
      </c>
      <c r="AK2261" s="72"/>
      <c r="AL2261" s="72"/>
      <c r="AM2261" s="72"/>
    </row>
    <row r="2262" spans="1:39" x14ac:dyDescent="0.25">
      <c r="A2262" s="37" t="s">
        <v>62</v>
      </c>
      <c r="B2262" s="66" t="s">
        <v>1654</v>
      </c>
      <c r="C2262" s="41">
        <v>1009</v>
      </c>
      <c r="D2262" s="41" t="s">
        <v>244</v>
      </c>
      <c r="E2262" s="41">
        <v>10090009</v>
      </c>
      <c r="F2262" s="85" t="s">
        <v>252</v>
      </c>
      <c r="G2262" s="39" t="s">
        <v>92</v>
      </c>
      <c r="H2262" s="52" t="s">
        <v>93</v>
      </c>
      <c r="I2262" s="52">
        <v>553.70000000000005</v>
      </c>
      <c r="J2262" s="49">
        <v>22206.440000000002</v>
      </c>
      <c r="K2262" s="58">
        <v>561.4</v>
      </c>
      <c r="L2262" s="58">
        <v>22408.19</v>
      </c>
      <c r="M2262" s="58">
        <v>4.5</v>
      </c>
      <c r="N2262" s="58">
        <v>189.45000000000002</v>
      </c>
      <c r="O2262" s="58">
        <v>565.9</v>
      </c>
      <c r="P2262" s="53">
        <v>22597.64</v>
      </c>
      <c r="Q2262" s="65">
        <v>22206.440000000002</v>
      </c>
      <c r="R2262" s="65">
        <v>0</v>
      </c>
      <c r="S2262" s="65">
        <v>189.45000000000002</v>
      </c>
      <c r="T2262" s="65">
        <v>391.19999999999709</v>
      </c>
      <c r="U2262" s="58">
        <v>0</v>
      </c>
      <c r="V2262" s="65">
        <v>0</v>
      </c>
      <c r="W2262" s="65">
        <v>0</v>
      </c>
      <c r="X2262" s="65">
        <v>22017</v>
      </c>
      <c r="Y2262" s="65">
        <v>0</v>
      </c>
      <c r="Z2262" s="51">
        <v>0</v>
      </c>
      <c r="AA2262" s="51">
        <v>0</v>
      </c>
      <c r="AB2262" s="102">
        <v>0</v>
      </c>
      <c r="AC2262" s="81">
        <f t="shared" si="108"/>
        <v>117.34882326169402</v>
      </c>
      <c r="AD2262" s="82">
        <f t="shared" si="109"/>
        <v>79.100000000000009</v>
      </c>
      <c r="AE2262" s="218">
        <v>-1.7616511246286982E-2</v>
      </c>
      <c r="AF2262">
        <v>11</v>
      </c>
      <c r="AH2262" t="str">
        <f t="shared" si="110"/>
        <v>Halsi</v>
      </c>
      <c r="AJ2262" s="72">
        <v>0</v>
      </c>
      <c r="AK2262" s="72"/>
      <c r="AL2262" s="72"/>
      <c r="AM2262" s="72"/>
    </row>
    <row r="2263" spans="1:39" x14ac:dyDescent="0.25">
      <c r="A2263" s="37" t="s">
        <v>62</v>
      </c>
      <c r="B2263" s="66" t="s">
        <v>1654</v>
      </c>
      <c r="C2263" s="41">
        <v>1009</v>
      </c>
      <c r="D2263" s="41" t="s">
        <v>244</v>
      </c>
      <c r="E2263" s="41">
        <v>10090011</v>
      </c>
      <c r="F2263" s="85" t="s">
        <v>253</v>
      </c>
      <c r="G2263" s="39" t="s">
        <v>1610</v>
      </c>
      <c r="H2263" s="52" t="s">
        <v>98</v>
      </c>
      <c r="I2263" s="52">
        <v>750.1</v>
      </c>
      <c r="J2263" s="49">
        <v>29021.43</v>
      </c>
      <c r="K2263" s="58">
        <v>0</v>
      </c>
      <c r="L2263" s="58">
        <v>0</v>
      </c>
      <c r="M2263" s="58">
        <v>0</v>
      </c>
      <c r="N2263" s="58">
        <v>0</v>
      </c>
      <c r="O2263" s="58">
        <v>0</v>
      </c>
      <c r="P2263" s="53">
        <v>0</v>
      </c>
      <c r="Q2263" s="65">
        <v>29021.43</v>
      </c>
      <c r="R2263" s="65">
        <v>0</v>
      </c>
      <c r="S2263" s="65">
        <v>0</v>
      </c>
      <c r="T2263" s="65">
        <v>0</v>
      </c>
      <c r="U2263" s="58">
        <v>0</v>
      </c>
      <c r="V2263" s="65">
        <v>0</v>
      </c>
      <c r="W2263" s="65">
        <v>0</v>
      </c>
      <c r="X2263" s="65">
        <v>0</v>
      </c>
      <c r="Y2263" s="65">
        <v>0</v>
      </c>
      <c r="Z2263" s="51">
        <v>29021.43</v>
      </c>
      <c r="AA2263" s="51">
        <v>0</v>
      </c>
      <c r="AB2263" s="102">
        <v>0</v>
      </c>
      <c r="AC2263" s="81">
        <f t="shared" si="108"/>
        <v>0</v>
      </c>
      <c r="AD2263" s="82">
        <f t="shared" si="109"/>
        <v>0</v>
      </c>
      <c r="AE2263" s="218">
        <v>0</v>
      </c>
      <c r="AF2263">
        <v>0</v>
      </c>
      <c r="AH2263" t="str">
        <f t="shared" si="110"/>
        <v>Halsi</v>
      </c>
      <c r="AJ2263" s="72">
        <v>0</v>
      </c>
      <c r="AK2263" s="72"/>
      <c r="AL2263" s="72"/>
      <c r="AM2263" s="72"/>
    </row>
    <row r="2264" spans="1:39" x14ac:dyDescent="0.25">
      <c r="A2264" s="37" t="s">
        <v>62</v>
      </c>
      <c r="B2264" s="66" t="s">
        <v>1654</v>
      </c>
      <c r="C2264" s="41">
        <v>1009</v>
      </c>
      <c r="D2264" s="41" t="s">
        <v>244</v>
      </c>
      <c r="E2264" s="41">
        <v>10090012</v>
      </c>
      <c r="F2264" s="85" t="s">
        <v>254</v>
      </c>
      <c r="G2264" s="39" t="s">
        <v>1610</v>
      </c>
      <c r="H2264" s="52" t="s">
        <v>98</v>
      </c>
      <c r="I2264" s="52">
        <v>1050.0999999999999</v>
      </c>
      <c r="J2264" s="49">
        <v>40711.43</v>
      </c>
      <c r="K2264" s="58">
        <v>0</v>
      </c>
      <c r="L2264" s="58">
        <v>0</v>
      </c>
      <c r="M2264" s="58">
        <v>0</v>
      </c>
      <c r="N2264" s="58">
        <v>0</v>
      </c>
      <c r="O2264" s="58">
        <v>0</v>
      </c>
      <c r="P2264" s="53">
        <v>0</v>
      </c>
      <c r="Q2264" s="65">
        <v>40711.43</v>
      </c>
      <c r="R2264" s="65">
        <v>0</v>
      </c>
      <c r="S2264" s="65">
        <v>0</v>
      </c>
      <c r="T2264" s="65">
        <v>0</v>
      </c>
      <c r="U2264" s="58">
        <v>0</v>
      </c>
      <c r="V2264" s="65">
        <v>0</v>
      </c>
      <c r="W2264" s="65">
        <v>0</v>
      </c>
      <c r="X2264" s="65">
        <v>0</v>
      </c>
      <c r="Y2264" s="65">
        <v>0</v>
      </c>
      <c r="Z2264" s="51">
        <v>40711.43</v>
      </c>
      <c r="AA2264" s="51">
        <v>0</v>
      </c>
      <c r="AB2264" s="102">
        <v>0</v>
      </c>
      <c r="AC2264" s="81">
        <f t="shared" si="108"/>
        <v>0</v>
      </c>
      <c r="AD2264" s="82">
        <f t="shared" si="109"/>
        <v>0</v>
      </c>
      <c r="AE2264" s="218">
        <v>0</v>
      </c>
      <c r="AF2264">
        <v>0</v>
      </c>
      <c r="AH2264" t="str">
        <f t="shared" si="110"/>
        <v>Halsi</v>
      </c>
      <c r="AJ2264" s="72">
        <v>0</v>
      </c>
      <c r="AK2264" s="72"/>
      <c r="AL2264" s="72"/>
      <c r="AM2264" s="72"/>
    </row>
    <row r="2265" spans="1:39" x14ac:dyDescent="0.25">
      <c r="A2265" s="37" t="s">
        <v>62</v>
      </c>
      <c r="B2265" s="66" t="s">
        <v>1654</v>
      </c>
      <c r="C2265" s="41">
        <v>1009</v>
      </c>
      <c r="D2265" s="41" t="s">
        <v>244</v>
      </c>
      <c r="E2265" s="41">
        <v>10090014</v>
      </c>
      <c r="F2265" s="85" t="s">
        <v>255</v>
      </c>
      <c r="G2265" s="39" t="s">
        <v>1610</v>
      </c>
      <c r="H2265" s="52" t="s">
        <v>98</v>
      </c>
      <c r="I2265" s="52">
        <v>796.79999999999984</v>
      </c>
      <c r="J2265" s="49">
        <v>33667.530000000006</v>
      </c>
      <c r="K2265" s="58">
        <v>0</v>
      </c>
      <c r="L2265" s="58">
        <v>0</v>
      </c>
      <c r="M2265" s="58">
        <v>0</v>
      </c>
      <c r="N2265" s="58">
        <v>0</v>
      </c>
      <c r="O2265" s="58">
        <v>0</v>
      </c>
      <c r="P2265" s="53">
        <v>0</v>
      </c>
      <c r="Q2265" s="65">
        <v>33667.530000000006</v>
      </c>
      <c r="R2265" s="65">
        <v>0</v>
      </c>
      <c r="S2265" s="65">
        <v>0</v>
      </c>
      <c r="T2265" s="65">
        <v>0</v>
      </c>
      <c r="U2265" s="58">
        <v>0</v>
      </c>
      <c r="V2265" s="65">
        <v>0</v>
      </c>
      <c r="W2265" s="65">
        <v>0</v>
      </c>
      <c r="X2265" s="65">
        <v>0</v>
      </c>
      <c r="Y2265" s="65">
        <v>0</v>
      </c>
      <c r="Z2265" s="51">
        <v>33667.530000000006</v>
      </c>
      <c r="AA2265" s="51">
        <v>0</v>
      </c>
      <c r="AB2265" s="102">
        <v>0</v>
      </c>
      <c r="AC2265" s="81">
        <f t="shared" si="108"/>
        <v>0</v>
      </c>
      <c r="AD2265" s="82">
        <f t="shared" si="109"/>
        <v>0</v>
      </c>
      <c r="AE2265" s="218">
        <v>0</v>
      </c>
      <c r="AF2265">
        <v>0</v>
      </c>
      <c r="AH2265" t="str">
        <f t="shared" si="110"/>
        <v>Halsi</v>
      </c>
      <c r="AJ2265" s="72">
        <v>0</v>
      </c>
      <c r="AK2265" s="72"/>
      <c r="AL2265" s="72"/>
      <c r="AM2265" s="72"/>
    </row>
    <row r="2266" spans="1:39" x14ac:dyDescent="0.25">
      <c r="A2266" s="37" t="s">
        <v>62</v>
      </c>
      <c r="B2266" s="66" t="s">
        <v>1654</v>
      </c>
      <c r="C2266" s="41">
        <v>1009</v>
      </c>
      <c r="D2266" s="41" t="s">
        <v>244</v>
      </c>
      <c r="E2266" s="41">
        <v>10090015</v>
      </c>
      <c r="F2266" s="85" t="s">
        <v>256</v>
      </c>
      <c r="G2266" s="39" t="s">
        <v>92</v>
      </c>
      <c r="H2266" s="52" t="s">
        <v>98</v>
      </c>
      <c r="I2266" s="52">
        <v>656</v>
      </c>
      <c r="J2266" s="49">
        <v>29434.04</v>
      </c>
      <c r="K2266" s="58">
        <v>0</v>
      </c>
      <c r="L2266" s="58">
        <v>0</v>
      </c>
      <c r="M2266" s="58">
        <v>0</v>
      </c>
      <c r="N2266" s="58">
        <v>0</v>
      </c>
      <c r="O2266" s="58">
        <v>0</v>
      </c>
      <c r="P2266" s="53">
        <v>0</v>
      </c>
      <c r="Q2266" s="65">
        <v>29434.04</v>
      </c>
      <c r="R2266" s="65">
        <v>0</v>
      </c>
      <c r="S2266" s="65">
        <v>0</v>
      </c>
      <c r="T2266" s="65">
        <v>0</v>
      </c>
      <c r="U2266" s="58">
        <v>0</v>
      </c>
      <c r="V2266" s="65">
        <v>0</v>
      </c>
      <c r="W2266" s="65">
        <v>0</v>
      </c>
      <c r="X2266" s="65">
        <v>0</v>
      </c>
      <c r="Y2266" s="65">
        <v>0</v>
      </c>
      <c r="Z2266" s="51">
        <v>29434.04</v>
      </c>
      <c r="AA2266" s="51">
        <v>0</v>
      </c>
      <c r="AB2266" s="102">
        <v>0</v>
      </c>
      <c r="AC2266" s="81">
        <f t="shared" si="108"/>
        <v>39.484687804878085</v>
      </c>
      <c r="AD2266" s="82">
        <f t="shared" si="109"/>
        <v>93.714285714285708</v>
      </c>
      <c r="AE2266" s="218">
        <v>0</v>
      </c>
      <c r="AF2266">
        <v>0</v>
      </c>
      <c r="AH2266" t="str">
        <f t="shared" si="110"/>
        <v>Halsi</v>
      </c>
      <c r="AJ2266" s="72">
        <v>0</v>
      </c>
      <c r="AK2266" s="72"/>
      <c r="AL2266" s="72"/>
      <c r="AM2266" s="72"/>
    </row>
    <row r="2267" spans="1:39" x14ac:dyDescent="0.25">
      <c r="A2267" s="37" t="s">
        <v>62</v>
      </c>
      <c r="B2267" s="66" t="s">
        <v>1654</v>
      </c>
      <c r="C2267" s="41">
        <v>1009</v>
      </c>
      <c r="D2267" s="41" t="s">
        <v>244</v>
      </c>
      <c r="E2267" s="41">
        <v>10090017</v>
      </c>
      <c r="F2267" s="85" t="s">
        <v>257</v>
      </c>
      <c r="G2267" s="39" t="s">
        <v>1610</v>
      </c>
      <c r="H2267" s="52" t="s">
        <v>98</v>
      </c>
      <c r="I2267" s="52">
        <v>5374.1999999999989</v>
      </c>
      <c r="J2267" s="49">
        <v>203948.16000000006</v>
      </c>
      <c r="K2267" s="58">
        <v>0</v>
      </c>
      <c r="L2267" s="58">
        <v>0</v>
      </c>
      <c r="M2267" s="58">
        <v>0</v>
      </c>
      <c r="N2267" s="58">
        <v>0</v>
      </c>
      <c r="O2267" s="58">
        <v>0</v>
      </c>
      <c r="P2267" s="53">
        <v>0</v>
      </c>
      <c r="Q2267" s="65">
        <v>203948.16000000006</v>
      </c>
      <c r="R2267" s="65">
        <v>0</v>
      </c>
      <c r="S2267" s="65">
        <v>0</v>
      </c>
      <c r="T2267" s="65">
        <v>0</v>
      </c>
      <c r="U2267" s="58">
        <v>0</v>
      </c>
      <c r="V2267" s="65">
        <v>0</v>
      </c>
      <c r="W2267" s="65">
        <v>0</v>
      </c>
      <c r="X2267" s="65">
        <v>0</v>
      </c>
      <c r="Y2267" s="65">
        <v>0</v>
      </c>
      <c r="Z2267" s="51">
        <v>203948.16000000006</v>
      </c>
      <c r="AA2267" s="51">
        <v>0</v>
      </c>
      <c r="AB2267" s="102">
        <v>0</v>
      </c>
      <c r="AC2267" s="81">
        <f t="shared" si="108"/>
        <v>0</v>
      </c>
      <c r="AD2267" s="82">
        <f t="shared" si="109"/>
        <v>0</v>
      </c>
      <c r="AE2267" s="218">
        <v>0</v>
      </c>
      <c r="AF2267">
        <v>0</v>
      </c>
      <c r="AH2267" t="str">
        <f t="shared" si="110"/>
        <v>Halsi</v>
      </c>
      <c r="AJ2267" s="72">
        <v>0</v>
      </c>
      <c r="AK2267" s="72"/>
      <c r="AL2267" s="72"/>
      <c r="AM2267" s="72"/>
    </row>
    <row r="2268" spans="1:39" x14ac:dyDescent="0.25">
      <c r="A2268" s="37" t="s">
        <v>62</v>
      </c>
      <c r="B2268" s="66" t="s">
        <v>1654</v>
      </c>
      <c r="C2268" s="41">
        <v>1009</v>
      </c>
      <c r="D2268" s="41" t="s">
        <v>244</v>
      </c>
      <c r="E2268" s="41">
        <v>10090018</v>
      </c>
      <c r="F2268" s="85" t="s">
        <v>1172</v>
      </c>
      <c r="G2268" s="39" t="s">
        <v>1610</v>
      </c>
      <c r="H2268" s="52" t="s">
        <v>98</v>
      </c>
      <c r="I2268" s="52">
        <v>706.59999999999991</v>
      </c>
      <c r="J2268" s="49">
        <v>27642.55</v>
      </c>
      <c r="K2268" s="58">
        <v>0</v>
      </c>
      <c r="L2268" s="58">
        <v>0</v>
      </c>
      <c r="M2268" s="58">
        <v>0</v>
      </c>
      <c r="N2268" s="58">
        <v>0</v>
      </c>
      <c r="O2268" s="58">
        <v>0</v>
      </c>
      <c r="P2268" s="53">
        <v>0</v>
      </c>
      <c r="Q2268" s="65">
        <v>27642.55</v>
      </c>
      <c r="R2268" s="65">
        <v>0</v>
      </c>
      <c r="S2268" s="65">
        <v>0</v>
      </c>
      <c r="T2268" s="65">
        <v>0</v>
      </c>
      <c r="U2268" s="58">
        <v>0</v>
      </c>
      <c r="V2268" s="65">
        <v>0</v>
      </c>
      <c r="W2268" s="65">
        <v>0</v>
      </c>
      <c r="X2268" s="65">
        <v>0</v>
      </c>
      <c r="Y2268" s="65">
        <v>0</v>
      </c>
      <c r="Z2268" s="51">
        <v>27642.55</v>
      </c>
      <c r="AA2268" s="51">
        <v>0</v>
      </c>
      <c r="AB2268" s="102">
        <v>0</v>
      </c>
      <c r="AC2268" s="81">
        <f t="shared" si="108"/>
        <v>0</v>
      </c>
      <c r="AD2268" s="82">
        <f t="shared" si="109"/>
        <v>0</v>
      </c>
      <c r="AE2268" s="218">
        <v>0</v>
      </c>
      <c r="AF2268">
        <v>0</v>
      </c>
      <c r="AH2268" t="str">
        <f t="shared" si="110"/>
        <v>Halsi</v>
      </c>
      <c r="AJ2268" s="72">
        <v>0</v>
      </c>
      <c r="AK2268" s="72"/>
      <c r="AL2268" s="72"/>
      <c r="AM2268" s="72"/>
    </row>
    <row r="2269" spans="1:39" x14ac:dyDescent="0.25">
      <c r="A2269" s="37" t="s">
        <v>62</v>
      </c>
      <c r="B2269" s="66" t="s">
        <v>1654</v>
      </c>
      <c r="C2269" s="41">
        <v>1009</v>
      </c>
      <c r="D2269" s="41" t="s">
        <v>244</v>
      </c>
      <c r="E2269" s="41">
        <v>10090021</v>
      </c>
      <c r="F2269" s="85" t="s">
        <v>258</v>
      </c>
      <c r="G2269" s="39" t="s">
        <v>92</v>
      </c>
      <c r="H2269" s="52" t="s">
        <v>93</v>
      </c>
      <c r="I2269" s="52">
        <v>1131.6999999999998</v>
      </c>
      <c r="J2269" s="49">
        <v>53849.24</v>
      </c>
      <c r="K2269" s="58">
        <v>1654.1999999999998</v>
      </c>
      <c r="L2269" s="58">
        <v>78886.079999999987</v>
      </c>
      <c r="M2269" s="58">
        <v>2.1</v>
      </c>
      <c r="N2269" s="58">
        <v>95.98</v>
      </c>
      <c r="O2269" s="58">
        <v>1656.2999999999997</v>
      </c>
      <c r="P2269" s="53">
        <v>78982.059999999983</v>
      </c>
      <c r="Q2269" s="65">
        <v>53849.24</v>
      </c>
      <c r="R2269" s="65">
        <v>0</v>
      </c>
      <c r="S2269" s="65">
        <v>95.98</v>
      </c>
      <c r="T2269" s="65">
        <v>25132.819999999985</v>
      </c>
      <c r="U2269" s="58">
        <v>0</v>
      </c>
      <c r="V2269" s="65">
        <v>0</v>
      </c>
      <c r="W2269" s="65">
        <v>0</v>
      </c>
      <c r="X2269" s="65">
        <v>53753</v>
      </c>
      <c r="Y2269" s="65">
        <v>0</v>
      </c>
      <c r="Z2269" s="51">
        <v>0</v>
      </c>
      <c r="AA2269" s="51">
        <v>0</v>
      </c>
      <c r="AB2269" s="102">
        <v>0</v>
      </c>
      <c r="AC2269" s="81">
        <f t="shared" si="108"/>
        <v>0</v>
      </c>
      <c r="AD2269" s="82">
        <f t="shared" si="109"/>
        <v>0</v>
      </c>
      <c r="AE2269" s="218">
        <v>-0.46672562138295703</v>
      </c>
      <c r="AF2269">
        <v>9</v>
      </c>
      <c r="AH2269" t="str">
        <f t="shared" si="110"/>
        <v>Halsi</v>
      </c>
      <c r="AJ2269" s="72">
        <v>0</v>
      </c>
      <c r="AK2269" s="72"/>
      <c r="AL2269" s="72"/>
      <c r="AM2269" s="72"/>
    </row>
    <row r="2270" spans="1:39" x14ac:dyDescent="0.25">
      <c r="A2270" s="37" t="s">
        <v>62</v>
      </c>
      <c r="B2270" s="66" t="s">
        <v>1654</v>
      </c>
      <c r="C2270" s="41">
        <v>1009</v>
      </c>
      <c r="D2270" s="41" t="s">
        <v>244</v>
      </c>
      <c r="E2270" s="41">
        <v>10090022</v>
      </c>
      <c r="F2270" s="85" t="s">
        <v>259</v>
      </c>
      <c r="G2270" s="39" t="s">
        <v>92</v>
      </c>
      <c r="H2270" s="52" t="s">
        <v>98</v>
      </c>
      <c r="I2270" s="52">
        <v>488.09999999999991</v>
      </c>
      <c r="J2270" s="49">
        <v>19472.640000000003</v>
      </c>
      <c r="K2270" s="58">
        <v>0</v>
      </c>
      <c r="L2270" s="58">
        <v>0</v>
      </c>
      <c r="M2270" s="58">
        <v>0</v>
      </c>
      <c r="N2270" s="58">
        <v>0</v>
      </c>
      <c r="O2270" s="58">
        <v>0</v>
      </c>
      <c r="P2270" s="53">
        <v>0</v>
      </c>
      <c r="Q2270" s="65">
        <v>19472.640000000003</v>
      </c>
      <c r="R2270" s="65">
        <v>0</v>
      </c>
      <c r="S2270" s="65">
        <v>0</v>
      </c>
      <c r="T2270" s="65">
        <v>0</v>
      </c>
      <c r="U2270" s="58">
        <v>0</v>
      </c>
      <c r="V2270" s="65">
        <v>0</v>
      </c>
      <c r="W2270" s="65">
        <v>0</v>
      </c>
      <c r="X2270" s="65">
        <v>0</v>
      </c>
      <c r="Y2270" s="65">
        <v>0</v>
      </c>
      <c r="Z2270" s="51">
        <v>19472.640000000003</v>
      </c>
      <c r="AA2270" s="51">
        <v>0</v>
      </c>
      <c r="AB2270" s="102">
        <v>0</v>
      </c>
      <c r="AC2270" s="81">
        <f t="shared" si="108"/>
        <v>169.07405925015377</v>
      </c>
      <c r="AD2270" s="82">
        <f t="shared" si="109"/>
        <v>69.728571428571414</v>
      </c>
      <c r="AE2270" s="218">
        <v>0</v>
      </c>
      <c r="AF2270">
        <v>0</v>
      </c>
      <c r="AH2270" t="str">
        <f t="shared" si="110"/>
        <v>Halsi</v>
      </c>
      <c r="AJ2270" s="72">
        <v>0</v>
      </c>
      <c r="AK2270" s="72"/>
      <c r="AL2270" s="72"/>
      <c r="AM2270" s="72"/>
    </row>
    <row r="2271" spans="1:39" x14ac:dyDescent="0.25">
      <c r="A2271" s="37" t="s">
        <v>62</v>
      </c>
      <c r="B2271" s="66" t="s">
        <v>1654</v>
      </c>
      <c r="C2271" s="41">
        <v>1009</v>
      </c>
      <c r="D2271" s="41" t="s">
        <v>244</v>
      </c>
      <c r="E2271" s="41">
        <v>10090024</v>
      </c>
      <c r="F2271" s="85" t="s">
        <v>260</v>
      </c>
      <c r="G2271" s="39" t="s">
        <v>92</v>
      </c>
      <c r="H2271" s="52" t="s">
        <v>98</v>
      </c>
      <c r="I2271" s="52">
        <v>177.4</v>
      </c>
      <c r="J2271" s="49">
        <v>7271.38</v>
      </c>
      <c r="K2271" s="58">
        <v>0</v>
      </c>
      <c r="L2271" s="58">
        <v>0</v>
      </c>
      <c r="M2271" s="58">
        <v>0</v>
      </c>
      <c r="N2271" s="58">
        <v>0</v>
      </c>
      <c r="O2271" s="58">
        <v>0</v>
      </c>
      <c r="P2271" s="53">
        <v>0</v>
      </c>
      <c r="Q2271" s="65">
        <v>7271.38</v>
      </c>
      <c r="R2271" s="65">
        <v>0</v>
      </c>
      <c r="S2271" s="65">
        <v>0</v>
      </c>
      <c r="T2271" s="65">
        <v>0</v>
      </c>
      <c r="U2271" s="58">
        <v>0</v>
      </c>
      <c r="V2271" s="65">
        <v>0</v>
      </c>
      <c r="W2271" s="65">
        <v>0</v>
      </c>
      <c r="X2271" s="65">
        <v>0</v>
      </c>
      <c r="Y2271" s="65">
        <v>0</v>
      </c>
      <c r="Z2271" s="51">
        <v>7271.38</v>
      </c>
      <c r="AA2271" s="51">
        <v>0</v>
      </c>
      <c r="AB2271" s="102">
        <v>0</v>
      </c>
      <c r="AC2271" s="81">
        <f t="shared" si="108"/>
        <v>428.41298624577229</v>
      </c>
      <c r="AD2271" s="82">
        <f t="shared" si="109"/>
        <v>25.342857142857145</v>
      </c>
      <c r="AE2271" s="218">
        <v>0</v>
      </c>
      <c r="AF2271">
        <v>0</v>
      </c>
      <c r="AH2271" t="str">
        <f t="shared" si="110"/>
        <v>Halsi</v>
      </c>
      <c r="AJ2271" s="72">
        <v>0</v>
      </c>
      <c r="AK2271" s="72"/>
      <c r="AL2271" s="72"/>
      <c r="AM2271" s="72"/>
    </row>
    <row r="2272" spans="1:39" x14ac:dyDescent="0.25">
      <c r="A2272" s="37" t="s">
        <v>62</v>
      </c>
      <c r="B2272" s="66" t="s">
        <v>1654</v>
      </c>
      <c r="C2272" s="41">
        <v>1009</v>
      </c>
      <c r="D2272" s="41" t="s">
        <v>244</v>
      </c>
      <c r="E2272" s="41">
        <v>10090025</v>
      </c>
      <c r="F2272" s="85" t="s">
        <v>484</v>
      </c>
      <c r="G2272" s="39" t="s">
        <v>1610</v>
      </c>
      <c r="H2272" s="52" t="s">
        <v>98</v>
      </c>
      <c r="I2272" s="52">
        <v>546.4</v>
      </c>
      <c r="J2272" s="49">
        <v>21296.14</v>
      </c>
      <c r="K2272" s="58">
        <v>0</v>
      </c>
      <c r="L2272" s="58">
        <v>0</v>
      </c>
      <c r="M2272" s="58">
        <v>0</v>
      </c>
      <c r="N2272" s="58">
        <v>0</v>
      </c>
      <c r="O2272" s="58">
        <v>0</v>
      </c>
      <c r="P2272" s="53">
        <v>0</v>
      </c>
      <c r="Q2272" s="65">
        <v>21296.14</v>
      </c>
      <c r="R2272" s="65">
        <v>0</v>
      </c>
      <c r="S2272" s="65">
        <v>0</v>
      </c>
      <c r="T2272" s="65">
        <v>0</v>
      </c>
      <c r="U2272" s="58">
        <v>0</v>
      </c>
      <c r="V2272" s="65">
        <v>0</v>
      </c>
      <c r="W2272" s="65">
        <v>0</v>
      </c>
      <c r="X2272" s="65">
        <v>0</v>
      </c>
      <c r="Y2272" s="65">
        <v>0</v>
      </c>
      <c r="Z2272" s="51">
        <v>21296.14</v>
      </c>
      <c r="AA2272" s="51">
        <v>0</v>
      </c>
      <c r="AB2272" s="102">
        <v>0</v>
      </c>
      <c r="AC2272" s="81">
        <f t="shared" si="108"/>
        <v>119.73232445095174</v>
      </c>
      <c r="AD2272" s="82">
        <f t="shared" si="109"/>
        <v>78.05714285714285</v>
      </c>
      <c r="AE2272" s="218">
        <v>0</v>
      </c>
      <c r="AF2272">
        <v>0</v>
      </c>
      <c r="AH2272" t="str">
        <f t="shared" si="110"/>
        <v>Halsi</v>
      </c>
      <c r="AJ2272" s="72">
        <v>0</v>
      </c>
      <c r="AK2272" s="72"/>
      <c r="AL2272" s="72"/>
      <c r="AM2272" s="72"/>
    </row>
    <row r="2273" spans="1:39" x14ac:dyDescent="0.25">
      <c r="A2273" s="37" t="s">
        <v>62</v>
      </c>
      <c r="B2273" s="66" t="s">
        <v>1654</v>
      </c>
      <c r="C2273" s="41">
        <v>1009</v>
      </c>
      <c r="D2273" s="41" t="s">
        <v>244</v>
      </c>
      <c r="E2273" s="41">
        <v>10090027</v>
      </c>
      <c r="F2273" s="85" t="s">
        <v>261</v>
      </c>
      <c r="G2273" s="39" t="s">
        <v>1610</v>
      </c>
      <c r="H2273" s="52" t="s">
        <v>98</v>
      </c>
      <c r="I2273" s="52">
        <v>1858.6999999999998</v>
      </c>
      <c r="J2273" s="49">
        <v>81216.98000000001</v>
      </c>
      <c r="K2273" s="58">
        <v>0</v>
      </c>
      <c r="L2273" s="58">
        <v>0</v>
      </c>
      <c r="M2273" s="58">
        <v>0</v>
      </c>
      <c r="N2273" s="58">
        <v>0</v>
      </c>
      <c r="O2273" s="58">
        <v>0</v>
      </c>
      <c r="P2273" s="53">
        <v>0</v>
      </c>
      <c r="Q2273" s="65">
        <v>81216.98000000001</v>
      </c>
      <c r="R2273" s="65">
        <v>0</v>
      </c>
      <c r="S2273" s="65">
        <v>0</v>
      </c>
      <c r="T2273" s="65">
        <v>0</v>
      </c>
      <c r="U2273" s="58">
        <v>0</v>
      </c>
      <c r="V2273" s="65">
        <v>0</v>
      </c>
      <c r="W2273" s="65">
        <v>0</v>
      </c>
      <c r="X2273" s="65">
        <v>0</v>
      </c>
      <c r="Y2273" s="65">
        <v>0</v>
      </c>
      <c r="Z2273" s="51">
        <v>81216.98000000001</v>
      </c>
      <c r="AA2273" s="51">
        <v>0</v>
      </c>
      <c r="AB2273" s="102">
        <v>0</v>
      </c>
      <c r="AC2273" s="81">
        <f t="shared" si="108"/>
        <v>0</v>
      </c>
      <c r="AD2273" s="82">
        <f t="shared" si="109"/>
        <v>0</v>
      </c>
      <c r="AE2273" s="218">
        <v>0</v>
      </c>
      <c r="AF2273">
        <v>0</v>
      </c>
      <c r="AH2273" t="str">
        <f t="shared" si="110"/>
        <v>Halsi</v>
      </c>
      <c r="AJ2273" s="72">
        <v>0</v>
      </c>
      <c r="AK2273" s="72"/>
      <c r="AL2273" s="72"/>
      <c r="AM2273" s="72"/>
    </row>
    <row r="2274" spans="1:39" x14ac:dyDescent="0.25">
      <c r="A2274" s="37" t="s">
        <v>62</v>
      </c>
      <c r="B2274" s="66" t="s">
        <v>1654</v>
      </c>
      <c r="C2274" s="41">
        <v>1009</v>
      </c>
      <c r="D2274" s="41" t="s">
        <v>244</v>
      </c>
      <c r="E2274" s="41">
        <v>10090029</v>
      </c>
      <c r="F2274" s="85" t="s">
        <v>262</v>
      </c>
      <c r="G2274" s="39" t="s">
        <v>92</v>
      </c>
      <c r="H2274" s="52" t="s">
        <v>93</v>
      </c>
      <c r="I2274" s="52">
        <v>752.19999999999993</v>
      </c>
      <c r="J2274" s="49">
        <v>33394.310000000005</v>
      </c>
      <c r="K2274" s="58">
        <v>773.69999999999982</v>
      </c>
      <c r="L2274" s="58">
        <v>33089.43</v>
      </c>
      <c r="M2274" s="58">
        <v>5.0599999999999996</v>
      </c>
      <c r="N2274" s="58">
        <v>246.88</v>
      </c>
      <c r="O2274" s="58">
        <v>778.75999999999976</v>
      </c>
      <c r="P2274" s="53">
        <v>33336.31</v>
      </c>
      <c r="Q2274" s="65">
        <v>33336.31</v>
      </c>
      <c r="R2274" s="65">
        <v>0</v>
      </c>
      <c r="S2274" s="65">
        <v>246.88</v>
      </c>
      <c r="T2274" s="65">
        <v>0</v>
      </c>
      <c r="U2274" s="58">
        <v>0</v>
      </c>
      <c r="V2274" s="65">
        <v>0</v>
      </c>
      <c r="W2274" s="65">
        <v>0</v>
      </c>
      <c r="X2274" s="65">
        <v>33089</v>
      </c>
      <c r="Y2274" s="65">
        <v>0</v>
      </c>
      <c r="Z2274" s="51">
        <v>0</v>
      </c>
      <c r="AA2274" s="51">
        <v>58</v>
      </c>
      <c r="AB2274" s="102">
        <v>0</v>
      </c>
      <c r="AC2274" s="81">
        <f t="shared" si="108"/>
        <v>0</v>
      </c>
      <c r="AD2274" s="82">
        <f t="shared" si="109"/>
        <v>0</v>
      </c>
      <c r="AE2274" s="218">
        <v>1.736822829997304E-3</v>
      </c>
      <c r="AF2274">
        <v>17</v>
      </c>
      <c r="AH2274" t="str">
        <f t="shared" si="110"/>
        <v>Halsi</v>
      </c>
      <c r="AJ2274" s="72">
        <v>0</v>
      </c>
      <c r="AK2274" s="72"/>
      <c r="AL2274" s="72"/>
      <c r="AM2274" s="72"/>
    </row>
    <row r="2275" spans="1:39" x14ac:dyDescent="0.25">
      <c r="A2275" s="37" t="s">
        <v>62</v>
      </c>
      <c r="B2275" s="66" t="s">
        <v>1654</v>
      </c>
      <c r="C2275" s="41">
        <v>1009</v>
      </c>
      <c r="D2275" s="41" t="s">
        <v>244</v>
      </c>
      <c r="E2275" s="41">
        <v>10090033</v>
      </c>
      <c r="F2275" s="85" t="s">
        <v>263</v>
      </c>
      <c r="G2275" s="39" t="s">
        <v>92</v>
      </c>
      <c r="H2275" s="52" t="s">
        <v>93</v>
      </c>
      <c r="I2275" s="52">
        <v>1206.7000000000003</v>
      </c>
      <c r="J2275" s="49">
        <v>57910.560000000005</v>
      </c>
      <c r="K2275" s="58">
        <v>1211.8599999999999</v>
      </c>
      <c r="L2275" s="58">
        <v>59580.939999999988</v>
      </c>
      <c r="M2275" s="58">
        <v>5.32</v>
      </c>
      <c r="N2275" s="58">
        <v>252.88</v>
      </c>
      <c r="O2275" s="58">
        <v>1217.1799999999998</v>
      </c>
      <c r="P2275" s="53">
        <v>59833.819999999985</v>
      </c>
      <c r="Q2275" s="65">
        <v>57910.560000000005</v>
      </c>
      <c r="R2275" s="65">
        <v>0</v>
      </c>
      <c r="S2275" s="65">
        <v>252.88</v>
      </c>
      <c r="T2275" s="65">
        <v>1923.2599999999802</v>
      </c>
      <c r="U2275" s="58">
        <v>0</v>
      </c>
      <c r="V2275" s="65">
        <v>0</v>
      </c>
      <c r="W2275" s="65">
        <v>0</v>
      </c>
      <c r="X2275" s="65">
        <v>57658</v>
      </c>
      <c r="Y2275" s="65">
        <v>0</v>
      </c>
      <c r="Z2275" s="51">
        <v>0</v>
      </c>
      <c r="AA2275" s="51">
        <v>0</v>
      </c>
      <c r="AB2275" s="102">
        <v>0</v>
      </c>
      <c r="AC2275" s="81">
        <f t="shared" si="108"/>
        <v>0</v>
      </c>
      <c r="AD2275" s="82">
        <f t="shared" si="109"/>
        <v>0</v>
      </c>
      <c r="AE2275" s="218">
        <v>-3.3210868622233665E-2</v>
      </c>
      <c r="AF2275">
        <v>8</v>
      </c>
      <c r="AH2275" t="str">
        <f t="shared" si="110"/>
        <v>Halsi</v>
      </c>
      <c r="AJ2275" s="72">
        <v>0</v>
      </c>
      <c r="AK2275" s="72"/>
      <c r="AL2275" s="72"/>
      <c r="AM2275" s="72"/>
    </row>
    <row r="2276" spans="1:39" x14ac:dyDescent="0.25">
      <c r="A2276" s="37" t="s">
        <v>62</v>
      </c>
      <c r="B2276" s="66" t="s">
        <v>1654</v>
      </c>
      <c r="C2276" s="41">
        <v>1009</v>
      </c>
      <c r="D2276" s="41" t="s">
        <v>244</v>
      </c>
      <c r="E2276" s="41">
        <v>10090036</v>
      </c>
      <c r="F2276" s="85" t="s">
        <v>264</v>
      </c>
      <c r="G2276" s="39" t="s">
        <v>92</v>
      </c>
      <c r="H2276" s="52" t="s">
        <v>93</v>
      </c>
      <c r="I2276" s="52">
        <v>1701.4</v>
      </c>
      <c r="J2276" s="49">
        <v>76551.160000000018</v>
      </c>
      <c r="K2276" s="58">
        <v>1685.5600000000006</v>
      </c>
      <c r="L2276" s="58">
        <v>75937.599999999977</v>
      </c>
      <c r="M2276" s="58">
        <v>14.479999999999997</v>
      </c>
      <c r="N2276" s="58">
        <v>649.48</v>
      </c>
      <c r="O2276" s="58">
        <v>1700.0400000000006</v>
      </c>
      <c r="P2276" s="53">
        <v>76587.079999999973</v>
      </c>
      <c r="Q2276" s="65">
        <v>76551.160000000018</v>
      </c>
      <c r="R2276" s="65">
        <v>0</v>
      </c>
      <c r="S2276" s="65">
        <v>649.48</v>
      </c>
      <c r="T2276" s="65">
        <v>35.919999999954598</v>
      </c>
      <c r="U2276" s="58">
        <v>0</v>
      </c>
      <c r="V2276" s="65">
        <v>0</v>
      </c>
      <c r="W2276" s="65">
        <v>0</v>
      </c>
      <c r="X2276" s="65">
        <v>75902</v>
      </c>
      <c r="Y2276" s="65">
        <v>0</v>
      </c>
      <c r="Z2276" s="51">
        <v>0</v>
      </c>
      <c r="AA2276" s="51">
        <v>0</v>
      </c>
      <c r="AB2276" s="102">
        <v>0</v>
      </c>
      <c r="AC2276" s="81">
        <f t="shared" si="108"/>
        <v>0</v>
      </c>
      <c r="AD2276" s="82">
        <f t="shared" si="109"/>
        <v>0</v>
      </c>
      <c r="AE2276" s="218">
        <v>-4.6922868314411682E-4</v>
      </c>
      <c r="AF2276">
        <v>35</v>
      </c>
      <c r="AH2276" t="str">
        <f t="shared" si="110"/>
        <v>Halsi</v>
      </c>
      <c r="AJ2276" s="72">
        <v>0</v>
      </c>
      <c r="AK2276" s="72"/>
      <c r="AL2276" s="72"/>
      <c r="AM2276" s="72"/>
    </row>
    <row r="2277" spans="1:39" x14ac:dyDescent="0.25">
      <c r="A2277" s="37" t="s">
        <v>62</v>
      </c>
      <c r="B2277" s="66" t="s">
        <v>1654</v>
      </c>
      <c r="C2277" s="41">
        <v>1009</v>
      </c>
      <c r="D2277" s="41" t="s">
        <v>244</v>
      </c>
      <c r="E2277" s="41">
        <v>10090037</v>
      </c>
      <c r="F2277" s="85" t="s">
        <v>265</v>
      </c>
      <c r="G2277" s="39" t="s">
        <v>92</v>
      </c>
      <c r="H2277" s="52" t="s">
        <v>93</v>
      </c>
      <c r="I2277" s="52">
        <v>765.59999999999991</v>
      </c>
      <c r="J2277" s="49">
        <v>39766.31</v>
      </c>
      <c r="K2277" s="58">
        <v>526.35</v>
      </c>
      <c r="L2277" s="58">
        <v>26896.68</v>
      </c>
      <c r="M2277" s="58">
        <v>211.98000000000002</v>
      </c>
      <c r="N2277" s="58">
        <v>13509.93</v>
      </c>
      <c r="O2277" s="58">
        <v>738.33</v>
      </c>
      <c r="P2277" s="53">
        <v>40406.61</v>
      </c>
      <c r="Q2277" s="65">
        <v>39766.31</v>
      </c>
      <c r="R2277" s="65">
        <v>0</v>
      </c>
      <c r="S2277" s="65">
        <v>307.01</v>
      </c>
      <c r="T2277" s="65">
        <v>640.30000000000291</v>
      </c>
      <c r="U2277" s="58">
        <v>0</v>
      </c>
      <c r="V2277" s="65">
        <v>0</v>
      </c>
      <c r="W2277" s="65">
        <v>0</v>
      </c>
      <c r="X2277" s="65">
        <v>26255</v>
      </c>
      <c r="Y2277" s="65">
        <v>13204</v>
      </c>
      <c r="Z2277" s="51">
        <v>0</v>
      </c>
      <c r="AA2277" s="51">
        <v>0</v>
      </c>
      <c r="AB2277" s="102">
        <v>0</v>
      </c>
      <c r="AC2277" s="81">
        <f t="shared" si="108"/>
        <v>0</v>
      </c>
      <c r="AD2277" s="82">
        <f t="shared" si="109"/>
        <v>0</v>
      </c>
      <c r="AE2277" s="218">
        <v>-1.6101569393790947E-2</v>
      </c>
      <c r="AF2277">
        <v>10</v>
      </c>
      <c r="AH2277" t="str">
        <f t="shared" si="110"/>
        <v>Halsi</v>
      </c>
      <c r="AJ2277" s="72">
        <v>0</v>
      </c>
      <c r="AK2277" s="72"/>
      <c r="AL2277" s="72"/>
      <c r="AM2277" s="72"/>
    </row>
    <row r="2278" spans="1:39" x14ac:dyDescent="0.25">
      <c r="A2278" s="37" t="s">
        <v>62</v>
      </c>
      <c r="B2278" s="66" t="s">
        <v>1654</v>
      </c>
      <c r="C2278" s="41">
        <v>1009</v>
      </c>
      <c r="D2278" s="41" t="s">
        <v>244</v>
      </c>
      <c r="E2278" s="41">
        <v>10090039</v>
      </c>
      <c r="F2278" s="85" t="s">
        <v>1578</v>
      </c>
      <c r="G2278" s="39" t="s">
        <v>1610</v>
      </c>
      <c r="H2278" s="52" t="s">
        <v>93</v>
      </c>
      <c r="I2278" s="52">
        <v>281.89999999999998</v>
      </c>
      <c r="J2278" s="49">
        <v>11537.08</v>
      </c>
      <c r="K2278" s="58">
        <v>267.42</v>
      </c>
      <c r="L2278" s="58">
        <v>10836.850000000002</v>
      </c>
      <c r="M2278" s="58">
        <v>0</v>
      </c>
      <c r="N2278" s="58">
        <v>0</v>
      </c>
      <c r="O2278" s="58">
        <v>267.42</v>
      </c>
      <c r="P2278" s="53">
        <v>10836.850000000002</v>
      </c>
      <c r="Q2278" s="65">
        <v>10836.850000000002</v>
      </c>
      <c r="R2278" s="65">
        <v>0</v>
      </c>
      <c r="S2278" s="65">
        <v>0</v>
      </c>
      <c r="T2278" s="65">
        <v>0</v>
      </c>
      <c r="U2278" s="58">
        <v>0</v>
      </c>
      <c r="V2278" s="65">
        <v>0</v>
      </c>
      <c r="W2278" s="65">
        <v>0</v>
      </c>
      <c r="X2278" s="65">
        <v>10837</v>
      </c>
      <c r="Y2278" s="65">
        <v>0</v>
      </c>
      <c r="Z2278" s="51">
        <v>0</v>
      </c>
      <c r="AA2278" s="51">
        <v>700</v>
      </c>
      <c r="AB2278" s="102">
        <v>0</v>
      </c>
      <c r="AC2278" s="81">
        <f t="shared" si="108"/>
        <v>342.22441631784329</v>
      </c>
      <c r="AD2278" s="82">
        <f t="shared" si="109"/>
        <v>40.271428571428565</v>
      </c>
      <c r="AE2278" s="218">
        <v>6.0693867079018068E-2</v>
      </c>
      <c r="AF2278">
        <v>6</v>
      </c>
      <c r="AH2278" t="str">
        <f t="shared" si="110"/>
        <v>Halsi</v>
      </c>
      <c r="AJ2278" s="72">
        <v>0</v>
      </c>
      <c r="AK2278" s="72"/>
      <c r="AL2278" s="72"/>
      <c r="AM2278" s="72"/>
    </row>
    <row r="2279" spans="1:39" x14ac:dyDescent="0.25">
      <c r="A2279" s="37" t="s">
        <v>62</v>
      </c>
      <c r="B2279" s="66" t="s">
        <v>1654</v>
      </c>
      <c r="C2279" s="41">
        <v>1009</v>
      </c>
      <c r="D2279" s="41" t="s">
        <v>244</v>
      </c>
      <c r="E2279" s="41">
        <v>10090041</v>
      </c>
      <c r="F2279" s="85" t="s">
        <v>266</v>
      </c>
      <c r="G2279" s="39" t="s">
        <v>1610</v>
      </c>
      <c r="H2279" s="52" t="s">
        <v>98</v>
      </c>
      <c r="I2279" s="52">
        <v>323.2</v>
      </c>
      <c r="J2279" s="49">
        <v>10022.24</v>
      </c>
      <c r="K2279" s="58">
        <v>0</v>
      </c>
      <c r="L2279" s="58">
        <v>0</v>
      </c>
      <c r="M2279" s="58">
        <v>0</v>
      </c>
      <c r="N2279" s="58">
        <v>0</v>
      </c>
      <c r="O2279" s="58">
        <v>0</v>
      </c>
      <c r="P2279" s="53">
        <v>0</v>
      </c>
      <c r="Q2279" s="65">
        <v>10022.24</v>
      </c>
      <c r="R2279" s="65">
        <v>0</v>
      </c>
      <c r="S2279" s="65">
        <v>0</v>
      </c>
      <c r="T2279" s="65">
        <v>0</v>
      </c>
      <c r="U2279" s="58">
        <v>0</v>
      </c>
      <c r="V2279" s="65">
        <v>0</v>
      </c>
      <c r="W2279" s="65">
        <v>0</v>
      </c>
      <c r="X2279" s="65">
        <v>0</v>
      </c>
      <c r="Y2279" s="65">
        <v>0</v>
      </c>
      <c r="Z2279" s="51">
        <v>10022.24</v>
      </c>
      <c r="AA2279" s="51">
        <v>0</v>
      </c>
      <c r="AB2279" s="102">
        <v>0</v>
      </c>
      <c r="AC2279" s="81">
        <f t="shared" si="108"/>
        <v>233.68688316831685</v>
      </c>
      <c r="AD2279" s="82">
        <f t="shared" si="109"/>
        <v>46.171428571428571</v>
      </c>
      <c r="AE2279" s="218">
        <v>0</v>
      </c>
      <c r="AF2279">
        <v>0</v>
      </c>
      <c r="AH2279" t="str">
        <f t="shared" si="110"/>
        <v>Halsi</v>
      </c>
      <c r="AJ2279" s="72">
        <v>0</v>
      </c>
      <c r="AK2279" s="72"/>
      <c r="AL2279" s="72"/>
      <c r="AM2279" s="72"/>
    </row>
    <row r="2280" spans="1:39" x14ac:dyDescent="0.25">
      <c r="A2280" s="37" t="s">
        <v>62</v>
      </c>
      <c r="B2280" s="66" t="s">
        <v>1654</v>
      </c>
      <c r="C2280" s="41">
        <v>1009</v>
      </c>
      <c r="D2280" s="41" t="s">
        <v>244</v>
      </c>
      <c r="E2280" s="41">
        <v>10090042</v>
      </c>
      <c r="F2280" s="85" t="s">
        <v>267</v>
      </c>
      <c r="G2280" s="39" t="s">
        <v>92</v>
      </c>
      <c r="H2280" s="52" t="s">
        <v>93</v>
      </c>
      <c r="I2280" s="52">
        <v>1004.4999999999999</v>
      </c>
      <c r="J2280" s="49">
        <v>44664.499999999993</v>
      </c>
      <c r="K2280" s="58">
        <v>1011.8600000000001</v>
      </c>
      <c r="L2280" s="58">
        <v>46904.45</v>
      </c>
      <c r="M2280" s="58">
        <v>2.66</v>
      </c>
      <c r="N2280" s="58">
        <v>118.83999999999997</v>
      </c>
      <c r="O2280" s="58">
        <v>1014.5200000000001</v>
      </c>
      <c r="P2280" s="53">
        <v>47023.289999999994</v>
      </c>
      <c r="Q2280" s="65">
        <v>44664.499999999993</v>
      </c>
      <c r="R2280" s="65">
        <v>0</v>
      </c>
      <c r="S2280" s="65">
        <v>118.83999999999997</v>
      </c>
      <c r="T2280" s="65">
        <v>2358.7900000000009</v>
      </c>
      <c r="U2280" s="58">
        <v>0</v>
      </c>
      <c r="V2280" s="65">
        <v>0</v>
      </c>
      <c r="W2280" s="65">
        <v>0</v>
      </c>
      <c r="X2280" s="65">
        <v>44545</v>
      </c>
      <c r="Y2280" s="65">
        <v>0</v>
      </c>
      <c r="Z2280" s="51">
        <v>0</v>
      </c>
      <c r="AA2280" s="51">
        <v>1</v>
      </c>
      <c r="AB2280" s="102">
        <v>0</v>
      </c>
      <c r="AC2280" s="81">
        <f t="shared" si="108"/>
        <v>0</v>
      </c>
      <c r="AD2280" s="82">
        <f t="shared" si="109"/>
        <v>0</v>
      </c>
      <c r="AE2280" s="218">
        <v>-5.2811293085112364E-2</v>
      </c>
      <c r="AF2280">
        <v>5</v>
      </c>
      <c r="AH2280" t="str">
        <f t="shared" si="110"/>
        <v>Halsi</v>
      </c>
      <c r="AJ2280" s="72">
        <v>0</v>
      </c>
      <c r="AK2280" s="72"/>
      <c r="AL2280" s="72"/>
      <c r="AM2280" s="72"/>
    </row>
    <row r="2281" spans="1:39" x14ac:dyDescent="0.25">
      <c r="A2281" s="37" t="s">
        <v>62</v>
      </c>
      <c r="B2281" s="66" t="s">
        <v>1654</v>
      </c>
      <c r="C2281" s="41">
        <v>1009</v>
      </c>
      <c r="D2281" s="41" t="s">
        <v>244</v>
      </c>
      <c r="E2281" s="41">
        <v>10090045</v>
      </c>
      <c r="F2281" s="85" t="s">
        <v>1269</v>
      </c>
      <c r="G2281" s="39" t="s">
        <v>92</v>
      </c>
      <c r="H2281" s="52" t="s">
        <v>93</v>
      </c>
      <c r="I2281" s="52">
        <v>66.7</v>
      </c>
      <c r="J2281" s="49">
        <v>2959.5899999999997</v>
      </c>
      <c r="K2281" s="58">
        <v>66.900000000000006</v>
      </c>
      <c r="L2281" s="58">
        <v>2963.74</v>
      </c>
      <c r="M2281" s="58">
        <v>0</v>
      </c>
      <c r="N2281" s="58">
        <v>0</v>
      </c>
      <c r="O2281" s="58">
        <v>66.900000000000006</v>
      </c>
      <c r="P2281" s="53">
        <v>2963.74</v>
      </c>
      <c r="Q2281" s="65">
        <v>2959.5899999999997</v>
      </c>
      <c r="R2281" s="65">
        <v>0</v>
      </c>
      <c r="S2281" s="65">
        <v>0</v>
      </c>
      <c r="T2281" s="65">
        <v>4.1500000000000909</v>
      </c>
      <c r="U2281" s="58">
        <v>0</v>
      </c>
      <c r="V2281" s="65">
        <v>0</v>
      </c>
      <c r="W2281" s="65">
        <v>0</v>
      </c>
      <c r="X2281" s="65">
        <v>2960</v>
      </c>
      <c r="Y2281" s="65">
        <v>0</v>
      </c>
      <c r="Z2281" s="51">
        <v>0</v>
      </c>
      <c r="AA2281" s="51">
        <v>0</v>
      </c>
      <c r="AB2281" s="102">
        <v>0</v>
      </c>
      <c r="AC2281" s="81">
        <f t="shared" si="108"/>
        <v>562.01149835082458</v>
      </c>
      <c r="AD2281" s="82">
        <f t="shared" si="109"/>
        <v>9.5285714285714285</v>
      </c>
      <c r="AE2281" s="218">
        <v>-1.40222125361962E-3</v>
      </c>
      <c r="AF2281">
        <v>1</v>
      </c>
      <c r="AH2281" t="str">
        <f t="shared" si="110"/>
        <v>Halsi</v>
      </c>
      <c r="AJ2281" s="72">
        <v>0</v>
      </c>
      <c r="AK2281" s="72"/>
      <c r="AL2281" s="72"/>
      <c r="AM2281" s="72"/>
    </row>
    <row r="2282" spans="1:39" x14ac:dyDescent="0.25">
      <c r="A2282" s="37" t="s">
        <v>62</v>
      </c>
      <c r="B2282" s="66" t="s">
        <v>1654</v>
      </c>
      <c r="C2282" s="41">
        <v>1009</v>
      </c>
      <c r="D2282" s="41" t="s">
        <v>244</v>
      </c>
      <c r="E2282" s="41">
        <v>10090046</v>
      </c>
      <c r="F2282" s="85" t="s">
        <v>268</v>
      </c>
      <c r="G2282" s="39" t="s">
        <v>92</v>
      </c>
      <c r="H2282" s="52" t="s">
        <v>93</v>
      </c>
      <c r="I2282" s="52">
        <v>539.29999999999995</v>
      </c>
      <c r="J2282" s="49">
        <v>25079.309999999998</v>
      </c>
      <c r="K2282" s="58">
        <v>579.35</v>
      </c>
      <c r="L2282" s="58">
        <v>28373.41</v>
      </c>
      <c r="M2282" s="58">
        <v>4.53</v>
      </c>
      <c r="N2282" s="58">
        <v>169.61</v>
      </c>
      <c r="O2282" s="58">
        <v>583.88</v>
      </c>
      <c r="P2282" s="53">
        <v>28543.02</v>
      </c>
      <c r="Q2282" s="65">
        <v>25079.309999999998</v>
      </c>
      <c r="R2282" s="65">
        <v>0</v>
      </c>
      <c r="S2282" s="65">
        <v>169.61</v>
      </c>
      <c r="T2282" s="65">
        <v>3463.7100000000028</v>
      </c>
      <c r="U2282" s="58">
        <v>0</v>
      </c>
      <c r="V2282" s="65">
        <v>0</v>
      </c>
      <c r="W2282" s="65">
        <v>0</v>
      </c>
      <c r="X2282" s="65">
        <v>24909</v>
      </c>
      <c r="Y2282" s="65">
        <v>0</v>
      </c>
      <c r="Z2282" s="51">
        <v>0</v>
      </c>
      <c r="AA2282" s="51">
        <v>1</v>
      </c>
      <c r="AB2282" s="102">
        <v>0</v>
      </c>
      <c r="AC2282" s="81">
        <f t="shared" si="108"/>
        <v>149.46208481364741</v>
      </c>
      <c r="AD2282" s="82">
        <f t="shared" si="109"/>
        <v>77.04285714285713</v>
      </c>
      <c r="AE2282" s="218">
        <v>-0.13811025901430315</v>
      </c>
      <c r="AF2282">
        <v>5</v>
      </c>
      <c r="AH2282" t="str">
        <f t="shared" si="110"/>
        <v>Halsi</v>
      </c>
      <c r="AJ2282" s="72">
        <v>0</v>
      </c>
      <c r="AK2282" s="72"/>
      <c r="AL2282" s="72"/>
      <c r="AM2282" s="72"/>
    </row>
    <row r="2283" spans="1:39" x14ac:dyDescent="0.25">
      <c r="A2283" s="37" t="s">
        <v>62</v>
      </c>
      <c r="B2283" s="66" t="s">
        <v>1654</v>
      </c>
      <c r="C2283" s="41">
        <v>1009</v>
      </c>
      <c r="D2283" s="41" t="s">
        <v>244</v>
      </c>
      <c r="E2283" s="41">
        <v>10090047</v>
      </c>
      <c r="F2283" s="85" t="s">
        <v>269</v>
      </c>
      <c r="G2283" s="39" t="s">
        <v>92</v>
      </c>
      <c r="H2283" s="52" t="s">
        <v>93</v>
      </c>
      <c r="I2283" s="52">
        <v>325.8</v>
      </c>
      <c r="J2283" s="49">
        <v>14112.58</v>
      </c>
      <c r="K2283" s="58">
        <v>333.95000000000005</v>
      </c>
      <c r="L2283" s="58">
        <v>13694.49</v>
      </c>
      <c r="M2283" s="58">
        <v>8.1</v>
      </c>
      <c r="N2283" s="58">
        <v>349.94000000000005</v>
      </c>
      <c r="O2283" s="58">
        <v>342.05000000000007</v>
      </c>
      <c r="P2283" s="53">
        <v>14044.43</v>
      </c>
      <c r="Q2283" s="65">
        <v>14044.43</v>
      </c>
      <c r="R2283" s="65">
        <v>0</v>
      </c>
      <c r="S2283" s="65">
        <v>349.94000000000005</v>
      </c>
      <c r="T2283" s="65">
        <v>0</v>
      </c>
      <c r="U2283" s="58">
        <v>0</v>
      </c>
      <c r="V2283" s="65">
        <v>0</v>
      </c>
      <c r="W2283" s="65">
        <v>0</v>
      </c>
      <c r="X2283" s="65">
        <v>13693</v>
      </c>
      <c r="Y2283" s="65">
        <v>0</v>
      </c>
      <c r="Z2283" s="51">
        <v>0</v>
      </c>
      <c r="AA2283" s="51">
        <v>70</v>
      </c>
      <c r="AB2283" s="102">
        <v>0</v>
      </c>
      <c r="AC2283" s="81">
        <f t="shared" si="108"/>
        <v>324.18216304481274</v>
      </c>
      <c r="AD2283" s="82">
        <f t="shared" si="109"/>
        <v>46.542857142857144</v>
      </c>
      <c r="AE2283" s="218">
        <v>4.8290248841813214E-3</v>
      </c>
      <c r="AF2283">
        <v>16</v>
      </c>
      <c r="AH2283" t="str">
        <f t="shared" si="110"/>
        <v>Halsi</v>
      </c>
      <c r="AJ2283" s="72">
        <v>0</v>
      </c>
      <c r="AK2283" s="72"/>
      <c r="AL2283" s="72"/>
      <c r="AM2283" s="72"/>
    </row>
    <row r="2284" spans="1:39" x14ac:dyDescent="0.25">
      <c r="A2284" s="37" t="s">
        <v>62</v>
      </c>
      <c r="B2284" s="66" t="s">
        <v>1654</v>
      </c>
      <c r="C2284" s="41">
        <v>1009</v>
      </c>
      <c r="D2284" s="41" t="s">
        <v>244</v>
      </c>
      <c r="E2284" s="41">
        <v>10090049</v>
      </c>
      <c r="F2284" s="85" t="s">
        <v>270</v>
      </c>
      <c r="G2284" s="39" t="s">
        <v>92</v>
      </c>
      <c r="H2284" s="52" t="s">
        <v>93</v>
      </c>
      <c r="I2284" s="52">
        <v>843.50000000000011</v>
      </c>
      <c r="J2284" s="49">
        <v>44941.38</v>
      </c>
      <c r="K2284" s="58">
        <v>912.10000000000014</v>
      </c>
      <c r="L2284" s="58">
        <v>51087.759999999995</v>
      </c>
      <c r="M2284" s="58">
        <v>6.7000000000000011</v>
      </c>
      <c r="N2284" s="58">
        <v>397.23</v>
      </c>
      <c r="O2284" s="58">
        <v>918.80000000000018</v>
      </c>
      <c r="P2284" s="53">
        <v>51484.99</v>
      </c>
      <c r="Q2284" s="65">
        <v>44941.38</v>
      </c>
      <c r="R2284" s="65">
        <v>0</v>
      </c>
      <c r="S2284" s="65">
        <v>397.23</v>
      </c>
      <c r="T2284" s="65">
        <v>6543.6100000000006</v>
      </c>
      <c r="U2284" s="58">
        <v>0</v>
      </c>
      <c r="V2284" s="65">
        <v>0</v>
      </c>
      <c r="W2284" s="65">
        <v>0</v>
      </c>
      <c r="X2284" s="65">
        <v>44544</v>
      </c>
      <c r="Y2284" s="65">
        <v>0</v>
      </c>
      <c r="Z2284" s="51">
        <v>0</v>
      </c>
      <c r="AA2284" s="51">
        <v>0</v>
      </c>
      <c r="AB2284" s="102">
        <v>0</v>
      </c>
      <c r="AC2284" s="81">
        <f t="shared" si="108"/>
        <v>0</v>
      </c>
      <c r="AD2284" s="82">
        <f t="shared" si="109"/>
        <v>0</v>
      </c>
      <c r="AE2284" s="218">
        <v>-0.14560322802726577</v>
      </c>
      <c r="AF2284">
        <v>12</v>
      </c>
      <c r="AH2284" t="str">
        <f t="shared" si="110"/>
        <v>Halsi</v>
      </c>
      <c r="AJ2284" s="72">
        <v>0</v>
      </c>
      <c r="AK2284" s="72"/>
      <c r="AL2284" s="72"/>
      <c r="AM2284" s="72"/>
    </row>
    <row r="2285" spans="1:39" x14ac:dyDescent="0.25">
      <c r="A2285" s="37" t="s">
        <v>62</v>
      </c>
      <c r="B2285" s="66" t="s">
        <v>1654</v>
      </c>
      <c r="C2285" s="41">
        <v>1009</v>
      </c>
      <c r="D2285" s="41" t="s">
        <v>244</v>
      </c>
      <c r="E2285" s="41">
        <v>10090055</v>
      </c>
      <c r="F2285" s="85" t="s">
        <v>453</v>
      </c>
      <c r="G2285" s="39" t="s">
        <v>1610</v>
      </c>
      <c r="H2285" s="52" t="s">
        <v>98</v>
      </c>
      <c r="I2285" s="52">
        <v>325.39999999999998</v>
      </c>
      <c r="J2285" s="49">
        <v>13092.630000000001</v>
      </c>
      <c r="K2285" s="58">
        <v>0</v>
      </c>
      <c r="L2285" s="58">
        <v>0</v>
      </c>
      <c r="M2285" s="58">
        <v>0</v>
      </c>
      <c r="N2285" s="58">
        <v>0</v>
      </c>
      <c r="O2285" s="58">
        <v>0</v>
      </c>
      <c r="P2285" s="53">
        <v>0</v>
      </c>
      <c r="Q2285" s="65">
        <v>13092.630000000001</v>
      </c>
      <c r="R2285" s="65">
        <v>0</v>
      </c>
      <c r="S2285" s="65">
        <v>0</v>
      </c>
      <c r="T2285" s="65">
        <v>0</v>
      </c>
      <c r="U2285" s="58">
        <v>0</v>
      </c>
      <c r="V2285" s="65">
        <v>0</v>
      </c>
      <c r="W2285" s="65">
        <v>0</v>
      </c>
      <c r="X2285" s="65">
        <v>0</v>
      </c>
      <c r="Y2285" s="65">
        <v>0</v>
      </c>
      <c r="Z2285" s="51">
        <v>13092.630000000001</v>
      </c>
      <c r="AA2285" s="51">
        <v>0</v>
      </c>
      <c r="AB2285" s="102">
        <v>0</v>
      </c>
      <c r="AC2285" s="81">
        <f t="shared" si="108"/>
        <v>301.44432685925022</v>
      </c>
      <c r="AD2285" s="82">
        <f t="shared" si="109"/>
        <v>46.48571428571428</v>
      </c>
      <c r="AE2285" s="218">
        <v>0</v>
      </c>
      <c r="AF2285">
        <v>0</v>
      </c>
      <c r="AH2285" t="str">
        <f t="shared" si="110"/>
        <v>Halsi</v>
      </c>
      <c r="AJ2285" s="72">
        <v>0</v>
      </c>
      <c r="AK2285" s="72"/>
      <c r="AL2285" s="72"/>
      <c r="AM2285" s="72"/>
    </row>
    <row r="2286" spans="1:39" x14ac:dyDescent="0.25">
      <c r="A2286" s="37" t="s">
        <v>62</v>
      </c>
      <c r="B2286" s="66" t="s">
        <v>1654</v>
      </c>
      <c r="C2286" s="41">
        <v>1009</v>
      </c>
      <c r="D2286" s="41" t="s">
        <v>244</v>
      </c>
      <c r="E2286" s="41">
        <v>10090056</v>
      </c>
      <c r="F2286" s="85" t="s">
        <v>464</v>
      </c>
      <c r="G2286" s="39" t="s">
        <v>92</v>
      </c>
      <c r="H2286" s="52" t="s">
        <v>93</v>
      </c>
      <c r="I2286" s="52">
        <v>290.89999999999998</v>
      </c>
      <c r="J2286" s="49">
        <v>13028.769999999997</v>
      </c>
      <c r="K2286" s="58">
        <v>330.25</v>
      </c>
      <c r="L2286" s="58">
        <v>14964.480000000001</v>
      </c>
      <c r="M2286" s="58">
        <v>1.2500000000000002</v>
      </c>
      <c r="N2286" s="58">
        <v>57.360000000000007</v>
      </c>
      <c r="O2286" s="58">
        <v>331.5</v>
      </c>
      <c r="P2286" s="53">
        <v>15021.840000000002</v>
      </c>
      <c r="Q2286" s="65">
        <v>13028.769999999997</v>
      </c>
      <c r="R2286" s="65">
        <v>5000</v>
      </c>
      <c r="S2286" s="65">
        <v>57.360000000000007</v>
      </c>
      <c r="T2286" s="65">
        <v>1993.0700000000052</v>
      </c>
      <c r="U2286" s="58">
        <v>0</v>
      </c>
      <c r="V2286" s="65">
        <v>0</v>
      </c>
      <c r="W2286" s="65">
        <v>0</v>
      </c>
      <c r="X2286" s="65">
        <v>7971</v>
      </c>
      <c r="Y2286" s="65">
        <v>0</v>
      </c>
      <c r="Z2286" s="51">
        <v>0</v>
      </c>
      <c r="AA2286" s="51">
        <v>0</v>
      </c>
      <c r="AB2286" s="102">
        <v>0</v>
      </c>
      <c r="AC2286" s="81">
        <f t="shared" si="108"/>
        <v>366.45375091096599</v>
      </c>
      <c r="AD2286" s="82">
        <f t="shared" si="109"/>
        <v>41.557142857142857</v>
      </c>
      <c r="AE2286" s="218">
        <v>-0.15297453251534915</v>
      </c>
      <c r="AF2286">
        <v>4</v>
      </c>
      <c r="AH2286" t="str">
        <f t="shared" si="110"/>
        <v>Halsi</v>
      </c>
      <c r="AJ2286" s="72">
        <v>0</v>
      </c>
      <c r="AK2286" s="72"/>
      <c r="AL2286" s="72"/>
      <c r="AM2286" s="72"/>
    </row>
    <row r="2287" spans="1:39" x14ac:dyDescent="0.25">
      <c r="A2287" s="37" t="s">
        <v>62</v>
      </c>
      <c r="B2287" s="66" t="s">
        <v>1654</v>
      </c>
      <c r="C2287" s="41">
        <v>1009</v>
      </c>
      <c r="D2287" s="41" t="s">
        <v>244</v>
      </c>
      <c r="E2287" s="41">
        <v>10090058</v>
      </c>
      <c r="F2287" s="85" t="s">
        <v>514</v>
      </c>
      <c r="G2287" s="39" t="s">
        <v>92</v>
      </c>
      <c r="H2287" s="52" t="s">
        <v>93</v>
      </c>
      <c r="I2287" s="52">
        <v>817.59999999999991</v>
      </c>
      <c r="J2287" s="49">
        <v>36444.009999999995</v>
      </c>
      <c r="K2287" s="58">
        <v>822.38</v>
      </c>
      <c r="L2287" s="58">
        <v>40514.99</v>
      </c>
      <c r="M2287" s="58">
        <v>0</v>
      </c>
      <c r="N2287" s="58">
        <v>0</v>
      </c>
      <c r="O2287" s="58">
        <v>822.38</v>
      </c>
      <c r="P2287" s="53">
        <v>40514.99</v>
      </c>
      <c r="Q2287" s="65">
        <v>36444.009999999995</v>
      </c>
      <c r="R2287" s="65">
        <v>0</v>
      </c>
      <c r="S2287" s="65">
        <v>0</v>
      </c>
      <c r="T2287" s="65">
        <v>4070.9800000000032</v>
      </c>
      <c r="U2287" s="58">
        <v>0</v>
      </c>
      <c r="V2287" s="65">
        <v>0</v>
      </c>
      <c r="W2287" s="65">
        <v>0</v>
      </c>
      <c r="X2287" s="65">
        <v>36444</v>
      </c>
      <c r="Y2287" s="65">
        <v>0</v>
      </c>
      <c r="Z2287" s="51">
        <v>0</v>
      </c>
      <c r="AA2287" s="51">
        <v>0</v>
      </c>
      <c r="AB2287" s="102">
        <v>0</v>
      </c>
      <c r="AC2287" s="81">
        <f t="shared" si="108"/>
        <v>0</v>
      </c>
      <c r="AD2287" s="82">
        <f t="shared" si="109"/>
        <v>0</v>
      </c>
      <c r="AE2287" s="218">
        <v>-0.11170505111813996</v>
      </c>
      <c r="AF2287">
        <v>4</v>
      </c>
      <c r="AH2287" t="str">
        <f t="shared" si="110"/>
        <v>Halsi</v>
      </c>
      <c r="AJ2287" s="72">
        <v>0</v>
      </c>
      <c r="AK2287" s="72"/>
      <c r="AL2287" s="72"/>
      <c r="AM2287" s="72"/>
    </row>
    <row r="2288" spans="1:39" x14ac:dyDescent="0.25">
      <c r="A2288" s="37" t="s">
        <v>62</v>
      </c>
      <c r="B2288" s="66" t="s">
        <v>1654</v>
      </c>
      <c r="C2288" s="41">
        <v>1009</v>
      </c>
      <c r="D2288" s="41" t="s">
        <v>244</v>
      </c>
      <c r="E2288" s="41">
        <v>10090059</v>
      </c>
      <c r="F2288" s="85" t="s">
        <v>1197</v>
      </c>
      <c r="G2288" s="39" t="s">
        <v>92</v>
      </c>
      <c r="H2288" s="52" t="s">
        <v>93</v>
      </c>
      <c r="I2288" s="52">
        <v>259.49999999999994</v>
      </c>
      <c r="J2288" s="49">
        <v>11738.969999999998</v>
      </c>
      <c r="K2288" s="58">
        <v>629.44000000000005</v>
      </c>
      <c r="L2288" s="58">
        <v>38834.299999999996</v>
      </c>
      <c r="M2288" s="58">
        <v>0</v>
      </c>
      <c r="N2288" s="58">
        <v>0</v>
      </c>
      <c r="O2288" s="58">
        <v>629.44000000000005</v>
      </c>
      <c r="P2288" s="53">
        <v>38834.299999999996</v>
      </c>
      <c r="Q2288" s="65">
        <v>11738.969999999998</v>
      </c>
      <c r="R2288" s="65">
        <v>0</v>
      </c>
      <c r="S2288" s="65">
        <v>0</v>
      </c>
      <c r="T2288" s="65">
        <v>27095.329999999998</v>
      </c>
      <c r="U2288" s="58">
        <v>0</v>
      </c>
      <c r="V2288" s="65">
        <v>0</v>
      </c>
      <c r="W2288" s="65">
        <v>0</v>
      </c>
      <c r="X2288" s="65">
        <v>11739</v>
      </c>
      <c r="Y2288" s="65">
        <v>0</v>
      </c>
      <c r="Z2288" s="51">
        <v>0</v>
      </c>
      <c r="AA2288" s="51">
        <v>0</v>
      </c>
      <c r="AB2288" s="102">
        <v>0</v>
      </c>
      <c r="AC2288" s="81">
        <f t="shared" si="108"/>
        <v>398.53690057803476</v>
      </c>
      <c r="AD2288" s="82">
        <f t="shared" si="109"/>
        <v>37.071428571428562</v>
      </c>
      <c r="AE2288" s="218">
        <v>-2.3081522484510995</v>
      </c>
      <c r="AF2288">
        <v>5</v>
      </c>
      <c r="AH2288" t="str">
        <f t="shared" si="110"/>
        <v>Halsi</v>
      </c>
      <c r="AJ2288" s="72">
        <v>0</v>
      </c>
      <c r="AK2288" s="72"/>
      <c r="AL2288" s="72"/>
      <c r="AM2288" s="72"/>
    </row>
    <row r="2289" spans="1:39" x14ac:dyDescent="0.25">
      <c r="A2289" s="37" t="s">
        <v>62</v>
      </c>
      <c r="B2289" s="66" t="s">
        <v>1654</v>
      </c>
      <c r="C2289" s="41">
        <v>1009</v>
      </c>
      <c r="D2289" s="41" t="s">
        <v>244</v>
      </c>
      <c r="E2289" s="41">
        <v>10090060</v>
      </c>
      <c r="F2289" s="85" t="s">
        <v>522</v>
      </c>
      <c r="G2289" s="39" t="s">
        <v>92</v>
      </c>
      <c r="H2289" s="52" t="s">
        <v>93</v>
      </c>
      <c r="I2289" s="52">
        <v>187.29999999999998</v>
      </c>
      <c r="J2289" s="49">
        <v>8992.7499999999982</v>
      </c>
      <c r="K2289" s="58">
        <v>188.69999999999996</v>
      </c>
      <c r="L2289" s="58">
        <v>9072.07</v>
      </c>
      <c r="M2289" s="58">
        <v>0</v>
      </c>
      <c r="N2289" s="58">
        <v>0</v>
      </c>
      <c r="O2289" s="58">
        <v>188.69999999999996</v>
      </c>
      <c r="P2289" s="53">
        <v>9072.07</v>
      </c>
      <c r="Q2289" s="65">
        <v>8992.7499999999982</v>
      </c>
      <c r="R2289" s="65">
        <v>0</v>
      </c>
      <c r="S2289" s="65">
        <v>0</v>
      </c>
      <c r="T2289" s="65">
        <v>79.320000000001528</v>
      </c>
      <c r="U2289" s="58">
        <v>0</v>
      </c>
      <c r="V2289" s="65">
        <v>500</v>
      </c>
      <c r="W2289" s="65">
        <v>0</v>
      </c>
      <c r="X2289" s="65">
        <v>8493</v>
      </c>
      <c r="Y2289" s="65">
        <v>0</v>
      </c>
      <c r="Z2289" s="51">
        <v>0</v>
      </c>
      <c r="AA2289" s="51">
        <v>0</v>
      </c>
      <c r="AB2289" s="102">
        <v>0</v>
      </c>
      <c r="AC2289" s="81">
        <f t="shared" si="108"/>
        <v>492.32065403096635</v>
      </c>
      <c r="AD2289" s="82">
        <f t="shared" si="109"/>
        <v>26.757142857142856</v>
      </c>
      <c r="AE2289" s="218">
        <v>-8.8204386867200297E-3</v>
      </c>
      <c r="AF2289">
        <v>1</v>
      </c>
      <c r="AH2289" t="str">
        <f t="shared" si="110"/>
        <v>Halsi</v>
      </c>
      <c r="AJ2289" s="72">
        <v>500</v>
      </c>
      <c r="AK2289" s="72"/>
      <c r="AL2289" s="72"/>
      <c r="AM2289" s="72"/>
    </row>
    <row r="2290" spans="1:39" x14ac:dyDescent="0.25">
      <c r="A2290" s="37" t="s">
        <v>62</v>
      </c>
      <c r="B2290" s="66" t="s">
        <v>1654</v>
      </c>
      <c r="C2290" s="41">
        <v>1009</v>
      </c>
      <c r="D2290" s="41" t="s">
        <v>244</v>
      </c>
      <c r="E2290" s="41">
        <v>10090061</v>
      </c>
      <c r="F2290" s="85" t="s">
        <v>548</v>
      </c>
      <c r="G2290" s="39" t="s">
        <v>92</v>
      </c>
      <c r="H2290" s="52" t="s">
        <v>93</v>
      </c>
      <c r="I2290" s="52">
        <v>190.5</v>
      </c>
      <c r="J2290" s="49">
        <v>8673.8700000000008</v>
      </c>
      <c r="K2290" s="58">
        <v>223.9</v>
      </c>
      <c r="L2290" s="58">
        <v>10297.23</v>
      </c>
      <c r="M2290" s="58">
        <v>0</v>
      </c>
      <c r="N2290" s="58">
        <v>0</v>
      </c>
      <c r="O2290" s="58">
        <v>223.9</v>
      </c>
      <c r="P2290" s="53">
        <v>10297.23</v>
      </c>
      <c r="Q2290" s="65">
        <v>8673.8700000000008</v>
      </c>
      <c r="R2290" s="65">
        <v>0</v>
      </c>
      <c r="S2290" s="65">
        <v>0</v>
      </c>
      <c r="T2290" s="65">
        <v>1623.3599999999988</v>
      </c>
      <c r="U2290" s="58">
        <v>0</v>
      </c>
      <c r="V2290" s="65">
        <v>500</v>
      </c>
      <c r="W2290" s="65">
        <v>0</v>
      </c>
      <c r="X2290" s="65">
        <v>8174</v>
      </c>
      <c r="Y2290" s="65">
        <v>0</v>
      </c>
      <c r="Z2290" s="51">
        <v>0</v>
      </c>
      <c r="AA2290" s="51">
        <v>0</v>
      </c>
      <c r="AB2290" s="102">
        <v>0</v>
      </c>
      <c r="AC2290" s="81">
        <f t="shared" si="108"/>
        <v>463.97236377952754</v>
      </c>
      <c r="AD2290" s="82">
        <f t="shared" si="109"/>
        <v>27.214285714285715</v>
      </c>
      <c r="AE2290" s="218">
        <v>-0.18715521445444752</v>
      </c>
      <c r="AF2290">
        <v>1</v>
      </c>
      <c r="AH2290" t="str">
        <f t="shared" si="110"/>
        <v>Halsi</v>
      </c>
      <c r="AJ2290" s="72">
        <v>500</v>
      </c>
      <c r="AK2290" s="72"/>
      <c r="AL2290" s="72"/>
      <c r="AM2290" s="72"/>
    </row>
    <row r="2291" spans="1:39" x14ac:dyDescent="0.25">
      <c r="A2291" s="37" t="s">
        <v>62</v>
      </c>
      <c r="B2291" s="66" t="s">
        <v>1654</v>
      </c>
      <c r="C2291" s="41">
        <v>1009</v>
      </c>
      <c r="D2291" s="41" t="s">
        <v>244</v>
      </c>
      <c r="E2291" s="41">
        <v>10090063</v>
      </c>
      <c r="F2291" s="85" t="s">
        <v>570</v>
      </c>
      <c r="G2291" s="39" t="s">
        <v>92</v>
      </c>
      <c r="H2291" s="52" t="s">
        <v>93</v>
      </c>
      <c r="I2291" s="52">
        <v>182.7</v>
      </c>
      <c r="J2291" s="49">
        <v>10155.89</v>
      </c>
      <c r="K2291" s="58">
        <v>190.09999999999997</v>
      </c>
      <c r="L2291" s="58">
        <v>10419.77</v>
      </c>
      <c r="M2291" s="58">
        <v>0</v>
      </c>
      <c r="N2291" s="58">
        <v>0</v>
      </c>
      <c r="O2291" s="58">
        <v>190.09999999999997</v>
      </c>
      <c r="P2291" s="53">
        <v>10419.77</v>
      </c>
      <c r="Q2291" s="65">
        <v>10155.89</v>
      </c>
      <c r="R2291" s="65">
        <v>0</v>
      </c>
      <c r="S2291" s="65">
        <v>0</v>
      </c>
      <c r="T2291" s="65">
        <v>263.88000000000102</v>
      </c>
      <c r="U2291" s="58">
        <v>0</v>
      </c>
      <c r="V2291" s="65">
        <v>500</v>
      </c>
      <c r="W2291" s="65">
        <v>0</v>
      </c>
      <c r="X2291" s="65">
        <v>9656</v>
      </c>
      <c r="Y2291" s="65">
        <v>0</v>
      </c>
      <c r="Z2291" s="51">
        <v>0</v>
      </c>
      <c r="AA2291" s="51">
        <v>0</v>
      </c>
      <c r="AB2291" s="102">
        <v>0</v>
      </c>
      <c r="AC2291" s="81">
        <f t="shared" si="108"/>
        <v>575.11131877394644</v>
      </c>
      <c r="AD2291" s="82">
        <f t="shared" si="109"/>
        <v>26.099999999999998</v>
      </c>
      <c r="AE2291" s="218">
        <v>-2.5982951764936507E-2</v>
      </c>
      <c r="AF2291">
        <v>1</v>
      </c>
      <c r="AH2291" t="str">
        <f t="shared" si="110"/>
        <v>Halsi</v>
      </c>
      <c r="AJ2291" s="72">
        <v>500</v>
      </c>
      <c r="AK2291" s="72"/>
      <c r="AL2291" s="72"/>
      <c r="AM2291" s="72"/>
    </row>
    <row r="2292" spans="1:39" x14ac:dyDescent="0.25">
      <c r="A2292" s="37" t="s">
        <v>62</v>
      </c>
      <c r="B2292" s="66" t="s">
        <v>1654</v>
      </c>
      <c r="C2292" s="41">
        <v>1009</v>
      </c>
      <c r="D2292" s="41" t="s">
        <v>244</v>
      </c>
      <c r="E2292" s="41">
        <v>10090064</v>
      </c>
      <c r="F2292" s="85" t="s">
        <v>571</v>
      </c>
      <c r="G2292" s="39" t="s">
        <v>92</v>
      </c>
      <c r="H2292" s="52" t="s">
        <v>93</v>
      </c>
      <c r="I2292" s="52">
        <v>482.90000000000003</v>
      </c>
      <c r="J2292" s="49">
        <v>24305.199999999997</v>
      </c>
      <c r="K2292" s="58">
        <v>451.27999999999992</v>
      </c>
      <c r="L2292" s="58">
        <v>22801.879999999997</v>
      </c>
      <c r="M2292" s="58">
        <v>39.479999999999997</v>
      </c>
      <c r="N2292" s="58">
        <v>1993.6799999999998</v>
      </c>
      <c r="O2292" s="58">
        <v>490.75999999999993</v>
      </c>
      <c r="P2292" s="53">
        <v>24795.559999999998</v>
      </c>
      <c r="Q2292" s="65">
        <v>24305.199999999997</v>
      </c>
      <c r="R2292" s="65">
        <v>0</v>
      </c>
      <c r="S2292" s="65">
        <v>0</v>
      </c>
      <c r="T2292" s="65">
        <v>490.36000000000058</v>
      </c>
      <c r="U2292" s="58">
        <v>0</v>
      </c>
      <c r="V2292" s="65">
        <v>0</v>
      </c>
      <c r="W2292" s="65">
        <v>0</v>
      </c>
      <c r="X2292" s="65">
        <v>22311</v>
      </c>
      <c r="Y2292" s="65">
        <v>1994</v>
      </c>
      <c r="Z2292" s="51">
        <v>0</v>
      </c>
      <c r="AA2292" s="51">
        <v>0</v>
      </c>
      <c r="AB2292" s="102">
        <v>0</v>
      </c>
      <c r="AC2292" s="81">
        <f t="shared" si="108"/>
        <v>218.54043984261742</v>
      </c>
      <c r="AD2292" s="82">
        <f t="shared" si="109"/>
        <v>68.985714285714295</v>
      </c>
      <c r="AE2292" s="218">
        <v>-2.0175106561558871E-2</v>
      </c>
      <c r="AF2292">
        <v>6</v>
      </c>
      <c r="AH2292" t="str">
        <f t="shared" si="110"/>
        <v>Halsi</v>
      </c>
      <c r="AJ2292" s="72">
        <v>0</v>
      </c>
      <c r="AK2292" s="72"/>
      <c r="AL2292" s="72"/>
      <c r="AM2292" s="72"/>
    </row>
    <row r="2293" spans="1:39" x14ac:dyDescent="0.25">
      <c r="A2293" s="37" t="s">
        <v>62</v>
      </c>
      <c r="B2293" s="66" t="s">
        <v>1654</v>
      </c>
      <c r="C2293" s="41">
        <v>1009</v>
      </c>
      <c r="D2293" s="41" t="s">
        <v>244</v>
      </c>
      <c r="E2293" s="41">
        <v>10090065</v>
      </c>
      <c r="F2293" s="85" t="s">
        <v>647</v>
      </c>
      <c r="G2293" s="39" t="s">
        <v>92</v>
      </c>
      <c r="H2293" s="52" t="s">
        <v>93</v>
      </c>
      <c r="I2293" s="52">
        <v>750.19999999999993</v>
      </c>
      <c r="J2293" s="49">
        <v>31735.480000000003</v>
      </c>
      <c r="K2293" s="58">
        <v>760.31999999999971</v>
      </c>
      <c r="L2293" s="58">
        <v>34277.83</v>
      </c>
      <c r="M2293" s="58">
        <v>0</v>
      </c>
      <c r="N2293" s="58">
        <v>0</v>
      </c>
      <c r="O2293" s="58">
        <v>760.31999999999971</v>
      </c>
      <c r="P2293" s="53">
        <v>34277.83</v>
      </c>
      <c r="Q2293" s="65">
        <v>31735.480000000003</v>
      </c>
      <c r="R2293" s="65">
        <v>0</v>
      </c>
      <c r="S2293" s="65">
        <v>0</v>
      </c>
      <c r="T2293" s="65">
        <v>2542.3499999999985</v>
      </c>
      <c r="U2293" s="58">
        <v>0</v>
      </c>
      <c r="V2293" s="65">
        <v>0</v>
      </c>
      <c r="W2293" s="65">
        <v>0</v>
      </c>
      <c r="X2293" s="65">
        <v>31735</v>
      </c>
      <c r="Y2293" s="65">
        <v>0</v>
      </c>
      <c r="Z2293" s="51">
        <v>0</v>
      </c>
      <c r="AA2293" s="51">
        <v>0</v>
      </c>
      <c r="AB2293" s="102">
        <v>0</v>
      </c>
      <c r="AC2293" s="81">
        <f t="shared" si="108"/>
        <v>0</v>
      </c>
      <c r="AD2293" s="82">
        <f t="shared" si="109"/>
        <v>0</v>
      </c>
      <c r="AE2293" s="218">
        <v>-8.0110652178571065E-2</v>
      </c>
      <c r="AF2293">
        <v>4</v>
      </c>
      <c r="AH2293" t="str">
        <f t="shared" si="110"/>
        <v>Halsi</v>
      </c>
      <c r="AJ2293" s="72">
        <v>0</v>
      </c>
      <c r="AK2293" s="72"/>
      <c r="AL2293" s="72"/>
      <c r="AM2293" s="72"/>
    </row>
    <row r="2294" spans="1:39" x14ac:dyDescent="0.25">
      <c r="A2294" s="37" t="s">
        <v>62</v>
      </c>
      <c r="B2294" s="66" t="s">
        <v>1654</v>
      </c>
      <c r="C2294" s="41">
        <v>1009</v>
      </c>
      <c r="D2294" s="41" t="s">
        <v>244</v>
      </c>
      <c r="E2294" s="41">
        <v>10090069</v>
      </c>
      <c r="F2294" s="85" t="s">
        <v>1559</v>
      </c>
      <c r="G2294" s="39" t="s">
        <v>1610</v>
      </c>
      <c r="H2294" s="52" t="s">
        <v>98</v>
      </c>
      <c r="I2294" s="52">
        <v>728.9</v>
      </c>
      <c r="J2294" s="49">
        <v>32477.950000000004</v>
      </c>
      <c r="K2294" s="58">
        <v>0</v>
      </c>
      <c r="L2294" s="58">
        <v>0</v>
      </c>
      <c r="M2294" s="58">
        <v>0</v>
      </c>
      <c r="N2294" s="58">
        <v>0</v>
      </c>
      <c r="O2294" s="58">
        <v>0</v>
      </c>
      <c r="P2294" s="53">
        <v>0</v>
      </c>
      <c r="Q2294" s="65">
        <v>32477.950000000004</v>
      </c>
      <c r="R2294" s="65">
        <v>0</v>
      </c>
      <c r="S2294" s="65">
        <v>0</v>
      </c>
      <c r="T2294" s="65">
        <v>0</v>
      </c>
      <c r="U2294" s="58">
        <v>0</v>
      </c>
      <c r="V2294" s="65">
        <v>0</v>
      </c>
      <c r="W2294" s="65">
        <v>0</v>
      </c>
      <c r="X2294" s="65">
        <v>0</v>
      </c>
      <c r="Y2294" s="65">
        <v>0</v>
      </c>
      <c r="Z2294" s="51">
        <v>32477.950000000004</v>
      </c>
      <c r="AA2294" s="51">
        <v>0</v>
      </c>
      <c r="AB2294" s="102">
        <v>0</v>
      </c>
      <c r="AC2294" s="81">
        <f t="shared" si="108"/>
        <v>0</v>
      </c>
      <c r="AD2294" s="82">
        <f t="shared" si="109"/>
        <v>0</v>
      </c>
      <c r="AE2294" s="218">
        <v>0</v>
      </c>
      <c r="AF2294">
        <v>0</v>
      </c>
      <c r="AH2294" t="str">
        <f t="shared" si="110"/>
        <v>Halsi</v>
      </c>
      <c r="AJ2294" s="72">
        <v>0</v>
      </c>
      <c r="AK2294" s="72"/>
      <c r="AL2294" s="72"/>
      <c r="AM2294" s="72"/>
    </row>
    <row r="2295" spans="1:39" x14ac:dyDescent="0.25">
      <c r="A2295" s="37" t="s">
        <v>62</v>
      </c>
      <c r="B2295" s="66" t="s">
        <v>1654</v>
      </c>
      <c r="C2295" s="41">
        <v>1009</v>
      </c>
      <c r="D2295" s="41" t="s">
        <v>244</v>
      </c>
      <c r="E2295" s="41">
        <v>10090072</v>
      </c>
      <c r="F2295" s="85" t="s">
        <v>1255</v>
      </c>
      <c r="G2295" s="39" t="s">
        <v>92</v>
      </c>
      <c r="H2295" s="52" t="s">
        <v>93</v>
      </c>
      <c r="I2295" s="52">
        <v>376.1</v>
      </c>
      <c r="J2295" s="49">
        <v>15105.64</v>
      </c>
      <c r="K2295" s="58">
        <v>415.1</v>
      </c>
      <c r="L2295" s="58">
        <v>16913.980000000003</v>
      </c>
      <c r="M2295" s="58">
        <v>0</v>
      </c>
      <c r="N2295" s="58">
        <v>0</v>
      </c>
      <c r="O2295" s="58">
        <v>415.1</v>
      </c>
      <c r="P2295" s="53">
        <v>16913.980000000003</v>
      </c>
      <c r="Q2295" s="65">
        <v>15105.64</v>
      </c>
      <c r="R2295" s="65">
        <v>0</v>
      </c>
      <c r="S2295" s="65">
        <v>0</v>
      </c>
      <c r="T2295" s="65">
        <v>1808.3400000000038</v>
      </c>
      <c r="U2295" s="58">
        <v>0</v>
      </c>
      <c r="V2295" s="65">
        <v>0</v>
      </c>
      <c r="W2295" s="65">
        <v>0</v>
      </c>
      <c r="X2295" s="65">
        <v>15106</v>
      </c>
      <c r="Y2295" s="65">
        <v>0</v>
      </c>
      <c r="Z2295" s="51">
        <v>0</v>
      </c>
      <c r="AA2295" s="51">
        <v>0</v>
      </c>
      <c r="AB2295" s="102">
        <v>0</v>
      </c>
      <c r="AC2295" s="81">
        <f t="shared" si="108"/>
        <v>260.18169614464233</v>
      </c>
      <c r="AD2295" s="82">
        <f t="shared" si="109"/>
        <v>53.728571428571435</v>
      </c>
      <c r="AE2295" s="218">
        <v>-0.1197129019359659</v>
      </c>
      <c r="AF2295">
        <v>2</v>
      </c>
      <c r="AH2295" t="str">
        <f t="shared" si="110"/>
        <v>Halsi</v>
      </c>
      <c r="AJ2295" s="72">
        <v>0</v>
      </c>
      <c r="AK2295" s="72"/>
      <c r="AL2295" s="72"/>
      <c r="AM2295" s="72"/>
    </row>
    <row r="2296" spans="1:39" x14ac:dyDescent="0.25">
      <c r="A2296" s="37" t="s">
        <v>62</v>
      </c>
      <c r="B2296" s="66" t="s">
        <v>1654</v>
      </c>
      <c r="C2296" s="41">
        <v>1009</v>
      </c>
      <c r="D2296" s="41" t="s">
        <v>244</v>
      </c>
      <c r="E2296" s="41">
        <v>10090074</v>
      </c>
      <c r="F2296" s="85" t="s">
        <v>1270</v>
      </c>
      <c r="G2296" s="39" t="s">
        <v>92</v>
      </c>
      <c r="H2296" s="52" t="s">
        <v>93</v>
      </c>
      <c r="I2296" s="52">
        <v>377.7</v>
      </c>
      <c r="J2296" s="49">
        <v>16377.410000000002</v>
      </c>
      <c r="K2296" s="58">
        <v>424.44999999999993</v>
      </c>
      <c r="L2296" s="58">
        <v>18693.059999999998</v>
      </c>
      <c r="M2296" s="58">
        <v>0</v>
      </c>
      <c r="N2296" s="58">
        <v>0</v>
      </c>
      <c r="O2296" s="58">
        <v>424.44999999999993</v>
      </c>
      <c r="P2296" s="53">
        <v>18693.059999999998</v>
      </c>
      <c r="Q2296" s="65">
        <v>16377.410000000002</v>
      </c>
      <c r="R2296" s="65">
        <v>0</v>
      </c>
      <c r="S2296" s="65">
        <v>0</v>
      </c>
      <c r="T2296" s="65">
        <v>2315.649999999996</v>
      </c>
      <c r="U2296" s="58">
        <v>0</v>
      </c>
      <c r="V2296" s="65">
        <v>0</v>
      </c>
      <c r="W2296" s="65">
        <v>0</v>
      </c>
      <c r="X2296" s="65">
        <v>16377</v>
      </c>
      <c r="Y2296" s="65">
        <v>0</v>
      </c>
      <c r="Z2296" s="51">
        <v>0</v>
      </c>
      <c r="AA2296" s="51">
        <v>0</v>
      </c>
      <c r="AB2296" s="102">
        <v>0</v>
      </c>
      <c r="AC2296" s="81">
        <f t="shared" si="108"/>
        <v>279.50432846174215</v>
      </c>
      <c r="AD2296" s="82">
        <f t="shared" si="109"/>
        <v>53.957142857142856</v>
      </c>
      <c r="AE2296" s="218">
        <v>-0.14139293087246371</v>
      </c>
      <c r="AF2296">
        <v>3</v>
      </c>
      <c r="AH2296" t="str">
        <f t="shared" si="110"/>
        <v>Halsi</v>
      </c>
      <c r="AJ2296" s="72">
        <v>0</v>
      </c>
      <c r="AK2296" s="72"/>
      <c r="AL2296" s="72"/>
      <c r="AM2296" s="72"/>
    </row>
    <row r="2297" spans="1:39" x14ac:dyDescent="0.25">
      <c r="A2297" s="37" t="s">
        <v>62</v>
      </c>
      <c r="B2297" s="66" t="s">
        <v>1654</v>
      </c>
      <c r="C2297" s="41">
        <v>1009</v>
      </c>
      <c r="D2297" s="41" t="s">
        <v>244</v>
      </c>
      <c r="E2297" s="41">
        <v>10090075</v>
      </c>
      <c r="F2297" s="85" t="s">
        <v>1280</v>
      </c>
      <c r="G2297" s="39" t="s">
        <v>92</v>
      </c>
      <c r="H2297" s="52" t="s">
        <v>93</v>
      </c>
      <c r="I2297" s="52">
        <v>514.1</v>
      </c>
      <c r="J2297" s="49">
        <v>20349.04</v>
      </c>
      <c r="K2297" s="58">
        <v>648.09999999999991</v>
      </c>
      <c r="L2297" s="58">
        <v>28392.62</v>
      </c>
      <c r="M2297" s="58">
        <v>0</v>
      </c>
      <c r="N2297" s="58">
        <v>0</v>
      </c>
      <c r="O2297" s="58">
        <v>648.09999999999991</v>
      </c>
      <c r="P2297" s="53">
        <v>28392.62</v>
      </c>
      <c r="Q2297" s="65">
        <v>20349.04</v>
      </c>
      <c r="R2297" s="65">
        <v>0</v>
      </c>
      <c r="S2297" s="65">
        <v>0</v>
      </c>
      <c r="T2297" s="65">
        <v>8043.5799999999981</v>
      </c>
      <c r="U2297" s="58">
        <v>0</v>
      </c>
      <c r="V2297" s="65">
        <v>0</v>
      </c>
      <c r="W2297" s="65">
        <v>0</v>
      </c>
      <c r="X2297" s="65">
        <v>20349</v>
      </c>
      <c r="Y2297" s="65">
        <v>0</v>
      </c>
      <c r="Z2297" s="51">
        <v>0</v>
      </c>
      <c r="AA2297" s="51">
        <v>0</v>
      </c>
      <c r="AB2297" s="102">
        <v>0</v>
      </c>
      <c r="AC2297" s="81">
        <f t="shared" si="108"/>
        <v>147.16539723789143</v>
      </c>
      <c r="AD2297" s="82">
        <f t="shared" si="109"/>
        <v>73.44285714285715</v>
      </c>
      <c r="AE2297" s="218">
        <v>-0.39528056360398317</v>
      </c>
      <c r="AF2297">
        <v>1</v>
      </c>
      <c r="AH2297" t="str">
        <f t="shared" si="110"/>
        <v>Halsi</v>
      </c>
      <c r="AJ2297" s="72">
        <v>0</v>
      </c>
      <c r="AK2297" s="72"/>
      <c r="AL2297" s="72"/>
      <c r="AM2297" s="72"/>
    </row>
    <row r="2298" spans="1:39" x14ac:dyDescent="0.25">
      <c r="A2298" s="37" t="s">
        <v>62</v>
      </c>
      <c r="B2298" s="66" t="s">
        <v>1654</v>
      </c>
      <c r="C2298" s="41">
        <v>1009</v>
      </c>
      <c r="D2298" s="41" t="s">
        <v>244</v>
      </c>
      <c r="E2298" s="41">
        <v>10090076</v>
      </c>
      <c r="F2298" s="85" t="s">
        <v>1287</v>
      </c>
      <c r="G2298" s="39" t="s">
        <v>1610</v>
      </c>
      <c r="H2298" s="52" t="s">
        <v>98</v>
      </c>
      <c r="I2298" s="52">
        <v>12000</v>
      </c>
      <c r="J2298" s="49">
        <v>490755</v>
      </c>
      <c r="K2298" s="58">
        <v>0</v>
      </c>
      <c r="L2298" s="58">
        <v>0</v>
      </c>
      <c r="M2298" s="58">
        <v>0</v>
      </c>
      <c r="N2298" s="58">
        <v>0</v>
      </c>
      <c r="O2298" s="58">
        <v>0</v>
      </c>
      <c r="P2298" s="53">
        <v>0</v>
      </c>
      <c r="Q2298" s="65">
        <v>490755</v>
      </c>
      <c r="R2298" s="65">
        <v>0</v>
      </c>
      <c r="S2298" s="65">
        <v>0</v>
      </c>
      <c r="T2298" s="65">
        <v>0</v>
      </c>
      <c r="U2298" s="58">
        <v>0</v>
      </c>
      <c r="V2298" s="65">
        <v>0</v>
      </c>
      <c r="W2298" s="65">
        <v>0</v>
      </c>
      <c r="X2298" s="65">
        <v>0</v>
      </c>
      <c r="Y2298" s="65">
        <v>0</v>
      </c>
      <c r="Z2298" s="51">
        <v>490755</v>
      </c>
      <c r="AA2298" s="51">
        <v>0</v>
      </c>
      <c r="AB2298" s="102">
        <v>0</v>
      </c>
      <c r="AC2298" s="81">
        <f t="shared" si="108"/>
        <v>0</v>
      </c>
      <c r="AD2298" s="82">
        <f t="shared" si="109"/>
        <v>0</v>
      </c>
      <c r="AE2298" s="218">
        <v>0</v>
      </c>
      <c r="AF2298">
        <v>0</v>
      </c>
      <c r="AH2298" t="str">
        <f t="shared" si="110"/>
        <v>Halsi</v>
      </c>
      <c r="AJ2298" s="72">
        <v>0</v>
      </c>
      <c r="AK2298" s="72"/>
      <c r="AL2298" s="72"/>
      <c r="AM2298" s="72"/>
    </row>
    <row r="2299" spans="1:39" x14ac:dyDescent="0.25">
      <c r="A2299" s="37" t="s">
        <v>62</v>
      </c>
      <c r="B2299" s="66" t="s">
        <v>1654</v>
      </c>
      <c r="C2299" s="41">
        <v>1009</v>
      </c>
      <c r="D2299" s="41" t="s">
        <v>244</v>
      </c>
      <c r="E2299" s="41">
        <v>10090077</v>
      </c>
      <c r="F2299" s="85" t="s">
        <v>1288</v>
      </c>
      <c r="G2299" s="39" t="s">
        <v>1610</v>
      </c>
      <c r="H2299" s="52" t="s">
        <v>98</v>
      </c>
      <c r="I2299" s="52">
        <v>13000</v>
      </c>
      <c r="J2299" s="49">
        <v>536625</v>
      </c>
      <c r="K2299" s="58">
        <v>0</v>
      </c>
      <c r="L2299" s="58">
        <v>0</v>
      </c>
      <c r="M2299" s="58">
        <v>0</v>
      </c>
      <c r="N2299" s="58">
        <v>0</v>
      </c>
      <c r="O2299" s="58">
        <v>0</v>
      </c>
      <c r="P2299" s="53">
        <v>0</v>
      </c>
      <c r="Q2299" s="65">
        <v>536625</v>
      </c>
      <c r="R2299" s="65">
        <v>0</v>
      </c>
      <c r="S2299" s="65">
        <v>0</v>
      </c>
      <c r="T2299" s="65">
        <v>0</v>
      </c>
      <c r="U2299" s="58">
        <v>0</v>
      </c>
      <c r="V2299" s="65">
        <v>0</v>
      </c>
      <c r="W2299" s="65">
        <v>0</v>
      </c>
      <c r="X2299" s="65">
        <v>0</v>
      </c>
      <c r="Y2299" s="65">
        <v>0</v>
      </c>
      <c r="Z2299" s="51">
        <v>536625</v>
      </c>
      <c r="AA2299" s="51">
        <v>0</v>
      </c>
      <c r="AB2299" s="102">
        <v>0</v>
      </c>
      <c r="AC2299" s="81">
        <f t="shared" si="108"/>
        <v>0</v>
      </c>
      <c r="AD2299" s="82">
        <f t="shared" si="109"/>
        <v>0</v>
      </c>
      <c r="AE2299" s="218">
        <v>0</v>
      </c>
      <c r="AF2299">
        <v>0</v>
      </c>
      <c r="AH2299" t="str">
        <f t="shared" si="110"/>
        <v>Halsi</v>
      </c>
      <c r="AJ2299" s="72">
        <v>0</v>
      </c>
      <c r="AK2299" s="72"/>
      <c r="AL2299" s="72"/>
      <c r="AM2299" s="72"/>
    </row>
    <row r="2300" spans="1:39" x14ac:dyDescent="0.25">
      <c r="A2300" s="37" t="s">
        <v>62</v>
      </c>
      <c r="B2300" s="66" t="s">
        <v>1654</v>
      </c>
      <c r="C2300" s="41">
        <v>1009</v>
      </c>
      <c r="D2300" s="41" t="s">
        <v>244</v>
      </c>
      <c r="E2300" s="41">
        <v>10090078</v>
      </c>
      <c r="F2300" s="85" t="s">
        <v>1317</v>
      </c>
      <c r="G2300" s="39" t="s">
        <v>92</v>
      </c>
      <c r="H2300" s="52" t="s">
        <v>93</v>
      </c>
      <c r="I2300" s="52">
        <v>364.09999999999997</v>
      </c>
      <c r="J2300" s="49">
        <v>13083.59</v>
      </c>
      <c r="K2300" s="58">
        <v>378.6</v>
      </c>
      <c r="L2300" s="58">
        <v>14271.529999999999</v>
      </c>
      <c r="M2300" s="58">
        <v>0</v>
      </c>
      <c r="N2300" s="58">
        <v>0</v>
      </c>
      <c r="O2300" s="58">
        <v>378.6</v>
      </c>
      <c r="P2300" s="53">
        <v>14271.529999999999</v>
      </c>
      <c r="Q2300" s="65">
        <v>13083.59</v>
      </c>
      <c r="R2300" s="65">
        <v>0</v>
      </c>
      <c r="S2300" s="65">
        <v>0</v>
      </c>
      <c r="T2300" s="65">
        <v>1187.9399999999987</v>
      </c>
      <c r="U2300" s="58">
        <v>0</v>
      </c>
      <c r="V2300" s="65">
        <v>0</v>
      </c>
      <c r="W2300" s="65">
        <v>0</v>
      </c>
      <c r="X2300" s="65">
        <v>13084</v>
      </c>
      <c r="Y2300" s="65">
        <v>0</v>
      </c>
      <c r="Z2300" s="51">
        <v>0</v>
      </c>
      <c r="AA2300" s="51">
        <v>0</v>
      </c>
      <c r="AB2300" s="102">
        <v>0</v>
      </c>
      <c r="AC2300" s="81">
        <f t="shared" si="108"/>
        <v>241.40499209008522</v>
      </c>
      <c r="AD2300" s="82">
        <f t="shared" si="109"/>
        <v>52.014285714285712</v>
      </c>
      <c r="AE2300" s="218">
        <v>-9.0796180559005499E-2</v>
      </c>
      <c r="AF2300">
        <v>1</v>
      </c>
      <c r="AH2300" t="str">
        <f t="shared" si="110"/>
        <v>Halsi</v>
      </c>
      <c r="AJ2300" s="72">
        <v>0</v>
      </c>
      <c r="AK2300" s="72"/>
      <c r="AL2300" s="72"/>
      <c r="AM2300" s="72"/>
    </row>
    <row r="2301" spans="1:39" x14ac:dyDescent="0.25">
      <c r="A2301" s="37" t="s">
        <v>62</v>
      </c>
      <c r="B2301" s="66" t="s">
        <v>1654</v>
      </c>
      <c r="C2301" s="41">
        <v>1009</v>
      </c>
      <c r="D2301" s="41" t="s">
        <v>244</v>
      </c>
      <c r="E2301" s="41">
        <v>10090079</v>
      </c>
      <c r="F2301" s="85" t="s">
        <v>1424</v>
      </c>
      <c r="G2301" s="39" t="s">
        <v>92</v>
      </c>
      <c r="H2301" s="52" t="s">
        <v>93</v>
      </c>
      <c r="I2301" s="52">
        <v>252.10000000000002</v>
      </c>
      <c r="J2301" s="49">
        <v>10246.270000000002</v>
      </c>
      <c r="K2301" s="58">
        <v>274.60000000000002</v>
      </c>
      <c r="L2301" s="58">
        <v>10865.679999999997</v>
      </c>
      <c r="M2301" s="58">
        <v>0</v>
      </c>
      <c r="N2301" s="58">
        <v>0</v>
      </c>
      <c r="O2301" s="58">
        <v>274.60000000000002</v>
      </c>
      <c r="P2301" s="53">
        <v>10865.679999999997</v>
      </c>
      <c r="Q2301" s="65">
        <v>10246.270000000002</v>
      </c>
      <c r="R2301" s="65">
        <v>0</v>
      </c>
      <c r="S2301" s="65">
        <v>0</v>
      </c>
      <c r="T2301" s="65">
        <v>619.4099999999944</v>
      </c>
      <c r="U2301" s="58">
        <v>0</v>
      </c>
      <c r="V2301" s="65">
        <v>0</v>
      </c>
      <c r="W2301" s="65">
        <v>0</v>
      </c>
      <c r="X2301" s="65">
        <v>10246</v>
      </c>
      <c r="Y2301" s="65">
        <v>0</v>
      </c>
      <c r="Z2301" s="51">
        <v>0</v>
      </c>
      <c r="AA2301" s="51">
        <v>0</v>
      </c>
      <c r="AB2301" s="102">
        <v>0</v>
      </c>
      <c r="AC2301" s="81">
        <f t="shared" si="108"/>
        <v>364.08602403808021</v>
      </c>
      <c r="AD2301" s="82">
        <f t="shared" si="109"/>
        <v>36.01428571428572</v>
      </c>
      <c r="AE2301" s="218">
        <v>-6.0452242620972728E-2</v>
      </c>
      <c r="AF2301">
        <v>1</v>
      </c>
      <c r="AH2301" t="str">
        <f t="shared" si="110"/>
        <v>Halsi</v>
      </c>
      <c r="AJ2301" s="72">
        <v>0</v>
      </c>
      <c r="AK2301" s="72"/>
      <c r="AL2301" s="72"/>
      <c r="AM2301" s="72"/>
    </row>
    <row r="2302" spans="1:39" x14ac:dyDescent="0.25">
      <c r="A2302" s="37" t="s">
        <v>62</v>
      </c>
      <c r="B2302" s="66" t="s">
        <v>1654</v>
      </c>
      <c r="C2302" s="41">
        <v>1009</v>
      </c>
      <c r="D2302" s="41" t="s">
        <v>244</v>
      </c>
      <c r="E2302" s="41">
        <v>10090080</v>
      </c>
      <c r="F2302" s="85" t="s">
        <v>1493</v>
      </c>
      <c r="G2302" s="39" t="s">
        <v>92</v>
      </c>
      <c r="H2302" s="52" t="s">
        <v>93</v>
      </c>
      <c r="I2302" s="52">
        <v>635.1</v>
      </c>
      <c r="J2302" s="49">
        <v>32659.250000000004</v>
      </c>
      <c r="K2302" s="58">
        <v>463.9</v>
      </c>
      <c r="L2302" s="58">
        <v>23609.98</v>
      </c>
      <c r="M2302" s="58">
        <v>172.8</v>
      </c>
      <c r="N2302" s="58">
        <v>9114.4500000000007</v>
      </c>
      <c r="O2302" s="58">
        <v>636.70000000000005</v>
      </c>
      <c r="P2302" s="53">
        <v>32724.43</v>
      </c>
      <c r="Q2302" s="65">
        <v>32659.250000000004</v>
      </c>
      <c r="R2302" s="65">
        <v>0</v>
      </c>
      <c r="S2302" s="65">
        <v>0</v>
      </c>
      <c r="T2302" s="65">
        <v>65.179999999996653</v>
      </c>
      <c r="U2302" s="58">
        <v>0</v>
      </c>
      <c r="V2302" s="65">
        <v>0</v>
      </c>
      <c r="W2302" s="65">
        <v>0</v>
      </c>
      <c r="X2302" s="65">
        <v>23545</v>
      </c>
      <c r="Y2302" s="65">
        <v>9114</v>
      </c>
      <c r="Z2302" s="51">
        <v>0</v>
      </c>
      <c r="AA2302" s="51">
        <v>0</v>
      </c>
      <c r="AB2302" s="102">
        <v>0</v>
      </c>
      <c r="AC2302" s="81">
        <f t="shared" ref="AC2302:AC2365" si="111">((IF(AD2302=0,0,100-AD2302))*7*(J2302/I2302))*2%</f>
        <v>66.748081404503239</v>
      </c>
      <c r="AD2302" s="82">
        <f t="shared" ref="AD2302:AD2365" si="112">IF((I2302/7)&gt;100,0,(I2302/7))</f>
        <v>90.728571428571428</v>
      </c>
      <c r="AE2302" s="218">
        <v>-1.9957592412562031E-3</v>
      </c>
      <c r="AF2302">
        <v>7</v>
      </c>
      <c r="AH2302" t="str">
        <f t="shared" si="110"/>
        <v>Halsi</v>
      </c>
      <c r="AJ2302" s="72">
        <v>0</v>
      </c>
      <c r="AK2302" s="72"/>
      <c r="AL2302" s="72"/>
      <c r="AM2302" s="72"/>
    </row>
    <row r="2303" spans="1:39" x14ac:dyDescent="0.25">
      <c r="A2303" s="37" t="s">
        <v>62</v>
      </c>
      <c r="B2303" s="66" t="s">
        <v>1654</v>
      </c>
      <c r="C2303" s="41">
        <v>1010</v>
      </c>
      <c r="D2303" s="41" t="s">
        <v>1311</v>
      </c>
      <c r="E2303" s="41">
        <v>10100001</v>
      </c>
      <c r="F2303" s="85" t="s">
        <v>602</v>
      </c>
      <c r="G2303" s="39" t="s">
        <v>92</v>
      </c>
      <c r="H2303" s="52" t="s">
        <v>93</v>
      </c>
      <c r="I2303" s="52">
        <v>828.19999999999993</v>
      </c>
      <c r="J2303" s="49">
        <v>32859.699999999997</v>
      </c>
      <c r="K2303" s="58">
        <v>760.78</v>
      </c>
      <c r="L2303" s="58">
        <v>31135.68</v>
      </c>
      <c r="M2303" s="58">
        <v>1.2999999999999998</v>
      </c>
      <c r="N2303" s="58">
        <v>53.25</v>
      </c>
      <c r="O2303" s="58">
        <v>762.07999999999993</v>
      </c>
      <c r="P2303" s="53">
        <v>31188.93</v>
      </c>
      <c r="Q2303" s="65">
        <v>31188.93</v>
      </c>
      <c r="R2303" s="65">
        <v>0</v>
      </c>
      <c r="S2303" s="65">
        <v>53.25</v>
      </c>
      <c r="T2303" s="65">
        <v>0</v>
      </c>
      <c r="U2303" s="58">
        <v>0</v>
      </c>
      <c r="V2303" s="65">
        <v>0</v>
      </c>
      <c r="W2303" s="65">
        <v>0</v>
      </c>
      <c r="X2303" s="65">
        <v>31134</v>
      </c>
      <c r="Y2303" s="65">
        <v>0</v>
      </c>
      <c r="Z2303" s="51">
        <v>0</v>
      </c>
      <c r="AA2303" s="51">
        <v>1672</v>
      </c>
      <c r="AB2303" s="102">
        <v>0</v>
      </c>
      <c r="AC2303" s="81">
        <f t="shared" si="111"/>
        <v>0</v>
      </c>
      <c r="AD2303" s="82">
        <f t="shared" si="112"/>
        <v>0</v>
      </c>
      <c r="AE2303" s="218">
        <v>5.0845564627796262E-2</v>
      </c>
      <c r="AF2303">
        <v>10</v>
      </c>
      <c r="AH2303" t="str">
        <f t="shared" si="110"/>
        <v>Parbatta</v>
      </c>
      <c r="AJ2303" s="72">
        <v>0</v>
      </c>
      <c r="AK2303" s="72"/>
      <c r="AL2303" s="72"/>
      <c r="AM2303" s="72"/>
    </row>
    <row r="2304" spans="1:39" x14ac:dyDescent="0.25">
      <c r="A2304" s="37" t="s">
        <v>62</v>
      </c>
      <c r="B2304" s="66" t="s">
        <v>1654</v>
      </c>
      <c r="C2304" s="41">
        <v>1010</v>
      </c>
      <c r="D2304" s="41" t="s">
        <v>1311</v>
      </c>
      <c r="E2304" s="41">
        <v>10100003</v>
      </c>
      <c r="F2304" s="85" t="s">
        <v>271</v>
      </c>
      <c r="G2304" s="39" t="s">
        <v>92</v>
      </c>
      <c r="H2304" s="52" t="s">
        <v>93</v>
      </c>
      <c r="I2304" s="52">
        <v>1850.3999999999999</v>
      </c>
      <c r="J2304" s="49">
        <v>77119.930000000008</v>
      </c>
      <c r="K2304" s="58">
        <v>1848.3999999999999</v>
      </c>
      <c r="L2304" s="58">
        <v>81375.510000000009</v>
      </c>
      <c r="M2304" s="58">
        <v>7</v>
      </c>
      <c r="N2304" s="58">
        <v>337.69999999999993</v>
      </c>
      <c r="O2304" s="58">
        <v>1855.3999999999999</v>
      </c>
      <c r="P2304" s="53">
        <v>81713.210000000006</v>
      </c>
      <c r="Q2304" s="65">
        <v>77119.930000000008</v>
      </c>
      <c r="R2304" s="65">
        <v>0</v>
      </c>
      <c r="S2304" s="65">
        <v>337.69999999999993</v>
      </c>
      <c r="T2304" s="65">
        <v>4593.2799999999988</v>
      </c>
      <c r="U2304" s="58">
        <v>0</v>
      </c>
      <c r="V2304" s="65">
        <v>0</v>
      </c>
      <c r="W2304" s="65">
        <v>0</v>
      </c>
      <c r="X2304" s="65">
        <v>76782</v>
      </c>
      <c r="Y2304" s="65">
        <v>0</v>
      </c>
      <c r="Z2304" s="51">
        <v>0</v>
      </c>
      <c r="AA2304" s="51">
        <v>0</v>
      </c>
      <c r="AB2304" s="102">
        <v>0</v>
      </c>
      <c r="AC2304" s="81">
        <f t="shared" si="111"/>
        <v>0</v>
      </c>
      <c r="AD2304" s="82">
        <f t="shared" si="112"/>
        <v>0</v>
      </c>
      <c r="AE2304" s="218">
        <v>-5.9560220036506753E-2</v>
      </c>
      <c r="AF2304">
        <v>5</v>
      </c>
      <c r="AH2304" t="str">
        <f t="shared" si="110"/>
        <v>Parbatta</v>
      </c>
      <c r="AJ2304" s="72">
        <v>0</v>
      </c>
      <c r="AK2304" s="72"/>
      <c r="AL2304" s="72"/>
      <c r="AM2304" s="72"/>
    </row>
    <row r="2305" spans="1:39" x14ac:dyDescent="0.25">
      <c r="A2305" s="37" t="s">
        <v>62</v>
      </c>
      <c r="B2305" s="66" t="s">
        <v>1654</v>
      </c>
      <c r="C2305" s="41">
        <v>1010</v>
      </c>
      <c r="D2305" s="41" t="s">
        <v>1311</v>
      </c>
      <c r="E2305" s="41">
        <v>10100004</v>
      </c>
      <c r="F2305" s="85" t="s">
        <v>272</v>
      </c>
      <c r="G2305" s="39" t="s">
        <v>1610</v>
      </c>
      <c r="H2305" s="52" t="s">
        <v>98</v>
      </c>
      <c r="I2305" s="52">
        <v>148.79999999999998</v>
      </c>
      <c r="J2305" s="49">
        <v>5475.8099999999995</v>
      </c>
      <c r="K2305" s="58">
        <v>0</v>
      </c>
      <c r="L2305" s="58">
        <v>0</v>
      </c>
      <c r="M2305" s="58">
        <v>0</v>
      </c>
      <c r="N2305" s="58">
        <v>0</v>
      </c>
      <c r="O2305" s="58">
        <v>0</v>
      </c>
      <c r="P2305" s="53">
        <v>0</v>
      </c>
      <c r="Q2305" s="65">
        <v>5475.8099999999995</v>
      </c>
      <c r="R2305" s="65">
        <v>0</v>
      </c>
      <c r="S2305" s="65">
        <v>0</v>
      </c>
      <c r="T2305" s="65">
        <v>0</v>
      </c>
      <c r="U2305" s="58">
        <v>0</v>
      </c>
      <c r="V2305" s="65">
        <v>0</v>
      </c>
      <c r="W2305" s="65">
        <v>0</v>
      </c>
      <c r="X2305" s="65">
        <v>0</v>
      </c>
      <c r="Y2305" s="65">
        <v>0</v>
      </c>
      <c r="Z2305" s="51">
        <v>5475.8099999999995</v>
      </c>
      <c r="AA2305" s="51">
        <v>0</v>
      </c>
      <c r="AB2305" s="102">
        <v>0</v>
      </c>
      <c r="AC2305" s="81">
        <f t="shared" si="111"/>
        <v>405.6809774193548</v>
      </c>
      <c r="AD2305" s="82">
        <f t="shared" si="112"/>
        <v>21.257142857142856</v>
      </c>
      <c r="AE2305" s="218">
        <v>0</v>
      </c>
      <c r="AF2305">
        <v>0</v>
      </c>
      <c r="AH2305" t="str">
        <f t="shared" si="110"/>
        <v>Parbatta</v>
      </c>
      <c r="AJ2305" s="72">
        <v>0</v>
      </c>
      <c r="AK2305" s="72"/>
      <c r="AL2305" s="72"/>
      <c r="AM2305" s="72"/>
    </row>
    <row r="2306" spans="1:39" x14ac:dyDescent="0.25">
      <c r="A2306" s="37" t="s">
        <v>62</v>
      </c>
      <c r="B2306" s="66" t="s">
        <v>1654</v>
      </c>
      <c r="C2306" s="41">
        <v>1010</v>
      </c>
      <c r="D2306" s="41" t="s">
        <v>1311</v>
      </c>
      <c r="E2306" s="41">
        <v>10100009</v>
      </c>
      <c r="F2306" s="85" t="s">
        <v>274</v>
      </c>
      <c r="G2306" s="39" t="s">
        <v>92</v>
      </c>
      <c r="H2306" s="52" t="s">
        <v>93</v>
      </c>
      <c r="I2306" s="52">
        <v>1312.6000000000004</v>
      </c>
      <c r="J2306" s="49">
        <v>52587.34</v>
      </c>
      <c r="K2306" s="58">
        <v>1315.9099999999999</v>
      </c>
      <c r="L2306" s="58">
        <v>60722.679999999993</v>
      </c>
      <c r="M2306" s="58">
        <v>0</v>
      </c>
      <c r="N2306" s="58">
        <v>0</v>
      </c>
      <c r="O2306" s="58">
        <v>1315.9099999999999</v>
      </c>
      <c r="P2306" s="53">
        <v>60722.679999999993</v>
      </c>
      <c r="Q2306" s="65">
        <v>52587.34</v>
      </c>
      <c r="R2306" s="65">
        <v>0</v>
      </c>
      <c r="S2306" s="65">
        <v>0</v>
      </c>
      <c r="T2306" s="65">
        <v>8135.3399999999965</v>
      </c>
      <c r="U2306" s="58">
        <v>0</v>
      </c>
      <c r="V2306" s="65">
        <v>0</v>
      </c>
      <c r="W2306" s="65">
        <v>0</v>
      </c>
      <c r="X2306" s="65">
        <v>52587</v>
      </c>
      <c r="Y2306" s="65">
        <v>0</v>
      </c>
      <c r="Z2306" s="51">
        <v>0</v>
      </c>
      <c r="AA2306" s="51">
        <v>0</v>
      </c>
      <c r="AB2306" s="102">
        <v>0</v>
      </c>
      <c r="AC2306" s="81">
        <f t="shared" si="111"/>
        <v>0</v>
      </c>
      <c r="AD2306" s="82">
        <f t="shared" si="112"/>
        <v>0</v>
      </c>
      <c r="AE2306" s="218">
        <v>-0.15470149279275197</v>
      </c>
      <c r="AF2306">
        <v>2</v>
      </c>
      <c r="AH2306" t="str">
        <f t="shared" si="110"/>
        <v>Parbatta</v>
      </c>
      <c r="AJ2306" s="72">
        <v>0</v>
      </c>
      <c r="AK2306" s="72"/>
      <c r="AL2306" s="72"/>
      <c r="AM2306" s="72"/>
    </row>
    <row r="2307" spans="1:39" x14ac:dyDescent="0.25">
      <c r="A2307" s="37" t="s">
        <v>62</v>
      </c>
      <c r="B2307" s="66" t="s">
        <v>1654</v>
      </c>
      <c r="C2307" s="41">
        <v>1010</v>
      </c>
      <c r="D2307" s="41" t="s">
        <v>1311</v>
      </c>
      <c r="E2307" s="41">
        <v>10100014</v>
      </c>
      <c r="F2307" s="85" t="s">
        <v>1207</v>
      </c>
      <c r="G2307" s="39" t="s">
        <v>92</v>
      </c>
      <c r="H2307" s="52" t="s">
        <v>93</v>
      </c>
      <c r="I2307" s="52">
        <v>400.5</v>
      </c>
      <c r="J2307" s="49">
        <v>16741.649999999998</v>
      </c>
      <c r="K2307" s="58">
        <v>403.59999999999991</v>
      </c>
      <c r="L2307" s="58">
        <v>16616.509999999998</v>
      </c>
      <c r="M2307" s="58">
        <v>0</v>
      </c>
      <c r="N2307" s="58">
        <v>0</v>
      </c>
      <c r="O2307" s="58">
        <v>403.59999999999991</v>
      </c>
      <c r="P2307" s="53">
        <v>16616.509999999998</v>
      </c>
      <c r="Q2307" s="65">
        <v>16616.509999999998</v>
      </c>
      <c r="R2307" s="65">
        <v>0</v>
      </c>
      <c r="S2307" s="65">
        <v>0</v>
      </c>
      <c r="T2307" s="65">
        <v>0</v>
      </c>
      <c r="U2307" s="58">
        <v>0</v>
      </c>
      <c r="V2307" s="65">
        <v>0</v>
      </c>
      <c r="W2307" s="65">
        <v>0</v>
      </c>
      <c r="X2307" s="65">
        <v>16616</v>
      </c>
      <c r="Y2307" s="65">
        <v>0</v>
      </c>
      <c r="Z2307" s="51">
        <v>0</v>
      </c>
      <c r="AA2307" s="51">
        <v>126</v>
      </c>
      <c r="AB2307" s="102">
        <v>0</v>
      </c>
      <c r="AC2307" s="81">
        <f t="shared" si="111"/>
        <v>250.39321722846444</v>
      </c>
      <c r="AD2307" s="82">
        <f t="shared" si="112"/>
        <v>57.214285714285715</v>
      </c>
      <c r="AE2307" s="218">
        <v>7.4747710052473579E-3</v>
      </c>
      <c r="AF2307">
        <v>3</v>
      </c>
      <c r="AH2307" t="str">
        <f t="shared" si="110"/>
        <v>Parbatta</v>
      </c>
      <c r="AJ2307" s="72">
        <v>0</v>
      </c>
      <c r="AK2307" s="72"/>
      <c r="AL2307" s="72"/>
      <c r="AM2307" s="72"/>
    </row>
    <row r="2308" spans="1:39" x14ac:dyDescent="0.25">
      <c r="A2308" s="37" t="s">
        <v>62</v>
      </c>
      <c r="B2308" s="66" t="s">
        <v>1654</v>
      </c>
      <c r="C2308" s="41">
        <v>1010</v>
      </c>
      <c r="D2308" s="41" t="s">
        <v>1311</v>
      </c>
      <c r="E2308" s="41">
        <v>10100016</v>
      </c>
      <c r="F2308" s="85" t="s">
        <v>1248</v>
      </c>
      <c r="G2308" s="39" t="s">
        <v>92</v>
      </c>
      <c r="H2308" s="52" t="s">
        <v>93</v>
      </c>
      <c r="I2308" s="52">
        <v>231.3</v>
      </c>
      <c r="J2308" s="49">
        <v>9614.41</v>
      </c>
      <c r="K2308" s="58">
        <v>365</v>
      </c>
      <c r="L2308" s="58">
        <v>16210.91</v>
      </c>
      <c r="M2308" s="58">
        <v>0</v>
      </c>
      <c r="N2308" s="58">
        <v>0</v>
      </c>
      <c r="O2308" s="58">
        <v>365</v>
      </c>
      <c r="P2308" s="53">
        <v>16210.91</v>
      </c>
      <c r="Q2308" s="65">
        <v>9614.41</v>
      </c>
      <c r="R2308" s="65">
        <v>0</v>
      </c>
      <c r="S2308" s="65">
        <v>0</v>
      </c>
      <c r="T2308" s="65">
        <v>6596.5</v>
      </c>
      <c r="U2308" s="58">
        <v>0</v>
      </c>
      <c r="V2308" s="65">
        <v>0</v>
      </c>
      <c r="W2308" s="65">
        <v>0</v>
      </c>
      <c r="X2308" s="65">
        <v>9614</v>
      </c>
      <c r="Y2308" s="65">
        <v>0</v>
      </c>
      <c r="Z2308" s="51">
        <v>0</v>
      </c>
      <c r="AA2308" s="51">
        <v>0</v>
      </c>
      <c r="AB2308" s="102" t="s">
        <v>66</v>
      </c>
      <c r="AC2308" s="81">
        <f t="shared" si="111"/>
        <v>389.64755443147419</v>
      </c>
      <c r="AD2308" s="82">
        <f t="shared" si="112"/>
        <v>33.042857142857144</v>
      </c>
      <c r="AE2308" s="218">
        <v>-0.68610554365790521</v>
      </c>
      <c r="AF2308">
        <v>1</v>
      </c>
      <c r="AH2308" t="str">
        <f t="shared" si="110"/>
        <v>Parbatta</v>
      </c>
      <c r="AJ2308" s="72">
        <v>0</v>
      </c>
      <c r="AK2308" s="72"/>
      <c r="AL2308" s="72"/>
      <c r="AM2308" s="72"/>
    </row>
    <row r="2309" spans="1:39" x14ac:dyDescent="0.25">
      <c r="A2309" s="37" t="s">
        <v>62</v>
      </c>
      <c r="B2309" s="66" t="s">
        <v>1654</v>
      </c>
      <c r="C2309" s="41">
        <v>1010</v>
      </c>
      <c r="D2309" s="41" t="s">
        <v>1311</v>
      </c>
      <c r="E2309" s="41">
        <v>10100021</v>
      </c>
      <c r="F2309" s="85" t="s">
        <v>276</v>
      </c>
      <c r="G2309" s="39" t="s">
        <v>92</v>
      </c>
      <c r="H2309" s="52" t="s">
        <v>93</v>
      </c>
      <c r="I2309" s="52">
        <v>540.9</v>
      </c>
      <c r="J2309" s="49">
        <v>22674.999999999996</v>
      </c>
      <c r="K2309" s="58">
        <v>539.5</v>
      </c>
      <c r="L2309" s="58">
        <v>22615.989999999998</v>
      </c>
      <c r="M2309" s="58">
        <v>1.4000000000000001</v>
      </c>
      <c r="N2309" s="58">
        <v>59.010000000000005</v>
      </c>
      <c r="O2309" s="58">
        <v>540.9</v>
      </c>
      <c r="P2309" s="53">
        <v>22674.999999999996</v>
      </c>
      <c r="Q2309" s="65">
        <v>22674.999999999996</v>
      </c>
      <c r="R2309" s="65">
        <v>0</v>
      </c>
      <c r="S2309" s="65">
        <v>59.010000000000005</v>
      </c>
      <c r="T2309" s="65">
        <v>0</v>
      </c>
      <c r="U2309" s="58">
        <v>0</v>
      </c>
      <c r="V2309" s="65">
        <v>0</v>
      </c>
      <c r="W2309" s="65">
        <v>0</v>
      </c>
      <c r="X2309" s="65">
        <v>22616</v>
      </c>
      <c r="Y2309" s="65">
        <v>0</v>
      </c>
      <c r="Z2309" s="51">
        <v>0</v>
      </c>
      <c r="AA2309" s="51">
        <v>0</v>
      </c>
      <c r="AB2309" s="102">
        <v>0</v>
      </c>
      <c r="AC2309" s="81">
        <f t="shared" si="111"/>
        <v>133.3922166759105</v>
      </c>
      <c r="AD2309" s="82">
        <f t="shared" si="112"/>
        <v>77.271428571428572</v>
      </c>
      <c r="AE2309" s="218">
        <v>0</v>
      </c>
      <c r="AF2309">
        <v>4</v>
      </c>
      <c r="AH2309" t="str">
        <f t="shared" si="110"/>
        <v>Parbatta</v>
      </c>
      <c r="AJ2309" s="72">
        <v>0</v>
      </c>
      <c r="AK2309" s="72"/>
      <c r="AL2309" s="72"/>
      <c r="AM2309" s="72"/>
    </row>
    <row r="2310" spans="1:39" x14ac:dyDescent="0.25">
      <c r="A2310" s="37" t="s">
        <v>62</v>
      </c>
      <c r="B2310" s="66" t="s">
        <v>1654</v>
      </c>
      <c r="C2310" s="41">
        <v>1010</v>
      </c>
      <c r="D2310" s="41" t="s">
        <v>1311</v>
      </c>
      <c r="E2310" s="41">
        <v>10100026</v>
      </c>
      <c r="F2310" s="85" t="s">
        <v>1312</v>
      </c>
      <c r="G2310" s="39" t="s">
        <v>1610</v>
      </c>
      <c r="H2310" s="52" t="s">
        <v>98</v>
      </c>
      <c r="I2310" s="52">
        <v>844.7</v>
      </c>
      <c r="J2310" s="49">
        <v>37409.33</v>
      </c>
      <c r="K2310" s="58">
        <v>0</v>
      </c>
      <c r="L2310" s="58">
        <v>0</v>
      </c>
      <c r="M2310" s="58">
        <v>0</v>
      </c>
      <c r="N2310" s="58">
        <v>0</v>
      </c>
      <c r="O2310" s="58">
        <v>0</v>
      </c>
      <c r="P2310" s="53">
        <v>0</v>
      </c>
      <c r="Q2310" s="65">
        <v>37409.33</v>
      </c>
      <c r="R2310" s="65">
        <v>0</v>
      </c>
      <c r="S2310" s="65">
        <v>0</v>
      </c>
      <c r="T2310" s="65">
        <v>0</v>
      </c>
      <c r="U2310" s="58">
        <v>0</v>
      </c>
      <c r="V2310" s="65">
        <v>0</v>
      </c>
      <c r="W2310" s="65">
        <v>0</v>
      </c>
      <c r="X2310" s="65">
        <v>0</v>
      </c>
      <c r="Y2310" s="65">
        <v>0</v>
      </c>
      <c r="Z2310" s="51">
        <v>37409.33</v>
      </c>
      <c r="AA2310" s="51">
        <v>0</v>
      </c>
      <c r="AB2310" s="102">
        <v>0</v>
      </c>
      <c r="AC2310" s="81">
        <f t="shared" si="111"/>
        <v>0</v>
      </c>
      <c r="AD2310" s="82">
        <f t="shared" si="112"/>
        <v>0</v>
      </c>
      <c r="AE2310" s="218">
        <v>0</v>
      </c>
      <c r="AF2310">
        <v>0</v>
      </c>
      <c r="AH2310" t="str">
        <f t="shared" si="110"/>
        <v>Parbatta</v>
      </c>
      <c r="AJ2310" s="72">
        <v>0</v>
      </c>
      <c r="AK2310" s="72"/>
      <c r="AL2310" s="72"/>
      <c r="AM2310" s="72"/>
    </row>
    <row r="2311" spans="1:39" x14ac:dyDescent="0.25">
      <c r="A2311" s="37" t="s">
        <v>62</v>
      </c>
      <c r="B2311" s="66" t="s">
        <v>1654</v>
      </c>
      <c r="C2311" s="41">
        <v>1010</v>
      </c>
      <c r="D2311" s="41" t="s">
        <v>1311</v>
      </c>
      <c r="E2311" s="41">
        <v>10100028</v>
      </c>
      <c r="F2311" s="85" t="s">
        <v>1499</v>
      </c>
      <c r="G2311" s="39" t="s">
        <v>1610</v>
      </c>
      <c r="H2311" s="52" t="s">
        <v>98</v>
      </c>
      <c r="I2311" s="52">
        <v>454.39999999999992</v>
      </c>
      <c r="J2311" s="49">
        <v>15551.829999999998</v>
      </c>
      <c r="K2311" s="58">
        <v>0</v>
      </c>
      <c r="L2311" s="58">
        <v>0</v>
      </c>
      <c r="M2311" s="58">
        <v>0</v>
      </c>
      <c r="N2311" s="58">
        <v>0</v>
      </c>
      <c r="O2311" s="58">
        <v>0</v>
      </c>
      <c r="P2311" s="53">
        <v>0</v>
      </c>
      <c r="Q2311" s="65">
        <v>15551.829999999998</v>
      </c>
      <c r="R2311" s="65">
        <v>0</v>
      </c>
      <c r="S2311" s="65">
        <v>0</v>
      </c>
      <c r="T2311" s="65">
        <v>0</v>
      </c>
      <c r="U2311" s="58">
        <v>0</v>
      </c>
      <c r="V2311" s="65">
        <v>0</v>
      </c>
      <c r="W2311" s="65">
        <v>0</v>
      </c>
      <c r="X2311" s="65">
        <v>0</v>
      </c>
      <c r="Y2311" s="65">
        <v>0</v>
      </c>
      <c r="Z2311" s="51">
        <v>15551.829999999998</v>
      </c>
      <c r="AA2311" s="51">
        <v>0</v>
      </c>
      <c r="AB2311" s="102">
        <v>0</v>
      </c>
      <c r="AC2311" s="81">
        <f t="shared" si="111"/>
        <v>168.11309190140855</v>
      </c>
      <c r="AD2311" s="82">
        <f t="shared" si="112"/>
        <v>64.914285714285697</v>
      </c>
      <c r="AE2311" s="218">
        <v>0</v>
      </c>
      <c r="AF2311">
        <v>0</v>
      </c>
      <c r="AH2311" t="str">
        <f t="shared" si="110"/>
        <v>Parbatta</v>
      </c>
      <c r="AJ2311" s="72">
        <v>0</v>
      </c>
      <c r="AK2311" s="72"/>
      <c r="AL2311" s="72"/>
      <c r="AM2311" s="72"/>
    </row>
    <row r="2312" spans="1:39" x14ac:dyDescent="0.25">
      <c r="A2312" s="37" t="s">
        <v>62</v>
      </c>
      <c r="B2312" s="66" t="s">
        <v>1654</v>
      </c>
      <c r="C2312" s="41">
        <v>1007</v>
      </c>
      <c r="D2312" s="41" t="s">
        <v>203</v>
      </c>
      <c r="E2312" s="41">
        <v>10100033</v>
      </c>
      <c r="F2312" s="85" t="s">
        <v>278</v>
      </c>
      <c r="G2312" s="39" t="s">
        <v>1610</v>
      </c>
      <c r="H2312" s="52" t="s">
        <v>98</v>
      </c>
      <c r="I2312" s="52">
        <v>85.3</v>
      </c>
      <c r="J2312" s="49">
        <v>3196.38</v>
      </c>
      <c r="K2312" s="58">
        <v>0</v>
      </c>
      <c r="L2312" s="58">
        <v>0</v>
      </c>
      <c r="M2312" s="58">
        <v>0</v>
      </c>
      <c r="N2312" s="58">
        <v>0</v>
      </c>
      <c r="O2312" s="58">
        <v>0</v>
      </c>
      <c r="P2312" s="53">
        <v>0</v>
      </c>
      <c r="Q2312" s="65">
        <v>3196.38</v>
      </c>
      <c r="R2312" s="65">
        <v>0</v>
      </c>
      <c r="S2312" s="65">
        <v>0</v>
      </c>
      <c r="T2312" s="65">
        <v>0</v>
      </c>
      <c r="U2312" s="58">
        <v>0</v>
      </c>
      <c r="V2312" s="65">
        <v>0</v>
      </c>
      <c r="W2312" s="65">
        <v>0</v>
      </c>
      <c r="X2312" s="65">
        <v>0</v>
      </c>
      <c r="Y2312" s="65">
        <v>0</v>
      </c>
      <c r="Z2312" s="51">
        <v>3196.38</v>
      </c>
      <c r="AA2312" s="51">
        <v>0</v>
      </c>
      <c r="AB2312" s="102">
        <v>0</v>
      </c>
      <c r="AC2312" s="81">
        <f t="shared" si="111"/>
        <v>460.68341992966009</v>
      </c>
      <c r="AD2312" s="82">
        <f t="shared" si="112"/>
        <v>12.185714285714285</v>
      </c>
      <c r="AE2312" s="218">
        <v>0</v>
      </c>
      <c r="AF2312">
        <v>0</v>
      </c>
      <c r="AH2312" t="str">
        <f t="shared" si="110"/>
        <v>Araria</v>
      </c>
      <c r="AJ2312" s="72">
        <v>0</v>
      </c>
      <c r="AK2312" s="72"/>
      <c r="AL2312" s="72"/>
      <c r="AM2312" s="72"/>
    </row>
    <row r="2313" spans="1:39" x14ac:dyDescent="0.25">
      <c r="A2313" s="37" t="s">
        <v>62</v>
      </c>
      <c r="B2313" s="66" t="s">
        <v>1654</v>
      </c>
      <c r="C2313" s="41">
        <v>1007</v>
      </c>
      <c r="D2313" s="41" t="s">
        <v>203</v>
      </c>
      <c r="E2313" s="41">
        <v>10100035</v>
      </c>
      <c r="F2313" s="85" t="s">
        <v>279</v>
      </c>
      <c r="G2313" s="39" t="s">
        <v>92</v>
      </c>
      <c r="H2313" s="52" t="s">
        <v>93</v>
      </c>
      <c r="I2313" s="52">
        <v>512.6</v>
      </c>
      <c r="J2313" s="49">
        <v>25021.24</v>
      </c>
      <c r="K2313" s="58">
        <v>563.6</v>
      </c>
      <c r="L2313" s="58">
        <v>31200.36</v>
      </c>
      <c r="M2313" s="58">
        <v>0</v>
      </c>
      <c r="N2313" s="58">
        <v>0</v>
      </c>
      <c r="O2313" s="58">
        <v>563.6</v>
      </c>
      <c r="P2313" s="53">
        <v>31200.36</v>
      </c>
      <c r="Q2313" s="65">
        <v>25021.24</v>
      </c>
      <c r="R2313" s="65">
        <v>0</v>
      </c>
      <c r="S2313" s="65">
        <v>0</v>
      </c>
      <c r="T2313" s="65">
        <v>6179.119999999999</v>
      </c>
      <c r="U2313" s="58">
        <v>0</v>
      </c>
      <c r="V2313" s="65">
        <v>500</v>
      </c>
      <c r="W2313" s="65">
        <v>0</v>
      </c>
      <c r="X2313" s="65">
        <v>24521</v>
      </c>
      <c r="Y2313" s="65">
        <v>0</v>
      </c>
      <c r="Z2313" s="51">
        <v>0</v>
      </c>
      <c r="AA2313" s="51">
        <v>0</v>
      </c>
      <c r="AB2313" s="102">
        <v>0</v>
      </c>
      <c r="AC2313" s="81">
        <f t="shared" si="111"/>
        <v>182.94890269215765</v>
      </c>
      <c r="AD2313" s="82">
        <f t="shared" si="112"/>
        <v>73.228571428571428</v>
      </c>
      <c r="AE2313" s="218">
        <v>-0.2469549870430082</v>
      </c>
      <c r="AF2313">
        <v>1</v>
      </c>
      <c r="AH2313" t="str">
        <f t="shared" si="110"/>
        <v>Araria</v>
      </c>
      <c r="AJ2313" s="72">
        <v>500</v>
      </c>
      <c r="AK2313" s="72"/>
      <c r="AL2313" s="72"/>
      <c r="AM2313" s="72"/>
    </row>
    <row r="2314" spans="1:39" x14ac:dyDescent="0.25">
      <c r="A2314" s="37" t="s">
        <v>62</v>
      </c>
      <c r="B2314" s="66" t="s">
        <v>1654</v>
      </c>
      <c r="C2314" s="41">
        <v>1010</v>
      </c>
      <c r="D2314" s="41" t="s">
        <v>1311</v>
      </c>
      <c r="E2314" s="41">
        <v>10100037</v>
      </c>
      <c r="F2314" s="85" t="s">
        <v>280</v>
      </c>
      <c r="G2314" s="39" t="s">
        <v>92</v>
      </c>
      <c r="H2314" s="52" t="s">
        <v>93</v>
      </c>
      <c r="I2314" s="52">
        <v>248</v>
      </c>
      <c r="J2314" s="49">
        <v>11607.12</v>
      </c>
      <c r="K2314" s="58">
        <v>486.79999999999995</v>
      </c>
      <c r="L2314" s="58">
        <v>23559.94</v>
      </c>
      <c r="M2314" s="58">
        <v>50</v>
      </c>
      <c r="N2314" s="58">
        <v>2370</v>
      </c>
      <c r="O2314" s="58">
        <v>536.79999999999995</v>
      </c>
      <c r="P2314" s="53">
        <v>25929.94</v>
      </c>
      <c r="Q2314" s="65">
        <v>11607.12</v>
      </c>
      <c r="R2314" s="65">
        <v>0</v>
      </c>
      <c r="S2314" s="65">
        <v>2370</v>
      </c>
      <c r="T2314" s="65">
        <v>14322.819999999998</v>
      </c>
      <c r="U2314" s="58">
        <v>0</v>
      </c>
      <c r="V2314" s="65">
        <v>500</v>
      </c>
      <c r="W2314" s="65">
        <v>0</v>
      </c>
      <c r="X2314" s="65">
        <v>8737</v>
      </c>
      <c r="Y2314" s="65">
        <v>0</v>
      </c>
      <c r="Z2314" s="51">
        <v>0</v>
      </c>
      <c r="AA2314" s="51">
        <v>0</v>
      </c>
      <c r="AB2314" s="102">
        <v>0</v>
      </c>
      <c r="AC2314" s="81">
        <f t="shared" si="111"/>
        <v>423.09824516129032</v>
      </c>
      <c r="AD2314" s="82">
        <f t="shared" si="112"/>
        <v>35.428571428571431</v>
      </c>
      <c r="AE2314" s="218">
        <v>-1.2339684607378916</v>
      </c>
      <c r="AF2314">
        <v>3</v>
      </c>
      <c r="AH2314" t="str">
        <f t="shared" ref="AH2314:AH2372" si="113">TEXT(D2314,"0000")</f>
        <v>Parbatta</v>
      </c>
      <c r="AJ2314" s="72">
        <v>500</v>
      </c>
      <c r="AK2314" s="72"/>
      <c r="AL2314" s="72"/>
      <c r="AM2314" s="72"/>
    </row>
    <row r="2315" spans="1:39" x14ac:dyDescent="0.25">
      <c r="A2315" s="37" t="s">
        <v>62</v>
      </c>
      <c r="B2315" s="66" t="s">
        <v>1654</v>
      </c>
      <c r="C2315" s="41">
        <v>1007</v>
      </c>
      <c r="D2315" s="41" t="s">
        <v>203</v>
      </c>
      <c r="E2315" s="41">
        <v>10100044</v>
      </c>
      <c r="F2315" s="85" t="s">
        <v>1249</v>
      </c>
      <c r="G2315" s="39" t="s">
        <v>1610</v>
      </c>
      <c r="H2315" s="52" t="s">
        <v>98</v>
      </c>
      <c r="I2315" s="52">
        <v>1140.4999999999998</v>
      </c>
      <c r="J2315" s="49">
        <v>45358.48000000001</v>
      </c>
      <c r="K2315" s="58">
        <v>0</v>
      </c>
      <c r="L2315" s="58">
        <v>0</v>
      </c>
      <c r="M2315" s="58">
        <v>0</v>
      </c>
      <c r="N2315" s="58">
        <v>0</v>
      </c>
      <c r="O2315" s="58">
        <v>0</v>
      </c>
      <c r="P2315" s="53">
        <v>0</v>
      </c>
      <c r="Q2315" s="65">
        <v>45358.48000000001</v>
      </c>
      <c r="R2315" s="65">
        <v>0</v>
      </c>
      <c r="S2315" s="65">
        <v>0</v>
      </c>
      <c r="T2315" s="65">
        <v>0</v>
      </c>
      <c r="U2315" s="58">
        <v>0</v>
      </c>
      <c r="V2315" s="65">
        <v>0</v>
      </c>
      <c r="W2315" s="65">
        <v>0</v>
      </c>
      <c r="X2315" s="65">
        <v>0</v>
      </c>
      <c r="Y2315" s="65">
        <v>0</v>
      </c>
      <c r="Z2315" s="51">
        <v>45358.48000000001</v>
      </c>
      <c r="AA2315" s="51">
        <v>0</v>
      </c>
      <c r="AB2315" s="102">
        <v>0</v>
      </c>
      <c r="AC2315" s="81">
        <f t="shared" si="111"/>
        <v>0</v>
      </c>
      <c r="AD2315" s="82">
        <f t="shared" si="112"/>
        <v>0</v>
      </c>
      <c r="AE2315" s="218">
        <v>0</v>
      </c>
      <c r="AF2315">
        <v>0</v>
      </c>
      <c r="AH2315" t="str">
        <f t="shared" si="113"/>
        <v>Araria</v>
      </c>
      <c r="AJ2315" s="72">
        <v>0</v>
      </c>
      <c r="AK2315" s="72"/>
      <c r="AL2315" s="72"/>
      <c r="AM2315" s="72"/>
    </row>
    <row r="2316" spans="1:39" x14ac:dyDescent="0.25">
      <c r="A2316" s="37" t="s">
        <v>62</v>
      </c>
      <c r="B2316" s="66" t="s">
        <v>1654</v>
      </c>
      <c r="C2316" s="41">
        <v>1010</v>
      </c>
      <c r="D2316" s="41" t="s">
        <v>1311</v>
      </c>
      <c r="E2316" s="41">
        <v>10100045</v>
      </c>
      <c r="F2316" s="85" t="s">
        <v>423</v>
      </c>
      <c r="G2316" s="39" t="s">
        <v>92</v>
      </c>
      <c r="H2316" s="52" t="s">
        <v>93</v>
      </c>
      <c r="I2316" s="52">
        <v>2016.7</v>
      </c>
      <c r="J2316" s="49">
        <v>73545.429999999993</v>
      </c>
      <c r="K2316" s="58">
        <v>2081.8199999999997</v>
      </c>
      <c r="L2316" s="58">
        <v>81757.76999999999</v>
      </c>
      <c r="M2316" s="58">
        <v>6.1199999999999983</v>
      </c>
      <c r="N2316" s="58">
        <v>238.07</v>
      </c>
      <c r="O2316" s="58">
        <v>2087.9399999999996</v>
      </c>
      <c r="P2316" s="53">
        <v>81995.839999999997</v>
      </c>
      <c r="Q2316" s="65">
        <v>73545.429999999993</v>
      </c>
      <c r="R2316" s="65">
        <v>0</v>
      </c>
      <c r="S2316" s="65">
        <v>238.07</v>
      </c>
      <c r="T2316" s="65">
        <v>8450.4100000000035</v>
      </c>
      <c r="U2316" s="58">
        <v>0</v>
      </c>
      <c r="V2316" s="65">
        <v>0</v>
      </c>
      <c r="W2316" s="65">
        <v>0</v>
      </c>
      <c r="X2316" s="65">
        <v>73307</v>
      </c>
      <c r="Y2316" s="65">
        <v>0</v>
      </c>
      <c r="Z2316" s="51">
        <v>0</v>
      </c>
      <c r="AA2316" s="51">
        <v>0</v>
      </c>
      <c r="AB2316" s="102">
        <v>0</v>
      </c>
      <c r="AC2316" s="81">
        <f t="shared" si="111"/>
        <v>0</v>
      </c>
      <c r="AD2316" s="82">
        <f t="shared" si="112"/>
        <v>0</v>
      </c>
      <c r="AE2316" s="218">
        <v>-0.11490054514604109</v>
      </c>
      <c r="AF2316">
        <v>4</v>
      </c>
      <c r="AH2316" t="str">
        <f t="shared" si="113"/>
        <v>Parbatta</v>
      </c>
      <c r="AJ2316" s="72">
        <v>0</v>
      </c>
      <c r="AK2316" s="72"/>
      <c r="AL2316" s="72"/>
      <c r="AM2316" s="72"/>
    </row>
    <row r="2317" spans="1:39" x14ac:dyDescent="0.25">
      <c r="A2317" s="37" t="s">
        <v>62</v>
      </c>
      <c r="B2317" s="66" t="s">
        <v>1654</v>
      </c>
      <c r="C2317" s="41">
        <v>1010</v>
      </c>
      <c r="D2317" s="41" t="s">
        <v>1311</v>
      </c>
      <c r="E2317" s="41">
        <v>10100047</v>
      </c>
      <c r="F2317" s="85" t="s">
        <v>1641</v>
      </c>
      <c r="G2317" s="39" t="s">
        <v>1610</v>
      </c>
      <c r="H2317" s="52" t="s">
        <v>93</v>
      </c>
      <c r="I2317" s="52">
        <v>20.6</v>
      </c>
      <c r="J2317" s="49">
        <v>890.54</v>
      </c>
      <c r="K2317" s="58">
        <v>0</v>
      </c>
      <c r="L2317" s="58">
        <v>0</v>
      </c>
      <c r="M2317" s="58">
        <v>0</v>
      </c>
      <c r="N2317" s="58">
        <v>0</v>
      </c>
      <c r="O2317" s="58">
        <v>0</v>
      </c>
      <c r="P2317" s="53">
        <v>0</v>
      </c>
      <c r="Q2317" s="65">
        <v>0</v>
      </c>
      <c r="R2317" s="65">
        <v>0</v>
      </c>
      <c r="S2317" s="65">
        <v>0</v>
      </c>
      <c r="T2317" s="65">
        <v>0</v>
      </c>
      <c r="U2317" s="58">
        <v>0</v>
      </c>
      <c r="V2317" s="65">
        <v>0</v>
      </c>
      <c r="W2317" s="65">
        <v>0</v>
      </c>
      <c r="X2317" s="65">
        <v>0</v>
      </c>
      <c r="Y2317" s="65">
        <v>0</v>
      </c>
      <c r="Z2317" s="51">
        <v>0</v>
      </c>
      <c r="AA2317" s="51">
        <v>891</v>
      </c>
      <c r="AB2317" s="102">
        <v>0</v>
      </c>
      <c r="AC2317" s="81">
        <f t="shared" si="111"/>
        <v>587.41055922330099</v>
      </c>
      <c r="AD2317" s="82">
        <f t="shared" si="112"/>
        <v>2.9428571428571431</v>
      </c>
      <c r="AE2317" s="218">
        <v>1</v>
      </c>
      <c r="AF2317">
        <v>0</v>
      </c>
      <c r="AH2317" t="str">
        <f t="shared" si="113"/>
        <v>Parbatta</v>
      </c>
      <c r="AJ2317" s="72">
        <v>0</v>
      </c>
      <c r="AK2317" s="72"/>
      <c r="AL2317" s="72"/>
      <c r="AM2317" s="72"/>
    </row>
    <row r="2318" spans="1:39" x14ac:dyDescent="0.25">
      <c r="A2318" s="37" t="s">
        <v>62</v>
      </c>
      <c r="B2318" s="66" t="s">
        <v>1654</v>
      </c>
      <c r="C2318" s="41">
        <v>1007</v>
      </c>
      <c r="D2318" s="41" t="s">
        <v>203</v>
      </c>
      <c r="E2318" s="41">
        <v>10100049</v>
      </c>
      <c r="F2318" s="85" t="s">
        <v>603</v>
      </c>
      <c r="G2318" s="39" t="s">
        <v>92</v>
      </c>
      <c r="H2318" s="52" t="s">
        <v>93</v>
      </c>
      <c r="I2318" s="52">
        <v>1212.5</v>
      </c>
      <c r="J2318" s="49">
        <v>47558.239999999991</v>
      </c>
      <c r="K2318" s="58">
        <v>1212.5</v>
      </c>
      <c r="L2318" s="58">
        <v>47699.75</v>
      </c>
      <c r="M2318" s="58">
        <v>0</v>
      </c>
      <c r="N2318" s="58">
        <v>0</v>
      </c>
      <c r="O2318" s="58">
        <v>1212.5</v>
      </c>
      <c r="P2318" s="53">
        <v>47699.75</v>
      </c>
      <c r="Q2318" s="65">
        <v>47558.239999999991</v>
      </c>
      <c r="R2318" s="65">
        <v>0</v>
      </c>
      <c r="S2318" s="65">
        <v>0</v>
      </c>
      <c r="T2318" s="65">
        <v>141.51000000000931</v>
      </c>
      <c r="U2318" s="58">
        <v>0</v>
      </c>
      <c r="V2318" s="65">
        <v>0</v>
      </c>
      <c r="W2318" s="65">
        <v>0</v>
      </c>
      <c r="X2318" s="65">
        <v>47558</v>
      </c>
      <c r="Y2318" s="65">
        <v>0</v>
      </c>
      <c r="Z2318" s="51">
        <v>0</v>
      </c>
      <c r="AA2318" s="51">
        <v>0</v>
      </c>
      <c r="AB2318" s="102">
        <v>0</v>
      </c>
      <c r="AC2318" s="81">
        <f t="shared" si="111"/>
        <v>0</v>
      </c>
      <c r="AD2318" s="82">
        <f t="shared" si="112"/>
        <v>0</v>
      </c>
      <c r="AE2318" s="218">
        <v>-2.9755096067476286E-3</v>
      </c>
      <c r="AF2318">
        <v>1</v>
      </c>
      <c r="AH2318" t="str">
        <f t="shared" si="113"/>
        <v>Araria</v>
      </c>
      <c r="AJ2318" s="72">
        <v>0</v>
      </c>
      <c r="AK2318" s="72"/>
      <c r="AL2318" s="72"/>
      <c r="AM2318" s="72"/>
    </row>
    <row r="2319" spans="1:39" x14ac:dyDescent="0.25">
      <c r="A2319" s="37" t="s">
        <v>62</v>
      </c>
      <c r="B2319" s="66" t="s">
        <v>1654</v>
      </c>
      <c r="C2319" s="41">
        <v>1007</v>
      </c>
      <c r="D2319" s="41" t="s">
        <v>203</v>
      </c>
      <c r="E2319" s="41">
        <v>10100051</v>
      </c>
      <c r="F2319" s="85" t="s">
        <v>440</v>
      </c>
      <c r="G2319" s="39" t="s">
        <v>92</v>
      </c>
      <c r="H2319" s="52" t="s">
        <v>93</v>
      </c>
      <c r="I2319" s="52">
        <v>1659.8999999999999</v>
      </c>
      <c r="J2319" s="49">
        <v>65720.850000000006</v>
      </c>
      <c r="K2319" s="58">
        <v>1673</v>
      </c>
      <c r="L2319" s="58">
        <v>66430.069999999992</v>
      </c>
      <c r="M2319" s="58">
        <v>0</v>
      </c>
      <c r="N2319" s="58">
        <v>0</v>
      </c>
      <c r="O2319" s="58">
        <v>1673</v>
      </c>
      <c r="P2319" s="53">
        <v>66430.069999999992</v>
      </c>
      <c r="Q2319" s="65">
        <v>65720.850000000006</v>
      </c>
      <c r="R2319" s="65">
        <v>0</v>
      </c>
      <c r="S2319" s="65">
        <v>0</v>
      </c>
      <c r="T2319" s="65">
        <v>709.21999999998661</v>
      </c>
      <c r="U2319" s="58">
        <v>0</v>
      </c>
      <c r="V2319" s="65">
        <v>0</v>
      </c>
      <c r="W2319" s="65">
        <v>0</v>
      </c>
      <c r="X2319" s="65">
        <v>65721</v>
      </c>
      <c r="Y2319" s="65">
        <v>0</v>
      </c>
      <c r="Z2319" s="51">
        <v>0</v>
      </c>
      <c r="AA2319" s="51">
        <v>0</v>
      </c>
      <c r="AB2319" s="102">
        <v>0</v>
      </c>
      <c r="AC2319" s="81">
        <f t="shared" si="111"/>
        <v>0</v>
      </c>
      <c r="AD2319" s="82">
        <f t="shared" si="112"/>
        <v>0</v>
      </c>
      <c r="AE2319" s="218">
        <v>-1.0791400293818271E-2</v>
      </c>
      <c r="AF2319">
        <v>4</v>
      </c>
      <c r="AH2319" t="str">
        <f t="shared" si="113"/>
        <v>Araria</v>
      </c>
      <c r="AJ2319" s="72">
        <v>0</v>
      </c>
      <c r="AK2319" s="72"/>
      <c r="AL2319" s="72"/>
      <c r="AM2319" s="72"/>
    </row>
    <row r="2320" spans="1:39" x14ac:dyDescent="0.25">
      <c r="A2320" s="37" t="s">
        <v>62</v>
      </c>
      <c r="B2320" s="66" t="s">
        <v>1654</v>
      </c>
      <c r="C2320" s="41">
        <v>1010</v>
      </c>
      <c r="D2320" s="41" t="s">
        <v>1311</v>
      </c>
      <c r="E2320" s="41">
        <v>10100054</v>
      </c>
      <c r="F2320" s="85" t="s">
        <v>495</v>
      </c>
      <c r="G2320" s="39" t="s">
        <v>92</v>
      </c>
      <c r="H2320" s="52" t="s">
        <v>93</v>
      </c>
      <c r="I2320" s="52">
        <v>261.60000000000002</v>
      </c>
      <c r="J2320" s="49">
        <v>11625.919999999998</v>
      </c>
      <c r="K2320" s="58">
        <v>430.87</v>
      </c>
      <c r="L2320" s="58">
        <v>18150.010000000002</v>
      </c>
      <c r="M2320" s="58">
        <v>2.7700000000000005</v>
      </c>
      <c r="N2320" s="58">
        <v>119.42999999999999</v>
      </c>
      <c r="O2320" s="58">
        <v>433.64</v>
      </c>
      <c r="P2320" s="53">
        <v>18269.440000000002</v>
      </c>
      <c r="Q2320" s="65">
        <v>11625.919999999998</v>
      </c>
      <c r="R2320" s="65">
        <v>0</v>
      </c>
      <c r="S2320" s="65">
        <v>119.42999999999999</v>
      </c>
      <c r="T2320" s="65">
        <v>6643.5200000000041</v>
      </c>
      <c r="U2320" s="58">
        <v>0</v>
      </c>
      <c r="V2320" s="65">
        <v>0</v>
      </c>
      <c r="W2320" s="65">
        <v>0</v>
      </c>
      <c r="X2320" s="65">
        <v>11506</v>
      </c>
      <c r="Y2320" s="65">
        <v>0</v>
      </c>
      <c r="Z2320" s="51">
        <v>0</v>
      </c>
      <c r="AA2320" s="51">
        <v>0</v>
      </c>
      <c r="AB2320" s="102">
        <v>0</v>
      </c>
      <c r="AC2320" s="81">
        <f t="shared" si="111"/>
        <v>389.66386299694182</v>
      </c>
      <c r="AD2320" s="82">
        <f t="shared" si="112"/>
        <v>37.371428571428574</v>
      </c>
      <c r="AE2320" s="218">
        <v>-0.57144036773003815</v>
      </c>
      <c r="AF2320">
        <v>5</v>
      </c>
      <c r="AH2320" t="str">
        <f t="shared" si="113"/>
        <v>Parbatta</v>
      </c>
      <c r="AJ2320" s="72">
        <v>0</v>
      </c>
      <c r="AK2320" s="72"/>
      <c r="AL2320" s="72"/>
      <c r="AM2320" s="72"/>
    </row>
    <row r="2321" spans="1:39" x14ac:dyDescent="0.25">
      <c r="A2321" s="37" t="s">
        <v>62</v>
      </c>
      <c r="B2321" s="66" t="s">
        <v>1654</v>
      </c>
      <c r="C2321" s="41">
        <v>1010</v>
      </c>
      <c r="D2321" s="41" t="s">
        <v>1311</v>
      </c>
      <c r="E2321" s="41">
        <v>10100058</v>
      </c>
      <c r="F2321" s="85" t="s">
        <v>1642</v>
      </c>
      <c r="G2321" s="39" t="s">
        <v>1610</v>
      </c>
      <c r="H2321" s="52" t="s">
        <v>98</v>
      </c>
      <c r="I2321" s="52">
        <v>674.5</v>
      </c>
      <c r="J2321" s="49">
        <v>31166.89</v>
      </c>
      <c r="K2321" s="58">
        <v>0</v>
      </c>
      <c r="L2321" s="58">
        <v>0</v>
      </c>
      <c r="M2321" s="58">
        <v>0</v>
      </c>
      <c r="N2321" s="58">
        <v>0</v>
      </c>
      <c r="O2321" s="58">
        <v>0</v>
      </c>
      <c r="P2321" s="53">
        <v>0</v>
      </c>
      <c r="Q2321" s="65">
        <v>31166.89</v>
      </c>
      <c r="R2321" s="65">
        <v>0</v>
      </c>
      <c r="S2321" s="65">
        <v>0</v>
      </c>
      <c r="T2321" s="65">
        <v>0</v>
      </c>
      <c r="U2321" s="58">
        <v>0</v>
      </c>
      <c r="V2321" s="65">
        <v>0</v>
      </c>
      <c r="W2321" s="65">
        <v>0</v>
      </c>
      <c r="X2321" s="65">
        <v>0</v>
      </c>
      <c r="Y2321" s="65">
        <v>0</v>
      </c>
      <c r="Z2321" s="51">
        <v>31166.89</v>
      </c>
      <c r="AA2321" s="51">
        <v>0</v>
      </c>
      <c r="AB2321" s="102">
        <v>0</v>
      </c>
      <c r="AC2321" s="81">
        <f t="shared" si="111"/>
        <v>23.565773017049644</v>
      </c>
      <c r="AD2321" s="82">
        <f t="shared" si="112"/>
        <v>96.357142857142861</v>
      </c>
      <c r="AE2321" s="218">
        <v>0</v>
      </c>
      <c r="AF2321">
        <v>0</v>
      </c>
      <c r="AH2321" t="str">
        <f t="shared" si="113"/>
        <v>Parbatta</v>
      </c>
      <c r="AJ2321" s="72">
        <v>0</v>
      </c>
      <c r="AK2321" s="72"/>
      <c r="AL2321" s="72"/>
      <c r="AM2321" s="72"/>
    </row>
    <row r="2322" spans="1:39" x14ac:dyDescent="0.25">
      <c r="A2322" s="37" t="s">
        <v>62</v>
      </c>
      <c r="B2322" s="66" t="s">
        <v>1654</v>
      </c>
      <c r="C2322" s="41">
        <v>1010</v>
      </c>
      <c r="D2322" s="41" t="s">
        <v>1311</v>
      </c>
      <c r="E2322" s="41">
        <v>10100059</v>
      </c>
      <c r="F2322" s="85" t="s">
        <v>1616</v>
      </c>
      <c r="G2322" s="39" t="s">
        <v>1610</v>
      </c>
      <c r="H2322" s="52" t="s">
        <v>98</v>
      </c>
      <c r="I2322" s="52">
        <v>1523.6000000000001</v>
      </c>
      <c r="J2322" s="49">
        <v>71783.88</v>
      </c>
      <c r="K2322" s="58">
        <v>0</v>
      </c>
      <c r="L2322" s="58">
        <v>0</v>
      </c>
      <c r="M2322" s="58">
        <v>0</v>
      </c>
      <c r="N2322" s="58">
        <v>0</v>
      </c>
      <c r="O2322" s="58">
        <v>0</v>
      </c>
      <c r="P2322" s="53">
        <v>0</v>
      </c>
      <c r="Q2322" s="65">
        <v>71783.88</v>
      </c>
      <c r="R2322" s="65">
        <v>0</v>
      </c>
      <c r="S2322" s="65">
        <v>0</v>
      </c>
      <c r="T2322" s="65">
        <v>0</v>
      </c>
      <c r="U2322" s="58">
        <v>0</v>
      </c>
      <c r="V2322" s="65">
        <v>0</v>
      </c>
      <c r="W2322" s="65">
        <v>0</v>
      </c>
      <c r="X2322" s="65">
        <v>0</v>
      </c>
      <c r="Y2322" s="65">
        <v>0</v>
      </c>
      <c r="Z2322" s="51">
        <v>71783.88</v>
      </c>
      <c r="AA2322" s="51">
        <v>0</v>
      </c>
      <c r="AB2322" s="102">
        <v>0</v>
      </c>
      <c r="AC2322" s="81">
        <f t="shared" si="111"/>
        <v>0</v>
      </c>
      <c r="AD2322" s="82">
        <f t="shared" si="112"/>
        <v>0</v>
      </c>
      <c r="AE2322" s="218">
        <v>0</v>
      </c>
      <c r="AF2322">
        <v>0</v>
      </c>
      <c r="AH2322" t="str">
        <f t="shared" si="113"/>
        <v>Parbatta</v>
      </c>
      <c r="AJ2322" s="72">
        <v>0</v>
      </c>
      <c r="AK2322" s="72"/>
      <c r="AL2322" s="72"/>
      <c r="AM2322" s="72"/>
    </row>
    <row r="2323" spans="1:39" x14ac:dyDescent="0.25">
      <c r="A2323" s="37" t="s">
        <v>62</v>
      </c>
      <c r="B2323" s="66" t="s">
        <v>1654</v>
      </c>
      <c r="C2323" s="41">
        <v>1007</v>
      </c>
      <c r="D2323" s="41" t="s">
        <v>203</v>
      </c>
      <c r="E2323" s="41">
        <v>10100060</v>
      </c>
      <c r="F2323" s="85" t="s">
        <v>496</v>
      </c>
      <c r="G2323" s="39" t="s">
        <v>92</v>
      </c>
      <c r="H2323" s="52" t="s">
        <v>93</v>
      </c>
      <c r="I2323" s="52">
        <v>282.89999999999998</v>
      </c>
      <c r="J2323" s="49">
        <v>11031.260000000002</v>
      </c>
      <c r="K2323" s="58">
        <v>282.5</v>
      </c>
      <c r="L2323" s="58">
        <v>11053.71</v>
      </c>
      <c r="M2323" s="58">
        <v>0.5</v>
      </c>
      <c r="N2323" s="58">
        <v>19.509999999999998</v>
      </c>
      <c r="O2323" s="58">
        <v>283</v>
      </c>
      <c r="P2323" s="53">
        <v>11073.22</v>
      </c>
      <c r="Q2323" s="65">
        <v>11031.260000000002</v>
      </c>
      <c r="R2323" s="65">
        <v>0</v>
      </c>
      <c r="S2323" s="65">
        <v>19.509999999999998</v>
      </c>
      <c r="T2323" s="65">
        <v>41.959999999997308</v>
      </c>
      <c r="U2323" s="58">
        <v>676</v>
      </c>
      <c r="V2323" s="65">
        <v>0</v>
      </c>
      <c r="W2323" s="65">
        <v>0</v>
      </c>
      <c r="X2323" s="65">
        <v>10335</v>
      </c>
      <c r="Y2323" s="65">
        <v>0</v>
      </c>
      <c r="Z2323" s="51">
        <v>0</v>
      </c>
      <c r="AA2323" s="51">
        <v>1</v>
      </c>
      <c r="AB2323" s="102" t="s">
        <v>68</v>
      </c>
      <c r="AC2323" s="81">
        <f t="shared" si="111"/>
        <v>325.28374308943103</v>
      </c>
      <c r="AD2323" s="82">
        <f t="shared" si="112"/>
        <v>40.414285714285711</v>
      </c>
      <c r="AE2323" s="218">
        <v>-3.8037359286244091E-3</v>
      </c>
      <c r="AF2323">
        <v>5</v>
      </c>
      <c r="AH2323" t="str">
        <f t="shared" si="113"/>
        <v>Araria</v>
      </c>
      <c r="AJ2323" s="72">
        <v>0</v>
      </c>
      <c r="AK2323" s="72"/>
      <c r="AL2323" s="72"/>
      <c r="AM2323" s="72"/>
    </row>
    <row r="2324" spans="1:39" x14ac:dyDescent="0.25">
      <c r="A2324" s="37" t="s">
        <v>62</v>
      </c>
      <c r="B2324" s="66" t="s">
        <v>1654</v>
      </c>
      <c r="C2324" s="41">
        <v>1010</v>
      </c>
      <c r="D2324" s="41" t="s">
        <v>1311</v>
      </c>
      <c r="E2324" s="41">
        <v>10100062</v>
      </c>
      <c r="F2324" s="85" t="s">
        <v>1313</v>
      </c>
      <c r="G2324" s="39" t="s">
        <v>1610</v>
      </c>
      <c r="H2324" s="52" t="s">
        <v>98</v>
      </c>
      <c r="I2324" s="52">
        <v>8451.1</v>
      </c>
      <c r="J2324" s="49">
        <v>346929.83999999997</v>
      </c>
      <c r="K2324" s="58">
        <v>0</v>
      </c>
      <c r="L2324" s="58">
        <v>0</v>
      </c>
      <c r="M2324" s="58">
        <v>0</v>
      </c>
      <c r="N2324" s="58">
        <v>0</v>
      </c>
      <c r="O2324" s="58">
        <v>0</v>
      </c>
      <c r="P2324" s="53">
        <v>0</v>
      </c>
      <c r="Q2324" s="65">
        <v>346929.83999999997</v>
      </c>
      <c r="R2324" s="65">
        <v>0</v>
      </c>
      <c r="S2324" s="65">
        <v>0</v>
      </c>
      <c r="T2324" s="65">
        <v>0</v>
      </c>
      <c r="U2324" s="58">
        <v>0</v>
      </c>
      <c r="V2324" s="65">
        <v>0</v>
      </c>
      <c r="W2324" s="65">
        <v>0</v>
      </c>
      <c r="X2324" s="65">
        <v>0</v>
      </c>
      <c r="Y2324" s="65">
        <v>0</v>
      </c>
      <c r="Z2324" s="51">
        <v>346929.83999999997</v>
      </c>
      <c r="AA2324" s="51">
        <v>0</v>
      </c>
      <c r="AB2324" s="102">
        <v>0</v>
      </c>
      <c r="AC2324" s="81">
        <f t="shared" si="111"/>
        <v>0</v>
      </c>
      <c r="AD2324" s="82">
        <f t="shared" si="112"/>
        <v>0</v>
      </c>
      <c r="AE2324" s="218">
        <v>0</v>
      </c>
      <c r="AF2324">
        <v>0</v>
      </c>
      <c r="AH2324" t="str">
        <f t="shared" si="113"/>
        <v>Parbatta</v>
      </c>
      <c r="AJ2324" s="72">
        <v>0</v>
      </c>
      <c r="AK2324" s="72"/>
      <c r="AL2324" s="72"/>
      <c r="AM2324" s="72"/>
    </row>
    <row r="2325" spans="1:39" x14ac:dyDescent="0.25">
      <c r="A2325" s="37" t="s">
        <v>62</v>
      </c>
      <c r="B2325" s="66" t="s">
        <v>1654</v>
      </c>
      <c r="C2325" s="41">
        <v>1010</v>
      </c>
      <c r="D2325" s="41" t="s">
        <v>1311</v>
      </c>
      <c r="E2325" s="41">
        <v>10100065</v>
      </c>
      <c r="F2325" s="85" t="s">
        <v>1333</v>
      </c>
      <c r="G2325" s="39" t="s">
        <v>1610</v>
      </c>
      <c r="H2325" s="52" t="s">
        <v>98</v>
      </c>
      <c r="I2325" s="52">
        <v>1018.6999999999998</v>
      </c>
      <c r="J2325" s="49">
        <v>37313.730000000003</v>
      </c>
      <c r="K2325" s="58">
        <v>0</v>
      </c>
      <c r="L2325" s="58">
        <v>0</v>
      </c>
      <c r="M2325" s="58">
        <v>0</v>
      </c>
      <c r="N2325" s="58">
        <v>0</v>
      </c>
      <c r="O2325" s="58">
        <v>0</v>
      </c>
      <c r="P2325" s="53">
        <v>0</v>
      </c>
      <c r="Q2325" s="65">
        <v>37313.730000000003</v>
      </c>
      <c r="R2325" s="65">
        <v>0</v>
      </c>
      <c r="S2325" s="65">
        <v>0</v>
      </c>
      <c r="T2325" s="65">
        <v>0</v>
      </c>
      <c r="U2325" s="58">
        <v>0</v>
      </c>
      <c r="V2325" s="65">
        <v>0</v>
      </c>
      <c r="W2325" s="65">
        <v>0</v>
      </c>
      <c r="X2325" s="65">
        <v>0</v>
      </c>
      <c r="Y2325" s="65">
        <v>0</v>
      </c>
      <c r="Z2325" s="51">
        <v>37313.730000000003</v>
      </c>
      <c r="AA2325" s="51">
        <v>0</v>
      </c>
      <c r="AB2325" s="102">
        <v>0</v>
      </c>
      <c r="AC2325" s="81">
        <f t="shared" si="111"/>
        <v>0</v>
      </c>
      <c r="AD2325" s="82">
        <f t="shared" si="112"/>
        <v>0</v>
      </c>
      <c r="AE2325" s="218">
        <v>0</v>
      </c>
      <c r="AF2325">
        <v>0</v>
      </c>
      <c r="AH2325" t="str">
        <f t="shared" si="113"/>
        <v>Parbatta</v>
      </c>
      <c r="AJ2325" s="72">
        <v>0</v>
      </c>
      <c r="AK2325" s="72"/>
      <c r="AL2325" s="72"/>
      <c r="AM2325" s="72"/>
    </row>
    <row r="2326" spans="1:39" x14ac:dyDescent="0.25">
      <c r="A2326" s="37" t="s">
        <v>62</v>
      </c>
      <c r="B2326" s="66" t="s">
        <v>1654</v>
      </c>
      <c r="C2326" s="41">
        <v>1010</v>
      </c>
      <c r="D2326" s="41" t="s">
        <v>1311</v>
      </c>
      <c r="E2326" s="41">
        <v>10100066</v>
      </c>
      <c r="F2326" s="85" t="s">
        <v>1643</v>
      </c>
      <c r="G2326" s="39" t="s">
        <v>1610</v>
      </c>
      <c r="H2326" s="52" t="s">
        <v>98</v>
      </c>
      <c r="I2326" s="52">
        <v>1038</v>
      </c>
      <c r="J2326" s="49">
        <v>48967.29</v>
      </c>
      <c r="K2326" s="58">
        <v>0</v>
      </c>
      <c r="L2326" s="58">
        <v>0</v>
      </c>
      <c r="M2326" s="58">
        <v>0</v>
      </c>
      <c r="N2326" s="58">
        <v>0</v>
      </c>
      <c r="O2326" s="58">
        <v>0</v>
      </c>
      <c r="P2326" s="53">
        <v>0</v>
      </c>
      <c r="Q2326" s="65">
        <v>48967.29</v>
      </c>
      <c r="R2326" s="65">
        <v>0</v>
      </c>
      <c r="S2326" s="65">
        <v>0</v>
      </c>
      <c r="T2326" s="65">
        <v>0</v>
      </c>
      <c r="U2326" s="58">
        <v>0</v>
      </c>
      <c r="V2326" s="65">
        <v>0</v>
      </c>
      <c r="W2326" s="65">
        <v>0</v>
      </c>
      <c r="X2326" s="65">
        <v>0</v>
      </c>
      <c r="Y2326" s="65">
        <v>0</v>
      </c>
      <c r="Z2326" s="51">
        <v>48967.29</v>
      </c>
      <c r="AA2326" s="51">
        <v>0</v>
      </c>
      <c r="AB2326" s="102">
        <v>0</v>
      </c>
      <c r="AC2326" s="81">
        <f t="shared" si="111"/>
        <v>0</v>
      </c>
      <c r="AD2326" s="82">
        <f t="shared" si="112"/>
        <v>0</v>
      </c>
      <c r="AE2326" s="218">
        <v>0</v>
      </c>
      <c r="AF2326">
        <v>0</v>
      </c>
      <c r="AH2326" t="str">
        <f t="shared" si="113"/>
        <v>Parbatta</v>
      </c>
      <c r="AJ2326" s="72">
        <v>0</v>
      </c>
      <c r="AK2326" s="72"/>
      <c r="AL2326" s="72"/>
      <c r="AM2326" s="72"/>
    </row>
    <row r="2327" spans="1:39" x14ac:dyDescent="0.25">
      <c r="A2327" s="37" t="s">
        <v>62</v>
      </c>
      <c r="B2327" s="66" t="s">
        <v>1654</v>
      </c>
      <c r="C2327" s="41">
        <v>1010</v>
      </c>
      <c r="D2327" s="41" t="s">
        <v>1311</v>
      </c>
      <c r="E2327" s="41">
        <v>10100069</v>
      </c>
      <c r="F2327" s="85" t="s">
        <v>1425</v>
      </c>
      <c r="G2327" s="39" t="s">
        <v>1610</v>
      </c>
      <c r="H2327" s="52" t="s">
        <v>98</v>
      </c>
      <c r="I2327" s="52">
        <v>494.4</v>
      </c>
      <c r="J2327" s="49">
        <v>25195.5</v>
      </c>
      <c r="K2327" s="58">
        <v>0</v>
      </c>
      <c r="L2327" s="58">
        <v>0</v>
      </c>
      <c r="M2327" s="58">
        <v>0</v>
      </c>
      <c r="N2327" s="58">
        <v>0</v>
      </c>
      <c r="O2327" s="58">
        <v>0</v>
      </c>
      <c r="P2327" s="53">
        <v>0</v>
      </c>
      <c r="Q2327" s="65">
        <v>25195.5</v>
      </c>
      <c r="R2327" s="65">
        <v>0</v>
      </c>
      <c r="S2327" s="65">
        <v>0</v>
      </c>
      <c r="T2327" s="65">
        <v>0</v>
      </c>
      <c r="U2327" s="58">
        <v>0</v>
      </c>
      <c r="V2327" s="65">
        <v>0</v>
      </c>
      <c r="W2327" s="65">
        <v>0</v>
      </c>
      <c r="X2327" s="65">
        <v>0</v>
      </c>
      <c r="Y2327" s="65">
        <v>0</v>
      </c>
      <c r="Z2327" s="51">
        <v>25195.5</v>
      </c>
      <c r="AA2327" s="51">
        <v>0</v>
      </c>
      <c r="AB2327" s="102">
        <v>0</v>
      </c>
      <c r="AC2327" s="81">
        <f t="shared" si="111"/>
        <v>209.55480582524279</v>
      </c>
      <c r="AD2327" s="82">
        <f t="shared" si="112"/>
        <v>70.628571428571419</v>
      </c>
      <c r="AE2327" s="218">
        <v>0</v>
      </c>
      <c r="AF2327">
        <v>0</v>
      </c>
      <c r="AH2327" t="str">
        <f t="shared" si="113"/>
        <v>Parbatta</v>
      </c>
      <c r="AJ2327" s="72">
        <v>0</v>
      </c>
      <c r="AK2327" s="72"/>
      <c r="AL2327" s="72"/>
      <c r="AM2327" s="72"/>
    </row>
    <row r="2328" spans="1:39" x14ac:dyDescent="0.25">
      <c r="A2328" s="37" t="s">
        <v>62</v>
      </c>
      <c r="B2328" s="66" t="s">
        <v>1654</v>
      </c>
      <c r="C2328" s="41">
        <v>1010</v>
      </c>
      <c r="D2328" s="41" t="s">
        <v>1311</v>
      </c>
      <c r="E2328" s="41">
        <v>10100070</v>
      </c>
      <c r="F2328" s="85" t="s">
        <v>1426</v>
      </c>
      <c r="G2328" s="39" t="s">
        <v>1610</v>
      </c>
      <c r="H2328" s="52" t="s">
        <v>98</v>
      </c>
      <c r="I2328" s="52">
        <v>2437.6000000000004</v>
      </c>
      <c r="J2328" s="49">
        <v>126231.34</v>
      </c>
      <c r="K2328" s="58">
        <v>0</v>
      </c>
      <c r="L2328" s="58">
        <v>0</v>
      </c>
      <c r="M2328" s="58">
        <v>0</v>
      </c>
      <c r="N2328" s="58">
        <v>0</v>
      </c>
      <c r="O2328" s="58">
        <v>0</v>
      </c>
      <c r="P2328" s="53">
        <v>0</v>
      </c>
      <c r="Q2328" s="65">
        <v>126231.34</v>
      </c>
      <c r="R2328" s="65">
        <v>0</v>
      </c>
      <c r="S2328" s="65">
        <v>0</v>
      </c>
      <c r="T2328" s="65">
        <v>0</v>
      </c>
      <c r="U2328" s="58">
        <v>0</v>
      </c>
      <c r="V2328" s="65">
        <v>0</v>
      </c>
      <c r="W2328" s="65">
        <v>0</v>
      </c>
      <c r="X2328" s="65">
        <v>0</v>
      </c>
      <c r="Y2328" s="65">
        <v>0</v>
      </c>
      <c r="Z2328" s="51">
        <v>126231.34</v>
      </c>
      <c r="AA2328" s="51">
        <v>0</v>
      </c>
      <c r="AB2328" s="102">
        <v>0</v>
      </c>
      <c r="AC2328" s="81">
        <f t="shared" si="111"/>
        <v>0</v>
      </c>
      <c r="AD2328" s="82">
        <f t="shared" si="112"/>
        <v>0</v>
      </c>
      <c r="AE2328" s="218">
        <v>0</v>
      </c>
      <c r="AF2328">
        <v>0</v>
      </c>
      <c r="AH2328" t="str">
        <f t="shared" si="113"/>
        <v>Parbatta</v>
      </c>
      <c r="AJ2328" s="72">
        <v>0</v>
      </c>
      <c r="AK2328" s="72"/>
      <c r="AL2328" s="72"/>
      <c r="AM2328" s="72"/>
    </row>
    <row r="2329" spans="1:39" x14ac:dyDescent="0.25">
      <c r="A2329" s="37" t="s">
        <v>62</v>
      </c>
      <c r="B2329" s="66" t="s">
        <v>1654</v>
      </c>
      <c r="C2329" s="41">
        <v>1010</v>
      </c>
      <c r="D2329" s="41" t="s">
        <v>1311</v>
      </c>
      <c r="E2329" s="41">
        <v>10100071</v>
      </c>
      <c r="F2329" s="85" t="s">
        <v>1524</v>
      </c>
      <c r="G2329" s="39" t="s">
        <v>1610</v>
      </c>
      <c r="H2329" s="52" t="s">
        <v>98</v>
      </c>
      <c r="I2329" s="52">
        <v>2477.1</v>
      </c>
      <c r="J2329" s="49">
        <v>126432.50999999998</v>
      </c>
      <c r="K2329" s="58">
        <v>0</v>
      </c>
      <c r="L2329" s="58">
        <v>0</v>
      </c>
      <c r="M2329" s="58">
        <v>0</v>
      </c>
      <c r="N2329" s="58">
        <v>0</v>
      </c>
      <c r="O2329" s="58">
        <v>0</v>
      </c>
      <c r="P2329" s="53">
        <v>0</v>
      </c>
      <c r="Q2329" s="65">
        <v>126432.50999999998</v>
      </c>
      <c r="R2329" s="65">
        <v>0</v>
      </c>
      <c r="S2329" s="65">
        <v>0</v>
      </c>
      <c r="T2329" s="65">
        <v>0</v>
      </c>
      <c r="U2329" s="58">
        <v>0</v>
      </c>
      <c r="V2329" s="65">
        <v>0</v>
      </c>
      <c r="W2329" s="65">
        <v>0</v>
      </c>
      <c r="X2329" s="65">
        <v>0</v>
      </c>
      <c r="Y2329" s="65">
        <v>0</v>
      </c>
      <c r="Z2329" s="51">
        <v>126432.50999999998</v>
      </c>
      <c r="AA2329" s="51">
        <v>0</v>
      </c>
      <c r="AB2329" s="102">
        <v>0</v>
      </c>
      <c r="AC2329" s="81">
        <f t="shared" si="111"/>
        <v>0</v>
      </c>
      <c r="AD2329" s="82">
        <f t="shared" si="112"/>
        <v>0</v>
      </c>
      <c r="AE2329" s="218">
        <v>0</v>
      </c>
      <c r="AF2329">
        <v>0</v>
      </c>
      <c r="AH2329" t="str">
        <f t="shared" si="113"/>
        <v>Parbatta</v>
      </c>
      <c r="AJ2329" s="72">
        <v>0</v>
      </c>
      <c r="AK2329" s="72"/>
      <c r="AL2329" s="72"/>
      <c r="AM2329" s="72"/>
    </row>
    <row r="2330" spans="1:39" x14ac:dyDescent="0.25">
      <c r="A2330" s="37" t="s">
        <v>62</v>
      </c>
      <c r="B2330" s="66" t="s">
        <v>1654</v>
      </c>
      <c r="C2330" s="41">
        <v>1055</v>
      </c>
      <c r="D2330" s="41" t="s">
        <v>1125</v>
      </c>
      <c r="E2330" s="41">
        <v>10110001</v>
      </c>
      <c r="F2330" s="85" t="s">
        <v>282</v>
      </c>
      <c r="G2330" s="39" t="s">
        <v>92</v>
      </c>
      <c r="H2330" s="52" t="s">
        <v>93</v>
      </c>
      <c r="I2330" s="52">
        <v>2108</v>
      </c>
      <c r="J2330" s="49">
        <v>87899.29</v>
      </c>
      <c r="K2330" s="58">
        <v>2114.2999999999997</v>
      </c>
      <c r="L2330" s="58">
        <v>91033.949999999983</v>
      </c>
      <c r="M2330" s="58">
        <v>51</v>
      </c>
      <c r="N2330" s="58">
        <v>2195.94</v>
      </c>
      <c r="O2330" s="58">
        <v>2165.2999999999997</v>
      </c>
      <c r="P2330" s="53">
        <v>93229.889999999985</v>
      </c>
      <c r="Q2330" s="65">
        <v>87899.29</v>
      </c>
      <c r="R2330" s="65">
        <v>0</v>
      </c>
      <c r="S2330" s="65">
        <v>2195.94</v>
      </c>
      <c r="T2330" s="65">
        <v>5330.5999999999913</v>
      </c>
      <c r="U2330" s="58">
        <v>2800</v>
      </c>
      <c r="V2330" s="65">
        <v>0</v>
      </c>
      <c r="W2330" s="65">
        <v>0</v>
      </c>
      <c r="X2330" s="65">
        <v>82903</v>
      </c>
      <c r="Y2330" s="65">
        <v>0</v>
      </c>
      <c r="Z2330" s="51">
        <v>0</v>
      </c>
      <c r="AA2330" s="51">
        <v>0</v>
      </c>
      <c r="AB2330" s="102">
        <v>0</v>
      </c>
      <c r="AC2330" s="81">
        <f t="shared" si="111"/>
        <v>0</v>
      </c>
      <c r="AD2330" s="82">
        <f t="shared" si="112"/>
        <v>0</v>
      </c>
      <c r="AE2330" s="218">
        <v>-6.0644403384828155E-2</v>
      </c>
      <c r="AF2330">
        <v>16</v>
      </c>
      <c r="AH2330" t="str">
        <f t="shared" si="113"/>
        <v>Matihani</v>
      </c>
      <c r="AJ2330" s="72">
        <v>0</v>
      </c>
      <c r="AK2330" s="72"/>
      <c r="AL2330" s="72"/>
      <c r="AM2330" s="72"/>
    </row>
    <row r="2331" spans="1:39" x14ac:dyDescent="0.25">
      <c r="A2331" s="37" t="s">
        <v>62</v>
      </c>
      <c r="B2331" s="66" t="s">
        <v>1654</v>
      </c>
      <c r="C2331" s="41">
        <v>1055</v>
      </c>
      <c r="D2331" s="41" t="s">
        <v>1125</v>
      </c>
      <c r="E2331" s="41">
        <v>10110002</v>
      </c>
      <c r="F2331" s="85" t="s">
        <v>283</v>
      </c>
      <c r="G2331" s="39" t="s">
        <v>1610</v>
      </c>
      <c r="H2331" s="52" t="s">
        <v>93</v>
      </c>
      <c r="I2331" s="52">
        <v>540.29999999999995</v>
      </c>
      <c r="J2331" s="49">
        <v>20663.86</v>
      </c>
      <c r="K2331" s="58">
        <v>540.4</v>
      </c>
      <c r="L2331" s="58">
        <v>20799.82</v>
      </c>
      <c r="M2331" s="58">
        <v>0</v>
      </c>
      <c r="N2331" s="58">
        <v>0</v>
      </c>
      <c r="O2331" s="58">
        <v>540.4</v>
      </c>
      <c r="P2331" s="53">
        <v>20799.82</v>
      </c>
      <c r="Q2331" s="65">
        <v>20663.86</v>
      </c>
      <c r="R2331" s="65">
        <v>0</v>
      </c>
      <c r="S2331" s="65">
        <v>0</v>
      </c>
      <c r="T2331" s="65">
        <v>135.95999999999913</v>
      </c>
      <c r="U2331" s="58">
        <v>0</v>
      </c>
      <c r="V2331" s="65">
        <v>0</v>
      </c>
      <c r="W2331" s="65">
        <v>0</v>
      </c>
      <c r="X2331" s="65">
        <v>20664</v>
      </c>
      <c r="Y2331" s="65">
        <v>0</v>
      </c>
      <c r="Z2331" s="51">
        <v>0</v>
      </c>
      <c r="AA2331" s="51">
        <v>0</v>
      </c>
      <c r="AB2331" s="102">
        <v>0</v>
      </c>
      <c r="AC2331" s="81">
        <f t="shared" si="111"/>
        <v>122.15504134739962</v>
      </c>
      <c r="AD2331" s="82">
        <f t="shared" si="112"/>
        <v>77.185714285714283</v>
      </c>
      <c r="AE2331" s="218">
        <v>-6.579603229986998E-3</v>
      </c>
      <c r="AF2331">
        <v>2</v>
      </c>
      <c r="AH2331" t="str">
        <f t="shared" si="113"/>
        <v>Matihani</v>
      </c>
      <c r="AJ2331" s="72">
        <v>0</v>
      </c>
      <c r="AK2331" s="72"/>
      <c r="AL2331" s="72"/>
      <c r="AM2331" s="72"/>
    </row>
    <row r="2332" spans="1:39" x14ac:dyDescent="0.25">
      <c r="A2332" s="37" t="s">
        <v>62</v>
      </c>
      <c r="B2332" s="66" t="s">
        <v>1654</v>
      </c>
      <c r="C2332" s="41">
        <v>1011</v>
      </c>
      <c r="D2332" s="41" t="s">
        <v>281</v>
      </c>
      <c r="E2332" s="41">
        <v>10110004</v>
      </c>
      <c r="F2332" s="85" t="s">
        <v>284</v>
      </c>
      <c r="G2332" s="39" t="s">
        <v>92</v>
      </c>
      <c r="H2332" s="52" t="s">
        <v>93</v>
      </c>
      <c r="I2332" s="52">
        <v>538</v>
      </c>
      <c r="J2332" s="49">
        <v>20894.98</v>
      </c>
      <c r="K2332" s="58">
        <v>533</v>
      </c>
      <c r="L2332" s="58">
        <v>20706.059999999998</v>
      </c>
      <c r="M2332" s="58">
        <v>17.900000000000009</v>
      </c>
      <c r="N2332" s="58">
        <v>714.87</v>
      </c>
      <c r="O2332" s="58">
        <v>550.9</v>
      </c>
      <c r="P2332" s="53">
        <v>21420.929999999997</v>
      </c>
      <c r="Q2332" s="65">
        <v>20894.98</v>
      </c>
      <c r="R2332" s="65">
        <v>0</v>
      </c>
      <c r="S2332" s="65">
        <v>714.87</v>
      </c>
      <c r="T2332" s="65">
        <v>525.94999999999709</v>
      </c>
      <c r="U2332" s="58">
        <v>0</v>
      </c>
      <c r="V2332" s="65">
        <v>0</v>
      </c>
      <c r="W2332" s="65">
        <v>0</v>
      </c>
      <c r="X2332" s="65">
        <v>20180</v>
      </c>
      <c r="Y2332" s="65">
        <v>0</v>
      </c>
      <c r="Z2332" s="51">
        <v>0</v>
      </c>
      <c r="AA2332" s="51">
        <v>0</v>
      </c>
      <c r="AB2332" s="102">
        <v>0</v>
      </c>
      <c r="AC2332" s="81">
        <f t="shared" si="111"/>
        <v>125.83593903345722</v>
      </c>
      <c r="AD2332" s="82">
        <f t="shared" si="112"/>
        <v>76.857142857142861</v>
      </c>
      <c r="AE2332" s="218">
        <v>-2.517111765601102E-2</v>
      </c>
      <c r="AF2332">
        <v>3</v>
      </c>
      <c r="AH2332" t="str">
        <f t="shared" si="113"/>
        <v>Sahibpur Kamal</v>
      </c>
      <c r="AJ2332" s="72">
        <v>0</v>
      </c>
      <c r="AK2332" s="72"/>
      <c r="AL2332" s="72"/>
      <c r="AM2332" s="72"/>
    </row>
    <row r="2333" spans="1:39" x14ac:dyDescent="0.25">
      <c r="A2333" s="37" t="s">
        <v>62</v>
      </c>
      <c r="B2333" s="66" t="s">
        <v>1654</v>
      </c>
      <c r="C2333" s="41">
        <v>1055</v>
      </c>
      <c r="D2333" s="41" t="s">
        <v>1125</v>
      </c>
      <c r="E2333" s="41">
        <v>10110005</v>
      </c>
      <c r="F2333" s="85" t="s">
        <v>285</v>
      </c>
      <c r="G2333" s="39" t="s">
        <v>92</v>
      </c>
      <c r="H2333" s="52" t="s">
        <v>93</v>
      </c>
      <c r="I2333" s="52">
        <v>3753</v>
      </c>
      <c r="J2333" s="49">
        <v>161371.70000000001</v>
      </c>
      <c r="K2333" s="58">
        <v>3718.29</v>
      </c>
      <c r="L2333" s="58">
        <v>160071.12999999998</v>
      </c>
      <c r="M2333" s="58">
        <v>36.74</v>
      </c>
      <c r="N2333" s="58">
        <v>2515.48</v>
      </c>
      <c r="O2333" s="58">
        <v>3755.0299999999997</v>
      </c>
      <c r="P2333" s="53">
        <v>162586.60999999999</v>
      </c>
      <c r="Q2333" s="65">
        <v>161371.70000000001</v>
      </c>
      <c r="R2333" s="65">
        <v>0</v>
      </c>
      <c r="S2333" s="65">
        <v>2515.48</v>
      </c>
      <c r="T2333" s="65">
        <v>1214.9099999999744</v>
      </c>
      <c r="U2333" s="58">
        <v>0</v>
      </c>
      <c r="V2333" s="65">
        <v>0</v>
      </c>
      <c r="W2333" s="65">
        <v>0</v>
      </c>
      <c r="X2333" s="65">
        <v>158856</v>
      </c>
      <c r="Y2333" s="65">
        <v>0</v>
      </c>
      <c r="Z2333" s="51">
        <v>0</v>
      </c>
      <c r="AA2333" s="51">
        <v>0</v>
      </c>
      <c r="AB2333" s="102">
        <v>0</v>
      </c>
      <c r="AC2333" s="81">
        <f t="shared" si="111"/>
        <v>0</v>
      </c>
      <c r="AD2333" s="82">
        <f t="shared" si="112"/>
        <v>0</v>
      </c>
      <c r="AE2333" s="218">
        <v>-7.528643498209254E-3</v>
      </c>
      <c r="AF2333">
        <v>35</v>
      </c>
      <c r="AH2333" t="str">
        <f t="shared" si="113"/>
        <v>Matihani</v>
      </c>
      <c r="AJ2333" s="72">
        <v>0</v>
      </c>
      <c r="AK2333" s="72"/>
      <c r="AL2333" s="72"/>
      <c r="AM2333" s="72"/>
    </row>
    <row r="2334" spans="1:39" x14ac:dyDescent="0.25">
      <c r="A2334" s="37" t="s">
        <v>62</v>
      </c>
      <c r="B2334" s="66" t="s">
        <v>1654</v>
      </c>
      <c r="C2334" s="41">
        <v>1011</v>
      </c>
      <c r="D2334" s="41" t="s">
        <v>281</v>
      </c>
      <c r="E2334" s="41">
        <v>10110007</v>
      </c>
      <c r="F2334" s="85" t="s">
        <v>286</v>
      </c>
      <c r="G2334" s="39" t="s">
        <v>92</v>
      </c>
      <c r="H2334" s="52" t="s">
        <v>93</v>
      </c>
      <c r="I2334" s="52">
        <v>375.50000000000006</v>
      </c>
      <c r="J2334" s="49">
        <v>13815.900000000001</v>
      </c>
      <c r="K2334" s="58">
        <v>372.7</v>
      </c>
      <c r="L2334" s="58">
        <v>14266.83</v>
      </c>
      <c r="M2334" s="58">
        <v>2.8000000000000003</v>
      </c>
      <c r="N2334" s="58">
        <v>106.89000000000001</v>
      </c>
      <c r="O2334" s="58">
        <v>375.5</v>
      </c>
      <c r="P2334" s="53">
        <v>14373.72</v>
      </c>
      <c r="Q2334" s="65">
        <v>13815.900000000001</v>
      </c>
      <c r="R2334" s="65">
        <v>0</v>
      </c>
      <c r="S2334" s="65">
        <v>106.89000000000001</v>
      </c>
      <c r="T2334" s="65">
        <v>557.81999999999789</v>
      </c>
      <c r="U2334" s="58">
        <v>0</v>
      </c>
      <c r="V2334" s="65">
        <v>0</v>
      </c>
      <c r="W2334" s="65">
        <v>0</v>
      </c>
      <c r="X2334" s="65">
        <v>13709</v>
      </c>
      <c r="Y2334" s="65">
        <v>0</v>
      </c>
      <c r="Z2334" s="51">
        <v>0</v>
      </c>
      <c r="AA2334" s="51">
        <v>0</v>
      </c>
      <c r="AB2334" s="102">
        <v>0</v>
      </c>
      <c r="AC2334" s="81">
        <f t="shared" si="111"/>
        <v>238.78879094540608</v>
      </c>
      <c r="AD2334" s="82">
        <f t="shared" si="112"/>
        <v>53.642857142857153</v>
      </c>
      <c r="AE2334" s="218">
        <v>-4.0375219855383858E-2</v>
      </c>
      <c r="AF2334">
        <v>5</v>
      </c>
      <c r="AH2334" t="str">
        <f t="shared" si="113"/>
        <v>Sahibpur Kamal</v>
      </c>
      <c r="AJ2334" s="72">
        <v>0</v>
      </c>
      <c r="AK2334" s="72"/>
      <c r="AL2334" s="72"/>
      <c r="AM2334" s="72"/>
    </row>
    <row r="2335" spans="1:39" x14ac:dyDescent="0.25">
      <c r="A2335" s="37" t="s">
        <v>62</v>
      </c>
      <c r="B2335" s="66" t="s">
        <v>1654</v>
      </c>
      <c r="C2335" s="41">
        <v>1011</v>
      </c>
      <c r="D2335" s="41" t="s">
        <v>281</v>
      </c>
      <c r="E2335" s="41">
        <v>10110008</v>
      </c>
      <c r="F2335" s="85" t="s">
        <v>604</v>
      </c>
      <c r="G2335" s="39" t="s">
        <v>92</v>
      </c>
      <c r="H2335" s="52" t="s">
        <v>98</v>
      </c>
      <c r="I2335" s="52">
        <v>8273.1</v>
      </c>
      <c r="J2335" s="49">
        <v>328107.64999999997</v>
      </c>
      <c r="K2335" s="58">
        <v>0</v>
      </c>
      <c r="L2335" s="58">
        <v>0</v>
      </c>
      <c r="M2335" s="58">
        <v>0</v>
      </c>
      <c r="N2335" s="58">
        <v>0</v>
      </c>
      <c r="O2335" s="58">
        <v>0</v>
      </c>
      <c r="P2335" s="53">
        <v>0</v>
      </c>
      <c r="Q2335" s="65">
        <v>328107.64999999997</v>
      </c>
      <c r="R2335" s="65">
        <v>0</v>
      </c>
      <c r="S2335" s="65">
        <v>0</v>
      </c>
      <c r="T2335" s="65">
        <v>0</v>
      </c>
      <c r="U2335" s="58">
        <v>0</v>
      </c>
      <c r="V2335" s="65">
        <v>0</v>
      </c>
      <c r="W2335" s="65">
        <v>0</v>
      </c>
      <c r="X2335" s="65">
        <v>0</v>
      </c>
      <c r="Y2335" s="65">
        <v>0</v>
      </c>
      <c r="Z2335" s="51">
        <v>328107.64999999997</v>
      </c>
      <c r="AA2335" s="51">
        <v>0</v>
      </c>
      <c r="AB2335" s="102">
        <v>0</v>
      </c>
      <c r="AC2335" s="81">
        <f t="shared" si="111"/>
        <v>0</v>
      </c>
      <c r="AD2335" s="82">
        <f t="shared" si="112"/>
        <v>0</v>
      </c>
      <c r="AE2335" s="218">
        <v>0</v>
      </c>
      <c r="AF2335">
        <v>0</v>
      </c>
      <c r="AH2335" t="str">
        <f t="shared" si="113"/>
        <v>Sahibpur Kamal</v>
      </c>
      <c r="AJ2335" s="72">
        <v>0</v>
      </c>
      <c r="AK2335" s="72"/>
      <c r="AL2335" s="72"/>
      <c r="AM2335" s="72"/>
    </row>
    <row r="2336" spans="1:39" x14ac:dyDescent="0.25">
      <c r="A2336" s="37" t="s">
        <v>62</v>
      </c>
      <c r="B2336" s="66" t="s">
        <v>1654</v>
      </c>
      <c r="C2336" s="41">
        <v>1011</v>
      </c>
      <c r="D2336" s="41" t="s">
        <v>281</v>
      </c>
      <c r="E2336" s="41">
        <v>10110013</v>
      </c>
      <c r="F2336" s="85" t="s">
        <v>287</v>
      </c>
      <c r="G2336" s="39" t="s">
        <v>92</v>
      </c>
      <c r="H2336" s="52" t="s">
        <v>93</v>
      </c>
      <c r="I2336" s="52">
        <v>806.19999999999993</v>
      </c>
      <c r="J2336" s="49">
        <v>30718.620000000003</v>
      </c>
      <c r="K2336" s="58">
        <v>802</v>
      </c>
      <c r="L2336" s="58">
        <v>31161.039999999997</v>
      </c>
      <c r="M2336" s="58">
        <v>1.1000000000000001</v>
      </c>
      <c r="N2336" s="58">
        <v>42.81</v>
      </c>
      <c r="O2336" s="58">
        <v>803.1</v>
      </c>
      <c r="P2336" s="53">
        <v>31203.85</v>
      </c>
      <c r="Q2336" s="65">
        <v>30718.620000000003</v>
      </c>
      <c r="R2336" s="65">
        <v>0</v>
      </c>
      <c r="S2336" s="65">
        <v>42.81</v>
      </c>
      <c r="T2336" s="65">
        <v>485.22999999999593</v>
      </c>
      <c r="U2336" s="58">
        <v>1350</v>
      </c>
      <c r="V2336" s="65">
        <v>0</v>
      </c>
      <c r="W2336" s="65">
        <v>0</v>
      </c>
      <c r="X2336" s="65">
        <v>29326</v>
      </c>
      <c r="Y2336" s="65">
        <v>0</v>
      </c>
      <c r="Z2336" s="51">
        <v>0</v>
      </c>
      <c r="AA2336" s="51">
        <v>0</v>
      </c>
      <c r="AB2336" s="102">
        <v>0</v>
      </c>
      <c r="AC2336" s="81">
        <f t="shared" si="111"/>
        <v>0</v>
      </c>
      <c r="AD2336" s="82">
        <f t="shared" si="112"/>
        <v>0</v>
      </c>
      <c r="AE2336" s="218">
        <v>-1.5795956979838151E-2</v>
      </c>
      <c r="AF2336">
        <v>7</v>
      </c>
      <c r="AH2336" t="str">
        <f t="shared" si="113"/>
        <v>Sahibpur Kamal</v>
      </c>
      <c r="AJ2336" s="72">
        <v>0</v>
      </c>
      <c r="AK2336" s="72"/>
      <c r="AL2336" s="72"/>
      <c r="AM2336" s="72"/>
    </row>
    <row r="2337" spans="1:39" x14ac:dyDescent="0.25">
      <c r="A2337" s="37" t="s">
        <v>62</v>
      </c>
      <c r="B2337" s="66" t="s">
        <v>1654</v>
      </c>
      <c r="C2337" s="41">
        <v>1011</v>
      </c>
      <c r="D2337" s="41" t="s">
        <v>281</v>
      </c>
      <c r="E2337" s="41">
        <v>10110014</v>
      </c>
      <c r="F2337" s="85" t="s">
        <v>288</v>
      </c>
      <c r="G2337" s="39" t="s">
        <v>92</v>
      </c>
      <c r="H2337" s="52" t="s">
        <v>93</v>
      </c>
      <c r="I2337" s="52">
        <v>1020.1000000000003</v>
      </c>
      <c r="J2337" s="49">
        <v>45695.619999999995</v>
      </c>
      <c r="K2337" s="58">
        <v>1021.6999999999997</v>
      </c>
      <c r="L2337" s="58">
        <v>45226.66</v>
      </c>
      <c r="M2337" s="58">
        <v>19.5</v>
      </c>
      <c r="N2337" s="58">
        <v>845.37</v>
      </c>
      <c r="O2337" s="58">
        <v>1041.1999999999998</v>
      </c>
      <c r="P2337" s="53">
        <v>46072.030000000006</v>
      </c>
      <c r="Q2337" s="65">
        <v>45695.619999999995</v>
      </c>
      <c r="R2337" s="65">
        <v>0</v>
      </c>
      <c r="S2337" s="65">
        <v>845.37</v>
      </c>
      <c r="T2337" s="65">
        <v>376.41000000001077</v>
      </c>
      <c r="U2337" s="58">
        <v>0</v>
      </c>
      <c r="V2337" s="65">
        <v>0</v>
      </c>
      <c r="W2337" s="65">
        <v>0</v>
      </c>
      <c r="X2337" s="65">
        <v>44850</v>
      </c>
      <c r="Y2337" s="65">
        <v>0</v>
      </c>
      <c r="Z2337" s="51">
        <v>0</v>
      </c>
      <c r="AA2337" s="51">
        <v>0</v>
      </c>
      <c r="AB2337" s="102">
        <v>0</v>
      </c>
      <c r="AC2337" s="81">
        <f t="shared" si="111"/>
        <v>0</v>
      </c>
      <c r="AD2337" s="82">
        <f t="shared" si="112"/>
        <v>0</v>
      </c>
      <c r="AE2337" s="218">
        <v>-8.2373321556860543E-3</v>
      </c>
      <c r="AF2337">
        <v>36</v>
      </c>
      <c r="AH2337" t="str">
        <f t="shared" si="113"/>
        <v>Sahibpur Kamal</v>
      </c>
      <c r="AJ2337" s="72">
        <v>0</v>
      </c>
      <c r="AK2337" s="72"/>
      <c r="AL2337" s="72"/>
      <c r="AM2337" s="72"/>
    </row>
    <row r="2338" spans="1:39" x14ac:dyDescent="0.25">
      <c r="A2338" s="37" t="s">
        <v>62</v>
      </c>
      <c r="B2338" s="66" t="s">
        <v>1654</v>
      </c>
      <c r="C2338" s="41">
        <v>1055</v>
      </c>
      <c r="D2338" s="41" t="s">
        <v>1125</v>
      </c>
      <c r="E2338" s="41">
        <v>10110015</v>
      </c>
      <c r="F2338" s="85" t="s">
        <v>289</v>
      </c>
      <c r="G2338" s="39" t="s">
        <v>92</v>
      </c>
      <c r="H2338" s="52" t="s">
        <v>93</v>
      </c>
      <c r="I2338" s="52">
        <v>639.19999999999982</v>
      </c>
      <c r="J2338" s="49">
        <v>27290.57</v>
      </c>
      <c r="K2338" s="58">
        <v>674.2600000000001</v>
      </c>
      <c r="L2338" s="58">
        <v>29203.289999999997</v>
      </c>
      <c r="M2338" s="58">
        <v>0</v>
      </c>
      <c r="N2338" s="58">
        <v>0</v>
      </c>
      <c r="O2338" s="58">
        <v>674.2600000000001</v>
      </c>
      <c r="P2338" s="53">
        <v>29203.289999999997</v>
      </c>
      <c r="Q2338" s="65">
        <v>27290.57</v>
      </c>
      <c r="R2338" s="65">
        <v>0</v>
      </c>
      <c r="S2338" s="65">
        <v>0</v>
      </c>
      <c r="T2338" s="65">
        <v>1912.7199999999975</v>
      </c>
      <c r="U2338" s="58">
        <v>0</v>
      </c>
      <c r="V2338" s="65">
        <v>0</v>
      </c>
      <c r="W2338" s="65">
        <v>0</v>
      </c>
      <c r="X2338" s="65">
        <v>27291</v>
      </c>
      <c r="Y2338" s="65">
        <v>0</v>
      </c>
      <c r="Z2338" s="51">
        <v>0</v>
      </c>
      <c r="AA2338" s="51">
        <v>0</v>
      </c>
      <c r="AB2338" s="102">
        <v>0</v>
      </c>
      <c r="AC2338" s="81">
        <f t="shared" si="111"/>
        <v>51.9169792240302</v>
      </c>
      <c r="AD2338" s="82">
        <f t="shared" si="112"/>
        <v>91.314285714285688</v>
      </c>
      <c r="AE2338" s="218">
        <v>-7.0087213275501298E-2</v>
      </c>
      <c r="AF2338">
        <v>7</v>
      </c>
      <c r="AH2338" t="str">
        <f t="shared" si="113"/>
        <v>Matihani</v>
      </c>
      <c r="AJ2338" s="72">
        <v>0</v>
      </c>
      <c r="AK2338" s="72"/>
      <c r="AL2338" s="72"/>
      <c r="AM2338" s="72"/>
    </row>
    <row r="2339" spans="1:39" x14ac:dyDescent="0.25">
      <c r="A2339" s="37" t="s">
        <v>62</v>
      </c>
      <c r="B2339" s="66" t="s">
        <v>1654</v>
      </c>
      <c r="C2339" s="41">
        <v>1055</v>
      </c>
      <c r="D2339" s="41" t="s">
        <v>1125</v>
      </c>
      <c r="E2339" s="41">
        <v>10110016</v>
      </c>
      <c r="F2339" s="85" t="s">
        <v>290</v>
      </c>
      <c r="G2339" s="39" t="s">
        <v>92</v>
      </c>
      <c r="H2339" s="52" t="s">
        <v>93</v>
      </c>
      <c r="I2339" s="52">
        <v>530.1</v>
      </c>
      <c r="J2339" s="49">
        <v>21744.280000000002</v>
      </c>
      <c r="K2339" s="58">
        <v>526.4</v>
      </c>
      <c r="L2339" s="58">
        <v>22139.680000000004</v>
      </c>
      <c r="M2339" s="58">
        <v>3.35</v>
      </c>
      <c r="N2339" s="58">
        <v>141.72</v>
      </c>
      <c r="O2339" s="58">
        <v>529.75</v>
      </c>
      <c r="P2339" s="53">
        <v>22281.400000000005</v>
      </c>
      <c r="Q2339" s="65">
        <v>21744.280000000002</v>
      </c>
      <c r="R2339" s="65">
        <v>0</v>
      </c>
      <c r="S2339" s="65">
        <v>141.72</v>
      </c>
      <c r="T2339" s="65">
        <v>537.12000000000262</v>
      </c>
      <c r="U2339" s="58">
        <v>0</v>
      </c>
      <c r="V2339" s="65">
        <v>0</v>
      </c>
      <c r="W2339" s="65">
        <v>0</v>
      </c>
      <c r="X2339" s="65">
        <v>21602</v>
      </c>
      <c r="Y2339" s="65">
        <v>0</v>
      </c>
      <c r="Z2339" s="51">
        <v>0</v>
      </c>
      <c r="AA2339" s="51">
        <v>1</v>
      </c>
      <c r="AB2339" s="102">
        <v>0</v>
      </c>
      <c r="AC2339" s="81">
        <f t="shared" si="111"/>
        <v>139.38325493303154</v>
      </c>
      <c r="AD2339" s="82">
        <f t="shared" si="112"/>
        <v>75.728571428571428</v>
      </c>
      <c r="AE2339" s="218">
        <v>-2.4701668668725869E-2</v>
      </c>
      <c r="AF2339">
        <v>6</v>
      </c>
      <c r="AH2339" t="str">
        <f t="shared" si="113"/>
        <v>Matihani</v>
      </c>
      <c r="AJ2339" s="72">
        <v>0</v>
      </c>
      <c r="AK2339" s="72"/>
      <c r="AL2339" s="72"/>
      <c r="AM2339" s="72"/>
    </row>
    <row r="2340" spans="1:39" x14ac:dyDescent="0.25">
      <c r="A2340" s="37" t="s">
        <v>62</v>
      </c>
      <c r="B2340" s="66" t="s">
        <v>1654</v>
      </c>
      <c r="C2340" s="41">
        <v>1011</v>
      </c>
      <c r="D2340" s="41" t="s">
        <v>281</v>
      </c>
      <c r="E2340" s="41">
        <v>10110021</v>
      </c>
      <c r="F2340" s="85" t="s">
        <v>291</v>
      </c>
      <c r="G2340" s="39" t="s">
        <v>92</v>
      </c>
      <c r="H2340" s="52" t="s">
        <v>93</v>
      </c>
      <c r="I2340" s="52">
        <v>221</v>
      </c>
      <c r="J2340" s="49">
        <v>9929.98</v>
      </c>
      <c r="K2340" s="58">
        <v>210</v>
      </c>
      <c r="L2340" s="58">
        <v>9802.1999999999971</v>
      </c>
      <c r="M2340" s="58">
        <v>2.2300000000000004</v>
      </c>
      <c r="N2340" s="58">
        <v>103.93</v>
      </c>
      <c r="O2340" s="58">
        <v>212.23</v>
      </c>
      <c r="P2340" s="53">
        <v>9906.1299999999974</v>
      </c>
      <c r="Q2340" s="65">
        <v>9906.1299999999974</v>
      </c>
      <c r="R2340" s="65">
        <v>0</v>
      </c>
      <c r="S2340" s="65">
        <v>103.93</v>
      </c>
      <c r="T2340" s="65">
        <v>0</v>
      </c>
      <c r="U2340" s="58">
        <v>0</v>
      </c>
      <c r="V2340" s="65">
        <v>0</v>
      </c>
      <c r="W2340" s="65">
        <v>0</v>
      </c>
      <c r="X2340" s="65">
        <v>9803</v>
      </c>
      <c r="Y2340" s="65">
        <v>0</v>
      </c>
      <c r="Z2340" s="51">
        <v>0</v>
      </c>
      <c r="AA2340" s="51">
        <v>23</v>
      </c>
      <c r="AB2340" s="102">
        <v>0</v>
      </c>
      <c r="AC2340" s="81">
        <f t="shared" si="111"/>
        <v>430.44890678733037</v>
      </c>
      <c r="AD2340" s="82">
        <f t="shared" si="112"/>
        <v>31.571428571428573</v>
      </c>
      <c r="AE2340" s="218">
        <v>2.4018175263195076E-3</v>
      </c>
      <c r="AF2340">
        <v>5</v>
      </c>
      <c r="AH2340" t="str">
        <f t="shared" si="113"/>
        <v>Sahibpur Kamal</v>
      </c>
      <c r="AJ2340" s="72">
        <v>0</v>
      </c>
      <c r="AK2340" s="72"/>
      <c r="AL2340" s="72"/>
      <c r="AM2340" s="72"/>
    </row>
    <row r="2341" spans="1:39" x14ac:dyDescent="0.25">
      <c r="A2341" s="37" t="s">
        <v>62</v>
      </c>
      <c r="B2341" s="66" t="s">
        <v>1654</v>
      </c>
      <c r="C2341" s="41">
        <v>1011</v>
      </c>
      <c r="D2341" s="41" t="s">
        <v>281</v>
      </c>
      <c r="E2341" s="41">
        <v>10110032</v>
      </c>
      <c r="F2341" s="85" t="s">
        <v>1232</v>
      </c>
      <c r="G2341" s="39" t="s">
        <v>92</v>
      </c>
      <c r="H2341" s="52" t="s">
        <v>93</v>
      </c>
      <c r="I2341" s="52">
        <v>20.700000000000003</v>
      </c>
      <c r="J2341" s="49">
        <v>882.16000000000008</v>
      </c>
      <c r="K2341" s="58">
        <v>20.6</v>
      </c>
      <c r="L2341" s="58">
        <v>890.54</v>
      </c>
      <c r="M2341" s="58">
        <v>0.1</v>
      </c>
      <c r="N2341" s="58">
        <v>4.32</v>
      </c>
      <c r="O2341" s="58">
        <v>20.700000000000003</v>
      </c>
      <c r="P2341" s="53">
        <v>894.86</v>
      </c>
      <c r="Q2341" s="65">
        <v>882.16000000000008</v>
      </c>
      <c r="R2341" s="65">
        <v>0</v>
      </c>
      <c r="S2341" s="65">
        <v>4.32</v>
      </c>
      <c r="T2341" s="65">
        <v>12.699999999999932</v>
      </c>
      <c r="U2341" s="58">
        <v>0</v>
      </c>
      <c r="V2341" s="65">
        <v>500</v>
      </c>
      <c r="W2341" s="65">
        <v>0</v>
      </c>
      <c r="X2341" s="65">
        <v>378</v>
      </c>
      <c r="Y2341" s="65">
        <v>0</v>
      </c>
      <c r="Z2341" s="51">
        <v>0</v>
      </c>
      <c r="AA2341" s="51">
        <v>0</v>
      </c>
      <c r="AB2341" s="102">
        <v>0</v>
      </c>
      <c r="AC2341" s="81">
        <f t="shared" si="111"/>
        <v>578.98675169082117</v>
      </c>
      <c r="AD2341" s="82">
        <f t="shared" si="112"/>
        <v>2.9571428571428577</v>
      </c>
      <c r="AE2341" s="218">
        <v>-1.4396481363924832E-2</v>
      </c>
      <c r="AF2341">
        <v>2</v>
      </c>
      <c r="AH2341" t="str">
        <f t="shared" si="113"/>
        <v>Sahibpur Kamal</v>
      </c>
      <c r="AJ2341" s="72">
        <v>500</v>
      </c>
      <c r="AK2341" s="72"/>
      <c r="AL2341" s="72"/>
      <c r="AM2341" s="72"/>
    </row>
    <row r="2342" spans="1:39" x14ac:dyDescent="0.25">
      <c r="A2342" s="37" t="s">
        <v>62</v>
      </c>
      <c r="B2342" s="66" t="s">
        <v>1654</v>
      </c>
      <c r="C2342" s="41">
        <v>1055</v>
      </c>
      <c r="D2342" s="41" t="s">
        <v>1125</v>
      </c>
      <c r="E2342" s="41">
        <v>10110042</v>
      </c>
      <c r="F2342" s="85" t="s">
        <v>293</v>
      </c>
      <c r="G2342" s="39" t="s">
        <v>1610</v>
      </c>
      <c r="H2342" s="52" t="s">
        <v>98</v>
      </c>
      <c r="I2342" s="52">
        <v>424.9</v>
      </c>
      <c r="J2342" s="49">
        <v>16554.899999999998</v>
      </c>
      <c r="K2342" s="58">
        <v>0</v>
      </c>
      <c r="L2342" s="58">
        <v>0</v>
      </c>
      <c r="M2342" s="58">
        <v>0</v>
      </c>
      <c r="N2342" s="58">
        <v>0</v>
      </c>
      <c r="O2342" s="58">
        <v>0</v>
      </c>
      <c r="P2342" s="53">
        <v>0</v>
      </c>
      <c r="Q2342" s="65">
        <v>16554.899999999998</v>
      </c>
      <c r="R2342" s="65">
        <v>0</v>
      </c>
      <c r="S2342" s="65">
        <v>0</v>
      </c>
      <c r="T2342" s="65">
        <v>0</v>
      </c>
      <c r="U2342" s="58">
        <v>0</v>
      </c>
      <c r="V2342" s="65">
        <v>0</v>
      </c>
      <c r="W2342" s="65">
        <v>0</v>
      </c>
      <c r="X2342" s="65">
        <v>0</v>
      </c>
      <c r="Y2342" s="65">
        <v>0</v>
      </c>
      <c r="Z2342" s="51">
        <v>16554.899999999998</v>
      </c>
      <c r="AA2342" s="51">
        <v>0</v>
      </c>
      <c r="AB2342" s="102">
        <v>0</v>
      </c>
      <c r="AC2342" s="81">
        <f t="shared" si="111"/>
        <v>214.36822734761122</v>
      </c>
      <c r="AD2342" s="82">
        <f t="shared" si="112"/>
        <v>60.699999999999996</v>
      </c>
      <c r="AE2342" s="218">
        <v>0</v>
      </c>
      <c r="AF2342">
        <v>0</v>
      </c>
      <c r="AH2342" t="str">
        <f t="shared" si="113"/>
        <v>Matihani</v>
      </c>
      <c r="AJ2342" s="72">
        <v>0</v>
      </c>
      <c r="AK2342" s="72"/>
      <c r="AL2342" s="72"/>
      <c r="AM2342" s="72"/>
    </row>
    <row r="2343" spans="1:39" x14ac:dyDescent="0.25">
      <c r="A2343" s="37" t="s">
        <v>62</v>
      </c>
      <c r="B2343" s="66" t="s">
        <v>1654</v>
      </c>
      <c r="C2343" s="41">
        <v>1011</v>
      </c>
      <c r="D2343" s="41" t="s">
        <v>281</v>
      </c>
      <c r="E2343" s="41">
        <v>10110043</v>
      </c>
      <c r="F2343" s="85" t="s">
        <v>294</v>
      </c>
      <c r="G2343" s="39" t="s">
        <v>92</v>
      </c>
      <c r="H2343" s="52" t="s">
        <v>98</v>
      </c>
      <c r="I2343" s="52">
        <v>1139.2</v>
      </c>
      <c r="J2343" s="49">
        <v>49311.38</v>
      </c>
      <c r="K2343" s="58">
        <v>0</v>
      </c>
      <c r="L2343" s="58">
        <v>0</v>
      </c>
      <c r="M2343" s="58">
        <v>0</v>
      </c>
      <c r="N2343" s="58">
        <v>0</v>
      </c>
      <c r="O2343" s="58">
        <v>0</v>
      </c>
      <c r="P2343" s="53">
        <v>0</v>
      </c>
      <c r="Q2343" s="65">
        <v>49311.38</v>
      </c>
      <c r="R2343" s="65">
        <v>0</v>
      </c>
      <c r="S2343" s="65">
        <v>0</v>
      </c>
      <c r="T2343" s="65">
        <v>0</v>
      </c>
      <c r="U2343" s="58">
        <v>0</v>
      </c>
      <c r="V2343" s="65">
        <v>0</v>
      </c>
      <c r="W2343" s="65">
        <v>0</v>
      </c>
      <c r="X2343" s="65">
        <v>0</v>
      </c>
      <c r="Y2343" s="65">
        <v>0</v>
      </c>
      <c r="Z2343" s="51">
        <v>49311.38</v>
      </c>
      <c r="AA2343" s="51">
        <v>0</v>
      </c>
      <c r="AB2343" s="102">
        <v>0</v>
      </c>
      <c r="AC2343" s="81">
        <f t="shared" si="111"/>
        <v>0</v>
      </c>
      <c r="AD2343" s="82">
        <f t="shared" si="112"/>
        <v>0</v>
      </c>
      <c r="AE2343" s="218">
        <v>0</v>
      </c>
      <c r="AF2343">
        <v>0</v>
      </c>
      <c r="AH2343" t="str">
        <f t="shared" si="113"/>
        <v>Sahibpur Kamal</v>
      </c>
      <c r="AJ2343" s="72">
        <v>0</v>
      </c>
      <c r="AK2343" s="72"/>
      <c r="AL2343" s="72"/>
      <c r="AM2343" s="72"/>
    </row>
    <row r="2344" spans="1:39" x14ac:dyDescent="0.25">
      <c r="A2344" s="37" t="s">
        <v>62</v>
      </c>
      <c r="B2344" s="66" t="s">
        <v>1654</v>
      </c>
      <c r="C2344" s="41">
        <v>1011</v>
      </c>
      <c r="D2344" s="41" t="s">
        <v>281</v>
      </c>
      <c r="E2344" s="41">
        <v>10110049</v>
      </c>
      <c r="F2344" s="85" t="s">
        <v>1318</v>
      </c>
      <c r="G2344" s="39" t="s">
        <v>92</v>
      </c>
      <c r="H2344" s="52" t="s">
        <v>93</v>
      </c>
      <c r="I2344" s="52">
        <v>723.5</v>
      </c>
      <c r="J2344" s="49">
        <v>27949.960000000003</v>
      </c>
      <c r="K2344" s="58">
        <v>694.7</v>
      </c>
      <c r="L2344" s="58">
        <v>27831.280000000002</v>
      </c>
      <c r="M2344" s="58">
        <v>2.9999999999999996</v>
      </c>
      <c r="N2344" s="58">
        <v>119.07000000000001</v>
      </c>
      <c r="O2344" s="58">
        <v>697.7</v>
      </c>
      <c r="P2344" s="53">
        <v>27950.350000000002</v>
      </c>
      <c r="Q2344" s="65">
        <v>27949.960000000003</v>
      </c>
      <c r="R2344" s="65">
        <v>0</v>
      </c>
      <c r="S2344" s="65">
        <v>119.07000000000001</v>
      </c>
      <c r="T2344" s="65">
        <v>0.38999999999941792</v>
      </c>
      <c r="U2344" s="58">
        <v>0</v>
      </c>
      <c r="V2344" s="65">
        <v>0</v>
      </c>
      <c r="W2344" s="65">
        <v>0</v>
      </c>
      <c r="X2344" s="65">
        <v>27831</v>
      </c>
      <c r="Y2344" s="65">
        <v>0</v>
      </c>
      <c r="Z2344" s="51">
        <v>0</v>
      </c>
      <c r="AA2344" s="51">
        <v>0</v>
      </c>
      <c r="AB2344" s="102">
        <v>0</v>
      </c>
      <c r="AC2344" s="81">
        <f t="shared" si="111"/>
        <v>0</v>
      </c>
      <c r="AD2344" s="82">
        <f t="shared" si="112"/>
        <v>0</v>
      </c>
      <c r="AE2344" s="218">
        <v>-1.3953508341314902E-5</v>
      </c>
      <c r="AF2344">
        <v>5</v>
      </c>
      <c r="AH2344" t="str">
        <f t="shared" si="113"/>
        <v>Sahibpur Kamal</v>
      </c>
      <c r="AJ2344" s="72">
        <v>0</v>
      </c>
      <c r="AK2344" s="72"/>
      <c r="AL2344" s="72"/>
      <c r="AM2344" s="72"/>
    </row>
    <row r="2345" spans="1:39" x14ac:dyDescent="0.25">
      <c r="A2345" s="37" t="s">
        <v>62</v>
      </c>
      <c r="B2345" s="66" t="s">
        <v>1654</v>
      </c>
      <c r="C2345" s="41">
        <v>1011</v>
      </c>
      <c r="D2345" s="41" t="s">
        <v>281</v>
      </c>
      <c r="E2345" s="41">
        <v>10110050</v>
      </c>
      <c r="F2345" s="85" t="s">
        <v>296</v>
      </c>
      <c r="G2345" s="39" t="s">
        <v>92</v>
      </c>
      <c r="H2345" s="52" t="s">
        <v>93</v>
      </c>
      <c r="I2345" s="52">
        <v>1253.7999999999997</v>
      </c>
      <c r="J2345" s="49">
        <v>56607.82</v>
      </c>
      <c r="K2345" s="58">
        <v>1253</v>
      </c>
      <c r="L2345" s="58">
        <v>56259.7</v>
      </c>
      <c r="M2345" s="58">
        <v>0</v>
      </c>
      <c r="N2345" s="58">
        <v>0</v>
      </c>
      <c r="O2345" s="58">
        <v>1253</v>
      </c>
      <c r="P2345" s="53">
        <v>56259.7</v>
      </c>
      <c r="Q2345" s="65">
        <v>56259.7</v>
      </c>
      <c r="R2345" s="65">
        <v>0</v>
      </c>
      <c r="S2345" s="65">
        <v>0</v>
      </c>
      <c r="T2345" s="65">
        <v>0</v>
      </c>
      <c r="U2345" s="58">
        <v>0</v>
      </c>
      <c r="V2345" s="65">
        <v>0</v>
      </c>
      <c r="W2345" s="65">
        <v>0</v>
      </c>
      <c r="X2345" s="65">
        <v>56260</v>
      </c>
      <c r="Y2345" s="65">
        <v>0</v>
      </c>
      <c r="Z2345" s="51">
        <v>0</v>
      </c>
      <c r="AA2345" s="51">
        <v>348</v>
      </c>
      <c r="AB2345" s="102">
        <v>0</v>
      </c>
      <c r="AC2345" s="81">
        <f t="shared" si="111"/>
        <v>0</v>
      </c>
      <c r="AD2345" s="82">
        <f t="shared" si="112"/>
        <v>0</v>
      </c>
      <c r="AE2345" s="218">
        <v>6.1496803798486259E-3</v>
      </c>
      <c r="AF2345">
        <v>1</v>
      </c>
      <c r="AH2345" t="str">
        <f t="shared" si="113"/>
        <v>Sahibpur Kamal</v>
      </c>
      <c r="AJ2345" s="72">
        <v>0</v>
      </c>
      <c r="AK2345" s="72"/>
      <c r="AL2345" s="72"/>
      <c r="AM2345" s="72"/>
    </row>
    <row r="2346" spans="1:39" x14ac:dyDescent="0.25">
      <c r="A2346" s="37" t="s">
        <v>62</v>
      </c>
      <c r="B2346" s="66" t="s">
        <v>1654</v>
      </c>
      <c r="C2346" s="41">
        <v>1011</v>
      </c>
      <c r="D2346" s="41" t="s">
        <v>281</v>
      </c>
      <c r="E2346" s="41">
        <v>10110053</v>
      </c>
      <c r="F2346" s="85" t="s">
        <v>297</v>
      </c>
      <c r="G2346" s="39" t="s">
        <v>92</v>
      </c>
      <c r="H2346" s="52" t="s">
        <v>93</v>
      </c>
      <c r="I2346" s="52">
        <v>330.09999999999997</v>
      </c>
      <c r="J2346" s="49">
        <v>14148.43</v>
      </c>
      <c r="K2346" s="58">
        <v>327.60000000000002</v>
      </c>
      <c r="L2346" s="58">
        <v>14033.519999999999</v>
      </c>
      <c r="M2346" s="58">
        <v>2.6</v>
      </c>
      <c r="N2346" s="58">
        <v>114.52</v>
      </c>
      <c r="O2346" s="58">
        <v>330.20000000000005</v>
      </c>
      <c r="P2346" s="53">
        <v>14148.039999999999</v>
      </c>
      <c r="Q2346" s="65">
        <v>14148.039999999999</v>
      </c>
      <c r="R2346" s="65">
        <v>0</v>
      </c>
      <c r="S2346" s="65">
        <v>114.52</v>
      </c>
      <c r="T2346" s="65">
        <v>0</v>
      </c>
      <c r="U2346" s="58">
        <v>0</v>
      </c>
      <c r="V2346" s="65">
        <v>500</v>
      </c>
      <c r="W2346" s="65">
        <v>0</v>
      </c>
      <c r="X2346" s="65">
        <v>13533</v>
      </c>
      <c r="Y2346" s="65">
        <v>0</v>
      </c>
      <c r="Z2346" s="51">
        <v>0</v>
      </c>
      <c r="AA2346" s="51">
        <v>1</v>
      </c>
      <c r="AB2346" s="102">
        <v>0</v>
      </c>
      <c r="AC2346" s="81">
        <f t="shared" si="111"/>
        <v>317.08598951832784</v>
      </c>
      <c r="AD2346" s="82">
        <f t="shared" si="112"/>
        <v>47.157142857142851</v>
      </c>
      <c r="AE2346" s="218">
        <v>2.7564895893129972E-5</v>
      </c>
      <c r="AF2346">
        <v>2</v>
      </c>
      <c r="AH2346" t="str">
        <f t="shared" si="113"/>
        <v>Sahibpur Kamal</v>
      </c>
      <c r="AJ2346" s="72">
        <v>500</v>
      </c>
      <c r="AK2346" s="72"/>
      <c r="AL2346" s="72"/>
      <c r="AM2346" s="72"/>
    </row>
    <row r="2347" spans="1:39" x14ac:dyDescent="0.25">
      <c r="A2347" s="37" t="s">
        <v>62</v>
      </c>
      <c r="B2347" s="66" t="s">
        <v>1654</v>
      </c>
      <c r="C2347" s="41">
        <v>1011</v>
      </c>
      <c r="D2347" s="41" t="s">
        <v>281</v>
      </c>
      <c r="E2347" s="41">
        <v>10110055</v>
      </c>
      <c r="F2347" s="85" t="s">
        <v>298</v>
      </c>
      <c r="G2347" s="39" t="s">
        <v>92</v>
      </c>
      <c r="H2347" s="52" t="s">
        <v>93</v>
      </c>
      <c r="I2347" s="52">
        <v>1085.2000000000003</v>
      </c>
      <c r="J2347" s="49">
        <v>52279</v>
      </c>
      <c r="K2347" s="58">
        <v>884.94</v>
      </c>
      <c r="L2347" s="58">
        <v>41762.480000000003</v>
      </c>
      <c r="M2347" s="58">
        <v>214.32</v>
      </c>
      <c r="N2347" s="58">
        <v>10500.980000000001</v>
      </c>
      <c r="O2347" s="58">
        <v>1099.26</v>
      </c>
      <c r="P2347" s="53">
        <v>52263.460000000006</v>
      </c>
      <c r="Q2347" s="65">
        <v>52263.460000000006</v>
      </c>
      <c r="R2347" s="65">
        <v>0</v>
      </c>
      <c r="S2347" s="65">
        <v>0</v>
      </c>
      <c r="T2347" s="65">
        <v>0</v>
      </c>
      <c r="U2347" s="58">
        <v>0</v>
      </c>
      <c r="V2347" s="65">
        <v>0</v>
      </c>
      <c r="W2347" s="65">
        <v>0</v>
      </c>
      <c r="X2347" s="65">
        <v>41762</v>
      </c>
      <c r="Y2347" s="65">
        <v>10501</v>
      </c>
      <c r="Z2347" s="51">
        <v>0</v>
      </c>
      <c r="AA2347" s="51">
        <v>16</v>
      </c>
      <c r="AB2347" s="102">
        <v>0</v>
      </c>
      <c r="AC2347" s="81">
        <f t="shared" si="111"/>
        <v>0</v>
      </c>
      <c r="AD2347" s="82">
        <f t="shared" si="112"/>
        <v>0</v>
      </c>
      <c r="AE2347" s="218">
        <v>2.9725128636725256E-4</v>
      </c>
      <c r="AF2347">
        <v>6</v>
      </c>
      <c r="AH2347" t="str">
        <f t="shared" si="113"/>
        <v>Sahibpur Kamal</v>
      </c>
      <c r="AJ2347" s="72">
        <v>0</v>
      </c>
      <c r="AK2347" s="72"/>
      <c r="AL2347" s="72"/>
      <c r="AM2347" s="72"/>
    </row>
    <row r="2348" spans="1:39" x14ac:dyDescent="0.25">
      <c r="A2348" s="37" t="s">
        <v>62</v>
      </c>
      <c r="B2348" s="66" t="s">
        <v>1654</v>
      </c>
      <c r="C2348" s="41">
        <v>1011</v>
      </c>
      <c r="D2348" s="41" t="s">
        <v>281</v>
      </c>
      <c r="E2348" s="41">
        <v>10110057</v>
      </c>
      <c r="F2348" s="85" t="s">
        <v>299</v>
      </c>
      <c r="G2348" s="39" t="s">
        <v>1610</v>
      </c>
      <c r="H2348" s="52" t="s">
        <v>93</v>
      </c>
      <c r="I2348" s="52">
        <v>261.8</v>
      </c>
      <c r="J2348" s="49">
        <v>11540.5</v>
      </c>
      <c r="K2348" s="58">
        <v>246.2</v>
      </c>
      <c r="L2348" s="58">
        <v>11400.46</v>
      </c>
      <c r="M2348" s="58">
        <v>0</v>
      </c>
      <c r="N2348" s="58">
        <v>0</v>
      </c>
      <c r="O2348" s="58">
        <v>246.2</v>
      </c>
      <c r="P2348" s="53">
        <v>11400.46</v>
      </c>
      <c r="Q2348" s="65">
        <v>11400.46</v>
      </c>
      <c r="R2348" s="65">
        <v>0</v>
      </c>
      <c r="S2348" s="65">
        <v>0</v>
      </c>
      <c r="T2348" s="65">
        <v>0</v>
      </c>
      <c r="U2348" s="58">
        <v>0</v>
      </c>
      <c r="V2348" s="65">
        <v>0</v>
      </c>
      <c r="W2348" s="65">
        <v>0</v>
      </c>
      <c r="X2348" s="65">
        <v>11400</v>
      </c>
      <c r="Y2348" s="65">
        <v>0</v>
      </c>
      <c r="Z2348" s="51">
        <v>0</v>
      </c>
      <c r="AA2348" s="51">
        <v>141</v>
      </c>
      <c r="AB2348" s="102">
        <v>0</v>
      </c>
      <c r="AC2348" s="81">
        <f t="shared" si="111"/>
        <v>386.32903743315501</v>
      </c>
      <c r="AD2348" s="82">
        <f t="shared" si="112"/>
        <v>37.4</v>
      </c>
      <c r="AE2348" s="218">
        <v>1.2134656210736179E-2</v>
      </c>
      <c r="AF2348">
        <v>1</v>
      </c>
      <c r="AH2348" t="str">
        <f t="shared" si="113"/>
        <v>Sahibpur Kamal</v>
      </c>
      <c r="AJ2348" s="72">
        <v>0</v>
      </c>
      <c r="AK2348" s="72"/>
      <c r="AL2348" s="72"/>
      <c r="AM2348" s="72"/>
    </row>
    <row r="2349" spans="1:39" x14ac:dyDescent="0.25">
      <c r="A2349" s="37" t="s">
        <v>62</v>
      </c>
      <c r="B2349" s="66" t="s">
        <v>1654</v>
      </c>
      <c r="C2349" s="41">
        <v>1011</v>
      </c>
      <c r="D2349" s="41" t="s">
        <v>281</v>
      </c>
      <c r="E2349" s="41">
        <v>10110065</v>
      </c>
      <c r="F2349" s="85" t="s">
        <v>300</v>
      </c>
      <c r="G2349" s="39" t="s">
        <v>92</v>
      </c>
      <c r="H2349" s="52" t="s">
        <v>93</v>
      </c>
      <c r="I2349" s="52">
        <v>635</v>
      </c>
      <c r="J2349" s="49">
        <v>25146.03</v>
      </c>
      <c r="K2349" s="58">
        <v>639.86</v>
      </c>
      <c r="L2349" s="58">
        <v>25026.180000000004</v>
      </c>
      <c r="M2349" s="58">
        <v>1.48</v>
      </c>
      <c r="N2349" s="58">
        <v>56.099999999999994</v>
      </c>
      <c r="O2349" s="58">
        <v>641.34</v>
      </c>
      <c r="P2349" s="53">
        <v>25082.280000000002</v>
      </c>
      <c r="Q2349" s="65">
        <v>25082.280000000002</v>
      </c>
      <c r="R2349" s="65">
        <v>0</v>
      </c>
      <c r="S2349" s="65">
        <v>56.099999999999994</v>
      </c>
      <c r="T2349" s="65">
        <v>0</v>
      </c>
      <c r="U2349" s="58">
        <v>0.1</v>
      </c>
      <c r="V2349" s="65">
        <v>0</v>
      </c>
      <c r="W2349" s="65">
        <v>0</v>
      </c>
      <c r="X2349" s="65">
        <v>25026</v>
      </c>
      <c r="Y2349" s="65">
        <v>0</v>
      </c>
      <c r="Z2349" s="51">
        <v>0</v>
      </c>
      <c r="AA2349" s="51">
        <v>64</v>
      </c>
      <c r="AB2349" s="102" t="s">
        <v>68</v>
      </c>
      <c r="AC2349" s="81">
        <f t="shared" si="111"/>
        <v>51.480061417322858</v>
      </c>
      <c r="AD2349" s="82">
        <f t="shared" si="112"/>
        <v>90.714285714285708</v>
      </c>
      <c r="AE2349" s="218">
        <v>2.5351914397619174E-3</v>
      </c>
      <c r="AF2349">
        <v>18</v>
      </c>
      <c r="AH2349" t="str">
        <f t="shared" si="113"/>
        <v>Sahibpur Kamal</v>
      </c>
      <c r="AJ2349" s="72">
        <v>0</v>
      </c>
      <c r="AK2349" s="72"/>
      <c r="AL2349" s="72"/>
      <c r="AM2349" s="72"/>
    </row>
    <row r="2350" spans="1:39" x14ac:dyDescent="0.25">
      <c r="A2350" s="37" t="s">
        <v>62</v>
      </c>
      <c r="B2350" s="66" t="s">
        <v>1654</v>
      </c>
      <c r="C2350" s="41">
        <v>1011</v>
      </c>
      <c r="D2350" s="41" t="s">
        <v>281</v>
      </c>
      <c r="E2350" s="41">
        <v>10110066</v>
      </c>
      <c r="F2350" s="85" t="s">
        <v>301</v>
      </c>
      <c r="G2350" s="39" t="s">
        <v>92</v>
      </c>
      <c r="H2350" s="52" t="s">
        <v>93</v>
      </c>
      <c r="I2350" s="52">
        <v>838.69999999999993</v>
      </c>
      <c r="J2350" s="49">
        <v>35711.47</v>
      </c>
      <c r="K2350" s="58">
        <v>829.16000000000008</v>
      </c>
      <c r="L2350" s="58">
        <v>35504.49</v>
      </c>
      <c r="M2350" s="58">
        <v>4.8000000000000007</v>
      </c>
      <c r="N2350" s="58">
        <v>194.76999999999998</v>
      </c>
      <c r="O2350" s="58">
        <v>833.96</v>
      </c>
      <c r="P2350" s="53">
        <v>35699.259999999995</v>
      </c>
      <c r="Q2350" s="65">
        <v>35699.259999999995</v>
      </c>
      <c r="R2350" s="65">
        <v>0</v>
      </c>
      <c r="S2350" s="65">
        <v>194.76999999999998</v>
      </c>
      <c r="T2350" s="65">
        <v>0</v>
      </c>
      <c r="U2350" s="58">
        <v>0</v>
      </c>
      <c r="V2350" s="65">
        <v>0</v>
      </c>
      <c r="W2350" s="65">
        <v>0</v>
      </c>
      <c r="X2350" s="65">
        <v>35505</v>
      </c>
      <c r="Y2350" s="65">
        <v>0</v>
      </c>
      <c r="Z2350" s="51">
        <v>0</v>
      </c>
      <c r="AA2350" s="51">
        <v>12</v>
      </c>
      <c r="AB2350" s="102">
        <v>0</v>
      </c>
      <c r="AC2350" s="81">
        <f t="shared" si="111"/>
        <v>0</v>
      </c>
      <c r="AD2350" s="82">
        <f t="shared" si="112"/>
        <v>0</v>
      </c>
      <c r="AE2350" s="218">
        <v>3.4190695594458592E-4</v>
      </c>
      <c r="AF2350">
        <v>15</v>
      </c>
      <c r="AH2350" t="str">
        <f t="shared" si="113"/>
        <v>Sahibpur Kamal</v>
      </c>
      <c r="AJ2350" s="72">
        <v>0</v>
      </c>
      <c r="AK2350" s="72"/>
      <c r="AL2350" s="72"/>
      <c r="AM2350" s="72"/>
    </row>
    <row r="2351" spans="1:39" x14ac:dyDescent="0.25">
      <c r="A2351" s="37" t="s">
        <v>62</v>
      </c>
      <c r="B2351" s="66" t="s">
        <v>1654</v>
      </c>
      <c r="C2351" s="41">
        <v>1011</v>
      </c>
      <c r="D2351" s="41" t="s">
        <v>281</v>
      </c>
      <c r="E2351" s="41">
        <v>10110071</v>
      </c>
      <c r="F2351" s="85" t="s">
        <v>302</v>
      </c>
      <c r="G2351" s="39" t="s">
        <v>92</v>
      </c>
      <c r="H2351" s="52" t="s">
        <v>93</v>
      </c>
      <c r="I2351" s="52">
        <v>170.6</v>
      </c>
      <c r="J2351" s="49">
        <v>6103.81</v>
      </c>
      <c r="K2351" s="58">
        <v>170.9</v>
      </c>
      <c r="L2351" s="58">
        <v>6557.67</v>
      </c>
      <c r="M2351" s="58">
        <v>0</v>
      </c>
      <c r="N2351" s="58">
        <v>0</v>
      </c>
      <c r="O2351" s="58">
        <v>170.9</v>
      </c>
      <c r="P2351" s="53">
        <v>6557.67</v>
      </c>
      <c r="Q2351" s="65">
        <v>6103.81</v>
      </c>
      <c r="R2351" s="65">
        <v>0</v>
      </c>
      <c r="S2351" s="65">
        <v>0</v>
      </c>
      <c r="T2351" s="65">
        <v>453.85999999999967</v>
      </c>
      <c r="U2351" s="58">
        <v>0</v>
      </c>
      <c r="V2351" s="65">
        <v>500</v>
      </c>
      <c r="W2351" s="65">
        <v>0</v>
      </c>
      <c r="X2351" s="65">
        <v>5604</v>
      </c>
      <c r="Y2351" s="65">
        <v>0</v>
      </c>
      <c r="Z2351" s="51">
        <v>0</v>
      </c>
      <c r="AA2351" s="51">
        <v>0</v>
      </c>
      <c r="AB2351" s="102">
        <v>0</v>
      </c>
      <c r="AC2351" s="81">
        <f t="shared" si="111"/>
        <v>378.82262766705753</v>
      </c>
      <c r="AD2351" s="82">
        <f t="shared" si="112"/>
        <v>24.37142857142857</v>
      </c>
      <c r="AE2351" s="218">
        <v>-7.4356836140050175E-2</v>
      </c>
      <c r="AF2351">
        <v>1</v>
      </c>
      <c r="AH2351" t="str">
        <f t="shared" si="113"/>
        <v>Sahibpur Kamal</v>
      </c>
      <c r="AJ2351" s="72">
        <v>500</v>
      </c>
      <c r="AK2351" s="72"/>
      <c r="AL2351" s="72"/>
      <c r="AM2351" s="72"/>
    </row>
    <row r="2352" spans="1:39" x14ac:dyDescent="0.25">
      <c r="A2352" s="37" t="s">
        <v>62</v>
      </c>
      <c r="B2352" s="66" t="s">
        <v>1654</v>
      </c>
      <c r="C2352" s="41">
        <v>1011</v>
      </c>
      <c r="D2352" s="41" t="s">
        <v>281</v>
      </c>
      <c r="E2352" s="41">
        <v>10110073</v>
      </c>
      <c r="F2352" s="85" t="s">
        <v>605</v>
      </c>
      <c r="G2352" s="39" t="s">
        <v>92</v>
      </c>
      <c r="H2352" s="52" t="s">
        <v>93</v>
      </c>
      <c r="I2352" s="52">
        <v>227.7</v>
      </c>
      <c r="J2352" s="49">
        <v>8270.57</v>
      </c>
      <c r="K2352" s="58">
        <v>222.22000000000003</v>
      </c>
      <c r="L2352" s="58">
        <v>8285.8599999999988</v>
      </c>
      <c r="M2352" s="58">
        <v>0</v>
      </c>
      <c r="N2352" s="58">
        <v>0</v>
      </c>
      <c r="O2352" s="58">
        <v>222.22000000000003</v>
      </c>
      <c r="P2352" s="53">
        <v>8285.8599999999988</v>
      </c>
      <c r="Q2352" s="65">
        <v>8270.57</v>
      </c>
      <c r="R2352" s="65">
        <v>0</v>
      </c>
      <c r="S2352" s="65">
        <v>0</v>
      </c>
      <c r="T2352" s="65">
        <v>15.289999999999054</v>
      </c>
      <c r="U2352" s="58">
        <v>0</v>
      </c>
      <c r="V2352" s="65">
        <v>0</v>
      </c>
      <c r="W2352" s="65">
        <v>0</v>
      </c>
      <c r="X2352" s="65">
        <v>8286</v>
      </c>
      <c r="Y2352" s="65">
        <v>0</v>
      </c>
      <c r="Z2352" s="51">
        <v>0</v>
      </c>
      <c r="AA2352" s="51">
        <v>-15</v>
      </c>
      <c r="AB2352" s="102" t="s">
        <v>68</v>
      </c>
      <c r="AC2352" s="81">
        <f t="shared" si="111"/>
        <v>343.09971111111111</v>
      </c>
      <c r="AD2352" s="82">
        <f t="shared" si="112"/>
        <v>32.528571428571425</v>
      </c>
      <c r="AE2352" s="218">
        <v>-1.8487238485375319E-3</v>
      </c>
      <c r="AF2352">
        <v>3</v>
      </c>
      <c r="AH2352" t="str">
        <f t="shared" si="113"/>
        <v>Sahibpur Kamal</v>
      </c>
      <c r="AJ2352" s="72">
        <v>500</v>
      </c>
      <c r="AK2352" s="72"/>
      <c r="AL2352" s="72"/>
      <c r="AM2352" s="72"/>
    </row>
    <row r="2353" spans="1:39" x14ac:dyDescent="0.25">
      <c r="A2353" s="37" t="s">
        <v>62</v>
      </c>
      <c r="B2353" s="66" t="s">
        <v>1654</v>
      </c>
      <c r="C2353" s="41">
        <v>1011</v>
      </c>
      <c r="D2353" s="41" t="s">
        <v>281</v>
      </c>
      <c r="E2353" s="41">
        <v>10110076</v>
      </c>
      <c r="F2353" s="85" t="s">
        <v>303</v>
      </c>
      <c r="G2353" s="39" t="s">
        <v>92</v>
      </c>
      <c r="H2353" s="52" t="s">
        <v>93</v>
      </c>
      <c r="I2353" s="52">
        <v>2242.6</v>
      </c>
      <c r="J2353" s="49">
        <v>96627.93</v>
      </c>
      <c r="K2353" s="58">
        <v>1288.0000000000002</v>
      </c>
      <c r="L2353" s="58">
        <v>58067.770000000004</v>
      </c>
      <c r="M2353" s="58">
        <v>853.9799999999999</v>
      </c>
      <c r="N2353" s="58">
        <v>38549.99</v>
      </c>
      <c r="O2353" s="58">
        <v>2141.98</v>
      </c>
      <c r="P2353" s="53">
        <v>96617.760000000009</v>
      </c>
      <c r="Q2353" s="65">
        <v>96617.760000000009</v>
      </c>
      <c r="R2353" s="65">
        <v>0</v>
      </c>
      <c r="S2353" s="65">
        <v>355.90999999999997</v>
      </c>
      <c r="T2353" s="65">
        <v>0</v>
      </c>
      <c r="U2353" s="58">
        <v>19500</v>
      </c>
      <c r="V2353" s="65">
        <v>0</v>
      </c>
      <c r="W2353" s="65">
        <v>0</v>
      </c>
      <c r="X2353" s="65">
        <v>38568</v>
      </c>
      <c r="Y2353" s="65">
        <v>38195</v>
      </c>
      <c r="Z2353" s="51">
        <v>0</v>
      </c>
      <c r="AA2353" s="51">
        <v>9</v>
      </c>
      <c r="AB2353" s="102">
        <v>0</v>
      </c>
      <c r="AC2353" s="81">
        <f t="shared" si="111"/>
        <v>0</v>
      </c>
      <c r="AD2353" s="82">
        <f t="shared" si="112"/>
        <v>0</v>
      </c>
      <c r="AE2353" s="218">
        <v>1.0524907239535922E-4</v>
      </c>
      <c r="AF2353">
        <v>13</v>
      </c>
      <c r="AH2353" t="str">
        <f t="shared" si="113"/>
        <v>Sahibpur Kamal</v>
      </c>
      <c r="AJ2353" s="72">
        <v>0</v>
      </c>
      <c r="AK2353" s="72"/>
      <c r="AL2353" s="72"/>
      <c r="AM2353" s="72"/>
    </row>
    <row r="2354" spans="1:39" x14ac:dyDescent="0.25">
      <c r="A2354" s="37" t="s">
        <v>62</v>
      </c>
      <c r="B2354" s="66" t="s">
        <v>1654</v>
      </c>
      <c r="C2354" s="41">
        <v>1011</v>
      </c>
      <c r="D2354" s="41" t="s">
        <v>281</v>
      </c>
      <c r="E2354" s="41">
        <v>10110078</v>
      </c>
      <c r="F2354" s="85" t="s">
        <v>304</v>
      </c>
      <c r="G2354" s="39" t="s">
        <v>1610</v>
      </c>
      <c r="H2354" s="52" t="s">
        <v>93</v>
      </c>
      <c r="I2354" s="52">
        <v>214.90000000000003</v>
      </c>
      <c r="J2354" s="49">
        <v>7734.7000000000007</v>
      </c>
      <c r="K2354" s="58">
        <v>215.5</v>
      </c>
      <c r="L2354" s="58">
        <v>7939.02</v>
      </c>
      <c r="M2354" s="58">
        <v>0</v>
      </c>
      <c r="N2354" s="58">
        <v>0</v>
      </c>
      <c r="O2354" s="58">
        <v>215.5</v>
      </c>
      <c r="P2354" s="53">
        <v>7939.02</v>
      </c>
      <c r="Q2354" s="65">
        <v>7734.7000000000007</v>
      </c>
      <c r="R2354" s="65">
        <v>0</v>
      </c>
      <c r="S2354" s="65">
        <v>0</v>
      </c>
      <c r="T2354" s="65">
        <v>204.31999999999971</v>
      </c>
      <c r="U2354" s="58">
        <v>0</v>
      </c>
      <c r="V2354" s="65">
        <v>0</v>
      </c>
      <c r="W2354" s="65">
        <v>0</v>
      </c>
      <c r="X2354" s="65">
        <v>7735</v>
      </c>
      <c r="Y2354" s="65">
        <v>0</v>
      </c>
      <c r="Z2354" s="51">
        <v>0</v>
      </c>
      <c r="AA2354" s="51">
        <v>0</v>
      </c>
      <c r="AB2354" s="102">
        <v>0</v>
      </c>
      <c r="AC2354" s="81">
        <f t="shared" si="111"/>
        <v>349.19525081433216</v>
      </c>
      <c r="AD2354" s="82">
        <f t="shared" si="112"/>
        <v>30.700000000000006</v>
      </c>
      <c r="AE2354" s="218">
        <v>-2.6416021306579402E-2</v>
      </c>
      <c r="AF2354">
        <v>1</v>
      </c>
      <c r="AH2354" t="str">
        <f t="shared" si="113"/>
        <v>Sahibpur Kamal</v>
      </c>
      <c r="AJ2354" s="72">
        <v>0</v>
      </c>
      <c r="AK2354" s="72"/>
      <c r="AL2354" s="72"/>
      <c r="AM2354" s="72"/>
    </row>
    <row r="2355" spans="1:39" x14ac:dyDescent="0.25">
      <c r="A2355" s="37" t="s">
        <v>62</v>
      </c>
      <c r="B2355" s="66" t="s">
        <v>1654</v>
      </c>
      <c r="C2355" s="41">
        <v>1011</v>
      </c>
      <c r="D2355" s="41" t="s">
        <v>281</v>
      </c>
      <c r="E2355" s="41">
        <v>10110083</v>
      </c>
      <c r="F2355" s="85" t="s">
        <v>424</v>
      </c>
      <c r="G2355" s="39" t="s">
        <v>92</v>
      </c>
      <c r="H2355" s="52" t="s">
        <v>93</v>
      </c>
      <c r="I2355" s="52">
        <v>229.60000000000002</v>
      </c>
      <c r="J2355" s="49">
        <v>9160.4</v>
      </c>
      <c r="K2355" s="58">
        <v>229</v>
      </c>
      <c r="L2355" s="58">
        <v>9072.98</v>
      </c>
      <c r="M2355" s="58">
        <v>0</v>
      </c>
      <c r="N2355" s="58">
        <v>0</v>
      </c>
      <c r="O2355" s="58">
        <v>229</v>
      </c>
      <c r="P2355" s="53">
        <v>9072.98</v>
      </c>
      <c r="Q2355" s="65">
        <v>9072.98</v>
      </c>
      <c r="R2355" s="65">
        <v>0</v>
      </c>
      <c r="S2355" s="65">
        <v>0</v>
      </c>
      <c r="T2355" s="65">
        <v>0</v>
      </c>
      <c r="U2355" s="58">
        <v>0</v>
      </c>
      <c r="V2355" s="65">
        <v>0</v>
      </c>
      <c r="W2355" s="65">
        <v>0</v>
      </c>
      <c r="X2355" s="65">
        <v>9073</v>
      </c>
      <c r="Y2355" s="65">
        <v>0</v>
      </c>
      <c r="Z2355" s="51">
        <v>0</v>
      </c>
      <c r="AA2355" s="51">
        <v>87</v>
      </c>
      <c r="AB2355" s="102">
        <v>0</v>
      </c>
      <c r="AC2355" s="81">
        <f t="shared" si="111"/>
        <v>375.35297560975596</v>
      </c>
      <c r="AD2355" s="82">
        <f t="shared" si="112"/>
        <v>32.800000000000004</v>
      </c>
      <c r="AE2355" s="218">
        <v>9.5432513864023485E-3</v>
      </c>
      <c r="AF2355">
        <v>1</v>
      </c>
      <c r="AH2355" t="str">
        <f t="shared" si="113"/>
        <v>Sahibpur Kamal</v>
      </c>
      <c r="AJ2355" s="72">
        <v>0</v>
      </c>
      <c r="AK2355" s="72"/>
      <c r="AL2355" s="72"/>
      <c r="AM2355" s="72"/>
    </row>
    <row r="2356" spans="1:39" x14ac:dyDescent="0.25">
      <c r="A2356" s="37" t="s">
        <v>62</v>
      </c>
      <c r="B2356" s="66" t="s">
        <v>1654</v>
      </c>
      <c r="C2356" s="41">
        <v>1011</v>
      </c>
      <c r="D2356" s="41" t="s">
        <v>281</v>
      </c>
      <c r="E2356" s="41">
        <v>10110086</v>
      </c>
      <c r="F2356" s="85" t="s">
        <v>428</v>
      </c>
      <c r="G2356" s="39" t="s">
        <v>92</v>
      </c>
      <c r="H2356" s="52" t="s">
        <v>93</v>
      </c>
      <c r="I2356" s="52">
        <v>349.49999999999994</v>
      </c>
      <c r="J2356" s="49">
        <v>14522.849999999999</v>
      </c>
      <c r="K2356" s="58">
        <v>336.9</v>
      </c>
      <c r="L2356" s="58">
        <v>14232.93</v>
      </c>
      <c r="M2356" s="58">
        <v>2.6999999999999997</v>
      </c>
      <c r="N2356" s="58">
        <v>113.85000000000001</v>
      </c>
      <c r="O2356" s="58">
        <v>339.59999999999997</v>
      </c>
      <c r="P2356" s="53">
        <v>14346.78</v>
      </c>
      <c r="Q2356" s="65">
        <v>14346.78</v>
      </c>
      <c r="R2356" s="65">
        <v>0</v>
      </c>
      <c r="S2356" s="65">
        <v>113.85000000000001</v>
      </c>
      <c r="T2356" s="65">
        <v>0</v>
      </c>
      <c r="U2356" s="58">
        <v>1012</v>
      </c>
      <c r="V2356" s="65">
        <v>0</v>
      </c>
      <c r="W2356" s="65">
        <v>0</v>
      </c>
      <c r="X2356" s="65">
        <v>13222</v>
      </c>
      <c r="Y2356" s="65">
        <v>0</v>
      </c>
      <c r="Z2356" s="51">
        <v>0</v>
      </c>
      <c r="AA2356" s="51">
        <v>175</v>
      </c>
      <c r="AB2356" s="102">
        <v>0</v>
      </c>
      <c r="AC2356" s="81">
        <f t="shared" si="111"/>
        <v>291.28806437768247</v>
      </c>
      <c r="AD2356" s="82">
        <f t="shared" si="112"/>
        <v>49.928571428571423</v>
      </c>
      <c r="AE2356" s="218">
        <v>1.2123653415135315E-2</v>
      </c>
      <c r="AF2356">
        <v>4</v>
      </c>
      <c r="AH2356" t="str">
        <f t="shared" si="113"/>
        <v>Sahibpur Kamal</v>
      </c>
      <c r="AJ2356" s="72">
        <v>0</v>
      </c>
      <c r="AK2356" s="72"/>
      <c r="AL2356" s="72"/>
      <c r="AM2356" s="72"/>
    </row>
    <row r="2357" spans="1:39" x14ac:dyDescent="0.25">
      <c r="A2357" s="37" t="s">
        <v>62</v>
      </c>
      <c r="B2357" s="66" t="s">
        <v>1654</v>
      </c>
      <c r="C2357" s="41">
        <v>1054</v>
      </c>
      <c r="D2357" s="41" t="s">
        <v>808</v>
      </c>
      <c r="E2357" s="41">
        <v>10110093</v>
      </c>
      <c r="F2357" s="85" t="s">
        <v>475</v>
      </c>
      <c r="G2357" s="39" t="s">
        <v>92</v>
      </c>
      <c r="H2357" s="52" t="s">
        <v>93</v>
      </c>
      <c r="I2357" s="52">
        <v>472.4</v>
      </c>
      <c r="J2357" s="49">
        <v>18595.27</v>
      </c>
      <c r="K2357" s="58">
        <v>490.3</v>
      </c>
      <c r="L2357" s="58">
        <v>19733.54</v>
      </c>
      <c r="M2357" s="58">
        <v>12</v>
      </c>
      <c r="N2357" s="58">
        <v>478.9</v>
      </c>
      <c r="O2357" s="58">
        <v>502.3</v>
      </c>
      <c r="P2357" s="53">
        <v>20212.440000000002</v>
      </c>
      <c r="Q2357" s="65">
        <v>18595.27</v>
      </c>
      <c r="R2357" s="65">
        <v>0</v>
      </c>
      <c r="S2357" s="65">
        <v>478.9</v>
      </c>
      <c r="T2357" s="65">
        <v>1617.1700000000019</v>
      </c>
      <c r="U2357" s="58">
        <v>0</v>
      </c>
      <c r="V2357" s="65">
        <v>0</v>
      </c>
      <c r="W2357" s="65">
        <v>0</v>
      </c>
      <c r="X2357" s="65">
        <v>18116</v>
      </c>
      <c r="Y2357" s="65">
        <v>0</v>
      </c>
      <c r="Z2357" s="51">
        <v>0</v>
      </c>
      <c r="AA2357" s="51">
        <v>0</v>
      </c>
      <c r="AB2357" s="102">
        <v>0</v>
      </c>
      <c r="AC2357" s="81">
        <f t="shared" si="111"/>
        <v>179.18219525825575</v>
      </c>
      <c r="AD2357" s="82">
        <f t="shared" si="112"/>
        <v>67.48571428571428</v>
      </c>
      <c r="AE2357" s="218">
        <v>-8.6966739391253892E-2</v>
      </c>
      <c r="AF2357">
        <v>3</v>
      </c>
      <c r="AH2357" t="str">
        <f t="shared" si="113"/>
        <v xml:space="preserve">Alauli </v>
      </c>
      <c r="AJ2357" s="72">
        <v>0</v>
      </c>
      <c r="AK2357" s="72"/>
      <c r="AL2357" s="72"/>
      <c r="AM2357" s="72"/>
    </row>
    <row r="2358" spans="1:39" x14ac:dyDescent="0.25">
      <c r="A2358" s="37" t="s">
        <v>62</v>
      </c>
      <c r="B2358" s="66" t="s">
        <v>1654</v>
      </c>
      <c r="C2358" s="41">
        <v>1011</v>
      </c>
      <c r="D2358" s="41" t="s">
        <v>281</v>
      </c>
      <c r="E2358" s="41">
        <v>10110094</v>
      </c>
      <c r="F2358" s="85" t="s">
        <v>476</v>
      </c>
      <c r="G2358" s="39" t="s">
        <v>92</v>
      </c>
      <c r="H2358" s="52" t="s">
        <v>93</v>
      </c>
      <c r="I2358" s="52">
        <v>390.4</v>
      </c>
      <c r="J2358" s="49">
        <v>15463.449999999999</v>
      </c>
      <c r="K2358" s="58">
        <v>383.97999999999996</v>
      </c>
      <c r="L2358" s="58">
        <v>15294.77</v>
      </c>
      <c r="M2358" s="58">
        <v>5.9099999999999984</v>
      </c>
      <c r="N2358" s="58">
        <v>232.35000000000002</v>
      </c>
      <c r="O2358" s="58">
        <v>389.89</v>
      </c>
      <c r="P2358" s="53">
        <v>15527.12</v>
      </c>
      <c r="Q2358" s="65">
        <v>15463.449999999999</v>
      </c>
      <c r="R2358" s="65">
        <v>0</v>
      </c>
      <c r="S2358" s="65">
        <v>232.35000000000002</v>
      </c>
      <c r="T2358" s="65">
        <v>63.670000000001892</v>
      </c>
      <c r="U2358" s="58">
        <v>0</v>
      </c>
      <c r="V2358" s="65">
        <v>0</v>
      </c>
      <c r="W2358" s="65">
        <v>0</v>
      </c>
      <c r="X2358" s="65">
        <v>15231</v>
      </c>
      <c r="Y2358" s="65">
        <v>0</v>
      </c>
      <c r="Z2358" s="51">
        <v>0</v>
      </c>
      <c r="AA2358" s="51">
        <v>0</v>
      </c>
      <c r="AB2358" s="102">
        <v>0</v>
      </c>
      <c r="AC2358" s="81">
        <f t="shared" si="111"/>
        <v>245.26045696721314</v>
      </c>
      <c r="AD2358" s="82">
        <f t="shared" si="112"/>
        <v>55.771428571428565</v>
      </c>
      <c r="AE2358" s="218">
        <v>-4.1174511509399197E-3</v>
      </c>
      <c r="AF2358">
        <v>11</v>
      </c>
      <c r="AH2358" t="str">
        <f t="shared" si="113"/>
        <v>Sahibpur Kamal</v>
      </c>
      <c r="AJ2358" s="72">
        <v>0</v>
      </c>
      <c r="AK2358" s="72"/>
      <c r="AL2358" s="72"/>
      <c r="AM2358" s="72"/>
    </row>
    <row r="2359" spans="1:39" x14ac:dyDescent="0.25">
      <c r="A2359" s="37" t="s">
        <v>62</v>
      </c>
      <c r="B2359" s="66" t="s">
        <v>1654</v>
      </c>
      <c r="C2359" s="41">
        <v>1011</v>
      </c>
      <c r="D2359" s="41" t="s">
        <v>281</v>
      </c>
      <c r="E2359" s="41">
        <v>10110095</v>
      </c>
      <c r="F2359" s="85" t="s">
        <v>477</v>
      </c>
      <c r="G2359" s="39" t="s">
        <v>92</v>
      </c>
      <c r="H2359" s="52" t="s">
        <v>93</v>
      </c>
      <c r="I2359" s="52">
        <v>318.10000000000002</v>
      </c>
      <c r="J2359" s="49">
        <v>14753.380000000003</v>
      </c>
      <c r="K2359" s="58">
        <v>308.25999999999993</v>
      </c>
      <c r="L2359" s="58">
        <v>14576.460000000001</v>
      </c>
      <c r="M2359" s="58">
        <v>5.6099999999999994</v>
      </c>
      <c r="N2359" s="58">
        <v>256.60999999999996</v>
      </c>
      <c r="O2359" s="58">
        <v>313.86999999999995</v>
      </c>
      <c r="P2359" s="53">
        <v>14833.070000000002</v>
      </c>
      <c r="Q2359" s="65">
        <v>14753.380000000003</v>
      </c>
      <c r="R2359" s="65">
        <v>0</v>
      </c>
      <c r="S2359" s="65">
        <v>256.60999999999996</v>
      </c>
      <c r="T2359" s="65">
        <v>79.68999999999869</v>
      </c>
      <c r="U2359" s="58">
        <v>0</v>
      </c>
      <c r="V2359" s="65">
        <v>0</v>
      </c>
      <c r="W2359" s="65">
        <v>0</v>
      </c>
      <c r="X2359" s="65">
        <v>14496</v>
      </c>
      <c r="Y2359" s="65">
        <v>0</v>
      </c>
      <c r="Z2359" s="51">
        <v>0</v>
      </c>
      <c r="AA2359" s="51">
        <v>1</v>
      </c>
      <c r="AB2359" s="102">
        <v>0</v>
      </c>
      <c r="AC2359" s="81">
        <f t="shared" si="111"/>
        <v>354.24808689091486</v>
      </c>
      <c r="AD2359" s="82">
        <f t="shared" si="112"/>
        <v>45.442857142857143</v>
      </c>
      <c r="AE2359" s="218">
        <v>-5.4014741028834525E-3</v>
      </c>
      <c r="AF2359">
        <v>11</v>
      </c>
      <c r="AH2359" t="str">
        <f t="shared" si="113"/>
        <v>Sahibpur Kamal</v>
      </c>
      <c r="AJ2359" s="72">
        <v>0</v>
      </c>
      <c r="AK2359" s="72"/>
      <c r="AL2359" s="72"/>
      <c r="AM2359" s="72"/>
    </row>
    <row r="2360" spans="1:39" x14ac:dyDescent="0.25">
      <c r="A2360" s="37" t="s">
        <v>62</v>
      </c>
      <c r="B2360" s="66" t="s">
        <v>1654</v>
      </c>
      <c r="C2360" s="41">
        <v>1054</v>
      </c>
      <c r="D2360" s="41" t="s">
        <v>808</v>
      </c>
      <c r="E2360" s="41">
        <v>10110098</v>
      </c>
      <c r="F2360" s="85" t="s">
        <v>497</v>
      </c>
      <c r="G2360" s="39" t="s">
        <v>92</v>
      </c>
      <c r="H2360" s="52" t="s">
        <v>93</v>
      </c>
      <c r="I2360" s="52">
        <v>160.9</v>
      </c>
      <c r="J2360" s="49">
        <v>5954.54</v>
      </c>
      <c r="K2360" s="58">
        <v>0</v>
      </c>
      <c r="L2360" s="58">
        <v>0</v>
      </c>
      <c r="M2360" s="58">
        <v>160.9</v>
      </c>
      <c r="N2360" s="58">
        <v>5977.42</v>
      </c>
      <c r="O2360" s="58">
        <v>160.9</v>
      </c>
      <c r="P2360" s="53">
        <v>5977.42</v>
      </c>
      <c r="Q2360" s="65">
        <v>5954.54</v>
      </c>
      <c r="R2360" s="65">
        <v>0</v>
      </c>
      <c r="S2360" s="65">
        <v>0</v>
      </c>
      <c r="T2360" s="65">
        <v>22.880000000000109</v>
      </c>
      <c r="U2360" s="58">
        <v>0</v>
      </c>
      <c r="V2360" s="65">
        <v>0</v>
      </c>
      <c r="W2360" s="65">
        <v>0</v>
      </c>
      <c r="X2360" s="65">
        <v>0</v>
      </c>
      <c r="Y2360" s="65">
        <v>5970</v>
      </c>
      <c r="Z2360" s="51">
        <v>0</v>
      </c>
      <c r="AA2360" s="51">
        <v>-15</v>
      </c>
      <c r="AB2360" s="102" t="s">
        <v>1366</v>
      </c>
      <c r="AC2360" s="81">
        <f t="shared" si="111"/>
        <v>399.01709310130508</v>
      </c>
      <c r="AD2360" s="82">
        <f t="shared" si="112"/>
        <v>22.985714285714288</v>
      </c>
      <c r="AE2360" s="218">
        <v>-3.8424462678897293E-3</v>
      </c>
      <c r="AF2360">
        <v>1</v>
      </c>
      <c r="AH2360" t="str">
        <f t="shared" si="113"/>
        <v xml:space="preserve">Alauli </v>
      </c>
      <c r="AJ2360" s="72">
        <v>0</v>
      </c>
      <c r="AK2360" s="72"/>
      <c r="AL2360" s="72"/>
      <c r="AM2360" s="72"/>
    </row>
    <row r="2361" spans="1:39" x14ac:dyDescent="0.25">
      <c r="A2361" s="37" t="s">
        <v>62</v>
      </c>
      <c r="B2361" s="66" t="s">
        <v>1654</v>
      </c>
      <c r="C2361" s="41">
        <v>1054</v>
      </c>
      <c r="D2361" s="41" t="s">
        <v>808</v>
      </c>
      <c r="E2361" s="41">
        <v>10110100</v>
      </c>
      <c r="F2361" s="85" t="s">
        <v>498</v>
      </c>
      <c r="G2361" s="39" t="s">
        <v>92</v>
      </c>
      <c r="H2361" s="52" t="s">
        <v>93</v>
      </c>
      <c r="I2361" s="52">
        <v>3402.3999999999996</v>
      </c>
      <c r="J2361" s="49">
        <v>139702.12</v>
      </c>
      <c r="K2361" s="58">
        <v>3413.04</v>
      </c>
      <c r="L2361" s="58">
        <v>139898</v>
      </c>
      <c r="M2361" s="58">
        <v>0</v>
      </c>
      <c r="N2361" s="58">
        <v>0</v>
      </c>
      <c r="O2361" s="58">
        <v>3413.04</v>
      </c>
      <c r="P2361" s="53">
        <v>139898</v>
      </c>
      <c r="Q2361" s="65">
        <v>139702.12</v>
      </c>
      <c r="R2361" s="65">
        <v>0</v>
      </c>
      <c r="S2361" s="65">
        <v>0</v>
      </c>
      <c r="T2361" s="65">
        <v>195.88000000000466</v>
      </c>
      <c r="U2361" s="58">
        <v>0</v>
      </c>
      <c r="V2361" s="65">
        <v>0</v>
      </c>
      <c r="W2361" s="65">
        <v>0</v>
      </c>
      <c r="X2361" s="65">
        <v>139702</v>
      </c>
      <c r="Y2361" s="65">
        <v>0</v>
      </c>
      <c r="Z2361" s="51">
        <v>0</v>
      </c>
      <c r="AA2361" s="51">
        <v>0</v>
      </c>
      <c r="AB2361" s="102">
        <v>0</v>
      </c>
      <c r="AC2361" s="81">
        <f t="shared" si="111"/>
        <v>0</v>
      </c>
      <c r="AD2361" s="82">
        <f t="shared" si="112"/>
        <v>0</v>
      </c>
      <c r="AE2361" s="218">
        <v>-1.4021261810486818E-3</v>
      </c>
      <c r="AF2361">
        <v>18</v>
      </c>
      <c r="AH2361" t="str">
        <f t="shared" si="113"/>
        <v xml:space="preserve">Alauli </v>
      </c>
      <c r="AJ2361" s="72">
        <v>0</v>
      </c>
      <c r="AK2361" s="72"/>
      <c r="AL2361" s="72"/>
      <c r="AM2361" s="72"/>
    </row>
    <row r="2362" spans="1:39" x14ac:dyDescent="0.25">
      <c r="A2362" s="37" t="s">
        <v>62</v>
      </c>
      <c r="B2362" s="66" t="s">
        <v>1654</v>
      </c>
      <c r="C2362" s="41">
        <v>1054</v>
      </c>
      <c r="D2362" s="41" t="s">
        <v>808</v>
      </c>
      <c r="E2362" s="41">
        <v>10110101</v>
      </c>
      <c r="F2362" s="85" t="s">
        <v>508</v>
      </c>
      <c r="G2362" s="39" t="s">
        <v>92</v>
      </c>
      <c r="H2362" s="52" t="s">
        <v>93</v>
      </c>
      <c r="I2362" s="52">
        <v>275.8</v>
      </c>
      <c r="J2362" s="49">
        <v>12371.66</v>
      </c>
      <c r="K2362" s="58">
        <v>217.49</v>
      </c>
      <c r="L2362" s="58">
        <v>12373.28</v>
      </c>
      <c r="M2362" s="58">
        <v>0</v>
      </c>
      <c r="N2362" s="58">
        <v>0</v>
      </c>
      <c r="O2362" s="58">
        <v>217.49</v>
      </c>
      <c r="P2362" s="53">
        <v>12373.28</v>
      </c>
      <c r="Q2362" s="65">
        <v>12371.66</v>
      </c>
      <c r="R2362" s="65">
        <v>0</v>
      </c>
      <c r="S2362" s="65">
        <v>0</v>
      </c>
      <c r="T2362" s="65">
        <v>1.6200000000008004</v>
      </c>
      <c r="U2362" s="58">
        <v>0</v>
      </c>
      <c r="V2362" s="65">
        <v>0</v>
      </c>
      <c r="W2362" s="65">
        <v>0</v>
      </c>
      <c r="X2362" s="65">
        <v>12372</v>
      </c>
      <c r="Y2362" s="65">
        <v>0</v>
      </c>
      <c r="Z2362" s="51">
        <v>0</v>
      </c>
      <c r="AA2362" s="51">
        <v>0</v>
      </c>
      <c r="AB2362" s="102">
        <v>0</v>
      </c>
      <c r="AC2362" s="81">
        <f t="shared" si="111"/>
        <v>380.56984568527918</v>
      </c>
      <c r="AD2362" s="82">
        <f t="shared" si="112"/>
        <v>39.4</v>
      </c>
      <c r="AE2362" s="218">
        <v>-1.3094443267926861E-4</v>
      </c>
      <c r="AF2362">
        <v>9</v>
      </c>
      <c r="AH2362" t="str">
        <f t="shared" si="113"/>
        <v xml:space="preserve">Alauli </v>
      </c>
      <c r="AJ2362" s="72">
        <v>0</v>
      </c>
      <c r="AK2362" s="72"/>
      <c r="AL2362" s="72"/>
      <c r="AM2362" s="72"/>
    </row>
    <row r="2363" spans="1:39" x14ac:dyDescent="0.25">
      <c r="A2363" s="37" t="s">
        <v>62</v>
      </c>
      <c r="B2363" s="66" t="s">
        <v>1654</v>
      </c>
      <c r="C2363" s="41">
        <v>1011</v>
      </c>
      <c r="D2363" s="41" t="s">
        <v>281</v>
      </c>
      <c r="E2363" s="41">
        <v>10110106</v>
      </c>
      <c r="F2363" s="85" t="s">
        <v>606</v>
      </c>
      <c r="G2363" s="39" t="s">
        <v>92</v>
      </c>
      <c r="H2363" s="52" t="s">
        <v>93</v>
      </c>
      <c r="I2363" s="52">
        <v>6881.4</v>
      </c>
      <c r="J2363" s="49">
        <v>281628.58999999997</v>
      </c>
      <c r="K2363" s="58">
        <v>1129.3800000000001</v>
      </c>
      <c r="L2363" s="58">
        <v>45897.950000000004</v>
      </c>
      <c r="M2363" s="58">
        <v>5746.26</v>
      </c>
      <c r="N2363" s="58">
        <v>235798.94000000003</v>
      </c>
      <c r="O2363" s="58">
        <v>6875.64</v>
      </c>
      <c r="P2363" s="53">
        <v>281696.89</v>
      </c>
      <c r="Q2363" s="65">
        <v>281628.58999999997</v>
      </c>
      <c r="R2363" s="65">
        <v>0</v>
      </c>
      <c r="S2363" s="65">
        <v>542.43999999999994</v>
      </c>
      <c r="T2363" s="65">
        <v>68.300000000046566</v>
      </c>
      <c r="U2363" s="58">
        <v>0</v>
      </c>
      <c r="V2363" s="65">
        <v>0</v>
      </c>
      <c r="W2363" s="65">
        <v>0</v>
      </c>
      <c r="X2363" s="65">
        <v>45831</v>
      </c>
      <c r="Y2363" s="65">
        <v>235255</v>
      </c>
      <c r="Z2363" s="51">
        <v>0</v>
      </c>
      <c r="AA2363" s="51">
        <v>0</v>
      </c>
      <c r="AB2363" s="102">
        <v>0</v>
      </c>
      <c r="AC2363" s="81">
        <f t="shared" si="111"/>
        <v>0</v>
      </c>
      <c r="AD2363" s="82">
        <f t="shared" si="112"/>
        <v>0</v>
      </c>
      <c r="AE2363" s="218">
        <v>-2.4251799151516035E-4</v>
      </c>
      <c r="AF2363">
        <v>22</v>
      </c>
      <c r="AH2363" t="str">
        <f t="shared" si="113"/>
        <v>Sahibpur Kamal</v>
      </c>
      <c r="AJ2363" s="72">
        <v>0</v>
      </c>
      <c r="AK2363" s="72"/>
      <c r="AL2363" s="72"/>
      <c r="AM2363" s="72"/>
    </row>
    <row r="2364" spans="1:39" x14ac:dyDescent="0.25">
      <c r="A2364" s="37" t="s">
        <v>62</v>
      </c>
      <c r="B2364" s="66" t="s">
        <v>1654</v>
      </c>
      <c r="C2364" s="41">
        <v>1054</v>
      </c>
      <c r="D2364" s="41" t="s">
        <v>808</v>
      </c>
      <c r="E2364" s="41">
        <v>10110109</v>
      </c>
      <c r="F2364" s="85" t="s">
        <v>1297</v>
      </c>
      <c r="G2364" s="39" t="s">
        <v>92</v>
      </c>
      <c r="H2364" s="52" t="s">
        <v>93</v>
      </c>
      <c r="I2364" s="52">
        <v>799.2</v>
      </c>
      <c r="J2364" s="49">
        <v>30950.240000000002</v>
      </c>
      <c r="K2364" s="58">
        <v>784.75999999999988</v>
      </c>
      <c r="L2364" s="58">
        <v>30891.46</v>
      </c>
      <c r="M2364" s="58">
        <v>1.4100000000000001</v>
      </c>
      <c r="N2364" s="58">
        <v>55.110000000000007</v>
      </c>
      <c r="O2364" s="58">
        <v>786.16999999999985</v>
      </c>
      <c r="P2364" s="53">
        <v>30946.57</v>
      </c>
      <c r="Q2364" s="65">
        <v>30946.57</v>
      </c>
      <c r="R2364" s="65">
        <v>0</v>
      </c>
      <c r="S2364" s="65">
        <v>55.110000000000007</v>
      </c>
      <c r="T2364" s="65">
        <v>0</v>
      </c>
      <c r="U2364" s="58">
        <v>0</v>
      </c>
      <c r="V2364" s="65">
        <v>0</v>
      </c>
      <c r="W2364" s="65">
        <v>0</v>
      </c>
      <c r="X2364" s="65">
        <v>30892</v>
      </c>
      <c r="Y2364" s="65">
        <v>0</v>
      </c>
      <c r="Z2364" s="51">
        <v>0</v>
      </c>
      <c r="AA2364" s="51">
        <v>3</v>
      </c>
      <c r="AB2364" s="102">
        <v>0</v>
      </c>
      <c r="AC2364" s="81">
        <f t="shared" si="111"/>
        <v>0</v>
      </c>
      <c r="AD2364" s="82">
        <f t="shared" si="112"/>
        <v>0</v>
      </c>
      <c r="AE2364" s="218">
        <v>1.1857743267909688E-4</v>
      </c>
      <c r="AF2364">
        <v>5</v>
      </c>
      <c r="AH2364" t="str">
        <f t="shared" si="113"/>
        <v xml:space="preserve">Alauli </v>
      </c>
      <c r="AJ2364" s="72">
        <v>0</v>
      </c>
      <c r="AK2364" s="72"/>
      <c r="AL2364" s="72"/>
      <c r="AM2364" s="72"/>
    </row>
    <row r="2365" spans="1:39" x14ac:dyDescent="0.25">
      <c r="A2365" s="37" t="s">
        <v>62</v>
      </c>
      <c r="B2365" s="66" t="s">
        <v>1654</v>
      </c>
      <c r="C2365" s="41">
        <v>1055</v>
      </c>
      <c r="D2365" s="41" t="s">
        <v>1125</v>
      </c>
      <c r="E2365" s="41">
        <v>10110110</v>
      </c>
      <c r="F2365" s="85" t="s">
        <v>572</v>
      </c>
      <c r="G2365" s="39" t="s">
        <v>92</v>
      </c>
      <c r="H2365" s="52" t="s">
        <v>93</v>
      </c>
      <c r="I2365" s="52">
        <v>49.5</v>
      </c>
      <c r="J2365" s="49">
        <v>2080.8199999999997</v>
      </c>
      <c r="K2365" s="58">
        <v>53.300000000000004</v>
      </c>
      <c r="L2365" s="58">
        <v>2205.6600000000008</v>
      </c>
      <c r="M2365" s="58">
        <v>0</v>
      </c>
      <c r="N2365" s="58">
        <v>0</v>
      </c>
      <c r="O2365" s="58">
        <v>53.300000000000004</v>
      </c>
      <c r="P2365" s="53">
        <v>2205.6600000000008</v>
      </c>
      <c r="Q2365" s="65">
        <v>2080.8199999999997</v>
      </c>
      <c r="R2365" s="65">
        <v>0</v>
      </c>
      <c r="S2365" s="65">
        <v>0</v>
      </c>
      <c r="T2365" s="65">
        <v>124.84000000000106</v>
      </c>
      <c r="U2365" s="58">
        <v>0</v>
      </c>
      <c r="V2365" s="65">
        <v>500</v>
      </c>
      <c r="W2365" s="65">
        <v>0</v>
      </c>
      <c r="X2365" s="65">
        <v>1581</v>
      </c>
      <c r="Y2365" s="65">
        <v>0</v>
      </c>
      <c r="Z2365" s="51">
        <v>0</v>
      </c>
      <c r="AA2365" s="51">
        <v>0</v>
      </c>
      <c r="AB2365" s="102">
        <v>0</v>
      </c>
      <c r="AC2365" s="81">
        <f t="shared" si="111"/>
        <v>546.89834747474742</v>
      </c>
      <c r="AD2365" s="82">
        <f t="shared" si="112"/>
        <v>7.0714285714285712</v>
      </c>
      <c r="AE2365" s="218">
        <v>-5.9995578666103305E-2</v>
      </c>
      <c r="AF2365">
        <v>2</v>
      </c>
      <c r="AH2365" t="str">
        <f t="shared" si="113"/>
        <v>Matihani</v>
      </c>
      <c r="AJ2365" s="72">
        <v>500</v>
      </c>
      <c r="AK2365" s="72"/>
      <c r="AL2365" s="72"/>
      <c r="AM2365" s="72"/>
    </row>
    <row r="2366" spans="1:39" x14ac:dyDescent="0.25">
      <c r="A2366" s="37" t="s">
        <v>62</v>
      </c>
      <c r="B2366" s="66" t="s">
        <v>1654</v>
      </c>
      <c r="C2366" s="41">
        <v>1055</v>
      </c>
      <c r="D2366" s="41" t="s">
        <v>1125</v>
      </c>
      <c r="E2366" s="41">
        <v>10110111</v>
      </c>
      <c r="F2366" s="85" t="s">
        <v>549</v>
      </c>
      <c r="G2366" s="39" t="s">
        <v>92</v>
      </c>
      <c r="H2366" s="52" t="s">
        <v>93</v>
      </c>
      <c r="I2366" s="52">
        <v>118.19999999999999</v>
      </c>
      <c r="J2366" s="49">
        <v>6408.0400000000009</v>
      </c>
      <c r="K2366" s="58">
        <v>118.21999999999997</v>
      </c>
      <c r="L2366" s="58">
        <v>6511.97</v>
      </c>
      <c r="M2366" s="58">
        <v>2.2600000000000002</v>
      </c>
      <c r="N2366" s="58">
        <v>138.22</v>
      </c>
      <c r="O2366" s="58">
        <v>120.47999999999998</v>
      </c>
      <c r="P2366" s="53">
        <v>6650.1900000000005</v>
      </c>
      <c r="Q2366" s="65">
        <v>6408.0400000000009</v>
      </c>
      <c r="R2366" s="65">
        <v>0</v>
      </c>
      <c r="S2366" s="65">
        <v>138.22</v>
      </c>
      <c r="T2366" s="65">
        <v>242.14999999999964</v>
      </c>
      <c r="U2366" s="58">
        <v>0</v>
      </c>
      <c r="V2366" s="65">
        <v>0</v>
      </c>
      <c r="W2366" s="65">
        <v>0</v>
      </c>
      <c r="X2366" s="65">
        <v>6270</v>
      </c>
      <c r="Y2366" s="65">
        <v>0</v>
      </c>
      <c r="Z2366" s="51">
        <v>0</v>
      </c>
      <c r="AA2366" s="51">
        <v>0</v>
      </c>
      <c r="AB2366" s="102">
        <v>0</v>
      </c>
      <c r="AC2366" s="81">
        <f t="shared" ref="AC2366:AC2429" si="114">((IF(AD2366=0,0,100-AD2366))*7*(J2366/I2366))*2%</f>
        <v>630.82870930626075</v>
      </c>
      <c r="AD2366" s="82">
        <f t="shared" ref="AD2366:AD2429" si="115">IF((I2366/7)&gt;100,0,(I2366/7))</f>
        <v>16.885714285714283</v>
      </c>
      <c r="AE2366" s="218">
        <v>-3.7788465739914172E-2</v>
      </c>
      <c r="AF2366">
        <v>4</v>
      </c>
      <c r="AH2366" t="str">
        <f t="shared" si="113"/>
        <v>Matihani</v>
      </c>
      <c r="AJ2366" s="72">
        <v>0</v>
      </c>
      <c r="AK2366" s="72"/>
      <c r="AL2366" s="72"/>
      <c r="AM2366" s="72"/>
    </row>
    <row r="2367" spans="1:39" x14ac:dyDescent="0.25">
      <c r="A2367" s="37" t="s">
        <v>62</v>
      </c>
      <c r="B2367" s="66" t="s">
        <v>1654</v>
      </c>
      <c r="C2367" s="41">
        <v>1054</v>
      </c>
      <c r="D2367" s="41" t="s">
        <v>808</v>
      </c>
      <c r="E2367" s="41">
        <v>10110112</v>
      </c>
      <c r="F2367" s="85" t="s">
        <v>694</v>
      </c>
      <c r="G2367" s="39" t="s">
        <v>92</v>
      </c>
      <c r="H2367" s="52" t="s">
        <v>93</v>
      </c>
      <c r="I2367" s="52">
        <v>191.8</v>
      </c>
      <c r="J2367" s="49">
        <v>7206.77</v>
      </c>
      <c r="K2367" s="58">
        <v>192.8</v>
      </c>
      <c r="L2367" s="58">
        <v>8201.7099999999991</v>
      </c>
      <c r="M2367" s="58">
        <v>0</v>
      </c>
      <c r="N2367" s="58">
        <v>0</v>
      </c>
      <c r="O2367" s="58">
        <v>192.8</v>
      </c>
      <c r="P2367" s="53">
        <v>8201.7099999999991</v>
      </c>
      <c r="Q2367" s="65">
        <v>7206.77</v>
      </c>
      <c r="R2367" s="65">
        <v>0</v>
      </c>
      <c r="S2367" s="65">
        <v>0</v>
      </c>
      <c r="T2367" s="65">
        <v>994.93999999999869</v>
      </c>
      <c r="U2367" s="58">
        <v>0</v>
      </c>
      <c r="V2367" s="65">
        <v>500</v>
      </c>
      <c r="W2367" s="65">
        <v>0</v>
      </c>
      <c r="X2367" s="65">
        <v>6707</v>
      </c>
      <c r="Y2367" s="65">
        <v>0</v>
      </c>
      <c r="Z2367" s="51">
        <v>0</v>
      </c>
      <c r="AA2367" s="51">
        <v>0</v>
      </c>
      <c r="AB2367" s="102">
        <v>0</v>
      </c>
      <c r="AC2367" s="81">
        <f t="shared" si="114"/>
        <v>381.90620583941603</v>
      </c>
      <c r="AD2367" s="82">
        <f t="shared" si="115"/>
        <v>27.400000000000002</v>
      </c>
      <c r="AE2367" s="218">
        <v>-0.13805629984028886</v>
      </c>
      <c r="AF2367">
        <v>1</v>
      </c>
      <c r="AH2367" t="str">
        <f t="shared" si="113"/>
        <v xml:space="preserve">Alauli </v>
      </c>
      <c r="AJ2367" s="72">
        <v>500</v>
      </c>
      <c r="AK2367" s="72"/>
      <c r="AL2367" s="72"/>
      <c r="AM2367" s="72"/>
    </row>
    <row r="2368" spans="1:39" x14ac:dyDescent="0.25">
      <c r="A2368" s="37" t="s">
        <v>62</v>
      </c>
      <c r="B2368" s="66" t="s">
        <v>1654</v>
      </c>
      <c r="C2368" s="41">
        <v>1054</v>
      </c>
      <c r="D2368" s="41" t="s">
        <v>808</v>
      </c>
      <c r="E2368" s="41">
        <v>10110114</v>
      </c>
      <c r="F2368" s="85" t="s">
        <v>573</v>
      </c>
      <c r="G2368" s="39" t="s">
        <v>92</v>
      </c>
      <c r="H2368" s="52" t="s">
        <v>93</v>
      </c>
      <c r="I2368" s="52">
        <v>316.10000000000002</v>
      </c>
      <c r="J2368" s="49">
        <v>12944.720000000001</v>
      </c>
      <c r="K2368" s="58">
        <v>317.95</v>
      </c>
      <c r="L2368" s="58">
        <v>12943.03</v>
      </c>
      <c r="M2368" s="58">
        <v>0</v>
      </c>
      <c r="N2368" s="58">
        <v>0</v>
      </c>
      <c r="O2368" s="58">
        <v>317.95</v>
      </c>
      <c r="P2368" s="53">
        <v>12943.03</v>
      </c>
      <c r="Q2368" s="65">
        <v>12943.03</v>
      </c>
      <c r="R2368" s="65">
        <v>0</v>
      </c>
      <c r="S2368" s="65">
        <v>0</v>
      </c>
      <c r="T2368" s="65">
        <v>0</v>
      </c>
      <c r="U2368" s="58">
        <v>0</v>
      </c>
      <c r="V2368" s="65">
        <v>0</v>
      </c>
      <c r="W2368" s="65">
        <v>0</v>
      </c>
      <c r="X2368" s="65">
        <v>12943</v>
      </c>
      <c r="Y2368" s="65">
        <v>0</v>
      </c>
      <c r="Z2368" s="51">
        <v>0</v>
      </c>
      <c r="AA2368" s="51">
        <v>2</v>
      </c>
      <c r="AB2368" s="102">
        <v>0</v>
      </c>
      <c r="AC2368" s="81">
        <f t="shared" si="114"/>
        <v>314.42442315722872</v>
      </c>
      <c r="AD2368" s="82">
        <f t="shared" si="115"/>
        <v>45.157142857142858</v>
      </c>
      <c r="AE2368" s="218">
        <v>1.305551607142147E-4</v>
      </c>
      <c r="AF2368">
        <v>2</v>
      </c>
      <c r="AH2368" t="str">
        <f t="shared" si="113"/>
        <v xml:space="preserve">Alauli </v>
      </c>
      <c r="AJ2368" s="72">
        <v>0</v>
      </c>
      <c r="AK2368" s="72"/>
      <c r="AL2368" s="72"/>
      <c r="AM2368" s="72"/>
    </row>
    <row r="2369" spans="1:39" x14ac:dyDescent="0.25">
      <c r="A2369" s="37" t="s">
        <v>62</v>
      </c>
      <c r="B2369" s="66" t="s">
        <v>1654</v>
      </c>
      <c r="C2369" s="41">
        <v>1054</v>
      </c>
      <c r="D2369" s="41" t="s">
        <v>808</v>
      </c>
      <c r="E2369" s="41">
        <v>10110116</v>
      </c>
      <c r="F2369" s="85" t="s">
        <v>531</v>
      </c>
      <c r="G2369" s="39" t="s">
        <v>92</v>
      </c>
      <c r="H2369" s="52" t="s">
        <v>93</v>
      </c>
      <c r="I2369" s="52">
        <v>823.8</v>
      </c>
      <c r="J2369" s="49">
        <v>31374.780000000006</v>
      </c>
      <c r="K2369" s="58">
        <v>408.6</v>
      </c>
      <c r="L2369" s="58">
        <v>15606.920000000002</v>
      </c>
      <c r="M2369" s="58">
        <v>414</v>
      </c>
      <c r="N2369" s="58">
        <v>15765.6</v>
      </c>
      <c r="O2369" s="58">
        <v>822.6</v>
      </c>
      <c r="P2369" s="53">
        <v>31372.520000000004</v>
      </c>
      <c r="Q2369" s="65">
        <v>31372.520000000004</v>
      </c>
      <c r="R2369" s="65">
        <v>0</v>
      </c>
      <c r="S2369" s="65">
        <v>0</v>
      </c>
      <c r="T2369" s="65">
        <v>0</v>
      </c>
      <c r="U2369" s="58">
        <v>0</v>
      </c>
      <c r="V2369" s="65">
        <v>0</v>
      </c>
      <c r="W2369" s="65">
        <v>0</v>
      </c>
      <c r="X2369" s="65">
        <v>15606</v>
      </c>
      <c r="Y2369" s="65">
        <v>15768</v>
      </c>
      <c r="Z2369" s="51">
        <v>0</v>
      </c>
      <c r="AA2369" s="51">
        <v>1</v>
      </c>
      <c r="AB2369" s="102">
        <v>0</v>
      </c>
      <c r="AC2369" s="81">
        <f t="shared" si="114"/>
        <v>0</v>
      </c>
      <c r="AD2369" s="82">
        <f t="shared" si="115"/>
        <v>0</v>
      </c>
      <c r="AE2369" s="218">
        <v>7.2032377597613012E-5</v>
      </c>
      <c r="AF2369">
        <v>10</v>
      </c>
      <c r="AH2369" t="str">
        <f t="shared" si="113"/>
        <v xml:space="preserve">Alauli </v>
      </c>
      <c r="AJ2369" s="72">
        <v>0</v>
      </c>
      <c r="AK2369" s="72"/>
      <c r="AL2369" s="72"/>
      <c r="AM2369" s="72"/>
    </row>
    <row r="2370" spans="1:39" x14ac:dyDescent="0.25">
      <c r="A2370" s="37" t="s">
        <v>62</v>
      </c>
      <c r="B2370" s="66" t="s">
        <v>1654</v>
      </c>
      <c r="C2370" s="41">
        <v>1054</v>
      </c>
      <c r="D2370" s="41" t="s">
        <v>808</v>
      </c>
      <c r="E2370" s="41">
        <v>10110118</v>
      </c>
      <c r="F2370" s="85" t="s">
        <v>575</v>
      </c>
      <c r="G2370" s="39" t="s">
        <v>92</v>
      </c>
      <c r="H2370" s="52" t="s">
        <v>93</v>
      </c>
      <c r="I2370" s="52">
        <v>483.7</v>
      </c>
      <c r="J2370" s="49">
        <v>20032.38</v>
      </c>
      <c r="K2370" s="58">
        <v>229.40000000000003</v>
      </c>
      <c r="L2370" s="58">
        <v>9792.9400000000023</v>
      </c>
      <c r="M2370" s="58">
        <v>266.15000000000003</v>
      </c>
      <c r="N2370" s="58">
        <v>10240.730000000001</v>
      </c>
      <c r="O2370" s="58">
        <v>495.55000000000007</v>
      </c>
      <c r="P2370" s="53">
        <v>20033.670000000006</v>
      </c>
      <c r="Q2370" s="65">
        <v>20032.38</v>
      </c>
      <c r="R2370" s="65">
        <v>0</v>
      </c>
      <c r="S2370" s="65">
        <v>405.7</v>
      </c>
      <c r="T2370" s="65">
        <v>1.2900000000045111</v>
      </c>
      <c r="U2370" s="58">
        <v>0</v>
      </c>
      <c r="V2370" s="65">
        <v>0</v>
      </c>
      <c r="W2370" s="65">
        <v>0</v>
      </c>
      <c r="X2370" s="65">
        <v>9790</v>
      </c>
      <c r="Y2370" s="65">
        <v>9836</v>
      </c>
      <c r="Z2370" s="51">
        <v>0</v>
      </c>
      <c r="AA2370" s="51">
        <v>1</v>
      </c>
      <c r="AB2370" s="102">
        <v>0</v>
      </c>
      <c r="AC2370" s="81">
        <f t="shared" si="114"/>
        <v>179.16079363241684</v>
      </c>
      <c r="AD2370" s="82">
        <f t="shared" si="115"/>
        <v>69.099999999999994</v>
      </c>
      <c r="AE2370" s="218">
        <v>-6.4395743291836063E-5</v>
      </c>
      <c r="AF2370">
        <v>11</v>
      </c>
      <c r="AH2370" t="str">
        <f t="shared" si="113"/>
        <v xml:space="preserve">Alauli </v>
      </c>
      <c r="AJ2370" s="72">
        <v>0</v>
      </c>
      <c r="AK2370" s="72"/>
      <c r="AL2370" s="72"/>
      <c r="AM2370" s="72"/>
    </row>
    <row r="2371" spans="1:39" x14ac:dyDescent="0.25">
      <c r="A2371" s="37" t="s">
        <v>62</v>
      </c>
      <c r="B2371" s="66" t="s">
        <v>1654</v>
      </c>
      <c r="C2371" s="41">
        <v>1054</v>
      </c>
      <c r="D2371" s="41" t="s">
        <v>808</v>
      </c>
      <c r="E2371" s="41">
        <v>10110119</v>
      </c>
      <c r="F2371" s="85" t="s">
        <v>576</v>
      </c>
      <c r="G2371" s="39" t="s">
        <v>92</v>
      </c>
      <c r="H2371" s="52" t="s">
        <v>93</v>
      </c>
      <c r="I2371" s="52">
        <v>410.4</v>
      </c>
      <c r="J2371" s="49">
        <v>15497.25</v>
      </c>
      <c r="K2371" s="58">
        <v>424.83000000000004</v>
      </c>
      <c r="L2371" s="58">
        <v>15496.069999999998</v>
      </c>
      <c r="M2371" s="58">
        <v>0</v>
      </c>
      <c r="N2371" s="58">
        <v>0</v>
      </c>
      <c r="O2371" s="58">
        <v>424.83000000000004</v>
      </c>
      <c r="P2371" s="53">
        <v>15496.069999999998</v>
      </c>
      <c r="Q2371" s="65">
        <v>15496.069999999998</v>
      </c>
      <c r="R2371" s="65">
        <v>0</v>
      </c>
      <c r="S2371" s="65">
        <v>0</v>
      </c>
      <c r="T2371" s="65">
        <v>0</v>
      </c>
      <c r="U2371" s="58">
        <v>0</v>
      </c>
      <c r="V2371" s="65">
        <v>0</v>
      </c>
      <c r="W2371" s="65">
        <v>0</v>
      </c>
      <c r="X2371" s="65">
        <v>15497</v>
      </c>
      <c r="Y2371" s="65">
        <v>0</v>
      </c>
      <c r="Z2371" s="51">
        <v>0</v>
      </c>
      <c r="AA2371" s="51">
        <v>0</v>
      </c>
      <c r="AB2371" s="102">
        <v>0</v>
      </c>
      <c r="AC2371" s="81">
        <f t="shared" si="114"/>
        <v>218.71362573099418</v>
      </c>
      <c r="AD2371" s="82">
        <f t="shared" si="115"/>
        <v>58.628571428571426</v>
      </c>
      <c r="AE2371" s="218">
        <v>7.6142541418774943E-5</v>
      </c>
      <c r="AF2371">
        <v>14</v>
      </c>
      <c r="AH2371" t="str">
        <f t="shared" si="113"/>
        <v xml:space="preserve">Alauli </v>
      </c>
      <c r="AJ2371" s="72">
        <v>0</v>
      </c>
      <c r="AK2371" s="72"/>
      <c r="AL2371" s="72"/>
      <c r="AM2371" s="72"/>
    </row>
    <row r="2372" spans="1:39" x14ac:dyDescent="0.25">
      <c r="A2372" s="37" t="s">
        <v>62</v>
      </c>
      <c r="B2372" s="66" t="s">
        <v>1654</v>
      </c>
      <c r="C2372" s="41">
        <v>1054</v>
      </c>
      <c r="D2372" s="41" t="s">
        <v>808</v>
      </c>
      <c r="E2372" s="41">
        <v>10110120</v>
      </c>
      <c r="F2372" s="85" t="s">
        <v>810</v>
      </c>
      <c r="G2372" s="39" t="s">
        <v>92</v>
      </c>
      <c r="H2372" s="52" t="s">
        <v>93</v>
      </c>
      <c r="I2372" s="52">
        <v>946.29999999999984</v>
      </c>
      <c r="J2372" s="49">
        <v>44190.47</v>
      </c>
      <c r="K2372" s="58">
        <v>30.300000000000008</v>
      </c>
      <c r="L2372" s="58">
        <v>1409.92</v>
      </c>
      <c r="M2372" s="58">
        <v>917</v>
      </c>
      <c r="N2372" s="58">
        <v>42824.739999999991</v>
      </c>
      <c r="O2372" s="58">
        <v>947.3</v>
      </c>
      <c r="P2372" s="53">
        <v>44234.659999999989</v>
      </c>
      <c r="Q2372" s="65">
        <v>44190.47</v>
      </c>
      <c r="R2372" s="65">
        <v>0</v>
      </c>
      <c r="S2372" s="65">
        <v>0</v>
      </c>
      <c r="T2372" s="65">
        <v>44.189999999987776</v>
      </c>
      <c r="U2372" s="58">
        <v>0</v>
      </c>
      <c r="V2372" s="65">
        <v>0</v>
      </c>
      <c r="W2372" s="65">
        <v>0</v>
      </c>
      <c r="X2372" s="65">
        <v>1364</v>
      </c>
      <c r="Y2372" s="65">
        <v>42826</v>
      </c>
      <c r="Z2372" s="51">
        <v>0</v>
      </c>
      <c r="AA2372" s="51">
        <v>0</v>
      </c>
      <c r="AB2372" s="102">
        <v>0</v>
      </c>
      <c r="AC2372" s="81">
        <f t="shared" si="114"/>
        <v>0</v>
      </c>
      <c r="AD2372" s="82">
        <f t="shared" si="115"/>
        <v>0</v>
      </c>
      <c r="AE2372" s="218">
        <v>-9.999893642223714E-4</v>
      </c>
      <c r="AF2372">
        <v>10</v>
      </c>
      <c r="AH2372" t="str">
        <f t="shared" si="113"/>
        <v xml:space="preserve">Alauli </v>
      </c>
      <c r="AJ2372" s="72">
        <v>0</v>
      </c>
      <c r="AK2372" s="72"/>
      <c r="AL2372" s="72"/>
      <c r="AM2372" s="72"/>
    </row>
    <row r="2373" spans="1:39" x14ac:dyDescent="0.25">
      <c r="A2373" s="37" t="s">
        <v>62</v>
      </c>
      <c r="B2373" s="66" t="s">
        <v>1654</v>
      </c>
      <c r="C2373" s="41">
        <v>1054</v>
      </c>
      <c r="D2373" s="41" t="s">
        <v>808</v>
      </c>
      <c r="E2373" s="41">
        <v>10110121</v>
      </c>
      <c r="F2373" s="85" t="s">
        <v>577</v>
      </c>
      <c r="G2373" s="39" t="s">
        <v>92</v>
      </c>
      <c r="H2373" s="52" t="s">
        <v>93</v>
      </c>
      <c r="I2373" s="52">
        <v>346.3</v>
      </c>
      <c r="J2373" s="49">
        <v>13565.81</v>
      </c>
      <c r="K2373" s="58">
        <v>348.69</v>
      </c>
      <c r="L2373" s="58">
        <v>13914.359999999999</v>
      </c>
      <c r="M2373" s="58">
        <v>25.66</v>
      </c>
      <c r="N2373" s="58">
        <v>1005.87</v>
      </c>
      <c r="O2373" s="58">
        <v>374.35</v>
      </c>
      <c r="P2373" s="53">
        <v>14920.23</v>
      </c>
      <c r="Q2373" s="65">
        <v>13565.81</v>
      </c>
      <c r="R2373" s="65">
        <v>0</v>
      </c>
      <c r="S2373" s="65">
        <v>1005.87</v>
      </c>
      <c r="T2373" s="65">
        <v>1354.42</v>
      </c>
      <c r="U2373" s="58">
        <v>0</v>
      </c>
      <c r="V2373" s="65">
        <v>0</v>
      </c>
      <c r="W2373" s="65">
        <v>0</v>
      </c>
      <c r="X2373" s="65">
        <v>12560</v>
      </c>
      <c r="Y2373" s="65">
        <v>0</v>
      </c>
      <c r="Z2373" s="51">
        <v>0</v>
      </c>
      <c r="AA2373" s="51">
        <v>0</v>
      </c>
      <c r="AB2373" s="102">
        <v>0</v>
      </c>
      <c r="AC2373" s="81">
        <f t="shared" si="114"/>
        <v>277.11388951775916</v>
      </c>
      <c r="AD2373" s="82">
        <f t="shared" si="115"/>
        <v>49.471428571428575</v>
      </c>
      <c r="AE2373" s="218">
        <v>-9.9840702471876E-2</v>
      </c>
      <c r="AF2373">
        <v>2</v>
      </c>
      <c r="AH2373" t="str">
        <f t="shared" ref="AH2373:AH2436" si="116">TEXT(D2373,"0000")</f>
        <v xml:space="preserve">Alauli </v>
      </c>
      <c r="AJ2373" s="72">
        <v>0</v>
      </c>
      <c r="AK2373" s="72"/>
      <c r="AL2373" s="72"/>
      <c r="AM2373" s="72"/>
    </row>
    <row r="2374" spans="1:39" x14ac:dyDescent="0.25">
      <c r="A2374" s="37" t="s">
        <v>62</v>
      </c>
      <c r="B2374" s="66" t="s">
        <v>1654</v>
      </c>
      <c r="C2374" s="41">
        <v>1055</v>
      </c>
      <c r="D2374" s="41" t="s">
        <v>1125</v>
      </c>
      <c r="E2374" s="41">
        <v>10110123</v>
      </c>
      <c r="F2374" s="85" t="s">
        <v>578</v>
      </c>
      <c r="G2374" s="39" t="s">
        <v>92</v>
      </c>
      <c r="H2374" s="52" t="s">
        <v>93</v>
      </c>
      <c r="I2374" s="52">
        <v>888.30000000000007</v>
      </c>
      <c r="J2374" s="49">
        <v>37116.829999999994</v>
      </c>
      <c r="K2374" s="58">
        <v>902.32000000000016</v>
      </c>
      <c r="L2374" s="58">
        <v>36861.929999999993</v>
      </c>
      <c r="M2374" s="58">
        <v>11.7</v>
      </c>
      <c r="N2374" s="58">
        <v>467.30999999999995</v>
      </c>
      <c r="O2374" s="58">
        <v>914.02000000000021</v>
      </c>
      <c r="P2374" s="53">
        <v>37329.239999999991</v>
      </c>
      <c r="Q2374" s="65">
        <v>37116.829999999994</v>
      </c>
      <c r="R2374" s="65">
        <v>0</v>
      </c>
      <c r="S2374" s="65">
        <v>467.30999999999995</v>
      </c>
      <c r="T2374" s="65">
        <v>212.40999999999622</v>
      </c>
      <c r="U2374" s="58">
        <v>0</v>
      </c>
      <c r="V2374" s="65">
        <v>0</v>
      </c>
      <c r="W2374" s="65">
        <v>0</v>
      </c>
      <c r="X2374" s="65">
        <v>36650</v>
      </c>
      <c r="Y2374" s="65">
        <v>0</v>
      </c>
      <c r="Z2374" s="51">
        <v>0</v>
      </c>
      <c r="AA2374" s="51">
        <v>0</v>
      </c>
      <c r="AB2374" s="102">
        <v>0</v>
      </c>
      <c r="AC2374" s="81">
        <f t="shared" si="114"/>
        <v>0</v>
      </c>
      <c r="AD2374" s="82">
        <f t="shared" si="115"/>
        <v>0</v>
      </c>
      <c r="AE2374" s="218">
        <v>-5.7227408698425014E-3</v>
      </c>
      <c r="AF2374">
        <v>16</v>
      </c>
      <c r="AH2374" t="str">
        <f t="shared" si="116"/>
        <v>Matihani</v>
      </c>
      <c r="AJ2374" s="72">
        <v>0</v>
      </c>
      <c r="AK2374" s="72"/>
      <c r="AL2374" s="72"/>
      <c r="AM2374" s="72"/>
    </row>
    <row r="2375" spans="1:39" x14ac:dyDescent="0.25">
      <c r="A2375" s="37" t="s">
        <v>62</v>
      </c>
      <c r="B2375" s="66" t="s">
        <v>1654</v>
      </c>
      <c r="C2375" s="41">
        <v>1055</v>
      </c>
      <c r="D2375" s="41" t="s">
        <v>1125</v>
      </c>
      <c r="E2375" s="41">
        <v>10110124</v>
      </c>
      <c r="F2375" s="85" t="s">
        <v>579</v>
      </c>
      <c r="G2375" s="39" t="s">
        <v>92</v>
      </c>
      <c r="H2375" s="52" t="s">
        <v>93</v>
      </c>
      <c r="I2375" s="52">
        <v>1392</v>
      </c>
      <c r="J2375" s="49">
        <v>58754.82</v>
      </c>
      <c r="K2375" s="58">
        <v>1382.37</v>
      </c>
      <c r="L2375" s="58">
        <v>58359.700000000012</v>
      </c>
      <c r="M2375" s="58">
        <v>9.0699999999999985</v>
      </c>
      <c r="N2375" s="58">
        <v>364.58000000000004</v>
      </c>
      <c r="O2375" s="58">
        <v>1391.4399999999998</v>
      </c>
      <c r="P2375" s="53">
        <v>58724.280000000013</v>
      </c>
      <c r="Q2375" s="65">
        <v>58724.280000000013</v>
      </c>
      <c r="R2375" s="65">
        <v>0</v>
      </c>
      <c r="S2375" s="65">
        <v>364.58000000000004</v>
      </c>
      <c r="T2375" s="65">
        <v>0</v>
      </c>
      <c r="U2375" s="58">
        <v>2800</v>
      </c>
      <c r="V2375" s="65">
        <v>0</v>
      </c>
      <c r="W2375" s="65">
        <v>0</v>
      </c>
      <c r="X2375" s="65">
        <v>55560</v>
      </c>
      <c r="Y2375" s="65">
        <v>0</v>
      </c>
      <c r="Z2375" s="51">
        <v>0</v>
      </c>
      <c r="AA2375" s="51">
        <v>30</v>
      </c>
      <c r="AB2375" s="102">
        <v>0</v>
      </c>
      <c r="AC2375" s="81">
        <f t="shared" si="114"/>
        <v>0</v>
      </c>
      <c r="AD2375" s="82">
        <f t="shared" si="115"/>
        <v>0</v>
      </c>
      <c r="AE2375" s="218">
        <v>5.1978714256951724E-4</v>
      </c>
      <c r="AF2375">
        <v>15</v>
      </c>
      <c r="AH2375" t="str">
        <f t="shared" si="116"/>
        <v>Matihani</v>
      </c>
      <c r="AJ2375" s="72">
        <v>0</v>
      </c>
      <c r="AK2375" s="72"/>
      <c r="AL2375" s="72"/>
      <c r="AM2375" s="72"/>
    </row>
    <row r="2376" spans="1:39" x14ac:dyDescent="0.25">
      <c r="A2376" s="37" t="s">
        <v>62</v>
      </c>
      <c r="B2376" s="66" t="s">
        <v>1654</v>
      </c>
      <c r="C2376" s="41">
        <v>1055</v>
      </c>
      <c r="D2376" s="41" t="s">
        <v>1125</v>
      </c>
      <c r="E2376" s="41">
        <v>10110128</v>
      </c>
      <c r="F2376" s="85" t="s">
        <v>580</v>
      </c>
      <c r="G2376" s="39" t="s">
        <v>92</v>
      </c>
      <c r="H2376" s="52" t="s">
        <v>93</v>
      </c>
      <c r="I2376" s="52">
        <v>678.09999999999991</v>
      </c>
      <c r="J2376" s="49">
        <v>27279.63</v>
      </c>
      <c r="K2376" s="58">
        <v>672.36</v>
      </c>
      <c r="L2376" s="58">
        <v>26678.319999999992</v>
      </c>
      <c r="M2376" s="58">
        <v>3.41</v>
      </c>
      <c r="N2376" s="58">
        <v>128.46</v>
      </c>
      <c r="O2376" s="58">
        <v>675.77</v>
      </c>
      <c r="P2376" s="53">
        <v>26806.779999999992</v>
      </c>
      <c r="Q2376" s="65">
        <v>26806.779999999992</v>
      </c>
      <c r="R2376" s="65">
        <v>0</v>
      </c>
      <c r="S2376" s="65">
        <v>128.46</v>
      </c>
      <c r="T2376" s="65">
        <v>0</v>
      </c>
      <c r="U2376" s="58">
        <v>0</v>
      </c>
      <c r="V2376" s="65">
        <v>0</v>
      </c>
      <c r="W2376" s="65">
        <v>0</v>
      </c>
      <c r="X2376" s="65">
        <v>26678</v>
      </c>
      <c r="Y2376" s="65">
        <v>0</v>
      </c>
      <c r="Z2376" s="51">
        <v>0</v>
      </c>
      <c r="AA2376" s="51">
        <v>473</v>
      </c>
      <c r="AB2376" s="102">
        <v>0</v>
      </c>
      <c r="AC2376" s="81">
        <f t="shared" si="114"/>
        <v>17.620524907830813</v>
      </c>
      <c r="AD2376" s="82">
        <f t="shared" si="115"/>
        <v>96.871428571428552</v>
      </c>
      <c r="AE2376" s="218">
        <v>1.733344623809082E-2</v>
      </c>
      <c r="AF2376">
        <v>10</v>
      </c>
      <c r="AH2376" t="str">
        <f t="shared" si="116"/>
        <v>Matihani</v>
      </c>
      <c r="AJ2376" s="72">
        <v>0</v>
      </c>
      <c r="AK2376" s="72"/>
      <c r="AL2376" s="72"/>
      <c r="AM2376" s="72"/>
    </row>
    <row r="2377" spans="1:39" x14ac:dyDescent="0.25">
      <c r="A2377" s="37" t="s">
        <v>62</v>
      </c>
      <c r="B2377" s="66" t="s">
        <v>1654</v>
      </c>
      <c r="C2377" s="41">
        <v>1054</v>
      </c>
      <c r="D2377" s="41" t="s">
        <v>808</v>
      </c>
      <c r="E2377" s="41">
        <v>10110129</v>
      </c>
      <c r="F2377" s="85" t="s">
        <v>690</v>
      </c>
      <c r="G2377" s="39" t="s">
        <v>92</v>
      </c>
      <c r="H2377" s="52" t="s">
        <v>93</v>
      </c>
      <c r="I2377" s="52">
        <v>719.3</v>
      </c>
      <c r="J2377" s="49">
        <v>27422.050000000003</v>
      </c>
      <c r="K2377" s="58">
        <v>765.2</v>
      </c>
      <c r="L2377" s="58">
        <v>32012.71</v>
      </c>
      <c r="M2377" s="58">
        <v>0</v>
      </c>
      <c r="N2377" s="58">
        <v>0</v>
      </c>
      <c r="O2377" s="58">
        <v>765.2</v>
      </c>
      <c r="P2377" s="53">
        <v>32012.71</v>
      </c>
      <c r="Q2377" s="65">
        <v>27422.050000000003</v>
      </c>
      <c r="R2377" s="65">
        <v>0</v>
      </c>
      <c r="S2377" s="65">
        <v>0</v>
      </c>
      <c r="T2377" s="65">
        <v>4590.6599999999962</v>
      </c>
      <c r="U2377" s="58">
        <v>0</v>
      </c>
      <c r="V2377" s="65">
        <v>0</v>
      </c>
      <c r="W2377" s="65">
        <v>0</v>
      </c>
      <c r="X2377" s="65">
        <v>27422</v>
      </c>
      <c r="Y2377" s="65">
        <v>0</v>
      </c>
      <c r="Z2377" s="51">
        <v>0</v>
      </c>
      <c r="AA2377" s="51">
        <v>0</v>
      </c>
      <c r="AB2377" s="102">
        <v>0</v>
      </c>
      <c r="AC2377" s="81">
        <f t="shared" si="114"/>
        <v>0</v>
      </c>
      <c r="AD2377" s="82">
        <f t="shared" si="115"/>
        <v>0</v>
      </c>
      <c r="AE2377" s="218">
        <v>-0.16740761540439156</v>
      </c>
      <c r="AF2377">
        <v>3</v>
      </c>
      <c r="AH2377" t="str">
        <f t="shared" si="116"/>
        <v xml:space="preserve">Alauli </v>
      </c>
      <c r="AJ2377" s="72">
        <v>0</v>
      </c>
      <c r="AK2377" s="72"/>
      <c r="AL2377" s="72"/>
      <c r="AM2377" s="72"/>
    </row>
    <row r="2378" spans="1:39" x14ac:dyDescent="0.25">
      <c r="A2378" s="37" t="s">
        <v>62</v>
      </c>
      <c r="B2378" s="66" t="s">
        <v>1654</v>
      </c>
      <c r="C2378" s="41">
        <v>1054</v>
      </c>
      <c r="D2378" s="41" t="s">
        <v>808</v>
      </c>
      <c r="E2378" s="41">
        <v>10110132</v>
      </c>
      <c r="F2378" s="85" t="s">
        <v>631</v>
      </c>
      <c r="G2378" s="39" t="s">
        <v>92</v>
      </c>
      <c r="H2378" s="52" t="s">
        <v>93</v>
      </c>
      <c r="I2378" s="52">
        <v>315.5</v>
      </c>
      <c r="J2378" s="49">
        <v>12806.259999999998</v>
      </c>
      <c r="K2378" s="58">
        <v>195.73999999999998</v>
      </c>
      <c r="L2378" s="58">
        <v>8100.08</v>
      </c>
      <c r="M2378" s="58">
        <v>167.6</v>
      </c>
      <c r="N2378" s="58">
        <v>7363.69</v>
      </c>
      <c r="O2378" s="58">
        <v>363.34</v>
      </c>
      <c r="P2378" s="53">
        <v>15463.77</v>
      </c>
      <c r="Q2378" s="65">
        <v>12806.259999999998</v>
      </c>
      <c r="R2378" s="65">
        <v>0</v>
      </c>
      <c r="S2378" s="65">
        <v>0</v>
      </c>
      <c r="T2378" s="65">
        <v>2657.510000000002</v>
      </c>
      <c r="U2378" s="58">
        <v>0</v>
      </c>
      <c r="V2378" s="65">
        <v>500</v>
      </c>
      <c r="W2378" s="65">
        <v>0</v>
      </c>
      <c r="X2378" s="65">
        <v>4942</v>
      </c>
      <c r="Y2378" s="65">
        <v>7364</v>
      </c>
      <c r="Z2378" s="51">
        <v>0</v>
      </c>
      <c r="AA2378" s="51">
        <v>0</v>
      </c>
      <c r="AB2378" s="102">
        <v>0</v>
      </c>
      <c r="AC2378" s="81">
        <f t="shared" si="114"/>
        <v>312.13990301109351</v>
      </c>
      <c r="AD2378" s="82">
        <f t="shared" si="115"/>
        <v>45.071428571428569</v>
      </c>
      <c r="AE2378" s="218">
        <v>-0.20751648022139191</v>
      </c>
      <c r="AF2378">
        <v>12</v>
      </c>
      <c r="AH2378" t="str">
        <f t="shared" si="116"/>
        <v xml:space="preserve">Alauli </v>
      </c>
      <c r="AJ2378" s="72">
        <v>500</v>
      </c>
      <c r="AK2378" s="72"/>
      <c r="AL2378" s="72"/>
      <c r="AM2378" s="72"/>
    </row>
    <row r="2379" spans="1:39" x14ac:dyDescent="0.25">
      <c r="A2379" s="37" t="s">
        <v>62</v>
      </c>
      <c r="B2379" s="66" t="s">
        <v>1654</v>
      </c>
      <c r="C2379" s="41">
        <v>1054</v>
      </c>
      <c r="D2379" s="41" t="s">
        <v>808</v>
      </c>
      <c r="E2379" s="41">
        <v>10110133</v>
      </c>
      <c r="F2379" s="85" t="s">
        <v>656</v>
      </c>
      <c r="G2379" s="39" t="s">
        <v>92</v>
      </c>
      <c r="H2379" s="52" t="s">
        <v>93</v>
      </c>
      <c r="I2379" s="52">
        <v>2488.5</v>
      </c>
      <c r="J2379" s="49">
        <v>99092.919999999984</v>
      </c>
      <c r="K2379" s="58">
        <v>2488.5</v>
      </c>
      <c r="L2379" s="58">
        <v>99092.92</v>
      </c>
      <c r="M2379" s="58">
        <v>0</v>
      </c>
      <c r="N2379" s="58">
        <v>0</v>
      </c>
      <c r="O2379" s="58">
        <v>2488.5</v>
      </c>
      <c r="P2379" s="53">
        <v>99092.92</v>
      </c>
      <c r="Q2379" s="65">
        <v>99092.919999999984</v>
      </c>
      <c r="R2379" s="65">
        <v>0</v>
      </c>
      <c r="S2379" s="65">
        <v>0</v>
      </c>
      <c r="T2379" s="65">
        <v>0</v>
      </c>
      <c r="U2379" s="58">
        <v>0</v>
      </c>
      <c r="V2379" s="65">
        <v>0</v>
      </c>
      <c r="W2379" s="65">
        <v>0</v>
      </c>
      <c r="X2379" s="65">
        <v>99093</v>
      </c>
      <c r="Y2379" s="65">
        <v>0</v>
      </c>
      <c r="Z2379" s="51">
        <v>0</v>
      </c>
      <c r="AA2379" s="51">
        <v>0</v>
      </c>
      <c r="AB2379" s="102">
        <v>0</v>
      </c>
      <c r="AC2379" s="81">
        <f t="shared" si="114"/>
        <v>0</v>
      </c>
      <c r="AD2379" s="82">
        <f t="shared" si="115"/>
        <v>0</v>
      </c>
      <c r="AE2379" s="218">
        <v>-1.4685121024152738E-16</v>
      </c>
      <c r="AF2379">
        <v>2</v>
      </c>
      <c r="AH2379" t="str">
        <f t="shared" si="116"/>
        <v xml:space="preserve">Alauli </v>
      </c>
      <c r="AJ2379" s="72">
        <v>0</v>
      </c>
      <c r="AK2379" s="72"/>
      <c r="AL2379" s="72"/>
      <c r="AM2379" s="72"/>
    </row>
    <row r="2380" spans="1:39" x14ac:dyDescent="0.25">
      <c r="A2380" s="37" t="s">
        <v>62</v>
      </c>
      <c r="B2380" s="66" t="s">
        <v>1654</v>
      </c>
      <c r="C2380" s="41">
        <v>1054</v>
      </c>
      <c r="D2380" s="41" t="s">
        <v>808</v>
      </c>
      <c r="E2380" s="41">
        <v>10110134</v>
      </c>
      <c r="F2380" s="85" t="s">
        <v>231</v>
      </c>
      <c r="G2380" s="39" t="s">
        <v>92</v>
      </c>
      <c r="H2380" s="52" t="s">
        <v>93</v>
      </c>
      <c r="I2380" s="52">
        <v>255.09999999999997</v>
      </c>
      <c r="J2380" s="49">
        <v>10883.8</v>
      </c>
      <c r="K2380" s="58">
        <v>252.08</v>
      </c>
      <c r="L2380" s="58">
        <v>10805.43</v>
      </c>
      <c r="M2380" s="58">
        <v>4.42</v>
      </c>
      <c r="N2380" s="58">
        <v>185.88</v>
      </c>
      <c r="O2380" s="58">
        <v>256.5</v>
      </c>
      <c r="P2380" s="53">
        <v>10991.31</v>
      </c>
      <c r="Q2380" s="65">
        <v>10883.8</v>
      </c>
      <c r="R2380" s="65">
        <v>0</v>
      </c>
      <c r="S2380" s="65">
        <v>185.88</v>
      </c>
      <c r="T2380" s="65">
        <v>107.51000000000022</v>
      </c>
      <c r="U2380" s="58">
        <v>0</v>
      </c>
      <c r="V2380" s="65">
        <v>0</v>
      </c>
      <c r="W2380" s="65">
        <v>0</v>
      </c>
      <c r="X2380" s="65">
        <v>10698</v>
      </c>
      <c r="Y2380" s="65">
        <v>0</v>
      </c>
      <c r="Z2380" s="51">
        <v>0</v>
      </c>
      <c r="AA2380" s="51">
        <v>0</v>
      </c>
      <c r="AB2380" s="102">
        <v>0</v>
      </c>
      <c r="AC2380" s="81">
        <f t="shared" si="114"/>
        <v>379.6317224617797</v>
      </c>
      <c r="AD2380" s="82">
        <f t="shared" si="115"/>
        <v>36.442857142857136</v>
      </c>
      <c r="AE2380" s="218">
        <v>-9.8779837924254602E-3</v>
      </c>
      <c r="AF2380">
        <v>6</v>
      </c>
      <c r="AH2380" t="str">
        <f t="shared" si="116"/>
        <v xml:space="preserve">Alauli </v>
      </c>
      <c r="AJ2380" s="72">
        <v>0</v>
      </c>
      <c r="AK2380" s="72"/>
      <c r="AL2380" s="72"/>
      <c r="AM2380" s="72"/>
    </row>
    <row r="2381" spans="1:39" x14ac:dyDescent="0.25">
      <c r="A2381" s="37" t="s">
        <v>62</v>
      </c>
      <c r="B2381" s="66" t="s">
        <v>1654</v>
      </c>
      <c r="C2381" s="41">
        <v>1054</v>
      </c>
      <c r="D2381" s="41" t="s">
        <v>808</v>
      </c>
      <c r="E2381" s="41">
        <v>10110135</v>
      </c>
      <c r="F2381" s="85" t="s">
        <v>625</v>
      </c>
      <c r="G2381" s="39" t="s">
        <v>92</v>
      </c>
      <c r="H2381" s="52" t="s">
        <v>93</v>
      </c>
      <c r="I2381" s="52">
        <v>652</v>
      </c>
      <c r="J2381" s="49">
        <v>25708.720000000001</v>
      </c>
      <c r="K2381" s="58">
        <v>565.44000000000005</v>
      </c>
      <c r="L2381" s="58">
        <v>21574.43</v>
      </c>
      <c r="M2381" s="58">
        <v>90.41</v>
      </c>
      <c r="N2381" s="58">
        <v>4066.58</v>
      </c>
      <c r="O2381" s="58">
        <v>655.85</v>
      </c>
      <c r="P2381" s="53">
        <v>25641.010000000002</v>
      </c>
      <c r="Q2381" s="65">
        <v>25641.010000000002</v>
      </c>
      <c r="R2381" s="65">
        <v>0</v>
      </c>
      <c r="S2381" s="65">
        <v>0</v>
      </c>
      <c r="T2381" s="65">
        <v>0</v>
      </c>
      <c r="U2381" s="58">
        <v>0</v>
      </c>
      <c r="V2381" s="65">
        <v>0</v>
      </c>
      <c r="W2381" s="65">
        <v>0</v>
      </c>
      <c r="X2381" s="65">
        <v>21574</v>
      </c>
      <c r="Y2381" s="65">
        <v>4067</v>
      </c>
      <c r="Z2381" s="51">
        <v>0</v>
      </c>
      <c r="AA2381" s="51">
        <v>68</v>
      </c>
      <c r="AB2381" s="102">
        <v>0</v>
      </c>
      <c r="AC2381" s="81">
        <f t="shared" si="114"/>
        <v>37.853330061349723</v>
      </c>
      <c r="AD2381" s="82">
        <f t="shared" si="115"/>
        <v>93.142857142857139</v>
      </c>
      <c r="AE2381" s="218">
        <v>2.633736724348747E-3</v>
      </c>
      <c r="AF2381">
        <v>15</v>
      </c>
      <c r="AH2381" t="str">
        <f t="shared" si="116"/>
        <v xml:space="preserve">Alauli </v>
      </c>
      <c r="AJ2381" s="72">
        <v>0</v>
      </c>
      <c r="AK2381" s="72"/>
      <c r="AL2381" s="72"/>
      <c r="AM2381" s="72"/>
    </row>
    <row r="2382" spans="1:39" x14ac:dyDescent="0.25">
      <c r="A2382" s="37" t="s">
        <v>62</v>
      </c>
      <c r="B2382" s="66" t="s">
        <v>1654</v>
      </c>
      <c r="C2382" s="41">
        <v>1054</v>
      </c>
      <c r="D2382" s="41" t="s">
        <v>808</v>
      </c>
      <c r="E2382" s="41">
        <v>10110140</v>
      </c>
      <c r="F2382" s="85" t="s">
        <v>657</v>
      </c>
      <c r="G2382" s="39" t="s">
        <v>92</v>
      </c>
      <c r="H2382" s="52" t="s">
        <v>93</v>
      </c>
      <c r="I2382" s="52">
        <v>122.9</v>
      </c>
      <c r="J2382" s="49">
        <v>6231.92</v>
      </c>
      <c r="K2382" s="58">
        <v>121.33000000000001</v>
      </c>
      <c r="L2382" s="58">
        <v>6160.81</v>
      </c>
      <c r="M2382" s="58">
        <v>1.5</v>
      </c>
      <c r="N2382" s="58">
        <v>75.19</v>
      </c>
      <c r="O2382" s="58">
        <v>122.83000000000001</v>
      </c>
      <c r="P2382" s="53">
        <v>6236</v>
      </c>
      <c r="Q2382" s="65">
        <v>6231.92</v>
      </c>
      <c r="R2382" s="65">
        <v>0</v>
      </c>
      <c r="S2382" s="65">
        <v>75.19</v>
      </c>
      <c r="T2382" s="65">
        <v>4.0799999999999272</v>
      </c>
      <c r="U2382" s="58">
        <v>0</v>
      </c>
      <c r="V2382" s="65">
        <v>0</v>
      </c>
      <c r="W2382" s="65">
        <v>0</v>
      </c>
      <c r="X2382" s="65">
        <v>6161</v>
      </c>
      <c r="Y2382" s="65">
        <v>0</v>
      </c>
      <c r="Z2382" s="51">
        <v>0</v>
      </c>
      <c r="AA2382" s="51">
        <v>-4</v>
      </c>
      <c r="AB2382" s="102" t="s">
        <v>1366</v>
      </c>
      <c r="AC2382" s="81">
        <f t="shared" si="114"/>
        <v>585.26298323840524</v>
      </c>
      <c r="AD2382" s="82">
        <f t="shared" si="115"/>
        <v>17.557142857142857</v>
      </c>
      <c r="AE2382" s="218">
        <v>-6.5469389850959694E-4</v>
      </c>
      <c r="AF2382">
        <v>3</v>
      </c>
      <c r="AH2382" t="str">
        <f t="shared" si="116"/>
        <v xml:space="preserve">Alauli </v>
      </c>
      <c r="AJ2382" s="72">
        <v>0</v>
      </c>
      <c r="AK2382" s="72"/>
      <c r="AL2382" s="72"/>
      <c r="AM2382" s="72"/>
    </row>
    <row r="2383" spans="1:39" x14ac:dyDescent="0.25">
      <c r="A2383" s="37" t="s">
        <v>62</v>
      </c>
      <c r="B2383" s="66" t="s">
        <v>1654</v>
      </c>
      <c r="C2383" s="41">
        <v>1054</v>
      </c>
      <c r="D2383" s="41" t="s">
        <v>808</v>
      </c>
      <c r="E2383" s="41">
        <v>10110141</v>
      </c>
      <c r="F2383" s="85" t="s">
        <v>658</v>
      </c>
      <c r="G2383" s="39" t="s">
        <v>92</v>
      </c>
      <c r="H2383" s="52" t="s">
        <v>93</v>
      </c>
      <c r="I2383" s="52">
        <v>836.4</v>
      </c>
      <c r="J2383" s="49">
        <v>34873.57</v>
      </c>
      <c r="K2383" s="58">
        <v>824.37000000000012</v>
      </c>
      <c r="L2383" s="58">
        <v>35009.629999999997</v>
      </c>
      <c r="M2383" s="58">
        <v>10.410000000000002</v>
      </c>
      <c r="N2383" s="58">
        <v>448.57</v>
      </c>
      <c r="O2383" s="58">
        <v>834.78000000000009</v>
      </c>
      <c r="P2383" s="53">
        <v>35458.199999999997</v>
      </c>
      <c r="Q2383" s="65">
        <v>34873.57</v>
      </c>
      <c r="R2383" s="65">
        <v>0</v>
      </c>
      <c r="S2383" s="65">
        <v>448.57</v>
      </c>
      <c r="T2383" s="65">
        <v>584.62999999999738</v>
      </c>
      <c r="U2383" s="58">
        <v>0</v>
      </c>
      <c r="V2383" s="65">
        <v>0</v>
      </c>
      <c r="W2383" s="65">
        <v>0</v>
      </c>
      <c r="X2383" s="65">
        <v>34425</v>
      </c>
      <c r="Y2383" s="65">
        <v>0</v>
      </c>
      <c r="Z2383" s="51">
        <v>0</v>
      </c>
      <c r="AA2383" s="51">
        <v>0</v>
      </c>
      <c r="AB2383" s="102">
        <v>0</v>
      </c>
      <c r="AC2383" s="81">
        <f t="shared" si="114"/>
        <v>0</v>
      </c>
      <c r="AD2383" s="82">
        <f t="shared" si="115"/>
        <v>0</v>
      </c>
      <c r="AE2383" s="218">
        <v>-1.6764271624614212E-2</v>
      </c>
      <c r="AF2383">
        <v>17</v>
      </c>
      <c r="AH2383" t="str">
        <f t="shared" si="116"/>
        <v xml:space="preserve">Alauli </v>
      </c>
      <c r="AJ2383" s="72">
        <v>0</v>
      </c>
      <c r="AK2383" s="72"/>
      <c r="AL2383" s="72"/>
      <c r="AM2383" s="72"/>
    </row>
    <row r="2384" spans="1:39" x14ac:dyDescent="0.25">
      <c r="A2384" s="37" t="s">
        <v>62</v>
      </c>
      <c r="B2384" s="66" t="s">
        <v>1654</v>
      </c>
      <c r="C2384" s="41">
        <v>1054</v>
      </c>
      <c r="D2384" s="41" t="s">
        <v>808</v>
      </c>
      <c r="E2384" s="41">
        <v>10110143</v>
      </c>
      <c r="F2384" s="85" t="s">
        <v>659</v>
      </c>
      <c r="G2384" s="39" t="s">
        <v>92</v>
      </c>
      <c r="H2384" s="52" t="s">
        <v>93</v>
      </c>
      <c r="I2384" s="52">
        <v>662.19999999999993</v>
      </c>
      <c r="J2384" s="49">
        <v>25073.81</v>
      </c>
      <c r="K2384" s="58">
        <v>697.33000000000015</v>
      </c>
      <c r="L2384" s="58">
        <v>29036.41</v>
      </c>
      <c r="M2384" s="58">
        <v>0</v>
      </c>
      <c r="N2384" s="58">
        <v>0</v>
      </c>
      <c r="O2384" s="58">
        <v>697.33000000000015</v>
      </c>
      <c r="P2384" s="53">
        <v>29036.41</v>
      </c>
      <c r="Q2384" s="65">
        <v>25073.81</v>
      </c>
      <c r="R2384" s="65">
        <v>0</v>
      </c>
      <c r="S2384" s="65">
        <v>0</v>
      </c>
      <c r="T2384" s="65">
        <v>3962.5999999999985</v>
      </c>
      <c r="U2384" s="58">
        <v>0</v>
      </c>
      <c r="V2384" s="65">
        <v>0</v>
      </c>
      <c r="W2384" s="65">
        <v>0</v>
      </c>
      <c r="X2384" s="65">
        <v>25074</v>
      </c>
      <c r="Y2384" s="65">
        <v>0</v>
      </c>
      <c r="Z2384" s="51">
        <v>0</v>
      </c>
      <c r="AA2384" s="51">
        <v>0</v>
      </c>
      <c r="AB2384" s="102">
        <v>0</v>
      </c>
      <c r="AC2384" s="81">
        <f t="shared" si="114"/>
        <v>28.625491331923929</v>
      </c>
      <c r="AD2384" s="82">
        <f t="shared" si="115"/>
        <v>94.6</v>
      </c>
      <c r="AE2384" s="218">
        <v>-0.15803741034968352</v>
      </c>
      <c r="AF2384">
        <v>4</v>
      </c>
      <c r="AH2384" t="str">
        <f t="shared" si="116"/>
        <v xml:space="preserve">Alauli </v>
      </c>
      <c r="AJ2384" s="72">
        <v>0</v>
      </c>
      <c r="AK2384" s="72"/>
      <c r="AL2384" s="72"/>
      <c r="AM2384" s="72"/>
    </row>
    <row r="2385" spans="1:39" x14ac:dyDescent="0.25">
      <c r="A2385" s="37" t="s">
        <v>62</v>
      </c>
      <c r="B2385" s="66" t="s">
        <v>1654</v>
      </c>
      <c r="C2385" s="41">
        <v>1054</v>
      </c>
      <c r="D2385" s="41" t="s">
        <v>808</v>
      </c>
      <c r="E2385" s="41">
        <v>10110144</v>
      </c>
      <c r="F2385" s="85" t="s">
        <v>660</v>
      </c>
      <c r="G2385" s="39" t="s">
        <v>92</v>
      </c>
      <c r="H2385" s="52" t="s">
        <v>93</v>
      </c>
      <c r="I2385" s="52">
        <v>674.89999999999986</v>
      </c>
      <c r="J2385" s="49">
        <v>25442.720000000001</v>
      </c>
      <c r="K2385" s="58">
        <v>711.91</v>
      </c>
      <c r="L2385" s="58">
        <v>25906.43</v>
      </c>
      <c r="M2385" s="58">
        <v>0</v>
      </c>
      <c r="N2385" s="58">
        <v>0</v>
      </c>
      <c r="O2385" s="58">
        <v>711.91</v>
      </c>
      <c r="P2385" s="53">
        <v>25906.43</v>
      </c>
      <c r="Q2385" s="65">
        <v>25442.720000000001</v>
      </c>
      <c r="R2385" s="65">
        <v>0</v>
      </c>
      <c r="S2385" s="65">
        <v>0</v>
      </c>
      <c r="T2385" s="65">
        <v>463.70999999999913</v>
      </c>
      <c r="U2385" s="58">
        <v>851</v>
      </c>
      <c r="V2385" s="65">
        <v>0</v>
      </c>
      <c r="W2385" s="65">
        <v>0</v>
      </c>
      <c r="X2385" s="65">
        <v>24592</v>
      </c>
      <c r="Y2385" s="65">
        <v>0</v>
      </c>
      <c r="Z2385" s="51">
        <v>0</v>
      </c>
      <c r="AA2385" s="51">
        <v>0</v>
      </c>
      <c r="AB2385" s="102" t="s">
        <v>68</v>
      </c>
      <c r="AC2385" s="81">
        <f t="shared" si="114"/>
        <v>18.92464874796276</v>
      </c>
      <c r="AD2385" s="82">
        <f t="shared" si="115"/>
        <v>96.414285714285697</v>
      </c>
      <c r="AE2385" s="218">
        <v>-1.8225645685681371E-2</v>
      </c>
      <c r="AF2385">
        <v>6</v>
      </c>
      <c r="AH2385" t="str">
        <f t="shared" si="116"/>
        <v xml:space="preserve">Alauli </v>
      </c>
      <c r="AJ2385" s="72">
        <v>0</v>
      </c>
      <c r="AK2385" s="72"/>
      <c r="AL2385" s="72"/>
      <c r="AM2385" s="72"/>
    </row>
    <row r="2386" spans="1:39" x14ac:dyDescent="0.25">
      <c r="A2386" s="37" t="s">
        <v>62</v>
      </c>
      <c r="B2386" s="66" t="s">
        <v>1654</v>
      </c>
      <c r="C2386" s="41">
        <v>1011</v>
      </c>
      <c r="D2386" s="41" t="s">
        <v>281</v>
      </c>
      <c r="E2386" s="41">
        <v>10110146</v>
      </c>
      <c r="F2386" s="85" t="s">
        <v>626</v>
      </c>
      <c r="G2386" s="39" t="s">
        <v>92</v>
      </c>
      <c r="H2386" s="52" t="s">
        <v>93</v>
      </c>
      <c r="I2386" s="52">
        <v>2590.2000000000003</v>
      </c>
      <c r="J2386" s="49">
        <v>108149.44000000002</v>
      </c>
      <c r="K2386" s="58">
        <v>2583.1</v>
      </c>
      <c r="L2386" s="58">
        <v>108118.68</v>
      </c>
      <c r="M2386" s="58">
        <v>0</v>
      </c>
      <c r="N2386" s="58">
        <v>0</v>
      </c>
      <c r="O2386" s="58">
        <v>2583.1</v>
      </c>
      <c r="P2386" s="53">
        <v>108118.68</v>
      </c>
      <c r="Q2386" s="65">
        <v>108118.68</v>
      </c>
      <c r="R2386" s="65">
        <v>0</v>
      </c>
      <c r="S2386" s="65">
        <v>0</v>
      </c>
      <c r="T2386" s="65">
        <v>0</v>
      </c>
      <c r="U2386" s="58">
        <v>0</v>
      </c>
      <c r="V2386" s="65">
        <v>0</v>
      </c>
      <c r="W2386" s="65">
        <v>0</v>
      </c>
      <c r="X2386" s="65">
        <v>108119</v>
      </c>
      <c r="Y2386" s="65">
        <v>0</v>
      </c>
      <c r="Z2386" s="51">
        <v>0</v>
      </c>
      <c r="AA2386" s="51">
        <v>30</v>
      </c>
      <c r="AB2386" s="102">
        <v>0</v>
      </c>
      <c r="AC2386" s="81">
        <f t="shared" si="114"/>
        <v>0</v>
      </c>
      <c r="AD2386" s="82">
        <f t="shared" si="115"/>
        <v>0</v>
      </c>
      <c r="AE2386" s="218">
        <v>2.8442126006407301E-4</v>
      </c>
      <c r="AF2386">
        <v>3</v>
      </c>
      <c r="AH2386" t="str">
        <f t="shared" si="116"/>
        <v>Sahibpur Kamal</v>
      </c>
      <c r="AJ2386" s="72">
        <v>0</v>
      </c>
      <c r="AK2386" s="72"/>
      <c r="AL2386" s="72"/>
      <c r="AM2386" s="72"/>
    </row>
    <row r="2387" spans="1:39" x14ac:dyDescent="0.25">
      <c r="A2387" s="37" t="s">
        <v>62</v>
      </c>
      <c r="B2387" s="66" t="s">
        <v>1654</v>
      </c>
      <c r="C2387" s="41">
        <v>1054</v>
      </c>
      <c r="D2387" s="41" t="s">
        <v>808</v>
      </c>
      <c r="E2387" s="41">
        <v>10110148</v>
      </c>
      <c r="F2387" s="85" t="s">
        <v>1644</v>
      </c>
      <c r="G2387" s="39" t="s">
        <v>92</v>
      </c>
      <c r="H2387" s="52" t="s">
        <v>93</v>
      </c>
      <c r="I2387" s="52">
        <v>65.599999999999994</v>
      </c>
      <c r="J2387" s="49">
        <v>2697.34</v>
      </c>
      <c r="K2387" s="58">
        <v>67</v>
      </c>
      <c r="L2387" s="58">
        <v>2857.5099999999998</v>
      </c>
      <c r="M2387" s="58">
        <v>0</v>
      </c>
      <c r="N2387" s="58">
        <v>0</v>
      </c>
      <c r="O2387" s="58">
        <v>67</v>
      </c>
      <c r="P2387" s="53">
        <v>2857.5099999999998</v>
      </c>
      <c r="Q2387" s="65">
        <v>2697.34</v>
      </c>
      <c r="R2387" s="65">
        <v>0</v>
      </c>
      <c r="S2387" s="65">
        <v>0</v>
      </c>
      <c r="T2387" s="65">
        <v>160.16999999999962</v>
      </c>
      <c r="U2387" s="58">
        <v>2197</v>
      </c>
      <c r="V2387" s="65">
        <v>500</v>
      </c>
      <c r="W2387" s="65">
        <v>0</v>
      </c>
      <c r="X2387" s="65">
        <v>0</v>
      </c>
      <c r="Y2387" s="65">
        <v>0</v>
      </c>
      <c r="Z2387" s="51">
        <v>0</v>
      </c>
      <c r="AA2387" s="51">
        <v>0</v>
      </c>
      <c r="AB2387" s="102" t="s">
        <v>68</v>
      </c>
      <c r="AC2387" s="81">
        <f t="shared" si="114"/>
        <v>521.70502926829283</v>
      </c>
      <c r="AD2387" s="82">
        <f t="shared" si="115"/>
        <v>9.3714285714285701</v>
      </c>
      <c r="AE2387" s="218">
        <v>-5.9380723231034875E-2</v>
      </c>
      <c r="AF2387">
        <v>1</v>
      </c>
      <c r="AH2387" t="str">
        <f t="shared" si="116"/>
        <v xml:space="preserve">Alauli </v>
      </c>
      <c r="AJ2387" s="72">
        <v>500</v>
      </c>
      <c r="AK2387" s="72"/>
      <c r="AL2387" s="72"/>
      <c r="AM2387" s="72"/>
    </row>
    <row r="2388" spans="1:39" x14ac:dyDescent="0.25">
      <c r="A2388" s="37" t="s">
        <v>62</v>
      </c>
      <c r="B2388" s="66" t="s">
        <v>1654</v>
      </c>
      <c r="C2388" s="41">
        <v>1054</v>
      </c>
      <c r="D2388" s="41" t="s">
        <v>808</v>
      </c>
      <c r="E2388" s="41">
        <v>10110149</v>
      </c>
      <c r="F2388" s="85" t="s">
        <v>664</v>
      </c>
      <c r="G2388" s="39" t="s">
        <v>92</v>
      </c>
      <c r="H2388" s="52" t="s">
        <v>93</v>
      </c>
      <c r="I2388" s="52">
        <v>531</v>
      </c>
      <c r="J2388" s="49">
        <v>21626.42</v>
      </c>
      <c r="K2388" s="58">
        <v>54.85</v>
      </c>
      <c r="L2388" s="58">
        <v>2809.77</v>
      </c>
      <c r="M2388" s="58">
        <v>470.95</v>
      </c>
      <c r="N2388" s="58">
        <v>21378.860000000004</v>
      </c>
      <c r="O2388" s="58">
        <v>525.79999999999995</v>
      </c>
      <c r="P2388" s="53">
        <v>24188.630000000005</v>
      </c>
      <c r="Q2388" s="65">
        <v>21626.42</v>
      </c>
      <c r="R2388" s="65">
        <v>0</v>
      </c>
      <c r="S2388" s="65">
        <v>0</v>
      </c>
      <c r="T2388" s="65">
        <v>2562.2100000000064</v>
      </c>
      <c r="U2388" s="58">
        <v>0</v>
      </c>
      <c r="V2388" s="65">
        <v>0</v>
      </c>
      <c r="W2388" s="65">
        <v>0</v>
      </c>
      <c r="X2388" s="65">
        <v>246</v>
      </c>
      <c r="Y2388" s="65">
        <v>21380</v>
      </c>
      <c r="Z2388" s="51">
        <v>0</v>
      </c>
      <c r="AA2388" s="51">
        <v>0</v>
      </c>
      <c r="AB2388" s="102">
        <v>0</v>
      </c>
      <c r="AC2388" s="81">
        <f t="shared" si="114"/>
        <v>137.65969792843688</v>
      </c>
      <c r="AD2388" s="82">
        <f t="shared" si="115"/>
        <v>75.857142857142861</v>
      </c>
      <c r="AE2388" s="218">
        <v>-0.11847591973151389</v>
      </c>
      <c r="AF2388">
        <v>10</v>
      </c>
      <c r="AH2388" t="str">
        <f t="shared" si="116"/>
        <v xml:space="preserve">Alauli </v>
      </c>
      <c r="AJ2388" s="72">
        <v>0</v>
      </c>
      <c r="AK2388" s="72"/>
      <c r="AL2388" s="72"/>
      <c r="AM2388" s="72"/>
    </row>
    <row r="2389" spans="1:39" x14ac:dyDescent="0.25">
      <c r="A2389" s="37" t="s">
        <v>62</v>
      </c>
      <c r="B2389" s="66" t="s">
        <v>1654</v>
      </c>
      <c r="C2389" s="41">
        <v>1011</v>
      </c>
      <c r="D2389" s="41" t="s">
        <v>281</v>
      </c>
      <c r="E2389" s="41">
        <v>10110153</v>
      </c>
      <c r="F2389" s="85" t="s">
        <v>812</v>
      </c>
      <c r="G2389" s="39" t="s">
        <v>1610</v>
      </c>
      <c r="H2389" s="52" t="s">
        <v>98</v>
      </c>
      <c r="I2389" s="52">
        <v>2290.7000000000003</v>
      </c>
      <c r="J2389" s="49">
        <v>94153.15</v>
      </c>
      <c r="K2389" s="58">
        <v>0</v>
      </c>
      <c r="L2389" s="58">
        <v>0</v>
      </c>
      <c r="M2389" s="58">
        <v>0</v>
      </c>
      <c r="N2389" s="58">
        <v>0</v>
      </c>
      <c r="O2389" s="58">
        <v>0</v>
      </c>
      <c r="P2389" s="53">
        <v>0</v>
      </c>
      <c r="Q2389" s="65">
        <v>94153.15</v>
      </c>
      <c r="R2389" s="65">
        <v>0</v>
      </c>
      <c r="S2389" s="65">
        <v>0</v>
      </c>
      <c r="T2389" s="65">
        <v>0</v>
      </c>
      <c r="U2389" s="58">
        <v>0</v>
      </c>
      <c r="V2389" s="65">
        <v>0</v>
      </c>
      <c r="W2389" s="65">
        <v>0</v>
      </c>
      <c r="X2389" s="65">
        <v>0</v>
      </c>
      <c r="Y2389" s="65">
        <v>0</v>
      </c>
      <c r="Z2389" s="51">
        <v>94153.15</v>
      </c>
      <c r="AA2389" s="51">
        <v>0</v>
      </c>
      <c r="AB2389" s="102">
        <v>0</v>
      </c>
      <c r="AC2389" s="81">
        <f t="shared" si="114"/>
        <v>0</v>
      </c>
      <c r="AD2389" s="82">
        <f t="shared" si="115"/>
        <v>0</v>
      </c>
      <c r="AE2389" s="218">
        <v>0</v>
      </c>
      <c r="AF2389">
        <v>0</v>
      </c>
      <c r="AH2389" t="str">
        <f t="shared" si="116"/>
        <v>Sahibpur Kamal</v>
      </c>
      <c r="AJ2389" s="72">
        <v>0</v>
      </c>
      <c r="AK2389" s="72"/>
      <c r="AL2389" s="72"/>
      <c r="AM2389" s="72"/>
    </row>
    <row r="2390" spans="1:39" x14ac:dyDescent="0.25">
      <c r="A2390" s="37" t="s">
        <v>62</v>
      </c>
      <c r="B2390" s="66" t="s">
        <v>1654</v>
      </c>
      <c r="C2390" s="41">
        <v>1055</v>
      </c>
      <c r="D2390" s="41" t="s">
        <v>1125</v>
      </c>
      <c r="E2390" s="41">
        <v>10110155</v>
      </c>
      <c r="F2390" s="85" t="s">
        <v>817</v>
      </c>
      <c r="G2390" s="39" t="s">
        <v>1610</v>
      </c>
      <c r="H2390" s="52" t="s">
        <v>98</v>
      </c>
      <c r="I2390" s="52">
        <v>594.79999999999995</v>
      </c>
      <c r="J2390" s="49">
        <v>22490.82</v>
      </c>
      <c r="K2390" s="58">
        <v>0</v>
      </c>
      <c r="L2390" s="58">
        <v>0</v>
      </c>
      <c r="M2390" s="58">
        <v>0</v>
      </c>
      <c r="N2390" s="58">
        <v>0</v>
      </c>
      <c r="O2390" s="58">
        <v>0</v>
      </c>
      <c r="P2390" s="53">
        <v>0</v>
      </c>
      <c r="Q2390" s="65">
        <v>22490.82</v>
      </c>
      <c r="R2390" s="65">
        <v>0</v>
      </c>
      <c r="S2390" s="65">
        <v>0</v>
      </c>
      <c r="T2390" s="65">
        <v>0</v>
      </c>
      <c r="U2390" s="58">
        <v>0</v>
      </c>
      <c r="V2390" s="65">
        <v>0</v>
      </c>
      <c r="W2390" s="65">
        <v>0</v>
      </c>
      <c r="X2390" s="65">
        <v>0</v>
      </c>
      <c r="Y2390" s="65">
        <v>0</v>
      </c>
      <c r="Z2390" s="51">
        <v>22490.82</v>
      </c>
      <c r="AA2390" s="51">
        <v>0</v>
      </c>
      <c r="AB2390" s="102">
        <v>0</v>
      </c>
      <c r="AC2390" s="81">
        <f t="shared" si="114"/>
        <v>79.557305447209217</v>
      </c>
      <c r="AD2390" s="82">
        <f t="shared" si="115"/>
        <v>84.971428571428561</v>
      </c>
      <c r="AE2390" s="218">
        <v>0</v>
      </c>
      <c r="AF2390">
        <v>0</v>
      </c>
      <c r="AH2390" t="str">
        <f t="shared" si="116"/>
        <v>Matihani</v>
      </c>
      <c r="AJ2390" s="72">
        <v>0</v>
      </c>
      <c r="AK2390" s="72"/>
      <c r="AL2390" s="72"/>
      <c r="AM2390" s="72"/>
    </row>
    <row r="2391" spans="1:39" x14ac:dyDescent="0.25">
      <c r="A2391" s="37" t="s">
        <v>62</v>
      </c>
      <c r="B2391" s="66" t="s">
        <v>1654</v>
      </c>
      <c r="C2391" s="41">
        <v>1011</v>
      </c>
      <c r="D2391" s="41" t="s">
        <v>281</v>
      </c>
      <c r="E2391" s="41">
        <v>10110158</v>
      </c>
      <c r="F2391" s="85" t="s">
        <v>1118</v>
      </c>
      <c r="G2391" s="39" t="s">
        <v>92</v>
      </c>
      <c r="H2391" s="52" t="s">
        <v>93</v>
      </c>
      <c r="I2391" s="52">
        <v>6931.7999999999993</v>
      </c>
      <c r="J2391" s="49">
        <v>268824.81000000006</v>
      </c>
      <c r="K2391" s="58">
        <v>5541.14</v>
      </c>
      <c r="L2391" s="58">
        <v>217865.61000000002</v>
      </c>
      <c r="M2391" s="58">
        <v>1298.4199999999998</v>
      </c>
      <c r="N2391" s="58">
        <v>50941.45</v>
      </c>
      <c r="O2391" s="58">
        <v>6839.56</v>
      </c>
      <c r="P2391" s="53">
        <v>268807.06</v>
      </c>
      <c r="Q2391" s="65">
        <v>268807.06</v>
      </c>
      <c r="R2391" s="65">
        <v>0</v>
      </c>
      <c r="S2391" s="65">
        <v>0</v>
      </c>
      <c r="T2391" s="65">
        <v>0</v>
      </c>
      <c r="U2391" s="58">
        <v>0</v>
      </c>
      <c r="V2391" s="65">
        <v>0</v>
      </c>
      <c r="W2391" s="65">
        <v>0</v>
      </c>
      <c r="X2391" s="65">
        <v>217868</v>
      </c>
      <c r="Y2391" s="65">
        <v>50940</v>
      </c>
      <c r="Z2391" s="51">
        <v>0</v>
      </c>
      <c r="AA2391" s="51">
        <v>17</v>
      </c>
      <c r="AB2391" s="102">
        <v>0</v>
      </c>
      <c r="AC2391" s="81">
        <f t="shared" si="114"/>
        <v>0</v>
      </c>
      <c r="AD2391" s="82">
        <f t="shared" si="115"/>
        <v>0</v>
      </c>
      <c r="AE2391" s="218">
        <v>6.6028131853076375E-5</v>
      </c>
      <c r="AF2391">
        <v>41</v>
      </c>
      <c r="AH2391" t="str">
        <f t="shared" si="116"/>
        <v>Sahibpur Kamal</v>
      </c>
      <c r="AJ2391" s="72">
        <v>0</v>
      </c>
      <c r="AK2391" s="72"/>
      <c r="AL2391" s="72"/>
      <c r="AM2391" s="72"/>
    </row>
    <row r="2392" spans="1:39" x14ac:dyDescent="0.25">
      <c r="A2392" s="37" t="s">
        <v>62</v>
      </c>
      <c r="B2392" s="66" t="s">
        <v>1654</v>
      </c>
      <c r="C2392" s="41">
        <v>1011</v>
      </c>
      <c r="D2392" s="41" t="s">
        <v>281</v>
      </c>
      <c r="E2392" s="41">
        <v>10110159</v>
      </c>
      <c r="F2392" s="85" t="s">
        <v>826</v>
      </c>
      <c r="G2392" s="39" t="s">
        <v>92</v>
      </c>
      <c r="H2392" s="52" t="s">
        <v>93</v>
      </c>
      <c r="I2392" s="52">
        <v>1722.3999999999999</v>
      </c>
      <c r="J2392" s="49">
        <v>67099.95</v>
      </c>
      <c r="K2392" s="58">
        <v>708.2</v>
      </c>
      <c r="L2392" s="58">
        <v>27452.18</v>
      </c>
      <c r="M2392" s="58">
        <v>1014.4000000000001</v>
      </c>
      <c r="N2392" s="58">
        <v>39659.589999999997</v>
      </c>
      <c r="O2392" s="58">
        <v>1722.6000000000001</v>
      </c>
      <c r="P2392" s="53">
        <v>67111.76999999999</v>
      </c>
      <c r="Q2392" s="65">
        <v>67099.95</v>
      </c>
      <c r="R2392" s="65">
        <v>0</v>
      </c>
      <c r="S2392" s="65">
        <v>163.35</v>
      </c>
      <c r="T2392" s="65">
        <v>11.819999999992433</v>
      </c>
      <c r="U2392" s="58">
        <v>0</v>
      </c>
      <c r="V2392" s="65">
        <v>0</v>
      </c>
      <c r="W2392" s="65">
        <v>0</v>
      </c>
      <c r="X2392" s="65">
        <v>27441</v>
      </c>
      <c r="Y2392" s="65">
        <v>39496</v>
      </c>
      <c r="Z2392" s="51">
        <v>0</v>
      </c>
      <c r="AA2392" s="51">
        <v>0</v>
      </c>
      <c r="AB2392" s="102">
        <v>0</v>
      </c>
      <c r="AC2392" s="81">
        <f t="shared" si="114"/>
        <v>0</v>
      </c>
      <c r="AD2392" s="82">
        <f t="shared" si="115"/>
        <v>0</v>
      </c>
      <c r="AE2392" s="218">
        <v>-1.761551238114549E-4</v>
      </c>
      <c r="AF2392">
        <v>10</v>
      </c>
      <c r="AH2392" t="str">
        <f t="shared" si="116"/>
        <v>Sahibpur Kamal</v>
      </c>
      <c r="AJ2392" s="72">
        <v>0</v>
      </c>
      <c r="AK2392" s="72"/>
      <c r="AL2392" s="72"/>
      <c r="AM2392" s="72"/>
    </row>
    <row r="2393" spans="1:39" x14ac:dyDescent="0.25">
      <c r="A2393" s="37" t="s">
        <v>62</v>
      </c>
      <c r="B2393" s="66" t="s">
        <v>1654</v>
      </c>
      <c r="C2393" s="41">
        <v>1011</v>
      </c>
      <c r="D2393" s="41" t="s">
        <v>281</v>
      </c>
      <c r="E2393" s="41">
        <v>10110160</v>
      </c>
      <c r="F2393" s="85" t="s">
        <v>1121</v>
      </c>
      <c r="G2393" s="39" t="s">
        <v>1610</v>
      </c>
      <c r="H2393" s="52" t="s">
        <v>98</v>
      </c>
      <c r="I2393" s="52">
        <v>530</v>
      </c>
      <c r="J2393" s="49">
        <v>19738.89</v>
      </c>
      <c r="K2393" s="58">
        <v>0</v>
      </c>
      <c r="L2393" s="58">
        <v>0</v>
      </c>
      <c r="M2393" s="58">
        <v>0</v>
      </c>
      <c r="N2393" s="58">
        <v>0</v>
      </c>
      <c r="O2393" s="58">
        <v>0</v>
      </c>
      <c r="P2393" s="53">
        <v>0</v>
      </c>
      <c r="Q2393" s="65">
        <v>19738.89</v>
      </c>
      <c r="R2393" s="65">
        <v>0</v>
      </c>
      <c r="S2393" s="65">
        <v>0</v>
      </c>
      <c r="T2393" s="65">
        <v>0</v>
      </c>
      <c r="U2393" s="58">
        <v>0</v>
      </c>
      <c r="V2393" s="65">
        <v>0</v>
      </c>
      <c r="W2393" s="65">
        <v>0</v>
      </c>
      <c r="X2393" s="65">
        <v>0</v>
      </c>
      <c r="Y2393" s="65">
        <v>0</v>
      </c>
      <c r="Z2393" s="51">
        <v>19738.89</v>
      </c>
      <c r="AA2393" s="51">
        <v>0</v>
      </c>
      <c r="AB2393" s="102">
        <v>0</v>
      </c>
      <c r="AC2393" s="81">
        <f t="shared" si="114"/>
        <v>126.626841509434</v>
      </c>
      <c r="AD2393" s="82">
        <f t="shared" si="115"/>
        <v>75.714285714285708</v>
      </c>
      <c r="AE2393" s="218">
        <v>0</v>
      </c>
      <c r="AF2393">
        <v>0</v>
      </c>
      <c r="AH2393" t="str">
        <f t="shared" si="116"/>
        <v>Sahibpur Kamal</v>
      </c>
      <c r="AJ2393" s="72">
        <v>0</v>
      </c>
      <c r="AK2393" s="72"/>
      <c r="AL2393" s="72"/>
      <c r="AM2393" s="72"/>
    </row>
    <row r="2394" spans="1:39" x14ac:dyDescent="0.25">
      <c r="A2394" s="37" t="s">
        <v>62</v>
      </c>
      <c r="B2394" s="66" t="s">
        <v>1654</v>
      </c>
      <c r="C2394" s="41">
        <v>1011</v>
      </c>
      <c r="D2394" s="41" t="s">
        <v>281</v>
      </c>
      <c r="E2394" s="41">
        <v>10110161</v>
      </c>
      <c r="F2394" s="85" t="s">
        <v>1122</v>
      </c>
      <c r="G2394" s="39" t="s">
        <v>1610</v>
      </c>
      <c r="H2394" s="52" t="s">
        <v>98</v>
      </c>
      <c r="I2394" s="52">
        <v>709.09999999999991</v>
      </c>
      <c r="J2394" s="49">
        <v>26326.180000000004</v>
      </c>
      <c r="K2394" s="58">
        <v>0</v>
      </c>
      <c r="L2394" s="58">
        <v>0</v>
      </c>
      <c r="M2394" s="58">
        <v>0</v>
      </c>
      <c r="N2394" s="58">
        <v>0</v>
      </c>
      <c r="O2394" s="58">
        <v>0</v>
      </c>
      <c r="P2394" s="53">
        <v>0</v>
      </c>
      <c r="Q2394" s="65">
        <v>26326.180000000004</v>
      </c>
      <c r="R2394" s="65">
        <v>0</v>
      </c>
      <c r="S2394" s="65">
        <v>0</v>
      </c>
      <c r="T2394" s="65">
        <v>0</v>
      </c>
      <c r="U2394" s="58">
        <v>0</v>
      </c>
      <c r="V2394" s="65">
        <v>0</v>
      </c>
      <c r="W2394" s="65">
        <v>0</v>
      </c>
      <c r="X2394" s="65">
        <v>0</v>
      </c>
      <c r="Y2394" s="65">
        <v>0</v>
      </c>
      <c r="Z2394" s="51">
        <v>26326.180000000004</v>
      </c>
      <c r="AA2394" s="51">
        <v>0</v>
      </c>
      <c r="AB2394" s="102">
        <v>0</v>
      </c>
      <c r="AC2394" s="81">
        <f t="shared" si="114"/>
        <v>0</v>
      </c>
      <c r="AD2394" s="82">
        <f t="shared" si="115"/>
        <v>0</v>
      </c>
      <c r="AE2394" s="218">
        <v>0</v>
      </c>
      <c r="AF2394">
        <v>0</v>
      </c>
      <c r="AH2394" t="str">
        <f t="shared" si="116"/>
        <v>Sahibpur Kamal</v>
      </c>
      <c r="AJ2394" s="72">
        <v>0</v>
      </c>
      <c r="AK2394" s="72"/>
      <c r="AL2394" s="72"/>
      <c r="AM2394" s="72"/>
    </row>
    <row r="2395" spans="1:39" x14ac:dyDescent="0.25">
      <c r="A2395" s="37" t="s">
        <v>62</v>
      </c>
      <c r="B2395" s="66" t="s">
        <v>1654</v>
      </c>
      <c r="C2395" s="41">
        <v>1011</v>
      </c>
      <c r="D2395" s="41" t="s">
        <v>281</v>
      </c>
      <c r="E2395" s="41">
        <v>10110164</v>
      </c>
      <c r="F2395" s="85" t="s">
        <v>1220</v>
      </c>
      <c r="G2395" s="39" t="s">
        <v>92</v>
      </c>
      <c r="H2395" s="52" t="s">
        <v>93</v>
      </c>
      <c r="I2395" s="52">
        <v>248.5</v>
      </c>
      <c r="J2395" s="49">
        <v>10136.580000000002</v>
      </c>
      <c r="K2395" s="58">
        <v>249</v>
      </c>
      <c r="L2395" s="58">
        <v>10066.51</v>
      </c>
      <c r="M2395" s="58">
        <v>0</v>
      </c>
      <c r="N2395" s="58">
        <v>0</v>
      </c>
      <c r="O2395" s="58">
        <v>249</v>
      </c>
      <c r="P2395" s="53">
        <v>10066.51</v>
      </c>
      <c r="Q2395" s="65">
        <v>10066.51</v>
      </c>
      <c r="R2395" s="65">
        <v>0</v>
      </c>
      <c r="S2395" s="65">
        <v>0</v>
      </c>
      <c r="T2395" s="65">
        <v>0</v>
      </c>
      <c r="U2395" s="58">
        <v>0</v>
      </c>
      <c r="V2395" s="65">
        <v>0</v>
      </c>
      <c r="W2395" s="65">
        <v>0</v>
      </c>
      <c r="X2395" s="65">
        <v>10067</v>
      </c>
      <c r="Y2395" s="65">
        <v>0</v>
      </c>
      <c r="Z2395" s="51">
        <v>0</v>
      </c>
      <c r="AA2395" s="51">
        <v>70</v>
      </c>
      <c r="AB2395" s="102">
        <v>0</v>
      </c>
      <c r="AC2395" s="81">
        <f t="shared" si="114"/>
        <v>368.34332957746483</v>
      </c>
      <c r="AD2395" s="82">
        <f t="shared" si="115"/>
        <v>35.5</v>
      </c>
      <c r="AE2395" s="218">
        <v>6.9125878748060509E-3</v>
      </c>
      <c r="AF2395">
        <v>5</v>
      </c>
      <c r="AH2395" t="str">
        <f t="shared" si="116"/>
        <v>Sahibpur Kamal</v>
      </c>
      <c r="AJ2395" s="72">
        <v>0</v>
      </c>
      <c r="AK2395" s="72"/>
      <c r="AL2395" s="72"/>
      <c r="AM2395" s="72"/>
    </row>
    <row r="2396" spans="1:39" x14ac:dyDescent="0.25">
      <c r="A2396" s="37" t="s">
        <v>62</v>
      </c>
      <c r="B2396" s="66" t="s">
        <v>1654</v>
      </c>
      <c r="C2396" s="41">
        <v>1011</v>
      </c>
      <c r="D2396" s="41" t="s">
        <v>281</v>
      </c>
      <c r="E2396" s="41">
        <v>10110166</v>
      </c>
      <c r="F2396" s="85" t="s">
        <v>1601</v>
      </c>
      <c r="G2396" s="39" t="s">
        <v>1610</v>
      </c>
      <c r="H2396" s="52" t="s">
        <v>98</v>
      </c>
      <c r="I2396" s="52">
        <v>41.9</v>
      </c>
      <c r="J2396" s="49">
        <v>1537.27</v>
      </c>
      <c r="K2396" s="58">
        <v>0</v>
      </c>
      <c r="L2396" s="58">
        <v>0</v>
      </c>
      <c r="M2396" s="58">
        <v>0</v>
      </c>
      <c r="N2396" s="58">
        <v>0</v>
      </c>
      <c r="O2396" s="58">
        <v>0</v>
      </c>
      <c r="P2396" s="53">
        <v>0</v>
      </c>
      <c r="Q2396" s="65">
        <v>1537.27</v>
      </c>
      <c r="R2396" s="65">
        <v>0</v>
      </c>
      <c r="S2396" s="65">
        <v>0</v>
      </c>
      <c r="T2396" s="65">
        <v>0</v>
      </c>
      <c r="U2396" s="58">
        <v>0</v>
      </c>
      <c r="V2396" s="65">
        <v>0</v>
      </c>
      <c r="W2396" s="65">
        <v>0</v>
      </c>
      <c r="X2396" s="65">
        <v>0</v>
      </c>
      <c r="Y2396" s="65">
        <v>0</v>
      </c>
      <c r="Z2396" s="51">
        <v>1537.27</v>
      </c>
      <c r="AA2396" s="51">
        <v>0</v>
      </c>
      <c r="AB2396" s="102">
        <v>0</v>
      </c>
      <c r="AC2396" s="81">
        <f t="shared" si="114"/>
        <v>482.90090071599042</v>
      </c>
      <c r="AD2396" s="82">
        <f t="shared" si="115"/>
        <v>5.9857142857142858</v>
      </c>
      <c r="AE2396" s="218">
        <v>0</v>
      </c>
      <c r="AF2396">
        <v>0</v>
      </c>
      <c r="AH2396" t="str">
        <f t="shared" si="116"/>
        <v>Sahibpur Kamal</v>
      </c>
      <c r="AJ2396" s="72">
        <v>0</v>
      </c>
      <c r="AK2396" s="72"/>
      <c r="AL2396" s="72"/>
      <c r="AM2396" s="72"/>
    </row>
    <row r="2397" spans="1:39" x14ac:dyDescent="0.25">
      <c r="A2397" s="37" t="s">
        <v>62</v>
      </c>
      <c r="B2397" s="66" t="s">
        <v>1654</v>
      </c>
      <c r="C2397" s="41">
        <v>1011</v>
      </c>
      <c r="D2397" s="41" t="s">
        <v>281</v>
      </c>
      <c r="E2397" s="41">
        <v>10110168</v>
      </c>
      <c r="F2397" s="85" t="s">
        <v>1221</v>
      </c>
      <c r="G2397" s="39" t="s">
        <v>92</v>
      </c>
      <c r="H2397" s="52" t="s">
        <v>93</v>
      </c>
      <c r="I2397" s="52">
        <v>1605.8999999999999</v>
      </c>
      <c r="J2397" s="49">
        <v>61543.839999999989</v>
      </c>
      <c r="K2397" s="58">
        <v>1562.3000000000002</v>
      </c>
      <c r="L2397" s="58">
        <v>61275.299999999996</v>
      </c>
      <c r="M2397" s="58">
        <v>5.7</v>
      </c>
      <c r="N2397" s="58">
        <v>224.25000000000003</v>
      </c>
      <c r="O2397" s="58">
        <v>1568.0000000000002</v>
      </c>
      <c r="P2397" s="53">
        <v>61499.549999999996</v>
      </c>
      <c r="Q2397" s="65">
        <v>61499.549999999996</v>
      </c>
      <c r="R2397" s="65">
        <v>0</v>
      </c>
      <c r="S2397" s="65">
        <v>224.25000000000003</v>
      </c>
      <c r="T2397" s="65">
        <v>0</v>
      </c>
      <c r="U2397" s="58">
        <v>9450</v>
      </c>
      <c r="V2397" s="65">
        <v>0</v>
      </c>
      <c r="W2397" s="65">
        <v>0</v>
      </c>
      <c r="X2397" s="65">
        <v>51826</v>
      </c>
      <c r="Y2397" s="65">
        <v>0</v>
      </c>
      <c r="Z2397" s="51">
        <v>0</v>
      </c>
      <c r="AA2397" s="51">
        <v>44</v>
      </c>
      <c r="AB2397" s="102">
        <v>0</v>
      </c>
      <c r="AC2397" s="81">
        <f t="shared" si="114"/>
        <v>0</v>
      </c>
      <c r="AD2397" s="82">
        <f t="shared" si="115"/>
        <v>0</v>
      </c>
      <c r="AE2397" s="218">
        <v>7.1964960262462668E-4</v>
      </c>
      <c r="AF2397">
        <v>3</v>
      </c>
      <c r="AH2397" t="str">
        <f t="shared" si="116"/>
        <v>Sahibpur Kamal</v>
      </c>
      <c r="AJ2397" s="72">
        <v>0</v>
      </c>
      <c r="AK2397" s="72"/>
      <c r="AL2397" s="72"/>
      <c r="AM2397" s="72"/>
    </row>
    <row r="2398" spans="1:39" x14ac:dyDescent="0.25">
      <c r="A2398" s="37" t="s">
        <v>62</v>
      </c>
      <c r="B2398" s="66" t="s">
        <v>1654</v>
      </c>
      <c r="C2398" s="41">
        <v>1011</v>
      </c>
      <c r="D2398" s="41" t="s">
        <v>281</v>
      </c>
      <c r="E2398" s="41">
        <v>10110172</v>
      </c>
      <c r="F2398" s="85" t="s">
        <v>1233</v>
      </c>
      <c r="G2398" s="39" t="s">
        <v>92</v>
      </c>
      <c r="H2398" s="52" t="s">
        <v>93</v>
      </c>
      <c r="I2398" s="52">
        <v>237.80000000000004</v>
      </c>
      <c r="J2398" s="49">
        <v>9071.24</v>
      </c>
      <c r="K2398" s="58">
        <v>239</v>
      </c>
      <c r="L2398" s="58">
        <v>9103.51</v>
      </c>
      <c r="M2398" s="58">
        <v>0</v>
      </c>
      <c r="N2398" s="58">
        <v>0</v>
      </c>
      <c r="O2398" s="58">
        <v>239</v>
      </c>
      <c r="P2398" s="53">
        <v>9103.51</v>
      </c>
      <c r="Q2398" s="65">
        <v>9071.24</v>
      </c>
      <c r="R2398" s="65">
        <v>0</v>
      </c>
      <c r="S2398" s="65">
        <v>0</v>
      </c>
      <c r="T2398" s="65">
        <v>32.270000000000437</v>
      </c>
      <c r="U2398" s="58">
        <v>0</v>
      </c>
      <c r="V2398" s="65">
        <v>0</v>
      </c>
      <c r="W2398" s="65">
        <v>0</v>
      </c>
      <c r="X2398" s="65">
        <v>9071</v>
      </c>
      <c r="Y2398" s="65">
        <v>0</v>
      </c>
      <c r="Z2398" s="51">
        <v>0</v>
      </c>
      <c r="AA2398" s="51">
        <v>0</v>
      </c>
      <c r="AB2398" s="102">
        <v>0</v>
      </c>
      <c r="AC2398" s="81">
        <f t="shared" si="114"/>
        <v>352.62633540790574</v>
      </c>
      <c r="AD2398" s="82">
        <f t="shared" si="115"/>
        <v>33.971428571428575</v>
      </c>
      <c r="AE2398" s="218">
        <v>-3.5573967836812206E-3</v>
      </c>
      <c r="AF2398">
        <v>1</v>
      </c>
      <c r="AH2398" t="str">
        <f t="shared" si="116"/>
        <v>Sahibpur Kamal</v>
      </c>
      <c r="AJ2398" s="72">
        <v>0</v>
      </c>
      <c r="AK2398" s="72"/>
      <c r="AL2398" s="72"/>
      <c r="AM2398" s="72"/>
    </row>
    <row r="2399" spans="1:39" x14ac:dyDescent="0.25">
      <c r="A2399" s="37" t="s">
        <v>62</v>
      </c>
      <c r="B2399" s="66" t="s">
        <v>1654</v>
      </c>
      <c r="C2399" s="41">
        <v>1011</v>
      </c>
      <c r="D2399" s="41" t="s">
        <v>281</v>
      </c>
      <c r="E2399" s="41">
        <v>10110173</v>
      </c>
      <c r="F2399" s="85" t="s">
        <v>1222</v>
      </c>
      <c r="G2399" s="39" t="s">
        <v>1610</v>
      </c>
      <c r="H2399" s="52" t="s">
        <v>98</v>
      </c>
      <c r="I2399" s="52">
        <v>1110.1999999999998</v>
      </c>
      <c r="J2399" s="49">
        <v>48155.01</v>
      </c>
      <c r="K2399" s="58">
        <v>0</v>
      </c>
      <c r="L2399" s="58">
        <v>0</v>
      </c>
      <c r="M2399" s="58">
        <v>0</v>
      </c>
      <c r="N2399" s="58">
        <v>0</v>
      </c>
      <c r="O2399" s="58">
        <v>0</v>
      </c>
      <c r="P2399" s="53">
        <v>0</v>
      </c>
      <c r="Q2399" s="65">
        <v>48155.01</v>
      </c>
      <c r="R2399" s="65">
        <v>0</v>
      </c>
      <c r="S2399" s="65">
        <v>0</v>
      </c>
      <c r="T2399" s="65">
        <v>0</v>
      </c>
      <c r="U2399" s="58">
        <v>0</v>
      </c>
      <c r="V2399" s="65">
        <v>0</v>
      </c>
      <c r="W2399" s="65">
        <v>0</v>
      </c>
      <c r="X2399" s="65">
        <v>0</v>
      </c>
      <c r="Y2399" s="65">
        <v>0</v>
      </c>
      <c r="Z2399" s="51">
        <v>48155.01</v>
      </c>
      <c r="AA2399" s="51">
        <v>0</v>
      </c>
      <c r="AB2399" s="102">
        <v>0</v>
      </c>
      <c r="AC2399" s="81">
        <f t="shared" si="114"/>
        <v>0</v>
      </c>
      <c r="AD2399" s="82">
        <f t="shared" si="115"/>
        <v>0</v>
      </c>
      <c r="AE2399" s="218">
        <v>0</v>
      </c>
      <c r="AF2399">
        <v>0</v>
      </c>
      <c r="AH2399" t="str">
        <f t="shared" si="116"/>
        <v>Sahibpur Kamal</v>
      </c>
      <c r="AJ2399" s="72">
        <v>0</v>
      </c>
      <c r="AK2399" s="72"/>
      <c r="AL2399" s="72"/>
      <c r="AM2399" s="72"/>
    </row>
    <row r="2400" spans="1:39" x14ac:dyDescent="0.25">
      <c r="A2400" s="37" t="s">
        <v>62</v>
      </c>
      <c r="B2400" s="66" t="s">
        <v>1654</v>
      </c>
      <c r="C2400" s="41">
        <v>1011</v>
      </c>
      <c r="D2400" s="41" t="s">
        <v>281</v>
      </c>
      <c r="E2400" s="41">
        <v>10110176</v>
      </c>
      <c r="F2400" s="85" t="s">
        <v>1250</v>
      </c>
      <c r="G2400" s="39" t="s">
        <v>1610</v>
      </c>
      <c r="H2400" s="52" t="s">
        <v>98</v>
      </c>
      <c r="I2400" s="52">
        <v>570.4</v>
      </c>
      <c r="J2400" s="49">
        <v>22611.780000000002</v>
      </c>
      <c r="K2400" s="58">
        <v>0</v>
      </c>
      <c r="L2400" s="58">
        <v>0</v>
      </c>
      <c r="M2400" s="58">
        <v>0</v>
      </c>
      <c r="N2400" s="58">
        <v>0</v>
      </c>
      <c r="O2400" s="58">
        <v>0</v>
      </c>
      <c r="P2400" s="53">
        <v>0</v>
      </c>
      <c r="Q2400" s="65">
        <v>22611.780000000002</v>
      </c>
      <c r="R2400" s="65">
        <v>0</v>
      </c>
      <c r="S2400" s="65">
        <v>0</v>
      </c>
      <c r="T2400" s="65">
        <v>0</v>
      </c>
      <c r="U2400" s="58">
        <v>0</v>
      </c>
      <c r="V2400" s="65">
        <v>0</v>
      </c>
      <c r="W2400" s="65">
        <v>0</v>
      </c>
      <c r="X2400" s="65">
        <v>0</v>
      </c>
      <c r="Y2400" s="65">
        <v>0</v>
      </c>
      <c r="Z2400" s="51">
        <v>22611.780000000002</v>
      </c>
      <c r="AA2400" s="51">
        <v>0</v>
      </c>
      <c r="AB2400" s="102">
        <v>0</v>
      </c>
      <c r="AC2400" s="81">
        <f t="shared" si="114"/>
        <v>102.75198765778406</v>
      </c>
      <c r="AD2400" s="82">
        <f t="shared" si="115"/>
        <v>81.48571428571428</v>
      </c>
      <c r="AE2400" s="218">
        <v>0</v>
      </c>
      <c r="AF2400">
        <v>0</v>
      </c>
      <c r="AH2400" t="str">
        <f t="shared" si="116"/>
        <v>Sahibpur Kamal</v>
      </c>
      <c r="AJ2400" s="72">
        <v>0</v>
      </c>
      <c r="AK2400" s="72"/>
      <c r="AL2400" s="72"/>
      <c r="AM2400" s="72"/>
    </row>
    <row r="2401" spans="1:39" x14ac:dyDescent="0.25">
      <c r="A2401" s="37" t="s">
        <v>62</v>
      </c>
      <c r="B2401" s="66" t="s">
        <v>1654</v>
      </c>
      <c r="C2401" s="41">
        <v>1011</v>
      </c>
      <c r="D2401" s="41" t="s">
        <v>281</v>
      </c>
      <c r="E2401" s="41">
        <v>10110177</v>
      </c>
      <c r="F2401" s="85" t="s">
        <v>1337</v>
      </c>
      <c r="G2401" s="39" t="s">
        <v>92</v>
      </c>
      <c r="H2401" s="52" t="s">
        <v>93</v>
      </c>
      <c r="I2401" s="52">
        <v>815.5</v>
      </c>
      <c r="J2401" s="49">
        <v>35238.409999999996</v>
      </c>
      <c r="K2401" s="58">
        <v>813.00000000000011</v>
      </c>
      <c r="L2401" s="58">
        <v>35701.35</v>
      </c>
      <c r="M2401" s="58">
        <v>2.8000000000000003</v>
      </c>
      <c r="N2401" s="58">
        <v>136.4</v>
      </c>
      <c r="O2401" s="58">
        <v>815.80000000000007</v>
      </c>
      <c r="P2401" s="53">
        <v>35837.75</v>
      </c>
      <c r="Q2401" s="65">
        <v>35238.409999999996</v>
      </c>
      <c r="R2401" s="65">
        <v>0</v>
      </c>
      <c r="S2401" s="65">
        <v>136.4</v>
      </c>
      <c r="T2401" s="65">
        <v>599.34000000000378</v>
      </c>
      <c r="U2401" s="58">
        <v>0</v>
      </c>
      <c r="V2401" s="65">
        <v>0</v>
      </c>
      <c r="W2401" s="65">
        <v>0</v>
      </c>
      <c r="X2401" s="65">
        <v>35102</v>
      </c>
      <c r="Y2401" s="65">
        <v>0</v>
      </c>
      <c r="Z2401" s="51">
        <v>0</v>
      </c>
      <c r="AA2401" s="51">
        <v>0</v>
      </c>
      <c r="AB2401" s="102">
        <v>0</v>
      </c>
      <c r="AC2401" s="81">
        <f t="shared" si="114"/>
        <v>0</v>
      </c>
      <c r="AD2401" s="82">
        <f t="shared" si="115"/>
        <v>0</v>
      </c>
      <c r="AE2401" s="218">
        <v>-1.7008145373188059E-2</v>
      </c>
      <c r="AF2401">
        <v>3</v>
      </c>
      <c r="AH2401" t="str">
        <f t="shared" si="116"/>
        <v>Sahibpur Kamal</v>
      </c>
      <c r="AJ2401" s="72">
        <v>0</v>
      </c>
      <c r="AK2401" s="72"/>
      <c r="AL2401" s="72"/>
      <c r="AM2401" s="72"/>
    </row>
    <row r="2402" spans="1:39" x14ac:dyDescent="0.25">
      <c r="A2402" s="37" t="s">
        <v>62</v>
      </c>
      <c r="B2402" s="66" t="s">
        <v>1654</v>
      </c>
      <c r="C2402" s="41">
        <v>1011</v>
      </c>
      <c r="D2402" s="41" t="s">
        <v>281</v>
      </c>
      <c r="E2402" s="41">
        <v>10110178</v>
      </c>
      <c r="F2402" s="85" t="s">
        <v>1263</v>
      </c>
      <c r="G2402" s="39" t="s">
        <v>1610</v>
      </c>
      <c r="H2402" s="52" t="s">
        <v>98</v>
      </c>
      <c r="I2402" s="52">
        <v>14314.599999999999</v>
      </c>
      <c r="J2402" s="49">
        <v>561377.49000000011</v>
      </c>
      <c r="K2402" s="58">
        <v>0</v>
      </c>
      <c r="L2402" s="58">
        <v>0</v>
      </c>
      <c r="M2402" s="58">
        <v>0</v>
      </c>
      <c r="N2402" s="58">
        <v>0</v>
      </c>
      <c r="O2402" s="58">
        <v>0</v>
      </c>
      <c r="P2402" s="53">
        <v>0</v>
      </c>
      <c r="Q2402" s="65">
        <v>561377.49000000011</v>
      </c>
      <c r="R2402" s="65">
        <v>0</v>
      </c>
      <c r="S2402" s="65">
        <v>0</v>
      </c>
      <c r="T2402" s="65">
        <v>0</v>
      </c>
      <c r="U2402" s="58">
        <v>0</v>
      </c>
      <c r="V2402" s="65">
        <v>0</v>
      </c>
      <c r="W2402" s="65">
        <v>0</v>
      </c>
      <c r="X2402" s="65">
        <v>0</v>
      </c>
      <c r="Y2402" s="65">
        <v>0</v>
      </c>
      <c r="Z2402" s="51">
        <v>561377.49000000011</v>
      </c>
      <c r="AA2402" s="51">
        <v>0</v>
      </c>
      <c r="AB2402" s="102">
        <v>0</v>
      </c>
      <c r="AC2402" s="81">
        <f t="shared" si="114"/>
        <v>0</v>
      </c>
      <c r="AD2402" s="82">
        <f t="shared" si="115"/>
        <v>0</v>
      </c>
      <c r="AE2402" s="218">
        <v>0</v>
      </c>
      <c r="AF2402">
        <v>0</v>
      </c>
      <c r="AH2402" t="str">
        <f t="shared" si="116"/>
        <v>Sahibpur Kamal</v>
      </c>
      <c r="AJ2402" s="72">
        <v>0</v>
      </c>
      <c r="AK2402" s="72"/>
      <c r="AL2402" s="72"/>
      <c r="AM2402" s="72"/>
    </row>
    <row r="2403" spans="1:39" x14ac:dyDescent="0.25">
      <c r="A2403" s="37" t="s">
        <v>62</v>
      </c>
      <c r="B2403" s="66" t="s">
        <v>1654</v>
      </c>
      <c r="C2403" s="41">
        <v>1011</v>
      </c>
      <c r="D2403" s="41" t="s">
        <v>281</v>
      </c>
      <c r="E2403" s="41">
        <v>10110179</v>
      </c>
      <c r="F2403" s="85" t="s">
        <v>1617</v>
      </c>
      <c r="G2403" s="39" t="s">
        <v>1610</v>
      </c>
      <c r="H2403" s="52" t="s">
        <v>98</v>
      </c>
      <c r="I2403" s="52">
        <v>634.70000000000005</v>
      </c>
      <c r="J2403" s="49">
        <v>26299.490000000005</v>
      </c>
      <c r="K2403" s="58">
        <v>0</v>
      </c>
      <c r="L2403" s="58">
        <v>0</v>
      </c>
      <c r="M2403" s="58">
        <v>0</v>
      </c>
      <c r="N2403" s="58">
        <v>0</v>
      </c>
      <c r="O2403" s="58">
        <v>0</v>
      </c>
      <c r="P2403" s="53">
        <v>0</v>
      </c>
      <c r="Q2403" s="65">
        <v>26299.490000000005</v>
      </c>
      <c r="R2403" s="65">
        <v>0</v>
      </c>
      <c r="S2403" s="65">
        <v>0</v>
      </c>
      <c r="T2403" s="65">
        <v>0</v>
      </c>
      <c r="U2403" s="58">
        <v>0</v>
      </c>
      <c r="V2403" s="65">
        <v>0</v>
      </c>
      <c r="W2403" s="65">
        <v>0</v>
      </c>
      <c r="X2403" s="65">
        <v>0</v>
      </c>
      <c r="Y2403" s="65">
        <v>0</v>
      </c>
      <c r="Z2403" s="51">
        <v>26299.490000000005</v>
      </c>
      <c r="AA2403" s="51">
        <v>0</v>
      </c>
      <c r="AB2403" s="102">
        <v>0</v>
      </c>
      <c r="AC2403" s="81">
        <f t="shared" si="114"/>
        <v>54.115541106034314</v>
      </c>
      <c r="AD2403" s="82">
        <f t="shared" si="115"/>
        <v>90.671428571428578</v>
      </c>
      <c r="AE2403" s="218">
        <v>0</v>
      </c>
      <c r="AF2403">
        <v>0</v>
      </c>
      <c r="AH2403" t="str">
        <f t="shared" si="116"/>
        <v>Sahibpur Kamal</v>
      </c>
      <c r="AJ2403" s="72">
        <v>0</v>
      </c>
      <c r="AK2403" s="72"/>
      <c r="AL2403" s="72"/>
      <c r="AM2403" s="72"/>
    </row>
    <row r="2404" spans="1:39" x14ac:dyDescent="0.25">
      <c r="A2404" s="37" t="s">
        <v>62</v>
      </c>
      <c r="B2404" s="66" t="s">
        <v>1654</v>
      </c>
      <c r="C2404" s="41">
        <v>1011</v>
      </c>
      <c r="D2404" s="41" t="s">
        <v>281</v>
      </c>
      <c r="E2404" s="41">
        <v>10110183</v>
      </c>
      <c r="F2404" s="85" t="s">
        <v>1349</v>
      </c>
      <c r="G2404" s="39" t="s">
        <v>1610</v>
      </c>
      <c r="H2404" s="52" t="s">
        <v>98</v>
      </c>
      <c r="I2404" s="52">
        <v>3430.2</v>
      </c>
      <c r="J2404" s="49">
        <v>143568.07</v>
      </c>
      <c r="K2404" s="58">
        <v>0</v>
      </c>
      <c r="L2404" s="58">
        <v>0</v>
      </c>
      <c r="M2404" s="58">
        <v>0</v>
      </c>
      <c r="N2404" s="58">
        <v>0</v>
      </c>
      <c r="O2404" s="58">
        <v>0</v>
      </c>
      <c r="P2404" s="53">
        <v>0</v>
      </c>
      <c r="Q2404" s="65">
        <v>143568.07</v>
      </c>
      <c r="R2404" s="65">
        <v>0</v>
      </c>
      <c r="S2404" s="65">
        <v>0</v>
      </c>
      <c r="T2404" s="65">
        <v>0</v>
      </c>
      <c r="U2404" s="58">
        <v>0</v>
      </c>
      <c r="V2404" s="65">
        <v>0</v>
      </c>
      <c r="W2404" s="65">
        <v>0</v>
      </c>
      <c r="X2404" s="65">
        <v>0</v>
      </c>
      <c r="Y2404" s="65">
        <v>0</v>
      </c>
      <c r="Z2404" s="51">
        <v>143568.07</v>
      </c>
      <c r="AA2404" s="51">
        <v>0</v>
      </c>
      <c r="AB2404" s="102">
        <v>0</v>
      </c>
      <c r="AC2404" s="81">
        <f t="shared" si="114"/>
        <v>0</v>
      </c>
      <c r="AD2404" s="82">
        <f t="shared" si="115"/>
        <v>0</v>
      </c>
      <c r="AE2404" s="218">
        <v>0</v>
      </c>
      <c r="AF2404">
        <v>0</v>
      </c>
      <c r="AH2404" t="str">
        <f t="shared" si="116"/>
        <v>Sahibpur Kamal</v>
      </c>
      <c r="AJ2404" s="72">
        <v>0</v>
      </c>
      <c r="AK2404" s="72"/>
      <c r="AL2404" s="72"/>
      <c r="AM2404" s="72"/>
    </row>
    <row r="2405" spans="1:39" x14ac:dyDescent="0.25">
      <c r="A2405" s="37" t="s">
        <v>62</v>
      </c>
      <c r="B2405" s="66" t="s">
        <v>1654</v>
      </c>
      <c r="C2405" s="41">
        <v>1011</v>
      </c>
      <c r="D2405" s="41" t="s">
        <v>281</v>
      </c>
      <c r="E2405" s="41">
        <v>10110184</v>
      </c>
      <c r="F2405" s="85" t="s">
        <v>1350</v>
      </c>
      <c r="G2405" s="39" t="s">
        <v>1610</v>
      </c>
      <c r="H2405" s="52" t="s">
        <v>93</v>
      </c>
      <c r="I2405" s="52">
        <v>482.70000000000005</v>
      </c>
      <c r="J2405" s="49">
        <v>21280</v>
      </c>
      <c r="K2405" s="58">
        <v>0</v>
      </c>
      <c r="L2405" s="58">
        <v>0</v>
      </c>
      <c r="M2405" s="58">
        <v>0</v>
      </c>
      <c r="N2405" s="58">
        <v>0</v>
      </c>
      <c r="O2405" s="58">
        <v>0</v>
      </c>
      <c r="P2405" s="53">
        <v>0</v>
      </c>
      <c r="Q2405" s="65">
        <v>0</v>
      </c>
      <c r="R2405" s="65">
        <v>0</v>
      </c>
      <c r="S2405" s="65">
        <v>0</v>
      </c>
      <c r="T2405" s="65">
        <v>0</v>
      </c>
      <c r="U2405" s="58">
        <v>0</v>
      </c>
      <c r="V2405" s="65">
        <v>0</v>
      </c>
      <c r="W2405" s="65">
        <v>0</v>
      </c>
      <c r="X2405" s="65">
        <v>0</v>
      </c>
      <c r="Y2405" s="65">
        <v>0</v>
      </c>
      <c r="Z2405" s="51">
        <v>21280</v>
      </c>
      <c r="AA2405" s="51">
        <v>0</v>
      </c>
      <c r="AB2405" s="102">
        <v>0</v>
      </c>
      <c r="AC2405" s="81">
        <f t="shared" si="114"/>
        <v>191.59494510047639</v>
      </c>
      <c r="AD2405" s="82">
        <f t="shared" si="115"/>
        <v>68.95714285714287</v>
      </c>
      <c r="AE2405" s="218">
        <v>1</v>
      </c>
      <c r="AF2405">
        <v>0</v>
      </c>
      <c r="AH2405" t="str">
        <f t="shared" si="116"/>
        <v>Sahibpur Kamal</v>
      </c>
      <c r="AJ2405" s="72">
        <v>0</v>
      </c>
      <c r="AK2405" s="72"/>
      <c r="AL2405" s="72"/>
      <c r="AM2405" s="72"/>
    </row>
    <row r="2406" spans="1:39" x14ac:dyDescent="0.25">
      <c r="A2406" s="37" t="s">
        <v>62</v>
      </c>
      <c r="B2406" s="66" t="s">
        <v>1654</v>
      </c>
      <c r="C2406" s="41">
        <v>1011</v>
      </c>
      <c r="D2406" s="41" t="s">
        <v>281</v>
      </c>
      <c r="E2406" s="41">
        <v>10110185</v>
      </c>
      <c r="F2406" s="85" t="s">
        <v>1363</v>
      </c>
      <c r="G2406" s="39" t="s">
        <v>1610</v>
      </c>
      <c r="H2406" s="52" t="s">
        <v>98</v>
      </c>
      <c r="I2406" s="52">
        <v>357.40000000000003</v>
      </c>
      <c r="J2406" s="49">
        <v>14717.52</v>
      </c>
      <c r="K2406" s="58">
        <v>0</v>
      </c>
      <c r="L2406" s="58">
        <v>0</v>
      </c>
      <c r="M2406" s="58">
        <v>0</v>
      </c>
      <c r="N2406" s="58">
        <v>0</v>
      </c>
      <c r="O2406" s="58">
        <v>0</v>
      </c>
      <c r="P2406" s="53">
        <v>0</v>
      </c>
      <c r="Q2406" s="65">
        <v>14717.52</v>
      </c>
      <c r="R2406" s="65">
        <v>0</v>
      </c>
      <c r="S2406" s="65">
        <v>0</v>
      </c>
      <c r="T2406" s="65">
        <v>0</v>
      </c>
      <c r="U2406" s="58">
        <v>0</v>
      </c>
      <c r="V2406" s="65">
        <v>0</v>
      </c>
      <c r="W2406" s="65">
        <v>0</v>
      </c>
      <c r="X2406" s="65">
        <v>0</v>
      </c>
      <c r="Y2406" s="65">
        <v>0</v>
      </c>
      <c r="Z2406" s="51">
        <v>14717.52</v>
      </c>
      <c r="AA2406" s="51">
        <v>0</v>
      </c>
      <c r="AB2406" s="102">
        <v>0</v>
      </c>
      <c r="AC2406" s="81">
        <f t="shared" si="114"/>
        <v>282.16129557918293</v>
      </c>
      <c r="AD2406" s="82">
        <f t="shared" si="115"/>
        <v>51.057142857142864</v>
      </c>
      <c r="AE2406" s="218">
        <v>0</v>
      </c>
      <c r="AF2406">
        <v>0</v>
      </c>
      <c r="AH2406" t="str">
        <f t="shared" si="116"/>
        <v>Sahibpur Kamal</v>
      </c>
      <c r="AJ2406" s="72">
        <v>0</v>
      </c>
      <c r="AK2406" s="72"/>
      <c r="AL2406" s="72"/>
      <c r="AM2406" s="72"/>
    </row>
    <row r="2407" spans="1:39" x14ac:dyDescent="0.25">
      <c r="A2407" s="37" t="s">
        <v>62</v>
      </c>
      <c r="B2407" s="66" t="s">
        <v>1654</v>
      </c>
      <c r="C2407" s="41">
        <v>1011</v>
      </c>
      <c r="D2407" s="41" t="s">
        <v>281</v>
      </c>
      <c r="E2407" s="41">
        <v>10110187</v>
      </c>
      <c r="F2407" s="85" t="s">
        <v>1427</v>
      </c>
      <c r="G2407" s="39" t="s">
        <v>1610</v>
      </c>
      <c r="H2407" s="52" t="s">
        <v>93</v>
      </c>
      <c r="I2407" s="52">
        <v>889.70000000000016</v>
      </c>
      <c r="J2407" s="49">
        <v>33418.51</v>
      </c>
      <c r="K2407" s="58">
        <v>890</v>
      </c>
      <c r="L2407" s="58">
        <v>33401.699999999997</v>
      </c>
      <c r="M2407" s="58">
        <v>0</v>
      </c>
      <c r="N2407" s="58">
        <v>0</v>
      </c>
      <c r="O2407" s="58">
        <v>890</v>
      </c>
      <c r="P2407" s="53">
        <v>33401.699999999997</v>
      </c>
      <c r="Q2407" s="65">
        <v>33401.699999999997</v>
      </c>
      <c r="R2407" s="65">
        <v>0</v>
      </c>
      <c r="S2407" s="65">
        <v>0</v>
      </c>
      <c r="T2407" s="65">
        <v>0</v>
      </c>
      <c r="U2407" s="58">
        <v>0</v>
      </c>
      <c r="V2407" s="65">
        <v>0</v>
      </c>
      <c r="W2407" s="65">
        <v>0</v>
      </c>
      <c r="X2407" s="65">
        <v>33402</v>
      </c>
      <c r="Y2407" s="65">
        <v>0</v>
      </c>
      <c r="Z2407" s="51">
        <v>0</v>
      </c>
      <c r="AA2407" s="51">
        <v>17</v>
      </c>
      <c r="AB2407" s="102">
        <v>0</v>
      </c>
      <c r="AC2407" s="81">
        <f t="shared" si="114"/>
        <v>0</v>
      </c>
      <c r="AD2407" s="82">
        <f t="shared" si="115"/>
        <v>0</v>
      </c>
      <c r="AE2407" s="218">
        <v>5.0301464667350357E-4</v>
      </c>
      <c r="AF2407">
        <v>1</v>
      </c>
      <c r="AH2407" t="str">
        <f t="shared" si="116"/>
        <v>Sahibpur Kamal</v>
      </c>
      <c r="AJ2407" s="72">
        <v>0</v>
      </c>
      <c r="AK2407" s="72"/>
      <c r="AL2407" s="72"/>
      <c r="AM2407" s="72"/>
    </row>
    <row r="2408" spans="1:39" x14ac:dyDescent="0.25">
      <c r="A2408" s="37" t="s">
        <v>62</v>
      </c>
      <c r="B2408" s="66" t="s">
        <v>1654</v>
      </c>
      <c r="C2408" s="41">
        <v>1011</v>
      </c>
      <c r="D2408" s="41" t="s">
        <v>281</v>
      </c>
      <c r="E2408" s="41">
        <v>10110188</v>
      </c>
      <c r="F2408" s="85" t="s">
        <v>1410</v>
      </c>
      <c r="G2408" s="39" t="s">
        <v>1610</v>
      </c>
      <c r="H2408" s="52" t="s">
        <v>98</v>
      </c>
      <c r="I2408" s="52">
        <v>38.200000000000003</v>
      </c>
      <c r="J2408" s="49">
        <v>1444.34</v>
      </c>
      <c r="K2408" s="58">
        <v>0</v>
      </c>
      <c r="L2408" s="58">
        <v>0</v>
      </c>
      <c r="M2408" s="58">
        <v>0</v>
      </c>
      <c r="N2408" s="58">
        <v>0</v>
      </c>
      <c r="O2408" s="58">
        <v>0</v>
      </c>
      <c r="P2408" s="53">
        <v>0</v>
      </c>
      <c r="Q2408" s="65">
        <v>1444.34</v>
      </c>
      <c r="R2408" s="65">
        <v>0</v>
      </c>
      <c r="S2408" s="65">
        <v>0</v>
      </c>
      <c r="T2408" s="65">
        <v>0</v>
      </c>
      <c r="U2408" s="58">
        <v>0</v>
      </c>
      <c r="V2408" s="65">
        <v>0</v>
      </c>
      <c r="W2408" s="65">
        <v>0</v>
      </c>
      <c r="X2408" s="65">
        <v>0</v>
      </c>
      <c r="Y2408" s="65">
        <v>0</v>
      </c>
      <c r="Z2408" s="51">
        <v>1444.34</v>
      </c>
      <c r="AA2408" s="51">
        <v>0</v>
      </c>
      <c r="AB2408" s="102">
        <v>0</v>
      </c>
      <c r="AC2408" s="81">
        <f t="shared" si="114"/>
        <v>500.4524670157067</v>
      </c>
      <c r="AD2408" s="82">
        <f t="shared" si="115"/>
        <v>5.4571428571428573</v>
      </c>
      <c r="AE2408" s="218">
        <v>0</v>
      </c>
      <c r="AF2408">
        <v>0</v>
      </c>
      <c r="AH2408" t="str">
        <f t="shared" si="116"/>
        <v>Sahibpur Kamal</v>
      </c>
      <c r="AJ2408" s="72">
        <v>0</v>
      </c>
      <c r="AK2408" s="72"/>
      <c r="AL2408" s="72"/>
      <c r="AM2408" s="72"/>
    </row>
    <row r="2409" spans="1:39" x14ac:dyDescent="0.25">
      <c r="A2409" s="37" t="s">
        <v>62</v>
      </c>
      <c r="B2409" s="66" t="s">
        <v>1654</v>
      </c>
      <c r="C2409" s="41">
        <v>1011</v>
      </c>
      <c r="D2409" s="41" t="s">
        <v>281</v>
      </c>
      <c r="E2409" s="41">
        <v>10110190</v>
      </c>
      <c r="F2409" s="85" t="s">
        <v>1579</v>
      </c>
      <c r="G2409" s="39" t="s">
        <v>1610</v>
      </c>
      <c r="H2409" s="52" t="s">
        <v>98</v>
      </c>
      <c r="I2409" s="52">
        <v>7881</v>
      </c>
      <c r="J2409" s="49">
        <v>320057.51</v>
      </c>
      <c r="K2409" s="58">
        <v>0</v>
      </c>
      <c r="L2409" s="58">
        <v>0</v>
      </c>
      <c r="M2409" s="58">
        <v>0</v>
      </c>
      <c r="N2409" s="58">
        <v>0</v>
      </c>
      <c r="O2409" s="58">
        <v>0</v>
      </c>
      <c r="P2409" s="53">
        <v>0</v>
      </c>
      <c r="Q2409" s="65">
        <v>320057.51</v>
      </c>
      <c r="R2409" s="65">
        <v>0</v>
      </c>
      <c r="S2409" s="65">
        <v>0</v>
      </c>
      <c r="T2409" s="65">
        <v>0</v>
      </c>
      <c r="U2409" s="58">
        <v>0</v>
      </c>
      <c r="V2409" s="65">
        <v>0</v>
      </c>
      <c r="W2409" s="65">
        <v>0</v>
      </c>
      <c r="X2409" s="65">
        <v>0</v>
      </c>
      <c r="Y2409" s="65">
        <v>0</v>
      </c>
      <c r="Z2409" s="51">
        <v>320057.51</v>
      </c>
      <c r="AA2409" s="51">
        <v>0</v>
      </c>
      <c r="AB2409" s="102">
        <v>0</v>
      </c>
      <c r="AC2409" s="81">
        <f t="shared" si="114"/>
        <v>0</v>
      </c>
      <c r="AD2409" s="82">
        <f t="shared" si="115"/>
        <v>0</v>
      </c>
      <c r="AE2409" s="218">
        <v>0</v>
      </c>
      <c r="AF2409">
        <v>0</v>
      </c>
      <c r="AH2409" t="str">
        <f t="shared" si="116"/>
        <v>Sahibpur Kamal</v>
      </c>
      <c r="AJ2409" s="72">
        <v>0</v>
      </c>
      <c r="AK2409" s="72"/>
      <c r="AL2409" s="72"/>
      <c r="AM2409" s="72"/>
    </row>
    <row r="2410" spans="1:39" x14ac:dyDescent="0.25">
      <c r="A2410" s="37" t="s">
        <v>62</v>
      </c>
      <c r="B2410" s="66" t="s">
        <v>1654</v>
      </c>
      <c r="C2410" s="41">
        <v>1012</v>
      </c>
      <c r="D2410" s="41" t="s">
        <v>306</v>
      </c>
      <c r="E2410" s="41">
        <v>10120001</v>
      </c>
      <c r="F2410" s="85" t="s">
        <v>307</v>
      </c>
      <c r="G2410" s="39" t="s">
        <v>92</v>
      </c>
      <c r="H2410" s="52" t="s">
        <v>98</v>
      </c>
      <c r="I2410" s="52">
        <v>246.95000000000002</v>
      </c>
      <c r="J2410" s="49">
        <v>9973.3500000000022</v>
      </c>
      <c r="K2410" s="58">
        <v>0</v>
      </c>
      <c r="L2410" s="58">
        <v>0</v>
      </c>
      <c r="M2410" s="58">
        <v>0</v>
      </c>
      <c r="N2410" s="58">
        <v>0</v>
      </c>
      <c r="O2410" s="58">
        <v>0</v>
      </c>
      <c r="P2410" s="53">
        <v>0</v>
      </c>
      <c r="Q2410" s="65">
        <v>9973.3500000000022</v>
      </c>
      <c r="R2410" s="65">
        <v>0</v>
      </c>
      <c r="S2410" s="65">
        <v>0</v>
      </c>
      <c r="T2410" s="65">
        <v>0</v>
      </c>
      <c r="U2410" s="58">
        <v>0</v>
      </c>
      <c r="V2410" s="65">
        <v>0</v>
      </c>
      <c r="W2410" s="65">
        <v>0</v>
      </c>
      <c r="X2410" s="65">
        <v>0</v>
      </c>
      <c r="Y2410" s="65">
        <v>0</v>
      </c>
      <c r="Z2410" s="51">
        <v>9973.3500000000022</v>
      </c>
      <c r="AA2410" s="51">
        <v>0</v>
      </c>
      <c r="AB2410" s="102">
        <v>0</v>
      </c>
      <c r="AC2410" s="81">
        <f t="shared" si="114"/>
        <v>365.93854768171695</v>
      </c>
      <c r="AD2410" s="82">
        <f t="shared" si="115"/>
        <v>35.278571428571432</v>
      </c>
      <c r="AE2410" s="218">
        <v>0</v>
      </c>
      <c r="AF2410">
        <v>0</v>
      </c>
      <c r="AH2410" t="str">
        <f t="shared" si="116"/>
        <v>DalsinghSarai</v>
      </c>
      <c r="AJ2410" s="72">
        <v>0</v>
      </c>
      <c r="AK2410" s="72"/>
      <c r="AL2410" s="72"/>
      <c r="AM2410" s="72"/>
    </row>
    <row r="2411" spans="1:39" x14ac:dyDescent="0.25">
      <c r="A2411" s="37" t="s">
        <v>62</v>
      </c>
      <c r="B2411" s="66" t="s">
        <v>1654</v>
      </c>
      <c r="C2411" s="41">
        <v>1012</v>
      </c>
      <c r="D2411" s="41" t="s">
        <v>306</v>
      </c>
      <c r="E2411" s="41">
        <v>10120002</v>
      </c>
      <c r="F2411" s="85" t="s">
        <v>308</v>
      </c>
      <c r="G2411" s="39" t="s">
        <v>92</v>
      </c>
      <c r="H2411" s="52" t="s">
        <v>98</v>
      </c>
      <c r="I2411" s="52">
        <v>489.74999999999994</v>
      </c>
      <c r="J2411" s="49">
        <v>19179.14</v>
      </c>
      <c r="K2411" s="58">
        <v>0</v>
      </c>
      <c r="L2411" s="58">
        <v>0</v>
      </c>
      <c r="M2411" s="58">
        <v>0</v>
      </c>
      <c r="N2411" s="58">
        <v>0</v>
      </c>
      <c r="O2411" s="58">
        <v>0</v>
      </c>
      <c r="P2411" s="53">
        <v>0</v>
      </c>
      <c r="Q2411" s="65">
        <v>19179.14</v>
      </c>
      <c r="R2411" s="65">
        <v>0</v>
      </c>
      <c r="S2411" s="65">
        <v>0</v>
      </c>
      <c r="T2411" s="65">
        <v>0</v>
      </c>
      <c r="U2411" s="58">
        <v>0</v>
      </c>
      <c r="V2411" s="65">
        <v>0</v>
      </c>
      <c r="W2411" s="65">
        <v>0</v>
      </c>
      <c r="X2411" s="65">
        <v>0</v>
      </c>
      <c r="Y2411" s="65">
        <v>0</v>
      </c>
      <c r="Z2411" s="51">
        <v>19179.14</v>
      </c>
      <c r="AA2411" s="51">
        <v>0</v>
      </c>
      <c r="AB2411" s="102">
        <v>0</v>
      </c>
      <c r="AC2411" s="81">
        <f t="shared" si="114"/>
        <v>164.67235058703429</v>
      </c>
      <c r="AD2411" s="82">
        <f t="shared" si="115"/>
        <v>69.964285714285708</v>
      </c>
      <c r="AE2411" s="218">
        <v>0</v>
      </c>
      <c r="AF2411">
        <v>0</v>
      </c>
      <c r="AH2411" t="str">
        <f t="shared" si="116"/>
        <v>DalsinghSarai</v>
      </c>
      <c r="AJ2411" s="72">
        <v>0</v>
      </c>
      <c r="AK2411" s="72"/>
      <c r="AL2411" s="72"/>
      <c r="AM2411" s="72"/>
    </row>
    <row r="2412" spans="1:39" x14ac:dyDescent="0.25">
      <c r="A2412" s="37" t="s">
        <v>62</v>
      </c>
      <c r="B2412" s="66" t="s">
        <v>1654</v>
      </c>
      <c r="C2412" s="41">
        <v>1012</v>
      </c>
      <c r="D2412" s="41" t="s">
        <v>306</v>
      </c>
      <c r="E2412" s="41">
        <v>10120005</v>
      </c>
      <c r="F2412" s="85" t="s">
        <v>309</v>
      </c>
      <c r="G2412" s="39" t="s">
        <v>92</v>
      </c>
      <c r="H2412" s="52" t="s">
        <v>93</v>
      </c>
      <c r="I2412" s="52">
        <v>538.9</v>
      </c>
      <c r="J2412" s="49">
        <v>20968.73</v>
      </c>
      <c r="K2412" s="58">
        <v>529.1</v>
      </c>
      <c r="L2412" s="58">
        <v>20968.560000000001</v>
      </c>
      <c r="M2412" s="58">
        <v>0</v>
      </c>
      <c r="N2412" s="58">
        <v>0</v>
      </c>
      <c r="O2412" s="58">
        <v>529.1</v>
      </c>
      <c r="P2412" s="53">
        <v>20968.560000000001</v>
      </c>
      <c r="Q2412" s="65">
        <v>20968.560000000001</v>
      </c>
      <c r="R2412" s="65">
        <v>0</v>
      </c>
      <c r="S2412" s="65">
        <v>0</v>
      </c>
      <c r="T2412" s="65">
        <v>0</v>
      </c>
      <c r="U2412" s="58">
        <v>0</v>
      </c>
      <c r="V2412" s="65">
        <v>0</v>
      </c>
      <c r="W2412" s="65">
        <v>0</v>
      </c>
      <c r="X2412" s="65">
        <v>20967</v>
      </c>
      <c r="Y2412" s="65">
        <v>0</v>
      </c>
      <c r="Z2412" s="51">
        <v>0</v>
      </c>
      <c r="AA2412" s="51">
        <v>2</v>
      </c>
      <c r="AB2412" s="102">
        <v>0</v>
      </c>
      <c r="AC2412" s="81">
        <f t="shared" si="114"/>
        <v>125.36880322879942</v>
      </c>
      <c r="AD2412" s="82">
        <f t="shared" si="115"/>
        <v>76.98571428571428</v>
      </c>
      <c r="AE2412" s="218">
        <v>8.1073102662037123E-6</v>
      </c>
      <c r="AF2412">
        <v>5</v>
      </c>
      <c r="AH2412" t="str">
        <f t="shared" si="116"/>
        <v>DalsinghSarai</v>
      </c>
      <c r="AJ2412" s="72">
        <v>0</v>
      </c>
      <c r="AK2412" s="72"/>
      <c r="AL2412" s="72"/>
      <c r="AM2412" s="72"/>
    </row>
    <row r="2413" spans="1:39" x14ac:dyDescent="0.25">
      <c r="A2413" s="37" t="s">
        <v>62</v>
      </c>
      <c r="B2413" s="66" t="s">
        <v>1654</v>
      </c>
      <c r="C2413" s="41">
        <v>1012</v>
      </c>
      <c r="D2413" s="41" t="s">
        <v>306</v>
      </c>
      <c r="E2413" s="41">
        <v>10120006</v>
      </c>
      <c r="F2413" s="85" t="s">
        <v>310</v>
      </c>
      <c r="G2413" s="39" t="s">
        <v>92</v>
      </c>
      <c r="H2413" s="52" t="s">
        <v>93</v>
      </c>
      <c r="I2413" s="52">
        <v>357.05</v>
      </c>
      <c r="J2413" s="49">
        <v>13610.859999999999</v>
      </c>
      <c r="K2413" s="58">
        <v>291.74</v>
      </c>
      <c r="L2413" s="58">
        <v>11728.059999999998</v>
      </c>
      <c r="M2413" s="58">
        <v>47.4</v>
      </c>
      <c r="N2413" s="58">
        <v>1875.9299999999998</v>
      </c>
      <c r="O2413" s="58">
        <v>339.14</v>
      </c>
      <c r="P2413" s="53">
        <v>13603.989999999998</v>
      </c>
      <c r="Q2413" s="65">
        <v>13603.989999999998</v>
      </c>
      <c r="R2413" s="65">
        <v>0</v>
      </c>
      <c r="S2413" s="65">
        <v>68.84</v>
      </c>
      <c r="T2413" s="65">
        <v>0</v>
      </c>
      <c r="U2413" s="58">
        <v>1400</v>
      </c>
      <c r="V2413" s="65">
        <v>0</v>
      </c>
      <c r="W2413" s="65">
        <v>0</v>
      </c>
      <c r="X2413" s="65">
        <v>10328</v>
      </c>
      <c r="Y2413" s="65">
        <v>1807</v>
      </c>
      <c r="Z2413" s="51">
        <v>0</v>
      </c>
      <c r="AA2413" s="51">
        <v>7</v>
      </c>
      <c r="AB2413" s="102">
        <v>0</v>
      </c>
      <c r="AC2413" s="81">
        <f t="shared" si="114"/>
        <v>261.46726996219013</v>
      </c>
      <c r="AD2413" s="82">
        <f t="shared" si="115"/>
        <v>51.00714285714286</v>
      </c>
      <c r="AE2413" s="218">
        <v>5.0474400588947359E-4</v>
      </c>
      <c r="AF2413">
        <v>11</v>
      </c>
      <c r="AH2413" t="str">
        <f t="shared" si="116"/>
        <v>DalsinghSarai</v>
      </c>
      <c r="AJ2413" s="72">
        <v>0</v>
      </c>
      <c r="AK2413" s="72"/>
      <c r="AL2413" s="72"/>
      <c r="AM2413" s="72"/>
    </row>
    <row r="2414" spans="1:39" x14ac:dyDescent="0.25">
      <c r="A2414" s="37" t="s">
        <v>62</v>
      </c>
      <c r="B2414" s="66" t="s">
        <v>1654</v>
      </c>
      <c r="C2414" s="41">
        <v>1012</v>
      </c>
      <c r="D2414" s="41" t="s">
        <v>306</v>
      </c>
      <c r="E2414" s="41">
        <v>10120007</v>
      </c>
      <c r="F2414" s="85" t="s">
        <v>311</v>
      </c>
      <c r="G2414" s="39" t="s">
        <v>92</v>
      </c>
      <c r="H2414" s="52" t="s">
        <v>93</v>
      </c>
      <c r="I2414" s="52">
        <v>1062.3999999999999</v>
      </c>
      <c r="J2414" s="49">
        <v>44244.710000000006</v>
      </c>
      <c r="K2414" s="58">
        <v>1070.1900000000003</v>
      </c>
      <c r="L2414" s="58">
        <v>43673.86</v>
      </c>
      <c r="M2414" s="58">
        <v>14.2</v>
      </c>
      <c r="N2414" s="58">
        <v>580.37999999999988</v>
      </c>
      <c r="O2414" s="58">
        <v>1084.3900000000003</v>
      </c>
      <c r="P2414" s="53">
        <v>44254.239999999998</v>
      </c>
      <c r="Q2414" s="65">
        <v>44244.710000000006</v>
      </c>
      <c r="R2414" s="65">
        <v>0</v>
      </c>
      <c r="S2414" s="65">
        <v>580.37999999999988</v>
      </c>
      <c r="T2414" s="65">
        <v>9.5299999999915599</v>
      </c>
      <c r="U2414" s="58">
        <v>9442</v>
      </c>
      <c r="V2414" s="65">
        <v>0</v>
      </c>
      <c r="W2414" s="65">
        <v>0</v>
      </c>
      <c r="X2414" s="65">
        <v>34222</v>
      </c>
      <c r="Y2414" s="65">
        <v>0</v>
      </c>
      <c r="Z2414" s="51">
        <v>0</v>
      </c>
      <c r="AA2414" s="51">
        <v>0</v>
      </c>
      <c r="AB2414" s="102">
        <v>0</v>
      </c>
      <c r="AC2414" s="81">
        <f t="shared" si="114"/>
        <v>0</v>
      </c>
      <c r="AD2414" s="82">
        <f t="shared" si="115"/>
        <v>0</v>
      </c>
      <c r="AE2414" s="218">
        <v>-2.1539298144324052E-4</v>
      </c>
      <c r="AF2414">
        <v>30</v>
      </c>
      <c r="AH2414" t="str">
        <f t="shared" si="116"/>
        <v>DalsinghSarai</v>
      </c>
      <c r="AJ2414" s="72">
        <v>0</v>
      </c>
      <c r="AK2414" s="72"/>
      <c r="AL2414" s="72"/>
      <c r="AM2414" s="72"/>
    </row>
    <row r="2415" spans="1:39" x14ac:dyDescent="0.25">
      <c r="A2415" s="37" t="s">
        <v>62</v>
      </c>
      <c r="B2415" s="66" t="s">
        <v>1654</v>
      </c>
      <c r="C2415" s="41">
        <v>1012</v>
      </c>
      <c r="D2415" s="41" t="s">
        <v>306</v>
      </c>
      <c r="E2415" s="41">
        <v>10120008</v>
      </c>
      <c r="F2415" s="85" t="s">
        <v>312</v>
      </c>
      <c r="G2415" s="39" t="s">
        <v>92</v>
      </c>
      <c r="H2415" s="52" t="s">
        <v>98</v>
      </c>
      <c r="I2415" s="52">
        <v>65.150000000000006</v>
      </c>
      <c r="J2415" s="49">
        <v>2266.7199999999998</v>
      </c>
      <c r="K2415" s="58">
        <v>0</v>
      </c>
      <c r="L2415" s="58">
        <v>0</v>
      </c>
      <c r="M2415" s="58">
        <v>0</v>
      </c>
      <c r="N2415" s="58">
        <v>0</v>
      </c>
      <c r="O2415" s="58">
        <v>0</v>
      </c>
      <c r="P2415" s="53">
        <v>0</v>
      </c>
      <c r="Q2415" s="65">
        <v>2266.7199999999998</v>
      </c>
      <c r="R2415" s="65">
        <v>0</v>
      </c>
      <c r="S2415" s="65">
        <v>0</v>
      </c>
      <c r="T2415" s="65">
        <v>0</v>
      </c>
      <c r="U2415" s="58">
        <v>0</v>
      </c>
      <c r="V2415" s="65">
        <v>0</v>
      </c>
      <c r="W2415" s="65">
        <v>0</v>
      </c>
      <c r="X2415" s="65">
        <v>0</v>
      </c>
      <c r="Y2415" s="65">
        <v>0</v>
      </c>
      <c r="Z2415" s="51">
        <v>2266.7199999999998</v>
      </c>
      <c r="AA2415" s="51">
        <v>0</v>
      </c>
      <c r="AB2415" s="102">
        <v>0</v>
      </c>
      <c r="AC2415" s="81">
        <f t="shared" si="114"/>
        <v>441.7581556408287</v>
      </c>
      <c r="AD2415" s="82">
        <f t="shared" si="115"/>
        <v>9.3071428571428587</v>
      </c>
      <c r="AE2415" s="218">
        <v>0</v>
      </c>
      <c r="AF2415">
        <v>0</v>
      </c>
      <c r="AH2415" t="str">
        <f t="shared" si="116"/>
        <v>DalsinghSarai</v>
      </c>
      <c r="AJ2415" s="72">
        <v>0</v>
      </c>
      <c r="AK2415" s="72"/>
      <c r="AL2415" s="72"/>
      <c r="AM2415" s="72"/>
    </row>
    <row r="2416" spans="1:39" x14ac:dyDescent="0.25">
      <c r="A2416" s="37" t="s">
        <v>62</v>
      </c>
      <c r="B2416" s="66" t="s">
        <v>1654</v>
      </c>
      <c r="C2416" s="41">
        <v>1012</v>
      </c>
      <c r="D2416" s="41" t="s">
        <v>306</v>
      </c>
      <c r="E2416" s="41">
        <v>10120010</v>
      </c>
      <c r="F2416" s="85" t="s">
        <v>313</v>
      </c>
      <c r="G2416" s="39" t="s">
        <v>92</v>
      </c>
      <c r="H2416" s="52" t="s">
        <v>98</v>
      </c>
      <c r="I2416" s="52">
        <v>1996.6499999999999</v>
      </c>
      <c r="J2416" s="49">
        <v>86289.060000000027</v>
      </c>
      <c r="K2416" s="58">
        <v>0</v>
      </c>
      <c r="L2416" s="58">
        <v>0</v>
      </c>
      <c r="M2416" s="58">
        <v>0</v>
      </c>
      <c r="N2416" s="58">
        <v>0</v>
      </c>
      <c r="O2416" s="58">
        <v>0</v>
      </c>
      <c r="P2416" s="53">
        <v>0</v>
      </c>
      <c r="Q2416" s="65">
        <v>86289.060000000027</v>
      </c>
      <c r="R2416" s="65">
        <v>0</v>
      </c>
      <c r="S2416" s="65">
        <v>0</v>
      </c>
      <c r="T2416" s="65">
        <v>0</v>
      </c>
      <c r="U2416" s="58">
        <v>1400</v>
      </c>
      <c r="V2416" s="65">
        <v>0</v>
      </c>
      <c r="W2416" s="65">
        <v>0</v>
      </c>
      <c r="X2416" s="65">
        <v>0</v>
      </c>
      <c r="Y2416" s="65">
        <v>0</v>
      </c>
      <c r="Z2416" s="51">
        <v>84889.060000000027</v>
      </c>
      <c r="AA2416" s="51">
        <v>0</v>
      </c>
      <c r="AB2416" s="102">
        <v>0</v>
      </c>
      <c r="AC2416" s="81">
        <f t="shared" si="114"/>
        <v>0</v>
      </c>
      <c r="AD2416" s="82">
        <f t="shared" si="115"/>
        <v>0</v>
      </c>
      <c r="AE2416" s="218">
        <v>0</v>
      </c>
      <c r="AF2416">
        <v>0</v>
      </c>
      <c r="AH2416" t="str">
        <f t="shared" si="116"/>
        <v>DalsinghSarai</v>
      </c>
      <c r="AJ2416" s="72">
        <v>0</v>
      </c>
      <c r="AK2416" s="72"/>
      <c r="AL2416" s="72"/>
      <c r="AM2416" s="72"/>
    </row>
    <row r="2417" spans="1:39" x14ac:dyDescent="0.25">
      <c r="A2417" s="37" t="s">
        <v>62</v>
      </c>
      <c r="B2417" s="66" t="s">
        <v>1654</v>
      </c>
      <c r="C2417" s="41">
        <v>1012</v>
      </c>
      <c r="D2417" s="41" t="s">
        <v>306</v>
      </c>
      <c r="E2417" s="41">
        <v>10120011</v>
      </c>
      <c r="F2417" s="85" t="s">
        <v>607</v>
      </c>
      <c r="G2417" s="39" t="s">
        <v>92</v>
      </c>
      <c r="H2417" s="52" t="s">
        <v>98</v>
      </c>
      <c r="I2417" s="52">
        <v>470.54999999999995</v>
      </c>
      <c r="J2417" s="49">
        <v>19769.54</v>
      </c>
      <c r="K2417" s="58">
        <v>0</v>
      </c>
      <c r="L2417" s="58">
        <v>0</v>
      </c>
      <c r="M2417" s="58">
        <v>0</v>
      </c>
      <c r="N2417" s="58">
        <v>0</v>
      </c>
      <c r="O2417" s="58">
        <v>0</v>
      </c>
      <c r="P2417" s="53">
        <v>0</v>
      </c>
      <c r="Q2417" s="65">
        <v>19769.54</v>
      </c>
      <c r="R2417" s="65">
        <v>0</v>
      </c>
      <c r="S2417" s="65">
        <v>0</v>
      </c>
      <c r="T2417" s="65">
        <v>0</v>
      </c>
      <c r="U2417" s="58">
        <v>4650</v>
      </c>
      <c r="V2417" s="65">
        <v>0</v>
      </c>
      <c r="W2417" s="65">
        <v>0</v>
      </c>
      <c r="X2417" s="65">
        <v>0</v>
      </c>
      <c r="Y2417" s="65">
        <v>0</v>
      </c>
      <c r="Z2417" s="51">
        <v>15119.54</v>
      </c>
      <c r="AA2417" s="51">
        <v>0</v>
      </c>
      <c r="AB2417" s="102">
        <v>0</v>
      </c>
      <c r="AC2417" s="81">
        <f t="shared" si="114"/>
        <v>192.80080556795249</v>
      </c>
      <c r="AD2417" s="82">
        <f t="shared" si="115"/>
        <v>67.221428571428561</v>
      </c>
      <c r="AE2417" s="218">
        <v>0</v>
      </c>
      <c r="AF2417">
        <v>0</v>
      </c>
      <c r="AH2417" t="str">
        <f t="shared" si="116"/>
        <v>DalsinghSarai</v>
      </c>
      <c r="AJ2417" s="72">
        <v>0</v>
      </c>
      <c r="AK2417" s="72"/>
      <c r="AL2417" s="72"/>
      <c r="AM2417" s="72"/>
    </row>
    <row r="2418" spans="1:39" x14ac:dyDescent="0.25">
      <c r="A2418" s="37" t="s">
        <v>62</v>
      </c>
      <c r="B2418" s="66" t="s">
        <v>1654</v>
      </c>
      <c r="C2418" s="41">
        <v>1012</v>
      </c>
      <c r="D2418" s="41" t="s">
        <v>306</v>
      </c>
      <c r="E2418" s="41">
        <v>10120012</v>
      </c>
      <c r="F2418" s="85" t="s">
        <v>314</v>
      </c>
      <c r="G2418" s="39" t="s">
        <v>92</v>
      </c>
      <c r="H2418" s="52" t="s">
        <v>93</v>
      </c>
      <c r="I2418" s="52">
        <v>602.75000000000011</v>
      </c>
      <c r="J2418" s="49">
        <v>28408.86</v>
      </c>
      <c r="K2418" s="58">
        <v>597.10000000000014</v>
      </c>
      <c r="L2418" s="58">
        <v>27932.629999999997</v>
      </c>
      <c r="M2418" s="58">
        <v>10.400000000000002</v>
      </c>
      <c r="N2418" s="58">
        <v>475.88000000000005</v>
      </c>
      <c r="O2418" s="58">
        <v>607.50000000000011</v>
      </c>
      <c r="P2418" s="53">
        <v>28408.51</v>
      </c>
      <c r="Q2418" s="65">
        <v>28408.51</v>
      </c>
      <c r="R2418" s="65">
        <v>1874</v>
      </c>
      <c r="S2418" s="65">
        <v>475.88000000000005</v>
      </c>
      <c r="T2418" s="65">
        <v>0</v>
      </c>
      <c r="U2418" s="58">
        <v>470</v>
      </c>
      <c r="V2418" s="65">
        <v>0</v>
      </c>
      <c r="W2418" s="65">
        <v>0</v>
      </c>
      <c r="X2418" s="65">
        <v>25589</v>
      </c>
      <c r="Y2418" s="65">
        <v>0</v>
      </c>
      <c r="Z2418" s="51">
        <v>0</v>
      </c>
      <c r="AA2418" s="51">
        <v>0</v>
      </c>
      <c r="AB2418" s="102">
        <v>0</v>
      </c>
      <c r="AC2418" s="81">
        <f t="shared" si="114"/>
        <v>91.671891663210133</v>
      </c>
      <c r="AD2418" s="82">
        <f t="shared" si="115"/>
        <v>86.107142857142875</v>
      </c>
      <c r="AE2418" s="218">
        <v>1.2320100137850754E-5</v>
      </c>
      <c r="AF2418">
        <v>17</v>
      </c>
      <c r="AH2418" t="str">
        <f t="shared" si="116"/>
        <v>DalsinghSarai</v>
      </c>
      <c r="AJ2418" s="72">
        <v>0</v>
      </c>
      <c r="AK2418" s="72"/>
      <c r="AL2418" s="72"/>
      <c r="AM2418" s="72"/>
    </row>
    <row r="2419" spans="1:39" x14ac:dyDescent="0.25">
      <c r="A2419" s="37" t="s">
        <v>62</v>
      </c>
      <c r="B2419" s="66" t="s">
        <v>1654</v>
      </c>
      <c r="C2419" s="41">
        <v>1012</v>
      </c>
      <c r="D2419" s="41" t="s">
        <v>306</v>
      </c>
      <c r="E2419" s="41">
        <v>10120013</v>
      </c>
      <c r="F2419" s="85" t="s">
        <v>315</v>
      </c>
      <c r="G2419" s="39" t="s">
        <v>92</v>
      </c>
      <c r="H2419" s="52" t="s">
        <v>98</v>
      </c>
      <c r="I2419" s="52">
        <v>426.95</v>
      </c>
      <c r="J2419" s="49">
        <v>14873.94</v>
      </c>
      <c r="K2419" s="58">
        <v>0</v>
      </c>
      <c r="L2419" s="58">
        <v>0</v>
      </c>
      <c r="M2419" s="58">
        <v>0</v>
      </c>
      <c r="N2419" s="58">
        <v>0</v>
      </c>
      <c r="O2419" s="58">
        <v>0</v>
      </c>
      <c r="P2419" s="53">
        <v>0</v>
      </c>
      <c r="Q2419" s="65">
        <v>14873.94</v>
      </c>
      <c r="R2419" s="65">
        <v>0</v>
      </c>
      <c r="S2419" s="65">
        <v>0</v>
      </c>
      <c r="T2419" s="65">
        <v>0</v>
      </c>
      <c r="U2419" s="58">
        <v>1400</v>
      </c>
      <c r="V2419" s="65">
        <v>0</v>
      </c>
      <c r="W2419" s="65">
        <v>0</v>
      </c>
      <c r="X2419" s="65">
        <v>0</v>
      </c>
      <c r="Y2419" s="65">
        <v>0</v>
      </c>
      <c r="Z2419" s="51">
        <v>13473.94</v>
      </c>
      <c r="AA2419" s="51">
        <v>0</v>
      </c>
      <c r="AB2419" s="102">
        <v>0</v>
      </c>
      <c r="AC2419" s="81">
        <f t="shared" si="114"/>
        <v>190.24847485654061</v>
      </c>
      <c r="AD2419" s="82">
        <f t="shared" si="115"/>
        <v>60.99285714285714</v>
      </c>
      <c r="AE2419" s="218">
        <v>0</v>
      </c>
      <c r="AF2419">
        <v>0</v>
      </c>
      <c r="AH2419" t="str">
        <f t="shared" si="116"/>
        <v>DalsinghSarai</v>
      </c>
      <c r="AJ2419" s="72">
        <v>0</v>
      </c>
      <c r="AK2419" s="72"/>
      <c r="AL2419" s="72"/>
      <c r="AM2419" s="72"/>
    </row>
    <row r="2420" spans="1:39" x14ac:dyDescent="0.25">
      <c r="A2420" s="37" t="s">
        <v>62</v>
      </c>
      <c r="B2420" s="66" t="s">
        <v>1654</v>
      </c>
      <c r="C2420" s="41">
        <v>1012</v>
      </c>
      <c r="D2420" s="41" t="s">
        <v>306</v>
      </c>
      <c r="E2420" s="41">
        <v>10120014</v>
      </c>
      <c r="F2420" s="85" t="s">
        <v>316</v>
      </c>
      <c r="G2420" s="39" t="s">
        <v>92</v>
      </c>
      <c r="H2420" s="52" t="s">
        <v>93</v>
      </c>
      <c r="I2420" s="52">
        <v>985.80000000000007</v>
      </c>
      <c r="J2420" s="49">
        <v>42248.590000000004</v>
      </c>
      <c r="K2420" s="58">
        <v>257.39999999999998</v>
      </c>
      <c r="L2420" s="58">
        <v>13482.26</v>
      </c>
      <c r="M2420" s="58">
        <v>672.1</v>
      </c>
      <c r="N2420" s="58">
        <v>28759.68</v>
      </c>
      <c r="O2420" s="58">
        <v>929.5</v>
      </c>
      <c r="P2420" s="53">
        <v>42241.94</v>
      </c>
      <c r="Q2420" s="65">
        <v>42241.94</v>
      </c>
      <c r="R2420" s="65">
        <v>0</v>
      </c>
      <c r="S2420" s="65">
        <v>87.3</v>
      </c>
      <c r="T2420" s="65">
        <v>0</v>
      </c>
      <c r="U2420" s="58">
        <v>2800</v>
      </c>
      <c r="V2420" s="65">
        <v>0</v>
      </c>
      <c r="W2420" s="65">
        <v>0</v>
      </c>
      <c r="X2420" s="65">
        <v>10682</v>
      </c>
      <c r="Y2420" s="65">
        <v>28672</v>
      </c>
      <c r="Z2420" s="51">
        <v>0</v>
      </c>
      <c r="AA2420" s="51">
        <v>7</v>
      </c>
      <c r="AB2420" s="102">
        <v>0</v>
      </c>
      <c r="AC2420" s="81">
        <f t="shared" si="114"/>
        <v>0</v>
      </c>
      <c r="AD2420" s="82">
        <f t="shared" si="115"/>
        <v>0</v>
      </c>
      <c r="AE2420" s="218">
        <v>1.5740170263673782E-4</v>
      </c>
      <c r="AF2420">
        <v>19</v>
      </c>
      <c r="AH2420" t="str">
        <f t="shared" si="116"/>
        <v>DalsinghSarai</v>
      </c>
      <c r="AJ2420" s="72">
        <v>0</v>
      </c>
      <c r="AK2420" s="72"/>
      <c r="AL2420" s="72"/>
      <c r="AM2420" s="72"/>
    </row>
    <row r="2421" spans="1:39" x14ac:dyDescent="0.25">
      <c r="A2421" s="37" t="s">
        <v>62</v>
      </c>
      <c r="B2421" s="66" t="s">
        <v>1654</v>
      </c>
      <c r="C2421" s="41">
        <v>1012</v>
      </c>
      <c r="D2421" s="41" t="s">
        <v>306</v>
      </c>
      <c r="E2421" s="41">
        <v>10120015</v>
      </c>
      <c r="F2421" s="85" t="s">
        <v>317</v>
      </c>
      <c r="G2421" s="39" t="s">
        <v>92</v>
      </c>
      <c r="H2421" s="52" t="s">
        <v>93</v>
      </c>
      <c r="I2421" s="52">
        <v>1227.3999999999999</v>
      </c>
      <c r="J2421" s="49">
        <v>47880.409999999996</v>
      </c>
      <c r="K2421" s="58">
        <v>1088.52</v>
      </c>
      <c r="L2421" s="58">
        <v>40208.5</v>
      </c>
      <c r="M2421" s="58">
        <v>198.68</v>
      </c>
      <c r="N2421" s="58">
        <v>7671.2100000000009</v>
      </c>
      <c r="O2421" s="58">
        <v>1287.2</v>
      </c>
      <c r="P2421" s="53">
        <v>47879.71</v>
      </c>
      <c r="Q2421" s="65">
        <v>47879.71</v>
      </c>
      <c r="R2421" s="65">
        <v>0</v>
      </c>
      <c r="S2421" s="65">
        <v>0</v>
      </c>
      <c r="T2421" s="65">
        <v>0</v>
      </c>
      <c r="U2421" s="58">
        <v>1400</v>
      </c>
      <c r="V2421" s="65">
        <v>0</v>
      </c>
      <c r="W2421" s="65">
        <v>0</v>
      </c>
      <c r="X2421" s="65">
        <v>38807</v>
      </c>
      <c r="Y2421" s="65">
        <v>7671</v>
      </c>
      <c r="Z2421" s="51">
        <v>0</v>
      </c>
      <c r="AA2421" s="51">
        <v>2</v>
      </c>
      <c r="AB2421" s="102">
        <v>0</v>
      </c>
      <c r="AC2421" s="81">
        <f t="shared" si="114"/>
        <v>0</v>
      </c>
      <c r="AD2421" s="82">
        <f t="shared" si="115"/>
        <v>0</v>
      </c>
      <c r="AE2421" s="218">
        <v>1.4619757850801396E-5</v>
      </c>
      <c r="AF2421">
        <v>16</v>
      </c>
      <c r="AH2421" t="str">
        <f t="shared" si="116"/>
        <v>DalsinghSarai</v>
      </c>
      <c r="AJ2421" s="72">
        <v>0</v>
      </c>
      <c r="AK2421" s="72"/>
      <c r="AL2421" s="72"/>
      <c r="AM2421" s="72"/>
    </row>
    <row r="2422" spans="1:39" x14ac:dyDescent="0.25">
      <c r="A2422" s="37" t="s">
        <v>62</v>
      </c>
      <c r="B2422" s="66" t="s">
        <v>1654</v>
      </c>
      <c r="C2422" s="41">
        <v>1012</v>
      </c>
      <c r="D2422" s="41" t="s">
        <v>306</v>
      </c>
      <c r="E2422" s="41">
        <v>10120016</v>
      </c>
      <c r="F2422" s="85" t="s">
        <v>318</v>
      </c>
      <c r="G2422" s="39" t="s">
        <v>92</v>
      </c>
      <c r="H2422" s="52" t="s">
        <v>93</v>
      </c>
      <c r="I2422" s="52">
        <v>205.84999999999997</v>
      </c>
      <c r="J2422" s="49">
        <v>7198.4999999999991</v>
      </c>
      <c r="K2422" s="58">
        <v>188.41</v>
      </c>
      <c r="L2422" s="58">
        <v>6994.6500000000005</v>
      </c>
      <c r="M2422" s="58">
        <v>5.3599999999999994</v>
      </c>
      <c r="N2422" s="58">
        <v>202.13</v>
      </c>
      <c r="O2422" s="58">
        <v>193.76999999999998</v>
      </c>
      <c r="P2422" s="53">
        <v>7196.7800000000007</v>
      </c>
      <c r="Q2422" s="65">
        <v>7196.7800000000007</v>
      </c>
      <c r="R2422" s="65">
        <v>0</v>
      </c>
      <c r="S2422" s="65">
        <v>202.13</v>
      </c>
      <c r="T2422" s="65">
        <v>0</v>
      </c>
      <c r="U2422" s="58">
        <v>0</v>
      </c>
      <c r="V2422" s="65">
        <v>0</v>
      </c>
      <c r="W2422" s="65">
        <v>0</v>
      </c>
      <c r="X2422" s="65">
        <v>6995</v>
      </c>
      <c r="Y2422" s="65">
        <v>0</v>
      </c>
      <c r="Z2422" s="51">
        <v>0</v>
      </c>
      <c r="AA2422" s="51">
        <v>1</v>
      </c>
      <c r="AB2422" s="102">
        <v>0</v>
      </c>
      <c r="AC2422" s="81">
        <f t="shared" si="114"/>
        <v>345.60493320378924</v>
      </c>
      <c r="AD2422" s="82">
        <f t="shared" si="115"/>
        <v>29.407142857142851</v>
      </c>
      <c r="AE2422" s="218">
        <v>2.3893866777779203E-4</v>
      </c>
      <c r="AF2422">
        <v>5</v>
      </c>
      <c r="AH2422" t="str">
        <f t="shared" si="116"/>
        <v>DalsinghSarai</v>
      </c>
      <c r="AJ2422" s="72">
        <v>0</v>
      </c>
      <c r="AK2422" s="72"/>
      <c r="AL2422" s="72"/>
      <c r="AM2422" s="72"/>
    </row>
    <row r="2423" spans="1:39" x14ac:dyDescent="0.25">
      <c r="A2423" s="37" t="s">
        <v>62</v>
      </c>
      <c r="B2423" s="66" t="s">
        <v>1654</v>
      </c>
      <c r="C2423" s="41">
        <v>1012</v>
      </c>
      <c r="D2423" s="41" t="s">
        <v>306</v>
      </c>
      <c r="E2423" s="41">
        <v>10120017</v>
      </c>
      <c r="F2423" s="85" t="s">
        <v>319</v>
      </c>
      <c r="G2423" s="39" t="s">
        <v>92</v>
      </c>
      <c r="H2423" s="52" t="s">
        <v>93</v>
      </c>
      <c r="I2423" s="52">
        <v>442.79999999999995</v>
      </c>
      <c r="J2423" s="49">
        <v>17187.75</v>
      </c>
      <c r="K2423" s="58">
        <v>419.3</v>
      </c>
      <c r="L2423" s="58">
        <v>16265.209999999997</v>
      </c>
      <c r="M2423" s="58">
        <v>22.5</v>
      </c>
      <c r="N2423" s="58">
        <v>913.80000000000018</v>
      </c>
      <c r="O2423" s="58">
        <v>441.8</v>
      </c>
      <c r="P2423" s="53">
        <v>17179.009999999998</v>
      </c>
      <c r="Q2423" s="65">
        <v>17179.009999999998</v>
      </c>
      <c r="R2423" s="65">
        <v>0</v>
      </c>
      <c r="S2423" s="65">
        <v>0</v>
      </c>
      <c r="T2423" s="65">
        <v>0</v>
      </c>
      <c r="U2423" s="58">
        <v>0</v>
      </c>
      <c r="V2423" s="65">
        <v>0</v>
      </c>
      <c r="W2423" s="65">
        <v>0</v>
      </c>
      <c r="X2423" s="65">
        <v>16265</v>
      </c>
      <c r="Y2423" s="65">
        <v>914</v>
      </c>
      <c r="Z2423" s="51">
        <v>0</v>
      </c>
      <c r="AA2423" s="51">
        <v>9</v>
      </c>
      <c r="AB2423" s="102">
        <v>0</v>
      </c>
      <c r="AC2423" s="81">
        <f t="shared" si="114"/>
        <v>199.66979674796752</v>
      </c>
      <c r="AD2423" s="82">
        <f t="shared" si="115"/>
        <v>63.257142857142853</v>
      </c>
      <c r="AE2423" s="218">
        <v>5.0850169452090006E-4</v>
      </c>
      <c r="AF2423">
        <v>11</v>
      </c>
      <c r="AH2423" t="str">
        <f t="shared" si="116"/>
        <v>DalsinghSarai</v>
      </c>
      <c r="AJ2423" s="72">
        <v>0</v>
      </c>
      <c r="AK2423" s="72"/>
      <c r="AL2423" s="72"/>
      <c r="AM2423" s="72"/>
    </row>
    <row r="2424" spans="1:39" x14ac:dyDescent="0.25">
      <c r="A2424" s="37" t="s">
        <v>62</v>
      </c>
      <c r="B2424" s="66" t="s">
        <v>1654</v>
      </c>
      <c r="C2424" s="41">
        <v>1012</v>
      </c>
      <c r="D2424" s="41" t="s">
        <v>306</v>
      </c>
      <c r="E2424" s="41">
        <v>10120018</v>
      </c>
      <c r="F2424" s="85" t="s">
        <v>320</v>
      </c>
      <c r="G2424" s="39" t="s">
        <v>92</v>
      </c>
      <c r="H2424" s="52" t="s">
        <v>93</v>
      </c>
      <c r="I2424" s="52">
        <v>383.65000000000003</v>
      </c>
      <c r="J2424" s="49">
        <v>16932.14</v>
      </c>
      <c r="K2424" s="58">
        <v>346.20000000000005</v>
      </c>
      <c r="L2424" s="58">
        <v>15083.34</v>
      </c>
      <c r="M2424" s="58">
        <v>42.6</v>
      </c>
      <c r="N2424" s="58">
        <v>1845.9499999999998</v>
      </c>
      <c r="O2424" s="58">
        <v>388.80000000000007</v>
      </c>
      <c r="P2424" s="53">
        <v>16929.29</v>
      </c>
      <c r="Q2424" s="65">
        <v>16929.29</v>
      </c>
      <c r="R2424" s="65">
        <v>0</v>
      </c>
      <c r="S2424" s="65">
        <v>819.17999999999984</v>
      </c>
      <c r="T2424" s="65">
        <v>0</v>
      </c>
      <c r="U2424" s="58">
        <v>0</v>
      </c>
      <c r="V2424" s="65">
        <v>0</v>
      </c>
      <c r="W2424" s="65">
        <v>0</v>
      </c>
      <c r="X2424" s="65">
        <v>15083</v>
      </c>
      <c r="Y2424" s="65">
        <v>1027</v>
      </c>
      <c r="Z2424" s="51">
        <v>0</v>
      </c>
      <c r="AA2424" s="51">
        <v>3</v>
      </c>
      <c r="AB2424" s="102">
        <v>0</v>
      </c>
      <c r="AC2424" s="81">
        <f t="shared" si="114"/>
        <v>279.23797674964152</v>
      </c>
      <c r="AD2424" s="82">
        <f t="shared" si="115"/>
        <v>54.807142857142864</v>
      </c>
      <c r="AE2424" s="218">
        <v>1.6831894846124263E-4</v>
      </c>
      <c r="AF2424">
        <v>7</v>
      </c>
      <c r="AH2424" t="str">
        <f t="shared" si="116"/>
        <v>DalsinghSarai</v>
      </c>
      <c r="AJ2424" s="72">
        <v>0</v>
      </c>
      <c r="AK2424" s="72"/>
      <c r="AL2424" s="72"/>
      <c r="AM2424" s="72"/>
    </row>
    <row r="2425" spans="1:39" x14ac:dyDescent="0.25">
      <c r="A2425" s="37" t="s">
        <v>62</v>
      </c>
      <c r="B2425" s="66" t="s">
        <v>1654</v>
      </c>
      <c r="C2425" s="41">
        <v>1012</v>
      </c>
      <c r="D2425" s="41" t="s">
        <v>306</v>
      </c>
      <c r="E2425" s="41">
        <v>10120019</v>
      </c>
      <c r="F2425" s="85" t="s">
        <v>321</v>
      </c>
      <c r="G2425" s="39" t="s">
        <v>92</v>
      </c>
      <c r="H2425" s="52" t="s">
        <v>93</v>
      </c>
      <c r="I2425" s="52">
        <v>221.90000000000003</v>
      </c>
      <c r="J2425" s="49">
        <v>9629.6700000000019</v>
      </c>
      <c r="K2425" s="58">
        <v>124.35000000000001</v>
      </c>
      <c r="L2425" s="58">
        <v>5393.04</v>
      </c>
      <c r="M2425" s="58">
        <v>97.080000000000013</v>
      </c>
      <c r="N2425" s="58">
        <v>4235.53</v>
      </c>
      <c r="O2425" s="58">
        <v>221.43</v>
      </c>
      <c r="P2425" s="53">
        <v>9628.57</v>
      </c>
      <c r="Q2425" s="65">
        <v>9628.57</v>
      </c>
      <c r="R2425" s="65">
        <v>0</v>
      </c>
      <c r="S2425" s="65">
        <v>142.14000000000004</v>
      </c>
      <c r="T2425" s="65">
        <v>0</v>
      </c>
      <c r="U2425" s="58">
        <v>0</v>
      </c>
      <c r="V2425" s="65">
        <v>0</v>
      </c>
      <c r="W2425" s="65">
        <v>0</v>
      </c>
      <c r="X2425" s="65">
        <v>5393</v>
      </c>
      <c r="Y2425" s="65">
        <v>4093</v>
      </c>
      <c r="Z2425" s="51">
        <v>0</v>
      </c>
      <c r="AA2425" s="51">
        <v>2</v>
      </c>
      <c r="AB2425" s="102">
        <v>0</v>
      </c>
      <c r="AC2425" s="81">
        <f t="shared" si="114"/>
        <v>414.95675772870658</v>
      </c>
      <c r="AD2425" s="82">
        <f t="shared" si="115"/>
        <v>31.700000000000006</v>
      </c>
      <c r="AE2425" s="218">
        <v>1.1423029034247098E-4</v>
      </c>
      <c r="AF2425">
        <v>6</v>
      </c>
      <c r="AH2425" t="str">
        <f t="shared" si="116"/>
        <v>DalsinghSarai</v>
      </c>
      <c r="AJ2425" s="72">
        <v>0</v>
      </c>
      <c r="AK2425" s="72"/>
      <c r="AL2425" s="72"/>
      <c r="AM2425" s="72"/>
    </row>
    <row r="2426" spans="1:39" x14ac:dyDescent="0.25">
      <c r="A2426" s="37" t="s">
        <v>62</v>
      </c>
      <c r="B2426" s="66" t="s">
        <v>1654</v>
      </c>
      <c r="C2426" s="41">
        <v>1012</v>
      </c>
      <c r="D2426" s="41" t="s">
        <v>306</v>
      </c>
      <c r="E2426" s="41">
        <v>10120022</v>
      </c>
      <c r="F2426" s="85" t="s">
        <v>322</v>
      </c>
      <c r="G2426" s="39" t="s">
        <v>92</v>
      </c>
      <c r="H2426" s="52" t="s">
        <v>98</v>
      </c>
      <c r="I2426" s="52">
        <v>177.8</v>
      </c>
      <c r="J2426" s="49">
        <v>8625.2800000000007</v>
      </c>
      <c r="K2426" s="58">
        <v>0</v>
      </c>
      <c r="L2426" s="58">
        <v>0</v>
      </c>
      <c r="M2426" s="58">
        <v>0</v>
      </c>
      <c r="N2426" s="58">
        <v>0</v>
      </c>
      <c r="O2426" s="58">
        <v>0</v>
      </c>
      <c r="P2426" s="53">
        <v>0</v>
      </c>
      <c r="Q2426" s="65">
        <v>8625.2800000000007</v>
      </c>
      <c r="R2426" s="65">
        <v>0</v>
      </c>
      <c r="S2426" s="65">
        <v>0</v>
      </c>
      <c r="T2426" s="65">
        <v>0</v>
      </c>
      <c r="U2426" s="58">
        <v>0</v>
      </c>
      <c r="V2426" s="65">
        <v>0</v>
      </c>
      <c r="W2426" s="65">
        <v>0</v>
      </c>
      <c r="X2426" s="65">
        <v>0</v>
      </c>
      <c r="Y2426" s="65">
        <v>0</v>
      </c>
      <c r="Z2426" s="51">
        <v>8625.2800000000007</v>
      </c>
      <c r="AA2426" s="51">
        <v>0</v>
      </c>
      <c r="AB2426" s="102">
        <v>0</v>
      </c>
      <c r="AC2426" s="81">
        <f t="shared" si="114"/>
        <v>506.65030551181098</v>
      </c>
      <c r="AD2426" s="82">
        <f t="shared" si="115"/>
        <v>25.400000000000002</v>
      </c>
      <c r="AE2426" s="218">
        <v>0</v>
      </c>
      <c r="AF2426">
        <v>0</v>
      </c>
      <c r="AH2426" t="str">
        <f t="shared" si="116"/>
        <v>DalsinghSarai</v>
      </c>
      <c r="AJ2426" s="72">
        <v>0</v>
      </c>
      <c r="AK2426" s="72"/>
      <c r="AL2426" s="72"/>
      <c r="AM2426" s="72"/>
    </row>
    <row r="2427" spans="1:39" x14ac:dyDescent="0.25">
      <c r="A2427" s="37" t="s">
        <v>62</v>
      </c>
      <c r="B2427" s="66" t="s">
        <v>1654</v>
      </c>
      <c r="C2427" s="41">
        <v>1012</v>
      </c>
      <c r="D2427" s="41" t="s">
        <v>306</v>
      </c>
      <c r="E2427" s="41">
        <v>10120023</v>
      </c>
      <c r="F2427" s="85" t="s">
        <v>323</v>
      </c>
      <c r="G2427" s="39" t="s">
        <v>92</v>
      </c>
      <c r="H2427" s="52" t="s">
        <v>98</v>
      </c>
      <c r="I2427" s="52">
        <v>212.75</v>
      </c>
      <c r="J2427" s="49">
        <v>8160.31</v>
      </c>
      <c r="K2427" s="58">
        <v>0</v>
      </c>
      <c r="L2427" s="58">
        <v>0</v>
      </c>
      <c r="M2427" s="58">
        <v>0</v>
      </c>
      <c r="N2427" s="58">
        <v>0</v>
      </c>
      <c r="O2427" s="58">
        <v>0</v>
      </c>
      <c r="P2427" s="53">
        <v>0</v>
      </c>
      <c r="Q2427" s="65">
        <v>8160.31</v>
      </c>
      <c r="R2427" s="65">
        <v>0</v>
      </c>
      <c r="S2427" s="65">
        <v>0</v>
      </c>
      <c r="T2427" s="65">
        <v>0</v>
      </c>
      <c r="U2427" s="58">
        <v>0</v>
      </c>
      <c r="V2427" s="65">
        <v>0</v>
      </c>
      <c r="W2427" s="65">
        <v>0</v>
      </c>
      <c r="X2427" s="65">
        <v>0</v>
      </c>
      <c r="Y2427" s="65">
        <v>0</v>
      </c>
      <c r="Z2427" s="51">
        <v>8160.31</v>
      </c>
      <c r="AA2427" s="51">
        <v>0</v>
      </c>
      <c r="AB2427" s="102">
        <v>0</v>
      </c>
      <c r="AC2427" s="81">
        <f t="shared" si="114"/>
        <v>373.78247215041137</v>
      </c>
      <c r="AD2427" s="82">
        <f t="shared" si="115"/>
        <v>30.392857142857142</v>
      </c>
      <c r="AE2427" s="218">
        <v>0</v>
      </c>
      <c r="AF2427">
        <v>0</v>
      </c>
      <c r="AH2427" t="str">
        <f t="shared" si="116"/>
        <v>DalsinghSarai</v>
      </c>
      <c r="AJ2427" s="72">
        <v>0</v>
      </c>
      <c r="AK2427" s="72"/>
      <c r="AL2427" s="72"/>
      <c r="AM2427" s="72"/>
    </row>
    <row r="2428" spans="1:39" x14ac:dyDescent="0.25">
      <c r="A2428" s="37" t="s">
        <v>62</v>
      </c>
      <c r="B2428" s="66" t="s">
        <v>1654</v>
      </c>
      <c r="C2428" s="41">
        <v>1012</v>
      </c>
      <c r="D2428" s="41" t="s">
        <v>306</v>
      </c>
      <c r="E2428" s="41">
        <v>10120024</v>
      </c>
      <c r="F2428" s="85" t="s">
        <v>324</v>
      </c>
      <c r="G2428" s="39" t="s">
        <v>92</v>
      </c>
      <c r="H2428" s="52" t="s">
        <v>98</v>
      </c>
      <c r="I2428" s="52">
        <v>167.7</v>
      </c>
      <c r="J2428" s="49">
        <v>5854.54</v>
      </c>
      <c r="K2428" s="58">
        <v>0</v>
      </c>
      <c r="L2428" s="58">
        <v>0</v>
      </c>
      <c r="M2428" s="58">
        <v>0</v>
      </c>
      <c r="N2428" s="58">
        <v>0</v>
      </c>
      <c r="O2428" s="58">
        <v>0</v>
      </c>
      <c r="P2428" s="53">
        <v>0</v>
      </c>
      <c r="Q2428" s="65">
        <v>5854.54</v>
      </c>
      <c r="R2428" s="65">
        <v>0</v>
      </c>
      <c r="S2428" s="65">
        <v>0</v>
      </c>
      <c r="T2428" s="65">
        <v>0</v>
      </c>
      <c r="U2428" s="58">
        <v>0</v>
      </c>
      <c r="V2428" s="65">
        <v>0</v>
      </c>
      <c r="W2428" s="65">
        <v>0</v>
      </c>
      <c r="X2428" s="65">
        <v>0</v>
      </c>
      <c r="Y2428" s="65">
        <v>0</v>
      </c>
      <c r="Z2428" s="51">
        <v>5854.54</v>
      </c>
      <c r="AA2428" s="51">
        <v>0</v>
      </c>
      <c r="AB2428" s="102">
        <v>0</v>
      </c>
      <c r="AC2428" s="81">
        <f t="shared" si="114"/>
        <v>371.66030316040548</v>
      </c>
      <c r="AD2428" s="82">
        <f t="shared" si="115"/>
        <v>23.957142857142856</v>
      </c>
      <c r="AE2428" s="218">
        <v>0</v>
      </c>
      <c r="AF2428">
        <v>0</v>
      </c>
      <c r="AH2428" t="str">
        <f t="shared" si="116"/>
        <v>DalsinghSarai</v>
      </c>
      <c r="AJ2428" s="72">
        <v>0</v>
      </c>
      <c r="AK2428" s="72"/>
      <c r="AL2428" s="72"/>
      <c r="AM2428" s="72"/>
    </row>
    <row r="2429" spans="1:39" x14ac:dyDescent="0.25">
      <c r="A2429" s="37" t="s">
        <v>62</v>
      </c>
      <c r="B2429" s="66" t="s">
        <v>1654</v>
      </c>
      <c r="C2429" s="41">
        <v>1012</v>
      </c>
      <c r="D2429" s="41" t="s">
        <v>306</v>
      </c>
      <c r="E2429" s="41">
        <v>10120025</v>
      </c>
      <c r="F2429" s="85" t="s">
        <v>325</v>
      </c>
      <c r="G2429" s="39" t="s">
        <v>92</v>
      </c>
      <c r="H2429" s="52" t="s">
        <v>93</v>
      </c>
      <c r="I2429" s="52">
        <v>2561.6499999999996</v>
      </c>
      <c r="J2429" s="49">
        <v>108196.6</v>
      </c>
      <c r="K2429" s="58">
        <v>1373.9600000000003</v>
      </c>
      <c r="L2429" s="58">
        <v>63381.819999999992</v>
      </c>
      <c r="M2429" s="58">
        <v>1056.29</v>
      </c>
      <c r="N2429" s="58">
        <v>44813.16</v>
      </c>
      <c r="O2429" s="58">
        <v>2430.25</v>
      </c>
      <c r="P2429" s="53">
        <v>108194.98</v>
      </c>
      <c r="Q2429" s="65">
        <v>108194.98</v>
      </c>
      <c r="R2429" s="65">
        <v>0</v>
      </c>
      <c r="S2429" s="65">
        <v>653.41999999999996</v>
      </c>
      <c r="T2429" s="65">
        <v>0</v>
      </c>
      <c r="U2429" s="58">
        <v>0</v>
      </c>
      <c r="V2429" s="65">
        <v>0</v>
      </c>
      <c r="W2429" s="65">
        <v>0</v>
      </c>
      <c r="X2429" s="65">
        <v>63382</v>
      </c>
      <c r="Y2429" s="65">
        <v>44160</v>
      </c>
      <c r="Z2429" s="51">
        <v>0</v>
      </c>
      <c r="AA2429" s="51">
        <v>1</v>
      </c>
      <c r="AB2429" s="102">
        <v>0</v>
      </c>
      <c r="AC2429" s="81">
        <f t="shared" si="114"/>
        <v>0</v>
      </c>
      <c r="AD2429" s="82">
        <f t="shared" si="115"/>
        <v>0</v>
      </c>
      <c r="AE2429" s="218">
        <v>1.4972744060440856E-5</v>
      </c>
      <c r="AF2429">
        <v>28</v>
      </c>
      <c r="AH2429" t="str">
        <f t="shared" si="116"/>
        <v>DalsinghSarai</v>
      </c>
      <c r="AJ2429" s="72">
        <v>0</v>
      </c>
      <c r="AK2429" s="72"/>
      <c r="AL2429" s="72"/>
      <c r="AM2429" s="72"/>
    </row>
    <row r="2430" spans="1:39" x14ac:dyDescent="0.25">
      <c r="A2430" s="37" t="s">
        <v>62</v>
      </c>
      <c r="B2430" s="66" t="s">
        <v>1654</v>
      </c>
      <c r="C2430" s="41">
        <v>1012</v>
      </c>
      <c r="D2430" s="41" t="s">
        <v>306</v>
      </c>
      <c r="E2430" s="41">
        <v>10120026</v>
      </c>
      <c r="F2430" s="85" t="s">
        <v>640</v>
      </c>
      <c r="G2430" s="39" t="s">
        <v>92</v>
      </c>
      <c r="H2430" s="52" t="s">
        <v>98</v>
      </c>
      <c r="I2430" s="52">
        <v>29.7</v>
      </c>
      <c r="J2430" s="49">
        <v>1096.44</v>
      </c>
      <c r="K2430" s="58">
        <v>0</v>
      </c>
      <c r="L2430" s="58">
        <v>0</v>
      </c>
      <c r="M2430" s="58">
        <v>0</v>
      </c>
      <c r="N2430" s="58">
        <v>0</v>
      </c>
      <c r="O2430" s="58">
        <v>0</v>
      </c>
      <c r="P2430" s="53">
        <v>0</v>
      </c>
      <c r="Q2430" s="65">
        <v>1096.44</v>
      </c>
      <c r="R2430" s="65">
        <v>0</v>
      </c>
      <c r="S2430" s="65">
        <v>0</v>
      </c>
      <c r="T2430" s="65">
        <v>0</v>
      </c>
      <c r="U2430" s="58">
        <v>0</v>
      </c>
      <c r="V2430" s="65">
        <v>0</v>
      </c>
      <c r="W2430" s="65">
        <v>0</v>
      </c>
      <c r="X2430" s="65">
        <v>0</v>
      </c>
      <c r="Y2430" s="65">
        <v>0</v>
      </c>
      <c r="Z2430" s="51">
        <v>1096.44</v>
      </c>
      <c r="AA2430" s="51">
        <v>0</v>
      </c>
      <c r="AB2430" s="102">
        <v>0</v>
      </c>
      <c r="AC2430" s="81">
        <f t="shared" ref="AC2430:AC2493" si="117">((IF(AD2430=0,0,100-AD2430))*7*(J2430/I2430))*2%</f>
        <v>494.91160404040409</v>
      </c>
      <c r="AD2430" s="82">
        <f t="shared" ref="AD2430:AD2493" si="118">IF((I2430/7)&gt;100,0,(I2430/7))</f>
        <v>4.2428571428571429</v>
      </c>
      <c r="AE2430" s="218">
        <v>0</v>
      </c>
      <c r="AF2430">
        <v>0</v>
      </c>
      <c r="AH2430" t="str">
        <f t="shared" si="116"/>
        <v>DalsinghSarai</v>
      </c>
      <c r="AJ2430" s="72">
        <v>0</v>
      </c>
      <c r="AK2430" s="72"/>
      <c r="AL2430" s="72"/>
      <c r="AM2430" s="72"/>
    </row>
    <row r="2431" spans="1:39" x14ac:dyDescent="0.25">
      <c r="A2431" s="37" t="s">
        <v>62</v>
      </c>
      <c r="B2431" s="66" t="s">
        <v>1654</v>
      </c>
      <c r="C2431" s="41">
        <v>1012</v>
      </c>
      <c r="D2431" s="41" t="s">
        <v>306</v>
      </c>
      <c r="E2431" s="41">
        <v>10120029</v>
      </c>
      <c r="F2431" s="85" t="s">
        <v>326</v>
      </c>
      <c r="G2431" s="39" t="s">
        <v>92</v>
      </c>
      <c r="H2431" s="52" t="s">
        <v>93</v>
      </c>
      <c r="I2431" s="52">
        <v>679.95</v>
      </c>
      <c r="J2431" s="49">
        <v>26672.57</v>
      </c>
      <c r="K2431" s="58">
        <v>440.68000000000006</v>
      </c>
      <c r="L2431" s="58">
        <v>17397.739999999998</v>
      </c>
      <c r="M2431" s="58">
        <v>238.39999999999998</v>
      </c>
      <c r="N2431" s="58">
        <v>9273.17</v>
      </c>
      <c r="O2431" s="58">
        <v>679.08</v>
      </c>
      <c r="P2431" s="53">
        <v>26670.909999999996</v>
      </c>
      <c r="Q2431" s="65">
        <v>26670.909999999996</v>
      </c>
      <c r="R2431" s="65">
        <v>0</v>
      </c>
      <c r="S2431" s="65">
        <v>252.23</v>
      </c>
      <c r="T2431" s="65">
        <v>0</v>
      </c>
      <c r="U2431" s="58">
        <v>1400</v>
      </c>
      <c r="V2431" s="65">
        <v>0</v>
      </c>
      <c r="W2431" s="65">
        <v>0</v>
      </c>
      <c r="X2431" s="65">
        <v>15998</v>
      </c>
      <c r="Y2431" s="65">
        <v>9022</v>
      </c>
      <c r="Z2431" s="51">
        <v>0</v>
      </c>
      <c r="AA2431" s="51">
        <v>0</v>
      </c>
      <c r="AB2431" s="102">
        <v>0</v>
      </c>
      <c r="AC2431" s="81">
        <f t="shared" si="117"/>
        <v>15.730128053533345</v>
      </c>
      <c r="AD2431" s="82">
        <f t="shared" si="118"/>
        <v>97.135714285714286</v>
      </c>
      <c r="AE2431" s="218">
        <v>6.2236222456384685E-5</v>
      </c>
      <c r="AF2431">
        <v>15</v>
      </c>
      <c r="AH2431" t="str">
        <f t="shared" si="116"/>
        <v>DalsinghSarai</v>
      </c>
      <c r="AJ2431" s="72">
        <v>0</v>
      </c>
      <c r="AK2431" s="72"/>
      <c r="AL2431" s="72"/>
      <c r="AM2431" s="72"/>
    </row>
    <row r="2432" spans="1:39" x14ac:dyDescent="0.25">
      <c r="A2432" s="37" t="s">
        <v>62</v>
      </c>
      <c r="B2432" s="66" t="s">
        <v>1654</v>
      </c>
      <c r="C2432" s="41">
        <v>1012</v>
      </c>
      <c r="D2432" s="41" t="s">
        <v>306</v>
      </c>
      <c r="E2432" s="41">
        <v>10120031</v>
      </c>
      <c r="F2432" s="85" t="s">
        <v>328</v>
      </c>
      <c r="G2432" s="39" t="s">
        <v>92</v>
      </c>
      <c r="H2432" s="52" t="s">
        <v>93</v>
      </c>
      <c r="I2432" s="52">
        <v>454.1</v>
      </c>
      <c r="J2432" s="49">
        <v>19620.25</v>
      </c>
      <c r="K2432" s="58">
        <v>243.01</v>
      </c>
      <c r="L2432" s="58">
        <v>10954.45</v>
      </c>
      <c r="M2432" s="58">
        <v>187.91999999999996</v>
      </c>
      <c r="N2432" s="58">
        <v>8663.7800000000025</v>
      </c>
      <c r="O2432" s="58">
        <v>430.92999999999995</v>
      </c>
      <c r="P2432" s="53">
        <v>19618.230000000003</v>
      </c>
      <c r="Q2432" s="65">
        <v>19618.230000000003</v>
      </c>
      <c r="R2432" s="65">
        <v>0</v>
      </c>
      <c r="S2432" s="65">
        <v>83.830000000000013</v>
      </c>
      <c r="T2432" s="65">
        <v>0</v>
      </c>
      <c r="U2432" s="58">
        <v>0</v>
      </c>
      <c r="V2432" s="65">
        <v>0</v>
      </c>
      <c r="W2432" s="65">
        <v>0</v>
      </c>
      <c r="X2432" s="65">
        <v>10954</v>
      </c>
      <c r="Y2432" s="65">
        <v>8579</v>
      </c>
      <c r="Z2432" s="51">
        <v>0</v>
      </c>
      <c r="AA2432" s="51">
        <v>3</v>
      </c>
      <c r="AB2432" s="102">
        <v>0</v>
      </c>
      <c r="AC2432" s="81">
        <f t="shared" si="117"/>
        <v>212.49149856859714</v>
      </c>
      <c r="AD2432" s="82">
        <f t="shared" si="118"/>
        <v>64.871428571428581</v>
      </c>
      <c r="AE2432" s="218">
        <v>1.0295485531513608E-4</v>
      </c>
      <c r="AF2432">
        <v>11</v>
      </c>
      <c r="AH2432" t="str">
        <f t="shared" si="116"/>
        <v>DalsinghSarai</v>
      </c>
      <c r="AJ2432" s="72">
        <v>0</v>
      </c>
      <c r="AK2432" s="72"/>
      <c r="AL2432" s="72"/>
      <c r="AM2432" s="72"/>
    </row>
    <row r="2433" spans="1:39" x14ac:dyDescent="0.25">
      <c r="A2433" s="37" t="s">
        <v>62</v>
      </c>
      <c r="B2433" s="66" t="s">
        <v>1654</v>
      </c>
      <c r="C2433" s="41">
        <v>1012</v>
      </c>
      <c r="D2433" s="41" t="s">
        <v>306</v>
      </c>
      <c r="E2433" s="41">
        <v>10120034</v>
      </c>
      <c r="F2433" s="85" t="s">
        <v>329</v>
      </c>
      <c r="G2433" s="39" t="s">
        <v>92</v>
      </c>
      <c r="H2433" s="52" t="s">
        <v>93</v>
      </c>
      <c r="I2433" s="52">
        <v>217.74999999999994</v>
      </c>
      <c r="J2433" s="49">
        <v>8380.2099999999991</v>
      </c>
      <c r="K2433" s="58">
        <v>150.69</v>
      </c>
      <c r="L2433" s="58">
        <v>5680.0700000000006</v>
      </c>
      <c r="M2433" s="58">
        <v>72.600000000000009</v>
      </c>
      <c r="N2433" s="58">
        <v>2696.72</v>
      </c>
      <c r="O2433" s="58">
        <v>223.29000000000002</v>
      </c>
      <c r="P2433" s="53">
        <v>8376.7900000000009</v>
      </c>
      <c r="Q2433" s="65">
        <v>8376.7900000000009</v>
      </c>
      <c r="R2433" s="65">
        <v>0</v>
      </c>
      <c r="S2433" s="65">
        <v>0</v>
      </c>
      <c r="T2433" s="65">
        <v>0</v>
      </c>
      <c r="U2433" s="58">
        <v>2800</v>
      </c>
      <c r="V2433" s="65">
        <v>0</v>
      </c>
      <c r="W2433" s="65">
        <v>0</v>
      </c>
      <c r="X2433" s="65">
        <v>2880</v>
      </c>
      <c r="Y2433" s="65">
        <v>2697</v>
      </c>
      <c r="Z2433" s="51">
        <v>0</v>
      </c>
      <c r="AA2433" s="51">
        <v>3</v>
      </c>
      <c r="AB2433" s="102">
        <v>0</v>
      </c>
      <c r="AC2433" s="81">
        <f t="shared" si="117"/>
        <v>371.19230975889798</v>
      </c>
      <c r="AD2433" s="82">
        <f t="shared" si="118"/>
        <v>31.107142857142851</v>
      </c>
      <c r="AE2433" s="218">
        <v>4.0810433151415706E-4</v>
      </c>
      <c r="AF2433">
        <v>5</v>
      </c>
      <c r="AH2433" t="str">
        <f t="shared" si="116"/>
        <v>DalsinghSarai</v>
      </c>
      <c r="AJ2433" s="72">
        <v>0</v>
      </c>
      <c r="AK2433" s="72"/>
      <c r="AL2433" s="72"/>
      <c r="AM2433" s="72"/>
    </row>
    <row r="2434" spans="1:39" x14ac:dyDescent="0.25">
      <c r="A2434" s="37" t="s">
        <v>62</v>
      </c>
      <c r="B2434" s="66" t="s">
        <v>1654</v>
      </c>
      <c r="C2434" s="41">
        <v>1012</v>
      </c>
      <c r="D2434" s="41" t="s">
        <v>306</v>
      </c>
      <c r="E2434" s="41">
        <v>10120035</v>
      </c>
      <c r="F2434" s="85" t="s">
        <v>330</v>
      </c>
      <c r="G2434" s="39" t="s">
        <v>92</v>
      </c>
      <c r="H2434" s="52" t="s">
        <v>98</v>
      </c>
      <c r="I2434" s="52">
        <v>326.60000000000002</v>
      </c>
      <c r="J2434" s="49">
        <v>13997.88</v>
      </c>
      <c r="K2434" s="58">
        <v>0</v>
      </c>
      <c r="L2434" s="58">
        <v>0</v>
      </c>
      <c r="M2434" s="58">
        <v>0</v>
      </c>
      <c r="N2434" s="58">
        <v>0</v>
      </c>
      <c r="O2434" s="58">
        <v>0</v>
      </c>
      <c r="P2434" s="53">
        <v>0</v>
      </c>
      <c r="Q2434" s="65">
        <v>13997.88</v>
      </c>
      <c r="R2434" s="65">
        <v>0</v>
      </c>
      <c r="S2434" s="65">
        <v>0</v>
      </c>
      <c r="T2434" s="65">
        <v>0</v>
      </c>
      <c r="U2434" s="58">
        <v>0</v>
      </c>
      <c r="V2434" s="65">
        <v>0</v>
      </c>
      <c r="W2434" s="65">
        <v>0</v>
      </c>
      <c r="X2434" s="65">
        <v>0</v>
      </c>
      <c r="Y2434" s="65">
        <v>0</v>
      </c>
      <c r="Z2434" s="51">
        <v>13997.88</v>
      </c>
      <c r="AA2434" s="51">
        <v>0</v>
      </c>
      <c r="AB2434" s="102">
        <v>0</v>
      </c>
      <c r="AC2434" s="81">
        <f t="shared" si="117"/>
        <v>320.07399828536433</v>
      </c>
      <c r="AD2434" s="82">
        <f t="shared" si="118"/>
        <v>46.657142857142858</v>
      </c>
      <c r="AE2434" s="218">
        <v>0</v>
      </c>
      <c r="AF2434">
        <v>0</v>
      </c>
      <c r="AH2434" t="str">
        <f t="shared" si="116"/>
        <v>DalsinghSarai</v>
      </c>
      <c r="AJ2434" s="72">
        <v>0</v>
      </c>
      <c r="AK2434" s="72"/>
      <c r="AL2434" s="72"/>
      <c r="AM2434" s="72"/>
    </row>
    <row r="2435" spans="1:39" x14ac:dyDescent="0.25">
      <c r="A2435" s="37" t="s">
        <v>62</v>
      </c>
      <c r="B2435" s="66" t="s">
        <v>1654</v>
      </c>
      <c r="C2435" s="41">
        <v>1012</v>
      </c>
      <c r="D2435" s="41" t="s">
        <v>306</v>
      </c>
      <c r="E2435" s="41">
        <v>10120043</v>
      </c>
      <c r="F2435" s="85" t="s">
        <v>331</v>
      </c>
      <c r="G2435" s="39" t="s">
        <v>92</v>
      </c>
      <c r="H2435" s="52" t="s">
        <v>93</v>
      </c>
      <c r="I2435" s="52">
        <v>192.49999999999997</v>
      </c>
      <c r="J2435" s="49">
        <v>10382.150000000001</v>
      </c>
      <c r="K2435" s="58">
        <v>183.05</v>
      </c>
      <c r="L2435" s="58">
        <v>9945.1799999999985</v>
      </c>
      <c r="M2435" s="58">
        <v>6.8</v>
      </c>
      <c r="N2435" s="58">
        <v>436.68</v>
      </c>
      <c r="O2435" s="58">
        <v>189.85000000000002</v>
      </c>
      <c r="P2435" s="53">
        <v>10381.859999999999</v>
      </c>
      <c r="Q2435" s="65">
        <v>10381.859999999999</v>
      </c>
      <c r="R2435" s="65">
        <v>0</v>
      </c>
      <c r="S2435" s="65">
        <v>0</v>
      </c>
      <c r="T2435" s="65">
        <v>0</v>
      </c>
      <c r="U2435" s="58">
        <v>1400</v>
      </c>
      <c r="V2435" s="65">
        <v>500</v>
      </c>
      <c r="W2435" s="65">
        <v>0</v>
      </c>
      <c r="X2435" s="65">
        <v>8045</v>
      </c>
      <c r="Y2435" s="65">
        <v>437</v>
      </c>
      <c r="Z2435" s="51">
        <v>0</v>
      </c>
      <c r="AA2435" s="51">
        <v>0</v>
      </c>
      <c r="AB2435" s="102">
        <v>0</v>
      </c>
      <c r="AC2435" s="81">
        <f t="shared" si="117"/>
        <v>547.4224545454548</v>
      </c>
      <c r="AD2435" s="82">
        <f t="shared" si="118"/>
        <v>27.499999999999996</v>
      </c>
      <c r="AE2435" s="218">
        <v>2.7932557322201284E-5</v>
      </c>
      <c r="AF2435">
        <v>7</v>
      </c>
      <c r="AH2435" t="str">
        <f t="shared" si="116"/>
        <v>DalsinghSarai</v>
      </c>
      <c r="AJ2435" s="72">
        <v>500</v>
      </c>
      <c r="AK2435" s="72"/>
      <c r="AL2435" s="72"/>
      <c r="AM2435" s="72"/>
    </row>
    <row r="2436" spans="1:39" x14ac:dyDescent="0.25">
      <c r="A2436" s="37" t="s">
        <v>62</v>
      </c>
      <c r="B2436" s="66" t="s">
        <v>1654</v>
      </c>
      <c r="C2436" s="41">
        <v>1012</v>
      </c>
      <c r="D2436" s="41" t="s">
        <v>306</v>
      </c>
      <c r="E2436" s="41">
        <v>10120046</v>
      </c>
      <c r="F2436" s="85" t="s">
        <v>332</v>
      </c>
      <c r="G2436" s="39" t="s">
        <v>92</v>
      </c>
      <c r="H2436" s="52" t="s">
        <v>93</v>
      </c>
      <c r="I2436" s="52">
        <v>2127.1999999999998</v>
      </c>
      <c r="J2436" s="49">
        <v>83995.62</v>
      </c>
      <c r="K2436" s="58">
        <v>1549.75</v>
      </c>
      <c r="L2436" s="58">
        <v>61336.130000000005</v>
      </c>
      <c r="M2436" s="58">
        <v>550.69999999999993</v>
      </c>
      <c r="N2436" s="58">
        <v>22656.030000000002</v>
      </c>
      <c r="O2436" s="58">
        <v>2100.4499999999998</v>
      </c>
      <c r="P2436" s="53">
        <v>83992.16</v>
      </c>
      <c r="Q2436" s="65">
        <v>83992.16</v>
      </c>
      <c r="R2436" s="65">
        <v>0</v>
      </c>
      <c r="S2436" s="65">
        <v>2417.52</v>
      </c>
      <c r="T2436" s="65">
        <v>0</v>
      </c>
      <c r="U2436" s="58">
        <v>0</v>
      </c>
      <c r="V2436" s="65">
        <v>0</v>
      </c>
      <c r="W2436" s="65">
        <v>0</v>
      </c>
      <c r="X2436" s="65">
        <v>61336</v>
      </c>
      <c r="Y2436" s="65">
        <v>20238</v>
      </c>
      <c r="Z2436" s="51">
        <v>0</v>
      </c>
      <c r="AA2436" s="51">
        <v>4</v>
      </c>
      <c r="AB2436" s="102">
        <v>0</v>
      </c>
      <c r="AC2436" s="81">
        <f t="shared" si="117"/>
        <v>0</v>
      </c>
      <c r="AD2436" s="82">
        <f t="shared" si="118"/>
        <v>0</v>
      </c>
      <c r="AE2436" s="218">
        <v>4.1192624091492523E-5</v>
      </c>
      <c r="AF2436">
        <v>34</v>
      </c>
      <c r="AH2436" t="str">
        <f t="shared" si="116"/>
        <v>DalsinghSarai</v>
      </c>
      <c r="AJ2436" s="72">
        <v>0</v>
      </c>
      <c r="AK2436" s="72"/>
      <c r="AL2436" s="72"/>
      <c r="AM2436" s="72"/>
    </row>
    <row r="2437" spans="1:39" x14ac:dyDescent="0.25">
      <c r="A2437" s="37" t="s">
        <v>62</v>
      </c>
      <c r="B2437" s="66" t="s">
        <v>1654</v>
      </c>
      <c r="C2437" s="41">
        <v>1012</v>
      </c>
      <c r="D2437" s="41" t="s">
        <v>306</v>
      </c>
      <c r="E2437" s="41">
        <v>10120049</v>
      </c>
      <c r="F2437" s="85" t="s">
        <v>333</v>
      </c>
      <c r="G2437" s="39" t="s">
        <v>1610</v>
      </c>
      <c r="H2437" s="52" t="s">
        <v>98</v>
      </c>
      <c r="I2437" s="52">
        <v>357.65</v>
      </c>
      <c r="J2437" s="49">
        <v>15948.289999999999</v>
      </c>
      <c r="K2437" s="58">
        <v>0</v>
      </c>
      <c r="L2437" s="58">
        <v>0</v>
      </c>
      <c r="M2437" s="58">
        <v>0</v>
      </c>
      <c r="N2437" s="58">
        <v>0</v>
      </c>
      <c r="O2437" s="58">
        <v>0</v>
      </c>
      <c r="P2437" s="53">
        <v>0</v>
      </c>
      <c r="Q2437" s="65">
        <v>15948.289999999999</v>
      </c>
      <c r="R2437" s="65">
        <v>0</v>
      </c>
      <c r="S2437" s="65">
        <v>0</v>
      </c>
      <c r="T2437" s="65">
        <v>0</v>
      </c>
      <c r="U2437" s="58">
        <v>0</v>
      </c>
      <c r="V2437" s="65">
        <v>0</v>
      </c>
      <c r="W2437" s="65">
        <v>0</v>
      </c>
      <c r="X2437" s="65">
        <v>0</v>
      </c>
      <c r="Y2437" s="65">
        <v>0</v>
      </c>
      <c r="Z2437" s="51">
        <v>15948.289999999999</v>
      </c>
      <c r="AA2437" s="51">
        <v>0</v>
      </c>
      <c r="AB2437" s="102">
        <v>0</v>
      </c>
      <c r="AC2437" s="81">
        <f t="shared" si="117"/>
        <v>305.32068119670066</v>
      </c>
      <c r="AD2437" s="82">
        <f t="shared" si="118"/>
        <v>51.092857142857142</v>
      </c>
      <c r="AE2437" s="218">
        <v>0</v>
      </c>
      <c r="AF2437">
        <v>0</v>
      </c>
      <c r="AH2437" t="str">
        <f t="shared" ref="AH2437:AH2499" si="119">TEXT(D2437,"0000")</f>
        <v>DalsinghSarai</v>
      </c>
      <c r="AJ2437" s="72">
        <v>0</v>
      </c>
      <c r="AK2437" s="72"/>
      <c r="AL2437" s="72"/>
      <c r="AM2437" s="72"/>
    </row>
    <row r="2438" spans="1:39" x14ac:dyDescent="0.25">
      <c r="A2438" s="37" t="s">
        <v>62</v>
      </c>
      <c r="B2438" s="66" t="s">
        <v>1654</v>
      </c>
      <c r="C2438" s="41">
        <v>1012</v>
      </c>
      <c r="D2438" s="41" t="s">
        <v>306</v>
      </c>
      <c r="E2438" s="41">
        <v>10120050</v>
      </c>
      <c r="F2438" s="85" t="s">
        <v>334</v>
      </c>
      <c r="G2438" s="39" t="s">
        <v>1610</v>
      </c>
      <c r="H2438" s="52" t="s">
        <v>98</v>
      </c>
      <c r="I2438" s="52">
        <v>1900</v>
      </c>
      <c r="J2438" s="49">
        <v>74186</v>
      </c>
      <c r="K2438" s="58">
        <v>0</v>
      </c>
      <c r="L2438" s="58">
        <v>0</v>
      </c>
      <c r="M2438" s="58">
        <v>0</v>
      </c>
      <c r="N2438" s="58">
        <v>0</v>
      </c>
      <c r="O2438" s="58">
        <v>0</v>
      </c>
      <c r="P2438" s="53">
        <v>0</v>
      </c>
      <c r="Q2438" s="65">
        <v>74186</v>
      </c>
      <c r="R2438" s="65">
        <v>0</v>
      </c>
      <c r="S2438" s="65">
        <v>0</v>
      </c>
      <c r="T2438" s="65">
        <v>0</v>
      </c>
      <c r="U2438" s="58">
        <v>0</v>
      </c>
      <c r="V2438" s="65">
        <v>0</v>
      </c>
      <c r="W2438" s="65">
        <v>0</v>
      </c>
      <c r="X2438" s="65">
        <v>0</v>
      </c>
      <c r="Y2438" s="65">
        <v>0</v>
      </c>
      <c r="Z2438" s="51">
        <v>74186</v>
      </c>
      <c r="AA2438" s="51">
        <v>0</v>
      </c>
      <c r="AB2438" s="102">
        <v>0</v>
      </c>
      <c r="AC2438" s="81">
        <f t="shared" si="117"/>
        <v>0</v>
      </c>
      <c r="AD2438" s="82">
        <f t="shared" si="118"/>
        <v>0</v>
      </c>
      <c r="AE2438" s="218">
        <v>0</v>
      </c>
      <c r="AF2438">
        <v>0</v>
      </c>
      <c r="AH2438" t="str">
        <f t="shared" si="119"/>
        <v>DalsinghSarai</v>
      </c>
      <c r="AJ2438" s="72">
        <v>0</v>
      </c>
      <c r="AK2438" s="72"/>
      <c r="AL2438" s="72"/>
      <c r="AM2438" s="72"/>
    </row>
    <row r="2439" spans="1:39" x14ac:dyDescent="0.25">
      <c r="A2439" s="37" t="s">
        <v>62</v>
      </c>
      <c r="B2439" s="66" t="s">
        <v>1654</v>
      </c>
      <c r="C2439" s="41">
        <v>1012</v>
      </c>
      <c r="D2439" s="41" t="s">
        <v>306</v>
      </c>
      <c r="E2439" s="41">
        <v>10120051</v>
      </c>
      <c r="F2439" s="85" t="s">
        <v>335</v>
      </c>
      <c r="G2439" s="39" t="s">
        <v>92</v>
      </c>
      <c r="H2439" s="52" t="s">
        <v>93</v>
      </c>
      <c r="I2439" s="52">
        <v>294.49999999999994</v>
      </c>
      <c r="J2439" s="49">
        <v>12288.409999999998</v>
      </c>
      <c r="K2439" s="58">
        <v>73.89</v>
      </c>
      <c r="L2439" s="58">
        <v>3003.97</v>
      </c>
      <c r="M2439" s="58">
        <v>215.76</v>
      </c>
      <c r="N2439" s="58">
        <v>9271.0300000000007</v>
      </c>
      <c r="O2439" s="58">
        <v>289.64999999999998</v>
      </c>
      <c r="P2439" s="53">
        <v>12275</v>
      </c>
      <c r="Q2439" s="65">
        <v>12275</v>
      </c>
      <c r="R2439" s="65">
        <v>0</v>
      </c>
      <c r="S2439" s="65">
        <v>0</v>
      </c>
      <c r="T2439" s="65">
        <v>0</v>
      </c>
      <c r="U2439" s="58">
        <v>0</v>
      </c>
      <c r="V2439" s="65">
        <v>0</v>
      </c>
      <c r="W2439" s="65">
        <v>0</v>
      </c>
      <c r="X2439" s="65">
        <v>3004</v>
      </c>
      <c r="Y2439" s="65">
        <v>9272</v>
      </c>
      <c r="Z2439" s="51">
        <v>0</v>
      </c>
      <c r="AA2439" s="51">
        <v>12</v>
      </c>
      <c r="AB2439" s="102">
        <v>0</v>
      </c>
      <c r="AC2439" s="81">
        <f t="shared" si="117"/>
        <v>338.40069643463505</v>
      </c>
      <c r="AD2439" s="82">
        <f t="shared" si="118"/>
        <v>42.071428571428562</v>
      </c>
      <c r="AE2439" s="218">
        <v>1.0912721824872409E-3</v>
      </c>
      <c r="AF2439">
        <v>12</v>
      </c>
      <c r="AH2439" t="str">
        <f t="shared" si="119"/>
        <v>DalsinghSarai</v>
      </c>
      <c r="AJ2439" s="72">
        <v>0</v>
      </c>
      <c r="AK2439" s="72"/>
      <c r="AL2439" s="72"/>
      <c r="AM2439" s="72"/>
    </row>
    <row r="2440" spans="1:39" x14ac:dyDescent="0.25">
      <c r="A2440" s="37" t="s">
        <v>62</v>
      </c>
      <c r="B2440" s="66" t="s">
        <v>1654</v>
      </c>
      <c r="C2440" s="41">
        <v>1012</v>
      </c>
      <c r="D2440" s="41" t="s">
        <v>306</v>
      </c>
      <c r="E2440" s="41">
        <v>10120052</v>
      </c>
      <c r="F2440" s="85" t="s">
        <v>336</v>
      </c>
      <c r="G2440" s="39" t="s">
        <v>92</v>
      </c>
      <c r="H2440" s="52" t="s">
        <v>93</v>
      </c>
      <c r="I2440" s="52">
        <v>1735.8500000000001</v>
      </c>
      <c r="J2440" s="49">
        <v>69565.899999999994</v>
      </c>
      <c r="K2440" s="58">
        <v>1050.6300000000001</v>
      </c>
      <c r="L2440" s="58">
        <v>42511.08</v>
      </c>
      <c r="M2440" s="58">
        <v>675.30000000000052</v>
      </c>
      <c r="N2440" s="58">
        <v>27051.48</v>
      </c>
      <c r="O2440" s="58">
        <v>1725.9300000000007</v>
      </c>
      <c r="P2440" s="53">
        <v>69562.559999999998</v>
      </c>
      <c r="Q2440" s="65">
        <v>69562.559999999998</v>
      </c>
      <c r="R2440" s="65">
        <v>0</v>
      </c>
      <c r="S2440" s="65">
        <v>149.6</v>
      </c>
      <c r="T2440" s="65">
        <v>0</v>
      </c>
      <c r="U2440" s="58">
        <v>2800</v>
      </c>
      <c r="V2440" s="65">
        <v>0</v>
      </c>
      <c r="W2440" s="65">
        <v>0</v>
      </c>
      <c r="X2440" s="65">
        <v>39711</v>
      </c>
      <c r="Y2440" s="65">
        <v>26904</v>
      </c>
      <c r="Z2440" s="51">
        <v>0</v>
      </c>
      <c r="AA2440" s="51">
        <v>1</v>
      </c>
      <c r="AB2440" s="102">
        <v>0</v>
      </c>
      <c r="AC2440" s="81">
        <f t="shared" si="117"/>
        <v>0</v>
      </c>
      <c r="AD2440" s="82">
        <f t="shared" si="118"/>
        <v>0</v>
      </c>
      <c r="AE2440" s="218">
        <v>4.8012028881916397E-5</v>
      </c>
      <c r="AF2440">
        <v>36</v>
      </c>
      <c r="AH2440" t="str">
        <f t="shared" si="119"/>
        <v>DalsinghSarai</v>
      </c>
      <c r="AJ2440" s="72">
        <v>0</v>
      </c>
      <c r="AK2440" s="72"/>
      <c r="AL2440" s="72"/>
      <c r="AM2440" s="72"/>
    </row>
    <row r="2441" spans="1:39" x14ac:dyDescent="0.25">
      <c r="A2441" s="37" t="s">
        <v>62</v>
      </c>
      <c r="B2441" s="66" t="s">
        <v>1654</v>
      </c>
      <c r="C2441" s="41">
        <v>1012</v>
      </c>
      <c r="D2441" s="41" t="s">
        <v>306</v>
      </c>
      <c r="E2441" s="41">
        <v>10120053</v>
      </c>
      <c r="F2441" s="85" t="s">
        <v>337</v>
      </c>
      <c r="G2441" s="39" t="s">
        <v>92</v>
      </c>
      <c r="H2441" s="52" t="s">
        <v>93</v>
      </c>
      <c r="I2441" s="52">
        <v>177.79999999999998</v>
      </c>
      <c r="J2441" s="49">
        <v>7223.56</v>
      </c>
      <c r="K2441" s="58">
        <v>193.56999999999996</v>
      </c>
      <c r="L2441" s="58">
        <v>7212.64</v>
      </c>
      <c r="M2441" s="58">
        <v>0</v>
      </c>
      <c r="N2441" s="58">
        <v>0</v>
      </c>
      <c r="O2441" s="58">
        <v>193.56999999999996</v>
      </c>
      <c r="P2441" s="53">
        <v>7212.64</v>
      </c>
      <c r="Q2441" s="65">
        <v>7212.64</v>
      </c>
      <c r="R2441" s="65">
        <v>0</v>
      </c>
      <c r="S2441" s="65">
        <v>0</v>
      </c>
      <c r="T2441" s="65">
        <v>0</v>
      </c>
      <c r="U2441" s="58">
        <v>0</v>
      </c>
      <c r="V2441" s="65">
        <v>0</v>
      </c>
      <c r="W2441" s="65">
        <v>0</v>
      </c>
      <c r="X2441" s="65">
        <v>7211</v>
      </c>
      <c r="Y2441" s="65">
        <v>0</v>
      </c>
      <c r="Z2441" s="51">
        <v>0</v>
      </c>
      <c r="AA2441" s="51">
        <v>13</v>
      </c>
      <c r="AB2441" s="102">
        <v>0</v>
      </c>
      <c r="AC2441" s="81">
        <f t="shared" si="117"/>
        <v>424.31305196850394</v>
      </c>
      <c r="AD2441" s="82">
        <f t="shared" si="118"/>
        <v>25.4</v>
      </c>
      <c r="AE2441" s="218">
        <v>1.5117199829447075E-3</v>
      </c>
      <c r="AF2441">
        <v>8</v>
      </c>
      <c r="AH2441" t="str">
        <f t="shared" si="119"/>
        <v>DalsinghSarai</v>
      </c>
      <c r="AJ2441" s="72">
        <v>0</v>
      </c>
      <c r="AK2441" s="72"/>
      <c r="AL2441" s="72"/>
      <c r="AM2441" s="72"/>
    </row>
    <row r="2442" spans="1:39" x14ac:dyDescent="0.25">
      <c r="A2442" s="37" t="s">
        <v>62</v>
      </c>
      <c r="B2442" s="66" t="s">
        <v>1654</v>
      </c>
      <c r="C2442" s="41">
        <v>1012</v>
      </c>
      <c r="D2442" s="41" t="s">
        <v>306</v>
      </c>
      <c r="E2442" s="41">
        <v>10120060</v>
      </c>
      <c r="F2442" s="85" t="s">
        <v>339</v>
      </c>
      <c r="G2442" s="39" t="s">
        <v>1610</v>
      </c>
      <c r="H2442" s="52" t="s">
        <v>98</v>
      </c>
      <c r="I2442" s="52">
        <v>4040</v>
      </c>
      <c r="J2442" s="49">
        <v>152641</v>
      </c>
      <c r="K2442" s="58">
        <v>0</v>
      </c>
      <c r="L2442" s="58">
        <v>0</v>
      </c>
      <c r="M2442" s="58">
        <v>0</v>
      </c>
      <c r="N2442" s="58">
        <v>0</v>
      </c>
      <c r="O2442" s="58">
        <v>0</v>
      </c>
      <c r="P2442" s="53">
        <v>0</v>
      </c>
      <c r="Q2442" s="65">
        <v>152641</v>
      </c>
      <c r="R2442" s="65">
        <v>0</v>
      </c>
      <c r="S2442" s="65">
        <v>0</v>
      </c>
      <c r="T2442" s="65">
        <v>0</v>
      </c>
      <c r="U2442" s="58">
        <v>0</v>
      </c>
      <c r="V2442" s="65">
        <v>0</v>
      </c>
      <c r="W2442" s="65">
        <v>0</v>
      </c>
      <c r="X2442" s="65">
        <v>0</v>
      </c>
      <c r="Y2442" s="65">
        <v>0</v>
      </c>
      <c r="Z2442" s="51">
        <v>152641</v>
      </c>
      <c r="AA2442" s="51">
        <v>0</v>
      </c>
      <c r="AB2442" s="102">
        <v>0</v>
      </c>
      <c r="AC2442" s="81">
        <f t="shared" si="117"/>
        <v>0</v>
      </c>
      <c r="AD2442" s="82">
        <f t="shared" si="118"/>
        <v>0</v>
      </c>
      <c r="AE2442" s="218">
        <v>0</v>
      </c>
      <c r="AF2442">
        <v>0</v>
      </c>
      <c r="AH2442" t="str">
        <f t="shared" si="119"/>
        <v>DalsinghSarai</v>
      </c>
      <c r="AJ2442" s="72">
        <v>0</v>
      </c>
      <c r="AK2442" s="72"/>
      <c r="AL2442" s="72"/>
      <c r="AM2442" s="72"/>
    </row>
    <row r="2443" spans="1:39" x14ac:dyDescent="0.25">
      <c r="A2443" s="37" t="s">
        <v>62</v>
      </c>
      <c r="B2443" s="66" t="s">
        <v>1654</v>
      </c>
      <c r="C2443" s="41">
        <v>1012</v>
      </c>
      <c r="D2443" s="41" t="s">
        <v>306</v>
      </c>
      <c r="E2443" s="41">
        <v>10120067</v>
      </c>
      <c r="F2443" s="85" t="s">
        <v>1566</v>
      </c>
      <c r="G2443" s="39" t="s">
        <v>1610</v>
      </c>
      <c r="H2443" s="52" t="s">
        <v>98</v>
      </c>
      <c r="I2443" s="52">
        <v>359.95000000000005</v>
      </c>
      <c r="J2443" s="49">
        <v>12385.17</v>
      </c>
      <c r="K2443" s="58">
        <v>0</v>
      </c>
      <c r="L2443" s="58">
        <v>0</v>
      </c>
      <c r="M2443" s="58">
        <v>0</v>
      </c>
      <c r="N2443" s="58">
        <v>0</v>
      </c>
      <c r="O2443" s="58">
        <v>0</v>
      </c>
      <c r="P2443" s="53">
        <v>0</v>
      </c>
      <c r="Q2443" s="65">
        <v>12385.17</v>
      </c>
      <c r="R2443" s="65">
        <v>0</v>
      </c>
      <c r="S2443" s="65">
        <v>0</v>
      </c>
      <c r="T2443" s="65">
        <v>0</v>
      </c>
      <c r="U2443" s="58">
        <v>0</v>
      </c>
      <c r="V2443" s="65">
        <v>0</v>
      </c>
      <c r="W2443" s="65">
        <v>0</v>
      </c>
      <c r="X2443" s="65">
        <v>0</v>
      </c>
      <c r="Y2443" s="65">
        <v>0</v>
      </c>
      <c r="Z2443" s="51">
        <v>12385.17</v>
      </c>
      <c r="AA2443" s="51">
        <v>0</v>
      </c>
      <c r="AB2443" s="102">
        <v>0</v>
      </c>
      <c r="AC2443" s="81">
        <f t="shared" si="117"/>
        <v>234.00900450062505</v>
      </c>
      <c r="AD2443" s="82">
        <f t="shared" si="118"/>
        <v>51.421428571428578</v>
      </c>
      <c r="AE2443" s="218">
        <v>0</v>
      </c>
      <c r="AF2443">
        <v>0</v>
      </c>
      <c r="AH2443" t="str">
        <f t="shared" si="119"/>
        <v>DalsinghSarai</v>
      </c>
      <c r="AJ2443" s="72">
        <v>0</v>
      </c>
      <c r="AK2443" s="72"/>
      <c r="AL2443" s="72"/>
      <c r="AM2443" s="72"/>
    </row>
    <row r="2444" spans="1:39" x14ac:dyDescent="0.25">
      <c r="A2444" s="37" t="s">
        <v>62</v>
      </c>
      <c r="B2444" s="66" t="s">
        <v>1654</v>
      </c>
      <c r="C2444" s="41">
        <v>1012</v>
      </c>
      <c r="D2444" s="41" t="s">
        <v>306</v>
      </c>
      <c r="E2444" s="41">
        <v>10120071</v>
      </c>
      <c r="F2444" s="85" t="s">
        <v>341</v>
      </c>
      <c r="G2444" s="39" t="s">
        <v>92</v>
      </c>
      <c r="H2444" s="52" t="s">
        <v>93</v>
      </c>
      <c r="I2444" s="52">
        <v>1180.05</v>
      </c>
      <c r="J2444" s="49">
        <v>47752.640000000014</v>
      </c>
      <c r="K2444" s="58">
        <v>182.17000000000002</v>
      </c>
      <c r="L2444" s="58">
        <v>7352.4499999999989</v>
      </c>
      <c r="M2444" s="58">
        <v>983.95999999999992</v>
      </c>
      <c r="N2444" s="58">
        <v>40399.560000000012</v>
      </c>
      <c r="O2444" s="58">
        <v>1166.1299999999999</v>
      </c>
      <c r="P2444" s="53">
        <v>47752.010000000009</v>
      </c>
      <c r="Q2444" s="65">
        <v>47752.010000000009</v>
      </c>
      <c r="R2444" s="65">
        <v>0</v>
      </c>
      <c r="S2444" s="65">
        <v>0</v>
      </c>
      <c r="T2444" s="65">
        <v>0</v>
      </c>
      <c r="U2444" s="58">
        <v>0</v>
      </c>
      <c r="V2444" s="65">
        <v>0</v>
      </c>
      <c r="W2444" s="65">
        <v>0</v>
      </c>
      <c r="X2444" s="65">
        <v>7352</v>
      </c>
      <c r="Y2444" s="65">
        <v>40399</v>
      </c>
      <c r="Z2444" s="51">
        <v>0</v>
      </c>
      <c r="AA2444" s="51">
        <v>2</v>
      </c>
      <c r="AB2444" s="102">
        <v>0</v>
      </c>
      <c r="AC2444" s="81">
        <f t="shared" si="117"/>
        <v>0</v>
      </c>
      <c r="AD2444" s="82">
        <f t="shared" si="118"/>
        <v>0</v>
      </c>
      <c r="AE2444" s="218">
        <v>1.3192987864223977E-5</v>
      </c>
      <c r="AF2444">
        <v>13</v>
      </c>
      <c r="AH2444" t="str">
        <f t="shared" si="119"/>
        <v>DalsinghSarai</v>
      </c>
      <c r="AJ2444" s="72">
        <v>0</v>
      </c>
      <c r="AK2444" s="72"/>
      <c r="AL2444" s="72"/>
      <c r="AM2444" s="72"/>
    </row>
    <row r="2445" spans="1:39" x14ac:dyDescent="0.25">
      <c r="A2445" s="37" t="s">
        <v>62</v>
      </c>
      <c r="B2445" s="66" t="s">
        <v>1654</v>
      </c>
      <c r="C2445" s="41">
        <v>1012</v>
      </c>
      <c r="D2445" s="41" t="s">
        <v>306</v>
      </c>
      <c r="E2445" s="41">
        <v>10120083</v>
      </c>
      <c r="F2445" s="85" t="s">
        <v>430</v>
      </c>
      <c r="G2445" s="39" t="s">
        <v>92</v>
      </c>
      <c r="H2445" s="52" t="s">
        <v>93</v>
      </c>
      <c r="I2445" s="52">
        <v>76.25</v>
      </c>
      <c r="J2445" s="49">
        <v>4745.59</v>
      </c>
      <c r="K2445" s="58">
        <v>76.25</v>
      </c>
      <c r="L2445" s="58">
        <v>4745.59</v>
      </c>
      <c r="M2445" s="58">
        <v>0</v>
      </c>
      <c r="N2445" s="58">
        <v>0</v>
      </c>
      <c r="O2445" s="58">
        <v>76.25</v>
      </c>
      <c r="P2445" s="53">
        <v>4745.59</v>
      </c>
      <c r="Q2445" s="65">
        <v>4745.59</v>
      </c>
      <c r="R2445" s="65">
        <v>0</v>
      </c>
      <c r="S2445" s="65">
        <v>0</v>
      </c>
      <c r="T2445" s="65">
        <v>0</v>
      </c>
      <c r="U2445" s="58">
        <v>0</v>
      </c>
      <c r="V2445" s="65">
        <v>0</v>
      </c>
      <c r="W2445" s="65">
        <v>0</v>
      </c>
      <c r="X2445" s="65">
        <v>4746</v>
      </c>
      <c r="Y2445" s="65">
        <v>0</v>
      </c>
      <c r="Z2445" s="51">
        <v>0</v>
      </c>
      <c r="AA2445" s="51">
        <v>0</v>
      </c>
      <c r="AB2445" s="102">
        <v>0</v>
      </c>
      <c r="AC2445" s="81">
        <f t="shared" si="117"/>
        <v>776.40964262295097</v>
      </c>
      <c r="AD2445" s="82">
        <f t="shared" si="118"/>
        <v>10.892857142857142</v>
      </c>
      <c r="AE2445" s="218">
        <v>0</v>
      </c>
      <c r="AF2445">
        <v>1</v>
      </c>
      <c r="AH2445" t="str">
        <f t="shared" si="119"/>
        <v>DalsinghSarai</v>
      </c>
      <c r="AJ2445" s="72">
        <v>0</v>
      </c>
      <c r="AK2445" s="72"/>
      <c r="AL2445" s="72"/>
      <c r="AM2445" s="72"/>
    </row>
    <row r="2446" spans="1:39" x14ac:dyDescent="0.25">
      <c r="A2446" s="37" t="s">
        <v>62</v>
      </c>
      <c r="B2446" s="66" t="s">
        <v>1654</v>
      </c>
      <c r="C2446" s="41">
        <v>1012</v>
      </c>
      <c r="D2446" s="41" t="s">
        <v>306</v>
      </c>
      <c r="E2446" s="41">
        <v>10120084</v>
      </c>
      <c r="F2446" s="85" t="s">
        <v>435</v>
      </c>
      <c r="G2446" s="39" t="s">
        <v>92</v>
      </c>
      <c r="H2446" s="52" t="s">
        <v>93</v>
      </c>
      <c r="I2446" s="52">
        <v>2591.0000000000009</v>
      </c>
      <c r="J2446" s="49">
        <v>133408.01</v>
      </c>
      <c r="K2446" s="58">
        <v>746.56</v>
      </c>
      <c r="L2446" s="58">
        <v>40850.980000000003</v>
      </c>
      <c r="M2446" s="58">
        <v>1710.8100000000006</v>
      </c>
      <c r="N2446" s="58">
        <v>92517.169999999984</v>
      </c>
      <c r="O2446" s="58">
        <v>2457.3700000000008</v>
      </c>
      <c r="P2446" s="53">
        <v>133368.15</v>
      </c>
      <c r="Q2446" s="65">
        <v>133368.15</v>
      </c>
      <c r="R2446" s="65">
        <v>0</v>
      </c>
      <c r="S2446" s="65">
        <v>0</v>
      </c>
      <c r="T2446" s="65">
        <v>0</v>
      </c>
      <c r="U2446" s="58">
        <v>0</v>
      </c>
      <c r="V2446" s="65">
        <v>0</v>
      </c>
      <c r="W2446" s="65">
        <v>0</v>
      </c>
      <c r="X2446" s="65">
        <v>40852</v>
      </c>
      <c r="Y2446" s="65">
        <v>92516</v>
      </c>
      <c r="Z2446" s="51">
        <v>0</v>
      </c>
      <c r="AA2446" s="51">
        <v>40</v>
      </c>
      <c r="AB2446" s="102">
        <v>0</v>
      </c>
      <c r="AC2446" s="81">
        <f t="shared" si="117"/>
        <v>0</v>
      </c>
      <c r="AD2446" s="82">
        <f t="shared" si="118"/>
        <v>0</v>
      </c>
      <c r="AE2446" s="218">
        <v>2.9878265930220478E-4</v>
      </c>
      <c r="AF2446">
        <v>29</v>
      </c>
      <c r="AH2446" t="str">
        <f t="shared" si="119"/>
        <v>DalsinghSarai</v>
      </c>
      <c r="AJ2446" s="72">
        <v>0</v>
      </c>
      <c r="AK2446" s="72"/>
      <c r="AL2446" s="72"/>
      <c r="AM2446" s="72"/>
    </row>
    <row r="2447" spans="1:39" x14ac:dyDescent="0.25">
      <c r="A2447" s="37" t="s">
        <v>62</v>
      </c>
      <c r="B2447" s="66" t="s">
        <v>1654</v>
      </c>
      <c r="C2447" s="41">
        <v>1062</v>
      </c>
      <c r="D2447" s="41" t="s">
        <v>1381</v>
      </c>
      <c r="E2447" s="41">
        <v>10120088</v>
      </c>
      <c r="F2447" s="85" t="s">
        <v>1338</v>
      </c>
      <c r="G2447" s="39" t="s">
        <v>1610</v>
      </c>
      <c r="H2447" s="52" t="s">
        <v>98</v>
      </c>
      <c r="I2447" s="52">
        <v>7220.4599999999991</v>
      </c>
      <c r="J2447" s="49">
        <v>316415.74999999994</v>
      </c>
      <c r="K2447" s="58">
        <v>0</v>
      </c>
      <c r="L2447" s="58">
        <v>0</v>
      </c>
      <c r="M2447" s="58">
        <v>0</v>
      </c>
      <c r="N2447" s="58">
        <v>0</v>
      </c>
      <c r="O2447" s="58">
        <v>0</v>
      </c>
      <c r="P2447" s="53">
        <v>0</v>
      </c>
      <c r="Q2447" s="65">
        <v>316415.74999999994</v>
      </c>
      <c r="R2447" s="65">
        <v>0</v>
      </c>
      <c r="S2447" s="65">
        <v>0</v>
      </c>
      <c r="T2447" s="65">
        <v>0</v>
      </c>
      <c r="U2447" s="58">
        <v>0</v>
      </c>
      <c r="V2447" s="65">
        <v>0</v>
      </c>
      <c r="W2447" s="65">
        <v>0</v>
      </c>
      <c r="X2447" s="65">
        <v>0</v>
      </c>
      <c r="Y2447" s="65">
        <v>0</v>
      </c>
      <c r="Z2447" s="51">
        <v>316415.74999999994</v>
      </c>
      <c r="AA2447" s="51">
        <v>0</v>
      </c>
      <c r="AB2447" s="102">
        <v>0</v>
      </c>
      <c r="AC2447" s="81">
        <f t="shared" si="117"/>
        <v>0</v>
      </c>
      <c r="AD2447" s="82">
        <f t="shared" si="118"/>
        <v>0</v>
      </c>
      <c r="AE2447" s="218">
        <v>0</v>
      </c>
      <c r="AF2447">
        <v>0</v>
      </c>
      <c r="AH2447" t="str">
        <f t="shared" si="119"/>
        <v>Singhia BMC</v>
      </c>
      <c r="AJ2447" s="72">
        <v>0</v>
      </c>
      <c r="AK2447" s="72"/>
      <c r="AL2447" s="72"/>
      <c r="AM2447" s="72"/>
    </row>
    <row r="2448" spans="1:39" x14ac:dyDescent="0.25">
      <c r="A2448" s="37" t="s">
        <v>62</v>
      </c>
      <c r="B2448" s="66" t="s">
        <v>1654</v>
      </c>
      <c r="C2448" s="41">
        <v>1012</v>
      </c>
      <c r="D2448" s="41" t="s">
        <v>306</v>
      </c>
      <c r="E2448" s="41">
        <v>10120089</v>
      </c>
      <c r="F2448" s="85" t="s">
        <v>493</v>
      </c>
      <c r="G2448" s="39" t="s">
        <v>92</v>
      </c>
      <c r="H2448" s="52" t="s">
        <v>93</v>
      </c>
      <c r="I2448" s="52">
        <v>567.54999999999995</v>
      </c>
      <c r="J2448" s="49">
        <v>22096.44</v>
      </c>
      <c r="K2448" s="58">
        <v>547</v>
      </c>
      <c r="L2448" s="58">
        <v>22009.55</v>
      </c>
      <c r="M2448" s="58">
        <v>2.5000000000000004</v>
      </c>
      <c r="N2448" s="58">
        <v>86.059999999999988</v>
      </c>
      <c r="O2448" s="58">
        <v>549.5</v>
      </c>
      <c r="P2448" s="53">
        <v>22095.61</v>
      </c>
      <c r="Q2448" s="65">
        <v>22095.61</v>
      </c>
      <c r="R2448" s="65">
        <v>0</v>
      </c>
      <c r="S2448" s="65">
        <v>48.45</v>
      </c>
      <c r="T2448" s="65">
        <v>0</v>
      </c>
      <c r="U2448" s="58">
        <v>0</v>
      </c>
      <c r="V2448" s="65">
        <v>0</v>
      </c>
      <c r="W2448" s="65">
        <v>0</v>
      </c>
      <c r="X2448" s="65">
        <v>22010</v>
      </c>
      <c r="Y2448" s="65">
        <v>38</v>
      </c>
      <c r="Z2448" s="51">
        <v>0</v>
      </c>
      <c r="AA2448" s="51">
        <v>0</v>
      </c>
      <c r="AB2448" s="102">
        <v>0</v>
      </c>
      <c r="AC2448" s="81">
        <f t="shared" si="117"/>
        <v>103.13359097876842</v>
      </c>
      <c r="AD2448" s="82">
        <f t="shared" si="118"/>
        <v>81.078571428571422</v>
      </c>
      <c r="AE2448" s="218">
        <v>3.7562611895767295E-5</v>
      </c>
      <c r="AF2448">
        <v>12</v>
      </c>
      <c r="AH2448" t="str">
        <f t="shared" si="119"/>
        <v>DalsinghSarai</v>
      </c>
      <c r="AJ2448" s="72">
        <v>0</v>
      </c>
      <c r="AK2448" s="72"/>
      <c r="AL2448" s="72"/>
      <c r="AM2448" s="72"/>
    </row>
    <row r="2449" spans="1:39" x14ac:dyDescent="0.25">
      <c r="A2449" s="37" t="s">
        <v>62</v>
      </c>
      <c r="B2449" s="66" t="s">
        <v>1654</v>
      </c>
      <c r="C2449" s="41">
        <v>1012</v>
      </c>
      <c r="D2449" s="41" t="s">
        <v>306</v>
      </c>
      <c r="E2449" s="41">
        <v>10120091</v>
      </c>
      <c r="F2449" s="85" t="s">
        <v>499</v>
      </c>
      <c r="G2449" s="39" t="s">
        <v>92</v>
      </c>
      <c r="H2449" s="52" t="s">
        <v>93</v>
      </c>
      <c r="I2449" s="52">
        <v>371.54999999999995</v>
      </c>
      <c r="J2449" s="49">
        <v>13733.460000000001</v>
      </c>
      <c r="K2449" s="58">
        <v>154.01999999999998</v>
      </c>
      <c r="L2449" s="58">
        <v>5446.74</v>
      </c>
      <c r="M2449" s="58">
        <v>215.26000000000002</v>
      </c>
      <c r="N2449" s="58">
        <v>8285.01</v>
      </c>
      <c r="O2449" s="58">
        <v>369.28</v>
      </c>
      <c r="P2449" s="53">
        <v>13731.75</v>
      </c>
      <c r="Q2449" s="65">
        <v>13731.75</v>
      </c>
      <c r="R2449" s="65">
        <v>0</v>
      </c>
      <c r="S2449" s="65">
        <v>215.68</v>
      </c>
      <c r="T2449" s="65">
        <v>0</v>
      </c>
      <c r="U2449" s="58">
        <v>0</v>
      </c>
      <c r="V2449" s="65">
        <v>0</v>
      </c>
      <c r="W2449" s="65">
        <v>0</v>
      </c>
      <c r="X2449" s="65">
        <v>5447</v>
      </c>
      <c r="Y2449" s="65">
        <v>8070</v>
      </c>
      <c r="Z2449" s="51">
        <v>0</v>
      </c>
      <c r="AA2449" s="51">
        <v>1</v>
      </c>
      <c r="AB2449" s="102">
        <v>0</v>
      </c>
      <c r="AC2449" s="81">
        <f t="shared" si="117"/>
        <v>242.80742494953583</v>
      </c>
      <c r="AD2449" s="82">
        <f t="shared" si="118"/>
        <v>53.078571428571422</v>
      </c>
      <c r="AE2449" s="218">
        <v>1.2451341468216646E-4</v>
      </c>
      <c r="AF2449">
        <v>11</v>
      </c>
      <c r="AH2449" t="str">
        <f t="shared" si="119"/>
        <v>DalsinghSarai</v>
      </c>
      <c r="AJ2449" s="72">
        <v>0</v>
      </c>
      <c r="AK2449" s="72"/>
      <c r="AL2449" s="72"/>
      <c r="AM2449" s="72"/>
    </row>
    <row r="2450" spans="1:39" x14ac:dyDescent="0.25">
      <c r="A2450" s="37" t="s">
        <v>62</v>
      </c>
      <c r="B2450" s="66" t="s">
        <v>1654</v>
      </c>
      <c r="C2450" s="41">
        <v>1012</v>
      </c>
      <c r="D2450" s="41" t="s">
        <v>306</v>
      </c>
      <c r="E2450" s="41">
        <v>10120094</v>
      </c>
      <c r="F2450" s="85" t="s">
        <v>506</v>
      </c>
      <c r="G2450" s="39" t="s">
        <v>92</v>
      </c>
      <c r="H2450" s="52" t="s">
        <v>93</v>
      </c>
      <c r="I2450" s="52">
        <v>1236.6499999999996</v>
      </c>
      <c r="J2450" s="49">
        <v>56663.159999999996</v>
      </c>
      <c r="K2450" s="58">
        <v>242.86</v>
      </c>
      <c r="L2450" s="58">
        <v>10699.01</v>
      </c>
      <c r="M2450" s="58">
        <v>1033.94</v>
      </c>
      <c r="N2450" s="58">
        <v>45959.3</v>
      </c>
      <c r="O2450" s="58">
        <v>1276.8000000000002</v>
      </c>
      <c r="P2450" s="53">
        <v>56658.310000000005</v>
      </c>
      <c r="Q2450" s="65">
        <v>56658.310000000005</v>
      </c>
      <c r="R2450" s="65">
        <v>0</v>
      </c>
      <c r="S2450" s="65">
        <v>0</v>
      </c>
      <c r="T2450" s="65">
        <v>0</v>
      </c>
      <c r="U2450" s="58">
        <v>2800</v>
      </c>
      <c r="V2450" s="65">
        <v>0</v>
      </c>
      <c r="W2450" s="65">
        <v>0</v>
      </c>
      <c r="X2450" s="65">
        <v>7899</v>
      </c>
      <c r="Y2450" s="65">
        <v>45960</v>
      </c>
      <c r="Z2450" s="51">
        <v>0</v>
      </c>
      <c r="AA2450" s="51">
        <v>4</v>
      </c>
      <c r="AB2450" s="102">
        <v>0</v>
      </c>
      <c r="AC2450" s="81">
        <f t="shared" si="117"/>
        <v>0</v>
      </c>
      <c r="AD2450" s="82">
        <f t="shared" si="118"/>
        <v>0</v>
      </c>
      <c r="AE2450" s="218">
        <v>8.5593532023121716E-5</v>
      </c>
      <c r="AF2450">
        <v>24</v>
      </c>
      <c r="AH2450" t="str">
        <f t="shared" si="119"/>
        <v>DalsinghSarai</v>
      </c>
      <c r="AJ2450" s="72">
        <v>0</v>
      </c>
      <c r="AK2450" s="72"/>
      <c r="AL2450" s="72"/>
      <c r="AM2450" s="72"/>
    </row>
    <row r="2451" spans="1:39" x14ac:dyDescent="0.25">
      <c r="A2451" s="37" t="s">
        <v>62</v>
      </c>
      <c r="B2451" s="66" t="s">
        <v>1654</v>
      </c>
      <c r="C2451" s="41">
        <v>1012</v>
      </c>
      <c r="D2451" s="41" t="s">
        <v>306</v>
      </c>
      <c r="E2451" s="41">
        <v>10120095</v>
      </c>
      <c r="F2451" s="85" t="s">
        <v>523</v>
      </c>
      <c r="G2451" s="39" t="s">
        <v>92</v>
      </c>
      <c r="H2451" s="52" t="s">
        <v>93</v>
      </c>
      <c r="I2451" s="52">
        <v>228.3</v>
      </c>
      <c r="J2451" s="49">
        <v>9705.66</v>
      </c>
      <c r="K2451" s="58">
        <v>205.39</v>
      </c>
      <c r="L2451" s="58">
        <v>8627.73</v>
      </c>
      <c r="M2451" s="58">
        <v>25.6</v>
      </c>
      <c r="N2451" s="58">
        <v>1072.4100000000001</v>
      </c>
      <c r="O2451" s="58">
        <v>230.98999999999998</v>
      </c>
      <c r="P2451" s="53">
        <v>9700.14</v>
      </c>
      <c r="Q2451" s="65">
        <v>9700.14</v>
      </c>
      <c r="R2451" s="65">
        <v>0</v>
      </c>
      <c r="S2451" s="65">
        <v>0</v>
      </c>
      <c r="T2451" s="65">
        <v>0</v>
      </c>
      <c r="U2451" s="58">
        <v>1400</v>
      </c>
      <c r="V2451" s="65">
        <v>500</v>
      </c>
      <c r="W2451" s="65">
        <v>0</v>
      </c>
      <c r="X2451" s="65">
        <v>6728</v>
      </c>
      <c r="Y2451" s="65">
        <v>1073</v>
      </c>
      <c r="Z2451" s="51">
        <v>0</v>
      </c>
      <c r="AA2451" s="51">
        <v>5</v>
      </c>
      <c r="AB2451" s="102">
        <v>0</v>
      </c>
      <c r="AC2451" s="81">
        <f t="shared" si="117"/>
        <v>401.06524940867274</v>
      </c>
      <c r="AD2451" s="82">
        <f t="shared" si="118"/>
        <v>32.614285714285714</v>
      </c>
      <c r="AE2451" s="218">
        <v>5.6874030205060109E-4</v>
      </c>
      <c r="AF2451">
        <v>7</v>
      </c>
      <c r="AH2451" t="str">
        <f t="shared" si="119"/>
        <v>DalsinghSarai</v>
      </c>
      <c r="AJ2451" s="72">
        <v>500</v>
      </c>
      <c r="AK2451" s="72"/>
      <c r="AL2451" s="72"/>
      <c r="AM2451" s="72"/>
    </row>
    <row r="2452" spans="1:39" x14ac:dyDescent="0.25">
      <c r="A2452" s="37" t="s">
        <v>62</v>
      </c>
      <c r="B2452" s="66" t="s">
        <v>1654</v>
      </c>
      <c r="C2452" s="41">
        <v>1012</v>
      </c>
      <c r="D2452" s="41" t="s">
        <v>306</v>
      </c>
      <c r="E2452" s="41">
        <v>10120096</v>
      </c>
      <c r="F2452" s="85" t="s">
        <v>507</v>
      </c>
      <c r="G2452" s="39" t="s">
        <v>1610</v>
      </c>
      <c r="H2452" s="52" t="s">
        <v>98</v>
      </c>
      <c r="I2452" s="52">
        <v>1958.55</v>
      </c>
      <c r="J2452" s="49">
        <v>92269.52</v>
      </c>
      <c r="K2452" s="58">
        <v>0</v>
      </c>
      <c r="L2452" s="58">
        <v>0</v>
      </c>
      <c r="M2452" s="58">
        <v>0</v>
      </c>
      <c r="N2452" s="58">
        <v>0</v>
      </c>
      <c r="O2452" s="58">
        <v>0</v>
      </c>
      <c r="P2452" s="53">
        <v>0</v>
      </c>
      <c r="Q2452" s="65">
        <v>92269.52</v>
      </c>
      <c r="R2452" s="65">
        <v>0</v>
      </c>
      <c r="S2452" s="65">
        <v>0</v>
      </c>
      <c r="T2452" s="65">
        <v>0</v>
      </c>
      <c r="U2452" s="58">
        <v>0</v>
      </c>
      <c r="V2452" s="65">
        <v>0</v>
      </c>
      <c r="W2452" s="65">
        <v>0</v>
      </c>
      <c r="X2452" s="65">
        <v>0</v>
      </c>
      <c r="Y2452" s="65">
        <v>0</v>
      </c>
      <c r="Z2452" s="51">
        <v>92269.52</v>
      </c>
      <c r="AA2452" s="51">
        <v>0</v>
      </c>
      <c r="AB2452" s="102">
        <v>0</v>
      </c>
      <c r="AC2452" s="81">
        <f t="shared" si="117"/>
        <v>0</v>
      </c>
      <c r="AD2452" s="82">
        <f t="shared" si="118"/>
        <v>0</v>
      </c>
      <c r="AE2452" s="218">
        <v>0</v>
      </c>
      <c r="AF2452">
        <v>0</v>
      </c>
      <c r="AH2452" t="str">
        <f t="shared" si="119"/>
        <v>DalsinghSarai</v>
      </c>
      <c r="AJ2452" s="72">
        <v>0</v>
      </c>
      <c r="AK2452" s="72"/>
      <c r="AL2452" s="72"/>
      <c r="AM2452" s="72"/>
    </row>
    <row r="2453" spans="1:39" x14ac:dyDescent="0.25">
      <c r="A2453" s="37" t="s">
        <v>62</v>
      </c>
      <c r="B2453" s="66" t="s">
        <v>1654</v>
      </c>
      <c r="C2453" s="41">
        <v>1012</v>
      </c>
      <c r="D2453" s="41" t="s">
        <v>306</v>
      </c>
      <c r="E2453" s="41">
        <v>10120099</v>
      </c>
      <c r="F2453" s="85" t="s">
        <v>525</v>
      </c>
      <c r="G2453" s="39" t="s">
        <v>1610</v>
      </c>
      <c r="H2453" s="52" t="s">
        <v>98</v>
      </c>
      <c r="I2453" s="52">
        <v>10288</v>
      </c>
      <c r="J2453" s="49">
        <v>416165.98000000004</v>
      </c>
      <c r="K2453" s="58">
        <v>0</v>
      </c>
      <c r="L2453" s="58">
        <v>0</v>
      </c>
      <c r="M2453" s="58">
        <v>0</v>
      </c>
      <c r="N2453" s="58">
        <v>0</v>
      </c>
      <c r="O2453" s="58">
        <v>0</v>
      </c>
      <c r="P2453" s="53">
        <v>0</v>
      </c>
      <c r="Q2453" s="65">
        <v>416165.98000000004</v>
      </c>
      <c r="R2453" s="65">
        <v>0</v>
      </c>
      <c r="S2453" s="65">
        <v>0</v>
      </c>
      <c r="T2453" s="65">
        <v>0</v>
      </c>
      <c r="U2453" s="58">
        <v>0</v>
      </c>
      <c r="V2453" s="65">
        <v>0</v>
      </c>
      <c r="W2453" s="65">
        <v>0</v>
      </c>
      <c r="X2453" s="65">
        <v>0</v>
      </c>
      <c r="Y2453" s="65">
        <v>0</v>
      </c>
      <c r="Z2453" s="51">
        <v>416165.98000000004</v>
      </c>
      <c r="AA2453" s="51">
        <v>0</v>
      </c>
      <c r="AB2453" s="102">
        <v>0</v>
      </c>
      <c r="AC2453" s="81">
        <f t="shared" si="117"/>
        <v>0</v>
      </c>
      <c r="AD2453" s="82">
        <f t="shared" si="118"/>
        <v>0</v>
      </c>
      <c r="AE2453" s="218">
        <v>0</v>
      </c>
      <c r="AF2453">
        <v>0</v>
      </c>
      <c r="AH2453" t="str">
        <f t="shared" si="119"/>
        <v>DalsinghSarai</v>
      </c>
      <c r="AJ2453" s="72">
        <v>0</v>
      </c>
      <c r="AK2453" s="72"/>
      <c r="AL2453" s="72"/>
      <c r="AM2453" s="72"/>
    </row>
    <row r="2454" spans="1:39" x14ac:dyDescent="0.25">
      <c r="A2454" s="37" t="s">
        <v>62</v>
      </c>
      <c r="B2454" s="66" t="s">
        <v>1654</v>
      </c>
      <c r="C2454" s="41">
        <v>1012</v>
      </c>
      <c r="D2454" s="41" t="s">
        <v>306</v>
      </c>
      <c r="E2454" s="41">
        <v>10120103</v>
      </c>
      <c r="F2454" s="85" t="s">
        <v>560</v>
      </c>
      <c r="G2454" s="39" t="s">
        <v>1610</v>
      </c>
      <c r="H2454" s="52" t="s">
        <v>98</v>
      </c>
      <c r="I2454" s="52">
        <v>1710</v>
      </c>
      <c r="J2454" s="49">
        <v>67950.7</v>
      </c>
      <c r="K2454" s="58">
        <v>0</v>
      </c>
      <c r="L2454" s="58">
        <v>0</v>
      </c>
      <c r="M2454" s="58">
        <v>0</v>
      </c>
      <c r="N2454" s="58">
        <v>0</v>
      </c>
      <c r="O2454" s="58">
        <v>0</v>
      </c>
      <c r="P2454" s="53">
        <v>0</v>
      </c>
      <c r="Q2454" s="65">
        <v>67950.7</v>
      </c>
      <c r="R2454" s="65">
        <v>0</v>
      </c>
      <c r="S2454" s="65">
        <v>0</v>
      </c>
      <c r="T2454" s="65">
        <v>0</v>
      </c>
      <c r="U2454" s="58">
        <v>0</v>
      </c>
      <c r="V2454" s="65">
        <v>0</v>
      </c>
      <c r="W2454" s="65">
        <v>0</v>
      </c>
      <c r="X2454" s="65">
        <v>0</v>
      </c>
      <c r="Y2454" s="65">
        <v>0</v>
      </c>
      <c r="Z2454" s="51">
        <v>67950.7</v>
      </c>
      <c r="AA2454" s="51">
        <v>0</v>
      </c>
      <c r="AB2454" s="102">
        <v>0</v>
      </c>
      <c r="AC2454" s="81">
        <f t="shared" si="117"/>
        <v>0</v>
      </c>
      <c r="AD2454" s="82">
        <f t="shared" si="118"/>
        <v>0</v>
      </c>
      <c r="AE2454" s="218">
        <v>0</v>
      </c>
      <c r="AF2454">
        <v>0</v>
      </c>
      <c r="AH2454" t="str">
        <f t="shared" si="119"/>
        <v>DalsinghSarai</v>
      </c>
      <c r="AJ2454" s="72">
        <v>0</v>
      </c>
      <c r="AK2454" s="72"/>
      <c r="AL2454" s="72"/>
      <c r="AM2454" s="72"/>
    </row>
    <row r="2455" spans="1:39" x14ac:dyDescent="0.25">
      <c r="A2455" s="37" t="s">
        <v>62</v>
      </c>
      <c r="B2455" s="66" t="s">
        <v>1654</v>
      </c>
      <c r="C2455" s="41">
        <v>1012</v>
      </c>
      <c r="D2455" s="41" t="s">
        <v>306</v>
      </c>
      <c r="E2455" s="41">
        <v>10120104</v>
      </c>
      <c r="F2455" s="85" t="s">
        <v>648</v>
      </c>
      <c r="G2455" s="39" t="s">
        <v>92</v>
      </c>
      <c r="H2455" s="52" t="s">
        <v>93</v>
      </c>
      <c r="I2455" s="52">
        <v>1400.3499999999997</v>
      </c>
      <c r="J2455" s="49">
        <v>56741.86</v>
      </c>
      <c r="K2455" s="58">
        <v>252.2</v>
      </c>
      <c r="L2455" s="58">
        <v>9831.36</v>
      </c>
      <c r="M2455" s="58">
        <v>1207.8500000000001</v>
      </c>
      <c r="N2455" s="58">
        <v>46908.350000000006</v>
      </c>
      <c r="O2455" s="58">
        <v>1460.0500000000002</v>
      </c>
      <c r="P2455" s="53">
        <v>56739.710000000006</v>
      </c>
      <c r="Q2455" s="65">
        <v>56739.710000000006</v>
      </c>
      <c r="R2455" s="65">
        <v>0</v>
      </c>
      <c r="S2455" s="65">
        <v>400.3</v>
      </c>
      <c r="T2455" s="65">
        <v>0</v>
      </c>
      <c r="U2455" s="58">
        <v>1400</v>
      </c>
      <c r="V2455" s="65">
        <v>0</v>
      </c>
      <c r="W2455" s="65">
        <v>0</v>
      </c>
      <c r="X2455" s="65">
        <v>8432</v>
      </c>
      <c r="Y2455" s="65">
        <v>46509</v>
      </c>
      <c r="Z2455" s="51">
        <v>0</v>
      </c>
      <c r="AA2455" s="51">
        <v>1</v>
      </c>
      <c r="AB2455" s="102">
        <v>0</v>
      </c>
      <c r="AC2455" s="81">
        <f t="shared" si="117"/>
        <v>0</v>
      </c>
      <c r="AD2455" s="82">
        <f t="shared" si="118"/>
        <v>0</v>
      </c>
      <c r="AE2455" s="218">
        <v>3.7890897478407988E-5</v>
      </c>
      <c r="AF2455">
        <v>19</v>
      </c>
      <c r="AH2455" t="str">
        <f t="shared" si="119"/>
        <v>DalsinghSarai</v>
      </c>
      <c r="AJ2455" s="72">
        <v>0</v>
      </c>
      <c r="AK2455" s="72"/>
      <c r="AL2455" s="72"/>
      <c r="AM2455" s="72"/>
    </row>
    <row r="2456" spans="1:39" x14ac:dyDescent="0.25">
      <c r="A2456" s="37" t="s">
        <v>62</v>
      </c>
      <c r="B2456" s="66" t="s">
        <v>1654</v>
      </c>
      <c r="C2456" s="41">
        <v>1012</v>
      </c>
      <c r="D2456" s="41" t="s">
        <v>306</v>
      </c>
      <c r="E2456" s="41">
        <v>10120106</v>
      </c>
      <c r="F2456" s="85" t="s">
        <v>641</v>
      </c>
      <c r="G2456" s="39" t="s">
        <v>1610</v>
      </c>
      <c r="H2456" s="52" t="s">
        <v>98</v>
      </c>
      <c r="I2456" s="52">
        <v>2050</v>
      </c>
      <c r="J2456" s="49">
        <v>77288</v>
      </c>
      <c r="K2456" s="58">
        <v>0</v>
      </c>
      <c r="L2456" s="58">
        <v>0</v>
      </c>
      <c r="M2456" s="58">
        <v>0</v>
      </c>
      <c r="N2456" s="58">
        <v>0</v>
      </c>
      <c r="O2456" s="58">
        <v>0</v>
      </c>
      <c r="P2456" s="53">
        <v>0</v>
      </c>
      <c r="Q2456" s="65">
        <v>77288</v>
      </c>
      <c r="R2456" s="65">
        <v>0</v>
      </c>
      <c r="S2456" s="65">
        <v>0</v>
      </c>
      <c r="T2456" s="65">
        <v>0</v>
      </c>
      <c r="U2456" s="58">
        <v>0</v>
      </c>
      <c r="V2456" s="65">
        <v>0</v>
      </c>
      <c r="W2456" s="65">
        <v>0</v>
      </c>
      <c r="X2456" s="65">
        <v>0</v>
      </c>
      <c r="Y2456" s="65">
        <v>0</v>
      </c>
      <c r="Z2456" s="51">
        <v>77288</v>
      </c>
      <c r="AA2456" s="51">
        <v>0</v>
      </c>
      <c r="AB2456" s="102">
        <v>0</v>
      </c>
      <c r="AC2456" s="81">
        <f t="shared" si="117"/>
        <v>0</v>
      </c>
      <c r="AD2456" s="82">
        <f t="shared" si="118"/>
        <v>0</v>
      </c>
      <c r="AE2456" s="218">
        <v>0</v>
      </c>
      <c r="AF2456">
        <v>0</v>
      </c>
      <c r="AH2456" t="str">
        <f t="shared" si="119"/>
        <v>DalsinghSarai</v>
      </c>
      <c r="AJ2456" s="72">
        <v>0</v>
      </c>
      <c r="AK2456" s="72"/>
      <c r="AL2456" s="72"/>
      <c r="AM2456" s="72"/>
    </row>
    <row r="2457" spans="1:39" x14ac:dyDescent="0.25">
      <c r="A2457" s="37" t="s">
        <v>62</v>
      </c>
      <c r="B2457" s="66" t="s">
        <v>1654</v>
      </c>
      <c r="C2457" s="41">
        <v>1012</v>
      </c>
      <c r="D2457" s="41" t="s">
        <v>306</v>
      </c>
      <c r="E2457" s="41">
        <v>10120107</v>
      </c>
      <c r="F2457" s="85" t="s">
        <v>649</v>
      </c>
      <c r="G2457" s="39" t="s">
        <v>92</v>
      </c>
      <c r="H2457" s="52" t="s">
        <v>93</v>
      </c>
      <c r="I2457" s="52">
        <v>697</v>
      </c>
      <c r="J2457" s="49">
        <v>28075.000000000004</v>
      </c>
      <c r="K2457" s="58">
        <v>667</v>
      </c>
      <c r="L2457" s="58">
        <v>26728.01</v>
      </c>
      <c r="M2457" s="58">
        <v>31</v>
      </c>
      <c r="N2457" s="58">
        <v>1337.37</v>
      </c>
      <c r="O2457" s="58">
        <v>698</v>
      </c>
      <c r="P2457" s="53">
        <v>28065.379999999997</v>
      </c>
      <c r="Q2457" s="65">
        <v>28065.379999999997</v>
      </c>
      <c r="R2457" s="65">
        <v>0</v>
      </c>
      <c r="S2457" s="65">
        <v>0</v>
      </c>
      <c r="T2457" s="65">
        <v>0</v>
      </c>
      <c r="U2457" s="58">
        <v>0</v>
      </c>
      <c r="V2457" s="65">
        <v>0</v>
      </c>
      <c r="W2457" s="65">
        <v>0</v>
      </c>
      <c r="X2457" s="65">
        <v>26728</v>
      </c>
      <c r="Y2457" s="65">
        <v>1336</v>
      </c>
      <c r="Z2457" s="51">
        <v>0</v>
      </c>
      <c r="AA2457" s="51">
        <v>11</v>
      </c>
      <c r="AB2457" s="102">
        <v>0</v>
      </c>
      <c r="AC2457" s="81">
        <f t="shared" si="117"/>
        <v>2.4167862266858084</v>
      </c>
      <c r="AD2457" s="82">
        <f t="shared" si="118"/>
        <v>99.571428571428569</v>
      </c>
      <c r="AE2457" s="218">
        <v>3.426536064116209E-4</v>
      </c>
      <c r="AF2457">
        <v>12</v>
      </c>
      <c r="AH2457" t="str">
        <f t="shared" si="119"/>
        <v>DalsinghSarai</v>
      </c>
      <c r="AJ2457" s="72">
        <v>0</v>
      </c>
      <c r="AK2457" s="72"/>
      <c r="AL2457" s="72"/>
      <c r="AM2457" s="72"/>
    </row>
    <row r="2458" spans="1:39" x14ac:dyDescent="0.25">
      <c r="A2458" s="37" t="s">
        <v>62</v>
      </c>
      <c r="B2458" s="66" t="s">
        <v>1654</v>
      </c>
      <c r="C2458" s="41">
        <v>1012</v>
      </c>
      <c r="D2458" s="41" t="s">
        <v>306</v>
      </c>
      <c r="E2458" s="41">
        <v>10120108</v>
      </c>
      <c r="F2458" s="85" t="s">
        <v>1099</v>
      </c>
      <c r="G2458" s="39" t="s">
        <v>92</v>
      </c>
      <c r="H2458" s="52" t="s">
        <v>93</v>
      </c>
      <c r="I2458" s="52">
        <v>604.70000000000005</v>
      </c>
      <c r="J2458" s="49">
        <v>23663.41</v>
      </c>
      <c r="K2458" s="58">
        <v>388</v>
      </c>
      <c r="L2458" s="58">
        <v>15840.43</v>
      </c>
      <c r="M2458" s="58">
        <v>184.9</v>
      </c>
      <c r="N2458" s="58">
        <v>7820.9600000000009</v>
      </c>
      <c r="O2458" s="58">
        <v>572.9</v>
      </c>
      <c r="P2458" s="53">
        <v>23661.39</v>
      </c>
      <c r="Q2458" s="65">
        <v>23661.39</v>
      </c>
      <c r="R2458" s="65">
        <v>0</v>
      </c>
      <c r="S2458" s="65">
        <v>0</v>
      </c>
      <c r="T2458" s="65">
        <v>0</v>
      </c>
      <c r="U2458" s="58">
        <v>0</v>
      </c>
      <c r="V2458" s="65">
        <v>0</v>
      </c>
      <c r="W2458" s="65">
        <v>0</v>
      </c>
      <c r="X2458" s="65">
        <v>15842</v>
      </c>
      <c r="Y2458" s="65">
        <v>7820</v>
      </c>
      <c r="Z2458" s="51">
        <v>0</v>
      </c>
      <c r="AA2458" s="51">
        <v>1</v>
      </c>
      <c r="AB2458" s="102">
        <v>0</v>
      </c>
      <c r="AC2458" s="81">
        <f t="shared" si="117"/>
        <v>74.586504812303616</v>
      </c>
      <c r="AD2458" s="82">
        <f t="shared" si="118"/>
        <v>86.385714285714286</v>
      </c>
      <c r="AE2458" s="218">
        <v>8.5363859224027162E-5</v>
      </c>
      <c r="AF2458">
        <v>14</v>
      </c>
      <c r="AH2458" t="str">
        <f t="shared" si="119"/>
        <v>DalsinghSarai</v>
      </c>
      <c r="AJ2458" s="72">
        <v>0</v>
      </c>
      <c r="AK2458" s="72"/>
      <c r="AL2458" s="72"/>
      <c r="AM2458" s="72"/>
    </row>
    <row r="2459" spans="1:39" x14ac:dyDescent="0.25">
      <c r="A2459" s="37" t="s">
        <v>62</v>
      </c>
      <c r="B2459" s="66" t="s">
        <v>1654</v>
      </c>
      <c r="C2459" s="41">
        <v>1012</v>
      </c>
      <c r="D2459" s="41" t="s">
        <v>306</v>
      </c>
      <c r="E2459" s="41">
        <v>10120109</v>
      </c>
      <c r="F2459" s="85" t="s">
        <v>1428</v>
      </c>
      <c r="G2459" s="39" t="s">
        <v>1610</v>
      </c>
      <c r="H2459" s="52" t="s">
        <v>98</v>
      </c>
      <c r="I2459" s="52">
        <v>1639.9999999999998</v>
      </c>
      <c r="J2459" s="49">
        <v>61029.48</v>
      </c>
      <c r="K2459" s="58">
        <v>0</v>
      </c>
      <c r="L2459" s="58">
        <v>0</v>
      </c>
      <c r="M2459" s="58">
        <v>0</v>
      </c>
      <c r="N2459" s="58">
        <v>0</v>
      </c>
      <c r="O2459" s="58">
        <v>0</v>
      </c>
      <c r="P2459" s="53">
        <v>0</v>
      </c>
      <c r="Q2459" s="65">
        <v>61029.48</v>
      </c>
      <c r="R2459" s="65">
        <v>0</v>
      </c>
      <c r="S2459" s="65">
        <v>0</v>
      </c>
      <c r="T2459" s="65">
        <v>0</v>
      </c>
      <c r="U2459" s="58">
        <v>0</v>
      </c>
      <c r="V2459" s="65">
        <v>0</v>
      </c>
      <c r="W2459" s="65">
        <v>0</v>
      </c>
      <c r="X2459" s="65">
        <v>0</v>
      </c>
      <c r="Y2459" s="65">
        <v>0</v>
      </c>
      <c r="Z2459" s="51">
        <v>61029.48</v>
      </c>
      <c r="AA2459" s="51">
        <v>0</v>
      </c>
      <c r="AB2459" s="102">
        <v>0</v>
      </c>
      <c r="AC2459" s="81">
        <f t="shared" si="117"/>
        <v>0</v>
      </c>
      <c r="AD2459" s="82">
        <f t="shared" si="118"/>
        <v>0</v>
      </c>
      <c r="AE2459" s="218">
        <v>0</v>
      </c>
      <c r="AF2459">
        <v>0</v>
      </c>
      <c r="AH2459" t="str">
        <f t="shared" si="119"/>
        <v>DalsinghSarai</v>
      </c>
      <c r="AJ2459" s="72">
        <v>0</v>
      </c>
      <c r="AK2459" s="72"/>
      <c r="AL2459" s="72"/>
      <c r="AM2459" s="72"/>
    </row>
    <row r="2460" spans="1:39" x14ac:dyDescent="0.25">
      <c r="A2460" s="37" t="s">
        <v>62</v>
      </c>
      <c r="B2460" s="66" t="s">
        <v>1654</v>
      </c>
      <c r="C2460" s="41">
        <v>1012</v>
      </c>
      <c r="D2460" s="41" t="s">
        <v>306</v>
      </c>
      <c r="E2460" s="41">
        <v>10120111</v>
      </c>
      <c r="F2460" s="85" t="s">
        <v>1152</v>
      </c>
      <c r="G2460" s="39" t="s">
        <v>92</v>
      </c>
      <c r="H2460" s="52" t="s">
        <v>93</v>
      </c>
      <c r="I2460" s="52">
        <v>1048.75</v>
      </c>
      <c r="J2460" s="49">
        <v>42936.030000000006</v>
      </c>
      <c r="K2460" s="58">
        <v>164.1</v>
      </c>
      <c r="L2460" s="58">
        <v>6601.0100000000011</v>
      </c>
      <c r="M2460" s="58">
        <v>891.55</v>
      </c>
      <c r="N2460" s="58">
        <v>36333.1</v>
      </c>
      <c r="O2460" s="58">
        <v>1055.6499999999999</v>
      </c>
      <c r="P2460" s="53">
        <v>42934.11</v>
      </c>
      <c r="Q2460" s="65">
        <v>42934.11</v>
      </c>
      <c r="R2460" s="65">
        <v>0</v>
      </c>
      <c r="S2460" s="65">
        <v>21.27</v>
      </c>
      <c r="T2460" s="65">
        <v>0</v>
      </c>
      <c r="U2460" s="58">
        <v>0</v>
      </c>
      <c r="V2460" s="65">
        <v>0</v>
      </c>
      <c r="W2460" s="65">
        <v>0</v>
      </c>
      <c r="X2460" s="65">
        <v>6601</v>
      </c>
      <c r="Y2460" s="65">
        <v>36312</v>
      </c>
      <c r="Z2460" s="51">
        <v>0</v>
      </c>
      <c r="AA2460" s="51">
        <v>2</v>
      </c>
      <c r="AB2460" s="102">
        <v>0</v>
      </c>
      <c r="AC2460" s="81">
        <f t="shared" si="117"/>
        <v>0</v>
      </c>
      <c r="AD2460" s="82">
        <f t="shared" si="118"/>
        <v>0</v>
      </c>
      <c r="AE2460" s="218">
        <v>4.4717688151548466E-5</v>
      </c>
      <c r="AF2460">
        <v>11</v>
      </c>
      <c r="AH2460" t="str">
        <f t="shared" si="119"/>
        <v>DalsinghSarai</v>
      </c>
      <c r="AJ2460" s="72">
        <v>0</v>
      </c>
      <c r="AK2460" s="72"/>
      <c r="AL2460" s="72"/>
      <c r="AM2460" s="72"/>
    </row>
    <row r="2461" spans="1:39" x14ac:dyDescent="0.25">
      <c r="A2461" s="37" t="s">
        <v>62</v>
      </c>
      <c r="B2461" s="66" t="s">
        <v>1654</v>
      </c>
      <c r="C2461" s="41">
        <v>1012</v>
      </c>
      <c r="D2461" s="41" t="s">
        <v>306</v>
      </c>
      <c r="E2461" s="41">
        <v>10120113</v>
      </c>
      <c r="F2461" s="85" t="s">
        <v>1227</v>
      </c>
      <c r="G2461" s="39" t="s">
        <v>92</v>
      </c>
      <c r="H2461" s="52" t="s">
        <v>93</v>
      </c>
      <c r="I2461" s="52">
        <v>91.65</v>
      </c>
      <c r="J2461" s="49">
        <v>3584.27</v>
      </c>
      <c r="K2461" s="58">
        <v>91.22</v>
      </c>
      <c r="L2461" s="58">
        <v>3581.24</v>
      </c>
      <c r="M2461" s="58">
        <v>0</v>
      </c>
      <c r="N2461" s="58">
        <v>0</v>
      </c>
      <c r="O2461" s="58">
        <v>91.22</v>
      </c>
      <c r="P2461" s="53">
        <v>3581.24</v>
      </c>
      <c r="Q2461" s="65">
        <v>3581.24</v>
      </c>
      <c r="R2461" s="65">
        <v>0</v>
      </c>
      <c r="S2461" s="65">
        <v>0</v>
      </c>
      <c r="T2461" s="65">
        <v>0</v>
      </c>
      <c r="U2461" s="58">
        <v>1400</v>
      </c>
      <c r="V2461" s="65">
        <v>448</v>
      </c>
      <c r="W2461" s="65">
        <v>0</v>
      </c>
      <c r="X2461" s="65">
        <v>1681</v>
      </c>
      <c r="Y2461" s="65">
        <v>0</v>
      </c>
      <c r="Z2461" s="51">
        <v>0</v>
      </c>
      <c r="AA2461" s="51">
        <v>55</v>
      </c>
      <c r="AB2461" s="102" t="s">
        <v>66</v>
      </c>
      <c r="AC2461" s="81">
        <f t="shared" si="117"/>
        <v>475.82993006001089</v>
      </c>
      <c r="AD2461" s="82">
        <f t="shared" si="118"/>
        <v>13.092857142857143</v>
      </c>
      <c r="AE2461" s="218">
        <v>8.4536042206647386E-4</v>
      </c>
      <c r="AF2461">
        <v>2</v>
      </c>
      <c r="AH2461" t="str">
        <f t="shared" si="119"/>
        <v>DalsinghSarai</v>
      </c>
      <c r="AJ2461" s="72">
        <v>448</v>
      </c>
      <c r="AK2461" s="72"/>
      <c r="AL2461" s="72"/>
      <c r="AM2461" s="72"/>
    </row>
    <row r="2462" spans="1:39" x14ac:dyDescent="0.25">
      <c r="A2462" s="37" t="s">
        <v>62</v>
      </c>
      <c r="B2462" s="66" t="s">
        <v>1654</v>
      </c>
      <c r="C2462" s="41">
        <v>1012</v>
      </c>
      <c r="D2462" s="41" t="s">
        <v>306</v>
      </c>
      <c r="E2462" s="41">
        <v>10120114</v>
      </c>
      <c r="F2462" s="85" t="s">
        <v>1187</v>
      </c>
      <c r="G2462" s="39" t="s">
        <v>92</v>
      </c>
      <c r="H2462" s="52" t="s">
        <v>93</v>
      </c>
      <c r="I2462" s="52">
        <v>210.54999999999998</v>
      </c>
      <c r="J2462" s="49">
        <v>8621.5</v>
      </c>
      <c r="K2462" s="58">
        <v>116.6</v>
      </c>
      <c r="L2462" s="58">
        <v>4791.869999999999</v>
      </c>
      <c r="M2462" s="58">
        <v>103.19999999999999</v>
      </c>
      <c r="N2462" s="58">
        <v>3828.2200000000003</v>
      </c>
      <c r="O2462" s="58">
        <v>219.79999999999998</v>
      </c>
      <c r="P2462" s="53">
        <v>8620.09</v>
      </c>
      <c r="Q2462" s="65">
        <v>8620.09</v>
      </c>
      <c r="R2462" s="65">
        <v>0</v>
      </c>
      <c r="S2462" s="65">
        <v>0</v>
      </c>
      <c r="T2462" s="65">
        <v>0</v>
      </c>
      <c r="U2462" s="58">
        <v>0</v>
      </c>
      <c r="V2462" s="65">
        <v>500</v>
      </c>
      <c r="W2462" s="65">
        <v>0</v>
      </c>
      <c r="X2462" s="65">
        <v>4292</v>
      </c>
      <c r="Y2462" s="65">
        <v>3828</v>
      </c>
      <c r="Z2462" s="51">
        <v>0</v>
      </c>
      <c r="AA2462" s="51">
        <v>2</v>
      </c>
      <c r="AB2462" s="102">
        <v>0</v>
      </c>
      <c r="AC2462" s="81">
        <f t="shared" si="117"/>
        <v>400.83525765851351</v>
      </c>
      <c r="AD2462" s="82">
        <f t="shared" si="118"/>
        <v>30.078571428571426</v>
      </c>
      <c r="AE2462" s="218">
        <v>1.6354462680506345E-4</v>
      </c>
      <c r="AF2462">
        <v>5</v>
      </c>
      <c r="AH2462" t="str">
        <f t="shared" si="119"/>
        <v>DalsinghSarai</v>
      </c>
      <c r="AJ2462" s="72">
        <v>500</v>
      </c>
      <c r="AK2462" s="72"/>
      <c r="AL2462" s="72"/>
      <c r="AM2462" s="72"/>
    </row>
    <row r="2463" spans="1:39" x14ac:dyDescent="0.25">
      <c r="A2463" s="37" t="s">
        <v>62</v>
      </c>
      <c r="B2463" s="66" t="s">
        <v>1654</v>
      </c>
      <c r="C2463" s="41">
        <v>1012</v>
      </c>
      <c r="D2463" s="41" t="s">
        <v>306</v>
      </c>
      <c r="E2463" s="41">
        <v>10120115</v>
      </c>
      <c r="F2463" s="85" t="s">
        <v>1192</v>
      </c>
      <c r="G2463" s="39" t="s">
        <v>1610</v>
      </c>
      <c r="H2463" s="52" t="s">
        <v>98</v>
      </c>
      <c r="I2463" s="52">
        <v>2261.9500000000003</v>
      </c>
      <c r="J2463" s="49">
        <v>90219.570000000022</v>
      </c>
      <c r="K2463" s="58">
        <v>0</v>
      </c>
      <c r="L2463" s="58">
        <v>0</v>
      </c>
      <c r="M2463" s="58">
        <v>0</v>
      </c>
      <c r="N2463" s="58">
        <v>0</v>
      </c>
      <c r="O2463" s="58">
        <v>0</v>
      </c>
      <c r="P2463" s="53">
        <v>0</v>
      </c>
      <c r="Q2463" s="65">
        <v>90219.570000000022</v>
      </c>
      <c r="R2463" s="65">
        <v>0</v>
      </c>
      <c r="S2463" s="65">
        <v>0</v>
      </c>
      <c r="T2463" s="65">
        <v>0</v>
      </c>
      <c r="U2463" s="58">
        <v>0</v>
      </c>
      <c r="V2463" s="65">
        <v>0</v>
      </c>
      <c r="W2463" s="65">
        <v>0</v>
      </c>
      <c r="X2463" s="65">
        <v>0</v>
      </c>
      <c r="Y2463" s="65">
        <v>0</v>
      </c>
      <c r="Z2463" s="51">
        <v>90219.570000000022</v>
      </c>
      <c r="AA2463" s="51">
        <v>0</v>
      </c>
      <c r="AB2463" s="102">
        <v>0</v>
      </c>
      <c r="AC2463" s="81">
        <f t="shared" si="117"/>
        <v>0</v>
      </c>
      <c r="AD2463" s="82">
        <f t="shared" si="118"/>
        <v>0</v>
      </c>
      <c r="AE2463" s="218">
        <v>0</v>
      </c>
      <c r="AF2463">
        <v>0</v>
      </c>
      <c r="AH2463" t="str">
        <f t="shared" si="119"/>
        <v>DalsinghSarai</v>
      </c>
      <c r="AJ2463" s="72">
        <v>0</v>
      </c>
      <c r="AK2463" s="72"/>
      <c r="AL2463" s="72"/>
      <c r="AM2463" s="72"/>
    </row>
    <row r="2464" spans="1:39" x14ac:dyDescent="0.25">
      <c r="A2464" s="37" t="s">
        <v>62</v>
      </c>
      <c r="B2464" s="66" t="s">
        <v>1654</v>
      </c>
      <c r="C2464" s="41">
        <v>1012</v>
      </c>
      <c r="D2464" s="41" t="s">
        <v>306</v>
      </c>
      <c r="E2464" s="41">
        <v>10120116</v>
      </c>
      <c r="F2464" s="85" t="s">
        <v>1234</v>
      </c>
      <c r="G2464" s="39" t="s">
        <v>92</v>
      </c>
      <c r="H2464" s="52" t="s">
        <v>93</v>
      </c>
      <c r="I2464" s="52">
        <v>1415.2</v>
      </c>
      <c r="J2464" s="49">
        <v>61601.319999999992</v>
      </c>
      <c r="K2464" s="58">
        <v>434</v>
      </c>
      <c r="L2464" s="58">
        <v>17451.660000000003</v>
      </c>
      <c r="M2464" s="58">
        <v>1020.9999999999998</v>
      </c>
      <c r="N2464" s="58">
        <v>44140.47</v>
      </c>
      <c r="O2464" s="58">
        <v>1454.9999999999998</v>
      </c>
      <c r="P2464" s="53">
        <v>61592.130000000005</v>
      </c>
      <c r="Q2464" s="65">
        <v>61592.130000000005</v>
      </c>
      <c r="R2464" s="65">
        <v>0</v>
      </c>
      <c r="S2464" s="65">
        <v>2325.29</v>
      </c>
      <c r="T2464" s="65">
        <v>0</v>
      </c>
      <c r="U2464" s="58">
        <v>157</v>
      </c>
      <c r="V2464" s="65">
        <v>0</v>
      </c>
      <c r="W2464" s="65">
        <v>0</v>
      </c>
      <c r="X2464" s="65">
        <v>17451</v>
      </c>
      <c r="Y2464" s="65">
        <v>41660</v>
      </c>
      <c r="Z2464" s="51">
        <v>0</v>
      </c>
      <c r="AA2464" s="51">
        <v>8</v>
      </c>
      <c r="AB2464" s="102">
        <v>0</v>
      </c>
      <c r="AC2464" s="81">
        <f t="shared" si="117"/>
        <v>0</v>
      </c>
      <c r="AD2464" s="82">
        <f t="shared" si="118"/>
        <v>0</v>
      </c>
      <c r="AE2464" s="218">
        <v>1.4918511486422333E-4</v>
      </c>
      <c r="AF2464">
        <v>27</v>
      </c>
      <c r="AH2464" t="str">
        <f t="shared" si="119"/>
        <v>DalsinghSarai</v>
      </c>
      <c r="AJ2464" s="72">
        <v>0</v>
      </c>
      <c r="AK2464" s="72"/>
      <c r="AL2464" s="72"/>
      <c r="AM2464" s="72"/>
    </row>
    <row r="2465" spans="1:39" x14ac:dyDescent="0.25">
      <c r="A2465" s="37" t="s">
        <v>62</v>
      </c>
      <c r="B2465" s="66" t="s">
        <v>1654</v>
      </c>
      <c r="C2465" s="41">
        <v>1012</v>
      </c>
      <c r="D2465" s="41" t="s">
        <v>306</v>
      </c>
      <c r="E2465" s="41">
        <v>10120119</v>
      </c>
      <c r="F2465" s="85" t="s">
        <v>1271</v>
      </c>
      <c r="G2465" s="39" t="s">
        <v>1610</v>
      </c>
      <c r="H2465" s="52" t="s">
        <v>98</v>
      </c>
      <c r="I2465" s="52">
        <v>500</v>
      </c>
      <c r="J2465" s="49">
        <v>19390</v>
      </c>
      <c r="K2465" s="58">
        <v>0</v>
      </c>
      <c r="L2465" s="58">
        <v>0</v>
      </c>
      <c r="M2465" s="58">
        <v>0</v>
      </c>
      <c r="N2465" s="58">
        <v>0</v>
      </c>
      <c r="O2465" s="58">
        <v>0</v>
      </c>
      <c r="P2465" s="53">
        <v>0</v>
      </c>
      <c r="Q2465" s="65">
        <v>19390</v>
      </c>
      <c r="R2465" s="65">
        <v>0</v>
      </c>
      <c r="S2465" s="65">
        <v>0</v>
      </c>
      <c r="T2465" s="65">
        <v>0</v>
      </c>
      <c r="U2465" s="58">
        <v>0</v>
      </c>
      <c r="V2465" s="65">
        <v>0</v>
      </c>
      <c r="W2465" s="65">
        <v>0</v>
      </c>
      <c r="X2465" s="65">
        <v>0</v>
      </c>
      <c r="Y2465" s="65">
        <v>0</v>
      </c>
      <c r="Z2465" s="51">
        <v>19390</v>
      </c>
      <c r="AA2465" s="51">
        <v>0</v>
      </c>
      <c r="AB2465" s="102">
        <v>0</v>
      </c>
      <c r="AC2465" s="81">
        <f t="shared" si="117"/>
        <v>155.12</v>
      </c>
      <c r="AD2465" s="82">
        <f t="shared" si="118"/>
        <v>71.428571428571431</v>
      </c>
      <c r="AE2465" s="218">
        <v>0</v>
      </c>
      <c r="AF2465">
        <v>0</v>
      </c>
      <c r="AH2465" t="str">
        <f t="shared" si="119"/>
        <v>DalsinghSarai</v>
      </c>
      <c r="AJ2465" s="72">
        <v>0</v>
      </c>
      <c r="AK2465" s="72"/>
      <c r="AL2465" s="72"/>
      <c r="AM2465" s="72"/>
    </row>
    <row r="2466" spans="1:39" x14ac:dyDescent="0.25">
      <c r="A2466" s="37" t="s">
        <v>62</v>
      </c>
      <c r="B2466" s="66" t="s">
        <v>1654</v>
      </c>
      <c r="C2466" s="41">
        <v>1012</v>
      </c>
      <c r="D2466" s="41" t="s">
        <v>306</v>
      </c>
      <c r="E2466" s="41">
        <v>10120120</v>
      </c>
      <c r="F2466" s="85" t="s">
        <v>1364</v>
      </c>
      <c r="G2466" s="39" t="s">
        <v>92</v>
      </c>
      <c r="H2466" s="52" t="s">
        <v>93</v>
      </c>
      <c r="I2466" s="52">
        <v>415.15</v>
      </c>
      <c r="J2466" s="49">
        <v>17364.7</v>
      </c>
      <c r="K2466" s="58">
        <v>105.80999999999999</v>
      </c>
      <c r="L2466" s="58">
        <v>4477.13</v>
      </c>
      <c r="M2466" s="58">
        <v>308.85000000000002</v>
      </c>
      <c r="N2466" s="58">
        <v>12876.82</v>
      </c>
      <c r="O2466" s="58">
        <v>414.66</v>
      </c>
      <c r="P2466" s="53">
        <v>17353.95</v>
      </c>
      <c r="Q2466" s="65">
        <v>17353.95</v>
      </c>
      <c r="R2466" s="65">
        <v>0</v>
      </c>
      <c r="S2466" s="65">
        <v>0</v>
      </c>
      <c r="T2466" s="65">
        <v>0</v>
      </c>
      <c r="U2466" s="58">
        <v>0</v>
      </c>
      <c r="V2466" s="65">
        <v>0</v>
      </c>
      <c r="W2466" s="65">
        <v>0</v>
      </c>
      <c r="X2466" s="65">
        <v>4477</v>
      </c>
      <c r="Y2466" s="65">
        <v>12877</v>
      </c>
      <c r="Z2466" s="51">
        <v>0</v>
      </c>
      <c r="AA2466" s="51">
        <v>11</v>
      </c>
      <c r="AB2466" s="102">
        <v>0</v>
      </c>
      <c r="AC2466" s="81">
        <f t="shared" si="117"/>
        <v>238.29145104179219</v>
      </c>
      <c r="AD2466" s="82">
        <f t="shared" si="118"/>
        <v>59.307142857142857</v>
      </c>
      <c r="AE2466" s="218">
        <v>6.1907202543090285E-4</v>
      </c>
      <c r="AF2466">
        <v>11</v>
      </c>
      <c r="AH2466" t="str">
        <f t="shared" si="119"/>
        <v>DalsinghSarai</v>
      </c>
      <c r="AJ2466" s="72">
        <v>0</v>
      </c>
      <c r="AK2466" s="72"/>
      <c r="AL2466" s="72"/>
      <c r="AM2466" s="72"/>
    </row>
    <row r="2467" spans="1:39" x14ac:dyDescent="0.25">
      <c r="A2467" s="37" t="s">
        <v>62</v>
      </c>
      <c r="B2467" s="66" t="s">
        <v>1654</v>
      </c>
      <c r="C2467" s="41">
        <v>1012</v>
      </c>
      <c r="D2467" s="41" t="s">
        <v>306</v>
      </c>
      <c r="E2467" s="41">
        <v>10120122</v>
      </c>
      <c r="F2467" s="85" t="s">
        <v>1314</v>
      </c>
      <c r="G2467" s="39" t="s">
        <v>92</v>
      </c>
      <c r="H2467" s="52" t="s">
        <v>93</v>
      </c>
      <c r="I2467" s="52">
        <v>1110.45</v>
      </c>
      <c r="J2467" s="49">
        <v>48113.640000000007</v>
      </c>
      <c r="K2467" s="58">
        <v>615.03</v>
      </c>
      <c r="L2467" s="58">
        <v>25759.620000000003</v>
      </c>
      <c r="M2467" s="58">
        <v>516.52</v>
      </c>
      <c r="N2467" s="58">
        <v>22348.100000000002</v>
      </c>
      <c r="O2467" s="58">
        <v>1131.55</v>
      </c>
      <c r="P2467" s="53">
        <v>48107.72</v>
      </c>
      <c r="Q2467" s="65">
        <v>48107.72</v>
      </c>
      <c r="R2467" s="65">
        <v>0</v>
      </c>
      <c r="S2467" s="65">
        <v>0</v>
      </c>
      <c r="T2467" s="65">
        <v>0</v>
      </c>
      <c r="U2467" s="58">
        <v>7000</v>
      </c>
      <c r="V2467" s="65">
        <v>0</v>
      </c>
      <c r="W2467" s="65">
        <v>0</v>
      </c>
      <c r="X2467" s="65">
        <v>18760</v>
      </c>
      <c r="Y2467" s="65">
        <v>22350</v>
      </c>
      <c r="Z2467" s="51">
        <v>0</v>
      </c>
      <c r="AA2467" s="51">
        <v>4</v>
      </c>
      <c r="AB2467" s="102">
        <v>0</v>
      </c>
      <c r="AC2467" s="81">
        <f t="shared" si="117"/>
        <v>0</v>
      </c>
      <c r="AD2467" s="82">
        <f t="shared" si="118"/>
        <v>0</v>
      </c>
      <c r="AE2467" s="218">
        <v>1.2304203132428826E-4</v>
      </c>
      <c r="AF2467">
        <v>20</v>
      </c>
      <c r="AH2467" t="str">
        <f t="shared" si="119"/>
        <v>DalsinghSarai</v>
      </c>
      <c r="AJ2467" s="72">
        <v>0</v>
      </c>
      <c r="AK2467" s="72"/>
      <c r="AL2467" s="72"/>
      <c r="AM2467" s="72"/>
    </row>
    <row r="2468" spans="1:39" x14ac:dyDescent="0.25">
      <c r="A2468" s="37" t="s">
        <v>62</v>
      </c>
      <c r="B2468" s="66" t="s">
        <v>1654</v>
      </c>
      <c r="C2468" s="41">
        <v>1012</v>
      </c>
      <c r="D2468" s="41" t="s">
        <v>306</v>
      </c>
      <c r="E2468" s="41">
        <v>10120123</v>
      </c>
      <c r="F2468" s="85" t="s">
        <v>1365</v>
      </c>
      <c r="G2468" s="39" t="s">
        <v>92</v>
      </c>
      <c r="H2468" s="52" t="s">
        <v>93</v>
      </c>
      <c r="I2468" s="52">
        <v>966</v>
      </c>
      <c r="J2468" s="49">
        <v>37814.57</v>
      </c>
      <c r="K2468" s="58">
        <v>607.27</v>
      </c>
      <c r="L2468" s="58">
        <v>24145.040000000001</v>
      </c>
      <c r="M2468" s="58">
        <v>357.94000000000005</v>
      </c>
      <c r="N2468" s="58">
        <v>13659.81</v>
      </c>
      <c r="O2468" s="58">
        <v>965.21</v>
      </c>
      <c r="P2468" s="53">
        <v>37804.85</v>
      </c>
      <c r="Q2468" s="65">
        <v>37804.85</v>
      </c>
      <c r="R2468" s="65">
        <v>0</v>
      </c>
      <c r="S2468" s="65">
        <v>136.19999999999999</v>
      </c>
      <c r="T2468" s="65">
        <v>0</v>
      </c>
      <c r="U2468" s="58">
        <v>0</v>
      </c>
      <c r="V2468" s="65">
        <v>0</v>
      </c>
      <c r="W2468" s="65">
        <v>0</v>
      </c>
      <c r="X2468" s="65">
        <v>24145</v>
      </c>
      <c r="Y2468" s="65">
        <v>13522</v>
      </c>
      <c r="Z2468" s="51">
        <v>0</v>
      </c>
      <c r="AA2468" s="51">
        <v>11</v>
      </c>
      <c r="AB2468" s="102">
        <v>0</v>
      </c>
      <c r="AC2468" s="81">
        <f t="shared" si="117"/>
        <v>0</v>
      </c>
      <c r="AD2468" s="82">
        <f t="shared" si="118"/>
        <v>0</v>
      </c>
      <c r="AE2468" s="218">
        <v>2.5704377968600899E-4</v>
      </c>
      <c r="AF2468">
        <v>21</v>
      </c>
      <c r="AH2468" t="str">
        <f t="shared" si="119"/>
        <v>DalsinghSarai</v>
      </c>
      <c r="AJ2468" s="72">
        <v>0</v>
      </c>
      <c r="AK2468" s="72"/>
      <c r="AL2468" s="72"/>
      <c r="AM2468" s="72"/>
    </row>
    <row r="2469" spans="1:39" x14ac:dyDescent="0.25">
      <c r="A2469" s="37" t="s">
        <v>62</v>
      </c>
      <c r="B2469" s="66" t="s">
        <v>1654</v>
      </c>
      <c r="C2469" s="41">
        <v>1012</v>
      </c>
      <c r="D2469" s="41" t="s">
        <v>306</v>
      </c>
      <c r="E2469" s="41">
        <v>10120124</v>
      </c>
      <c r="F2469" s="85" t="s">
        <v>1567</v>
      </c>
      <c r="G2469" s="39" t="s">
        <v>1610</v>
      </c>
      <c r="H2469" s="52" t="s">
        <v>98</v>
      </c>
      <c r="I2469" s="52">
        <v>1029.8500000000001</v>
      </c>
      <c r="J2469" s="49">
        <v>43010.73</v>
      </c>
      <c r="K2469" s="58">
        <v>0</v>
      </c>
      <c r="L2469" s="58">
        <v>0</v>
      </c>
      <c r="M2469" s="58">
        <v>0</v>
      </c>
      <c r="N2469" s="58">
        <v>0</v>
      </c>
      <c r="O2469" s="58">
        <v>0</v>
      </c>
      <c r="P2469" s="53">
        <v>0</v>
      </c>
      <c r="Q2469" s="65">
        <v>43010.73</v>
      </c>
      <c r="R2469" s="65">
        <v>0</v>
      </c>
      <c r="S2469" s="65">
        <v>0</v>
      </c>
      <c r="T2469" s="65">
        <v>0</v>
      </c>
      <c r="U2469" s="58">
        <v>0</v>
      </c>
      <c r="V2469" s="65">
        <v>0</v>
      </c>
      <c r="W2469" s="65">
        <v>0</v>
      </c>
      <c r="X2469" s="65">
        <v>0</v>
      </c>
      <c r="Y2469" s="65">
        <v>0</v>
      </c>
      <c r="Z2469" s="51">
        <v>43010.73</v>
      </c>
      <c r="AA2469" s="51">
        <v>0</v>
      </c>
      <c r="AB2469" s="102">
        <v>0</v>
      </c>
      <c r="AC2469" s="81">
        <f t="shared" si="117"/>
        <v>0</v>
      </c>
      <c r="AD2469" s="82">
        <f t="shared" si="118"/>
        <v>0</v>
      </c>
      <c r="AE2469" s="218">
        <v>0</v>
      </c>
      <c r="AF2469">
        <v>0</v>
      </c>
      <c r="AH2469" t="str">
        <f t="shared" si="119"/>
        <v>DalsinghSarai</v>
      </c>
      <c r="AJ2469" s="72">
        <v>0</v>
      </c>
      <c r="AK2469" s="72"/>
      <c r="AL2469" s="72"/>
      <c r="AM2469" s="72"/>
    </row>
    <row r="2470" spans="1:39" x14ac:dyDescent="0.25">
      <c r="A2470" s="37" t="s">
        <v>62</v>
      </c>
      <c r="B2470" s="66" t="s">
        <v>1654</v>
      </c>
      <c r="C2470" s="41">
        <v>1013</v>
      </c>
      <c r="D2470" s="41" t="s">
        <v>343</v>
      </c>
      <c r="E2470" s="41">
        <v>10130001</v>
      </c>
      <c r="F2470" s="85" t="s">
        <v>344</v>
      </c>
      <c r="G2470" s="39" t="s">
        <v>92</v>
      </c>
      <c r="H2470" s="52" t="s">
        <v>93</v>
      </c>
      <c r="I2470" s="52">
        <v>518.70000000000005</v>
      </c>
      <c r="J2470" s="49">
        <v>19311.850000000006</v>
      </c>
      <c r="K2470" s="58">
        <v>104.22</v>
      </c>
      <c r="L2470" s="58">
        <v>3796.7999999999993</v>
      </c>
      <c r="M2470" s="58">
        <v>421.51999999999992</v>
      </c>
      <c r="N2470" s="58">
        <v>15453.159999999998</v>
      </c>
      <c r="O2470" s="58">
        <v>525.7399999999999</v>
      </c>
      <c r="P2470" s="53">
        <v>19249.96</v>
      </c>
      <c r="Q2470" s="65">
        <v>19249.96</v>
      </c>
      <c r="R2470" s="65">
        <v>0</v>
      </c>
      <c r="S2470" s="65">
        <v>155.13</v>
      </c>
      <c r="T2470" s="65">
        <v>0</v>
      </c>
      <c r="U2470" s="58">
        <v>0</v>
      </c>
      <c r="V2470" s="65">
        <v>0</v>
      </c>
      <c r="W2470" s="65">
        <v>0</v>
      </c>
      <c r="X2470" s="65">
        <v>3797</v>
      </c>
      <c r="Y2470" s="65">
        <v>15299</v>
      </c>
      <c r="Z2470" s="51">
        <v>0</v>
      </c>
      <c r="AA2470" s="51">
        <v>61</v>
      </c>
      <c r="AB2470" s="102">
        <v>0</v>
      </c>
      <c r="AC2470" s="81">
        <f t="shared" si="117"/>
        <v>135.00051686909583</v>
      </c>
      <c r="AD2470" s="82">
        <f t="shared" si="118"/>
        <v>74.100000000000009</v>
      </c>
      <c r="AE2470" s="218">
        <v>3.2047680569187663E-3</v>
      </c>
      <c r="AF2470">
        <v>14</v>
      </c>
      <c r="AH2470" t="str">
        <f t="shared" si="119"/>
        <v>Musrigharari</v>
      </c>
      <c r="AJ2470" s="72">
        <v>0</v>
      </c>
      <c r="AK2470" s="72"/>
      <c r="AL2470" s="72"/>
      <c r="AM2470" s="72"/>
    </row>
    <row r="2471" spans="1:39" x14ac:dyDescent="0.25">
      <c r="A2471" s="37" t="s">
        <v>62</v>
      </c>
      <c r="B2471" s="66" t="s">
        <v>1654</v>
      </c>
      <c r="C2471" s="41">
        <v>1013</v>
      </c>
      <c r="D2471" s="41" t="s">
        <v>343</v>
      </c>
      <c r="E2471" s="41">
        <v>10130002</v>
      </c>
      <c r="F2471" s="85" t="s">
        <v>345</v>
      </c>
      <c r="G2471" s="39" t="s">
        <v>1610</v>
      </c>
      <c r="H2471" s="52" t="s">
        <v>98</v>
      </c>
      <c r="I2471" s="52">
        <v>202.9</v>
      </c>
      <c r="J2471" s="49">
        <v>7367.55</v>
      </c>
      <c r="K2471" s="58">
        <v>0</v>
      </c>
      <c r="L2471" s="58">
        <v>0</v>
      </c>
      <c r="M2471" s="58">
        <v>0</v>
      </c>
      <c r="N2471" s="58">
        <v>0</v>
      </c>
      <c r="O2471" s="58">
        <v>0</v>
      </c>
      <c r="P2471" s="53">
        <v>0</v>
      </c>
      <c r="Q2471" s="65">
        <v>7367.55</v>
      </c>
      <c r="R2471" s="65">
        <v>0</v>
      </c>
      <c r="S2471" s="65">
        <v>0</v>
      </c>
      <c r="T2471" s="65">
        <v>0</v>
      </c>
      <c r="U2471" s="58">
        <v>0</v>
      </c>
      <c r="V2471" s="65">
        <v>0</v>
      </c>
      <c r="W2471" s="65">
        <v>0</v>
      </c>
      <c r="X2471" s="65">
        <v>0</v>
      </c>
      <c r="Y2471" s="65">
        <v>0</v>
      </c>
      <c r="Z2471" s="51">
        <v>7367.55</v>
      </c>
      <c r="AA2471" s="51">
        <v>0</v>
      </c>
      <c r="AB2471" s="102">
        <v>0</v>
      </c>
      <c r="AC2471" s="81">
        <f t="shared" si="117"/>
        <v>361.00631887629368</v>
      </c>
      <c r="AD2471" s="82">
        <f t="shared" si="118"/>
        <v>28.985714285714288</v>
      </c>
      <c r="AE2471" s="218">
        <v>0</v>
      </c>
      <c r="AF2471">
        <v>0</v>
      </c>
      <c r="AH2471" t="str">
        <f t="shared" si="119"/>
        <v>Musrigharari</v>
      </c>
      <c r="AJ2471" s="72">
        <v>0</v>
      </c>
      <c r="AK2471" s="72"/>
      <c r="AL2471" s="72"/>
      <c r="AM2471" s="72"/>
    </row>
    <row r="2472" spans="1:39" x14ac:dyDescent="0.25">
      <c r="A2472" s="37" t="s">
        <v>62</v>
      </c>
      <c r="B2472" s="66" t="s">
        <v>1654</v>
      </c>
      <c r="C2472" s="41">
        <v>1013</v>
      </c>
      <c r="D2472" s="41" t="s">
        <v>343</v>
      </c>
      <c r="E2472" s="41">
        <v>10130003</v>
      </c>
      <c r="F2472" s="85" t="s">
        <v>346</v>
      </c>
      <c r="G2472" s="39" t="s">
        <v>92</v>
      </c>
      <c r="H2472" s="52" t="s">
        <v>93</v>
      </c>
      <c r="I2472" s="52">
        <v>74.300000000000011</v>
      </c>
      <c r="J2472" s="49">
        <v>2446.69</v>
      </c>
      <c r="K2472" s="58">
        <v>72.72</v>
      </c>
      <c r="L2472" s="58">
        <v>2434.73</v>
      </c>
      <c r="M2472" s="58">
        <v>0.30000000000000004</v>
      </c>
      <c r="N2472" s="58">
        <v>8.76</v>
      </c>
      <c r="O2472" s="58">
        <v>73.02</v>
      </c>
      <c r="P2472" s="53">
        <v>2443.4900000000002</v>
      </c>
      <c r="Q2472" s="65">
        <v>2443.4900000000002</v>
      </c>
      <c r="R2472" s="65">
        <v>0</v>
      </c>
      <c r="S2472" s="65">
        <v>8.76</v>
      </c>
      <c r="T2472" s="65">
        <v>0</v>
      </c>
      <c r="U2472" s="58">
        <v>0</v>
      </c>
      <c r="V2472" s="65">
        <v>0</v>
      </c>
      <c r="W2472" s="65">
        <v>0</v>
      </c>
      <c r="X2472" s="65">
        <v>2436</v>
      </c>
      <c r="Y2472" s="65">
        <v>0</v>
      </c>
      <c r="Z2472" s="51">
        <v>0</v>
      </c>
      <c r="AA2472" s="51">
        <v>2</v>
      </c>
      <c r="AB2472" s="102">
        <v>0</v>
      </c>
      <c r="AC2472" s="81">
        <f t="shared" si="117"/>
        <v>412.08450417227453</v>
      </c>
      <c r="AD2472" s="82">
        <f t="shared" si="118"/>
        <v>10.614285714285716</v>
      </c>
      <c r="AE2472" s="218">
        <v>1.3078894342968737E-3</v>
      </c>
      <c r="AF2472">
        <v>5</v>
      </c>
      <c r="AH2472" t="str">
        <f t="shared" si="119"/>
        <v>Musrigharari</v>
      </c>
      <c r="AJ2472" s="72">
        <v>0</v>
      </c>
      <c r="AK2472" s="72"/>
      <c r="AL2472" s="72"/>
      <c r="AM2472" s="72"/>
    </row>
    <row r="2473" spans="1:39" x14ac:dyDescent="0.25">
      <c r="A2473" s="37" t="s">
        <v>62</v>
      </c>
      <c r="B2473" s="66" t="s">
        <v>1654</v>
      </c>
      <c r="C2473" s="41">
        <v>1013</v>
      </c>
      <c r="D2473" s="41" t="s">
        <v>343</v>
      </c>
      <c r="E2473" s="41">
        <v>10130005</v>
      </c>
      <c r="F2473" s="85" t="s">
        <v>347</v>
      </c>
      <c r="G2473" s="39" t="s">
        <v>92</v>
      </c>
      <c r="H2473" s="52" t="s">
        <v>98</v>
      </c>
      <c r="I2473" s="52">
        <v>44.2</v>
      </c>
      <c r="J2473" s="49">
        <v>1562.53</v>
      </c>
      <c r="K2473" s="58">
        <v>0</v>
      </c>
      <c r="L2473" s="58">
        <v>0</v>
      </c>
      <c r="M2473" s="58">
        <v>0</v>
      </c>
      <c r="N2473" s="58">
        <v>0</v>
      </c>
      <c r="O2473" s="58">
        <v>0</v>
      </c>
      <c r="P2473" s="53">
        <v>0</v>
      </c>
      <c r="Q2473" s="65">
        <v>1562.53</v>
      </c>
      <c r="R2473" s="65">
        <v>0</v>
      </c>
      <c r="S2473" s="65">
        <v>0</v>
      </c>
      <c r="T2473" s="65">
        <v>0</v>
      </c>
      <c r="U2473" s="58">
        <v>1081</v>
      </c>
      <c r="V2473" s="65">
        <v>0</v>
      </c>
      <c r="W2473" s="65">
        <v>0</v>
      </c>
      <c r="X2473" s="65">
        <v>0</v>
      </c>
      <c r="Y2473" s="65">
        <v>0</v>
      </c>
      <c r="Z2473" s="51">
        <v>481.53</v>
      </c>
      <c r="AA2473" s="51">
        <v>0</v>
      </c>
      <c r="AB2473" s="102">
        <v>0</v>
      </c>
      <c r="AC2473" s="81">
        <f t="shared" si="117"/>
        <v>463.66840452488685</v>
      </c>
      <c r="AD2473" s="82">
        <f t="shared" si="118"/>
        <v>6.3142857142857149</v>
      </c>
      <c r="AE2473" s="218">
        <v>0</v>
      </c>
      <c r="AF2473">
        <v>0</v>
      </c>
      <c r="AH2473" t="str">
        <f t="shared" si="119"/>
        <v>Musrigharari</v>
      </c>
      <c r="AJ2473" s="72">
        <v>0</v>
      </c>
      <c r="AK2473" s="72"/>
      <c r="AL2473" s="72"/>
      <c r="AM2473" s="72"/>
    </row>
    <row r="2474" spans="1:39" x14ac:dyDescent="0.25">
      <c r="A2474" s="37" t="s">
        <v>62</v>
      </c>
      <c r="B2474" s="66" t="s">
        <v>1654</v>
      </c>
      <c r="C2474" s="41">
        <v>1013</v>
      </c>
      <c r="D2474" s="41" t="s">
        <v>343</v>
      </c>
      <c r="E2474" s="41">
        <v>10130006</v>
      </c>
      <c r="F2474" s="85" t="s">
        <v>348</v>
      </c>
      <c r="G2474" s="39" t="s">
        <v>92</v>
      </c>
      <c r="H2474" s="52" t="s">
        <v>93</v>
      </c>
      <c r="I2474" s="52">
        <v>496</v>
      </c>
      <c r="J2474" s="49">
        <v>18918.03</v>
      </c>
      <c r="K2474" s="58">
        <v>496.51</v>
      </c>
      <c r="L2474" s="58">
        <v>18903.96</v>
      </c>
      <c r="M2474" s="58">
        <v>0</v>
      </c>
      <c r="N2474" s="58">
        <v>0</v>
      </c>
      <c r="O2474" s="58">
        <v>496.51</v>
      </c>
      <c r="P2474" s="53">
        <v>18903.96</v>
      </c>
      <c r="Q2474" s="65">
        <v>18903.96</v>
      </c>
      <c r="R2474" s="65">
        <v>0</v>
      </c>
      <c r="S2474" s="65">
        <v>0</v>
      </c>
      <c r="T2474" s="65">
        <v>0</v>
      </c>
      <c r="U2474" s="58">
        <v>666</v>
      </c>
      <c r="V2474" s="65">
        <v>0</v>
      </c>
      <c r="W2474" s="65">
        <v>0</v>
      </c>
      <c r="X2474" s="65">
        <v>18236</v>
      </c>
      <c r="Y2474" s="65">
        <v>0</v>
      </c>
      <c r="Z2474" s="51">
        <v>0</v>
      </c>
      <c r="AA2474" s="51">
        <v>16</v>
      </c>
      <c r="AB2474" s="102">
        <v>0</v>
      </c>
      <c r="AC2474" s="81">
        <f t="shared" si="117"/>
        <v>155.61605322580644</v>
      </c>
      <c r="AD2474" s="82">
        <f t="shared" si="118"/>
        <v>70.857142857142861</v>
      </c>
      <c r="AE2474" s="218">
        <v>7.4373494491761086E-4</v>
      </c>
      <c r="AF2474">
        <v>10</v>
      </c>
      <c r="AH2474" t="str">
        <f t="shared" si="119"/>
        <v>Musrigharari</v>
      </c>
      <c r="AJ2474" s="72">
        <v>0</v>
      </c>
      <c r="AK2474" s="72"/>
      <c r="AL2474" s="72"/>
      <c r="AM2474" s="72"/>
    </row>
    <row r="2475" spans="1:39" x14ac:dyDescent="0.25">
      <c r="A2475" s="37" t="s">
        <v>62</v>
      </c>
      <c r="B2475" s="66" t="s">
        <v>1654</v>
      </c>
      <c r="C2475" s="41">
        <v>1013</v>
      </c>
      <c r="D2475" s="41" t="s">
        <v>343</v>
      </c>
      <c r="E2475" s="41">
        <v>10130008</v>
      </c>
      <c r="F2475" s="85" t="s">
        <v>349</v>
      </c>
      <c r="G2475" s="39" t="s">
        <v>92</v>
      </c>
      <c r="H2475" s="52" t="s">
        <v>93</v>
      </c>
      <c r="I2475" s="52">
        <v>505.6</v>
      </c>
      <c r="J2475" s="49">
        <v>20964.140000000003</v>
      </c>
      <c r="K2475" s="58">
        <v>462.62</v>
      </c>
      <c r="L2475" s="58">
        <v>19910.28</v>
      </c>
      <c r="M2475" s="58">
        <v>22.32</v>
      </c>
      <c r="N2475" s="58">
        <v>930.46</v>
      </c>
      <c r="O2475" s="58">
        <v>484.94</v>
      </c>
      <c r="P2475" s="53">
        <v>20840.739999999998</v>
      </c>
      <c r="Q2475" s="65">
        <v>20840.739999999998</v>
      </c>
      <c r="R2475" s="65">
        <v>0</v>
      </c>
      <c r="S2475" s="65">
        <v>313.07000000000005</v>
      </c>
      <c r="T2475" s="65">
        <v>0</v>
      </c>
      <c r="U2475" s="58">
        <v>0</v>
      </c>
      <c r="V2475" s="65">
        <v>0</v>
      </c>
      <c r="W2475" s="65">
        <v>0</v>
      </c>
      <c r="X2475" s="65">
        <v>19910</v>
      </c>
      <c r="Y2475" s="65">
        <v>617</v>
      </c>
      <c r="Z2475" s="51">
        <v>0</v>
      </c>
      <c r="AA2475" s="51">
        <v>124</v>
      </c>
      <c r="AB2475" s="102">
        <v>0</v>
      </c>
      <c r="AC2475" s="81">
        <f t="shared" si="117"/>
        <v>161.21158291139241</v>
      </c>
      <c r="AD2475" s="82">
        <f t="shared" si="118"/>
        <v>72.228571428571428</v>
      </c>
      <c r="AE2475" s="218">
        <v>5.8862419350378826E-3</v>
      </c>
      <c r="AF2475">
        <v>10</v>
      </c>
      <c r="AH2475" t="str">
        <f t="shared" si="119"/>
        <v>Musrigharari</v>
      </c>
      <c r="AJ2475" s="72">
        <v>0</v>
      </c>
      <c r="AK2475" s="72"/>
      <c r="AL2475" s="72"/>
      <c r="AM2475" s="72"/>
    </row>
    <row r="2476" spans="1:39" x14ac:dyDescent="0.25">
      <c r="A2476" s="37" t="s">
        <v>62</v>
      </c>
      <c r="B2476" s="66" t="s">
        <v>1654</v>
      </c>
      <c r="C2476" s="41">
        <v>1013</v>
      </c>
      <c r="D2476" s="41" t="s">
        <v>343</v>
      </c>
      <c r="E2476" s="41">
        <v>10130012</v>
      </c>
      <c r="F2476" s="85" t="s">
        <v>350</v>
      </c>
      <c r="G2476" s="39" t="s">
        <v>92</v>
      </c>
      <c r="H2476" s="52" t="s">
        <v>93</v>
      </c>
      <c r="I2476" s="52">
        <v>2910.5000000000005</v>
      </c>
      <c r="J2476" s="49">
        <v>112484.99999999999</v>
      </c>
      <c r="K2476" s="58">
        <v>1502.8</v>
      </c>
      <c r="L2476" s="58">
        <v>58416.36</v>
      </c>
      <c r="M2476" s="58">
        <v>1408.4999999999998</v>
      </c>
      <c r="N2476" s="58">
        <v>54064.62999999999</v>
      </c>
      <c r="O2476" s="58">
        <v>2911.2999999999997</v>
      </c>
      <c r="P2476" s="53">
        <v>112480.98999999999</v>
      </c>
      <c r="Q2476" s="65">
        <v>112480.98999999999</v>
      </c>
      <c r="R2476" s="65">
        <v>0</v>
      </c>
      <c r="S2476" s="65">
        <v>1389.82</v>
      </c>
      <c r="T2476" s="65">
        <v>0</v>
      </c>
      <c r="U2476" s="58">
        <v>0</v>
      </c>
      <c r="V2476" s="65">
        <v>0</v>
      </c>
      <c r="W2476" s="65">
        <v>0</v>
      </c>
      <c r="X2476" s="65">
        <v>58418</v>
      </c>
      <c r="Y2476" s="65">
        <v>52674</v>
      </c>
      <c r="Z2476" s="51">
        <v>0</v>
      </c>
      <c r="AA2476" s="51">
        <v>3</v>
      </c>
      <c r="AB2476" s="102" t="s">
        <v>68</v>
      </c>
      <c r="AC2476" s="81">
        <f t="shared" si="117"/>
        <v>0</v>
      </c>
      <c r="AD2476" s="82">
        <f t="shared" si="118"/>
        <v>0</v>
      </c>
      <c r="AE2476" s="218">
        <v>3.5649197670753982E-5</v>
      </c>
      <c r="AF2476">
        <v>56</v>
      </c>
      <c r="AH2476" t="str">
        <f t="shared" si="119"/>
        <v>Musrigharari</v>
      </c>
      <c r="AJ2476" s="72">
        <v>0</v>
      </c>
      <c r="AK2476" s="72"/>
      <c r="AL2476" s="72"/>
      <c r="AM2476" s="72"/>
    </row>
    <row r="2477" spans="1:39" x14ac:dyDescent="0.25">
      <c r="A2477" s="37" t="s">
        <v>62</v>
      </c>
      <c r="B2477" s="66" t="s">
        <v>1654</v>
      </c>
      <c r="C2477" s="41">
        <v>1013</v>
      </c>
      <c r="D2477" s="41" t="s">
        <v>343</v>
      </c>
      <c r="E2477" s="41">
        <v>10130015</v>
      </c>
      <c r="F2477" s="85" t="s">
        <v>351</v>
      </c>
      <c r="G2477" s="39" t="s">
        <v>92</v>
      </c>
      <c r="H2477" s="52" t="s">
        <v>98</v>
      </c>
      <c r="I2477" s="52">
        <v>702.40000000000009</v>
      </c>
      <c r="J2477" s="49">
        <v>27306.579999999994</v>
      </c>
      <c r="K2477" s="58">
        <v>0</v>
      </c>
      <c r="L2477" s="58">
        <v>0</v>
      </c>
      <c r="M2477" s="58">
        <v>0</v>
      </c>
      <c r="N2477" s="58">
        <v>0</v>
      </c>
      <c r="O2477" s="58">
        <v>0</v>
      </c>
      <c r="P2477" s="53">
        <v>0</v>
      </c>
      <c r="Q2477" s="65">
        <v>27306.579999999994</v>
      </c>
      <c r="R2477" s="65">
        <v>0</v>
      </c>
      <c r="S2477" s="65">
        <v>0</v>
      </c>
      <c r="T2477" s="65">
        <v>0</v>
      </c>
      <c r="U2477" s="58">
        <v>0</v>
      </c>
      <c r="V2477" s="65">
        <v>0</v>
      </c>
      <c r="W2477" s="65">
        <v>0</v>
      </c>
      <c r="X2477" s="65">
        <v>0</v>
      </c>
      <c r="Y2477" s="65">
        <v>0</v>
      </c>
      <c r="Z2477" s="51">
        <v>27306.579999999994</v>
      </c>
      <c r="AA2477" s="51">
        <v>0</v>
      </c>
      <c r="AB2477" s="102">
        <v>0</v>
      </c>
      <c r="AC2477" s="81">
        <f t="shared" si="117"/>
        <v>0</v>
      </c>
      <c r="AD2477" s="82">
        <f t="shared" si="118"/>
        <v>0</v>
      </c>
      <c r="AE2477" s="218">
        <v>0</v>
      </c>
      <c r="AF2477">
        <v>0</v>
      </c>
      <c r="AH2477" t="str">
        <f t="shared" si="119"/>
        <v>Musrigharari</v>
      </c>
      <c r="AJ2477" s="72">
        <v>0</v>
      </c>
      <c r="AK2477" s="72"/>
      <c r="AL2477" s="72"/>
      <c r="AM2477" s="72"/>
    </row>
    <row r="2478" spans="1:39" x14ac:dyDescent="0.25">
      <c r="A2478" s="37" t="s">
        <v>62</v>
      </c>
      <c r="B2478" s="66" t="s">
        <v>1654</v>
      </c>
      <c r="C2478" s="41">
        <v>1013</v>
      </c>
      <c r="D2478" s="41" t="s">
        <v>343</v>
      </c>
      <c r="E2478" s="41">
        <v>10130016</v>
      </c>
      <c r="F2478" s="85" t="s">
        <v>352</v>
      </c>
      <c r="G2478" s="39" t="s">
        <v>92</v>
      </c>
      <c r="H2478" s="52" t="s">
        <v>98</v>
      </c>
      <c r="I2478" s="52">
        <v>217.89999999999998</v>
      </c>
      <c r="J2478" s="49">
        <v>9023.6200000000026</v>
      </c>
      <c r="K2478" s="58">
        <v>0</v>
      </c>
      <c r="L2478" s="58">
        <v>0</v>
      </c>
      <c r="M2478" s="58">
        <v>0</v>
      </c>
      <c r="N2478" s="58">
        <v>0</v>
      </c>
      <c r="O2478" s="58">
        <v>0</v>
      </c>
      <c r="P2478" s="53">
        <v>0</v>
      </c>
      <c r="Q2478" s="65">
        <v>9023.6200000000026</v>
      </c>
      <c r="R2478" s="65">
        <v>0</v>
      </c>
      <c r="S2478" s="65">
        <v>0</v>
      </c>
      <c r="T2478" s="65">
        <v>0</v>
      </c>
      <c r="U2478" s="58">
        <v>0</v>
      </c>
      <c r="V2478" s="65">
        <v>0</v>
      </c>
      <c r="W2478" s="65">
        <v>0</v>
      </c>
      <c r="X2478" s="65">
        <v>0</v>
      </c>
      <c r="Y2478" s="65">
        <v>0</v>
      </c>
      <c r="Z2478" s="51">
        <v>9023.6200000000026</v>
      </c>
      <c r="AA2478" s="51">
        <v>0</v>
      </c>
      <c r="AB2478" s="102">
        <v>0</v>
      </c>
      <c r="AC2478" s="81">
        <f t="shared" si="117"/>
        <v>399.29207911886203</v>
      </c>
      <c r="AD2478" s="82">
        <f t="shared" si="118"/>
        <v>31.128571428571426</v>
      </c>
      <c r="AE2478" s="218">
        <v>0</v>
      </c>
      <c r="AF2478">
        <v>0</v>
      </c>
      <c r="AH2478" t="str">
        <f t="shared" si="119"/>
        <v>Musrigharari</v>
      </c>
      <c r="AJ2478" s="72">
        <v>0</v>
      </c>
      <c r="AK2478" s="72"/>
      <c r="AL2478" s="72"/>
      <c r="AM2478" s="72"/>
    </row>
    <row r="2479" spans="1:39" x14ac:dyDescent="0.25">
      <c r="A2479" s="37" t="s">
        <v>62</v>
      </c>
      <c r="B2479" s="66" t="s">
        <v>1654</v>
      </c>
      <c r="C2479" s="41">
        <v>1013</v>
      </c>
      <c r="D2479" s="41" t="s">
        <v>343</v>
      </c>
      <c r="E2479" s="41">
        <v>10130018</v>
      </c>
      <c r="F2479" s="85" t="s">
        <v>353</v>
      </c>
      <c r="G2479" s="39" t="s">
        <v>92</v>
      </c>
      <c r="H2479" s="52" t="s">
        <v>98</v>
      </c>
      <c r="I2479" s="52">
        <v>427.9</v>
      </c>
      <c r="J2479" s="49">
        <v>14536.32</v>
      </c>
      <c r="K2479" s="58">
        <v>0</v>
      </c>
      <c r="L2479" s="58">
        <v>0</v>
      </c>
      <c r="M2479" s="58">
        <v>0</v>
      </c>
      <c r="N2479" s="58">
        <v>0</v>
      </c>
      <c r="O2479" s="58">
        <v>0</v>
      </c>
      <c r="P2479" s="53">
        <v>0</v>
      </c>
      <c r="Q2479" s="65">
        <v>14536.32</v>
      </c>
      <c r="R2479" s="65">
        <v>0</v>
      </c>
      <c r="S2479" s="65">
        <v>0</v>
      </c>
      <c r="T2479" s="65">
        <v>0</v>
      </c>
      <c r="U2479" s="58">
        <v>0</v>
      </c>
      <c r="V2479" s="65">
        <v>0</v>
      </c>
      <c r="W2479" s="65">
        <v>0</v>
      </c>
      <c r="X2479" s="65">
        <v>0</v>
      </c>
      <c r="Y2479" s="65">
        <v>0</v>
      </c>
      <c r="Z2479" s="51">
        <v>14536.32</v>
      </c>
      <c r="AA2479" s="51">
        <v>0</v>
      </c>
      <c r="AB2479" s="102">
        <v>0</v>
      </c>
      <c r="AC2479" s="81">
        <f t="shared" si="117"/>
        <v>184.8718238840851</v>
      </c>
      <c r="AD2479" s="82">
        <f t="shared" si="118"/>
        <v>61.128571428571426</v>
      </c>
      <c r="AE2479" s="218">
        <v>0</v>
      </c>
      <c r="AF2479">
        <v>0</v>
      </c>
      <c r="AH2479" t="str">
        <f t="shared" si="119"/>
        <v>Musrigharari</v>
      </c>
      <c r="AJ2479" s="72">
        <v>0</v>
      </c>
      <c r="AK2479" s="72"/>
      <c r="AL2479" s="72"/>
      <c r="AM2479" s="72"/>
    </row>
    <row r="2480" spans="1:39" x14ac:dyDescent="0.25">
      <c r="A2480" s="37" t="s">
        <v>62</v>
      </c>
      <c r="B2480" s="66" t="s">
        <v>1654</v>
      </c>
      <c r="C2480" s="41">
        <v>1013</v>
      </c>
      <c r="D2480" s="41" t="s">
        <v>343</v>
      </c>
      <c r="E2480" s="41">
        <v>10130020</v>
      </c>
      <c r="F2480" s="85" t="s">
        <v>354</v>
      </c>
      <c r="G2480" s="39" t="s">
        <v>1610</v>
      </c>
      <c r="H2480" s="52" t="s">
        <v>98</v>
      </c>
      <c r="I2480" s="52">
        <v>551.39999999999986</v>
      </c>
      <c r="J2480" s="49">
        <v>21257.559999999998</v>
      </c>
      <c r="K2480" s="58">
        <v>0</v>
      </c>
      <c r="L2480" s="58">
        <v>0</v>
      </c>
      <c r="M2480" s="58">
        <v>0</v>
      </c>
      <c r="N2480" s="58">
        <v>0</v>
      </c>
      <c r="O2480" s="58">
        <v>0</v>
      </c>
      <c r="P2480" s="53">
        <v>0</v>
      </c>
      <c r="Q2480" s="65">
        <v>21257.559999999998</v>
      </c>
      <c r="R2480" s="65">
        <v>0</v>
      </c>
      <c r="S2480" s="65">
        <v>0</v>
      </c>
      <c r="T2480" s="65">
        <v>0</v>
      </c>
      <c r="U2480" s="58">
        <v>0</v>
      </c>
      <c r="V2480" s="65">
        <v>0</v>
      </c>
      <c r="W2480" s="65">
        <v>0</v>
      </c>
      <c r="X2480" s="65">
        <v>0</v>
      </c>
      <c r="Y2480" s="65">
        <v>0</v>
      </c>
      <c r="Z2480" s="51">
        <v>21257.559999999998</v>
      </c>
      <c r="AA2480" s="51">
        <v>0</v>
      </c>
      <c r="AB2480" s="102">
        <v>0</v>
      </c>
      <c r="AC2480" s="81">
        <f t="shared" si="117"/>
        <v>114.57647500906789</v>
      </c>
      <c r="AD2480" s="82">
        <f t="shared" si="118"/>
        <v>78.771428571428558</v>
      </c>
      <c r="AE2480" s="218">
        <v>0</v>
      </c>
      <c r="AF2480">
        <v>0</v>
      </c>
      <c r="AH2480" t="str">
        <f t="shared" si="119"/>
        <v>Musrigharari</v>
      </c>
      <c r="AJ2480" s="72">
        <v>0</v>
      </c>
      <c r="AK2480" s="72"/>
      <c r="AL2480" s="72"/>
      <c r="AM2480" s="72"/>
    </row>
    <row r="2481" spans="1:39" x14ac:dyDescent="0.25">
      <c r="A2481" s="37" t="s">
        <v>62</v>
      </c>
      <c r="B2481" s="66" t="s">
        <v>1654</v>
      </c>
      <c r="C2481" s="41">
        <v>1013</v>
      </c>
      <c r="D2481" s="41" t="s">
        <v>343</v>
      </c>
      <c r="E2481" s="41">
        <v>10130025</v>
      </c>
      <c r="F2481" s="85" t="s">
        <v>355</v>
      </c>
      <c r="G2481" s="39" t="s">
        <v>92</v>
      </c>
      <c r="H2481" s="52" t="s">
        <v>98</v>
      </c>
      <c r="I2481" s="52">
        <v>412.80000000000007</v>
      </c>
      <c r="J2481" s="49">
        <v>17566.370000000003</v>
      </c>
      <c r="K2481" s="58">
        <v>0</v>
      </c>
      <c r="L2481" s="58">
        <v>0</v>
      </c>
      <c r="M2481" s="58">
        <v>0</v>
      </c>
      <c r="N2481" s="58">
        <v>0</v>
      </c>
      <c r="O2481" s="58">
        <v>0</v>
      </c>
      <c r="P2481" s="53">
        <v>0</v>
      </c>
      <c r="Q2481" s="65">
        <v>17566.370000000003</v>
      </c>
      <c r="R2481" s="65">
        <v>0</v>
      </c>
      <c r="S2481" s="65">
        <v>0</v>
      </c>
      <c r="T2481" s="65">
        <v>0</v>
      </c>
      <c r="U2481" s="58">
        <v>3100</v>
      </c>
      <c r="V2481" s="65">
        <v>0</v>
      </c>
      <c r="W2481" s="65">
        <v>0</v>
      </c>
      <c r="X2481" s="65">
        <v>0</v>
      </c>
      <c r="Y2481" s="65">
        <v>0</v>
      </c>
      <c r="Z2481" s="51">
        <v>14466.370000000003</v>
      </c>
      <c r="AA2481" s="51">
        <v>0</v>
      </c>
      <c r="AB2481" s="102">
        <v>0</v>
      </c>
      <c r="AC2481" s="81">
        <f t="shared" si="117"/>
        <v>244.43127248062009</v>
      </c>
      <c r="AD2481" s="82">
        <f t="shared" si="118"/>
        <v>58.971428571428582</v>
      </c>
      <c r="AE2481" s="218">
        <v>0</v>
      </c>
      <c r="AF2481">
        <v>0</v>
      </c>
      <c r="AH2481" t="str">
        <f t="shared" si="119"/>
        <v>Musrigharari</v>
      </c>
      <c r="AJ2481" s="72">
        <v>0</v>
      </c>
      <c r="AK2481" s="72"/>
      <c r="AL2481" s="72"/>
      <c r="AM2481" s="72"/>
    </row>
    <row r="2482" spans="1:39" x14ac:dyDescent="0.25">
      <c r="A2482" s="37" t="s">
        <v>62</v>
      </c>
      <c r="B2482" s="66" t="s">
        <v>1654</v>
      </c>
      <c r="C2482" s="41">
        <v>1013</v>
      </c>
      <c r="D2482" s="41" t="s">
        <v>343</v>
      </c>
      <c r="E2482" s="41">
        <v>10130026</v>
      </c>
      <c r="F2482" s="85" t="s">
        <v>317</v>
      </c>
      <c r="G2482" s="39" t="s">
        <v>92</v>
      </c>
      <c r="H2482" s="52" t="s">
        <v>93</v>
      </c>
      <c r="I2482" s="52">
        <v>263.90000000000003</v>
      </c>
      <c r="J2482" s="49">
        <v>11764.179999999998</v>
      </c>
      <c r="K2482" s="58">
        <v>57.190000000000012</v>
      </c>
      <c r="L2482" s="58">
        <v>2925.8199999999997</v>
      </c>
      <c r="M2482" s="58">
        <v>188.22000000000003</v>
      </c>
      <c r="N2482" s="58">
        <v>8809.1700000000019</v>
      </c>
      <c r="O2482" s="58">
        <v>245.41000000000003</v>
      </c>
      <c r="P2482" s="53">
        <v>11734.990000000002</v>
      </c>
      <c r="Q2482" s="65">
        <v>11734.990000000002</v>
      </c>
      <c r="R2482" s="65">
        <v>0</v>
      </c>
      <c r="S2482" s="65">
        <v>130.56</v>
      </c>
      <c r="T2482" s="65">
        <v>0</v>
      </c>
      <c r="U2482" s="58">
        <v>0</v>
      </c>
      <c r="V2482" s="65">
        <v>500</v>
      </c>
      <c r="W2482" s="65">
        <v>0</v>
      </c>
      <c r="X2482" s="65">
        <v>2426</v>
      </c>
      <c r="Y2482" s="65">
        <v>8679</v>
      </c>
      <c r="Z2482" s="51">
        <v>0</v>
      </c>
      <c r="AA2482" s="51">
        <v>29</v>
      </c>
      <c r="AB2482" s="102">
        <v>0</v>
      </c>
      <c r="AC2482" s="81">
        <f t="shared" si="117"/>
        <v>388.81082970822268</v>
      </c>
      <c r="AD2482" s="82">
        <f t="shared" si="118"/>
        <v>37.700000000000003</v>
      </c>
      <c r="AE2482" s="218">
        <v>2.481260912362517E-3</v>
      </c>
      <c r="AF2482">
        <v>8</v>
      </c>
      <c r="AH2482" t="str">
        <f t="shared" si="119"/>
        <v>Musrigharari</v>
      </c>
      <c r="AJ2482" s="72">
        <v>500</v>
      </c>
      <c r="AK2482" s="72"/>
      <c r="AL2482" s="72"/>
      <c r="AM2482" s="72"/>
    </row>
    <row r="2483" spans="1:39" x14ac:dyDescent="0.25">
      <c r="A2483" s="37" t="s">
        <v>62</v>
      </c>
      <c r="B2483" s="66" t="s">
        <v>1654</v>
      </c>
      <c r="C2483" s="41">
        <v>1013</v>
      </c>
      <c r="D2483" s="41" t="s">
        <v>343</v>
      </c>
      <c r="E2483" s="41">
        <v>10130027</v>
      </c>
      <c r="F2483" s="85" t="s">
        <v>1477</v>
      </c>
      <c r="G2483" s="39" t="s">
        <v>92</v>
      </c>
      <c r="H2483" s="52" t="s">
        <v>98</v>
      </c>
      <c r="I2483" s="52">
        <v>50.7</v>
      </c>
      <c r="J2483" s="49">
        <v>1974.75</v>
      </c>
      <c r="K2483" s="58">
        <v>0</v>
      </c>
      <c r="L2483" s="58">
        <v>0</v>
      </c>
      <c r="M2483" s="58">
        <v>0</v>
      </c>
      <c r="N2483" s="58">
        <v>0</v>
      </c>
      <c r="O2483" s="58">
        <v>0</v>
      </c>
      <c r="P2483" s="53">
        <v>0</v>
      </c>
      <c r="Q2483" s="65">
        <v>1974.75</v>
      </c>
      <c r="R2483" s="65">
        <v>0</v>
      </c>
      <c r="S2483" s="65">
        <v>0</v>
      </c>
      <c r="T2483" s="65">
        <v>0</v>
      </c>
      <c r="U2483" s="58">
        <v>0</v>
      </c>
      <c r="V2483" s="65">
        <v>0</v>
      </c>
      <c r="W2483" s="65">
        <v>0</v>
      </c>
      <c r="X2483" s="65">
        <v>0</v>
      </c>
      <c r="Y2483" s="65">
        <v>0</v>
      </c>
      <c r="Z2483" s="51">
        <v>1974.75</v>
      </c>
      <c r="AA2483" s="51">
        <v>0</v>
      </c>
      <c r="AB2483" s="102">
        <v>0</v>
      </c>
      <c r="AC2483" s="81">
        <f t="shared" si="117"/>
        <v>505.8008579881656</v>
      </c>
      <c r="AD2483" s="82">
        <f t="shared" si="118"/>
        <v>7.2428571428571429</v>
      </c>
      <c r="AE2483" s="218">
        <v>0</v>
      </c>
      <c r="AF2483">
        <v>0</v>
      </c>
      <c r="AH2483" t="str">
        <f t="shared" si="119"/>
        <v>Musrigharari</v>
      </c>
      <c r="AJ2483" s="72">
        <v>0</v>
      </c>
      <c r="AK2483" s="72"/>
      <c r="AL2483" s="72"/>
      <c r="AM2483" s="72"/>
    </row>
    <row r="2484" spans="1:39" x14ac:dyDescent="0.25">
      <c r="A2484" s="37" t="s">
        <v>62</v>
      </c>
      <c r="B2484" s="66" t="s">
        <v>1654</v>
      </c>
      <c r="C2484" s="41">
        <v>1013</v>
      </c>
      <c r="D2484" s="41" t="s">
        <v>343</v>
      </c>
      <c r="E2484" s="41">
        <v>10130030</v>
      </c>
      <c r="F2484" s="85" t="s">
        <v>356</v>
      </c>
      <c r="G2484" s="39" t="s">
        <v>92</v>
      </c>
      <c r="H2484" s="52" t="s">
        <v>93</v>
      </c>
      <c r="I2484" s="52">
        <v>316.10000000000002</v>
      </c>
      <c r="J2484" s="49">
        <v>11429.86</v>
      </c>
      <c r="K2484" s="58">
        <v>294</v>
      </c>
      <c r="L2484" s="58">
        <v>10598.8</v>
      </c>
      <c r="M2484" s="58">
        <v>22.2</v>
      </c>
      <c r="N2484" s="58">
        <v>830.95</v>
      </c>
      <c r="O2484" s="58">
        <v>316.2</v>
      </c>
      <c r="P2484" s="53">
        <v>11429.75</v>
      </c>
      <c r="Q2484" s="65">
        <v>11429.75</v>
      </c>
      <c r="R2484" s="65">
        <v>0</v>
      </c>
      <c r="S2484" s="65">
        <v>26.2</v>
      </c>
      <c r="T2484" s="65">
        <v>0</v>
      </c>
      <c r="U2484" s="58">
        <v>0</v>
      </c>
      <c r="V2484" s="65">
        <v>0</v>
      </c>
      <c r="W2484" s="65">
        <v>0</v>
      </c>
      <c r="X2484" s="65">
        <v>10598</v>
      </c>
      <c r="Y2484" s="65">
        <v>806</v>
      </c>
      <c r="Z2484" s="51">
        <v>0</v>
      </c>
      <c r="AA2484" s="51">
        <v>0</v>
      </c>
      <c r="AB2484" s="102">
        <v>0</v>
      </c>
      <c r="AC2484" s="81">
        <f t="shared" si="117"/>
        <v>277.62880442897813</v>
      </c>
      <c r="AD2484" s="82">
        <f t="shared" si="118"/>
        <v>45.157142857142858</v>
      </c>
      <c r="AE2484" s="218">
        <v>9.6239149036455457E-6</v>
      </c>
      <c r="AF2484">
        <v>14</v>
      </c>
      <c r="AH2484" t="str">
        <f t="shared" si="119"/>
        <v>Musrigharari</v>
      </c>
      <c r="AJ2484" s="72">
        <v>0</v>
      </c>
      <c r="AK2484" s="72"/>
      <c r="AL2484" s="72"/>
      <c r="AM2484" s="72"/>
    </row>
    <row r="2485" spans="1:39" x14ac:dyDescent="0.25">
      <c r="A2485" s="37" t="s">
        <v>62</v>
      </c>
      <c r="B2485" s="66" t="s">
        <v>1654</v>
      </c>
      <c r="C2485" s="41">
        <v>1013</v>
      </c>
      <c r="D2485" s="41" t="s">
        <v>343</v>
      </c>
      <c r="E2485" s="41">
        <v>10130031</v>
      </c>
      <c r="F2485" s="85" t="s">
        <v>357</v>
      </c>
      <c r="G2485" s="39" t="s">
        <v>1610</v>
      </c>
      <c r="H2485" s="52" t="s">
        <v>98</v>
      </c>
      <c r="I2485" s="52">
        <v>141.1</v>
      </c>
      <c r="J2485" s="49">
        <v>4662.9599999999991</v>
      </c>
      <c r="K2485" s="58">
        <v>0</v>
      </c>
      <c r="L2485" s="58">
        <v>0</v>
      </c>
      <c r="M2485" s="58">
        <v>0</v>
      </c>
      <c r="N2485" s="58">
        <v>0</v>
      </c>
      <c r="O2485" s="58">
        <v>0</v>
      </c>
      <c r="P2485" s="53">
        <v>0</v>
      </c>
      <c r="Q2485" s="65">
        <v>4662.9599999999991</v>
      </c>
      <c r="R2485" s="65">
        <v>0</v>
      </c>
      <c r="S2485" s="65">
        <v>0</v>
      </c>
      <c r="T2485" s="65">
        <v>0</v>
      </c>
      <c r="U2485" s="58">
        <v>3300</v>
      </c>
      <c r="V2485" s="65">
        <v>0</v>
      </c>
      <c r="W2485" s="65">
        <v>0</v>
      </c>
      <c r="X2485" s="65">
        <v>0</v>
      </c>
      <c r="Y2485" s="65">
        <v>0</v>
      </c>
      <c r="Z2485" s="51">
        <v>1362.9599999999991</v>
      </c>
      <c r="AA2485" s="51">
        <v>0</v>
      </c>
      <c r="AB2485" s="102">
        <v>0</v>
      </c>
      <c r="AC2485" s="81">
        <f t="shared" si="117"/>
        <v>369.40160793763283</v>
      </c>
      <c r="AD2485" s="82">
        <f t="shared" si="118"/>
        <v>20.157142857142855</v>
      </c>
      <c r="AE2485" s="218">
        <v>0</v>
      </c>
      <c r="AF2485">
        <v>0</v>
      </c>
      <c r="AH2485" t="str">
        <f t="shared" si="119"/>
        <v>Musrigharari</v>
      </c>
      <c r="AJ2485" s="72">
        <v>0</v>
      </c>
      <c r="AK2485" s="72"/>
      <c r="AL2485" s="72"/>
      <c r="AM2485" s="72"/>
    </row>
    <row r="2486" spans="1:39" x14ac:dyDescent="0.25">
      <c r="A2486" s="37" t="s">
        <v>62</v>
      </c>
      <c r="B2486" s="66" t="s">
        <v>1654</v>
      </c>
      <c r="C2486" s="41">
        <v>1013</v>
      </c>
      <c r="D2486" s="41" t="s">
        <v>343</v>
      </c>
      <c r="E2486" s="41">
        <v>10130032</v>
      </c>
      <c r="F2486" s="85" t="s">
        <v>608</v>
      </c>
      <c r="G2486" s="39" t="s">
        <v>92</v>
      </c>
      <c r="H2486" s="52" t="s">
        <v>93</v>
      </c>
      <c r="I2486" s="52">
        <v>52.20000000000001</v>
      </c>
      <c r="J2486" s="49">
        <v>2244.6999999999998</v>
      </c>
      <c r="K2486" s="58">
        <v>46.8</v>
      </c>
      <c r="L2486" s="58">
        <v>2001.4500000000003</v>
      </c>
      <c r="M2486" s="58">
        <v>4.5</v>
      </c>
      <c r="N2486" s="58">
        <v>167.76</v>
      </c>
      <c r="O2486" s="58">
        <v>51.3</v>
      </c>
      <c r="P2486" s="53">
        <v>2169.21</v>
      </c>
      <c r="Q2486" s="65">
        <v>2169.21</v>
      </c>
      <c r="R2486" s="65">
        <v>0</v>
      </c>
      <c r="S2486" s="65">
        <v>0</v>
      </c>
      <c r="T2486" s="65">
        <v>0</v>
      </c>
      <c r="U2486" s="58">
        <v>0</v>
      </c>
      <c r="V2486" s="65">
        <v>500</v>
      </c>
      <c r="W2486" s="65">
        <v>0</v>
      </c>
      <c r="X2486" s="65">
        <v>1501</v>
      </c>
      <c r="Y2486" s="65">
        <v>168</v>
      </c>
      <c r="Z2486" s="51">
        <v>0</v>
      </c>
      <c r="AA2486" s="51">
        <v>76</v>
      </c>
      <c r="AB2486" s="102">
        <v>0</v>
      </c>
      <c r="AC2486" s="81">
        <f t="shared" si="117"/>
        <v>557.13281992337147</v>
      </c>
      <c r="AD2486" s="82">
        <f t="shared" si="118"/>
        <v>7.4571428571428582</v>
      </c>
      <c r="AE2486" s="218">
        <v>3.3630329219940212E-2</v>
      </c>
      <c r="AF2486">
        <v>2</v>
      </c>
      <c r="AH2486" t="str">
        <f t="shared" si="119"/>
        <v>Musrigharari</v>
      </c>
      <c r="AJ2486" s="72">
        <v>500</v>
      </c>
      <c r="AK2486" s="72"/>
      <c r="AL2486" s="72"/>
      <c r="AM2486" s="72"/>
    </row>
    <row r="2487" spans="1:39" x14ac:dyDescent="0.25">
      <c r="A2487" s="37" t="s">
        <v>62</v>
      </c>
      <c r="B2487" s="66" t="s">
        <v>1654</v>
      </c>
      <c r="C2487" s="41">
        <v>1013</v>
      </c>
      <c r="D2487" s="41" t="s">
        <v>343</v>
      </c>
      <c r="E2487" s="41">
        <v>10130040</v>
      </c>
      <c r="F2487" s="85" t="s">
        <v>358</v>
      </c>
      <c r="G2487" s="39" t="s">
        <v>1610</v>
      </c>
      <c r="H2487" s="52" t="s">
        <v>98</v>
      </c>
      <c r="I2487" s="52">
        <v>847.1</v>
      </c>
      <c r="J2487" s="49">
        <v>23632.29</v>
      </c>
      <c r="K2487" s="58">
        <v>0</v>
      </c>
      <c r="L2487" s="58">
        <v>0</v>
      </c>
      <c r="M2487" s="58">
        <v>0</v>
      </c>
      <c r="N2487" s="58">
        <v>0</v>
      </c>
      <c r="O2487" s="58">
        <v>0</v>
      </c>
      <c r="P2487" s="53">
        <v>0</v>
      </c>
      <c r="Q2487" s="65">
        <v>23632.29</v>
      </c>
      <c r="R2487" s="65">
        <v>0</v>
      </c>
      <c r="S2487" s="65">
        <v>0</v>
      </c>
      <c r="T2487" s="65">
        <v>0</v>
      </c>
      <c r="U2487" s="58">
        <v>0</v>
      </c>
      <c r="V2487" s="65">
        <v>0</v>
      </c>
      <c r="W2487" s="65">
        <v>0</v>
      </c>
      <c r="X2487" s="65">
        <v>0</v>
      </c>
      <c r="Y2487" s="65">
        <v>0</v>
      </c>
      <c r="Z2487" s="51">
        <v>23632.29</v>
      </c>
      <c r="AA2487" s="51">
        <v>0</v>
      </c>
      <c r="AB2487" s="102">
        <v>0</v>
      </c>
      <c r="AC2487" s="81">
        <f t="shared" si="117"/>
        <v>0</v>
      </c>
      <c r="AD2487" s="82">
        <f t="shared" si="118"/>
        <v>0</v>
      </c>
      <c r="AE2487" s="218">
        <v>0</v>
      </c>
      <c r="AF2487">
        <v>0</v>
      </c>
      <c r="AH2487" t="str">
        <f t="shared" si="119"/>
        <v>Musrigharari</v>
      </c>
      <c r="AJ2487" s="72">
        <v>0</v>
      </c>
      <c r="AK2487" s="72"/>
      <c r="AL2487" s="72"/>
      <c r="AM2487" s="72"/>
    </row>
    <row r="2488" spans="1:39" x14ac:dyDescent="0.25">
      <c r="A2488" s="37" t="s">
        <v>62</v>
      </c>
      <c r="B2488" s="66" t="s">
        <v>1654</v>
      </c>
      <c r="C2488" s="41">
        <v>1013</v>
      </c>
      <c r="D2488" s="41" t="s">
        <v>343</v>
      </c>
      <c r="E2488" s="41">
        <v>10130041</v>
      </c>
      <c r="F2488" s="85" t="s">
        <v>359</v>
      </c>
      <c r="G2488" s="39" t="s">
        <v>1610</v>
      </c>
      <c r="H2488" s="52" t="s">
        <v>98</v>
      </c>
      <c r="I2488" s="52">
        <v>24</v>
      </c>
      <c r="J2488" s="49">
        <v>934.94</v>
      </c>
      <c r="K2488" s="58">
        <v>0</v>
      </c>
      <c r="L2488" s="58">
        <v>0</v>
      </c>
      <c r="M2488" s="58">
        <v>0</v>
      </c>
      <c r="N2488" s="58">
        <v>0</v>
      </c>
      <c r="O2488" s="58">
        <v>0</v>
      </c>
      <c r="P2488" s="53">
        <v>0</v>
      </c>
      <c r="Q2488" s="65">
        <v>934.94</v>
      </c>
      <c r="R2488" s="65">
        <v>0</v>
      </c>
      <c r="S2488" s="65">
        <v>0</v>
      </c>
      <c r="T2488" s="65">
        <v>0</v>
      </c>
      <c r="U2488" s="58">
        <v>0</v>
      </c>
      <c r="V2488" s="65">
        <v>0</v>
      </c>
      <c r="W2488" s="65">
        <v>0</v>
      </c>
      <c r="X2488" s="65">
        <v>0</v>
      </c>
      <c r="Y2488" s="65">
        <v>0</v>
      </c>
      <c r="Z2488" s="51">
        <v>934.94</v>
      </c>
      <c r="AA2488" s="51">
        <v>0</v>
      </c>
      <c r="AB2488" s="102">
        <v>0</v>
      </c>
      <c r="AC2488" s="81">
        <f t="shared" si="117"/>
        <v>526.68286666666677</v>
      </c>
      <c r="AD2488" s="82">
        <f t="shared" si="118"/>
        <v>3.4285714285714284</v>
      </c>
      <c r="AE2488" s="218">
        <v>0</v>
      </c>
      <c r="AF2488">
        <v>0</v>
      </c>
      <c r="AH2488" t="str">
        <f t="shared" si="119"/>
        <v>Musrigharari</v>
      </c>
      <c r="AJ2488" s="72">
        <v>0</v>
      </c>
      <c r="AK2488" s="72"/>
      <c r="AL2488" s="72"/>
      <c r="AM2488" s="72"/>
    </row>
    <row r="2489" spans="1:39" x14ac:dyDescent="0.25">
      <c r="A2489" s="37" t="s">
        <v>62</v>
      </c>
      <c r="B2489" s="66" t="s">
        <v>1654</v>
      </c>
      <c r="C2489" s="41">
        <v>1013</v>
      </c>
      <c r="D2489" s="41" t="s">
        <v>343</v>
      </c>
      <c r="E2489" s="41">
        <v>10130042</v>
      </c>
      <c r="F2489" s="85" t="s">
        <v>360</v>
      </c>
      <c r="G2489" s="39" t="s">
        <v>1610</v>
      </c>
      <c r="H2489" s="52" t="s">
        <v>98</v>
      </c>
      <c r="I2489" s="52">
        <v>67.499999999999986</v>
      </c>
      <c r="J2489" s="49">
        <v>2450.85</v>
      </c>
      <c r="K2489" s="58">
        <v>0</v>
      </c>
      <c r="L2489" s="58">
        <v>0</v>
      </c>
      <c r="M2489" s="58">
        <v>0</v>
      </c>
      <c r="N2489" s="58">
        <v>0</v>
      </c>
      <c r="O2489" s="58">
        <v>0</v>
      </c>
      <c r="P2489" s="53">
        <v>0</v>
      </c>
      <c r="Q2489" s="65">
        <v>2450.85</v>
      </c>
      <c r="R2489" s="65">
        <v>0</v>
      </c>
      <c r="S2489" s="65">
        <v>0</v>
      </c>
      <c r="T2489" s="65">
        <v>0</v>
      </c>
      <c r="U2489" s="58">
        <v>0</v>
      </c>
      <c r="V2489" s="65">
        <v>0</v>
      </c>
      <c r="W2489" s="65">
        <v>0</v>
      </c>
      <c r="X2489" s="65">
        <v>0</v>
      </c>
      <c r="Y2489" s="65">
        <v>0</v>
      </c>
      <c r="Z2489" s="51">
        <v>2450.85</v>
      </c>
      <c r="AA2489" s="51">
        <v>0</v>
      </c>
      <c r="AB2489" s="102">
        <v>0</v>
      </c>
      <c r="AC2489" s="81">
        <f t="shared" si="117"/>
        <v>459.30744444444451</v>
      </c>
      <c r="AD2489" s="82">
        <f t="shared" si="118"/>
        <v>9.6428571428571406</v>
      </c>
      <c r="AE2489" s="218">
        <v>0</v>
      </c>
      <c r="AF2489">
        <v>0</v>
      </c>
      <c r="AH2489" t="str">
        <f t="shared" si="119"/>
        <v>Musrigharari</v>
      </c>
      <c r="AJ2489" s="72">
        <v>0</v>
      </c>
      <c r="AK2489" s="72"/>
      <c r="AL2489" s="72"/>
      <c r="AM2489" s="72"/>
    </row>
    <row r="2490" spans="1:39" x14ac:dyDescent="0.25">
      <c r="A2490" s="37" t="s">
        <v>62</v>
      </c>
      <c r="B2490" s="66" t="s">
        <v>1654</v>
      </c>
      <c r="C2490" s="41">
        <v>1013</v>
      </c>
      <c r="D2490" s="41" t="s">
        <v>343</v>
      </c>
      <c r="E2490" s="41">
        <v>10130044</v>
      </c>
      <c r="F2490" s="85" t="s">
        <v>361</v>
      </c>
      <c r="G2490" s="39" t="s">
        <v>92</v>
      </c>
      <c r="H2490" s="52" t="s">
        <v>98</v>
      </c>
      <c r="I2490" s="52">
        <v>2205.9</v>
      </c>
      <c r="J2490" s="49">
        <v>99338.810000000012</v>
      </c>
      <c r="K2490" s="58">
        <v>0</v>
      </c>
      <c r="L2490" s="58">
        <v>0</v>
      </c>
      <c r="M2490" s="58">
        <v>0</v>
      </c>
      <c r="N2490" s="58">
        <v>0</v>
      </c>
      <c r="O2490" s="58">
        <v>0</v>
      </c>
      <c r="P2490" s="53">
        <v>0</v>
      </c>
      <c r="Q2490" s="65">
        <v>99338.810000000012</v>
      </c>
      <c r="R2490" s="65">
        <v>0</v>
      </c>
      <c r="S2490" s="65">
        <v>0</v>
      </c>
      <c r="T2490" s="65">
        <v>0</v>
      </c>
      <c r="U2490" s="58">
        <v>0</v>
      </c>
      <c r="V2490" s="65">
        <v>0</v>
      </c>
      <c r="W2490" s="65">
        <v>0</v>
      </c>
      <c r="X2490" s="65">
        <v>0</v>
      </c>
      <c r="Y2490" s="65">
        <v>0</v>
      </c>
      <c r="Z2490" s="51">
        <v>99338.810000000012</v>
      </c>
      <c r="AA2490" s="51">
        <v>0</v>
      </c>
      <c r="AB2490" s="102">
        <v>0</v>
      </c>
      <c r="AC2490" s="81">
        <f t="shared" si="117"/>
        <v>0</v>
      </c>
      <c r="AD2490" s="82">
        <f t="shared" si="118"/>
        <v>0</v>
      </c>
      <c r="AE2490" s="218">
        <v>0</v>
      </c>
      <c r="AF2490">
        <v>0</v>
      </c>
      <c r="AH2490" t="str">
        <f t="shared" si="119"/>
        <v>Musrigharari</v>
      </c>
      <c r="AJ2490" s="72">
        <v>0</v>
      </c>
      <c r="AK2490" s="72"/>
      <c r="AL2490" s="72"/>
      <c r="AM2490" s="72"/>
    </row>
    <row r="2491" spans="1:39" x14ac:dyDescent="0.25">
      <c r="A2491" s="37" t="s">
        <v>62</v>
      </c>
      <c r="B2491" s="66" t="s">
        <v>1654</v>
      </c>
      <c r="C2491" s="41">
        <v>1013</v>
      </c>
      <c r="D2491" s="41" t="s">
        <v>343</v>
      </c>
      <c r="E2491" s="41">
        <v>10130046</v>
      </c>
      <c r="F2491" s="85" t="s">
        <v>362</v>
      </c>
      <c r="G2491" s="39" t="s">
        <v>92</v>
      </c>
      <c r="H2491" s="52" t="s">
        <v>93</v>
      </c>
      <c r="I2491" s="52">
        <v>319.79999999999995</v>
      </c>
      <c r="J2491" s="49">
        <v>14207.089999999998</v>
      </c>
      <c r="K2491" s="58">
        <v>233.01</v>
      </c>
      <c r="L2491" s="58">
        <v>10958.08</v>
      </c>
      <c r="M2491" s="58">
        <v>50.16</v>
      </c>
      <c r="N2491" s="58">
        <v>3282.8700000000003</v>
      </c>
      <c r="O2491" s="58">
        <v>283.16999999999996</v>
      </c>
      <c r="P2491" s="53">
        <v>14240.95</v>
      </c>
      <c r="Q2491" s="65">
        <v>14207.089999999998</v>
      </c>
      <c r="R2491" s="65">
        <v>0</v>
      </c>
      <c r="S2491" s="65">
        <v>0</v>
      </c>
      <c r="T2491" s="65">
        <v>33.860000000002401</v>
      </c>
      <c r="U2491" s="58">
        <v>2800</v>
      </c>
      <c r="V2491" s="65">
        <v>0</v>
      </c>
      <c r="W2491" s="65">
        <v>0</v>
      </c>
      <c r="X2491" s="65">
        <v>8124</v>
      </c>
      <c r="Y2491" s="65">
        <v>3283</v>
      </c>
      <c r="Z2491" s="51">
        <v>0</v>
      </c>
      <c r="AA2491" s="51">
        <v>0</v>
      </c>
      <c r="AB2491" s="102">
        <v>0</v>
      </c>
      <c r="AC2491" s="81">
        <f t="shared" si="117"/>
        <v>337.80710556597882</v>
      </c>
      <c r="AD2491" s="82">
        <f t="shared" si="118"/>
        <v>45.685714285714276</v>
      </c>
      <c r="AE2491" s="218">
        <v>-2.3833170621149302E-3</v>
      </c>
      <c r="AF2491">
        <v>9</v>
      </c>
      <c r="AH2491" t="str">
        <f t="shared" si="119"/>
        <v>Musrigharari</v>
      </c>
      <c r="AJ2491" s="72">
        <v>0</v>
      </c>
      <c r="AK2491" s="72"/>
      <c r="AL2491" s="72"/>
      <c r="AM2491" s="72"/>
    </row>
    <row r="2492" spans="1:39" x14ac:dyDescent="0.25">
      <c r="A2492" s="37" t="s">
        <v>62</v>
      </c>
      <c r="B2492" s="66" t="s">
        <v>1654</v>
      </c>
      <c r="C2492" s="41">
        <v>1013</v>
      </c>
      <c r="D2492" s="41" t="s">
        <v>343</v>
      </c>
      <c r="E2492" s="41">
        <v>10130047</v>
      </c>
      <c r="F2492" s="85" t="s">
        <v>363</v>
      </c>
      <c r="G2492" s="39" t="s">
        <v>92</v>
      </c>
      <c r="H2492" s="52" t="s">
        <v>93</v>
      </c>
      <c r="I2492" s="52">
        <v>249.3</v>
      </c>
      <c r="J2492" s="49">
        <v>9804.0099999999984</v>
      </c>
      <c r="K2492" s="58">
        <v>250.80999999999997</v>
      </c>
      <c r="L2492" s="58">
        <v>9777.98</v>
      </c>
      <c r="M2492" s="58">
        <v>2.21</v>
      </c>
      <c r="N2492" s="58">
        <v>83.759999999999991</v>
      </c>
      <c r="O2492" s="58">
        <v>253.01999999999998</v>
      </c>
      <c r="P2492" s="53">
        <v>9861.74</v>
      </c>
      <c r="Q2492" s="65">
        <v>9804.0099999999984</v>
      </c>
      <c r="R2492" s="65">
        <v>0</v>
      </c>
      <c r="S2492" s="65">
        <v>83.759999999999991</v>
      </c>
      <c r="T2492" s="65">
        <v>57.730000000001382</v>
      </c>
      <c r="U2492" s="58">
        <v>0</v>
      </c>
      <c r="V2492" s="65">
        <v>0</v>
      </c>
      <c r="W2492" s="65">
        <v>0</v>
      </c>
      <c r="X2492" s="65">
        <v>9720</v>
      </c>
      <c r="Y2492" s="65">
        <v>0</v>
      </c>
      <c r="Z2492" s="51">
        <v>0</v>
      </c>
      <c r="AA2492" s="51">
        <v>0</v>
      </c>
      <c r="AB2492" s="102">
        <v>0</v>
      </c>
      <c r="AC2492" s="81">
        <f t="shared" si="117"/>
        <v>354.48594520657832</v>
      </c>
      <c r="AD2492" s="82">
        <f t="shared" si="118"/>
        <v>35.614285714285714</v>
      </c>
      <c r="AE2492" s="218">
        <v>-5.8884068865700254E-3</v>
      </c>
      <c r="AF2492">
        <v>7</v>
      </c>
      <c r="AH2492" t="str">
        <f t="shared" si="119"/>
        <v>Musrigharari</v>
      </c>
      <c r="AJ2492" s="72">
        <v>0</v>
      </c>
      <c r="AK2492" s="72"/>
      <c r="AL2492" s="72"/>
      <c r="AM2492" s="72"/>
    </row>
    <row r="2493" spans="1:39" x14ac:dyDescent="0.25">
      <c r="A2493" s="37" t="s">
        <v>62</v>
      </c>
      <c r="B2493" s="66" t="s">
        <v>1654</v>
      </c>
      <c r="C2493" s="41">
        <v>1013</v>
      </c>
      <c r="D2493" s="41" t="s">
        <v>343</v>
      </c>
      <c r="E2493" s="41">
        <v>10130052</v>
      </c>
      <c r="F2493" s="85" t="s">
        <v>365</v>
      </c>
      <c r="G2493" s="39" t="s">
        <v>92</v>
      </c>
      <c r="H2493" s="52" t="s">
        <v>93</v>
      </c>
      <c r="I2493" s="52">
        <v>980.8</v>
      </c>
      <c r="J2493" s="49">
        <v>35705.18</v>
      </c>
      <c r="K2493" s="58">
        <v>822.7700000000001</v>
      </c>
      <c r="L2493" s="58">
        <v>30592.87</v>
      </c>
      <c r="M2493" s="58">
        <v>147.13</v>
      </c>
      <c r="N2493" s="58">
        <v>5109.6000000000004</v>
      </c>
      <c r="O2493" s="58">
        <v>969.90000000000009</v>
      </c>
      <c r="P2493" s="53">
        <v>35702.47</v>
      </c>
      <c r="Q2493" s="65">
        <v>35702.47</v>
      </c>
      <c r="R2493" s="65">
        <v>0</v>
      </c>
      <c r="S2493" s="65">
        <v>245.39000000000001</v>
      </c>
      <c r="T2493" s="65">
        <v>0</v>
      </c>
      <c r="U2493" s="58">
        <v>6200</v>
      </c>
      <c r="V2493" s="65">
        <v>0</v>
      </c>
      <c r="W2493" s="65">
        <v>0</v>
      </c>
      <c r="X2493" s="65">
        <v>24393</v>
      </c>
      <c r="Y2493" s="65">
        <v>4865</v>
      </c>
      <c r="Z2493" s="51">
        <v>0</v>
      </c>
      <c r="AA2493" s="51">
        <v>2</v>
      </c>
      <c r="AB2493" s="102">
        <v>0</v>
      </c>
      <c r="AC2493" s="81">
        <f t="shared" si="117"/>
        <v>0</v>
      </c>
      <c r="AD2493" s="82">
        <f t="shared" si="118"/>
        <v>0</v>
      </c>
      <c r="AE2493" s="218">
        <v>7.5899351298582644E-5</v>
      </c>
      <c r="AF2493">
        <v>25</v>
      </c>
      <c r="AH2493" t="str">
        <f t="shared" si="119"/>
        <v>Musrigharari</v>
      </c>
      <c r="AJ2493" s="72">
        <v>0</v>
      </c>
      <c r="AK2493" s="72"/>
      <c r="AL2493" s="72"/>
      <c r="AM2493" s="72"/>
    </row>
    <row r="2494" spans="1:39" x14ac:dyDescent="0.25">
      <c r="A2494" s="37" t="s">
        <v>62</v>
      </c>
      <c r="B2494" s="66" t="s">
        <v>1654</v>
      </c>
      <c r="C2494" s="41">
        <v>1013</v>
      </c>
      <c r="D2494" s="41" t="s">
        <v>343</v>
      </c>
      <c r="E2494" s="41">
        <v>10130054</v>
      </c>
      <c r="F2494" s="85" t="s">
        <v>366</v>
      </c>
      <c r="G2494" s="39" t="s">
        <v>92</v>
      </c>
      <c r="H2494" s="52" t="s">
        <v>93</v>
      </c>
      <c r="I2494" s="52">
        <v>736.5</v>
      </c>
      <c r="J2494" s="49">
        <v>30212.109999999993</v>
      </c>
      <c r="K2494" s="58">
        <v>217.23000000000002</v>
      </c>
      <c r="L2494" s="58">
        <v>10038.759999999998</v>
      </c>
      <c r="M2494" s="58">
        <v>520.79999999999995</v>
      </c>
      <c r="N2494" s="58">
        <v>20168.760000000002</v>
      </c>
      <c r="O2494" s="58">
        <v>738.03</v>
      </c>
      <c r="P2494" s="53">
        <v>30207.52</v>
      </c>
      <c r="Q2494" s="65">
        <v>30207.52</v>
      </c>
      <c r="R2494" s="65">
        <v>0</v>
      </c>
      <c r="S2494" s="65">
        <v>0</v>
      </c>
      <c r="T2494" s="65">
        <v>0</v>
      </c>
      <c r="U2494" s="58">
        <v>0</v>
      </c>
      <c r="V2494" s="65">
        <v>0</v>
      </c>
      <c r="W2494" s="65">
        <v>0</v>
      </c>
      <c r="X2494" s="65">
        <v>10039</v>
      </c>
      <c r="Y2494" s="65">
        <v>20168</v>
      </c>
      <c r="Z2494" s="51">
        <v>0</v>
      </c>
      <c r="AA2494" s="51">
        <v>5</v>
      </c>
      <c r="AB2494" s="102">
        <v>0</v>
      </c>
      <c r="AC2494" s="81">
        <f t="shared" ref="AC2494:AC2557" si="120">((IF(AD2494=0,0,100-AD2494))*7*(J2494/I2494))*2%</f>
        <v>0</v>
      </c>
      <c r="AD2494" s="82">
        <f t="shared" ref="AD2494:AD2557" si="121">IF((I2494/7)&gt;100,0,(I2494/7))</f>
        <v>0</v>
      </c>
      <c r="AE2494" s="218">
        <v>1.519258337134636E-4</v>
      </c>
      <c r="AF2494">
        <v>15</v>
      </c>
      <c r="AH2494" t="str">
        <f t="shared" si="119"/>
        <v>Musrigharari</v>
      </c>
      <c r="AJ2494" s="72">
        <v>0</v>
      </c>
      <c r="AK2494" s="72"/>
      <c r="AL2494" s="72"/>
      <c r="AM2494" s="72"/>
    </row>
    <row r="2495" spans="1:39" x14ac:dyDescent="0.25">
      <c r="A2495" s="37" t="s">
        <v>62</v>
      </c>
      <c r="B2495" s="66" t="s">
        <v>1654</v>
      </c>
      <c r="C2495" s="41">
        <v>1013</v>
      </c>
      <c r="D2495" s="41" t="s">
        <v>343</v>
      </c>
      <c r="E2495" s="41">
        <v>10130058</v>
      </c>
      <c r="F2495" s="85" t="s">
        <v>367</v>
      </c>
      <c r="G2495" s="39" t="s">
        <v>1610</v>
      </c>
      <c r="H2495" s="52" t="s">
        <v>98</v>
      </c>
      <c r="I2495" s="52">
        <v>1475.1</v>
      </c>
      <c r="J2495" s="49">
        <v>49931.999999999993</v>
      </c>
      <c r="K2495" s="58">
        <v>0</v>
      </c>
      <c r="L2495" s="58">
        <v>0</v>
      </c>
      <c r="M2495" s="58">
        <v>0</v>
      </c>
      <c r="N2495" s="58">
        <v>0</v>
      </c>
      <c r="O2495" s="58">
        <v>0</v>
      </c>
      <c r="P2495" s="53">
        <v>0</v>
      </c>
      <c r="Q2495" s="65">
        <v>49931.999999999993</v>
      </c>
      <c r="R2495" s="65">
        <v>0</v>
      </c>
      <c r="S2495" s="65">
        <v>0</v>
      </c>
      <c r="T2495" s="65">
        <v>0</v>
      </c>
      <c r="U2495" s="58">
        <v>0</v>
      </c>
      <c r="V2495" s="65">
        <v>0</v>
      </c>
      <c r="W2495" s="65">
        <v>0</v>
      </c>
      <c r="X2495" s="65">
        <v>0</v>
      </c>
      <c r="Y2495" s="65">
        <v>0</v>
      </c>
      <c r="Z2495" s="51">
        <v>49931.999999999993</v>
      </c>
      <c r="AA2495" s="51">
        <v>0</v>
      </c>
      <c r="AB2495" s="102">
        <v>0</v>
      </c>
      <c r="AC2495" s="81">
        <f t="shared" si="120"/>
        <v>0</v>
      </c>
      <c r="AD2495" s="82">
        <f t="shared" si="121"/>
        <v>0</v>
      </c>
      <c r="AE2495" s="218">
        <v>0</v>
      </c>
      <c r="AF2495">
        <v>0</v>
      </c>
      <c r="AH2495" t="str">
        <f t="shared" si="119"/>
        <v>Musrigharari</v>
      </c>
      <c r="AJ2495" s="72">
        <v>0</v>
      </c>
      <c r="AK2495" s="72"/>
      <c r="AL2495" s="72"/>
      <c r="AM2495" s="72"/>
    </row>
    <row r="2496" spans="1:39" x14ac:dyDescent="0.25">
      <c r="A2496" s="37" t="s">
        <v>62</v>
      </c>
      <c r="B2496" s="66" t="s">
        <v>1654</v>
      </c>
      <c r="C2496" s="41">
        <v>1013</v>
      </c>
      <c r="D2496" s="41" t="s">
        <v>343</v>
      </c>
      <c r="E2496" s="41">
        <v>10130061</v>
      </c>
      <c r="F2496" s="85" t="s">
        <v>1568</v>
      </c>
      <c r="G2496" s="39" t="s">
        <v>1610</v>
      </c>
      <c r="H2496" s="52" t="s">
        <v>98</v>
      </c>
      <c r="I2496" s="52">
        <v>696.3</v>
      </c>
      <c r="J2496" s="49">
        <v>28213.14</v>
      </c>
      <c r="K2496" s="58">
        <v>0</v>
      </c>
      <c r="L2496" s="58">
        <v>0</v>
      </c>
      <c r="M2496" s="58">
        <v>0</v>
      </c>
      <c r="N2496" s="58">
        <v>0</v>
      </c>
      <c r="O2496" s="58">
        <v>0</v>
      </c>
      <c r="P2496" s="53">
        <v>0</v>
      </c>
      <c r="Q2496" s="65">
        <v>28213.14</v>
      </c>
      <c r="R2496" s="65">
        <v>0</v>
      </c>
      <c r="S2496" s="65">
        <v>0</v>
      </c>
      <c r="T2496" s="65">
        <v>0</v>
      </c>
      <c r="U2496" s="58">
        <v>0</v>
      </c>
      <c r="V2496" s="65">
        <v>0</v>
      </c>
      <c r="W2496" s="65">
        <v>0</v>
      </c>
      <c r="X2496" s="65">
        <v>0</v>
      </c>
      <c r="Y2496" s="65">
        <v>0</v>
      </c>
      <c r="Z2496" s="51">
        <v>28213.14</v>
      </c>
      <c r="AA2496" s="51">
        <v>0</v>
      </c>
      <c r="AB2496" s="102">
        <v>0</v>
      </c>
      <c r="AC2496" s="81">
        <f t="shared" si="120"/>
        <v>2.9983805256355622</v>
      </c>
      <c r="AD2496" s="82">
        <f t="shared" si="121"/>
        <v>99.471428571428561</v>
      </c>
      <c r="AE2496" s="218">
        <v>0</v>
      </c>
      <c r="AF2496">
        <v>0</v>
      </c>
      <c r="AH2496" t="str">
        <f t="shared" si="119"/>
        <v>Musrigharari</v>
      </c>
      <c r="AJ2496" s="72">
        <v>0</v>
      </c>
      <c r="AK2496" s="72"/>
      <c r="AL2496" s="72"/>
      <c r="AM2496" s="72"/>
    </row>
    <row r="2497" spans="1:39" x14ac:dyDescent="0.25">
      <c r="A2497" s="37" t="s">
        <v>62</v>
      </c>
      <c r="B2497" s="66" t="s">
        <v>1654</v>
      </c>
      <c r="C2497" s="41">
        <v>1013</v>
      </c>
      <c r="D2497" s="41" t="s">
        <v>343</v>
      </c>
      <c r="E2497" s="41">
        <v>10130065</v>
      </c>
      <c r="F2497" s="85" t="s">
        <v>417</v>
      </c>
      <c r="G2497" s="39" t="s">
        <v>1610</v>
      </c>
      <c r="H2497" s="52" t="s">
        <v>98</v>
      </c>
      <c r="I2497" s="52">
        <v>551.6</v>
      </c>
      <c r="J2497" s="49">
        <v>22046.9</v>
      </c>
      <c r="K2497" s="58">
        <v>0</v>
      </c>
      <c r="L2497" s="58">
        <v>0</v>
      </c>
      <c r="M2497" s="58">
        <v>0</v>
      </c>
      <c r="N2497" s="58">
        <v>0</v>
      </c>
      <c r="O2497" s="58">
        <v>0</v>
      </c>
      <c r="P2497" s="53">
        <v>0</v>
      </c>
      <c r="Q2497" s="65">
        <v>22046.9</v>
      </c>
      <c r="R2497" s="65">
        <v>0</v>
      </c>
      <c r="S2497" s="65">
        <v>0</v>
      </c>
      <c r="T2497" s="65">
        <v>0</v>
      </c>
      <c r="U2497" s="58">
        <v>0</v>
      </c>
      <c r="V2497" s="65">
        <v>0</v>
      </c>
      <c r="W2497" s="65">
        <v>0</v>
      </c>
      <c r="X2497" s="65">
        <v>0</v>
      </c>
      <c r="Y2497" s="65">
        <v>0</v>
      </c>
      <c r="Z2497" s="51">
        <v>22046.9</v>
      </c>
      <c r="AA2497" s="51">
        <v>0</v>
      </c>
      <c r="AB2497" s="102">
        <v>0</v>
      </c>
      <c r="AC2497" s="81">
        <f t="shared" si="120"/>
        <v>118.62798984771577</v>
      </c>
      <c r="AD2497" s="82">
        <f t="shared" si="121"/>
        <v>78.8</v>
      </c>
      <c r="AE2497" s="218">
        <v>0</v>
      </c>
      <c r="AF2497">
        <v>0</v>
      </c>
      <c r="AH2497" t="str">
        <f t="shared" si="119"/>
        <v>Musrigharari</v>
      </c>
      <c r="AJ2497" s="72">
        <v>0</v>
      </c>
      <c r="AK2497" s="72"/>
      <c r="AL2497" s="72"/>
      <c r="AM2497" s="72"/>
    </row>
    <row r="2498" spans="1:39" x14ac:dyDescent="0.25">
      <c r="A2498" s="37" t="s">
        <v>62</v>
      </c>
      <c r="B2498" s="66" t="s">
        <v>1654</v>
      </c>
      <c r="C2498" s="41">
        <v>1013</v>
      </c>
      <c r="D2498" s="41" t="s">
        <v>343</v>
      </c>
      <c r="E2498" s="41">
        <v>10130073</v>
      </c>
      <c r="F2498" s="85" t="s">
        <v>1602</v>
      </c>
      <c r="G2498" s="39" t="s">
        <v>92</v>
      </c>
      <c r="H2498" s="52" t="s">
        <v>93</v>
      </c>
      <c r="I2498" s="52">
        <v>742.7</v>
      </c>
      <c r="J2498" s="49">
        <v>27619.759999999998</v>
      </c>
      <c r="K2498" s="58">
        <v>412.46999999999997</v>
      </c>
      <c r="L2498" s="58">
        <v>14941.439999999999</v>
      </c>
      <c r="M2498" s="58">
        <v>325.62</v>
      </c>
      <c r="N2498" s="58">
        <v>12667.9</v>
      </c>
      <c r="O2498" s="58">
        <v>738.08999999999992</v>
      </c>
      <c r="P2498" s="53">
        <v>27609.339999999997</v>
      </c>
      <c r="Q2498" s="65">
        <v>27609.339999999997</v>
      </c>
      <c r="R2498" s="65">
        <v>0</v>
      </c>
      <c r="S2498" s="65">
        <v>30.1</v>
      </c>
      <c r="T2498" s="65">
        <v>0</v>
      </c>
      <c r="U2498" s="58">
        <v>1550</v>
      </c>
      <c r="V2498" s="65">
        <v>0</v>
      </c>
      <c r="W2498" s="65">
        <v>0</v>
      </c>
      <c r="X2498" s="65">
        <v>13392</v>
      </c>
      <c r="Y2498" s="65">
        <v>12638</v>
      </c>
      <c r="Z2498" s="51">
        <v>0</v>
      </c>
      <c r="AA2498" s="51">
        <v>10</v>
      </c>
      <c r="AB2498" s="102">
        <v>0</v>
      </c>
      <c r="AC2498" s="81">
        <f t="shared" si="120"/>
        <v>0</v>
      </c>
      <c r="AD2498" s="82">
        <f t="shared" si="121"/>
        <v>0</v>
      </c>
      <c r="AE2498" s="218">
        <v>3.7726613120468434E-4</v>
      </c>
      <c r="AF2498">
        <v>18</v>
      </c>
      <c r="AH2498" t="str">
        <f t="shared" si="119"/>
        <v>Musrigharari</v>
      </c>
      <c r="AJ2498" s="72">
        <v>0</v>
      </c>
      <c r="AK2498" s="72"/>
      <c r="AL2498" s="72"/>
      <c r="AM2498" s="72"/>
    </row>
    <row r="2499" spans="1:39" x14ac:dyDescent="0.25">
      <c r="A2499" s="37" t="s">
        <v>62</v>
      </c>
      <c r="B2499" s="66" t="s">
        <v>1654</v>
      </c>
      <c r="C2499" s="41">
        <v>1013</v>
      </c>
      <c r="D2499" s="41" t="s">
        <v>343</v>
      </c>
      <c r="E2499" s="41">
        <v>10130074</v>
      </c>
      <c r="F2499" s="85" t="s">
        <v>452</v>
      </c>
      <c r="G2499" s="39" t="s">
        <v>92</v>
      </c>
      <c r="H2499" s="52" t="s">
        <v>93</v>
      </c>
      <c r="I2499" s="52">
        <v>224.29999999999998</v>
      </c>
      <c r="J2499" s="49">
        <v>8703.9600000000009</v>
      </c>
      <c r="K2499" s="58">
        <v>104.17</v>
      </c>
      <c r="L2499" s="58">
        <v>4167.74</v>
      </c>
      <c r="M2499" s="58">
        <v>125.17</v>
      </c>
      <c r="N2499" s="58">
        <v>4451.68</v>
      </c>
      <c r="O2499" s="58">
        <v>229.34</v>
      </c>
      <c r="P2499" s="53">
        <v>8619.42</v>
      </c>
      <c r="Q2499" s="65">
        <v>8619.42</v>
      </c>
      <c r="R2499" s="65">
        <v>0</v>
      </c>
      <c r="S2499" s="65">
        <v>160.76999999999998</v>
      </c>
      <c r="T2499" s="65">
        <v>0</v>
      </c>
      <c r="U2499" s="58">
        <v>0</v>
      </c>
      <c r="V2499" s="65">
        <v>0</v>
      </c>
      <c r="W2499" s="65">
        <v>0</v>
      </c>
      <c r="X2499" s="65">
        <v>4168</v>
      </c>
      <c r="Y2499" s="65">
        <v>4291</v>
      </c>
      <c r="Z2499" s="51">
        <v>0</v>
      </c>
      <c r="AA2499" s="51">
        <v>84</v>
      </c>
      <c r="AB2499" s="102">
        <v>0</v>
      </c>
      <c r="AC2499" s="81">
        <f t="shared" si="120"/>
        <v>369.19070637539016</v>
      </c>
      <c r="AD2499" s="82">
        <f t="shared" si="121"/>
        <v>32.042857142857137</v>
      </c>
      <c r="AE2499" s="218">
        <v>9.7128203714172481E-3</v>
      </c>
      <c r="AF2499">
        <v>10</v>
      </c>
      <c r="AH2499" t="str">
        <f t="shared" si="119"/>
        <v>Musrigharari</v>
      </c>
      <c r="AJ2499" s="72">
        <v>0</v>
      </c>
      <c r="AK2499" s="72"/>
      <c r="AL2499" s="72"/>
      <c r="AM2499" s="72"/>
    </row>
    <row r="2500" spans="1:39" x14ac:dyDescent="0.25">
      <c r="A2500" s="37" t="s">
        <v>62</v>
      </c>
      <c r="B2500" s="66" t="s">
        <v>1654</v>
      </c>
      <c r="C2500" s="41">
        <v>1013</v>
      </c>
      <c r="D2500" s="41" t="s">
        <v>343</v>
      </c>
      <c r="E2500" s="41">
        <v>10130077</v>
      </c>
      <c r="F2500" s="85" t="s">
        <v>479</v>
      </c>
      <c r="G2500" s="39" t="s">
        <v>92</v>
      </c>
      <c r="H2500" s="52" t="s">
        <v>93</v>
      </c>
      <c r="I2500" s="52">
        <v>356.20000000000005</v>
      </c>
      <c r="J2500" s="49">
        <v>13068.320000000002</v>
      </c>
      <c r="K2500" s="58">
        <v>302.36</v>
      </c>
      <c r="L2500" s="58">
        <v>10514.49</v>
      </c>
      <c r="M2500" s="58">
        <v>63.050000000000004</v>
      </c>
      <c r="N2500" s="58">
        <v>2544.2799999999997</v>
      </c>
      <c r="O2500" s="58">
        <v>365.41</v>
      </c>
      <c r="P2500" s="53">
        <v>13058.77</v>
      </c>
      <c r="Q2500" s="65">
        <v>13058.77</v>
      </c>
      <c r="R2500" s="65">
        <v>0</v>
      </c>
      <c r="S2500" s="65">
        <v>50.850000000000009</v>
      </c>
      <c r="T2500" s="65">
        <v>0</v>
      </c>
      <c r="U2500" s="58">
        <v>0</v>
      </c>
      <c r="V2500" s="65">
        <v>500</v>
      </c>
      <c r="W2500" s="65">
        <v>0</v>
      </c>
      <c r="X2500" s="65">
        <v>10015</v>
      </c>
      <c r="Y2500" s="65">
        <v>2494</v>
      </c>
      <c r="Z2500" s="51">
        <v>0</v>
      </c>
      <c r="AA2500" s="51">
        <v>8</v>
      </c>
      <c r="AB2500" s="102">
        <v>0</v>
      </c>
      <c r="AC2500" s="81">
        <f t="shared" si="120"/>
        <v>252.26773812464904</v>
      </c>
      <c r="AD2500" s="82">
        <f t="shared" si="121"/>
        <v>50.885714285714293</v>
      </c>
      <c r="AE2500" s="218">
        <v>7.3077488154568379E-4</v>
      </c>
      <c r="AF2500">
        <v>8</v>
      </c>
      <c r="AH2500" t="str">
        <f t="shared" ref="AH2500:AH2561" si="122">TEXT(D2500,"0000")</f>
        <v>Musrigharari</v>
      </c>
      <c r="AJ2500" s="72">
        <v>500</v>
      </c>
      <c r="AK2500" s="72"/>
      <c r="AL2500" s="72"/>
      <c r="AM2500" s="72"/>
    </row>
    <row r="2501" spans="1:39" x14ac:dyDescent="0.25">
      <c r="A2501" s="37" t="s">
        <v>62</v>
      </c>
      <c r="B2501" s="66" t="s">
        <v>1654</v>
      </c>
      <c r="C2501" s="41">
        <v>1013</v>
      </c>
      <c r="D2501" s="41" t="s">
        <v>343</v>
      </c>
      <c r="E2501" s="41">
        <v>10130080</v>
      </c>
      <c r="F2501" s="85" t="s">
        <v>481</v>
      </c>
      <c r="G2501" s="39" t="s">
        <v>1610</v>
      </c>
      <c r="H2501" s="52" t="s">
        <v>98</v>
      </c>
      <c r="I2501" s="52">
        <v>35</v>
      </c>
      <c r="J2501" s="49">
        <v>1629.8999999999999</v>
      </c>
      <c r="K2501" s="58">
        <v>0</v>
      </c>
      <c r="L2501" s="58">
        <v>0</v>
      </c>
      <c r="M2501" s="58">
        <v>0</v>
      </c>
      <c r="N2501" s="58">
        <v>0</v>
      </c>
      <c r="O2501" s="58">
        <v>0</v>
      </c>
      <c r="P2501" s="53">
        <v>0</v>
      </c>
      <c r="Q2501" s="65">
        <v>1629.8999999999999</v>
      </c>
      <c r="R2501" s="65">
        <v>0</v>
      </c>
      <c r="S2501" s="65">
        <v>0</v>
      </c>
      <c r="T2501" s="65">
        <v>0</v>
      </c>
      <c r="U2501" s="58">
        <v>0</v>
      </c>
      <c r="V2501" s="65">
        <v>0</v>
      </c>
      <c r="W2501" s="65">
        <v>0</v>
      </c>
      <c r="X2501" s="65">
        <v>0</v>
      </c>
      <c r="Y2501" s="65">
        <v>0</v>
      </c>
      <c r="Z2501" s="51">
        <v>1629.8999999999999</v>
      </c>
      <c r="AA2501" s="51">
        <v>0</v>
      </c>
      <c r="AB2501" s="102">
        <v>0</v>
      </c>
      <c r="AC2501" s="81">
        <f t="shared" si="120"/>
        <v>619.36199999999997</v>
      </c>
      <c r="AD2501" s="82">
        <f t="shared" si="121"/>
        <v>5</v>
      </c>
      <c r="AE2501" s="218">
        <v>0</v>
      </c>
      <c r="AF2501">
        <v>0</v>
      </c>
      <c r="AH2501" t="str">
        <f t="shared" si="122"/>
        <v>Musrigharari</v>
      </c>
      <c r="AJ2501" s="72">
        <v>0</v>
      </c>
      <c r="AK2501" s="72"/>
      <c r="AL2501" s="72"/>
      <c r="AM2501" s="72"/>
    </row>
    <row r="2502" spans="1:39" x14ac:dyDescent="0.25">
      <c r="A2502" s="37" t="s">
        <v>62</v>
      </c>
      <c r="B2502" s="66" t="s">
        <v>1654</v>
      </c>
      <c r="C2502" s="41">
        <v>1013</v>
      </c>
      <c r="D2502" s="41" t="s">
        <v>343</v>
      </c>
      <c r="E2502" s="41">
        <v>10130081</v>
      </c>
      <c r="F2502" s="85" t="s">
        <v>1235</v>
      </c>
      <c r="G2502" s="39" t="s">
        <v>1610</v>
      </c>
      <c r="H2502" s="52" t="s">
        <v>98</v>
      </c>
      <c r="I2502" s="52">
        <v>92.5</v>
      </c>
      <c r="J2502" s="49">
        <v>3474.6899999999996</v>
      </c>
      <c r="K2502" s="58">
        <v>0</v>
      </c>
      <c r="L2502" s="58">
        <v>0</v>
      </c>
      <c r="M2502" s="58">
        <v>0</v>
      </c>
      <c r="N2502" s="58">
        <v>0</v>
      </c>
      <c r="O2502" s="58">
        <v>0</v>
      </c>
      <c r="P2502" s="53">
        <v>0</v>
      </c>
      <c r="Q2502" s="65">
        <v>3474.6899999999996</v>
      </c>
      <c r="R2502" s="65">
        <v>0</v>
      </c>
      <c r="S2502" s="65">
        <v>0</v>
      </c>
      <c r="T2502" s="65">
        <v>0</v>
      </c>
      <c r="U2502" s="58">
        <v>0</v>
      </c>
      <c r="V2502" s="65">
        <v>0</v>
      </c>
      <c r="W2502" s="65">
        <v>0</v>
      </c>
      <c r="X2502" s="65">
        <v>0</v>
      </c>
      <c r="Y2502" s="65">
        <v>0</v>
      </c>
      <c r="Z2502" s="51">
        <v>3474.6899999999996</v>
      </c>
      <c r="AA2502" s="51">
        <v>0</v>
      </c>
      <c r="AB2502" s="102">
        <v>0</v>
      </c>
      <c r="AC2502" s="81">
        <f t="shared" si="120"/>
        <v>456.40522702702691</v>
      </c>
      <c r="AD2502" s="82">
        <f t="shared" si="121"/>
        <v>13.214285714285714</v>
      </c>
      <c r="AE2502" s="218">
        <v>0</v>
      </c>
      <c r="AF2502">
        <v>0</v>
      </c>
      <c r="AH2502" t="str">
        <f t="shared" si="122"/>
        <v>Musrigharari</v>
      </c>
      <c r="AJ2502" s="72">
        <v>0</v>
      </c>
      <c r="AK2502" s="72"/>
      <c r="AL2502" s="72"/>
      <c r="AM2502" s="72"/>
    </row>
    <row r="2503" spans="1:39" x14ac:dyDescent="0.25">
      <c r="A2503" s="37" t="s">
        <v>62</v>
      </c>
      <c r="B2503" s="66" t="s">
        <v>1654</v>
      </c>
      <c r="C2503" s="41">
        <v>1013</v>
      </c>
      <c r="D2503" s="41" t="s">
        <v>343</v>
      </c>
      <c r="E2503" s="41">
        <v>10130083</v>
      </c>
      <c r="F2503" s="85" t="s">
        <v>488</v>
      </c>
      <c r="G2503" s="39" t="s">
        <v>1610</v>
      </c>
      <c r="H2503" s="52" t="s">
        <v>98</v>
      </c>
      <c r="I2503" s="52">
        <v>1171.5000000000002</v>
      </c>
      <c r="J2503" s="49">
        <v>37534.14</v>
      </c>
      <c r="K2503" s="58">
        <v>0</v>
      </c>
      <c r="L2503" s="58">
        <v>0</v>
      </c>
      <c r="M2503" s="58">
        <v>0</v>
      </c>
      <c r="N2503" s="58">
        <v>0</v>
      </c>
      <c r="O2503" s="58">
        <v>0</v>
      </c>
      <c r="P2503" s="53">
        <v>0</v>
      </c>
      <c r="Q2503" s="65">
        <v>37534.14</v>
      </c>
      <c r="R2503" s="65">
        <v>0</v>
      </c>
      <c r="S2503" s="65">
        <v>0</v>
      </c>
      <c r="T2503" s="65">
        <v>0</v>
      </c>
      <c r="U2503" s="58">
        <v>0</v>
      </c>
      <c r="V2503" s="65">
        <v>0</v>
      </c>
      <c r="W2503" s="65">
        <v>0</v>
      </c>
      <c r="X2503" s="65">
        <v>0</v>
      </c>
      <c r="Y2503" s="65">
        <v>0</v>
      </c>
      <c r="Z2503" s="51">
        <v>37534.14</v>
      </c>
      <c r="AA2503" s="51">
        <v>0</v>
      </c>
      <c r="AB2503" s="102">
        <v>0</v>
      </c>
      <c r="AC2503" s="81">
        <f t="shared" si="120"/>
        <v>0</v>
      </c>
      <c r="AD2503" s="82">
        <f t="shared" si="121"/>
        <v>0</v>
      </c>
      <c r="AE2503" s="218">
        <v>0</v>
      </c>
      <c r="AF2503">
        <v>0</v>
      </c>
      <c r="AH2503" t="str">
        <f t="shared" si="122"/>
        <v>Musrigharari</v>
      </c>
      <c r="AJ2503" s="72">
        <v>0</v>
      </c>
      <c r="AK2503" s="72"/>
      <c r="AL2503" s="72"/>
      <c r="AM2503" s="72"/>
    </row>
    <row r="2504" spans="1:39" x14ac:dyDescent="0.25">
      <c r="A2504" s="37" t="s">
        <v>62</v>
      </c>
      <c r="B2504" s="66" t="s">
        <v>1654</v>
      </c>
      <c r="C2504" s="41">
        <v>1013</v>
      </c>
      <c r="D2504" s="41" t="s">
        <v>343</v>
      </c>
      <c r="E2504" s="41">
        <v>10130088</v>
      </c>
      <c r="F2504" s="85" t="s">
        <v>1251</v>
      </c>
      <c r="G2504" s="39" t="s">
        <v>1610</v>
      </c>
      <c r="H2504" s="52" t="s">
        <v>98</v>
      </c>
      <c r="I2504" s="52">
        <v>272.60000000000002</v>
      </c>
      <c r="J2504" s="49">
        <v>9366.93</v>
      </c>
      <c r="K2504" s="58">
        <v>0</v>
      </c>
      <c r="L2504" s="58">
        <v>0</v>
      </c>
      <c r="M2504" s="58">
        <v>0</v>
      </c>
      <c r="N2504" s="58">
        <v>0</v>
      </c>
      <c r="O2504" s="58">
        <v>0</v>
      </c>
      <c r="P2504" s="53">
        <v>0</v>
      </c>
      <c r="Q2504" s="65">
        <v>9366.93</v>
      </c>
      <c r="R2504" s="65">
        <v>0</v>
      </c>
      <c r="S2504" s="65">
        <v>0</v>
      </c>
      <c r="T2504" s="65">
        <v>0</v>
      </c>
      <c r="U2504" s="58">
        <v>1400</v>
      </c>
      <c r="V2504" s="65">
        <v>0</v>
      </c>
      <c r="W2504" s="65">
        <v>0</v>
      </c>
      <c r="X2504" s="65">
        <v>0</v>
      </c>
      <c r="Y2504" s="65">
        <v>0</v>
      </c>
      <c r="Z2504" s="51">
        <v>7966.93</v>
      </c>
      <c r="AA2504" s="51">
        <v>0</v>
      </c>
      <c r="AB2504" s="102">
        <v>0</v>
      </c>
      <c r="AC2504" s="81">
        <f t="shared" si="120"/>
        <v>293.72163477622888</v>
      </c>
      <c r="AD2504" s="82">
        <f t="shared" si="121"/>
        <v>38.942857142857143</v>
      </c>
      <c r="AE2504" s="218">
        <v>0</v>
      </c>
      <c r="AF2504">
        <v>0</v>
      </c>
      <c r="AH2504" t="str">
        <f t="shared" si="122"/>
        <v>Musrigharari</v>
      </c>
      <c r="AJ2504" s="72">
        <v>0</v>
      </c>
      <c r="AK2504" s="72"/>
      <c r="AL2504" s="72"/>
      <c r="AM2504" s="72"/>
    </row>
    <row r="2505" spans="1:39" x14ac:dyDescent="0.25">
      <c r="A2505" s="37" t="s">
        <v>62</v>
      </c>
      <c r="B2505" s="66" t="s">
        <v>1654</v>
      </c>
      <c r="C2505" s="41">
        <v>1013</v>
      </c>
      <c r="D2505" s="41" t="s">
        <v>343</v>
      </c>
      <c r="E2505" s="41">
        <v>10130090</v>
      </c>
      <c r="F2505" s="85" t="s">
        <v>1560</v>
      </c>
      <c r="G2505" s="39" t="s">
        <v>92</v>
      </c>
      <c r="H2505" s="52" t="s">
        <v>93</v>
      </c>
      <c r="I2505" s="52">
        <v>22.4</v>
      </c>
      <c r="J2505" s="49">
        <v>853.46</v>
      </c>
      <c r="K2505" s="58">
        <v>22.299999999999997</v>
      </c>
      <c r="L2505" s="58">
        <v>851.71</v>
      </c>
      <c r="M2505" s="58">
        <v>0</v>
      </c>
      <c r="N2505" s="58">
        <v>0</v>
      </c>
      <c r="O2505" s="58">
        <v>22.299999999999997</v>
      </c>
      <c r="P2505" s="53">
        <v>851.71</v>
      </c>
      <c r="Q2505" s="65">
        <v>851.71</v>
      </c>
      <c r="R2505" s="65">
        <v>0</v>
      </c>
      <c r="S2505" s="65">
        <v>0</v>
      </c>
      <c r="T2505" s="65">
        <v>0</v>
      </c>
      <c r="U2505" s="58">
        <v>0</v>
      </c>
      <c r="V2505" s="65">
        <v>0</v>
      </c>
      <c r="W2505" s="65">
        <v>0</v>
      </c>
      <c r="X2505" s="65">
        <v>852</v>
      </c>
      <c r="Y2505" s="65">
        <v>0</v>
      </c>
      <c r="Z2505" s="51">
        <v>0</v>
      </c>
      <c r="AA2505" s="51">
        <v>1</v>
      </c>
      <c r="AB2505" s="102">
        <v>0</v>
      </c>
      <c r="AC2505" s="81">
        <f t="shared" si="120"/>
        <v>516.3433</v>
      </c>
      <c r="AD2505" s="82">
        <f t="shared" si="121"/>
        <v>3.1999999999999997</v>
      </c>
      <c r="AE2505" s="218">
        <v>2.0504768823377778E-3</v>
      </c>
      <c r="AF2505">
        <v>1</v>
      </c>
      <c r="AH2505" t="str">
        <f t="shared" si="122"/>
        <v>Musrigharari</v>
      </c>
      <c r="AJ2505" s="72">
        <v>0</v>
      </c>
      <c r="AK2505" s="72"/>
      <c r="AL2505" s="72"/>
      <c r="AM2505" s="72"/>
    </row>
    <row r="2506" spans="1:39" x14ac:dyDescent="0.25">
      <c r="A2506" s="37" t="s">
        <v>62</v>
      </c>
      <c r="B2506" s="66" t="s">
        <v>1654</v>
      </c>
      <c r="C2506" s="41">
        <v>1013</v>
      </c>
      <c r="D2506" s="41" t="s">
        <v>343</v>
      </c>
      <c r="E2506" s="41">
        <v>10130093</v>
      </c>
      <c r="F2506" s="85" t="s">
        <v>561</v>
      </c>
      <c r="G2506" s="39" t="s">
        <v>92</v>
      </c>
      <c r="H2506" s="52" t="s">
        <v>93</v>
      </c>
      <c r="I2506" s="52">
        <v>238.9</v>
      </c>
      <c r="J2506" s="49">
        <v>10431.32</v>
      </c>
      <c r="K2506" s="58">
        <v>181.81</v>
      </c>
      <c r="L2506" s="58">
        <v>7402.07</v>
      </c>
      <c r="M2506" s="58">
        <v>56.730000000000004</v>
      </c>
      <c r="N2506" s="58">
        <v>3018.25</v>
      </c>
      <c r="O2506" s="58">
        <v>238.54000000000002</v>
      </c>
      <c r="P2506" s="53">
        <v>10420.32</v>
      </c>
      <c r="Q2506" s="65">
        <v>10420.32</v>
      </c>
      <c r="R2506" s="65">
        <v>0</v>
      </c>
      <c r="S2506" s="65">
        <v>0</v>
      </c>
      <c r="T2506" s="65">
        <v>0</v>
      </c>
      <c r="U2506" s="58">
        <v>1238</v>
      </c>
      <c r="V2506" s="65">
        <v>0</v>
      </c>
      <c r="W2506" s="65">
        <v>0</v>
      </c>
      <c r="X2506" s="65">
        <v>6164</v>
      </c>
      <c r="Y2506" s="65">
        <v>3019</v>
      </c>
      <c r="Z2506" s="51">
        <v>0</v>
      </c>
      <c r="AA2506" s="51">
        <v>10</v>
      </c>
      <c r="AB2506" s="102">
        <v>0</v>
      </c>
      <c r="AC2506" s="81">
        <f t="shared" si="120"/>
        <v>402.66903742151527</v>
      </c>
      <c r="AD2506" s="82">
        <f t="shared" si="121"/>
        <v>34.128571428571426</v>
      </c>
      <c r="AE2506" s="218">
        <v>1.0545165904219218E-3</v>
      </c>
      <c r="AF2506">
        <v>7</v>
      </c>
      <c r="AH2506" t="str">
        <f t="shared" si="122"/>
        <v>Musrigharari</v>
      </c>
      <c r="AJ2506" s="72">
        <v>0</v>
      </c>
      <c r="AK2506" s="72"/>
      <c r="AL2506" s="72"/>
      <c r="AM2506" s="72"/>
    </row>
    <row r="2507" spans="1:39" x14ac:dyDescent="0.25">
      <c r="A2507" s="37" t="s">
        <v>62</v>
      </c>
      <c r="B2507" s="66" t="s">
        <v>1654</v>
      </c>
      <c r="C2507" s="41">
        <v>1013</v>
      </c>
      <c r="D2507" s="41" t="s">
        <v>343</v>
      </c>
      <c r="E2507" s="41">
        <v>10130097</v>
      </c>
      <c r="F2507" s="85" t="s">
        <v>813</v>
      </c>
      <c r="G2507" s="39" t="s">
        <v>92</v>
      </c>
      <c r="H2507" s="52" t="s">
        <v>93</v>
      </c>
      <c r="I2507" s="52">
        <v>76.999999999999986</v>
      </c>
      <c r="J2507" s="49">
        <v>2387.75</v>
      </c>
      <c r="K2507" s="58">
        <v>54.1</v>
      </c>
      <c r="L2507" s="58">
        <v>1729.4199999999998</v>
      </c>
      <c r="M2507" s="58">
        <v>0</v>
      </c>
      <c r="N2507" s="58">
        <v>0</v>
      </c>
      <c r="O2507" s="58">
        <v>54.1</v>
      </c>
      <c r="P2507" s="53">
        <v>1729.4199999999998</v>
      </c>
      <c r="Q2507" s="65">
        <v>1729.4199999999998</v>
      </c>
      <c r="R2507" s="65">
        <v>0</v>
      </c>
      <c r="S2507" s="65">
        <v>0</v>
      </c>
      <c r="T2507" s="65">
        <v>0</v>
      </c>
      <c r="U2507" s="58">
        <v>0</v>
      </c>
      <c r="V2507" s="65">
        <v>500</v>
      </c>
      <c r="W2507" s="65">
        <v>0</v>
      </c>
      <c r="X2507" s="65">
        <v>1230</v>
      </c>
      <c r="Y2507" s="65">
        <v>0</v>
      </c>
      <c r="Z2507" s="51">
        <v>0</v>
      </c>
      <c r="AA2507" s="51">
        <v>658</v>
      </c>
      <c r="AB2507" s="102">
        <v>0</v>
      </c>
      <c r="AC2507" s="81">
        <f t="shared" si="120"/>
        <v>386.38136363636369</v>
      </c>
      <c r="AD2507" s="82">
        <f t="shared" si="121"/>
        <v>10.999999999999998</v>
      </c>
      <c r="AE2507" s="218">
        <v>0.27571144382787149</v>
      </c>
      <c r="AF2507">
        <v>2</v>
      </c>
      <c r="AH2507" t="str">
        <f t="shared" si="122"/>
        <v>Musrigharari</v>
      </c>
      <c r="AJ2507" s="72">
        <v>500</v>
      </c>
      <c r="AK2507" s="72"/>
      <c r="AL2507" s="72"/>
      <c r="AM2507" s="72"/>
    </row>
    <row r="2508" spans="1:39" x14ac:dyDescent="0.25">
      <c r="A2508" s="37" t="s">
        <v>62</v>
      </c>
      <c r="B2508" s="66" t="s">
        <v>1654</v>
      </c>
      <c r="C2508" s="41">
        <v>1013</v>
      </c>
      <c r="D2508" s="41" t="s">
        <v>343</v>
      </c>
      <c r="E2508" s="41">
        <v>10130098</v>
      </c>
      <c r="F2508" s="85" t="s">
        <v>627</v>
      </c>
      <c r="G2508" s="39" t="s">
        <v>92</v>
      </c>
      <c r="H2508" s="52" t="s">
        <v>93</v>
      </c>
      <c r="I2508" s="52">
        <v>199.2</v>
      </c>
      <c r="J2508" s="49">
        <v>10424.58</v>
      </c>
      <c r="K2508" s="58">
        <v>204.35</v>
      </c>
      <c r="L2508" s="58">
        <v>10552.24</v>
      </c>
      <c r="M2508" s="58">
        <v>0.02</v>
      </c>
      <c r="N2508" s="58">
        <v>0.98</v>
      </c>
      <c r="O2508" s="58">
        <v>204.37</v>
      </c>
      <c r="P2508" s="53">
        <v>10553.22</v>
      </c>
      <c r="Q2508" s="65">
        <v>10424.58</v>
      </c>
      <c r="R2508" s="65">
        <v>0</v>
      </c>
      <c r="S2508" s="65">
        <v>0.98</v>
      </c>
      <c r="T2508" s="65">
        <v>128.63999999999942</v>
      </c>
      <c r="U2508" s="58">
        <v>0</v>
      </c>
      <c r="V2508" s="65">
        <v>0</v>
      </c>
      <c r="W2508" s="65">
        <v>0</v>
      </c>
      <c r="X2508" s="65">
        <v>10424</v>
      </c>
      <c r="Y2508" s="65">
        <v>0</v>
      </c>
      <c r="Z2508" s="51">
        <v>0</v>
      </c>
      <c r="AA2508" s="51">
        <v>0</v>
      </c>
      <c r="AB2508" s="102">
        <v>0</v>
      </c>
      <c r="AC2508" s="81">
        <f t="shared" si="120"/>
        <v>524.15960481927721</v>
      </c>
      <c r="AD2508" s="82">
        <f t="shared" si="121"/>
        <v>28.457142857142856</v>
      </c>
      <c r="AE2508" s="218">
        <v>-1.2340065499041632E-2</v>
      </c>
      <c r="AF2508">
        <v>5</v>
      </c>
      <c r="AH2508" t="str">
        <f t="shared" si="122"/>
        <v>Musrigharari</v>
      </c>
      <c r="AJ2508" s="72">
        <v>0</v>
      </c>
      <c r="AK2508" s="72"/>
      <c r="AL2508" s="72"/>
      <c r="AM2508" s="72"/>
    </row>
    <row r="2509" spans="1:39" x14ac:dyDescent="0.25">
      <c r="A2509" s="37" t="s">
        <v>62</v>
      </c>
      <c r="B2509" s="66" t="s">
        <v>1654</v>
      </c>
      <c r="C2509" s="41">
        <v>1013</v>
      </c>
      <c r="D2509" s="41" t="s">
        <v>343</v>
      </c>
      <c r="E2509" s="41">
        <v>10130100</v>
      </c>
      <c r="F2509" s="85" t="s">
        <v>676</v>
      </c>
      <c r="G2509" s="39" t="s">
        <v>92</v>
      </c>
      <c r="H2509" s="52" t="s">
        <v>93</v>
      </c>
      <c r="I2509" s="52">
        <v>88.299999999999983</v>
      </c>
      <c r="J2509" s="49">
        <v>3498.5299999999997</v>
      </c>
      <c r="K2509" s="58">
        <v>88.99</v>
      </c>
      <c r="L2509" s="58">
        <v>3420.71</v>
      </c>
      <c r="M2509" s="58">
        <v>0.1</v>
      </c>
      <c r="N2509" s="58">
        <v>3.89</v>
      </c>
      <c r="O2509" s="58">
        <v>89.089999999999989</v>
      </c>
      <c r="P2509" s="53">
        <v>3424.6</v>
      </c>
      <c r="Q2509" s="65">
        <v>3424.6</v>
      </c>
      <c r="R2509" s="65">
        <v>0</v>
      </c>
      <c r="S2509" s="65">
        <v>3.89</v>
      </c>
      <c r="T2509" s="65">
        <v>0</v>
      </c>
      <c r="U2509" s="58">
        <v>0</v>
      </c>
      <c r="V2509" s="65">
        <v>500</v>
      </c>
      <c r="W2509" s="65">
        <v>0</v>
      </c>
      <c r="X2509" s="65">
        <v>2921</v>
      </c>
      <c r="Y2509" s="65">
        <v>0</v>
      </c>
      <c r="Z2509" s="51">
        <v>0</v>
      </c>
      <c r="AA2509" s="51">
        <v>74</v>
      </c>
      <c r="AB2509" s="102">
        <v>0</v>
      </c>
      <c r="AC2509" s="81">
        <f t="shared" si="120"/>
        <v>484.72271823329567</v>
      </c>
      <c r="AD2509" s="82">
        <f t="shared" si="121"/>
        <v>12.614285714285712</v>
      </c>
      <c r="AE2509" s="218">
        <v>2.1131732470494706E-2</v>
      </c>
      <c r="AF2509">
        <v>4</v>
      </c>
      <c r="AH2509" t="str">
        <f t="shared" si="122"/>
        <v>Musrigharari</v>
      </c>
      <c r="AJ2509" s="72">
        <v>500</v>
      </c>
      <c r="AK2509" s="72"/>
      <c r="AL2509" s="72"/>
      <c r="AM2509" s="72"/>
    </row>
    <row r="2510" spans="1:39" x14ac:dyDescent="0.25">
      <c r="A2510" s="37" t="s">
        <v>62</v>
      </c>
      <c r="B2510" s="66" t="s">
        <v>1654</v>
      </c>
      <c r="C2510" s="41">
        <v>1061</v>
      </c>
      <c r="D2510" s="41" t="s">
        <v>1388</v>
      </c>
      <c r="E2510" s="41">
        <v>10130101</v>
      </c>
      <c r="F2510" s="85" t="s">
        <v>1389</v>
      </c>
      <c r="G2510" s="39" t="s">
        <v>1610</v>
      </c>
      <c r="H2510" s="52" t="s">
        <v>98</v>
      </c>
      <c r="I2510" s="52">
        <v>606.6</v>
      </c>
      <c r="J2510" s="49">
        <v>25669.919999999991</v>
      </c>
      <c r="K2510" s="58">
        <v>0</v>
      </c>
      <c r="L2510" s="58">
        <v>0</v>
      </c>
      <c r="M2510" s="58">
        <v>0</v>
      </c>
      <c r="N2510" s="58">
        <v>0</v>
      </c>
      <c r="O2510" s="58">
        <v>0</v>
      </c>
      <c r="P2510" s="53">
        <v>0</v>
      </c>
      <c r="Q2510" s="65">
        <v>25669.919999999991</v>
      </c>
      <c r="R2510" s="65">
        <v>0</v>
      </c>
      <c r="S2510" s="65">
        <v>0</v>
      </c>
      <c r="T2510" s="65">
        <v>0</v>
      </c>
      <c r="U2510" s="58">
        <v>0</v>
      </c>
      <c r="V2510" s="65">
        <v>0</v>
      </c>
      <c r="W2510" s="65">
        <v>0</v>
      </c>
      <c r="X2510" s="65">
        <v>0</v>
      </c>
      <c r="Y2510" s="65">
        <v>0</v>
      </c>
      <c r="Z2510" s="51">
        <v>25669.919999999991</v>
      </c>
      <c r="AA2510" s="51">
        <v>0</v>
      </c>
      <c r="AB2510" s="102">
        <v>0</v>
      </c>
      <c r="AC2510" s="81">
        <f t="shared" si="120"/>
        <v>79.049473392680483</v>
      </c>
      <c r="AD2510" s="82">
        <f t="shared" si="121"/>
        <v>86.657142857142858</v>
      </c>
      <c r="AE2510" s="218">
        <v>0</v>
      </c>
      <c r="AF2510">
        <v>0</v>
      </c>
      <c r="AH2510" t="str">
        <f t="shared" si="122"/>
        <v>Mahua BMC</v>
      </c>
      <c r="AJ2510" s="72">
        <v>0</v>
      </c>
      <c r="AK2510" s="72"/>
      <c r="AL2510" s="72"/>
      <c r="AM2510" s="72"/>
    </row>
    <row r="2511" spans="1:39" x14ac:dyDescent="0.25">
      <c r="A2511" s="37" t="s">
        <v>62</v>
      </c>
      <c r="B2511" s="66" t="s">
        <v>1654</v>
      </c>
      <c r="C2511" s="41">
        <v>1013</v>
      </c>
      <c r="D2511" s="41" t="s">
        <v>343</v>
      </c>
      <c r="E2511" s="41">
        <v>10130102</v>
      </c>
      <c r="F2511" s="85" t="s">
        <v>677</v>
      </c>
      <c r="G2511" s="39" t="s">
        <v>1610</v>
      </c>
      <c r="H2511" s="52" t="s">
        <v>98</v>
      </c>
      <c r="I2511" s="52">
        <v>157.69999999999999</v>
      </c>
      <c r="J2511" s="49">
        <v>5838.8600000000006</v>
      </c>
      <c r="K2511" s="58">
        <v>0</v>
      </c>
      <c r="L2511" s="58">
        <v>0</v>
      </c>
      <c r="M2511" s="58">
        <v>0</v>
      </c>
      <c r="N2511" s="58">
        <v>0</v>
      </c>
      <c r="O2511" s="58">
        <v>0</v>
      </c>
      <c r="P2511" s="53">
        <v>0</v>
      </c>
      <c r="Q2511" s="65">
        <v>5838.8600000000006</v>
      </c>
      <c r="R2511" s="65">
        <v>0</v>
      </c>
      <c r="S2511" s="65">
        <v>0</v>
      </c>
      <c r="T2511" s="65">
        <v>0</v>
      </c>
      <c r="U2511" s="58">
        <v>0</v>
      </c>
      <c r="V2511" s="65">
        <v>0</v>
      </c>
      <c r="W2511" s="65">
        <v>0</v>
      </c>
      <c r="X2511" s="65">
        <v>0</v>
      </c>
      <c r="Y2511" s="65">
        <v>0</v>
      </c>
      <c r="Z2511" s="51">
        <v>5838.8600000000006</v>
      </c>
      <c r="AA2511" s="51">
        <v>0</v>
      </c>
      <c r="AB2511" s="102">
        <v>0</v>
      </c>
      <c r="AC2511" s="81">
        <f t="shared" si="120"/>
        <v>401.57435358275217</v>
      </c>
      <c r="AD2511" s="82">
        <f t="shared" si="121"/>
        <v>22.528571428571428</v>
      </c>
      <c r="AE2511" s="218">
        <v>0</v>
      </c>
      <c r="AF2511">
        <v>0</v>
      </c>
      <c r="AH2511" t="str">
        <f t="shared" si="122"/>
        <v>Musrigharari</v>
      </c>
      <c r="AJ2511" s="72">
        <v>0</v>
      </c>
      <c r="AK2511" s="72"/>
      <c r="AL2511" s="72"/>
      <c r="AM2511" s="72"/>
    </row>
    <row r="2512" spans="1:39" x14ac:dyDescent="0.25">
      <c r="A2512" s="37" t="s">
        <v>62</v>
      </c>
      <c r="B2512" s="66" t="s">
        <v>1654</v>
      </c>
      <c r="C2512" s="41">
        <v>1013</v>
      </c>
      <c r="D2512" s="41" t="s">
        <v>343</v>
      </c>
      <c r="E2512" s="41">
        <v>10130103</v>
      </c>
      <c r="F2512" s="85" t="s">
        <v>1645</v>
      </c>
      <c r="G2512" s="39" t="s">
        <v>1610</v>
      </c>
      <c r="H2512" s="52" t="s">
        <v>98</v>
      </c>
      <c r="I2512" s="52">
        <v>20.6</v>
      </c>
      <c r="J2512" s="49">
        <v>849.61000000000013</v>
      </c>
      <c r="K2512" s="58">
        <v>0</v>
      </c>
      <c r="L2512" s="58">
        <v>0</v>
      </c>
      <c r="M2512" s="58">
        <v>0</v>
      </c>
      <c r="N2512" s="58">
        <v>0</v>
      </c>
      <c r="O2512" s="58">
        <v>0</v>
      </c>
      <c r="P2512" s="53">
        <v>0</v>
      </c>
      <c r="Q2512" s="65">
        <v>849.61000000000013</v>
      </c>
      <c r="R2512" s="65">
        <v>0</v>
      </c>
      <c r="S2512" s="65">
        <v>0</v>
      </c>
      <c r="T2512" s="65">
        <v>0</v>
      </c>
      <c r="U2512" s="58">
        <v>0</v>
      </c>
      <c r="V2512" s="65">
        <v>0</v>
      </c>
      <c r="W2512" s="65">
        <v>0</v>
      </c>
      <c r="X2512" s="65">
        <v>0</v>
      </c>
      <c r="Y2512" s="65">
        <v>0</v>
      </c>
      <c r="Z2512" s="51">
        <v>849.61000000000013</v>
      </c>
      <c r="AA2512" s="51">
        <v>0</v>
      </c>
      <c r="AB2512" s="102">
        <v>0</v>
      </c>
      <c r="AC2512" s="81">
        <f t="shared" si="120"/>
        <v>560.41265436893207</v>
      </c>
      <c r="AD2512" s="82">
        <f t="shared" si="121"/>
        <v>2.9428571428571431</v>
      </c>
      <c r="AE2512" s="218">
        <v>0</v>
      </c>
      <c r="AF2512">
        <v>0</v>
      </c>
      <c r="AH2512" t="str">
        <f t="shared" si="122"/>
        <v>Musrigharari</v>
      </c>
      <c r="AJ2512" s="72">
        <v>0</v>
      </c>
      <c r="AK2512" s="72"/>
      <c r="AL2512" s="72"/>
      <c r="AM2512" s="72"/>
    </row>
    <row r="2513" spans="1:39" x14ac:dyDescent="0.25">
      <c r="A2513" s="37" t="s">
        <v>62</v>
      </c>
      <c r="B2513" s="66" t="s">
        <v>1654</v>
      </c>
      <c r="C2513" s="41">
        <v>1013</v>
      </c>
      <c r="D2513" s="41" t="s">
        <v>343</v>
      </c>
      <c r="E2513" s="41">
        <v>10130107</v>
      </c>
      <c r="F2513" s="85" t="s">
        <v>510</v>
      </c>
      <c r="G2513" s="39" t="s">
        <v>1610</v>
      </c>
      <c r="H2513" s="52" t="s">
        <v>98</v>
      </c>
      <c r="I2513" s="52">
        <v>283.40000000000003</v>
      </c>
      <c r="J2513" s="49">
        <v>12432.219999999998</v>
      </c>
      <c r="K2513" s="58">
        <v>0</v>
      </c>
      <c r="L2513" s="58">
        <v>0</v>
      </c>
      <c r="M2513" s="58">
        <v>0</v>
      </c>
      <c r="N2513" s="58">
        <v>0</v>
      </c>
      <c r="O2513" s="58">
        <v>0</v>
      </c>
      <c r="P2513" s="53">
        <v>0</v>
      </c>
      <c r="Q2513" s="65">
        <v>12432.219999999998</v>
      </c>
      <c r="R2513" s="65">
        <v>0</v>
      </c>
      <c r="S2513" s="65">
        <v>0</v>
      </c>
      <c r="T2513" s="65">
        <v>0</v>
      </c>
      <c r="U2513" s="58">
        <v>0</v>
      </c>
      <c r="V2513" s="65">
        <v>0</v>
      </c>
      <c r="W2513" s="65">
        <v>0</v>
      </c>
      <c r="X2513" s="65">
        <v>0</v>
      </c>
      <c r="Y2513" s="65">
        <v>0</v>
      </c>
      <c r="Z2513" s="51">
        <v>12432.219999999998</v>
      </c>
      <c r="AA2513" s="51">
        <v>0</v>
      </c>
      <c r="AB2513" s="102">
        <v>0</v>
      </c>
      <c r="AC2513" s="81">
        <f t="shared" si="120"/>
        <v>365.50902272406478</v>
      </c>
      <c r="AD2513" s="82">
        <f t="shared" si="121"/>
        <v>40.485714285714288</v>
      </c>
      <c r="AE2513" s="218">
        <v>0</v>
      </c>
      <c r="AF2513">
        <v>0</v>
      </c>
      <c r="AH2513" t="str">
        <f t="shared" si="122"/>
        <v>Musrigharari</v>
      </c>
      <c r="AJ2513" s="72">
        <v>0</v>
      </c>
      <c r="AK2513" s="72"/>
      <c r="AL2513" s="72"/>
      <c r="AM2513" s="72"/>
    </row>
    <row r="2514" spans="1:39" x14ac:dyDescent="0.25">
      <c r="A2514" s="37" t="s">
        <v>62</v>
      </c>
      <c r="B2514" s="66" t="s">
        <v>1654</v>
      </c>
      <c r="C2514" s="41">
        <v>1013</v>
      </c>
      <c r="D2514" s="41" t="s">
        <v>343</v>
      </c>
      <c r="E2514" s="41">
        <v>10130113</v>
      </c>
      <c r="F2514" s="85" t="s">
        <v>1264</v>
      </c>
      <c r="G2514" s="39" t="s">
        <v>1610</v>
      </c>
      <c r="H2514" s="52" t="s">
        <v>98</v>
      </c>
      <c r="I2514" s="52">
        <v>134</v>
      </c>
      <c r="J2514" s="49">
        <v>5311.74</v>
      </c>
      <c r="K2514" s="58">
        <v>0</v>
      </c>
      <c r="L2514" s="58">
        <v>0</v>
      </c>
      <c r="M2514" s="58">
        <v>0</v>
      </c>
      <c r="N2514" s="58">
        <v>0</v>
      </c>
      <c r="O2514" s="58">
        <v>0</v>
      </c>
      <c r="P2514" s="53">
        <v>0</v>
      </c>
      <c r="Q2514" s="65">
        <v>5311.74</v>
      </c>
      <c r="R2514" s="65">
        <v>0</v>
      </c>
      <c r="S2514" s="65">
        <v>0</v>
      </c>
      <c r="T2514" s="65">
        <v>0</v>
      </c>
      <c r="U2514" s="58">
        <v>0</v>
      </c>
      <c r="V2514" s="65">
        <v>0</v>
      </c>
      <c r="W2514" s="65">
        <v>0</v>
      </c>
      <c r="X2514" s="65">
        <v>0</v>
      </c>
      <c r="Y2514" s="65">
        <v>0</v>
      </c>
      <c r="Z2514" s="51">
        <v>5311.74</v>
      </c>
      <c r="AA2514" s="51">
        <v>0</v>
      </c>
      <c r="AB2514" s="102">
        <v>0</v>
      </c>
      <c r="AC2514" s="81">
        <f t="shared" si="120"/>
        <v>448.7231104477612</v>
      </c>
      <c r="AD2514" s="82">
        <f t="shared" si="121"/>
        <v>19.142857142857142</v>
      </c>
      <c r="AE2514" s="218">
        <v>0</v>
      </c>
      <c r="AF2514">
        <v>0</v>
      </c>
      <c r="AH2514" t="str">
        <f t="shared" si="122"/>
        <v>Musrigharari</v>
      </c>
      <c r="AJ2514" s="72">
        <v>0</v>
      </c>
      <c r="AK2514" s="72"/>
      <c r="AL2514" s="72"/>
      <c r="AM2514" s="72"/>
    </row>
    <row r="2515" spans="1:39" x14ac:dyDescent="0.25">
      <c r="A2515" s="37" t="s">
        <v>62</v>
      </c>
      <c r="B2515" s="66" t="s">
        <v>1654</v>
      </c>
      <c r="C2515" s="41">
        <v>1013</v>
      </c>
      <c r="D2515" s="41" t="s">
        <v>343</v>
      </c>
      <c r="E2515" s="41">
        <v>10130114</v>
      </c>
      <c r="F2515" s="85" t="s">
        <v>1281</v>
      </c>
      <c r="G2515" s="39" t="s">
        <v>1610</v>
      </c>
      <c r="H2515" s="52" t="s">
        <v>98</v>
      </c>
      <c r="I2515" s="52">
        <v>290.99999999999994</v>
      </c>
      <c r="J2515" s="49">
        <v>11454.140000000001</v>
      </c>
      <c r="K2515" s="58">
        <v>0</v>
      </c>
      <c r="L2515" s="58">
        <v>0</v>
      </c>
      <c r="M2515" s="58">
        <v>0</v>
      </c>
      <c r="N2515" s="58">
        <v>0</v>
      </c>
      <c r="O2515" s="58">
        <v>0</v>
      </c>
      <c r="P2515" s="53">
        <v>0</v>
      </c>
      <c r="Q2515" s="65">
        <v>11454.140000000001</v>
      </c>
      <c r="R2515" s="65">
        <v>0</v>
      </c>
      <c r="S2515" s="65">
        <v>0</v>
      </c>
      <c r="T2515" s="65">
        <v>0</v>
      </c>
      <c r="U2515" s="58">
        <v>0</v>
      </c>
      <c r="V2515" s="65">
        <v>0</v>
      </c>
      <c r="W2515" s="65">
        <v>0</v>
      </c>
      <c r="X2515" s="65">
        <v>0</v>
      </c>
      <c r="Y2515" s="65">
        <v>0</v>
      </c>
      <c r="Z2515" s="51">
        <v>11454.140000000001</v>
      </c>
      <c r="AA2515" s="51">
        <v>0</v>
      </c>
      <c r="AB2515" s="102">
        <v>0</v>
      </c>
      <c r="AC2515" s="81">
        <f t="shared" si="120"/>
        <v>321.97548178694177</v>
      </c>
      <c r="AD2515" s="82">
        <f t="shared" si="121"/>
        <v>41.571428571428562</v>
      </c>
      <c r="AE2515" s="218">
        <v>0</v>
      </c>
      <c r="AF2515">
        <v>0</v>
      </c>
      <c r="AH2515" t="str">
        <f t="shared" si="122"/>
        <v>Musrigharari</v>
      </c>
      <c r="AJ2515" s="72">
        <v>0</v>
      </c>
      <c r="AK2515" s="72"/>
      <c r="AL2515" s="72"/>
      <c r="AM2515" s="72"/>
    </row>
    <row r="2516" spans="1:39" x14ac:dyDescent="0.25">
      <c r="A2516" s="37" t="s">
        <v>62</v>
      </c>
      <c r="B2516" s="66" t="s">
        <v>1654</v>
      </c>
      <c r="C2516" s="41">
        <v>1013</v>
      </c>
      <c r="D2516" s="41" t="s">
        <v>343</v>
      </c>
      <c r="E2516" s="41">
        <v>10130115</v>
      </c>
      <c r="F2516" s="85" t="s">
        <v>1319</v>
      </c>
      <c r="G2516" s="39" t="s">
        <v>92</v>
      </c>
      <c r="H2516" s="52" t="s">
        <v>93</v>
      </c>
      <c r="I2516" s="52">
        <v>514.5</v>
      </c>
      <c r="J2516" s="49">
        <v>23777.07</v>
      </c>
      <c r="K2516" s="58">
        <v>483.20000000000005</v>
      </c>
      <c r="L2516" s="58">
        <v>23721.39</v>
      </c>
      <c r="M2516" s="58">
        <v>0</v>
      </c>
      <c r="N2516" s="58">
        <v>0</v>
      </c>
      <c r="O2516" s="58">
        <v>483.20000000000005</v>
      </c>
      <c r="P2516" s="53">
        <v>23721.39</v>
      </c>
      <c r="Q2516" s="65">
        <v>23721.39</v>
      </c>
      <c r="R2516" s="65">
        <v>0</v>
      </c>
      <c r="S2516" s="65">
        <v>0</v>
      </c>
      <c r="T2516" s="65">
        <v>0</v>
      </c>
      <c r="U2516" s="58">
        <v>0</v>
      </c>
      <c r="V2516" s="65">
        <v>0</v>
      </c>
      <c r="W2516" s="65">
        <v>0</v>
      </c>
      <c r="X2516" s="65">
        <v>23721</v>
      </c>
      <c r="Y2516" s="65">
        <v>0</v>
      </c>
      <c r="Z2516" s="51">
        <v>0</v>
      </c>
      <c r="AA2516" s="51">
        <v>56</v>
      </c>
      <c r="AB2516" s="102">
        <v>0</v>
      </c>
      <c r="AC2516" s="81">
        <f t="shared" si="120"/>
        <v>171.45370204081632</v>
      </c>
      <c r="AD2516" s="82">
        <f t="shared" si="121"/>
        <v>73.5</v>
      </c>
      <c r="AE2516" s="218">
        <v>2.341751948410813E-3</v>
      </c>
      <c r="AF2516">
        <v>2</v>
      </c>
      <c r="AH2516" t="str">
        <f t="shared" si="122"/>
        <v>Musrigharari</v>
      </c>
      <c r="AJ2516" s="72">
        <v>0</v>
      </c>
      <c r="AK2516" s="72"/>
      <c r="AL2516" s="72"/>
      <c r="AM2516" s="72"/>
    </row>
    <row r="2517" spans="1:39" x14ac:dyDescent="0.25">
      <c r="A2517" s="37" t="s">
        <v>62</v>
      </c>
      <c r="B2517" s="66" t="s">
        <v>1654</v>
      </c>
      <c r="C2517" s="41">
        <v>1013</v>
      </c>
      <c r="D2517" s="41" t="s">
        <v>343</v>
      </c>
      <c r="E2517" s="41">
        <v>10130117</v>
      </c>
      <c r="F2517" s="85" t="s">
        <v>1339</v>
      </c>
      <c r="G2517" s="39" t="s">
        <v>1610</v>
      </c>
      <c r="H2517" s="52" t="s">
        <v>93</v>
      </c>
      <c r="I2517" s="52">
        <v>248.5</v>
      </c>
      <c r="J2517" s="49">
        <v>7833.42</v>
      </c>
      <c r="K2517" s="58">
        <v>248.9</v>
      </c>
      <c r="L2517" s="58">
        <v>7784.1900000000005</v>
      </c>
      <c r="M2517" s="58">
        <v>0</v>
      </c>
      <c r="N2517" s="58">
        <v>0</v>
      </c>
      <c r="O2517" s="58">
        <v>248.9</v>
      </c>
      <c r="P2517" s="53">
        <v>7784.1900000000005</v>
      </c>
      <c r="Q2517" s="65">
        <v>7784.1900000000005</v>
      </c>
      <c r="R2517" s="65">
        <v>0</v>
      </c>
      <c r="S2517" s="65">
        <v>0</v>
      </c>
      <c r="T2517" s="65">
        <v>0</v>
      </c>
      <c r="U2517" s="58">
        <v>1400</v>
      </c>
      <c r="V2517" s="65">
        <v>0</v>
      </c>
      <c r="W2517" s="65">
        <v>0</v>
      </c>
      <c r="X2517" s="65">
        <v>6384</v>
      </c>
      <c r="Y2517" s="65">
        <v>0</v>
      </c>
      <c r="Z2517" s="51">
        <v>0</v>
      </c>
      <c r="AA2517" s="51">
        <v>49</v>
      </c>
      <c r="AB2517" s="102">
        <v>0</v>
      </c>
      <c r="AC2517" s="81">
        <f t="shared" si="120"/>
        <v>284.65103661971835</v>
      </c>
      <c r="AD2517" s="82">
        <f t="shared" si="121"/>
        <v>35.5</v>
      </c>
      <c r="AE2517" s="218">
        <v>6.2846113191938596E-3</v>
      </c>
      <c r="AF2517">
        <v>1</v>
      </c>
      <c r="AH2517" t="str">
        <f t="shared" si="122"/>
        <v>Musrigharari</v>
      </c>
      <c r="AJ2517" s="72">
        <v>0</v>
      </c>
      <c r="AK2517" s="72"/>
      <c r="AL2517" s="72"/>
      <c r="AM2517" s="72"/>
    </row>
    <row r="2518" spans="1:39" x14ac:dyDescent="0.25">
      <c r="A2518" s="37" t="s">
        <v>62</v>
      </c>
      <c r="B2518" s="66" t="s">
        <v>1654</v>
      </c>
      <c r="C2518" s="41">
        <v>1013</v>
      </c>
      <c r="D2518" s="41" t="s">
        <v>343</v>
      </c>
      <c r="E2518" s="41">
        <v>10130118</v>
      </c>
      <c r="F2518" s="85" t="s">
        <v>1351</v>
      </c>
      <c r="G2518" s="39" t="s">
        <v>1610</v>
      </c>
      <c r="H2518" s="52" t="s">
        <v>98</v>
      </c>
      <c r="I2518" s="52">
        <v>7354</v>
      </c>
      <c r="J2518" s="49">
        <v>279769.83</v>
      </c>
      <c r="K2518" s="58">
        <v>0</v>
      </c>
      <c r="L2518" s="58">
        <v>0</v>
      </c>
      <c r="M2518" s="58">
        <v>0</v>
      </c>
      <c r="N2518" s="58">
        <v>0</v>
      </c>
      <c r="O2518" s="58">
        <v>0</v>
      </c>
      <c r="P2518" s="53">
        <v>0</v>
      </c>
      <c r="Q2518" s="65">
        <v>279769.83</v>
      </c>
      <c r="R2518" s="65">
        <v>0</v>
      </c>
      <c r="S2518" s="65">
        <v>0</v>
      </c>
      <c r="T2518" s="65">
        <v>0</v>
      </c>
      <c r="U2518" s="58">
        <v>0</v>
      </c>
      <c r="V2518" s="65">
        <v>0</v>
      </c>
      <c r="W2518" s="65">
        <v>0</v>
      </c>
      <c r="X2518" s="65">
        <v>0</v>
      </c>
      <c r="Y2518" s="65">
        <v>0</v>
      </c>
      <c r="Z2518" s="51">
        <v>279769.83</v>
      </c>
      <c r="AA2518" s="51">
        <v>0</v>
      </c>
      <c r="AB2518" s="102">
        <v>0</v>
      </c>
      <c r="AC2518" s="81">
        <f t="shared" si="120"/>
        <v>0</v>
      </c>
      <c r="AD2518" s="82">
        <f t="shared" si="121"/>
        <v>0</v>
      </c>
      <c r="AE2518" s="218">
        <v>0</v>
      </c>
      <c r="AF2518">
        <v>0</v>
      </c>
      <c r="AH2518" t="str">
        <f t="shared" si="122"/>
        <v>Musrigharari</v>
      </c>
      <c r="AJ2518" s="72">
        <v>0</v>
      </c>
      <c r="AK2518" s="72"/>
      <c r="AL2518" s="72"/>
      <c r="AM2518" s="72"/>
    </row>
    <row r="2519" spans="1:39" x14ac:dyDescent="0.25">
      <c r="A2519" s="37" t="s">
        <v>62</v>
      </c>
      <c r="B2519" s="66" t="s">
        <v>1654</v>
      </c>
      <c r="C2519" s="41">
        <v>1013</v>
      </c>
      <c r="D2519" s="41" t="s">
        <v>343</v>
      </c>
      <c r="E2519" s="41">
        <v>10130119</v>
      </c>
      <c r="F2519" s="85" t="s">
        <v>1452</v>
      </c>
      <c r="G2519" s="39" t="s">
        <v>1610</v>
      </c>
      <c r="H2519" s="52" t="s">
        <v>98</v>
      </c>
      <c r="I2519" s="52">
        <v>58</v>
      </c>
      <c r="J2519" s="49">
        <v>2429.06</v>
      </c>
      <c r="K2519" s="58">
        <v>0</v>
      </c>
      <c r="L2519" s="58">
        <v>0</v>
      </c>
      <c r="M2519" s="58">
        <v>0</v>
      </c>
      <c r="N2519" s="58">
        <v>0</v>
      </c>
      <c r="O2519" s="58">
        <v>0</v>
      </c>
      <c r="P2519" s="53">
        <v>0</v>
      </c>
      <c r="Q2519" s="65">
        <v>2429.06</v>
      </c>
      <c r="R2519" s="65">
        <v>0</v>
      </c>
      <c r="S2519" s="65">
        <v>0</v>
      </c>
      <c r="T2519" s="65">
        <v>0</v>
      </c>
      <c r="U2519" s="58">
        <v>0</v>
      </c>
      <c r="V2519" s="65">
        <v>0</v>
      </c>
      <c r="W2519" s="65">
        <v>0</v>
      </c>
      <c r="X2519" s="65">
        <v>0</v>
      </c>
      <c r="Y2519" s="65">
        <v>0</v>
      </c>
      <c r="Z2519" s="51">
        <v>2429.06</v>
      </c>
      <c r="AA2519" s="51">
        <v>0</v>
      </c>
      <c r="AB2519" s="102">
        <v>0</v>
      </c>
      <c r="AC2519" s="81">
        <f t="shared" si="120"/>
        <v>537.74362758620691</v>
      </c>
      <c r="AD2519" s="82">
        <f t="shared" si="121"/>
        <v>8.2857142857142865</v>
      </c>
      <c r="AE2519" s="218">
        <v>0</v>
      </c>
      <c r="AF2519">
        <v>0</v>
      </c>
      <c r="AH2519" t="str">
        <f t="shared" si="122"/>
        <v>Musrigharari</v>
      </c>
      <c r="AJ2519" s="72">
        <v>0</v>
      </c>
      <c r="AK2519" s="72"/>
      <c r="AL2519" s="72"/>
      <c r="AM2519" s="72"/>
    </row>
    <row r="2520" spans="1:39" x14ac:dyDescent="0.25">
      <c r="A2520" s="37" t="s">
        <v>62</v>
      </c>
      <c r="B2520" s="66" t="s">
        <v>1654</v>
      </c>
      <c r="C2520" s="41">
        <v>1013</v>
      </c>
      <c r="D2520" s="41" t="s">
        <v>343</v>
      </c>
      <c r="E2520" s="41">
        <v>10130120</v>
      </c>
      <c r="F2520" s="85" t="s">
        <v>1500</v>
      </c>
      <c r="G2520" s="39" t="s">
        <v>92</v>
      </c>
      <c r="H2520" s="52" t="s">
        <v>93</v>
      </c>
      <c r="I2520" s="52">
        <v>490.9</v>
      </c>
      <c r="J2520" s="49">
        <v>20075.21</v>
      </c>
      <c r="K2520" s="58">
        <v>492.08000000000004</v>
      </c>
      <c r="L2520" s="58">
        <v>19815.2</v>
      </c>
      <c r="M2520" s="58">
        <v>5.9</v>
      </c>
      <c r="N2520" s="58">
        <v>252.92</v>
      </c>
      <c r="O2520" s="58">
        <v>497.98</v>
      </c>
      <c r="P2520" s="53">
        <v>20068.12</v>
      </c>
      <c r="Q2520" s="65">
        <v>20068.12</v>
      </c>
      <c r="R2520" s="65">
        <v>0</v>
      </c>
      <c r="S2520" s="65">
        <v>252.92</v>
      </c>
      <c r="T2520" s="65">
        <v>0</v>
      </c>
      <c r="U2520" s="58">
        <v>0</v>
      </c>
      <c r="V2520" s="65">
        <v>0</v>
      </c>
      <c r="W2520" s="65">
        <v>0</v>
      </c>
      <c r="X2520" s="65">
        <v>19815</v>
      </c>
      <c r="Y2520" s="65">
        <v>0</v>
      </c>
      <c r="Z2520" s="51">
        <v>0</v>
      </c>
      <c r="AA2520" s="51">
        <v>7</v>
      </c>
      <c r="AB2520" s="102">
        <v>0</v>
      </c>
      <c r="AC2520" s="81">
        <f t="shared" si="120"/>
        <v>171.02165047871262</v>
      </c>
      <c r="AD2520" s="82">
        <f t="shared" si="121"/>
        <v>70.128571428571419</v>
      </c>
      <c r="AE2520" s="218">
        <v>3.5317189708103407E-4</v>
      </c>
      <c r="AF2520">
        <v>7</v>
      </c>
      <c r="AH2520" t="str">
        <f t="shared" si="122"/>
        <v>Musrigharari</v>
      </c>
      <c r="AJ2520" s="72">
        <v>0</v>
      </c>
      <c r="AK2520" s="72"/>
      <c r="AL2520" s="72"/>
      <c r="AM2520" s="72"/>
    </row>
    <row r="2521" spans="1:39" x14ac:dyDescent="0.25">
      <c r="A2521" s="37" t="s">
        <v>62</v>
      </c>
      <c r="B2521" s="66" t="s">
        <v>1654</v>
      </c>
      <c r="C2521" s="41">
        <v>1013</v>
      </c>
      <c r="D2521" s="41" t="s">
        <v>343</v>
      </c>
      <c r="E2521" s="41">
        <v>10130122</v>
      </c>
      <c r="F2521" s="85" t="s">
        <v>1547</v>
      </c>
      <c r="G2521" s="39" t="s">
        <v>1610</v>
      </c>
      <c r="H2521" s="52" t="s">
        <v>98</v>
      </c>
      <c r="I2521" s="52">
        <v>271.2</v>
      </c>
      <c r="J2521" s="49">
        <v>9307.83</v>
      </c>
      <c r="K2521" s="58">
        <v>0</v>
      </c>
      <c r="L2521" s="58">
        <v>0</v>
      </c>
      <c r="M2521" s="58">
        <v>0</v>
      </c>
      <c r="N2521" s="58">
        <v>0</v>
      </c>
      <c r="O2521" s="58">
        <v>0</v>
      </c>
      <c r="P2521" s="53">
        <v>0</v>
      </c>
      <c r="Q2521" s="65">
        <v>9307.83</v>
      </c>
      <c r="R2521" s="65">
        <v>0</v>
      </c>
      <c r="S2521" s="65">
        <v>0</v>
      </c>
      <c r="T2521" s="65">
        <v>0</v>
      </c>
      <c r="U2521" s="58">
        <v>0</v>
      </c>
      <c r="V2521" s="65">
        <v>0</v>
      </c>
      <c r="W2521" s="65">
        <v>0</v>
      </c>
      <c r="X2521" s="65">
        <v>0</v>
      </c>
      <c r="Y2521" s="65">
        <v>0</v>
      </c>
      <c r="Z2521" s="51">
        <v>9307.83</v>
      </c>
      <c r="AA2521" s="51">
        <v>0</v>
      </c>
      <c r="AB2521" s="102">
        <v>0</v>
      </c>
      <c r="AC2521" s="81">
        <f t="shared" si="120"/>
        <v>294.33609911504431</v>
      </c>
      <c r="AD2521" s="82">
        <f t="shared" si="121"/>
        <v>38.74285714285714</v>
      </c>
      <c r="AE2521" s="218">
        <v>0</v>
      </c>
      <c r="AF2521">
        <v>0</v>
      </c>
      <c r="AH2521" t="str">
        <f t="shared" si="122"/>
        <v>Musrigharari</v>
      </c>
      <c r="AJ2521" s="72">
        <v>0</v>
      </c>
      <c r="AK2521" s="72"/>
      <c r="AL2521" s="72"/>
      <c r="AM2521" s="72"/>
    </row>
    <row r="2522" spans="1:39" x14ac:dyDescent="0.25">
      <c r="A2522" s="37" t="s">
        <v>62</v>
      </c>
      <c r="B2522" s="66" t="s">
        <v>1654</v>
      </c>
      <c r="C2522" s="41">
        <v>1014</v>
      </c>
      <c r="D2522" s="41" t="s">
        <v>368</v>
      </c>
      <c r="E2522" s="41">
        <v>10140001</v>
      </c>
      <c r="F2522" s="85" t="s">
        <v>438</v>
      </c>
      <c r="G2522" s="39" t="s">
        <v>92</v>
      </c>
      <c r="H2522" s="52" t="s">
        <v>93</v>
      </c>
      <c r="I2522" s="52">
        <v>625.50000000000011</v>
      </c>
      <c r="J2522" s="49">
        <v>21295.190000000002</v>
      </c>
      <c r="K2522" s="58">
        <v>420.40000000000003</v>
      </c>
      <c r="L2522" s="58">
        <v>21190.6</v>
      </c>
      <c r="M2522" s="58">
        <v>0</v>
      </c>
      <c r="N2522" s="58">
        <v>0</v>
      </c>
      <c r="O2522" s="58">
        <v>420.40000000000003</v>
      </c>
      <c r="P2522" s="53">
        <v>21190.6</v>
      </c>
      <c r="Q2522" s="65">
        <v>21190.6</v>
      </c>
      <c r="R2522" s="65">
        <v>0</v>
      </c>
      <c r="S2522" s="65">
        <v>0</v>
      </c>
      <c r="T2522" s="65">
        <v>0</v>
      </c>
      <c r="U2522" s="58">
        <v>0</v>
      </c>
      <c r="V2522" s="65">
        <v>0</v>
      </c>
      <c r="W2522" s="65">
        <v>0</v>
      </c>
      <c r="X2522" s="65">
        <v>21191</v>
      </c>
      <c r="Y2522" s="65">
        <v>0</v>
      </c>
      <c r="Z2522" s="51">
        <v>0</v>
      </c>
      <c r="AA2522" s="51">
        <v>104</v>
      </c>
      <c r="AB2522" s="102">
        <v>0</v>
      </c>
      <c r="AC2522" s="81">
        <f t="shared" si="120"/>
        <v>50.727151239008698</v>
      </c>
      <c r="AD2522" s="82">
        <f t="shared" si="121"/>
        <v>89.357142857142875</v>
      </c>
      <c r="AE2522" s="218">
        <v>4.9114377472097579E-3</v>
      </c>
      <c r="AF2522">
        <v>4</v>
      </c>
      <c r="AH2522" t="str">
        <f t="shared" si="122"/>
        <v>Dumraon</v>
      </c>
      <c r="AJ2522" s="72">
        <v>0</v>
      </c>
      <c r="AK2522" s="72"/>
      <c r="AL2522" s="72"/>
      <c r="AM2522" s="72"/>
    </row>
    <row r="2523" spans="1:39" x14ac:dyDescent="0.25">
      <c r="A2523" s="37" t="s">
        <v>62</v>
      </c>
      <c r="B2523" s="66" t="s">
        <v>1654</v>
      </c>
      <c r="C2523" s="41">
        <v>1014</v>
      </c>
      <c r="D2523" s="41" t="s">
        <v>368</v>
      </c>
      <c r="E2523" s="41">
        <v>10140002</v>
      </c>
      <c r="F2523" s="85" t="s">
        <v>369</v>
      </c>
      <c r="G2523" s="39" t="s">
        <v>92</v>
      </c>
      <c r="H2523" s="52" t="s">
        <v>93</v>
      </c>
      <c r="I2523" s="52">
        <v>671.69999999999993</v>
      </c>
      <c r="J2523" s="49">
        <v>25644.929999999997</v>
      </c>
      <c r="K2523" s="58">
        <v>743.41</v>
      </c>
      <c r="L2523" s="58">
        <v>28813.1</v>
      </c>
      <c r="M2523" s="58">
        <v>0</v>
      </c>
      <c r="N2523" s="58">
        <v>0</v>
      </c>
      <c r="O2523" s="58">
        <v>743.41</v>
      </c>
      <c r="P2523" s="53">
        <v>28813.1</v>
      </c>
      <c r="Q2523" s="65">
        <v>25644.929999999997</v>
      </c>
      <c r="R2523" s="65">
        <v>0</v>
      </c>
      <c r="S2523" s="65">
        <v>0</v>
      </c>
      <c r="T2523" s="65">
        <v>3168.1700000000019</v>
      </c>
      <c r="U2523" s="58">
        <v>0</v>
      </c>
      <c r="V2523" s="65">
        <v>0</v>
      </c>
      <c r="W2523" s="65">
        <v>0</v>
      </c>
      <c r="X2523" s="65">
        <v>25645</v>
      </c>
      <c r="Y2523" s="65">
        <v>0</v>
      </c>
      <c r="Z2523" s="51">
        <v>0</v>
      </c>
      <c r="AA2523" s="51">
        <v>0</v>
      </c>
      <c r="AB2523" s="102">
        <v>0</v>
      </c>
      <c r="AC2523" s="81">
        <f t="shared" si="120"/>
        <v>21.609394640464579</v>
      </c>
      <c r="AD2523" s="82">
        <f t="shared" si="121"/>
        <v>95.957142857142841</v>
      </c>
      <c r="AE2523" s="218">
        <v>-0.12353981859182311</v>
      </c>
      <c r="AF2523">
        <v>13</v>
      </c>
      <c r="AH2523" t="str">
        <f t="shared" si="122"/>
        <v>Dumraon</v>
      </c>
      <c r="AJ2523" s="72">
        <v>0</v>
      </c>
      <c r="AK2523" s="72"/>
      <c r="AL2523" s="72"/>
      <c r="AM2523" s="72"/>
    </row>
    <row r="2524" spans="1:39" x14ac:dyDescent="0.25">
      <c r="A2524" s="37" t="s">
        <v>62</v>
      </c>
      <c r="B2524" s="66" t="s">
        <v>1654</v>
      </c>
      <c r="C2524" s="41">
        <v>1014</v>
      </c>
      <c r="D2524" s="41" t="s">
        <v>368</v>
      </c>
      <c r="E2524" s="41">
        <v>10140003</v>
      </c>
      <c r="F2524" s="85" t="s">
        <v>370</v>
      </c>
      <c r="G2524" s="39" t="s">
        <v>92</v>
      </c>
      <c r="H2524" s="52" t="s">
        <v>93</v>
      </c>
      <c r="I2524" s="52">
        <v>984.0999999999998</v>
      </c>
      <c r="J2524" s="49">
        <v>40933.4</v>
      </c>
      <c r="K2524" s="58">
        <v>960.3</v>
      </c>
      <c r="L2524" s="58">
        <v>42369.779999999992</v>
      </c>
      <c r="M2524" s="58">
        <v>9.6</v>
      </c>
      <c r="N2524" s="58">
        <v>400.86</v>
      </c>
      <c r="O2524" s="58">
        <v>969.9</v>
      </c>
      <c r="P2524" s="53">
        <v>42770.639999999992</v>
      </c>
      <c r="Q2524" s="65">
        <v>40933.4</v>
      </c>
      <c r="R2524" s="65">
        <v>0</v>
      </c>
      <c r="S2524" s="65">
        <v>400.86</v>
      </c>
      <c r="T2524" s="65">
        <v>1837.2399999999907</v>
      </c>
      <c r="U2524" s="58">
        <v>0</v>
      </c>
      <c r="V2524" s="65">
        <v>0</v>
      </c>
      <c r="W2524" s="65">
        <v>0</v>
      </c>
      <c r="X2524" s="65">
        <v>40532</v>
      </c>
      <c r="Y2524" s="65">
        <v>0</v>
      </c>
      <c r="Z2524" s="51">
        <v>0</v>
      </c>
      <c r="AA2524" s="51">
        <v>1</v>
      </c>
      <c r="AB2524" s="102">
        <v>0</v>
      </c>
      <c r="AC2524" s="81">
        <f t="shared" si="120"/>
        <v>0</v>
      </c>
      <c r="AD2524" s="82">
        <f t="shared" si="121"/>
        <v>0</v>
      </c>
      <c r="AE2524" s="218">
        <v>-4.4883640254657339E-2</v>
      </c>
      <c r="AF2524">
        <v>24</v>
      </c>
      <c r="AH2524" t="str">
        <f t="shared" si="122"/>
        <v>Dumraon</v>
      </c>
      <c r="AJ2524" s="72">
        <v>0</v>
      </c>
      <c r="AK2524" s="72"/>
      <c r="AL2524" s="72"/>
      <c r="AM2524" s="72"/>
    </row>
    <row r="2525" spans="1:39" x14ac:dyDescent="0.25">
      <c r="A2525" s="37" t="s">
        <v>62</v>
      </c>
      <c r="B2525" s="66" t="s">
        <v>1654</v>
      </c>
      <c r="C2525" s="41">
        <v>1014</v>
      </c>
      <c r="D2525" s="41" t="s">
        <v>368</v>
      </c>
      <c r="E2525" s="41">
        <v>10140007</v>
      </c>
      <c r="F2525" s="85" t="s">
        <v>371</v>
      </c>
      <c r="G2525" s="39" t="s">
        <v>92</v>
      </c>
      <c r="H2525" s="52" t="s">
        <v>93</v>
      </c>
      <c r="I2525" s="52">
        <v>784.50000000000011</v>
      </c>
      <c r="J2525" s="49">
        <v>29590.07</v>
      </c>
      <c r="K2525" s="58">
        <v>764.93999999999994</v>
      </c>
      <c r="L2525" s="58">
        <v>30165.23</v>
      </c>
      <c r="M2525" s="58">
        <v>27.169999999999995</v>
      </c>
      <c r="N2525" s="58">
        <v>1435.3799999999999</v>
      </c>
      <c r="O2525" s="58">
        <v>792.1099999999999</v>
      </c>
      <c r="P2525" s="53">
        <v>31600.61</v>
      </c>
      <c r="Q2525" s="65">
        <v>29590.07</v>
      </c>
      <c r="R2525" s="65">
        <v>0</v>
      </c>
      <c r="S2525" s="65">
        <v>1435.3799999999999</v>
      </c>
      <c r="T2525" s="65">
        <v>2010.5400000000009</v>
      </c>
      <c r="U2525" s="58">
        <v>6500</v>
      </c>
      <c r="V2525" s="65">
        <v>0</v>
      </c>
      <c r="W2525" s="65">
        <v>0</v>
      </c>
      <c r="X2525" s="65">
        <v>21655</v>
      </c>
      <c r="Y2525" s="65">
        <v>0</v>
      </c>
      <c r="Z2525" s="51">
        <v>0</v>
      </c>
      <c r="AA2525" s="51">
        <v>0</v>
      </c>
      <c r="AB2525" s="102" t="s">
        <v>66</v>
      </c>
      <c r="AC2525" s="81">
        <f t="shared" si="120"/>
        <v>0</v>
      </c>
      <c r="AD2525" s="82">
        <f t="shared" si="121"/>
        <v>0</v>
      </c>
      <c r="AE2525" s="218">
        <v>-6.7946442843832444E-2</v>
      </c>
      <c r="AF2525">
        <v>13</v>
      </c>
      <c r="AH2525" t="str">
        <f t="shared" si="122"/>
        <v>Dumraon</v>
      </c>
      <c r="AJ2525" s="72">
        <v>0</v>
      </c>
      <c r="AK2525" s="72"/>
      <c r="AL2525" s="72"/>
      <c r="AM2525" s="72"/>
    </row>
    <row r="2526" spans="1:39" x14ac:dyDescent="0.25">
      <c r="A2526" s="37" t="s">
        <v>62</v>
      </c>
      <c r="B2526" s="66" t="s">
        <v>1654</v>
      </c>
      <c r="C2526" s="41">
        <v>1014</v>
      </c>
      <c r="D2526" s="41" t="s">
        <v>368</v>
      </c>
      <c r="E2526" s="41">
        <v>10140008</v>
      </c>
      <c r="F2526" s="85" t="s">
        <v>372</v>
      </c>
      <c r="G2526" s="39" t="s">
        <v>92</v>
      </c>
      <c r="H2526" s="52" t="s">
        <v>93</v>
      </c>
      <c r="I2526" s="52">
        <v>518</v>
      </c>
      <c r="J2526" s="49">
        <v>20129.549999999996</v>
      </c>
      <c r="K2526" s="58">
        <v>517.9799999999999</v>
      </c>
      <c r="L2526" s="58">
        <v>20117.78</v>
      </c>
      <c r="M2526" s="58">
        <v>0</v>
      </c>
      <c r="N2526" s="58">
        <v>0</v>
      </c>
      <c r="O2526" s="58">
        <v>517.9799999999999</v>
      </c>
      <c r="P2526" s="53">
        <v>20117.78</v>
      </c>
      <c r="Q2526" s="65">
        <v>20117.78</v>
      </c>
      <c r="R2526" s="65">
        <v>0</v>
      </c>
      <c r="S2526" s="65">
        <v>0</v>
      </c>
      <c r="T2526" s="65">
        <v>0</v>
      </c>
      <c r="U2526" s="58">
        <v>0</v>
      </c>
      <c r="V2526" s="65">
        <v>0</v>
      </c>
      <c r="W2526" s="65">
        <v>0</v>
      </c>
      <c r="X2526" s="65">
        <v>20116</v>
      </c>
      <c r="Y2526" s="65">
        <v>0</v>
      </c>
      <c r="Z2526" s="51">
        <v>0</v>
      </c>
      <c r="AA2526" s="51">
        <v>14</v>
      </c>
      <c r="AB2526" s="102">
        <v>0</v>
      </c>
      <c r="AC2526" s="81">
        <f t="shared" si="120"/>
        <v>141.45089189189184</v>
      </c>
      <c r="AD2526" s="82">
        <f t="shared" si="121"/>
        <v>74</v>
      </c>
      <c r="AE2526" s="218">
        <v>5.8471252462160357E-4</v>
      </c>
      <c r="AF2526">
        <v>12</v>
      </c>
      <c r="AH2526" t="str">
        <f t="shared" si="122"/>
        <v>Dumraon</v>
      </c>
      <c r="AJ2526" s="72">
        <v>0</v>
      </c>
      <c r="AK2526" s="72"/>
      <c r="AL2526" s="72"/>
      <c r="AM2526" s="72"/>
    </row>
    <row r="2527" spans="1:39" x14ac:dyDescent="0.25">
      <c r="A2527" s="37" t="s">
        <v>62</v>
      </c>
      <c r="B2527" s="66" t="s">
        <v>1654</v>
      </c>
      <c r="C2527" s="41">
        <v>1014</v>
      </c>
      <c r="D2527" s="41" t="s">
        <v>368</v>
      </c>
      <c r="E2527" s="41">
        <v>10140009</v>
      </c>
      <c r="F2527" s="85" t="s">
        <v>373</v>
      </c>
      <c r="G2527" s="39" t="s">
        <v>92</v>
      </c>
      <c r="H2527" s="52" t="s">
        <v>93</v>
      </c>
      <c r="I2527" s="52">
        <v>1105.3</v>
      </c>
      <c r="J2527" s="49">
        <v>46869.200000000004</v>
      </c>
      <c r="K2527" s="58">
        <v>1133.0899999999999</v>
      </c>
      <c r="L2527" s="58">
        <v>49785.9</v>
      </c>
      <c r="M2527" s="58">
        <v>0</v>
      </c>
      <c r="N2527" s="58">
        <v>0</v>
      </c>
      <c r="O2527" s="58">
        <v>1133.0899999999999</v>
      </c>
      <c r="P2527" s="53">
        <v>49785.9</v>
      </c>
      <c r="Q2527" s="65">
        <v>46869.200000000004</v>
      </c>
      <c r="R2527" s="65">
        <v>0</v>
      </c>
      <c r="S2527" s="65">
        <v>0</v>
      </c>
      <c r="T2527" s="65">
        <v>2916.6999999999971</v>
      </c>
      <c r="U2527" s="58">
        <v>0</v>
      </c>
      <c r="V2527" s="65">
        <v>0</v>
      </c>
      <c r="W2527" s="65">
        <v>0</v>
      </c>
      <c r="X2527" s="65">
        <v>46869</v>
      </c>
      <c r="Y2527" s="65">
        <v>0</v>
      </c>
      <c r="Z2527" s="51">
        <v>0</v>
      </c>
      <c r="AA2527" s="51">
        <v>0</v>
      </c>
      <c r="AB2527" s="102">
        <v>0</v>
      </c>
      <c r="AC2527" s="81">
        <f t="shared" si="120"/>
        <v>0</v>
      </c>
      <c r="AD2527" s="82">
        <f t="shared" si="121"/>
        <v>0</v>
      </c>
      <c r="AE2527" s="218">
        <v>-6.22306333370315E-2</v>
      </c>
      <c r="AF2527">
        <v>7</v>
      </c>
      <c r="AH2527" t="str">
        <f t="shared" si="122"/>
        <v>Dumraon</v>
      </c>
      <c r="AJ2527" s="72">
        <v>0</v>
      </c>
      <c r="AK2527" s="72"/>
      <c r="AL2527" s="72"/>
      <c r="AM2527" s="72"/>
    </row>
    <row r="2528" spans="1:39" x14ac:dyDescent="0.25">
      <c r="A2528" s="37" t="s">
        <v>62</v>
      </c>
      <c r="B2528" s="66" t="s">
        <v>1654</v>
      </c>
      <c r="C2528" s="41">
        <v>1014</v>
      </c>
      <c r="D2528" s="41" t="s">
        <v>368</v>
      </c>
      <c r="E2528" s="41">
        <v>10140011</v>
      </c>
      <c r="F2528" s="85" t="s">
        <v>374</v>
      </c>
      <c r="G2528" s="39" t="s">
        <v>92</v>
      </c>
      <c r="H2528" s="52" t="s">
        <v>93</v>
      </c>
      <c r="I2528" s="52">
        <v>201.2</v>
      </c>
      <c r="J2528" s="49">
        <v>6259.3499999999995</v>
      </c>
      <c r="K2528" s="58">
        <v>200</v>
      </c>
      <c r="L2528" s="58">
        <v>6236</v>
      </c>
      <c r="M2528" s="58">
        <v>0</v>
      </c>
      <c r="N2528" s="58">
        <v>0</v>
      </c>
      <c r="O2528" s="58">
        <v>200</v>
      </c>
      <c r="P2528" s="53">
        <v>6236</v>
      </c>
      <c r="Q2528" s="65">
        <v>6236</v>
      </c>
      <c r="R2528" s="65">
        <v>0</v>
      </c>
      <c r="S2528" s="65">
        <v>0</v>
      </c>
      <c r="T2528" s="65">
        <v>0</v>
      </c>
      <c r="U2528" s="58">
        <v>0</v>
      </c>
      <c r="V2528" s="65">
        <v>0</v>
      </c>
      <c r="W2528" s="65">
        <v>0</v>
      </c>
      <c r="X2528" s="65">
        <v>6236</v>
      </c>
      <c r="Y2528" s="65">
        <v>0</v>
      </c>
      <c r="Z2528" s="51">
        <v>0</v>
      </c>
      <c r="AA2528" s="51">
        <v>23</v>
      </c>
      <c r="AB2528" s="102" t="s">
        <v>68</v>
      </c>
      <c r="AC2528" s="81">
        <f t="shared" si="120"/>
        <v>310.35425248508949</v>
      </c>
      <c r="AD2528" s="82">
        <f t="shared" si="121"/>
        <v>28.74285714285714</v>
      </c>
      <c r="AE2528" s="218">
        <v>3.7304192927379771E-3</v>
      </c>
      <c r="AF2528">
        <v>1</v>
      </c>
      <c r="AH2528" t="str">
        <f t="shared" si="122"/>
        <v>Dumraon</v>
      </c>
      <c r="AJ2528" s="72">
        <v>0</v>
      </c>
      <c r="AK2528" s="72"/>
      <c r="AL2528" s="72"/>
      <c r="AM2528" s="72"/>
    </row>
    <row r="2529" spans="1:39" x14ac:dyDescent="0.25">
      <c r="A2529" s="37" t="s">
        <v>62</v>
      </c>
      <c r="B2529" s="66" t="s">
        <v>1654</v>
      </c>
      <c r="C2529" s="41">
        <v>1014</v>
      </c>
      <c r="D2529" s="41" t="s">
        <v>368</v>
      </c>
      <c r="E2529" s="41">
        <v>10140012</v>
      </c>
      <c r="F2529" s="85" t="s">
        <v>375</v>
      </c>
      <c r="G2529" s="39" t="s">
        <v>92</v>
      </c>
      <c r="H2529" s="52" t="s">
        <v>93</v>
      </c>
      <c r="I2529" s="52">
        <v>1495.7</v>
      </c>
      <c r="J2529" s="49">
        <v>68848.210000000006</v>
      </c>
      <c r="K2529" s="58">
        <v>1480.6099999999997</v>
      </c>
      <c r="L2529" s="58">
        <v>69476.73000000001</v>
      </c>
      <c r="M2529" s="58">
        <v>6.910000000000001</v>
      </c>
      <c r="N2529" s="58">
        <v>259.52999999999997</v>
      </c>
      <c r="O2529" s="58">
        <v>1487.5199999999998</v>
      </c>
      <c r="P2529" s="53">
        <v>69736.260000000009</v>
      </c>
      <c r="Q2529" s="65">
        <v>68848.210000000006</v>
      </c>
      <c r="R2529" s="65">
        <v>0</v>
      </c>
      <c r="S2529" s="65">
        <v>259.52999999999997</v>
      </c>
      <c r="T2529" s="65">
        <v>888.05000000000291</v>
      </c>
      <c r="U2529" s="58">
        <v>0</v>
      </c>
      <c r="V2529" s="65">
        <v>0</v>
      </c>
      <c r="W2529" s="65">
        <v>0</v>
      </c>
      <c r="X2529" s="65">
        <v>68588</v>
      </c>
      <c r="Y2529" s="65">
        <v>0</v>
      </c>
      <c r="Z2529" s="51">
        <v>0</v>
      </c>
      <c r="AA2529" s="51">
        <v>1</v>
      </c>
      <c r="AB2529" s="102">
        <v>0</v>
      </c>
      <c r="AC2529" s="81">
        <f t="shared" si="120"/>
        <v>0</v>
      </c>
      <c r="AD2529" s="82">
        <f t="shared" si="121"/>
        <v>0</v>
      </c>
      <c r="AE2529" s="218">
        <v>-1.2898665048808136E-2</v>
      </c>
      <c r="AF2529">
        <v>25</v>
      </c>
      <c r="AH2529" t="str">
        <f t="shared" si="122"/>
        <v>Dumraon</v>
      </c>
      <c r="AJ2529" s="72">
        <v>0</v>
      </c>
      <c r="AK2529" s="72"/>
      <c r="AL2529" s="72"/>
      <c r="AM2529" s="72"/>
    </row>
    <row r="2530" spans="1:39" x14ac:dyDescent="0.25">
      <c r="A2530" s="37" t="s">
        <v>62</v>
      </c>
      <c r="B2530" s="66" t="s">
        <v>1654</v>
      </c>
      <c r="C2530" s="41">
        <v>1014</v>
      </c>
      <c r="D2530" s="41" t="s">
        <v>368</v>
      </c>
      <c r="E2530" s="41">
        <v>10140013</v>
      </c>
      <c r="F2530" s="85" t="s">
        <v>376</v>
      </c>
      <c r="G2530" s="39" t="s">
        <v>92</v>
      </c>
      <c r="H2530" s="52" t="s">
        <v>93</v>
      </c>
      <c r="I2530" s="52">
        <v>2663.4000000000005</v>
      </c>
      <c r="J2530" s="49">
        <v>108861.41</v>
      </c>
      <c r="K2530" s="58">
        <v>2997.8</v>
      </c>
      <c r="L2530" s="58">
        <v>108653.20000000001</v>
      </c>
      <c r="M2530" s="58">
        <v>5.2</v>
      </c>
      <c r="N2530" s="58">
        <v>177.11</v>
      </c>
      <c r="O2530" s="58">
        <v>3003</v>
      </c>
      <c r="P2530" s="53">
        <v>108830.31000000001</v>
      </c>
      <c r="Q2530" s="65">
        <v>108830.31000000001</v>
      </c>
      <c r="R2530" s="65">
        <v>0</v>
      </c>
      <c r="S2530" s="65">
        <v>177.11</v>
      </c>
      <c r="T2530" s="65">
        <v>0</v>
      </c>
      <c r="U2530" s="58">
        <v>0</v>
      </c>
      <c r="V2530" s="65">
        <v>0</v>
      </c>
      <c r="W2530" s="65">
        <v>0</v>
      </c>
      <c r="X2530" s="65">
        <v>108653</v>
      </c>
      <c r="Y2530" s="65">
        <v>0</v>
      </c>
      <c r="Z2530" s="51">
        <v>0</v>
      </c>
      <c r="AA2530" s="51">
        <v>31</v>
      </c>
      <c r="AB2530" s="102">
        <v>0</v>
      </c>
      <c r="AC2530" s="81">
        <f t="shared" si="120"/>
        <v>0</v>
      </c>
      <c r="AD2530" s="82">
        <f t="shared" si="121"/>
        <v>0</v>
      </c>
      <c r="AE2530" s="218">
        <v>2.8568433938152432E-4</v>
      </c>
      <c r="AF2530">
        <v>7</v>
      </c>
      <c r="AH2530" t="str">
        <f t="shared" si="122"/>
        <v>Dumraon</v>
      </c>
      <c r="AJ2530" s="72">
        <v>0</v>
      </c>
      <c r="AK2530" s="72"/>
      <c r="AL2530" s="72"/>
      <c r="AM2530" s="72"/>
    </row>
    <row r="2531" spans="1:39" x14ac:dyDescent="0.25">
      <c r="A2531" s="37" t="s">
        <v>62</v>
      </c>
      <c r="B2531" s="66" t="s">
        <v>1654</v>
      </c>
      <c r="C2531" s="41">
        <v>1014</v>
      </c>
      <c r="D2531" s="41" t="s">
        <v>368</v>
      </c>
      <c r="E2531" s="41">
        <v>10140018</v>
      </c>
      <c r="F2531" s="85" t="s">
        <v>1119</v>
      </c>
      <c r="G2531" s="39" t="s">
        <v>92</v>
      </c>
      <c r="H2531" s="52" t="s">
        <v>93</v>
      </c>
      <c r="I2531" s="52">
        <v>235.7</v>
      </c>
      <c r="J2531" s="49">
        <v>13084.659999999998</v>
      </c>
      <c r="K2531" s="58">
        <v>233</v>
      </c>
      <c r="L2531" s="58">
        <v>13068.97</v>
      </c>
      <c r="M2531" s="58">
        <v>0</v>
      </c>
      <c r="N2531" s="58">
        <v>0</v>
      </c>
      <c r="O2531" s="58">
        <v>233</v>
      </c>
      <c r="P2531" s="53">
        <v>13068.97</v>
      </c>
      <c r="Q2531" s="65">
        <v>13068.97</v>
      </c>
      <c r="R2531" s="65">
        <v>0</v>
      </c>
      <c r="S2531" s="65">
        <v>0</v>
      </c>
      <c r="T2531" s="65">
        <v>0</v>
      </c>
      <c r="U2531" s="58">
        <v>6650</v>
      </c>
      <c r="V2531" s="65">
        <v>0</v>
      </c>
      <c r="W2531" s="65">
        <v>0</v>
      </c>
      <c r="X2531" s="65">
        <v>6419</v>
      </c>
      <c r="Y2531" s="65">
        <v>0</v>
      </c>
      <c r="Z2531" s="51">
        <v>0</v>
      </c>
      <c r="AA2531" s="51">
        <v>16</v>
      </c>
      <c r="AB2531" s="102">
        <v>0</v>
      </c>
      <c r="AC2531" s="81">
        <f t="shared" si="120"/>
        <v>515.50340585490017</v>
      </c>
      <c r="AD2531" s="82">
        <f t="shared" si="121"/>
        <v>33.671428571428571</v>
      </c>
      <c r="AE2531" s="218">
        <v>1.1991140770947577E-3</v>
      </c>
      <c r="AF2531">
        <v>2</v>
      </c>
      <c r="AH2531" t="str">
        <f t="shared" si="122"/>
        <v>Dumraon</v>
      </c>
      <c r="AJ2531" s="72">
        <v>0</v>
      </c>
      <c r="AK2531" s="72"/>
      <c r="AL2531" s="72"/>
      <c r="AM2531" s="72"/>
    </row>
    <row r="2532" spans="1:39" x14ac:dyDescent="0.25">
      <c r="A2532" s="37" t="s">
        <v>62</v>
      </c>
      <c r="B2532" s="66" t="s">
        <v>1654</v>
      </c>
      <c r="C2532" s="41">
        <v>1014</v>
      </c>
      <c r="D2532" s="41" t="s">
        <v>368</v>
      </c>
      <c r="E2532" s="41">
        <v>10140020</v>
      </c>
      <c r="F2532" s="85" t="s">
        <v>1237</v>
      </c>
      <c r="G2532" s="39" t="s">
        <v>92</v>
      </c>
      <c r="H2532" s="52" t="s">
        <v>93</v>
      </c>
      <c r="I2532" s="52">
        <v>20</v>
      </c>
      <c r="J2532" s="49">
        <v>717.84</v>
      </c>
      <c r="K2532" s="58">
        <v>20</v>
      </c>
      <c r="L2532" s="58">
        <v>715.4</v>
      </c>
      <c r="M2532" s="58">
        <v>0</v>
      </c>
      <c r="N2532" s="58">
        <v>0</v>
      </c>
      <c r="O2532" s="58">
        <v>20</v>
      </c>
      <c r="P2532" s="53">
        <v>715.4</v>
      </c>
      <c r="Q2532" s="65">
        <v>715.4</v>
      </c>
      <c r="R2532" s="65">
        <v>0</v>
      </c>
      <c r="S2532" s="65">
        <v>0</v>
      </c>
      <c r="T2532" s="65">
        <v>0</v>
      </c>
      <c r="U2532" s="58">
        <v>0</v>
      </c>
      <c r="V2532" s="65">
        <v>500</v>
      </c>
      <c r="W2532" s="65">
        <v>0</v>
      </c>
      <c r="X2532" s="65">
        <v>216</v>
      </c>
      <c r="Y2532" s="65">
        <v>0</v>
      </c>
      <c r="Z2532" s="51">
        <v>0</v>
      </c>
      <c r="AA2532" s="51">
        <v>2</v>
      </c>
      <c r="AB2532" s="102" t="s">
        <v>66</v>
      </c>
      <c r="AC2532" s="81">
        <f t="shared" si="120"/>
        <v>488.13120000000004</v>
      </c>
      <c r="AD2532" s="82">
        <f t="shared" si="121"/>
        <v>2.8571428571428572</v>
      </c>
      <c r="AE2532" s="218">
        <v>3.3990861473309573E-3</v>
      </c>
      <c r="AF2532">
        <v>2</v>
      </c>
      <c r="AH2532" t="str">
        <f t="shared" si="122"/>
        <v>Dumraon</v>
      </c>
      <c r="AJ2532" s="72">
        <v>500</v>
      </c>
      <c r="AK2532" s="72"/>
      <c r="AL2532" s="72"/>
      <c r="AM2532" s="72"/>
    </row>
    <row r="2533" spans="1:39" x14ac:dyDescent="0.25">
      <c r="A2533" s="37" t="s">
        <v>62</v>
      </c>
      <c r="B2533" s="66" t="s">
        <v>1654</v>
      </c>
      <c r="C2533" s="41">
        <v>1014</v>
      </c>
      <c r="D2533" s="41" t="s">
        <v>368</v>
      </c>
      <c r="E2533" s="41">
        <v>10140022</v>
      </c>
      <c r="F2533" s="85" t="s">
        <v>377</v>
      </c>
      <c r="G2533" s="39" t="s">
        <v>92</v>
      </c>
      <c r="H2533" s="52" t="s">
        <v>93</v>
      </c>
      <c r="I2533" s="52">
        <v>528.50000000000011</v>
      </c>
      <c r="J2533" s="49">
        <v>19801.14</v>
      </c>
      <c r="K2533" s="58">
        <v>523.43999999999994</v>
      </c>
      <c r="L2533" s="58">
        <v>20487.61</v>
      </c>
      <c r="M2533" s="58">
        <v>0</v>
      </c>
      <c r="N2533" s="58">
        <v>0</v>
      </c>
      <c r="O2533" s="58">
        <v>523.43999999999994</v>
      </c>
      <c r="P2533" s="53">
        <v>20487.61</v>
      </c>
      <c r="Q2533" s="65">
        <v>19801.14</v>
      </c>
      <c r="R2533" s="65">
        <v>0</v>
      </c>
      <c r="S2533" s="65">
        <v>0</v>
      </c>
      <c r="T2533" s="65">
        <v>686.47000000000116</v>
      </c>
      <c r="U2533" s="58">
        <v>0</v>
      </c>
      <c r="V2533" s="65">
        <v>0</v>
      </c>
      <c r="W2533" s="65">
        <v>0</v>
      </c>
      <c r="X2533" s="65">
        <v>19801</v>
      </c>
      <c r="Y2533" s="65">
        <v>0</v>
      </c>
      <c r="Z2533" s="51">
        <v>0</v>
      </c>
      <c r="AA2533" s="51">
        <v>0</v>
      </c>
      <c r="AB2533" s="102">
        <v>0</v>
      </c>
      <c r="AC2533" s="81">
        <f t="shared" si="120"/>
        <v>128.51070993377473</v>
      </c>
      <c r="AD2533" s="82">
        <f t="shared" si="121"/>
        <v>75.500000000000014</v>
      </c>
      <c r="AE2533" s="218">
        <v>-3.4668205971979449E-2</v>
      </c>
      <c r="AF2533">
        <v>3</v>
      </c>
      <c r="AH2533" t="str">
        <f t="shared" si="122"/>
        <v>Dumraon</v>
      </c>
      <c r="AJ2533" s="72">
        <v>0</v>
      </c>
      <c r="AK2533" s="72"/>
      <c r="AL2533" s="72"/>
      <c r="AM2533" s="72"/>
    </row>
    <row r="2534" spans="1:39" x14ac:dyDescent="0.25">
      <c r="A2534" s="37" t="s">
        <v>62</v>
      </c>
      <c r="B2534" s="66" t="s">
        <v>1654</v>
      </c>
      <c r="C2534" s="41">
        <v>1014</v>
      </c>
      <c r="D2534" s="41" t="s">
        <v>368</v>
      </c>
      <c r="E2534" s="41">
        <v>10140032</v>
      </c>
      <c r="F2534" s="85" t="s">
        <v>378</v>
      </c>
      <c r="G2534" s="39" t="s">
        <v>92</v>
      </c>
      <c r="H2534" s="52" t="s">
        <v>93</v>
      </c>
      <c r="I2534" s="52">
        <v>355.50000000000006</v>
      </c>
      <c r="J2534" s="49">
        <v>12105.189999999999</v>
      </c>
      <c r="K2534" s="58">
        <v>354.7</v>
      </c>
      <c r="L2534" s="58">
        <v>12095.27</v>
      </c>
      <c r="M2534" s="58">
        <v>0</v>
      </c>
      <c r="N2534" s="58">
        <v>0</v>
      </c>
      <c r="O2534" s="58">
        <v>354.7</v>
      </c>
      <c r="P2534" s="53">
        <v>12095.27</v>
      </c>
      <c r="Q2534" s="65">
        <v>12095.27</v>
      </c>
      <c r="R2534" s="65">
        <v>0</v>
      </c>
      <c r="S2534" s="65">
        <v>0</v>
      </c>
      <c r="T2534" s="65">
        <v>0</v>
      </c>
      <c r="U2534" s="58">
        <v>0</v>
      </c>
      <c r="V2534" s="65">
        <v>500</v>
      </c>
      <c r="W2534" s="65">
        <v>0</v>
      </c>
      <c r="X2534" s="65">
        <v>11595</v>
      </c>
      <c r="Y2534" s="65">
        <v>0</v>
      </c>
      <c r="Z2534" s="51">
        <v>0</v>
      </c>
      <c r="AA2534" s="51">
        <v>10</v>
      </c>
      <c r="AB2534" s="102">
        <v>0</v>
      </c>
      <c r="AC2534" s="81">
        <f t="shared" si="120"/>
        <v>234.61254317862154</v>
      </c>
      <c r="AD2534" s="82">
        <f t="shared" si="121"/>
        <v>50.785714285714292</v>
      </c>
      <c r="AE2534" s="218">
        <v>8.1948321339840634E-4</v>
      </c>
      <c r="AF2534">
        <v>2</v>
      </c>
      <c r="AH2534" t="str">
        <f t="shared" si="122"/>
        <v>Dumraon</v>
      </c>
      <c r="AJ2534" s="72">
        <v>500</v>
      </c>
      <c r="AK2534" s="72"/>
      <c r="AL2534" s="72"/>
      <c r="AM2534" s="72"/>
    </row>
    <row r="2535" spans="1:39" x14ac:dyDescent="0.25">
      <c r="A2535" s="37" t="s">
        <v>62</v>
      </c>
      <c r="B2535" s="66" t="s">
        <v>1654</v>
      </c>
      <c r="C2535" s="41">
        <v>1014</v>
      </c>
      <c r="D2535" s="41" t="s">
        <v>368</v>
      </c>
      <c r="E2535" s="41">
        <v>10140033</v>
      </c>
      <c r="F2535" s="85" t="s">
        <v>379</v>
      </c>
      <c r="G2535" s="39" t="s">
        <v>92</v>
      </c>
      <c r="H2535" s="52" t="s">
        <v>93</v>
      </c>
      <c r="I2535" s="52">
        <v>18.7</v>
      </c>
      <c r="J2535" s="49">
        <v>652.38</v>
      </c>
      <c r="K2535" s="58">
        <v>18.100000000000001</v>
      </c>
      <c r="L2535" s="58">
        <v>651.6</v>
      </c>
      <c r="M2535" s="58">
        <v>0</v>
      </c>
      <c r="N2535" s="58">
        <v>0</v>
      </c>
      <c r="O2535" s="58">
        <v>18.100000000000001</v>
      </c>
      <c r="P2535" s="53">
        <v>651.6</v>
      </c>
      <c r="Q2535" s="65">
        <v>651.6</v>
      </c>
      <c r="R2535" s="65">
        <v>0</v>
      </c>
      <c r="S2535" s="65">
        <v>0</v>
      </c>
      <c r="T2535" s="65">
        <v>0</v>
      </c>
      <c r="U2535" s="58">
        <v>0</v>
      </c>
      <c r="V2535" s="65">
        <v>0</v>
      </c>
      <c r="W2535" s="65">
        <v>0</v>
      </c>
      <c r="X2535" s="65">
        <v>652</v>
      </c>
      <c r="Y2535" s="65">
        <v>0</v>
      </c>
      <c r="Z2535" s="51">
        <v>0</v>
      </c>
      <c r="AA2535" s="51">
        <v>0</v>
      </c>
      <c r="AB2535" s="102">
        <v>0</v>
      </c>
      <c r="AC2535" s="81">
        <f t="shared" si="120"/>
        <v>475.36523422459896</v>
      </c>
      <c r="AD2535" s="82">
        <f t="shared" si="121"/>
        <v>2.6714285714285713</v>
      </c>
      <c r="AE2535" s="218">
        <v>1.1956221833900069E-3</v>
      </c>
      <c r="AF2535">
        <v>1</v>
      </c>
      <c r="AH2535" t="str">
        <f t="shared" si="122"/>
        <v>Dumraon</v>
      </c>
      <c r="AJ2535" s="72">
        <v>0</v>
      </c>
      <c r="AK2535" s="72"/>
      <c r="AL2535" s="72"/>
      <c r="AM2535" s="72"/>
    </row>
    <row r="2536" spans="1:39" x14ac:dyDescent="0.25">
      <c r="A2536" s="37" t="s">
        <v>62</v>
      </c>
      <c r="B2536" s="66" t="s">
        <v>1654</v>
      </c>
      <c r="C2536" s="41">
        <v>1014</v>
      </c>
      <c r="D2536" s="41" t="s">
        <v>368</v>
      </c>
      <c r="E2536" s="41">
        <v>10140034</v>
      </c>
      <c r="F2536" s="85" t="s">
        <v>380</v>
      </c>
      <c r="G2536" s="39" t="s">
        <v>92</v>
      </c>
      <c r="H2536" s="52" t="s">
        <v>93</v>
      </c>
      <c r="I2536" s="52">
        <v>358.1</v>
      </c>
      <c r="J2536" s="49">
        <v>13266.26</v>
      </c>
      <c r="K2536" s="58">
        <v>383.70000000000005</v>
      </c>
      <c r="L2536" s="58">
        <v>15638.42</v>
      </c>
      <c r="M2536" s="58">
        <v>5.2000000000000011</v>
      </c>
      <c r="N2536" s="58">
        <v>194.17</v>
      </c>
      <c r="O2536" s="58">
        <v>388.90000000000003</v>
      </c>
      <c r="P2536" s="53">
        <v>15832.59</v>
      </c>
      <c r="Q2536" s="65">
        <v>13266.26</v>
      </c>
      <c r="R2536" s="65">
        <v>0</v>
      </c>
      <c r="S2536" s="65">
        <v>194.17</v>
      </c>
      <c r="T2536" s="65">
        <v>2566.33</v>
      </c>
      <c r="U2536" s="58">
        <v>0</v>
      </c>
      <c r="V2536" s="65">
        <v>0</v>
      </c>
      <c r="W2536" s="65">
        <v>0</v>
      </c>
      <c r="X2536" s="65">
        <v>13072</v>
      </c>
      <c r="Y2536" s="65">
        <v>0</v>
      </c>
      <c r="Z2536" s="51">
        <v>0</v>
      </c>
      <c r="AA2536" s="51">
        <v>0</v>
      </c>
      <c r="AB2536" s="102">
        <v>0</v>
      </c>
      <c r="AC2536" s="81">
        <f t="shared" si="120"/>
        <v>253.32221692264733</v>
      </c>
      <c r="AD2536" s="82">
        <f t="shared" si="121"/>
        <v>51.157142857142858</v>
      </c>
      <c r="AE2536" s="218">
        <v>-0.19344788960867643</v>
      </c>
      <c r="AF2536">
        <v>4</v>
      </c>
      <c r="AH2536" t="str">
        <f t="shared" si="122"/>
        <v>Dumraon</v>
      </c>
      <c r="AJ2536" s="72">
        <v>0</v>
      </c>
      <c r="AK2536" s="72"/>
      <c r="AL2536" s="72"/>
      <c r="AM2536" s="72"/>
    </row>
    <row r="2537" spans="1:39" x14ac:dyDescent="0.25">
      <c r="A2537" s="37" t="s">
        <v>62</v>
      </c>
      <c r="B2537" s="66" t="s">
        <v>1654</v>
      </c>
      <c r="C2537" s="41">
        <v>1014</v>
      </c>
      <c r="D2537" s="41" t="s">
        <v>368</v>
      </c>
      <c r="E2537" s="41">
        <v>10140039</v>
      </c>
      <c r="F2537" s="85" t="s">
        <v>381</v>
      </c>
      <c r="G2537" s="39" t="s">
        <v>92</v>
      </c>
      <c r="H2537" s="52" t="s">
        <v>93</v>
      </c>
      <c r="I2537" s="52">
        <v>255.1</v>
      </c>
      <c r="J2537" s="49">
        <v>9998.7300000000014</v>
      </c>
      <c r="K2537" s="58">
        <v>254.80000000000007</v>
      </c>
      <c r="L2537" s="58">
        <v>9877.260000000002</v>
      </c>
      <c r="M2537" s="58">
        <v>3.9</v>
      </c>
      <c r="N2537" s="58">
        <v>143.54000000000002</v>
      </c>
      <c r="O2537" s="58">
        <v>258.70000000000005</v>
      </c>
      <c r="P2537" s="53">
        <v>10020.800000000003</v>
      </c>
      <c r="Q2537" s="65">
        <v>9998.7300000000014</v>
      </c>
      <c r="R2537" s="65">
        <v>0</v>
      </c>
      <c r="S2537" s="65">
        <v>143.54000000000002</v>
      </c>
      <c r="T2537" s="65">
        <v>22.070000000001528</v>
      </c>
      <c r="U2537" s="58">
        <v>0</v>
      </c>
      <c r="V2537" s="65">
        <v>0</v>
      </c>
      <c r="W2537" s="65">
        <v>0</v>
      </c>
      <c r="X2537" s="65">
        <v>9855</v>
      </c>
      <c r="Y2537" s="65">
        <v>0</v>
      </c>
      <c r="Z2537" s="51">
        <v>0</v>
      </c>
      <c r="AA2537" s="51">
        <v>0</v>
      </c>
      <c r="AB2537" s="102">
        <v>0</v>
      </c>
      <c r="AC2537" s="81">
        <f t="shared" si="120"/>
        <v>348.76009227753826</v>
      </c>
      <c r="AD2537" s="82">
        <f t="shared" si="121"/>
        <v>36.442857142857143</v>
      </c>
      <c r="AE2537" s="218">
        <v>-2.2072803246013769E-3</v>
      </c>
      <c r="AF2537">
        <v>9</v>
      </c>
      <c r="AH2537" t="str">
        <f t="shared" si="122"/>
        <v>Dumraon</v>
      </c>
      <c r="AJ2537" s="72">
        <v>0</v>
      </c>
      <c r="AK2537" s="72"/>
      <c r="AL2537" s="72"/>
      <c r="AM2537" s="72"/>
    </row>
    <row r="2538" spans="1:39" x14ac:dyDescent="0.25">
      <c r="A2538" s="37" t="s">
        <v>62</v>
      </c>
      <c r="B2538" s="66" t="s">
        <v>1654</v>
      </c>
      <c r="C2538" s="41">
        <v>1014</v>
      </c>
      <c r="D2538" s="41" t="s">
        <v>368</v>
      </c>
      <c r="E2538" s="41">
        <v>10140041</v>
      </c>
      <c r="F2538" s="85" t="s">
        <v>1561</v>
      </c>
      <c r="G2538" s="39" t="s">
        <v>92</v>
      </c>
      <c r="H2538" s="52" t="s">
        <v>93</v>
      </c>
      <c r="I2538" s="52">
        <v>443.09999999999997</v>
      </c>
      <c r="J2538" s="49">
        <v>16436.12</v>
      </c>
      <c r="K2538" s="58">
        <v>442.5</v>
      </c>
      <c r="L2538" s="58">
        <v>16403.75</v>
      </c>
      <c r="M2538" s="58">
        <v>0</v>
      </c>
      <c r="N2538" s="58">
        <v>0</v>
      </c>
      <c r="O2538" s="58">
        <v>442.5</v>
      </c>
      <c r="P2538" s="53">
        <v>16403.75</v>
      </c>
      <c r="Q2538" s="65">
        <v>16403.75</v>
      </c>
      <c r="R2538" s="65">
        <v>0</v>
      </c>
      <c r="S2538" s="65">
        <v>0</v>
      </c>
      <c r="T2538" s="65">
        <v>0</v>
      </c>
      <c r="U2538" s="58">
        <v>0</v>
      </c>
      <c r="V2538" s="65">
        <v>500</v>
      </c>
      <c r="W2538" s="65">
        <v>0</v>
      </c>
      <c r="X2538" s="65">
        <v>15904</v>
      </c>
      <c r="Y2538" s="65">
        <v>0</v>
      </c>
      <c r="Z2538" s="51">
        <v>0</v>
      </c>
      <c r="AA2538" s="51">
        <v>32</v>
      </c>
      <c r="AB2538" s="102">
        <v>0</v>
      </c>
      <c r="AC2538" s="81">
        <f t="shared" si="120"/>
        <v>190.58628878357032</v>
      </c>
      <c r="AD2538" s="82">
        <f t="shared" si="121"/>
        <v>63.3</v>
      </c>
      <c r="AE2538" s="218">
        <v>1.9694429098837795E-3</v>
      </c>
      <c r="AF2538">
        <v>2</v>
      </c>
      <c r="AH2538" t="str">
        <f t="shared" si="122"/>
        <v>Dumraon</v>
      </c>
      <c r="AJ2538" s="72">
        <v>500</v>
      </c>
      <c r="AK2538" s="72"/>
      <c r="AL2538" s="72"/>
      <c r="AM2538" s="72"/>
    </row>
    <row r="2539" spans="1:39" x14ac:dyDescent="0.25">
      <c r="A2539" s="37" t="s">
        <v>62</v>
      </c>
      <c r="B2539" s="66" t="s">
        <v>1654</v>
      </c>
      <c r="C2539" s="41">
        <v>1014</v>
      </c>
      <c r="D2539" s="41" t="s">
        <v>368</v>
      </c>
      <c r="E2539" s="41">
        <v>10140043</v>
      </c>
      <c r="F2539" s="85" t="s">
        <v>382</v>
      </c>
      <c r="G2539" s="39" t="s">
        <v>92</v>
      </c>
      <c r="H2539" s="52" t="s">
        <v>93</v>
      </c>
      <c r="I2539" s="52">
        <v>249.8</v>
      </c>
      <c r="J2539" s="49">
        <v>10879.14</v>
      </c>
      <c r="K2539" s="58">
        <v>279.8</v>
      </c>
      <c r="L2539" s="58">
        <v>12174.1</v>
      </c>
      <c r="M2539" s="58">
        <v>0</v>
      </c>
      <c r="N2539" s="58">
        <v>0</v>
      </c>
      <c r="O2539" s="58">
        <v>279.8</v>
      </c>
      <c r="P2539" s="53">
        <v>12174.1</v>
      </c>
      <c r="Q2539" s="65">
        <v>10879.14</v>
      </c>
      <c r="R2539" s="65">
        <v>0</v>
      </c>
      <c r="S2539" s="65">
        <v>0</v>
      </c>
      <c r="T2539" s="65">
        <v>1294.9600000000009</v>
      </c>
      <c r="U2539" s="58">
        <v>0</v>
      </c>
      <c r="V2539" s="65">
        <v>500</v>
      </c>
      <c r="W2539" s="65">
        <v>0</v>
      </c>
      <c r="X2539" s="65">
        <v>10379</v>
      </c>
      <c r="Y2539" s="65">
        <v>0</v>
      </c>
      <c r="Z2539" s="51">
        <v>0</v>
      </c>
      <c r="AA2539" s="51">
        <v>0</v>
      </c>
      <c r="AB2539" s="102" t="s">
        <v>66</v>
      </c>
      <c r="AC2539" s="81">
        <f t="shared" si="120"/>
        <v>392.13681569255408</v>
      </c>
      <c r="AD2539" s="82">
        <f t="shared" si="121"/>
        <v>35.68571428571429</v>
      </c>
      <c r="AE2539" s="218">
        <v>-0.11903146756085509</v>
      </c>
      <c r="AF2539">
        <v>2</v>
      </c>
      <c r="AH2539" t="str">
        <f t="shared" si="122"/>
        <v>Dumraon</v>
      </c>
      <c r="AJ2539" s="72">
        <v>500</v>
      </c>
      <c r="AK2539" s="72"/>
      <c r="AL2539" s="72"/>
      <c r="AM2539" s="72"/>
    </row>
    <row r="2540" spans="1:39" x14ac:dyDescent="0.25">
      <c r="A2540" s="37" t="s">
        <v>62</v>
      </c>
      <c r="B2540" s="66" t="s">
        <v>1654</v>
      </c>
      <c r="C2540" s="41">
        <v>1014</v>
      </c>
      <c r="D2540" s="41" t="s">
        <v>368</v>
      </c>
      <c r="E2540" s="41">
        <v>10140045</v>
      </c>
      <c r="F2540" s="85" t="s">
        <v>383</v>
      </c>
      <c r="G2540" s="39" t="s">
        <v>92</v>
      </c>
      <c r="H2540" s="52" t="s">
        <v>93</v>
      </c>
      <c r="I2540" s="52">
        <v>152</v>
      </c>
      <c r="J2540" s="49">
        <v>6138.8500000000013</v>
      </c>
      <c r="K2540" s="58">
        <v>253</v>
      </c>
      <c r="L2540" s="58">
        <v>10127.59</v>
      </c>
      <c r="M2540" s="58">
        <v>0</v>
      </c>
      <c r="N2540" s="58">
        <v>0</v>
      </c>
      <c r="O2540" s="58">
        <v>253</v>
      </c>
      <c r="P2540" s="53">
        <v>10127.59</v>
      </c>
      <c r="Q2540" s="65">
        <v>6138.8500000000013</v>
      </c>
      <c r="R2540" s="65">
        <v>0</v>
      </c>
      <c r="S2540" s="65">
        <v>0</v>
      </c>
      <c r="T2540" s="65">
        <v>3988.7399999999989</v>
      </c>
      <c r="U2540" s="58">
        <v>0</v>
      </c>
      <c r="V2540" s="65">
        <v>0</v>
      </c>
      <c r="W2540" s="65">
        <v>0</v>
      </c>
      <c r="X2540" s="65">
        <v>6139</v>
      </c>
      <c r="Y2540" s="65">
        <v>0</v>
      </c>
      <c r="Z2540" s="51">
        <v>0</v>
      </c>
      <c r="AA2540" s="51">
        <v>0</v>
      </c>
      <c r="AB2540" s="102">
        <v>0</v>
      </c>
      <c r="AC2540" s="81">
        <f t="shared" si="120"/>
        <v>442.6433947368422</v>
      </c>
      <c r="AD2540" s="82">
        <f t="shared" si="121"/>
        <v>21.714285714285715</v>
      </c>
      <c r="AE2540" s="218">
        <v>-0.64975361834871326</v>
      </c>
      <c r="AF2540">
        <v>2</v>
      </c>
      <c r="AH2540" t="str">
        <f t="shared" si="122"/>
        <v>Dumraon</v>
      </c>
      <c r="AJ2540" s="72">
        <v>0</v>
      </c>
      <c r="AK2540" s="72"/>
      <c r="AL2540" s="72"/>
      <c r="AM2540" s="72"/>
    </row>
    <row r="2541" spans="1:39" x14ac:dyDescent="0.25">
      <c r="A2541" s="37" t="s">
        <v>62</v>
      </c>
      <c r="B2541" s="66" t="s">
        <v>1654</v>
      </c>
      <c r="C2541" s="41">
        <v>1014</v>
      </c>
      <c r="D2541" s="41" t="s">
        <v>368</v>
      </c>
      <c r="E2541" s="41">
        <v>10140047</v>
      </c>
      <c r="F2541" s="85" t="s">
        <v>384</v>
      </c>
      <c r="G2541" s="39" t="s">
        <v>92</v>
      </c>
      <c r="H2541" s="52" t="s">
        <v>93</v>
      </c>
      <c r="I2541" s="52">
        <v>528.80000000000018</v>
      </c>
      <c r="J2541" s="49">
        <v>26078.180000000004</v>
      </c>
      <c r="K2541" s="58">
        <v>580.21</v>
      </c>
      <c r="L2541" s="58">
        <v>29681.539999999997</v>
      </c>
      <c r="M2541" s="58">
        <v>2.67</v>
      </c>
      <c r="N2541" s="58">
        <v>122.60000000000001</v>
      </c>
      <c r="O2541" s="58">
        <v>582.88</v>
      </c>
      <c r="P2541" s="53">
        <v>29804.139999999996</v>
      </c>
      <c r="Q2541" s="65">
        <v>26078.180000000004</v>
      </c>
      <c r="R2541" s="65">
        <v>0</v>
      </c>
      <c r="S2541" s="65">
        <v>122.60000000000001</v>
      </c>
      <c r="T2541" s="65">
        <v>3725.9599999999919</v>
      </c>
      <c r="U2541" s="58">
        <v>0</v>
      </c>
      <c r="V2541" s="65">
        <v>0</v>
      </c>
      <c r="W2541" s="65">
        <v>0</v>
      </c>
      <c r="X2541" s="65">
        <v>25955</v>
      </c>
      <c r="Y2541" s="65">
        <v>0</v>
      </c>
      <c r="Z2541" s="51">
        <v>0</v>
      </c>
      <c r="AA2541" s="51">
        <v>1</v>
      </c>
      <c r="AB2541" s="102">
        <v>0</v>
      </c>
      <c r="AC2541" s="81">
        <f t="shared" si="120"/>
        <v>168.85720181543093</v>
      </c>
      <c r="AD2541" s="82">
        <f t="shared" si="121"/>
        <v>75.542857142857173</v>
      </c>
      <c r="AE2541" s="218">
        <v>-0.14287653509562367</v>
      </c>
      <c r="AF2541">
        <v>4</v>
      </c>
      <c r="AH2541" t="str">
        <f t="shared" si="122"/>
        <v>Dumraon</v>
      </c>
      <c r="AJ2541" s="72">
        <v>0</v>
      </c>
      <c r="AK2541" s="72"/>
      <c r="AL2541" s="72"/>
      <c r="AM2541" s="72"/>
    </row>
    <row r="2542" spans="1:39" x14ac:dyDescent="0.25">
      <c r="A2542" s="37" t="s">
        <v>62</v>
      </c>
      <c r="B2542" s="66" t="s">
        <v>1654</v>
      </c>
      <c r="C2542" s="41">
        <v>1014</v>
      </c>
      <c r="D2542" s="41" t="s">
        <v>368</v>
      </c>
      <c r="E2542" s="41">
        <v>10140048</v>
      </c>
      <c r="F2542" s="85" t="s">
        <v>385</v>
      </c>
      <c r="G2542" s="39" t="s">
        <v>92</v>
      </c>
      <c r="H2542" s="52" t="s">
        <v>93</v>
      </c>
      <c r="I2542" s="52">
        <v>287</v>
      </c>
      <c r="J2542" s="49">
        <v>11661.550000000001</v>
      </c>
      <c r="K2542" s="58">
        <v>285.69</v>
      </c>
      <c r="L2542" s="58">
        <v>11705.49</v>
      </c>
      <c r="M2542" s="58">
        <v>0</v>
      </c>
      <c r="N2542" s="58">
        <v>0</v>
      </c>
      <c r="O2542" s="58">
        <v>285.69</v>
      </c>
      <c r="P2542" s="53">
        <v>11705.49</v>
      </c>
      <c r="Q2542" s="65">
        <v>11661.550000000001</v>
      </c>
      <c r="R2542" s="65">
        <v>0</v>
      </c>
      <c r="S2542" s="65">
        <v>0</v>
      </c>
      <c r="T2542" s="65">
        <v>43.93999999999869</v>
      </c>
      <c r="U2542" s="58">
        <v>0</v>
      </c>
      <c r="V2542" s="65">
        <v>0</v>
      </c>
      <c r="W2542" s="65">
        <v>0</v>
      </c>
      <c r="X2542" s="65">
        <v>11662</v>
      </c>
      <c r="Y2542" s="65">
        <v>0</v>
      </c>
      <c r="Z2542" s="51">
        <v>0</v>
      </c>
      <c r="AA2542" s="51">
        <v>0</v>
      </c>
      <c r="AB2542" s="102">
        <v>0</v>
      </c>
      <c r="AC2542" s="81">
        <f t="shared" si="120"/>
        <v>335.62509756097563</v>
      </c>
      <c r="AD2542" s="82">
        <f t="shared" si="121"/>
        <v>41</v>
      </c>
      <c r="AE2542" s="218">
        <v>-3.7679382243354172E-3</v>
      </c>
      <c r="AF2542">
        <v>2</v>
      </c>
      <c r="AH2542" t="str">
        <f t="shared" si="122"/>
        <v>Dumraon</v>
      </c>
      <c r="AJ2542" s="72">
        <v>0</v>
      </c>
      <c r="AK2542" s="72"/>
      <c r="AL2542" s="72"/>
      <c r="AM2542" s="72"/>
    </row>
    <row r="2543" spans="1:39" x14ac:dyDescent="0.25">
      <c r="A2543" s="37" t="s">
        <v>62</v>
      </c>
      <c r="B2543" s="66" t="s">
        <v>1654</v>
      </c>
      <c r="C2543" s="41">
        <v>1014</v>
      </c>
      <c r="D2543" s="41" t="s">
        <v>368</v>
      </c>
      <c r="E2543" s="41">
        <v>10140054</v>
      </c>
      <c r="F2543" s="85" t="s">
        <v>386</v>
      </c>
      <c r="G2543" s="39" t="s">
        <v>92</v>
      </c>
      <c r="H2543" s="52" t="s">
        <v>93</v>
      </c>
      <c r="I2543" s="52">
        <v>178.5</v>
      </c>
      <c r="J2543" s="49">
        <v>8321.01</v>
      </c>
      <c r="K2543" s="58">
        <v>176.61999999999998</v>
      </c>
      <c r="L2543" s="58">
        <v>8208.7999999999993</v>
      </c>
      <c r="M2543" s="58">
        <v>2.33</v>
      </c>
      <c r="N2543" s="58">
        <v>105.58999999999999</v>
      </c>
      <c r="O2543" s="58">
        <v>178.95</v>
      </c>
      <c r="P2543" s="53">
        <v>8314.39</v>
      </c>
      <c r="Q2543" s="65">
        <v>8314.39</v>
      </c>
      <c r="R2543" s="65">
        <v>0</v>
      </c>
      <c r="S2543" s="65">
        <v>105.58999999999999</v>
      </c>
      <c r="T2543" s="65">
        <v>0</v>
      </c>
      <c r="U2543" s="58">
        <v>0</v>
      </c>
      <c r="V2543" s="65">
        <v>0</v>
      </c>
      <c r="W2543" s="65">
        <v>0</v>
      </c>
      <c r="X2543" s="65">
        <v>8208</v>
      </c>
      <c r="Y2543" s="65">
        <v>0</v>
      </c>
      <c r="Z2543" s="51">
        <v>0</v>
      </c>
      <c r="AA2543" s="51">
        <v>7</v>
      </c>
      <c r="AB2543" s="102">
        <v>0</v>
      </c>
      <c r="AC2543" s="81">
        <f t="shared" si="120"/>
        <v>486.20803529411768</v>
      </c>
      <c r="AD2543" s="82">
        <f t="shared" si="121"/>
        <v>25.5</v>
      </c>
      <c r="AE2543" s="218">
        <v>7.9557649852611643E-4</v>
      </c>
      <c r="AF2543">
        <v>8</v>
      </c>
      <c r="AH2543" t="str">
        <f t="shared" si="122"/>
        <v>Dumraon</v>
      </c>
      <c r="AJ2543" s="72">
        <v>0</v>
      </c>
      <c r="AK2543" s="72"/>
      <c r="AL2543" s="72"/>
      <c r="AM2543" s="72"/>
    </row>
    <row r="2544" spans="1:39" x14ac:dyDescent="0.25">
      <c r="A2544" s="37" t="s">
        <v>62</v>
      </c>
      <c r="B2544" s="66" t="s">
        <v>1654</v>
      </c>
      <c r="C2544" s="41">
        <v>1014</v>
      </c>
      <c r="D2544" s="41" t="s">
        <v>368</v>
      </c>
      <c r="E2544" s="41">
        <v>10140055</v>
      </c>
      <c r="F2544" s="85" t="s">
        <v>387</v>
      </c>
      <c r="G2544" s="39" t="s">
        <v>92</v>
      </c>
      <c r="H2544" s="52" t="s">
        <v>93</v>
      </c>
      <c r="I2544" s="52">
        <v>236.39999999999998</v>
      </c>
      <c r="J2544" s="49">
        <v>9023.57</v>
      </c>
      <c r="K2544" s="58">
        <v>236.8</v>
      </c>
      <c r="L2544" s="58">
        <v>9019.7100000000009</v>
      </c>
      <c r="M2544" s="58">
        <v>0</v>
      </c>
      <c r="N2544" s="58">
        <v>0</v>
      </c>
      <c r="O2544" s="58">
        <v>236.8</v>
      </c>
      <c r="P2544" s="53">
        <v>9019.7100000000009</v>
      </c>
      <c r="Q2544" s="65">
        <v>9019.7100000000009</v>
      </c>
      <c r="R2544" s="65">
        <v>0</v>
      </c>
      <c r="S2544" s="65">
        <v>0</v>
      </c>
      <c r="T2544" s="65">
        <v>0</v>
      </c>
      <c r="U2544" s="58">
        <v>2660</v>
      </c>
      <c r="V2544" s="65">
        <v>0</v>
      </c>
      <c r="W2544" s="65">
        <v>0</v>
      </c>
      <c r="X2544" s="65">
        <v>6359</v>
      </c>
      <c r="Y2544" s="65">
        <v>0</v>
      </c>
      <c r="Z2544" s="51">
        <v>0</v>
      </c>
      <c r="AA2544" s="51">
        <v>5</v>
      </c>
      <c r="AB2544" s="102">
        <v>0</v>
      </c>
      <c r="AC2544" s="81">
        <f t="shared" si="120"/>
        <v>353.91937834179362</v>
      </c>
      <c r="AD2544" s="82">
        <f t="shared" si="121"/>
        <v>33.771428571428565</v>
      </c>
      <c r="AE2544" s="218">
        <v>4.2776861042788644E-4</v>
      </c>
      <c r="AF2544">
        <v>2</v>
      </c>
      <c r="AH2544" t="str">
        <f t="shared" si="122"/>
        <v>Dumraon</v>
      </c>
      <c r="AJ2544" s="72">
        <v>0</v>
      </c>
      <c r="AK2544" s="72"/>
      <c r="AL2544" s="72"/>
      <c r="AM2544" s="72"/>
    </row>
    <row r="2545" spans="1:39" x14ac:dyDescent="0.25">
      <c r="A2545" s="37" t="s">
        <v>62</v>
      </c>
      <c r="B2545" s="66" t="s">
        <v>1654</v>
      </c>
      <c r="C2545" s="41">
        <v>1014</v>
      </c>
      <c r="D2545" s="41" t="s">
        <v>368</v>
      </c>
      <c r="E2545" s="41">
        <v>10140058</v>
      </c>
      <c r="F2545" s="85" t="s">
        <v>1646</v>
      </c>
      <c r="G2545" s="39" t="s">
        <v>92</v>
      </c>
      <c r="H2545" s="52" t="s">
        <v>93</v>
      </c>
      <c r="I2545" s="52">
        <v>120.89999999999999</v>
      </c>
      <c r="J2545" s="49">
        <v>4621.84</v>
      </c>
      <c r="K2545" s="58">
        <v>120</v>
      </c>
      <c r="L2545" s="58">
        <v>4620</v>
      </c>
      <c r="M2545" s="58">
        <v>0</v>
      </c>
      <c r="N2545" s="58">
        <v>0</v>
      </c>
      <c r="O2545" s="58">
        <v>120</v>
      </c>
      <c r="P2545" s="53">
        <v>4620</v>
      </c>
      <c r="Q2545" s="65">
        <v>4620</v>
      </c>
      <c r="R2545" s="65">
        <v>0</v>
      </c>
      <c r="S2545" s="65">
        <v>0</v>
      </c>
      <c r="T2545" s="65">
        <v>0</v>
      </c>
      <c r="U2545" s="58">
        <v>0</v>
      </c>
      <c r="V2545" s="65">
        <v>0</v>
      </c>
      <c r="W2545" s="65">
        <v>0</v>
      </c>
      <c r="X2545" s="65">
        <v>4620</v>
      </c>
      <c r="Y2545" s="65">
        <v>0</v>
      </c>
      <c r="Z2545" s="51">
        <v>0</v>
      </c>
      <c r="AA2545" s="51">
        <v>2</v>
      </c>
      <c r="AB2545" s="102">
        <v>0</v>
      </c>
      <c r="AC2545" s="81">
        <f t="shared" si="120"/>
        <v>442.76386170388759</v>
      </c>
      <c r="AD2545" s="82">
        <f t="shared" si="121"/>
        <v>17.271428571428569</v>
      </c>
      <c r="AE2545" s="218">
        <v>3.9810984369864503E-4</v>
      </c>
      <c r="AF2545">
        <v>1</v>
      </c>
      <c r="AH2545" t="str">
        <f t="shared" si="122"/>
        <v>Dumraon</v>
      </c>
      <c r="AJ2545" s="72">
        <v>0</v>
      </c>
      <c r="AK2545" s="72"/>
      <c r="AL2545" s="72"/>
      <c r="AM2545" s="72"/>
    </row>
    <row r="2546" spans="1:39" x14ac:dyDescent="0.25">
      <c r="A2546" s="37" t="s">
        <v>62</v>
      </c>
      <c r="B2546" s="66" t="s">
        <v>1654</v>
      </c>
      <c r="C2546" s="41">
        <v>1014</v>
      </c>
      <c r="D2546" s="41" t="s">
        <v>368</v>
      </c>
      <c r="E2546" s="41">
        <v>10140066</v>
      </c>
      <c r="F2546" s="85" t="s">
        <v>388</v>
      </c>
      <c r="G2546" s="39" t="s">
        <v>92</v>
      </c>
      <c r="H2546" s="52" t="s">
        <v>93</v>
      </c>
      <c r="I2546" s="52">
        <v>294.40000000000003</v>
      </c>
      <c r="J2546" s="49">
        <v>15845.91</v>
      </c>
      <c r="K2546" s="58">
        <v>329.89999999999992</v>
      </c>
      <c r="L2546" s="58">
        <v>19335.11</v>
      </c>
      <c r="M2546" s="58">
        <v>1.2</v>
      </c>
      <c r="N2546" s="58">
        <v>72.319999999999993</v>
      </c>
      <c r="O2546" s="58">
        <v>331.09999999999991</v>
      </c>
      <c r="P2546" s="53">
        <v>19407.43</v>
      </c>
      <c r="Q2546" s="65">
        <v>15845.91</v>
      </c>
      <c r="R2546" s="65">
        <v>0</v>
      </c>
      <c r="S2546" s="65">
        <v>72.319999999999993</v>
      </c>
      <c r="T2546" s="65">
        <v>3561.5200000000004</v>
      </c>
      <c r="U2546" s="58">
        <v>0</v>
      </c>
      <c r="V2546" s="65">
        <v>500</v>
      </c>
      <c r="W2546" s="65">
        <v>0</v>
      </c>
      <c r="X2546" s="65">
        <v>15274</v>
      </c>
      <c r="Y2546" s="65">
        <v>0</v>
      </c>
      <c r="Z2546" s="51">
        <v>0</v>
      </c>
      <c r="AA2546" s="51">
        <v>0</v>
      </c>
      <c r="AB2546" s="102">
        <v>0</v>
      </c>
      <c r="AC2546" s="81">
        <f t="shared" si="120"/>
        <v>436.62371576086946</v>
      </c>
      <c r="AD2546" s="82">
        <f t="shared" si="121"/>
        <v>42.057142857142864</v>
      </c>
      <c r="AE2546" s="218">
        <v>-0.22475957518375408</v>
      </c>
      <c r="AF2546">
        <v>5</v>
      </c>
      <c r="AH2546" t="str">
        <f t="shared" si="122"/>
        <v>Dumraon</v>
      </c>
      <c r="AJ2546" s="72">
        <v>500</v>
      </c>
      <c r="AK2546" s="72"/>
      <c r="AL2546" s="72"/>
      <c r="AM2546" s="72"/>
    </row>
    <row r="2547" spans="1:39" x14ac:dyDescent="0.25">
      <c r="A2547" s="37" t="s">
        <v>62</v>
      </c>
      <c r="B2547" s="66" t="s">
        <v>1654</v>
      </c>
      <c r="C2547" s="41">
        <v>1014</v>
      </c>
      <c r="D2547" s="41" t="s">
        <v>368</v>
      </c>
      <c r="E2547" s="41">
        <v>10140068</v>
      </c>
      <c r="F2547" s="85" t="s">
        <v>389</v>
      </c>
      <c r="G2547" s="39" t="s">
        <v>92</v>
      </c>
      <c r="H2547" s="52" t="s">
        <v>93</v>
      </c>
      <c r="I2547" s="52">
        <v>668.6</v>
      </c>
      <c r="J2547" s="49">
        <v>25245.969999999998</v>
      </c>
      <c r="K2547" s="58">
        <v>682.36999999999989</v>
      </c>
      <c r="L2547" s="58">
        <v>26037.89</v>
      </c>
      <c r="M2547" s="58">
        <v>0</v>
      </c>
      <c r="N2547" s="58">
        <v>0</v>
      </c>
      <c r="O2547" s="58">
        <v>682.36999999999989</v>
      </c>
      <c r="P2547" s="53">
        <v>26037.89</v>
      </c>
      <c r="Q2547" s="65">
        <v>25245.969999999998</v>
      </c>
      <c r="R2547" s="65">
        <v>0</v>
      </c>
      <c r="S2547" s="65">
        <v>0</v>
      </c>
      <c r="T2547" s="65">
        <v>791.92000000000189</v>
      </c>
      <c r="U2547" s="58">
        <v>0</v>
      </c>
      <c r="V2547" s="65">
        <v>0</v>
      </c>
      <c r="W2547" s="65">
        <v>0</v>
      </c>
      <c r="X2547" s="65">
        <v>25246</v>
      </c>
      <c r="Y2547" s="65">
        <v>0</v>
      </c>
      <c r="Z2547" s="51">
        <v>0</v>
      </c>
      <c r="AA2547" s="51">
        <v>0</v>
      </c>
      <c r="AB2547" s="102">
        <v>0</v>
      </c>
      <c r="AC2547" s="81">
        <f t="shared" si="120"/>
        <v>23.712936224947622</v>
      </c>
      <c r="AD2547" s="82">
        <f t="shared" si="121"/>
        <v>95.51428571428572</v>
      </c>
      <c r="AE2547" s="218">
        <v>-3.1368174801760518E-2</v>
      </c>
      <c r="AF2547">
        <v>2</v>
      </c>
      <c r="AH2547" t="str">
        <f t="shared" si="122"/>
        <v>Dumraon</v>
      </c>
      <c r="AJ2547" s="72">
        <v>0</v>
      </c>
      <c r="AK2547" s="72"/>
      <c r="AL2547" s="72"/>
      <c r="AM2547" s="72"/>
    </row>
    <row r="2548" spans="1:39" x14ac:dyDescent="0.25">
      <c r="A2548" s="37" t="s">
        <v>62</v>
      </c>
      <c r="B2548" s="66" t="s">
        <v>1654</v>
      </c>
      <c r="C2548" s="41">
        <v>1014</v>
      </c>
      <c r="D2548" s="41" t="s">
        <v>368</v>
      </c>
      <c r="E2548" s="41">
        <v>10140069</v>
      </c>
      <c r="F2548" s="85" t="s">
        <v>288</v>
      </c>
      <c r="G2548" s="39" t="s">
        <v>92</v>
      </c>
      <c r="H2548" s="52" t="s">
        <v>93</v>
      </c>
      <c r="I2548" s="52">
        <v>387.30000000000007</v>
      </c>
      <c r="J2548" s="49">
        <v>15548.68</v>
      </c>
      <c r="K2548" s="58">
        <v>385.6</v>
      </c>
      <c r="L2548" s="58">
        <v>15529.87</v>
      </c>
      <c r="M2548" s="58">
        <v>0</v>
      </c>
      <c r="N2548" s="58">
        <v>0</v>
      </c>
      <c r="O2548" s="58">
        <v>385.6</v>
      </c>
      <c r="P2548" s="53">
        <v>15529.87</v>
      </c>
      <c r="Q2548" s="65">
        <v>15529.87</v>
      </c>
      <c r="R2548" s="65">
        <v>0</v>
      </c>
      <c r="S2548" s="65">
        <v>0</v>
      </c>
      <c r="T2548" s="65">
        <v>0</v>
      </c>
      <c r="U2548" s="58">
        <v>0</v>
      </c>
      <c r="V2548" s="65">
        <v>0</v>
      </c>
      <c r="W2548" s="65">
        <v>0</v>
      </c>
      <c r="X2548" s="65">
        <v>15530</v>
      </c>
      <c r="Y2548" s="65">
        <v>0</v>
      </c>
      <c r="Z2548" s="51">
        <v>0</v>
      </c>
      <c r="AA2548" s="51">
        <v>19</v>
      </c>
      <c r="AB2548" s="102">
        <v>0</v>
      </c>
      <c r="AC2548" s="81">
        <f t="shared" si="120"/>
        <v>251.07525101988114</v>
      </c>
      <c r="AD2548" s="82">
        <f t="shared" si="121"/>
        <v>55.328571428571436</v>
      </c>
      <c r="AE2548" s="218">
        <v>1.2097489947699412E-3</v>
      </c>
      <c r="AF2548">
        <v>4</v>
      </c>
      <c r="AH2548" t="str">
        <f t="shared" si="122"/>
        <v>Dumraon</v>
      </c>
      <c r="AJ2548" s="72">
        <v>0</v>
      </c>
      <c r="AK2548" s="72"/>
      <c r="AL2548" s="72"/>
      <c r="AM2548" s="72"/>
    </row>
    <row r="2549" spans="1:39" x14ac:dyDescent="0.25">
      <c r="A2549" s="37" t="s">
        <v>62</v>
      </c>
      <c r="B2549" s="66" t="s">
        <v>1654</v>
      </c>
      <c r="C2549" s="41">
        <v>1014</v>
      </c>
      <c r="D2549" s="41" t="s">
        <v>368</v>
      </c>
      <c r="E2549" s="41">
        <v>10140071</v>
      </c>
      <c r="F2549" s="85" t="s">
        <v>390</v>
      </c>
      <c r="G2549" s="39" t="s">
        <v>1610</v>
      </c>
      <c r="H2549" s="52" t="s">
        <v>98</v>
      </c>
      <c r="I2549" s="52">
        <v>1152.3999999999999</v>
      </c>
      <c r="J2549" s="49">
        <v>41536.170000000006</v>
      </c>
      <c r="K2549" s="58">
        <v>0</v>
      </c>
      <c r="L2549" s="58">
        <v>0</v>
      </c>
      <c r="M2549" s="58">
        <v>0</v>
      </c>
      <c r="N2549" s="58">
        <v>0</v>
      </c>
      <c r="O2549" s="58">
        <v>0</v>
      </c>
      <c r="P2549" s="53">
        <v>0</v>
      </c>
      <c r="Q2549" s="65">
        <v>41536.170000000006</v>
      </c>
      <c r="R2549" s="65">
        <v>0</v>
      </c>
      <c r="S2549" s="65">
        <v>0</v>
      </c>
      <c r="T2549" s="65">
        <v>0</v>
      </c>
      <c r="U2549" s="58">
        <v>0</v>
      </c>
      <c r="V2549" s="65">
        <v>0</v>
      </c>
      <c r="W2549" s="65">
        <v>0</v>
      </c>
      <c r="X2549" s="65">
        <v>0</v>
      </c>
      <c r="Y2549" s="65">
        <v>0</v>
      </c>
      <c r="Z2549" s="51">
        <v>41536.170000000006</v>
      </c>
      <c r="AA2549" s="51">
        <v>0</v>
      </c>
      <c r="AB2549" s="102">
        <v>0</v>
      </c>
      <c r="AC2549" s="81">
        <f t="shared" si="120"/>
        <v>0</v>
      </c>
      <c r="AD2549" s="82">
        <f t="shared" si="121"/>
        <v>0</v>
      </c>
      <c r="AE2549" s="218">
        <v>0</v>
      </c>
      <c r="AF2549">
        <v>0</v>
      </c>
      <c r="AH2549" t="str">
        <f t="shared" si="122"/>
        <v>Dumraon</v>
      </c>
      <c r="AJ2549" s="72">
        <v>0</v>
      </c>
      <c r="AK2549" s="72"/>
      <c r="AL2549" s="72"/>
      <c r="AM2549" s="72"/>
    </row>
    <row r="2550" spans="1:39" x14ac:dyDescent="0.25">
      <c r="A2550" s="37" t="s">
        <v>62</v>
      </c>
      <c r="B2550" s="66" t="s">
        <v>1654</v>
      </c>
      <c r="C2550" s="41">
        <v>1014</v>
      </c>
      <c r="D2550" s="41" t="s">
        <v>368</v>
      </c>
      <c r="E2550" s="41">
        <v>10140083</v>
      </c>
      <c r="F2550" s="85" t="s">
        <v>391</v>
      </c>
      <c r="G2550" s="39" t="s">
        <v>92</v>
      </c>
      <c r="H2550" s="52" t="s">
        <v>93</v>
      </c>
      <c r="I2550" s="52">
        <v>993.1</v>
      </c>
      <c r="J2550" s="49">
        <v>40550.839999999997</v>
      </c>
      <c r="K2550" s="58">
        <v>561.30000000000007</v>
      </c>
      <c r="L2550" s="58">
        <v>22986.23</v>
      </c>
      <c r="M2550" s="58">
        <v>642</v>
      </c>
      <c r="N2550" s="58">
        <v>30619.800000000003</v>
      </c>
      <c r="O2550" s="58">
        <v>1203.3000000000002</v>
      </c>
      <c r="P2550" s="53">
        <v>53606.03</v>
      </c>
      <c r="Q2550" s="65">
        <v>40550.839999999997</v>
      </c>
      <c r="R2550" s="65">
        <v>0</v>
      </c>
      <c r="S2550" s="65">
        <v>478.16</v>
      </c>
      <c r="T2550" s="65">
        <v>13055.190000000002</v>
      </c>
      <c r="U2550" s="58">
        <v>0</v>
      </c>
      <c r="V2550" s="65">
        <v>0</v>
      </c>
      <c r="W2550" s="65">
        <v>0</v>
      </c>
      <c r="X2550" s="65">
        <v>9932</v>
      </c>
      <c r="Y2550" s="65">
        <v>30141</v>
      </c>
      <c r="Z2550" s="51">
        <v>0</v>
      </c>
      <c r="AA2550" s="51">
        <v>0</v>
      </c>
      <c r="AB2550" s="102">
        <v>0</v>
      </c>
      <c r="AC2550" s="81">
        <f t="shared" si="120"/>
        <v>0</v>
      </c>
      <c r="AD2550" s="82">
        <f t="shared" si="121"/>
        <v>0</v>
      </c>
      <c r="AE2550" s="218">
        <v>-0.32194622848749876</v>
      </c>
      <c r="AF2550">
        <v>15</v>
      </c>
      <c r="AH2550" t="str">
        <f t="shared" si="122"/>
        <v>Dumraon</v>
      </c>
      <c r="AJ2550" s="72">
        <v>0</v>
      </c>
      <c r="AK2550" s="72"/>
      <c r="AL2550" s="72"/>
      <c r="AM2550" s="72"/>
    </row>
    <row r="2551" spans="1:39" x14ac:dyDescent="0.25">
      <c r="A2551" s="37" t="s">
        <v>62</v>
      </c>
      <c r="B2551" s="66" t="s">
        <v>1654</v>
      </c>
      <c r="C2551" s="41">
        <v>1014</v>
      </c>
      <c r="D2551" s="41" t="s">
        <v>368</v>
      </c>
      <c r="E2551" s="41">
        <v>10140087</v>
      </c>
      <c r="F2551" s="85" t="s">
        <v>392</v>
      </c>
      <c r="G2551" s="39" t="s">
        <v>92</v>
      </c>
      <c r="H2551" s="52" t="s">
        <v>93</v>
      </c>
      <c r="I2551" s="52">
        <v>177.29999999999998</v>
      </c>
      <c r="J2551" s="49">
        <v>7733.69</v>
      </c>
      <c r="K2551" s="58">
        <v>184.76999999999998</v>
      </c>
      <c r="L2551" s="58">
        <v>8583.39</v>
      </c>
      <c r="M2551" s="58">
        <v>0</v>
      </c>
      <c r="N2551" s="58">
        <v>0</v>
      </c>
      <c r="O2551" s="58">
        <v>184.76999999999998</v>
      </c>
      <c r="P2551" s="53">
        <v>8583.39</v>
      </c>
      <c r="Q2551" s="65">
        <v>7733.69</v>
      </c>
      <c r="R2551" s="65">
        <v>0</v>
      </c>
      <c r="S2551" s="65">
        <v>0</v>
      </c>
      <c r="T2551" s="65">
        <v>849.69999999999982</v>
      </c>
      <c r="U2551" s="58">
        <v>0</v>
      </c>
      <c r="V2551" s="65">
        <v>0</v>
      </c>
      <c r="W2551" s="65">
        <v>0</v>
      </c>
      <c r="X2551" s="65">
        <v>7734</v>
      </c>
      <c r="Y2551" s="65">
        <v>0</v>
      </c>
      <c r="Z2551" s="51">
        <v>0</v>
      </c>
      <c r="AA2551" s="51">
        <v>0</v>
      </c>
      <c r="AB2551" s="102" t="s">
        <v>66</v>
      </c>
      <c r="AC2551" s="81">
        <f t="shared" si="120"/>
        <v>455.99546113931194</v>
      </c>
      <c r="AD2551" s="82">
        <f t="shared" si="121"/>
        <v>25.328571428571426</v>
      </c>
      <c r="AE2551" s="218">
        <v>-0.10986993272293043</v>
      </c>
      <c r="AF2551">
        <v>2</v>
      </c>
      <c r="AH2551" t="str">
        <f t="shared" si="122"/>
        <v>Dumraon</v>
      </c>
      <c r="AJ2551" s="72">
        <v>0</v>
      </c>
      <c r="AK2551" s="72"/>
      <c r="AL2551" s="72"/>
      <c r="AM2551" s="72"/>
    </row>
    <row r="2552" spans="1:39" x14ac:dyDescent="0.25">
      <c r="A2552" s="37" t="s">
        <v>62</v>
      </c>
      <c r="B2552" s="66" t="s">
        <v>1654</v>
      </c>
      <c r="C2552" s="41">
        <v>1014</v>
      </c>
      <c r="D2552" s="41" t="s">
        <v>368</v>
      </c>
      <c r="E2552" s="41">
        <v>10140095</v>
      </c>
      <c r="F2552" s="85" t="s">
        <v>609</v>
      </c>
      <c r="G2552" s="39" t="s">
        <v>92</v>
      </c>
      <c r="H2552" s="52" t="s">
        <v>93</v>
      </c>
      <c r="I2552" s="52">
        <v>6.7</v>
      </c>
      <c r="J2552" s="49">
        <v>226.14</v>
      </c>
      <c r="K2552" s="58">
        <v>0</v>
      </c>
      <c r="L2552" s="58">
        <v>0</v>
      </c>
      <c r="M2552" s="58">
        <v>22.099999999999998</v>
      </c>
      <c r="N2552" s="58">
        <v>911.19999999999993</v>
      </c>
      <c r="O2552" s="58">
        <v>22.099999999999998</v>
      </c>
      <c r="P2552" s="53">
        <v>911.19999999999993</v>
      </c>
      <c r="Q2552" s="65">
        <v>226.14</v>
      </c>
      <c r="R2552" s="65">
        <v>0</v>
      </c>
      <c r="S2552" s="65">
        <v>0</v>
      </c>
      <c r="T2552" s="65">
        <v>685.06</v>
      </c>
      <c r="U2552" s="58">
        <v>0</v>
      </c>
      <c r="V2552" s="65">
        <v>226</v>
      </c>
      <c r="W2552" s="65">
        <v>0</v>
      </c>
      <c r="X2552" s="65">
        <v>0</v>
      </c>
      <c r="Y2552" s="65">
        <v>0</v>
      </c>
      <c r="Z2552" s="51">
        <v>0</v>
      </c>
      <c r="AA2552" s="51">
        <v>0</v>
      </c>
      <c r="AB2552" s="102" t="s">
        <v>66</v>
      </c>
      <c r="AC2552" s="81">
        <f t="shared" si="120"/>
        <v>468.00854328358196</v>
      </c>
      <c r="AD2552" s="82">
        <f t="shared" si="121"/>
        <v>0.95714285714285718</v>
      </c>
      <c r="AE2552" s="218">
        <v>-3.0293623419120896</v>
      </c>
      <c r="AF2552">
        <v>1</v>
      </c>
      <c r="AH2552" t="str">
        <f t="shared" si="122"/>
        <v>Dumraon</v>
      </c>
      <c r="AJ2552" s="72">
        <v>226</v>
      </c>
      <c r="AK2552" s="72"/>
      <c r="AL2552" s="72"/>
      <c r="AM2552" s="72"/>
    </row>
    <row r="2553" spans="1:39" x14ac:dyDescent="0.25">
      <c r="A2553" s="37" t="s">
        <v>62</v>
      </c>
      <c r="B2553" s="66" t="s">
        <v>1654</v>
      </c>
      <c r="C2553" s="41">
        <v>1014</v>
      </c>
      <c r="D2553" s="41" t="s">
        <v>368</v>
      </c>
      <c r="E2553" s="41">
        <v>10140098</v>
      </c>
      <c r="F2553" s="85" t="s">
        <v>418</v>
      </c>
      <c r="G2553" s="39" t="s">
        <v>92</v>
      </c>
      <c r="H2553" s="52" t="s">
        <v>93</v>
      </c>
      <c r="I2553" s="52">
        <v>1014.4</v>
      </c>
      <c r="J2553" s="49">
        <v>41960.250000000015</v>
      </c>
      <c r="K2553" s="58">
        <v>1005.6099999999999</v>
      </c>
      <c r="L2553" s="58">
        <v>41623.819999999992</v>
      </c>
      <c r="M2553" s="58">
        <v>8.3899999999999988</v>
      </c>
      <c r="N2553" s="58">
        <v>329.89</v>
      </c>
      <c r="O2553" s="58">
        <v>1013.9999999999999</v>
      </c>
      <c r="P2553" s="53">
        <v>41953.709999999992</v>
      </c>
      <c r="Q2553" s="65">
        <v>41953.709999999992</v>
      </c>
      <c r="R2553" s="65">
        <v>0</v>
      </c>
      <c r="S2553" s="65">
        <v>329.89</v>
      </c>
      <c r="T2553" s="65">
        <v>0</v>
      </c>
      <c r="U2553" s="58">
        <v>0</v>
      </c>
      <c r="V2553" s="65">
        <v>0</v>
      </c>
      <c r="W2553" s="65">
        <v>0</v>
      </c>
      <c r="X2553" s="65">
        <v>41624</v>
      </c>
      <c r="Y2553" s="65">
        <v>0</v>
      </c>
      <c r="Z2553" s="51">
        <v>0</v>
      </c>
      <c r="AA2553" s="51">
        <v>6</v>
      </c>
      <c r="AB2553" s="102">
        <v>0</v>
      </c>
      <c r="AC2553" s="81">
        <f t="shared" si="120"/>
        <v>0</v>
      </c>
      <c r="AD2553" s="82">
        <f t="shared" si="121"/>
        <v>0</v>
      </c>
      <c r="AE2553" s="218">
        <v>1.5586179777343315E-4</v>
      </c>
      <c r="AF2553">
        <v>4</v>
      </c>
      <c r="AH2553" t="str">
        <f t="shared" si="122"/>
        <v>Dumraon</v>
      </c>
      <c r="AJ2553" s="72">
        <v>0</v>
      </c>
      <c r="AK2553" s="72"/>
      <c r="AL2553" s="72"/>
      <c r="AM2553" s="72"/>
    </row>
    <row r="2554" spans="1:39" x14ac:dyDescent="0.25">
      <c r="A2554" s="37" t="s">
        <v>62</v>
      </c>
      <c r="B2554" s="66" t="s">
        <v>1654</v>
      </c>
      <c r="C2554" s="41">
        <v>1014</v>
      </c>
      <c r="D2554" s="41" t="s">
        <v>368</v>
      </c>
      <c r="E2554" s="41">
        <v>10140099</v>
      </c>
      <c r="F2554" s="85" t="s">
        <v>393</v>
      </c>
      <c r="G2554" s="39" t="s">
        <v>92</v>
      </c>
      <c r="H2554" s="52" t="s">
        <v>93</v>
      </c>
      <c r="I2554" s="52">
        <v>108.30000000000001</v>
      </c>
      <c r="J2554" s="49">
        <v>4265.33</v>
      </c>
      <c r="K2554" s="58">
        <v>112.57000000000001</v>
      </c>
      <c r="L2554" s="58">
        <v>4083.1699999999996</v>
      </c>
      <c r="M2554" s="58">
        <v>0</v>
      </c>
      <c r="N2554" s="58">
        <v>0</v>
      </c>
      <c r="O2554" s="58">
        <v>112.57000000000001</v>
      </c>
      <c r="P2554" s="53">
        <v>4083.1699999999996</v>
      </c>
      <c r="Q2554" s="65">
        <v>4083.1699999999996</v>
      </c>
      <c r="R2554" s="65">
        <v>0</v>
      </c>
      <c r="S2554" s="65">
        <v>0</v>
      </c>
      <c r="T2554" s="65">
        <v>0</v>
      </c>
      <c r="U2554" s="58">
        <v>0</v>
      </c>
      <c r="V2554" s="65">
        <v>0</v>
      </c>
      <c r="W2554" s="65">
        <v>0</v>
      </c>
      <c r="X2554" s="65">
        <v>4083</v>
      </c>
      <c r="Y2554" s="65">
        <v>0</v>
      </c>
      <c r="Z2554" s="51">
        <v>0</v>
      </c>
      <c r="AA2554" s="51">
        <v>182</v>
      </c>
      <c r="AB2554" s="102">
        <v>0</v>
      </c>
      <c r="AC2554" s="81">
        <f t="shared" si="120"/>
        <v>466.07493277931661</v>
      </c>
      <c r="AD2554" s="82">
        <f t="shared" si="121"/>
        <v>15.471428571428573</v>
      </c>
      <c r="AE2554" s="218">
        <v>4.2707129342864518E-2</v>
      </c>
      <c r="AF2554">
        <v>5</v>
      </c>
      <c r="AH2554" t="str">
        <f t="shared" si="122"/>
        <v>Dumraon</v>
      </c>
      <c r="AJ2554" s="72">
        <v>0</v>
      </c>
      <c r="AK2554" s="72"/>
      <c r="AL2554" s="72"/>
      <c r="AM2554" s="72"/>
    </row>
    <row r="2555" spans="1:39" x14ac:dyDescent="0.25">
      <c r="A2555" s="37" t="s">
        <v>62</v>
      </c>
      <c r="B2555" s="66" t="s">
        <v>1654</v>
      </c>
      <c r="C2555" s="41">
        <v>1014</v>
      </c>
      <c r="D2555" s="41" t="s">
        <v>368</v>
      </c>
      <c r="E2555" s="41">
        <v>10140109</v>
      </c>
      <c r="F2555" s="85" t="s">
        <v>415</v>
      </c>
      <c r="G2555" s="39" t="s">
        <v>1610</v>
      </c>
      <c r="H2555" s="52" t="s">
        <v>98</v>
      </c>
      <c r="I2555" s="52">
        <v>804.3</v>
      </c>
      <c r="J2555" s="49">
        <v>29997.02</v>
      </c>
      <c r="K2555" s="58">
        <v>0</v>
      </c>
      <c r="L2555" s="58">
        <v>0</v>
      </c>
      <c r="M2555" s="58">
        <v>0</v>
      </c>
      <c r="N2555" s="58">
        <v>0</v>
      </c>
      <c r="O2555" s="58">
        <v>0</v>
      </c>
      <c r="P2555" s="53">
        <v>0</v>
      </c>
      <c r="Q2555" s="65">
        <v>29997.02</v>
      </c>
      <c r="R2555" s="65">
        <v>0</v>
      </c>
      <c r="S2555" s="65">
        <v>0</v>
      </c>
      <c r="T2555" s="65">
        <v>0</v>
      </c>
      <c r="U2555" s="58">
        <v>0</v>
      </c>
      <c r="V2555" s="65">
        <v>0</v>
      </c>
      <c r="W2555" s="65">
        <v>0</v>
      </c>
      <c r="X2555" s="65">
        <v>0</v>
      </c>
      <c r="Y2555" s="65">
        <v>0</v>
      </c>
      <c r="Z2555" s="51">
        <v>29997.02</v>
      </c>
      <c r="AA2555" s="51">
        <v>0</v>
      </c>
      <c r="AB2555" s="102">
        <v>0</v>
      </c>
      <c r="AC2555" s="81">
        <f t="shared" si="120"/>
        <v>0</v>
      </c>
      <c r="AD2555" s="82">
        <f t="shared" si="121"/>
        <v>0</v>
      </c>
      <c r="AE2555" s="218">
        <v>0</v>
      </c>
      <c r="AF2555">
        <v>0</v>
      </c>
      <c r="AH2555" t="str">
        <f t="shared" si="122"/>
        <v>Dumraon</v>
      </c>
      <c r="AJ2555" s="72">
        <v>0</v>
      </c>
      <c r="AK2555" s="72"/>
      <c r="AL2555" s="72"/>
      <c r="AM2555" s="72"/>
    </row>
    <row r="2556" spans="1:39" x14ac:dyDescent="0.25">
      <c r="A2556" s="37" t="s">
        <v>62</v>
      </c>
      <c r="B2556" s="66" t="s">
        <v>1654</v>
      </c>
      <c r="C2556" s="4">
        <v>1014</v>
      </c>
      <c r="D2556" s="41" t="s">
        <v>368</v>
      </c>
      <c r="E2556" s="41">
        <v>10140120</v>
      </c>
      <c r="F2556" s="85" t="s">
        <v>610</v>
      </c>
      <c r="G2556" s="39" t="s">
        <v>92</v>
      </c>
      <c r="H2556" s="52" t="s">
        <v>93</v>
      </c>
      <c r="I2556" s="52">
        <v>473.50000000000011</v>
      </c>
      <c r="J2556" s="49">
        <v>19913.259999999995</v>
      </c>
      <c r="K2556" s="58">
        <v>472.81</v>
      </c>
      <c r="L2556" s="58">
        <v>20449.829999999998</v>
      </c>
      <c r="M2556" s="58">
        <v>8.7100000000000009</v>
      </c>
      <c r="N2556" s="58">
        <v>357.06</v>
      </c>
      <c r="O2556" s="58">
        <v>481.52</v>
      </c>
      <c r="P2556" s="53">
        <v>20806.89</v>
      </c>
      <c r="Q2556" s="65">
        <v>19913.259999999995</v>
      </c>
      <c r="R2556" s="65">
        <v>0</v>
      </c>
      <c r="S2556" s="65">
        <v>357.06</v>
      </c>
      <c r="T2556" s="65">
        <v>893.63000000000466</v>
      </c>
      <c r="U2556" s="58">
        <v>6650</v>
      </c>
      <c r="V2556" s="65">
        <v>0</v>
      </c>
      <c r="W2556" s="65">
        <v>0</v>
      </c>
      <c r="X2556" s="65">
        <v>12906</v>
      </c>
      <c r="Y2556" s="65">
        <v>0</v>
      </c>
      <c r="Z2556" s="51">
        <v>0</v>
      </c>
      <c r="AA2556" s="51">
        <v>0</v>
      </c>
      <c r="AB2556" s="102">
        <v>0</v>
      </c>
      <c r="AC2556" s="81">
        <f t="shared" si="120"/>
        <v>190.51123083421317</v>
      </c>
      <c r="AD2556" s="82">
        <f t="shared" si="121"/>
        <v>67.642857142857153</v>
      </c>
      <c r="AE2556" s="218">
        <v>-4.4876127766121918E-2</v>
      </c>
      <c r="AF2556">
        <v>2</v>
      </c>
      <c r="AH2556" t="str">
        <f t="shared" si="122"/>
        <v>Dumraon</v>
      </c>
      <c r="AJ2556" s="72">
        <v>0</v>
      </c>
      <c r="AK2556" s="72"/>
      <c r="AL2556" s="72"/>
      <c r="AM2556" s="72"/>
    </row>
    <row r="2557" spans="1:39" x14ac:dyDescent="0.25">
      <c r="A2557" s="37" t="s">
        <v>62</v>
      </c>
      <c r="B2557" s="66" t="s">
        <v>1654</v>
      </c>
      <c r="C2557" s="4">
        <v>1014</v>
      </c>
      <c r="D2557" s="41" t="s">
        <v>368</v>
      </c>
      <c r="E2557" s="41">
        <v>10140126</v>
      </c>
      <c r="F2557" s="85" t="s">
        <v>457</v>
      </c>
      <c r="G2557" s="39" t="s">
        <v>92</v>
      </c>
      <c r="H2557" s="52" t="s">
        <v>93</v>
      </c>
      <c r="I2557" s="52">
        <v>184.80000000000004</v>
      </c>
      <c r="J2557" s="49">
        <v>6933.9499999999989</v>
      </c>
      <c r="K2557" s="58">
        <v>178</v>
      </c>
      <c r="L2557" s="58">
        <v>6856.39</v>
      </c>
      <c r="M2557" s="58">
        <v>1.9999999999999998</v>
      </c>
      <c r="N2557" s="58">
        <v>82.600000000000009</v>
      </c>
      <c r="O2557" s="58">
        <v>180</v>
      </c>
      <c r="P2557" s="53">
        <v>6938.9900000000007</v>
      </c>
      <c r="Q2557" s="65">
        <v>6933.9499999999989</v>
      </c>
      <c r="R2557" s="65">
        <v>0</v>
      </c>
      <c r="S2557" s="65">
        <v>82.600000000000009</v>
      </c>
      <c r="T2557" s="65">
        <v>5.0400000000017826</v>
      </c>
      <c r="U2557" s="58">
        <v>0</v>
      </c>
      <c r="V2557" s="65">
        <v>0</v>
      </c>
      <c r="W2557" s="65">
        <v>0</v>
      </c>
      <c r="X2557" s="65">
        <v>6851</v>
      </c>
      <c r="Y2557" s="65">
        <v>0</v>
      </c>
      <c r="Z2557" s="51">
        <v>0</v>
      </c>
      <c r="AA2557" s="51">
        <v>0</v>
      </c>
      <c r="AB2557" s="102" t="s">
        <v>66</v>
      </c>
      <c r="AC2557" s="81">
        <f t="shared" si="120"/>
        <v>386.62024242424224</v>
      </c>
      <c r="AD2557" s="82">
        <f t="shared" si="121"/>
        <v>26.400000000000006</v>
      </c>
      <c r="AE2557" s="218">
        <v>-7.2685842845734159E-4</v>
      </c>
      <c r="AF2557">
        <v>5</v>
      </c>
      <c r="AH2557" t="str">
        <f t="shared" si="122"/>
        <v>Dumraon</v>
      </c>
      <c r="AJ2557" s="72">
        <v>0</v>
      </c>
      <c r="AK2557" s="72"/>
      <c r="AL2557" s="72"/>
      <c r="AM2557" s="72"/>
    </row>
    <row r="2558" spans="1:39" x14ac:dyDescent="0.25">
      <c r="A2558" s="37" t="s">
        <v>62</v>
      </c>
      <c r="B2558" s="66" t="s">
        <v>1654</v>
      </c>
      <c r="C2558" s="4">
        <v>1014</v>
      </c>
      <c r="D2558" s="41" t="s">
        <v>368</v>
      </c>
      <c r="E2558" s="41">
        <v>10140129</v>
      </c>
      <c r="F2558" s="85" t="s">
        <v>456</v>
      </c>
      <c r="G2558" s="39" t="s">
        <v>92</v>
      </c>
      <c r="H2558" s="52" t="s">
        <v>93</v>
      </c>
      <c r="I2558" s="52">
        <v>123.39999999999999</v>
      </c>
      <c r="J2558" s="49">
        <v>4693.4299999999994</v>
      </c>
      <c r="K2558" s="58">
        <v>123</v>
      </c>
      <c r="L2558" s="58">
        <v>4667.8500000000004</v>
      </c>
      <c r="M2558" s="58">
        <v>0</v>
      </c>
      <c r="N2558" s="58">
        <v>0</v>
      </c>
      <c r="O2558" s="58">
        <v>123</v>
      </c>
      <c r="P2558" s="53">
        <v>4667.8500000000004</v>
      </c>
      <c r="Q2558" s="65">
        <v>4667.8500000000004</v>
      </c>
      <c r="R2558" s="65">
        <v>0</v>
      </c>
      <c r="S2558" s="65">
        <v>0</v>
      </c>
      <c r="T2558" s="65">
        <v>0</v>
      </c>
      <c r="U2558" s="58">
        <v>0</v>
      </c>
      <c r="V2558" s="65">
        <v>500</v>
      </c>
      <c r="W2558" s="65">
        <v>0</v>
      </c>
      <c r="X2558" s="65">
        <v>4168</v>
      </c>
      <c r="Y2558" s="65">
        <v>0</v>
      </c>
      <c r="Z2558" s="51">
        <v>0</v>
      </c>
      <c r="AA2558" s="51">
        <v>25</v>
      </c>
      <c r="AB2558" s="102">
        <v>0</v>
      </c>
      <c r="AC2558" s="81">
        <f t="shared" ref="AC2558:AC2621" si="123">((IF(AD2558=0,0,100-AD2558))*7*(J2558/I2558))*2%</f>
        <v>438.61130275526733</v>
      </c>
      <c r="AD2558" s="82">
        <f t="shared" ref="AD2558:AD2621" si="124">IF((I2558/7)&gt;100,0,(I2558/7))</f>
        <v>17.628571428571426</v>
      </c>
      <c r="AE2558" s="218">
        <v>5.4501718359491929E-3</v>
      </c>
      <c r="AF2558">
        <v>2</v>
      </c>
      <c r="AH2558" t="str">
        <f t="shared" si="122"/>
        <v>Dumraon</v>
      </c>
      <c r="AJ2558" s="72">
        <v>500</v>
      </c>
      <c r="AK2558" s="72"/>
      <c r="AL2558" s="72"/>
      <c r="AM2558" s="72"/>
    </row>
    <row r="2559" spans="1:39" x14ac:dyDescent="0.25">
      <c r="A2559" s="37" t="s">
        <v>62</v>
      </c>
      <c r="B2559" s="66" t="s">
        <v>1654</v>
      </c>
      <c r="C2559" s="4">
        <v>1014</v>
      </c>
      <c r="D2559" s="41" t="s">
        <v>368</v>
      </c>
      <c r="E2559" s="41">
        <v>10140131</v>
      </c>
      <c r="F2559" s="85" t="s">
        <v>455</v>
      </c>
      <c r="G2559" s="39" t="s">
        <v>92</v>
      </c>
      <c r="H2559" s="52" t="s">
        <v>93</v>
      </c>
      <c r="I2559" s="52">
        <v>24.7</v>
      </c>
      <c r="J2559" s="49">
        <v>979.81000000000006</v>
      </c>
      <c r="K2559" s="58">
        <v>24</v>
      </c>
      <c r="L2559" s="58">
        <v>967.44</v>
      </c>
      <c r="M2559" s="58">
        <v>0</v>
      </c>
      <c r="N2559" s="58">
        <v>0</v>
      </c>
      <c r="O2559" s="58">
        <v>24</v>
      </c>
      <c r="P2559" s="53">
        <v>967.44</v>
      </c>
      <c r="Q2559" s="65">
        <v>967.44</v>
      </c>
      <c r="R2559" s="65">
        <v>0</v>
      </c>
      <c r="S2559" s="65">
        <v>0</v>
      </c>
      <c r="T2559" s="65">
        <v>0</v>
      </c>
      <c r="U2559" s="58">
        <v>0</v>
      </c>
      <c r="V2559" s="65">
        <v>0</v>
      </c>
      <c r="W2559" s="65">
        <v>0</v>
      </c>
      <c r="X2559" s="65">
        <v>967</v>
      </c>
      <c r="Y2559" s="65">
        <v>0</v>
      </c>
      <c r="Z2559" s="51">
        <v>0</v>
      </c>
      <c r="AA2559" s="51">
        <v>13</v>
      </c>
      <c r="AB2559" s="102">
        <v>0</v>
      </c>
      <c r="AC2559" s="81">
        <f t="shared" si="123"/>
        <v>535.76169473684217</v>
      </c>
      <c r="AD2559" s="82">
        <f t="shared" si="124"/>
        <v>3.5285714285714285</v>
      </c>
      <c r="AE2559" s="218">
        <v>1.2624896663638873E-2</v>
      </c>
      <c r="AF2559">
        <v>1</v>
      </c>
      <c r="AH2559" t="str">
        <f t="shared" si="122"/>
        <v>Dumraon</v>
      </c>
      <c r="AJ2559" s="72">
        <v>0</v>
      </c>
      <c r="AK2559" s="72"/>
      <c r="AL2559" s="72"/>
      <c r="AM2559" s="72"/>
    </row>
    <row r="2560" spans="1:39" x14ac:dyDescent="0.25">
      <c r="A2560" s="37" t="s">
        <v>62</v>
      </c>
      <c r="B2560" s="66" t="s">
        <v>1654</v>
      </c>
      <c r="C2560" s="4">
        <v>1014</v>
      </c>
      <c r="D2560" s="41" t="s">
        <v>368</v>
      </c>
      <c r="E2560" s="41">
        <v>10140132</v>
      </c>
      <c r="F2560" s="85" t="s">
        <v>454</v>
      </c>
      <c r="G2560" s="39" t="s">
        <v>92</v>
      </c>
      <c r="H2560" s="52" t="s">
        <v>93</v>
      </c>
      <c r="I2560" s="52">
        <v>332</v>
      </c>
      <c r="J2560" s="49">
        <v>11588.02</v>
      </c>
      <c r="K2560" s="58">
        <v>328.2</v>
      </c>
      <c r="L2560" s="58">
        <v>11560.01</v>
      </c>
      <c r="M2560" s="58">
        <v>4.8999999999999995</v>
      </c>
      <c r="N2560" s="58">
        <v>170.25999999999996</v>
      </c>
      <c r="O2560" s="58">
        <v>333.09999999999997</v>
      </c>
      <c r="P2560" s="53">
        <v>11730.27</v>
      </c>
      <c r="Q2560" s="65">
        <v>11588.02</v>
      </c>
      <c r="R2560" s="65">
        <v>0</v>
      </c>
      <c r="S2560" s="65">
        <v>170.25999999999996</v>
      </c>
      <c r="T2560" s="65">
        <v>142.25</v>
      </c>
      <c r="U2560" s="58">
        <v>0</v>
      </c>
      <c r="V2560" s="65">
        <v>0</v>
      </c>
      <c r="W2560" s="65">
        <v>0</v>
      </c>
      <c r="X2560" s="65">
        <v>11418</v>
      </c>
      <c r="Y2560" s="65">
        <v>0</v>
      </c>
      <c r="Z2560" s="51">
        <v>0</v>
      </c>
      <c r="AA2560" s="51">
        <v>0</v>
      </c>
      <c r="AB2560" s="102">
        <v>0</v>
      </c>
      <c r="AC2560" s="81">
        <f t="shared" si="123"/>
        <v>256.89104578313248</v>
      </c>
      <c r="AD2560" s="82">
        <f t="shared" si="124"/>
        <v>47.428571428571431</v>
      </c>
      <c r="AE2560" s="218">
        <v>-1.2275608775269632E-2</v>
      </c>
      <c r="AF2560">
        <v>8</v>
      </c>
      <c r="AH2560" t="str">
        <f t="shared" si="122"/>
        <v>Dumraon</v>
      </c>
      <c r="AJ2560" s="72">
        <v>0</v>
      </c>
      <c r="AK2560" s="72"/>
      <c r="AL2560" s="72"/>
      <c r="AM2560" s="72"/>
    </row>
    <row r="2561" spans="1:39" x14ac:dyDescent="0.25">
      <c r="A2561" s="37" t="s">
        <v>62</v>
      </c>
      <c r="B2561" s="66" t="s">
        <v>1654</v>
      </c>
      <c r="C2561" s="4">
        <v>1014</v>
      </c>
      <c r="D2561" s="41" t="s">
        <v>368</v>
      </c>
      <c r="E2561" s="41">
        <v>10140135</v>
      </c>
      <c r="F2561" s="85" t="s">
        <v>462</v>
      </c>
      <c r="G2561" s="39" t="s">
        <v>92</v>
      </c>
      <c r="H2561" s="52" t="s">
        <v>93</v>
      </c>
      <c r="I2561" s="52">
        <v>466.7</v>
      </c>
      <c r="J2561" s="49">
        <v>18852.62</v>
      </c>
      <c r="K2561" s="58">
        <v>465.15999999999997</v>
      </c>
      <c r="L2561" s="58">
        <v>19107.469999999998</v>
      </c>
      <c r="M2561" s="58">
        <v>0</v>
      </c>
      <c r="N2561" s="58">
        <v>0</v>
      </c>
      <c r="O2561" s="58">
        <v>465.15999999999997</v>
      </c>
      <c r="P2561" s="53">
        <v>19107.469999999998</v>
      </c>
      <c r="Q2561" s="65">
        <v>18852.62</v>
      </c>
      <c r="R2561" s="65">
        <v>0</v>
      </c>
      <c r="S2561" s="65">
        <v>0</v>
      </c>
      <c r="T2561" s="65">
        <v>254.84999999999854</v>
      </c>
      <c r="U2561" s="58">
        <v>0</v>
      </c>
      <c r="V2561" s="65">
        <v>0</v>
      </c>
      <c r="W2561" s="65">
        <v>0</v>
      </c>
      <c r="X2561" s="65">
        <v>18853</v>
      </c>
      <c r="Y2561" s="65">
        <v>0</v>
      </c>
      <c r="Z2561" s="51">
        <v>0</v>
      </c>
      <c r="AA2561" s="51">
        <v>0</v>
      </c>
      <c r="AB2561" s="102">
        <v>0</v>
      </c>
      <c r="AC2561" s="81">
        <f t="shared" si="123"/>
        <v>188.48580441397047</v>
      </c>
      <c r="AD2561" s="82">
        <f t="shared" si="124"/>
        <v>66.671428571428564</v>
      </c>
      <c r="AE2561" s="218">
        <v>-1.3518015002689204E-2</v>
      </c>
      <c r="AF2561">
        <v>3</v>
      </c>
      <c r="AH2561" t="str">
        <f t="shared" si="122"/>
        <v>Dumraon</v>
      </c>
      <c r="AJ2561" s="72">
        <v>0</v>
      </c>
      <c r="AK2561" s="72"/>
      <c r="AL2561" s="72"/>
      <c r="AM2561" s="72"/>
    </row>
    <row r="2562" spans="1:39" x14ac:dyDescent="0.25">
      <c r="A2562" s="37" t="s">
        <v>62</v>
      </c>
      <c r="B2562" s="66" t="s">
        <v>1654</v>
      </c>
      <c r="C2562" s="4">
        <v>1014</v>
      </c>
      <c r="D2562" s="41" t="s">
        <v>368</v>
      </c>
      <c r="E2562" s="41">
        <v>10140137</v>
      </c>
      <c r="F2562" s="85" t="s">
        <v>465</v>
      </c>
      <c r="G2562" s="39" t="s">
        <v>92</v>
      </c>
      <c r="H2562" s="52" t="s">
        <v>93</v>
      </c>
      <c r="I2562" s="52">
        <v>580.6</v>
      </c>
      <c r="J2562" s="49">
        <v>25881.02</v>
      </c>
      <c r="K2562" s="58">
        <v>615.79999999999995</v>
      </c>
      <c r="L2562" s="58">
        <v>29186.85</v>
      </c>
      <c r="M2562" s="58">
        <v>0</v>
      </c>
      <c r="N2562" s="58">
        <v>0</v>
      </c>
      <c r="O2562" s="58">
        <v>615.79999999999995</v>
      </c>
      <c r="P2562" s="53">
        <v>29186.85</v>
      </c>
      <c r="Q2562" s="65">
        <v>25881.02</v>
      </c>
      <c r="R2562" s="65">
        <v>0</v>
      </c>
      <c r="S2562" s="65">
        <v>0</v>
      </c>
      <c r="T2562" s="65">
        <v>3305.8299999999981</v>
      </c>
      <c r="U2562" s="58">
        <v>0</v>
      </c>
      <c r="V2562" s="65">
        <v>0</v>
      </c>
      <c r="W2562" s="65">
        <v>0</v>
      </c>
      <c r="X2562" s="65">
        <v>25881</v>
      </c>
      <c r="Y2562" s="65">
        <v>0</v>
      </c>
      <c r="Z2562" s="51">
        <v>0</v>
      </c>
      <c r="AA2562" s="51">
        <v>0</v>
      </c>
      <c r="AB2562" s="102">
        <v>0</v>
      </c>
      <c r="AC2562" s="81">
        <f t="shared" si="123"/>
        <v>106.4482875645883</v>
      </c>
      <c r="AD2562" s="82">
        <f t="shared" si="124"/>
        <v>82.94285714285715</v>
      </c>
      <c r="AE2562" s="218">
        <v>-0.12773182818915166</v>
      </c>
      <c r="AF2562">
        <v>3</v>
      </c>
      <c r="AH2562" t="str">
        <f t="shared" ref="AH2562:AH2624" si="125">TEXT(D2562,"0000")</f>
        <v>Dumraon</v>
      </c>
      <c r="AJ2562" s="72">
        <v>0</v>
      </c>
      <c r="AK2562" s="72"/>
      <c r="AL2562" s="72"/>
      <c r="AM2562" s="72"/>
    </row>
    <row r="2563" spans="1:39" x14ac:dyDescent="0.25">
      <c r="A2563" s="37" t="s">
        <v>62</v>
      </c>
      <c r="B2563" s="66" t="s">
        <v>1654</v>
      </c>
      <c r="C2563" s="4">
        <v>1014</v>
      </c>
      <c r="D2563" s="41" t="s">
        <v>368</v>
      </c>
      <c r="E2563" s="41">
        <v>10140139</v>
      </c>
      <c r="F2563" s="85" t="s">
        <v>482</v>
      </c>
      <c r="G2563" s="39" t="s">
        <v>92</v>
      </c>
      <c r="H2563" s="52" t="s">
        <v>93</v>
      </c>
      <c r="I2563" s="52">
        <v>196.89999999999998</v>
      </c>
      <c r="J2563" s="49">
        <v>6012.079999999999</v>
      </c>
      <c r="K2563" s="58">
        <v>197.14</v>
      </c>
      <c r="L2563" s="58">
        <v>5989.4000000000005</v>
      </c>
      <c r="M2563" s="58">
        <v>0</v>
      </c>
      <c r="N2563" s="58">
        <v>0</v>
      </c>
      <c r="O2563" s="58">
        <v>197.14</v>
      </c>
      <c r="P2563" s="53">
        <v>5989.4000000000005</v>
      </c>
      <c r="Q2563" s="65">
        <v>5989.4000000000005</v>
      </c>
      <c r="R2563" s="65">
        <v>0</v>
      </c>
      <c r="S2563" s="65">
        <v>0</v>
      </c>
      <c r="T2563" s="65">
        <v>0</v>
      </c>
      <c r="U2563" s="58">
        <v>0</v>
      </c>
      <c r="V2563" s="65">
        <v>500</v>
      </c>
      <c r="W2563" s="65">
        <v>0</v>
      </c>
      <c r="X2563" s="65">
        <v>5489</v>
      </c>
      <c r="Y2563" s="65">
        <v>0</v>
      </c>
      <c r="Z2563" s="51">
        <v>0</v>
      </c>
      <c r="AA2563" s="51">
        <v>23</v>
      </c>
      <c r="AB2563" s="102">
        <v>0</v>
      </c>
      <c r="AC2563" s="81">
        <f t="shared" si="123"/>
        <v>307.22980680548494</v>
      </c>
      <c r="AD2563" s="82">
        <f t="shared" si="124"/>
        <v>28.128571428571426</v>
      </c>
      <c r="AE2563" s="218">
        <v>3.7724048914848899E-3</v>
      </c>
      <c r="AF2563">
        <v>3</v>
      </c>
      <c r="AH2563" t="str">
        <f t="shared" si="125"/>
        <v>Dumraon</v>
      </c>
      <c r="AJ2563" s="72">
        <v>500</v>
      </c>
      <c r="AK2563" s="72"/>
      <c r="AL2563" s="72"/>
      <c r="AM2563" s="72"/>
    </row>
    <row r="2564" spans="1:39" x14ac:dyDescent="0.25">
      <c r="A2564" s="37" t="s">
        <v>62</v>
      </c>
      <c r="B2564" s="66" t="s">
        <v>1654</v>
      </c>
      <c r="C2564" s="4">
        <v>1014</v>
      </c>
      <c r="D2564" s="41" t="s">
        <v>368</v>
      </c>
      <c r="E2564" s="41">
        <v>10140147</v>
      </c>
      <c r="F2564" s="85" t="s">
        <v>1282</v>
      </c>
      <c r="G2564" s="39" t="s">
        <v>1610</v>
      </c>
      <c r="H2564" s="52" t="s">
        <v>98</v>
      </c>
      <c r="I2564" s="52">
        <v>718.5</v>
      </c>
      <c r="J2564" s="49">
        <v>30319.64</v>
      </c>
      <c r="K2564" s="58">
        <v>0</v>
      </c>
      <c r="L2564" s="58">
        <v>0</v>
      </c>
      <c r="M2564" s="58">
        <v>0</v>
      </c>
      <c r="N2564" s="58">
        <v>0</v>
      </c>
      <c r="O2564" s="58">
        <v>0</v>
      </c>
      <c r="P2564" s="53">
        <v>0</v>
      </c>
      <c r="Q2564" s="65">
        <v>30319.64</v>
      </c>
      <c r="R2564" s="65">
        <v>0</v>
      </c>
      <c r="S2564" s="65">
        <v>0</v>
      </c>
      <c r="T2564" s="65">
        <v>0</v>
      </c>
      <c r="U2564" s="58">
        <v>0</v>
      </c>
      <c r="V2564" s="65">
        <v>0</v>
      </c>
      <c r="W2564" s="65">
        <v>0</v>
      </c>
      <c r="X2564" s="65">
        <v>0</v>
      </c>
      <c r="Y2564" s="65">
        <v>0</v>
      </c>
      <c r="Z2564" s="51">
        <v>30319.64</v>
      </c>
      <c r="AA2564" s="51">
        <v>0</v>
      </c>
      <c r="AB2564" s="102">
        <v>0</v>
      </c>
      <c r="AC2564" s="81">
        <f t="shared" si="123"/>
        <v>0</v>
      </c>
      <c r="AD2564" s="82">
        <f t="shared" si="124"/>
        <v>0</v>
      </c>
      <c r="AE2564" s="218">
        <v>0</v>
      </c>
      <c r="AF2564">
        <v>0</v>
      </c>
      <c r="AH2564" t="str">
        <f t="shared" si="125"/>
        <v>Dumraon</v>
      </c>
      <c r="AJ2564" s="72">
        <v>0</v>
      </c>
      <c r="AK2564" s="72"/>
      <c r="AL2564" s="72"/>
      <c r="AM2564" s="72"/>
    </row>
    <row r="2565" spans="1:39" x14ac:dyDescent="0.25">
      <c r="A2565" s="37" t="s">
        <v>62</v>
      </c>
      <c r="B2565" s="66" t="s">
        <v>1654</v>
      </c>
      <c r="C2565" s="4">
        <v>1014</v>
      </c>
      <c r="D2565" s="41" t="s">
        <v>368</v>
      </c>
      <c r="E2565" s="41">
        <v>10140153</v>
      </c>
      <c r="F2565" s="85" t="s">
        <v>511</v>
      </c>
      <c r="G2565" s="39" t="s">
        <v>92</v>
      </c>
      <c r="H2565" s="52" t="s">
        <v>93</v>
      </c>
      <c r="I2565" s="52">
        <v>87.699999999999989</v>
      </c>
      <c r="J2565" s="49">
        <v>3242.21</v>
      </c>
      <c r="K2565" s="58">
        <v>115.22999999999999</v>
      </c>
      <c r="L2565" s="58">
        <v>4417.07</v>
      </c>
      <c r="M2565" s="58">
        <v>0</v>
      </c>
      <c r="N2565" s="58">
        <v>0</v>
      </c>
      <c r="O2565" s="58">
        <v>115.22999999999999</v>
      </c>
      <c r="P2565" s="53">
        <v>4417.07</v>
      </c>
      <c r="Q2565" s="65">
        <v>3242.21</v>
      </c>
      <c r="R2565" s="65">
        <v>0</v>
      </c>
      <c r="S2565" s="65">
        <v>0</v>
      </c>
      <c r="T2565" s="65">
        <v>1174.8599999999997</v>
      </c>
      <c r="U2565" s="58">
        <v>0</v>
      </c>
      <c r="V2565" s="65">
        <v>500</v>
      </c>
      <c r="W2565" s="65">
        <v>0</v>
      </c>
      <c r="X2565" s="65">
        <v>2742</v>
      </c>
      <c r="Y2565" s="65">
        <v>0</v>
      </c>
      <c r="Z2565" s="51">
        <v>0</v>
      </c>
      <c r="AA2565" s="51">
        <v>0</v>
      </c>
      <c r="AB2565" s="102">
        <v>0</v>
      </c>
      <c r="AC2565" s="81">
        <f t="shared" si="123"/>
        <v>452.72638152793627</v>
      </c>
      <c r="AD2565" s="82">
        <f t="shared" si="124"/>
        <v>12.528571428571427</v>
      </c>
      <c r="AE2565" s="218">
        <v>-0.36236394311287662</v>
      </c>
      <c r="AF2565">
        <v>2</v>
      </c>
      <c r="AH2565" t="str">
        <f t="shared" si="125"/>
        <v>Dumraon</v>
      </c>
      <c r="AJ2565" s="72">
        <v>500</v>
      </c>
      <c r="AK2565" s="72"/>
      <c r="AL2565" s="72"/>
      <c r="AM2565" s="72"/>
    </row>
    <row r="2566" spans="1:39" x14ac:dyDescent="0.25">
      <c r="A2566" s="37" t="s">
        <v>62</v>
      </c>
      <c r="B2566" s="66" t="s">
        <v>1654</v>
      </c>
      <c r="C2566" s="4">
        <v>1014</v>
      </c>
      <c r="D2566" s="41" t="s">
        <v>368</v>
      </c>
      <c r="E2566" s="41">
        <v>10140156</v>
      </c>
      <c r="F2566" s="85" t="s">
        <v>515</v>
      </c>
      <c r="G2566" s="39" t="s">
        <v>92</v>
      </c>
      <c r="H2566" s="52" t="s">
        <v>93</v>
      </c>
      <c r="I2566" s="52">
        <v>524.90000000000009</v>
      </c>
      <c r="J2566" s="49">
        <v>19526.14</v>
      </c>
      <c r="K2566" s="58">
        <v>524</v>
      </c>
      <c r="L2566" s="58">
        <v>19519</v>
      </c>
      <c r="M2566" s="58">
        <v>0</v>
      </c>
      <c r="N2566" s="58">
        <v>0</v>
      </c>
      <c r="O2566" s="58">
        <v>524</v>
      </c>
      <c r="P2566" s="53">
        <v>19519</v>
      </c>
      <c r="Q2566" s="65">
        <v>19519</v>
      </c>
      <c r="R2566" s="65">
        <v>0</v>
      </c>
      <c r="S2566" s="65">
        <v>0</v>
      </c>
      <c r="T2566" s="65">
        <v>0</v>
      </c>
      <c r="U2566" s="58">
        <v>0</v>
      </c>
      <c r="V2566" s="65">
        <v>0</v>
      </c>
      <c r="W2566" s="65">
        <v>0</v>
      </c>
      <c r="X2566" s="65">
        <v>19519</v>
      </c>
      <c r="Y2566" s="65">
        <v>0</v>
      </c>
      <c r="Z2566" s="51">
        <v>0</v>
      </c>
      <c r="AA2566" s="51">
        <v>7</v>
      </c>
      <c r="AB2566" s="102">
        <v>0</v>
      </c>
      <c r="AC2566" s="81">
        <f t="shared" si="123"/>
        <v>130.27346595541999</v>
      </c>
      <c r="AD2566" s="82">
        <f t="shared" si="124"/>
        <v>74.985714285714295</v>
      </c>
      <c r="AE2566" s="218">
        <v>3.65663669317101E-4</v>
      </c>
      <c r="AF2566">
        <v>1</v>
      </c>
      <c r="AH2566" t="str">
        <f t="shared" si="125"/>
        <v>Dumraon</v>
      </c>
      <c r="AJ2566" s="72">
        <v>0</v>
      </c>
      <c r="AK2566" s="72"/>
      <c r="AL2566" s="72"/>
      <c r="AM2566" s="72"/>
    </row>
    <row r="2567" spans="1:39" x14ac:dyDescent="0.25">
      <c r="A2567" s="37" t="s">
        <v>62</v>
      </c>
      <c r="B2567" s="66" t="s">
        <v>1654</v>
      </c>
      <c r="C2567" s="4">
        <v>1014</v>
      </c>
      <c r="D2567" s="41" t="s">
        <v>368</v>
      </c>
      <c r="E2567" s="41">
        <v>10140157</v>
      </c>
      <c r="F2567" s="85" t="s">
        <v>1252</v>
      </c>
      <c r="G2567" s="39" t="s">
        <v>1610</v>
      </c>
      <c r="H2567" s="52" t="s">
        <v>98</v>
      </c>
      <c r="I2567" s="52">
        <v>113.3</v>
      </c>
      <c r="J2567" s="49">
        <v>4130.7299999999996</v>
      </c>
      <c r="K2567" s="58">
        <v>0</v>
      </c>
      <c r="L2567" s="58">
        <v>0</v>
      </c>
      <c r="M2567" s="58">
        <v>0</v>
      </c>
      <c r="N2567" s="58">
        <v>0</v>
      </c>
      <c r="O2567" s="58">
        <v>0</v>
      </c>
      <c r="P2567" s="53">
        <v>0</v>
      </c>
      <c r="Q2567" s="65">
        <v>4130.7299999999996</v>
      </c>
      <c r="R2567" s="65">
        <v>0</v>
      </c>
      <c r="S2567" s="65">
        <v>0</v>
      </c>
      <c r="T2567" s="65">
        <v>0</v>
      </c>
      <c r="U2567" s="58">
        <v>0</v>
      </c>
      <c r="V2567" s="65">
        <v>0</v>
      </c>
      <c r="W2567" s="65">
        <v>0</v>
      </c>
      <c r="X2567" s="65">
        <v>0</v>
      </c>
      <c r="Y2567" s="65">
        <v>0</v>
      </c>
      <c r="Z2567" s="51">
        <v>4130.7299999999996</v>
      </c>
      <c r="AA2567" s="51">
        <v>0</v>
      </c>
      <c r="AB2567" s="102">
        <v>0</v>
      </c>
      <c r="AC2567" s="81">
        <f t="shared" si="123"/>
        <v>427.80216963812882</v>
      </c>
      <c r="AD2567" s="82">
        <f t="shared" si="124"/>
        <v>16.185714285714287</v>
      </c>
      <c r="AE2567" s="218">
        <v>0</v>
      </c>
      <c r="AF2567">
        <v>0</v>
      </c>
      <c r="AH2567" t="str">
        <f t="shared" si="125"/>
        <v>Dumraon</v>
      </c>
      <c r="AJ2567" s="72">
        <v>0</v>
      </c>
      <c r="AK2567" s="72"/>
      <c r="AL2567" s="72"/>
      <c r="AM2567" s="72"/>
    </row>
    <row r="2568" spans="1:39" x14ac:dyDescent="0.25">
      <c r="A2568" s="37" t="s">
        <v>62</v>
      </c>
      <c r="B2568" s="66" t="s">
        <v>1654</v>
      </c>
      <c r="C2568" s="4">
        <v>1014</v>
      </c>
      <c r="D2568" s="41" t="s">
        <v>368</v>
      </c>
      <c r="E2568" s="41">
        <v>10140166</v>
      </c>
      <c r="F2568" s="85" t="s">
        <v>582</v>
      </c>
      <c r="G2568" s="39" t="s">
        <v>92</v>
      </c>
      <c r="H2568" s="52" t="s">
        <v>93</v>
      </c>
      <c r="I2568" s="52">
        <v>331.3</v>
      </c>
      <c r="J2568" s="49">
        <v>16779.649999999998</v>
      </c>
      <c r="K2568" s="58">
        <v>334</v>
      </c>
      <c r="L2568" s="58">
        <v>16746.759999999998</v>
      </c>
      <c r="M2568" s="58">
        <v>0</v>
      </c>
      <c r="N2568" s="58">
        <v>0</v>
      </c>
      <c r="O2568" s="58">
        <v>334</v>
      </c>
      <c r="P2568" s="53">
        <v>16746.759999999998</v>
      </c>
      <c r="Q2568" s="65">
        <v>16746.759999999998</v>
      </c>
      <c r="R2568" s="65">
        <v>0</v>
      </c>
      <c r="S2568" s="65">
        <v>0</v>
      </c>
      <c r="T2568" s="65">
        <v>0</v>
      </c>
      <c r="U2568" s="58">
        <v>0</v>
      </c>
      <c r="V2568" s="65">
        <v>0</v>
      </c>
      <c r="W2568" s="65">
        <v>0</v>
      </c>
      <c r="X2568" s="65">
        <v>16747</v>
      </c>
      <c r="Y2568" s="65">
        <v>0</v>
      </c>
      <c r="Z2568" s="51">
        <v>0</v>
      </c>
      <c r="AA2568" s="51">
        <v>33</v>
      </c>
      <c r="AB2568" s="102">
        <v>0</v>
      </c>
      <c r="AC2568" s="81">
        <f t="shared" si="123"/>
        <v>373.47763084817382</v>
      </c>
      <c r="AD2568" s="82">
        <f t="shared" si="124"/>
        <v>47.328571428571429</v>
      </c>
      <c r="AE2568" s="218">
        <v>1.9601123980535601E-3</v>
      </c>
      <c r="AF2568">
        <v>1</v>
      </c>
      <c r="AH2568" t="str">
        <f t="shared" si="125"/>
        <v>Dumraon</v>
      </c>
      <c r="AJ2568" s="72">
        <v>0</v>
      </c>
      <c r="AK2568" s="72"/>
      <c r="AL2568" s="72"/>
      <c r="AM2568" s="72"/>
    </row>
    <row r="2569" spans="1:39" x14ac:dyDescent="0.25">
      <c r="A2569" s="37" t="s">
        <v>62</v>
      </c>
      <c r="B2569" s="66" t="s">
        <v>1654</v>
      </c>
      <c r="C2569" s="4">
        <v>1014</v>
      </c>
      <c r="D2569" s="41" t="s">
        <v>368</v>
      </c>
      <c r="E2569" s="41">
        <v>10140167</v>
      </c>
      <c r="F2569" s="85" t="s">
        <v>1153</v>
      </c>
      <c r="G2569" s="39" t="s">
        <v>1610</v>
      </c>
      <c r="H2569" s="52" t="s">
        <v>98</v>
      </c>
      <c r="I2569" s="52">
        <v>1990.6</v>
      </c>
      <c r="J2569" s="49">
        <v>77426.25</v>
      </c>
      <c r="K2569" s="58">
        <v>0</v>
      </c>
      <c r="L2569" s="58">
        <v>0</v>
      </c>
      <c r="M2569" s="58">
        <v>0</v>
      </c>
      <c r="N2569" s="58">
        <v>0</v>
      </c>
      <c r="O2569" s="58">
        <v>0</v>
      </c>
      <c r="P2569" s="53">
        <v>0</v>
      </c>
      <c r="Q2569" s="65">
        <v>77426.25</v>
      </c>
      <c r="R2569" s="65">
        <v>0</v>
      </c>
      <c r="S2569" s="65">
        <v>0</v>
      </c>
      <c r="T2569" s="65">
        <v>0</v>
      </c>
      <c r="U2569" s="58">
        <v>0</v>
      </c>
      <c r="V2569" s="65">
        <v>0</v>
      </c>
      <c r="W2569" s="65">
        <v>0</v>
      </c>
      <c r="X2569" s="65">
        <v>0</v>
      </c>
      <c r="Y2569" s="65">
        <v>0</v>
      </c>
      <c r="Z2569" s="51">
        <v>77426.25</v>
      </c>
      <c r="AA2569" s="51">
        <v>0</v>
      </c>
      <c r="AB2569" s="102">
        <v>0</v>
      </c>
      <c r="AC2569" s="81">
        <f t="shared" si="123"/>
        <v>0</v>
      </c>
      <c r="AD2569" s="82">
        <f t="shared" si="124"/>
        <v>0</v>
      </c>
      <c r="AE2569" s="218">
        <v>0</v>
      </c>
      <c r="AF2569">
        <v>0</v>
      </c>
      <c r="AH2569" t="str">
        <f t="shared" si="125"/>
        <v>Dumraon</v>
      </c>
      <c r="AJ2569" s="72">
        <v>0</v>
      </c>
      <c r="AK2569" s="72"/>
      <c r="AL2569" s="72"/>
      <c r="AM2569" s="72"/>
    </row>
    <row r="2570" spans="1:39" x14ac:dyDescent="0.25">
      <c r="A2570" s="37" t="s">
        <v>62</v>
      </c>
      <c r="B2570" s="66" t="s">
        <v>1654</v>
      </c>
      <c r="C2570" s="4">
        <v>1014</v>
      </c>
      <c r="D2570" s="41" t="s">
        <v>368</v>
      </c>
      <c r="E2570" s="41">
        <v>10140170</v>
      </c>
      <c r="F2570" s="85" t="s">
        <v>620</v>
      </c>
      <c r="G2570" s="39" t="s">
        <v>92</v>
      </c>
      <c r="H2570" s="52" t="s">
        <v>93</v>
      </c>
      <c r="I2570" s="52">
        <v>318.70000000000005</v>
      </c>
      <c r="J2570" s="49">
        <v>14036.46</v>
      </c>
      <c r="K2570" s="58">
        <v>322.09999999999997</v>
      </c>
      <c r="L2570" s="58">
        <v>14767.370000000004</v>
      </c>
      <c r="M2570" s="58">
        <v>0</v>
      </c>
      <c r="N2570" s="58">
        <v>0</v>
      </c>
      <c r="O2570" s="58">
        <v>322.09999999999997</v>
      </c>
      <c r="P2570" s="53">
        <v>14767.370000000004</v>
      </c>
      <c r="Q2570" s="65">
        <v>14036.46</v>
      </c>
      <c r="R2570" s="65">
        <v>0</v>
      </c>
      <c r="S2570" s="65">
        <v>0</v>
      </c>
      <c r="T2570" s="65">
        <v>730.91000000000531</v>
      </c>
      <c r="U2570" s="58">
        <v>0</v>
      </c>
      <c r="V2570" s="65">
        <v>0</v>
      </c>
      <c r="W2570" s="65">
        <v>0</v>
      </c>
      <c r="X2570" s="65">
        <v>14036</v>
      </c>
      <c r="Y2570" s="65">
        <v>0</v>
      </c>
      <c r="Z2570" s="51">
        <v>0</v>
      </c>
      <c r="AA2570" s="51">
        <v>0</v>
      </c>
      <c r="AB2570" s="102" t="s">
        <v>66</v>
      </c>
      <c r="AC2570" s="81">
        <f t="shared" si="123"/>
        <v>335.87086275494187</v>
      </c>
      <c r="AD2570" s="82">
        <f t="shared" si="124"/>
        <v>45.528571428571432</v>
      </c>
      <c r="AE2570" s="218">
        <v>-5.2072246136134419E-2</v>
      </c>
      <c r="AF2570">
        <v>2</v>
      </c>
      <c r="AH2570" t="str">
        <f t="shared" si="125"/>
        <v>Dumraon</v>
      </c>
      <c r="AJ2570" s="72">
        <v>0</v>
      </c>
      <c r="AK2570" s="72"/>
      <c r="AL2570" s="72"/>
      <c r="AM2570" s="72"/>
    </row>
    <row r="2571" spans="1:39" x14ac:dyDescent="0.25">
      <c r="A2571" s="37" t="s">
        <v>62</v>
      </c>
      <c r="B2571" s="66" t="s">
        <v>1654</v>
      </c>
      <c r="C2571" s="4">
        <v>1014</v>
      </c>
      <c r="D2571" s="41" t="s">
        <v>368</v>
      </c>
      <c r="E2571" s="41">
        <v>10140173</v>
      </c>
      <c r="F2571" s="85" t="s">
        <v>633</v>
      </c>
      <c r="G2571" s="39" t="s">
        <v>92</v>
      </c>
      <c r="H2571" s="52" t="s">
        <v>93</v>
      </c>
      <c r="I2571" s="52">
        <v>1008.6</v>
      </c>
      <c r="J2571" s="49">
        <v>36685.74</v>
      </c>
      <c r="K2571" s="58">
        <v>1072.83</v>
      </c>
      <c r="L2571" s="58">
        <v>44789.83</v>
      </c>
      <c r="M2571" s="58">
        <v>0</v>
      </c>
      <c r="N2571" s="58">
        <v>0</v>
      </c>
      <c r="O2571" s="58">
        <v>1072.83</v>
      </c>
      <c r="P2571" s="53">
        <v>44789.83</v>
      </c>
      <c r="Q2571" s="65">
        <v>36685.74</v>
      </c>
      <c r="R2571" s="65">
        <v>0</v>
      </c>
      <c r="S2571" s="65">
        <v>0</v>
      </c>
      <c r="T2571" s="65">
        <v>8104.0900000000038</v>
      </c>
      <c r="U2571" s="58">
        <v>6650</v>
      </c>
      <c r="V2571" s="65">
        <v>0</v>
      </c>
      <c r="W2571" s="65">
        <v>0</v>
      </c>
      <c r="X2571" s="65">
        <v>30036</v>
      </c>
      <c r="Y2571" s="65">
        <v>0</v>
      </c>
      <c r="Z2571" s="51">
        <v>0</v>
      </c>
      <c r="AA2571" s="51">
        <v>0</v>
      </c>
      <c r="AB2571" s="102">
        <v>0</v>
      </c>
      <c r="AC2571" s="81">
        <f t="shared" si="123"/>
        <v>0</v>
      </c>
      <c r="AD2571" s="82">
        <f t="shared" si="124"/>
        <v>0</v>
      </c>
      <c r="AE2571" s="218">
        <v>-0.22090572522184382</v>
      </c>
      <c r="AF2571">
        <v>2</v>
      </c>
      <c r="AH2571" t="str">
        <f t="shared" si="125"/>
        <v>Dumraon</v>
      </c>
      <c r="AJ2571" s="72">
        <v>0</v>
      </c>
      <c r="AK2571" s="72"/>
      <c r="AL2571" s="72"/>
      <c r="AM2571" s="72"/>
    </row>
    <row r="2572" spans="1:39" x14ac:dyDescent="0.25">
      <c r="A2572" s="37" t="s">
        <v>62</v>
      </c>
      <c r="B2572" s="66" t="s">
        <v>1654</v>
      </c>
      <c r="C2572" s="4">
        <v>1014</v>
      </c>
      <c r="D2572" s="41" t="s">
        <v>368</v>
      </c>
      <c r="E2572" s="41">
        <v>10140176</v>
      </c>
      <c r="F2572" s="85" t="s">
        <v>644</v>
      </c>
      <c r="G2572" s="39" t="s">
        <v>1610</v>
      </c>
      <c r="H2572" s="52" t="s">
        <v>98</v>
      </c>
      <c r="I2572" s="52">
        <v>143.20000000000002</v>
      </c>
      <c r="J2572" s="49">
        <v>5372.8799999999992</v>
      </c>
      <c r="K2572" s="58">
        <v>0</v>
      </c>
      <c r="L2572" s="58">
        <v>0</v>
      </c>
      <c r="M2572" s="58">
        <v>0</v>
      </c>
      <c r="N2572" s="58">
        <v>0</v>
      </c>
      <c r="O2572" s="58">
        <v>0</v>
      </c>
      <c r="P2572" s="53">
        <v>0</v>
      </c>
      <c r="Q2572" s="65">
        <v>5372.8799999999992</v>
      </c>
      <c r="R2572" s="65">
        <v>0</v>
      </c>
      <c r="S2572" s="65">
        <v>0</v>
      </c>
      <c r="T2572" s="65">
        <v>0</v>
      </c>
      <c r="U2572" s="58">
        <v>0</v>
      </c>
      <c r="V2572" s="65">
        <v>0</v>
      </c>
      <c r="W2572" s="65">
        <v>0</v>
      </c>
      <c r="X2572" s="65">
        <v>0</v>
      </c>
      <c r="Y2572" s="65">
        <v>0</v>
      </c>
      <c r="Z2572" s="51">
        <v>5372.8799999999992</v>
      </c>
      <c r="AA2572" s="51">
        <v>0</v>
      </c>
      <c r="AB2572" s="102">
        <v>0</v>
      </c>
      <c r="AC2572" s="81">
        <f t="shared" si="123"/>
        <v>417.82396424580992</v>
      </c>
      <c r="AD2572" s="82">
        <f t="shared" si="124"/>
        <v>20.457142857142859</v>
      </c>
      <c r="AE2572" s="218">
        <v>0</v>
      </c>
      <c r="AF2572">
        <v>0</v>
      </c>
      <c r="AH2572" t="str">
        <f t="shared" si="125"/>
        <v>Dumraon</v>
      </c>
      <c r="AJ2572" s="72">
        <v>0</v>
      </c>
      <c r="AK2572" s="72"/>
      <c r="AL2572" s="72"/>
      <c r="AM2572" s="72"/>
    </row>
    <row r="2573" spans="1:39" x14ac:dyDescent="0.25">
      <c r="A2573" s="37" t="s">
        <v>62</v>
      </c>
      <c r="B2573" s="66" t="s">
        <v>1654</v>
      </c>
      <c r="C2573" s="4">
        <v>1014</v>
      </c>
      <c r="D2573" s="41" t="s">
        <v>368</v>
      </c>
      <c r="E2573" s="41">
        <v>10140179</v>
      </c>
      <c r="F2573" s="85" t="s">
        <v>653</v>
      </c>
      <c r="G2573" s="39" t="s">
        <v>92</v>
      </c>
      <c r="H2573" s="52" t="s">
        <v>93</v>
      </c>
      <c r="I2573" s="52">
        <v>1149.0999999999999</v>
      </c>
      <c r="J2573" s="49">
        <v>48457.490000000013</v>
      </c>
      <c r="K2573" s="58">
        <v>1133.9100000000001</v>
      </c>
      <c r="L2573" s="58">
        <v>47916.349999999991</v>
      </c>
      <c r="M2573" s="58">
        <v>14.420000000000002</v>
      </c>
      <c r="N2573" s="58">
        <v>616.56000000000006</v>
      </c>
      <c r="O2573" s="58">
        <v>1148.3300000000002</v>
      </c>
      <c r="P2573" s="53">
        <v>48532.909999999989</v>
      </c>
      <c r="Q2573" s="65">
        <v>48457.490000000013</v>
      </c>
      <c r="R2573" s="65">
        <v>0</v>
      </c>
      <c r="S2573" s="65">
        <v>616.56000000000006</v>
      </c>
      <c r="T2573" s="65">
        <v>75.419999999976426</v>
      </c>
      <c r="U2573" s="58">
        <v>0</v>
      </c>
      <c r="V2573" s="65">
        <v>0</v>
      </c>
      <c r="W2573" s="65">
        <v>0</v>
      </c>
      <c r="X2573" s="65">
        <v>47840</v>
      </c>
      <c r="Y2573" s="65">
        <v>0</v>
      </c>
      <c r="Z2573" s="51">
        <v>0</v>
      </c>
      <c r="AA2573" s="51">
        <v>1</v>
      </c>
      <c r="AB2573" s="102">
        <v>0</v>
      </c>
      <c r="AC2573" s="81">
        <f t="shared" si="123"/>
        <v>0</v>
      </c>
      <c r="AD2573" s="82">
        <f t="shared" si="124"/>
        <v>0</v>
      </c>
      <c r="AE2573" s="218">
        <v>-1.5564157367617764E-3</v>
      </c>
      <c r="AF2573">
        <v>45</v>
      </c>
      <c r="AH2573" t="str">
        <f t="shared" si="125"/>
        <v>Dumraon</v>
      </c>
      <c r="AJ2573" s="72">
        <v>0</v>
      </c>
      <c r="AK2573" s="72"/>
      <c r="AL2573" s="72"/>
      <c r="AM2573" s="72"/>
    </row>
    <row r="2574" spans="1:39" x14ac:dyDescent="0.25">
      <c r="A2574" s="37" t="s">
        <v>62</v>
      </c>
      <c r="B2574" s="66" t="s">
        <v>1654</v>
      </c>
      <c r="C2574" s="4">
        <v>1014</v>
      </c>
      <c r="D2574" s="41" t="s">
        <v>368</v>
      </c>
      <c r="E2574" s="41">
        <v>10140180</v>
      </c>
      <c r="F2574" s="85" t="s">
        <v>673</v>
      </c>
      <c r="G2574" s="39" t="s">
        <v>92</v>
      </c>
      <c r="H2574" s="52" t="s">
        <v>93</v>
      </c>
      <c r="I2574" s="52">
        <v>200.72999999999996</v>
      </c>
      <c r="J2574" s="49">
        <v>8079.49</v>
      </c>
      <c r="K2574" s="58">
        <v>203.90000000000003</v>
      </c>
      <c r="L2574" s="58">
        <v>7928.64</v>
      </c>
      <c r="M2574" s="58">
        <v>3.2</v>
      </c>
      <c r="N2574" s="58">
        <v>128.94</v>
      </c>
      <c r="O2574" s="58">
        <v>207.10000000000002</v>
      </c>
      <c r="P2574" s="53">
        <v>8057.58</v>
      </c>
      <c r="Q2574" s="65">
        <v>8057.58</v>
      </c>
      <c r="R2574" s="65">
        <v>0</v>
      </c>
      <c r="S2574" s="65">
        <v>128.94</v>
      </c>
      <c r="T2574" s="65">
        <v>0</v>
      </c>
      <c r="U2574" s="58">
        <v>0</v>
      </c>
      <c r="V2574" s="65">
        <v>0</v>
      </c>
      <c r="W2574" s="65">
        <v>0</v>
      </c>
      <c r="X2574" s="65">
        <v>7929</v>
      </c>
      <c r="Y2574" s="65">
        <v>0</v>
      </c>
      <c r="Z2574" s="51">
        <v>0</v>
      </c>
      <c r="AA2574" s="51">
        <v>22</v>
      </c>
      <c r="AB2574" s="102">
        <v>0</v>
      </c>
      <c r="AC2574" s="81">
        <f t="shared" si="123"/>
        <v>401.91769763363732</v>
      </c>
      <c r="AD2574" s="82">
        <f t="shared" si="124"/>
        <v>28.675714285714282</v>
      </c>
      <c r="AE2574" s="218">
        <v>2.7118048292651955E-3</v>
      </c>
      <c r="AF2574">
        <v>7</v>
      </c>
      <c r="AH2574" t="str">
        <f t="shared" si="125"/>
        <v>Dumraon</v>
      </c>
      <c r="AJ2574" s="72">
        <v>0</v>
      </c>
      <c r="AK2574" s="72"/>
      <c r="AL2574" s="72"/>
      <c r="AM2574" s="72"/>
    </row>
    <row r="2575" spans="1:39" x14ac:dyDescent="0.25">
      <c r="A2575" s="37" t="s">
        <v>62</v>
      </c>
      <c r="B2575" s="66" t="s">
        <v>1654</v>
      </c>
      <c r="C2575" s="4">
        <v>1014</v>
      </c>
      <c r="D2575" s="41" t="s">
        <v>368</v>
      </c>
      <c r="E2575" s="41">
        <v>10140185</v>
      </c>
      <c r="F2575" s="85" t="s">
        <v>1134</v>
      </c>
      <c r="G2575" s="39" t="s">
        <v>92</v>
      </c>
      <c r="H2575" s="52" t="s">
        <v>93</v>
      </c>
      <c r="I2575" s="52">
        <v>316.5</v>
      </c>
      <c r="J2575" s="49">
        <v>10740.830000000002</v>
      </c>
      <c r="K2575" s="58">
        <v>316</v>
      </c>
      <c r="L2575" s="58">
        <v>10725.04</v>
      </c>
      <c r="M2575" s="58">
        <v>0</v>
      </c>
      <c r="N2575" s="58">
        <v>0</v>
      </c>
      <c r="O2575" s="58">
        <v>316</v>
      </c>
      <c r="P2575" s="53">
        <v>10725.04</v>
      </c>
      <c r="Q2575" s="65">
        <v>10725.04</v>
      </c>
      <c r="R2575" s="65">
        <v>0</v>
      </c>
      <c r="S2575" s="65">
        <v>0</v>
      </c>
      <c r="T2575" s="65">
        <v>0</v>
      </c>
      <c r="U2575" s="58">
        <v>0</v>
      </c>
      <c r="V2575" s="65">
        <v>0</v>
      </c>
      <c r="W2575" s="65">
        <v>0</v>
      </c>
      <c r="X2575" s="65">
        <v>10725</v>
      </c>
      <c r="Y2575" s="65">
        <v>0</v>
      </c>
      <c r="Z2575" s="51">
        <v>0</v>
      </c>
      <c r="AA2575" s="51">
        <v>16</v>
      </c>
      <c r="AB2575" s="102">
        <v>0</v>
      </c>
      <c r="AC2575" s="81">
        <f t="shared" si="123"/>
        <v>260.29120410742502</v>
      </c>
      <c r="AD2575" s="82">
        <f t="shared" si="124"/>
        <v>45.214285714285715</v>
      </c>
      <c r="AE2575" s="218">
        <v>1.470091231310883E-3</v>
      </c>
      <c r="AF2575">
        <v>1</v>
      </c>
      <c r="AH2575" t="str">
        <f t="shared" si="125"/>
        <v>Dumraon</v>
      </c>
      <c r="AJ2575" s="72">
        <v>0</v>
      </c>
      <c r="AK2575" s="72"/>
      <c r="AL2575" s="72"/>
      <c r="AM2575" s="72"/>
    </row>
    <row r="2576" spans="1:39" x14ac:dyDescent="0.25">
      <c r="A2576" s="37" t="s">
        <v>62</v>
      </c>
      <c r="B2576" s="66" t="s">
        <v>1654</v>
      </c>
      <c r="C2576" s="4">
        <v>1014</v>
      </c>
      <c r="D2576" s="41" t="s">
        <v>368</v>
      </c>
      <c r="E2576" s="41">
        <v>10140191</v>
      </c>
      <c r="F2576" s="85" t="s">
        <v>1531</v>
      </c>
      <c r="G2576" s="39" t="s">
        <v>1610</v>
      </c>
      <c r="H2576" s="52" t="s">
        <v>98</v>
      </c>
      <c r="I2576" s="52">
        <v>315.7</v>
      </c>
      <c r="J2576" s="49">
        <v>12616.82</v>
      </c>
      <c r="K2576" s="58">
        <v>0</v>
      </c>
      <c r="L2576" s="58">
        <v>0</v>
      </c>
      <c r="M2576" s="58">
        <v>0</v>
      </c>
      <c r="N2576" s="58">
        <v>0</v>
      </c>
      <c r="O2576" s="58">
        <v>0</v>
      </c>
      <c r="P2576" s="53">
        <v>0</v>
      </c>
      <c r="Q2576" s="65">
        <v>12616.82</v>
      </c>
      <c r="R2576" s="65">
        <v>0</v>
      </c>
      <c r="S2576" s="65">
        <v>0</v>
      </c>
      <c r="T2576" s="65">
        <v>0</v>
      </c>
      <c r="U2576" s="58">
        <v>0</v>
      </c>
      <c r="V2576" s="65">
        <v>0</v>
      </c>
      <c r="W2576" s="65">
        <v>0</v>
      </c>
      <c r="X2576" s="65">
        <v>0</v>
      </c>
      <c r="Y2576" s="65">
        <v>0</v>
      </c>
      <c r="Z2576" s="51">
        <v>12616.82</v>
      </c>
      <c r="AA2576" s="51">
        <v>0</v>
      </c>
      <c r="AB2576" s="102">
        <v>0</v>
      </c>
      <c r="AC2576" s="81">
        <f t="shared" si="123"/>
        <v>307.16781286031045</v>
      </c>
      <c r="AD2576" s="82">
        <f t="shared" si="124"/>
        <v>45.1</v>
      </c>
      <c r="AE2576" s="218">
        <v>0</v>
      </c>
      <c r="AF2576">
        <v>0</v>
      </c>
      <c r="AH2576" t="str">
        <f t="shared" si="125"/>
        <v>Dumraon</v>
      </c>
      <c r="AJ2576" s="72">
        <v>0</v>
      </c>
      <c r="AK2576" s="72"/>
      <c r="AL2576" s="72"/>
      <c r="AM2576" s="72"/>
    </row>
    <row r="2577" spans="1:39" x14ac:dyDescent="0.25">
      <c r="A2577" s="37" t="s">
        <v>62</v>
      </c>
      <c r="B2577" s="66" t="s">
        <v>1654</v>
      </c>
      <c r="C2577" s="4">
        <v>1014</v>
      </c>
      <c r="D2577" s="41" t="s">
        <v>368</v>
      </c>
      <c r="E2577" s="41">
        <v>10140194</v>
      </c>
      <c r="F2577" s="85" t="s">
        <v>1272</v>
      </c>
      <c r="G2577" s="39" t="s">
        <v>92</v>
      </c>
      <c r="H2577" s="52" t="s">
        <v>93</v>
      </c>
      <c r="I2577" s="52">
        <v>406.60000000000008</v>
      </c>
      <c r="J2577" s="49">
        <v>16419.78</v>
      </c>
      <c r="K2577" s="58">
        <v>405.78000000000003</v>
      </c>
      <c r="L2577" s="58">
        <v>16378.660000000003</v>
      </c>
      <c r="M2577" s="58">
        <v>0</v>
      </c>
      <c r="N2577" s="58">
        <v>0</v>
      </c>
      <c r="O2577" s="58">
        <v>405.78000000000003</v>
      </c>
      <c r="P2577" s="53">
        <v>16378.660000000003</v>
      </c>
      <c r="Q2577" s="65">
        <v>16378.660000000003</v>
      </c>
      <c r="R2577" s="65">
        <v>0</v>
      </c>
      <c r="S2577" s="65">
        <v>0</v>
      </c>
      <c r="T2577" s="65">
        <v>0</v>
      </c>
      <c r="U2577" s="58">
        <v>0</v>
      </c>
      <c r="V2577" s="65">
        <v>0</v>
      </c>
      <c r="W2577" s="65">
        <v>0</v>
      </c>
      <c r="X2577" s="65">
        <v>16379</v>
      </c>
      <c r="Y2577" s="65">
        <v>0</v>
      </c>
      <c r="Z2577" s="51">
        <v>0</v>
      </c>
      <c r="AA2577" s="51">
        <v>41</v>
      </c>
      <c r="AB2577" s="102">
        <v>0</v>
      </c>
      <c r="AC2577" s="81">
        <f t="shared" si="123"/>
        <v>236.96819734382672</v>
      </c>
      <c r="AD2577" s="82">
        <f t="shared" si="124"/>
        <v>58.085714285714296</v>
      </c>
      <c r="AE2577" s="218">
        <v>2.5042966470924305E-3</v>
      </c>
      <c r="AF2577">
        <v>1</v>
      </c>
      <c r="AH2577" t="str">
        <f t="shared" si="125"/>
        <v>Dumraon</v>
      </c>
      <c r="AJ2577" s="72">
        <v>0</v>
      </c>
      <c r="AK2577" s="72"/>
      <c r="AL2577" s="72"/>
      <c r="AM2577" s="72"/>
    </row>
    <row r="2578" spans="1:39" x14ac:dyDescent="0.25">
      <c r="A2578" s="37" t="s">
        <v>62</v>
      </c>
      <c r="B2578" s="66" t="s">
        <v>1654</v>
      </c>
      <c r="C2578" s="4">
        <v>1014</v>
      </c>
      <c r="D2578" s="41" t="s">
        <v>368</v>
      </c>
      <c r="E2578" s="41">
        <v>10140196</v>
      </c>
      <c r="F2578" s="85" t="s">
        <v>1265</v>
      </c>
      <c r="G2578" s="39" t="s">
        <v>1610</v>
      </c>
      <c r="H2578" s="52" t="s">
        <v>98</v>
      </c>
      <c r="I2578" s="52">
        <v>441.60000000000008</v>
      </c>
      <c r="J2578" s="49">
        <v>17348.479999999996</v>
      </c>
      <c r="K2578" s="58">
        <v>0</v>
      </c>
      <c r="L2578" s="58">
        <v>0</v>
      </c>
      <c r="M2578" s="58">
        <v>0</v>
      </c>
      <c r="N2578" s="58">
        <v>0</v>
      </c>
      <c r="O2578" s="58">
        <v>0</v>
      </c>
      <c r="P2578" s="53">
        <v>0</v>
      </c>
      <c r="Q2578" s="65">
        <v>17348.479999999996</v>
      </c>
      <c r="R2578" s="65">
        <v>0</v>
      </c>
      <c r="S2578" s="65">
        <v>0</v>
      </c>
      <c r="T2578" s="65">
        <v>0</v>
      </c>
      <c r="U2578" s="58">
        <v>0</v>
      </c>
      <c r="V2578" s="65">
        <v>0</v>
      </c>
      <c r="W2578" s="65">
        <v>0</v>
      </c>
      <c r="X2578" s="65">
        <v>0</v>
      </c>
      <c r="Y2578" s="65">
        <v>0</v>
      </c>
      <c r="Z2578" s="51">
        <v>17348.479999999996</v>
      </c>
      <c r="AA2578" s="51">
        <v>0</v>
      </c>
      <c r="AB2578" s="102">
        <v>0</v>
      </c>
      <c r="AC2578" s="81">
        <f t="shared" si="123"/>
        <v>203.02750144927523</v>
      </c>
      <c r="AD2578" s="82">
        <f t="shared" si="124"/>
        <v>63.085714285714296</v>
      </c>
      <c r="AE2578" s="218">
        <v>0</v>
      </c>
      <c r="AF2578">
        <v>0</v>
      </c>
      <c r="AH2578" t="str">
        <f t="shared" si="125"/>
        <v>Dumraon</v>
      </c>
      <c r="AJ2578" s="72">
        <v>0</v>
      </c>
      <c r="AK2578" s="72"/>
      <c r="AL2578" s="72"/>
      <c r="AM2578" s="72"/>
    </row>
    <row r="2579" spans="1:39" x14ac:dyDescent="0.25">
      <c r="A2579" s="37" t="s">
        <v>62</v>
      </c>
      <c r="B2579" s="66" t="s">
        <v>1654</v>
      </c>
      <c r="C2579" s="4">
        <v>1014</v>
      </c>
      <c r="D2579" s="41" t="s">
        <v>368</v>
      </c>
      <c r="E2579" s="41">
        <v>10140197</v>
      </c>
      <c r="F2579" s="85" t="s">
        <v>1273</v>
      </c>
      <c r="G2579" s="39" t="s">
        <v>92</v>
      </c>
      <c r="H2579" s="52" t="s">
        <v>93</v>
      </c>
      <c r="I2579" s="52">
        <v>185.70000000000002</v>
      </c>
      <c r="J2579" s="49">
        <v>7932.3200000000006</v>
      </c>
      <c r="K2579" s="58">
        <v>185.8</v>
      </c>
      <c r="L2579" s="58">
        <v>7928.09</v>
      </c>
      <c r="M2579" s="58">
        <v>0</v>
      </c>
      <c r="N2579" s="58">
        <v>0</v>
      </c>
      <c r="O2579" s="58">
        <v>185.8</v>
      </c>
      <c r="P2579" s="53">
        <v>7928.09</v>
      </c>
      <c r="Q2579" s="65">
        <v>7928.09</v>
      </c>
      <c r="R2579" s="65">
        <v>0</v>
      </c>
      <c r="S2579" s="65">
        <v>0</v>
      </c>
      <c r="T2579" s="65">
        <v>0</v>
      </c>
      <c r="U2579" s="58">
        <v>0</v>
      </c>
      <c r="V2579" s="65">
        <v>0</v>
      </c>
      <c r="W2579" s="65">
        <v>0</v>
      </c>
      <c r="X2579" s="65">
        <v>7928</v>
      </c>
      <c r="Y2579" s="65">
        <v>0</v>
      </c>
      <c r="Z2579" s="51">
        <v>0</v>
      </c>
      <c r="AA2579" s="51">
        <v>4</v>
      </c>
      <c r="AB2579" s="102">
        <v>0</v>
      </c>
      <c r="AC2579" s="81">
        <f t="shared" si="123"/>
        <v>439.37449391491651</v>
      </c>
      <c r="AD2579" s="82">
        <f t="shared" si="124"/>
        <v>26.528571428571432</v>
      </c>
      <c r="AE2579" s="218">
        <v>5.3326139137105822E-4</v>
      </c>
      <c r="AF2579">
        <v>1</v>
      </c>
      <c r="AH2579" t="str">
        <f t="shared" si="125"/>
        <v>Dumraon</v>
      </c>
      <c r="AJ2579" s="72">
        <v>0</v>
      </c>
      <c r="AK2579" s="72"/>
      <c r="AL2579" s="72"/>
      <c r="AM2579" s="72"/>
    </row>
    <row r="2580" spans="1:39" x14ac:dyDescent="0.25">
      <c r="A2580" s="37" t="s">
        <v>62</v>
      </c>
      <c r="B2580" s="66" t="s">
        <v>1654</v>
      </c>
      <c r="C2580" s="4">
        <v>1014</v>
      </c>
      <c r="D2580" s="41" t="s">
        <v>368</v>
      </c>
      <c r="E2580" s="41">
        <v>10140198</v>
      </c>
      <c r="F2580" s="85" t="s">
        <v>1274</v>
      </c>
      <c r="G2580" s="39" t="s">
        <v>1610</v>
      </c>
      <c r="H2580" s="52" t="s">
        <v>98</v>
      </c>
      <c r="I2580" s="52">
        <v>794.89999999999986</v>
      </c>
      <c r="J2580" s="49">
        <v>33544.370000000003</v>
      </c>
      <c r="K2580" s="58">
        <v>0</v>
      </c>
      <c r="L2580" s="58">
        <v>0</v>
      </c>
      <c r="M2580" s="58">
        <v>0</v>
      </c>
      <c r="N2580" s="58">
        <v>0</v>
      </c>
      <c r="O2580" s="58">
        <v>0</v>
      </c>
      <c r="P2580" s="53">
        <v>0</v>
      </c>
      <c r="Q2580" s="65">
        <v>33544.370000000003</v>
      </c>
      <c r="R2580" s="65">
        <v>0</v>
      </c>
      <c r="S2580" s="65">
        <v>0</v>
      </c>
      <c r="T2580" s="65">
        <v>0</v>
      </c>
      <c r="U2580" s="58">
        <v>0</v>
      </c>
      <c r="V2580" s="65">
        <v>0</v>
      </c>
      <c r="W2580" s="65">
        <v>0</v>
      </c>
      <c r="X2580" s="65">
        <v>0</v>
      </c>
      <c r="Y2580" s="65">
        <v>0</v>
      </c>
      <c r="Z2580" s="51">
        <v>33544.370000000003</v>
      </c>
      <c r="AA2580" s="51">
        <v>0</v>
      </c>
      <c r="AB2580" s="102">
        <v>0</v>
      </c>
      <c r="AC2580" s="81">
        <f t="shared" si="123"/>
        <v>0</v>
      </c>
      <c r="AD2580" s="82">
        <f t="shared" si="124"/>
        <v>0</v>
      </c>
      <c r="AE2580" s="218">
        <v>0</v>
      </c>
      <c r="AF2580">
        <v>0</v>
      </c>
      <c r="AH2580" t="str">
        <f t="shared" si="125"/>
        <v>Dumraon</v>
      </c>
      <c r="AJ2580" s="72">
        <v>0</v>
      </c>
      <c r="AK2580" s="72"/>
      <c r="AL2580" s="72"/>
      <c r="AM2580" s="72"/>
    </row>
    <row r="2581" spans="1:39" x14ac:dyDescent="0.25">
      <c r="A2581" s="37" t="s">
        <v>62</v>
      </c>
      <c r="B2581" s="66" t="s">
        <v>1654</v>
      </c>
      <c r="C2581" s="4">
        <v>1014</v>
      </c>
      <c r="D2581" s="41" t="s">
        <v>368</v>
      </c>
      <c r="E2581" s="41">
        <v>10140201</v>
      </c>
      <c r="F2581" s="85" t="s">
        <v>1303</v>
      </c>
      <c r="G2581" s="39" t="s">
        <v>1610</v>
      </c>
      <c r="H2581" s="52" t="s">
        <v>98</v>
      </c>
      <c r="I2581" s="52">
        <v>125.39999999999999</v>
      </c>
      <c r="J2581" s="49">
        <v>4714.51</v>
      </c>
      <c r="K2581" s="58">
        <v>0</v>
      </c>
      <c r="L2581" s="58">
        <v>0</v>
      </c>
      <c r="M2581" s="58">
        <v>0</v>
      </c>
      <c r="N2581" s="58">
        <v>0</v>
      </c>
      <c r="O2581" s="58">
        <v>0</v>
      </c>
      <c r="P2581" s="53">
        <v>0</v>
      </c>
      <c r="Q2581" s="65">
        <v>4714.51</v>
      </c>
      <c r="R2581" s="65">
        <v>0</v>
      </c>
      <c r="S2581" s="65">
        <v>0</v>
      </c>
      <c r="T2581" s="65">
        <v>0</v>
      </c>
      <c r="U2581" s="58">
        <v>0</v>
      </c>
      <c r="V2581" s="65">
        <v>0</v>
      </c>
      <c r="W2581" s="65">
        <v>0</v>
      </c>
      <c r="X2581" s="65">
        <v>0</v>
      </c>
      <c r="Y2581" s="65">
        <v>0</v>
      </c>
      <c r="Z2581" s="51">
        <v>4714.51</v>
      </c>
      <c r="AA2581" s="51">
        <v>0</v>
      </c>
      <c r="AB2581" s="102">
        <v>0</v>
      </c>
      <c r="AC2581" s="81">
        <f t="shared" si="123"/>
        <v>432.05062934609253</v>
      </c>
      <c r="AD2581" s="82">
        <f t="shared" si="124"/>
        <v>17.914285714285715</v>
      </c>
      <c r="AE2581" s="218">
        <v>0</v>
      </c>
      <c r="AF2581">
        <v>0</v>
      </c>
      <c r="AH2581" t="str">
        <f t="shared" si="125"/>
        <v>Dumraon</v>
      </c>
      <c r="AJ2581" s="72">
        <v>0</v>
      </c>
      <c r="AK2581" s="72"/>
      <c r="AL2581" s="72"/>
      <c r="AM2581" s="72"/>
    </row>
    <row r="2582" spans="1:39" x14ac:dyDescent="0.25">
      <c r="A2582" s="37" t="s">
        <v>62</v>
      </c>
      <c r="B2582" s="66" t="s">
        <v>1654</v>
      </c>
      <c r="C2582" s="4">
        <v>1014</v>
      </c>
      <c r="D2582" s="41" t="s">
        <v>368</v>
      </c>
      <c r="E2582" s="41">
        <v>10140203</v>
      </c>
      <c r="F2582" s="85" t="s">
        <v>1334</v>
      </c>
      <c r="G2582" s="39" t="s">
        <v>1610</v>
      </c>
      <c r="H2582" s="52" t="s">
        <v>98</v>
      </c>
      <c r="I2582" s="52">
        <v>2013.1</v>
      </c>
      <c r="J2582" s="49">
        <v>75504.149999999994</v>
      </c>
      <c r="K2582" s="58">
        <v>0</v>
      </c>
      <c r="L2582" s="58">
        <v>0</v>
      </c>
      <c r="M2582" s="58">
        <v>0</v>
      </c>
      <c r="N2582" s="58">
        <v>0</v>
      </c>
      <c r="O2582" s="58">
        <v>0</v>
      </c>
      <c r="P2582" s="53">
        <v>0</v>
      </c>
      <c r="Q2582" s="65">
        <v>75504.149999999994</v>
      </c>
      <c r="R2582" s="65">
        <v>0</v>
      </c>
      <c r="S2582" s="65">
        <v>0</v>
      </c>
      <c r="T2582" s="65">
        <v>0</v>
      </c>
      <c r="U2582" s="58">
        <v>0</v>
      </c>
      <c r="V2582" s="65">
        <v>0</v>
      </c>
      <c r="W2582" s="65">
        <v>0</v>
      </c>
      <c r="X2582" s="65">
        <v>0</v>
      </c>
      <c r="Y2582" s="65">
        <v>0</v>
      </c>
      <c r="Z2582" s="51">
        <v>75504.149999999994</v>
      </c>
      <c r="AA2582" s="51">
        <v>0</v>
      </c>
      <c r="AB2582" s="102">
        <v>0</v>
      </c>
      <c r="AC2582" s="81">
        <f t="shared" si="123"/>
        <v>0</v>
      </c>
      <c r="AD2582" s="82">
        <f t="shared" si="124"/>
        <v>0</v>
      </c>
      <c r="AE2582" s="218">
        <v>0</v>
      </c>
      <c r="AF2582">
        <v>0</v>
      </c>
      <c r="AH2582" t="str">
        <f t="shared" si="125"/>
        <v>Dumraon</v>
      </c>
      <c r="AJ2582" s="72">
        <v>0</v>
      </c>
      <c r="AK2582" s="72"/>
      <c r="AL2582" s="72"/>
      <c r="AM2582" s="72"/>
    </row>
    <row r="2583" spans="1:39" x14ac:dyDescent="0.25">
      <c r="A2583" s="37" t="s">
        <v>62</v>
      </c>
      <c r="B2583" s="66" t="s">
        <v>1654</v>
      </c>
      <c r="C2583" s="4">
        <v>1014</v>
      </c>
      <c r="D2583" s="41" t="s">
        <v>368</v>
      </c>
      <c r="E2583" s="41">
        <v>10140204</v>
      </c>
      <c r="F2583" s="85" t="s">
        <v>1464</v>
      </c>
      <c r="G2583" s="39" t="s">
        <v>1610</v>
      </c>
      <c r="H2583" s="52" t="s">
        <v>98</v>
      </c>
      <c r="I2583" s="52">
        <v>69.100000000000009</v>
      </c>
      <c r="J2583" s="49">
        <v>2948.7999999999997</v>
      </c>
      <c r="K2583" s="58">
        <v>0</v>
      </c>
      <c r="L2583" s="58">
        <v>0</v>
      </c>
      <c r="M2583" s="58">
        <v>0</v>
      </c>
      <c r="N2583" s="58">
        <v>0</v>
      </c>
      <c r="O2583" s="58">
        <v>0</v>
      </c>
      <c r="P2583" s="53">
        <v>0</v>
      </c>
      <c r="Q2583" s="65">
        <v>2948.7999999999997</v>
      </c>
      <c r="R2583" s="65">
        <v>0</v>
      </c>
      <c r="S2583" s="65">
        <v>0</v>
      </c>
      <c r="T2583" s="65">
        <v>0</v>
      </c>
      <c r="U2583" s="58">
        <v>0</v>
      </c>
      <c r="V2583" s="65">
        <v>0</v>
      </c>
      <c r="W2583" s="65">
        <v>0</v>
      </c>
      <c r="X2583" s="65">
        <v>0</v>
      </c>
      <c r="Y2583" s="65">
        <v>0</v>
      </c>
      <c r="Z2583" s="51">
        <v>2948.7999999999997</v>
      </c>
      <c r="AA2583" s="51">
        <v>0</v>
      </c>
      <c r="AB2583" s="102">
        <v>0</v>
      </c>
      <c r="AC2583" s="81">
        <f t="shared" si="123"/>
        <v>538.46538929088274</v>
      </c>
      <c r="AD2583" s="82">
        <f t="shared" si="124"/>
        <v>9.8714285714285719</v>
      </c>
      <c r="AE2583" s="218">
        <v>0</v>
      </c>
      <c r="AF2583">
        <v>0</v>
      </c>
      <c r="AH2583" t="str">
        <f t="shared" si="125"/>
        <v>Dumraon</v>
      </c>
      <c r="AJ2583" s="72">
        <v>0</v>
      </c>
      <c r="AK2583" s="72"/>
      <c r="AL2583" s="72"/>
      <c r="AM2583" s="72"/>
    </row>
    <row r="2584" spans="1:39" x14ac:dyDescent="0.25">
      <c r="A2584" s="37" t="s">
        <v>62</v>
      </c>
      <c r="B2584" s="66" t="s">
        <v>1654</v>
      </c>
      <c r="C2584" s="4">
        <v>1014</v>
      </c>
      <c r="D2584" s="41" t="s">
        <v>368</v>
      </c>
      <c r="E2584" s="41">
        <v>10140206</v>
      </c>
      <c r="F2584" s="85" t="s">
        <v>1374</v>
      </c>
      <c r="G2584" s="39" t="s">
        <v>92</v>
      </c>
      <c r="H2584" s="52" t="s">
        <v>93</v>
      </c>
      <c r="I2584" s="52">
        <v>442.00000000000006</v>
      </c>
      <c r="J2584" s="49">
        <v>18790.16</v>
      </c>
      <c r="K2584" s="58">
        <v>444</v>
      </c>
      <c r="L2584" s="58">
        <v>18763.439999999999</v>
      </c>
      <c r="M2584" s="58">
        <v>0</v>
      </c>
      <c r="N2584" s="58">
        <v>0</v>
      </c>
      <c r="O2584" s="58">
        <v>444</v>
      </c>
      <c r="P2584" s="53">
        <v>18763.439999999999</v>
      </c>
      <c r="Q2584" s="65">
        <v>18763.439999999999</v>
      </c>
      <c r="R2584" s="65">
        <v>0</v>
      </c>
      <c r="S2584" s="65">
        <v>0</v>
      </c>
      <c r="T2584" s="65">
        <v>0</v>
      </c>
      <c r="U2584" s="58">
        <v>0</v>
      </c>
      <c r="V2584" s="65">
        <v>0</v>
      </c>
      <c r="W2584" s="65">
        <v>0</v>
      </c>
      <c r="X2584" s="65">
        <v>18763</v>
      </c>
      <c r="Y2584" s="65">
        <v>0</v>
      </c>
      <c r="Z2584" s="51">
        <v>0</v>
      </c>
      <c r="AA2584" s="51">
        <v>27</v>
      </c>
      <c r="AB2584" s="102">
        <v>0</v>
      </c>
      <c r="AC2584" s="81">
        <f t="shared" si="123"/>
        <v>219.36023891402706</v>
      </c>
      <c r="AD2584" s="82">
        <f t="shared" si="124"/>
        <v>63.142857142857153</v>
      </c>
      <c r="AE2584" s="218">
        <v>1.4220208875284279E-3</v>
      </c>
      <c r="AF2584">
        <v>1</v>
      </c>
      <c r="AH2584" t="str">
        <f t="shared" si="125"/>
        <v>Dumraon</v>
      </c>
      <c r="AJ2584" s="72">
        <v>0</v>
      </c>
      <c r="AK2584" s="72"/>
      <c r="AL2584" s="72"/>
      <c r="AM2584" s="72"/>
    </row>
    <row r="2585" spans="1:39" x14ac:dyDescent="0.25">
      <c r="A2585" s="37" t="s">
        <v>62</v>
      </c>
      <c r="B2585" s="66" t="s">
        <v>1654</v>
      </c>
      <c r="C2585" s="4">
        <v>1014</v>
      </c>
      <c r="D2585" s="41" t="s">
        <v>368</v>
      </c>
      <c r="E2585" s="41">
        <v>10140207</v>
      </c>
      <c r="F2585" s="85" t="s">
        <v>1539</v>
      </c>
      <c r="G2585" s="39" t="s">
        <v>1610</v>
      </c>
      <c r="H2585" s="52" t="s">
        <v>98</v>
      </c>
      <c r="I2585" s="52">
        <v>383.5</v>
      </c>
      <c r="J2585" s="49">
        <v>13846.960000000001</v>
      </c>
      <c r="K2585" s="58">
        <v>0</v>
      </c>
      <c r="L2585" s="58">
        <v>0</v>
      </c>
      <c r="M2585" s="58">
        <v>0</v>
      </c>
      <c r="N2585" s="58">
        <v>0</v>
      </c>
      <c r="O2585" s="58">
        <v>0</v>
      </c>
      <c r="P2585" s="53">
        <v>0</v>
      </c>
      <c r="Q2585" s="65">
        <v>13846.960000000001</v>
      </c>
      <c r="R2585" s="65">
        <v>0</v>
      </c>
      <c r="S2585" s="65">
        <v>0</v>
      </c>
      <c r="T2585" s="65">
        <v>0</v>
      </c>
      <c r="U2585" s="58">
        <v>0</v>
      </c>
      <c r="V2585" s="65">
        <v>0</v>
      </c>
      <c r="W2585" s="65">
        <v>0</v>
      </c>
      <c r="X2585" s="65">
        <v>0</v>
      </c>
      <c r="Y2585" s="65">
        <v>0</v>
      </c>
      <c r="Z2585" s="51">
        <v>13846.960000000001</v>
      </c>
      <c r="AA2585" s="51">
        <v>0</v>
      </c>
      <c r="AB2585" s="102">
        <v>0</v>
      </c>
      <c r="AC2585" s="81">
        <f t="shared" si="123"/>
        <v>228.55608031290743</v>
      </c>
      <c r="AD2585" s="82">
        <f t="shared" si="124"/>
        <v>54.785714285714285</v>
      </c>
      <c r="AE2585" s="218">
        <v>0</v>
      </c>
      <c r="AF2585">
        <v>0</v>
      </c>
      <c r="AH2585" t="str">
        <f t="shared" si="125"/>
        <v>Dumraon</v>
      </c>
      <c r="AJ2585" s="72">
        <v>0</v>
      </c>
      <c r="AK2585" s="72"/>
      <c r="AL2585" s="72"/>
      <c r="AM2585" s="72"/>
    </row>
    <row r="2586" spans="1:39" x14ac:dyDescent="0.25">
      <c r="A2586" s="37" t="s">
        <v>62</v>
      </c>
      <c r="B2586" s="66" t="s">
        <v>1654</v>
      </c>
      <c r="C2586" s="4">
        <v>1014</v>
      </c>
      <c r="D2586" s="41" t="s">
        <v>368</v>
      </c>
      <c r="E2586" s="41">
        <v>10140208</v>
      </c>
      <c r="F2586" s="85" t="s">
        <v>1562</v>
      </c>
      <c r="G2586" s="39" t="s">
        <v>92</v>
      </c>
      <c r="H2586" s="52" t="s">
        <v>93</v>
      </c>
      <c r="I2586" s="52">
        <v>911.50000000000011</v>
      </c>
      <c r="J2586" s="49">
        <v>37332.699999999997</v>
      </c>
      <c r="K2586" s="58">
        <v>938.41000000000008</v>
      </c>
      <c r="L2586" s="58">
        <v>38680.509999999995</v>
      </c>
      <c r="M2586" s="58">
        <v>0</v>
      </c>
      <c r="N2586" s="58">
        <v>0</v>
      </c>
      <c r="O2586" s="58">
        <v>938.41000000000008</v>
      </c>
      <c r="P2586" s="53">
        <v>38680.509999999995</v>
      </c>
      <c r="Q2586" s="65">
        <v>37332.699999999997</v>
      </c>
      <c r="R2586" s="65">
        <v>0</v>
      </c>
      <c r="S2586" s="65">
        <v>0</v>
      </c>
      <c r="T2586" s="65">
        <v>1347.8099999999977</v>
      </c>
      <c r="U2586" s="58">
        <v>0</v>
      </c>
      <c r="V2586" s="65">
        <v>0</v>
      </c>
      <c r="W2586" s="65">
        <v>0</v>
      </c>
      <c r="X2586" s="65">
        <v>37333</v>
      </c>
      <c r="Y2586" s="65">
        <v>0</v>
      </c>
      <c r="Z2586" s="51">
        <v>0</v>
      </c>
      <c r="AA2586" s="51">
        <v>0</v>
      </c>
      <c r="AB2586" s="102">
        <v>0</v>
      </c>
      <c r="AC2586" s="81">
        <f t="shared" si="123"/>
        <v>0</v>
      </c>
      <c r="AD2586" s="82">
        <f t="shared" si="124"/>
        <v>0</v>
      </c>
      <c r="AE2586" s="218">
        <v>-3.6102666027370049E-2</v>
      </c>
      <c r="AF2586">
        <v>2</v>
      </c>
      <c r="AH2586" t="str">
        <f t="shared" si="125"/>
        <v>Dumraon</v>
      </c>
      <c r="AJ2586" s="72">
        <v>0</v>
      </c>
      <c r="AK2586" s="72"/>
      <c r="AL2586" s="72"/>
      <c r="AM2586" s="72"/>
    </row>
    <row r="2587" spans="1:39" x14ac:dyDescent="0.25">
      <c r="A2587" s="37" t="s">
        <v>62</v>
      </c>
      <c r="B2587" s="66" t="s">
        <v>1654</v>
      </c>
      <c r="C2587" s="4">
        <v>1002</v>
      </c>
      <c r="D2587" s="41" t="s">
        <v>103</v>
      </c>
      <c r="E2587" s="41">
        <v>10180001</v>
      </c>
      <c r="F2587" s="85" t="s">
        <v>611</v>
      </c>
      <c r="G2587" s="39" t="s">
        <v>92</v>
      </c>
      <c r="H2587" s="52" t="s">
        <v>98</v>
      </c>
      <c r="I2587" s="52">
        <v>681.4</v>
      </c>
      <c r="J2587" s="49">
        <v>28300.550000000003</v>
      </c>
      <c r="K2587" s="58">
        <v>0</v>
      </c>
      <c r="L2587" s="58">
        <v>0</v>
      </c>
      <c r="M2587" s="58">
        <v>0</v>
      </c>
      <c r="N2587" s="58">
        <v>0</v>
      </c>
      <c r="O2587" s="58">
        <v>0</v>
      </c>
      <c r="P2587" s="53">
        <v>0</v>
      </c>
      <c r="Q2587" s="65">
        <v>28300.550000000003</v>
      </c>
      <c r="R2587" s="65">
        <v>0</v>
      </c>
      <c r="S2587" s="65">
        <v>0</v>
      </c>
      <c r="T2587" s="65">
        <v>0</v>
      </c>
      <c r="U2587" s="58">
        <v>0</v>
      </c>
      <c r="V2587" s="65">
        <v>0</v>
      </c>
      <c r="W2587" s="65">
        <v>0</v>
      </c>
      <c r="X2587" s="65">
        <v>0</v>
      </c>
      <c r="Y2587" s="65">
        <v>0</v>
      </c>
      <c r="Z2587" s="51">
        <v>28300.550000000003</v>
      </c>
      <c r="AA2587" s="51">
        <v>0</v>
      </c>
      <c r="AB2587" s="102">
        <v>0</v>
      </c>
      <c r="AC2587" s="81">
        <f t="shared" si="123"/>
        <v>15.450256237158799</v>
      </c>
      <c r="AD2587" s="82">
        <f t="shared" si="124"/>
        <v>97.342857142857142</v>
      </c>
      <c r="AE2587" s="218">
        <v>0</v>
      </c>
      <c r="AF2587">
        <v>0</v>
      </c>
      <c r="AH2587" t="str">
        <f t="shared" si="125"/>
        <v>Laldiyara</v>
      </c>
      <c r="AJ2587" s="72">
        <v>0</v>
      </c>
      <c r="AK2587" s="72"/>
      <c r="AL2587" s="72"/>
      <c r="AM2587" s="72"/>
    </row>
    <row r="2588" spans="1:39" x14ac:dyDescent="0.25">
      <c r="A2588" s="37" t="s">
        <v>62</v>
      </c>
      <c r="B2588" s="66" t="s">
        <v>1654</v>
      </c>
      <c r="C2588" s="4">
        <v>1003</v>
      </c>
      <c r="D2588" s="41" t="s">
        <v>137</v>
      </c>
      <c r="E2588" s="41">
        <v>10240001</v>
      </c>
      <c r="F2588" s="85" t="s">
        <v>394</v>
      </c>
      <c r="G2588" s="39" t="s">
        <v>92</v>
      </c>
      <c r="H2588" s="52" t="s">
        <v>93</v>
      </c>
      <c r="I2588" s="52">
        <v>2216.25</v>
      </c>
      <c r="J2588" s="49">
        <v>84714.660000000018</v>
      </c>
      <c r="K2588" s="58">
        <v>2300.3000000000006</v>
      </c>
      <c r="L2588" s="58">
        <v>83179.160000000018</v>
      </c>
      <c r="M2588" s="58">
        <v>28.200000000000003</v>
      </c>
      <c r="N2588" s="58">
        <v>1454.77</v>
      </c>
      <c r="O2588" s="58">
        <v>2328.5000000000005</v>
      </c>
      <c r="P2588" s="53">
        <v>84633.930000000022</v>
      </c>
      <c r="Q2588" s="65">
        <v>84633.930000000022</v>
      </c>
      <c r="R2588" s="65">
        <v>0</v>
      </c>
      <c r="S2588" s="65">
        <v>1454.77</v>
      </c>
      <c r="T2588" s="65">
        <v>0</v>
      </c>
      <c r="U2588" s="58">
        <v>0</v>
      </c>
      <c r="V2588" s="65">
        <v>0</v>
      </c>
      <c r="W2588" s="65">
        <v>0</v>
      </c>
      <c r="X2588" s="65">
        <v>83181</v>
      </c>
      <c r="Y2588" s="65">
        <v>0</v>
      </c>
      <c r="Z2588" s="51">
        <v>0</v>
      </c>
      <c r="AA2588" s="51">
        <v>79</v>
      </c>
      <c r="AB2588" s="102">
        <v>0</v>
      </c>
      <c r="AC2588" s="81">
        <f t="shared" si="123"/>
        <v>0</v>
      </c>
      <c r="AD2588" s="82">
        <f t="shared" si="124"/>
        <v>0</v>
      </c>
      <c r="AE2588" s="218">
        <v>9.5296374913144799E-4</v>
      </c>
      <c r="AF2588">
        <v>73</v>
      </c>
      <c r="AH2588" t="str">
        <f t="shared" si="125"/>
        <v>Asarganj</v>
      </c>
      <c r="AJ2588" s="72">
        <v>0</v>
      </c>
      <c r="AK2588" s="72"/>
      <c r="AL2588" s="72"/>
      <c r="AM2588" s="72"/>
    </row>
    <row r="2589" spans="1:39" x14ac:dyDescent="0.25">
      <c r="A2589" s="37" t="s">
        <v>62</v>
      </c>
      <c r="B2589" s="66" t="s">
        <v>1654</v>
      </c>
      <c r="C2589" s="4">
        <v>1003</v>
      </c>
      <c r="D2589" s="41" t="s">
        <v>137</v>
      </c>
      <c r="E2589" s="41">
        <v>10250001</v>
      </c>
      <c r="F2589" s="85" t="s">
        <v>395</v>
      </c>
      <c r="G2589" s="39" t="s">
        <v>92</v>
      </c>
      <c r="H2589" s="52" t="s">
        <v>93</v>
      </c>
      <c r="I2589" s="52">
        <v>1964.9499999999998</v>
      </c>
      <c r="J2589" s="49">
        <v>88192.450000000012</v>
      </c>
      <c r="K2589" s="58">
        <v>1957.7999999999995</v>
      </c>
      <c r="L2589" s="58">
        <v>87923.650000000009</v>
      </c>
      <c r="M2589" s="58">
        <v>15.1</v>
      </c>
      <c r="N2589" s="58">
        <v>675.77</v>
      </c>
      <c r="O2589" s="58">
        <v>1972.8999999999994</v>
      </c>
      <c r="P2589" s="53">
        <v>88599.420000000013</v>
      </c>
      <c r="Q2589" s="65">
        <v>88192.450000000012</v>
      </c>
      <c r="R2589" s="65">
        <v>0</v>
      </c>
      <c r="S2589" s="65">
        <v>675.77</v>
      </c>
      <c r="T2589" s="65">
        <v>406.97000000000116</v>
      </c>
      <c r="U2589" s="58">
        <v>11752</v>
      </c>
      <c r="V2589" s="65">
        <v>0</v>
      </c>
      <c r="W2589" s="65">
        <v>0</v>
      </c>
      <c r="X2589" s="65">
        <v>75764</v>
      </c>
      <c r="Y2589" s="65">
        <v>0</v>
      </c>
      <c r="Z2589" s="51">
        <v>0</v>
      </c>
      <c r="AA2589" s="51">
        <v>1</v>
      </c>
      <c r="AB2589" s="102" t="s">
        <v>66</v>
      </c>
      <c r="AC2589" s="81">
        <f t="shared" si="123"/>
        <v>0</v>
      </c>
      <c r="AD2589" s="82">
        <f t="shared" si="124"/>
        <v>0</v>
      </c>
      <c r="AE2589" s="218">
        <v>-4.6145673467513498E-3</v>
      </c>
      <c r="AF2589">
        <v>17</v>
      </c>
      <c r="AH2589" t="str">
        <f t="shared" si="125"/>
        <v>Asarganj</v>
      </c>
      <c r="AJ2589" s="72">
        <v>0</v>
      </c>
      <c r="AK2589" s="72"/>
      <c r="AL2589" s="72"/>
      <c r="AM2589" s="72"/>
    </row>
    <row r="2590" spans="1:39" x14ac:dyDescent="0.25">
      <c r="A2590" s="37" t="s">
        <v>62</v>
      </c>
      <c r="B2590" s="66" t="s">
        <v>1654</v>
      </c>
      <c r="C2590" s="4">
        <v>1003</v>
      </c>
      <c r="D2590" s="41" t="s">
        <v>137</v>
      </c>
      <c r="E2590" s="41">
        <v>10260001</v>
      </c>
      <c r="F2590" s="85" t="s">
        <v>396</v>
      </c>
      <c r="G2590" s="39" t="s">
        <v>92</v>
      </c>
      <c r="H2590" s="52" t="s">
        <v>93</v>
      </c>
      <c r="I2590" s="52">
        <v>1417.6</v>
      </c>
      <c r="J2590" s="49">
        <v>54434.73</v>
      </c>
      <c r="K2590" s="58">
        <v>1435.6000000000001</v>
      </c>
      <c r="L2590" s="58">
        <v>62320.92</v>
      </c>
      <c r="M2590" s="58">
        <v>6.6</v>
      </c>
      <c r="N2590" s="58">
        <v>304.81</v>
      </c>
      <c r="O2590" s="58">
        <v>1442.2</v>
      </c>
      <c r="P2590" s="53">
        <v>62625.729999999996</v>
      </c>
      <c r="Q2590" s="65">
        <v>54434.73</v>
      </c>
      <c r="R2590" s="65">
        <v>0</v>
      </c>
      <c r="S2590" s="65">
        <v>304.81</v>
      </c>
      <c r="T2590" s="65">
        <v>8190.9999999999927</v>
      </c>
      <c r="U2590" s="58">
        <v>0</v>
      </c>
      <c r="V2590" s="65">
        <v>0</v>
      </c>
      <c r="W2590" s="65">
        <v>0</v>
      </c>
      <c r="X2590" s="65">
        <v>54130</v>
      </c>
      <c r="Y2590" s="65">
        <v>0</v>
      </c>
      <c r="Z2590" s="51">
        <v>0</v>
      </c>
      <c r="AA2590" s="51">
        <v>0</v>
      </c>
      <c r="AB2590" s="102" t="s">
        <v>66</v>
      </c>
      <c r="AC2590" s="81">
        <f t="shared" si="123"/>
        <v>0</v>
      </c>
      <c r="AD2590" s="82">
        <f t="shared" si="124"/>
        <v>0</v>
      </c>
      <c r="AE2590" s="218">
        <v>-0.15047378759846869</v>
      </c>
      <c r="AF2590">
        <v>15</v>
      </c>
      <c r="AH2590" t="str">
        <f t="shared" si="125"/>
        <v>Asarganj</v>
      </c>
      <c r="AJ2590" s="72">
        <v>0</v>
      </c>
      <c r="AK2590" s="72"/>
      <c r="AL2590" s="72"/>
      <c r="AM2590" s="72"/>
    </row>
    <row r="2591" spans="1:39" x14ac:dyDescent="0.25">
      <c r="A2591" s="37" t="s">
        <v>62</v>
      </c>
      <c r="B2591" s="66" t="s">
        <v>1654</v>
      </c>
      <c r="C2591" s="4">
        <v>1006</v>
      </c>
      <c r="D2591" s="41" t="s">
        <v>179</v>
      </c>
      <c r="E2591" s="41">
        <v>10290001</v>
      </c>
      <c r="F2591" s="85" t="s">
        <v>397</v>
      </c>
      <c r="G2591" s="39" t="s">
        <v>92</v>
      </c>
      <c r="H2591" s="52" t="s">
        <v>93</v>
      </c>
      <c r="I2591" s="52">
        <v>1842.0000000000005</v>
      </c>
      <c r="J2591" s="49">
        <v>69740.72</v>
      </c>
      <c r="K2591" s="58">
        <v>262.09999999999997</v>
      </c>
      <c r="L2591" s="58">
        <v>10044.23</v>
      </c>
      <c r="M2591" s="58">
        <v>1628.0000000000005</v>
      </c>
      <c r="N2591" s="58">
        <v>62818.87000000001</v>
      </c>
      <c r="O2591" s="58">
        <v>1890.1000000000004</v>
      </c>
      <c r="P2591" s="53">
        <v>72863.100000000006</v>
      </c>
      <c r="Q2591" s="65">
        <v>69740.72</v>
      </c>
      <c r="R2591" s="65">
        <v>0</v>
      </c>
      <c r="S2591" s="65">
        <v>232.97000000000003</v>
      </c>
      <c r="T2591" s="65">
        <v>3122.3800000000047</v>
      </c>
      <c r="U2591" s="58">
        <v>0</v>
      </c>
      <c r="V2591" s="65">
        <v>0</v>
      </c>
      <c r="W2591" s="65">
        <v>0</v>
      </c>
      <c r="X2591" s="65">
        <v>6922</v>
      </c>
      <c r="Y2591" s="65">
        <v>62586</v>
      </c>
      <c r="Z2591" s="51">
        <v>0</v>
      </c>
      <c r="AA2591" s="51">
        <v>0</v>
      </c>
      <c r="AB2591" s="102">
        <v>0</v>
      </c>
      <c r="AC2591" s="81">
        <f t="shared" si="123"/>
        <v>0</v>
      </c>
      <c r="AD2591" s="82">
        <f t="shared" si="124"/>
        <v>0</v>
      </c>
      <c r="AE2591" s="218">
        <v>-4.47712613233704E-2</v>
      </c>
      <c r="AF2591">
        <v>14</v>
      </c>
      <c r="AH2591" t="str">
        <f t="shared" si="125"/>
        <v>Sonvarsha</v>
      </c>
      <c r="AJ2591" s="72">
        <v>0</v>
      </c>
      <c r="AK2591" s="72"/>
      <c r="AL2591" s="72"/>
      <c r="AM2591" s="72"/>
    </row>
    <row r="2592" spans="1:39" x14ac:dyDescent="0.25">
      <c r="A2592" s="37" t="s">
        <v>62</v>
      </c>
      <c r="B2592" s="66" t="s">
        <v>1654</v>
      </c>
      <c r="C2592" s="4">
        <v>1006</v>
      </c>
      <c r="D2592" s="41" t="s">
        <v>179</v>
      </c>
      <c r="E2592" s="41">
        <v>10300001</v>
      </c>
      <c r="F2592" s="85" t="s">
        <v>1120</v>
      </c>
      <c r="G2592" s="39" t="s">
        <v>92</v>
      </c>
      <c r="H2592" s="52" t="s">
        <v>98</v>
      </c>
      <c r="I2592" s="52">
        <v>1826.3000000000002</v>
      </c>
      <c r="J2592" s="49">
        <v>76950.680000000008</v>
      </c>
      <c r="K2592" s="58">
        <v>0</v>
      </c>
      <c r="L2592" s="58">
        <v>0</v>
      </c>
      <c r="M2592" s="58">
        <v>0</v>
      </c>
      <c r="N2592" s="58">
        <v>0</v>
      </c>
      <c r="O2592" s="58">
        <v>0</v>
      </c>
      <c r="P2592" s="53">
        <v>0</v>
      </c>
      <c r="Q2592" s="65">
        <v>76950.680000000008</v>
      </c>
      <c r="R2592" s="65">
        <v>0</v>
      </c>
      <c r="S2592" s="65">
        <v>0</v>
      </c>
      <c r="T2592" s="65">
        <v>0</v>
      </c>
      <c r="U2592" s="58">
        <v>0</v>
      </c>
      <c r="V2592" s="65">
        <v>0</v>
      </c>
      <c r="W2592" s="65">
        <v>0</v>
      </c>
      <c r="X2592" s="65">
        <v>0</v>
      </c>
      <c r="Y2592" s="65">
        <v>0</v>
      </c>
      <c r="Z2592" s="51">
        <v>76950.680000000008</v>
      </c>
      <c r="AA2592" s="51">
        <v>0</v>
      </c>
      <c r="AB2592" s="102">
        <v>0</v>
      </c>
      <c r="AC2592" s="81">
        <f t="shared" si="123"/>
        <v>0</v>
      </c>
      <c r="AD2592" s="82">
        <f t="shared" si="124"/>
        <v>0</v>
      </c>
      <c r="AE2592" s="218">
        <v>0</v>
      </c>
      <c r="AF2592">
        <v>0</v>
      </c>
      <c r="AH2592" t="str">
        <f t="shared" si="125"/>
        <v>Sonvarsha</v>
      </c>
      <c r="AJ2592" s="72">
        <v>0</v>
      </c>
      <c r="AK2592" s="72"/>
      <c r="AL2592" s="72"/>
      <c r="AM2592" s="72"/>
    </row>
    <row r="2593" spans="1:39" x14ac:dyDescent="0.25">
      <c r="A2593" s="37" t="s">
        <v>62</v>
      </c>
      <c r="B2593" s="66" t="s">
        <v>1654</v>
      </c>
      <c r="C2593" s="4">
        <v>1006</v>
      </c>
      <c r="D2593" s="41" t="s">
        <v>179</v>
      </c>
      <c r="E2593" s="41">
        <v>10310001</v>
      </c>
      <c r="F2593" s="85" t="s">
        <v>398</v>
      </c>
      <c r="G2593" s="39" t="s">
        <v>92</v>
      </c>
      <c r="H2593" s="52" t="s">
        <v>93</v>
      </c>
      <c r="I2593" s="52">
        <v>1011.1999999999998</v>
      </c>
      <c r="J2593" s="49">
        <v>42474.82</v>
      </c>
      <c r="K2593" s="58">
        <v>9</v>
      </c>
      <c r="L2593" s="58">
        <v>376.56</v>
      </c>
      <c r="M2593" s="58">
        <v>1088.5</v>
      </c>
      <c r="N2593" s="58">
        <v>45752.210000000006</v>
      </c>
      <c r="O2593" s="58">
        <v>1097.5</v>
      </c>
      <c r="P2593" s="53">
        <v>46128.770000000004</v>
      </c>
      <c r="Q2593" s="65">
        <v>42474.82</v>
      </c>
      <c r="R2593" s="65">
        <v>0</v>
      </c>
      <c r="S2593" s="65">
        <v>273.40000000000003</v>
      </c>
      <c r="T2593" s="65">
        <v>3653.9500000000044</v>
      </c>
      <c r="U2593" s="58">
        <v>0</v>
      </c>
      <c r="V2593" s="65">
        <v>0</v>
      </c>
      <c r="W2593" s="65">
        <v>0</v>
      </c>
      <c r="X2593" s="65">
        <v>377</v>
      </c>
      <c r="Y2593" s="65">
        <v>41824</v>
      </c>
      <c r="Z2593" s="51">
        <v>0</v>
      </c>
      <c r="AA2593" s="51">
        <v>0</v>
      </c>
      <c r="AB2593" s="102" t="s">
        <v>66</v>
      </c>
      <c r="AC2593" s="81">
        <f t="shared" si="123"/>
        <v>0</v>
      </c>
      <c r="AD2593" s="82">
        <f t="shared" si="124"/>
        <v>0</v>
      </c>
      <c r="AE2593" s="218">
        <v>-8.602626214778554E-2</v>
      </c>
      <c r="AF2593">
        <v>18</v>
      </c>
      <c r="AH2593" t="str">
        <f t="shared" si="125"/>
        <v>Sonvarsha</v>
      </c>
      <c r="AJ2593" s="72">
        <v>0</v>
      </c>
      <c r="AK2593" s="72"/>
      <c r="AL2593" s="72"/>
      <c r="AM2593" s="72"/>
    </row>
    <row r="2594" spans="1:39" x14ac:dyDescent="0.25">
      <c r="A2594" s="37" t="s">
        <v>62</v>
      </c>
      <c r="B2594" s="66" t="s">
        <v>1654</v>
      </c>
      <c r="C2594" s="4">
        <v>1006</v>
      </c>
      <c r="D2594" s="41" t="s">
        <v>179</v>
      </c>
      <c r="E2594" s="41">
        <v>10320001</v>
      </c>
      <c r="F2594" s="85" t="s">
        <v>399</v>
      </c>
      <c r="G2594" s="39" t="s">
        <v>92</v>
      </c>
      <c r="H2594" s="52" t="s">
        <v>98</v>
      </c>
      <c r="I2594" s="52">
        <v>1408.6999999999998</v>
      </c>
      <c r="J2594" s="49">
        <v>56235.44</v>
      </c>
      <c r="K2594" s="58">
        <v>0</v>
      </c>
      <c r="L2594" s="58">
        <v>0</v>
      </c>
      <c r="M2594" s="58">
        <v>0</v>
      </c>
      <c r="N2594" s="58">
        <v>0</v>
      </c>
      <c r="O2594" s="58">
        <v>0</v>
      </c>
      <c r="P2594" s="53">
        <v>0</v>
      </c>
      <c r="Q2594" s="65">
        <v>56235.44</v>
      </c>
      <c r="R2594" s="65">
        <v>0</v>
      </c>
      <c r="S2594" s="65">
        <v>0</v>
      </c>
      <c r="T2594" s="65">
        <v>0</v>
      </c>
      <c r="U2594" s="58">
        <v>0</v>
      </c>
      <c r="V2594" s="65">
        <v>0</v>
      </c>
      <c r="W2594" s="65">
        <v>0</v>
      </c>
      <c r="X2594" s="65">
        <v>0</v>
      </c>
      <c r="Y2594" s="65">
        <v>0</v>
      </c>
      <c r="Z2594" s="51">
        <v>56235.44</v>
      </c>
      <c r="AA2594" s="51">
        <v>0</v>
      </c>
      <c r="AB2594" s="102">
        <v>0</v>
      </c>
      <c r="AC2594" s="81">
        <f t="shared" si="123"/>
        <v>0</v>
      </c>
      <c r="AD2594" s="82">
        <f t="shared" si="124"/>
        <v>0</v>
      </c>
      <c r="AE2594" s="218">
        <v>0</v>
      </c>
      <c r="AF2594">
        <v>0</v>
      </c>
      <c r="AH2594" t="str">
        <f t="shared" si="125"/>
        <v>Sonvarsha</v>
      </c>
      <c r="AJ2594" s="72">
        <v>0</v>
      </c>
      <c r="AK2594" s="72"/>
      <c r="AL2594" s="72"/>
      <c r="AM2594" s="72"/>
    </row>
    <row r="2595" spans="1:39" x14ac:dyDescent="0.25">
      <c r="A2595" s="37" t="s">
        <v>62</v>
      </c>
      <c r="B2595" s="66" t="s">
        <v>1654</v>
      </c>
      <c r="C2595" s="4">
        <v>1006</v>
      </c>
      <c r="D2595" s="41" t="s">
        <v>179</v>
      </c>
      <c r="E2595" s="41">
        <v>10330001</v>
      </c>
      <c r="F2595" s="85" t="s">
        <v>1180</v>
      </c>
      <c r="G2595" s="39" t="s">
        <v>92</v>
      </c>
      <c r="H2595" s="52" t="s">
        <v>98</v>
      </c>
      <c r="I2595" s="52">
        <v>3098.1</v>
      </c>
      <c r="J2595" s="49">
        <v>121521.48999999999</v>
      </c>
      <c r="K2595" s="58">
        <v>0</v>
      </c>
      <c r="L2595" s="58">
        <v>0</v>
      </c>
      <c r="M2595" s="58">
        <v>0</v>
      </c>
      <c r="N2595" s="58">
        <v>0</v>
      </c>
      <c r="O2595" s="58">
        <v>0</v>
      </c>
      <c r="P2595" s="53">
        <v>0</v>
      </c>
      <c r="Q2595" s="65">
        <v>121521.48999999999</v>
      </c>
      <c r="R2595" s="65">
        <v>0</v>
      </c>
      <c r="S2595" s="65">
        <v>0</v>
      </c>
      <c r="T2595" s="65">
        <v>0</v>
      </c>
      <c r="U2595" s="58">
        <v>0</v>
      </c>
      <c r="V2595" s="65">
        <v>0</v>
      </c>
      <c r="W2595" s="65">
        <v>0</v>
      </c>
      <c r="X2595" s="65">
        <v>0</v>
      </c>
      <c r="Y2595" s="65">
        <v>0</v>
      </c>
      <c r="Z2595" s="51">
        <v>121521.48999999999</v>
      </c>
      <c r="AA2595" s="51">
        <v>0</v>
      </c>
      <c r="AB2595" s="102">
        <v>0</v>
      </c>
      <c r="AC2595" s="81">
        <f t="shared" si="123"/>
        <v>0</v>
      </c>
      <c r="AD2595" s="82">
        <f t="shared" si="124"/>
        <v>0</v>
      </c>
      <c r="AE2595" s="218">
        <v>0</v>
      </c>
      <c r="AF2595">
        <v>0</v>
      </c>
      <c r="AH2595" t="str">
        <f t="shared" si="125"/>
        <v>Sonvarsha</v>
      </c>
      <c r="AJ2595" s="72">
        <v>0</v>
      </c>
      <c r="AK2595" s="72"/>
      <c r="AL2595" s="72"/>
      <c r="AM2595" s="72"/>
    </row>
    <row r="2596" spans="1:39" x14ac:dyDescent="0.25">
      <c r="A2596" s="37" t="s">
        <v>62</v>
      </c>
      <c r="B2596" s="66" t="s">
        <v>1654</v>
      </c>
      <c r="C2596" s="4">
        <v>1006</v>
      </c>
      <c r="D2596" s="41" t="s">
        <v>179</v>
      </c>
      <c r="E2596" s="41">
        <v>10340001</v>
      </c>
      <c r="F2596" s="85" t="s">
        <v>400</v>
      </c>
      <c r="G2596" s="39" t="s">
        <v>92</v>
      </c>
      <c r="H2596" s="52" t="s">
        <v>98</v>
      </c>
      <c r="I2596" s="52">
        <v>1428.4</v>
      </c>
      <c r="J2596" s="49">
        <v>54559.419999999984</v>
      </c>
      <c r="K2596" s="58">
        <v>0</v>
      </c>
      <c r="L2596" s="58">
        <v>0</v>
      </c>
      <c r="M2596" s="58">
        <v>0</v>
      </c>
      <c r="N2596" s="58">
        <v>0</v>
      </c>
      <c r="O2596" s="58">
        <v>0</v>
      </c>
      <c r="P2596" s="53">
        <v>0</v>
      </c>
      <c r="Q2596" s="65">
        <v>54559.419999999984</v>
      </c>
      <c r="R2596" s="65">
        <v>0</v>
      </c>
      <c r="S2596" s="65">
        <v>0</v>
      </c>
      <c r="T2596" s="65">
        <v>0</v>
      </c>
      <c r="U2596" s="58">
        <v>15400</v>
      </c>
      <c r="V2596" s="65">
        <v>0</v>
      </c>
      <c r="W2596" s="65">
        <v>0</v>
      </c>
      <c r="X2596" s="65">
        <v>0</v>
      </c>
      <c r="Y2596" s="65">
        <v>0</v>
      </c>
      <c r="Z2596" s="51">
        <v>39159.419999999984</v>
      </c>
      <c r="AA2596" s="51">
        <v>0</v>
      </c>
      <c r="AB2596" s="102">
        <v>0</v>
      </c>
      <c r="AC2596" s="81">
        <f t="shared" si="123"/>
        <v>0</v>
      </c>
      <c r="AD2596" s="82">
        <f t="shared" si="124"/>
        <v>0</v>
      </c>
      <c r="AE2596" s="218">
        <v>0</v>
      </c>
      <c r="AF2596">
        <v>0</v>
      </c>
      <c r="AH2596" t="str">
        <f t="shared" si="125"/>
        <v>Sonvarsha</v>
      </c>
      <c r="AJ2596" s="72">
        <v>0</v>
      </c>
      <c r="AK2596" s="72"/>
      <c r="AL2596" s="72"/>
      <c r="AM2596" s="72"/>
    </row>
    <row r="2597" spans="1:39" x14ac:dyDescent="0.25">
      <c r="A2597" s="37" t="s">
        <v>62</v>
      </c>
      <c r="B2597" s="66" t="s">
        <v>1654</v>
      </c>
      <c r="C2597" s="4">
        <v>1006</v>
      </c>
      <c r="D2597" s="41" t="s">
        <v>179</v>
      </c>
      <c r="E2597" s="41">
        <v>10350001</v>
      </c>
      <c r="F2597" s="85" t="s">
        <v>401</v>
      </c>
      <c r="G2597" s="39" t="s">
        <v>92</v>
      </c>
      <c r="H2597" s="52" t="s">
        <v>93</v>
      </c>
      <c r="I2597" s="52">
        <v>1901.5</v>
      </c>
      <c r="J2597" s="49">
        <v>79469.490000000005</v>
      </c>
      <c r="K2597" s="58">
        <v>2030.5999999999997</v>
      </c>
      <c r="L2597" s="58">
        <v>78725.249999999971</v>
      </c>
      <c r="M2597" s="58">
        <v>17.600000000000001</v>
      </c>
      <c r="N2597" s="58">
        <v>754.16</v>
      </c>
      <c r="O2597" s="58">
        <v>2048.1999999999998</v>
      </c>
      <c r="P2597" s="53">
        <v>79479.409999999974</v>
      </c>
      <c r="Q2597" s="65">
        <v>79469.490000000005</v>
      </c>
      <c r="R2597" s="65">
        <v>0</v>
      </c>
      <c r="S2597" s="65">
        <v>754.16</v>
      </c>
      <c r="T2597" s="65">
        <v>9.9199999999691499</v>
      </c>
      <c r="U2597" s="58">
        <v>0</v>
      </c>
      <c r="V2597" s="65">
        <v>0</v>
      </c>
      <c r="W2597" s="65">
        <v>0</v>
      </c>
      <c r="X2597" s="65">
        <v>78715</v>
      </c>
      <c r="Y2597" s="65">
        <v>0</v>
      </c>
      <c r="Z2597" s="51">
        <v>0</v>
      </c>
      <c r="AA2597" s="51">
        <v>0</v>
      </c>
      <c r="AB2597" s="102">
        <v>0</v>
      </c>
      <c r="AC2597" s="81">
        <f t="shared" si="123"/>
        <v>0</v>
      </c>
      <c r="AD2597" s="82">
        <f t="shared" si="124"/>
        <v>0</v>
      </c>
      <c r="AE2597" s="218">
        <v>-1.24827779818005E-4</v>
      </c>
      <c r="AF2597">
        <v>17</v>
      </c>
      <c r="AH2597" t="str">
        <f t="shared" si="125"/>
        <v>Sonvarsha</v>
      </c>
      <c r="AJ2597" s="72">
        <v>0</v>
      </c>
      <c r="AK2597" s="72"/>
      <c r="AL2597" s="72"/>
      <c r="AM2597" s="72"/>
    </row>
    <row r="2598" spans="1:39" x14ac:dyDescent="0.25">
      <c r="A2598" s="37" t="s">
        <v>62</v>
      </c>
      <c r="B2598" s="66" t="s">
        <v>1654</v>
      </c>
      <c r="C2598" s="4">
        <v>1036</v>
      </c>
      <c r="D2598" s="41" t="s">
        <v>402</v>
      </c>
      <c r="E2598" s="41">
        <v>10360001</v>
      </c>
      <c r="F2598" s="85" t="s">
        <v>402</v>
      </c>
      <c r="G2598" s="39" t="s">
        <v>92</v>
      </c>
      <c r="H2598" s="52" t="s">
        <v>93</v>
      </c>
      <c r="I2598" s="52">
        <v>2400.7999999999997</v>
      </c>
      <c r="J2598" s="49">
        <v>94728.629999999976</v>
      </c>
      <c r="K2598" s="58">
        <v>2352.8000000000002</v>
      </c>
      <c r="L2598" s="58">
        <v>92823.27</v>
      </c>
      <c r="M2598" s="58">
        <v>48.000000000000007</v>
      </c>
      <c r="N2598" s="58">
        <v>1905.3600000000001</v>
      </c>
      <c r="O2598" s="58">
        <v>2400.8000000000002</v>
      </c>
      <c r="P2598" s="53">
        <v>94728.63</v>
      </c>
      <c r="Q2598" s="65">
        <v>94728.629999999976</v>
      </c>
      <c r="R2598" s="65">
        <v>38539</v>
      </c>
      <c r="S2598" s="65">
        <v>1905.3600000000001</v>
      </c>
      <c r="T2598" s="65">
        <v>0</v>
      </c>
      <c r="U2598" s="58">
        <v>0</v>
      </c>
      <c r="V2598" s="65">
        <v>0</v>
      </c>
      <c r="W2598" s="65">
        <v>0</v>
      </c>
      <c r="X2598" s="65">
        <v>54284</v>
      </c>
      <c r="Y2598" s="65">
        <v>0</v>
      </c>
      <c r="Z2598" s="51">
        <v>0</v>
      </c>
      <c r="AA2598" s="51">
        <v>0</v>
      </c>
      <c r="AB2598" s="102" t="s">
        <v>1366</v>
      </c>
      <c r="AC2598" s="81">
        <f t="shared" si="123"/>
        <v>0</v>
      </c>
      <c r="AD2598" s="82">
        <f t="shared" si="124"/>
        <v>0</v>
      </c>
      <c r="AE2598" s="218">
        <v>-3.0723373130946486E-16</v>
      </c>
      <c r="AF2598">
        <v>13</v>
      </c>
      <c r="AH2598" t="str">
        <f t="shared" si="125"/>
        <v>MAHADAT PUR 2</v>
      </c>
      <c r="AJ2598" s="72">
        <v>0</v>
      </c>
      <c r="AK2598" s="72"/>
      <c r="AL2598" s="72"/>
      <c r="AM2598" s="72"/>
    </row>
    <row r="2599" spans="1:39" x14ac:dyDescent="0.25">
      <c r="A2599" s="37" t="s">
        <v>62</v>
      </c>
      <c r="B2599" s="66" t="s">
        <v>1654</v>
      </c>
      <c r="C2599" s="4">
        <v>1007</v>
      </c>
      <c r="D2599" s="41" t="s">
        <v>203</v>
      </c>
      <c r="E2599" s="41">
        <v>10380001</v>
      </c>
      <c r="F2599" s="85" t="s">
        <v>403</v>
      </c>
      <c r="G2599" s="39" t="s">
        <v>92</v>
      </c>
      <c r="H2599" s="52" t="s">
        <v>93</v>
      </c>
      <c r="I2599" s="52">
        <v>270</v>
      </c>
      <c r="J2599" s="49">
        <v>9609.2999999999993</v>
      </c>
      <c r="K2599" s="58">
        <v>629</v>
      </c>
      <c r="L2599" s="58">
        <v>22386.110000000004</v>
      </c>
      <c r="M2599" s="58">
        <v>333</v>
      </c>
      <c r="N2599" s="58">
        <v>11851.470000000001</v>
      </c>
      <c r="O2599" s="58">
        <v>962</v>
      </c>
      <c r="P2599" s="53">
        <v>34237.58</v>
      </c>
      <c r="Q2599" s="65">
        <v>9609.2999999999993</v>
      </c>
      <c r="R2599" s="65">
        <v>0</v>
      </c>
      <c r="S2599" s="65">
        <v>142.36000000000001</v>
      </c>
      <c r="T2599" s="65">
        <v>24628.280000000002</v>
      </c>
      <c r="U2599" s="58">
        <v>0</v>
      </c>
      <c r="V2599" s="65">
        <v>0</v>
      </c>
      <c r="W2599" s="65">
        <v>0</v>
      </c>
      <c r="X2599" s="65">
        <v>9147</v>
      </c>
      <c r="Y2599" s="65">
        <v>320</v>
      </c>
      <c r="Z2599" s="51">
        <v>0</v>
      </c>
      <c r="AA2599" s="51">
        <v>0</v>
      </c>
      <c r="AB2599" s="102" t="s">
        <v>66</v>
      </c>
      <c r="AC2599" s="81">
        <f t="shared" si="123"/>
        <v>306.07400000000001</v>
      </c>
      <c r="AD2599" s="82">
        <f t="shared" si="124"/>
        <v>38.571428571428569</v>
      </c>
      <c r="AE2599" s="218">
        <v>-2.5629629629629633</v>
      </c>
      <c r="AF2599">
        <v>13</v>
      </c>
      <c r="AH2599" t="str">
        <f t="shared" si="125"/>
        <v>Araria</v>
      </c>
      <c r="AJ2599" s="72">
        <v>0</v>
      </c>
      <c r="AK2599" s="72"/>
      <c r="AL2599" s="72"/>
      <c r="AM2599" s="72"/>
    </row>
    <row r="2600" spans="1:39" x14ac:dyDescent="0.25">
      <c r="A2600" s="37" t="s">
        <v>62</v>
      </c>
      <c r="B2600" s="66" t="s">
        <v>1654</v>
      </c>
      <c r="C2600" s="4">
        <v>1007</v>
      </c>
      <c r="D2600" s="41" t="s">
        <v>203</v>
      </c>
      <c r="E2600" s="41">
        <v>10390001</v>
      </c>
      <c r="F2600" s="85" t="s">
        <v>489</v>
      </c>
      <c r="G2600" s="39" t="s">
        <v>1610</v>
      </c>
      <c r="H2600" s="52" t="s">
        <v>98</v>
      </c>
      <c r="I2600" s="52">
        <v>609</v>
      </c>
      <c r="J2600" s="49">
        <v>21757.54</v>
      </c>
      <c r="K2600" s="58">
        <v>605</v>
      </c>
      <c r="L2600" s="58">
        <v>21722.1</v>
      </c>
      <c r="M2600" s="58">
        <v>0</v>
      </c>
      <c r="N2600" s="58">
        <v>0</v>
      </c>
      <c r="O2600" s="58">
        <v>605</v>
      </c>
      <c r="P2600" s="53">
        <v>21722.1</v>
      </c>
      <c r="Q2600" s="65">
        <v>21757.54</v>
      </c>
      <c r="R2600" s="65">
        <v>0</v>
      </c>
      <c r="S2600" s="65">
        <v>144.14000000000001</v>
      </c>
      <c r="T2600" s="65">
        <v>0</v>
      </c>
      <c r="U2600" s="58">
        <v>0</v>
      </c>
      <c r="V2600" s="65">
        <v>0</v>
      </c>
      <c r="W2600" s="65">
        <v>0</v>
      </c>
      <c r="X2600" s="65">
        <v>0</v>
      </c>
      <c r="Y2600" s="65">
        <v>0</v>
      </c>
      <c r="Z2600" s="51">
        <v>21613.4</v>
      </c>
      <c r="AA2600" s="51">
        <v>0</v>
      </c>
      <c r="AB2600" s="102">
        <v>0</v>
      </c>
      <c r="AC2600" s="81">
        <f t="shared" si="123"/>
        <v>65.022533333333328</v>
      </c>
      <c r="AD2600" s="82">
        <f t="shared" si="124"/>
        <v>87</v>
      </c>
      <c r="AE2600" s="218">
        <v>0</v>
      </c>
      <c r="AF2600">
        <v>15</v>
      </c>
      <c r="AH2600" t="str">
        <f t="shared" si="125"/>
        <v>Araria</v>
      </c>
      <c r="AJ2600" s="72">
        <v>0</v>
      </c>
      <c r="AK2600" s="72"/>
      <c r="AL2600" s="72"/>
      <c r="AM2600" s="72"/>
    </row>
    <row r="2601" spans="1:39" x14ac:dyDescent="0.25">
      <c r="A2601" s="37" t="s">
        <v>62</v>
      </c>
      <c r="B2601" s="66" t="s">
        <v>1654</v>
      </c>
      <c r="C2601" s="4">
        <v>1007</v>
      </c>
      <c r="D2601" s="41" t="s">
        <v>203</v>
      </c>
      <c r="E2601" s="41">
        <v>10400001</v>
      </c>
      <c r="F2601" s="85" t="s">
        <v>404</v>
      </c>
      <c r="G2601" s="39" t="s">
        <v>92</v>
      </c>
      <c r="H2601" s="52" t="s">
        <v>93</v>
      </c>
      <c r="I2601" s="52">
        <v>1785</v>
      </c>
      <c r="J2601" s="49">
        <v>62674.71</v>
      </c>
      <c r="K2601" s="58">
        <v>1900</v>
      </c>
      <c r="L2601" s="58">
        <v>68217.5</v>
      </c>
      <c r="M2601" s="58">
        <v>353</v>
      </c>
      <c r="N2601" s="58">
        <v>12866.130000000001</v>
      </c>
      <c r="O2601" s="58">
        <v>2253</v>
      </c>
      <c r="P2601" s="53">
        <v>81083.63</v>
      </c>
      <c r="Q2601" s="65">
        <v>62674.71</v>
      </c>
      <c r="R2601" s="65">
        <v>0</v>
      </c>
      <c r="S2601" s="65">
        <v>289.7</v>
      </c>
      <c r="T2601" s="65">
        <v>18408.920000000006</v>
      </c>
      <c r="U2601" s="58">
        <v>0</v>
      </c>
      <c r="V2601" s="65">
        <v>0</v>
      </c>
      <c r="W2601" s="65">
        <v>0</v>
      </c>
      <c r="X2601" s="65">
        <v>55513</v>
      </c>
      <c r="Y2601" s="65">
        <v>6872</v>
      </c>
      <c r="Z2601" s="51">
        <v>0</v>
      </c>
      <c r="AA2601" s="51">
        <v>0</v>
      </c>
      <c r="AB2601" s="102" t="s">
        <v>66</v>
      </c>
      <c r="AC2601" s="81">
        <f t="shared" si="123"/>
        <v>0</v>
      </c>
      <c r="AD2601" s="82">
        <f t="shared" si="124"/>
        <v>0</v>
      </c>
      <c r="AE2601" s="218">
        <v>-0.29372166221431267</v>
      </c>
      <c r="AF2601">
        <v>16</v>
      </c>
      <c r="AH2601" t="str">
        <f t="shared" si="125"/>
        <v>Araria</v>
      </c>
      <c r="AJ2601" s="72">
        <v>0</v>
      </c>
      <c r="AK2601" s="72"/>
      <c r="AL2601" s="72"/>
      <c r="AM2601" s="72"/>
    </row>
    <row r="2602" spans="1:39" x14ac:dyDescent="0.25">
      <c r="A2602" s="37" t="s">
        <v>62</v>
      </c>
      <c r="B2602" s="66" t="s">
        <v>1654</v>
      </c>
      <c r="C2602" s="4">
        <v>1007</v>
      </c>
      <c r="D2602" s="41" t="s">
        <v>203</v>
      </c>
      <c r="E2602" s="41">
        <v>10410001</v>
      </c>
      <c r="F2602" s="85" t="s">
        <v>405</v>
      </c>
      <c r="G2602" s="39" t="s">
        <v>92</v>
      </c>
      <c r="H2602" s="52" t="s">
        <v>93</v>
      </c>
      <c r="I2602" s="52">
        <v>2622</v>
      </c>
      <c r="J2602" s="49">
        <v>90440.82</v>
      </c>
      <c r="K2602" s="58">
        <v>800</v>
      </c>
      <c r="L2602" s="58">
        <v>27632</v>
      </c>
      <c r="M2602" s="58">
        <v>2534</v>
      </c>
      <c r="N2602" s="58">
        <v>87549.98</v>
      </c>
      <c r="O2602" s="58">
        <v>3334</v>
      </c>
      <c r="P2602" s="53">
        <v>115181.98</v>
      </c>
      <c r="Q2602" s="65">
        <v>90440.82</v>
      </c>
      <c r="R2602" s="65">
        <v>0</v>
      </c>
      <c r="S2602" s="65">
        <v>207.66</v>
      </c>
      <c r="T2602" s="65">
        <v>24741.159999999989</v>
      </c>
      <c r="U2602" s="58">
        <v>0</v>
      </c>
      <c r="V2602" s="65">
        <v>0</v>
      </c>
      <c r="W2602" s="65">
        <v>0</v>
      </c>
      <c r="X2602" s="65">
        <v>13816</v>
      </c>
      <c r="Y2602" s="65">
        <v>76417</v>
      </c>
      <c r="Z2602" s="51">
        <v>0</v>
      </c>
      <c r="AA2602" s="51">
        <v>0</v>
      </c>
      <c r="AB2602" s="102" t="s">
        <v>66</v>
      </c>
      <c r="AC2602" s="81">
        <f t="shared" si="123"/>
        <v>0</v>
      </c>
      <c r="AD2602" s="82">
        <f t="shared" si="124"/>
        <v>0</v>
      </c>
      <c r="AE2602" s="218">
        <v>-0.27356187173004387</v>
      </c>
      <c r="AF2602">
        <v>16</v>
      </c>
      <c r="AH2602" t="str">
        <f t="shared" si="125"/>
        <v>Araria</v>
      </c>
      <c r="AJ2602" s="72">
        <v>0</v>
      </c>
      <c r="AK2602" s="72"/>
      <c r="AL2602" s="72"/>
      <c r="AM2602" s="72"/>
    </row>
    <row r="2603" spans="1:39" x14ac:dyDescent="0.25">
      <c r="A2603" s="37" t="s">
        <v>62</v>
      </c>
      <c r="B2603" s="66" t="s">
        <v>1654</v>
      </c>
      <c r="C2603" s="4">
        <v>1011</v>
      </c>
      <c r="D2603" s="41" t="s">
        <v>281</v>
      </c>
      <c r="E2603" s="41">
        <v>10430001</v>
      </c>
      <c r="F2603" s="85" t="s">
        <v>1238</v>
      </c>
      <c r="G2603" s="39" t="s">
        <v>92</v>
      </c>
      <c r="H2603" s="52" t="s">
        <v>93</v>
      </c>
      <c r="I2603" s="52">
        <v>571.1</v>
      </c>
      <c r="J2603" s="49">
        <v>22252.57</v>
      </c>
      <c r="K2603" s="58">
        <v>571.1</v>
      </c>
      <c r="L2603" s="58">
        <v>22387.119999999999</v>
      </c>
      <c r="M2603" s="58">
        <v>0</v>
      </c>
      <c r="N2603" s="58">
        <v>0</v>
      </c>
      <c r="O2603" s="58">
        <v>571.1</v>
      </c>
      <c r="P2603" s="53">
        <v>22387.119999999999</v>
      </c>
      <c r="Q2603" s="65">
        <v>22252.57</v>
      </c>
      <c r="R2603" s="65">
        <v>0</v>
      </c>
      <c r="S2603" s="65">
        <v>0</v>
      </c>
      <c r="T2603" s="65">
        <v>134.54999999999927</v>
      </c>
      <c r="U2603" s="58">
        <v>1350</v>
      </c>
      <c r="V2603" s="65">
        <v>0</v>
      </c>
      <c r="W2603" s="65">
        <v>0</v>
      </c>
      <c r="X2603" s="65">
        <v>20903</v>
      </c>
      <c r="Y2603" s="65">
        <v>0</v>
      </c>
      <c r="Z2603" s="51">
        <v>0</v>
      </c>
      <c r="AA2603" s="51">
        <v>0</v>
      </c>
      <c r="AB2603" s="102">
        <v>0</v>
      </c>
      <c r="AC2603" s="81">
        <f t="shared" si="123"/>
        <v>100.45022843635088</v>
      </c>
      <c r="AD2603" s="82">
        <f t="shared" si="124"/>
        <v>81.585714285714289</v>
      </c>
      <c r="AE2603" s="218">
        <v>-6.0464926073707116E-3</v>
      </c>
      <c r="AF2603">
        <v>1</v>
      </c>
      <c r="AH2603" t="str">
        <f t="shared" si="125"/>
        <v>Sahibpur Kamal</v>
      </c>
      <c r="AJ2603" s="72">
        <v>0</v>
      </c>
      <c r="AK2603" s="72"/>
      <c r="AL2603" s="72"/>
      <c r="AM2603" s="72"/>
    </row>
    <row r="2604" spans="1:39" x14ac:dyDescent="0.25">
      <c r="A2604" s="37" t="s">
        <v>62</v>
      </c>
      <c r="B2604" s="66" t="s">
        <v>1654</v>
      </c>
      <c r="C2604" s="4">
        <v>1011</v>
      </c>
      <c r="D2604" s="41" t="s">
        <v>281</v>
      </c>
      <c r="E2604" s="41">
        <v>10440001</v>
      </c>
      <c r="F2604" s="85" t="s">
        <v>406</v>
      </c>
      <c r="G2604" s="39" t="s">
        <v>92</v>
      </c>
      <c r="H2604" s="52" t="s">
        <v>93</v>
      </c>
      <c r="I2604" s="52">
        <v>68.400000000000006</v>
      </c>
      <c r="J2604" s="49">
        <v>2382.06</v>
      </c>
      <c r="K2604" s="58">
        <v>60.9</v>
      </c>
      <c r="L2604" s="58">
        <v>2382.6</v>
      </c>
      <c r="M2604" s="58">
        <v>0</v>
      </c>
      <c r="N2604" s="58">
        <v>0</v>
      </c>
      <c r="O2604" s="58">
        <v>60.9</v>
      </c>
      <c r="P2604" s="53">
        <v>2382.6</v>
      </c>
      <c r="Q2604" s="65">
        <v>2382.06</v>
      </c>
      <c r="R2604" s="65">
        <v>0</v>
      </c>
      <c r="S2604" s="65">
        <v>0</v>
      </c>
      <c r="T2604" s="65">
        <v>0.53999999999996362</v>
      </c>
      <c r="U2604" s="58">
        <v>0</v>
      </c>
      <c r="V2604" s="65">
        <v>0</v>
      </c>
      <c r="W2604" s="65">
        <v>0</v>
      </c>
      <c r="X2604" s="65">
        <v>2382</v>
      </c>
      <c r="Y2604" s="65">
        <v>0</v>
      </c>
      <c r="Z2604" s="51">
        <v>0</v>
      </c>
      <c r="AA2604" s="51">
        <v>0</v>
      </c>
      <c r="AB2604" s="102">
        <v>0</v>
      </c>
      <c r="AC2604" s="81">
        <f t="shared" si="123"/>
        <v>439.91494035087715</v>
      </c>
      <c r="AD2604" s="82">
        <f t="shared" si="124"/>
        <v>9.7714285714285722</v>
      </c>
      <c r="AE2604" s="218">
        <v>-2.2669454169918626E-4</v>
      </c>
      <c r="AF2604">
        <v>1</v>
      </c>
      <c r="AH2604" t="str">
        <f t="shared" si="125"/>
        <v>Sahibpur Kamal</v>
      </c>
      <c r="AJ2604" s="72">
        <v>0</v>
      </c>
      <c r="AK2604" s="72"/>
      <c r="AL2604" s="72"/>
      <c r="AM2604" s="72"/>
    </row>
    <row r="2605" spans="1:39" x14ac:dyDescent="0.25">
      <c r="A2605" s="37" t="s">
        <v>62</v>
      </c>
      <c r="B2605" s="66" t="s">
        <v>1654</v>
      </c>
      <c r="C2605" s="4">
        <v>1003</v>
      </c>
      <c r="D2605" s="41" t="s">
        <v>137</v>
      </c>
      <c r="E2605" s="41">
        <v>10460001</v>
      </c>
      <c r="F2605" s="85" t="s">
        <v>407</v>
      </c>
      <c r="G2605" s="39" t="s">
        <v>92</v>
      </c>
      <c r="H2605" s="52" t="s">
        <v>93</v>
      </c>
      <c r="I2605" s="52">
        <v>559.45000000000005</v>
      </c>
      <c r="J2605" s="49">
        <v>19648.2</v>
      </c>
      <c r="K2605" s="58">
        <v>571.19999999999993</v>
      </c>
      <c r="L2605" s="58">
        <v>21459.84</v>
      </c>
      <c r="M2605" s="58">
        <v>3.2</v>
      </c>
      <c r="N2605" s="58">
        <v>120.68</v>
      </c>
      <c r="O2605" s="58">
        <v>574.4</v>
      </c>
      <c r="P2605" s="53">
        <v>21580.52</v>
      </c>
      <c r="Q2605" s="65">
        <v>19648.2</v>
      </c>
      <c r="R2605" s="65">
        <v>0</v>
      </c>
      <c r="S2605" s="65">
        <v>120.68</v>
      </c>
      <c r="T2605" s="65">
        <v>1932.3199999999997</v>
      </c>
      <c r="U2605" s="58">
        <v>0</v>
      </c>
      <c r="V2605" s="65">
        <v>0</v>
      </c>
      <c r="W2605" s="65">
        <v>0</v>
      </c>
      <c r="X2605" s="65">
        <v>19527</v>
      </c>
      <c r="Y2605" s="65">
        <v>0</v>
      </c>
      <c r="Z2605" s="51">
        <v>0</v>
      </c>
      <c r="AA2605" s="51">
        <v>1</v>
      </c>
      <c r="AB2605" s="102">
        <v>0</v>
      </c>
      <c r="AC2605" s="81">
        <f t="shared" si="123"/>
        <v>98.723907766556408</v>
      </c>
      <c r="AD2605" s="82">
        <f t="shared" si="124"/>
        <v>79.921428571428578</v>
      </c>
      <c r="AE2605" s="218">
        <v>-9.8345904459441552E-2</v>
      </c>
      <c r="AF2605">
        <v>9</v>
      </c>
      <c r="AH2605" t="str">
        <f t="shared" si="125"/>
        <v>Asarganj</v>
      </c>
      <c r="AJ2605" s="72">
        <v>0</v>
      </c>
      <c r="AK2605" s="72"/>
      <c r="AL2605" s="72"/>
      <c r="AM2605" s="72"/>
    </row>
    <row r="2606" spans="1:39" x14ac:dyDescent="0.25">
      <c r="A2606" s="37" t="s">
        <v>62</v>
      </c>
      <c r="B2606" s="66" t="s">
        <v>1654</v>
      </c>
      <c r="C2606" s="4">
        <v>1003</v>
      </c>
      <c r="D2606" s="41" t="s">
        <v>137</v>
      </c>
      <c r="E2606" s="41">
        <v>10460002</v>
      </c>
      <c r="F2606" s="85" t="s">
        <v>408</v>
      </c>
      <c r="G2606" s="39" t="s">
        <v>92</v>
      </c>
      <c r="H2606" s="52" t="s">
        <v>93</v>
      </c>
      <c r="I2606" s="52">
        <v>767.94999999999982</v>
      </c>
      <c r="J2606" s="49">
        <v>24101.03</v>
      </c>
      <c r="K2606" s="58">
        <v>716.50000000000011</v>
      </c>
      <c r="L2606" s="58">
        <v>23391.77</v>
      </c>
      <c r="M2606" s="58">
        <v>19.2</v>
      </c>
      <c r="N2606" s="58">
        <v>669.81999999999994</v>
      </c>
      <c r="O2606" s="58">
        <v>735.70000000000016</v>
      </c>
      <c r="P2606" s="53">
        <v>24061.59</v>
      </c>
      <c r="Q2606" s="65">
        <v>24061.59</v>
      </c>
      <c r="R2606" s="65">
        <v>0</v>
      </c>
      <c r="S2606" s="65">
        <v>669.81999999999994</v>
      </c>
      <c r="T2606" s="65">
        <v>0</v>
      </c>
      <c r="U2606" s="58">
        <v>0</v>
      </c>
      <c r="V2606" s="65">
        <v>0</v>
      </c>
      <c r="W2606" s="65">
        <v>0</v>
      </c>
      <c r="X2606" s="65">
        <v>23392</v>
      </c>
      <c r="Y2606" s="65">
        <v>0</v>
      </c>
      <c r="Z2606" s="51">
        <v>0</v>
      </c>
      <c r="AA2606" s="51">
        <v>39</v>
      </c>
      <c r="AB2606" s="102">
        <v>0</v>
      </c>
      <c r="AC2606" s="81">
        <f t="shared" si="123"/>
        <v>0</v>
      </c>
      <c r="AD2606" s="82">
        <f t="shared" si="124"/>
        <v>0</v>
      </c>
      <c r="AE2606" s="218">
        <v>1.6364445834887013E-3</v>
      </c>
      <c r="AF2606">
        <v>4</v>
      </c>
      <c r="AH2606" t="str">
        <f t="shared" si="125"/>
        <v>Asarganj</v>
      </c>
      <c r="AJ2606" s="72">
        <v>0</v>
      </c>
      <c r="AK2606" s="72"/>
      <c r="AL2606" s="72"/>
      <c r="AM2606" s="72"/>
    </row>
    <row r="2607" spans="1:39" x14ac:dyDescent="0.25">
      <c r="A2607" s="37" t="s">
        <v>62</v>
      </c>
      <c r="B2607" s="66" t="s">
        <v>1654</v>
      </c>
      <c r="C2607" s="4">
        <v>1036</v>
      </c>
      <c r="D2607" s="41" t="s">
        <v>402</v>
      </c>
      <c r="E2607" s="41">
        <v>10480001</v>
      </c>
      <c r="F2607" s="85" t="s">
        <v>409</v>
      </c>
      <c r="G2607" s="39" t="s">
        <v>92</v>
      </c>
      <c r="H2607" s="52" t="s">
        <v>93</v>
      </c>
      <c r="I2607" s="52">
        <v>314.8</v>
      </c>
      <c r="J2607" s="49">
        <v>12441.72</v>
      </c>
      <c r="K2607" s="58">
        <v>311.84999999999997</v>
      </c>
      <c r="L2607" s="58">
        <v>12448.87</v>
      </c>
      <c r="M2607" s="58">
        <v>3.7</v>
      </c>
      <c r="N2607" s="58">
        <v>151.06</v>
      </c>
      <c r="O2607" s="58">
        <v>315.54999999999995</v>
      </c>
      <c r="P2607" s="53">
        <v>12599.93</v>
      </c>
      <c r="Q2607" s="65">
        <v>12441.72</v>
      </c>
      <c r="R2607" s="65">
        <v>0</v>
      </c>
      <c r="S2607" s="65">
        <v>151.06</v>
      </c>
      <c r="T2607" s="65">
        <v>158.21000000000095</v>
      </c>
      <c r="U2607" s="58">
        <v>0</v>
      </c>
      <c r="V2607" s="65">
        <v>0</v>
      </c>
      <c r="W2607" s="65">
        <v>0</v>
      </c>
      <c r="X2607" s="65">
        <v>12291</v>
      </c>
      <c r="Y2607" s="65">
        <v>0</v>
      </c>
      <c r="Z2607" s="51">
        <v>0</v>
      </c>
      <c r="AA2607" s="51">
        <v>0</v>
      </c>
      <c r="AB2607" s="102">
        <v>0</v>
      </c>
      <c r="AC2607" s="81">
        <f t="shared" si="123"/>
        <v>304.48224548919944</v>
      </c>
      <c r="AD2607" s="82">
        <f t="shared" si="124"/>
        <v>44.971428571428575</v>
      </c>
      <c r="AE2607" s="218">
        <v>-1.2716087486296183E-2</v>
      </c>
      <c r="AF2607">
        <v>3</v>
      </c>
      <c r="AH2607" t="str">
        <f t="shared" si="125"/>
        <v>MAHADAT PUR 2</v>
      </c>
      <c r="AJ2607" s="72">
        <v>0</v>
      </c>
      <c r="AK2607" s="72"/>
      <c r="AL2607" s="72"/>
      <c r="AM2607" s="72"/>
    </row>
    <row r="2608" spans="1:39" x14ac:dyDescent="0.25">
      <c r="A2608" s="37" t="s">
        <v>62</v>
      </c>
      <c r="B2608" s="66" t="s">
        <v>1654</v>
      </c>
      <c r="C2608" s="4">
        <v>1036</v>
      </c>
      <c r="D2608" s="41" t="s">
        <v>402</v>
      </c>
      <c r="E2608" s="41">
        <v>10480002</v>
      </c>
      <c r="F2608" s="85" t="s">
        <v>410</v>
      </c>
      <c r="G2608" s="39" t="s">
        <v>92</v>
      </c>
      <c r="H2608" s="52" t="s">
        <v>98</v>
      </c>
      <c r="I2608" s="52">
        <v>349.90000000000003</v>
      </c>
      <c r="J2608" s="49">
        <v>12319.27</v>
      </c>
      <c r="K2608" s="58">
        <v>352.29999999999995</v>
      </c>
      <c r="L2608" s="58">
        <v>12496.380000000003</v>
      </c>
      <c r="M2608" s="58">
        <v>0</v>
      </c>
      <c r="N2608" s="58">
        <v>0</v>
      </c>
      <c r="O2608" s="58">
        <v>352.29999999999995</v>
      </c>
      <c r="P2608" s="53">
        <v>12496.380000000003</v>
      </c>
      <c r="Q2608" s="65">
        <v>12319.27</v>
      </c>
      <c r="R2608" s="65">
        <v>0</v>
      </c>
      <c r="S2608" s="65">
        <v>0</v>
      </c>
      <c r="T2608" s="65">
        <v>177.1100000000024</v>
      </c>
      <c r="U2608" s="58">
        <v>0</v>
      </c>
      <c r="V2608" s="65">
        <v>0</v>
      </c>
      <c r="W2608" s="65">
        <v>0</v>
      </c>
      <c r="X2608" s="65">
        <v>0</v>
      </c>
      <c r="Y2608" s="65">
        <v>0</v>
      </c>
      <c r="Z2608" s="51">
        <v>12319.27</v>
      </c>
      <c r="AA2608" s="51">
        <v>0</v>
      </c>
      <c r="AB2608" s="102">
        <v>0</v>
      </c>
      <c r="AC2608" s="81">
        <f t="shared" si="123"/>
        <v>246.52623189482705</v>
      </c>
      <c r="AD2608" s="82">
        <f t="shared" si="124"/>
        <v>49.985714285714288</v>
      </c>
      <c r="AE2608" s="218">
        <v>0</v>
      </c>
      <c r="AF2608">
        <v>1</v>
      </c>
      <c r="AH2608" t="str">
        <f t="shared" si="125"/>
        <v>MAHADAT PUR 2</v>
      </c>
      <c r="AJ2608" s="72">
        <v>0</v>
      </c>
      <c r="AK2608" s="72"/>
      <c r="AL2608" s="72"/>
      <c r="AM2608" s="72"/>
    </row>
    <row r="2609" spans="1:39" x14ac:dyDescent="0.25">
      <c r="A2609" s="37" t="s">
        <v>62</v>
      </c>
      <c r="B2609" s="66" t="s">
        <v>1654</v>
      </c>
      <c r="C2609" s="4">
        <v>1007</v>
      </c>
      <c r="D2609" s="41" t="s">
        <v>203</v>
      </c>
      <c r="E2609" s="41">
        <v>10480003</v>
      </c>
      <c r="F2609" s="85" t="s">
        <v>612</v>
      </c>
      <c r="G2609" s="39" t="s">
        <v>92</v>
      </c>
      <c r="H2609" s="52" t="s">
        <v>98</v>
      </c>
      <c r="I2609" s="52">
        <v>688</v>
      </c>
      <c r="J2609" s="49">
        <v>22689.199999999997</v>
      </c>
      <c r="K2609" s="58">
        <v>0</v>
      </c>
      <c r="L2609" s="58">
        <v>0</v>
      </c>
      <c r="M2609" s="58">
        <v>0</v>
      </c>
      <c r="N2609" s="58">
        <v>0</v>
      </c>
      <c r="O2609" s="58">
        <v>0</v>
      </c>
      <c r="P2609" s="53">
        <v>0</v>
      </c>
      <c r="Q2609" s="65">
        <v>22689.199999999997</v>
      </c>
      <c r="R2609" s="65">
        <v>0</v>
      </c>
      <c r="S2609" s="65">
        <v>0</v>
      </c>
      <c r="T2609" s="65">
        <v>0</v>
      </c>
      <c r="U2609" s="58">
        <v>0</v>
      </c>
      <c r="V2609" s="65">
        <v>0</v>
      </c>
      <c r="W2609" s="65">
        <v>0</v>
      </c>
      <c r="X2609" s="65">
        <v>0</v>
      </c>
      <c r="Y2609" s="65">
        <v>0</v>
      </c>
      <c r="Z2609" s="51">
        <v>22689.199999999997</v>
      </c>
      <c r="AA2609" s="51">
        <v>0</v>
      </c>
      <c r="AB2609" s="102">
        <v>0</v>
      </c>
      <c r="AC2609" s="81">
        <f t="shared" si="123"/>
        <v>7.9148372093022967</v>
      </c>
      <c r="AD2609" s="82">
        <f t="shared" si="124"/>
        <v>98.285714285714292</v>
      </c>
      <c r="AE2609" s="218">
        <v>0</v>
      </c>
      <c r="AF2609">
        <v>0</v>
      </c>
      <c r="AH2609" t="str">
        <f t="shared" si="125"/>
        <v>Araria</v>
      </c>
      <c r="AJ2609" s="72">
        <v>0</v>
      </c>
      <c r="AK2609" s="72"/>
      <c r="AL2609" s="72"/>
      <c r="AM2609" s="72"/>
    </row>
    <row r="2610" spans="1:39" x14ac:dyDescent="0.25">
      <c r="A2610" s="37" t="s">
        <v>62</v>
      </c>
      <c r="B2610" s="66" t="s">
        <v>1654</v>
      </c>
      <c r="C2610" s="4">
        <v>1036</v>
      </c>
      <c r="D2610" s="41" t="s">
        <v>402</v>
      </c>
      <c r="E2610" s="41">
        <v>10480005</v>
      </c>
      <c r="F2610" s="85" t="s">
        <v>613</v>
      </c>
      <c r="G2610" s="39" t="s">
        <v>92</v>
      </c>
      <c r="H2610" s="52" t="s">
        <v>93</v>
      </c>
      <c r="I2610" s="52">
        <v>378.50000000000006</v>
      </c>
      <c r="J2610" s="49">
        <v>15718.809999999998</v>
      </c>
      <c r="K2610" s="58">
        <v>379.09999999999997</v>
      </c>
      <c r="L2610" s="58">
        <v>15879.420000000002</v>
      </c>
      <c r="M2610" s="58">
        <v>1.4000000000000001</v>
      </c>
      <c r="N2610" s="58">
        <v>58.529999999999994</v>
      </c>
      <c r="O2610" s="58">
        <v>380.49999999999994</v>
      </c>
      <c r="P2610" s="53">
        <v>15937.950000000003</v>
      </c>
      <c r="Q2610" s="65">
        <v>15718.809999999998</v>
      </c>
      <c r="R2610" s="65">
        <v>0</v>
      </c>
      <c r="S2610" s="65">
        <v>58.529999999999994</v>
      </c>
      <c r="T2610" s="65">
        <v>219.14000000000487</v>
      </c>
      <c r="U2610" s="58">
        <v>0</v>
      </c>
      <c r="V2610" s="65">
        <v>0</v>
      </c>
      <c r="W2610" s="65">
        <v>0</v>
      </c>
      <c r="X2610" s="65">
        <v>15660</v>
      </c>
      <c r="Y2610" s="65">
        <v>0</v>
      </c>
      <c r="Z2610" s="51">
        <v>0</v>
      </c>
      <c r="AA2610" s="51">
        <v>0</v>
      </c>
      <c r="AB2610" s="102">
        <v>0</v>
      </c>
      <c r="AC2610" s="81">
        <f t="shared" si="123"/>
        <v>267.0328885072654</v>
      </c>
      <c r="AD2610" s="82">
        <f t="shared" si="124"/>
        <v>54.071428571428577</v>
      </c>
      <c r="AE2610" s="218">
        <v>-1.3941258912093531E-2</v>
      </c>
      <c r="AF2610">
        <v>4</v>
      </c>
      <c r="AH2610" t="str">
        <f t="shared" si="125"/>
        <v>MAHADAT PUR 2</v>
      </c>
      <c r="AJ2610" s="72">
        <v>0</v>
      </c>
      <c r="AK2610" s="72"/>
      <c r="AL2610" s="72"/>
      <c r="AM2610" s="72"/>
    </row>
    <row r="2611" spans="1:39" x14ac:dyDescent="0.25">
      <c r="A2611" s="37" t="s">
        <v>62</v>
      </c>
      <c r="B2611" s="66" t="s">
        <v>1654</v>
      </c>
      <c r="C2611" s="4">
        <v>1036</v>
      </c>
      <c r="D2611" s="41" t="s">
        <v>402</v>
      </c>
      <c r="E2611" s="41">
        <v>10480008</v>
      </c>
      <c r="F2611" s="85" t="s">
        <v>614</v>
      </c>
      <c r="G2611" s="39" t="s">
        <v>92</v>
      </c>
      <c r="H2611" s="52" t="s">
        <v>93</v>
      </c>
      <c r="I2611" s="52">
        <v>494.5</v>
      </c>
      <c r="J2611" s="49">
        <v>19916.099999999999</v>
      </c>
      <c r="K2611" s="58">
        <v>201.47</v>
      </c>
      <c r="L2611" s="58">
        <v>8382.2999999999993</v>
      </c>
      <c r="M2611" s="58">
        <v>324.70000000000005</v>
      </c>
      <c r="N2611" s="58">
        <v>13447.73</v>
      </c>
      <c r="O2611" s="58">
        <v>526.17000000000007</v>
      </c>
      <c r="P2611" s="53">
        <v>21830.03</v>
      </c>
      <c r="Q2611" s="65">
        <v>19916.099999999999</v>
      </c>
      <c r="R2611" s="65">
        <v>0</v>
      </c>
      <c r="S2611" s="65">
        <v>122.21000000000001</v>
      </c>
      <c r="T2611" s="65">
        <v>1913.9300000000003</v>
      </c>
      <c r="U2611" s="58">
        <v>0</v>
      </c>
      <c r="V2611" s="65">
        <v>0</v>
      </c>
      <c r="W2611" s="65">
        <v>0</v>
      </c>
      <c r="X2611" s="65">
        <v>6469</v>
      </c>
      <c r="Y2611" s="65">
        <v>13325</v>
      </c>
      <c r="Z2611" s="51">
        <v>0</v>
      </c>
      <c r="AA2611" s="51">
        <v>0</v>
      </c>
      <c r="AB2611" s="102">
        <v>0</v>
      </c>
      <c r="AC2611" s="81">
        <f t="shared" si="123"/>
        <v>165.53118503538931</v>
      </c>
      <c r="AD2611" s="82">
        <f t="shared" si="124"/>
        <v>70.642857142857139</v>
      </c>
      <c r="AE2611" s="218">
        <v>-9.6099637981331712E-2</v>
      </c>
      <c r="AF2611">
        <v>17</v>
      </c>
      <c r="AH2611" t="str">
        <f t="shared" si="125"/>
        <v>MAHADAT PUR 2</v>
      </c>
      <c r="AJ2611" s="72">
        <v>0</v>
      </c>
      <c r="AK2611" s="72"/>
      <c r="AL2611" s="72"/>
      <c r="AM2611" s="72"/>
    </row>
    <row r="2612" spans="1:39" x14ac:dyDescent="0.25">
      <c r="A2612" s="37" t="s">
        <v>62</v>
      </c>
      <c r="B2612" s="66" t="s">
        <v>1654</v>
      </c>
      <c r="C2612" s="4">
        <v>1036</v>
      </c>
      <c r="D2612" s="41" t="s">
        <v>402</v>
      </c>
      <c r="E2612" s="41">
        <v>10480022</v>
      </c>
      <c r="F2612" s="85" t="s">
        <v>615</v>
      </c>
      <c r="G2612" s="39" t="s">
        <v>92</v>
      </c>
      <c r="H2612" s="52" t="s">
        <v>93</v>
      </c>
      <c r="I2612" s="52">
        <v>411.99999999999994</v>
      </c>
      <c r="J2612" s="49">
        <v>16024.44</v>
      </c>
      <c r="K2612" s="58">
        <v>278.60000000000002</v>
      </c>
      <c r="L2612" s="58">
        <v>11854.34</v>
      </c>
      <c r="M2612" s="58">
        <v>257</v>
      </c>
      <c r="N2612" s="58">
        <v>11218.11</v>
      </c>
      <c r="O2612" s="58">
        <v>535.6</v>
      </c>
      <c r="P2612" s="53">
        <v>23072.45</v>
      </c>
      <c r="Q2612" s="65">
        <v>16024.44</v>
      </c>
      <c r="R2612" s="65">
        <v>0</v>
      </c>
      <c r="S2612" s="65">
        <v>43.699999999999996</v>
      </c>
      <c r="T2612" s="65">
        <v>7048.01</v>
      </c>
      <c r="U2612" s="58">
        <v>0</v>
      </c>
      <c r="V2612" s="65">
        <v>0</v>
      </c>
      <c r="W2612" s="65">
        <v>0</v>
      </c>
      <c r="X2612" s="65">
        <v>4806</v>
      </c>
      <c r="Y2612" s="65">
        <v>11174</v>
      </c>
      <c r="Z2612" s="51">
        <v>0</v>
      </c>
      <c r="AA2612" s="51">
        <v>1</v>
      </c>
      <c r="AB2612" s="102">
        <v>0</v>
      </c>
      <c r="AC2612" s="81">
        <f t="shared" si="123"/>
        <v>224.03100582524283</v>
      </c>
      <c r="AD2612" s="82">
        <f t="shared" si="124"/>
        <v>58.857142857142847</v>
      </c>
      <c r="AE2612" s="218">
        <v>-0.4398287865285776</v>
      </c>
      <c r="AF2612">
        <v>4</v>
      </c>
      <c r="AH2612" t="str">
        <f t="shared" si="125"/>
        <v>MAHADAT PUR 2</v>
      </c>
      <c r="AJ2612" s="72">
        <v>0</v>
      </c>
      <c r="AK2612" s="72"/>
      <c r="AL2612" s="72"/>
      <c r="AM2612" s="72"/>
    </row>
    <row r="2613" spans="1:39" x14ac:dyDescent="0.25">
      <c r="A2613" s="37" t="s">
        <v>62</v>
      </c>
      <c r="B2613" s="66" t="s">
        <v>1654</v>
      </c>
      <c r="C2613" s="4">
        <v>1036</v>
      </c>
      <c r="D2613" s="41" t="s">
        <v>402</v>
      </c>
      <c r="E2613" s="41">
        <v>10480023</v>
      </c>
      <c r="F2613" s="85" t="s">
        <v>616</v>
      </c>
      <c r="G2613" s="39" t="s">
        <v>92</v>
      </c>
      <c r="H2613" s="52" t="s">
        <v>93</v>
      </c>
      <c r="I2613" s="52">
        <v>1955.4000000000003</v>
      </c>
      <c r="J2613" s="49">
        <v>80097.88</v>
      </c>
      <c r="K2613" s="58">
        <v>1494.5</v>
      </c>
      <c r="L2613" s="58">
        <v>61897.32</v>
      </c>
      <c r="M2613" s="58">
        <v>462.7</v>
      </c>
      <c r="N2613" s="58">
        <v>19217.2</v>
      </c>
      <c r="O2613" s="58">
        <v>1957.2</v>
      </c>
      <c r="P2613" s="53">
        <v>81114.52</v>
      </c>
      <c r="Q2613" s="65">
        <v>80097.88</v>
      </c>
      <c r="R2613" s="65">
        <v>0</v>
      </c>
      <c r="S2613" s="65">
        <v>3247.4900000000002</v>
      </c>
      <c r="T2613" s="65">
        <v>1016.6399999999994</v>
      </c>
      <c r="U2613" s="58">
        <v>0</v>
      </c>
      <c r="V2613" s="65">
        <v>0</v>
      </c>
      <c r="W2613" s="65">
        <v>0</v>
      </c>
      <c r="X2613" s="65">
        <v>60880</v>
      </c>
      <c r="Y2613" s="65">
        <v>15970</v>
      </c>
      <c r="Z2613" s="51">
        <v>0</v>
      </c>
      <c r="AA2613" s="51">
        <v>0</v>
      </c>
      <c r="AB2613" s="102">
        <v>0</v>
      </c>
      <c r="AC2613" s="81">
        <f t="shared" si="123"/>
        <v>0</v>
      </c>
      <c r="AD2613" s="82">
        <f t="shared" si="124"/>
        <v>0</v>
      </c>
      <c r="AE2613" s="218">
        <v>-1.2692470762022658E-2</v>
      </c>
      <c r="AF2613">
        <v>14</v>
      </c>
      <c r="AH2613" t="str">
        <f t="shared" si="125"/>
        <v>MAHADAT PUR 2</v>
      </c>
      <c r="AJ2613" s="72">
        <v>0</v>
      </c>
      <c r="AK2613" s="72"/>
      <c r="AL2613" s="72"/>
      <c r="AM2613" s="72"/>
    </row>
    <row r="2614" spans="1:39" x14ac:dyDescent="0.25">
      <c r="A2614" s="37" t="s">
        <v>62</v>
      </c>
      <c r="B2614" s="66" t="s">
        <v>1654</v>
      </c>
      <c r="C2614" s="4">
        <v>1036</v>
      </c>
      <c r="D2614" s="41" t="s">
        <v>402</v>
      </c>
      <c r="E2614" s="41">
        <v>10480028</v>
      </c>
      <c r="F2614" s="85" t="s">
        <v>526</v>
      </c>
      <c r="G2614" s="39" t="s">
        <v>1610</v>
      </c>
      <c r="H2614" s="52" t="s">
        <v>98</v>
      </c>
      <c r="I2614" s="52">
        <v>588.9</v>
      </c>
      <c r="J2614" s="49">
        <v>22333.71</v>
      </c>
      <c r="K2614" s="58">
        <v>0</v>
      </c>
      <c r="L2614" s="58">
        <v>0</v>
      </c>
      <c r="M2614" s="58">
        <v>0</v>
      </c>
      <c r="N2614" s="58">
        <v>0</v>
      </c>
      <c r="O2614" s="58">
        <v>0</v>
      </c>
      <c r="P2614" s="53">
        <v>0</v>
      </c>
      <c r="Q2614" s="65">
        <v>22333.71</v>
      </c>
      <c r="R2614" s="65">
        <v>0</v>
      </c>
      <c r="S2614" s="65">
        <v>0</v>
      </c>
      <c r="T2614" s="65">
        <v>0</v>
      </c>
      <c r="U2614" s="58">
        <v>0</v>
      </c>
      <c r="V2614" s="65">
        <v>0</v>
      </c>
      <c r="W2614" s="65">
        <v>0</v>
      </c>
      <c r="X2614" s="65">
        <v>0</v>
      </c>
      <c r="Y2614" s="65">
        <v>0</v>
      </c>
      <c r="Z2614" s="51">
        <v>22333.71</v>
      </c>
      <c r="AA2614" s="51">
        <v>0</v>
      </c>
      <c r="AB2614" s="102">
        <v>0</v>
      </c>
      <c r="AC2614" s="81">
        <f t="shared" si="123"/>
        <v>84.268133163525277</v>
      </c>
      <c r="AD2614" s="82">
        <f t="shared" si="124"/>
        <v>84.128571428571419</v>
      </c>
      <c r="AE2614" s="218">
        <v>0</v>
      </c>
      <c r="AF2614">
        <v>0</v>
      </c>
      <c r="AH2614" t="str">
        <f t="shared" si="125"/>
        <v>MAHADAT PUR 2</v>
      </c>
      <c r="AJ2614" s="72">
        <v>0</v>
      </c>
      <c r="AK2614" s="72"/>
      <c r="AL2614" s="72"/>
      <c r="AM2614" s="72"/>
    </row>
    <row r="2615" spans="1:39" x14ac:dyDescent="0.25">
      <c r="A2615" s="37" t="s">
        <v>62</v>
      </c>
      <c r="B2615" s="66" t="s">
        <v>1654</v>
      </c>
      <c r="C2615" s="4">
        <v>1036</v>
      </c>
      <c r="D2615" s="41" t="s">
        <v>402</v>
      </c>
      <c r="E2615" s="41">
        <v>10480033</v>
      </c>
      <c r="F2615" s="85" t="s">
        <v>1223</v>
      </c>
      <c r="G2615" s="39" t="s">
        <v>1610</v>
      </c>
      <c r="H2615" s="52" t="s">
        <v>98</v>
      </c>
      <c r="I2615" s="52">
        <v>151.4</v>
      </c>
      <c r="J2615" s="49">
        <v>5523.11</v>
      </c>
      <c r="K2615" s="58">
        <v>0</v>
      </c>
      <c r="L2615" s="58">
        <v>0</v>
      </c>
      <c r="M2615" s="58">
        <v>0</v>
      </c>
      <c r="N2615" s="58">
        <v>0</v>
      </c>
      <c r="O2615" s="58">
        <v>0</v>
      </c>
      <c r="P2615" s="53">
        <v>0</v>
      </c>
      <c r="Q2615" s="65">
        <v>5523.11</v>
      </c>
      <c r="R2615" s="65">
        <v>0</v>
      </c>
      <c r="S2615" s="65">
        <v>0</v>
      </c>
      <c r="T2615" s="65">
        <v>0</v>
      </c>
      <c r="U2615" s="58">
        <v>0</v>
      </c>
      <c r="V2615" s="65">
        <v>0</v>
      </c>
      <c r="W2615" s="65">
        <v>0</v>
      </c>
      <c r="X2615" s="65">
        <v>0</v>
      </c>
      <c r="Y2615" s="65">
        <v>0</v>
      </c>
      <c r="Z2615" s="51">
        <v>5523.11</v>
      </c>
      <c r="AA2615" s="51">
        <v>0</v>
      </c>
      <c r="AB2615" s="102">
        <v>0</v>
      </c>
      <c r="AC2615" s="81">
        <f t="shared" si="123"/>
        <v>400.26131387054158</v>
      </c>
      <c r="AD2615" s="82">
        <f t="shared" si="124"/>
        <v>21.62857142857143</v>
      </c>
      <c r="AE2615" s="218">
        <v>0</v>
      </c>
      <c r="AF2615">
        <v>0</v>
      </c>
      <c r="AH2615" t="str">
        <f t="shared" si="125"/>
        <v>MAHADAT PUR 2</v>
      </c>
      <c r="AJ2615" s="72">
        <v>0</v>
      </c>
      <c r="AK2615" s="72"/>
      <c r="AL2615" s="72"/>
      <c r="AM2615" s="72"/>
    </row>
    <row r="2616" spans="1:39" x14ac:dyDescent="0.25">
      <c r="A2616" s="37" t="s">
        <v>62</v>
      </c>
      <c r="B2616" s="66" t="s">
        <v>1654</v>
      </c>
      <c r="C2616" s="4">
        <v>1036</v>
      </c>
      <c r="D2616" s="41" t="s">
        <v>402</v>
      </c>
      <c r="E2616" s="41">
        <v>10480034</v>
      </c>
      <c r="F2616" s="85" t="s">
        <v>1135</v>
      </c>
      <c r="G2616" s="39" t="s">
        <v>1610</v>
      </c>
      <c r="H2616" s="52" t="s">
        <v>98</v>
      </c>
      <c r="I2616" s="52">
        <v>269.5</v>
      </c>
      <c r="J2616" s="49">
        <v>11201.640000000001</v>
      </c>
      <c r="K2616" s="58">
        <v>0</v>
      </c>
      <c r="L2616" s="58">
        <v>0</v>
      </c>
      <c r="M2616" s="58">
        <v>0</v>
      </c>
      <c r="N2616" s="58">
        <v>0</v>
      </c>
      <c r="O2616" s="58">
        <v>0</v>
      </c>
      <c r="P2616" s="53">
        <v>0</v>
      </c>
      <c r="Q2616" s="65">
        <v>11201.640000000001</v>
      </c>
      <c r="R2616" s="65">
        <v>0</v>
      </c>
      <c r="S2616" s="65">
        <v>0</v>
      </c>
      <c r="T2616" s="65">
        <v>0</v>
      </c>
      <c r="U2616" s="58">
        <v>0</v>
      </c>
      <c r="V2616" s="65">
        <v>0</v>
      </c>
      <c r="W2616" s="65">
        <v>0</v>
      </c>
      <c r="X2616" s="65">
        <v>0</v>
      </c>
      <c r="Y2616" s="65">
        <v>0</v>
      </c>
      <c r="Z2616" s="51">
        <v>11201.640000000001</v>
      </c>
      <c r="AA2616" s="51">
        <v>0</v>
      </c>
      <c r="AB2616" s="102">
        <v>0</v>
      </c>
      <c r="AC2616" s="81">
        <f t="shared" si="123"/>
        <v>357.87057662337668</v>
      </c>
      <c r="AD2616" s="82">
        <f t="shared" si="124"/>
        <v>38.5</v>
      </c>
      <c r="AE2616" s="218">
        <v>0</v>
      </c>
      <c r="AF2616">
        <v>0</v>
      </c>
      <c r="AH2616" t="str">
        <f t="shared" si="125"/>
        <v>MAHADAT PUR 2</v>
      </c>
      <c r="AJ2616" s="72">
        <v>0</v>
      </c>
      <c r="AK2616" s="72"/>
      <c r="AL2616" s="72"/>
      <c r="AM2616" s="72"/>
    </row>
    <row r="2617" spans="1:39" x14ac:dyDescent="0.25">
      <c r="A2617" s="37" t="s">
        <v>62</v>
      </c>
      <c r="B2617" s="66" t="s">
        <v>1654</v>
      </c>
      <c r="C2617" s="4">
        <v>1003</v>
      </c>
      <c r="D2617" s="41" t="s">
        <v>137</v>
      </c>
      <c r="E2617" s="41">
        <v>10500001</v>
      </c>
      <c r="F2617" s="85" t="s">
        <v>411</v>
      </c>
      <c r="G2617" s="39" t="s">
        <v>92</v>
      </c>
      <c r="H2617" s="52" t="s">
        <v>93</v>
      </c>
      <c r="I2617" s="52">
        <v>945.2</v>
      </c>
      <c r="J2617" s="49">
        <v>37051.839999999997</v>
      </c>
      <c r="K2617" s="58">
        <v>1026.1100000000001</v>
      </c>
      <c r="L2617" s="58">
        <v>40233.320000000007</v>
      </c>
      <c r="M2617" s="58">
        <v>17</v>
      </c>
      <c r="N2617" s="58">
        <v>622.87999999999988</v>
      </c>
      <c r="O2617" s="58">
        <v>1043.1100000000001</v>
      </c>
      <c r="P2617" s="53">
        <v>40856.200000000004</v>
      </c>
      <c r="Q2617" s="65">
        <v>37051.839999999997</v>
      </c>
      <c r="R2617" s="65">
        <v>0</v>
      </c>
      <c r="S2617" s="65">
        <v>622.87999999999988</v>
      </c>
      <c r="T2617" s="65">
        <v>3804.3600000000079</v>
      </c>
      <c r="U2617" s="58">
        <v>0</v>
      </c>
      <c r="V2617" s="65">
        <v>0</v>
      </c>
      <c r="W2617" s="65">
        <v>0</v>
      </c>
      <c r="X2617" s="65">
        <v>36429</v>
      </c>
      <c r="Y2617" s="65">
        <v>0</v>
      </c>
      <c r="Z2617" s="51">
        <v>0</v>
      </c>
      <c r="AA2617" s="51">
        <v>0</v>
      </c>
      <c r="AB2617" s="102">
        <v>0</v>
      </c>
      <c r="AC2617" s="81">
        <f t="shared" si="123"/>
        <v>0</v>
      </c>
      <c r="AD2617" s="82">
        <f t="shared" si="124"/>
        <v>0</v>
      </c>
      <c r="AE2617" s="218">
        <v>-0.10267668218366506</v>
      </c>
      <c r="AF2617">
        <v>10</v>
      </c>
      <c r="AH2617" t="str">
        <f t="shared" si="125"/>
        <v>Asarganj</v>
      </c>
      <c r="AJ2617" s="72">
        <v>0</v>
      </c>
      <c r="AK2617" s="72"/>
      <c r="AL2617" s="72"/>
      <c r="AM2617" s="72"/>
    </row>
    <row r="2618" spans="1:39" x14ac:dyDescent="0.25">
      <c r="A2618" s="37" t="s">
        <v>62</v>
      </c>
      <c r="B2618" s="66" t="s">
        <v>1654</v>
      </c>
      <c r="C2618" s="4">
        <v>1014</v>
      </c>
      <c r="D2618" s="41" t="s">
        <v>368</v>
      </c>
      <c r="E2618" s="41">
        <v>10510001</v>
      </c>
      <c r="F2618" s="85" t="s">
        <v>412</v>
      </c>
      <c r="G2618" s="39" t="s">
        <v>92</v>
      </c>
      <c r="H2618" s="52" t="s">
        <v>93</v>
      </c>
      <c r="I2618" s="52">
        <v>2213.8999999999996</v>
      </c>
      <c r="J2618" s="49">
        <v>84385.14999999998</v>
      </c>
      <c r="K2618" s="58">
        <v>2233.8000000000002</v>
      </c>
      <c r="L2618" s="58">
        <v>86931.030000000013</v>
      </c>
      <c r="M2618" s="58">
        <v>14</v>
      </c>
      <c r="N2618" s="58">
        <v>738.93999999999983</v>
      </c>
      <c r="O2618" s="58">
        <v>2247.8000000000002</v>
      </c>
      <c r="P2618" s="53">
        <v>87669.970000000016</v>
      </c>
      <c r="Q2618" s="65">
        <v>84385.14999999998</v>
      </c>
      <c r="R2618" s="65">
        <v>0</v>
      </c>
      <c r="S2618" s="65">
        <v>738.93999999999983</v>
      </c>
      <c r="T2618" s="65">
        <v>3284.8200000000361</v>
      </c>
      <c r="U2618" s="58">
        <v>0</v>
      </c>
      <c r="V2618" s="65">
        <v>0</v>
      </c>
      <c r="W2618" s="65">
        <v>0</v>
      </c>
      <c r="X2618" s="65">
        <v>83646</v>
      </c>
      <c r="Y2618" s="65">
        <v>0</v>
      </c>
      <c r="Z2618" s="51">
        <v>0</v>
      </c>
      <c r="AA2618" s="51">
        <v>0</v>
      </c>
      <c r="AB2618" s="102">
        <v>0</v>
      </c>
      <c r="AC2618" s="81">
        <f t="shared" si="123"/>
        <v>0</v>
      </c>
      <c r="AD2618" s="82">
        <f t="shared" si="124"/>
        <v>0</v>
      </c>
      <c r="AE2618" s="218">
        <v>-3.8926517284143439E-2</v>
      </c>
      <c r="AF2618">
        <v>35</v>
      </c>
      <c r="AH2618" t="str">
        <f t="shared" si="125"/>
        <v>Dumraon</v>
      </c>
      <c r="AJ2618" s="72">
        <v>0</v>
      </c>
      <c r="AK2618" s="72"/>
      <c r="AL2618" s="72"/>
      <c r="AM2618" s="72"/>
    </row>
    <row r="2619" spans="1:39" x14ac:dyDescent="0.25">
      <c r="A2619" s="37" t="s">
        <v>62</v>
      </c>
      <c r="B2619" s="66" t="s">
        <v>1654</v>
      </c>
      <c r="C2619" s="4">
        <v>1014</v>
      </c>
      <c r="D2619" s="41" t="s">
        <v>368</v>
      </c>
      <c r="E2619" s="41">
        <v>10510002</v>
      </c>
      <c r="F2619" s="85" t="s">
        <v>413</v>
      </c>
      <c r="G2619" s="39" t="s">
        <v>92</v>
      </c>
      <c r="H2619" s="52" t="s">
        <v>93</v>
      </c>
      <c r="I2619" s="52">
        <v>1111</v>
      </c>
      <c r="J2619" s="49">
        <v>46876.15</v>
      </c>
      <c r="K2619" s="58">
        <v>1102.96</v>
      </c>
      <c r="L2619" s="58">
        <v>47028.539999999994</v>
      </c>
      <c r="M2619" s="58">
        <v>5.4000000000000012</v>
      </c>
      <c r="N2619" s="58">
        <v>228.44999999999993</v>
      </c>
      <c r="O2619" s="58">
        <v>1108.3600000000001</v>
      </c>
      <c r="P2619" s="53">
        <v>47256.989999999991</v>
      </c>
      <c r="Q2619" s="65">
        <v>46876.15</v>
      </c>
      <c r="R2619" s="65">
        <v>0</v>
      </c>
      <c r="S2619" s="65">
        <v>228.44999999999993</v>
      </c>
      <c r="T2619" s="65">
        <v>380.83999999998923</v>
      </c>
      <c r="U2619" s="58">
        <v>0</v>
      </c>
      <c r="V2619" s="65">
        <v>0</v>
      </c>
      <c r="W2619" s="65">
        <v>0</v>
      </c>
      <c r="X2619" s="65">
        <v>46648</v>
      </c>
      <c r="Y2619" s="65">
        <v>0</v>
      </c>
      <c r="Z2619" s="51">
        <v>0</v>
      </c>
      <c r="AA2619" s="51">
        <v>0</v>
      </c>
      <c r="AB2619" s="102">
        <v>0</v>
      </c>
      <c r="AC2619" s="81">
        <f t="shared" si="123"/>
        <v>0</v>
      </c>
      <c r="AD2619" s="82">
        <f t="shared" si="124"/>
        <v>0</v>
      </c>
      <c r="AE2619" s="218">
        <v>-8.1243873483634894E-3</v>
      </c>
      <c r="AF2619">
        <v>9</v>
      </c>
      <c r="AH2619" t="str">
        <f t="shared" si="125"/>
        <v>Dumraon</v>
      </c>
      <c r="AJ2619" s="72">
        <v>0</v>
      </c>
      <c r="AK2619" s="72"/>
      <c r="AL2619" s="72"/>
      <c r="AM2619" s="72"/>
    </row>
    <row r="2620" spans="1:39" x14ac:dyDescent="0.25">
      <c r="A2620" s="37" t="s">
        <v>62</v>
      </c>
      <c r="B2620" s="66" t="s">
        <v>1654</v>
      </c>
      <c r="C2620" s="4">
        <v>1014</v>
      </c>
      <c r="D2620" s="41" t="s">
        <v>368</v>
      </c>
      <c r="E2620" s="41">
        <v>10510004</v>
      </c>
      <c r="F2620" s="85" t="s">
        <v>414</v>
      </c>
      <c r="G2620" s="39" t="s">
        <v>92</v>
      </c>
      <c r="H2620" s="52" t="s">
        <v>93</v>
      </c>
      <c r="I2620" s="52">
        <v>2193.6999999999998</v>
      </c>
      <c r="J2620" s="49">
        <v>85504.49</v>
      </c>
      <c r="K2620" s="58">
        <v>2525.6</v>
      </c>
      <c r="L2620" s="58">
        <v>111631.55999999998</v>
      </c>
      <c r="M2620" s="58">
        <v>23.699999999999996</v>
      </c>
      <c r="N2620" s="58">
        <v>1286.0899999999999</v>
      </c>
      <c r="O2620" s="58">
        <v>2549.2999999999997</v>
      </c>
      <c r="P2620" s="53">
        <v>112917.64999999998</v>
      </c>
      <c r="Q2620" s="65">
        <v>85504.49</v>
      </c>
      <c r="R2620" s="65">
        <v>0</v>
      </c>
      <c r="S2620" s="65">
        <v>1286.0899999999999</v>
      </c>
      <c r="T2620" s="65">
        <v>27413.159999999974</v>
      </c>
      <c r="U2620" s="58">
        <v>0</v>
      </c>
      <c r="V2620" s="65">
        <v>0</v>
      </c>
      <c r="W2620" s="65">
        <v>0</v>
      </c>
      <c r="X2620" s="65">
        <v>84218</v>
      </c>
      <c r="Y2620" s="65">
        <v>0</v>
      </c>
      <c r="Z2620" s="51">
        <v>0</v>
      </c>
      <c r="AA2620" s="51">
        <v>0</v>
      </c>
      <c r="AB2620" s="102">
        <v>0</v>
      </c>
      <c r="AC2620" s="81">
        <f t="shared" si="123"/>
        <v>0</v>
      </c>
      <c r="AD2620" s="82">
        <f t="shared" si="124"/>
        <v>0</v>
      </c>
      <c r="AE2620" s="218">
        <v>-0.32060491794056634</v>
      </c>
      <c r="AF2620">
        <v>5</v>
      </c>
      <c r="AH2620" t="str">
        <f t="shared" si="125"/>
        <v>Dumraon</v>
      </c>
      <c r="AJ2620" s="72">
        <v>0</v>
      </c>
      <c r="AK2620" s="72"/>
      <c r="AL2620" s="72"/>
      <c r="AM2620" s="72"/>
    </row>
    <row r="2621" spans="1:39" x14ac:dyDescent="0.25">
      <c r="A2621" s="37" t="s">
        <v>62</v>
      </c>
      <c r="B2621" s="66" t="s">
        <v>1654</v>
      </c>
      <c r="C2621" s="4">
        <v>1012</v>
      </c>
      <c r="D2621" s="41" t="s">
        <v>306</v>
      </c>
      <c r="E2621" s="41">
        <v>10520006</v>
      </c>
      <c r="F2621" s="85" t="s">
        <v>1154</v>
      </c>
      <c r="G2621" s="39" t="s">
        <v>1610</v>
      </c>
      <c r="H2621" s="52" t="s">
        <v>98</v>
      </c>
      <c r="I2621" s="52">
        <v>27850</v>
      </c>
      <c r="J2621" s="49">
        <v>1015675</v>
      </c>
      <c r="K2621" s="58">
        <v>0</v>
      </c>
      <c r="L2621" s="58">
        <v>0</v>
      </c>
      <c r="M2621" s="58">
        <v>0</v>
      </c>
      <c r="N2621" s="58">
        <v>0</v>
      </c>
      <c r="O2621" s="58">
        <v>0</v>
      </c>
      <c r="P2621" s="53">
        <v>0</v>
      </c>
      <c r="Q2621" s="65">
        <v>1015675</v>
      </c>
      <c r="R2621" s="65">
        <v>0</v>
      </c>
      <c r="S2621" s="65">
        <v>0</v>
      </c>
      <c r="T2621" s="65">
        <v>0</v>
      </c>
      <c r="U2621" s="58">
        <v>0</v>
      </c>
      <c r="V2621" s="65">
        <v>0</v>
      </c>
      <c r="W2621" s="65">
        <v>0</v>
      </c>
      <c r="X2621" s="65">
        <v>0</v>
      </c>
      <c r="Y2621" s="65">
        <v>0</v>
      </c>
      <c r="Z2621" s="51">
        <v>1015675</v>
      </c>
      <c r="AA2621" s="51">
        <v>0</v>
      </c>
      <c r="AB2621" s="102">
        <v>0</v>
      </c>
      <c r="AC2621" s="81">
        <f t="shared" si="123"/>
        <v>0</v>
      </c>
      <c r="AD2621" s="82">
        <f t="shared" si="124"/>
        <v>0</v>
      </c>
      <c r="AE2621" s="218">
        <v>0</v>
      </c>
      <c r="AF2621">
        <v>0</v>
      </c>
      <c r="AH2621" t="str">
        <f t="shared" si="125"/>
        <v>DalsinghSarai</v>
      </c>
      <c r="AJ2621" s="72">
        <v>0</v>
      </c>
      <c r="AK2621" s="72"/>
      <c r="AL2621" s="72"/>
      <c r="AM2621" s="72"/>
    </row>
    <row r="2622" spans="1:39" x14ac:dyDescent="0.25">
      <c r="A2622" s="37" t="s">
        <v>62</v>
      </c>
      <c r="B2622" s="66" t="s">
        <v>1654</v>
      </c>
      <c r="C2622" s="4">
        <v>1053</v>
      </c>
      <c r="D2622" s="41" t="s">
        <v>527</v>
      </c>
      <c r="E2622" s="41">
        <v>10520010</v>
      </c>
      <c r="F2622" s="85" t="s">
        <v>1283</v>
      </c>
      <c r="G2622" s="39" t="s">
        <v>1610</v>
      </c>
      <c r="H2622" s="52" t="s">
        <v>98</v>
      </c>
      <c r="I2622" s="52">
        <v>5239</v>
      </c>
      <c r="J2622" s="49">
        <v>213512.57</v>
      </c>
      <c r="K2622" s="58">
        <v>0</v>
      </c>
      <c r="L2622" s="58">
        <v>0</v>
      </c>
      <c r="M2622" s="58">
        <v>0</v>
      </c>
      <c r="N2622" s="58">
        <v>0</v>
      </c>
      <c r="O2622" s="58">
        <v>0</v>
      </c>
      <c r="P2622" s="53">
        <v>0</v>
      </c>
      <c r="Q2622" s="65">
        <v>213512.57</v>
      </c>
      <c r="R2622" s="65">
        <v>0</v>
      </c>
      <c r="S2622" s="65">
        <v>0</v>
      </c>
      <c r="T2622" s="65">
        <v>0</v>
      </c>
      <c r="U2622" s="58">
        <v>0</v>
      </c>
      <c r="V2622" s="65">
        <v>0</v>
      </c>
      <c r="W2622" s="65">
        <v>0</v>
      </c>
      <c r="X2622" s="65">
        <v>0</v>
      </c>
      <c r="Y2622" s="65">
        <v>0</v>
      </c>
      <c r="Z2622" s="51">
        <v>213512.57</v>
      </c>
      <c r="AA2622" s="51">
        <v>0</v>
      </c>
      <c r="AB2622" s="102">
        <v>0</v>
      </c>
      <c r="AC2622" s="81">
        <f t="shared" ref="AC2622:AC2685" si="126">((IF(AD2622=0,0,100-AD2622))*7*(J2622/I2622))*2%</f>
        <v>0</v>
      </c>
      <c r="AD2622" s="82">
        <f t="shared" ref="AD2622:AD2685" si="127">IF((I2622/7)&gt;100,0,(I2622/7))</f>
        <v>0</v>
      </c>
      <c r="AE2622" s="218">
        <v>0</v>
      </c>
      <c r="AF2622">
        <v>0</v>
      </c>
      <c r="AH2622" t="str">
        <f t="shared" si="125"/>
        <v>Kalyanpur</v>
      </c>
      <c r="AJ2622" s="72">
        <v>0</v>
      </c>
      <c r="AK2622" s="72"/>
      <c r="AL2622" s="72"/>
      <c r="AM2622" s="72"/>
    </row>
    <row r="2623" spans="1:39" x14ac:dyDescent="0.25">
      <c r="A2623" s="37" t="s">
        <v>62</v>
      </c>
      <c r="B2623" s="66" t="s">
        <v>1654</v>
      </c>
      <c r="C2623" s="4">
        <v>1052</v>
      </c>
      <c r="D2623" s="41" t="s">
        <v>1647</v>
      </c>
      <c r="E2623" s="41">
        <v>10520011</v>
      </c>
      <c r="F2623" s="85" t="s">
        <v>1465</v>
      </c>
      <c r="G2623" s="39" t="s">
        <v>92</v>
      </c>
      <c r="H2623" s="52" t="s">
        <v>98</v>
      </c>
      <c r="I2623" s="52">
        <v>20310</v>
      </c>
      <c r="J2623" s="49">
        <v>779286.27</v>
      </c>
      <c r="K2623" s="58">
        <v>0</v>
      </c>
      <c r="L2623" s="58">
        <v>0</v>
      </c>
      <c r="M2623" s="58">
        <v>0</v>
      </c>
      <c r="N2623" s="58">
        <v>0</v>
      </c>
      <c r="O2623" s="58">
        <v>0</v>
      </c>
      <c r="P2623" s="53">
        <v>0</v>
      </c>
      <c r="Q2623" s="65">
        <v>779286.27</v>
      </c>
      <c r="R2623" s="65">
        <v>0</v>
      </c>
      <c r="S2623" s="65">
        <v>0</v>
      </c>
      <c r="T2623" s="65">
        <v>0</v>
      </c>
      <c r="U2623" s="58">
        <v>0</v>
      </c>
      <c r="V2623" s="65">
        <v>0</v>
      </c>
      <c r="W2623" s="65">
        <v>0</v>
      </c>
      <c r="X2623" s="65">
        <v>0</v>
      </c>
      <c r="Y2623" s="65">
        <v>0</v>
      </c>
      <c r="Z2623" s="51">
        <v>779286.27</v>
      </c>
      <c r="AA2623" s="51">
        <v>0</v>
      </c>
      <c r="AB2623" s="102">
        <v>0</v>
      </c>
      <c r="AC2623" s="81">
        <f t="shared" si="126"/>
        <v>0</v>
      </c>
      <c r="AD2623" s="82">
        <f t="shared" si="127"/>
        <v>0</v>
      </c>
      <c r="AE2623" s="218">
        <v>0</v>
      </c>
      <c r="AF2623">
        <v>0</v>
      </c>
      <c r="AH2623" t="str">
        <f t="shared" si="125"/>
        <v>3P Network</v>
      </c>
      <c r="AJ2623" s="72">
        <v>0</v>
      </c>
      <c r="AK2623" s="72"/>
      <c r="AL2623" s="72"/>
      <c r="AM2623" s="72"/>
    </row>
    <row r="2624" spans="1:39" x14ac:dyDescent="0.25">
      <c r="A2624" s="37" t="s">
        <v>62</v>
      </c>
      <c r="B2624" s="66" t="s">
        <v>1654</v>
      </c>
      <c r="C2624" s="4">
        <v>1053</v>
      </c>
      <c r="D2624" s="41" t="s">
        <v>527</v>
      </c>
      <c r="E2624" s="41">
        <v>10530001</v>
      </c>
      <c r="F2624" s="85" t="s">
        <v>528</v>
      </c>
      <c r="G2624" s="39" t="s">
        <v>92</v>
      </c>
      <c r="H2624" s="52" t="s">
        <v>93</v>
      </c>
      <c r="I2624" s="52">
        <v>1386.7999999999995</v>
      </c>
      <c r="J2624" s="49">
        <v>58280.280000000013</v>
      </c>
      <c r="K2624" s="58">
        <v>1374.74</v>
      </c>
      <c r="L2624" s="58">
        <v>57976.73000000001</v>
      </c>
      <c r="M2624" s="58">
        <v>6.91</v>
      </c>
      <c r="N2624" s="58">
        <v>300.55</v>
      </c>
      <c r="O2624" s="58">
        <v>1381.65</v>
      </c>
      <c r="P2624" s="53">
        <v>58277.280000000013</v>
      </c>
      <c r="Q2624" s="65">
        <v>58277.280000000013</v>
      </c>
      <c r="R2624" s="65">
        <v>0</v>
      </c>
      <c r="S2624" s="65">
        <v>300.55</v>
      </c>
      <c r="T2624" s="65">
        <v>0</v>
      </c>
      <c r="U2624" s="58">
        <v>0</v>
      </c>
      <c r="V2624" s="65">
        <v>0</v>
      </c>
      <c r="W2624" s="65">
        <v>0</v>
      </c>
      <c r="X2624" s="65">
        <v>57977</v>
      </c>
      <c r="Y2624" s="65">
        <v>0</v>
      </c>
      <c r="Z2624" s="51">
        <v>0</v>
      </c>
      <c r="AA2624" s="51">
        <v>3</v>
      </c>
      <c r="AB2624" s="102">
        <v>0</v>
      </c>
      <c r="AC2624" s="81">
        <f t="shared" si="126"/>
        <v>0</v>
      </c>
      <c r="AD2624" s="82">
        <f t="shared" si="127"/>
        <v>0</v>
      </c>
      <c r="AE2624" s="218">
        <v>5.1475387558192913E-5</v>
      </c>
      <c r="AF2624">
        <v>26</v>
      </c>
      <c r="AH2624" t="str">
        <f t="shared" si="125"/>
        <v>Kalyanpur</v>
      </c>
      <c r="AJ2624" s="72">
        <v>0</v>
      </c>
      <c r="AK2624" s="72"/>
      <c r="AL2624" s="72"/>
      <c r="AM2624" s="72"/>
    </row>
    <row r="2625" spans="1:39" x14ac:dyDescent="0.25">
      <c r="A2625" s="37" t="s">
        <v>62</v>
      </c>
      <c r="B2625" s="66" t="s">
        <v>1654</v>
      </c>
      <c r="C2625" s="4">
        <v>1053</v>
      </c>
      <c r="D2625" s="41" t="s">
        <v>527</v>
      </c>
      <c r="E2625" s="41">
        <v>10530002</v>
      </c>
      <c r="F2625" s="85" t="s">
        <v>529</v>
      </c>
      <c r="G2625" s="39" t="s">
        <v>92</v>
      </c>
      <c r="H2625" s="52" t="s">
        <v>93</v>
      </c>
      <c r="I2625" s="52">
        <v>1874.6000000000004</v>
      </c>
      <c r="J2625" s="49">
        <v>74126.960000000006</v>
      </c>
      <c r="K2625" s="58">
        <v>1878.01</v>
      </c>
      <c r="L2625" s="58">
        <v>73786.569999999978</v>
      </c>
      <c r="M2625" s="58">
        <v>8.31</v>
      </c>
      <c r="N2625" s="58">
        <v>337.47</v>
      </c>
      <c r="O2625" s="58">
        <v>1886.32</v>
      </c>
      <c r="P2625" s="53">
        <v>74124.039999999979</v>
      </c>
      <c r="Q2625" s="65">
        <v>74124.039999999979</v>
      </c>
      <c r="R2625" s="65">
        <v>0</v>
      </c>
      <c r="S2625" s="65">
        <v>337.47</v>
      </c>
      <c r="T2625" s="65">
        <v>0</v>
      </c>
      <c r="U2625" s="58">
        <v>15862</v>
      </c>
      <c r="V2625" s="65">
        <v>0</v>
      </c>
      <c r="W2625" s="65">
        <v>0</v>
      </c>
      <c r="X2625" s="65">
        <v>57925</v>
      </c>
      <c r="Y2625" s="65">
        <v>0</v>
      </c>
      <c r="Z2625" s="51">
        <v>0</v>
      </c>
      <c r="AA2625" s="51">
        <v>2</v>
      </c>
      <c r="AB2625" s="102">
        <v>0</v>
      </c>
      <c r="AC2625" s="81">
        <f t="shared" si="126"/>
        <v>0</v>
      </c>
      <c r="AD2625" s="82">
        <f t="shared" si="127"/>
        <v>0</v>
      </c>
      <c r="AE2625" s="218">
        <v>3.9391875776739766E-5</v>
      </c>
      <c r="AF2625">
        <v>36</v>
      </c>
      <c r="AH2625" t="str">
        <f t="shared" ref="AH2625:AH2683" si="128">TEXT(D2625,"0000")</f>
        <v>Kalyanpur</v>
      </c>
      <c r="AJ2625" s="72">
        <v>0</v>
      </c>
      <c r="AK2625" s="72"/>
      <c r="AL2625" s="72"/>
      <c r="AM2625" s="72"/>
    </row>
    <row r="2626" spans="1:39" x14ac:dyDescent="0.25">
      <c r="A2626" s="37" t="s">
        <v>62</v>
      </c>
      <c r="B2626" s="66" t="s">
        <v>1654</v>
      </c>
      <c r="C2626" s="4">
        <v>1053</v>
      </c>
      <c r="D2626" s="41" t="s">
        <v>527</v>
      </c>
      <c r="E2626" s="41">
        <v>10530003</v>
      </c>
      <c r="F2626" s="85" t="s">
        <v>530</v>
      </c>
      <c r="G2626" s="39" t="s">
        <v>92</v>
      </c>
      <c r="H2626" s="52" t="s">
        <v>93</v>
      </c>
      <c r="I2626" s="52">
        <v>1053.1500000000001</v>
      </c>
      <c r="J2626" s="49">
        <v>45816.200000000004</v>
      </c>
      <c r="K2626" s="58">
        <v>1027.52</v>
      </c>
      <c r="L2626" s="58">
        <v>45385.919999999991</v>
      </c>
      <c r="M2626" s="58">
        <v>9.16</v>
      </c>
      <c r="N2626" s="58">
        <v>427.42</v>
      </c>
      <c r="O2626" s="58">
        <v>1036.68</v>
      </c>
      <c r="P2626" s="53">
        <v>45813.339999999989</v>
      </c>
      <c r="Q2626" s="65">
        <v>45813.339999999989</v>
      </c>
      <c r="R2626" s="65">
        <v>0</v>
      </c>
      <c r="S2626" s="65">
        <v>427.42</v>
      </c>
      <c r="T2626" s="65">
        <v>0</v>
      </c>
      <c r="U2626" s="58">
        <v>0</v>
      </c>
      <c r="V2626" s="65">
        <v>0</v>
      </c>
      <c r="W2626" s="65">
        <v>0</v>
      </c>
      <c r="X2626" s="65">
        <v>45385</v>
      </c>
      <c r="Y2626" s="65">
        <v>0</v>
      </c>
      <c r="Z2626" s="51">
        <v>0</v>
      </c>
      <c r="AA2626" s="51">
        <v>4</v>
      </c>
      <c r="AB2626" s="102">
        <v>0</v>
      </c>
      <c r="AC2626" s="81">
        <f t="shared" si="126"/>
        <v>0</v>
      </c>
      <c r="AD2626" s="82">
        <f t="shared" si="127"/>
        <v>0</v>
      </c>
      <c r="AE2626" s="218">
        <v>6.2423334977914664E-5</v>
      </c>
      <c r="AF2626">
        <v>28</v>
      </c>
      <c r="AH2626" t="str">
        <f t="shared" si="128"/>
        <v>Kalyanpur</v>
      </c>
      <c r="AJ2626" s="72">
        <v>0</v>
      </c>
      <c r="AK2626" s="72"/>
      <c r="AL2626" s="72"/>
      <c r="AM2626" s="72"/>
    </row>
    <row r="2627" spans="1:39" x14ac:dyDescent="0.25">
      <c r="A2627" s="37" t="s">
        <v>62</v>
      </c>
      <c r="B2627" s="66" t="s">
        <v>1654</v>
      </c>
      <c r="C2627" s="4">
        <v>1053</v>
      </c>
      <c r="D2627" s="41" t="s">
        <v>527</v>
      </c>
      <c r="E2627" s="41">
        <v>10530005</v>
      </c>
      <c r="F2627" s="85" t="s">
        <v>531</v>
      </c>
      <c r="G2627" s="39" t="s">
        <v>92</v>
      </c>
      <c r="H2627" s="52" t="s">
        <v>93</v>
      </c>
      <c r="I2627" s="52">
        <v>684.6</v>
      </c>
      <c r="J2627" s="49">
        <v>32072.739999999998</v>
      </c>
      <c r="K2627" s="58">
        <v>671.83</v>
      </c>
      <c r="L2627" s="58">
        <v>31923.710000000003</v>
      </c>
      <c r="M2627" s="58">
        <v>3.3200000000000003</v>
      </c>
      <c r="N2627" s="58">
        <v>146.34</v>
      </c>
      <c r="O2627" s="58">
        <v>675.15000000000009</v>
      </c>
      <c r="P2627" s="53">
        <v>32070.050000000003</v>
      </c>
      <c r="Q2627" s="65">
        <v>32070.050000000003</v>
      </c>
      <c r="R2627" s="65">
        <v>0</v>
      </c>
      <c r="S2627" s="65">
        <v>146.34</v>
      </c>
      <c r="T2627" s="65">
        <v>0</v>
      </c>
      <c r="U2627" s="58">
        <v>0</v>
      </c>
      <c r="V2627" s="65">
        <v>0</v>
      </c>
      <c r="W2627" s="65">
        <v>0</v>
      </c>
      <c r="X2627" s="65">
        <v>31926</v>
      </c>
      <c r="Y2627" s="65">
        <v>0</v>
      </c>
      <c r="Z2627" s="51">
        <v>0</v>
      </c>
      <c r="AA2627" s="51">
        <v>0</v>
      </c>
      <c r="AB2627" s="102">
        <v>0</v>
      </c>
      <c r="AC2627" s="81">
        <f t="shared" si="126"/>
        <v>14.429453578732122</v>
      </c>
      <c r="AD2627" s="82">
        <f t="shared" si="127"/>
        <v>97.8</v>
      </c>
      <c r="AE2627" s="218">
        <v>8.3871848803533858E-5</v>
      </c>
      <c r="AF2627">
        <v>22</v>
      </c>
      <c r="AH2627" t="str">
        <f t="shared" si="128"/>
        <v>Kalyanpur</v>
      </c>
      <c r="AJ2627" s="72">
        <v>0</v>
      </c>
      <c r="AK2627" s="72"/>
      <c r="AL2627" s="72"/>
      <c r="AM2627" s="72"/>
    </row>
    <row r="2628" spans="1:39" x14ac:dyDescent="0.25">
      <c r="A2628" s="37" t="s">
        <v>62</v>
      </c>
      <c r="B2628" s="66" t="s">
        <v>1654</v>
      </c>
      <c r="C2628" s="4">
        <v>1053</v>
      </c>
      <c r="D2628" s="41" t="s">
        <v>527</v>
      </c>
      <c r="E2628" s="41">
        <v>10530006</v>
      </c>
      <c r="F2628" s="85" t="s">
        <v>532</v>
      </c>
      <c r="G2628" s="39" t="s">
        <v>92</v>
      </c>
      <c r="H2628" s="52" t="s">
        <v>93</v>
      </c>
      <c r="I2628" s="52">
        <v>1302.8000000000004</v>
      </c>
      <c r="J2628" s="49">
        <v>61306.419999999991</v>
      </c>
      <c r="K2628" s="58">
        <v>1278.82</v>
      </c>
      <c r="L2628" s="58">
        <v>58049.369999999981</v>
      </c>
      <c r="M2628" s="58">
        <v>45.29</v>
      </c>
      <c r="N2628" s="58">
        <v>3018.83</v>
      </c>
      <c r="O2628" s="58">
        <v>1324.11</v>
      </c>
      <c r="P2628" s="53">
        <v>61068.199999999983</v>
      </c>
      <c r="Q2628" s="65">
        <v>61068.199999999983</v>
      </c>
      <c r="R2628" s="65">
        <v>0</v>
      </c>
      <c r="S2628" s="65">
        <v>3018.83</v>
      </c>
      <c r="T2628" s="65">
        <v>0</v>
      </c>
      <c r="U2628" s="58">
        <v>1400</v>
      </c>
      <c r="V2628" s="65">
        <v>0</v>
      </c>
      <c r="W2628" s="65">
        <v>0</v>
      </c>
      <c r="X2628" s="65">
        <v>56645</v>
      </c>
      <c r="Y2628" s="65">
        <v>0</v>
      </c>
      <c r="Z2628" s="51">
        <v>0</v>
      </c>
      <c r="AA2628" s="51">
        <v>243</v>
      </c>
      <c r="AB2628" s="102">
        <v>0</v>
      </c>
      <c r="AC2628" s="81">
        <f t="shared" si="126"/>
        <v>0</v>
      </c>
      <c r="AD2628" s="82">
        <f t="shared" si="127"/>
        <v>0</v>
      </c>
      <c r="AE2628" s="218">
        <v>3.8857268129505601E-3</v>
      </c>
      <c r="AF2628">
        <v>68</v>
      </c>
      <c r="AH2628" t="str">
        <f t="shared" si="128"/>
        <v>Kalyanpur</v>
      </c>
      <c r="AJ2628" s="72">
        <v>0</v>
      </c>
      <c r="AK2628" s="72"/>
      <c r="AL2628" s="72"/>
      <c r="AM2628" s="72"/>
    </row>
    <row r="2629" spans="1:39" x14ac:dyDescent="0.25">
      <c r="A2629" s="37" t="s">
        <v>62</v>
      </c>
      <c r="B2629" s="66" t="s">
        <v>1654</v>
      </c>
      <c r="C2629" s="4">
        <v>1053</v>
      </c>
      <c r="D2629" s="41" t="s">
        <v>527</v>
      </c>
      <c r="E2629" s="41">
        <v>10530007</v>
      </c>
      <c r="F2629" s="85" t="s">
        <v>533</v>
      </c>
      <c r="G2629" s="39" t="s">
        <v>92</v>
      </c>
      <c r="H2629" s="52" t="s">
        <v>93</v>
      </c>
      <c r="I2629" s="52">
        <v>476.7999999999999</v>
      </c>
      <c r="J2629" s="49">
        <v>21532.089999999997</v>
      </c>
      <c r="K2629" s="58">
        <v>473.53</v>
      </c>
      <c r="L2629" s="58">
        <v>21529.339999999997</v>
      </c>
      <c r="M2629" s="58">
        <v>0</v>
      </c>
      <c r="N2629" s="58">
        <v>0</v>
      </c>
      <c r="O2629" s="58">
        <v>473.53</v>
      </c>
      <c r="P2629" s="53">
        <v>21529.339999999997</v>
      </c>
      <c r="Q2629" s="65">
        <v>21529.339999999997</v>
      </c>
      <c r="R2629" s="65">
        <v>0</v>
      </c>
      <c r="S2629" s="65">
        <v>0</v>
      </c>
      <c r="T2629" s="65">
        <v>0</v>
      </c>
      <c r="U2629" s="58">
        <v>1167</v>
      </c>
      <c r="V2629" s="65">
        <v>0</v>
      </c>
      <c r="W2629" s="65">
        <v>0</v>
      </c>
      <c r="X2629" s="65">
        <v>20362</v>
      </c>
      <c r="Y2629" s="65">
        <v>0</v>
      </c>
      <c r="Z2629" s="51">
        <v>0</v>
      </c>
      <c r="AA2629" s="51">
        <v>3</v>
      </c>
      <c r="AB2629" s="102">
        <v>0</v>
      </c>
      <c r="AC2629" s="81">
        <f t="shared" si="126"/>
        <v>201.59238624161085</v>
      </c>
      <c r="AD2629" s="82">
        <f t="shared" si="127"/>
        <v>68.1142857142857</v>
      </c>
      <c r="AE2629" s="218">
        <v>1.2771635266246799E-4</v>
      </c>
      <c r="AF2629">
        <v>12</v>
      </c>
      <c r="AH2629" t="str">
        <f t="shared" si="128"/>
        <v>Kalyanpur</v>
      </c>
      <c r="AJ2629" s="72">
        <v>0</v>
      </c>
      <c r="AK2629" s="72"/>
      <c r="AL2629" s="72"/>
      <c r="AM2629" s="72"/>
    </row>
    <row r="2630" spans="1:39" x14ac:dyDescent="0.25">
      <c r="A2630" s="37" t="s">
        <v>62</v>
      </c>
      <c r="B2630" s="66" t="s">
        <v>1654</v>
      </c>
      <c r="C2630" s="4">
        <v>1053</v>
      </c>
      <c r="D2630" s="41" t="s">
        <v>527</v>
      </c>
      <c r="E2630" s="41">
        <v>10530008</v>
      </c>
      <c r="F2630" s="85" t="s">
        <v>534</v>
      </c>
      <c r="G2630" s="39" t="s">
        <v>92</v>
      </c>
      <c r="H2630" s="52" t="s">
        <v>93</v>
      </c>
      <c r="I2630" s="52">
        <v>388.44999999999987</v>
      </c>
      <c r="J2630" s="49">
        <v>17580.75</v>
      </c>
      <c r="K2630" s="58">
        <v>378.33000000000004</v>
      </c>
      <c r="L2630" s="58">
        <v>17276.890000000003</v>
      </c>
      <c r="M2630" s="58">
        <v>3.9499999999999993</v>
      </c>
      <c r="N2630" s="58">
        <v>165.59</v>
      </c>
      <c r="O2630" s="58">
        <v>382.28000000000003</v>
      </c>
      <c r="P2630" s="53">
        <v>17442.480000000003</v>
      </c>
      <c r="Q2630" s="65">
        <v>17442.480000000003</v>
      </c>
      <c r="R2630" s="65">
        <v>0</v>
      </c>
      <c r="S2630" s="65">
        <v>165.59</v>
      </c>
      <c r="T2630" s="65">
        <v>0</v>
      </c>
      <c r="U2630" s="58">
        <v>0</v>
      </c>
      <c r="V2630" s="65">
        <v>0</v>
      </c>
      <c r="W2630" s="65">
        <v>0</v>
      </c>
      <c r="X2630" s="65">
        <v>17276</v>
      </c>
      <c r="Y2630" s="65">
        <v>0</v>
      </c>
      <c r="Z2630" s="51">
        <v>0</v>
      </c>
      <c r="AA2630" s="51">
        <v>139</v>
      </c>
      <c r="AB2630" s="102">
        <v>0</v>
      </c>
      <c r="AC2630" s="81">
        <f t="shared" si="126"/>
        <v>282.00708778478588</v>
      </c>
      <c r="AD2630" s="82">
        <f t="shared" si="127"/>
        <v>55.492857142857126</v>
      </c>
      <c r="AE2630" s="218">
        <v>7.8648521820739621E-3</v>
      </c>
      <c r="AF2630">
        <v>7</v>
      </c>
      <c r="AH2630" t="str">
        <f t="shared" si="128"/>
        <v>Kalyanpur</v>
      </c>
      <c r="AJ2630" s="72">
        <v>0</v>
      </c>
      <c r="AK2630" s="72"/>
      <c r="AL2630" s="72"/>
      <c r="AM2630" s="72"/>
    </row>
    <row r="2631" spans="1:39" x14ac:dyDescent="0.25">
      <c r="A2631" s="37" t="s">
        <v>62</v>
      </c>
      <c r="B2631" s="66" t="s">
        <v>1654</v>
      </c>
      <c r="C2631" s="4">
        <v>1053</v>
      </c>
      <c r="D2631" s="41" t="s">
        <v>527</v>
      </c>
      <c r="E2631" s="41">
        <v>10530009</v>
      </c>
      <c r="F2631" s="85" t="s">
        <v>535</v>
      </c>
      <c r="G2631" s="39" t="s">
        <v>1610</v>
      </c>
      <c r="H2631" s="52" t="s">
        <v>98</v>
      </c>
      <c r="I2631" s="52">
        <v>5880.75</v>
      </c>
      <c r="J2631" s="49">
        <v>242053.59000000003</v>
      </c>
      <c r="K2631" s="58">
        <v>0</v>
      </c>
      <c r="L2631" s="58">
        <v>0</v>
      </c>
      <c r="M2631" s="58">
        <v>0</v>
      </c>
      <c r="N2631" s="58">
        <v>0</v>
      </c>
      <c r="O2631" s="58">
        <v>0</v>
      </c>
      <c r="P2631" s="53">
        <v>0</v>
      </c>
      <c r="Q2631" s="65">
        <v>242053.59000000003</v>
      </c>
      <c r="R2631" s="65">
        <v>0</v>
      </c>
      <c r="S2631" s="65">
        <v>0</v>
      </c>
      <c r="T2631" s="65">
        <v>0</v>
      </c>
      <c r="U2631" s="58">
        <v>0</v>
      </c>
      <c r="V2631" s="65">
        <v>0</v>
      </c>
      <c r="W2631" s="65">
        <v>0</v>
      </c>
      <c r="X2631" s="65">
        <v>0</v>
      </c>
      <c r="Y2631" s="65">
        <v>0</v>
      </c>
      <c r="Z2631" s="51">
        <v>242053.59000000003</v>
      </c>
      <c r="AA2631" s="51">
        <v>0</v>
      </c>
      <c r="AB2631" s="102">
        <v>0</v>
      </c>
      <c r="AC2631" s="81">
        <f t="shared" si="126"/>
        <v>0</v>
      </c>
      <c r="AD2631" s="82">
        <f t="shared" si="127"/>
        <v>0</v>
      </c>
      <c r="AE2631" s="218">
        <v>0</v>
      </c>
      <c r="AF2631">
        <v>0</v>
      </c>
      <c r="AH2631" t="str">
        <f t="shared" si="128"/>
        <v>Kalyanpur</v>
      </c>
      <c r="AJ2631" s="72">
        <v>0</v>
      </c>
      <c r="AK2631" s="72"/>
      <c r="AL2631" s="72"/>
      <c r="AM2631" s="72"/>
    </row>
    <row r="2632" spans="1:39" x14ac:dyDescent="0.25">
      <c r="A2632" s="37" t="s">
        <v>62</v>
      </c>
      <c r="B2632" s="66" t="s">
        <v>1654</v>
      </c>
      <c r="C2632" s="4">
        <v>1053</v>
      </c>
      <c r="D2632" s="41" t="s">
        <v>527</v>
      </c>
      <c r="E2632" s="41">
        <v>10530010</v>
      </c>
      <c r="F2632" s="85" t="s">
        <v>536</v>
      </c>
      <c r="G2632" s="39" t="s">
        <v>1610</v>
      </c>
      <c r="H2632" s="52" t="s">
        <v>98</v>
      </c>
      <c r="I2632" s="52">
        <v>3138.1500000000005</v>
      </c>
      <c r="J2632" s="49">
        <v>134179.96</v>
      </c>
      <c r="K2632" s="58">
        <v>0</v>
      </c>
      <c r="L2632" s="58">
        <v>0</v>
      </c>
      <c r="M2632" s="58">
        <v>0</v>
      </c>
      <c r="N2632" s="58">
        <v>0</v>
      </c>
      <c r="O2632" s="58">
        <v>0</v>
      </c>
      <c r="P2632" s="53">
        <v>0</v>
      </c>
      <c r="Q2632" s="65">
        <v>134179.96</v>
      </c>
      <c r="R2632" s="65">
        <v>0</v>
      </c>
      <c r="S2632" s="65">
        <v>0</v>
      </c>
      <c r="T2632" s="65">
        <v>0</v>
      </c>
      <c r="U2632" s="58">
        <v>0</v>
      </c>
      <c r="V2632" s="65">
        <v>0</v>
      </c>
      <c r="W2632" s="65">
        <v>0</v>
      </c>
      <c r="X2632" s="65">
        <v>0</v>
      </c>
      <c r="Y2632" s="65">
        <v>0</v>
      </c>
      <c r="Z2632" s="51">
        <v>134179.96</v>
      </c>
      <c r="AA2632" s="51">
        <v>0</v>
      </c>
      <c r="AB2632" s="102">
        <v>0</v>
      </c>
      <c r="AC2632" s="81">
        <f t="shared" si="126"/>
        <v>0</v>
      </c>
      <c r="AD2632" s="82">
        <f t="shared" si="127"/>
        <v>0</v>
      </c>
      <c r="AE2632" s="218">
        <v>0</v>
      </c>
      <c r="AF2632">
        <v>0</v>
      </c>
      <c r="AH2632" t="str">
        <f t="shared" si="128"/>
        <v>Kalyanpur</v>
      </c>
      <c r="AJ2632" s="72">
        <v>0</v>
      </c>
      <c r="AK2632" s="72"/>
      <c r="AL2632" s="72"/>
      <c r="AM2632" s="72"/>
    </row>
    <row r="2633" spans="1:39" x14ac:dyDescent="0.25">
      <c r="A2633" s="37" t="s">
        <v>62</v>
      </c>
      <c r="B2633" s="66" t="s">
        <v>1654</v>
      </c>
      <c r="C2633" s="4">
        <v>1053</v>
      </c>
      <c r="D2633" s="41" t="s">
        <v>527</v>
      </c>
      <c r="E2633" s="41">
        <v>10530014</v>
      </c>
      <c r="F2633" s="85" t="s">
        <v>537</v>
      </c>
      <c r="G2633" s="39" t="s">
        <v>1610</v>
      </c>
      <c r="H2633" s="52" t="s">
        <v>98</v>
      </c>
      <c r="I2633" s="52">
        <v>1627.15</v>
      </c>
      <c r="J2633" s="49">
        <v>61724.270000000004</v>
      </c>
      <c r="K2633" s="58">
        <v>0</v>
      </c>
      <c r="L2633" s="58">
        <v>0</v>
      </c>
      <c r="M2633" s="58">
        <v>0</v>
      </c>
      <c r="N2633" s="58">
        <v>0</v>
      </c>
      <c r="O2633" s="58">
        <v>0</v>
      </c>
      <c r="P2633" s="53">
        <v>0</v>
      </c>
      <c r="Q2633" s="65">
        <v>61724.270000000004</v>
      </c>
      <c r="R2633" s="65">
        <v>0</v>
      </c>
      <c r="S2633" s="65">
        <v>0</v>
      </c>
      <c r="T2633" s="65">
        <v>0</v>
      </c>
      <c r="U2633" s="58">
        <v>0</v>
      </c>
      <c r="V2633" s="65">
        <v>0</v>
      </c>
      <c r="W2633" s="65">
        <v>0</v>
      </c>
      <c r="X2633" s="65">
        <v>0</v>
      </c>
      <c r="Y2633" s="65">
        <v>0</v>
      </c>
      <c r="Z2633" s="51">
        <v>61724.270000000004</v>
      </c>
      <c r="AA2633" s="51">
        <v>0</v>
      </c>
      <c r="AB2633" s="102">
        <v>0</v>
      </c>
      <c r="AC2633" s="81">
        <f t="shared" si="126"/>
        <v>0</v>
      </c>
      <c r="AD2633" s="82">
        <f t="shared" si="127"/>
        <v>0</v>
      </c>
      <c r="AE2633" s="218">
        <v>0</v>
      </c>
      <c r="AF2633">
        <v>0</v>
      </c>
      <c r="AH2633" t="str">
        <f t="shared" si="128"/>
        <v>Kalyanpur</v>
      </c>
      <c r="AJ2633" s="72">
        <v>0</v>
      </c>
      <c r="AK2633" s="72"/>
      <c r="AL2633" s="72"/>
      <c r="AM2633" s="72"/>
    </row>
    <row r="2634" spans="1:39" x14ac:dyDescent="0.25">
      <c r="A2634" s="37" t="s">
        <v>62</v>
      </c>
      <c r="B2634" s="66" t="s">
        <v>1654</v>
      </c>
      <c r="C2634" s="4">
        <v>1053</v>
      </c>
      <c r="D2634" s="41" t="s">
        <v>527</v>
      </c>
      <c r="E2634" s="41">
        <v>10530015</v>
      </c>
      <c r="F2634" s="85" t="s">
        <v>538</v>
      </c>
      <c r="G2634" s="39" t="s">
        <v>1610</v>
      </c>
      <c r="H2634" s="52" t="s">
        <v>98</v>
      </c>
      <c r="I2634" s="52">
        <v>749.65</v>
      </c>
      <c r="J2634" s="49">
        <v>31180.81</v>
      </c>
      <c r="K2634" s="58">
        <v>0</v>
      </c>
      <c r="L2634" s="58">
        <v>0</v>
      </c>
      <c r="M2634" s="58">
        <v>0</v>
      </c>
      <c r="N2634" s="58">
        <v>0</v>
      </c>
      <c r="O2634" s="58">
        <v>0</v>
      </c>
      <c r="P2634" s="53">
        <v>0</v>
      </c>
      <c r="Q2634" s="65">
        <v>31180.81</v>
      </c>
      <c r="R2634" s="65">
        <v>0</v>
      </c>
      <c r="S2634" s="65">
        <v>0</v>
      </c>
      <c r="T2634" s="65">
        <v>0</v>
      </c>
      <c r="U2634" s="58">
        <v>0</v>
      </c>
      <c r="V2634" s="65">
        <v>0</v>
      </c>
      <c r="W2634" s="65">
        <v>0</v>
      </c>
      <c r="X2634" s="65">
        <v>0</v>
      </c>
      <c r="Y2634" s="65">
        <v>0</v>
      </c>
      <c r="Z2634" s="51">
        <v>31180.81</v>
      </c>
      <c r="AA2634" s="51">
        <v>0</v>
      </c>
      <c r="AB2634" s="102">
        <v>0</v>
      </c>
      <c r="AC2634" s="81">
        <f t="shared" si="126"/>
        <v>0</v>
      </c>
      <c r="AD2634" s="82">
        <f t="shared" si="127"/>
        <v>0</v>
      </c>
      <c r="AE2634" s="218">
        <v>0</v>
      </c>
      <c r="AF2634">
        <v>0</v>
      </c>
      <c r="AH2634" t="str">
        <f t="shared" si="128"/>
        <v>Kalyanpur</v>
      </c>
      <c r="AJ2634" s="72">
        <v>0</v>
      </c>
      <c r="AK2634" s="72"/>
      <c r="AL2634" s="72"/>
      <c r="AM2634" s="72"/>
    </row>
    <row r="2635" spans="1:39" x14ac:dyDescent="0.25">
      <c r="A2635" s="37" t="s">
        <v>62</v>
      </c>
      <c r="B2635" s="66" t="s">
        <v>1654</v>
      </c>
      <c r="C2635" s="4">
        <v>1053</v>
      </c>
      <c r="D2635" s="41" t="s">
        <v>527</v>
      </c>
      <c r="E2635" s="41">
        <v>10530016</v>
      </c>
      <c r="F2635" s="85" t="s">
        <v>539</v>
      </c>
      <c r="G2635" s="39" t="s">
        <v>1610</v>
      </c>
      <c r="H2635" s="52" t="s">
        <v>98</v>
      </c>
      <c r="I2635" s="52">
        <v>866.95</v>
      </c>
      <c r="J2635" s="49">
        <v>34486.799999999996</v>
      </c>
      <c r="K2635" s="58">
        <v>0</v>
      </c>
      <c r="L2635" s="58">
        <v>0</v>
      </c>
      <c r="M2635" s="58">
        <v>0</v>
      </c>
      <c r="N2635" s="58">
        <v>0</v>
      </c>
      <c r="O2635" s="58">
        <v>0</v>
      </c>
      <c r="P2635" s="53">
        <v>0</v>
      </c>
      <c r="Q2635" s="65">
        <v>34486.799999999996</v>
      </c>
      <c r="R2635" s="65">
        <v>0</v>
      </c>
      <c r="S2635" s="65">
        <v>0</v>
      </c>
      <c r="T2635" s="65">
        <v>0</v>
      </c>
      <c r="U2635" s="58">
        <v>0</v>
      </c>
      <c r="V2635" s="65">
        <v>0</v>
      </c>
      <c r="W2635" s="65">
        <v>0</v>
      </c>
      <c r="X2635" s="65">
        <v>0</v>
      </c>
      <c r="Y2635" s="65">
        <v>0</v>
      </c>
      <c r="Z2635" s="51">
        <v>34486.799999999996</v>
      </c>
      <c r="AA2635" s="51">
        <v>0</v>
      </c>
      <c r="AB2635" s="102">
        <v>0</v>
      </c>
      <c r="AC2635" s="81">
        <f t="shared" si="126"/>
        <v>0</v>
      </c>
      <c r="AD2635" s="82">
        <f t="shared" si="127"/>
        <v>0</v>
      </c>
      <c r="AE2635" s="218">
        <v>0</v>
      </c>
      <c r="AF2635">
        <v>0</v>
      </c>
      <c r="AH2635" t="str">
        <f t="shared" si="128"/>
        <v>Kalyanpur</v>
      </c>
      <c r="AJ2635" s="72">
        <v>0</v>
      </c>
      <c r="AK2635" s="72"/>
      <c r="AL2635" s="72"/>
      <c r="AM2635" s="72"/>
    </row>
    <row r="2636" spans="1:39" x14ac:dyDescent="0.25">
      <c r="A2636" s="37" t="s">
        <v>62</v>
      </c>
      <c r="B2636" s="66" t="s">
        <v>1654</v>
      </c>
      <c r="C2636" s="4">
        <v>1053</v>
      </c>
      <c r="D2636" s="41" t="s">
        <v>527</v>
      </c>
      <c r="E2636" s="41">
        <v>10530017</v>
      </c>
      <c r="F2636" s="85" t="s">
        <v>540</v>
      </c>
      <c r="G2636" s="39" t="s">
        <v>1610</v>
      </c>
      <c r="H2636" s="52" t="s">
        <v>98</v>
      </c>
      <c r="I2636" s="52">
        <v>2421.0500000000002</v>
      </c>
      <c r="J2636" s="49">
        <v>108381.53</v>
      </c>
      <c r="K2636" s="58">
        <v>0</v>
      </c>
      <c r="L2636" s="58">
        <v>0</v>
      </c>
      <c r="M2636" s="58">
        <v>0</v>
      </c>
      <c r="N2636" s="58">
        <v>0</v>
      </c>
      <c r="O2636" s="58">
        <v>0</v>
      </c>
      <c r="P2636" s="53">
        <v>0</v>
      </c>
      <c r="Q2636" s="65">
        <v>108381.53</v>
      </c>
      <c r="R2636" s="65">
        <v>0</v>
      </c>
      <c r="S2636" s="65">
        <v>0</v>
      </c>
      <c r="T2636" s="65">
        <v>0</v>
      </c>
      <c r="U2636" s="58">
        <v>1550</v>
      </c>
      <c r="V2636" s="65">
        <v>0</v>
      </c>
      <c r="W2636" s="65">
        <v>0</v>
      </c>
      <c r="X2636" s="65">
        <v>0</v>
      </c>
      <c r="Y2636" s="65">
        <v>0</v>
      </c>
      <c r="Z2636" s="51">
        <v>106831.53</v>
      </c>
      <c r="AA2636" s="51">
        <v>0</v>
      </c>
      <c r="AB2636" s="102">
        <v>0</v>
      </c>
      <c r="AC2636" s="81">
        <f t="shared" si="126"/>
        <v>0</v>
      </c>
      <c r="AD2636" s="82">
        <f t="shared" si="127"/>
        <v>0</v>
      </c>
      <c r="AE2636" s="218">
        <v>0</v>
      </c>
      <c r="AF2636">
        <v>0</v>
      </c>
      <c r="AH2636" t="str">
        <f t="shared" si="128"/>
        <v>Kalyanpur</v>
      </c>
      <c r="AJ2636" s="72">
        <v>0</v>
      </c>
      <c r="AK2636" s="72"/>
      <c r="AL2636" s="72"/>
      <c r="AM2636" s="72"/>
    </row>
    <row r="2637" spans="1:39" x14ac:dyDescent="0.25">
      <c r="A2637" s="37" t="s">
        <v>62</v>
      </c>
      <c r="B2637" s="66" t="s">
        <v>1654</v>
      </c>
      <c r="C2637" s="4">
        <v>1053</v>
      </c>
      <c r="D2637" s="41" t="s">
        <v>527</v>
      </c>
      <c r="E2637" s="41">
        <v>10530018</v>
      </c>
      <c r="F2637" s="85" t="s">
        <v>541</v>
      </c>
      <c r="G2637" s="39" t="s">
        <v>1610</v>
      </c>
      <c r="H2637" s="52" t="s">
        <v>98</v>
      </c>
      <c r="I2637" s="52">
        <v>909.85</v>
      </c>
      <c r="J2637" s="49">
        <v>36529.94</v>
      </c>
      <c r="K2637" s="58">
        <v>0</v>
      </c>
      <c r="L2637" s="58">
        <v>0</v>
      </c>
      <c r="M2637" s="58">
        <v>0</v>
      </c>
      <c r="N2637" s="58">
        <v>0</v>
      </c>
      <c r="O2637" s="58">
        <v>0</v>
      </c>
      <c r="P2637" s="53">
        <v>0</v>
      </c>
      <c r="Q2637" s="65">
        <v>36529.94</v>
      </c>
      <c r="R2637" s="65">
        <v>0</v>
      </c>
      <c r="S2637" s="65">
        <v>0</v>
      </c>
      <c r="T2637" s="65">
        <v>0</v>
      </c>
      <c r="U2637" s="58">
        <v>0</v>
      </c>
      <c r="V2637" s="65">
        <v>0</v>
      </c>
      <c r="W2637" s="65">
        <v>0</v>
      </c>
      <c r="X2637" s="65">
        <v>0</v>
      </c>
      <c r="Y2637" s="65">
        <v>0</v>
      </c>
      <c r="Z2637" s="51">
        <v>36529.94</v>
      </c>
      <c r="AA2637" s="51">
        <v>0</v>
      </c>
      <c r="AB2637" s="102">
        <v>0</v>
      </c>
      <c r="AC2637" s="81">
        <f t="shared" si="126"/>
        <v>0</v>
      </c>
      <c r="AD2637" s="82">
        <f t="shared" si="127"/>
        <v>0</v>
      </c>
      <c r="AE2637" s="218">
        <v>0</v>
      </c>
      <c r="AF2637">
        <v>0</v>
      </c>
      <c r="AH2637" t="str">
        <f t="shared" si="128"/>
        <v>Kalyanpur</v>
      </c>
      <c r="AJ2637" s="72">
        <v>0</v>
      </c>
      <c r="AK2637" s="72"/>
      <c r="AL2637" s="72"/>
      <c r="AM2637" s="72"/>
    </row>
    <row r="2638" spans="1:39" x14ac:dyDescent="0.25">
      <c r="A2638" s="37" t="s">
        <v>62</v>
      </c>
      <c r="B2638" s="66" t="s">
        <v>1654</v>
      </c>
      <c r="C2638" s="4">
        <v>1053</v>
      </c>
      <c r="D2638" s="41" t="s">
        <v>527</v>
      </c>
      <c r="E2638" s="41">
        <v>10530019</v>
      </c>
      <c r="F2638" s="85" t="s">
        <v>542</v>
      </c>
      <c r="G2638" s="39" t="s">
        <v>1610</v>
      </c>
      <c r="H2638" s="52" t="s">
        <v>98</v>
      </c>
      <c r="I2638" s="52">
        <v>1619.4</v>
      </c>
      <c r="J2638" s="49">
        <v>67435.7</v>
      </c>
      <c r="K2638" s="58">
        <v>0</v>
      </c>
      <c r="L2638" s="58">
        <v>0</v>
      </c>
      <c r="M2638" s="58">
        <v>0</v>
      </c>
      <c r="N2638" s="58">
        <v>0</v>
      </c>
      <c r="O2638" s="58">
        <v>0</v>
      </c>
      <c r="P2638" s="53">
        <v>0</v>
      </c>
      <c r="Q2638" s="65">
        <v>67435.7</v>
      </c>
      <c r="R2638" s="65">
        <v>0</v>
      </c>
      <c r="S2638" s="65">
        <v>0</v>
      </c>
      <c r="T2638" s="65">
        <v>0</v>
      </c>
      <c r="U2638" s="58">
        <v>0</v>
      </c>
      <c r="V2638" s="65">
        <v>0</v>
      </c>
      <c r="W2638" s="65">
        <v>0</v>
      </c>
      <c r="X2638" s="65">
        <v>0</v>
      </c>
      <c r="Y2638" s="65">
        <v>0</v>
      </c>
      <c r="Z2638" s="51">
        <v>67435.7</v>
      </c>
      <c r="AA2638" s="51">
        <v>0</v>
      </c>
      <c r="AB2638" s="102">
        <v>0</v>
      </c>
      <c r="AC2638" s="81">
        <f t="shared" si="126"/>
        <v>0</v>
      </c>
      <c r="AD2638" s="82">
        <f t="shared" si="127"/>
        <v>0</v>
      </c>
      <c r="AE2638" s="218">
        <v>0</v>
      </c>
      <c r="AF2638">
        <v>0</v>
      </c>
      <c r="AH2638" t="str">
        <f t="shared" si="128"/>
        <v>Kalyanpur</v>
      </c>
      <c r="AJ2638" s="72">
        <v>0</v>
      </c>
      <c r="AK2638" s="72"/>
      <c r="AL2638" s="72"/>
      <c r="AM2638" s="72"/>
    </row>
    <row r="2639" spans="1:39" x14ac:dyDescent="0.25">
      <c r="A2639" s="37" t="s">
        <v>62</v>
      </c>
      <c r="B2639" s="66" t="s">
        <v>1654</v>
      </c>
      <c r="C2639" s="4">
        <v>1053</v>
      </c>
      <c r="D2639" s="41" t="s">
        <v>527</v>
      </c>
      <c r="E2639" s="41">
        <v>10530025</v>
      </c>
      <c r="F2639" s="85" t="s">
        <v>544</v>
      </c>
      <c r="G2639" s="39" t="s">
        <v>1610</v>
      </c>
      <c r="H2639" s="52" t="s">
        <v>98</v>
      </c>
      <c r="I2639" s="52">
        <v>357.65</v>
      </c>
      <c r="J2639" s="49">
        <v>15454.11</v>
      </c>
      <c r="K2639" s="58">
        <v>0</v>
      </c>
      <c r="L2639" s="58">
        <v>0</v>
      </c>
      <c r="M2639" s="58">
        <v>0</v>
      </c>
      <c r="N2639" s="58">
        <v>0</v>
      </c>
      <c r="O2639" s="58">
        <v>0</v>
      </c>
      <c r="P2639" s="53">
        <v>0</v>
      </c>
      <c r="Q2639" s="65">
        <v>15454.11</v>
      </c>
      <c r="R2639" s="65">
        <v>0</v>
      </c>
      <c r="S2639" s="65">
        <v>0</v>
      </c>
      <c r="T2639" s="65">
        <v>0</v>
      </c>
      <c r="U2639" s="58">
        <v>0</v>
      </c>
      <c r="V2639" s="65">
        <v>0</v>
      </c>
      <c r="W2639" s="65">
        <v>0</v>
      </c>
      <c r="X2639" s="65">
        <v>0</v>
      </c>
      <c r="Y2639" s="65">
        <v>0</v>
      </c>
      <c r="Z2639" s="51">
        <v>15454.11</v>
      </c>
      <c r="AA2639" s="51">
        <v>0</v>
      </c>
      <c r="AB2639" s="102">
        <v>0</v>
      </c>
      <c r="AC2639" s="81">
        <f t="shared" si="126"/>
        <v>295.85989422619883</v>
      </c>
      <c r="AD2639" s="82">
        <f t="shared" si="127"/>
        <v>51.092857142857142</v>
      </c>
      <c r="AE2639" s="218">
        <v>0</v>
      </c>
      <c r="AF2639">
        <v>0</v>
      </c>
      <c r="AH2639" t="str">
        <f t="shared" si="128"/>
        <v>Kalyanpur</v>
      </c>
      <c r="AJ2639" s="72">
        <v>0</v>
      </c>
      <c r="AK2639" s="72"/>
      <c r="AL2639" s="72"/>
      <c r="AM2639" s="72"/>
    </row>
    <row r="2640" spans="1:39" x14ac:dyDescent="0.25">
      <c r="A2640" s="37" t="s">
        <v>62</v>
      </c>
      <c r="B2640" s="66" t="s">
        <v>1654</v>
      </c>
      <c r="C2640" s="4">
        <v>1053</v>
      </c>
      <c r="D2640" s="41" t="s">
        <v>527</v>
      </c>
      <c r="E2640" s="41">
        <v>10530029</v>
      </c>
      <c r="F2640" s="85" t="s">
        <v>550</v>
      </c>
      <c r="G2640" s="39" t="s">
        <v>1610</v>
      </c>
      <c r="H2640" s="52" t="s">
        <v>98</v>
      </c>
      <c r="I2640" s="52">
        <v>1143.2999999999997</v>
      </c>
      <c r="J2640" s="49">
        <v>47832.280000000006</v>
      </c>
      <c r="K2640" s="58">
        <v>0</v>
      </c>
      <c r="L2640" s="58">
        <v>0</v>
      </c>
      <c r="M2640" s="58">
        <v>0</v>
      </c>
      <c r="N2640" s="58">
        <v>0</v>
      </c>
      <c r="O2640" s="58">
        <v>0</v>
      </c>
      <c r="P2640" s="53">
        <v>0</v>
      </c>
      <c r="Q2640" s="65">
        <v>47832.280000000006</v>
      </c>
      <c r="R2640" s="65">
        <v>0</v>
      </c>
      <c r="S2640" s="65">
        <v>0</v>
      </c>
      <c r="T2640" s="65">
        <v>0</v>
      </c>
      <c r="U2640" s="58">
        <v>0</v>
      </c>
      <c r="V2640" s="65">
        <v>0</v>
      </c>
      <c r="W2640" s="65">
        <v>0</v>
      </c>
      <c r="X2640" s="65">
        <v>0</v>
      </c>
      <c r="Y2640" s="65">
        <v>0</v>
      </c>
      <c r="Z2640" s="51">
        <v>47832.280000000006</v>
      </c>
      <c r="AA2640" s="51">
        <v>0</v>
      </c>
      <c r="AB2640" s="102">
        <v>0</v>
      </c>
      <c r="AC2640" s="81">
        <f t="shared" si="126"/>
        <v>0</v>
      </c>
      <c r="AD2640" s="82">
        <f t="shared" si="127"/>
        <v>0</v>
      </c>
      <c r="AE2640" s="218">
        <v>0</v>
      </c>
      <c r="AF2640">
        <v>0</v>
      </c>
      <c r="AH2640" t="str">
        <f t="shared" si="128"/>
        <v>Kalyanpur</v>
      </c>
      <c r="AJ2640" s="72">
        <v>0</v>
      </c>
      <c r="AK2640" s="72"/>
      <c r="AL2640" s="72"/>
      <c r="AM2640" s="72"/>
    </row>
    <row r="2641" spans="1:39" x14ac:dyDescent="0.25">
      <c r="A2641" s="37" t="s">
        <v>62</v>
      </c>
      <c r="B2641" s="66" t="s">
        <v>1654</v>
      </c>
      <c r="C2641" s="4">
        <v>1053</v>
      </c>
      <c r="D2641" s="41" t="s">
        <v>527</v>
      </c>
      <c r="E2641" s="41">
        <v>10530030</v>
      </c>
      <c r="F2641" s="85" t="s">
        <v>551</v>
      </c>
      <c r="G2641" s="39" t="s">
        <v>1610</v>
      </c>
      <c r="H2641" s="52" t="s">
        <v>98</v>
      </c>
      <c r="I2641" s="52">
        <v>298.35000000000002</v>
      </c>
      <c r="J2641" s="49">
        <v>11951.81</v>
      </c>
      <c r="K2641" s="58">
        <v>0</v>
      </c>
      <c r="L2641" s="58">
        <v>0</v>
      </c>
      <c r="M2641" s="58">
        <v>0</v>
      </c>
      <c r="N2641" s="58">
        <v>0</v>
      </c>
      <c r="O2641" s="58">
        <v>0</v>
      </c>
      <c r="P2641" s="53">
        <v>0</v>
      </c>
      <c r="Q2641" s="65">
        <v>11951.81</v>
      </c>
      <c r="R2641" s="65">
        <v>0</v>
      </c>
      <c r="S2641" s="65">
        <v>0</v>
      </c>
      <c r="T2641" s="65">
        <v>0</v>
      </c>
      <c r="U2641" s="58">
        <v>0</v>
      </c>
      <c r="V2641" s="65">
        <v>0</v>
      </c>
      <c r="W2641" s="65">
        <v>0</v>
      </c>
      <c r="X2641" s="65">
        <v>0</v>
      </c>
      <c r="Y2641" s="65">
        <v>0</v>
      </c>
      <c r="Z2641" s="51">
        <v>11951.81</v>
      </c>
      <c r="AA2641" s="51">
        <v>0</v>
      </c>
      <c r="AB2641" s="102">
        <v>0</v>
      </c>
      <c r="AC2641" s="81">
        <f t="shared" si="126"/>
        <v>321.79952984749451</v>
      </c>
      <c r="AD2641" s="82">
        <f t="shared" si="127"/>
        <v>42.621428571428574</v>
      </c>
      <c r="AE2641" s="218">
        <v>0</v>
      </c>
      <c r="AF2641">
        <v>0</v>
      </c>
      <c r="AH2641" t="str">
        <f t="shared" si="128"/>
        <v>Kalyanpur</v>
      </c>
      <c r="AJ2641" s="72">
        <v>0</v>
      </c>
      <c r="AK2641" s="72"/>
      <c r="AL2641" s="72"/>
      <c r="AM2641" s="72"/>
    </row>
    <row r="2642" spans="1:39" x14ac:dyDescent="0.25">
      <c r="A2642" s="37" t="s">
        <v>62</v>
      </c>
      <c r="B2642" s="66" t="s">
        <v>1654</v>
      </c>
      <c r="C2642" s="4">
        <v>1053</v>
      </c>
      <c r="D2642" s="41" t="s">
        <v>527</v>
      </c>
      <c r="E2642" s="41">
        <v>10530031</v>
      </c>
      <c r="F2642" s="85" t="s">
        <v>425</v>
      </c>
      <c r="G2642" s="39" t="s">
        <v>1610</v>
      </c>
      <c r="H2642" s="52" t="s">
        <v>98</v>
      </c>
      <c r="I2642" s="52">
        <v>3378.8499999999995</v>
      </c>
      <c r="J2642" s="49">
        <v>140845.4</v>
      </c>
      <c r="K2642" s="58">
        <v>0</v>
      </c>
      <c r="L2642" s="58">
        <v>0</v>
      </c>
      <c r="M2642" s="58">
        <v>0</v>
      </c>
      <c r="N2642" s="58">
        <v>0</v>
      </c>
      <c r="O2642" s="58">
        <v>0</v>
      </c>
      <c r="P2642" s="53">
        <v>0</v>
      </c>
      <c r="Q2642" s="65">
        <v>140845.4</v>
      </c>
      <c r="R2642" s="65">
        <v>0</v>
      </c>
      <c r="S2642" s="65">
        <v>0</v>
      </c>
      <c r="T2642" s="65">
        <v>0</v>
      </c>
      <c r="U2642" s="58">
        <v>1550</v>
      </c>
      <c r="V2642" s="65">
        <v>0</v>
      </c>
      <c r="W2642" s="65">
        <v>0</v>
      </c>
      <c r="X2642" s="65">
        <v>0</v>
      </c>
      <c r="Y2642" s="65">
        <v>0</v>
      </c>
      <c r="Z2642" s="51">
        <v>139295.4</v>
      </c>
      <c r="AA2642" s="51">
        <v>0</v>
      </c>
      <c r="AB2642" s="102">
        <v>0</v>
      </c>
      <c r="AC2642" s="81">
        <f t="shared" si="126"/>
        <v>0</v>
      </c>
      <c r="AD2642" s="82">
        <f t="shared" si="127"/>
        <v>0</v>
      </c>
      <c r="AE2642" s="218">
        <v>0</v>
      </c>
      <c r="AF2642">
        <v>0</v>
      </c>
      <c r="AH2642" t="str">
        <f t="shared" si="128"/>
        <v>Kalyanpur</v>
      </c>
      <c r="AJ2642" s="72">
        <v>0</v>
      </c>
      <c r="AK2642" s="72"/>
      <c r="AL2642" s="72"/>
      <c r="AM2642" s="72"/>
    </row>
    <row r="2643" spans="1:39" x14ac:dyDescent="0.25">
      <c r="A2643" s="37" t="s">
        <v>62</v>
      </c>
      <c r="B2643" s="66" t="s">
        <v>1654</v>
      </c>
      <c r="C2643" s="4">
        <v>1053</v>
      </c>
      <c r="D2643" s="41" t="s">
        <v>527</v>
      </c>
      <c r="E2643" s="41">
        <v>10530032</v>
      </c>
      <c r="F2643" s="85" t="s">
        <v>565</v>
      </c>
      <c r="G2643" s="39" t="s">
        <v>92</v>
      </c>
      <c r="H2643" s="52" t="s">
        <v>93</v>
      </c>
      <c r="I2643" s="52">
        <v>571.40000000000009</v>
      </c>
      <c r="J2643" s="49">
        <v>28311.360000000001</v>
      </c>
      <c r="K2643" s="58">
        <v>574.56999999999994</v>
      </c>
      <c r="L2643" s="58">
        <v>27812.560000000005</v>
      </c>
      <c r="M2643" s="58">
        <v>5.24</v>
      </c>
      <c r="N2643" s="58">
        <v>239.60999999999999</v>
      </c>
      <c r="O2643" s="58">
        <v>579.80999999999995</v>
      </c>
      <c r="P2643" s="53">
        <v>28052.170000000006</v>
      </c>
      <c r="Q2643" s="65">
        <v>28052.170000000006</v>
      </c>
      <c r="R2643" s="65">
        <v>0</v>
      </c>
      <c r="S2643" s="65">
        <v>239.60999999999999</v>
      </c>
      <c r="T2643" s="65">
        <v>0</v>
      </c>
      <c r="U2643" s="58">
        <v>4952.5</v>
      </c>
      <c r="V2643" s="65">
        <v>0</v>
      </c>
      <c r="W2643" s="65">
        <v>0</v>
      </c>
      <c r="X2643" s="65">
        <v>22860</v>
      </c>
      <c r="Y2643" s="65">
        <v>0</v>
      </c>
      <c r="Z2643" s="51">
        <v>0</v>
      </c>
      <c r="AA2643" s="51">
        <v>259</v>
      </c>
      <c r="AB2643" s="102">
        <v>0</v>
      </c>
      <c r="AC2643" s="81">
        <f t="shared" si="126"/>
        <v>127.43580315015734</v>
      </c>
      <c r="AD2643" s="82">
        <f t="shared" si="127"/>
        <v>81.628571428571448</v>
      </c>
      <c r="AE2643" s="218">
        <v>9.1549823109873581E-3</v>
      </c>
      <c r="AF2643">
        <v>23</v>
      </c>
      <c r="AH2643" t="str">
        <f t="shared" si="128"/>
        <v>Kalyanpur</v>
      </c>
      <c r="AJ2643" s="72">
        <v>0</v>
      </c>
      <c r="AK2643" s="72"/>
      <c r="AL2643" s="72"/>
      <c r="AM2643" s="72"/>
    </row>
    <row r="2644" spans="1:39" x14ac:dyDescent="0.25">
      <c r="A2644" s="37" t="s">
        <v>62</v>
      </c>
      <c r="B2644" s="66" t="s">
        <v>1654</v>
      </c>
      <c r="C2644" s="4">
        <v>1053</v>
      </c>
      <c r="D2644" s="41" t="s">
        <v>527</v>
      </c>
      <c r="E2644" s="41">
        <v>10530033</v>
      </c>
      <c r="F2644" s="85" t="s">
        <v>585</v>
      </c>
      <c r="G2644" s="39" t="s">
        <v>92</v>
      </c>
      <c r="H2644" s="52" t="s">
        <v>93</v>
      </c>
      <c r="I2644" s="52">
        <v>776.45</v>
      </c>
      <c r="J2644" s="49">
        <v>35461.939999999995</v>
      </c>
      <c r="K2644" s="58">
        <v>766.63</v>
      </c>
      <c r="L2644" s="58">
        <v>34726.479999999996</v>
      </c>
      <c r="M2644" s="58">
        <v>14.11</v>
      </c>
      <c r="N2644" s="58">
        <v>616.54999999999995</v>
      </c>
      <c r="O2644" s="58">
        <v>780.74</v>
      </c>
      <c r="P2644" s="53">
        <v>35343.03</v>
      </c>
      <c r="Q2644" s="65">
        <v>35343.03</v>
      </c>
      <c r="R2644" s="65">
        <v>0</v>
      </c>
      <c r="S2644" s="65">
        <v>616.54999999999995</v>
      </c>
      <c r="T2644" s="65">
        <v>0</v>
      </c>
      <c r="U2644" s="58">
        <v>3135</v>
      </c>
      <c r="V2644" s="65">
        <v>0</v>
      </c>
      <c r="W2644" s="65">
        <v>0</v>
      </c>
      <c r="X2644" s="65">
        <v>31590</v>
      </c>
      <c r="Y2644" s="65">
        <v>0</v>
      </c>
      <c r="Z2644" s="51">
        <v>0</v>
      </c>
      <c r="AA2644" s="51">
        <v>120</v>
      </c>
      <c r="AB2644" s="102">
        <v>0</v>
      </c>
      <c r="AC2644" s="81">
        <f t="shared" si="126"/>
        <v>0</v>
      </c>
      <c r="AD2644" s="82">
        <f t="shared" si="127"/>
        <v>0</v>
      </c>
      <c r="AE2644" s="218">
        <v>3.3531724434702737E-3</v>
      </c>
      <c r="AF2644">
        <v>23</v>
      </c>
      <c r="AH2644" t="str">
        <f t="shared" si="128"/>
        <v>Kalyanpur</v>
      </c>
      <c r="AJ2644" s="72">
        <v>0</v>
      </c>
      <c r="AK2644" s="72"/>
      <c r="AL2644" s="72"/>
      <c r="AM2644" s="72"/>
    </row>
    <row r="2645" spans="1:39" x14ac:dyDescent="0.25">
      <c r="A2645" s="37" t="s">
        <v>62</v>
      </c>
      <c r="B2645" s="66" t="s">
        <v>1654</v>
      </c>
      <c r="C2645" s="4">
        <v>1053</v>
      </c>
      <c r="D2645" s="41" t="s">
        <v>527</v>
      </c>
      <c r="E2645" s="41">
        <v>10530034</v>
      </c>
      <c r="F2645" s="85" t="s">
        <v>586</v>
      </c>
      <c r="G2645" s="39" t="s">
        <v>92</v>
      </c>
      <c r="H2645" s="52" t="s">
        <v>93</v>
      </c>
      <c r="I2645" s="52">
        <v>1875.8999999999999</v>
      </c>
      <c r="J2645" s="49">
        <v>95860.010000000009</v>
      </c>
      <c r="K2645" s="58">
        <v>1866.6299999999999</v>
      </c>
      <c r="L2645" s="58">
        <v>95856.959999999992</v>
      </c>
      <c r="M2645" s="58">
        <v>0</v>
      </c>
      <c r="N2645" s="58">
        <v>0</v>
      </c>
      <c r="O2645" s="58">
        <v>1866.6299999999999</v>
      </c>
      <c r="P2645" s="53">
        <v>95856.959999999992</v>
      </c>
      <c r="Q2645" s="65">
        <v>95856.959999999992</v>
      </c>
      <c r="R2645" s="65">
        <v>0</v>
      </c>
      <c r="S2645" s="65">
        <v>0</v>
      </c>
      <c r="T2645" s="65">
        <v>0</v>
      </c>
      <c r="U2645" s="58">
        <v>5729</v>
      </c>
      <c r="V2645" s="65">
        <v>0</v>
      </c>
      <c r="W2645" s="65">
        <v>0</v>
      </c>
      <c r="X2645" s="65">
        <v>90131</v>
      </c>
      <c r="Y2645" s="65">
        <v>0</v>
      </c>
      <c r="Z2645" s="51">
        <v>0</v>
      </c>
      <c r="AA2645" s="51">
        <v>0</v>
      </c>
      <c r="AB2645" s="102">
        <v>0</v>
      </c>
      <c r="AC2645" s="81">
        <f t="shared" si="126"/>
        <v>0</v>
      </c>
      <c r="AD2645" s="82">
        <f t="shared" si="127"/>
        <v>0</v>
      </c>
      <c r="AE2645" s="218">
        <v>3.1817230146517428E-5</v>
      </c>
      <c r="AF2645">
        <v>48</v>
      </c>
      <c r="AH2645" t="str">
        <f t="shared" si="128"/>
        <v>Kalyanpur</v>
      </c>
      <c r="AJ2645" s="72">
        <v>0</v>
      </c>
      <c r="AK2645" s="72"/>
      <c r="AL2645" s="72"/>
      <c r="AM2645" s="72"/>
    </row>
    <row r="2646" spans="1:39" x14ac:dyDescent="0.25">
      <c r="A2646" s="37" t="s">
        <v>62</v>
      </c>
      <c r="B2646" s="66" t="s">
        <v>1654</v>
      </c>
      <c r="C2646" s="4">
        <v>1053</v>
      </c>
      <c r="D2646" s="41" t="s">
        <v>527</v>
      </c>
      <c r="E2646" s="41">
        <v>10530035</v>
      </c>
      <c r="F2646" s="85" t="s">
        <v>587</v>
      </c>
      <c r="G2646" s="39" t="s">
        <v>92</v>
      </c>
      <c r="H2646" s="52" t="s">
        <v>93</v>
      </c>
      <c r="I2646" s="52">
        <v>783.65000000000009</v>
      </c>
      <c r="J2646" s="49">
        <v>38075.399999999994</v>
      </c>
      <c r="K2646" s="58">
        <v>786.96999999999991</v>
      </c>
      <c r="L2646" s="58">
        <v>36803.760000000002</v>
      </c>
      <c r="M2646" s="58">
        <v>27.69</v>
      </c>
      <c r="N2646" s="58">
        <v>1264.2599999999998</v>
      </c>
      <c r="O2646" s="58">
        <v>814.66</v>
      </c>
      <c r="P2646" s="53">
        <v>38068.020000000004</v>
      </c>
      <c r="Q2646" s="65">
        <v>38068.020000000004</v>
      </c>
      <c r="R2646" s="65">
        <v>0</v>
      </c>
      <c r="S2646" s="65">
        <v>1264.2599999999998</v>
      </c>
      <c r="T2646" s="65">
        <v>0</v>
      </c>
      <c r="U2646" s="58">
        <v>0</v>
      </c>
      <c r="V2646" s="65">
        <v>0</v>
      </c>
      <c r="W2646" s="65">
        <v>0</v>
      </c>
      <c r="X2646" s="65">
        <v>36802</v>
      </c>
      <c r="Y2646" s="65">
        <v>0</v>
      </c>
      <c r="Z2646" s="51">
        <v>0</v>
      </c>
      <c r="AA2646" s="51">
        <v>9</v>
      </c>
      <c r="AB2646" s="102">
        <v>0</v>
      </c>
      <c r="AC2646" s="81">
        <f t="shared" si="126"/>
        <v>0</v>
      </c>
      <c r="AD2646" s="82">
        <f t="shared" si="127"/>
        <v>0</v>
      </c>
      <c r="AE2646" s="218">
        <v>1.9382593485531619E-4</v>
      </c>
      <c r="AF2646">
        <v>21</v>
      </c>
      <c r="AH2646" t="str">
        <f t="shared" si="128"/>
        <v>Kalyanpur</v>
      </c>
      <c r="AJ2646" s="72">
        <v>0</v>
      </c>
      <c r="AK2646" s="72"/>
      <c r="AL2646" s="72"/>
      <c r="AM2646" s="72"/>
    </row>
    <row r="2647" spans="1:39" x14ac:dyDescent="0.25">
      <c r="A2647" s="37" t="s">
        <v>62</v>
      </c>
      <c r="B2647" s="66" t="s">
        <v>1654</v>
      </c>
      <c r="C2647" s="4">
        <v>1053</v>
      </c>
      <c r="D2647" s="41" t="s">
        <v>527</v>
      </c>
      <c r="E2647" s="41">
        <v>10530038</v>
      </c>
      <c r="F2647" s="85" t="s">
        <v>588</v>
      </c>
      <c r="G2647" s="39" t="s">
        <v>1610</v>
      </c>
      <c r="H2647" s="52" t="s">
        <v>98</v>
      </c>
      <c r="I2647" s="52">
        <v>667.05</v>
      </c>
      <c r="J2647" s="49">
        <v>27078.370000000003</v>
      </c>
      <c r="K2647" s="58">
        <v>0</v>
      </c>
      <c r="L2647" s="58">
        <v>0</v>
      </c>
      <c r="M2647" s="58">
        <v>0</v>
      </c>
      <c r="N2647" s="58">
        <v>0</v>
      </c>
      <c r="O2647" s="58">
        <v>0</v>
      </c>
      <c r="P2647" s="53">
        <v>0</v>
      </c>
      <c r="Q2647" s="65">
        <v>27078.370000000003</v>
      </c>
      <c r="R2647" s="65">
        <v>0</v>
      </c>
      <c r="S2647" s="65">
        <v>0</v>
      </c>
      <c r="T2647" s="65">
        <v>0</v>
      </c>
      <c r="U2647" s="58">
        <v>1550</v>
      </c>
      <c r="V2647" s="65">
        <v>0</v>
      </c>
      <c r="W2647" s="65">
        <v>0</v>
      </c>
      <c r="X2647" s="65">
        <v>0</v>
      </c>
      <c r="Y2647" s="65">
        <v>0</v>
      </c>
      <c r="Z2647" s="51">
        <v>25528.370000000003</v>
      </c>
      <c r="AA2647" s="51">
        <v>0</v>
      </c>
      <c r="AB2647" s="102">
        <v>0</v>
      </c>
      <c r="AC2647" s="81">
        <f t="shared" si="126"/>
        <v>26.751586582715017</v>
      </c>
      <c r="AD2647" s="82">
        <f t="shared" si="127"/>
        <v>95.29285714285713</v>
      </c>
      <c r="AE2647" s="218">
        <v>0</v>
      </c>
      <c r="AF2647">
        <v>0</v>
      </c>
      <c r="AH2647" t="str">
        <f t="shared" si="128"/>
        <v>Kalyanpur</v>
      </c>
      <c r="AJ2647" s="72">
        <v>0</v>
      </c>
      <c r="AK2647" s="72"/>
      <c r="AL2647" s="72"/>
      <c r="AM2647" s="72"/>
    </row>
    <row r="2648" spans="1:39" x14ac:dyDescent="0.25">
      <c r="A2648" s="37" t="s">
        <v>62</v>
      </c>
      <c r="B2648" s="66" t="s">
        <v>1654</v>
      </c>
      <c r="C2648" s="4">
        <v>1053</v>
      </c>
      <c r="D2648" s="41" t="s">
        <v>527</v>
      </c>
      <c r="E2648" s="41">
        <v>10530040</v>
      </c>
      <c r="F2648" s="85" t="s">
        <v>589</v>
      </c>
      <c r="G2648" s="39" t="s">
        <v>92</v>
      </c>
      <c r="H2648" s="52" t="s">
        <v>93</v>
      </c>
      <c r="I2648" s="52">
        <v>561.1</v>
      </c>
      <c r="J2648" s="49">
        <v>27101.76999999999</v>
      </c>
      <c r="K2648" s="58">
        <v>564.32999999999993</v>
      </c>
      <c r="L2648" s="58">
        <v>25888.54</v>
      </c>
      <c r="M2648" s="58">
        <v>26.54</v>
      </c>
      <c r="N2648" s="58">
        <v>1174.6399999999999</v>
      </c>
      <c r="O2648" s="58">
        <v>590.86999999999989</v>
      </c>
      <c r="P2648" s="53">
        <v>27063.18</v>
      </c>
      <c r="Q2648" s="65">
        <v>27063.18</v>
      </c>
      <c r="R2648" s="65">
        <v>0</v>
      </c>
      <c r="S2648" s="65">
        <v>1174.6399999999999</v>
      </c>
      <c r="T2648" s="65">
        <v>0</v>
      </c>
      <c r="U2648" s="58">
        <v>1400</v>
      </c>
      <c r="V2648" s="65">
        <v>0</v>
      </c>
      <c r="W2648" s="65">
        <v>0</v>
      </c>
      <c r="X2648" s="65">
        <v>24489</v>
      </c>
      <c r="Y2648" s="65">
        <v>0</v>
      </c>
      <c r="Z2648" s="51">
        <v>0</v>
      </c>
      <c r="AA2648" s="51">
        <v>38</v>
      </c>
      <c r="AB2648" s="102">
        <v>0</v>
      </c>
      <c r="AC2648" s="81">
        <f t="shared" si="126"/>
        <v>134.18056863304216</v>
      </c>
      <c r="AD2648" s="82">
        <f t="shared" si="127"/>
        <v>80.157142857142858</v>
      </c>
      <c r="AE2648" s="218">
        <v>1.4238922402481184E-3</v>
      </c>
      <c r="AF2648">
        <v>22</v>
      </c>
      <c r="AH2648" t="str">
        <f t="shared" si="128"/>
        <v>Kalyanpur</v>
      </c>
      <c r="AJ2648" s="72">
        <v>0</v>
      </c>
      <c r="AK2648" s="72"/>
      <c r="AL2648" s="72"/>
      <c r="AM2648" s="72"/>
    </row>
    <row r="2649" spans="1:39" x14ac:dyDescent="0.25">
      <c r="A2649" s="37" t="s">
        <v>62</v>
      </c>
      <c r="B2649" s="66" t="s">
        <v>1654</v>
      </c>
      <c r="C2649" s="4">
        <v>1053</v>
      </c>
      <c r="D2649" s="41" t="s">
        <v>527</v>
      </c>
      <c r="E2649" s="41">
        <v>10530044</v>
      </c>
      <c r="F2649" s="85" t="s">
        <v>590</v>
      </c>
      <c r="G2649" s="39" t="s">
        <v>92</v>
      </c>
      <c r="H2649" s="52" t="s">
        <v>93</v>
      </c>
      <c r="I2649" s="52">
        <v>1377.0000000000002</v>
      </c>
      <c r="J2649" s="49">
        <v>65196.88</v>
      </c>
      <c r="K2649" s="58">
        <v>1391.58</v>
      </c>
      <c r="L2649" s="58">
        <v>64362.069999999992</v>
      </c>
      <c r="M2649" s="58">
        <v>17.350000000000001</v>
      </c>
      <c r="N2649" s="58">
        <v>801.9799999999999</v>
      </c>
      <c r="O2649" s="58">
        <v>1408.9299999999998</v>
      </c>
      <c r="P2649" s="53">
        <v>65164.049999999996</v>
      </c>
      <c r="Q2649" s="65">
        <v>65164.049999999996</v>
      </c>
      <c r="R2649" s="65">
        <v>0</v>
      </c>
      <c r="S2649" s="65">
        <v>801.9799999999999</v>
      </c>
      <c r="T2649" s="65">
        <v>0</v>
      </c>
      <c r="U2649" s="58">
        <v>0</v>
      </c>
      <c r="V2649" s="65">
        <v>0</v>
      </c>
      <c r="W2649" s="65">
        <v>0</v>
      </c>
      <c r="X2649" s="65">
        <v>64364</v>
      </c>
      <c r="Y2649" s="65">
        <v>0</v>
      </c>
      <c r="Z2649" s="51">
        <v>0</v>
      </c>
      <c r="AA2649" s="51">
        <v>31</v>
      </c>
      <c r="AB2649" s="102">
        <v>0</v>
      </c>
      <c r="AC2649" s="81">
        <f t="shared" si="126"/>
        <v>0</v>
      </c>
      <c r="AD2649" s="82">
        <f t="shared" si="127"/>
        <v>0</v>
      </c>
      <c r="AE2649" s="218">
        <v>5.0355170370118552E-4</v>
      </c>
      <c r="AF2649">
        <v>26</v>
      </c>
      <c r="AH2649" t="str">
        <f t="shared" si="128"/>
        <v>Kalyanpur</v>
      </c>
      <c r="AJ2649" s="72">
        <v>0</v>
      </c>
      <c r="AK2649" s="72"/>
      <c r="AL2649" s="72"/>
      <c r="AM2649" s="72"/>
    </row>
    <row r="2650" spans="1:39" x14ac:dyDescent="0.25">
      <c r="A2650" s="37" t="s">
        <v>62</v>
      </c>
      <c r="B2650" s="66" t="s">
        <v>1654</v>
      </c>
      <c r="C2650" s="4">
        <v>1053</v>
      </c>
      <c r="D2650" s="41" t="s">
        <v>527</v>
      </c>
      <c r="E2650" s="41">
        <v>10530046</v>
      </c>
      <c r="F2650" s="85" t="s">
        <v>621</v>
      </c>
      <c r="G2650" s="39" t="s">
        <v>92</v>
      </c>
      <c r="H2650" s="52" t="s">
        <v>93</v>
      </c>
      <c r="I2650" s="52">
        <v>324.5</v>
      </c>
      <c r="J2650" s="49">
        <v>16213.05</v>
      </c>
      <c r="K2650" s="58">
        <v>305.5</v>
      </c>
      <c r="L2650" s="58">
        <v>16210.329999999998</v>
      </c>
      <c r="M2650" s="58">
        <v>0</v>
      </c>
      <c r="N2650" s="58">
        <v>0</v>
      </c>
      <c r="O2650" s="58">
        <v>305.5</v>
      </c>
      <c r="P2650" s="53">
        <v>16210.329999999998</v>
      </c>
      <c r="Q2650" s="65">
        <v>16210.329999999998</v>
      </c>
      <c r="R2650" s="65">
        <v>0</v>
      </c>
      <c r="S2650" s="65">
        <v>0</v>
      </c>
      <c r="T2650" s="65">
        <v>0</v>
      </c>
      <c r="U2650" s="58">
        <v>0</v>
      </c>
      <c r="V2650" s="65">
        <v>0</v>
      </c>
      <c r="W2650" s="65">
        <v>0</v>
      </c>
      <c r="X2650" s="65">
        <v>16209</v>
      </c>
      <c r="Y2650" s="65">
        <v>0</v>
      </c>
      <c r="Z2650" s="51">
        <v>0</v>
      </c>
      <c r="AA2650" s="51">
        <v>4</v>
      </c>
      <c r="AB2650" s="102">
        <v>0</v>
      </c>
      <c r="AC2650" s="81">
        <f t="shared" si="126"/>
        <v>375.22343759630195</v>
      </c>
      <c r="AD2650" s="82">
        <f t="shared" si="127"/>
        <v>46.357142857142854</v>
      </c>
      <c r="AE2650" s="218">
        <v>1.6776608966241171E-4</v>
      </c>
      <c r="AF2650">
        <v>13</v>
      </c>
      <c r="AH2650" t="str">
        <f t="shared" si="128"/>
        <v>Kalyanpur</v>
      </c>
      <c r="AJ2650" s="72">
        <v>0</v>
      </c>
      <c r="AK2650" s="72"/>
      <c r="AL2650" s="72"/>
      <c r="AM2650" s="72"/>
    </row>
    <row r="2651" spans="1:39" x14ac:dyDescent="0.25">
      <c r="A2651" s="37" t="s">
        <v>62</v>
      </c>
      <c r="B2651" s="66" t="s">
        <v>1654</v>
      </c>
      <c r="C2651" s="4">
        <v>1053</v>
      </c>
      <c r="D2651" s="41" t="s">
        <v>527</v>
      </c>
      <c r="E2651" s="41">
        <v>10530047</v>
      </c>
      <c r="F2651" s="85" t="s">
        <v>591</v>
      </c>
      <c r="G2651" s="39" t="s">
        <v>92</v>
      </c>
      <c r="H2651" s="52" t="s">
        <v>93</v>
      </c>
      <c r="I2651" s="52">
        <v>326.90000000000003</v>
      </c>
      <c r="J2651" s="49">
        <v>11241.51</v>
      </c>
      <c r="K2651" s="58">
        <v>306.5</v>
      </c>
      <c r="L2651" s="58">
        <v>11023.12</v>
      </c>
      <c r="M2651" s="58">
        <v>5.8699999999999992</v>
      </c>
      <c r="N2651" s="58">
        <v>211.80999999999997</v>
      </c>
      <c r="O2651" s="58">
        <v>312.37</v>
      </c>
      <c r="P2651" s="53">
        <v>11234.93</v>
      </c>
      <c r="Q2651" s="65">
        <v>11234.93</v>
      </c>
      <c r="R2651" s="65">
        <v>0</v>
      </c>
      <c r="S2651" s="65">
        <v>211.80999999999997</v>
      </c>
      <c r="T2651" s="65">
        <v>0</v>
      </c>
      <c r="U2651" s="58">
        <v>3200</v>
      </c>
      <c r="V2651" s="65">
        <v>0</v>
      </c>
      <c r="W2651" s="65">
        <v>0</v>
      </c>
      <c r="X2651" s="65">
        <v>7824</v>
      </c>
      <c r="Y2651" s="65">
        <v>0</v>
      </c>
      <c r="Z2651" s="51">
        <v>0</v>
      </c>
      <c r="AA2651" s="51">
        <v>6</v>
      </c>
      <c r="AB2651" s="102">
        <v>0</v>
      </c>
      <c r="AC2651" s="81">
        <f t="shared" si="126"/>
        <v>256.60491777301922</v>
      </c>
      <c r="AD2651" s="82">
        <f t="shared" si="127"/>
        <v>46.7</v>
      </c>
      <c r="AE2651" s="218">
        <v>5.8533061839556491E-4</v>
      </c>
      <c r="AF2651">
        <v>5</v>
      </c>
      <c r="AH2651" t="str">
        <f t="shared" si="128"/>
        <v>Kalyanpur</v>
      </c>
      <c r="AJ2651" s="72">
        <v>0</v>
      </c>
      <c r="AK2651" s="72"/>
      <c r="AL2651" s="72"/>
      <c r="AM2651" s="72"/>
    </row>
    <row r="2652" spans="1:39" x14ac:dyDescent="0.25">
      <c r="A2652" s="37" t="s">
        <v>62</v>
      </c>
      <c r="B2652" s="66" t="s">
        <v>1654</v>
      </c>
      <c r="C2652" s="4">
        <v>1053</v>
      </c>
      <c r="D2652" s="41" t="s">
        <v>527</v>
      </c>
      <c r="E2652" s="41">
        <v>10530048</v>
      </c>
      <c r="F2652" s="85" t="s">
        <v>622</v>
      </c>
      <c r="G2652" s="39" t="s">
        <v>92</v>
      </c>
      <c r="H2652" s="52" t="s">
        <v>93</v>
      </c>
      <c r="I2652" s="52">
        <v>266.45000000000005</v>
      </c>
      <c r="J2652" s="49">
        <v>10733.439999999997</v>
      </c>
      <c r="K2652" s="58">
        <v>263.14</v>
      </c>
      <c r="L2652" s="58">
        <v>10534.460000000001</v>
      </c>
      <c r="M2652" s="58">
        <v>3.98</v>
      </c>
      <c r="N2652" s="58">
        <v>195.14999999999998</v>
      </c>
      <c r="O2652" s="58">
        <v>267.12</v>
      </c>
      <c r="P2652" s="53">
        <v>10729.61</v>
      </c>
      <c r="Q2652" s="65">
        <v>10729.61</v>
      </c>
      <c r="R2652" s="65">
        <v>0</v>
      </c>
      <c r="S2652" s="65">
        <v>195.14999999999998</v>
      </c>
      <c r="T2652" s="65">
        <v>0</v>
      </c>
      <c r="U2652" s="58">
        <v>0</v>
      </c>
      <c r="V2652" s="65">
        <v>0</v>
      </c>
      <c r="W2652" s="65">
        <v>0</v>
      </c>
      <c r="X2652" s="65">
        <v>10534</v>
      </c>
      <c r="Y2652" s="65">
        <v>0</v>
      </c>
      <c r="Z2652" s="51">
        <v>0</v>
      </c>
      <c r="AA2652" s="51">
        <v>4</v>
      </c>
      <c r="AB2652" s="102">
        <v>0</v>
      </c>
      <c r="AC2652" s="81">
        <f t="shared" si="126"/>
        <v>349.29502060424079</v>
      </c>
      <c r="AD2652" s="82">
        <f t="shared" si="127"/>
        <v>38.064285714285724</v>
      </c>
      <c r="AE2652" s="218">
        <v>3.5682875201205674E-4</v>
      </c>
      <c r="AF2652">
        <v>10</v>
      </c>
      <c r="AH2652" t="str">
        <f t="shared" si="128"/>
        <v>Kalyanpur</v>
      </c>
      <c r="AJ2652" s="72">
        <v>0</v>
      </c>
      <c r="AK2652" s="72"/>
      <c r="AL2652" s="72"/>
      <c r="AM2652" s="72"/>
    </row>
    <row r="2653" spans="1:39" x14ac:dyDescent="0.25">
      <c r="A2653" s="37" t="s">
        <v>62</v>
      </c>
      <c r="B2653" s="66" t="s">
        <v>1654</v>
      </c>
      <c r="C2653" s="4">
        <v>1053</v>
      </c>
      <c r="D2653" s="41" t="s">
        <v>527</v>
      </c>
      <c r="E2653" s="41">
        <v>10530049</v>
      </c>
      <c r="F2653" s="85" t="s">
        <v>592</v>
      </c>
      <c r="G2653" s="39" t="s">
        <v>1610</v>
      </c>
      <c r="H2653" s="52" t="s">
        <v>98</v>
      </c>
      <c r="I2653" s="52">
        <v>2153.3999999999996</v>
      </c>
      <c r="J2653" s="49">
        <v>86011.290000000008</v>
      </c>
      <c r="K2653" s="58">
        <v>0</v>
      </c>
      <c r="L2653" s="58">
        <v>0</v>
      </c>
      <c r="M2653" s="58">
        <v>0</v>
      </c>
      <c r="N2653" s="58">
        <v>0</v>
      </c>
      <c r="O2653" s="58">
        <v>0</v>
      </c>
      <c r="P2653" s="53">
        <v>0</v>
      </c>
      <c r="Q2653" s="65">
        <v>86011.290000000008</v>
      </c>
      <c r="R2653" s="65">
        <v>0</v>
      </c>
      <c r="S2653" s="65">
        <v>0</v>
      </c>
      <c r="T2653" s="65">
        <v>0</v>
      </c>
      <c r="U2653" s="58">
        <v>0</v>
      </c>
      <c r="V2653" s="65">
        <v>0</v>
      </c>
      <c r="W2653" s="65">
        <v>0</v>
      </c>
      <c r="X2653" s="65">
        <v>0</v>
      </c>
      <c r="Y2653" s="65">
        <v>0</v>
      </c>
      <c r="Z2653" s="51">
        <v>86011.290000000008</v>
      </c>
      <c r="AA2653" s="51">
        <v>0</v>
      </c>
      <c r="AB2653" s="102">
        <v>0</v>
      </c>
      <c r="AC2653" s="81">
        <f t="shared" si="126"/>
        <v>0</v>
      </c>
      <c r="AD2653" s="82">
        <f t="shared" si="127"/>
        <v>0</v>
      </c>
      <c r="AE2653" s="218">
        <v>0</v>
      </c>
      <c r="AF2653">
        <v>0</v>
      </c>
      <c r="AH2653" t="str">
        <f t="shared" si="128"/>
        <v>Kalyanpur</v>
      </c>
      <c r="AJ2653" s="72">
        <v>0</v>
      </c>
      <c r="AK2653" s="72"/>
      <c r="AL2653" s="72"/>
      <c r="AM2653" s="72"/>
    </row>
    <row r="2654" spans="1:39" x14ac:dyDescent="0.25">
      <c r="A2654" s="37" t="s">
        <v>62</v>
      </c>
      <c r="B2654" s="66" t="s">
        <v>1654</v>
      </c>
      <c r="C2654" s="4">
        <v>1053</v>
      </c>
      <c r="D2654" s="41" t="s">
        <v>527</v>
      </c>
      <c r="E2654" s="41">
        <v>10530050</v>
      </c>
      <c r="F2654" s="85" t="s">
        <v>543</v>
      </c>
      <c r="G2654" s="39" t="s">
        <v>1610</v>
      </c>
      <c r="H2654" s="52" t="s">
        <v>98</v>
      </c>
      <c r="I2654" s="52">
        <v>231.7</v>
      </c>
      <c r="J2654" s="49">
        <v>11630.18</v>
      </c>
      <c r="K2654" s="58">
        <v>0</v>
      </c>
      <c r="L2654" s="58">
        <v>0</v>
      </c>
      <c r="M2654" s="58">
        <v>0</v>
      </c>
      <c r="N2654" s="58">
        <v>0</v>
      </c>
      <c r="O2654" s="58">
        <v>0</v>
      </c>
      <c r="P2654" s="53">
        <v>0</v>
      </c>
      <c r="Q2654" s="65">
        <v>11630.18</v>
      </c>
      <c r="R2654" s="65">
        <v>0</v>
      </c>
      <c r="S2654" s="65">
        <v>0</v>
      </c>
      <c r="T2654" s="65">
        <v>0</v>
      </c>
      <c r="U2654" s="58">
        <v>0</v>
      </c>
      <c r="V2654" s="65">
        <v>0</v>
      </c>
      <c r="W2654" s="65">
        <v>0</v>
      </c>
      <c r="X2654" s="65">
        <v>0</v>
      </c>
      <c r="Y2654" s="65">
        <v>0</v>
      </c>
      <c r="Z2654" s="51">
        <v>11630.18</v>
      </c>
      <c r="AA2654" s="51">
        <v>0</v>
      </c>
      <c r="AB2654" s="102">
        <v>0</v>
      </c>
      <c r="AC2654" s="81">
        <f t="shared" si="126"/>
        <v>470.126309365559</v>
      </c>
      <c r="AD2654" s="82">
        <f t="shared" si="127"/>
        <v>33.1</v>
      </c>
      <c r="AE2654" s="218">
        <v>0</v>
      </c>
      <c r="AF2654">
        <v>0</v>
      </c>
      <c r="AH2654" t="str">
        <f t="shared" si="128"/>
        <v>Kalyanpur</v>
      </c>
      <c r="AJ2654" s="72">
        <v>0</v>
      </c>
      <c r="AK2654" s="72"/>
      <c r="AL2654" s="72"/>
      <c r="AM2654" s="72"/>
    </row>
    <row r="2655" spans="1:39" x14ac:dyDescent="0.25">
      <c r="A2655" s="37" t="s">
        <v>62</v>
      </c>
      <c r="B2655" s="66" t="s">
        <v>1654</v>
      </c>
      <c r="C2655" s="4">
        <v>1066</v>
      </c>
      <c r="D2655" s="41" t="s">
        <v>1501</v>
      </c>
      <c r="E2655" s="41">
        <v>10530054</v>
      </c>
      <c r="F2655" s="85" t="s">
        <v>1619</v>
      </c>
      <c r="G2655" s="39" t="s">
        <v>1610</v>
      </c>
      <c r="H2655" s="52" t="s">
        <v>98</v>
      </c>
      <c r="I2655" s="52">
        <v>3420.5</v>
      </c>
      <c r="J2655" s="49">
        <v>145668.75999999998</v>
      </c>
      <c r="K2655" s="58">
        <v>0</v>
      </c>
      <c r="L2655" s="58">
        <v>0</v>
      </c>
      <c r="M2655" s="58">
        <v>0</v>
      </c>
      <c r="N2655" s="58">
        <v>0</v>
      </c>
      <c r="O2655" s="58">
        <v>0</v>
      </c>
      <c r="P2655" s="53">
        <v>0</v>
      </c>
      <c r="Q2655" s="65">
        <v>145668.75999999998</v>
      </c>
      <c r="R2655" s="65">
        <v>0</v>
      </c>
      <c r="S2655" s="65">
        <v>0</v>
      </c>
      <c r="T2655" s="65">
        <v>0</v>
      </c>
      <c r="U2655" s="58">
        <v>0</v>
      </c>
      <c r="V2655" s="65">
        <v>0</v>
      </c>
      <c r="W2655" s="65">
        <v>0</v>
      </c>
      <c r="X2655" s="65">
        <v>0</v>
      </c>
      <c r="Y2655" s="65">
        <v>0</v>
      </c>
      <c r="Z2655" s="51">
        <v>145668.75999999998</v>
      </c>
      <c r="AA2655" s="51">
        <v>0</v>
      </c>
      <c r="AB2655" s="102">
        <v>0</v>
      </c>
      <c r="AC2655" s="81">
        <f t="shared" si="126"/>
        <v>0</v>
      </c>
      <c r="AD2655" s="82">
        <f t="shared" si="127"/>
        <v>0</v>
      </c>
      <c r="AE2655" s="218">
        <v>0</v>
      </c>
      <c r="AF2655">
        <v>0</v>
      </c>
      <c r="AH2655" t="str">
        <f t="shared" si="128"/>
        <v>Gaighat</v>
      </c>
      <c r="AJ2655" s="72">
        <v>0</v>
      </c>
      <c r="AK2655" s="72"/>
      <c r="AL2655" s="72"/>
      <c r="AM2655" s="72"/>
    </row>
    <row r="2656" spans="1:39" x14ac:dyDescent="0.25">
      <c r="A2656" s="37" t="s">
        <v>62</v>
      </c>
      <c r="B2656" s="66" t="s">
        <v>1654</v>
      </c>
      <c r="C2656" s="4">
        <v>1053</v>
      </c>
      <c r="D2656" s="41" t="s">
        <v>527</v>
      </c>
      <c r="E2656" s="41">
        <v>10530055</v>
      </c>
      <c r="F2656" s="85" t="s">
        <v>635</v>
      </c>
      <c r="G2656" s="39" t="s">
        <v>92</v>
      </c>
      <c r="H2656" s="52" t="s">
        <v>93</v>
      </c>
      <c r="I2656" s="52">
        <v>1765.2</v>
      </c>
      <c r="J2656" s="49">
        <v>73243.339999999982</v>
      </c>
      <c r="K2656" s="58">
        <v>1725.1000000000004</v>
      </c>
      <c r="L2656" s="58">
        <v>72044.28</v>
      </c>
      <c r="M2656" s="58">
        <v>28.240000000000002</v>
      </c>
      <c r="N2656" s="58">
        <v>1181.8399999999999</v>
      </c>
      <c r="O2656" s="58">
        <v>1753.3400000000004</v>
      </c>
      <c r="P2656" s="53">
        <v>73226.12</v>
      </c>
      <c r="Q2656" s="65">
        <v>73226.12</v>
      </c>
      <c r="R2656" s="65">
        <v>0</v>
      </c>
      <c r="S2656" s="65">
        <v>1181.8399999999999</v>
      </c>
      <c r="T2656" s="65">
        <v>0</v>
      </c>
      <c r="U2656" s="58">
        <v>1885</v>
      </c>
      <c r="V2656" s="65">
        <v>0</v>
      </c>
      <c r="W2656" s="65">
        <v>0</v>
      </c>
      <c r="X2656" s="65">
        <v>70160</v>
      </c>
      <c r="Y2656" s="65">
        <v>0</v>
      </c>
      <c r="Z2656" s="51">
        <v>0</v>
      </c>
      <c r="AA2656" s="51">
        <v>16</v>
      </c>
      <c r="AB2656" s="102">
        <v>0</v>
      </c>
      <c r="AC2656" s="81">
        <f t="shared" si="126"/>
        <v>0</v>
      </c>
      <c r="AD2656" s="82">
        <f t="shared" si="127"/>
        <v>0</v>
      </c>
      <c r="AE2656" s="218">
        <v>2.3510670048616867E-4</v>
      </c>
      <c r="AF2656">
        <v>50</v>
      </c>
      <c r="AH2656" t="str">
        <f t="shared" si="128"/>
        <v>Kalyanpur</v>
      </c>
      <c r="AJ2656" s="72">
        <v>0</v>
      </c>
      <c r="AK2656" s="72"/>
      <c r="AL2656" s="72"/>
      <c r="AM2656" s="72"/>
    </row>
    <row r="2657" spans="1:39" x14ac:dyDescent="0.25">
      <c r="A2657" s="37" t="s">
        <v>62</v>
      </c>
      <c r="B2657" s="66" t="s">
        <v>1654</v>
      </c>
      <c r="C2657" s="4">
        <v>1053</v>
      </c>
      <c r="D2657" s="41" t="s">
        <v>527</v>
      </c>
      <c r="E2657" s="41">
        <v>10530057</v>
      </c>
      <c r="F2657" s="85" t="s">
        <v>636</v>
      </c>
      <c r="G2657" s="39" t="s">
        <v>1610</v>
      </c>
      <c r="H2657" s="52" t="s">
        <v>98</v>
      </c>
      <c r="I2657" s="52">
        <v>52.9</v>
      </c>
      <c r="J2657" s="49">
        <v>2398.4</v>
      </c>
      <c r="K2657" s="58">
        <v>0</v>
      </c>
      <c r="L2657" s="58">
        <v>0</v>
      </c>
      <c r="M2657" s="58">
        <v>0</v>
      </c>
      <c r="N2657" s="58">
        <v>0</v>
      </c>
      <c r="O2657" s="58">
        <v>0</v>
      </c>
      <c r="P2657" s="53">
        <v>0</v>
      </c>
      <c r="Q2657" s="65">
        <v>2398.4</v>
      </c>
      <c r="R2657" s="65">
        <v>0</v>
      </c>
      <c r="S2657" s="65">
        <v>0</v>
      </c>
      <c r="T2657" s="65">
        <v>0</v>
      </c>
      <c r="U2657" s="58">
        <v>0</v>
      </c>
      <c r="V2657" s="65">
        <v>0</v>
      </c>
      <c r="W2657" s="65">
        <v>0</v>
      </c>
      <c r="X2657" s="65">
        <v>0</v>
      </c>
      <c r="Y2657" s="65">
        <v>0</v>
      </c>
      <c r="Z2657" s="51">
        <v>2398.4</v>
      </c>
      <c r="AA2657" s="51">
        <v>0</v>
      </c>
      <c r="AB2657" s="102">
        <v>0</v>
      </c>
      <c r="AC2657" s="81">
        <f t="shared" si="126"/>
        <v>586.76924007561445</v>
      </c>
      <c r="AD2657" s="82">
        <f t="shared" si="127"/>
        <v>7.5571428571428569</v>
      </c>
      <c r="AE2657" s="218">
        <v>0</v>
      </c>
      <c r="AF2657">
        <v>0</v>
      </c>
      <c r="AH2657" t="str">
        <f t="shared" si="128"/>
        <v>Kalyanpur</v>
      </c>
      <c r="AJ2657" s="72">
        <v>0</v>
      </c>
      <c r="AK2657" s="72"/>
      <c r="AL2657" s="72"/>
      <c r="AM2657" s="72"/>
    </row>
    <row r="2658" spans="1:39" x14ac:dyDescent="0.25">
      <c r="A2658" s="37" t="s">
        <v>62</v>
      </c>
      <c r="B2658" s="66" t="s">
        <v>1654</v>
      </c>
      <c r="C2658" s="4">
        <v>1053</v>
      </c>
      <c r="D2658" s="41" t="s">
        <v>527</v>
      </c>
      <c r="E2658" s="41">
        <v>10530058</v>
      </c>
      <c r="F2658" s="85" t="s">
        <v>654</v>
      </c>
      <c r="G2658" s="39" t="s">
        <v>92</v>
      </c>
      <c r="H2658" s="52" t="s">
        <v>93</v>
      </c>
      <c r="I2658" s="52">
        <v>143.4</v>
      </c>
      <c r="J2658" s="49">
        <v>5369.63</v>
      </c>
      <c r="K2658" s="58">
        <v>144.86999999999998</v>
      </c>
      <c r="L2658" s="58">
        <v>5296.5400000000009</v>
      </c>
      <c r="M2658" s="58">
        <v>0</v>
      </c>
      <c r="N2658" s="58">
        <v>0</v>
      </c>
      <c r="O2658" s="58">
        <v>144.86999999999998</v>
      </c>
      <c r="P2658" s="53">
        <v>5296.5400000000009</v>
      </c>
      <c r="Q2658" s="65">
        <v>5296.5400000000009</v>
      </c>
      <c r="R2658" s="65">
        <v>0</v>
      </c>
      <c r="S2658" s="65">
        <v>0</v>
      </c>
      <c r="T2658" s="65">
        <v>0</v>
      </c>
      <c r="U2658" s="58">
        <v>0</v>
      </c>
      <c r="V2658" s="65">
        <v>500</v>
      </c>
      <c r="W2658" s="65">
        <v>0</v>
      </c>
      <c r="X2658" s="65">
        <v>4797</v>
      </c>
      <c r="Y2658" s="65">
        <v>0</v>
      </c>
      <c r="Z2658" s="51">
        <v>0</v>
      </c>
      <c r="AA2658" s="51">
        <v>73</v>
      </c>
      <c r="AB2658" s="102">
        <v>0</v>
      </c>
      <c r="AC2658" s="81">
        <f t="shared" si="126"/>
        <v>416.83905969316589</v>
      </c>
      <c r="AD2658" s="82">
        <f t="shared" si="127"/>
        <v>20.485714285714288</v>
      </c>
      <c r="AE2658" s="218">
        <v>1.3611738611412561E-2</v>
      </c>
      <c r="AF2658">
        <v>6</v>
      </c>
      <c r="AH2658" t="str">
        <f t="shared" si="128"/>
        <v>Kalyanpur</v>
      </c>
      <c r="AJ2658" s="72">
        <v>500</v>
      </c>
      <c r="AK2658" s="72"/>
      <c r="AL2658" s="72"/>
      <c r="AM2658" s="72"/>
    </row>
    <row r="2659" spans="1:39" x14ac:dyDescent="0.25">
      <c r="A2659" s="37" t="s">
        <v>62</v>
      </c>
      <c r="B2659" s="66" t="s">
        <v>1654</v>
      </c>
      <c r="C2659" s="4">
        <v>1053</v>
      </c>
      <c r="D2659" s="41" t="s">
        <v>527</v>
      </c>
      <c r="E2659" s="41">
        <v>10530059</v>
      </c>
      <c r="F2659" s="85" t="s">
        <v>637</v>
      </c>
      <c r="G2659" s="39" t="s">
        <v>1610</v>
      </c>
      <c r="H2659" s="52" t="s">
        <v>98</v>
      </c>
      <c r="I2659" s="52">
        <v>1865.55</v>
      </c>
      <c r="J2659" s="49">
        <v>84113.09</v>
      </c>
      <c r="K2659" s="58">
        <v>0</v>
      </c>
      <c r="L2659" s="58">
        <v>0</v>
      </c>
      <c r="M2659" s="58">
        <v>0</v>
      </c>
      <c r="N2659" s="58">
        <v>0</v>
      </c>
      <c r="O2659" s="58">
        <v>0</v>
      </c>
      <c r="P2659" s="53">
        <v>0</v>
      </c>
      <c r="Q2659" s="65">
        <v>84113.09</v>
      </c>
      <c r="R2659" s="65">
        <v>0</v>
      </c>
      <c r="S2659" s="65">
        <v>0</v>
      </c>
      <c r="T2659" s="65">
        <v>0</v>
      </c>
      <c r="U2659" s="58">
        <v>0</v>
      </c>
      <c r="V2659" s="65">
        <v>0</v>
      </c>
      <c r="W2659" s="65">
        <v>0</v>
      </c>
      <c r="X2659" s="65">
        <v>0</v>
      </c>
      <c r="Y2659" s="65">
        <v>0</v>
      </c>
      <c r="Z2659" s="51">
        <v>84113.09</v>
      </c>
      <c r="AA2659" s="51">
        <v>0</v>
      </c>
      <c r="AB2659" s="102">
        <v>0</v>
      </c>
      <c r="AC2659" s="81">
        <f t="shared" si="126"/>
        <v>0</v>
      </c>
      <c r="AD2659" s="82">
        <f t="shared" si="127"/>
        <v>0</v>
      </c>
      <c r="AE2659" s="218">
        <v>0</v>
      </c>
      <c r="AF2659">
        <v>0</v>
      </c>
      <c r="AH2659" t="str">
        <f t="shared" si="128"/>
        <v>Kalyanpur</v>
      </c>
      <c r="AJ2659" s="72">
        <v>0</v>
      </c>
      <c r="AK2659" s="72"/>
      <c r="AL2659" s="72"/>
      <c r="AM2659" s="72"/>
    </row>
    <row r="2660" spans="1:39" x14ac:dyDescent="0.25">
      <c r="A2660" s="37" t="s">
        <v>62</v>
      </c>
      <c r="B2660" s="66" t="s">
        <v>1654</v>
      </c>
      <c r="C2660" s="4">
        <v>1053</v>
      </c>
      <c r="D2660" s="41" t="s">
        <v>527</v>
      </c>
      <c r="E2660" s="41">
        <v>10530060</v>
      </c>
      <c r="F2660" s="85" t="s">
        <v>655</v>
      </c>
      <c r="G2660" s="39" t="s">
        <v>1610</v>
      </c>
      <c r="H2660" s="52" t="s">
        <v>98</v>
      </c>
      <c r="I2660" s="52">
        <v>695.19999999999993</v>
      </c>
      <c r="J2660" s="49">
        <v>31874.370000000003</v>
      </c>
      <c r="K2660" s="58">
        <v>0</v>
      </c>
      <c r="L2660" s="58">
        <v>0</v>
      </c>
      <c r="M2660" s="58">
        <v>0</v>
      </c>
      <c r="N2660" s="58">
        <v>0</v>
      </c>
      <c r="O2660" s="58">
        <v>0</v>
      </c>
      <c r="P2660" s="53">
        <v>0</v>
      </c>
      <c r="Q2660" s="65">
        <v>31874.370000000003</v>
      </c>
      <c r="R2660" s="65">
        <v>0</v>
      </c>
      <c r="S2660" s="65">
        <v>0</v>
      </c>
      <c r="T2660" s="65">
        <v>0</v>
      </c>
      <c r="U2660" s="58">
        <v>0</v>
      </c>
      <c r="V2660" s="65">
        <v>0</v>
      </c>
      <c r="W2660" s="65">
        <v>0</v>
      </c>
      <c r="X2660" s="65">
        <v>0</v>
      </c>
      <c r="Y2660" s="65">
        <v>0</v>
      </c>
      <c r="Z2660" s="51">
        <v>31874.370000000003</v>
      </c>
      <c r="AA2660" s="51">
        <v>0</v>
      </c>
      <c r="AB2660" s="102">
        <v>0</v>
      </c>
      <c r="AC2660" s="81">
        <f t="shared" si="126"/>
        <v>4.4015240506329878</v>
      </c>
      <c r="AD2660" s="82">
        <f t="shared" si="127"/>
        <v>99.314285714285703</v>
      </c>
      <c r="AE2660" s="218">
        <v>0</v>
      </c>
      <c r="AF2660">
        <v>0</v>
      </c>
      <c r="AH2660" t="str">
        <f t="shared" si="128"/>
        <v>Kalyanpur</v>
      </c>
      <c r="AJ2660" s="72">
        <v>0</v>
      </c>
      <c r="AK2660" s="72"/>
      <c r="AL2660" s="72"/>
      <c r="AM2660" s="72"/>
    </row>
    <row r="2661" spans="1:39" x14ac:dyDescent="0.25">
      <c r="A2661" s="37" t="s">
        <v>62</v>
      </c>
      <c r="B2661" s="66" t="s">
        <v>1654</v>
      </c>
      <c r="C2661" s="4">
        <v>1053</v>
      </c>
      <c r="D2661" s="41" t="s">
        <v>527</v>
      </c>
      <c r="E2661" s="41">
        <v>10530062</v>
      </c>
      <c r="F2661" s="85" t="s">
        <v>661</v>
      </c>
      <c r="G2661" s="39" t="s">
        <v>92</v>
      </c>
      <c r="H2661" s="52" t="s">
        <v>93</v>
      </c>
      <c r="I2661" s="52">
        <v>1182.8499999999999</v>
      </c>
      <c r="J2661" s="49">
        <v>51321.79</v>
      </c>
      <c r="K2661" s="58">
        <v>1183.8699999999999</v>
      </c>
      <c r="L2661" s="58">
        <v>51011.65</v>
      </c>
      <c r="M2661" s="58">
        <v>6.0000000000000009</v>
      </c>
      <c r="N2661" s="58">
        <v>281.65000000000003</v>
      </c>
      <c r="O2661" s="58">
        <v>1189.8699999999999</v>
      </c>
      <c r="P2661" s="53">
        <v>51293.3</v>
      </c>
      <c r="Q2661" s="65">
        <v>51293.3</v>
      </c>
      <c r="R2661" s="65">
        <v>0</v>
      </c>
      <c r="S2661" s="65">
        <v>281.65000000000003</v>
      </c>
      <c r="T2661" s="65">
        <v>0</v>
      </c>
      <c r="U2661" s="58">
        <v>0</v>
      </c>
      <c r="V2661" s="65">
        <v>0</v>
      </c>
      <c r="W2661" s="65">
        <v>0</v>
      </c>
      <c r="X2661" s="65">
        <v>51011</v>
      </c>
      <c r="Y2661" s="65">
        <v>0</v>
      </c>
      <c r="Z2661" s="51">
        <v>0</v>
      </c>
      <c r="AA2661" s="51">
        <v>29</v>
      </c>
      <c r="AB2661" s="102">
        <v>0</v>
      </c>
      <c r="AC2661" s="81">
        <f t="shared" si="126"/>
        <v>0</v>
      </c>
      <c r="AD2661" s="82">
        <f t="shared" si="127"/>
        <v>0</v>
      </c>
      <c r="AE2661" s="218">
        <v>5.5512483099279979E-4</v>
      </c>
      <c r="AF2661">
        <v>9</v>
      </c>
      <c r="AH2661" t="str">
        <f t="shared" si="128"/>
        <v>Kalyanpur</v>
      </c>
      <c r="AJ2661" s="72">
        <v>0</v>
      </c>
      <c r="AK2661" s="72"/>
      <c r="AL2661" s="72"/>
      <c r="AM2661" s="72"/>
    </row>
    <row r="2662" spans="1:39" x14ac:dyDescent="0.25">
      <c r="A2662" s="37" t="s">
        <v>62</v>
      </c>
      <c r="B2662" s="66" t="s">
        <v>1654</v>
      </c>
      <c r="C2662" s="4">
        <v>1053</v>
      </c>
      <c r="D2662" s="41" t="s">
        <v>527</v>
      </c>
      <c r="E2662" s="41">
        <v>10530063</v>
      </c>
      <c r="F2662" s="85" t="s">
        <v>662</v>
      </c>
      <c r="G2662" s="39" t="s">
        <v>1610</v>
      </c>
      <c r="H2662" s="52" t="s">
        <v>98</v>
      </c>
      <c r="I2662" s="52">
        <v>129.94999999999999</v>
      </c>
      <c r="J2662" s="49">
        <v>6010.64</v>
      </c>
      <c r="K2662" s="58">
        <v>0</v>
      </c>
      <c r="L2662" s="58">
        <v>0</v>
      </c>
      <c r="M2662" s="58">
        <v>0</v>
      </c>
      <c r="N2662" s="58">
        <v>0</v>
      </c>
      <c r="O2662" s="58">
        <v>0</v>
      </c>
      <c r="P2662" s="53">
        <v>0</v>
      </c>
      <c r="Q2662" s="65">
        <v>6010.64</v>
      </c>
      <c r="R2662" s="65">
        <v>0</v>
      </c>
      <c r="S2662" s="65">
        <v>0</v>
      </c>
      <c r="T2662" s="65">
        <v>0</v>
      </c>
      <c r="U2662" s="58">
        <v>3100</v>
      </c>
      <c r="V2662" s="65">
        <v>0</v>
      </c>
      <c r="W2662" s="65">
        <v>0</v>
      </c>
      <c r="X2662" s="65">
        <v>0</v>
      </c>
      <c r="Y2662" s="65">
        <v>0</v>
      </c>
      <c r="Z2662" s="51">
        <v>2910.6400000000003</v>
      </c>
      <c r="AA2662" s="51">
        <v>0</v>
      </c>
      <c r="AB2662" s="102">
        <v>0</v>
      </c>
      <c r="AC2662" s="81">
        <f t="shared" si="126"/>
        <v>527.33594951904581</v>
      </c>
      <c r="AD2662" s="82">
        <f t="shared" si="127"/>
        <v>18.564285714285713</v>
      </c>
      <c r="AE2662" s="218">
        <v>0</v>
      </c>
      <c r="AF2662">
        <v>0</v>
      </c>
      <c r="AH2662" t="str">
        <f t="shared" si="128"/>
        <v>Kalyanpur</v>
      </c>
      <c r="AJ2662" s="72">
        <v>0</v>
      </c>
      <c r="AK2662" s="72"/>
      <c r="AL2662" s="72"/>
      <c r="AM2662" s="72"/>
    </row>
    <row r="2663" spans="1:39" x14ac:dyDescent="0.25">
      <c r="A2663" s="37" t="s">
        <v>62</v>
      </c>
      <c r="B2663" s="66" t="s">
        <v>1654</v>
      </c>
      <c r="C2663" s="4">
        <v>1053</v>
      </c>
      <c r="D2663" s="41" t="s">
        <v>527</v>
      </c>
      <c r="E2663" s="41">
        <v>10530064</v>
      </c>
      <c r="F2663" s="85" t="s">
        <v>809</v>
      </c>
      <c r="G2663" s="39" t="s">
        <v>92</v>
      </c>
      <c r="H2663" s="52" t="s">
        <v>93</v>
      </c>
      <c r="I2663" s="52">
        <v>1181.4500000000003</v>
      </c>
      <c r="J2663" s="49">
        <v>51450.100000000013</v>
      </c>
      <c r="K2663" s="58">
        <v>1179.7299999999998</v>
      </c>
      <c r="L2663" s="58">
        <v>49468.869999999981</v>
      </c>
      <c r="M2663" s="58">
        <v>35.250000000000007</v>
      </c>
      <c r="N2663" s="58">
        <v>1544.2599999999995</v>
      </c>
      <c r="O2663" s="58">
        <v>1214.9799999999998</v>
      </c>
      <c r="P2663" s="53">
        <v>51013.129999999983</v>
      </c>
      <c r="Q2663" s="65">
        <v>51013.129999999983</v>
      </c>
      <c r="R2663" s="65">
        <v>0</v>
      </c>
      <c r="S2663" s="65">
        <v>1544.2599999999995</v>
      </c>
      <c r="T2663" s="65">
        <v>0</v>
      </c>
      <c r="U2663" s="58">
        <v>0</v>
      </c>
      <c r="V2663" s="65">
        <v>0</v>
      </c>
      <c r="W2663" s="65">
        <v>0</v>
      </c>
      <c r="X2663" s="65">
        <v>49471</v>
      </c>
      <c r="Y2663" s="65">
        <v>0</v>
      </c>
      <c r="Z2663" s="51">
        <v>0</v>
      </c>
      <c r="AA2663" s="51">
        <v>435</v>
      </c>
      <c r="AB2663" s="102">
        <v>0</v>
      </c>
      <c r="AC2663" s="81">
        <f t="shared" si="126"/>
        <v>0</v>
      </c>
      <c r="AD2663" s="82">
        <f t="shared" si="127"/>
        <v>0</v>
      </c>
      <c r="AE2663" s="218">
        <v>8.4930835897312189E-3</v>
      </c>
      <c r="AF2663">
        <v>33</v>
      </c>
      <c r="AH2663" t="str">
        <f t="shared" si="128"/>
        <v>Kalyanpur</v>
      </c>
      <c r="AJ2663" s="72">
        <v>0</v>
      </c>
      <c r="AK2663" s="72"/>
      <c r="AL2663" s="72"/>
      <c r="AM2663" s="72"/>
    </row>
    <row r="2664" spans="1:39" x14ac:dyDescent="0.25">
      <c r="A2664" s="37" t="s">
        <v>62</v>
      </c>
      <c r="B2664" s="66" t="s">
        <v>1654</v>
      </c>
      <c r="C2664" s="4">
        <v>1053</v>
      </c>
      <c r="D2664" s="41" t="s">
        <v>527</v>
      </c>
      <c r="E2664" s="41">
        <v>10530065</v>
      </c>
      <c r="F2664" s="85" t="s">
        <v>811</v>
      </c>
      <c r="G2664" s="39" t="s">
        <v>92</v>
      </c>
      <c r="H2664" s="52" t="s">
        <v>93</v>
      </c>
      <c r="I2664" s="52">
        <v>1108.55</v>
      </c>
      <c r="J2664" s="49">
        <v>43960.09</v>
      </c>
      <c r="K2664" s="58">
        <v>1099.7399999999998</v>
      </c>
      <c r="L2664" s="58">
        <v>43307.97</v>
      </c>
      <c r="M2664" s="58">
        <v>11.92</v>
      </c>
      <c r="N2664" s="58">
        <v>524.21</v>
      </c>
      <c r="O2664" s="58">
        <v>1111.6599999999999</v>
      </c>
      <c r="P2664" s="53">
        <v>43832.18</v>
      </c>
      <c r="Q2664" s="65">
        <v>43832.18</v>
      </c>
      <c r="R2664" s="65">
        <v>0</v>
      </c>
      <c r="S2664" s="65">
        <v>524.21</v>
      </c>
      <c r="T2664" s="65">
        <v>0</v>
      </c>
      <c r="U2664" s="58">
        <v>9300</v>
      </c>
      <c r="V2664" s="65">
        <v>0</v>
      </c>
      <c r="W2664" s="65">
        <v>0</v>
      </c>
      <c r="X2664" s="65">
        <v>34007</v>
      </c>
      <c r="Y2664" s="65">
        <v>0</v>
      </c>
      <c r="Z2664" s="51">
        <v>0</v>
      </c>
      <c r="AA2664" s="51">
        <v>129</v>
      </c>
      <c r="AB2664" s="102">
        <v>0</v>
      </c>
      <c r="AC2664" s="81">
        <f t="shared" si="126"/>
        <v>0</v>
      </c>
      <c r="AD2664" s="82">
        <f t="shared" si="127"/>
        <v>0</v>
      </c>
      <c r="AE2664" s="218">
        <v>2.9096846708001785E-3</v>
      </c>
      <c r="AF2664">
        <v>10</v>
      </c>
      <c r="AH2664" t="str">
        <f t="shared" si="128"/>
        <v>Kalyanpur</v>
      </c>
      <c r="AJ2664" s="72">
        <v>0</v>
      </c>
      <c r="AK2664" s="72"/>
      <c r="AL2664" s="72"/>
      <c r="AM2664" s="72"/>
    </row>
    <row r="2665" spans="1:39" x14ac:dyDescent="0.25">
      <c r="A2665" s="37" t="s">
        <v>62</v>
      </c>
      <c r="B2665" s="66" t="s">
        <v>1654</v>
      </c>
      <c r="C2665" s="4">
        <v>1053</v>
      </c>
      <c r="D2665" s="41" t="s">
        <v>527</v>
      </c>
      <c r="E2665" s="41">
        <v>10530067</v>
      </c>
      <c r="F2665" s="85" t="s">
        <v>818</v>
      </c>
      <c r="G2665" s="39" t="s">
        <v>92</v>
      </c>
      <c r="H2665" s="52" t="s">
        <v>93</v>
      </c>
      <c r="I2665" s="52">
        <v>457.84999999999997</v>
      </c>
      <c r="J2665" s="49">
        <v>20469.309999999998</v>
      </c>
      <c r="K2665" s="58">
        <v>468.78000000000003</v>
      </c>
      <c r="L2665" s="58">
        <v>20217.770000000004</v>
      </c>
      <c r="M2665" s="58">
        <v>5.59</v>
      </c>
      <c r="N2665" s="58">
        <v>242.37</v>
      </c>
      <c r="O2665" s="58">
        <v>474.37</v>
      </c>
      <c r="P2665" s="53">
        <v>20460.140000000003</v>
      </c>
      <c r="Q2665" s="65">
        <v>20460.140000000003</v>
      </c>
      <c r="R2665" s="65">
        <v>0</v>
      </c>
      <c r="S2665" s="65">
        <v>242.37</v>
      </c>
      <c r="T2665" s="65">
        <v>0</v>
      </c>
      <c r="U2665" s="58">
        <v>0</v>
      </c>
      <c r="V2665" s="65">
        <v>0</v>
      </c>
      <c r="W2665" s="65">
        <v>0</v>
      </c>
      <c r="X2665" s="65">
        <v>20217</v>
      </c>
      <c r="Y2665" s="65">
        <v>0</v>
      </c>
      <c r="Z2665" s="51">
        <v>0</v>
      </c>
      <c r="AA2665" s="51">
        <v>10</v>
      </c>
      <c r="AB2665" s="102">
        <v>0</v>
      </c>
      <c r="AC2665" s="81">
        <f t="shared" si="126"/>
        <v>216.5182228459102</v>
      </c>
      <c r="AD2665" s="82">
        <f t="shared" si="127"/>
        <v>65.407142857142858</v>
      </c>
      <c r="AE2665" s="218">
        <v>4.4798774360223264E-4</v>
      </c>
      <c r="AF2665">
        <v>21</v>
      </c>
      <c r="AH2665" t="str">
        <f t="shared" si="128"/>
        <v>Kalyanpur</v>
      </c>
      <c r="AJ2665" s="72">
        <v>0</v>
      </c>
      <c r="AK2665" s="72"/>
      <c r="AL2665" s="72"/>
      <c r="AM2665" s="72"/>
    </row>
    <row r="2666" spans="1:39" x14ac:dyDescent="0.25">
      <c r="A2666" s="37" t="s">
        <v>62</v>
      </c>
      <c r="B2666" s="66" t="s">
        <v>1654</v>
      </c>
      <c r="C2666" s="4">
        <v>1066</v>
      </c>
      <c r="D2666" s="41" t="s">
        <v>1501</v>
      </c>
      <c r="E2666" s="41">
        <v>10530069</v>
      </c>
      <c r="F2666" s="85" t="s">
        <v>1603</v>
      </c>
      <c r="G2666" s="39" t="s">
        <v>1610</v>
      </c>
      <c r="H2666" s="52" t="s">
        <v>98</v>
      </c>
      <c r="I2666" s="52">
        <v>135.80000000000001</v>
      </c>
      <c r="J2666" s="49">
        <v>6096.61</v>
      </c>
      <c r="K2666" s="58">
        <v>0</v>
      </c>
      <c r="L2666" s="58">
        <v>0</v>
      </c>
      <c r="M2666" s="58">
        <v>0</v>
      </c>
      <c r="N2666" s="58">
        <v>0</v>
      </c>
      <c r="O2666" s="58">
        <v>0</v>
      </c>
      <c r="P2666" s="53">
        <v>0</v>
      </c>
      <c r="Q2666" s="65">
        <v>6096.61</v>
      </c>
      <c r="R2666" s="65">
        <v>0</v>
      </c>
      <c r="S2666" s="65">
        <v>0</v>
      </c>
      <c r="T2666" s="65">
        <v>0</v>
      </c>
      <c r="U2666" s="58">
        <v>0</v>
      </c>
      <c r="V2666" s="65">
        <v>0</v>
      </c>
      <c r="W2666" s="65">
        <v>0</v>
      </c>
      <c r="X2666" s="65">
        <v>0</v>
      </c>
      <c r="Y2666" s="65">
        <v>0</v>
      </c>
      <c r="Z2666" s="51">
        <v>6096.61</v>
      </c>
      <c r="AA2666" s="51">
        <v>0</v>
      </c>
      <c r="AB2666" s="102">
        <v>0</v>
      </c>
      <c r="AC2666" s="81">
        <f t="shared" si="126"/>
        <v>506.58429484536072</v>
      </c>
      <c r="AD2666" s="82">
        <f t="shared" si="127"/>
        <v>19.400000000000002</v>
      </c>
      <c r="AE2666" s="218">
        <v>0</v>
      </c>
      <c r="AF2666">
        <v>0</v>
      </c>
      <c r="AH2666" t="str">
        <f t="shared" si="128"/>
        <v>Gaighat</v>
      </c>
      <c r="AJ2666" s="72">
        <v>0</v>
      </c>
      <c r="AK2666" s="72"/>
      <c r="AL2666" s="72"/>
      <c r="AM2666" s="72"/>
    </row>
    <row r="2667" spans="1:39" x14ac:dyDescent="0.25">
      <c r="A2667" s="37" t="s">
        <v>62</v>
      </c>
      <c r="B2667" s="66" t="s">
        <v>1654</v>
      </c>
      <c r="C2667" s="4">
        <v>1053</v>
      </c>
      <c r="D2667" s="41" t="s">
        <v>527</v>
      </c>
      <c r="E2667" s="41">
        <v>10530070</v>
      </c>
      <c r="F2667" s="85" t="s">
        <v>828</v>
      </c>
      <c r="G2667" s="39" t="s">
        <v>92</v>
      </c>
      <c r="H2667" s="52" t="s">
        <v>93</v>
      </c>
      <c r="I2667" s="52">
        <v>285.5</v>
      </c>
      <c r="J2667" s="49">
        <v>14360.730000000003</v>
      </c>
      <c r="K2667" s="58">
        <v>293.55</v>
      </c>
      <c r="L2667" s="58">
        <v>14057.859999999999</v>
      </c>
      <c r="M2667" s="58">
        <v>5.84</v>
      </c>
      <c r="N2667" s="58">
        <v>298.56</v>
      </c>
      <c r="O2667" s="58">
        <v>299.39</v>
      </c>
      <c r="P2667" s="53">
        <v>14356.419999999998</v>
      </c>
      <c r="Q2667" s="65">
        <v>14356.419999999998</v>
      </c>
      <c r="R2667" s="65">
        <v>0</v>
      </c>
      <c r="S2667" s="65">
        <v>298.56</v>
      </c>
      <c r="T2667" s="65">
        <v>0</v>
      </c>
      <c r="U2667" s="58">
        <v>1366</v>
      </c>
      <c r="V2667" s="65">
        <v>500</v>
      </c>
      <c r="W2667" s="65">
        <v>0</v>
      </c>
      <c r="X2667" s="65">
        <v>12191</v>
      </c>
      <c r="Y2667" s="65">
        <v>0</v>
      </c>
      <c r="Z2667" s="51">
        <v>0</v>
      </c>
      <c r="AA2667" s="51">
        <v>5</v>
      </c>
      <c r="AB2667" s="102">
        <v>0</v>
      </c>
      <c r="AC2667" s="81">
        <f t="shared" si="126"/>
        <v>416.9893229422068</v>
      </c>
      <c r="AD2667" s="82">
        <f t="shared" si="127"/>
        <v>40.785714285714285</v>
      </c>
      <c r="AE2667" s="218">
        <v>3.0012401876540723E-4</v>
      </c>
      <c r="AF2667">
        <v>17</v>
      </c>
      <c r="AH2667" t="str">
        <f t="shared" si="128"/>
        <v>Kalyanpur</v>
      </c>
      <c r="AJ2667" s="72">
        <v>500</v>
      </c>
      <c r="AK2667" s="72"/>
      <c r="AL2667" s="72"/>
      <c r="AM2667" s="72"/>
    </row>
    <row r="2668" spans="1:39" x14ac:dyDescent="0.25">
      <c r="A2668" s="37" t="s">
        <v>62</v>
      </c>
      <c r="B2668" s="66" t="s">
        <v>1654</v>
      </c>
      <c r="C2668" s="4">
        <v>1053</v>
      </c>
      <c r="D2668" s="41" t="s">
        <v>527</v>
      </c>
      <c r="E2668" s="41">
        <v>10530071</v>
      </c>
      <c r="F2668" s="85" t="s">
        <v>829</v>
      </c>
      <c r="G2668" s="39" t="s">
        <v>92</v>
      </c>
      <c r="H2668" s="52" t="s">
        <v>93</v>
      </c>
      <c r="I2668" s="52">
        <v>495.34999999999997</v>
      </c>
      <c r="J2668" s="49">
        <v>23372.699999999997</v>
      </c>
      <c r="K2668" s="58">
        <v>485.52000000000004</v>
      </c>
      <c r="L2668" s="58">
        <v>23370.87</v>
      </c>
      <c r="M2668" s="58">
        <v>0</v>
      </c>
      <c r="N2668" s="58">
        <v>0</v>
      </c>
      <c r="O2668" s="58">
        <v>485.52000000000004</v>
      </c>
      <c r="P2668" s="53">
        <v>23370.87</v>
      </c>
      <c r="Q2668" s="65">
        <v>23370.87</v>
      </c>
      <c r="R2668" s="65">
        <v>0</v>
      </c>
      <c r="S2668" s="65">
        <v>0</v>
      </c>
      <c r="T2668" s="65">
        <v>0</v>
      </c>
      <c r="U2668" s="58">
        <v>0</v>
      </c>
      <c r="V2668" s="65">
        <v>0</v>
      </c>
      <c r="W2668" s="65">
        <v>0</v>
      </c>
      <c r="X2668" s="65">
        <v>23371</v>
      </c>
      <c r="Y2668" s="65">
        <v>0</v>
      </c>
      <c r="Z2668" s="51">
        <v>0</v>
      </c>
      <c r="AA2668" s="51">
        <v>2</v>
      </c>
      <c r="AB2668" s="102">
        <v>0</v>
      </c>
      <c r="AC2668" s="81">
        <f t="shared" si="126"/>
        <v>193.12498455637433</v>
      </c>
      <c r="AD2668" s="82">
        <f t="shared" si="127"/>
        <v>70.764285714285705</v>
      </c>
      <c r="AE2668" s="218">
        <v>7.8296474091487446E-5</v>
      </c>
      <c r="AF2668">
        <v>12</v>
      </c>
      <c r="AH2668" t="str">
        <f t="shared" si="128"/>
        <v>Kalyanpur</v>
      </c>
      <c r="AJ2668" s="72">
        <v>0</v>
      </c>
      <c r="AK2668" s="72"/>
      <c r="AL2668" s="72"/>
      <c r="AM2668" s="72"/>
    </row>
    <row r="2669" spans="1:39" x14ac:dyDescent="0.25">
      <c r="A2669" s="37" t="s">
        <v>62</v>
      </c>
      <c r="B2669" s="66" t="s">
        <v>1654</v>
      </c>
      <c r="C2669" s="4">
        <v>1053</v>
      </c>
      <c r="D2669" s="41" t="s">
        <v>527</v>
      </c>
      <c r="E2669" s="41">
        <v>10530072</v>
      </c>
      <c r="F2669" s="85" t="s">
        <v>819</v>
      </c>
      <c r="G2669" s="39" t="s">
        <v>1610</v>
      </c>
      <c r="H2669" s="52" t="s">
        <v>98</v>
      </c>
      <c r="I2669" s="52">
        <v>622.70000000000005</v>
      </c>
      <c r="J2669" s="49">
        <v>38174.53</v>
      </c>
      <c r="K2669" s="58">
        <v>0</v>
      </c>
      <c r="L2669" s="58">
        <v>0</v>
      </c>
      <c r="M2669" s="58">
        <v>0</v>
      </c>
      <c r="N2669" s="58">
        <v>0</v>
      </c>
      <c r="O2669" s="58">
        <v>0</v>
      </c>
      <c r="P2669" s="53">
        <v>0</v>
      </c>
      <c r="Q2669" s="65">
        <v>38174.53</v>
      </c>
      <c r="R2669" s="65">
        <v>0</v>
      </c>
      <c r="S2669" s="65">
        <v>0</v>
      </c>
      <c r="T2669" s="65">
        <v>0</v>
      </c>
      <c r="U2669" s="58">
        <v>0</v>
      </c>
      <c r="V2669" s="65">
        <v>0</v>
      </c>
      <c r="W2669" s="65">
        <v>0</v>
      </c>
      <c r="X2669" s="65">
        <v>0</v>
      </c>
      <c r="Y2669" s="65">
        <v>0</v>
      </c>
      <c r="Z2669" s="51">
        <v>38174.53</v>
      </c>
      <c r="AA2669" s="51">
        <v>0</v>
      </c>
      <c r="AB2669" s="102">
        <v>0</v>
      </c>
      <c r="AC2669" s="81">
        <f t="shared" si="126"/>
        <v>94.777297864139911</v>
      </c>
      <c r="AD2669" s="82">
        <f t="shared" si="127"/>
        <v>88.95714285714287</v>
      </c>
      <c r="AE2669" s="218">
        <v>0</v>
      </c>
      <c r="AF2669">
        <v>0</v>
      </c>
      <c r="AH2669" t="str">
        <f t="shared" si="128"/>
        <v>Kalyanpur</v>
      </c>
      <c r="AJ2669" s="72">
        <v>0</v>
      </c>
      <c r="AK2669" s="72"/>
      <c r="AL2669" s="72"/>
      <c r="AM2669" s="72"/>
    </row>
    <row r="2670" spans="1:39" x14ac:dyDescent="0.25">
      <c r="A2670" s="37" t="s">
        <v>62</v>
      </c>
      <c r="B2670" s="66" t="s">
        <v>1654</v>
      </c>
      <c r="C2670" s="4">
        <v>1053</v>
      </c>
      <c r="D2670" s="41" t="s">
        <v>527</v>
      </c>
      <c r="E2670" s="41">
        <v>10530074</v>
      </c>
      <c r="F2670" s="85" t="s">
        <v>1100</v>
      </c>
      <c r="G2670" s="39" t="s">
        <v>92</v>
      </c>
      <c r="H2670" s="52" t="s">
        <v>93</v>
      </c>
      <c r="I2670" s="52">
        <v>778.05000000000007</v>
      </c>
      <c r="J2670" s="49">
        <v>33114.049999999996</v>
      </c>
      <c r="K2670" s="58">
        <v>763.75000000000011</v>
      </c>
      <c r="L2670" s="58">
        <v>32205.240000000005</v>
      </c>
      <c r="M2670" s="58">
        <v>15.17</v>
      </c>
      <c r="N2670" s="58">
        <v>615.0300000000002</v>
      </c>
      <c r="O2670" s="58">
        <v>778.92000000000007</v>
      </c>
      <c r="P2670" s="53">
        <v>32820.270000000004</v>
      </c>
      <c r="Q2670" s="65">
        <v>32820.270000000004</v>
      </c>
      <c r="R2670" s="65">
        <v>0</v>
      </c>
      <c r="S2670" s="65">
        <v>615.0300000000002</v>
      </c>
      <c r="T2670" s="65">
        <v>0</v>
      </c>
      <c r="U2670" s="58">
        <v>0</v>
      </c>
      <c r="V2670" s="65">
        <v>0</v>
      </c>
      <c r="W2670" s="65">
        <v>0</v>
      </c>
      <c r="X2670" s="65">
        <v>32204</v>
      </c>
      <c r="Y2670" s="65">
        <v>0</v>
      </c>
      <c r="Z2670" s="51">
        <v>0</v>
      </c>
      <c r="AA2670" s="51">
        <v>295</v>
      </c>
      <c r="AB2670" s="102">
        <v>0</v>
      </c>
      <c r="AC2670" s="81">
        <f t="shared" si="126"/>
        <v>0</v>
      </c>
      <c r="AD2670" s="82">
        <f t="shared" si="127"/>
        <v>0</v>
      </c>
      <c r="AE2670" s="218">
        <v>8.8717628921859935E-3</v>
      </c>
      <c r="AF2670">
        <v>23</v>
      </c>
      <c r="AH2670" t="str">
        <f t="shared" si="128"/>
        <v>Kalyanpur</v>
      </c>
      <c r="AJ2670" s="72">
        <v>0</v>
      </c>
      <c r="AK2670" s="72"/>
      <c r="AL2670" s="72"/>
      <c r="AM2670" s="72"/>
    </row>
    <row r="2671" spans="1:39" x14ac:dyDescent="0.25">
      <c r="A2671" s="37" t="s">
        <v>62</v>
      </c>
      <c r="B2671" s="66" t="s">
        <v>1654</v>
      </c>
      <c r="C2671" s="4">
        <v>1053</v>
      </c>
      <c r="D2671" s="41" t="s">
        <v>527</v>
      </c>
      <c r="E2671" s="41">
        <v>10530076</v>
      </c>
      <c r="F2671" s="85" t="s">
        <v>1136</v>
      </c>
      <c r="G2671" s="39" t="s">
        <v>92</v>
      </c>
      <c r="H2671" s="52" t="s">
        <v>93</v>
      </c>
      <c r="I2671" s="52">
        <v>2413.4500000000007</v>
      </c>
      <c r="J2671" s="49">
        <v>116052.84</v>
      </c>
      <c r="K2671" s="58">
        <v>2387.4899999999998</v>
      </c>
      <c r="L2671" s="58">
        <v>113193.5</v>
      </c>
      <c r="M2671" s="58">
        <v>30.45</v>
      </c>
      <c r="N2671" s="58">
        <v>1371.93</v>
      </c>
      <c r="O2671" s="58">
        <v>2417.9399999999996</v>
      </c>
      <c r="P2671" s="53">
        <v>114565.43</v>
      </c>
      <c r="Q2671" s="65">
        <v>114565.43</v>
      </c>
      <c r="R2671" s="65">
        <v>0</v>
      </c>
      <c r="S2671" s="65">
        <v>1371.93</v>
      </c>
      <c r="T2671" s="65">
        <v>0</v>
      </c>
      <c r="U2671" s="58">
        <v>0</v>
      </c>
      <c r="V2671" s="65">
        <v>0</v>
      </c>
      <c r="W2671" s="65">
        <v>0</v>
      </c>
      <c r="X2671" s="65">
        <v>113193</v>
      </c>
      <c r="Y2671" s="65">
        <v>0</v>
      </c>
      <c r="Z2671" s="51">
        <v>0</v>
      </c>
      <c r="AA2671" s="51">
        <v>1488</v>
      </c>
      <c r="AB2671" s="102">
        <v>0</v>
      </c>
      <c r="AC2671" s="81">
        <f t="shared" si="126"/>
        <v>0</v>
      </c>
      <c r="AD2671" s="82">
        <f t="shared" si="127"/>
        <v>0</v>
      </c>
      <c r="AE2671" s="218">
        <v>1.281666178957795E-2</v>
      </c>
      <c r="AF2671">
        <v>50</v>
      </c>
      <c r="AH2671" t="str">
        <f t="shared" si="128"/>
        <v>Kalyanpur</v>
      </c>
      <c r="AJ2671" s="72">
        <v>0</v>
      </c>
      <c r="AK2671" s="72"/>
      <c r="AL2671" s="72"/>
      <c r="AM2671" s="72"/>
    </row>
    <row r="2672" spans="1:39" x14ac:dyDescent="0.25">
      <c r="A2672" s="37" t="s">
        <v>62</v>
      </c>
      <c r="B2672" s="66" t="s">
        <v>1654</v>
      </c>
      <c r="C2672" s="4">
        <v>1053</v>
      </c>
      <c r="D2672" s="41" t="s">
        <v>527</v>
      </c>
      <c r="E2672" s="41">
        <v>10530077</v>
      </c>
      <c r="F2672" s="85" t="s">
        <v>1266</v>
      </c>
      <c r="G2672" s="39" t="s">
        <v>1610</v>
      </c>
      <c r="H2672" s="52" t="s">
        <v>98</v>
      </c>
      <c r="I2672" s="52">
        <v>737.9</v>
      </c>
      <c r="J2672" s="49">
        <v>29753.85</v>
      </c>
      <c r="K2672" s="58">
        <v>0</v>
      </c>
      <c r="L2672" s="58">
        <v>0</v>
      </c>
      <c r="M2672" s="58">
        <v>0</v>
      </c>
      <c r="N2672" s="58">
        <v>0</v>
      </c>
      <c r="O2672" s="58">
        <v>0</v>
      </c>
      <c r="P2672" s="53">
        <v>0</v>
      </c>
      <c r="Q2672" s="65">
        <v>29753.85</v>
      </c>
      <c r="R2672" s="65">
        <v>0</v>
      </c>
      <c r="S2672" s="65">
        <v>0</v>
      </c>
      <c r="T2672" s="65">
        <v>0</v>
      </c>
      <c r="U2672" s="58">
        <v>910</v>
      </c>
      <c r="V2672" s="65">
        <v>0</v>
      </c>
      <c r="W2672" s="65">
        <v>0</v>
      </c>
      <c r="X2672" s="65">
        <v>0</v>
      </c>
      <c r="Y2672" s="65">
        <v>0</v>
      </c>
      <c r="Z2672" s="51">
        <v>28843.85</v>
      </c>
      <c r="AA2672" s="51">
        <v>0</v>
      </c>
      <c r="AB2672" s="102">
        <v>0</v>
      </c>
      <c r="AC2672" s="81">
        <f t="shared" si="126"/>
        <v>0</v>
      </c>
      <c r="AD2672" s="82">
        <f t="shared" si="127"/>
        <v>0</v>
      </c>
      <c r="AE2672" s="218">
        <v>0</v>
      </c>
      <c r="AF2672">
        <v>0</v>
      </c>
      <c r="AH2672" t="str">
        <f t="shared" si="128"/>
        <v>Kalyanpur</v>
      </c>
      <c r="AJ2672" s="72">
        <v>0</v>
      </c>
      <c r="AK2672" s="72"/>
      <c r="AL2672" s="72"/>
      <c r="AM2672" s="72"/>
    </row>
    <row r="2673" spans="1:39" x14ac:dyDescent="0.25">
      <c r="A2673" s="37" t="s">
        <v>62</v>
      </c>
      <c r="B2673" s="66" t="s">
        <v>1654</v>
      </c>
      <c r="C2673" s="4">
        <v>1053</v>
      </c>
      <c r="D2673" s="41" t="s">
        <v>527</v>
      </c>
      <c r="E2673" s="41">
        <v>10530078</v>
      </c>
      <c r="F2673" s="85" t="s">
        <v>1164</v>
      </c>
      <c r="G2673" s="39" t="s">
        <v>92</v>
      </c>
      <c r="H2673" s="52" t="s">
        <v>93</v>
      </c>
      <c r="I2673" s="52">
        <v>772.69999999999993</v>
      </c>
      <c r="J2673" s="49">
        <v>33989.479999999996</v>
      </c>
      <c r="K2673" s="58">
        <v>761.00000000000011</v>
      </c>
      <c r="L2673" s="58">
        <v>32348.510000000006</v>
      </c>
      <c r="M2673" s="58">
        <v>36.52000000000001</v>
      </c>
      <c r="N2673" s="58">
        <v>1593.3999999999996</v>
      </c>
      <c r="O2673" s="58">
        <v>797.5200000000001</v>
      </c>
      <c r="P2673" s="53">
        <v>33941.910000000003</v>
      </c>
      <c r="Q2673" s="65">
        <v>33941.910000000003</v>
      </c>
      <c r="R2673" s="65">
        <v>0</v>
      </c>
      <c r="S2673" s="65">
        <v>1593.3999999999996</v>
      </c>
      <c r="T2673" s="65">
        <v>0</v>
      </c>
      <c r="U2673" s="58">
        <v>0</v>
      </c>
      <c r="V2673" s="65">
        <v>0</v>
      </c>
      <c r="W2673" s="65">
        <v>0</v>
      </c>
      <c r="X2673" s="65">
        <v>32349</v>
      </c>
      <c r="Y2673" s="65">
        <v>0</v>
      </c>
      <c r="Z2673" s="51">
        <v>0</v>
      </c>
      <c r="AA2673" s="51">
        <v>47</v>
      </c>
      <c r="AB2673" s="102">
        <v>0</v>
      </c>
      <c r="AC2673" s="81">
        <f t="shared" si="126"/>
        <v>0</v>
      </c>
      <c r="AD2673" s="82">
        <f t="shared" si="127"/>
        <v>0</v>
      </c>
      <c r="AE2673" s="218">
        <v>1.3995506845056894E-3</v>
      </c>
      <c r="AF2673">
        <v>11</v>
      </c>
      <c r="AH2673" t="str">
        <f t="shared" si="128"/>
        <v>Kalyanpur</v>
      </c>
      <c r="AJ2673" s="72">
        <v>0</v>
      </c>
      <c r="AK2673" s="72"/>
      <c r="AL2673" s="72"/>
      <c r="AM2673" s="72"/>
    </row>
    <row r="2674" spans="1:39" x14ac:dyDescent="0.25">
      <c r="A2674" s="37" t="s">
        <v>62</v>
      </c>
      <c r="B2674" s="66" t="s">
        <v>1654</v>
      </c>
      <c r="C2674" s="4">
        <v>1053</v>
      </c>
      <c r="D2674" s="41" t="s">
        <v>527</v>
      </c>
      <c r="E2674" s="41">
        <v>10530079</v>
      </c>
      <c r="F2674" s="85" t="s">
        <v>1155</v>
      </c>
      <c r="G2674" s="39" t="s">
        <v>1610</v>
      </c>
      <c r="H2674" s="52" t="s">
        <v>98</v>
      </c>
      <c r="I2674" s="52">
        <v>138.9</v>
      </c>
      <c r="J2674" s="49">
        <v>7150.0300000000007</v>
      </c>
      <c r="K2674" s="58">
        <v>0</v>
      </c>
      <c r="L2674" s="58">
        <v>0</v>
      </c>
      <c r="M2674" s="58">
        <v>0</v>
      </c>
      <c r="N2674" s="58">
        <v>0</v>
      </c>
      <c r="O2674" s="58">
        <v>0</v>
      </c>
      <c r="P2674" s="53">
        <v>0</v>
      </c>
      <c r="Q2674" s="65">
        <v>7150.0300000000007</v>
      </c>
      <c r="R2674" s="65">
        <v>0</v>
      </c>
      <c r="S2674" s="65">
        <v>0</v>
      </c>
      <c r="T2674" s="65">
        <v>0</v>
      </c>
      <c r="U2674" s="58">
        <v>0</v>
      </c>
      <c r="V2674" s="65">
        <v>0</v>
      </c>
      <c r="W2674" s="65">
        <v>0</v>
      </c>
      <c r="X2674" s="65">
        <v>0</v>
      </c>
      <c r="Y2674" s="65">
        <v>0</v>
      </c>
      <c r="Z2674" s="51">
        <v>7150.0300000000007</v>
      </c>
      <c r="AA2674" s="51">
        <v>0</v>
      </c>
      <c r="AB2674" s="102">
        <v>0</v>
      </c>
      <c r="AC2674" s="81">
        <f t="shared" si="126"/>
        <v>577.66477077033846</v>
      </c>
      <c r="AD2674" s="82">
        <f t="shared" si="127"/>
        <v>19.842857142857145</v>
      </c>
      <c r="AE2674" s="218">
        <v>0</v>
      </c>
      <c r="AF2674">
        <v>0</v>
      </c>
      <c r="AH2674" t="str">
        <f t="shared" si="128"/>
        <v>Kalyanpur</v>
      </c>
      <c r="AJ2674" s="72">
        <v>0</v>
      </c>
      <c r="AK2674" s="72"/>
      <c r="AL2674" s="72"/>
      <c r="AM2674" s="72"/>
    </row>
    <row r="2675" spans="1:39" x14ac:dyDescent="0.25">
      <c r="A2675" s="37" t="s">
        <v>62</v>
      </c>
      <c r="B2675" s="66" t="s">
        <v>1654</v>
      </c>
      <c r="C2675" s="4">
        <v>1053</v>
      </c>
      <c r="D2675" s="41" t="s">
        <v>527</v>
      </c>
      <c r="E2675" s="41">
        <v>10530080</v>
      </c>
      <c r="F2675" s="85" t="s">
        <v>1165</v>
      </c>
      <c r="G2675" s="39" t="s">
        <v>1610</v>
      </c>
      <c r="H2675" s="52" t="s">
        <v>98</v>
      </c>
      <c r="I2675" s="52">
        <v>134.79999999999998</v>
      </c>
      <c r="J2675" s="49">
        <v>4732.26</v>
      </c>
      <c r="K2675" s="58">
        <v>0</v>
      </c>
      <c r="L2675" s="58">
        <v>0</v>
      </c>
      <c r="M2675" s="58">
        <v>0</v>
      </c>
      <c r="N2675" s="58">
        <v>0</v>
      </c>
      <c r="O2675" s="58">
        <v>0</v>
      </c>
      <c r="P2675" s="53">
        <v>0</v>
      </c>
      <c r="Q2675" s="65">
        <v>4732.26</v>
      </c>
      <c r="R2675" s="65">
        <v>0</v>
      </c>
      <c r="S2675" s="65">
        <v>0</v>
      </c>
      <c r="T2675" s="65">
        <v>0</v>
      </c>
      <c r="U2675" s="58">
        <v>0</v>
      </c>
      <c r="V2675" s="65">
        <v>0</v>
      </c>
      <c r="W2675" s="65">
        <v>0</v>
      </c>
      <c r="X2675" s="65">
        <v>0</v>
      </c>
      <c r="Y2675" s="65">
        <v>0</v>
      </c>
      <c r="Z2675" s="51">
        <v>4732.26</v>
      </c>
      <c r="AA2675" s="51">
        <v>0</v>
      </c>
      <c r="AB2675" s="102">
        <v>0</v>
      </c>
      <c r="AC2675" s="81">
        <f t="shared" si="126"/>
        <v>396.83580890207719</v>
      </c>
      <c r="AD2675" s="82">
        <f t="shared" si="127"/>
        <v>19.257142857142856</v>
      </c>
      <c r="AE2675" s="218">
        <v>0</v>
      </c>
      <c r="AF2675">
        <v>0</v>
      </c>
      <c r="AH2675" t="str">
        <f t="shared" si="128"/>
        <v>Kalyanpur</v>
      </c>
      <c r="AJ2675" s="72">
        <v>0</v>
      </c>
      <c r="AK2675" s="72"/>
      <c r="AL2675" s="72"/>
      <c r="AM2675" s="72"/>
    </row>
    <row r="2676" spans="1:39" x14ac:dyDescent="0.25">
      <c r="A2676" s="37" t="s">
        <v>62</v>
      </c>
      <c r="B2676" s="66" t="s">
        <v>1654</v>
      </c>
      <c r="C2676" s="4">
        <v>1053</v>
      </c>
      <c r="D2676" s="41" t="s">
        <v>527</v>
      </c>
      <c r="E2676" s="41">
        <v>10530081</v>
      </c>
      <c r="F2676" s="85" t="s">
        <v>1156</v>
      </c>
      <c r="G2676" s="39" t="s">
        <v>92</v>
      </c>
      <c r="H2676" s="52" t="s">
        <v>93</v>
      </c>
      <c r="I2676" s="52">
        <v>1591.8999999999999</v>
      </c>
      <c r="J2676" s="49">
        <v>70886.989999999991</v>
      </c>
      <c r="K2676" s="58">
        <v>1583.21</v>
      </c>
      <c r="L2676" s="58">
        <v>68504.849999999991</v>
      </c>
      <c r="M2676" s="58">
        <v>48.949999999999996</v>
      </c>
      <c r="N2676" s="58">
        <v>2230.58</v>
      </c>
      <c r="O2676" s="58">
        <v>1632.16</v>
      </c>
      <c r="P2676" s="53">
        <v>70735.429999999993</v>
      </c>
      <c r="Q2676" s="65">
        <v>70735.429999999993</v>
      </c>
      <c r="R2676" s="65">
        <v>0</v>
      </c>
      <c r="S2676" s="65">
        <v>2230.58</v>
      </c>
      <c r="T2676" s="65">
        <v>0</v>
      </c>
      <c r="U2676" s="58">
        <v>0</v>
      </c>
      <c r="V2676" s="65">
        <v>0</v>
      </c>
      <c r="W2676" s="65">
        <v>0</v>
      </c>
      <c r="X2676" s="65">
        <v>68505</v>
      </c>
      <c r="Y2676" s="65">
        <v>0</v>
      </c>
      <c r="Z2676" s="51">
        <v>0</v>
      </c>
      <c r="AA2676" s="51">
        <v>151</v>
      </c>
      <c r="AB2676" s="102">
        <v>0</v>
      </c>
      <c r="AC2676" s="81">
        <f t="shared" si="126"/>
        <v>0</v>
      </c>
      <c r="AD2676" s="82">
        <f t="shared" si="127"/>
        <v>0</v>
      </c>
      <c r="AE2676" s="218">
        <v>2.1380510020244576E-3</v>
      </c>
      <c r="AF2676">
        <v>40</v>
      </c>
      <c r="AH2676" t="str">
        <f t="shared" si="128"/>
        <v>Kalyanpur</v>
      </c>
      <c r="AJ2676" s="72">
        <v>0</v>
      </c>
      <c r="AK2676" s="72"/>
      <c r="AL2676" s="72"/>
      <c r="AM2676" s="72"/>
    </row>
    <row r="2677" spans="1:39" x14ac:dyDescent="0.25">
      <c r="A2677" s="37" t="s">
        <v>62</v>
      </c>
      <c r="B2677" s="66" t="s">
        <v>1654</v>
      </c>
      <c r="C2677" s="4">
        <v>1053</v>
      </c>
      <c r="D2677" s="41" t="s">
        <v>527</v>
      </c>
      <c r="E2677" s="41">
        <v>10530082</v>
      </c>
      <c r="F2677" s="85" t="s">
        <v>1157</v>
      </c>
      <c r="G2677" s="39" t="s">
        <v>92</v>
      </c>
      <c r="H2677" s="52" t="s">
        <v>93</v>
      </c>
      <c r="I2677" s="52">
        <v>1221.25</v>
      </c>
      <c r="J2677" s="49">
        <v>51105.24</v>
      </c>
      <c r="K2677" s="58">
        <v>1187.4299999999998</v>
      </c>
      <c r="L2677" s="58">
        <v>51024.090000000011</v>
      </c>
      <c r="M2677" s="58">
        <v>1.9100000000000001</v>
      </c>
      <c r="N2677" s="58">
        <v>78.14</v>
      </c>
      <c r="O2677" s="58">
        <v>1189.3399999999999</v>
      </c>
      <c r="P2677" s="53">
        <v>51102.23000000001</v>
      </c>
      <c r="Q2677" s="65">
        <v>51102.23000000001</v>
      </c>
      <c r="R2677" s="65">
        <v>0</v>
      </c>
      <c r="S2677" s="65">
        <v>78.14</v>
      </c>
      <c r="T2677" s="65">
        <v>0</v>
      </c>
      <c r="U2677" s="58">
        <v>0</v>
      </c>
      <c r="V2677" s="65">
        <v>0</v>
      </c>
      <c r="W2677" s="65">
        <v>0</v>
      </c>
      <c r="X2677" s="65">
        <v>51024</v>
      </c>
      <c r="Y2677" s="65">
        <v>0</v>
      </c>
      <c r="Z2677" s="51">
        <v>0</v>
      </c>
      <c r="AA2677" s="51">
        <v>3</v>
      </c>
      <c r="AB2677" s="102">
        <v>0</v>
      </c>
      <c r="AC2677" s="81">
        <f t="shared" si="126"/>
        <v>0</v>
      </c>
      <c r="AD2677" s="82">
        <f t="shared" si="127"/>
        <v>0</v>
      </c>
      <c r="AE2677" s="218">
        <v>5.8898069943267762E-5</v>
      </c>
      <c r="AF2677">
        <v>26</v>
      </c>
      <c r="AH2677" t="str">
        <f t="shared" si="128"/>
        <v>Kalyanpur</v>
      </c>
      <c r="AJ2677" s="72">
        <v>0</v>
      </c>
      <c r="AK2677" s="72"/>
      <c r="AL2677" s="72"/>
      <c r="AM2677" s="72"/>
    </row>
    <row r="2678" spans="1:39" x14ac:dyDescent="0.25">
      <c r="A2678" s="37" t="s">
        <v>62</v>
      </c>
      <c r="B2678" s="66" t="s">
        <v>1654</v>
      </c>
      <c r="C2678" s="4">
        <v>1053</v>
      </c>
      <c r="D2678" s="41" t="s">
        <v>527</v>
      </c>
      <c r="E2678" s="41">
        <v>10530084</v>
      </c>
      <c r="F2678" s="85" t="s">
        <v>1228</v>
      </c>
      <c r="G2678" s="39" t="s">
        <v>92</v>
      </c>
      <c r="H2678" s="52" t="s">
        <v>93</v>
      </c>
      <c r="I2678" s="52">
        <v>2395.65</v>
      </c>
      <c r="J2678" s="49">
        <v>96715.299999999974</v>
      </c>
      <c r="K2678" s="58">
        <v>2384.0300000000007</v>
      </c>
      <c r="L2678" s="58">
        <v>95736.639999999999</v>
      </c>
      <c r="M2678" s="58">
        <v>22.300000000000004</v>
      </c>
      <c r="N2678" s="58">
        <v>906.86999999999989</v>
      </c>
      <c r="O2678" s="58">
        <v>2406.3300000000008</v>
      </c>
      <c r="P2678" s="53">
        <v>96643.51</v>
      </c>
      <c r="Q2678" s="65">
        <v>96643.51</v>
      </c>
      <c r="R2678" s="65">
        <v>0</v>
      </c>
      <c r="S2678" s="65">
        <v>906.86999999999989</v>
      </c>
      <c r="T2678" s="65">
        <v>0</v>
      </c>
      <c r="U2678" s="58">
        <v>2990.3999999999996</v>
      </c>
      <c r="V2678" s="65">
        <v>0</v>
      </c>
      <c r="W2678" s="65">
        <v>0</v>
      </c>
      <c r="X2678" s="65">
        <v>92743</v>
      </c>
      <c r="Y2678" s="65">
        <v>0</v>
      </c>
      <c r="Z2678" s="51">
        <v>0</v>
      </c>
      <c r="AA2678" s="51">
        <v>75</v>
      </c>
      <c r="AB2678" s="102">
        <v>0</v>
      </c>
      <c r="AC2678" s="81">
        <f t="shared" si="126"/>
        <v>0</v>
      </c>
      <c r="AD2678" s="82">
        <f t="shared" si="127"/>
        <v>0</v>
      </c>
      <c r="AE2678" s="218">
        <v>7.4228172791666945E-4</v>
      </c>
      <c r="AF2678">
        <v>43</v>
      </c>
      <c r="AH2678" t="str">
        <f t="shared" si="128"/>
        <v>Kalyanpur</v>
      </c>
      <c r="AJ2678" s="72">
        <v>0</v>
      </c>
      <c r="AK2678" s="72"/>
      <c r="AL2678" s="72"/>
      <c r="AM2678" s="72"/>
    </row>
    <row r="2679" spans="1:39" x14ac:dyDescent="0.25">
      <c r="A2679" s="37" t="s">
        <v>62</v>
      </c>
      <c r="B2679" s="66" t="s">
        <v>1654</v>
      </c>
      <c r="C2679" s="4">
        <v>1053</v>
      </c>
      <c r="D2679" s="41" t="s">
        <v>527</v>
      </c>
      <c r="E2679" s="41">
        <v>10530085</v>
      </c>
      <c r="F2679" s="85" t="s">
        <v>1181</v>
      </c>
      <c r="G2679" s="39" t="s">
        <v>92</v>
      </c>
      <c r="H2679" s="52" t="s">
        <v>93</v>
      </c>
      <c r="I2679" s="52">
        <v>610.25</v>
      </c>
      <c r="J2679" s="49">
        <v>27796.559999999998</v>
      </c>
      <c r="K2679" s="58">
        <v>624.79000000000008</v>
      </c>
      <c r="L2679" s="58">
        <v>27793.089999999997</v>
      </c>
      <c r="M2679" s="58">
        <v>0</v>
      </c>
      <c r="N2679" s="58">
        <v>0</v>
      </c>
      <c r="O2679" s="58">
        <v>624.79000000000008</v>
      </c>
      <c r="P2679" s="53">
        <v>27793.089999999997</v>
      </c>
      <c r="Q2679" s="65">
        <v>27793.089999999997</v>
      </c>
      <c r="R2679" s="65">
        <v>0</v>
      </c>
      <c r="S2679" s="65">
        <v>0</v>
      </c>
      <c r="T2679" s="65">
        <v>0</v>
      </c>
      <c r="U2679" s="58">
        <v>846</v>
      </c>
      <c r="V2679" s="65">
        <v>0</v>
      </c>
      <c r="W2679" s="65">
        <v>0</v>
      </c>
      <c r="X2679" s="65">
        <v>26946</v>
      </c>
      <c r="Y2679" s="65">
        <v>0</v>
      </c>
      <c r="Z2679" s="51">
        <v>0</v>
      </c>
      <c r="AA2679" s="51">
        <v>5</v>
      </c>
      <c r="AB2679" s="102">
        <v>0</v>
      </c>
      <c r="AC2679" s="81">
        <f t="shared" si="126"/>
        <v>81.761286685784498</v>
      </c>
      <c r="AD2679" s="82">
        <f t="shared" si="127"/>
        <v>87.178571428571431</v>
      </c>
      <c r="AE2679" s="218">
        <v>1.2483559116671864E-4</v>
      </c>
      <c r="AF2679">
        <v>16</v>
      </c>
      <c r="AH2679" t="str">
        <f t="shared" si="128"/>
        <v>Kalyanpur</v>
      </c>
      <c r="AJ2679" s="72">
        <v>0</v>
      </c>
      <c r="AK2679" s="72"/>
      <c r="AL2679" s="72"/>
      <c r="AM2679" s="72"/>
    </row>
    <row r="2680" spans="1:39" x14ac:dyDescent="0.25">
      <c r="A2680" s="37" t="s">
        <v>62</v>
      </c>
      <c r="B2680" s="66" t="s">
        <v>1654</v>
      </c>
      <c r="C2680" s="4">
        <v>1066</v>
      </c>
      <c r="D2680" s="41" t="s">
        <v>1501</v>
      </c>
      <c r="E2680" s="41">
        <v>10530088</v>
      </c>
      <c r="F2680" s="85" t="s">
        <v>1503</v>
      </c>
      <c r="G2680" s="39" t="s">
        <v>1610</v>
      </c>
      <c r="H2680" s="52" t="s">
        <v>98</v>
      </c>
      <c r="I2680" s="52">
        <v>1347.3</v>
      </c>
      <c r="J2680" s="49">
        <v>63544.82</v>
      </c>
      <c r="K2680" s="58">
        <v>0</v>
      </c>
      <c r="L2680" s="58">
        <v>0</v>
      </c>
      <c r="M2680" s="58">
        <v>0</v>
      </c>
      <c r="N2680" s="58">
        <v>0</v>
      </c>
      <c r="O2680" s="58">
        <v>0</v>
      </c>
      <c r="P2680" s="53">
        <v>0</v>
      </c>
      <c r="Q2680" s="65">
        <v>63544.82</v>
      </c>
      <c r="R2680" s="65">
        <v>0</v>
      </c>
      <c r="S2680" s="65">
        <v>0</v>
      </c>
      <c r="T2680" s="65">
        <v>0</v>
      </c>
      <c r="U2680" s="58">
        <v>0</v>
      </c>
      <c r="V2680" s="65">
        <v>0</v>
      </c>
      <c r="W2680" s="65">
        <v>0</v>
      </c>
      <c r="X2680" s="65">
        <v>0</v>
      </c>
      <c r="Y2680" s="65">
        <v>0</v>
      </c>
      <c r="Z2680" s="51">
        <v>63544.82</v>
      </c>
      <c r="AA2680" s="51">
        <v>0</v>
      </c>
      <c r="AB2680" s="102">
        <v>0</v>
      </c>
      <c r="AC2680" s="81">
        <f t="shared" si="126"/>
        <v>0</v>
      </c>
      <c r="AD2680" s="82">
        <f t="shared" si="127"/>
        <v>0</v>
      </c>
      <c r="AE2680" s="218">
        <v>0</v>
      </c>
      <c r="AF2680">
        <v>0</v>
      </c>
      <c r="AH2680" t="str">
        <f t="shared" si="128"/>
        <v>Gaighat</v>
      </c>
      <c r="AJ2680" s="72">
        <v>0</v>
      </c>
      <c r="AK2680" s="72"/>
      <c r="AL2680" s="72"/>
      <c r="AM2680" s="72"/>
    </row>
    <row r="2681" spans="1:39" x14ac:dyDescent="0.25">
      <c r="A2681" s="37" t="s">
        <v>62</v>
      </c>
      <c r="B2681" s="66" t="s">
        <v>1654</v>
      </c>
      <c r="C2681" s="4">
        <v>1012</v>
      </c>
      <c r="D2681" s="41" t="s">
        <v>306</v>
      </c>
      <c r="E2681" s="41">
        <v>10530090</v>
      </c>
      <c r="F2681" s="85" t="s">
        <v>1173</v>
      </c>
      <c r="G2681" s="39" t="s">
        <v>1610</v>
      </c>
      <c r="H2681" s="52" t="s">
        <v>98</v>
      </c>
      <c r="I2681" s="52">
        <v>428.90000000000003</v>
      </c>
      <c r="J2681" s="49">
        <v>15032.58</v>
      </c>
      <c r="K2681" s="58">
        <v>0</v>
      </c>
      <c r="L2681" s="58">
        <v>0</v>
      </c>
      <c r="M2681" s="58">
        <v>0</v>
      </c>
      <c r="N2681" s="58">
        <v>0</v>
      </c>
      <c r="O2681" s="58">
        <v>0</v>
      </c>
      <c r="P2681" s="53">
        <v>0</v>
      </c>
      <c r="Q2681" s="65">
        <v>15032.58</v>
      </c>
      <c r="R2681" s="65">
        <v>0</v>
      </c>
      <c r="S2681" s="65">
        <v>0</v>
      </c>
      <c r="T2681" s="65">
        <v>0</v>
      </c>
      <c r="U2681" s="58">
        <v>0</v>
      </c>
      <c r="V2681" s="65">
        <v>0</v>
      </c>
      <c r="W2681" s="65">
        <v>0</v>
      </c>
      <c r="X2681" s="65">
        <v>0</v>
      </c>
      <c r="Y2681" s="65">
        <v>0</v>
      </c>
      <c r="Z2681" s="51">
        <v>15032.58</v>
      </c>
      <c r="AA2681" s="51">
        <v>0</v>
      </c>
      <c r="AB2681" s="102">
        <v>0</v>
      </c>
      <c r="AC2681" s="81">
        <f t="shared" si="126"/>
        <v>190.03648580088597</v>
      </c>
      <c r="AD2681" s="82">
        <f t="shared" si="127"/>
        <v>61.271428571428579</v>
      </c>
      <c r="AE2681" s="218">
        <v>0</v>
      </c>
      <c r="AF2681">
        <v>0</v>
      </c>
      <c r="AH2681" t="str">
        <f t="shared" si="128"/>
        <v>DalsinghSarai</v>
      </c>
      <c r="AJ2681" s="72">
        <v>0</v>
      </c>
      <c r="AK2681" s="72"/>
      <c r="AL2681" s="72"/>
      <c r="AM2681" s="72"/>
    </row>
    <row r="2682" spans="1:39" x14ac:dyDescent="0.25">
      <c r="A2682" s="37" t="s">
        <v>62</v>
      </c>
      <c r="B2682" s="66" t="s">
        <v>1654</v>
      </c>
      <c r="C2682" s="4">
        <v>1053</v>
      </c>
      <c r="D2682" s="41" t="s">
        <v>527</v>
      </c>
      <c r="E2682" s="41">
        <v>10530091</v>
      </c>
      <c r="F2682" s="85" t="s">
        <v>1198</v>
      </c>
      <c r="G2682" s="39" t="s">
        <v>92</v>
      </c>
      <c r="H2682" s="52" t="s">
        <v>93</v>
      </c>
      <c r="I2682" s="52">
        <v>80.55</v>
      </c>
      <c r="J2682" s="49">
        <v>3335.6899999999996</v>
      </c>
      <c r="K2682" s="58">
        <v>82.100000000000009</v>
      </c>
      <c r="L2682" s="58">
        <v>3325.8900000000003</v>
      </c>
      <c r="M2682" s="58">
        <v>0</v>
      </c>
      <c r="N2682" s="58">
        <v>0</v>
      </c>
      <c r="O2682" s="58">
        <v>82.100000000000009</v>
      </c>
      <c r="P2682" s="53">
        <v>3325.8900000000003</v>
      </c>
      <c r="Q2682" s="65">
        <v>3325.8900000000003</v>
      </c>
      <c r="R2682" s="65">
        <v>0</v>
      </c>
      <c r="S2682" s="65">
        <v>0</v>
      </c>
      <c r="T2682" s="65">
        <v>0</v>
      </c>
      <c r="U2682" s="58">
        <v>0</v>
      </c>
      <c r="V2682" s="65">
        <v>0</v>
      </c>
      <c r="W2682" s="65">
        <v>0</v>
      </c>
      <c r="X2682" s="65">
        <v>3327</v>
      </c>
      <c r="Y2682" s="65">
        <v>0</v>
      </c>
      <c r="Z2682" s="51">
        <v>0</v>
      </c>
      <c r="AA2682" s="51">
        <v>9</v>
      </c>
      <c r="AB2682" s="102">
        <v>0</v>
      </c>
      <c r="AC2682" s="81">
        <f t="shared" si="126"/>
        <v>513.04610068280567</v>
      </c>
      <c r="AD2682" s="82">
        <f t="shared" si="127"/>
        <v>11.507142857142856</v>
      </c>
      <c r="AE2682" s="218">
        <v>2.9379228885176001E-3</v>
      </c>
      <c r="AF2682">
        <v>6</v>
      </c>
      <c r="AH2682" t="str">
        <f t="shared" si="128"/>
        <v>Kalyanpur</v>
      </c>
      <c r="AJ2682" s="72">
        <v>0</v>
      </c>
      <c r="AK2682" s="72"/>
      <c r="AL2682" s="72"/>
      <c r="AM2682" s="72"/>
    </row>
    <row r="2683" spans="1:39" x14ac:dyDescent="0.25">
      <c r="A2683" s="37" t="s">
        <v>62</v>
      </c>
      <c r="B2683" s="66" t="s">
        <v>1654</v>
      </c>
      <c r="C2683" s="4">
        <v>1053</v>
      </c>
      <c r="D2683" s="41" t="s">
        <v>527</v>
      </c>
      <c r="E2683" s="41">
        <v>10530092</v>
      </c>
      <c r="F2683" s="85" t="s">
        <v>1193</v>
      </c>
      <c r="G2683" s="39" t="s">
        <v>92</v>
      </c>
      <c r="H2683" s="52" t="s">
        <v>93</v>
      </c>
      <c r="I2683" s="52">
        <v>1063.7000000000003</v>
      </c>
      <c r="J2683" s="49">
        <v>44321.13</v>
      </c>
      <c r="K2683" s="58">
        <v>808.3</v>
      </c>
      <c r="L2683" s="58">
        <v>33459.21</v>
      </c>
      <c r="M2683" s="58">
        <v>215.60000000000002</v>
      </c>
      <c r="N2683" s="58">
        <v>10859.07</v>
      </c>
      <c r="O2683" s="58">
        <v>1023.9</v>
      </c>
      <c r="P2683" s="53">
        <v>44318.28</v>
      </c>
      <c r="Q2683" s="65">
        <v>44318.28</v>
      </c>
      <c r="R2683" s="65">
        <v>0</v>
      </c>
      <c r="S2683" s="65">
        <v>0</v>
      </c>
      <c r="T2683" s="65">
        <v>0</v>
      </c>
      <c r="U2683" s="58">
        <v>0</v>
      </c>
      <c r="V2683" s="65">
        <v>0</v>
      </c>
      <c r="W2683" s="65">
        <v>0</v>
      </c>
      <c r="X2683" s="65">
        <v>33460</v>
      </c>
      <c r="Y2683" s="65">
        <v>10860</v>
      </c>
      <c r="Z2683" s="51">
        <v>0</v>
      </c>
      <c r="AA2683" s="51">
        <v>1</v>
      </c>
      <c r="AB2683" s="102">
        <v>0</v>
      </c>
      <c r="AC2683" s="81">
        <f t="shared" si="126"/>
        <v>0</v>
      </c>
      <c r="AD2683" s="82">
        <f t="shared" si="127"/>
        <v>0</v>
      </c>
      <c r="AE2683" s="218">
        <v>6.4303414646660524E-5</v>
      </c>
      <c r="AF2683">
        <v>18</v>
      </c>
      <c r="AH2683" t="str">
        <f t="shared" si="128"/>
        <v>Kalyanpur</v>
      </c>
      <c r="AJ2683" s="72">
        <v>0</v>
      </c>
      <c r="AK2683" s="72"/>
      <c r="AL2683" s="72"/>
      <c r="AM2683" s="72"/>
    </row>
    <row r="2684" spans="1:39" x14ac:dyDescent="0.25">
      <c r="A2684" s="37" t="s">
        <v>62</v>
      </c>
      <c r="B2684" s="66" t="s">
        <v>1654</v>
      </c>
      <c r="C2684" s="4">
        <v>1053</v>
      </c>
      <c r="D2684" s="41" t="s">
        <v>527</v>
      </c>
      <c r="E2684" s="41">
        <v>10530093</v>
      </c>
      <c r="F2684" s="85" t="s">
        <v>1194</v>
      </c>
      <c r="G2684" s="39" t="s">
        <v>92</v>
      </c>
      <c r="H2684" s="52" t="s">
        <v>93</v>
      </c>
      <c r="I2684" s="52">
        <v>1284.4000000000001</v>
      </c>
      <c r="J2684" s="49">
        <v>58538.27</v>
      </c>
      <c r="K2684" s="58">
        <v>1264.9999999999998</v>
      </c>
      <c r="L2684" s="58">
        <v>57108.160000000011</v>
      </c>
      <c r="M2684" s="58">
        <v>32.300000000000004</v>
      </c>
      <c r="N2684" s="58">
        <v>1413.5</v>
      </c>
      <c r="O2684" s="58">
        <v>1297.2999999999997</v>
      </c>
      <c r="P2684" s="53">
        <v>58521.660000000011</v>
      </c>
      <c r="Q2684" s="65">
        <v>58521.660000000011</v>
      </c>
      <c r="R2684" s="65">
        <v>0</v>
      </c>
      <c r="S2684" s="65">
        <v>1413.5</v>
      </c>
      <c r="T2684" s="65">
        <v>0</v>
      </c>
      <c r="U2684" s="58">
        <v>6254</v>
      </c>
      <c r="V2684" s="65">
        <v>0</v>
      </c>
      <c r="W2684" s="65">
        <v>0</v>
      </c>
      <c r="X2684" s="65">
        <v>50854</v>
      </c>
      <c r="Y2684" s="65">
        <v>0</v>
      </c>
      <c r="Z2684" s="51">
        <v>0</v>
      </c>
      <c r="AA2684" s="51">
        <v>17</v>
      </c>
      <c r="AB2684" s="102">
        <v>0</v>
      </c>
      <c r="AC2684" s="81">
        <f t="shared" si="126"/>
        <v>0</v>
      </c>
      <c r="AD2684" s="82">
        <f t="shared" si="127"/>
        <v>0</v>
      </c>
      <c r="AE2684" s="218">
        <v>2.8374600069298308E-4</v>
      </c>
      <c r="AF2684">
        <v>36</v>
      </c>
      <c r="AH2684" t="str">
        <f t="shared" ref="AH2684:AH2747" si="129">TEXT(D2684,"0000")</f>
        <v>Kalyanpur</v>
      </c>
      <c r="AJ2684" s="72">
        <v>0</v>
      </c>
      <c r="AK2684" s="72"/>
      <c r="AL2684" s="72"/>
      <c r="AM2684" s="72"/>
    </row>
    <row r="2685" spans="1:39" x14ac:dyDescent="0.25">
      <c r="A2685" s="37" t="s">
        <v>62</v>
      </c>
      <c r="B2685" s="66" t="s">
        <v>1654</v>
      </c>
      <c r="C2685" s="4">
        <v>1066</v>
      </c>
      <c r="D2685" s="41" t="s">
        <v>1501</v>
      </c>
      <c r="E2685" s="41">
        <v>10530094</v>
      </c>
      <c r="F2685" s="85" t="s">
        <v>1563</v>
      </c>
      <c r="G2685" s="39" t="s">
        <v>1610</v>
      </c>
      <c r="H2685" s="52" t="s">
        <v>98</v>
      </c>
      <c r="I2685" s="52">
        <v>484.6</v>
      </c>
      <c r="J2685" s="49">
        <v>19017.100000000002</v>
      </c>
      <c r="K2685" s="58">
        <v>0</v>
      </c>
      <c r="L2685" s="58">
        <v>0</v>
      </c>
      <c r="M2685" s="58">
        <v>0</v>
      </c>
      <c r="N2685" s="58">
        <v>0</v>
      </c>
      <c r="O2685" s="58">
        <v>0</v>
      </c>
      <c r="P2685" s="53">
        <v>0</v>
      </c>
      <c r="Q2685" s="65">
        <v>19017.100000000002</v>
      </c>
      <c r="R2685" s="65">
        <v>0</v>
      </c>
      <c r="S2685" s="65">
        <v>0</v>
      </c>
      <c r="T2685" s="65">
        <v>0</v>
      </c>
      <c r="U2685" s="58">
        <v>0</v>
      </c>
      <c r="V2685" s="65">
        <v>0</v>
      </c>
      <c r="W2685" s="65">
        <v>0</v>
      </c>
      <c r="X2685" s="65">
        <v>0</v>
      </c>
      <c r="Y2685" s="65">
        <v>0</v>
      </c>
      <c r="Z2685" s="51">
        <v>19017.100000000002</v>
      </c>
      <c r="AA2685" s="51">
        <v>0</v>
      </c>
      <c r="AB2685" s="102">
        <v>0</v>
      </c>
      <c r="AC2685" s="81">
        <f t="shared" si="126"/>
        <v>169.05833016921173</v>
      </c>
      <c r="AD2685" s="82">
        <f t="shared" si="127"/>
        <v>69.228571428571428</v>
      </c>
      <c r="AE2685" s="218">
        <v>0</v>
      </c>
      <c r="AF2685">
        <v>0</v>
      </c>
      <c r="AH2685" t="str">
        <f t="shared" si="129"/>
        <v>Gaighat</v>
      </c>
      <c r="AJ2685" s="72">
        <v>0</v>
      </c>
      <c r="AK2685" s="72"/>
      <c r="AL2685" s="72"/>
      <c r="AM2685" s="72"/>
    </row>
    <row r="2686" spans="1:39" x14ac:dyDescent="0.25">
      <c r="A2686" s="37" t="s">
        <v>62</v>
      </c>
      <c r="B2686" s="66" t="s">
        <v>1654</v>
      </c>
      <c r="C2686" s="4">
        <v>1053</v>
      </c>
      <c r="D2686" s="41" t="s">
        <v>527</v>
      </c>
      <c r="E2686" s="41">
        <v>10530096</v>
      </c>
      <c r="F2686" s="85" t="s">
        <v>1239</v>
      </c>
      <c r="G2686" s="39" t="s">
        <v>92</v>
      </c>
      <c r="H2686" s="52" t="s">
        <v>93</v>
      </c>
      <c r="I2686" s="52">
        <v>1755.4</v>
      </c>
      <c r="J2686" s="49">
        <v>89978.890000000014</v>
      </c>
      <c r="K2686" s="58">
        <v>1766.3500000000001</v>
      </c>
      <c r="L2686" s="58">
        <v>89267.21</v>
      </c>
      <c r="M2686" s="58">
        <v>10.44</v>
      </c>
      <c r="N2686" s="58">
        <v>700.32</v>
      </c>
      <c r="O2686" s="58">
        <v>1776.7900000000002</v>
      </c>
      <c r="P2686" s="53">
        <v>89967.530000000013</v>
      </c>
      <c r="Q2686" s="65">
        <v>89967.530000000013</v>
      </c>
      <c r="R2686" s="65">
        <v>0</v>
      </c>
      <c r="S2686" s="65">
        <v>700.32</v>
      </c>
      <c r="T2686" s="65">
        <v>0</v>
      </c>
      <c r="U2686" s="58">
        <v>0</v>
      </c>
      <c r="V2686" s="65">
        <v>0</v>
      </c>
      <c r="W2686" s="65">
        <v>0</v>
      </c>
      <c r="X2686" s="65">
        <v>89269</v>
      </c>
      <c r="Y2686" s="65">
        <v>0</v>
      </c>
      <c r="Z2686" s="51">
        <v>0</v>
      </c>
      <c r="AA2686" s="51">
        <v>10</v>
      </c>
      <c r="AB2686" s="102">
        <v>0</v>
      </c>
      <c r="AC2686" s="81">
        <f t="shared" ref="AC2686:AC2749" si="130">((IF(AD2686=0,0,100-AD2686))*7*(J2686/I2686))*2%</f>
        <v>0</v>
      </c>
      <c r="AD2686" s="82">
        <f t="shared" ref="AD2686:AD2749" si="131">IF((I2686/7)&gt;100,0,(I2686/7))</f>
        <v>0</v>
      </c>
      <c r="AE2686" s="218">
        <v>1.2625183529159541E-4</v>
      </c>
      <c r="AF2686">
        <v>13</v>
      </c>
      <c r="AH2686" t="str">
        <f t="shared" si="129"/>
        <v>Kalyanpur</v>
      </c>
      <c r="AJ2686" s="72">
        <v>0</v>
      </c>
      <c r="AK2686" s="72"/>
      <c r="AL2686" s="72"/>
      <c r="AM2686" s="72"/>
    </row>
    <row r="2687" spans="1:39" x14ac:dyDescent="0.25">
      <c r="A2687" s="37" t="s">
        <v>62</v>
      </c>
      <c r="B2687" s="66" t="s">
        <v>1654</v>
      </c>
      <c r="C2687" s="4">
        <v>1053</v>
      </c>
      <c r="D2687" s="41" t="s">
        <v>527</v>
      </c>
      <c r="E2687" s="41">
        <v>10530097</v>
      </c>
      <c r="F2687" s="85" t="s">
        <v>1240</v>
      </c>
      <c r="G2687" s="39" t="s">
        <v>92</v>
      </c>
      <c r="H2687" s="52" t="s">
        <v>93</v>
      </c>
      <c r="I2687" s="52">
        <v>738.1</v>
      </c>
      <c r="J2687" s="49">
        <v>30430.100000000002</v>
      </c>
      <c r="K2687" s="58">
        <v>730.28000000000009</v>
      </c>
      <c r="L2687" s="58">
        <v>30287.640000000003</v>
      </c>
      <c r="M2687" s="58">
        <v>3.4000000000000004</v>
      </c>
      <c r="N2687" s="58">
        <v>139.38</v>
      </c>
      <c r="O2687" s="58">
        <v>733.68000000000006</v>
      </c>
      <c r="P2687" s="53">
        <v>30427.020000000004</v>
      </c>
      <c r="Q2687" s="65">
        <v>30427.020000000004</v>
      </c>
      <c r="R2687" s="65">
        <v>0</v>
      </c>
      <c r="S2687" s="65">
        <v>139.38</v>
      </c>
      <c r="T2687" s="65">
        <v>0</v>
      </c>
      <c r="U2687" s="58">
        <v>6648.3</v>
      </c>
      <c r="V2687" s="65">
        <v>0</v>
      </c>
      <c r="W2687" s="65">
        <v>0</v>
      </c>
      <c r="X2687" s="65">
        <v>23639</v>
      </c>
      <c r="Y2687" s="65">
        <v>0</v>
      </c>
      <c r="Z2687" s="51">
        <v>0</v>
      </c>
      <c r="AA2687" s="51">
        <v>3</v>
      </c>
      <c r="AB2687" s="102">
        <v>0</v>
      </c>
      <c r="AC2687" s="81">
        <f t="shared" si="130"/>
        <v>0</v>
      </c>
      <c r="AD2687" s="82">
        <f t="shared" si="131"/>
        <v>0</v>
      </c>
      <c r="AE2687" s="218">
        <v>1.0121557273877207E-4</v>
      </c>
      <c r="AF2687">
        <v>20</v>
      </c>
      <c r="AH2687" t="str">
        <f t="shared" si="129"/>
        <v>Kalyanpur</v>
      </c>
      <c r="AJ2687" s="72">
        <v>0</v>
      </c>
      <c r="AK2687" s="72"/>
      <c r="AL2687" s="72"/>
      <c r="AM2687" s="72"/>
    </row>
    <row r="2688" spans="1:39" x14ac:dyDescent="0.25">
      <c r="A2688" s="37" t="s">
        <v>62</v>
      </c>
      <c r="B2688" s="66" t="s">
        <v>1654</v>
      </c>
      <c r="C2688" s="4">
        <v>1053</v>
      </c>
      <c r="D2688" s="41" t="s">
        <v>527</v>
      </c>
      <c r="E2688" s="41">
        <v>10530100</v>
      </c>
      <c r="F2688" s="85" t="s">
        <v>1304</v>
      </c>
      <c r="G2688" s="39" t="s">
        <v>92</v>
      </c>
      <c r="H2688" s="52" t="s">
        <v>93</v>
      </c>
      <c r="I2688" s="52">
        <v>173.85</v>
      </c>
      <c r="J2688" s="49">
        <v>7599.3899999999994</v>
      </c>
      <c r="K2688" s="58">
        <v>180.79999999999998</v>
      </c>
      <c r="L2688" s="58">
        <v>7557.6100000000006</v>
      </c>
      <c r="M2688" s="58">
        <v>0.89999999999999991</v>
      </c>
      <c r="N2688" s="58">
        <v>37.259999999999991</v>
      </c>
      <c r="O2688" s="58">
        <v>181.7</v>
      </c>
      <c r="P2688" s="53">
        <v>7594.8700000000008</v>
      </c>
      <c r="Q2688" s="65">
        <v>7594.8700000000008</v>
      </c>
      <c r="R2688" s="65">
        <v>0</v>
      </c>
      <c r="S2688" s="65">
        <v>37.259999999999991</v>
      </c>
      <c r="T2688" s="65">
        <v>0</v>
      </c>
      <c r="U2688" s="58">
        <v>0</v>
      </c>
      <c r="V2688" s="65">
        <v>0</v>
      </c>
      <c r="W2688" s="65">
        <v>0</v>
      </c>
      <c r="X2688" s="65">
        <v>7557</v>
      </c>
      <c r="Y2688" s="65">
        <v>0</v>
      </c>
      <c r="Z2688" s="51">
        <v>0</v>
      </c>
      <c r="AA2688" s="51">
        <v>5</v>
      </c>
      <c r="AB2688" s="102">
        <v>0</v>
      </c>
      <c r="AC2688" s="81">
        <f t="shared" si="130"/>
        <v>459.98493511647968</v>
      </c>
      <c r="AD2688" s="82">
        <f t="shared" si="131"/>
        <v>24.835714285714285</v>
      </c>
      <c r="AE2688" s="218">
        <v>5.9478458139385103E-4</v>
      </c>
      <c r="AF2688">
        <v>6</v>
      </c>
      <c r="AH2688" t="str">
        <f t="shared" si="129"/>
        <v>Kalyanpur</v>
      </c>
      <c r="AJ2688" s="72">
        <v>0</v>
      </c>
      <c r="AK2688" s="72"/>
      <c r="AL2688" s="72"/>
      <c r="AM2688" s="72"/>
    </row>
    <row r="2689" spans="1:39" x14ac:dyDescent="0.25">
      <c r="A2689" s="37" t="s">
        <v>62</v>
      </c>
      <c r="B2689" s="66" t="s">
        <v>1654</v>
      </c>
      <c r="C2689" s="4">
        <v>1053</v>
      </c>
      <c r="D2689" s="41" t="s">
        <v>527</v>
      </c>
      <c r="E2689" s="41">
        <v>10530101</v>
      </c>
      <c r="F2689" s="85" t="s">
        <v>1289</v>
      </c>
      <c r="G2689" s="39" t="s">
        <v>92</v>
      </c>
      <c r="H2689" s="52" t="s">
        <v>93</v>
      </c>
      <c r="I2689" s="52">
        <v>503.05000000000007</v>
      </c>
      <c r="J2689" s="49">
        <v>22119.01</v>
      </c>
      <c r="K2689" s="58">
        <v>523.87</v>
      </c>
      <c r="L2689" s="58">
        <v>22115.910000000003</v>
      </c>
      <c r="M2689" s="58">
        <v>0</v>
      </c>
      <c r="N2689" s="58">
        <v>0</v>
      </c>
      <c r="O2689" s="58">
        <v>523.87</v>
      </c>
      <c r="P2689" s="53">
        <v>22115.910000000003</v>
      </c>
      <c r="Q2689" s="65">
        <v>22115.910000000003</v>
      </c>
      <c r="R2689" s="65">
        <v>0</v>
      </c>
      <c r="S2689" s="65">
        <v>0</v>
      </c>
      <c r="T2689" s="65">
        <v>0</v>
      </c>
      <c r="U2689" s="58">
        <v>1270</v>
      </c>
      <c r="V2689" s="65">
        <v>0</v>
      </c>
      <c r="W2689" s="65">
        <v>0</v>
      </c>
      <c r="X2689" s="65">
        <v>20846</v>
      </c>
      <c r="Y2689" s="65">
        <v>0</v>
      </c>
      <c r="Z2689" s="51">
        <v>0</v>
      </c>
      <c r="AA2689" s="51">
        <v>3</v>
      </c>
      <c r="AB2689" s="102">
        <v>0</v>
      </c>
      <c r="AC2689" s="81">
        <f t="shared" si="130"/>
        <v>173.19705872179694</v>
      </c>
      <c r="AD2689" s="82">
        <f t="shared" si="131"/>
        <v>71.864285714285728</v>
      </c>
      <c r="AE2689" s="218">
        <v>1.4015093803904004E-4</v>
      </c>
      <c r="AF2689">
        <v>18</v>
      </c>
      <c r="AH2689" t="str">
        <f t="shared" si="129"/>
        <v>Kalyanpur</v>
      </c>
      <c r="AJ2689" s="72">
        <v>0</v>
      </c>
      <c r="AK2689" s="72"/>
      <c r="AL2689" s="72"/>
      <c r="AM2689" s="72"/>
    </row>
    <row r="2690" spans="1:39" x14ac:dyDescent="0.25">
      <c r="A2690" s="37" t="s">
        <v>62</v>
      </c>
      <c r="B2690" s="66" t="s">
        <v>1654</v>
      </c>
      <c r="C2690" s="4">
        <v>1053</v>
      </c>
      <c r="D2690" s="41" t="s">
        <v>527</v>
      </c>
      <c r="E2690" s="41">
        <v>10530102</v>
      </c>
      <c r="F2690" s="85" t="s">
        <v>1305</v>
      </c>
      <c r="G2690" s="39" t="s">
        <v>92</v>
      </c>
      <c r="H2690" s="52" t="s">
        <v>93</v>
      </c>
      <c r="I2690" s="52">
        <v>107.30000000000001</v>
      </c>
      <c r="J2690" s="49">
        <v>4999.3899999999994</v>
      </c>
      <c r="K2690" s="58">
        <v>102.79999999999998</v>
      </c>
      <c r="L2690" s="58">
        <v>4589.28</v>
      </c>
      <c r="M2690" s="58">
        <v>1.3</v>
      </c>
      <c r="N2690" s="58">
        <v>58.410000000000004</v>
      </c>
      <c r="O2690" s="58">
        <v>104.09999999999998</v>
      </c>
      <c r="P2690" s="53">
        <v>4647.6899999999996</v>
      </c>
      <c r="Q2690" s="65">
        <v>4647.6899999999996</v>
      </c>
      <c r="R2690" s="65">
        <v>0</v>
      </c>
      <c r="S2690" s="65">
        <v>58.410000000000004</v>
      </c>
      <c r="T2690" s="65">
        <v>0</v>
      </c>
      <c r="U2690" s="58">
        <v>0</v>
      </c>
      <c r="V2690" s="65">
        <v>500</v>
      </c>
      <c r="W2690" s="65">
        <v>0</v>
      </c>
      <c r="X2690" s="65">
        <v>4089</v>
      </c>
      <c r="Y2690" s="65">
        <v>0</v>
      </c>
      <c r="Z2690" s="51">
        <v>0</v>
      </c>
      <c r="AA2690" s="51">
        <v>352</v>
      </c>
      <c r="AB2690" s="102">
        <v>0</v>
      </c>
      <c r="AC2690" s="81">
        <f t="shared" si="130"/>
        <v>552.30912451071742</v>
      </c>
      <c r="AD2690" s="82">
        <f t="shared" si="131"/>
        <v>15.328571428571431</v>
      </c>
      <c r="AE2690" s="218">
        <v>7.0348582527068271E-2</v>
      </c>
      <c r="AF2690">
        <v>5</v>
      </c>
      <c r="AH2690" t="str">
        <f t="shared" si="129"/>
        <v>Kalyanpur</v>
      </c>
      <c r="AJ2690" s="72">
        <v>500</v>
      </c>
      <c r="AK2690" s="72"/>
      <c r="AL2690" s="72"/>
      <c r="AM2690" s="72"/>
    </row>
    <row r="2691" spans="1:39" x14ac:dyDescent="0.25">
      <c r="A2691" s="37" t="s">
        <v>62</v>
      </c>
      <c r="B2691" s="66" t="s">
        <v>1654</v>
      </c>
      <c r="C2691" s="4">
        <v>1053</v>
      </c>
      <c r="D2691" s="41" t="s">
        <v>527</v>
      </c>
      <c r="E2691" s="41">
        <v>10530103</v>
      </c>
      <c r="F2691" s="85" t="s">
        <v>1290</v>
      </c>
      <c r="G2691" s="39" t="s">
        <v>92</v>
      </c>
      <c r="H2691" s="52" t="s">
        <v>93</v>
      </c>
      <c r="I2691" s="52">
        <v>2716.2499999999995</v>
      </c>
      <c r="J2691" s="49">
        <v>116475.31</v>
      </c>
      <c r="K2691" s="58">
        <v>2722.3499999999981</v>
      </c>
      <c r="L2691" s="58">
        <v>115019.20999999999</v>
      </c>
      <c r="M2691" s="58">
        <v>33.1</v>
      </c>
      <c r="N2691" s="58">
        <v>1426.8300000000002</v>
      </c>
      <c r="O2691" s="58">
        <v>2755.449999999998</v>
      </c>
      <c r="P2691" s="53">
        <v>116446.04</v>
      </c>
      <c r="Q2691" s="65">
        <v>116446.04</v>
      </c>
      <c r="R2691" s="65">
        <v>0</v>
      </c>
      <c r="S2691" s="65">
        <v>1426.8300000000002</v>
      </c>
      <c r="T2691" s="65">
        <v>0</v>
      </c>
      <c r="U2691" s="58">
        <v>1972</v>
      </c>
      <c r="V2691" s="65">
        <v>0</v>
      </c>
      <c r="W2691" s="65">
        <v>0</v>
      </c>
      <c r="X2691" s="65">
        <v>113046</v>
      </c>
      <c r="Y2691" s="65">
        <v>0</v>
      </c>
      <c r="Z2691" s="51">
        <v>0</v>
      </c>
      <c r="AA2691" s="51">
        <v>30</v>
      </c>
      <c r="AB2691" s="102">
        <v>0</v>
      </c>
      <c r="AC2691" s="81">
        <f t="shared" si="130"/>
        <v>0</v>
      </c>
      <c r="AD2691" s="82">
        <f t="shared" si="131"/>
        <v>0</v>
      </c>
      <c r="AE2691" s="218">
        <v>2.5129789308999545E-4</v>
      </c>
      <c r="AF2691">
        <v>37</v>
      </c>
      <c r="AH2691" t="str">
        <f t="shared" si="129"/>
        <v>Kalyanpur</v>
      </c>
      <c r="AJ2691" s="72">
        <v>0</v>
      </c>
      <c r="AK2691" s="72"/>
      <c r="AL2691" s="72"/>
      <c r="AM2691" s="72"/>
    </row>
    <row r="2692" spans="1:39" x14ac:dyDescent="0.25">
      <c r="A2692" s="37" t="s">
        <v>62</v>
      </c>
      <c r="B2692" s="66" t="s">
        <v>1654</v>
      </c>
      <c r="C2692" s="4">
        <v>1053</v>
      </c>
      <c r="D2692" s="41" t="s">
        <v>527</v>
      </c>
      <c r="E2692" s="41">
        <v>10530106</v>
      </c>
      <c r="F2692" s="85" t="s">
        <v>1375</v>
      </c>
      <c r="G2692" s="39" t="s">
        <v>92</v>
      </c>
      <c r="H2692" s="52" t="s">
        <v>93</v>
      </c>
      <c r="I2692" s="52">
        <v>637.40000000000009</v>
      </c>
      <c r="J2692" s="49">
        <v>27883.389999999996</v>
      </c>
      <c r="K2692" s="58">
        <v>523.30999999999995</v>
      </c>
      <c r="L2692" s="58">
        <v>23214.359999999997</v>
      </c>
      <c r="M2692" s="58">
        <v>118.33</v>
      </c>
      <c r="N2692" s="58">
        <v>4666.3900000000003</v>
      </c>
      <c r="O2692" s="58">
        <v>641.64</v>
      </c>
      <c r="P2692" s="53">
        <v>27880.749999999996</v>
      </c>
      <c r="Q2692" s="65">
        <v>27880.749999999996</v>
      </c>
      <c r="R2692" s="65">
        <v>0</v>
      </c>
      <c r="S2692" s="65">
        <v>855.58</v>
      </c>
      <c r="T2692" s="65">
        <v>0</v>
      </c>
      <c r="U2692" s="58">
        <v>0</v>
      </c>
      <c r="V2692" s="65">
        <v>0</v>
      </c>
      <c r="W2692" s="65">
        <v>0</v>
      </c>
      <c r="X2692" s="65">
        <v>23215</v>
      </c>
      <c r="Y2692" s="65">
        <v>3811</v>
      </c>
      <c r="Z2692" s="51">
        <v>0</v>
      </c>
      <c r="AA2692" s="51">
        <v>2</v>
      </c>
      <c r="AB2692" s="102">
        <v>0</v>
      </c>
      <c r="AC2692" s="81">
        <f t="shared" si="130"/>
        <v>54.769382303106305</v>
      </c>
      <c r="AD2692" s="82">
        <f t="shared" si="131"/>
        <v>91.057142857142864</v>
      </c>
      <c r="AE2692" s="218">
        <v>9.4680022766220978E-5</v>
      </c>
      <c r="AF2692">
        <v>10</v>
      </c>
      <c r="AH2692" t="str">
        <f t="shared" si="129"/>
        <v>Kalyanpur</v>
      </c>
      <c r="AJ2692" s="72">
        <v>0</v>
      </c>
      <c r="AK2692" s="72"/>
      <c r="AL2692" s="72"/>
      <c r="AM2692" s="72"/>
    </row>
    <row r="2693" spans="1:39" x14ac:dyDescent="0.25">
      <c r="A2693" s="37" t="s">
        <v>62</v>
      </c>
      <c r="B2693" s="66" t="s">
        <v>1654</v>
      </c>
      <c r="C2693" s="4">
        <v>1053</v>
      </c>
      <c r="D2693" s="41" t="s">
        <v>527</v>
      </c>
      <c r="E2693" s="41">
        <v>10530107</v>
      </c>
      <c r="F2693" s="85" t="s">
        <v>1352</v>
      </c>
      <c r="G2693" s="39" t="s">
        <v>1610</v>
      </c>
      <c r="H2693" s="52" t="s">
        <v>98</v>
      </c>
      <c r="I2693" s="52">
        <v>660</v>
      </c>
      <c r="J2693" s="49">
        <v>32473.22</v>
      </c>
      <c r="K2693" s="58">
        <v>0</v>
      </c>
      <c r="L2693" s="58">
        <v>0</v>
      </c>
      <c r="M2693" s="58">
        <v>0</v>
      </c>
      <c r="N2693" s="58">
        <v>0</v>
      </c>
      <c r="O2693" s="58">
        <v>0</v>
      </c>
      <c r="P2693" s="53">
        <v>0</v>
      </c>
      <c r="Q2693" s="65">
        <v>32473.22</v>
      </c>
      <c r="R2693" s="65">
        <v>0</v>
      </c>
      <c r="S2693" s="65">
        <v>0</v>
      </c>
      <c r="T2693" s="65">
        <v>0</v>
      </c>
      <c r="U2693" s="58">
        <v>0</v>
      </c>
      <c r="V2693" s="65">
        <v>0</v>
      </c>
      <c r="W2693" s="65">
        <v>0</v>
      </c>
      <c r="X2693" s="65">
        <v>0</v>
      </c>
      <c r="Y2693" s="65">
        <v>0</v>
      </c>
      <c r="Z2693" s="51">
        <v>32473.22</v>
      </c>
      <c r="AA2693" s="51">
        <v>0</v>
      </c>
      <c r="AB2693" s="102">
        <v>0</v>
      </c>
      <c r="AC2693" s="81">
        <f t="shared" si="130"/>
        <v>39.361478787878745</v>
      </c>
      <c r="AD2693" s="82">
        <f t="shared" si="131"/>
        <v>94.285714285714292</v>
      </c>
      <c r="AE2693" s="218">
        <v>0</v>
      </c>
      <c r="AF2693">
        <v>0</v>
      </c>
      <c r="AH2693" t="str">
        <f t="shared" si="129"/>
        <v>Kalyanpur</v>
      </c>
      <c r="AJ2693" s="72">
        <v>0</v>
      </c>
      <c r="AK2693" s="72"/>
      <c r="AL2693" s="72"/>
      <c r="AM2693" s="72"/>
    </row>
    <row r="2694" spans="1:39" x14ac:dyDescent="0.25">
      <c r="A2694" s="37" t="s">
        <v>62</v>
      </c>
      <c r="B2694" s="66" t="s">
        <v>1654</v>
      </c>
      <c r="C2694" s="4">
        <v>1053</v>
      </c>
      <c r="D2694" s="41" t="s">
        <v>527</v>
      </c>
      <c r="E2694" s="41">
        <v>10530108</v>
      </c>
      <c r="F2694" s="85" t="s">
        <v>1376</v>
      </c>
      <c r="G2694" s="39" t="s">
        <v>92</v>
      </c>
      <c r="H2694" s="52" t="s">
        <v>93</v>
      </c>
      <c r="I2694" s="52">
        <v>476.05</v>
      </c>
      <c r="J2694" s="49">
        <v>19400.189999999999</v>
      </c>
      <c r="K2694" s="58">
        <v>462.31999999999988</v>
      </c>
      <c r="L2694" s="58">
        <v>19096.499999999996</v>
      </c>
      <c r="M2694" s="58">
        <v>8.1499999999999986</v>
      </c>
      <c r="N2694" s="58">
        <v>329.87</v>
      </c>
      <c r="O2694" s="58">
        <v>470.46999999999986</v>
      </c>
      <c r="P2694" s="53">
        <v>19426.369999999995</v>
      </c>
      <c r="Q2694" s="65">
        <v>19400.189999999999</v>
      </c>
      <c r="R2694" s="65">
        <v>0</v>
      </c>
      <c r="S2694" s="65">
        <v>329.87</v>
      </c>
      <c r="T2694" s="65">
        <v>26.179999999996653</v>
      </c>
      <c r="U2694" s="58">
        <v>0</v>
      </c>
      <c r="V2694" s="65">
        <v>0</v>
      </c>
      <c r="W2694" s="65">
        <v>0</v>
      </c>
      <c r="X2694" s="65">
        <v>19070</v>
      </c>
      <c r="Y2694" s="65">
        <v>0</v>
      </c>
      <c r="Z2694" s="51">
        <v>0</v>
      </c>
      <c r="AA2694" s="51">
        <v>0</v>
      </c>
      <c r="AB2694" s="102">
        <v>0</v>
      </c>
      <c r="AC2694" s="81">
        <f t="shared" si="130"/>
        <v>182.53009349858209</v>
      </c>
      <c r="AD2694" s="82">
        <f t="shared" si="131"/>
        <v>68.007142857142853</v>
      </c>
      <c r="AE2694" s="218">
        <v>-1.349471319610615E-3</v>
      </c>
      <c r="AF2694">
        <v>10</v>
      </c>
      <c r="AH2694" t="str">
        <f t="shared" si="129"/>
        <v>Kalyanpur</v>
      </c>
      <c r="AJ2694" s="72">
        <v>0</v>
      </c>
      <c r="AK2694" s="72"/>
      <c r="AL2694" s="72"/>
      <c r="AM2694" s="72"/>
    </row>
    <row r="2695" spans="1:39" x14ac:dyDescent="0.25">
      <c r="A2695" s="37" t="s">
        <v>62</v>
      </c>
      <c r="B2695" s="66" t="s">
        <v>1654</v>
      </c>
      <c r="C2695" s="4">
        <v>1053</v>
      </c>
      <c r="D2695" s="41" t="s">
        <v>527</v>
      </c>
      <c r="E2695" s="41">
        <v>10530109</v>
      </c>
      <c r="F2695" s="85" t="s">
        <v>1353</v>
      </c>
      <c r="G2695" s="39" t="s">
        <v>92</v>
      </c>
      <c r="H2695" s="52" t="s">
        <v>93</v>
      </c>
      <c r="I2695" s="52">
        <v>1750.95</v>
      </c>
      <c r="J2695" s="49">
        <v>77199.47</v>
      </c>
      <c r="K2695" s="58">
        <v>1733.22</v>
      </c>
      <c r="L2695" s="58">
        <v>76547.499999999985</v>
      </c>
      <c r="M2695" s="58">
        <v>14.530000000000001</v>
      </c>
      <c r="N2695" s="58">
        <v>649.13000000000011</v>
      </c>
      <c r="O2695" s="58">
        <v>1747.75</v>
      </c>
      <c r="P2695" s="53">
        <v>77196.62999999999</v>
      </c>
      <c r="Q2695" s="65">
        <v>77196.62999999999</v>
      </c>
      <c r="R2695" s="65">
        <v>0</v>
      </c>
      <c r="S2695" s="65">
        <v>649.13000000000011</v>
      </c>
      <c r="T2695" s="65">
        <v>0</v>
      </c>
      <c r="U2695" s="58">
        <v>20914</v>
      </c>
      <c r="V2695" s="65">
        <v>0</v>
      </c>
      <c r="W2695" s="65">
        <v>0</v>
      </c>
      <c r="X2695" s="65">
        <v>55636</v>
      </c>
      <c r="Y2695" s="65">
        <v>0</v>
      </c>
      <c r="Z2695" s="51">
        <v>0</v>
      </c>
      <c r="AA2695" s="51">
        <v>0</v>
      </c>
      <c r="AB2695" s="102">
        <v>0</v>
      </c>
      <c r="AC2695" s="81">
        <f t="shared" si="130"/>
        <v>0</v>
      </c>
      <c r="AD2695" s="82">
        <f t="shared" si="131"/>
        <v>0</v>
      </c>
      <c r="AE2695" s="218">
        <v>3.6787817325832148E-5</v>
      </c>
      <c r="AF2695">
        <v>25</v>
      </c>
      <c r="AH2695" t="str">
        <f t="shared" si="129"/>
        <v>Kalyanpur</v>
      </c>
      <c r="AJ2695" s="72">
        <v>0</v>
      </c>
      <c r="AK2695" s="72"/>
      <c r="AL2695" s="72"/>
      <c r="AM2695" s="72"/>
    </row>
    <row r="2696" spans="1:39" x14ac:dyDescent="0.25">
      <c r="A2696" s="37" t="s">
        <v>62</v>
      </c>
      <c r="B2696" s="66" t="s">
        <v>1654</v>
      </c>
      <c r="C2696" s="4">
        <v>1053</v>
      </c>
      <c r="D2696" s="41" t="s">
        <v>527</v>
      </c>
      <c r="E2696" s="41">
        <v>10530110</v>
      </c>
      <c r="F2696" s="85" t="s">
        <v>1377</v>
      </c>
      <c r="G2696" s="39" t="s">
        <v>92</v>
      </c>
      <c r="H2696" s="52" t="s">
        <v>93</v>
      </c>
      <c r="I2696" s="52">
        <v>737.65</v>
      </c>
      <c r="J2696" s="49">
        <v>30506.279999999995</v>
      </c>
      <c r="K2696" s="58">
        <v>727.27</v>
      </c>
      <c r="L2696" s="58">
        <v>29700.429999999997</v>
      </c>
      <c r="M2696" s="58">
        <v>16.489999999999998</v>
      </c>
      <c r="N2696" s="58">
        <v>708.59</v>
      </c>
      <c r="O2696" s="58">
        <v>743.76</v>
      </c>
      <c r="P2696" s="53">
        <v>30409.019999999997</v>
      </c>
      <c r="Q2696" s="65">
        <v>30409.019999999997</v>
      </c>
      <c r="R2696" s="65">
        <v>0</v>
      </c>
      <c r="S2696" s="65">
        <v>708.59</v>
      </c>
      <c r="T2696" s="65">
        <v>0</v>
      </c>
      <c r="U2696" s="58">
        <v>0</v>
      </c>
      <c r="V2696" s="65">
        <v>0</v>
      </c>
      <c r="W2696" s="65">
        <v>0</v>
      </c>
      <c r="X2696" s="65">
        <v>29699</v>
      </c>
      <c r="Y2696" s="65">
        <v>0</v>
      </c>
      <c r="Z2696" s="51">
        <v>0</v>
      </c>
      <c r="AA2696" s="51">
        <v>99</v>
      </c>
      <c r="AB2696" s="102">
        <v>0</v>
      </c>
      <c r="AC2696" s="81">
        <f t="shared" si="130"/>
        <v>0</v>
      </c>
      <c r="AD2696" s="82">
        <f t="shared" si="131"/>
        <v>0</v>
      </c>
      <c r="AE2696" s="218">
        <v>3.1881960042325192E-3</v>
      </c>
      <c r="AF2696">
        <v>15</v>
      </c>
      <c r="AH2696" t="str">
        <f t="shared" si="129"/>
        <v>Kalyanpur</v>
      </c>
      <c r="AJ2696" s="72">
        <v>0</v>
      </c>
      <c r="AK2696" s="72"/>
      <c r="AL2696" s="72"/>
      <c r="AM2696" s="72"/>
    </row>
    <row r="2697" spans="1:39" x14ac:dyDescent="0.25">
      <c r="A2697" s="37" t="s">
        <v>62</v>
      </c>
      <c r="B2697" s="66" t="s">
        <v>1654</v>
      </c>
      <c r="C2697" s="4">
        <v>1053</v>
      </c>
      <c r="D2697" s="41" t="s">
        <v>527</v>
      </c>
      <c r="E2697" s="41">
        <v>10530111</v>
      </c>
      <c r="F2697" s="85" t="s">
        <v>1429</v>
      </c>
      <c r="G2697" s="39" t="s">
        <v>92</v>
      </c>
      <c r="H2697" s="52" t="s">
        <v>93</v>
      </c>
      <c r="I2697" s="52">
        <v>527.29999999999995</v>
      </c>
      <c r="J2697" s="49">
        <v>21328.390000000003</v>
      </c>
      <c r="K2697" s="58">
        <v>539.7299999999999</v>
      </c>
      <c r="L2697" s="58">
        <v>20877.239999999994</v>
      </c>
      <c r="M2697" s="58">
        <v>11.2</v>
      </c>
      <c r="N2697" s="58">
        <v>448.96999999999991</v>
      </c>
      <c r="O2697" s="58">
        <v>550.92999999999995</v>
      </c>
      <c r="P2697" s="53">
        <v>21326.209999999995</v>
      </c>
      <c r="Q2697" s="65">
        <v>21326.209999999995</v>
      </c>
      <c r="R2697" s="65">
        <v>0</v>
      </c>
      <c r="S2697" s="65">
        <v>448.96999999999991</v>
      </c>
      <c r="T2697" s="65">
        <v>0</v>
      </c>
      <c r="U2697" s="58">
        <v>0</v>
      </c>
      <c r="V2697" s="65">
        <v>0</v>
      </c>
      <c r="W2697" s="65">
        <v>0</v>
      </c>
      <c r="X2697" s="65">
        <v>20878</v>
      </c>
      <c r="Y2697" s="65">
        <v>0</v>
      </c>
      <c r="Z2697" s="51">
        <v>0</v>
      </c>
      <c r="AA2697" s="51">
        <v>1</v>
      </c>
      <c r="AB2697" s="102">
        <v>0</v>
      </c>
      <c r="AC2697" s="81">
        <f t="shared" si="130"/>
        <v>139.70843743599474</v>
      </c>
      <c r="AD2697" s="82">
        <f t="shared" si="131"/>
        <v>75.328571428571422</v>
      </c>
      <c r="AE2697" s="218">
        <v>1.0221118424820471E-4</v>
      </c>
      <c r="AF2697">
        <v>18</v>
      </c>
      <c r="AH2697" t="str">
        <f t="shared" si="129"/>
        <v>Kalyanpur</v>
      </c>
      <c r="AJ2697" s="72">
        <v>0</v>
      </c>
      <c r="AK2697" s="72"/>
      <c r="AL2697" s="72"/>
      <c r="AM2697" s="72"/>
    </row>
    <row r="2698" spans="1:39" x14ac:dyDescent="0.25">
      <c r="A2698" s="37" t="s">
        <v>62</v>
      </c>
      <c r="B2698" s="66" t="s">
        <v>1654</v>
      </c>
      <c r="C2698" s="4">
        <v>1053</v>
      </c>
      <c r="D2698" s="41" t="s">
        <v>527</v>
      </c>
      <c r="E2698" s="41">
        <v>10530112</v>
      </c>
      <c r="F2698" s="85" t="s">
        <v>1430</v>
      </c>
      <c r="G2698" s="39" t="s">
        <v>92</v>
      </c>
      <c r="H2698" s="52" t="s">
        <v>93</v>
      </c>
      <c r="I2698" s="52">
        <v>682.44999999999993</v>
      </c>
      <c r="J2698" s="49">
        <v>27249.41</v>
      </c>
      <c r="K2698" s="58">
        <v>692.83999999999992</v>
      </c>
      <c r="L2698" s="58">
        <v>26849.93</v>
      </c>
      <c r="M2698" s="58">
        <v>9</v>
      </c>
      <c r="N2698" s="58">
        <v>387.23</v>
      </c>
      <c r="O2698" s="58">
        <v>701.83999999999992</v>
      </c>
      <c r="P2698" s="53">
        <v>27237.16</v>
      </c>
      <c r="Q2698" s="65">
        <v>27237.16</v>
      </c>
      <c r="R2698" s="65">
        <v>0</v>
      </c>
      <c r="S2698" s="65">
        <v>352.48</v>
      </c>
      <c r="T2698" s="65">
        <v>0</v>
      </c>
      <c r="U2698" s="58">
        <v>0</v>
      </c>
      <c r="V2698" s="65">
        <v>0</v>
      </c>
      <c r="W2698" s="65">
        <v>0</v>
      </c>
      <c r="X2698" s="65">
        <v>26850</v>
      </c>
      <c r="Y2698" s="65">
        <v>35</v>
      </c>
      <c r="Z2698" s="51">
        <v>0</v>
      </c>
      <c r="AA2698" s="51">
        <v>12</v>
      </c>
      <c r="AB2698" s="102">
        <v>0</v>
      </c>
      <c r="AC2698" s="81">
        <f t="shared" si="130"/>
        <v>14.015009026302348</v>
      </c>
      <c r="AD2698" s="82">
        <f t="shared" si="131"/>
        <v>97.492857142857133</v>
      </c>
      <c r="AE2698" s="218">
        <v>4.4955101780185333E-4</v>
      </c>
      <c r="AF2698">
        <v>8</v>
      </c>
      <c r="AH2698" t="str">
        <f t="shared" si="129"/>
        <v>Kalyanpur</v>
      </c>
      <c r="AJ2698" s="72">
        <v>0</v>
      </c>
      <c r="AK2698" s="72"/>
      <c r="AL2698" s="72"/>
      <c r="AM2698" s="72"/>
    </row>
    <row r="2699" spans="1:39" x14ac:dyDescent="0.25">
      <c r="A2699" s="37" t="s">
        <v>62</v>
      </c>
      <c r="B2699" s="66" t="s">
        <v>1654</v>
      </c>
      <c r="C2699" s="4">
        <v>1053</v>
      </c>
      <c r="D2699" s="41" t="s">
        <v>527</v>
      </c>
      <c r="E2699" s="41">
        <v>10530113</v>
      </c>
      <c r="F2699" s="85" t="s">
        <v>1473</v>
      </c>
      <c r="G2699" s="39" t="s">
        <v>92</v>
      </c>
      <c r="H2699" s="52" t="s">
        <v>93</v>
      </c>
      <c r="I2699" s="52">
        <v>439.19999999999993</v>
      </c>
      <c r="J2699" s="49">
        <v>17949.370000000003</v>
      </c>
      <c r="K2699" s="58">
        <v>378.85</v>
      </c>
      <c r="L2699" s="58">
        <v>15176.400000000001</v>
      </c>
      <c r="M2699" s="58">
        <v>65.400000000000006</v>
      </c>
      <c r="N2699" s="58">
        <v>2745.1800000000003</v>
      </c>
      <c r="O2699" s="58">
        <v>444.25</v>
      </c>
      <c r="P2699" s="53">
        <v>17921.580000000002</v>
      </c>
      <c r="Q2699" s="65">
        <v>17921.580000000002</v>
      </c>
      <c r="R2699" s="65">
        <v>0</v>
      </c>
      <c r="S2699" s="65">
        <v>160.33000000000001</v>
      </c>
      <c r="T2699" s="65">
        <v>0</v>
      </c>
      <c r="U2699" s="58">
        <v>3200</v>
      </c>
      <c r="V2699" s="65">
        <v>0</v>
      </c>
      <c r="W2699" s="65">
        <v>0</v>
      </c>
      <c r="X2699" s="65">
        <v>11977</v>
      </c>
      <c r="Y2699" s="65">
        <v>2585</v>
      </c>
      <c r="Z2699" s="51">
        <v>0</v>
      </c>
      <c r="AA2699" s="51">
        <v>27</v>
      </c>
      <c r="AB2699" s="102">
        <v>0</v>
      </c>
      <c r="AC2699" s="81">
        <f t="shared" si="130"/>
        <v>213.1692029143899</v>
      </c>
      <c r="AD2699" s="82">
        <f t="shared" si="131"/>
        <v>62.742857142857133</v>
      </c>
      <c r="AE2699" s="218">
        <v>1.5482437545162237E-3</v>
      </c>
      <c r="AF2699">
        <v>9</v>
      </c>
      <c r="AH2699" t="str">
        <f t="shared" si="129"/>
        <v>Kalyanpur</v>
      </c>
      <c r="AJ2699" s="72">
        <v>0</v>
      </c>
      <c r="AK2699" s="72"/>
      <c r="AL2699" s="72"/>
      <c r="AM2699" s="72"/>
    </row>
    <row r="2700" spans="1:39" x14ac:dyDescent="0.25">
      <c r="A2700" s="37" t="s">
        <v>62</v>
      </c>
      <c r="B2700" s="66" t="s">
        <v>1654</v>
      </c>
      <c r="C2700" s="4">
        <v>1053</v>
      </c>
      <c r="D2700" s="41" t="s">
        <v>527</v>
      </c>
      <c r="E2700" s="41">
        <v>10530114</v>
      </c>
      <c r="F2700" s="85" t="s">
        <v>1504</v>
      </c>
      <c r="G2700" s="39" t="s">
        <v>92</v>
      </c>
      <c r="H2700" s="52" t="s">
        <v>93</v>
      </c>
      <c r="I2700" s="52">
        <v>452.6</v>
      </c>
      <c r="J2700" s="49">
        <v>19650.259999999998</v>
      </c>
      <c r="K2700" s="58">
        <v>450.88000000000005</v>
      </c>
      <c r="L2700" s="58">
        <v>19565.86</v>
      </c>
      <c r="M2700" s="58">
        <v>1.77</v>
      </c>
      <c r="N2700" s="58">
        <v>82.33</v>
      </c>
      <c r="O2700" s="58">
        <v>452.65000000000003</v>
      </c>
      <c r="P2700" s="53">
        <v>19648.190000000002</v>
      </c>
      <c r="Q2700" s="65">
        <v>19648.190000000002</v>
      </c>
      <c r="R2700" s="65">
        <v>0</v>
      </c>
      <c r="S2700" s="65">
        <v>82.33</v>
      </c>
      <c r="T2700" s="65">
        <v>0</v>
      </c>
      <c r="U2700" s="58">
        <v>0</v>
      </c>
      <c r="V2700" s="65">
        <v>0</v>
      </c>
      <c r="W2700" s="65">
        <v>0</v>
      </c>
      <c r="X2700" s="65">
        <v>19566</v>
      </c>
      <c r="Y2700" s="65">
        <v>0</v>
      </c>
      <c r="Z2700" s="51">
        <v>0</v>
      </c>
      <c r="AA2700" s="51">
        <v>2</v>
      </c>
      <c r="AB2700" s="102">
        <v>0</v>
      </c>
      <c r="AC2700" s="81">
        <f t="shared" si="130"/>
        <v>214.82431833848867</v>
      </c>
      <c r="AD2700" s="82">
        <f t="shared" si="131"/>
        <v>64.657142857142858</v>
      </c>
      <c r="AE2700" s="218">
        <v>1.0534211761045764E-4</v>
      </c>
      <c r="AF2700">
        <v>18</v>
      </c>
      <c r="AH2700" t="str">
        <f t="shared" si="129"/>
        <v>Kalyanpur</v>
      </c>
      <c r="AJ2700" s="72">
        <v>0</v>
      </c>
      <c r="AK2700" s="72"/>
      <c r="AL2700" s="72"/>
      <c r="AM2700" s="72"/>
    </row>
    <row r="2701" spans="1:39" x14ac:dyDescent="0.25">
      <c r="A2701" s="37" t="s">
        <v>62</v>
      </c>
      <c r="B2701" s="66" t="s">
        <v>1654</v>
      </c>
      <c r="C2701" s="4">
        <v>1053</v>
      </c>
      <c r="D2701" s="41" t="s">
        <v>527</v>
      </c>
      <c r="E2701" s="41">
        <v>10530116</v>
      </c>
      <c r="F2701" s="85" t="s">
        <v>1549</v>
      </c>
      <c r="G2701" s="39" t="s">
        <v>1610</v>
      </c>
      <c r="H2701" s="52" t="s">
        <v>98</v>
      </c>
      <c r="I2701" s="52">
        <v>938.2</v>
      </c>
      <c r="J2701" s="49">
        <v>38429.24</v>
      </c>
      <c r="K2701" s="58">
        <v>0</v>
      </c>
      <c r="L2701" s="58">
        <v>0</v>
      </c>
      <c r="M2701" s="58">
        <v>0</v>
      </c>
      <c r="N2701" s="58">
        <v>0</v>
      </c>
      <c r="O2701" s="58">
        <v>0</v>
      </c>
      <c r="P2701" s="53">
        <v>0</v>
      </c>
      <c r="Q2701" s="65">
        <v>38429.24</v>
      </c>
      <c r="R2701" s="65">
        <v>0</v>
      </c>
      <c r="S2701" s="65">
        <v>0</v>
      </c>
      <c r="T2701" s="65">
        <v>0</v>
      </c>
      <c r="U2701" s="58">
        <v>0</v>
      </c>
      <c r="V2701" s="65">
        <v>0</v>
      </c>
      <c r="W2701" s="65">
        <v>0</v>
      </c>
      <c r="X2701" s="65">
        <v>0</v>
      </c>
      <c r="Y2701" s="65">
        <v>0</v>
      </c>
      <c r="Z2701" s="51">
        <v>38429.24</v>
      </c>
      <c r="AA2701" s="51">
        <v>0</v>
      </c>
      <c r="AB2701" s="102">
        <v>0</v>
      </c>
      <c r="AC2701" s="81">
        <f t="shared" si="130"/>
        <v>0</v>
      </c>
      <c r="AD2701" s="82">
        <f t="shared" si="131"/>
        <v>0</v>
      </c>
      <c r="AE2701" s="218">
        <v>0</v>
      </c>
      <c r="AF2701">
        <v>0</v>
      </c>
      <c r="AH2701" t="str">
        <f t="shared" si="129"/>
        <v>Kalyanpur</v>
      </c>
      <c r="AJ2701" s="72">
        <v>0</v>
      </c>
      <c r="AK2701" s="72"/>
      <c r="AL2701" s="72"/>
      <c r="AM2701" s="72"/>
    </row>
    <row r="2702" spans="1:39" x14ac:dyDescent="0.25">
      <c r="A2702" s="37" t="s">
        <v>62</v>
      </c>
      <c r="B2702" s="66" t="s">
        <v>1654</v>
      </c>
      <c r="C2702" s="4">
        <v>1053</v>
      </c>
      <c r="D2702" s="41" t="s">
        <v>527</v>
      </c>
      <c r="E2702" s="41">
        <v>10530117</v>
      </c>
      <c r="F2702" s="85" t="s">
        <v>1620</v>
      </c>
      <c r="G2702" s="39" t="s">
        <v>1610</v>
      </c>
      <c r="H2702" s="52" t="s">
        <v>98</v>
      </c>
      <c r="I2702" s="52">
        <v>1293.8999999999996</v>
      </c>
      <c r="J2702" s="49">
        <v>51922.069999999992</v>
      </c>
      <c r="K2702" s="58">
        <v>0</v>
      </c>
      <c r="L2702" s="58">
        <v>0</v>
      </c>
      <c r="M2702" s="58">
        <v>0</v>
      </c>
      <c r="N2702" s="58">
        <v>0</v>
      </c>
      <c r="O2702" s="58">
        <v>0</v>
      </c>
      <c r="P2702" s="53">
        <v>0</v>
      </c>
      <c r="Q2702" s="65">
        <v>51922.069999999992</v>
      </c>
      <c r="R2702" s="65">
        <v>0</v>
      </c>
      <c r="S2702" s="65">
        <v>0</v>
      </c>
      <c r="T2702" s="65">
        <v>0</v>
      </c>
      <c r="U2702" s="58">
        <v>0</v>
      </c>
      <c r="V2702" s="65">
        <v>0</v>
      </c>
      <c r="W2702" s="65">
        <v>0</v>
      </c>
      <c r="X2702" s="65">
        <v>0</v>
      </c>
      <c r="Y2702" s="65">
        <v>0</v>
      </c>
      <c r="Z2702" s="51">
        <v>51922.069999999992</v>
      </c>
      <c r="AA2702" s="51">
        <v>0</v>
      </c>
      <c r="AB2702" s="102">
        <v>0</v>
      </c>
      <c r="AC2702" s="81">
        <f t="shared" si="130"/>
        <v>0</v>
      </c>
      <c r="AD2702" s="82">
        <f t="shared" si="131"/>
        <v>0</v>
      </c>
      <c r="AE2702" s="218">
        <v>0</v>
      </c>
      <c r="AF2702">
        <v>0</v>
      </c>
      <c r="AH2702" t="str">
        <f t="shared" si="129"/>
        <v>Kalyanpur</v>
      </c>
      <c r="AJ2702" s="72">
        <v>0</v>
      </c>
      <c r="AK2702" s="72"/>
      <c r="AL2702" s="72"/>
      <c r="AM2702" s="72"/>
    </row>
    <row r="2703" spans="1:39" x14ac:dyDescent="0.25">
      <c r="A2703" s="37" t="s">
        <v>62</v>
      </c>
      <c r="B2703" s="66" t="s">
        <v>1654</v>
      </c>
      <c r="C2703" s="4">
        <v>1054</v>
      </c>
      <c r="D2703" s="41" t="s">
        <v>808</v>
      </c>
      <c r="E2703" s="41">
        <v>10540003</v>
      </c>
      <c r="F2703" s="85" t="s">
        <v>663</v>
      </c>
      <c r="G2703" s="39" t="s">
        <v>92</v>
      </c>
      <c r="H2703" s="52" t="s">
        <v>93</v>
      </c>
      <c r="I2703" s="52">
        <v>3269.6</v>
      </c>
      <c r="J2703" s="49">
        <v>137485.60999999999</v>
      </c>
      <c r="K2703" s="58">
        <v>3269.4999999999995</v>
      </c>
      <c r="L2703" s="58">
        <v>137481.28999999998</v>
      </c>
      <c r="M2703" s="58">
        <v>0</v>
      </c>
      <c r="N2703" s="58">
        <v>0</v>
      </c>
      <c r="O2703" s="58">
        <v>3269.4999999999995</v>
      </c>
      <c r="P2703" s="53">
        <v>137481.28999999998</v>
      </c>
      <c r="Q2703" s="65">
        <v>137481.28999999998</v>
      </c>
      <c r="R2703" s="65">
        <v>0</v>
      </c>
      <c r="S2703" s="65">
        <v>0</v>
      </c>
      <c r="T2703" s="65">
        <v>0</v>
      </c>
      <c r="U2703" s="58">
        <v>0</v>
      </c>
      <c r="V2703" s="65">
        <v>0</v>
      </c>
      <c r="W2703" s="65">
        <v>0</v>
      </c>
      <c r="X2703" s="65">
        <v>137481</v>
      </c>
      <c r="Y2703" s="65">
        <v>0</v>
      </c>
      <c r="Z2703" s="51">
        <v>0</v>
      </c>
      <c r="AA2703" s="51">
        <v>5</v>
      </c>
      <c r="AB2703" s="102">
        <v>0</v>
      </c>
      <c r="AC2703" s="81">
        <f t="shared" si="130"/>
        <v>0</v>
      </c>
      <c r="AD2703" s="82">
        <f t="shared" si="131"/>
        <v>0</v>
      </c>
      <c r="AE2703" s="218">
        <v>3.1421470217915789E-5</v>
      </c>
      <c r="AF2703">
        <v>1</v>
      </c>
      <c r="AH2703" t="str">
        <f t="shared" si="129"/>
        <v xml:space="preserve">Alauli </v>
      </c>
      <c r="AJ2703" s="72">
        <v>0</v>
      </c>
      <c r="AK2703" s="72"/>
      <c r="AL2703" s="72"/>
      <c r="AM2703" s="72"/>
    </row>
    <row r="2704" spans="1:39" x14ac:dyDescent="0.25">
      <c r="A2704" s="37" t="s">
        <v>62</v>
      </c>
      <c r="B2704" s="66" t="s">
        <v>1654</v>
      </c>
      <c r="C2704" s="4">
        <v>1054</v>
      </c>
      <c r="D2704" s="41" t="s">
        <v>808</v>
      </c>
      <c r="E2704" s="41">
        <v>10540005</v>
      </c>
      <c r="F2704" s="85" t="s">
        <v>665</v>
      </c>
      <c r="G2704" s="39" t="s">
        <v>92</v>
      </c>
      <c r="H2704" s="52" t="s">
        <v>93</v>
      </c>
      <c r="I2704" s="52">
        <v>386.5</v>
      </c>
      <c r="J2704" s="49">
        <v>16874.850000000002</v>
      </c>
      <c r="K2704" s="58">
        <v>389.06</v>
      </c>
      <c r="L2704" s="58">
        <v>16841.719999999998</v>
      </c>
      <c r="M2704" s="58">
        <v>0</v>
      </c>
      <c r="N2704" s="58">
        <v>0</v>
      </c>
      <c r="O2704" s="58">
        <v>389.06</v>
      </c>
      <c r="P2704" s="53">
        <v>16841.719999999998</v>
      </c>
      <c r="Q2704" s="65">
        <v>16841.719999999998</v>
      </c>
      <c r="R2704" s="65">
        <v>0</v>
      </c>
      <c r="S2704" s="65">
        <v>0</v>
      </c>
      <c r="T2704" s="65">
        <v>0</v>
      </c>
      <c r="U2704" s="58">
        <v>0</v>
      </c>
      <c r="V2704" s="65">
        <v>0</v>
      </c>
      <c r="W2704" s="65">
        <v>0</v>
      </c>
      <c r="X2704" s="65">
        <v>16842</v>
      </c>
      <c r="Y2704" s="65">
        <v>0</v>
      </c>
      <c r="Z2704" s="51">
        <v>0</v>
      </c>
      <c r="AA2704" s="51">
        <v>33</v>
      </c>
      <c r="AB2704" s="102">
        <v>0</v>
      </c>
      <c r="AC2704" s="81">
        <f t="shared" si="130"/>
        <v>273.75241785252268</v>
      </c>
      <c r="AD2704" s="82">
        <f t="shared" si="131"/>
        <v>55.214285714285715</v>
      </c>
      <c r="AE2704" s="218">
        <v>1.9632767106080736E-3</v>
      </c>
      <c r="AF2704">
        <v>13</v>
      </c>
      <c r="AH2704" t="str">
        <f t="shared" si="129"/>
        <v xml:space="preserve">Alauli </v>
      </c>
      <c r="AJ2704" s="72">
        <v>0</v>
      </c>
      <c r="AK2704" s="72"/>
      <c r="AL2704" s="72"/>
      <c r="AM2704" s="72"/>
    </row>
    <row r="2705" spans="1:39" x14ac:dyDescent="0.25">
      <c r="A2705" s="37" t="s">
        <v>62</v>
      </c>
      <c r="B2705" s="66" t="s">
        <v>1654</v>
      </c>
      <c r="C2705" s="4">
        <v>1054</v>
      </c>
      <c r="D2705" s="41" t="s">
        <v>808</v>
      </c>
      <c r="E2705" s="41">
        <v>10540007</v>
      </c>
      <c r="F2705" s="85" t="s">
        <v>1621</v>
      </c>
      <c r="G2705" s="39" t="s">
        <v>92</v>
      </c>
      <c r="H2705" s="52" t="s">
        <v>93</v>
      </c>
      <c r="I2705" s="52">
        <v>427.1</v>
      </c>
      <c r="J2705" s="49">
        <v>18695.579999999998</v>
      </c>
      <c r="K2705" s="58">
        <v>482.39</v>
      </c>
      <c r="L2705" s="58">
        <v>20960.260000000002</v>
      </c>
      <c r="M2705" s="58">
        <v>0</v>
      </c>
      <c r="N2705" s="58">
        <v>0</v>
      </c>
      <c r="O2705" s="58">
        <v>482.39</v>
      </c>
      <c r="P2705" s="53">
        <v>20960.260000000002</v>
      </c>
      <c r="Q2705" s="65">
        <v>18695.579999999998</v>
      </c>
      <c r="R2705" s="65">
        <v>0</v>
      </c>
      <c r="S2705" s="65">
        <v>0</v>
      </c>
      <c r="T2705" s="65">
        <v>2264.6800000000039</v>
      </c>
      <c r="U2705" s="58">
        <v>0</v>
      </c>
      <c r="V2705" s="65">
        <v>0</v>
      </c>
      <c r="W2705" s="65">
        <v>0</v>
      </c>
      <c r="X2705" s="65">
        <v>18696</v>
      </c>
      <c r="Y2705" s="65">
        <v>0</v>
      </c>
      <c r="Z2705" s="51">
        <v>0</v>
      </c>
      <c r="AA2705" s="51">
        <v>0</v>
      </c>
      <c r="AB2705" s="102">
        <v>0</v>
      </c>
      <c r="AC2705" s="81">
        <f t="shared" si="130"/>
        <v>238.91471702177472</v>
      </c>
      <c r="AD2705" s="82">
        <f t="shared" si="131"/>
        <v>61.01428571428572</v>
      </c>
      <c r="AE2705" s="218">
        <v>-0.12113451414719437</v>
      </c>
      <c r="AF2705">
        <v>1</v>
      </c>
      <c r="AH2705" t="str">
        <f t="shared" si="129"/>
        <v xml:space="preserve">Alauli </v>
      </c>
      <c r="AJ2705" s="72">
        <v>0</v>
      </c>
      <c r="AK2705" s="72"/>
      <c r="AL2705" s="72"/>
      <c r="AM2705" s="72"/>
    </row>
    <row r="2706" spans="1:39" x14ac:dyDescent="0.25">
      <c r="A2706" s="37" t="s">
        <v>62</v>
      </c>
      <c r="B2706" s="66" t="s">
        <v>1654</v>
      </c>
      <c r="C2706" s="4">
        <v>1054</v>
      </c>
      <c r="D2706" s="41" t="s">
        <v>808</v>
      </c>
      <c r="E2706" s="41">
        <v>10540008</v>
      </c>
      <c r="F2706" s="85" t="s">
        <v>1123</v>
      </c>
      <c r="G2706" s="39" t="s">
        <v>92</v>
      </c>
      <c r="H2706" s="52" t="s">
        <v>93</v>
      </c>
      <c r="I2706" s="52">
        <v>85.1</v>
      </c>
      <c r="J2706" s="49">
        <v>3909.4</v>
      </c>
      <c r="K2706" s="58">
        <v>92.39</v>
      </c>
      <c r="L2706" s="58">
        <v>4264.26</v>
      </c>
      <c r="M2706" s="58">
        <v>0</v>
      </c>
      <c r="N2706" s="58">
        <v>0</v>
      </c>
      <c r="O2706" s="58">
        <v>92.39</v>
      </c>
      <c r="P2706" s="53">
        <v>4264.26</v>
      </c>
      <c r="Q2706" s="65">
        <v>3909.4</v>
      </c>
      <c r="R2706" s="65">
        <v>0</v>
      </c>
      <c r="S2706" s="65">
        <v>0</v>
      </c>
      <c r="T2706" s="65">
        <v>354.86000000000013</v>
      </c>
      <c r="U2706" s="58">
        <v>0</v>
      </c>
      <c r="V2706" s="65">
        <v>500</v>
      </c>
      <c r="W2706" s="65">
        <v>0</v>
      </c>
      <c r="X2706" s="65">
        <v>3409</v>
      </c>
      <c r="Y2706" s="65">
        <v>0</v>
      </c>
      <c r="Z2706" s="51">
        <v>0</v>
      </c>
      <c r="AA2706" s="51">
        <v>0</v>
      </c>
      <c r="AB2706" s="102" t="s">
        <v>1366</v>
      </c>
      <c r="AC2706" s="81">
        <f t="shared" si="130"/>
        <v>564.95653584018805</v>
      </c>
      <c r="AD2706" s="82">
        <f t="shared" si="131"/>
        <v>12.157142857142857</v>
      </c>
      <c r="AE2706" s="218">
        <v>-9.0770962296004537E-2</v>
      </c>
      <c r="AF2706">
        <v>8</v>
      </c>
      <c r="AH2706" t="str">
        <f t="shared" si="129"/>
        <v xml:space="preserve">Alauli </v>
      </c>
      <c r="AJ2706" s="72">
        <v>500</v>
      </c>
      <c r="AK2706" s="72"/>
      <c r="AL2706" s="72"/>
      <c r="AM2706" s="72"/>
    </row>
    <row r="2707" spans="1:39" x14ac:dyDescent="0.25">
      <c r="A2707" s="37" t="s">
        <v>62</v>
      </c>
      <c r="B2707" s="66" t="s">
        <v>1654</v>
      </c>
      <c r="C2707" s="4">
        <v>1054</v>
      </c>
      <c r="D2707" s="41" t="s">
        <v>808</v>
      </c>
      <c r="E2707" s="41">
        <v>10540009</v>
      </c>
      <c r="F2707" s="85" t="s">
        <v>830</v>
      </c>
      <c r="G2707" s="39" t="s">
        <v>92</v>
      </c>
      <c r="H2707" s="52" t="s">
        <v>93</v>
      </c>
      <c r="I2707" s="52">
        <v>1198.7</v>
      </c>
      <c r="J2707" s="49">
        <v>52866.34</v>
      </c>
      <c r="K2707" s="58">
        <v>1150.7199999999998</v>
      </c>
      <c r="L2707" s="58">
        <v>52900.390000000007</v>
      </c>
      <c r="M2707" s="58">
        <v>0</v>
      </c>
      <c r="N2707" s="58">
        <v>0</v>
      </c>
      <c r="O2707" s="58">
        <v>1150.7199999999998</v>
      </c>
      <c r="P2707" s="53">
        <v>52900.390000000007</v>
      </c>
      <c r="Q2707" s="65">
        <v>52866.34</v>
      </c>
      <c r="R2707" s="65">
        <v>0</v>
      </c>
      <c r="S2707" s="65">
        <v>0</v>
      </c>
      <c r="T2707" s="65">
        <v>34.050000000010186</v>
      </c>
      <c r="U2707" s="58">
        <v>0</v>
      </c>
      <c r="V2707" s="65">
        <v>0</v>
      </c>
      <c r="W2707" s="65">
        <v>0</v>
      </c>
      <c r="X2707" s="65">
        <v>52902</v>
      </c>
      <c r="Y2707" s="65">
        <v>0</v>
      </c>
      <c r="Z2707" s="51">
        <v>0</v>
      </c>
      <c r="AA2707" s="51">
        <v>-36</v>
      </c>
      <c r="AB2707" s="102" t="s">
        <v>1366</v>
      </c>
      <c r="AC2707" s="81">
        <f t="shared" si="130"/>
        <v>0</v>
      </c>
      <c r="AD2707" s="82">
        <f t="shared" si="131"/>
        <v>0</v>
      </c>
      <c r="AE2707" s="218">
        <v>-6.4407711977054185E-4</v>
      </c>
      <c r="AF2707">
        <v>29</v>
      </c>
      <c r="AH2707" t="str">
        <f t="shared" si="129"/>
        <v xml:space="preserve">Alauli </v>
      </c>
      <c r="AJ2707" s="72">
        <v>0</v>
      </c>
      <c r="AK2707" s="72"/>
      <c r="AL2707" s="72"/>
      <c r="AM2707" s="72"/>
    </row>
    <row r="2708" spans="1:39" x14ac:dyDescent="0.25">
      <c r="A2708" s="37" t="s">
        <v>62</v>
      </c>
      <c r="B2708" s="66" t="s">
        <v>1654</v>
      </c>
      <c r="C2708" s="4">
        <v>1054</v>
      </c>
      <c r="D2708" s="41" t="s">
        <v>808</v>
      </c>
      <c r="E2708" s="41">
        <v>10540010</v>
      </c>
      <c r="F2708" s="85" t="s">
        <v>597</v>
      </c>
      <c r="G2708" s="39" t="s">
        <v>1610</v>
      </c>
      <c r="H2708" s="52" t="s">
        <v>98</v>
      </c>
      <c r="I2708" s="52">
        <v>2206.5</v>
      </c>
      <c r="J2708" s="49">
        <v>94268.95</v>
      </c>
      <c r="K2708" s="58">
        <v>0</v>
      </c>
      <c r="L2708" s="58">
        <v>0</v>
      </c>
      <c r="M2708" s="58">
        <v>0</v>
      </c>
      <c r="N2708" s="58">
        <v>0</v>
      </c>
      <c r="O2708" s="58">
        <v>0</v>
      </c>
      <c r="P2708" s="53">
        <v>0</v>
      </c>
      <c r="Q2708" s="65">
        <v>94268.95</v>
      </c>
      <c r="R2708" s="65">
        <v>0</v>
      </c>
      <c r="S2708" s="65">
        <v>0</v>
      </c>
      <c r="T2708" s="65">
        <v>0</v>
      </c>
      <c r="U2708" s="58">
        <v>0</v>
      </c>
      <c r="V2708" s="65">
        <v>0</v>
      </c>
      <c r="W2708" s="65">
        <v>0</v>
      </c>
      <c r="X2708" s="65">
        <v>0</v>
      </c>
      <c r="Y2708" s="65">
        <v>0</v>
      </c>
      <c r="Z2708" s="51">
        <v>94268.95</v>
      </c>
      <c r="AA2708" s="51">
        <v>0</v>
      </c>
      <c r="AB2708" s="102">
        <v>0</v>
      </c>
      <c r="AC2708" s="81">
        <f t="shared" si="130"/>
        <v>0</v>
      </c>
      <c r="AD2708" s="82">
        <f t="shared" si="131"/>
        <v>0</v>
      </c>
      <c r="AE2708" s="218">
        <v>0</v>
      </c>
      <c r="AF2708">
        <v>0</v>
      </c>
      <c r="AH2708" t="str">
        <f t="shared" si="129"/>
        <v xml:space="preserve">Alauli </v>
      </c>
      <c r="AJ2708" s="72">
        <v>0</v>
      </c>
      <c r="AK2708" s="72"/>
      <c r="AL2708" s="72"/>
      <c r="AM2708" s="72"/>
    </row>
    <row r="2709" spans="1:39" x14ac:dyDescent="0.25">
      <c r="A2709" s="37" t="s">
        <v>62</v>
      </c>
      <c r="B2709" s="66" t="s">
        <v>1654</v>
      </c>
      <c r="C2709" s="4">
        <v>1054</v>
      </c>
      <c r="D2709" s="41" t="s">
        <v>808</v>
      </c>
      <c r="E2709" s="41">
        <v>10540012</v>
      </c>
      <c r="F2709" s="85" t="s">
        <v>821</v>
      </c>
      <c r="G2709" s="39" t="s">
        <v>1610</v>
      </c>
      <c r="H2709" s="52" t="s">
        <v>98</v>
      </c>
      <c r="I2709" s="52">
        <v>320.2</v>
      </c>
      <c r="J2709" s="49">
        <v>11328.060000000001</v>
      </c>
      <c r="K2709" s="58">
        <v>0</v>
      </c>
      <c r="L2709" s="58">
        <v>0</v>
      </c>
      <c r="M2709" s="58">
        <v>0</v>
      </c>
      <c r="N2709" s="58">
        <v>0</v>
      </c>
      <c r="O2709" s="58">
        <v>0</v>
      </c>
      <c r="P2709" s="53">
        <v>0</v>
      </c>
      <c r="Q2709" s="65">
        <v>11328.060000000001</v>
      </c>
      <c r="R2709" s="65">
        <v>0</v>
      </c>
      <c r="S2709" s="65">
        <v>0</v>
      </c>
      <c r="T2709" s="65">
        <v>0</v>
      </c>
      <c r="U2709" s="58">
        <v>0</v>
      </c>
      <c r="V2709" s="65">
        <v>0</v>
      </c>
      <c r="W2709" s="65">
        <v>0</v>
      </c>
      <c r="X2709" s="65">
        <v>0</v>
      </c>
      <c r="Y2709" s="65">
        <v>0</v>
      </c>
      <c r="Z2709" s="51">
        <v>11328.060000000001</v>
      </c>
      <c r="AA2709" s="51">
        <v>0</v>
      </c>
      <c r="AB2709" s="102">
        <v>0</v>
      </c>
      <c r="AC2709" s="81">
        <f t="shared" si="130"/>
        <v>268.73186683322928</v>
      </c>
      <c r="AD2709" s="82">
        <f t="shared" si="131"/>
        <v>45.74285714285714</v>
      </c>
      <c r="AE2709" s="218">
        <v>0</v>
      </c>
      <c r="AF2709">
        <v>0</v>
      </c>
      <c r="AH2709" t="str">
        <f t="shared" si="129"/>
        <v xml:space="preserve">Alauli </v>
      </c>
      <c r="AJ2709" s="72">
        <v>0</v>
      </c>
      <c r="AK2709" s="72"/>
      <c r="AL2709" s="72"/>
      <c r="AM2709" s="72"/>
    </row>
    <row r="2710" spans="1:39" x14ac:dyDescent="0.25">
      <c r="A2710" s="37" t="s">
        <v>62</v>
      </c>
      <c r="B2710" s="66" t="s">
        <v>1654</v>
      </c>
      <c r="C2710" s="4">
        <v>1054</v>
      </c>
      <c r="D2710" s="41" t="s">
        <v>808</v>
      </c>
      <c r="E2710" s="41">
        <v>10540014</v>
      </c>
      <c r="F2710" s="85" t="s">
        <v>1124</v>
      </c>
      <c r="G2710" s="39" t="s">
        <v>1610</v>
      </c>
      <c r="H2710" s="52" t="s">
        <v>98</v>
      </c>
      <c r="I2710" s="52">
        <v>53.5</v>
      </c>
      <c r="J2710" s="49">
        <v>2680.75</v>
      </c>
      <c r="K2710" s="58">
        <v>0</v>
      </c>
      <c r="L2710" s="58">
        <v>0</v>
      </c>
      <c r="M2710" s="58">
        <v>0</v>
      </c>
      <c r="N2710" s="58">
        <v>0</v>
      </c>
      <c r="O2710" s="58">
        <v>0</v>
      </c>
      <c r="P2710" s="53">
        <v>0</v>
      </c>
      <c r="Q2710" s="65">
        <v>2680.75</v>
      </c>
      <c r="R2710" s="65">
        <v>0</v>
      </c>
      <c r="S2710" s="65">
        <v>0</v>
      </c>
      <c r="T2710" s="65">
        <v>0</v>
      </c>
      <c r="U2710" s="58">
        <v>0</v>
      </c>
      <c r="V2710" s="65">
        <v>0</v>
      </c>
      <c r="W2710" s="65">
        <v>0</v>
      </c>
      <c r="X2710" s="65">
        <v>0</v>
      </c>
      <c r="Y2710" s="65">
        <v>0</v>
      </c>
      <c r="Z2710" s="51">
        <v>2680.75</v>
      </c>
      <c r="AA2710" s="51">
        <v>0</v>
      </c>
      <c r="AB2710" s="102">
        <v>0</v>
      </c>
      <c r="AC2710" s="81">
        <f t="shared" si="130"/>
        <v>647.88967289719631</v>
      </c>
      <c r="AD2710" s="82">
        <f t="shared" si="131"/>
        <v>7.6428571428571432</v>
      </c>
      <c r="AE2710" s="218">
        <v>0</v>
      </c>
      <c r="AF2710">
        <v>0</v>
      </c>
      <c r="AH2710" t="str">
        <f t="shared" si="129"/>
        <v xml:space="preserve">Alauli </v>
      </c>
      <c r="AJ2710" s="72">
        <v>0</v>
      </c>
      <c r="AK2710" s="72"/>
      <c r="AL2710" s="72"/>
      <c r="AM2710" s="72"/>
    </row>
    <row r="2711" spans="1:39" x14ac:dyDescent="0.25">
      <c r="A2711" s="37" t="s">
        <v>62</v>
      </c>
      <c r="B2711" s="66" t="s">
        <v>1654</v>
      </c>
      <c r="C2711" s="4">
        <v>1054</v>
      </c>
      <c r="D2711" s="41" t="s">
        <v>808</v>
      </c>
      <c r="E2711" s="41">
        <v>10540016</v>
      </c>
      <c r="F2711" s="85" t="s">
        <v>1137</v>
      </c>
      <c r="G2711" s="39" t="s">
        <v>92</v>
      </c>
      <c r="H2711" s="52" t="s">
        <v>93</v>
      </c>
      <c r="I2711" s="52">
        <v>406.3</v>
      </c>
      <c r="J2711" s="49">
        <v>21509.52</v>
      </c>
      <c r="K2711" s="58">
        <v>294.73999999999995</v>
      </c>
      <c r="L2711" s="58">
        <v>15583.26</v>
      </c>
      <c r="M2711" s="58">
        <v>113.96</v>
      </c>
      <c r="N2711" s="58">
        <v>6410.77</v>
      </c>
      <c r="O2711" s="58">
        <v>408.69999999999993</v>
      </c>
      <c r="P2711" s="53">
        <v>21994.03</v>
      </c>
      <c r="Q2711" s="65">
        <v>21509.52</v>
      </c>
      <c r="R2711" s="65">
        <v>0</v>
      </c>
      <c r="S2711" s="65">
        <v>54.100000000000009</v>
      </c>
      <c r="T2711" s="65">
        <v>484.5099999999984</v>
      </c>
      <c r="U2711" s="58">
        <v>0</v>
      </c>
      <c r="V2711" s="65">
        <v>0</v>
      </c>
      <c r="W2711" s="65">
        <v>0</v>
      </c>
      <c r="X2711" s="65">
        <v>15098</v>
      </c>
      <c r="Y2711" s="65">
        <v>6357</v>
      </c>
      <c r="Z2711" s="51">
        <v>0</v>
      </c>
      <c r="AA2711" s="51">
        <v>0</v>
      </c>
      <c r="AB2711" s="102">
        <v>0</v>
      </c>
      <c r="AC2711" s="81">
        <f t="shared" si="130"/>
        <v>310.96953108540487</v>
      </c>
      <c r="AD2711" s="82">
        <f t="shared" si="131"/>
        <v>58.042857142857144</v>
      </c>
      <c r="AE2711" s="218">
        <v>-2.2525374810781384E-2</v>
      </c>
      <c r="AF2711">
        <v>13</v>
      </c>
      <c r="AH2711" t="str">
        <f t="shared" si="129"/>
        <v xml:space="preserve">Alauli </v>
      </c>
      <c r="AJ2711" s="72">
        <v>0</v>
      </c>
      <c r="AK2711" s="72"/>
      <c r="AL2711" s="72"/>
      <c r="AM2711" s="72"/>
    </row>
    <row r="2712" spans="1:39" x14ac:dyDescent="0.25">
      <c r="A2712" s="37" t="s">
        <v>62</v>
      </c>
      <c r="B2712" s="66" t="s">
        <v>1654</v>
      </c>
      <c r="C2712" s="4">
        <v>1054</v>
      </c>
      <c r="D2712" s="41" t="s">
        <v>808</v>
      </c>
      <c r="E2712" s="41">
        <v>10540017</v>
      </c>
      <c r="F2712" s="85" t="s">
        <v>1138</v>
      </c>
      <c r="G2712" s="39" t="s">
        <v>92</v>
      </c>
      <c r="H2712" s="52" t="s">
        <v>93</v>
      </c>
      <c r="I2712" s="52">
        <v>767.49999999999989</v>
      </c>
      <c r="J2712" s="49">
        <v>29863.770000000004</v>
      </c>
      <c r="K2712" s="58">
        <v>771.38</v>
      </c>
      <c r="L2712" s="58">
        <v>34179.370000000003</v>
      </c>
      <c r="M2712" s="58">
        <v>0</v>
      </c>
      <c r="N2712" s="58">
        <v>0</v>
      </c>
      <c r="O2712" s="58">
        <v>771.38</v>
      </c>
      <c r="P2712" s="53">
        <v>34179.370000000003</v>
      </c>
      <c r="Q2712" s="65">
        <v>29863.770000000004</v>
      </c>
      <c r="R2712" s="65">
        <v>0</v>
      </c>
      <c r="S2712" s="65">
        <v>0</v>
      </c>
      <c r="T2712" s="65">
        <v>4315.5999999999985</v>
      </c>
      <c r="U2712" s="58">
        <v>0</v>
      </c>
      <c r="V2712" s="65">
        <v>0</v>
      </c>
      <c r="W2712" s="65">
        <v>0</v>
      </c>
      <c r="X2712" s="65">
        <v>29864</v>
      </c>
      <c r="Y2712" s="65">
        <v>0</v>
      </c>
      <c r="Z2712" s="51">
        <v>0</v>
      </c>
      <c r="AA2712" s="51">
        <v>0</v>
      </c>
      <c r="AB2712" s="102">
        <v>0</v>
      </c>
      <c r="AC2712" s="81">
        <f t="shared" si="130"/>
        <v>0</v>
      </c>
      <c r="AD2712" s="82">
        <f t="shared" si="131"/>
        <v>0</v>
      </c>
      <c r="AE2712" s="218">
        <v>-0.1445095512053568</v>
      </c>
      <c r="AF2712">
        <v>2</v>
      </c>
      <c r="AH2712" t="str">
        <f t="shared" si="129"/>
        <v xml:space="preserve">Alauli </v>
      </c>
      <c r="AJ2712" s="72">
        <v>0</v>
      </c>
      <c r="AK2712" s="72"/>
      <c r="AL2712" s="72"/>
      <c r="AM2712" s="72"/>
    </row>
    <row r="2713" spans="1:39" x14ac:dyDescent="0.25">
      <c r="A2713" s="37" t="s">
        <v>62</v>
      </c>
      <c r="B2713" s="66" t="s">
        <v>1654</v>
      </c>
      <c r="C2713" s="4">
        <v>1054</v>
      </c>
      <c r="D2713" s="41" t="s">
        <v>808</v>
      </c>
      <c r="E2713" s="41">
        <v>10540018</v>
      </c>
      <c r="F2713" s="85" t="s">
        <v>1139</v>
      </c>
      <c r="G2713" s="39" t="s">
        <v>92</v>
      </c>
      <c r="H2713" s="52" t="s">
        <v>93</v>
      </c>
      <c r="I2713" s="52">
        <v>370.29999999999995</v>
      </c>
      <c r="J2713" s="49">
        <v>16913.189999999999</v>
      </c>
      <c r="K2713" s="58">
        <v>424.23</v>
      </c>
      <c r="L2713" s="58">
        <v>19842.719999999998</v>
      </c>
      <c r="M2713" s="58">
        <v>0</v>
      </c>
      <c r="N2713" s="58">
        <v>0</v>
      </c>
      <c r="O2713" s="58">
        <v>424.23</v>
      </c>
      <c r="P2713" s="53">
        <v>19842.719999999998</v>
      </c>
      <c r="Q2713" s="65">
        <v>16913.189999999999</v>
      </c>
      <c r="R2713" s="65">
        <v>0</v>
      </c>
      <c r="S2713" s="65">
        <v>0</v>
      </c>
      <c r="T2713" s="65">
        <v>2929.5299999999988</v>
      </c>
      <c r="U2713" s="58">
        <v>0</v>
      </c>
      <c r="V2713" s="65">
        <v>500</v>
      </c>
      <c r="W2713" s="65">
        <v>0</v>
      </c>
      <c r="X2713" s="65">
        <v>16413</v>
      </c>
      <c r="Y2713" s="65">
        <v>0</v>
      </c>
      <c r="Z2713" s="51">
        <v>0</v>
      </c>
      <c r="AA2713" s="51">
        <v>0</v>
      </c>
      <c r="AB2713" s="102">
        <v>0</v>
      </c>
      <c r="AC2713" s="81">
        <f t="shared" si="130"/>
        <v>301.17627561436677</v>
      </c>
      <c r="AD2713" s="82">
        <f t="shared" si="131"/>
        <v>52.899999999999991</v>
      </c>
      <c r="AE2713" s="218">
        <v>-0.17320978478926796</v>
      </c>
      <c r="AF2713">
        <v>8</v>
      </c>
      <c r="AH2713" t="str">
        <f t="shared" si="129"/>
        <v xml:space="preserve">Alauli </v>
      </c>
      <c r="AJ2713" s="72">
        <v>500</v>
      </c>
      <c r="AK2713" s="72"/>
      <c r="AL2713" s="72"/>
      <c r="AM2713" s="72"/>
    </row>
    <row r="2714" spans="1:39" x14ac:dyDescent="0.25">
      <c r="A2714" s="37" t="s">
        <v>62</v>
      </c>
      <c r="B2714" s="66" t="s">
        <v>1654</v>
      </c>
      <c r="C2714" s="4">
        <v>1054</v>
      </c>
      <c r="D2714" s="41" t="s">
        <v>808</v>
      </c>
      <c r="E2714" s="41">
        <v>10540019</v>
      </c>
      <c r="F2714" s="85" t="s">
        <v>1166</v>
      </c>
      <c r="G2714" s="39" t="s">
        <v>92</v>
      </c>
      <c r="H2714" s="52" t="s">
        <v>93</v>
      </c>
      <c r="I2714" s="52">
        <v>164.4</v>
      </c>
      <c r="J2714" s="49">
        <v>5805.44</v>
      </c>
      <c r="K2714" s="58">
        <v>148.69</v>
      </c>
      <c r="L2714" s="58">
        <v>5812.83</v>
      </c>
      <c r="M2714" s="58">
        <v>0</v>
      </c>
      <c r="N2714" s="58">
        <v>0</v>
      </c>
      <c r="O2714" s="58">
        <v>148.69</v>
      </c>
      <c r="P2714" s="53">
        <v>5812.83</v>
      </c>
      <c r="Q2714" s="65">
        <v>5805.44</v>
      </c>
      <c r="R2714" s="65">
        <v>0</v>
      </c>
      <c r="S2714" s="65">
        <v>0</v>
      </c>
      <c r="T2714" s="65">
        <v>7.3900000000003274</v>
      </c>
      <c r="U2714" s="58">
        <v>0</v>
      </c>
      <c r="V2714" s="65">
        <v>500</v>
      </c>
      <c r="W2714" s="65">
        <v>0</v>
      </c>
      <c r="X2714" s="65">
        <v>5305</v>
      </c>
      <c r="Y2714" s="65">
        <v>0</v>
      </c>
      <c r="Z2714" s="51">
        <v>0</v>
      </c>
      <c r="AA2714" s="51">
        <v>0</v>
      </c>
      <c r="AB2714" s="102" t="s">
        <v>1366</v>
      </c>
      <c r="AC2714" s="81">
        <f t="shared" si="130"/>
        <v>378.27173527980528</v>
      </c>
      <c r="AD2714" s="82">
        <f t="shared" si="131"/>
        <v>23.485714285714288</v>
      </c>
      <c r="AE2714" s="218">
        <v>-1.2729439973542622E-3</v>
      </c>
      <c r="AF2714">
        <v>2</v>
      </c>
      <c r="AH2714" t="str">
        <f t="shared" si="129"/>
        <v xml:space="preserve">Alauli </v>
      </c>
      <c r="AJ2714" s="72">
        <v>500</v>
      </c>
      <c r="AK2714" s="72"/>
      <c r="AL2714" s="72"/>
      <c r="AM2714" s="72"/>
    </row>
    <row r="2715" spans="1:39" x14ac:dyDescent="0.25">
      <c r="A2715" s="37" t="s">
        <v>62</v>
      </c>
      <c r="B2715" s="66" t="s">
        <v>1654</v>
      </c>
      <c r="C2715" s="4">
        <v>1054</v>
      </c>
      <c r="D2715" s="41" t="s">
        <v>808</v>
      </c>
      <c r="E2715" s="41">
        <v>10540020</v>
      </c>
      <c r="F2715" s="85" t="s">
        <v>1140</v>
      </c>
      <c r="G2715" s="39" t="s">
        <v>92</v>
      </c>
      <c r="H2715" s="52" t="s">
        <v>93</v>
      </c>
      <c r="I2715" s="52">
        <v>100.9</v>
      </c>
      <c r="J2715" s="49">
        <v>3978.3999999999996</v>
      </c>
      <c r="K2715" s="58">
        <v>98.259999999999991</v>
      </c>
      <c r="L2715" s="58">
        <v>4029.7700000000004</v>
      </c>
      <c r="M2715" s="58">
        <v>0</v>
      </c>
      <c r="N2715" s="58">
        <v>0</v>
      </c>
      <c r="O2715" s="58">
        <v>98.259999999999991</v>
      </c>
      <c r="P2715" s="53">
        <v>4029.7700000000004</v>
      </c>
      <c r="Q2715" s="65">
        <v>3978.3999999999996</v>
      </c>
      <c r="R2715" s="65">
        <v>0</v>
      </c>
      <c r="S2715" s="65">
        <v>0</v>
      </c>
      <c r="T2715" s="65">
        <v>51.3700000000008</v>
      </c>
      <c r="U2715" s="58">
        <v>0</v>
      </c>
      <c r="V2715" s="65">
        <v>150</v>
      </c>
      <c r="W2715" s="65">
        <v>0</v>
      </c>
      <c r="X2715" s="65">
        <v>3828</v>
      </c>
      <c r="Y2715" s="65">
        <v>0</v>
      </c>
      <c r="Z2715" s="51">
        <v>0</v>
      </c>
      <c r="AA2715" s="51">
        <v>0</v>
      </c>
      <c r="AB2715" s="102" t="s">
        <v>1366</v>
      </c>
      <c r="AC2715" s="81">
        <f t="shared" si="130"/>
        <v>472.43992864221997</v>
      </c>
      <c r="AD2715" s="82">
        <f t="shared" si="131"/>
        <v>14.414285714285715</v>
      </c>
      <c r="AE2715" s="218">
        <v>-1.291222602051096E-2</v>
      </c>
      <c r="AF2715">
        <v>6</v>
      </c>
      <c r="AH2715" t="str">
        <f t="shared" si="129"/>
        <v xml:space="preserve">Alauli </v>
      </c>
      <c r="AJ2715" s="72">
        <v>150</v>
      </c>
      <c r="AK2715" s="72"/>
      <c r="AL2715" s="72"/>
      <c r="AM2715" s="72"/>
    </row>
    <row r="2716" spans="1:39" x14ac:dyDescent="0.25">
      <c r="A2716" s="37" t="s">
        <v>62</v>
      </c>
      <c r="B2716" s="66" t="s">
        <v>1654</v>
      </c>
      <c r="C2716" s="4">
        <v>1054</v>
      </c>
      <c r="D2716" s="41" t="s">
        <v>808</v>
      </c>
      <c r="E2716" s="41">
        <v>10540021</v>
      </c>
      <c r="F2716" s="85" t="s">
        <v>1141</v>
      </c>
      <c r="G2716" s="39" t="s">
        <v>1610</v>
      </c>
      <c r="H2716" s="52" t="s">
        <v>98</v>
      </c>
      <c r="I2716" s="52">
        <v>778.80000000000007</v>
      </c>
      <c r="J2716" s="49">
        <v>26919.690000000002</v>
      </c>
      <c r="K2716" s="58">
        <v>0</v>
      </c>
      <c r="L2716" s="58">
        <v>0</v>
      </c>
      <c r="M2716" s="58">
        <v>0</v>
      </c>
      <c r="N2716" s="58">
        <v>0</v>
      </c>
      <c r="O2716" s="58">
        <v>0</v>
      </c>
      <c r="P2716" s="53">
        <v>0</v>
      </c>
      <c r="Q2716" s="65">
        <v>26919.690000000002</v>
      </c>
      <c r="R2716" s="65">
        <v>0</v>
      </c>
      <c r="S2716" s="65">
        <v>0</v>
      </c>
      <c r="T2716" s="65">
        <v>0</v>
      </c>
      <c r="U2716" s="58">
        <v>0</v>
      </c>
      <c r="V2716" s="65">
        <v>0</v>
      </c>
      <c r="W2716" s="65">
        <v>0</v>
      </c>
      <c r="X2716" s="65">
        <v>0</v>
      </c>
      <c r="Y2716" s="65">
        <v>0</v>
      </c>
      <c r="Z2716" s="51">
        <v>26919.690000000002</v>
      </c>
      <c r="AA2716" s="51">
        <v>0</v>
      </c>
      <c r="AB2716" s="102">
        <v>0</v>
      </c>
      <c r="AC2716" s="81">
        <f t="shared" si="130"/>
        <v>0</v>
      </c>
      <c r="AD2716" s="82">
        <f t="shared" si="131"/>
        <v>0</v>
      </c>
      <c r="AE2716" s="218">
        <v>0</v>
      </c>
      <c r="AF2716">
        <v>0</v>
      </c>
      <c r="AH2716" t="str">
        <f t="shared" si="129"/>
        <v xml:space="preserve">Alauli </v>
      </c>
      <c r="AJ2716" s="72">
        <v>0</v>
      </c>
      <c r="AK2716" s="72"/>
      <c r="AL2716" s="72"/>
      <c r="AM2716" s="72"/>
    </row>
    <row r="2717" spans="1:39" x14ac:dyDescent="0.25">
      <c r="A2717" s="37" t="s">
        <v>62</v>
      </c>
      <c r="B2717" s="66" t="s">
        <v>1654</v>
      </c>
      <c r="C2717" s="4">
        <v>1054</v>
      </c>
      <c r="D2717" s="41" t="s">
        <v>808</v>
      </c>
      <c r="E2717" s="41">
        <v>10540026</v>
      </c>
      <c r="F2717" s="85" t="s">
        <v>1241</v>
      </c>
      <c r="G2717" s="39" t="s">
        <v>92</v>
      </c>
      <c r="H2717" s="52" t="s">
        <v>93</v>
      </c>
      <c r="I2717" s="52">
        <v>506.40000000000003</v>
      </c>
      <c r="J2717" s="49">
        <v>19631.53</v>
      </c>
      <c r="K2717" s="58">
        <v>36</v>
      </c>
      <c r="L2717" s="58">
        <v>1401.12</v>
      </c>
      <c r="M2717" s="58">
        <v>463.14</v>
      </c>
      <c r="N2717" s="58">
        <v>19243.14</v>
      </c>
      <c r="O2717" s="58">
        <v>499.14</v>
      </c>
      <c r="P2717" s="53">
        <v>20644.259999999998</v>
      </c>
      <c r="Q2717" s="65">
        <v>19631.53</v>
      </c>
      <c r="R2717" s="65">
        <v>0</v>
      </c>
      <c r="S2717" s="65">
        <v>0</v>
      </c>
      <c r="T2717" s="65">
        <v>1012.7299999999996</v>
      </c>
      <c r="U2717" s="58">
        <v>0</v>
      </c>
      <c r="V2717" s="65">
        <v>0</v>
      </c>
      <c r="W2717" s="65">
        <v>0</v>
      </c>
      <c r="X2717" s="65">
        <v>389</v>
      </c>
      <c r="Y2717" s="65">
        <v>19243</v>
      </c>
      <c r="Z2717" s="51">
        <v>0</v>
      </c>
      <c r="AA2717" s="51">
        <v>0</v>
      </c>
      <c r="AB2717" s="102">
        <v>0</v>
      </c>
      <c r="AC2717" s="81">
        <f t="shared" si="130"/>
        <v>150.10522148499209</v>
      </c>
      <c r="AD2717" s="82">
        <f t="shared" si="131"/>
        <v>72.342857142857142</v>
      </c>
      <c r="AE2717" s="218">
        <v>-5.1586911463344917E-2</v>
      </c>
      <c r="AF2717">
        <v>10</v>
      </c>
      <c r="AH2717" t="str">
        <f t="shared" si="129"/>
        <v xml:space="preserve">Alauli </v>
      </c>
      <c r="AJ2717" s="72">
        <v>0</v>
      </c>
      <c r="AK2717" s="72"/>
      <c r="AL2717" s="72"/>
      <c r="AM2717" s="72"/>
    </row>
    <row r="2718" spans="1:39" x14ac:dyDescent="0.25">
      <c r="A2718" s="37" t="s">
        <v>62</v>
      </c>
      <c r="B2718" s="66" t="s">
        <v>1654</v>
      </c>
      <c r="C2718" s="4">
        <v>1054</v>
      </c>
      <c r="D2718" s="41" t="s">
        <v>808</v>
      </c>
      <c r="E2718" s="41">
        <v>10540027</v>
      </c>
      <c r="F2718" s="85" t="s">
        <v>1253</v>
      </c>
      <c r="G2718" s="39" t="s">
        <v>1610</v>
      </c>
      <c r="H2718" s="52" t="s">
        <v>98</v>
      </c>
      <c r="I2718" s="52">
        <v>738.1</v>
      </c>
      <c r="J2718" s="49">
        <v>28175.800000000003</v>
      </c>
      <c r="K2718" s="58">
        <v>0</v>
      </c>
      <c r="L2718" s="58">
        <v>0</v>
      </c>
      <c r="M2718" s="58">
        <v>0</v>
      </c>
      <c r="N2718" s="58">
        <v>0</v>
      </c>
      <c r="O2718" s="58">
        <v>0</v>
      </c>
      <c r="P2718" s="53">
        <v>0</v>
      </c>
      <c r="Q2718" s="65">
        <v>28175.800000000003</v>
      </c>
      <c r="R2718" s="65">
        <v>0</v>
      </c>
      <c r="S2718" s="65">
        <v>0</v>
      </c>
      <c r="T2718" s="65">
        <v>0</v>
      </c>
      <c r="U2718" s="58">
        <v>0</v>
      </c>
      <c r="V2718" s="65">
        <v>0</v>
      </c>
      <c r="W2718" s="65">
        <v>0</v>
      </c>
      <c r="X2718" s="65">
        <v>0</v>
      </c>
      <c r="Y2718" s="65">
        <v>0</v>
      </c>
      <c r="Z2718" s="51">
        <v>28175.800000000003</v>
      </c>
      <c r="AA2718" s="51">
        <v>0</v>
      </c>
      <c r="AB2718" s="102">
        <v>0</v>
      </c>
      <c r="AC2718" s="81">
        <f t="shared" si="130"/>
        <v>0</v>
      </c>
      <c r="AD2718" s="82">
        <f t="shared" si="131"/>
        <v>0</v>
      </c>
      <c r="AE2718" s="218">
        <v>0</v>
      </c>
      <c r="AF2718">
        <v>0</v>
      </c>
      <c r="AH2718" t="str">
        <f t="shared" si="129"/>
        <v xml:space="preserve">Alauli </v>
      </c>
      <c r="AJ2718" s="72">
        <v>0</v>
      </c>
      <c r="AK2718" s="72"/>
      <c r="AL2718" s="72"/>
      <c r="AM2718" s="72"/>
    </row>
    <row r="2719" spans="1:39" x14ac:dyDescent="0.25">
      <c r="A2719" s="37" t="s">
        <v>62</v>
      </c>
      <c r="B2719" s="66" t="s">
        <v>1654</v>
      </c>
      <c r="C2719" s="4">
        <v>1054</v>
      </c>
      <c r="D2719" s="41" t="s">
        <v>808</v>
      </c>
      <c r="E2719" s="41">
        <v>10540032</v>
      </c>
      <c r="F2719" s="85" t="s">
        <v>1195</v>
      </c>
      <c r="G2719" s="39" t="s">
        <v>92</v>
      </c>
      <c r="H2719" s="52" t="s">
        <v>93</v>
      </c>
      <c r="I2719" s="52">
        <v>176.9</v>
      </c>
      <c r="J2719" s="49">
        <v>6744.0099999999993</v>
      </c>
      <c r="K2719" s="58">
        <v>176</v>
      </c>
      <c r="L2719" s="58">
        <v>7314.56</v>
      </c>
      <c r="M2719" s="58">
        <v>0</v>
      </c>
      <c r="N2719" s="58">
        <v>0</v>
      </c>
      <c r="O2719" s="58">
        <v>176</v>
      </c>
      <c r="P2719" s="53">
        <v>7314.56</v>
      </c>
      <c r="Q2719" s="65">
        <v>6744.0099999999993</v>
      </c>
      <c r="R2719" s="65">
        <v>0</v>
      </c>
      <c r="S2719" s="65">
        <v>0</v>
      </c>
      <c r="T2719" s="65">
        <v>570.55000000000109</v>
      </c>
      <c r="U2719" s="58">
        <v>0</v>
      </c>
      <c r="V2719" s="65">
        <v>500</v>
      </c>
      <c r="W2719" s="65">
        <v>0</v>
      </c>
      <c r="X2719" s="65">
        <v>6244</v>
      </c>
      <c r="Y2719" s="65">
        <v>0</v>
      </c>
      <c r="Z2719" s="51">
        <v>0</v>
      </c>
      <c r="AA2719" s="51">
        <v>0</v>
      </c>
      <c r="AB2719" s="102">
        <v>0</v>
      </c>
      <c r="AC2719" s="81">
        <f t="shared" si="130"/>
        <v>398.84585992085925</v>
      </c>
      <c r="AD2719" s="82">
        <f t="shared" si="131"/>
        <v>25.271428571428572</v>
      </c>
      <c r="AE2719" s="218">
        <v>-8.4601001481314705E-2</v>
      </c>
      <c r="AF2719">
        <v>1</v>
      </c>
      <c r="AH2719" t="str">
        <f t="shared" si="129"/>
        <v xml:space="preserve">Alauli </v>
      </c>
      <c r="AJ2719" s="72">
        <v>500</v>
      </c>
      <c r="AK2719" s="72"/>
      <c r="AL2719" s="72"/>
      <c r="AM2719" s="72"/>
    </row>
    <row r="2720" spans="1:39" x14ac:dyDescent="0.25">
      <c r="A2720" s="37" t="s">
        <v>62</v>
      </c>
      <c r="B2720" s="66" t="s">
        <v>1654</v>
      </c>
      <c r="C2720" s="4">
        <v>1054</v>
      </c>
      <c r="D2720" s="41" t="s">
        <v>808</v>
      </c>
      <c r="E2720" s="41">
        <v>10540036</v>
      </c>
      <c r="F2720" s="85" t="s">
        <v>1550</v>
      </c>
      <c r="G2720" s="39" t="s">
        <v>1610</v>
      </c>
      <c r="H2720" s="52" t="s">
        <v>98</v>
      </c>
      <c r="I2720" s="52">
        <v>76.099999999999994</v>
      </c>
      <c r="J2720" s="49">
        <v>3141.41</v>
      </c>
      <c r="K2720" s="58">
        <v>0</v>
      </c>
      <c r="L2720" s="58">
        <v>0</v>
      </c>
      <c r="M2720" s="58">
        <v>0</v>
      </c>
      <c r="N2720" s="58">
        <v>0</v>
      </c>
      <c r="O2720" s="58">
        <v>0</v>
      </c>
      <c r="P2720" s="53">
        <v>0</v>
      </c>
      <c r="Q2720" s="65">
        <v>3141.41</v>
      </c>
      <c r="R2720" s="65">
        <v>0</v>
      </c>
      <c r="S2720" s="65">
        <v>0</v>
      </c>
      <c r="T2720" s="65">
        <v>0</v>
      </c>
      <c r="U2720" s="58">
        <v>0</v>
      </c>
      <c r="V2720" s="65">
        <v>0</v>
      </c>
      <c r="W2720" s="65">
        <v>0</v>
      </c>
      <c r="X2720" s="65">
        <v>0</v>
      </c>
      <c r="Y2720" s="65">
        <v>0</v>
      </c>
      <c r="Z2720" s="51">
        <v>3141.41</v>
      </c>
      <c r="AA2720" s="51">
        <v>0</v>
      </c>
      <c r="AB2720" s="102">
        <v>0</v>
      </c>
      <c r="AC2720" s="81">
        <f t="shared" si="130"/>
        <v>515.09216793692531</v>
      </c>
      <c r="AD2720" s="82">
        <f t="shared" si="131"/>
        <v>10.87142857142857</v>
      </c>
      <c r="AE2720" s="218">
        <v>0</v>
      </c>
      <c r="AF2720">
        <v>0</v>
      </c>
      <c r="AH2720" t="str">
        <f t="shared" si="129"/>
        <v xml:space="preserve">Alauli </v>
      </c>
      <c r="AJ2720" s="72">
        <v>0</v>
      </c>
      <c r="AK2720" s="72"/>
      <c r="AL2720" s="72"/>
      <c r="AM2720" s="72"/>
    </row>
    <row r="2721" spans="1:39" x14ac:dyDescent="0.25">
      <c r="A2721" s="37" t="s">
        <v>62</v>
      </c>
      <c r="B2721" s="66" t="s">
        <v>1654</v>
      </c>
      <c r="C2721" s="4">
        <v>1054</v>
      </c>
      <c r="D2721" s="41" t="s">
        <v>808</v>
      </c>
      <c r="E2721" s="41">
        <v>10540039</v>
      </c>
      <c r="F2721" s="85" t="s">
        <v>1256</v>
      </c>
      <c r="G2721" s="39" t="s">
        <v>1610</v>
      </c>
      <c r="H2721" s="52" t="s">
        <v>98</v>
      </c>
      <c r="I2721" s="52">
        <v>517.70000000000005</v>
      </c>
      <c r="J2721" s="49">
        <v>17948.2</v>
      </c>
      <c r="K2721" s="58">
        <v>0</v>
      </c>
      <c r="L2721" s="58">
        <v>0</v>
      </c>
      <c r="M2721" s="58">
        <v>0</v>
      </c>
      <c r="N2721" s="58">
        <v>0</v>
      </c>
      <c r="O2721" s="58">
        <v>0</v>
      </c>
      <c r="P2721" s="53">
        <v>0</v>
      </c>
      <c r="Q2721" s="65">
        <v>17948.2</v>
      </c>
      <c r="R2721" s="65">
        <v>0</v>
      </c>
      <c r="S2721" s="65">
        <v>0</v>
      </c>
      <c r="T2721" s="65">
        <v>0</v>
      </c>
      <c r="U2721" s="58">
        <v>0</v>
      </c>
      <c r="V2721" s="65">
        <v>0</v>
      </c>
      <c r="W2721" s="65">
        <v>0</v>
      </c>
      <c r="X2721" s="65">
        <v>0</v>
      </c>
      <c r="Y2721" s="65">
        <v>0</v>
      </c>
      <c r="Z2721" s="51">
        <v>17948.2</v>
      </c>
      <c r="AA2721" s="51">
        <v>0</v>
      </c>
      <c r="AB2721" s="102">
        <v>0</v>
      </c>
      <c r="AC2721" s="81">
        <f t="shared" si="130"/>
        <v>126.40358740583341</v>
      </c>
      <c r="AD2721" s="82">
        <f t="shared" si="131"/>
        <v>73.95714285714287</v>
      </c>
      <c r="AE2721" s="218">
        <v>0</v>
      </c>
      <c r="AF2721">
        <v>0</v>
      </c>
      <c r="AH2721" t="str">
        <f t="shared" si="129"/>
        <v xml:space="preserve">Alauli </v>
      </c>
      <c r="AJ2721" s="72">
        <v>0</v>
      </c>
      <c r="AK2721" s="72"/>
      <c r="AL2721" s="72"/>
      <c r="AM2721" s="72"/>
    </row>
    <row r="2722" spans="1:39" x14ac:dyDescent="0.25">
      <c r="A2722" s="37" t="s">
        <v>62</v>
      </c>
      <c r="B2722" s="66" t="s">
        <v>1654</v>
      </c>
      <c r="C2722" s="4">
        <v>1054</v>
      </c>
      <c r="D2722" s="41" t="s">
        <v>808</v>
      </c>
      <c r="E2722" s="41">
        <v>10540040</v>
      </c>
      <c r="F2722" s="85" t="s">
        <v>1257</v>
      </c>
      <c r="G2722" s="39" t="s">
        <v>1610</v>
      </c>
      <c r="H2722" s="52" t="s">
        <v>98</v>
      </c>
      <c r="I2722" s="52">
        <v>404.9</v>
      </c>
      <c r="J2722" s="49">
        <v>15198.490000000002</v>
      </c>
      <c r="K2722" s="58">
        <v>0</v>
      </c>
      <c r="L2722" s="58">
        <v>0</v>
      </c>
      <c r="M2722" s="58">
        <v>0</v>
      </c>
      <c r="N2722" s="58">
        <v>0</v>
      </c>
      <c r="O2722" s="58">
        <v>0</v>
      </c>
      <c r="P2722" s="53">
        <v>0</v>
      </c>
      <c r="Q2722" s="65">
        <v>15198.490000000002</v>
      </c>
      <c r="R2722" s="65">
        <v>0</v>
      </c>
      <c r="S2722" s="65">
        <v>0</v>
      </c>
      <c r="T2722" s="65">
        <v>0</v>
      </c>
      <c r="U2722" s="58">
        <v>0</v>
      </c>
      <c r="V2722" s="65">
        <v>0</v>
      </c>
      <c r="W2722" s="65">
        <v>0</v>
      </c>
      <c r="X2722" s="65">
        <v>0</v>
      </c>
      <c r="Y2722" s="65">
        <v>0</v>
      </c>
      <c r="Z2722" s="51">
        <v>15198.490000000002</v>
      </c>
      <c r="AA2722" s="51">
        <v>0</v>
      </c>
      <c r="AB2722" s="102">
        <v>0</v>
      </c>
      <c r="AC2722" s="81">
        <f t="shared" si="130"/>
        <v>221.5398567053594</v>
      </c>
      <c r="AD2722" s="82">
        <f t="shared" si="131"/>
        <v>57.842857142857142</v>
      </c>
      <c r="AE2722" s="218">
        <v>0</v>
      </c>
      <c r="AF2722">
        <v>0</v>
      </c>
      <c r="AH2722" t="str">
        <f t="shared" si="129"/>
        <v xml:space="preserve">Alauli </v>
      </c>
      <c r="AJ2722" s="72">
        <v>0</v>
      </c>
      <c r="AK2722" s="72"/>
      <c r="AL2722" s="72"/>
      <c r="AM2722" s="72"/>
    </row>
    <row r="2723" spans="1:39" x14ac:dyDescent="0.25">
      <c r="A2723" s="37" t="s">
        <v>62</v>
      </c>
      <c r="B2723" s="66" t="s">
        <v>1654</v>
      </c>
      <c r="C2723" s="4">
        <v>1054</v>
      </c>
      <c r="D2723" s="41" t="s">
        <v>808</v>
      </c>
      <c r="E2723" s="41">
        <v>10540041</v>
      </c>
      <c r="F2723" s="85" t="s">
        <v>1284</v>
      </c>
      <c r="G2723" s="39" t="s">
        <v>1610</v>
      </c>
      <c r="H2723" s="52" t="s">
        <v>98</v>
      </c>
      <c r="I2723" s="52">
        <v>70.8</v>
      </c>
      <c r="J2723" s="49">
        <v>2730.3999999999996</v>
      </c>
      <c r="K2723" s="58">
        <v>0</v>
      </c>
      <c r="L2723" s="58">
        <v>0</v>
      </c>
      <c r="M2723" s="58">
        <v>0</v>
      </c>
      <c r="N2723" s="58">
        <v>0</v>
      </c>
      <c r="O2723" s="58">
        <v>0</v>
      </c>
      <c r="P2723" s="53">
        <v>0</v>
      </c>
      <c r="Q2723" s="65">
        <v>2730.3999999999996</v>
      </c>
      <c r="R2723" s="65">
        <v>0</v>
      </c>
      <c r="S2723" s="65">
        <v>0</v>
      </c>
      <c r="T2723" s="65">
        <v>0</v>
      </c>
      <c r="U2723" s="58">
        <v>0</v>
      </c>
      <c r="V2723" s="65">
        <v>0</v>
      </c>
      <c r="W2723" s="65">
        <v>0</v>
      </c>
      <c r="X2723" s="65">
        <v>0</v>
      </c>
      <c r="Y2723" s="65">
        <v>0</v>
      </c>
      <c r="Z2723" s="51">
        <v>2730.3999999999996</v>
      </c>
      <c r="AA2723" s="51">
        <v>0</v>
      </c>
      <c r="AB2723" s="102">
        <v>0</v>
      </c>
      <c r="AC2723" s="81">
        <f t="shared" si="130"/>
        <v>485.30160451977406</v>
      </c>
      <c r="AD2723" s="82">
        <f t="shared" si="131"/>
        <v>10.114285714285714</v>
      </c>
      <c r="AE2723" s="218">
        <v>0</v>
      </c>
      <c r="AF2723">
        <v>0</v>
      </c>
      <c r="AH2723" t="str">
        <f t="shared" si="129"/>
        <v xml:space="preserve">Alauli </v>
      </c>
      <c r="AJ2723" s="72">
        <v>0</v>
      </c>
      <c r="AK2723" s="72"/>
      <c r="AL2723" s="72"/>
      <c r="AM2723" s="72"/>
    </row>
    <row r="2724" spans="1:39" x14ac:dyDescent="0.25">
      <c r="A2724" s="37" t="s">
        <v>62</v>
      </c>
      <c r="B2724" s="66" t="s">
        <v>1654</v>
      </c>
      <c r="C2724" s="4">
        <v>1054</v>
      </c>
      <c r="D2724" s="41" t="s">
        <v>808</v>
      </c>
      <c r="E2724" s="41">
        <v>10540042</v>
      </c>
      <c r="F2724" s="85" t="s">
        <v>1315</v>
      </c>
      <c r="G2724" s="39" t="s">
        <v>92</v>
      </c>
      <c r="H2724" s="52" t="s">
        <v>93</v>
      </c>
      <c r="I2724" s="52">
        <v>1618.9</v>
      </c>
      <c r="J2724" s="49">
        <v>84378.670000000013</v>
      </c>
      <c r="K2724" s="58">
        <v>1618</v>
      </c>
      <c r="L2724" s="58">
        <v>84653.760000000009</v>
      </c>
      <c r="M2724" s="58">
        <v>0</v>
      </c>
      <c r="N2724" s="58">
        <v>0</v>
      </c>
      <c r="O2724" s="58">
        <v>1618</v>
      </c>
      <c r="P2724" s="53">
        <v>84653.760000000009</v>
      </c>
      <c r="Q2724" s="65">
        <v>84378.670000000013</v>
      </c>
      <c r="R2724" s="65">
        <v>0</v>
      </c>
      <c r="S2724" s="65">
        <v>0</v>
      </c>
      <c r="T2724" s="65">
        <v>275.08999999999651</v>
      </c>
      <c r="U2724" s="58">
        <v>0</v>
      </c>
      <c r="V2724" s="65">
        <v>0</v>
      </c>
      <c r="W2724" s="65">
        <v>0</v>
      </c>
      <c r="X2724" s="65">
        <v>84379</v>
      </c>
      <c r="Y2724" s="65">
        <v>0</v>
      </c>
      <c r="Z2724" s="51">
        <v>0</v>
      </c>
      <c r="AA2724" s="51">
        <v>0</v>
      </c>
      <c r="AB2724" s="102">
        <v>0</v>
      </c>
      <c r="AC2724" s="81">
        <f t="shared" si="130"/>
        <v>0</v>
      </c>
      <c r="AD2724" s="82">
        <f t="shared" si="131"/>
        <v>0</v>
      </c>
      <c r="AE2724" s="218">
        <v>-3.2601841199914206E-3</v>
      </c>
      <c r="AF2724">
        <v>1</v>
      </c>
      <c r="AH2724" t="str">
        <f t="shared" si="129"/>
        <v xml:space="preserve">Alauli </v>
      </c>
      <c r="AJ2724" s="72">
        <v>0</v>
      </c>
      <c r="AK2724" s="72"/>
      <c r="AL2724" s="72"/>
      <c r="AM2724" s="72"/>
    </row>
    <row r="2725" spans="1:39" x14ac:dyDescent="0.25">
      <c r="A2725" s="37" t="s">
        <v>62</v>
      </c>
      <c r="B2725" s="66" t="s">
        <v>1654</v>
      </c>
      <c r="C2725" s="4">
        <v>1054</v>
      </c>
      <c r="D2725" s="41" t="s">
        <v>808</v>
      </c>
      <c r="E2725" s="41">
        <v>10540043</v>
      </c>
      <c r="F2725" s="85" t="s">
        <v>1604</v>
      </c>
      <c r="G2725" s="39" t="s">
        <v>1610</v>
      </c>
      <c r="H2725" s="52" t="s">
        <v>93</v>
      </c>
      <c r="I2725" s="52">
        <v>430.2</v>
      </c>
      <c r="J2725" s="49">
        <v>19346.919999999998</v>
      </c>
      <c r="K2725" s="58">
        <v>413.83000000000015</v>
      </c>
      <c r="L2725" s="58">
        <v>19554.82</v>
      </c>
      <c r="M2725" s="58">
        <v>0</v>
      </c>
      <c r="N2725" s="58">
        <v>0</v>
      </c>
      <c r="O2725" s="58">
        <v>413.83000000000015</v>
      </c>
      <c r="P2725" s="53">
        <v>19554.82</v>
      </c>
      <c r="Q2725" s="65">
        <v>19346.919999999998</v>
      </c>
      <c r="R2725" s="65">
        <v>0</v>
      </c>
      <c r="S2725" s="65">
        <v>0</v>
      </c>
      <c r="T2725" s="65">
        <v>207.90000000000146</v>
      </c>
      <c r="U2725" s="58">
        <v>0</v>
      </c>
      <c r="V2725" s="65">
        <v>0</v>
      </c>
      <c r="W2725" s="65">
        <v>0</v>
      </c>
      <c r="X2725" s="65">
        <v>19347</v>
      </c>
      <c r="Y2725" s="65">
        <v>0</v>
      </c>
      <c r="Z2725" s="51">
        <v>0</v>
      </c>
      <c r="AA2725" s="51">
        <v>0</v>
      </c>
      <c r="AB2725" s="102">
        <v>0</v>
      </c>
      <c r="AC2725" s="81">
        <f t="shared" si="130"/>
        <v>242.66848052068804</v>
      </c>
      <c r="AD2725" s="82">
        <f t="shared" si="131"/>
        <v>61.457142857142856</v>
      </c>
      <c r="AE2725" s="218">
        <v>-1.0745896504456599E-2</v>
      </c>
      <c r="AF2725">
        <v>6</v>
      </c>
      <c r="AH2725" t="str">
        <f t="shared" si="129"/>
        <v xml:space="preserve">Alauli </v>
      </c>
      <c r="AJ2725" s="72">
        <v>0</v>
      </c>
      <c r="AK2725" s="72"/>
      <c r="AL2725" s="72"/>
      <c r="AM2725" s="72"/>
    </row>
    <row r="2726" spans="1:39" x14ac:dyDescent="0.25">
      <c r="A2726" s="37" t="s">
        <v>62</v>
      </c>
      <c r="B2726" s="66" t="s">
        <v>1654</v>
      </c>
      <c r="C2726" s="4">
        <v>1054</v>
      </c>
      <c r="D2726" s="41" t="s">
        <v>808</v>
      </c>
      <c r="E2726" s="41">
        <v>10540044</v>
      </c>
      <c r="F2726" s="85" t="s">
        <v>1320</v>
      </c>
      <c r="G2726" s="39" t="s">
        <v>92</v>
      </c>
      <c r="H2726" s="52" t="s">
        <v>93</v>
      </c>
      <c r="I2726" s="52">
        <v>186.70000000000002</v>
      </c>
      <c r="J2726" s="49">
        <v>7813.2599999999993</v>
      </c>
      <c r="K2726" s="58">
        <v>194</v>
      </c>
      <c r="L2726" s="58">
        <v>7820.14</v>
      </c>
      <c r="M2726" s="58">
        <v>0</v>
      </c>
      <c r="N2726" s="58">
        <v>0</v>
      </c>
      <c r="O2726" s="58">
        <v>194</v>
      </c>
      <c r="P2726" s="53">
        <v>7820.14</v>
      </c>
      <c r="Q2726" s="65">
        <v>7813.2599999999993</v>
      </c>
      <c r="R2726" s="65">
        <v>0</v>
      </c>
      <c r="S2726" s="65">
        <v>0</v>
      </c>
      <c r="T2726" s="65">
        <v>6.8800000000010186</v>
      </c>
      <c r="U2726" s="58">
        <v>0</v>
      </c>
      <c r="V2726" s="65">
        <v>0</v>
      </c>
      <c r="W2726" s="65">
        <v>0</v>
      </c>
      <c r="X2726" s="65">
        <v>7813</v>
      </c>
      <c r="Y2726" s="65">
        <v>0</v>
      </c>
      <c r="Z2726" s="51">
        <v>0</v>
      </c>
      <c r="AA2726" s="51">
        <v>0</v>
      </c>
      <c r="AB2726" s="102">
        <v>0</v>
      </c>
      <c r="AC2726" s="81">
        <f t="shared" si="130"/>
        <v>429.62467680771283</v>
      </c>
      <c r="AD2726" s="82">
        <f t="shared" si="131"/>
        <v>26.671428571428574</v>
      </c>
      <c r="AE2726" s="218">
        <v>-8.8055433967396699E-4</v>
      </c>
      <c r="AF2726">
        <v>1</v>
      </c>
      <c r="AH2726" t="str">
        <f t="shared" si="129"/>
        <v xml:space="preserve">Alauli </v>
      </c>
      <c r="AJ2726" s="72">
        <v>0</v>
      </c>
      <c r="AK2726" s="72"/>
      <c r="AL2726" s="72"/>
      <c r="AM2726" s="72"/>
    </row>
    <row r="2727" spans="1:39" x14ac:dyDescent="0.25">
      <c r="A2727" s="37" t="s">
        <v>62</v>
      </c>
      <c r="B2727" s="66" t="s">
        <v>1654</v>
      </c>
      <c r="C2727" s="4">
        <v>1054</v>
      </c>
      <c r="D2727" s="41" t="s">
        <v>808</v>
      </c>
      <c r="E2727" s="41">
        <v>10540045</v>
      </c>
      <c r="F2727" s="85" t="s">
        <v>1340</v>
      </c>
      <c r="G2727" s="39" t="s">
        <v>1610</v>
      </c>
      <c r="H2727" s="52" t="s">
        <v>98</v>
      </c>
      <c r="I2727" s="52">
        <v>812.40000000000009</v>
      </c>
      <c r="J2727" s="49">
        <v>34653.67</v>
      </c>
      <c r="K2727" s="58">
        <v>0</v>
      </c>
      <c r="L2727" s="58">
        <v>0</v>
      </c>
      <c r="M2727" s="58">
        <v>0</v>
      </c>
      <c r="N2727" s="58">
        <v>0</v>
      </c>
      <c r="O2727" s="58">
        <v>0</v>
      </c>
      <c r="P2727" s="53">
        <v>0</v>
      </c>
      <c r="Q2727" s="65">
        <v>34653.67</v>
      </c>
      <c r="R2727" s="65">
        <v>0</v>
      </c>
      <c r="S2727" s="65">
        <v>0</v>
      </c>
      <c r="T2727" s="65">
        <v>0</v>
      </c>
      <c r="U2727" s="58">
        <v>0</v>
      </c>
      <c r="V2727" s="65">
        <v>0</v>
      </c>
      <c r="W2727" s="65">
        <v>0</v>
      </c>
      <c r="X2727" s="65">
        <v>0</v>
      </c>
      <c r="Y2727" s="65">
        <v>0</v>
      </c>
      <c r="Z2727" s="51">
        <v>34653.67</v>
      </c>
      <c r="AA2727" s="51">
        <v>0</v>
      </c>
      <c r="AB2727" s="102">
        <v>0</v>
      </c>
      <c r="AC2727" s="81">
        <f t="shared" si="130"/>
        <v>0</v>
      </c>
      <c r="AD2727" s="82">
        <f t="shared" si="131"/>
        <v>0</v>
      </c>
      <c r="AE2727" s="218">
        <v>0</v>
      </c>
      <c r="AF2727">
        <v>0</v>
      </c>
      <c r="AH2727" t="str">
        <f t="shared" si="129"/>
        <v xml:space="preserve">Alauli </v>
      </c>
      <c r="AJ2727" s="72">
        <v>0</v>
      </c>
      <c r="AK2727" s="72"/>
      <c r="AL2727" s="72"/>
      <c r="AM2727" s="72"/>
    </row>
    <row r="2728" spans="1:39" x14ac:dyDescent="0.25">
      <c r="A2728" s="37" t="s">
        <v>62</v>
      </c>
      <c r="B2728" s="66" t="s">
        <v>1654</v>
      </c>
      <c r="C2728" s="4">
        <v>1054</v>
      </c>
      <c r="D2728" s="41" t="s">
        <v>808</v>
      </c>
      <c r="E2728" s="41">
        <v>10540046</v>
      </c>
      <c r="F2728" s="85" t="s">
        <v>1411</v>
      </c>
      <c r="G2728" s="39" t="s">
        <v>92</v>
      </c>
      <c r="H2728" s="52" t="s">
        <v>93</v>
      </c>
      <c r="I2728" s="52">
        <v>464.49999999999994</v>
      </c>
      <c r="J2728" s="49">
        <v>18938.460000000003</v>
      </c>
      <c r="K2728" s="58">
        <v>395.5</v>
      </c>
      <c r="L2728" s="58">
        <v>19131.28</v>
      </c>
      <c r="M2728" s="58">
        <v>0</v>
      </c>
      <c r="N2728" s="58">
        <v>0</v>
      </c>
      <c r="O2728" s="58">
        <v>395.5</v>
      </c>
      <c r="P2728" s="53">
        <v>19131.28</v>
      </c>
      <c r="Q2728" s="65">
        <v>18938.460000000003</v>
      </c>
      <c r="R2728" s="65">
        <v>0</v>
      </c>
      <c r="S2728" s="65">
        <v>0</v>
      </c>
      <c r="T2728" s="65">
        <v>192.81999999999607</v>
      </c>
      <c r="U2728" s="58">
        <v>0</v>
      </c>
      <c r="V2728" s="65">
        <v>0</v>
      </c>
      <c r="W2728" s="65">
        <v>0</v>
      </c>
      <c r="X2728" s="65">
        <v>18938</v>
      </c>
      <c r="Y2728" s="65">
        <v>0</v>
      </c>
      <c r="Z2728" s="51">
        <v>0</v>
      </c>
      <c r="AA2728" s="51">
        <v>0</v>
      </c>
      <c r="AB2728" s="102">
        <v>0</v>
      </c>
      <c r="AC2728" s="81">
        <f t="shared" si="130"/>
        <v>192.03476124865455</v>
      </c>
      <c r="AD2728" s="82">
        <f t="shared" si="131"/>
        <v>66.357142857142847</v>
      </c>
      <c r="AE2728" s="218">
        <v>-1.0181398065101177E-2</v>
      </c>
      <c r="AF2728">
        <v>1</v>
      </c>
      <c r="AH2728" t="str">
        <f t="shared" si="129"/>
        <v xml:space="preserve">Alauli </v>
      </c>
      <c r="AJ2728" s="72">
        <v>0</v>
      </c>
      <c r="AK2728" s="72"/>
      <c r="AL2728" s="72"/>
      <c r="AM2728" s="72"/>
    </row>
    <row r="2729" spans="1:39" x14ac:dyDescent="0.25">
      <c r="A2729" s="37" t="s">
        <v>62</v>
      </c>
      <c r="B2729" s="66" t="s">
        <v>1654</v>
      </c>
      <c r="C2729" s="4">
        <v>1054</v>
      </c>
      <c r="D2729" s="41" t="s">
        <v>808</v>
      </c>
      <c r="E2729" s="41">
        <v>10540047</v>
      </c>
      <c r="F2729" s="85" t="s">
        <v>1540</v>
      </c>
      <c r="G2729" s="39" t="s">
        <v>92</v>
      </c>
      <c r="H2729" s="52" t="s">
        <v>93</v>
      </c>
      <c r="I2729" s="52">
        <v>114.90000000000002</v>
      </c>
      <c r="J2729" s="49">
        <v>4135.34</v>
      </c>
      <c r="K2729" s="58">
        <v>114</v>
      </c>
      <c r="L2729" s="58">
        <v>4675.1400000000003</v>
      </c>
      <c r="M2729" s="58">
        <v>0</v>
      </c>
      <c r="N2729" s="58">
        <v>0</v>
      </c>
      <c r="O2729" s="58">
        <v>114</v>
      </c>
      <c r="P2729" s="53">
        <v>4675.1400000000003</v>
      </c>
      <c r="Q2729" s="65">
        <v>4135.34</v>
      </c>
      <c r="R2729" s="65">
        <v>0</v>
      </c>
      <c r="S2729" s="65">
        <v>0</v>
      </c>
      <c r="T2729" s="65">
        <v>539.80000000000018</v>
      </c>
      <c r="U2729" s="58">
        <v>0</v>
      </c>
      <c r="V2729" s="65">
        <v>0</v>
      </c>
      <c r="W2729" s="65">
        <v>0</v>
      </c>
      <c r="X2729" s="65">
        <v>4135</v>
      </c>
      <c r="Y2729" s="65">
        <v>0</v>
      </c>
      <c r="Z2729" s="51">
        <v>0</v>
      </c>
      <c r="AA2729" s="51">
        <v>0</v>
      </c>
      <c r="AB2729" s="102">
        <v>0</v>
      </c>
      <c r="AC2729" s="81">
        <f t="shared" si="130"/>
        <v>421.16404421235848</v>
      </c>
      <c r="AD2729" s="82">
        <f t="shared" si="131"/>
        <v>16.414285714285718</v>
      </c>
      <c r="AE2729" s="218">
        <v>-0.13053340233209365</v>
      </c>
      <c r="AF2729">
        <v>1</v>
      </c>
      <c r="AH2729" t="str">
        <f t="shared" si="129"/>
        <v xml:space="preserve">Alauli </v>
      </c>
      <c r="AJ2729" s="72">
        <v>0</v>
      </c>
      <c r="AK2729" s="72"/>
      <c r="AL2729" s="72"/>
      <c r="AM2729" s="72"/>
    </row>
    <row r="2730" spans="1:39" x14ac:dyDescent="0.25">
      <c r="A2730" s="37" t="s">
        <v>62</v>
      </c>
      <c r="B2730" s="66" t="s">
        <v>1654</v>
      </c>
      <c r="C2730" s="4">
        <v>1054</v>
      </c>
      <c r="D2730" s="41" t="s">
        <v>808</v>
      </c>
      <c r="E2730" s="41">
        <v>10540048</v>
      </c>
      <c r="F2730" s="85" t="s">
        <v>1431</v>
      </c>
      <c r="G2730" s="39" t="s">
        <v>1610</v>
      </c>
      <c r="H2730" s="52" t="s">
        <v>98</v>
      </c>
      <c r="I2730" s="52">
        <v>1905.1999999999998</v>
      </c>
      <c r="J2730" s="49">
        <v>84270.829999999987</v>
      </c>
      <c r="K2730" s="58">
        <v>0</v>
      </c>
      <c r="L2730" s="58">
        <v>0</v>
      </c>
      <c r="M2730" s="58">
        <v>0</v>
      </c>
      <c r="N2730" s="58">
        <v>0</v>
      </c>
      <c r="O2730" s="58">
        <v>0</v>
      </c>
      <c r="P2730" s="53">
        <v>0</v>
      </c>
      <c r="Q2730" s="65">
        <v>84270.829999999987</v>
      </c>
      <c r="R2730" s="65">
        <v>0</v>
      </c>
      <c r="S2730" s="65">
        <v>0</v>
      </c>
      <c r="T2730" s="65">
        <v>0</v>
      </c>
      <c r="U2730" s="58">
        <v>0</v>
      </c>
      <c r="V2730" s="65">
        <v>0</v>
      </c>
      <c r="W2730" s="65">
        <v>0</v>
      </c>
      <c r="X2730" s="65">
        <v>0</v>
      </c>
      <c r="Y2730" s="65">
        <v>0</v>
      </c>
      <c r="Z2730" s="51">
        <v>84270.829999999987</v>
      </c>
      <c r="AA2730" s="51">
        <v>0</v>
      </c>
      <c r="AB2730" s="102">
        <v>0</v>
      </c>
      <c r="AC2730" s="81">
        <f t="shared" si="130"/>
        <v>0</v>
      </c>
      <c r="AD2730" s="82">
        <f t="shared" si="131"/>
        <v>0</v>
      </c>
      <c r="AE2730" s="218">
        <v>0</v>
      </c>
      <c r="AF2730">
        <v>0</v>
      </c>
      <c r="AH2730" t="str">
        <f t="shared" si="129"/>
        <v xml:space="preserve">Alauli </v>
      </c>
      <c r="AJ2730" s="72">
        <v>0</v>
      </c>
      <c r="AK2730" s="72"/>
      <c r="AL2730" s="72"/>
      <c r="AM2730" s="72"/>
    </row>
    <row r="2731" spans="1:39" x14ac:dyDescent="0.25">
      <c r="A2731" s="37" t="s">
        <v>62</v>
      </c>
      <c r="B2731" s="66" t="s">
        <v>1654</v>
      </c>
      <c r="C2731" s="4">
        <v>1054</v>
      </c>
      <c r="D2731" s="41" t="s">
        <v>808</v>
      </c>
      <c r="E2731" s="41">
        <v>10540049</v>
      </c>
      <c r="F2731" s="85" t="s">
        <v>1432</v>
      </c>
      <c r="G2731" s="39" t="s">
        <v>1610</v>
      </c>
      <c r="H2731" s="52" t="s">
        <v>98</v>
      </c>
      <c r="I2731" s="52">
        <v>453.4</v>
      </c>
      <c r="J2731" s="49">
        <v>16738.91</v>
      </c>
      <c r="K2731" s="58">
        <v>0</v>
      </c>
      <c r="L2731" s="58">
        <v>0</v>
      </c>
      <c r="M2731" s="58">
        <v>0</v>
      </c>
      <c r="N2731" s="58">
        <v>0</v>
      </c>
      <c r="O2731" s="58">
        <v>0</v>
      </c>
      <c r="P2731" s="53">
        <v>0</v>
      </c>
      <c r="Q2731" s="65">
        <v>16738.91</v>
      </c>
      <c r="R2731" s="65">
        <v>0</v>
      </c>
      <c r="S2731" s="65">
        <v>0</v>
      </c>
      <c r="T2731" s="65">
        <v>0</v>
      </c>
      <c r="U2731" s="58">
        <v>0</v>
      </c>
      <c r="V2731" s="65">
        <v>0</v>
      </c>
      <c r="W2731" s="65">
        <v>0</v>
      </c>
      <c r="X2731" s="65">
        <v>0</v>
      </c>
      <c r="Y2731" s="65">
        <v>0</v>
      </c>
      <c r="Z2731" s="51">
        <v>16738.91</v>
      </c>
      <c r="AA2731" s="51">
        <v>0</v>
      </c>
      <c r="AB2731" s="102">
        <v>0</v>
      </c>
      <c r="AC2731" s="81">
        <f t="shared" si="130"/>
        <v>182.08271751213056</v>
      </c>
      <c r="AD2731" s="82">
        <f t="shared" si="131"/>
        <v>64.771428571428572</v>
      </c>
      <c r="AE2731" s="218">
        <v>0</v>
      </c>
      <c r="AF2731">
        <v>0</v>
      </c>
      <c r="AH2731" t="str">
        <f t="shared" si="129"/>
        <v xml:space="preserve">Alauli </v>
      </c>
      <c r="AJ2731" s="72">
        <v>0</v>
      </c>
      <c r="AK2731" s="72"/>
      <c r="AL2731" s="72"/>
      <c r="AM2731" s="72"/>
    </row>
    <row r="2732" spans="1:39" x14ac:dyDescent="0.25">
      <c r="A2732" s="37" t="s">
        <v>62</v>
      </c>
      <c r="B2732" s="66" t="s">
        <v>1654</v>
      </c>
      <c r="C2732" s="4">
        <v>1054</v>
      </c>
      <c r="D2732" s="41" t="s">
        <v>808</v>
      </c>
      <c r="E2732" s="41">
        <v>10540050</v>
      </c>
      <c r="F2732" s="85" t="s">
        <v>1582</v>
      </c>
      <c r="G2732" s="39" t="s">
        <v>92</v>
      </c>
      <c r="H2732" s="52" t="s">
        <v>93</v>
      </c>
      <c r="I2732" s="52">
        <v>331.2</v>
      </c>
      <c r="J2732" s="49">
        <v>11574.62</v>
      </c>
      <c r="K2732" s="58">
        <v>375.82000000000005</v>
      </c>
      <c r="L2732" s="58">
        <v>12994.689999999999</v>
      </c>
      <c r="M2732" s="58">
        <v>0</v>
      </c>
      <c r="N2732" s="58">
        <v>0</v>
      </c>
      <c r="O2732" s="58">
        <v>375.82000000000005</v>
      </c>
      <c r="P2732" s="53">
        <v>12994.689999999999</v>
      </c>
      <c r="Q2732" s="65">
        <v>11574.62</v>
      </c>
      <c r="R2732" s="65">
        <v>0</v>
      </c>
      <c r="S2732" s="65">
        <v>0</v>
      </c>
      <c r="T2732" s="65">
        <v>1420.0699999999979</v>
      </c>
      <c r="U2732" s="58">
        <v>0</v>
      </c>
      <c r="V2732" s="65">
        <v>0</v>
      </c>
      <c r="W2732" s="65">
        <v>0</v>
      </c>
      <c r="X2732" s="65">
        <v>11575</v>
      </c>
      <c r="Y2732" s="65">
        <v>0</v>
      </c>
      <c r="Z2732" s="51">
        <v>0</v>
      </c>
      <c r="AA2732" s="51">
        <v>0</v>
      </c>
      <c r="AB2732" s="102">
        <v>0</v>
      </c>
      <c r="AC2732" s="81">
        <f t="shared" si="130"/>
        <v>257.77293816425123</v>
      </c>
      <c r="AD2732" s="82">
        <f t="shared" si="131"/>
        <v>47.31428571428571</v>
      </c>
      <c r="AE2732" s="218">
        <v>-0.12268826104010307</v>
      </c>
      <c r="AF2732">
        <v>1</v>
      </c>
      <c r="AH2732" t="str">
        <f t="shared" si="129"/>
        <v xml:space="preserve">Alauli </v>
      </c>
      <c r="AJ2732" s="72">
        <v>0</v>
      </c>
      <c r="AK2732" s="72"/>
      <c r="AL2732" s="72"/>
      <c r="AM2732" s="72"/>
    </row>
    <row r="2733" spans="1:39" x14ac:dyDescent="0.25">
      <c r="A2733" s="37" t="s">
        <v>62</v>
      </c>
      <c r="B2733" s="66" t="s">
        <v>1654</v>
      </c>
      <c r="C2733" s="4">
        <v>1054</v>
      </c>
      <c r="D2733" s="41" t="s">
        <v>808</v>
      </c>
      <c r="E2733" s="41">
        <v>10540051</v>
      </c>
      <c r="F2733" s="85" t="s">
        <v>1569</v>
      </c>
      <c r="G2733" s="39" t="s">
        <v>1610</v>
      </c>
      <c r="H2733" s="52" t="s">
        <v>98</v>
      </c>
      <c r="I2733" s="52">
        <v>387.40000000000003</v>
      </c>
      <c r="J2733" s="49">
        <v>15097.54</v>
      </c>
      <c r="K2733" s="58">
        <v>0</v>
      </c>
      <c r="L2733" s="58">
        <v>0</v>
      </c>
      <c r="M2733" s="58">
        <v>0</v>
      </c>
      <c r="N2733" s="58">
        <v>0</v>
      </c>
      <c r="O2733" s="58">
        <v>0</v>
      </c>
      <c r="P2733" s="53">
        <v>0</v>
      </c>
      <c r="Q2733" s="65">
        <v>15097.54</v>
      </c>
      <c r="R2733" s="65">
        <v>0</v>
      </c>
      <c r="S2733" s="65">
        <v>0</v>
      </c>
      <c r="T2733" s="65">
        <v>0</v>
      </c>
      <c r="U2733" s="58">
        <v>0</v>
      </c>
      <c r="V2733" s="65">
        <v>0</v>
      </c>
      <c r="W2733" s="65">
        <v>0</v>
      </c>
      <c r="X2733" s="65">
        <v>0</v>
      </c>
      <c r="Y2733" s="65">
        <v>0</v>
      </c>
      <c r="Z2733" s="51">
        <v>15097.54</v>
      </c>
      <c r="AA2733" s="51">
        <v>0</v>
      </c>
      <c r="AB2733" s="102">
        <v>0</v>
      </c>
      <c r="AC2733" s="81">
        <f t="shared" si="130"/>
        <v>243.6495097573567</v>
      </c>
      <c r="AD2733" s="82">
        <f t="shared" si="131"/>
        <v>55.342857142857149</v>
      </c>
      <c r="AE2733" s="218">
        <v>0</v>
      </c>
      <c r="AF2733">
        <v>0</v>
      </c>
      <c r="AH2733" t="str">
        <f t="shared" si="129"/>
        <v xml:space="preserve">Alauli </v>
      </c>
      <c r="AJ2733" s="72">
        <v>0</v>
      </c>
      <c r="AK2733" s="72"/>
      <c r="AL2733" s="72"/>
      <c r="AM2733" s="72"/>
    </row>
    <row r="2734" spans="1:39" x14ac:dyDescent="0.25">
      <c r="A2734" s="37" t="s">
        <v>62</v>
      </c>
      <c r="B2734" s="66" t="s">
        <v>1654</v>
      </c>
      <c r="C2734" s="4">
        <v>1055</v>
      </c>
      <c r="D2734" s="41" t="s">
        <v>1125</v>
      </c>
      <c r="E2734" s="41">
        <v>10550001</v>
      </c>
      <c r="F2734" s="85" t="s">
        <v>1168</v>
      </c>
      <c r="G2734" s="39" t="s">
        <v>1610</v>
      </c>
      <c r="H2734" s="52" t="s">
        <v>98</v>
      </c>
      <c r="I2734" s="52">
        <v>33485.199999999997</v>
      </c>
      <c r="J2734" s="49">
        <v>1290856.3499999999</v>
      </c>
      <c r="K2734" s="58">
        <v>0</v>
      </c>
      <c r="L2734" s="58">
        <v>0</v>
      </c>
      <c r="M2734" s="58">
        <v>0</v>
      </c>
      <c r="N2734" s="58">
        <v>0</v>
      </c>
      <c r="O2734" s="58">
        <v>0</v>
      </c>
      <c r="P2734" s="53">
        <v>0</v>
      </c>
      <c r="Q2734" s="65">
        <v>1290856.3499999999</v>
      </c>
      <c r="R2734" s="65">
        <v>0</v>
      </c>
      <c r="S2734" s="65">
        <v>0</v>
      </c>
      <c r="T2734" s="65">
        <v>0</v>
      </c>
      <c r="U2734" s="58">
        <v>0</v>
      </c>
      <c r="V2734" s="65">
        <v>0</v>
      </c>
      <c r="W2734" s="65">
        <v>0</v>
      </c>
      <c r="X2734" s="65">
        <v>0</v>
      </c>
      <c r="Y2734" s="65">
        <v>0</v>
      </c>
      <c r="Z2734" s="51">
        <v>1290856.3499999999</v>
      </c>
      <c r="AA2734" s="51">
        <v>0</v>
      </c>
      <c r="AB2734" s="102">
        <v>0</v>
      </c>
      <c r="AC2734" s="81">
        <f t="shared" si="130"/>
        <v>0</v>
      </c>
      <c r="AD2734" s="82">
        <f t="shared" si="131"/>
        <v>0</v>
      </c>
      <c r="AE2734" s="218">
        <v>0</v>
      </c>
      <c r="AF2734">
        <v>0</v>
      </c>
      <c r="AH2734" t="str">
        <f t="shared" si="129"/>
        <v>Matihani</v>
      </c>
      <c r="AJ2734" s="72">
        <v>0</v>
      </c>
      <c r="AK2734" s="72"/>
      <c r="AL2734" s="72"/>
      <c r="AM2734" s="72"/>
    </row>
    <row r="2735" spans="1:39" x14ac:dyDescent="0.25">
      <c r="A2735" s="37" t="s">
        <v>62</v>
      </c>
      <c r="B2735" s="66" t="s">
        <v>1654</v>
      </c>
      <c r="C2735" s="4">
        <v>1055</v>
      </c>
      <c r="D2735" s="41" t="s">
        <v>1125</v>
      </c>
      <c r="E2735" s="41">
        <v>10550002</v>
      </c>
      <c r="F2735" s="85" t="s">
        <v>1188</v>
      </c>
      <c r="G2735" s="39" t="s">
        <v>1610</v>
      </c>
      <c r="H2735" s="52" t="s">
        <v>98</v>
      </c>
      <c r="I2735" s="52">
        <v>134.9</v>
      </c>
      <c r="J2735" s="49">
        <v>5107.84</v>
      </c>
      <c r="K2735" s="58">
        <v>0</v>
      </c>
      <c r="L2735" s="58">
        <v>0</v>
      </c>
      <c r="M2735" s="58">
        <v>0</v>
      </c>
      <c r="N2735" s="58">
        <v>0</v>
      </c>
      <c r="O2735" s="58">
        <v>0</v>
      </c>
      <c r="P2735" s="53">
        <v>0</v>
      </c>
      <c r="Q2735" s="65">
        <v>5107.84</v>
      </c>
      <c r="R2735" s="65">
        <v>0</v>
      </c>
      <c r="S2735" s="65">
        <v>0</v>
      </c>
      <c r="T2735" s="65">
        <v>0</v>
      </c>
      <c r="U2735" s="58">
        <v>0</v>
      </c>
      <c r="V2735" s="65">
        <v>0</v>
      </c>
      <c r="W2735" s="65">
        <v>0</v>
      </c>
      <c r="X2735" s="65">
        <v>0</v>
      </c>
      <c r="Y2735" s="65">
        <v>0</v>
      </c>
      <c r="Z2735" s="51">
        <v>5107.84</v>
      </c>
      <c r="AA2735" s="51">
        <v>0</v>
      </c>
      <c r="AB2735" s="102">
        <v>0</v>
      </c>
      <c r="AC2735" s="81">
        <f t="shared" si="130"/>
        <v>427.93778858413646</v>
      </c>
      <c r="AD2735" s="82">
        <f t="shared" si="131"/>
        <v>19.271428571428572</v>
      </c>
      <c r="AE2735" s="218">
        <v>0</v>
      </c>
      <c r="AF2735">
        <v>0</v>
      </c>
      <c r="AH2735" t="str">
        <f t="shared" si="129"/>
        <v>Matihani</v>
      </c>
      <c r="AJ2735" s="72">
        <v>0</v>
      </c>
      <c r="AK2735" s="72"/>
      <c r="AL2735" s="72"/>
      <c r="AM2735" s="72"/>
    </row>
    <row r="2736" spans="1:39" x14ac:dyDescent="0.25">
      <c r="A2736" s="37" t="s">
        <v>62</v>
      </c>
      <c r="B2736" s="66" t="s">
        <v>1654</v>
      </c>
      <c r="C2736" s="4">
        <v>1055</v>
      </c>
      <c r="D2736" s="41" t="s">
        <v>1125</v>
      </c>
      <c r="E2736" s="41">
        <v>10550005</v>
      </c>
      <c r="F2736" s="85" t="s">
        <v>1367</v>
      </c>
      <c r="G2736" s="39" t="s">
        <v>92</v>
      </c>
      <c r="H2736" s="52" t="s">
        <v>93</v>
      </c>
      <c r="I2736" s="52">
        <v>188.2</v>
      </c>
      <c r="J2736" s="49">
        <v>7564.7800000000007</v>
      </c>
      <c r="K2736" s="58">
        <v>187.2</v>
      </c>
      <c r="L2736" s="58">
        <v>7534.1599999999989</v>
      </c>
      <c r="M2736" s="58">
        <v>4</v>
      </c>
      <c r="N2736" s="58">
        <v>162.91999999999999</v>
      </c>
      <c r="O2736" s="58">
        <v>191.2</v>
      </c>
      <c r="P2736" s="53">
        <v>7697.079999999999</v>
      </c>
      <c r="Q2736" s="65">
        <v>7564.7800000000007</v>
      </c>
      <c r="R2736" s="65">
        <v>0</v>
      </c>
      <c r="S2736" s="65">
        <v>162.91999999999999</v>
      </c>
      <c r="T2736" s="65">
        <v>132.29999999999836</v>
      </c>
      <c r="U2736" s="58">
        <v>0</v>
      </c>
      <c r="V2736" s="65">
        <v>0</v>
      </c>
      <c r="W2736" s="65">
        <v>0</v>
      </c>
      <c r="X2736" s="65">
        <v>7402</v>
      </c>
      <c r="Y2736" s="65">
        <v>0</v>
      </c>
      <c r="Z2736" s="51">
        <v>0</v>
      </c>
      <c r="AA2736" s="51">
        <v>0</v>
      </c>
      <c r="AB2736" s="102">
        <v>0</v>
      </c>
      <c r="AC2736" s="81">
        <f t="shared" si="130"/>
        <v>411.44042550478224</v>
      </c>
      <c r="AD2736" s="82">
        <f t="shared" si="131"/>
        <v>26.885714285714283</v>
      </c>
      <c r="AE2736" s="218">
        <v>-1.7488942176771612E-2</v>
      </c>
      <c r="AF2736">
        <v>4</v>
      </c>
      <c r="AH2736" t="str">
        <f t="shared" si="129"/>
        <v>Matihani</v>
      </c>
      <c r="AJ2736" s="72">
        <v>0</v>
      </c>
      <c r="AK2736" s="72"/>
      <c r="AL2736" s="72"/>
      <c r="AM2736" s="72"/>
    </row>
    <row r="2737" spans="1:39" x14ac:dyDescent="0.25">
      <c r="A2737" s="37" t="s">
        <v>62</v>
      </c>
      <c r="B2737" s="66" t="s">
        <v>1654</v>
      </c>
      <c r="C2737" s="4">
        <v>1055</v>
      </c>
      <c r="D2737" s="41" t="s">
        <v>1125</v>
      </c>
      <c r="E2737" s="41">
        <v>10550007</v>
      </c>
      <c r="F2737" s="85" t="s">
        <v>1368</v>
      </c>
      <c r="G2737" s="39" t="s">
        <v>1610</v>
      </c>
      <c r="H2737" s="52" t="s">
        <v>98</v>
      </c>
      <c r="I2737" s="52">
        <v>2764.4999999999995</v>
      </c>
      <c r="J2737" s="49">
        <v>97235.989999999976</v>
      </c>
      <c r="K2737" s="58">
        <v>0</v>
      </c>
      <c r="L2737" s="58">
        <v>0</v>
      </c>
      <c r="M2737" s="58">
        <v>0</v>
      </c>
      <c r="N2737" s="58">
        <v>0</v>
      </c>
      <c r="O2737" s="58">
        <v>0</v>
      </c>
      <c r="P2737" s="53">
        <v>0</v>
      </c>
      <c r="Q2737" s="65">
        <v>97235.989999999976</v>
      </c>
      <c r="R2737" s="65">
        <v>0</v>
      </c>
      <c r="S2737" s="65">
        <v>0</v>
      </c>
      <c r="T2737" s="65">
        <v>0</v>
      </c>
      <c r="U2737" s="58">
        <v>0</v>
      </c>
      <c r="V2737" s="65">
        <v>0</v>
      </c>
      <c r="W2737" s="65">
        <v>0</v>
      </c>
      <c r="X2737" s="65">
        <v>0</v>
      </c>
      <c r="Y2737" s="65">
        <v>0</v>
      </c>
      <c r="Z2737" s="51">
        <v>97235.989999999976</v>
      </c>
      <c r="AA2737" s="51">
        <v>0</v>
      </c>
      <c r="AB2737" s="102">
        <v>0</v>
      </c>
      <c r="AC2737" s="81">
        <f t="shared" si="130"/>
        <v>0</v>
      </c>
      <c r="AD2737" s="82">
        <f t="shared" si="131"/>
        <v>0</v>
      </c>
      <c r="AE2737" s="218">
        <v>0</v>
      </c>
      <c r="AF2737">
        <v>0</v>
      </c>
      <c r="AH2737" t="str">
        <f t="shared" si="129"/>
        <v>Matihani</v>
      </c>
      <c r="AJ2737" s="72">
        <v>0</v>
      </c>
      <c r="AK2737" s="72"/>
      <c r="AL2737" s="72"/>
      <c r="AM2737" s="72"/>
    </row>
    <row r="2738" spans="1:39" x14ac:dyDescent="0.25">
      <c r="A2738" s="37" t="s">
        <v>62</v>
      </c>
      <c r="B2738" s="66" t="s">
        <v>1654</v>
      </c>
      <c r="C2738" s="4">
        <v>1055</v>
      </c>
      <c r="D2738" s="41" t="s">
        <v>1125</v>
      </c>
      <c r="E2738" s="41">
        <v>10550008</v>
      </c>
      <c r="F2738" s="85" t="s">
        <v>1412</v>
      </c>
      <c r="G2738" s="39" t="s">
        <v>1610</v>
      </c>
      <c r="H2738" s="52" t="s">
        <v>98</v>
      </c>
      <c r="I2738" s="52">
        <v>412.70000000000005</v>
      </c>
      <c r="J2738" s="49">
        <v>14598.03</v>
      </c>
      <c r="K2738" s="58">
        <v>0</v>
      </c>
      <c r="L2738" s="58">
        <v>0</v>
      </c>
      <c r="M2738" s="58">
        <v>0</v>
      </c>
      <c r="N2738" s="58">
        <v>0</v>
      </c>
      <c r="O2738" s="58">
        <v>0</v>
      </c>
      <c r="P2738" s="53">
        <v>0</v>
      </c>
      <c r="Q2738" s="65">
        <v>14598.03</v>
      </c>
      <c r="R2738" s="65">
        <v>0</v>
      </c>
      <c r="S2738" s="65">
        <v>0</v>
      </c>
      <c r="T2738" s="65">
        <v>0</v>
      </c>
      <c r="U2738" s="58">
        <v>0</v>
      </c>
      <c r="V2738" s="65">
        <v>0</v>
      </c>
      <c r="W2738" s="65">
        <v>0</v>
      </c>
      <c r="X2738" s="65">
        <v>0</v>
      </c>
      <c r="Y2738" s="65">
        <v>0</v>
      </c>
      <c r="Z2738" s="51">
        <v>14598.03</v>
      </c>
      <c r="AA2738" s="51">
        <v>0</v>
      </c>
      <c r="AB2738" s="102">
        <v>0</v>
      </c>
      <c r="AC2738" s="81">
        <f t="shared" si="130"/>
        <v>203.24758996850008</v>
      </c>
      <c r="AD2738" s="82">
        <f t="shared" si="131"/>
        <v>58.957142857142863</v>
      </c>
      <c r="AE2738" s="218">
        <v>0</v>
      </c>
      <c r="AF2738">
        <v>0</v>
      </c>
      <c r="AH2738" t="str">
        <f t="shared" si="129"/>
        <v>Matihani</v>
      </c>
      <c r="AJ2738" s="72">
        <v>0</v>
      </c>
      <c r="AK2738" s="72"/>
      <c r="AL2738" s="72"/>
      <c r="AM2738" s="72"/>
    </row>
    <row r="2739" spans="1:39" x14ac:dyDescent="0.25">
      <c r="A2739" s="37" t="s">
        <v>62</v>
      </c>
      <c r="B2739" s="66" t="s">
        <v>1654</v>
      </c>
      <c r="C2739" s="4">
        <v>1055</v>
      </c>
      <c r="D2739" s="41" t="s">
        <v>1125</v>
      </c>
      <c r="E2739" s="41">
        <v>10550009</v>
      </c>
      <c r="F2739" s="85" t="s">
        <v>1466</v>
      </c>
      <c r="G2739" s="39" t="s">
        <v>1610</v>
      </c>
      <c r="H2739" s="52" t="s">
        <v>98</v>
      </c>
      <c r="I2739" s="52">
        <v>525.4</v>
      </c>
      <c r="J2739" s="49">
        <v>20252.59</v>
      </c>
      <c r="K2739" s="58">
        <v>0</v>
      </c>
      <c r="L2739" s="58">
        <v>0</v>
      </c>
      <c r="M2739" s="58">
        <v>0</v>
      </c>
      <c r="N2739" s="58">
        <v>0</v>
      </c>
      <c r="O2739" s="58">
        <v>0</v>
      </c>
      <c r="P2739" s="53">
        <v>0</v>
      </c>
      <c r="Q2739" s="65">
        <v>20252.59</v>
      </c>
      <c r="R2739" s="65">
        <v>0</v>
      </c>
      <c r="S2739" s="65">
        <v>0</v>
      </c>
      <c r="T2739" s="65">
        <v>0</v>
      </c>
      <c r="U2739" s="58">
        <v>0</v>
      </c>
      <c r="V2739" s="65">
        <v>0</v>
      </c>
      <c r="W2739" s="65">
        <v>0</v>
      </c>
      <c r="X2739" s="65">
        <v>0</v>
      </c>
      <c r="Y2739" s="65">
        <v>0</v>
      </c>
      <c r="Z2739" s="51">
        <v>20252.59</v>
      </c>
      <c r="AA2739" s="51">
        <v>0</v>
      </c>
      <c r="AB2739" s="102">
        <v>0</v>
      </c>
      <c r="AC2739" s="81">
        <f t="shared" si="130"/>
        <v>134.60609874381427</v>
      </c>
      <c r="AD2739" s="82">
        <f t="shared" si="131"/>
        <v>75.05714285714285</v>
      </c>
      <c r="AE2739" s="218">
        <v>0</v>
      </c>
      <c r="AF2739">
        <v>0</v>
      </c>
      <c r="AH2739" t="str">
        <f t="shared" si="129"/>
        <v>Matihani</v>
      </c>
      <c r="AJ2739" s="72">
        <v>0</v>
      </c>
      <c r="AK2739" s="72"/>
      <c r="AL2739" s="72"/>
      <c r="AM2739" s="72"/>
    </row>
    <row r="2740" spans="1:39" x14ac:dyDescent="0.25">
      <c r="A2740" s="37" t="s">
        <v>62</v>
      </c>
      <c r="B2740" s="66" t="s">
        <v>1654</v>
      </c>
      <c r="C2740" s="4">
        <v>1055</v>
      </c>
      <c r="D2740" s="41" t="s">
        <v>1125</v>
      </c>
      <c r="E2740" s="41">
        <v>10550010</v>
      </c>
      <c r="F2740" s="85" t="s">
        <v>1564</v>
      </c>
      <c r="G2740" s="39" t="s">
        <v>92</v>
      </c>
      <c r="H2740" s="52" t="s">
        <v>93</v>
      </c>
      <c r="I2740" s="52">
        <v>311.39999999999998</v>
      </c>
      <c r="J2740" s="49">
        <v>12990.14</v>
      </c>
      <c r="K2740" s="58">
        <v>302.64999999999998</v>
      </c>
      <c r="L2740" s="58">
        <v>12791.869999999999</v>
      </c>
      <c r="M2740" s="58">
        <v>3.5299999999999994</v>
      </c>
      <c r="N2740" s="58">
        <v>153.22000000000003</v>
      </c>
      <c r="O2740" s="58">
        <v>306.17999999999995</v>
      </c>
      <c r="P2740" s="53">
        <v>12945.089999999998</v>
      </c>
      <c r="Q2740" s="65">
        <v>12945.089999999998</v>
      </c>
      <c r="R2740" s="65">
        <v>0</v>
      </c>
      <c r="S2740" s="65">
        <v>153.22000000000003</v>
      </c>
      <c r="T2740" s="65">
        <v>0</v>
      </c>
      <c r="U2740" s="58">
        <v>0</v>
      </c>
      <c r="V2740" s="65">
        <v>0</v>
      </c>
      <c r="W2740" s="65">
        <v>0</v>
      </c>
      <c r="X2740" s="65">
        <v>12793</v>
      </c>
      <c r="Y2740" s="65">
        <v>0</v>
      </c>
      <c r="Z2740" s="51">
        <v>0</v>
      </c>
      <c r="AA2740" s="51">
        <v>44</v>
      </c>
      <c r="AB2740" s="102">
        <v>0</v>
      </c>
      <c r="AC2740" s="81">
        <f t="shared" si="130"/>
        <v>324.21120128452151</v>
      </c>
      <c r="AD2740" s="82">
        <f t="shared" si="131"/>
        <v>44.48571428571428</v>
      </c>
      <c r="AE2740" s="218">
        <v>3.4680149713552811E-3</v>
      </c>
      <c r="AF2740">
        <v>6</v>
      </c>
      <c r="AH2740" t="str">
        <f t="shared" si="129"/>
        <v>Matihani</v>
      </c>
      <c r="AJ2740" s="72">
        <v>0</v>
      </c>
      <c r="AK2740" s="72"/>
      <c r="AL2740" s="72"/>
      <c r="AM2740" s="72"/>
    </row>
    <row r="2741" spans="1:39" x14ac:dyDescent="0.25">
      <c r="A2741" s="37" t="s">
        <v>62</v>
      </c>
      <c r="B2741" s="66" t="s">
        <v>1654</v>
      </c>
      <c r="C2741" s="4">
        <v>1055</v>
      </c>
      <c r="D2741" s="41" t="s">
        <v>1125</v>
      </c>
      <c r="E2741" s="41">
        <v>10550011</v>
      </c>
      <c r="F2741" s="85" t="s">
        <v>1551</v>
      </c>
      <c r="G2741" s="39" t="s">
        <v>92</v>
      </c>
      <c r="H2741" s="52" t="s">
        <v>93</v>
      </c>
      <c r="I2741" s="52">
        <v>283.59999999999997</v>
      </c>
      <c r="J2741" s="49">
        <v>11412.79</v>
      </c>
      <c r="K2741" s="58">
        <v>276.49</v>
      </c>
      <c r="L2741" s="58">
        <v>11215.8</v>
      </c>
      <c r="M2741" s="58">
        <v>2.2300000000000004</v>
      </c>
      <c r="N2741" s="58">
        <v>89.72</v>
      </c>
      <c r="O2741" s="58">
        <v>278.72000000000003</v>
      </c>
      <c r="P2741" s="53">
        <v>11305.519999999999</v>
      </c>
      <c r="Q2741" s="65">
        <v>11305.519999999999</v>
      </c>
      <c r="R2741" s="65">
        <v>0</v>
      </c>
      <c r="S2741" s="65">
        <v>89.72</v>
      </c>
      <c r="T2741" s="65">
        <v>0</v>
      </c>
      <c r="U2741" s="58">
        <v>0</v>
      </c>
      <c r="V2741" s="65">
        <v>0</v>
      </c>
      <c r="W2741" s="65">
        <v>0</v>
      </c>
      <c r="X2741" s="65">
        <v>11216</v>
      </c>
      <c r="Y2741" s="65">
        <v>0</v>
      </c>
      <c r="Z2741" s="51">
        <v>0</v>
      </c>
      <c r="AA2741" s="51">
        <v>107</v>
      </c>
      <c r="AB2741" s="102">
        <v>0</v>
      </c>
      <c r="AC2741" s="81">
        <f t="shared" si="130"/>
        <v>335.14003921015524</v>
      </c>
      <c r="AD2741" s="82">
        <f t="shared" si="131"/>
        <v>40.514285714285712</v>
      </c>
      <c r="AE2741" s="218">
        <v>9.3991039877192387E-3</v>
      </c>
      <c r="AF2741">
        <v>5</v>
      </c>
      <c r="AH2741" t="str">
        <f t="shared" si="129"/>
        <v>Matihani</v>
      </c>
      <c r="AJ2741" s="72">
        <v>0</v>
      </c>
      <c r="AK2741" s="72"/>
      <c r="AL2741" s="72"/>
      <c r="AM2741" s="72"/>
    </row>
    <row r="2742" spans="1:39" x14ac:dyDescent="0.25">
      <c r="A2742" s="37" t="s">
        <v>62</v>
      </c>
      <c r="B2742" s="66" t="s">
        <v>1654</v>
      </c>
      <c r="C2742" s="4">
        <v>1056</v>
      </c>
      <c r="D2742" s="41" t="s">
        <v>816</v>
      </c>
      <c r="E2742" s="41">
        <v>10560001</v>
      </c>
      <c r="F2742" s="85" t="s">
        <v>822</v>
      </c>
      <c r="G2742" s="39" t="s">
        <v>92</v>
      </c>
      <c r="H2742" s="52" t="s">
        <v>98</v>
      </c>
      <c r="I2742" s="52">
        <v>1496.32</v>
      </c>
      <c r="J2742" s="49">
        <v>57784.039999999994</v>
      </c>
      <c r="K2742" s="58">
        <v>0</v>
      </c>
      <c r="L2742" s="58">
        <v>0</v>
      </c>
      <c r="M2742" s="58">
        <v>0</v>
      </c>
      <c r="N2742" s="58">
        <v>0</v>
      </c>
      <c r="O2742" s="58">
        <v>0</v>
      </c>
      <c r="P2742" s="53">
        <v>0</v>
      </c>
      <c r="Q2742" s="65">
        <v>57784.039999999994</v>
      </c>
      <c r="R2742" s="65">
        <v>0</v>
      </c>
      <c r="S2742" s="65">
        <v>0</v>
      </c>
      <c r="T2742" s="65">
        <v>0</v>
      </c>
      <c r="U2742" s="58">
        <v>0</v>
      </c>
      <c r="V2742" s="65">
        <v>0</v>
      </c>
      <c r="W2742" s="65">
        <v>0</v>
      </c>
      <c r="X2742" s="65">
        <v>0</v>
      </c>
      <c r="Y2742" s="65">
        <v>0</v>
      </c>
      <c r="Z2742" s="51">
        <v>57784.039999999994</v>
      </c>
      <c r="AA2742" s="51">
        <v>0</v>
      </c>
      <c r="AB2742" s="102">
        <v>0</v>
      </c>
      <c r="AC2742" s="81">
        <f t="shared" si="130"/>
        <v>0</v>
      </c>
      <c r="AD2742" s="82">
        <f t="shared" si="131"/>
        <v>0</v>
      </c>
      <c r="AE2742" s="218">
        <v>0</v>
      </c>
      <c r="AF2742">
        <v>0</v>
      </c>
      <c r="AH2742" t="str">
        <f t="shared" si="129"/>
        <v>Chautham</v>
      </c>
      <c r="AJ2742" s="72">
        <v>0</v>
      </c>
      <c r="AK2742" s="72"/>
      <c r="AL2742" s="72"/>
      <c r="AM2742" s="72"/>
    </row>
    <row r="2743" spans="1:39" x14ac:dyDescent="0.25">
      <c r="A2743" s="37" t="s">
        <v>62</v>
      </c>
      <c r="B2743" s="66" t="s">
        <v>1654</v>
      </c>
      <c r="C2743" s="4">
        <v>1056</v>
      </c>
      <c r="D2743" s="41" t="s">
        <v>816</v>
      </c>
      <c r="E2743" s="41">
        <v>10560002</v>
      </c>
      <c r="F2743" s="85" t="s">
        <v>1142</v>
      </c>
      <c r="G2743" s="39" t="s">
        <v>1610</v>
      </c>
      <c r="H2743" s="52" t="s">
        <v>98</v>
      </c>
      <c r="I2743" s="52">
        <v>396.9</v>
      </c>
      <c r="J2743" s="49">
        <v>14194.179999999998</v>
      </c>
      <c r="K2743" s="58">
        <v>0</v>
      </c>
      <c r="L2743" s="58">
        <v>0</v>
      </c>
      <c r="M2743" s="58">
        <v>0</v>
      </c>
      <c r="N2743" s="58">
        <v>0</v>
      </c>
      <c r="O2743" s="58">
        <v>0</v>
      </c>
      <c r="P2743" s="53">
        <v>0</v>
      </c>
      <c r="Q2743" s="65">
        <v>14194.179999999998</v>
      </c>
      <c r="R2743" s="65">
        <v>0</v>
      </c>
      <c r="S2743" s="65">
        <v>0</v>
      </c>
      <c r="T2743" s="65">
        <v>0</v>
      </c>
      <c r="U2743" s="58">
        <v>0</v>
      </c>
      <c r="V2743" s="65">
        <v>0</v>
      </c>
      <c r="W2743" s="65">
        <v>0</v>
      </c>
      <c r="X2743" s="65">
        <v>0</v>
      </c>
      <c r="Y2743" s="65">
        <v>0</v>
      </c>
      <c r="Z2743" s="51">
        <v>14194.179999999998</v>
      </c>
      <c r="AA2743" s="51">
        <v>0</v>
      </c>
      <c r="AB2743" s="102">
        <v>0</v>
      </c>
      <c r="AC2743" s="81">
        <f t="shared" si="130"/>
        <v>216.79294320987654</v>
      </c>
      <c r="AD2743" s="82">
        <f t="shared" si="131"/>
        <v>56.699999999999996</v>
      </c>
      <c r="AE2743" s="218">
        <v>0</v>
      </c>
      <c r="AF2743">
        <v>0</v>
      </c>
      <c r="AH2743" t="str">
        <f t="shared" si="129"/>
        <v>Chautham</v>
      </c>
      <c r="AJ2743" s="72">
        <v>0</v>
      </c>
      <c r="AK2743" s="72"/>
      <c r="AL2743" s="72"/>
      <c r="AM2743" s="72"/>
    </row>
    <row r="2744" spans="1:39" x14ac:dyDescent="0.25">
      <c r="A2744" s="37" t="s">
        <v>62</v>
      </c>
      <c r="B2744" s="66" t="s">
        <v>1654</v>
      </c>
      <c r="C2744" s="4">
        <v>1056</v>
      </c>
      <c r="D2744" s="41" t="s">
        <v>816</v>
      </c>
      <c r="E2744" s="41">
        <v>10560004</v>
      </c>
      <c r="F2744" s="85" t="s">
        <v>1158</v>
      </c>
      <c r="G2744" s="39" t="s">
        <v>92</v>
      </c>
      <c r="H2744" s="52" t="s">
        <v>93</v>
      </c>
      <c r="I2744" s="52">
        <v>975.52</v>
      </c>
      <c r="J2744" s="49">
        <v>35254.780000000006</v>
      </c>
      <c r="K2744" s="58">
        <v>1072.8200000000002</v>
      </c>
      <c r="L2744" s="58">
        <v>39795.379999999997</v>
      </c>
      <c r="M2744" s="58">
        <v>0</v>
      </c>
      <c r="N2744" s="58">
        <v>0</v>
      </c>
      <c r="O2744" s="58">
        <v>1072.8200000000002</v>
      </c>
      <c r="P2744" s="53">
        <v>39795.379999999997</v>
      </c>
      <c r="Q2744" s="65">
        <v>35254.780000000006</v>
      </c>
      <c r="R2744" s="65">
        <v>0</v>
      </c>
      <c r="S2744" s="65">
        <v>0</v>
      </c>
      <c r="T2744" s="65">
        <v>4540.5999999999913</v>
      </c>
      <c r="U2744" s="58">
        <v>0</v>
      </c>
      <c r="V2744" s="65">
        <v>0</v>
      </c>
      <c r="W2744" s="65">
        <v>0</v>
      </c>
      <c r="X2744" s="65">
        <v>35255</v>
      </c>
      <c r="Y2744" s="65">
        <v>0</v>
      </c>
      <c r="Z2744" s="51">
        <v>0</v>
      </c>
      <c r="AA2744" s="51">
        <v>0</v>
      </c>
      <c r="AB2744" s="102">
        <v>0</v>
      </c>
      <c r="AC2744" s="81">
        <f t="shared" si="130"/>
        <v>0</v>
      </c>
      <c r="AD2744" s="82">
        <f t="shared" si="131"/>
        <v>0</v>
      </c>
      <c r="AE2744" s="218">
        <v>-0.12879388270186315</v>
      </c>
      <c r="AF2744">
        <v>1</v>
      </c>
      <c r="AH2744" t="str">
        <f t="shared" si="129"/>
        <v>Chautham</v>
      </c>
      <c r="AJ2744" s="72">
        <v>0</v>
      </c>
      <c r="AK2744" s="72"/>
      <c r="AL2744" s="72"/>
      <c r="AM2744" s="72"/>
    </row>
    <row r="2745" spans="1:39" x14ac:dyDescent="0.25">
      <c r="A2745" s="37" t="s">
        <v>62</v>
      </c>
      <c r="B2745" s="66" t="s">
        <v>1654</v>
      </c>
      <c r="C2745" s="4">
        <v>1056</v>
      </c>
      <c r="D2745" s="41" t="s">
        <v>816</v>
      </c>
      <c r="E2745" s="41">
        <v>10560005</v>
      </c>
      <c r="F2745" s="85" t="s">
        <v>1159</v>
      </c>
      <c r="G2745" s="39" t="s">
        <v>92</v>
      </c>
      <c r="H2745" s="52" t="s">
        <v>93</v>
      </c>
      <c r="I2745" s="52">
        <v>1632.7800000000002</v>
      </c>
      <c r="J2745" s="49">
        <v>68996.95</v>
      </c>
      <c r="K2745" s="58">
        <v>62.56</v>
      </c>
      <c r="L2745" s="58">
        <v>2634.0600000000004</v>
      </c>
      <c r="M2745" s="58">
        <v>1688</v>
      </c>
      <c r="N2745" s="58">
        <v>71331.740000000005</v>
      </c>
      <c r="O2745" s="58">
        <v>1750.56</v>
      </c>
      <c r="P2745" s="53">
        <v>73965.8</v>
      </c>
      <c r="Q2745" s="65">
        <v>68996.95</v>
      </c>
      <c r="R2745" s="65">
        <v>0</v>
      </c>
      <c r="S2745" s="65">
        <v>0</v>
      </c>
      <c r="T2745" s="65">
        <v>4968.8500000000058</v>
      </c>
      <c r="U2745" s="58">
        <v>0</v>
      </c>
      <c r="V2745" s="65">
        <v>0</v>
      </c>
      <c r="W2745" s="65">
        <v>0</v>
      </c>
      <c r="X2745" s="65">
        <v>0</v>
      </c>
      <c r="Y2745" s="65">
        <v>68997</v>
      </c>
      <c r="Z2745" s="51">
        <v>0</v>
      </c>
      <c r="AA2745" s="51">
        <v>0</v>
      </c>
      <c r="AB2745" s="102" t="s">
        <v>66</v>
      </c>
      <c r="AC2745" s="81">
        <f t="shared" si="130"/>
        <v>0</v>
      </c>
      <c r="AD2745" s="82">
        <f t="shared" si="131"/>
        <v>0</v>
      </c>
      <c r="AE2745" s="218">
        <v>-7.2015502134514728E-2</v>
      </c>
      <c r="AF2745">
        <v>3</v>
      </c>
      <c r="AH2745" t="str">
        <f t="shared" si="129"/>
        <v>Chautham</v>
      </c>
      <c r="AJ2745" s="72">
        <v>0</v>
      </c>
      <c r="AK2745" s="72"/>
      <c r="AL2745" s="72"/>
      <c r="AM2745" s="72"/>
    </row>
    <row r="2746" spans="1:39" x14ac:dyDescent="0.25">
      <c r="A2746" s="37" t="s">
        <v>62</v>
      </c>
      <c r="B2746" s="66" t="s">
        <v>1654</v>
      </c>
      <c r="C2746" s="4">
        <v>1056</v>
      </c>
      <c r="D2746" s="41" t="s">
        <v>816</v>
      </c>
      <c r="E2746" s="41">
        <v>10560007</v>
      </c>
      <c r="F2746" s="85" t="s">
        <v>1160</v>
      </c>
      <c r="G2746" s="39" t="s">
        <v>92</v>
      </c>
      <c r="H2746" s="52" t="s">
        <v>93</v>
      </c>
      <c r="I2746" s="52">
        <v>261.06</v>
      </c>
      <c r="J2746" s="49">
        <v>10371.41</v>
      </c>
      <c r="K2746" s="58">
        <v>263.40000000000003</v>
      </c>
      <c r="L2746" s="58">
        <v>11002.869999999999</v>
      </c>
      <c r="M2746" s="58">
        <v>0</v>
      </c>
      <c r="N2746" s="58">
        <v>0</v>
      </c>
      <c r="O2746" s="58">
        <v>263.40000000000003</v>
      </c>
      <c r="P2746" s="53">
        <v>11002.869999999999</v>
      </c>
      <c r="Q2746" s="65">
        <v>10371.41</v>
      </c>
      <c r="R2746" s="65">
        <v>0</v>
      </c>
      <c r="S2746" s="65">
        <v>0</v>
      </c>
      <c r="T2746" s="65">
        <v>631.45999999999913</v>
      </c>
      <c r="U2746" s="58">
        <v>0</v>
      </c>
      <c r="V2746" s="65">
        <v>500</v>
      </c>
      <c r="W2746" s="65">
        <v>0</v>
      </c>
      <c r="X2746" s="65">
        <v>9871</v>
      </c>
      <c r="Y2746" s="65">
        <v>0</v>
      </c>
      <c r="Z2746" s="51">
        <v>0</v>
      </c>
      <c r="AA2746" s="51">
        <v>0</v>
      </c>
      <c r="AB2746" s="102">
        <v>0</v>
      </c>
      <c r="AC2746" s="81">
        <f t="shared" si="130"/>
        <v>348.76478245614032</v>
      </c>
      <c r="AD2746" s="82">
        <f t="shared" si="131"/>
        <v>37.294285714285714</v>
      </c>
      <c r="AE2746" s="218">
        <v>-6.0884682024912637E-2</v>
      </c>
      <c r="AF2746">
        <v>1</v>
      </c>
      <c r="AH2746" t="str">
        <f t="shared" si="129"/>
        <v>Chautham</v>
      </c>
      <c r="AJ2746" s="72">
        <v>500</v>
      </c>
      <c r="AK2746" s="72"/>
      <c r="AL2746" s="72"/>
      <c r="AM2746" s="72"/>
    </row>
    <row r="2747" spans="1:39" x14ac:dyDescent="0.25">
      <c r="A2747" s="37" t="s">
        <v>62</v>
      </c>
      <c r="B2747" s="66" t="s">
        <v>1654</v>
      </c>
      <c r="C2747" s="4">
        <v>1056</v>
      </c>
      <c r="D2747" s="41" t="s">
        <v>816</v>
      </c>
      <c r="E2747" s="41">
        <v>10560011</v>
      </c>
      <c r="F2747" s="85" t="s">
        <v>1242</v>
      </c>
      <c r="G2747" s="39" t="s">
        <v>92</v>
      </c>
      <c r="H2747" s="52" t="s">
        <v>93</v>
      </c>
      <c r="I2747" s="52">
        <v>1944.5</v>
      </c>
      <c r="J2747" s="49">
        <v>79389.460000000006</v>
      </c>
      <c r="K2747" s="58">
        <v>1944.42</v>
      </c>
      <c r="L2747" s="58">
        <v>84141.659999999989</v>
      </c>
      <c r="M2747" s="58">
        <v>0</v>
      </c>
      <c r="N2747" s="58">
        <v>0</v>
      </c>
      <c r="O2747" s="58">
        <v>1944.42</v>
      </c>
      <c r="P2747" s="53">
        <v>84141.659999999989</v>
      </c>
      <c r="Q2747" s="65">
        <v>79389.460000000006</v>
      </c>
      <c r="R2747" s="65">
        <v>0</v>
      </c>
      <c r="S2747" s="65">
        <v>0</v>
      </c>
      <c r="T2747" s="65">
        <v>4752.1999999999825</v>
      </c>
      <c r="U2747" s="58">
        <v>0</v>
      </c>
      <c r="V2747" s="65">
        <v>0</v>
      </c>
      <c r="W2747" s="65">
        <v>0</v>
      </c>
      <c r="X2747" s="65">
        <v>79389</v>
      </c>
      <c r="Y2747" s="65">
        <v>0</v>
      </c>
      <c r="Z2747" s="51">
        <v>0</v>
      </c>
      <c r="AA2747" s="51">
        <v>0</v>
      </c>
      <c r="AB2747" s="102">
        <v>0</v>
      </c>
      <c r="AC2747" s="81">
        <f t="shared" si="130"/>
        <v>0</v>
      </c>
      <c r="AD2747" s="82">
        <f t="shared" si="131"/>
        <v>0</v>
      </c>
      <c r="AE2747" s="218">
        <v>-5.9859331452814794E-2</v>
      </c>
      <c r="AF2747">
        <v>13</v>
      </c>
      <c r="AH2747" t="str">
        <f t="shared" si="129"/>
        <v>Chautham</v>
      </c>
      <c r="AJ2747" s="72">
        <v>0</v>
      </c>
      <c r="AK2747" s="72"/>
      <c r="AL2747" s="72"/>
      <c r="AM2747" s="72"/>
    </row>
    <row r="2748" spans="1:39" x14ac:dyDescent="0.25">
      <c r="A2748" s="37" t="s">
        <v>62</v>
      </c>
      <c r="B2748" s="66" t="s">
        <v>1654</v>
      </c>
      <c r="C2748" s="4">
        <v>1056</v>
      </c>
      <c r="D2748" s="41" t="s">
        <v>816</v>
      </c>
      <c r="E2748" s="41">
        <v>10560012</v>
      </c>
      <c r="F2748" s="85" t="s">
        <v>1243</v>
      </c>
      <c r="G2748" s="39" t="s">
        <v>92</v>
      </c>
      <c r="H2748" s="52" t="s">
        <v>93</v>
      </c>
      <c r="I2748" s="52">
        <v>1346.46</v>
      </c>
      <c r="J2748" s="49">
        <v>55271.92</v>
      </c>
      <c r="K2748" s="58">
        <v>1351.4299999999998</v>
      </c>
      <c r="L2748" s="58">
        <v>56509.180000000008</v>
      </c>
      <c r="M2748" s="58">
        <v>0</v>
      </c>
      <c r="N2748" s="58">
        <v>0</v>
      </c>
      <c r="O2748" s="58">
        <v>1351.4299999999998</v>
      </c>
      <c r="P2748" s="53">
        <v>56509.180000000008</v>
      </c>
      <c r="Q2748" s="65">
        <v>55271.92</v>
      </c>
      <c r="R2748" s="65">
        <v>0</v>
      </c>
      <c r="S2748" s="65">
        <v>0</v>
      </c>
      <c r="T2748" s="65">
        <v>1237.2600000000093</v>
      </c>
      <c r="U2748" s="58">
        <v>16200</v>
      </c>
      <c r="V2748" s="65">
        <v>0</v>
      </c>
      <c r="W2748" s="65">
        <v>0</v>
      </c>
      <c r="X2748" s="65">
        <v>39072</v>
      </c>
      <c r="Y2748" s="65">
        <v>0</v>
      </c>
      <c r="Z2748" s="51">
        <v>0</v>
      </c>
      <c r="AA2748" s="51">
        <v>0</v>
      </c>
      <c r="AB2748" s="102" t="s">
        <v>68</v>
      </c>
      <c r="AC2748" s="81">
        <f t="shared" si="130"/>
        <v>0</v>
      </c>
      <c r="AD2748" s="82">
        <f t="shared" si="131"/>
        <v>0</v>
      </c>
      <c r="AE2748" s="218">
        <v>-2.2384965096200915E-2</v>
      </c>
      <c r="AF2748">
        <v>5</v>
      </c>
      <c r="AH2748" t="str">
        <f t="shared" ref="AH2748:AH2808" si="132">TEXT(D2748,"0000")</f>
        <v>Chautham</v>
      </c>
      <c r="AJ2748" s="72">
        <v>0</v>
      </c>
      <c r="AK2748" s="72"/>
      <c r="AL2748" s="72"/>
      <c r="AM2748" s="72"/>
    </row>
    <row r="2749" spans="1:39" x14ac:dyDescent="0.25">
      <c r="A2749" s="37" t="s">
        <v>62</v>
      </c>
      <c r="B2749" s="66" t="s">
        <v>1654</v>
      </c>
      <c r="C2749" s="4">
        <v>1056</v>
      </c>
      <c r="D2749" s="41" t="s">
        <v>816</v>
      </c>
      <c r="E2749" s="41">
        <v>10560015</v>
      </c>
      <c r="F2749" s="85" t="s">
        <v>1204</v>
      </c>
      <c r="G2749" s="39" t="s">
        <v>1610</v>
      </c>
      <c r="H2749" s="52" t="s">
        <v>98</v>
      </c>
      <c r="I2749" s="52">
        <v>427.26000000000005</v>
      </c>
      <c r="J2749" s="49">
        <v>16511.72</v>
      </c>
      <c r="K2749" s="58">
        <v>0</v>
      </c>
      <c r="L2749" s="58">
        <v>0</v>
      </c>
      <c r="M2749" s="58">
        <v>0</v>
      </c>
      <c r="N2749" s="58">
        <v>0</v>
      </c>
      <c r="O2749" s="58">
        <v>0</v>
      </c>
      <c r="P2749" s="53">
        <v>0</v>
      </c>
      <c r="Q2749" s="65">
        <v>16511.72</v>
      </c>
      <c r="R2749" s="65">
        <v>0</v>
      </c>
      <c r="S2749" s="65">
        <v>0</v>
      </c>
      <c r="T2749" s="65">
        <v>0</v>
      </c>
      <c r="U2749" s="58">
        <v>0</v>
      </c>
      <c r="V2749" s="65">
        <v>0</v>
      </c>
      <c r="W2749" s="65">
        <v>0</v>
      </c>
      <c r="X2749" s="65">
        <v>0</v>
      </c>
      <c r="Y2749" s="65">
        <v>0</v>
      </c>
      <c r="Z2749" s="51">
        <v>16511.72</v>
      </c>
      <c r="AA2749" s="51">
        <v>0</v>
      </c>
      <c r="AB2749" s="102">
        <v>0</v>
      </c>
      <c r="AC2749" s="81">
        <f t="shared" si="130"/>
        <v>210.80403093198518</v>
      </c>
      <c r="AD2749" s="82">
        <f t="shared" si="131"/>
        <v>61.037142857142861</v>
      </c>
      <c r="AE2749" s="218">
        <v>0</v>
      </c>
      <c r="AF2749">
        <v>0</v>
      </c>
      <c r="AH2749" t="str">
        <f t="shared" si="132"/>
        <v>Chautham</v>
      </c>
      <c r="AJ2749" s="72">
        <v>0</v>
      </c>
      <c r="AK2749" s="72"/>
      <c r="AL2749" s="72"/>
      <c r="AM2749" s="72"/>
    </row>
    <row r="2750" spans="1:39" x14ac:dyDescent="0.25">
      <c r="A2750" s="37" t="s">
        <v>62</v>
      </c>
      <c r="B2750" s="66" t="s">
        <v>1654</v>
      </c>
      <c r="C2750" s="4">
        <v>1056</v>
      </c>
      <c r="D2750" s="41" t="s">
        <v>816</v>
      </c>
      <c r="E2750" s="41">
        <v>10560016</v>
      </c>
      <c r="F2750" s="85" t="s">
        <v>1378</v>
      </c>
      <c r="G2750" s="39" t="s">
        <v>92</v>
      </c>
      <c r="H2750" s="52" t="s">
        <v>93</v>
      </c>
      <c r="I2750" s="52">
        <v>964.61999999999989</v>
      </c>
      <c r="J2750" s="49">
        <v>35588.649999999994</v>
      </c>
      <c r="K2750" s="58">
        <v>1016.48</v>
      </c>
      <c r="L2750" s="58">
        <v>38336.85</v>
      </c>
      <c r="M2750" s="58">
        <v>0</v>
      </c>
      <c r="N2750" s="58">
        <v>0</v>
      </c>
      <c r="O2750" s="58">
        <v>1016.48</v>
      </c>
      <c r="P2750" s="53">
        <v>38336.85</v>
      </c>
      <c r="Q2750" s="65">
        <v>35588.649999999994</v>
      </c>
      <c r="R2750" s="65">
        <v>0</v>
      </c>
      <c r="S2750" s="65">
        <v>0</v>
      </c>
      <c r="T2750" s="65">
        <v>2748.2000000000044</v>
      </c>
      <c r="U2750" s="58">
        <v>0</v>
      </c>
      <c r="V2750" s="65">
        <v>0</v>
      </c>
      <c r="W2750" s="65">
        <v>0</v>
      </c>
      <c r="X2750" s="65">
        <v>35589</v>
      </c>
      <c r="Y2750" s="65">
        <v>0</v>
      </c>
      <c r="Z2750" s="51">
        <v>0</v>
      </c>
      <c r="AA2750" s="51">
        <v>0</v>
      </c>
      <c r="AB2750" s="102">
        <v>0</v>
      </c>
      <c r="AC2750" s="81">
        <f t="shared" ref="AC2750:AC2813" si="133">((IF(AD2750=0,0,100-AD2750))*7*(J2750/I2750))*2%</f>
        <v>0</v>
      </c>
      <c r="AD2750" s="82">
        <f t="shared" ref="AD2750:AD2813" si="134">IF((I2750/7)&gt;100,0,(I2750/7))</f>
        <v>0</v>
      </c>
      <c r="AE2750" s="218">
        <v>-7.7221248909413676E-2</v>
      </c>
      <c r="AF2750">
        <v>1</v>
      </c>
      <c r="AH2750" t="str">
        <f t="shared" si="132"/>
        <v>Chautham</v>
      </c>
      <c r="AJ2750" s="72">
        <v>0</v>
      </c>
      <c r="AK2750" s="72"/>
      <c r="AL2750" s="72"/>
      <c r="AM2750" s="72"/>
    </row>
    <row r="2751" spans="1:39" x14ac:dyDescent="0.25">
      <c r="A2751" s="37" t="s">
        <v>62</v>
      </c>
      <c r="B2751" s="66" t="s">
        <v>1654</v>
      </c>
      <c r="C2751" s="4">
        <v>1056</v>
      </c>
      <c r="D2751" s="41" t="s">
        <v>816</v>
      </c>
      <c r="E2751" s="41">
        <v>10560017</v>
      </c>
      <c r="F2751" s="85" t="s">
        <v>1208</v>
      </c>
      <c r="G2751" s="39" t="s">
        <v>92</v>
      </c>
      <c r="H2751" s="52" t="s">
        <v>93</v>
      </c>
      <c r="I2751" s="52">
        <v>733.61999999999989</v>
      </c>
      <c r="J2751" s="49">
        <v>29440.500000000004</v>
      </c>
      <c r="K2751" s="58">
        <v>732.81999999999994</v>
      </c>
      <c r="L2751" s="58">
        <v>28935.480000000003</v>
      </c>
      <c r="M2751" s="58">
        <v>0</v>
      </c>
      <c r="N2751" s="58">
        <v>0</v>
      </c>
      <c r="O2751" s="58">
        <v>732.81999999999994</v>
      </c>
      <c r="P2751" s="53">
        <v>28935.480000000003</v>
      </c>
      <c r="Q2751" s="65">
        <v>28935.480000000003</v>
      </c>
      <c r="R2751" s="65">
        <v>0</v>
      </c>
      <c r="S2751" s="65">
        <v>0</v>
      </c>
      <c r="T2751" s="65">
        <v>0</v>
      </c>
      <c r="U2751" s="58">
        <v>6647</v>
      </c>
      <c r="V2751" s="65">
        <v>0</v>
      </c>
      <c r="W2751" s="65">
        <v>0</v>
      </c>
      <c r="X2751" s="65">
        <v>22289</v>
      </c>
      <c r="Y2751" s="65">
        <v>0</v>
      </c>
      <c r="Z2751" s="51">
        <v>0</v>
      </c>
      <c r="AA2751" s="51">
        <v>505</v>
      </c>
      <c r="AB2751" s="102" t="s">
        <v>1366</v>
      </c>
      <c r="AC2751" s="81">
        <f t="shared" si="133"/>
        <v>0</v>
      </c>
      <c r="AD2751" s="82">
        <f t="shared" si="134"/>
        <v>0</v>
      </c>
      <c r="AE2751" s="218">
        <v>1.7153920619554709E-2</v>
      </c>
      <c r="AF2751">
        <v>14</v>
      </c>
      <c r="AH2751" t="str">
        <f t="shared" si="132"/>
        <v>Chautham</v>
      </c>
      <c r="AJ2751" s="72">
        <v>0</v>
      </c>
      <c r="AK2751" s="72"/>
      <c r="AL2751" s="72"/>
      <c r="AM2751" s="72"/>
    </row>
    <row r="2752" spans="1:39" x14ac:dyDescent="0.25">
      <c r="A2752" s="37" t="s">
        <v>62</v>
      </c>
      <c r="B2752" s="66" t="s">
        <v>1654</v>
      </c>
      <c r="C2752" s="4">
        <v>1056</v>
      </c>
      <c r="D2752" s="41" t="s">
        <v>816</v>
      </c>
      <c r="E2752" s="41">
        <v>10560019</v>
      </c>
      <c r="F2752" s="85" t="s">
        <v>1209</v>
      </c>
      <c r="G2752" s="39" t="s">
        <v>1610</v>
      </c>
      <c r="H2752" s="52" t="s">
        <v>98</v>
      </c>
      <c r="I2752" s="52">
        <v>1509.26</v>
      </c>
      <c r="J2752" s="49">
        <v>55760.579999999987</v>
      </c>
      <c r="K2752" s="58">
        <v>0</v>
      </c>
      <c r="L2752" s="58">
        <v>0</v>
      </c>
      <c r="M2752" s="58">
        <v>0</v>
      </c>
      <c r="N2752" s="58">
        <v>0</v>
      </c>
      <c r="O2752" s="58">
        <v>0</v>
      </c>
      <c r="P2752" s="53">
        <v>0</v>
      </c>
      <c r="Q2752" s="65">
        <v>55760.579999999987</v>
      </c>
      <c r="R2752" s="65">
        <v>0</v>
      </c>
      <c r="S2752" s="65">
        <v>0</v>
      </c>
      <c r="T2752" s="65">
        <v>0</v>
      </c>
      <c r="U2752" s="58">
        <v>0</v>
      </c>
      <c r="V2752" s="65">
        <v>0</v>
      </c>
      <c r="W2752" s="65">
        <v>0</v>
      </c>
      <c r="X2752" s="65">
        <v>0</v>
      </c>
      <c r="Y2752" s="65">
        <v>0</v>
      </c>
      <c r="Z2752" s="51">
        <v>55760.579999999987</v>
      </c>
      <c r="AA2752" s="51">
        <v>0</v>
      </c>
      <c r="AB2752" s="102">
        <v>0</v>
      </c>
      <c r="AC2752" s="81">
        <f t="shared" si="133"/>
        <v>0</v>
      </c>
      <c r="AD2752" s="82">
        <f t="shared" si="134"/>
        <v>0</v>
      </c>
      <c r="AE2752" s="218">
        <v>0</v>
      </c>
      <c r="AF2752">
        <v>0</v>
      </c>
      <c r="AH2752" t="str">
        <f t="shared" si="132"/>
        <v>Chautham</v>
      </c>
      <c r="AJ2752" s="72">
        <v>0</v>
      </c>
      <c r="AK2752" s="72"/>
      <c r="AL2752" s="72"/>
      <c r="AM2752" s="72"/>
    </row>
    <row r="2753" spans="1:39" x14ac:dyDescent="0.25">
      <c r="A2753" s="37" t="s">
        <v>62</v>
      </c>
      <c r="B2753" s="66" t="s">
        <v>1654</v>
      </c>
      <c r="C2753" s="4">
        <v>1056</v>
      </c>
      <c r="D2753" s="41" t="s">
        <v>816</v>
      </c>
      <c r="E2753" s="41">
        <v>10560022</v>
      </c>
      <c r="F2753" s="85" t="s">
        <v>1291</v>
      </c>
      <c r="G2753" s="39" t="s">
        <v>92</v>
      </c>
      <c r="H2753" s="52" t="s">
        <v>93</v>
      </c>
      <c r="I2753" s="52">
        <v>2351.1000000000004</v>
      </c>
      <c r="J2753" s="49">
        <v>99351.099999999991</v>
      </c>
      <c r="K2753" s="58">
        <v>2481.0100000000007</v>
      </c>
      <c r="L2753" s="58">
        <v>105342.14</v>
      </c>
      <c r="M2753" s="58">
        <v>295</v>
      </c>
      <c r="N2753" s="58">
        <v>12260.2</v>
      </c>
      <c r="O2753" s="58">
        <v>2776.0100000000007</v>
      </c>
      <c r="P2753" s="53">
        <v>117602.34</v>
      </c>
      <c r="Q2753" s="65">
        <v>99351.099999999991</v>
      </c>
      <c r="R2753" s="65">
        <v>0</v>
      </c>
      <c r="S2753" s="65">
        <v>0</v>
      </c>
      <c r="T2753" s="65">
        <v>18251.240000000005</v>
      </c>
      <c r="U2753" s="58">
        <v>0</v>
      </c>
      <c r="V2753" s="65">
        <v>0</v>
      </c>
      <c r="W2753" s="65">
        <v>0</v>
      </c>
      <c r="X2753" s="65">
        <v>87091</v>
      </c>
      <c r="Y2753" s="65">
        <v>12260</v>
      </c>
      <c r="Z2753" s="51">
        <v>0</v>
      </c>
      <c r="AA2753" s="51">
        <v>0</v>
      </c>
      <c r="AB2753" s="102">
        <v>0</v>
      </c>
      <c r="AC2753" s="81">
        <f t="shared" si="133"/>
        <v>0</v>
      </c>
      <c r="AD2753" s="82">
        <f t="shared" si="134"/>
        <v>0</v>
      </c>
      <c r="AE2753" s="218">
        <v>-0.18370445822945097</v>
      </c>
      <c r="AF2753">
        <v>7</v>
      </c>
      <c r="AH2753" t="str">
        <f t="shared" si="132"/>
        <v>Chautham</v>
      </c>
      <c r="AJ2753" s="72">
        <v>0</v>
      </c>
      <c r="AK2753" s="72"/>
      <c r="AL2753" s="72"/>
      <c r="AM2753" s="72"/>
    </row>
    <row r="2754" spans="1:39" x14ac:dyDescent="0.25">
      <c r="A2754" s="37" t="s">
        <v>62</v>
      </c>
      <c r="B2754" s="66" t="s">
        <v>1654</v>
      </c>
      <c r="C2754" s="4">
        <v>1056</v>
      </c>
      <c r="D2754" s="41" t="s">
        <v>816</v>
      </c>
      <c r="E2754" s="41">
        <v>10560025</v>
      </c>
      <c r="F2754" s="85" t="s">
        <v>1275</v>
      </c>
      <c r="G2754" s="39" t="s">
        <v>1610</v>
      </c>
      <c r="H2754" s="52" t="s">
        <v>98</v>
      </c>
      <c r="I2754" s="52">
        <v>76.8</v>
      </c>
      <c r="J2754" s="49">
        <v>3314.7799999999997</v>
      </c>
      <c r="K2754" s="58">
        <v>0</v>
      </c>
      <c r="L2754" s="58">
        <v>0</v>
      </c>
      <c r="M2754" s="58">
        <v>0</v>
      </c>
      <c r="N2754" s="58">
        <v>0</v>
      </c>
      <c r="O2754" s="58">
        <v>0</v>
      </c>
      <c r="P2754" s="53">
        <v>0</v>
      </c>
      <c r="Q2754" s="65">
        <v>3314.7799999999997</v>
      </c>
      <c r="R2754" s="65">
        <v>0</v>
      </c>
      <c r="S2754" s="65">
        <v>0</v>
      </c>
      <c r="T2754" s="65">
        <v>0</v>
      </c>
      <c r="U2754" s="58">
        <v>0</v>
      </c>
      <c r="V2754" s="65">
        <v>0</v>
      </c>
      <c r="W2754" s="65">
        <v>0</v>
      </c>
      <c r="X2754" s="65">
        <v>0</v>
      </c>
      <c r="Y2754" s="65">
        <v>0</v>
      </c>
      <c r="Z2754" s="51">
        <v>3314.7799999999997</v>
      </c>
      <c r="AA2754" s="51">
        <v>0</v>
      </c>
      <c r="AB2754" s="102">
        <v>0</v>
      </c>
      <c r="AC2754" s="81">
        <f t="shared" si="133"/>
        <v>537.9611708333332</v>
      </c>
      <c r="AD2754" s="82">
        <f t="shared" si="134"/>
        <v>10.971428571428572</v>
      </c>
      <c r="AE2754" s="218">
        <v>0</v>
      </c>
      <c r="AF2754">
        <v>0</v>
      </c>
      <c r="AH2754" t="str">
        <f t="shared" si="132"/>
        <v>Chautham</v>
      </c>
      <c r="AJ2754" s="72">
        <v>0</v>
      </c>
      <c r="AK2754" s="72"/>
      <c r="AL2754" s="72"/>
      <c r="AM2754" s="72"/>
    </row>
    <row r="2755" spans="1:39" x14ac:dyDescent="0.25">
      <c r="A2755" s="37" t="s">
        <v>62</v>
      </c>
      <c r="B2755" s="66" t="s">
        <v>1654</v>
      </c>
      <c r="C2755" s="4">
        <v>1056</v>
      </c>
      <c r="D2755" s="41" t="s">
        <v>816</v>
      </c>
      <c r="E2755" s="41">
        <v>10560026</v>
      </c>
      <c r="F2755" s="85" t="s">
        <v>1292</v>
      </c>
      <c r="G2755" s="39" t="s">
        <v>92</v>
      </c>
      <c r="H2755" s="52" t="s">
        <v>93</v>
      </c>
      <c r="I2755" s="52">
        <v>1012.08</v>
      </c>
      <c r="J2755" s="49">
        <v>40194.47</v>
      </c>
      <c r="K2755" s="58">
        <v>1020.3600000000001</v>
      </c>
      <c r="L2755" s="58">
        <v>41247.799999999996</v>
      </c>
      <c r="M2755" s="58">
        <v>0</v>
      </c>
      <c r="N2755" s="58">
        <v>0</v>
      </c>
      <c r="O2755" s="58">
        <v>1020.3600000000001</v>
      </c>
      <c r="P2755" s="53">
        <v>41247.799999999996</v>
      </c>
      <c r="Q2755" s="65">
        <v>40194.47</v>
      </c>
      <c r="R2755" s="65">
        <v>0</v>
      </c>
      <c r="S2755" s="65">
        <v>0</v>
      </c>
      <c r="T2755" s="65">
        <v>1053.3299999999945</v>
      </c>
      <c r="U2755" s="58">
        <v>0</v>
      </c>
      <c r="V2755" s="65">
        <v>0</v>
      </c>
      <c r="W2755" s="65">
        <v>0</v>
      </c>
      <c r="X2755" s="65">
        <v>40194</v>
      </c>
      <c r="Y2755" s="65">
        <v>0</v>
      </c>
      <c r="Z2755" s="51">
        <v>0</v>
      </c>
      <c r="AA2755" s="51">
        <v>0</v>
      </c>
      <c r="AB2755" s="102">
        <v>0</v>
      </c>
      <c r="AC2755" s="81">
        <f t="shared" si="133"/>
        <v>0</v>
      </c>
      <c r="AD2755" s="82">
        <f t="shared" si="134"/>
        <v>0</v>
      </c>
      <c r="AE2755" s="218">
        <v>-2.6205843739200801E-2</v>
      </c>
      <c r="AF2755">
        <v>18</v>
      </c>
      <c r="AH2755" t="str">
        <f t="shared" si="132"/>
        <v>Chautham</v>
      </c>
      <c r="AJ2755" s="72">
        <v>0</v>
      </c>
      <c r="AK2755" s="72"/>
      <c r="AL2755" s="72"/>
      <c r="AM2755" s="72"/>
    </row>
    <row r="2756" spans="1:39" x14ac:dyDescent="0.25">
      <c r="A2756" s="37" t="s">
        <v>62</v>
      </c>
      <c r="B2756" s="66" t="s">
        <v>1654</v>
      </c>
      <c r="C2756" s="4">
        <v>1056</v>
      </c>
      <c r="D2756" s="41" t="s">
        <v>816</v>
      </c>
      <c r="E2756" s="41">
        <v>10560028</v>
      </c>
      <c r="F2756" s="85" t="s">
        <v>1390</v>
      </c>
      <c r="G2756" s="39" t="s">
        <v>1610</v>
      </c>
      <c r="H2756" s="52" t="s">
        <v>93</v>
      </c>
      <c r="I2756" s="52">
        <v>338.32</v>
      </c>
      <c r="J2756" s="49">
        <v>16057.51</v>
      </c>
      <c r="K2756" s="58">
        <v>365.08000000000004</v>
      </c>
      <c r="L2756" s="58">
        <v>17158.940000000002</v>
      </c>
      <c r="M2756" s="58">
        <v>0</v>
      </c>
      <c r="N2756" s="58">
        <v>0</v>
      </c>
      <c r="O2756" s="58">
        <v>365.08000000000004</v>
      </c>
      <c r="P2756" s="53">
        <v>17158.940000000002</v>
      </c>
      <c r="Q2756" s="65">
        <v>16057.51</v>
      </c>
      <c r="R2756" s="65">
        <v>0</v>
      </c>
      <c r="S2756" s="65">
        <v>0</v>
      </c>
      <c r="T2756" s="65">
        <v>1101.4300000000021</v>
      </c>
      <c r="U2756" s="58">
        <v>0</v>
      </c>
      <c r="V2756" s="65">
        <v>0</v>
      </c>
      <c r="W2756" s="65">
        <v>0</v>
      </c>
      <c r="X2756" s="65">
        <v>16058</v>
      </c>
      <c r="Y2756" s="65">
        <v>0</v>
      </c>
      <c r="Z2756" s="51">
        <v>0</v>
      </c>
      <c r="AA2756" s="51">
        <v>0</v>
      </c>
      <c r="AB2756" s="102">
        <v>0</v>
      </c>
      <c r="AC2756" s="81">
        <f t="shared" si="133"/>
        <v>343.32467585717666</v>
      </c>
      <c r="AD2756" s="82">
        <f t="shared" si="134"/>
        <v>48.331428571428567</v>
      </c>
      <c r="AE2756" s="218">
        <v>-6.8592826658678843E-2</v>
      </c>
      <c r="AF2756">
        <v>1</v>
      </c>
      <c r="AH2756" t="str">
        <f t="shared" si="132"/>
        <v>Chautham</v>
      </c>
      <c r="AJ2756" s="72">
        <v>0</v>
      </c>
      <c r="AK2756" s="72"/>
      <c r="AL2756" s="72"/>
      <c r="AM2756" s="72"/>
    </row>
    <row r="2757" spans="1:39" x14ac:dyDescent="0.25">
      <c r="A2757" s="37" t="s">
        <v>62</v>
      </c>
      <c r="B2757" s="66" t="s">
        <v>1654</v>
      </c>
      <c r="C2757" s="4">
        <v>1056</v>
      </c>
      <c r="D2757" s="41" t="s">
        <v>816</v>
      </c>
      <c r="E2757" s="41">
        <v>10560031</v>
      </c>
      <c r="F2757" s="85" t="s">
        <v>1391</v>
      </c>
      <c r="G2757" s="39" t="s">
        <v>1610</v>
      </c>
      <c r="H2757" s="52" t="s">
        <v>93</v>
      </c>
      <c r="I2757" s="52">
        <v>574.04000000000008</v>
      </c>
      <c r="J2757" s="49">
        <v>22872.93</v>
      </c>
      <c r="K2757" s="58">
        <v>576.09</v>
      </c>
      <c r="L2757" s="58">
        <v>22950.78</v>
      </c>
      <c r="M2757" s="58">
        <v>0</v>
      </c>
      <c r="N2757" s="58">
        <v>0</v>
      </c>
      <c r="O2757" s="58">
        <v>576.09</v>
      </c>
      <c r="P2757" s="53">
        <v>22950.78</v>
      </c>
      <c r="Q2757" s="65">
        <v>22872.93</v>
      </c>
      <c r="R2757" s="65">
        <v>0</v>
      </c>
      <c r="S2757" s="65">
        <v>0</v>
      </c>
      <c r="T2757" s="65">
        <v>77.849999999998545</v>
      </c>
      <c r="U2757" s="58">
        <v>0</v>
      </c>
      <c r="V2757" s="65">
        <v>0</v>
      </c>
      <c r="W2757" s="65">
        <v>0</v>
      </c>
      <c r="X2757" s="65">
        <v>22873</v>
      </c>
      <c r="Y2757" s="65">
        <v>0</v>
      </c>
      <c r="Z2757" s="51">
        <v>0</v>
      </c>
      <c r="AA2757" s="51">
        <v>0</v>
      </c>
      <c r="AB2757" s="102">
        <v>0</v>
      </c>
      <c r="AC2757" s="81">
        <f t="shared" si="133"/>
        <v>100.37886777228063</v>
      </c>
      <c r="AD2757" s="82">
        <f t="shared" si="134"/>
        <v>82.005714285714291</v>
      </c>
      <c r="AE2757" s="218">
        <v>-3.4035866852212874E-3</v>
      </c>
      <c r="AF2757">
        <v>1</v>
      </c>
      <c r="AH2757" t="str">
        <f t="shared" si="132"/>
        <v>Chautham</v>
      </c>
      <c r="AJ2757" s="72">
        <v>0</v>
      </c>
      <c r="AK2757" s="72"/>
      <c r="AL2757" s="72"/>
      <c r="AM2757" s="72"/>
    </row>
    <row r="2758" spans="1:39" x14ac:dyDescent="0.25">
      <c r="A2758" s="37" t="s">
        <v>62</v>
      </c>
      <c r="B2758" s="66" t="s">
        <v>1654</v>
      </c>
      <c r="C2758" s="4">
        <v>1056</v>
      </c>
      <c r="D2758" s="41" t="s">
        <v>816</v>
      </c>
      <c r="E2758" s="41">
        <v>10560033</v>
      </c>
      <c r="F2758" s="85" t="s">
        <v>1433</v>
      </c>
      <c r="G2758" s="39" t="s">
        <v>92</v>
      </c>
      <c r="H2758" s="52" t="s">
        <v>98</v>
      </c>
      <c r="I2758" s="52">
        <v>309.62</v>
      </c>
      <c r="J2758" s="49">
        <v>13016.439999999999</v>
      </c>
      <c r="K2758" s="58">
        <v>309</v>
      </c>
      <c r="L2758" s="58">
        <v>12842.04</v>
      </c>
      <c r="M2758" s="58">
        <v>0</v>
      </c>
      <c r="N2758" s="58">
        <v>0</v>
      </c>
      <c r="O2758" s="58">
        <v>309</v>
      </c>
      <c r="P2758" s="53">
        <v>12842.04</v>
      </c>
      <c r="Q2758" s="65">
        <v>13016.439999999999</v>
      </c>
      <c r="R2758" s="65">
        <v>0</v>
      </c>
      <c r="S2758" s="65">
        <v>0</v>
      </c>
      <c r="T2758" s="65">
        <v>0</v>
      </c>
      <c r="U2758" s="58">
        <v>0</v>
      </c>
      <c r="V2758" s="65">
        <v>0</v>
      </c>
      <c r="W2758" s="65">
        <v>0</v>
      </c>
      <c r="X2758" s="65">
        <v>0</v>
      </c>
      <c r="Y2758" s="65">
        <v>0</v>
      </c>
      <c r="Z2758" s="51">
        <v>13016.439999999999</v>
      </c>
      <c r="AA2758" s="51">
        <v>0</v>
      </c>
      <c r="AB2758" s="102">
        <v>0</v>
      </c>
      <c r="AC2758" s="81">
        <f t="shared" si="133"/>
        <v>328.23188729410242</v>
      </c>
      <c r="AD2758" s="82">
        <f t="shared" si="134"/>
        <v>44.231428571428573</v>
      </c>
      <c r="AE2758" s="218">
        <v>0</v>
      </c>
      <c r="AF2758">
        <v>3</v>
      </c>
      <c r="AH2758" t="str">
        <f t="shared" si="132"/>
        <v>Chautham</v>
      </c>
      <c r="AJ2758" s="72">
        <v>0</v>
      </c>
      <c r="AK2758" s="72"/>
      <c r="AL2758" s="72"/>
      <c r="AM2758" s="72"/>
    </row>
    <row r="2759" spans="1:39" x14ac:dyDescent="0.25">
      <c r="A2759" s="37" t="s">
        <v>62</v>
      </c>
      <c r="B2759" s="66" t="s">
        <v>1654</v>
      </c>
      <c r="C2759" s="4">
        <v>1056</v>
      </c>
      <c r="D2759" s="41" t="s">
        <v>816</v>
      </c>
      <c r="E2759" s="41">
        <v>10560034</v>
      </c>
      <c r="F2759" s="85" t="s">
        <v>1341</v>
      </c>
      <c r="G2759" s="39" t="s">
        <v>1610</v>
      </c>
      <c r="H2759" s="52" t="s">
        <v>98</v>
      </c>
      <c r="I2759" s="52">
        <v>58.86</v>
      </c>
      <c r="J2759" s="49">
        <v>2189.16</v>
      </c>
      <c r="K2759" s="58">
        <v>0</v>
      </c>
      <c r="L2759" s="58">
        <v>0</v>
      </c>
      <c r="M2759" s="58">
        <v>0</v>
      </c>
      <c r="N2759" s="58">
        <v>0</v>
      </c>
      <c r="O2759" s="58">
        <v>0</v>
      </c>
      <c r="P2759" s="53">
        <v>0</v>
      </c>
      <c r="Q2759" s="65">
        <v>2189.16</v>
      </c>
      <c r="R2759" s="65">
        <v>0</v>
      </c>
      <c r="S2759" s="65">
        <v>0</v>
      </c>
      <c r="T2759" s="65">
        <v>0</v>
      </c>
      <c r="U2759" s="58">
        <v>2189</v>
      </c>
      <c r="V2759" s="65">
        <v>0</v>
      </c>
      <c r="W2759" s="65">
        <v>0</v>
      </c>
      <c r="X2759" s="65">
        <v>0</v>
      </c>
      <c r="Y2759" s="65">
        <v>0</v>
      </c>
      <c r="Z2759" s="51">
        <v>0.15999999999985448</v>
      </c>
      <c r="AA2759" s="51">
        <v>0</v>
      </c>
      <c r="AB2759" s="102">
        <v>0</v>
      </c>
      <c r="AC2759" s="81">
        <f t="shared" si="133"/>
        <v>476.91404770642202</v>
      </c>
      <c r="AD2759" s="82">
        <f t="shared" si="134"/>
        <v>8.4085714285714293</v>
      </c>
      <c r="AE2759" s="218">
        <v>0</v>
      </c>
      <c r="AF2759">
        <v>0</v>
      </c>
      <c r="AH2759" t="str">
        <f t="shared" si="132"/>
        <v>Chautham</v>
      </c>
      <c r="AJ2759" s="72">
        <v>0</v>
      </c>
      <c r="AK2759" s="72"/>
      <c r="AL2759" s="72"/>
      <c r="AM2759" s="72"/>
    </row>
    <row r="2760" spans="1:39" x14ac:dyDescent="0.25">
      <c r="A2760" s="37" t="s">
        <v>62</v>
      </c>
      <c r="B2760" s="66" t="s">
        <v>1654</v>
      </c>
      <c r="C2760" s="4">
        <v>1056</v>
      </c>
      <c r="D2760" s="41" t="s">
        <v>816</v>
      </c>
      <c r="E2760" s="41">
        <v>10560035</v>
      </c>
      <c r="F2760" s="85" t="s">
        <v>1457</v>
      </c>
      <c r="G2760" s="39" t="s">
        <v>92</v>
      </c>
      <c r="H2760" s="52" t="s">
        <v>93</v>
      </c>
      <c r="I2760" s="52">
        <v>483.94000000000005</v>
      </c>
      <c r="J2760" s="49">
        <v>18121.3</v>
      </c>
      <c r="K2760" s="58">
        <v>487.06999999999994</v>
      </c>
      <c r="L2760" s="58">
        <v>17397.82</v>
      </c>
      <c r="M2760" s="58">
        <v>0</v>
      </c>
      <c r="N2760" s="58">
        <v>0</v>
      </c>
      <c r="O2760" s="58">
        <v>487.06999999999994</v>
      </c>
      <c r="P2760" s="53">
        <v>17397.82</v>
      </c>
      <c r="Q2760" s="65">
        <v>17397.82</v>
      </c>
      <c r="R2760" s="65">
        <v>0</v>
      </c>
      <c r="S2760" s="65">
        <v>0</v>
      </c>
      <c r="T2760" s="65">
        <v>0</v>
      </c>
      <c r="U2760" s="58">
        <v>0</v>
      </c>
      <c r="V2760" s="65">
        <v>0</v>
      </c>
      <c r="W2760" s="65">
        <v>0</v>
      </c>
      <c r="X2760" s="65">
        <v>17398</v>
      </c>
      <c r="Y2760" s="65">
        <v>0</v>
      </c>
      <c r="Z2760" s="51">
        <v>0</v>
      </c>
      <c r="AA2760" s="51">
        <v>723</v>
      </c>
      <c r="AB2760" s="102">
        <v>0</v>
      </c>
      <c r="AC2760" s="81">
        <f t="shared" si="133"/>
        <v>161.80882249865681</v>
      </c>
      <c r="AD2760" s="82">
        <f t="shared" si="134"/>
        <v>69.134285714285724</v>
      </c>
      <c r="AE2760" s="218">
        <v>3.9924287992583289E-2</v>
      </c>
      <c r="AF2760">
        <v>2</v>
      </c>
      <c r="AH2760" t="str">
        <f t="shared" si="132"/>
        <v>Chautham</v>
      </c>
      <c r="AJ2760" s="72">
        <v>0</v>
      </c>
      <c r="AK2760" s="72"/>
      <c r="AL2760" s="72"/>
      <c r="AM2760" s="72"/>
    </row>
    <row r="2761" spans="1:39" x14ac:dyDescent="0.25">
      <c r="A2761" s="37" t="s">
        <v>62</v>
      </c>
      <c r="B2761" s="66" t="s">
        <v>1654</v>
      </c>
      <c r="C2761" s="4">
        <v>1056</v>
      </c>
      <c r="D2761" s="41" t="s">
        <v>816</v>
      </c>
      <c r="E2761" s="41">
        <v>10560036</v>
      </c>
      <c r="F2761" s="85" t="s">
        <v>1434</v>
      </c>
      <c r="G2761" s="39" t="s">
        <v>92</v>
      </c>
      <c r="H2761" s="52" t="s">
        <v>93</v>
      </c>
      <c r="I2761" s="52">
        <v>616.58000000000004</v>
      </c>
      <c r="J2761" s="49">
        <v>29163.279999999999</v>
      </c>
      <c r="K2761" s="58">
        <v>615.67999999999984</v>
      </c>
      <c r="L2761" s="58">
        <v>29258.829999999998</v>
      </c>
      <c r="M2761" s="58">
        <v>0</v>
      </c>
      <c r="N2761" s="58">
        <v>0</v>
      </c>
      <c r="O2761" s="58">
        <v>615.67999999999984</v>
      </c>
      <c r="P2761" s="53">
        <v>29258.829999999998</v>
      </c>
      <c r="Q2761" s="65">
        <v>29163.279999999999</v>
      </c>
      <c r="R2761" s="65">
        <v>0</v>
      </c>
      <c r="S2761" s="65">
        <v>0</v>
      </c>
      <c r="T2761" s="65">
        <v>95.549999999999272</v>
      </c>
      <c r="U2761" s="58">
        <v>0</v>
      </c>
      <c r="V2761" s="65">
        <v>0</v>
      </c>
      <c r="W2761" s="65">
        <v>0</v>
      </c>
      <c r="X2761" s="65">
        <v>29163</v>
      </c>
      <c r="Y2761" s="65">
        <v>0</v>
      </c>
      <c r="Z2761" s="51">
        <v>0</v>
      </c>
      <c r="AA2761" s="51">
        <v>0</v>
      </c>
      <c r="AB2761" s="102">
        <v>0</v>
      </c>
      <c r="AC2761" s="81">
        <f t="shared" si="133"/>
        <v>78.912738577313505</v>
      </c>
      <c r="AD2761" s="82">
        <f t="shared" si="134"/>
        <v>88.082857142857151</v>
      </c>
      <c r="AE2761" s="218">
        <v>-3.2763804345738641E-3</v>
      </c>
      <c r="AF2761">
        <v>4</v>
      </c>
      <c r="AH2761" t="str">
        <f t="shared" si="132"/>
        <v>Chautham</v>
      </c>
      <c r="AJ2761" s="72">
        <v>0</v>
      </c>
      <c r="AK2761" s="72"/>
      <c r="AL2761" s="72"/>
      <c r="AM2761" s="72"/>
    </row>
    <row r="2762" spans="1:39" x14ac:dyDescent="0.25">
      <c r="A2762" s="37" t="s">
        <v>62</v>
      </c>
      <c r="B2762" s="66" t="s">
        <v>1654</v>
      </c>
      <c r="C2762" s="4">
        <v>1056</v>
      </c>
      <c r="D2762" s="41" t="s">
        <v>816</v>
      </c>
      <c r="E2762" s="41">
        <v>10560037</v>
      </c>
      <c r="F2762" s="85" t="s">
        <v>1435</v>
      </c>
      <c r="G2762" s="39" t="s">
        <v>92</v>
      </c>
      <c r="H2762" s="52" t="s">
        <v>93</v>
      </c>
      <c r="I2762" s="52">
        <v>243.72</v>
      </c>
      <c r="J2762" s="49">
        <v>9955.66</v>
      </c>
      <c r="K2762" s="58">
        <v>216.3</v>
      </c>
      <c r="L2762" s="58">
        <v>8615.58</v>
      </c>
      <c r="M2762" s="58">
        <v>71.259999999999991</v>
      </c>
      <c r="N2762" s="58">
        <v>2823.68</v>
      </c>
      <c r="O2762" s="58">
        <v>287.56</v>
      </c>
      <c r="P2762" s="53">
        <v>11439.26</v>
      </c>
      <c r="Q2762" s="65">
        <v>9955.66</v>
      </c>
      <c r="R2762" s="65">
        <v>0</v>
      </c>
      <c r="S2762" s="65">
        <v>0</v>
      </c>
      <c r="T2762" s="65">
        <v>1483.6000000000004</v>
      </c>
      <c r="U2762" s="58">
        <v>0</v>
      </c>
      <c r="V2762" s="65">
        <v>0</v>
      </c>
      <c r="W2762" s="65">
        <v>0</v>
      </c>
      <c r="X2762" s="65">
        <v>7132</v>
      </c>
      <c r="Y2762" s="65">
        <v>2824</v>
      </c>
      <c r="Z2762" s="51">
        <v>0</v>
      </c>
      <c r="AA2762" s="51">
        <v>0</v>
      </c>
      <c r="AB2762" s="102">
        <v>0</v>
      </c>
      <c r="AC2762" s="81">
        <f t="shared" si="133"/>
        <v>372.76945222386348</v>
      </c>
      <c r="AD2762" s="82">
        <f t="shared" si="134"/>
        <v>34.817142857142855</v>
      </c>
      <c r="AE2762" s="218">
        <v>-0.14902075804115453</v>
      </c>
      <c r="AF2762">
        <v>5</v>
      </c>
      <c r="AH2762" t="str">
        <f t="shared" si="132"/>
        <v>Chautham</v>
      </c>
      <c r="AJ2762" s="72">
        <v>0</v>
      </c>
      <c r="AK2762" s="72"/>
      <c r="AL2762" s="72"/>
      <c r="AM2762" s="72"/>
    </row>
    <row r="2763" spans="1:39" x14ac:dyDescent="0.25">
      <c r="A2763" s="37" t="s">
        <v>62</v>
      </c>
      <c r="B2763" s="66" t="s">
        <v>1654</v>
      </c>
      <c r="C2763" s="4">
        <v>1056</v>
      </c>
      <c r="D2763" s="41" t="s">
        <v>816</v>
      </c>
      <c r="E2763" s="41">
        <v>10560039</v>
      </c>
      <c r="F2763" s="85" t="s">
        <v>1552</v>
      </c>
      <c r="G2763" s="39" t="s">
        <v>1610</v>
      </c>
      <c r="H2763" s="52" t="s">
        <v>98</v>
      </c>
      <c r="I2763" s="52">
        <v>319.72000000000008</v>
      </c>
      <c r="J2763" s="49">
        <v>11528.089999999998</v>
      </c>
      <c r="K2763" s="58">
        <v>0</v>
      </c>
      <c r="L2763" s="58">
        <v>0</v>
      </c>
      <c r="M2763" s="58">
        <v>0</v>
      </c>
      <c r="N2763" s="58">
        <v>0</v>
      </c>
      <c r="O2763" s="58">
        <v>0</v>
      </c>
      <c r="P2763" s="53">
        <v>0</v>
      </c>
      <c r="Q2763" s="65">
        <v>11528.089999999998</v>
      </c>
      <c r="R2763" s="65">
        <v>0</v>
      </c>
      <c r="S2763" s="65">
        <v>0</v>
      </c>
      <c r="T2763" s="65">
        <v>0</v>
      </c>
      <c r="U2763" s="58">
        <v>0</v>
      </c>
      <c r="V2763" s="65">
        <v>0</v>
      </c>
      <c r="W2763" s="65">
        <v>0</v>
      </c>
      <c r="X2763" s="65">
        <v>0</v>
      </c>
      <c r="Y2763" s="65">
        <v>0</v>
      </c>
      <c r="Z2763" s="51">
        <v>11528.089999999998</v>
      </c>
      <c r="AA2763" s="51">
        <v>0</v>
      </c>
      <c r="AB2763" s="102">
        <v>0</v>
      </c>
      <c r="AC2763" s="81">
        <f t="shared" si="133"/>
        <v>274.23383367946934</v>
      </c>
      <c r="AD2763" s="82">
        <f t="shared" si="134"/>
        <v>45.674285714285723</v>
      </c>
      <c r="AE2763" s="218">
        <v>0</v>
      </c>
      <c r="AF2763">
        <v>0</v>
      </c>
      <c r="AH2763" t="str">
        <f t="shared" si="132"/>
        <v>Chautham</v>
      </c>
      <c r="AJ2763" s="72">
        <v>0</v>
      </c>
      <c r="AK2763" s="72"/>
      <c r="AL2763" s="72"/>
      <c r="AM2763" s="72"/>
    </row>
    <row r="2764" spans="1:39" x14ac:dyDescent="0.25">
      <c r="A2764" s="37" t="s">
        <v>62</v>
      </c>
      <c r="B2764" s="66" t="s">
        <v>1654</v>
      </c>
      <c r="C2764" s="4">
        <v>1056</v>
      </c>
      <c r="D2764" s="41" t="s">
        <v>816</v>
      </c>
      <c r="E2764" s="41">
        <v>10560040</v>
      </c>
      <c r="F2764" s="85" t="s">
        <v>1553</v>
      </c>
      <c r="G2764" s="39" t="s">
        <v>1610</v>
      </c>
      <c r="H2764" s="52" t="s">
        <v>98</v>
      </c>
      <c r="I2764" s="52">
        <v>138.16</v>
      </c>
      <c r="J2764" s="49">
        <v>5222.380000000001</v>
      </c>
      <c r="K2764" s="58">
        <v>0</v>
      </c>
      <c r="L2764" s="58">
        <v>0</v>
      </c>
      <c r="M2764" s="58">
        <v>0</v>
      </c>
      <c r="N2764" s="58">
        <v>0</v>
      </c>
      <c r="O2764" s="58">
        <v>0</v>
      </c>
      <c r="P2764" s="53">
        <v>0</v>
      </c>
      <c r="Q2764" s="65">
        <v>5222.380000000001</v>
      </c>
      <c r="R2764" s="65">
        <v>0</v>
      </c>
      <c r="S2764" s="65">
        <v>0</v>
      </c>
      <c r="T2764" s="65">
        <v>0</v>
      </c>
      <c r="U2764" s="58">
        <v>0</v>
      </c>
      <c r="V2764" s="65">
        <v>0</v>
      </c>
      <c r="W2764" s="65">
        <v>0</v>
      </c>
      <c r="X2764" s="65">
        <v>0</v>
      </c>
      <c r="Y2764" s="65">
        <v>0</v>
      </c>
      <c r="Z2764" s="51">
        <v>5222.380000000001</v>
      </c>
      <c r="AA2764" s="51">
        <v>0</v>
      </c>
      <c r="AB2764" s="102">
        <v>0</v>
      </c>
      <c r="AC2764" s="81">
        <f t="shared" si="133"/>
        <v>424.74550943833253</v>
      </c>
      <c r="AD2764" s="82">
        <f t="shared" si="134"/>
        <v>19.737142857142857</v>
      </c>
      <c r="AE2764" s="218">
        <v>0</v>
      </c>
      <c r="AF2764">
        <v>0</v>
      </c>
      <c r="AH2764" t="str">
        <f t="shared" si="132"/>
        <v>Chautham</v>
      </c>
      <c r="AJ2764" s="72">
        <v>0</v>
      </c>
      <c r="AK2764" s="72"/>
      <c r="AL2764" s="72"/>
      <c r="AM2764" s="72"/>
    </row>
    <row r="2765" spans="1:39" x14ac:dyDescent="0.25">
      <c r="A2765" s="37" t="s">
        <v>62</v>
      </c>
      <c r="B2765" s="66" t="s">
        <v>1654</v>
      </c>
      <c r="C2765" s="4">
        <v>1063</v>
      </c>
      <c r="D2765" s="41" t="s">
        <v>1565</v>
      </c>
      <c r="E2765" s="41">
        <v>10570001</v>
      </c>
      <c r="F2765" s="85" t="s">
        <v>1175</v>
      </c>
      <c r="G2765" s="39" t="s">
        <v>92</v>
      </c>
      <c r="H2765" s="52" t="s">
        <v>93</v>
      </c>
      <c r="I2765" s="52">
        <v>66.400000000000006</v>
      </c>
      <c r="J2765" s="49">
        <v>2455.1500000000005</v>
      </c>
      <c r="K2765" s="58">
        <v>10.199999999999999</v>
      </c>
      <c r="L2765" s="58">
        <v>411.16</v>
      </c>
      <c r="M2765" s="58">
        <v>47.4</v>
      </c>
      <c r="N2765" s="58">
        <v>2008.6899999999998</v>
      </c>
      <c r="O2765" s="58">
        <v>57.599999999999994</v>
      </c>
      <c r="P2765" s="53">
        <v>2419.85</v>
      </c>
      <c r="Q2765" s="65">
        <v>2419.85</v>
      </c>
      <c r="R2765" s="65">
        <v>0</v>
      </c>
      <c r="S2765" s="65">
        <v>26.85</v>
      </c>
      <c r="T2765" s="65">
        <v>0</v>
      </c>
      <c r="U2765" s="58">
        <v>0</v>
      </c>
      <c r="V2765" s="65">
        <v>500</v>
      </c>
      <c r="W2765" s="65">
        <v>0</v>
      </c>
      <c r="X2765" s="65">
        <v>0</v>
      </c>
      <c r="Y2765" s="65">
        <v>1893</v>
      </c>
      <c r="Z2765" s="51">
        <v>0</v>
      </c>
      <c r="AA2765" s="51">
        <v>35</v>
      </c>
      <c r="AB2765" s="102" t="s">
        <v>1366</v>
      </c>
      <c r="AC2765" s="81">
        <f t="shared" si="133"/>
        <v>468.549108433735</v>
      </c>
      <c r="AD2765" s="82">
        <f t="shared" si="134"/>
        <v>9.4857142857142858</v>
      </c>
      <c r="AE2765" s="218">
        <v>1.4377940248050274E-2</v>
      </c>
      <c r="AF2765">
        <v>7</v>
      </c>
      <c r="AH2765" t="str">
        <f t="shared" si="132"/>
        <v>Rosera</v>
      </c>
      <c r="AJ2765" s="72">
        <v>500</v>
      </c>
      <c r="AK2765" s="72"/>
      <c r="AL2765" s="72"/>
      <c r="AM2765" s="72"/>
    </row>
    <row r="2766" spans="1:39" x14ac:dyDescent="0.25">
      <c r="A2766" s="37" t="s">
        <v>62</v>
      </c>
      <c r="B2766" s="66" t="s">
        <v>1654</v>
      </c>
      <c r="C2766" s="4">
        <v>1057</v>
      </c>
      <c r="D2766" s="41" t="s">
        <v>1174</v>
      </c>
      <c r="E2766" s="41">
        <v>10570003</v>
      </c>
      <c r="F2766" s="85" t="s">
        <v>1176</v>
      </c>
      <c r="G2766" s="39" t="s">
        <v>92</v>
      </c>
      <c r="H2766" s="52" t="s">
        <v>93</v>
      </c>
      <c r="I2766" s="52">
        <v>308.39999999999998</v>
      </c>
      <c r="J2766" s="49">
        <v>12281.6</v>
      </c>
      <c r="K2766" s="58">
        <v>16.2</v>
      </c>
      <c r="L2766" s="58">
        <v>628.98</v>
      </c>
      <c r="M2766" s="58">
        <v>294.89999999999998</v>
      </c>
      <c r="N2766" s="58">
        <v>11898.85</v>
      </c>
      <c r="O2766" s="58">
        <v>311.09999999999997</v>
      </c>
      <c r="P2766" s="53">
        <v>12527.83</v>
      </c>
      <c r="Q2766" s="65">
        <v>12281.6</v>
      </c>
      <c r="R2766" s="65">
        <v>0</v>
      </c>
      <c r="S2766" s="65">
        <v>31.36</v>
      </c>
      <c r="T2766" s="65">
        <v>246.22999999999956</v>
      </c>
      <c r="U2766" s="58">
        <v>7000</v>
      </c>
      <c r="V2766" s="65">
        <v>500</v>
      </c>
      <c r="W2766" s="65">
        <v>0</v>
      </c>
      <c r="X2766" s="65">
        <v>0</v>
      </c>
      <c r="Y2766" s="65">
        <v>4750</v>
      </c>
      <c r="Z2766" s="51">
        <v>0</v>
      </c>
      <c r="AA2766" s="51">
        <v>0</v>
      </c>
      <c r="AB2766" s="102" t="s">
        <v>1366</v>
      </c>
      <c r="AC2766" s="81">
        <f t="shared" si="133"/>
        <v>311.89847989623871</v>
      </c>
      <c r="AD2766" s="82">
        <f t="shared" si="134"/>
        <v>44.057142857142857</v>
      </c>
      <c r="AE2766" s="218">
        <v>-2.0048690724335554E-2</v>
      </c>
      <c r="AF2766">
        <v>14</v>
      </c>
      <c r="AH2766" t="str">
        <f t="shared" si="132"/>
        <v>Warisnagar</v>
      </c>
      <c r="AJ2766" s="72">
        <v>500</v>
      </c>
      <c r="AK2766" s="72"/>
      <c r="AL2766" s="72"/>
      <c r="AM2766" s="72"/>
    </row>
    <row r="2767" spans="1:39" x14ac:dyDescent="0.25">
      <c r="A2767" s="37" t="s">
        <v>62</v>
      </c>
      <c r="B2767" s="66" t="s">
        <v>1654</v>
      </c>
      <c r="C2767" s="4">
        <v>1057</v>
      </c>
      <c r="D2767" s="41" t="s">
        <v>1174</v>
      </c>
      <c r="E2767" s="41">
        <v>10570007</v>
      </c>
      <c r="F2767" s="85" t="s">
        <v>1182</v>
      </c>
      <c r="G2767" s="39" t="s">
        <v>92</v>
      </c>
      <c r="H2767" s="52" t="s">
        <v>93</v>
      </c>
      <c r="I2767" s="52">
        <v>814.00000000000011</v>
      </c>
      <c r="J2767" s="49">
        <v>36077.26</v>
      </c>
      <c r="K2767" s="58">
        <v>0</v>
      </c>
      <c r="L2767" s="58">
        <v>0</v>
      </c>
      <c r="M2767" s="58">
        <v>0</v>
      </c>
      <c r="N2767" s="58">
        <v>0</v>
      </c>
      <c r="O2767" s="58">
        <v>0</v>
      </c>
      <c r="P2767" s="53">
        <v>0</v>
      </c>
      <c r="Q2767" s="65">
        <v>0</v>
      </c>
      <c r="R2767" s="65">
        <v>0</v>
      </c>
      <c r="S2767" s="65">
        <v>0</v>
      </c>
      <c r="T2767" s="65">
        <v>0</v>
      </c>
      <c r="U2767" s="58">
        <v>0</v>
      </c>
      <c r="V2767" s="65">
        <v>0</v>
      </c>
      <c r="W2767" s="65">
        <v>0</v>
      </c>
      <c r="X2767" s="65">
        <v>0</v>
      </c>
      <c r="Y2767" s="65">
        <v>0</v>
      </c>
      <c r="Z2767" s="51">
        <v>0</v>
      </c>
      <c r="AA2767" s="51">
        <v>36077</v>
      </c>
      <c r="AB2767" s="102">
        <v>0</v>
      </c>
      <c r="AC2767" s="81">
        <f t="shared" si="133"/>
        <v>0</v>
      </c>
      <c r="AD2767" s="82">
        <f t="shared" si="134"/>
        <v>0</v>
      </c>
      <c r="AE2767" s="218">
        <v>1</v>
      </c>
      <c r="AF2767">
        <v>0</v>
      </c>
      <c r="AH2767" t="str">
        <f t="shared" si="132"/>
        <v>Warisnagar</v>
      </c>
      <c r="AJ2767" s="72">
        <v>0</v>
      </c>
      <c r="AK2767" s="72"/>
      <c r="AL2767" s="72"/>
      <c r="AM2767" s="72"/>
    </row>
    <row r="2768" spans="1:39" x14ac:dyDescent="0.25">
      <c r="A2768" s="37" t="s">
        <v>62</v>
      </c>
      <c r="B2768" s="66" t="s">
        <v>1654</v>
      </c>
      <c r="C2768" s="4">
        <v>1057</v>
      </c>
      <c r="D2768" s="41" t="s">
        <v>1174</v>
      </c>
      <c r="E2768" s="41">
        <v>10570008</v>
      </c>
      <c r="F2768" s="85" t="s">
        <v>1177</v>
      </c>
      <c r="G2768" s="39" t="s">
        <v>92</v>
      </c>
      <c r="H2768" s="52" t="s">
        <v>93</v>
      </c>
      <c r="I2768" s="52">
        <v>1047.8999999999999</v>
      </c>
      <c r="J2768" s="49">
        <v>42386.43</v>
      </c>
      <c r="K2768" s="58">
        <v>73.61</v>
      </c>
      <c r="L2768" s="58">
        <v>3026.1899999999996</v>
      </c>
      <c r="M2768" s="58">
        <v>990.63000000000011</v>
      </c>
      <c r="N2768" s="58">
        <v>39324.830000000009</v>
      </c>
      <c r="O2768" s="58">
        <v>1064.24</v>
      </c>
      <c r="P2768" s="53">
        <v>42351.020000000011</v>
      </c>
      <c r="Q2768" s="65">
        <v>42351.020000000011</v>
      </c>
      <c r="R2768" s="65">
        <v>0</v>
      </c>
      <c r="S2768" s="65">
        <v>809.43000000000006</v>
      </c>
      <c r="T2768" s="65">
        <v>0</v>
      </c>
      <c r="U2768" s="58">
        <v>3685</v>
      </c>
      <c r="V2768" s="65">
        <v>0</v>
      </c>
      <c r="W2768" s="65">
        <v>0</v>
      </c>
      <c r="X2768" s="65">
        <v>0</v>
      </c>
      <c r="Y2768" s="65">
        <v>37856</v>
      </c>
      <c r="Z2768" s="51">
        <v>0</v>
      </c>
      <c r="AA2768" s="51">
        <v>36</v>
      </c>
      <c r="AB2768" s="102">
        <v>0</v>
      </c>
      <c r="AC2768" s="81">
        <f t="shared" si="133"/>
        <v>0</v>
      </c>
      <c r="AD2768" s="82">
        <f t="shared" si="134"/>
        <v>0</v>
      </c>
      <c r="AE2768" s="218">
        <v>8.3540887968127872E-4</v>
      </c>
      <c r="AF2768">
        <v>17</v>
      </c>
      <c r="AH2768" t="str">
        <f t="shared" si="132"/>
        <v>Warisnagar</v>
      </c>
      <c r="AJ2768" s="72">
        <v>0</v>
      </c>
      <c r="AK2768" s="72"/>
      <c r="AL2768" s="72"/>
      <c r="AM2768" s="72"/>
    </row>
    <row r="2769" spans="1:39" x14ac:dyDescent="0.25">
      <c r="A2769" s="37" t="s">
        <v>62</v>
      </c>
      <c r="B2769" s="66" t="s">
        <v>1654</v>
      </c>
      <c r="C2769" s="4">
        <v>1057</v>
      </c>
      <c r="D2769" s="41" t="s">
        <v>1174</v>
      </c>
      <c r="E2769" s="41">
        <v>10570009</v>
      </c>
      <c r="F2769" s="85" t="s">
        <v>1178</v>
      </c>
      <c r="G2769" s="39" t="s">
        <v>92</v>
      </c>
      <c r="H2769" s="52" t="s">
        <v>93</v>
      </c>
      <c r="I2769" s="52">
        <v>1639.3000000000002</v>
      </c>
      <c r="J2769" s="49">
        <v>64649.3</v>
      </c>
      <c r="K2769" s="58">
        <v>312.40000000000003</v>
      </c>
      <c r="L2769" s="58">
        <v>12308.89</v>
      </c>
      <c r="M2769" s="58">
        <v>1328.1</v>
      </c>
      <c r="N2769" s="58">
        <v>52302.559999999998</v>
      </c>
      <c r="O2769" s="58">
        <v>1640.5</v>
      </c>
      <c r="P2769" s="53">
        <v>64611.45</v>
      </c>
      <c r="Q2769" s="65">
        <v>64611.45</v>
      </c>
      <c r="R2769" s="65">
        <v>0</v>
      </c>
      <c r="S2769" s="65">
        <v>35.799999999999997</v>
      </c>
      <c r="T2769" s="65">
        <v>0</v>
      </c>
      <c r="U2769" s="58">
        <v>748.5</v>
      </c>
      <c r="V2769" s="65">
        <v>0</v>
      </c>
      <c r="W2769" s="65">
        <v>0</v>
      </c>
      <c r="X2769" s="65">
        <v>11560</v>
      </c>
      <c r="Y2769" s="65">
        <v>52266</v>
      </c>
      <c r="Z2769" s="51">
        <v>0</v>
      </c>
      <c r="AA2769" s="51">
        <v>39</v>
      </c>
      <c r="AB2769" s="102">
        <v>0</v>
      </c>
      <c r="AC2769" s="81">
        <f t="shared" si="133"/>
        <v>0</v>
      </c>
      <c r="AD2769" s="82">
        <f t="shared" si="134"/>
        <v>0</v>
      </c>
      <c r="AE2769" s="218">
        <v>5.8546650930490845E-4</v>
      </c>
      <c r="AF2769">
        <v>7</v>
      </c>
      <c r="AH2769" t="str">
        <f t="shared" si="132"/>
        <v>Warisnagar</v>
      </c>
      <c r="AJ2769" s="72">
        <v>0</v>
      </c>
      <c r="AK2769" s="72"/>
      <c r="AL2769" s="72"/>
      <c r="AM2769" s="72"/>
    </row>
    <row r="2770" spans="1:39" x14ac:dyDescent="0.25">
      <c r="A2770" s="37" t="s">
        <v>62</v>
      </c>
      <c r="B2770" s="66" t="s">
        <v>1654</v>
      </c>
      <c r="C2770" s="4">
        <v>1057</v>
      </c>
      <c r="D2770" s="41" t="s">
        <v>1174</v>
      </c>
      <c r="E2770" s="41">
        <v>10570010</v>
      </c>
      <c r="F2770" s="85" t="s">
        <v>1179</v>
      </c>
      <c r="G2770" s="39" t="s">
        <v>1610</v>
      </c>
      <c r="H2770" s="52" t="s">
        <v>98</v>
      </c>
      <c r="I2770" s="52">
        <v>681.9</v>
      </c>
      <c r="J2770" s="49">
        <v>23789.289999999997</v>
      </c>
      <c r="K2770" s="58">
        <v>0</v>
      </c>
      <c r="L2770" s="58">
        <v>0</v>
      </c>
      <c r="M2770" s="58">
        <v>0</v>
      </c>
      <c r="N2770" s="58">
        <v>0</v>
      </c>
      <c r="O2770" s="58">
        <v>0</v>
      </c>
      <c r="P2770" s="53">
        <v>0</v>
      </c>
      <c r="Q2770" s="65">
        <v>23789.289999999997</v>
      </c>
      <c r="R2770" s="65">
        <v>0</v>
      </c>
      <c r="S2770" s="65">
        <v>0</v>
      </c>
      <c r="T2770" s="65">
        <v>0</v>
      </c>
      <c r="U2770" s="58">
        <v>0</v>
      </c>
      <c r="V2770" s="65">
        <v>0</v>
      </c>
      <c r="W2770" s="65">
        <v>0</v>
      </c>
      <c r="X2770" s="65">
        <v>0</v>
      </c>
      <c r="Y2770" s="65">
        <v>0</v>
      </c>
      <c r="Z2770" s="51">
        <v>23789.289999999997</v>
      </c>
      <c r="AA2770" s="51">
        <v>0</v>
      </c>
      <c r="AB2770" s="102">
        <v>0</v>
      </c>
      <c r="AC2770" s="81">
        <f t="shared" si="133"/>
        <v>12.629011555946636</v>
      </c>
      <c r="AD2770" s="82">
        <f t="shared" si="134"/>
        <v>97.414285714285711</v>
      </c>
      <c r="AE2770" s="218">
        <v>0</v>
      </c>
      <c r="AF2770">
        <v>0</v>
      </c>
      <c r="AH2770" t="str">
        <f t="shared" si="132"/>
        <v>Warisnagar</v>
      </c>
      <c r="AJ2770" s="72">
        <v>0</v>
      </c>
      <c r="AK2770" s="72"/>
      <c r="AL2770" s="72"/>
      <c r="AM2770" s="72"/>
    </row>
    <row r="2771" spans="1:39" x14ac:dyDescent="0.25">
      <c r="A2771" s="37" t="s">
        <v>62</v>
      </c>
      <c r="B2771" s="66" t="s">
        <v>1654</v>
      </c>
      <c r="C2771" s="4">
        <v>1057</v>
      </c>
      <c r="D2771" s="41" t="s">
        <v>1174</v>
      </c>
      <c r="E2771" s="41">
        <v>10570013</v>
      </c>
      <c r="F2771" s="85" t="s">
        <v>1189</v>
      </c>
      <c r="G2771" s="39" t="s">
        <v>1610</v>
      </c>
      <c r="H2771" s="52" t="s">
        <v>98</v>
      </c>
      <c r="I2771" s="52">
        <v>1299.3</v>
      </c>
      <c r="J2771" s="49">
        <v>49973.919999999998</v>
      </c>
      <c r="K2771" s="58">
        <v>0</v>
      </c>
      <c r="L2771" s="58">
        <v>0</v>
      </c>
      <c r="M2771" s="58">
        <v>0</v>
      </c>
      <c r="N2771" s="58">
        <v>0</v>
      </c>
      <c r="O2771" s="58">
        <v>0</v>
      </c>
      <c r="P2771" s="53">
        <v>0</v>
      </c>
      <c r="Q2771" s="65">
        <v>49973.919999999998</v>
      </c>
      <c r="R2771" s="65">
        <v>0</v>
      </c>
      <c r="S2771" s="65">
        <v>0</v>
      </c>
      <c r="T2771" s="65">
        <v>0</v>
      </c>
      <c r="U2771" s="58">
        <v>0</v>
      </c>
      <c r="V2771" s="65">
        <v>0</v>
      </c>
      <c r="W2771" s="65">
        <v>0</v>
      </c>
      <c r="X2771" s="65">
        <v>0</v>
      </c>
      <c r="Y2771" s="65">
        <v>0</v>
      </c>
      <c r="Z2771" s="51">
        <v>49973.919999999998</v>
      </c>
      <c r="AA2771" s="51">
        <v>0</v>
      </c>
      <c r="AB2771" s="102">
        <v>0</v>
      </c>
      <c r="AC2771" s="81">
        <f t="shared" si="133"/>
        <v>0</v>
      </c>
      <c r="AD2771" s="82">
        <f t="shared" si="134"/>
        <v>0</v>
      </c>
      <c r="AE2771" s="218">
        <v>0</v>
      </c>
      <c r="AF2771">
        <v>0</v>
      </c>
      <c r="AH2771" t="str">
        <f t="shared" si="132"/>
        <v>Warisnagar</v>
      </c>
      <c r="AJ2771" s="72">
        <v>0</v>
      </c>
      <c r="AK2771" s="72"/>
      <c r="AL2771" s="72"/>
      <c r="AM2771" s="72"/>
    </row>
    <row r="2772" spans="1:39" x14ac:dyDescent="0.25">
      <c r="A2772" s="37" t="s">
        <v>62</v>
      </c>
      <c r="B2772" s="66" t="s">
        <v>1654</v>
      </c>
      <c r="C2772" s="4">
        <v>1063</v>
      </c>
      <c r="D2772" s="41" t="s">
        <v>1565</v>
      </c>
      <c r="E2772" s="41">
        <v>10570017</v>
      </c>
      <c r="F2772" s="85" t="s">
        <v>1244</v>
      </c>
      <c r="G2772" s="39" t="s">
        <v>92</v>
      </c>
      <c r="H2772" s="52" t="s">
        <v>93</v>
      </c>
      <c r="I2772" s="52">
        <v>214.2</v>
      </c>
      <c r="J2772" s="49">
        <v>10267.060000000001</v>
      </c>
      <c r="K2772" s="58">
        <v>43.75</v>
      </c>
      <c r="L2772" s="58">
        <v>4612.8499999999995</v>
      </c>
      <c r="M2772" s="58">
        <v>124.1</v>
      </c>
      <c r="N2772" s="58">
        <v>5654.08</v>
      </c>
      <c r="O2772" s="58">
        <v>167.85</v>
      </c>
      <c r="P2772" s="53">
        <v>10266.93</v>
      </c>
      <c r="Q2772" s="65">
        <v>10266.93</v>
      </c>
      <c r="R2772" s="65">
        <v>0</v>
      </c>
      <c r="S2772" s="65">
        <v>0</v>
      </c>
      <c r="T2772" s="65">
        <v>0</v>
      </c>
      <c r="U2772" s="58">
        <v>0</v>
      </c>
      <c r="V2772" s="65">
        <v>500</v>
      </c>
      <c r="W2772" s="65">
        <v>0</v>
      </c>
      <c r="X2772" s="65">
        <v>4113</v>
      </c>
      <c r="Y2772" s="65">
        <v>5654</v>
      </c>
      <c r="Z2772" s="51">
        <v>0</v>
      </c>
      <c r="AA2772" s="51">
        <v>0</v>
      </c>
      <c r="AB2772" s="102">
        <v>0</v>
      </c>
      <c r="AC2772" s="81">
        <f t="shared" si="133"/>
        <v>465.70847320261447</v>
      </c>
      <c r="AD2772" s="82">
        <f t="shared" si="134"/>
        <v>30.599999999999998</v>
      </c>
      <c r="AE2772" s="218">
        <v>1.2661852565487941E-5</v>
      </c>
      <c r="AF2772">
        <v>12</v>
      </c>
      <c r="AH2772" t="str">
        <f t="shared" si="132"/>
        <v>Rosera</v>
      </c>
      <c r="AJ2772" s="72">
        <v>500</v>
      </c>
      <c r="AK2772" s="72"/>
      <c r="AL2772" s="72"/>
      <c r="AM2772" s="72"/>
    </row>
    <row r="2773" spans="1:39" x14ac:dyDescent="0.25">
      <c r="A2773" s="37" t="s">
        <v>62</v>
      </c>
      <c r="B2773" s="66" t="s">
        <v>1654</v>
      </c>
      <c r="C2773" s="4">
        <v>1057</v>
      </c>
      <c r="D2773" s="41" t="s">
        <v>1174</v>
      </c>
      <c r="E2773" s="41">
        <v>10570019</v>
      </c>
      <c r="F2773" s="85" t="s">
        <v>1211</v>
      </c>
      <c r="G2773" s="39" t="s">
        <v>92</v>
      </c>
      <c r="H2773" s="52" t="s">
        <v>93</v>
      </c>
      <c r="I2773" s="52">
        <v>590</v>
      </c>
      <c r="J2773" s="49">
        <v>27604.519999999997</v>
      </c>
      <c r="K2773" s="58">
        <v>156.80000000000001</v>
      </c>
      <c r="L2773" s="58">
        <v>6654.23</v>
      </c>
      <c r="M2773" s="58">
        <v>434.1</v>
      </c>
      <c r="N2773" s="58">
        <v>21014.44</v>
      </c>
      <c r="O2773" s="58">
        <v>590.90000000000009</v>
      </c>
      <c r="P2773" s="53">
        <v>27668.67</v>
      </c>
      <c r="Q2773" s="65">
        <v>27604.519999999997</v>
      </c>
      <c r="R2773" s="65">
        <v>0</v>
      </c>
      <c r="S2773" s="65">
        <v>186.24</v>
      </c>
      <c r="T2773" s="65">
        <v>64.150000000001455</v>
      </c>
      <c r="U2773" s="58">
        <v>3687.75</v>
      </c>
      <c r="V2773" s="65">
        <v>0</v>
      </c>
      <c r="W2773" s="65">
        <v>0</v>
      </c>
      <c r="X2773" s="65">
        <v>2902</v>
      </c>
      <c r="Y2773" s="65">
        <v>20828</v>
      </c>
      <c r="Z2773" s="51">
        <v>0</v>
      </c>
      <c r="AA2773" s="51">
        <v>1</v>
      </c>
      <c r="AB2773" s="102">
        <v>0</v>
      </c>
      <c r="AC2773" s="81">
        <f t="shared" si="133"/>
        <v>102.93210847457622</v>
      </c>
      <c r="AD2773" s="82">
        <f t="shared" si="134"/>
        <v>84.285714285714292</v>
      </c>
      <c r="AE2773" s="218">
        <v>-2.3238947824487243E-3</v>
      </c>
      <c r="AF2773">
        <v>12</v>
      </c>
      <c r="AH2773" t="str">
        <f t="shared" si="132"/>
        <v>Warisnagar</v>
      </c>
      <c r="AJ2773" s="72">
        <v>0</v>
      </c>
      <c r="AK2773" s="72"/>
      <c r="AL2773" s="72"/>
      <c r="AM2773" s="72"/>
    </row>
    <row r="2774" spans="1:39" x14ac:dyDescent="0.25">
      <c r="A2774" s="37" t="s">
        <v>62</v>
      </c>
      <c r="B2774" s="66" t="s">
        <v>1654</v>
      </c>
      <c r="C2774" s="4">
        <v>1057</v>
      </c>
      <c r="D2774" s="41" t="s">
        <v>1174</v>
      </c>
      <c r="E2774" s="41">
        <v>10570020</v>
      </c>
      <c r="F2774" s="85" t="s">
        <v>1212</v>
      </c>
      <c r="G2774" s="39" t="s">
        <v>92</v>
      </c>
      <c r="H2774" s="52" t="s">
        <v>93</v>
      </c>
      <c r="I2774" s="52">
        <v>726</v>
      </c>
      <c r="J2774" s="49">
        <v>33142.460000000006</v>
      </c>
      <c r="K2774" s="58">
        <v>725.7</v>
      </c>
      <c r="L2774" s="58">
        <v>33084.199999999997</v>
      </c>
      <c r="M2774" s="58">
        <v>0.5</v>
      </c>
      <c r="N2774" s="58">
        <v>18.350000000000001</v>
      </c>
      <c r="O2774" s="58">
        <v>726.2</v>
      </c>
      <c r="P2774" s="53">
        <v>33102.549999999996</v>
      </c>
      <c r="Q2774" s="65">
        <v>33102.549999999996</v>
      </c>
      <c r="R2774" s="65">
        <v>0</v>
      </c>
      <c r="S2774" s="65">
        <v>18.350000000000001</v>
      </c>
      <c r="T2774" s="65">
        <v>0</v>
      </c>
      <c r="U2774" s="58">
        <v>0</v>
      </c>
      <c r="V2774" s="65">
        <v>0</v>
      </c>
      <c r="W2774" s="65">
        <v>0</v>
      </c>
      <c r="X2774" s="65">
        <v>33084</v>
      </c>
      <c r="Y2774" s="65">
        <v>0</v>
      </c>
      <c r="Z2774" s="51">
        <v>0</v>
      </c>
      <c r="AA2774" s="51">
        <v>40</v>
      </c>
      <c r="AB2774" s="102">
        <v>0</v>
      </c>
      <c r="AC2774" s="81">
        <f t="shared" si="133"/>
        <v>0</v>
      </c>
      <c r="AD2774" s="82">
        <f t="shared" si="134"/>
        <v>0</v>
      </c>
      <c r="AE2774" s="218">
        <v>1.2041954640666613E-3</v>
      </c>
      <c r="AF2774">
        <v>2</v>
      </c>
      <c r="AH2774" t="str">
        <f t="shared" si="132"/>
        <v>Warisnagar</v>
      </c>
      <c r="AJ2774" s="72">
        <v>0</v>
      </c>
      <c r="AK2774" s="72"/>
      <c r="AL2774" s="72"/>
      <c r="AM2774" s="72"/>
    </row>
    <row r="2775" spans="1:39" x14ac:dyDescent="0.25">
      <c r="A2775" s="37" t="s">
        <v>62</v>
      </c>
      <c r="B2775" s="66" t="s">
        <v>1654</v>
      </c>
      <c r="C2775" s="4">
        <v>1057</v>
      </c>
      <c r="D2775" s="41" t="s">
        <v>1174</v>
      </c>
      <c r="E2775" s="41">
        <v>10570021</v>
      </c>
      <c r="F2775" s="85" t="s">
        <v>1213</v>
      </c>
      <c r="G2775" s="39" t="s">
        <v>92</v>
      </c>
      <c r="H2775" s="52" t="s">
        <v>93</v>
      </c>
      <c r="I2775" s="52">
        <v>556</v>
      </c>
      <c r="J2775" s="49">
        <v>21479.64</v>
      </c>
      <c r="K2775" s="58">
        <v>484.7</v>
      </c>
      <c r="L2775" s="58">
        <v>18807.8</v>
      </c>
      <c r="M2775" s="58">
        <v>70.2</v>
      </c>
      <c r="N2775" s="58">
        <v>2688.3900000000003</v>
      </c>
      <c r="O2775" s="58">
        <v>554.9</v>
      </c>
      <c r="P2775" s="53">
        <v>21496.19</v>
      </c>
      <c r="Q2775" s="65">
        <v>21479.64</v>
      </c>
      <c r="R2775" s="65">
        <v>0</v>
      </c>
      <c r="S2775" s="65">
        <v>91.13</v>
      </c>
      <c r="T2775" s="65">
        <v>16.549999999999272</v>
      </c>
      <c r="U2775" s="58">
        <v>0</v>
      </c>
      <c r="V2775" s="65">
        <v>0</v>
      </c>
      <c r="W2775" s="65">
        <v>0</v>
      </c>
      <c r="X2775" s="65">
        <v>18792</v>
      </c>
      <c r="Y2775" s="65">
        <v>2597</v>
      </c>
      <c r="Z2775" s="51">
        <v>0</v>
      </c>
      <c r="AA2775" s="51">
        <v>0</v>
      </c>
      <c r="AB2775" s="102">
        <v>0</v>
      </c>
      <c r="AC2775" s="81">
        <f t="shared" si="133"/>
        <v>111.26144460431655</v>
      </c>
      <c r="AD2775" s="82">
        <f t="shared" si="134"/>
        <v>79.428571428571431</v>
      </c>
      <c r="AE2775" s="218">
        <v>-7.7049708468108742E-4</v>
      </c>
      <c r="AF2775">
        <v>11</v>
      </c>
      <c r="AH2775" t="str">
        <f t="shared" si="132"/>
        <v>Warisnagar</v>
      </c>
      <c r="AJ2775" s="72">
        <v>0</v>
      </c>
      <c r="AK2775" s="72"/>
      <c r="AL2775" s="72"/>
      <c r="AM2775" s="72"/>
    </row>
    <row r="2776" spans="1:39" x14ac:dyDescent="0.25">
      <c r="A2776" s="37" t="s">
        <v>62</v>
      </c>
      <c r="B2776" s="66" t="s">
        <v>1654</v>
      </c>
      <c r="C2776" s="4">
        <v>1057</v>
      </c>
      <c r="D2776" s="41" t="s">
        <v>1174</v>
      </c>
      <c r="E2776" s="41">
        <v>10570022</v>
      </c>
      <c r="F2776" s="85" t="s">
        <v>1214</v>
      </c>
      <c r="G2776" s="39" t="s">
        <v>1610</v>
      </c>
      <c r="H2776" s="52" t="s">
        <v>98</v>
      </c>
      <c r="I2776" s="52">
        <v>185.5</v>
      </c>
      <c r="J2776" s="49">
        <v>8484.3499999999985</v>
      </c>
      <c r="K2776" s="58">
        <v>0</v>
      </c>
      <c r="L2776" s="58">
        <v>0</v>
      </c>
      <c r="M2776" s="58">
        <v>0</v>
      </c>
      <c r="N2776" s="58">
        <v>0</v>
      </c>
      <c r="O2776" s="58">
        <v>0</v>
      </c>
      <c r="P2776" s="53">
        <v>0</v>
      </c>
      <c r="Q2776" s="65">
        <v>8484.3499999999985</v>
      </c>
      <c r="R2776" s="65">
        <v>0</v>
      </c>
      <c r="S2776" s="65">
        <v>0</v>
      </c>
      <c r="T2776" s="65">
        <v>0</v>
      </c>
      <c r="U2776" s="58">
        <v>0</v>
      </c>
      <c r="V2776" s="65">
        <v>0</v>
      </c>
      <c r="W2776" s="65">
        <v>0</v>
      </c>
      <c r="X2776" s="65">
        <v>0</v>
      </c>
      <c r="Y2776" s="65">
        <v>0</v>
      </c>
      <c r="Z2776" s="51">
        <v>8484.3499999999985</v>
      </c>
      <c r="AA2776" s="51">
        <v>0</v>
      </c>
      <c r="AB2776" s="102">
        <v>0</v>
      </c>
      <c r="AC2776" s="81">
        <f t="shared" si="133"/>
        <v>470.64130188679246</v>
      </c>
      <c r="AD2776" s="82">
        <f t="shared" si="134"/>
        <v>26.5</v>
      </c>
      <c r="AE2776" s="218">
        <v>0</v>
      </c>
      <c r="AF2776">
        <v>0</v>
      </c>
      <c r="AH2776" t="str">
        <f t="shared" si="132"/>
        <v>Warisnagar</v>
      </c>
      <c r="AJ2776" s="72">
        <v>0</v>
      </c>
      <c r="AK2776" s="72"/>
      <c r="AL2776" s="72"/>
      <c r="AM2776" s="72"/>
    </row>
    <row r="2777" spans="1:39" x14ac:dyDescent="0.25">
      <c r="A2777" s="37" t="s">
        <v>62</v>
      </c>
      <c r="B2777" s="66" t="s">
        <v>1654</v>
      </c>
      <c r="C2777" s="4">
        <v>1057</v>
      </c>
      <c r="D2777" s="41" t="s">
        <v>1174</v>
      </c>
      <c r="E2777" s="41">
        <v>10570024</v>
      </c>
      <c r="F2777" s="85" t="s">
        <v>1215</v>
      </c>
      <c r="G2777" s="39" t="s">
        <v>1610</v>
      </c>
      <c r="H2777" s="52" t="s">
        <v>98</v>
      </c>
      <c r="I2777" s="52">
        <v>1024.8999999999999</v>
      </c>
      <c r="J2777" s="49">
        <v>40176.57</v>
      </c>
      <c r="K2777" s="58">
        <v>0</v>
      </c>
      <c r="L2777" s="58">
        <v>0</v>
      </c>
      <c r="M2777" s="58">
        <v>0</v>
      </c>
      <c r="N2777" s="58">
        <v>0</v>
      </c>
      <c r="O2777" s="58">
        <v>0</v>
      </c>
      <c r="P2777" s="53">
        <v>0</v>
      </c>
      <c r="Q2777" s="65">
        <v>40176.57</v>
      </c>
      <c r="R2777" s="65">
        <v>0</v>
      </c>
      <c r="S2777" s="65">
        <v>0</v>
      </c>
      <c r="T2777" s="65">
        <v>0</v>
      </c>
      <c r="U2777" s="58">
        <v>0</v>
      </c>
      <c r="V2777" s="65">
        <v>0</v>
      </c>
      <c r="W2777" s="65">
        <v>0</v>
      </c>
      <c r="X2777" s="65">
        <v>0</v>
      </c>
      <c r="Y2777" s="65">
        <v>0</v>
      </c>
      <c r="Z2777" s="51">
        <v>40176.57</v>
      </c>
      <c r="AA2777" s="51">
        <v>0</v>
      </c>
      <c r="AB2777" s="102">
        <v>0</v>
      </c>
      <c r="AC2777" s="81">
        <f t="shared" si="133"/>
        <v>0</v>
      </c>
      <c r="AD2777" s="82">
        <f t="shared" si="134"/>
        <v>0</v>
      </c>
      <c r="AE2777" s="218">
        <v>0</v>
      </c>
      <c r="AF2777">
        <v>0</v>
      </c>
      <c r="AH2777" t="str">
        <f t="shared" si="132"/>
        <v>Warisnagar</v>
      </c>
      <c r="AJ2777" s="72">
        <v>0</v>
      </c>
      <c r="AK2777" s="72"/>
      <c r="AL2777" s="72"/>
      <c r="AM2777" s="72"/>
    </row>
    <row r="2778" spans="1:39" x14ac:dyDescent="0.25">
      <c r="A2778" s="37" t="s">
        <v>62</v>
      </c>
      <c r="B2778" s="66" t="s">
        <v>1654</v>
      </c>
      <c r="C2778" s="4">
        <v>1057</v>
      </c>
      <c r="D2778" s="41" t="s">
        <v>1174</v>
      </c>
      <c r="E2778" s="41">
        <v>10570025</v>
      </c>
      <c r="F2778" s="85" t="s">
        <v>1224</v>
      </c>
      <c r="G2778" s="39" t="s">
        <v>1610</v>
      </c>
      <c r="H2778" s="52" t="s">
        <v>98</v>
      </c>
      <c r="I2778" s="52">
        <v>853.00000000000011</v>
      </c>
      <c r="J2778" s="49">
        <v>33054.910000000003</v>
      </c>
      <c r="K2778" s="58">
        <v>0</v>
      </c>
      <c r="L2778" s="58">
        <v>0</v>
      </c>
      <c r="M2778" s="58">
        <v>0</v>
      </c>
      <c r="N2778" s="58">
        <v>0</v>
      </c>
      <c r="O2778" s="58">
        <v>0</v>
      </c>
      <c r="P2778" s="53">
        <v>0</v>
      </c>
      <c r="Q2778" s="65">
        <v>33054.910000000003</v>
      </c>
      <c r="R2778" s="65">
        <v>0</v>
      </c>
      <c r="S2778" s="65">
        <v>0</v>
      </c>
      <c r="T2778" s="65">
        <v>0</v>
      </c>
      <c r="U2778" s="58">
        <v>0</v>
      </c>
      <c r="V2778" s="65">
        <v>0</v>
      </c>
      <c r="W2778" s="65">
        <v>0</v>
      </c>
      <c r="X2778" s="65">
        <v>0</v>
      </c>
      <c r="Y2778" s="65">
        <v>0</v>
      </c>
      <c r="Z2778" s="51">
        <v>33054.910000000003</v>
      </c>
      <c r="AA2778" s="51">
        <v>0</v>
      </c>
      <c r="AB2778" s="102">
        <v>0</v>
      </c>
      <c r="AC2778" s="81">
        <f t="shared" si="133"/>
        <v>0</v>
      </c>
      <c r="AD2778" s="82">
        <f t="shared" si="134"/>
        <v>0</v>
      </c>
      <c r="AE2778" s="218">
        <v>0</v>
      </c>
      <c r="AF2778">
        <v>0</v>
      </c>
      <c r="AH2778" t="str">
        <f t="shared" si="132"/>
        <v>Warisnagar</v>
      </c>
      <c r="AJ2778" s="72">
        <v>0</v>
      </c>
      <c r="AK2778" s="72"/>
      <c r="AL2778" s="72"/>
      <c r="AM2778" s="72"/>
    </row>
    <row r="2779" spans="1:39" x14ac:dyDescent="0.25">
      <c r="A2779" s="37" t="s">
        <v>62</v>
      </c>
      <c r="B2779" s="66" t="s">
        <v>1654</v>
      </c>
      <c r="C2779" s="4">
        <v>1057</v>
      </c>
      <c r="D2779" s="41" t="s">
        <v>1174</v>
      </c>
      <c r="E2779" s="41">
        <v>10570028</v>
      </c>
      <c r="F2779" s="85" t="s">
        <v>1258</v>
      </c>
      <c r="G2779" s="39" t="s">
        <v>92</v>
      </c>
      <c r="H2779" s="52" t="s">
        <v>93</v>
      </c>
      <c r="I2779" s="52">
        <v>356.70000000000005</v>
      </c>
      <c r="J2779" s="49">
        <v>13464.66</v>
      </c>
      <c r="K2779" s="58">
        <v>13.799999999999999</v>
      </c>
      <c r="L2779" s="58">
        <v>506.31000000000006</v>
      </c>
      <c r="M2779" s="58">
        <v>343.99999999999994</v>
      </c>
      <c r="N2779" s="58">
        <v>12944.329999999998</v>
      </c>
      <c r="O2779" s="58">
        <v>357.79999999999995</v>
      </c>
      <c r="P2779" s="53">
        <v>13450.639999999998</v>
      </c>
      <c r="Q2779" s="65">
        <v>13450.639999999998</v>
      </c>
      <c r="R2779" s="65">
        <v>0</v>
      </c>
      <c r="S2779" s="65">
        <v>32.11</v>
      </c>
      <c r="T2779" s="65">
        <v>0</v>
      </c>
      <c r="U2779" s="58">
        <v>0</v>
      </c>
      <c r="V2779" s="65">
        <v>0</v>
      </c>
      <c r="W2779" s="65">
        <v>0</v>
      </c>
      <c r="X2779" s="65">
        <v>506</v>
      </c>
      <c r="Y2779" s="65">
        <v>12912</v>
      </c>
      <c r="Z2779" s="51">
        <v>0</v>
      </c>
      <c r="AA2779" s="51">
        <v>15</v>
      </c>
      <c r="AB2779" s="102">
        <v>0</v>
      </c>
      <c r="AC2779" s="81">
        <f t="shared" si="133"/>
        <v>259.17677476871313</v>
      </c>
      <c r="AD2779" s="82">
        <f t="shared" si="134"/>
        <v>50.957142857142863</v>
      </c>
      <c r="AE2779" s="218">
        <v>1.0412442646158355E-3</v>
      </c>
      <c r="AF2779">
        <v>14</v>
      </c>
      <c r="AH2779" t="str">
        <f t="shared" si="132"/>
        <v>Warisnagar</v>
      </c>
      <c r="AJ2779" s="72">
        <v>0</v>
      </c>
      <c r="AK2779" s="72"/>
      <c r="AL2779" s="72"/>
      <c r="AM2779" s="72"/>
    </row>
    <row r="2780" spans="1:39" x14ac:dyDescent="0.25">
      <c r="A2780" s="37" t="s">
        <v>62</v>
      </c>
      <c r="B2780" s="66" t="s">
        <v>1654</v>
      </c>
      <c r="C2780" s="4">
        <v>1057</v>
      </c>
      <c r="D2780" s="41" t="s">
        <v>1174</v>
      </c>
      <c r="E2780" s="41">
        <v>10570029</v>
      </c>
      <c r="F2780" s="85" t="s">
        <v>1259</v>
      </c>
      <c r="G2780" s="39" t="s">
        <v>92</v>
      </c>
      <c r="H2780" s="52" t="s">
        <v>93</v>
      </c>
      <c r="I2780" s="52">
        <v>137.5</v>
      </c>
      <c r="J2780" s="49">
        <v>5884.2</v>
      </c>
      <c r="K2780" s="58">
        <v>20.5</v>
      </c>
      <c r="L2780" s="58">
        <v>860.59</v>
      </c>
      <c r="M2780" s="58">
        <v>120.77000000000001</v>
      </c>
      <c r="N2780" s="58">
        <v>5021.3899999999994</v>
      </c>
      <c r="O2780" s="58">
        <v>141.27000000000001</v>
      </c>
      <c r="P2780" s="53">
        <v>5881.98</v>
      </c>
      <c r="Q2780" s="65">
        <v>5881.98</v>
      </c>
      <c r="R2780" s="65">
        <v>0</v>
      </c>
      <c r="S2780" s="65">
        <v>25.89</v>
      </c>
      <c r="T2780" s="65">
        <v>0</v>
      </c>
      <c r="U2780" s="58">
        <v>0</v>
      </c>
      <c r="V2780" s="65">
        <v>0</v>
      </c>
      <c r="W2780" s="65">
        <v>0</v>
      </c>
      <c r="X2780" s="65">
        <v>861</v>
      </c>
      <c r="Y2780" s="65">
        <v>4994</v>
      </c>
      <c r="Z2780" s="51">
        <v>0</v>
      </c>
      <c r="AA2780" s="51">
        <v>3</v>
      </c>
      <c r="AB2780" s="102">
        <v>0</v>
      </c>
      <c r="AC2780" s="81">
        <f t="shared" si="133"/>
        <v>481.43454545454546</v>
      </c>
      <c r="AD2780" s="82">
        <f t="shared" si="134"/>
        <v>19.642857142857142</v>
      </c>
      <c r="AE2780" s="218">
        <v>3.7728153359849339E-4</v>
      </c>
      <c r="AF2780">
        <v>11</v>
      </c>
      <c r="AH2780" t="str">
        <f t="shared" si="132"/>
        <v>Warisnagar</v>
      </c>
      <c r="AJ2780" s="72">
        <v>0</v>
      </c>
      <c r="AK2780" s="72"/>
      <c r="AL2780" s="72"/>
      <c r="AM2780" s="72"/>
    </row>
    <row r="2781" spans="1:39" x14ac:dyDescent="0.25">
      <c r="A2781" s="37" t="s">
        <v>62</v>
      </c>
      <c r="B2781" s="66" t="s">
        <v>1654</v>
      </c>
      <c r="C2781" s="4">
        <v>1057</v>
      </c>
      <c r="D2781" s="41" t="s">
        <v>1174</v>
      </c>
      <c r="E2781" s="41">
        <v>10570030</v>
      </c>
      <c r="F2781" s="85" t="s">
        <v>1260</v>
      </c>
      <c r="G2781" s="39" t="s">
        <v>92</v>
      </c>
      <c r="H2781" s="52" t="s">
        <v>93</v>
      </c>
      <c r="I2781" s="52">
        <v>408.19999999999993</v>
      </c>
      <c r="J2781" s="49">
        <v>15651.199999999999</v>
      </c>
      <c r="K2781" s="58">
        <v>52.199999999999996</v>
      </c>
      <c r="L2781" s="58">
        <v>2009.09</v>
      </c>
      <c r="M2781" s="58">
        <v>353.89</v>
      </c>
      <c r="N2781" s="58">
        <v>13529.36</v>
      </c>
      <c r="O2781" s="58">
        <v>406.09</v>
      </c>
      <c r="P2781" s="53">
        <v>15538.45</v>
      </c>
      <c r="Q2781" s="65">
        <v>15538.45</v>
      </c>
      <c r="R2781" s="65">
        <v>0</v>
      </c>
      <c r="S2781" s="65">
        <v>33.78</v>
      </c>
      <c r="T2781" s="65">
        <v>0</v>
      </c>
      <c r="U2781" s="58">
        <v>2009</v>
      </c>
      <c r="V2781" s="65">
        <v>0</v>
      </c>
      <c r="W2781" s="65">
        <v>0</v>
      </c>
      <c r="X2781" s="65">
        <v>0</v>
      </c>
      <c r="Y2781" s="65">
        <v>13495</v>
      </c>
      <c r="Z2781" s="51">
        <v>0</v>
      </c>
      <c r="AA2781" s="51">
        <v>113</v>
      </c>
      <c r="AB2781" s="102">
        <v>0</v>
      </c>
      <c r="AC2781" s="81">
        <f t="shared" si="133"/>
        <v>223.76384909358163</v>
      </c>
      <c r="AD2781" s="82">
        <f t="shared" si="134"/>
        <v>58.314285714285703</v>
      </c>
      <c r="AE2781" s="218">
        <v>7.2039204661622233E-3</v>
      </c>
      <c r="AF2781">
        <v>7</v>
      </c>
      <c r="AH2781" t="str">
        <f t="shared" si="132"/>
        <v>Warisnagar</v>
      </c>
      <c r="AJ2781" s="72">
        <v>0</v>
      </c>
      <c r="AK2781" s="72"/>
      <c r="AL2781" s="72"/>
      <c r="AM2781" s="72"/>
    </row>
    <row r="2782" spans="1:39" x14ac:dyDescent="0.25">
      <c r="A2782" s="37" t="s">
        <v>62</v>
      </c>
      <c r="B2782" s="66" t="s">
        <v>1654</v>
      </c>
      <c r="C2782" s="4">
        <v>1057</v>
      </c>
      <c r="D2782" s="41" t="s">
        <v>1174</v>
      </c>
      <c r="E2782" s="41">
        <v>10570031</v>
      </c>
      <c r="F2782" s="85" t="s">
        <v>1261</v>
      </c>
      <c r="G2782" s="39" t="s">
        <v>92</v>
      </c>
      <c r="H2782" s="52" t="s">
        <v>93</v>
      </c>
      <c r="I2782" s="52">
        <v>133.20000000000002</v>
      </c>
      <c r="J2782" s="49">
        <v>5577.62</v>
      </c>
      <c r="K2782" s="58">
        <v>133.19999999999999</v>
      </c>
      <c r="L2782" s="58">
        <v>5473.380000000001</v>
      </c>
      <c r="M2782" s="58">
        <v>1.4000000000000001</v>
      </c>
      <c r="N2782" s="58">
        <v>52.59</v>
      </c>
      <c r="O2782" s="58">
        <v>134.6</v>
      </c>
      <c r="P2782" s="53">
        <v>5525.9700000000012</v>
      </c>
      <c r="Q2782" s="65">
        <v>5525.9700000000012</v>
      </c>
      <c r="R2782" s="65">
        <v>0</v>
      </c>
      <c r="S2782" s="65">
        <v>52.59</v>
      </c>
      <c r="T2782" s="65">
        <v>0</v>
      </c>
      <c r="U2782" s="58">
        <v>0</v>
      </c>
      <c r="V2782" s="65">
        <v>500</v>
      </c>
      <c r="W2782" s="65">
        <v>0</v>
      </c>
      <c r="X2782" s="65">
        <v>4973</v>
      </c>
      <c r="Y2782" s="65">
        <v>0</v>
      </c>
      <c r="Z2782" s="51">
        <v>0</v>
      </c>
      <c r="AA2782" s="51">
        <v>52</v>
      </c>
      <c r="AB2782" s="102">
        <v>0</v>
      </c>
      <c r="AC2782" s="81">
        <f t="shared" si="133"/>
        <v>474.68393633633622</v>
      </c>
      <c r="AD2782" s="82">
        <f t="shared" si="134"/>
        <v>19.028571428571432</v>
      </c>
      <c r="AE2782" s="218">
        <v>9.2602221018998655E-3</v>
      </c>
      <c r="AF2782">
        <v>2</v>
      </c>
      <c r="AH2782" t="str">
        <f t="shared" si="132"/>
        <v>Warisnagar</v>
      </c>
      <c r="AJ2782" s="72">
        <v>500</v>
      </c>
      <c r="AK2782" s="72"/>
      <c r="AL2782" s="72"/>
      <c r="AM2782" s="72"/>
    </row>
    <row r="2783" spans="1:39" x14ac:dyDescent="0.25">
      <c r="A2783" s="37" t="s">
        <v>62</v>
      </c>
      <c r="B2783" s="66" t="s">
        <v>1654</v>
      </c>
      <c r="C2783" s="4">
        <v>1057</v>
      </c>
      <c r="D2783" s="41" t="s">
        <v>1174</v>
      </c>
      <c r="E2783" s="41">
        <v>10570032</v>
      </c>
      <c r="F2783" s="85" t="s">
        <v>1526</v>
      </c>
      <c r="G2783" s="39" t="s">
        <v>1610</v>
      </c>
      <c r="H2783" s="52" t="s">
        <v>98</v>
      </c>
      <c r="I2783" s="52">
        <v>732</v>
      </c>
      <c r="J2783" s="49">
        <v>32410.44</v>
      </c>
      <c r="K2783" s="58">
        <v>0</v>
      </c>
      <c r="L2783" s="58">
        <v>0</v>
      </c>
      <c r="M2783" s="58">
        <v>0</v>
      </c>
      <c r="N2783" s="58">
        <v>0</v>
      </c>
      <c r="O2783" s="58">
        <v>0</v>
      </c>
      <c r="P2783" s="53">
        <v>0</v>
      </c>
      <c r="Q2783" s="65">
        <v>32410.44</v>
      </c>
      <c r="R2783" s="65">
        <v>0</v>
      </c>
      <c r="S2783" s="65">
        <v>0</v>
      </c>
      <c r="T2783" s="65">
        <v>0</v>
      </c>
      <c r="U2783" s="58">
        <v>0</v>
      </c>
      <c r="V2783" s="65">
        <v>0</v>
      </c>
      <c r="W2783" s="65">
        <v>0</v>
      </c>
      <c r="X2783" s="65">
        <v>0</v>
      </c>
      <c r="Y2783" s="65">
        <v>0</v>
      </c>
      <c r="Z2783" s="51">
        <v>32410.44</v>
      </c>
      <c r="AA2783" s="51">
        <v>0</v>
      </c>
      <c r="AB2783" s="102">
        <v>0</v>
      </c>
      <c r="AC2783" s="81">
        <f t="shared" si="133"/>
        <v>0</v>
      </c>
      <c r="AD2783" s="82">
        <f t="shared" si="134"/>
        <v>0</v>
      </c>
      <c r="AE2783" s="218">
        <v>0</v>
      </c>
      <c r="AF2783">
        <v>0</v>
      </c>
      <c r="AH2783" t="str">
        <f t="shared" si="132"/>
        <v>Warisnagar</v>
      </c>
      <c r="AJ2783" s="72">
        <v>0</v>
      </c>
      <c r="AK2783" s="72"/>
      <c r="AL2783" s="72"/>
      <c r="AM2783" s="72"/>
    </row>
    <row r="2784" spans="1:39" x14ac:dyDescent="0.25">
      <c r="A2784" s="37" t="s">
        <v>62</v>
      </c>
      <c r="B2784" s="66" t="s">
        <v>1654</v>
      </c>
      <c r="C2784" s="4">
        <v>1057</v>
      </c>
      <c r="D2784" s="41" t="s">
        <v>1174</v>
      </c>
      <c r="E2784" s="41">
        <v>10570036</v>
      </c>
      <c r="F2784" s="85" t="s">
        <v>1321</v>
      </c>
      <c r="G2784" s="39" t="s">
        <v>92</v>
      </c>
      <c r="H2784" s="52" t="s">
        <v>93</v>
      </c>
      <c r="I2784" s="52">
        <v>302.7</v>
      </c>
      <c r="J2784" s="49">
        <v>14363.96</v>
      </c>
      <c r="K2784" s="58">
        <v>292.5</v>
      </c>
      <c r="L2784" s="58">
        <v>14280.77</v>
      </c>
      <c r="M2784" s="58">
        <v>0.79</v>
      </c>
      <c r="N2784" s="58">
        <v>26.51</v>
      </c>
      <c r="O2784" s="58">
        <v>293.29000000000002</v>
      </c>
      <c r="P2784" s="53">
        <v>14307.28</v>
      </c>
      <c r="Q2784" s="65">
        <v>14307.28</v>
      </c>
      <c r="R2784" s="65">
        <v>0</v>
      </c>
      <c r="S2784" s="65">
        <v>0</v>
      </c>
      <c r="T2784" s="65">
        <v>0</v>
      </c>
      <c r="U2784" s="58">
        <v>0</v>
      </c>
      <c r="V2784" s="65">
        <v>0</v>
      </c>
      <c r="W2784" s="65">
        <v>0</v>
      </c>
      <c r="X2784" s="65">
        <v>14281</v>
      </c>
      <c r="Y2784" s="65">
        <v>27</v>
      </c>
      <c r="Z2784" s="51">
        <v>0</v>
      </c>
      <c r="AA2784" s="51">
        <v>56</v>
      </c>
      <c r="AB2784" s="102">
        <v>0</v>
      </c>
      <c r="AC2784" s="81">
        <f t="shared" si="133"/>
        <v>377.05988159894287</v>
      </c>
      <c r="AD2784" s="82">
        <f t="shared" si="134"/>
        <v>43.24285714285714</v>
      </c>
      <c r="AE2784" s="218">
        <v>3.94598703978558E-3</v>
      </c>
      <c r="AF2784">
        <v>4</v>
      </c>
      <c r="AH2784" t="str">
        <f t="shared" si="132"/>
        <v>Warisnagar</v>
      </c>
      <c r="AJ2784" s="72">
        <v>0</v>
      </c>
      <c r="AK2784" s="72"/>
      <c r="AL2784" s="72"/>
      <c r="AM2784" s="72"/>
    </row>
    <row r="2785" spans="1:39" x14ac:dyDescent="0.25">
      <c r="A2785" s="37" t="s">
        <v>62</v>
      </c>
      <c r="B2785" s="66" t="s">
        <v>1654</v>
      </c>
      <c r="C2785" s="4">
        <v>1057</v>
      </c>
      <c r="D2785" s="41" t="s">
        <v>1174</v>
      </c>
      <c r="E2785" s="41">
        <v>10570037</v>
      </c>
      <c r="F2785" s="85" t="s">
        <v>1276</v>
      </c>
      <c r="G2785" s="39" t="s">
        <v>1610</v>
      </c>
      <c r="H2785" s="52" t="s">
        <v>98</v>
      </c>
      <c r="I2785" s="52">
        <v>177.1</v>
      </c>
      <c r="J2785" s="49">
        <v>6985.27</v>
      </c>
      <c r="K2785" s="58">
        <v>0</v>
      </c>
      <c r="L2785" s="58">
        <v>0</v>
      </c>
      <c r="M2785" s="58">
        <v>0</v>
      </c>
      <c r="N2785" s="58">
        <v>0</v>
      </c>
      <c r="O2785" s="58">
        <v>0</v>
      </c>
      <c r="P2785" s="53">
        <v>0</v>
      </c>
      <c r="Q2785" s="65">
        <v>6985.27</v>
      </c>
      <c r="R2785" s="65">
        <v>0</v>
      </c>
      <c r="S2785" s="65">
        <v>0</v>
      </c>
      <c r="T2785" s="65">
        <v>0</v>
      </c>
      <c r="U2785" s="58">
        <v>0</v>
      </c>
      <c r="V2785" s="65">
        <v>0</v>
      </c>
      <c r="W2785" s="65">
        <v>0</v>
      </c>
      <c r="X2785" s="65">
        <v>0</v>
      </c>
      <c r="Y2785" s="65">
        <v>0</v>
      </c>
      <c r="Z2785" s="51">
        <v>6985.27</v>
      </c>
      <c r="AA2785" s="51">
        <v>0</v>
      </c>
      <c r="AB2785" s="102">
        <v>0</v>
      </c>
      <c r="AC2785" s="81">
        <f t="shared" si="133"/>
        <v>412.48985691699608</v>
      </c>
      <c r="AD2785" s="82">
        <f t="shared" si="134"/>
        <v>25.3</v>
      </c>
      <c r="AE2785" s="218">
        <v>0</v>
      </c>
      <c r="AF2785">
        <v>0</v>
      </c>
      <c r="AH2785" t="str">
        <f t="shared" si="132"/>
        <v>Warisnagar</v>
      </c>
      <c r="AJ2785" s="72">
        <v>0</v>
      </c>
      <c r="AK2785" s="72"/>
      <c r="AL2785" s="72"/>
      <c r="AM2785" s="72"/>
    </row>
    <row r="2786" spans="1:39" x14ac:dyDescent="0.25">
      <c r="A2786" s="37" t="s">
        <v>62</v>
      </c>
      <c r="B2786" s="66" t="s">
        <v>1654</v>
      </c>
      <c r="C2786" s="4">
        <v>1057</v>
      </c>
      <c r="D2786" s="41" t="s">
        <v>1174</v>
      </c>
      <c r="E2786" s="41">
        <v>10570038</v>
      </c>
      <c r="F2786" s="85" t="s">
        <v>1277</v>
      </c>
      <c r="G2786" s="39" t="s">
        <v>1610</v>
      </c>
      <c r="H2786" s="52" t="s">
        <v>98</v>
      </c>
      <c r="I2786" s="52">
        <v>36.800000000000004</v>
      </c>
      <c r="J2786" s="49">
        <v>1486.62</v>
      </c>
      <c r="K2786" s="58">
        <v>0</v>
      </c>
      <c r="L2786" s="58">
        <v>0</v>
      </c>
      <c r="M2786" s="58">
        <v>0</v>
      </c>
      <c r="N2786" s="58">
        <v>0</v>
      </c>
      <c r="O2786" s="58">
        <v>0</v>
      </c>
      <c r="P2786" s="53">
        <v>0</v>
      </c>
      <c r="Q2786" s="65">
        <v>1486.62</v>
      </c>
      <c r="R2786" s="65">
        <v>0</v>
      </c>
      <c r="S2786" s="65">
        <v>0</v>
      </c>
      <c r="T2786" s="65">
        <v>0</v>
      </c>
      <c r="U2786" s="58">
        <v>0</v>
      </c>
      <c r="V2786" s="65">
        <v>0</v>
      </c>
      <c r="W2786" s="65">
        <v>0</v>
      </c>
      <c r="X2786" s="65">
        <v>0</v>
      </c>
      <c r="Y2786" s="65">
        <v>0</v>
      </c>
      <c r="Z2786" s="51">
        <v>1486.62</v>
      </c>
      <c r="AA2786" s="51">
        <v>0</v>
      </c>
      <c r="AB2786" s="102">
        <v>0</v>
      </c>
      <c r="AC2786" s="81">
        <f t="shared" si="133"/>
        <v>535.82955652173905</v>
      </c>
      <c r="AD2786" s="82">
        <f t="shared" si="134"/>
        <v>5.257142857142858</v>
      </c>
      <c r="AE2786" s="218">
        <v>0</v>
      </c>
      <c r="AF2786">
        <v>0</v>
      </c>
      <c r="AH2786" t="str">
        <f t="shared" si="132"/>
        <v>Warisnagar</v>
      </c>
      <c r="AJ2786" s="72">
        <v>0</v>
      </c>
      <c r="AK2786" s="72"/>
      <c r="AL2786" s="72"/>
      <c r="AM2786" s="72"/>
    </row>
    <row r="2787" spans="1:39" x14ac:dyDescent="0.25">
      <c r="A2787" s="37" t="s">
        <v>62</v>
      </c>
      <c r="B2787" s="66" t="s">
        <v>1654</v>
      </c>
      <c r="C2787" s="4">
        <v>1057</v>
      </c>
      <c r="D2787" s="41" t="s">
        <v>1174</v>
      </c>
      <c r="E2787" s="41">
        <v>10570042</v>
      </c>
      <c r="F2787" s="85" t="s">
        <v>1458</v>
      </c>
      <c r="G2787" s="39" t="s">
        <v>92</v>
      </c>
      <c r="H2787" s="52" t="s">
        <v>93</v>
      </c>
      <c r="I2787" s="52">
        <v>152.4</v>
      </c>
      <c r="J2787" s="49">
        <v>6186.7300000000005</v>
      </c>
      <c r="K2787" s="58">
        <v>152.39999999999998</v>
      </c>
      <c r="L2787" s="58">
        <v>6191.5599999999995</v>
      </c>
      <c r="M2787" s="58">
        <v>0</v>
      </c>
      <c r="N2787" s="58">
        <v>0</v>
      </c>
      <c r="O2787" s="58">
        <v>152.39999999999998</v>
      </c>
      <c r="P2787" s="53">
        <v>6191.5599999999995</v>
      </c>
      <c r="Q2787" s="65">
        <v>6186.7300000000005</v>
      </c>
      <c r="R2787" s="65">
        <v>0</v>
      </c>
      <c r="S2787" s="65">
        <v>0</v>
      </c>
      <c r="T2787" s="65">
        <v>4.8299999999990177</v>
      </c>
      <c r="U2787" s="58">
        <v>0</v>
      </c>
      <c r="V2787" s="65">
        <v>0</v>
      </c>
      <c r="W2787" s="65">
        <v>0</v>
      </c>
      <c r="X2787" s="65">
        <v>6187</v>
      </c>
      <c r="Y2787" s="65">
        <v>0</v>
      </c>
      <c r="Z2787" s="51">
        <v>0</v>
      </c>
      <c r="AA2787" s="51">
        <v>0</v>
      </c>
      <c r="AB2787" s="102">
        <v>0</v>
      </c>
      <c r="AC2787" s="81">
        <f t="shared" si="133"/>
        <v>444.60017690288714</v>
      </c>
      <c r="AD2787" s="82">
        <f t="shared" si="134"/>
        <v>21.771428571428572</v>
      </c>
      <c r="AE2787" s="218">
        <v>-7.8070321478374157E-4</v>
      </c>
      <c r="AF2787">
        <v>1</v>
      </c>
      <c r="AH2787" t="str">
        <f t="shared" si="132"/>
        <v>Warisnagar</v>
      </c>
      <c r="AJ2787" s="72">
        <v>0</v>
      </c>
      <c r="AK2787" s="72"/>
      <c r="AL2787" s="72"/>
      <c r="AM2787" s="72"/>
    </row>
    <row r="2788" spans="1:39" x14ac:dyDescent="0.25">
      <c r="A2788" s="37" t="s">
        <v>62</v>
      </c>
      <c r="B2788" s="66" t="s">
        <v>1654</v>
      </c>
      <c r="C2788" s="4">
        <v>1057</v>
      </c>
      <c r="D2788" s="41" t="s">
        <v>1174</v>
      </c>
      <c r="E2788" s="41">
        <v>10570044</v>
      </c>
      <c r="F2788" s="85" t="s">
        <v>1392</v>
      </c>
      <c r="G2788" s="39" t="s">
        <v>92</v>
      </c>
      <c r="H2788" s="52" t="s">
        <v>93</v>
      </c>
      <c r="I2788" s="52">
        <v>145.29999999999998</v>
      </c>
      <c r="J2788" s="49">
        <v>7038.36</v>
      </c>
      <c r="K2788" s="58">
        <v>145.30000000000001</v>
      </c>
      <c r="L2788" s="58">
        <v>7043.31</v>
      </c>
      <c r="M2788" s="58">
        <v>0</v>
      </c>
      <c r="N2788" s="58">
        <v>0</v>
      </c>
      <c r="O2788" s="58">
        <v>145.30000000000001</v>
      </c>
      <c r="P2788" s="53">
        <v>7043.31</v>
      </c>
      <c r="Q2788" s="65">
        <v>7038.36</v>
      </c>
      <c r="R2788" s="65">
        <v>0</v>
      </c>
      <c r="S2788" s="65">
        <v>0</v>
      </c>
      <c r="T2788" s="65">
        <v>4.9500000000007276</v>
      </c>
      <c r="U2788" s="58">
        <v>748.5</v>
      </c>
      <c r="V2788" s="65">
        <v>0</v>
      </c>
      <c r="W2788" s="65">
        <v>0</v>
      </c>
      <c r="X2788" s="65">
        <v>6290</v>
      </c>
      <c r="Y2788" s="65">
        <v>0</v>
      </c>
      <c r="Z2788" s="51">
        <v>0</v>
      </c>
      <c r="AA2788" s="51">
        <v>0</v>
      </c>
      <c r="AB2788" s="102">
        <v>0</v>
      </c>
      <c r="AC2788" s="81">
        <f t="shared" si="133"/>
        <v>537.3954978664832</v>
      </c>
      <c r="AD2788" s="82">
        <f t="shared" si="134"/>
        <v>20.757142857142856</v>
      </c>
      <c r="AE2788" s="218">
        <v>-7.0328883433082821E-4</v>
      </c>
      <c r="AF2788">
        <v>1</v>
      </c>
      <c r="AH2788" t="str">
        <f t="shared" si="132"/>
        <v>Warisnagar</v>
      </c>
      <c r="AJ2788" s="72">
        <v>0</v>
      </c>
      <c r="AK2788" s="72"/>
      <c r="AL2788" s="72"/>
      <c r="AM2788" s="72"/>
    </row>
    <row r="2789" spans="1:39" x14ac:dyDescent="0.25">
      <c r="A2789" s="37" t="s">
        <v>62</v>
      </c>
      <c r="B2789" s="66" t="s">
        <v>1654</v>
      </c>
      <c r="C2789" s="4">
        <v>1057</v>
      </c>
      <c r="D2789" s="41" t="s">
        <v>1174</v>
      </c>
      <c r="E2789" s="41">
        <v>10570045</v>
      </c>
      <c r="F2789" s="85" t="s">
        <v>1342</v>
      </c>
      <c r="G2789" s="39" t="s">
        <v>92</v>
      </c>
      <c r="H2789" s="52" t="s">
        <v>93</v>
      </c>
      <c r="I2789" s="52">
        <v>1043.4000000000001</v>
      </c>
      <c r="J2789" s="49">
        <v>42073.42</v>
      </c>
      <c r="K2789" s="58">
        <v>1043.2</v>
      </c>
      <c r="L2789" s="58">
        <v>42498.119999999995</v>
      </c>
      <c r="M2789" s="58">
        <v>0</v>
      </c>
      <c r="N2789" s="58">
        <v>0</v>
      </c>
      <c r="O2789" s="58">
        <v>1043.2</v>
      </c>
      <c r="P2789" s="53">
        <v>42498.119999999995</v>
      </c>
      <c r="Q2789" s="65">
        <v>42073.42</v>
      </c>
      <c r="R2789" s="65">
        <v>0</v>
      </c>
      <c r="S2789" s="65">
        <v>0</v>
      </c>
      <c r="T2789" s="65">
        <v>424.69999999999709</v>
      </c>
      <c r="U2789" s="58">
        <v>0</v>
      </c>
      <c r="V2789" s="65">
        <v>0</v>
      </c>
      <c r="W2789" s="65">
        <v>0</v>
      </c>
      <c r="X2789" s="65">
        <v>42073</v>
      </c>
      <c r="Y2789" s="65">
        <v>0</v>
      </c>
      <c r="Z2789" s="51">
        <v>0</v>
      </c>
      <c r="AA2789" s="51">
        <v>0</v>
      </c>
      <c r="AB2789" s="102">
        <v>0</v>
      </c>
      <c r="AC2789" s="81">
        <f t="shared" si="133"/>
        <v>0</v>
      </c>
      <c r="AD2789" s="82">
        <f t="shared" si="134"/>
        <v>0</v>
      </c>
      <c r="AE2789" s="218">
        <v>-1.0094259035752194E-2</v>
      </c>
      <c r="AF2789">
        <v>12</v>
      </c>
      <c r="AH2789" t="str">
        <f t="shared" si="132"/>
        <v>Warisnagar</v>
      </c>
      <c r="AJ2789" s="72">
        <v>0</v>
      </c>
      <c r="AK2789" s="72"/>
      <c r="AL2789" s="72"/>
      <c r="AM2789" s="72"/>
    </row>
    <row r="2790" spans="1:39" x14ac:dyDescent="0.25">
      <c r="A2790" s="37" t="s">
        <v>62</v>
      </c>
      <c r="B2790" s="66" t="s">
        <v>1654</v>
      </c>
      <c r="C2790" s="4">
        <v>1057</v>
      </c>
      <c r="D2790" s="41" t="s">
        <v>1174</v>
      </c>
      <c r="E2790" s="41">
        <v>10570046</v>
      </c>
      <c r="F2790" s="85" t="s">
        <v>1343</v>
      </c>
      <c r="G2790" s="39" t="s">
        <v>1610</v>
      </c>
      <c r="H2790" s="52" t="s">
        <v>98</v>
      </c>
      <c r="I2790" s="52">
        <v>491.9</v>
      </c>
      <c r="J2790" s="49">
        <v>17016.53</v>
      </c>
      <c r="K2790" s="58">
        <v>0</v>
      </c>
      <c r="L2790" s="58">
        <v>0</v>
      </c>
      <c r="M2790" s="58">
        <v>0</v>
      </c>
      <c r="N2790" s="58">
        <v>0</v>
      </c>
      <c r="O2790" s="58">
        <v>0</v>
      </c>
      <c r="P2790" s="53">
        <v>0</v>
      </c>
      <c r="Q2790" s="65">
        <v>17016.53</v>
      </c>
      <c r="R2790" s="65">
        <v>0</v>
      </c>
      <c r="S2790" s="65">
        <v>0</v>
      </c>
      <c r="T2790" s="65">
        <v>0</v>
      </c>
      <c r="U2790" s="58">
        <v>0</v>
      </c>
      <c r="V2790" s="65">
        <v>0</v>
      </c>
      <c r="W2790" s="65">
        <v>0</v>
      </c>
      <c r="X2790" s="65">
        <v>0</v>
      </c>
      <c r="Y2790" s="65">
        <v>0</v>
      </c>
      <c r="Z2790" s="51">
        <v>17016.53</v>
      </c>
      <c r="AA2790" s="51">
        <v>0</v>
      </c>
      <c r="AB2790" s="102">
        <v>0</v>
      </c>
      <c r="AC2790" s="81">
        <f t="shared" si="133"/>
        <v>143.97803996747305</v>
      </c>
      <c r="AD2790" s="82">
        <f t="shared" si="134"/>
        <v>70.271428571428572</v>
      </c>
      <c r="AE2790" s="218">
        <v>0</v>
      </c>
      <c r="AF2790">
        <v>0</v>
      </c>
      <c r="AH2790" t="str">
        <f t="shared" si="132"/>
        <v>Warisnagar</v>
      </c>
      <c r="AJ2790" s="72">
        <v>0</v>
      </c>
      <c r="AK2790" s="72"/>
      <c r="AL2790" s="72"/>
      <c r="AM2790" s="72"/>
    </row>
    <row r="2791" spans="1:39" x14ac:dyDescent="0.25">
      <c r="A2791" s="37" t="s">
        <v>62</v>
      </c>
      <c r="B2791" s="66" t="s">
        <v>1654</v>
      </c>
      <c r="C2791" s="4">
        <v>1057</v>
      </c>
      <c r="D2791" s="41" t="s">
        <v>1174</v>
      </c>
      <c r="E2791" s="41">
        <v>10570047</v>
      </c>
      <c r="F2791" s="85" t="s">
        <v>1379</v>
      </c>
      <c r="G2791" s="39" t="s">
        <v>92</v>
      </c>
      <c r="H2791" s="52" t="s">
        <v>93</v>
      </c>
      <c r="I2791" s="52">
        <v>395.7</v>
      </c>
      <c r="J2791" s="49">
        <v>17267.25</v>
      </c>
      <c r="K2791" s="58">
        <v>374.09999999999997</v>
      </c>
      <c r="L2791" s="58">
        <v>15101.750000000002</v>
      </c>
      <c r="M2791" s="58">
        <v>77.000000000000014</v>
      </c>
      <c r="N2791" s="58">
        <v>4546.93</v>
      </c>
      <c r="O2791" s="58">
        <v>451.09999999999997</v>
      </c>
      <c r="P2791" s="53">
        <v>19648.68</v>
      </c>
      <c r="Q2791" s="65">
        <v>17267.25</v>
      </c>
      <c r="R2791" s="65">
        <v>0</v>
      </c>
      <c r="S2791" s="65">
        <v>100.14</v>
      </c>
      <c r="T2791" s="65">
        <v>2381.4300000000003</v>
      </c>
      <c r="U2791" s="58">
        <v>0</v>
      </c>
      <c r="V2791" s="65">
        <v>0</v>
      </c>
      <c r="W2791" s="65">
        <v>0</v>
      </c>
      <c r="X2791" s="65">
        <v>12721</v>
      </c>
      <c r="Y2791" s="65">
        <v>4446</v>
      </c>
      <c r="Z2791" s="51">
        <v>0</v>
      </c>
      <c r="AA2791" s="51">
        <v>0</v>
      </c>
      <c r="AB2791" s="102" t="s">
        <v>1366</v>
      </c>
      <c r="AC2791" s="81">
        <f t="shared" si="133"/>
        <v>265.57615238817283</v>
      </c>
      <c r="AD2791" s="82">
        <f t="shared" si="134"/>
        <v>56.528571428571425</v>
      </c>
      <c r="AE2791" s="218">
        <v>-0.13791599704643184</v>
      </c>
      <c r="AF2791">
        <v>12</v>
      </c>
      <c r="AH2791" t="str">
        <f t="shared" si="132"/>
        <v>Warisnagar</v>
      </c>
      <c r="AJ2791" s="72">
        <v>0</v>
      </c>
      <c r="AK2791" s="72"/>
      <c r="AL2791" s="72"/>
      <c r="AM2791" s="72"/>
    </row>
    <row r="2792" spans="1:39" x14ac:dyDescent="0.25">
      <c r="A2792" s="37" t="s">
        <v>62</v>
      </c>
      <c r="B2792" s="66" t="s">
        <v>1654</v>
      </c>
      <c r="C2792" s="4">
        <v>1057</v>
      </c>
      <c r="D2792" s="41" t="s">
        <v>1174</v>
      </c>
      <c r="E2792" s="41">
        <v>10570049</v>
      </c>
      <c r="F2792" s="85" t="s">
        <v>1393</v>
      </c>
      <c r="G2792" s="39" t="s">
        <v>92</v>
      </c>
      <c r="H2792" s="52" t="s">
        <v>93</v>
      </c>
      <c r="I2792" s="52">
        <v>448.5</v>
      </c>
      <c r="J2792" s="49">
        <v>19512.439999999995</v>
      </c>
      <c r="K2792" s="58">
        <v>101.00000000000001</v>
      </c>
      <c r="L2792" s="58">
        <v>4230.2600000000011</v>
      </c>
      <c r="M2792" s="58">
        <v>355.7</v>
      </c>
      <c r="N2792" s="58">
        <v>15308.189999999999</v>
      </c>
      <c r="O2792" s="58">
        <v>456.7</v>
      </c>
      <c r="P2792" s="53">
        <v>19538.45</v>
      </c>
      <c r="Q2792" s="65">
        <v>19512.439999999995</v>
      </c>
      <c r="R2792" s="65">
        <v>0</v>
      </c>
      <c r="S2792" s="65">
        <v>0</v>
      </c>
      <c r="T2792" s="65">
        <v>26.010000000005675</v>
      </c>
      <c r="U2792" s="58">
        <v>2800</v>
      </c>
      <c r="V2792" s="65">
        <v>0</v>
      </c>
      <c r="W2792" s="65">
        <v>0</v>
      </c>
      <c r="X2792" s="65">
        <v>1405</v>
      </c>
      <c r="Y2792" s="65">
        <v>15307</v>
      </c>
      <c r="Z2792" s="51">
        <v>0</v>
      </c>
      <c r="AA2792" s="51">
        <v>0</v>
      </c>
      <c r="AB2792" s="102">
        <v>0</v>
      </c>
      <c r="AC2792" s="81">
        <f t="shared" si="133"/>
        <v>218.83516878483832</v>
      </c>
      <c r="AD2792" s="82">
        <f t="shared" si="134"/>
        <v>64.071428571428569</v>
      </c>
      <c r="AE2792" s="218">
        <v>-1.3329957709033663E-3</v>
      </c>
      <c r="AF2792">
        <v>10</v>
      </c>
      <c r="AH2792" t="str">
        <f t="shared" si="132"/>
        <v>Warisnagar</v>
      </c>
      <c r="AJ2792" s="72">
        <v>0</v>
      </c>
      <c r="AK2792" s="72"/>
      <c r="AL2792" s="72"/>
      <c r="AM2792" s="72"/>
    </row>
    <row r="2793" spans="1:39" x14ac:dyDescent="0.25">
      <c r="A2793" s="37" t="s">
        <v>62</v>
      </c>
      <c r="B2793" s="66" t="s">
        <v>1654</v>
      </c>
      <c r="C2793" s="4">
        <v>1057</v>
      </c>
      <c r="D2793" s="41" t="s">
        <v>1174</v>
      </c>
      <c r="E2793" s="41">
        <v>10570051</v>
      </c>
      <c r="F2793" s="85" t="s">
        <v>1542</v>
      </c>
      <c r="G2793" s="39" t="s">
        <v>92</v>
      </c>
      <c r="H2793" s="52" t="s">
        <v>93</v>
      </c>
      <c r="I2793" s="52">
        <v>128.29999999999998</v>
      </c>
      <c r="J2793" s="49">
        <v>4800.6299999999992</v>
      </c>
      <c r="K2793" s="58">
        <v>110.3</v>
      </c>
      <c r="L2793" s="58">
        <v>3935.8799999999997</v>
      </c>
      <c r="M2793" s="58">
        <v>21.5</v>
      </c>
      <c r="N2793" s="58">
        <v>817.36</v>
      </c>
      <c r="O2793" s="58">
        <v>131.80000000000001</v>
      </c>
      <c r="P2793" s="53">
        <v>4753.24</v>
      </c>
      <c r="Q2793" s="65">
        <v>4753.24</v>
      </c>
      <c r="R2793" s="65">
        <v>0</v>
      </c>
      <c r="S2793" s="65">
        <v>0</v>
      </c>
      <c r="T2793" s="65">
        <v>0</v>
      </c>
      <c r="U2793" s="58">
        <v>4754</v>
      </c>
      <c r="V2793" s="65">
        <v>0</v>
      </c>
      <c r="W2793" s="65">
        <v>0</v>
      </c>
      <c r="X2793" s="65">
        <v>0</v>
      </c>
      <c r="Y2793" s="65">
        <v>0</v>
      </c>
      <c r="Z2793" s="51">
        <v>0</v>
      </c>
      <c r="AA2793" s="51">
        <v>47</v>
      </c>
      <c r="AB2793" s="102">
        <v>0</v>
      </c>
      <c r="AC2793" s="81">
        <f t="shared" si="133"/>
        <v>427.8285535463757</v>
      </c>
      <c r="AD2793" s="82">
        <f t="shared" si="134"/>
        <v>18.328571428571426</v>
      </c>
      <c r="AE2793" s="218">
        <v>9.8716210164081428E-3</v>
      </c>
      <c r="AF2793">
        <v>5</v>
      </c>
      <c r="AH2793" t="str">
        <f t="shared" si="132"/>
        <v>Warisnagar</v>
      </c>
      <c r="AJ2793" s="72">
        <v>0</v>
      </c>
      <c r="AK2793" s="72"/>
      <c r="AL2793" s="72"/>
      <c r="AM2793" s="72"/>
    </row>
    <row r="2794" spans="1:39" x14ac:dyDescent="0.25">
      <c r="A2794" s="37" t="s">
        <v>62</v>
      </c>
      <c r="B2794" s="66" t="s">
        <v>1654</v>
      </c>
      <c r="C2794" s="4">
        <v>1057</v>
      </c>
      <c r="D2794" s="41" t="s">
        <v>1174</v>
      </c>
      <c r="E2794" s="41">
        <v>10570053</v>
      </c>
      <c r="F2794" s="85" t="s">
        <v>1413</v>
      </c>
      <c r="G2794" s="39" t="s">
        <v>1610</v>
      </c>
      <c r="H2794" s="52" t="s">
        <v>98</v>
      </c>
      <c r="I2794" s="52">
        <v>300.2</v>
      </c>
      <c r="J2794" s="49">
        <v>11983.18</v>
      </c>
      <c r="K2794" s="58">
        <v>0</v>
      </c>
      <c r="L2794" s="58">
        <v>0</v>
      </c>
      <c r="M2794" s="58">
        <v>0</v>
      </c>
      <c r="N2794" s="58">
        <v>0</v>
      </c>
      <c r="O2794" s="58">
        <v>0</v>
      </c>
      <c r="P2794" s="53">
        <v>0</v>
      </c>
      <c r="Q2794" s="65">
        <v>11983.18</v>
      </c>
      <c r="R2794" s="65">
        <v>0</v>
      </c>
      <c r="S2794" s="65">
        <v>0</v>
      </c>
      <c r="T2794" s="65">
        <v>0</v>
      </c>
      <c r="U2794" s="58">
        <v>0</v>
      </c>
      <c r="V2794" s="65">
        <v>0</v>
      </c>
      <c r="W2794" s="65">
        <v>0</v>
      </c>
      <c r="X2794" s="65">
        <v>0</v>
      </c>
      <c r="Y2794" s="65">
        <v>0</v>
      </c>
      <c r="Z2794" s="51">
        <v>11983.18</v>
      </c>
      <c r="AA2794" s="51">
        <v>0</v>
      </c>
      <c r="AB2794" s="102">
        <v>0</v>
      </c>
      <c r="AC2794" s="81">
        <f t="shared" si="133"/>
        <v>319.17890499666896</v>
      </c>
      <c r="AD2794" s="82">
        <f t="shared" si="134"/>
        <v>42.885714285714286</v>
      </c>
      <c r="AE2794" s="218">
        <v>0</v>
      </c>
      <c r="AF2794">
        <v>0</v>
      </c>
      <c r="AH2794" t="str">
        <f t="shared" si="132"/>
        <v>Warisnagar</v>
      </c>
      <c r="AJ2794" s="72">
        <v>0</v>
      </c>
      <c r="AK2794" s="72"/>
      <c r="AL2794" s="72"/>
      <c r="AM2794" s="72"/>
    </row>
    <row r="2795" spans="1:39" x14ac:dyDescent="0.25">
      <c r="A2795" s="37" t="s">
        <v>62</v>
      </c>
      <c r="B2795" s="66" t="s">
        <v>1654</v>
      </c>
      <c r="C2795" s="4">
        <v>1057</v>
      </c>
      <c r="D2795" s="41" t="s">
        <v>1174</v>
      </c>
      <c r="E2795" s="41">
        <v>10570055</v>
      </c>
      <c r="F2795" s="85" t="s">
        <v>1436</v>
      </c>
      <c r="G2795" s="39" t="s">
        <v>92</v>
      </c>
      <c r="H2795" s="52" t="s">
        <v>93</v>
      </c>
      <c r="I2795" s="52">
        <v>479.9</v>
      </c>
      <c r="J2795" s="49">
        <v>19213.259999999998</v>
      </c>
      <c r="K2795" s="58">
        <v>39.4</v>
      </c>
      <c r="L2795" s="58">
        <v>1572.8500000000001</v>
      </c>
      <c r="M2795" s="58">
        <v>440.49999999999994</v>
      </c>
      <c r="N2795" s="58">
        <v>17628.169999999995</v>
      </c>
      <c r="O2795" s="58">
        <v>479.89999999999992</v>
      </c>
      <c r="P2795" s="53">
        <v>19201.019999999993</v>
      </c>
      <c r="Q2795" s="65">
        <v>19201.019999999993</v>
      </c>
      <c r="R2795" s="65">
        <v>0</v>
      </c>
      <c r="S2795" s="65">
        <v>0</v>
      </c>
      <c r="T2795" s="65">
        <v>0</v>
      </c>
      <c r="U2795" s="58">
        <v>0</v>
      </c>
      <c r="V2795" s="65">
        <v>0</v>
      </c>
      <c r="W2795" s="65">
        <v>0</v>
      </c>
      <c r="X2795" s="65">
        <v>1573</v>
      </c>
      <c r="Y2795" s="65">
        <v>17628</v>
      </c>
      <c r="Z2795" s="51">
        <v>0</v>
      </c>
      <c r="AA2795" s="51">
        <v>12</v>
      </c>
      <c r="AB2795" s="102">
        <v>0</v>
      </c>
      <c r="AC2795" s="81">
        <f t="shared" si="133"/>
        <v>176.23832156699314</v>
      </c>
      <c r="AD2795" s="82">
        <f t="shared" si="134"/>
        <v>68.55714285714285</v>
      </c>
      <c r="AE2795" s="218">
        <v>6.3706003041676628E-4</v>
      </c>
      <c r="AF2795">
        <v>8</v>
      </c>
      <c r="AH2795" t="str">
        <f t="shared" si="132"/>
        <v>Warisnagar</v>
      </c>
      <c r="AJ2795" s="72">
        <v>0</v>
      </c>
      <c r="AK2795" s="72"/>
      <c r="AL2795" s="72"/>
      <c r="AM2795" s="72"/>
    </row>
    <row r="2796" spans="1:39" x14ac:dyDescent="0.25">
      <c r="A2796" s="37" t="s">
        <v>62</v>
      </c>
      <c r="B2796" s="66" t="s">
        <v>1654</v>
      </c>
      <c r="C2796" s="4">
        <v>1057</v>
      </c>
      <c r="D2796" s="41" t="s">
        <v>1174</v>
      </c>
      <c r="E2796" s="41">
        <v>10570058</v>
      </c>
      <c r="F2796" s="85" t="s">
        <v>1467</v>
      </c>
      <c r="G2796" s="39" t="s">
        <v>1610</v>
      </c>
      <c r="H2796" s="52" t="s">
        <v>98</v>
      </c>
      <c r="I2796" s="52">
        <v>1255.4000000000001</v>
      </c>
      <c r="J2796" s="49">
        <v>48115.010000000009</v>
      </c>
      <c r="K2796" s="58">
        <v>0</v>
      </c>
      <c r="L2796" s="58">
        <v>0</v>
      </c>
      <c r="M2796" s="58">
        <v>0</v>
      </c>
      <c r="N2796" s="58">
        <v>0</v>
      </c>
      <c r="O2796" s="58">
        <v>0</v>
      </c>
      <c r="P2796" s="53">
        <v>0</v>
      </c>
      <c r="Q2796" s="65">
        <v>48115.010000000009</v>
      </c>
      <c r="R2796" s="65">
        <v>0</v>
      </c>
      <c r="S2796" s="65">
        <v>0</v>
      </c>
      <c r="T2796" s="65">
        <v>0</v>
      </c>
      <c r="U2796" s="58">
        <v>0</v>
      </c>
      <c r="V2796" s="65">
        <v>0</v>
      </c>
      <c r="W2796" s="65">
        <v>0</v>
      </c>
      <c r="X2796" s="65">
        <v>0</v>
      </c>
      <c r="Y2796" s="65">
        <v>0</v>
      </c>
      <c r="Z2796" s="51">
        <v>48115.010000000009</v>
      </c>
      <c r="AA2796" s="51">
        <v>0</v>
      </c>
      <c r="AB2796" s="102">
        <v>0</v>
      </c>
      <c r="AC2796" s="81">
        <f t="shared" si="133"/>
        <v>0</v>
      </c>
      <c r="AD2796" s="82">
        <f t="shared" si="134"/>
        <v>0</v>
      </c>
      <c r="AE2796" s="218">
        <v>0</v>
      </c>
      <c r="AF2796">
        <v>0</v>
      </c>
      <c r="AH2796" t="str">
        <f t="shared" si="132"/>
        <v>Warisnagar</v>
      </c>
      <c r="AJ2796" s="72">
        <v>0</v>
      </c>
      <c r="AK2796" s="72"/>
      <c r="AL2796" s="72"/>
      <c r="AM2796" s="72"/>
    </row>
    <row r="2797" spans="1:39" x14ac:dyDescent="0.25">
      <c r="A2797" s="37" t="s">
        <v>62</v>
      </c>
      <c r="B2797" s="66" t="s">
        <v>1654</v>
      </c>
      <c r="C2797" s="4">
        <v>1057</v>
      </c>
      <c r="D2797" s="41" t="s">
        <v>1174</v>
      </c>
      <c r="E2797" s="41">
        <v>10570059</v>
      </c>
      <c r="F2797" s="85" t="s">
        <v>1468</v>
      </c>
      <c r="G2797" s="39" t="s">
        <v>1610</v>
      </c>
      <c r="H2797" s="52" t="s">
        <v>98</v>
      </c>
      <c r="I2797" s="52">
        <v>1682.7</v>
      </c>
      <c r="J2797" s="49">
        <v>73543.959999999992</v>
      </c>
      <c r="K2797" s="58">
        <v>0</v>
      </c>
      <c r="L2797" s="58">
        <v>0</v>
      </c>
      <c r="M2797" s="58">
        <v>0</v>
      </c>
      <c r="N2797" s="58">
        <v>0</v>
      </c>
      <c r="O2797" s="58">
        <v>0</v>
      </c>
      <c r="P2797" s="53">
        <v>0</v>
      </c>
      <c r="Q2797" s="65">
        <v>73543.959999999992</v>
      </c>
      <c r="R2797" s="65">
        <v>0</v>
      </c>
      <c r="S2797" s="65">
        <v>0</v>
      </c>
      <c r="T2797" s="65">
        <v>0</v>
      </c>
      <c r="U2797" s="58">
        <v>0</v>
      </c>
      <c r="V2797" s="65">
        <v>0</v>
      </c>
      <c r="W2797" s="65">
        <v>0</v>
      </c>
      <c r="X2797" s="65">
        <v>0</v>
      </c>
      <c r="Y2797" s="65">
        <v>0</v>
      </c>
      <c r="Z2797" s="51">
        <v>73543.959999999992</v>
      </c>
      <c r="AA2797" s="51">
        <v>0</v>
      </c>
      <c r="AB2797" s="102">
        <v>0</v>
      </c>
      <c r="AC2797" s="81">
        <f t="shared" si="133"/>
        <v>0</v>
      </c>
      <c r="AD2797" s="82">
        <f t="shared" si="134"/>
        <v>0</v>
      </c>
      <c r="AE2797" s="218">
        <v>0</v>
      </c>
      <c r="AF2797">
        <v>0</v>
      </c>
      <c r="AH2797" t="str">
        <f t="shared" si="132"/>
        <v>Warisnagar</v>
      </c>
      <c r="AJ2797" s="72">
        <v>0</v>
      </c>
      <c r="AK2797" s="72"/>
      <c r="AL2797" s="72"/>
      <c r="AM2797" s="72"/>
    </row>
    <row r="2798" spans="1:39" x14ac:dyDescent="0.25">
      <c r="A2798" s="37" t="s">
        <v>62</v>
      </c>
      <c r="B2798" s="66" t="s">
        <v>1654</v>
      </c>
      <c r="C2798" s="4">
        <v>1057</v>
      </c>
      <c r="D2798" s="41" t="s">
        <v>1174</v>
      </c>
      <c r="E2798" s="41">
        <v>10570060</v>
      </c>
      <c r="F2798" s="85" t="s">
        <v>1469</v>
      </c>
      <c r="G2798" s="39" t="s">
        <v>1610</v>
      </c>
      <c r="H2798" s="52" t="s">
        <v>98</v>
      </c>
      <c r="I2798" s="52">
        <v>591.59999999999991</v>
      </c>
      <c r="J2798" s="49">
        <v>26296.899999999998</v>
      </c>
      <c r="K2798" s="58">
        <v>0</v>
      </c>
      <c r="L2798" s="58">
        <v>0</v>
      </c>
      <c r="M2798" s="58">
        <v>0</v>
      </c>
      <c r="N2798" s="58">
        <v>0</v>
      </c>
      <c r="O2798" s="58">
        <v>0</v>
      </c>
      <c r="P2798" s="53">
        <v>0</v>
      </c>
      <c r="Q2798" s="65">
        <v>26296.899999999998</v>
      </c>
      <c r="R2798" s="65">
        <v>0</v>
      </c>
      <c r="S2798" s="65">
        <v>0</v>
      </c>
      <c r="T2798" s="65">
        <v>0</v>
      </c>
      <c r="U2798" s="58">
        <v>0</v>
      </c>
      <c r="V2798" s="65">
        <v>0</v>
      </c>
      <c r="W2798" s="65">
        <v>0</v>
      </c>
      <c r="X2798" s="65">
        <v>0</v>
      </c>
      <c r="Y2798" s="65">
        <v>0</v>
      </c>
      <c r="Z2798" s="51">
        <v>26296.899999999998</v>
      </c>
      <c r="AA2798" s="51">
        <v>0</v>
      </c>
      <c r="AB2798" s="102">
        <v>0</v>
      </c>
      <c r="AC2798" s="81">
        <f t="shared" si="133"/>
        <v>96.36862609871541</v>
      </c>
      <c r="AD2798" s="82">
        <f t="shared" si="134"/>
        <v>84.514285714285705</v>
      </c>
      <c r="AE2798" s="218">
        <v>0</v>
      </c>
      <c r="AF2798">
        <v>0</v>
      </c>
      <c r="AH2798" t="str">
        <f t="shared" si="132"/>
        <v>Warisnagar</v>
      </c>
      <c r="AJ2798" s="72">
        <v>0</v>
      </c>
      <c r="AK2798" s="72"/>
      <c r="AL2798" s="72"/>
      <c r="AM2798" s="72"/>
    </row>
    <row r="2799" spans="1:39" x14ac:dyDescent="0.25">
      <c r="A2799" s="37" t="s">
        <v>62</v>
      </c>
      <c r="B2799" s="66" t="s">
        <v>1654</v>
      </c>
      <c r="C2799" s="4">
        <v>1057</v>
      </c>
      <c r="D2799" s="41" t="s">
        <v>1174</v>
      </c>
      <c r="E2799" s="41">
        <v>10570062</v>
      </c>
      <c r="F2799" s="85" t="s">
        <v>1494</v>
      </c>
      <c r="G2799" s="39" t="s">
        <v>1610</v>
      </c>
      <c r="H2799" s="52" t="s">
        <v>98</v>
      </c>
      <c r="I2799" s="52">
        <v>2803.1000000000004</v>
      </c>
      <c r="J2799" s="49">
        <v>108250.01000000001</v>
      </c>
      <c r="K2799" s="58">
        <v>0</v>
      </c>
      <c r="L2799" s="58">
        <v>0</v>
      </c>
      <c r="M2799" s="58">
        <v>0</v>
      </c>
      <c r="N2799" s="58">
        <v>0</v>
      </c>
      <c r="O2799" s="58">
        <v>0</v>
      </c>
      <c r="P2799" s="53">
        <v>0</v>
      </c>
      <c r="Q2799" s="65">
        <v>108250.01000000001</v>
      </c>
      <c r="R2799" s="65">
        <v>0</v>
      </c>
      <c r="S2799" s="65">
        <v>0</v>
      </c>
      <c r="T2799" s="65">
        <v>0</v>
      </c>
      <c r="U2799" s="58">
        <v>0</v>
      </c>
      <c r="V2799" s="65">
        <v>0</v>
      </c>
      <c r="W2799" s="65">
        <v>0</v>
      </c>
      <c r="X2799" s="65">
        <v>0</v>
      </c>
      <c r="Y2799" s="65">
        <v>0</v>
      </c>
      <c r="Z2799" s="51">
        <v>108250.01000000001</v>
      </c>
      <c r="AA2799" s="51">
        <v>0</v>
      </c>
      <c r="AB2799" s="102">
        <v>0</v>
      </c>
      <c r="AC2799" s="81">
        <f t="shared" si="133"/>
        <v>0</v>
      </c>
      <c r="AD2799" s="82">
        <f t="shared" si="134"/>
        <v>0</v>
      </c>
      <c r="AE2799" s="218">
        <v>0</v>
      </c>
      <c r="AF2799">
        <v>0</v>
      </c>
      <c r="AH2799" t="str">
        <f t="shared" si="132"/>
        <v>Warisnagar</v>
      </c>
      <c r="AJ2799" s="72">
        <v>0</v>
      </c>
      <c r="AK2799" s="72"/>
      <c r="AL2799" s="72"/>
      <c r="AM2799" s="72"/>
    </row>
    <row r="2800" spans="1:39" x14ac:dyDescent="0.25">
      <c r="A2800" s="37" t="s">
        <v>62</v>
      </c>
      <c r="B2800" s="66" t="s">
        <v>1654</v>
      </c>
      <c r="C2800" s="4">
        <v>1057</v>
      </c>
      <c r="D2800" s="41" t="s">
        <v>1174</v>
      </c>
      <c r="E2800" s="41">
        <v>10570065</v>
      </c>
      <c r="F2800" s="85" t="s">
        <v>1554</v>
      </c>
      <c r="G2800" s="39" t="s">
        <v>1610</v>
      </c>
      <c r="H2800" s="52" t="s">
        <v>98</v>
      </c>
      <c r="I2800" s="52">
        <v>971.39999999999986</v>
      </c>
      <c r="J2800" s="49">
        <v>37949.80999999999</v>
      </c>
      <c r="K2800" s="58">
        <v>0</v>
      </c>
      <c r="L2800" s="58">
        <v>0</v>
      </c>
      <c r="M2800" s="58">
        <v>0</v>
      </c>
      <c r="N2800" s="58">
        <v>0</v>
      </c>
      <c r="O2800" s="58">
        <v>0</v>
      </c>
      <c r="P2800" s="53">
        <v>0</v>
      </c>
      <c r="Q2800" s="65">
        <v>37949.80999999999</v>
      </c>
      <c r="R2800" s="65">
        <v>0</v>
      </c>
      <c r="S2800" s="65">
        <v>0</v>
      </c>
      <c r="T2800" s="65">
        <v>0</v>
      </c>
      <c r="U2800" s="58">
        <v>0</v>
      </c>
      <c r="V2800" s="65">
        <v>0</v>
      </c>
      <c r="W2800" s="65">
        <v>0</v>
      </c>
      <c r="X2800" s="65">
        <v>0</v>
      </c>
      <c r="Y2800" s="65">
        <v>0</v>
      </c>
      <c r="Z2800" s="51">
        <v>37949.80999999999</v>
      </c>
      <c r="AA2800" s="51">
        <v>0</v>
      </c>
      <c r="AB2800" s="102">
        <v>0</v>
      </c>
      <c r="AC2800" s="81">
        <f t="shared" si="133"/>
        <v>0</v>
      </c>
      <c r="AD2800" s="82">
        <f t="shared" si="134"/>
        <v>0</v>
      </c>
      <c r="AE2800" s="218">
        <v>0</v>
      </c>
      <c r="AF2800">
        <v>0</v>
      </c>
      <c r="AH2800" t="str">
        <f t="shared" si="132"/>
        <v>Warisnagar</v>
      </c>
      <c r="AJ2800" s="72">
        <v>0</v>
      </c>
      <c r="AK2800" s="72"/>
      <c r="AL2800" s="72"/>
      <c r="AM2800" s="72"/>
    </row>
    <row r="2801" spans="1:39" x14ac:dyDescent="0.25">
      <c r="A2801" s="37" t="s">
        <v>62</v>
      </c>
      <c r="B2801" s="66" t="s">
        <v>1654</v>
      </c>
      <c r="C2801" s="4">
        <v>1057</v>
      </c>
      <c r="D2801" s="41" t="s">
        <v>1174</v>
      </c>
      <c r="E2801" s="41">
        <v>10570066</v>
      </c>
      <c r="F2801" s="85" t="s">
        <v>1555</v>
      </c>
      <c r="G2801" s="39" t="s">
        <v>1610</v>
      </c>
      <c r="H2801" s="52" t="s">
        <v>98</v>
      </c>
      <c r="I2801" s="52">
        <v>1018.8000000000001</v>
      </c>
      <c r="J2801" s="49">
        <v>39355.4</v>
      </c>
      <c r="K2801" s="58">
        <v>0</v>
      </c>
      <c r="L2801" s="58">
        <v>0</v>
      </c>
      <c r="M2801" s="58">
        <v>0</v>
      </c>
      <c r="N2801" s="58">
        <v>0</v>
      </c>
      <c r="O2801" s="58">
        <v>0</v>
      </c>
      <c r="P2801" s="53">
        <v>0</v>
      </c>
      <c r="Q2801" s="65">
        <v>39355.4</v>
      </c>
      <c r="R2801" s="65">
        <v>0</v>
      </c>
      <c r="S2801" s="65">
        <v>0</v>
      </c>
      <c r="T2801" s="65">
        <v>0</v>
      </c>
      <c r="U2801" s="58">
        <v>0</v>
      </c>
      <c r="V2801" s="65">
        <v>0</v>
      </c>
      <c r="W2801" s="65">
        <v>0</v>
      </c>
      <c r="X2801" s="65">
        <v>0</v>
      </c>
      <c r="Y2801" s="65">
        <v>0</v>
      </c>
      <c r="Z2801" s="51">
        <v>39355.4</v>
      </c>
      <c r="AA2801" s="51">
        <v>0</v>
      </c>
      <c r="AB2801" s="102">
        <v>0</v>
      </c>
      <c r="AC2801" s="81">
        <f t="shared" si="133"/>
        <v>0</v>
      </c>
      <c r="AD2801" s="82">
        <f t="shared" si="134"/>
        <v>0</v>
      </c>
      <c r="AE2801" s="218">
        <v>0</v>
      </c>
      <c r="AF2801">
        <v>0</v>
      </c>
      <c r="AH2801" t="str">
        <f t="shared" si="132"/>
        <v>Warisnagar</v>
      </c>
      <c r="AJ2801" s="72">
        <v>0</v>
      </c>
      <c r="AK2801" s="72"/>
      <c r="AL2801" s="72"/>
      <c r="AM2801" s="72"/>
    </row>
    <row r="2802" spans="1:39" x14ac:dyDescent="0.25">
      <c r="A2802" s="37" t="s">
        <v>62</v>
      </c>
      <c r="B2802" s="66" t="s">
        <v>1654</v>
      </c>
      <c r="C2802" s="4">
        <v>1057</v>
      </c>
      <c r="D2802" s="41" t="s">
        <v>1174</v>
      </c>
      <c r="E2802" s="41">
        <v>10570067</v>
      </c>
      <c r="F2802" s="85" t="s">
        <v>1583</v>
      </c>
      <c r="G2802" s="39" t="s">
        <v>1610</v>
      </c>
      <c r="H2802" s="52" t="s">
        <v>98</v>
      </c>
      <c r="I2802" s="52">
        <v>243.9</v>
      </c>
      <c r="J2802" s="49">
        <v>9141.9900000000016</v>
      </c>
      <c r="K2802" s="58">
        <v>0</v>
      </c>
      <c r="L2802" s="58">
        <v>0</v>
      </c>
      <c r="M2802" s="58">
        <v>0</v>
      </c>
      <c r="N2802" s="58">
        <v>0</v>
      </c>
      <c r="O2802" s="58">
        <v>0</v>
      </c>
      <c r="P2802" s="53">
        <v>0</v>
      </c>
      <c r="Q2802" s="65">
        <v>9141.9900000000016</v>
      </c>
      <c r="R2802" s="65">
        <v>0</v>
      </c>
      <c r="S2802" s="65">
        <v>0</v>
      </c>
      <c r="T2802" s="65">
        <v>0</v>
      </c>
      <c r="U2802" s="58">
        <v>377.25</v>
      </c>
      <c r="V2802" s="65">
        <v>0</v>
      </c>
      <c r="W2802" s="65">
        <v>0</v>
      </c>
      <c r="X2802" s="65">
        <v>0</v>
      </c>
      <c r="Y2802" s="65">
        <v>0</v>
      </c>
      <c r="Z2802" s="51">
        <v>8764.7400000000016</v>
      </c>
      <c r="AA2802" s="51">
        <v>0</v>
      </c>
      <c r="AB2802" s="102">
        <v>0</v>
      </c>
      <c r="AC2802" s="81">
        <f t="shared" si="133"/>
        <v>341.91567355473563</v>
      </c>
      <c r="AD2802" s="82">
        <f t="shared" si="134"/>
        <v>34.842857142857142</v>
      </c>
      <c r="AE2802" s="218">
        <v>0</v>
      </c>
      <c r="AF2802">
        <v>0</v>
      </c>
      <c r="AH2802" t="str">
        <f t="shared" si="132"/>
        <v>Warisnagar</v>
      </c>
      <c r="AJ2802" s="72">
        <v>0</v>
      </c>
      <c r="AK2802" s="72"/>
      <c r="AL2802" s="72"/>
      <c r="AM2802" s="72"/>
    </row>
    <row r="2803" spans="1:39" x14ac:dyDescent="0.25">
      <c r="A2803" s="37" t="s">
        <v>62</v>
      </c>
      <c r="B2803" s="66" t="s">
        <v>1654</v>
      </c>
      <c r="C2803" s="4">
        <v>1057</v>
      </c>
      <c r="D2803" s="41" t="s">
        <v>1174</v>
      </c>
      <c r="E2803" s="41">
        <v>10570068</v>
      </c>
      <c r="F2803" s="85" t="s">
        <v>1584</v>
      </c>
      <c r="G2803" s="39" t="s">
        <v>1610</v>
      </c>
      <c r="H2803" s="52" t="s">
        <v>98</v>
      </c>
      <c r="I2803" s="52">
        <v>363.80000000000007</v>
      </c>
      <c r="J2803" s="49">
        <v>14682.190000000002</v>
      </c>
      <c r="K2803" s="58">
        <v>0</v>
      </c>
      <c r="L2803" s="58">
        <v>0</v>
      </c>
      <c r="M2803" s="58">
        <v>0</v>
      </c>
      <c r="N2803" s="58">
        <v>0</v>
      </c>
      <c r="O2803" s="58">
        <v>0</v>
      </c>
      <c r="P2803" s="53">
        <v>0</v>
      </c>
      <c r="Q2803" s="65">
        <v>14682.190000000002</v>
      </c>
      <c r="R2803" s="65">
        <v>0</v>
      </c>
      <c r="S2803" s="65">
        <v>0</v>
      </c>
      <c r="T2803" s="65">
        <v>0</v>
      </c>
      <c r="U2803" s="58">
        <v>0</v>
      </c>
      <c r="V2803" s="65">
        <v>0</v>
      </c>
      <c r="W2803" s="65">
        <v>0</v>
      </c>
      <c r="X2803" s="65">
        <v>0</v>
      </c>
      <c r="Y2803" s="65">
        <v>0</v>
      </c>
      <c r="Z2803" s="51">
        <v>14682.190000000002</v>
      </c>
      <c r="AA2803" s="51">
        <v>0</v>
      </c>
      <c r="AB2803" s="102">
        <v>0</v>
      </c>
      <c r="AC2803" s="81">
        <f t="shared" si="133"/>
        <v>271.36626047278719</v>
      </c>
      <c r="AD2803" s="82">
        <f t="shared" si="134"/>
        <v>51.971428571428582</v>
      </c>
      <c r="AE2803" s="218">
        <v>0</v>
      </c>
      <c r="AF2803">
        <v>0</v>
      </c>
      <c r="AH2803" t="str">
        <f t="shared" si="132"/>
        <v>Warisnagar</v>
      </c>
      <c r="AJ2803" s="72">
        <v>0</v>
      </c>
      <c r="AK2803" s="72"/>
      <c r="AL2803" s="72"/>
      <c r="AM2803" s="72"/>
    </row>
    <row r="2804" spans="1:39" x14ac:dyDescent="0.25">
      <c r="A2804" s="37" t="s">
        <v>62</v>
      </c>
      <c r="B2804" s="66" t="s">
        <v>1654</v>
      </c>
      <c r="C2804" s="4">
        <v>1057</v>
      </c>
      <c r="D2804" s="41" t="s">
        <v>1174</v>
      </c>
      <c r="E2804" s="41">
        <v>10570069</v>
      </c>
      <c r="F2804" s="85" t="s">
        <v>1605</v>
      </c>
      <c r="G2804" s="39" t="s">
        <v>1610</v>
      </c>
      <c r="H2804" s="52" t="s">
        <v>98</v>
      </c>
      <c r="I2804" s="52">
        <v>987.8</v>
      </c>
      <c r="J2804" s="49">
        <v>38117.39</v>
      </c>
      <c r="K2804" s="58">
        <v>0</v>
      </c>
      <c r="L2804" s="58">
        <v>0</v>
      </c>
      <c r="M2804" s="58">
        <v>0</v>
      </c>
      <c r="N2804" s="58">
        <v>0</v>
      </c>
      <c r="O2804" s="58">
        <v>0</v>
      </c>
      <c r="P2804" s="53">
        <v>0</v>
      </c>
      <c r="Q2804" s="65">
        <v>38117.39</v>
      </c>
      <c r="R2804" s="65">
        <v>0</v>
      </c>
      <c r="S2804" s="65">
        <v>0</v>
      </c>
      <c r="T2804" s="65">
        <v>0</v>
      </c>
      <c r="U2804" s="58">
        <v>748.5</v>
      </c>
      <c r="V2804" s="65">
        <v>0</v>
      </c>
      <c r="W2804" s="65">
        <v>0</v>
      </c>
      <c r="X2804" s="65">
        <v>0</v>
      </c>
      <c r="Y2804" s="65">
        <v>0</v>
      </c>
      <c r="Z2804" s="51">
        <v>37368.89</v>
      </c>
      <c r="AA2804" s="51">
        <v>0</v>
      </c>
      <c r="AB2804" s="102">
        <v>0</v>
      </c>
      <c r="AC2804" s="81">
        <f t="shared" si="133"/>
        <v>0</v>
      </c>
      <c r="AD2804" s="82">
        <f t="shared" si="134"/>
        <v>0</v>
      </c>
      <c r="AE2804" s="218">
        <v>0</v>
      </c>
      <c r="AF2804">
        <v>0</v>
      </c>
      <c r="AH2804" t="str">
        <f t="shared" si="132"/>
        <v>Warisnagar</v>
      </c>
      <c r="AJ2804" s="72">
        <v>0</v>
      </c>
      <c r="AK2804" s="72"/>
      <c r="AL2804" s="72"/>
      <c r="AM2804" s="72"/>
    </row>
    <row r="2805" spans="1:39" x14ac:dyDescent="0.25">
      <c r="A2805" s="37" t="s">
        <v>62</v>
      </c>
      <c r="B2805" s="66" t="s">
        <v>1654</v>
      </c>
      <c r="C2805" s="4">
        <v>1057</v>
      </c>
      <c r="D2805" s="41" t="s">
        <v>1174</v>
      </c>
      <c r="E2805" s="41">
        <v>10570070</v>
      </c>
      <c r="F2805" s="85" t="s">
        <v>1585</v>
      </c>
      <c r="G2805" s="39" t="s">
        <v>1610</v>
      </c>
      <c r="H2805" s="52" t="s">
        <v>98</v>
      </c>
      <c r="I2805" s="52">
        <v>76.799999999999983</v>
      </c>
      <c r="J2805" s="49">
        <v>2727.42</v>
      </c>
      <c r="K2805" s="58">
        <v>0</v>
      </c>
      <c r="L2805" s="58">
        <v>0</v>
      </c>
      <c r="M2805" s="58">
        <v>0</v>
      </c>
      <c r="N2805" s="58">
        <v>0</v>
      </c>
      <c r="O2805" s="58">
        <v>0</v>
      </c>
      <c r="P2805" s="53">
        <v>0</v>
      </c>
      <c r="Q2805" s="65">
        <v>2727.42</v>
      </c>
      <c r="R2805" s="65">
        <v>0</v>
      </c>
      <c r="S2805" s="65">
        <v>0</v>
      </c>
      <c r="T2805" s="65">
        <v>0</v>
      </c>
      <c r="U2805" s="58">
        <v>0</v>
      </c>
      <c r="V2805" s="65">
        <v>0</v>
      </c>
      <c r="W2805" s="65">
        <v>0</v>
      </c>
      <c r="X2805" s="65">
        <v>0</v>
      </c>
      <c r="Y2805" s="65">
        <v>0</v>
      </c>
      <c r="Z2805" s="51">
        <v>2727.42</v>
      </c>
      <c r="AA2805" s="51">
        <v>0</v>
      </c>
      <c r="AB2805" s="102">
        <v>0</v>
      </c>
      <c r="AC2805" s="81">
        <f t="shared" si="133"/>
        <v>442.63753750000006</v>
      </c>
      <c r="AD2805" s="82">
        <f t="shared" si="134"/>
        <v>10.97142857142857</v>
      </c>
      <c r="AE2805" s="218">
        <v>0</v>
      </c>
      <c r="AF2805">
        <v>0</v>
      </c>
      <c r="AH2805" t="str">
        <f t="shared" si="132"/>
        <v>Warisnagar</v>
      </c>
      <c r="AJ2805" s="72">
        <v>0</v>
      </c>
      <c r="AK2805" s="72"/>
      <c r="AL2805" s="72"/>
      <c r="AM2805" s="72"/>
    </row>
    <row r="2806" spans="1:39" x14ac:dyDescent="0.25">
      <c r="A2806" s="37" t="s">
        <v>62</v>
      </c>
      <c r="B2806" s="66" t="s">
        <v>1654</v>
      </c>
      <c r="C2806" s="4">
        <v>1057</v>
      </c>
      <c r="D2806" s="41" t="s">
        <v>1174</v>
      </c>
      <c r="E2806" s="41">
        <v>10570071</v>
      </c>
      <c r="F2806" s="85" t="s">
        <v>1586</v>
      </c>
      <c r="G2806" s="39" t="s">
        <v>1610</v>
      </c>
      <c r="H2806" s="52" t="s">
        <v>98</v>
      </c>
      <c r="I2806" s="52">
        <v>168.9</v>
      </c>
      <c r="J2806" s="49">
        <v>6137.1500000000015</v>
      </c>
      <c r="K2806" s="58">
        <v>0</v>
      </c>
      <c r="L2806" s="58">
        <v>0</v>
      </c>
      <c r="M2806" s="58">
        <v>0</v>
      </c>
      <c r="N2806" s="58">
        <v>0</v>
      </c>
      <c r="O2806" s="58">
        <v>0</v>
      </c>
      <c r="P2806" s="53">
        <v>0</v>
      </c>
      <c r="Q2806" s="65">
        <v>6137.1500000000015</v>
      </c>
      <c r="R2806" s="65">
        <v>0</v>
      </c>
      <c r="S2806" s="65">
        <v>0</v>
      </c>
      <c r="T2806" s="65">
        <v>0</v>
      </c>
      <c r="U2806" s="58">
        <v>0</v>
      </c>
      <c r="V2806" s="65">
        <v>0</v>
      </c>
      <c r="W2806" s="65">
        <v>0</v>
      </c>
      <c r="X2806" s="65">
        <v>0</v>
      </c>
      <c r="Y2806" s="65">
        <v>0</v>
      </c>
      <c r="Z2806" s="51">
        <v>6137.1500000000015</v>
      </c>
      <c r="AA2806" s="51">
        <v>0</v>
      </c>
      <c r="AB2806" s="102">
        <v>0</v>
      </c>
      <c r="AC2806" s="81">
        <f t="shared" si="133"/>
        <v>385.96096684428659</v>
      </c>
      <c r="AD2806" s="82">
        <f t="shared" si="134"/>
        <v>24.12857142857143</v>
      </c>
      <c r="AE2806" s="218">
        <v>0</v>
      </c>
      <c r="AF2806">
        <v>0</v>
      </c>
      <c r="AH2806" t="str">
        <f t="shared" si="132"/>
        <v>Warisnagar</v>
      </c>
      <c r="AJ2806" s="72">
        <v>0</v>
      </c>
      <c r="AK2806" s="72"/>
      <c r="AL2806" s="72"/>
      <c r="AM2806" s="72"/>
    </row>
    <row r="2807" spans="1:39" x14ac:dyDescent="0.25">
      <c r="A2807" s="37" t="s">
        <v>62</v>
      </c>
      <c r="B2807" s="66" t="s">
        <v>1654</v>
      </c>
      <c r="C2807" s="4">
        <v>1058</v>
      </c>
      <c r="D2807" s="41" t="s">
        <v>1296</v>
      </c>
      <c r="E2807" s="41">
        <v>10580001</v>
      </c>
      <c r="F2807" s="85" t="s">
        <v>1196</v>
      </c>
      <c r="G2807" s="39" t="s">
        <v>92</v>
      </c>
      <c r="H2807" s="52" t="s">
        <v>93</v>
      </c>
      <c r="I2807" s="52">
        <v>504.17</v>
      </c>
      <c r="J2807" s="49">
        <v>21930.51</v>
      </c>
      <c r="K2807" s="58">
        <v>489.99999999999994</v>
      </c>
      <c r="L2807" s="58">
        <v>20966.439999999995</v>
      </c>
      <c r="M2807" s="58">
        <v>8.5999999999999979</v>
      </c>
      <c r="N2807" s="58">
        <v>368.15000000000003</v>
      </c>
      <c r="O2807" s="58">
        <v>498.59999999999997</v>
      </c>
      <c r="P2807" s="53">
        <v>21334.589999999997</v>
      </c>
      <c r="Q2807" s="65">
        <v>21334.589999999997</v>
      </c>
      <c r="R2807" s="65">
        <v>0</v>
      </c>
      <c r="S2807" s="65">
        <v>368.15000000000003</v>
      </c>
      <c r="T2807" s="65">
        <v>0</v>
      </c>
      <c r="U2807" s="58">
        <v>0</v>
      </c>
      <c r="V2807" s="65">
        <v>0</v>
      </c>
      <c r="W2807" s="65">
        <v>0</v>
      </c>
      <c r="X2807" s="65">
        <v>20967</v>
      </c>
      <c r="Y2807" s="65">
        <v>0</v>
      </c>
      <c r="Z2807" s="51">
        <v>0</v>
      </c>
      <c r="AA2807" s="51">
        <v>595</v>
      </c>
      <c r="AB2807" s="102">
        <v>0</v>
      </c>
      <c r="AC2807" s="81">
        <f t="shared" si="133"/>
        <v>170.36522495586809</v>
      </c>
      <c r="AD2807" s="82">
        <f t="shared" si="134"/>
        <v>72.02428571428571</v>
      </c>
      <c r="AE2807" s="218">
        <v>2.7173102677502801E-2</v>
      </c>
      <c r="AF2807">
        <v>17</v>
      </c>
      <c r="AH2807" t="str">
        <f t="shared" si="132"/>
        <v>Hasanpur</v>
      </c>
      <c r="AJ2807" s="72">
        <v>0</v>
      </c>
      <c r="AK2807" s="72"/>
      <c r="AL2807" s="72"/>
      <c r="AM2807" s="72"/>
    </row>
    <row r="2808" spans="1:39" x14ac:dyDescent="0.25">
      <c r="A2808" s="37" t="s">
        <v>62</v>
      </c>
      <c r="B2808" s="66" t="s">
        <v>1654</v>
      </c>
      <c r="C2808" s="4">
        <v>1058</v>
      </c>
      <c r="D2808" s="41" t="s">
        <v>1296</v>
      </c>
      <c r="E2808" s="41">
        <v>10580002</v>
      </c>
      <c r="F2808" s="85" t="s">
        <v>1216</v>
      </c>
      <c r="G2808" s="39" t="s">
        <v>92</v>
      </c>
      <c r="H2808" s="52" t="s">
        <v>93</v>
      </c>
      <c r="I2808" s="52">
        <v>429.55999999999995</v>
      </c>
      <c r="J2808" s="49">
        <v>19202.519999999997</v>
      </c>
      <c r="K2808" s="58">
        <v>421.30000000000007</v>
      </c>
      <c r="L2808" s="58">
        <v>18914.889999999996</v>
      </c>
      <c r="M2808" s="58">
        <v>7.6000000000000005</v>
      </c>
      <c r="N2808" s="58">
        <v>313.14999999999998</v>
      </c>
      <c r="O2808" s="58">
        <v>428.90000000000009</v>
      </c>
      <c r="P2808" s="53">
        <v>19228.039999999997</v>
      </c>
      <c r="Q2808" s="65">
        <v>19202.519999999997</v>
      </c>
      <c r="R2808" s="65">
        <v>0</v>
      </c>
      <c r="S2808" s="65">
        <v>313.14999999999998</v>
      </c>
      <c r="T2808" s="65">
        <v>25.520000000000437</v>
      </c>
      <c r="U2808" s="58">
        <v>0</v>
      </c>
      <c r="V2808" s="65">
        <v>0</v>
      </c>
      <c r="W2808" s="65">
        <v>0</v>
      </c>
      <c r="X2808" s="65">
        <v>18889</v>
      </c>
      <c r="Y2808" s="65">
        <v>0</v>
      </c>
      <c r="Z2808" s="51">
        <v>0</v>
      </c>
      <c r="AA2808" s="51">
        <v>0</v>
      </c>
      <c r="AB2808" s="102">
        <v>0</v>
      </c>
      <c r="AC2808" s="81">
        <f t="shared" si="133"/>
        <v>241.78831868889102</v>
      </c>
      <c r="AD2808" s="82">
        <f t="shared" si="134"/>
        <v>61.365714285714276</v>
      </c>
      <c r="AE2808" s="218">
        <v>-1.3289922364356575E-3</v>
      </c>
      <c r="AF2808">
        <v>8</v>
      </c>
      <c r="AH2808" t="str">
        <f t="shared" si="132"/>
        <v>Hasanpur</v>
      </c>
      <c r="AJ2808" s="72">
        <v>0</v>
      </c>
      <c r="AK2808" s="72"/>
      <c r="AL2808" s="72"/>
      <c r="AM2808" s="72"/>
    </row>
    <row r="2809" spans="1:39" x14ac:dyDescent="0.25">
      <c r="A2809" s="37" t="s">
        <v>62</v>
      </c>
      <c r="B2809" s="66" t="s">
        <v>1654</v>
      </c>
      <c r="C2809" s="4">
        <v>1058</v>
      </c>
      <c r="D2809" s="41" t="s">
        <v>1296</v>
      </c>
      <c r="E2809" s="41">
        <v>10580004</v>
      </c>
      <c r="F2809" s="85" t="s">
        <v>1205</v>
      </c>
      <c r="G2809" s="39" t="s">
        <v>92</v>
      </c>
      <c r="H2809" s="52" t="s">
        <v>93</v>
      </c>
      <c r="I2809" s="52">
        <v>246.42000000000002</v>
      </c>
      <c r="J2809" s="49">
        <v>10297.61</v>
      </c>
      <c r="K2809" s="58">
        <v>253.99999999999997</v>
      </c>
      <c r="L2809" s="58">
        <v>10421.049999999999</v>
      </c>
      <c r="M2809" s="58">
        <v>1.1000000000000001</v>
      </c>
      <c r="N2809" s="58">
        <v>46.17</v>
      </c>
      <c r="O2809" s="58">
        <v>255.09999999999997</v>
      </c>
      <c r="P2809" s="53">
        <v>10467.219999999999</v>
      </c>
      <c r="Q2809" s="65">
        <v>10297.61</v>
      </c>
      <c r="R2809" s="65">
        <v>0</v>
      </c>
      <c r="S2809" s="65">
        <v>46.17</v>
      </c>
      <c r="T2809" s="65">
        <v>169.60999999999876</v>
      </c>
      <c r="U2809" s="58">
        <v>0</v>
      </c>
      <c r="V2809" s="65">
        <v>0</v>
      </c>
      <c r="W2809" s="65">
        <v>0</v>
      </c>
      <c r="X2809" s="65">
        <v>10251</v>
      </c>
      <c r="Y2809" s="65">
        <v>0</v>
      </c>
      <c r="Z2809" s="51">
        <v>0</v>
      </c>
      <c r="AA2809" s="51">
        <v>0</v>
      </c>
      <c r="AB2809" s="102">
        <v>0</v>
      </c>
      <c r="AC2809" s="81">
        <f t="shared" si="133"/>
        <v>379.09178993588188</v>
      </c>
      <c r="AD2809" s="82">
        <f t="shared" si="134"/>
        <v>35.202857142857148</v>
      </c>
      <c r="AE2809" s="218">
        <v>-1.6470812159326168E-2</v>
      </c>
      <c r="AF2809">
        <v>3</v>
      </c>
      <c r="AH2809" t="str">
        <f t="shared" ref="AH2809:AH2871" si="135">TEXT(D2809,"0000")</f>
        <v>Hasanpur</v>
      </c>
      <c r="AJ2809" s="72">
        <v>0</v>
      </c>
      <c r="AK2809" s="72"/>
      <c r="AL2809" s="72"/>
      <c r="AM2809" s="72"/>
    </row>
    <row r="2810" spans="1:39" x14ac:dyDescent="0.25">
      <c r="A2810" s="37" t="s">
        <v>62</v>
      </c>
      <c r="B2810" s="66" t="s">
        <v>1654</v>
      </c>
      <c r="C2810" s="4">
        <v>1058</v>
      </c>
      <c r="D2810" s="41" t="s">
        <v>1296</v>
      </c>
      <c r="E2810" s="41">
        <v>10580005</v>
      </c>
      <c r="F2810" s="85" t="s">
        <v>1245</v>
      </c>
      <c r="G2810" s="39" t="s">
        <v>92</v>
      </c>
      <c r="H2810" s="52" t="s">
        <v>93</v>
      </c>
      <c r="I2810" s="52">
        <v>623.55999999999995</v>
      </c>
      <c r="J2810" s="49">
        <v>25997.960000000003</v>
      </c>
      <c r="K2810" s="58">
        <v>590.29999999999995</v>
      </c>
      <c r="L2810" s="58">
        <v>25383.800000000003</v>
      </c>
      <c r="M2810" s="58">
        <v>7.6999999999999993</v>
      </c>
      <c r="N2810" s="58">
        <v>313.33000000000004</v>
      </c>
      <c r="O2810" s="58">
        <v>598</v>
      </c>
      <c r="P2810" s="53">
        <v>25697.130000000005</v>
      </c>
      <c r="Q2810" s="65">
        <v>25697.130000000005</v>
      </c>
      <c r="R2810" s="65">
        <v>0</v>
      </c>
      <c r="S2810" s="65">
        <v>313.33000000000004</v>
      </c>
      <c r="T2810" s="65">
        <v>0</v>
      </c>
      <c r="U2810" s="58">
        <v>0</v>
      </c>
      <c r="V2810" s="65">
        <v>0</v>
      </c>
      <c r="W2810" s="65">
        <v>0</v>
      </c>
      <c r="X2810" s="65">
        <v>25384</v>
      </c>
      <c r="Y2810" s="65">
        <v>0</v>
      </c>
      <c r="Z2810" s="51">
        <v>0</v>
      </c>
      <c r="AA2810" s="51">
        <v>301</v>
      </c>
      <c r="AB2810" s="102">
        <v>0</v>
      </c>
      <c r="AC2810" s="81">
        <f t="shared" si="133"/>
        <v>63.739946834306267</v>
      </c>
      <c r="AD2810" s="82">
        <f t="shared" si="134"/>
        <v>89.08</v>
      </c>
      <c r="AE2810" s="218">
        <v>1.1571292516797399E-2</v>
      </c>
      <c r="AF2810">
        <v>10</v>
      </c>
      <c r="AH2810" t="str">
        <f t="shared" si="135"/>
        <v>Hasanpur</v>
      </c>
      <c r="AJ2810" s="72">
        <v>0</v>
      </c>
      <c r="AK2810" s="72"/>
      <c r="AL2810" s="72"/>
      <c r="AM2810" s="72"/>
    </row>
    <row r="2811" spans="1:39" x14ac:dyDescent="0.25">
      <c r="A2811" s="37" t="s">
        <v>62</v>
      </c>
      <c r="B2811" s="66" t="s">
        <v>1654</v>
      </c>
      <c r="C2811" s="4">
        <v>1058</v>
      </c>
      <c r="D2811" s="41" t="s">
        <v>1296</v>
      </c>
      <c r="E2811" s="41">
        <v>10580010</v>
      </c>
      <c r="F2811" s="85" t="s">
        <v>1306</v>
      </c>
      <c r="G2811" s="39" t="s">
        <v>92</v>
      </c>
      <c r="H2811" s="52" t="s">
        <v>93</v>
      </c>
      <c r="I2811" s="52">
        <v>474.29</v>
      </c>
      <c r="J2811" s="49">
        <v>21387.62</v>
      </c>
      <c r="K2811" s="58">
        <v>519.4</v>
      </c>
      <c r="L2811" s="58">
        <v>25242.359999999997</v>
      </c>
      <c r="M2811" s="58">
        <v>0</v>
      </c>
      <c r="N2811" s="58">
        <v>0</v>
      </c>
      <c r="O2811" s="58">
        <v>519.4</v>
      </c>
      <c r="P2811" s="53">
        <v>25242.359999999997</v>
      </c>
      <c r="Q2811" s="65">
        <v>21387.62</v>
      </c>
      <c r="R2811" s="65">
        <v>0</v>
      </c>
      <c r="S2811" s="65">
        <v>0</v>
      </c>
      <c r="T2811" s="65">
        <v>3854.739999999998</v>
      </c>
      <c r="U2811" s="58">
        <v>0</v>
      </c>
      <c r="V2811" s="65">
        <v>0</v>
      </c>
      <c r="W2811" s="65">
        <v>0</v>
      </c>
      <c r="X2811" s="65">
        <v>21388</v>
      </c>
      <c r="Y2811" s="65">
        <v>0</v>
      </c>
      <c r="Z2811" s="51">
        <v>0</v>
      </c>
      <c r="AA2811" s="51">
        <v>0</v>
      </c>
      <c r="AB2811" s="102">
        <v>0</v>
      </c>
      <c r="AC2811" s="81">
        <f t="shared" si="133"/>
        <v>203.5632085938982</v>
      </c>
      <c r="AD2811" s="82">
        <f t="shared" si="134"/>
        <v>67.755714285714291</v>
      </c>
      <c r="AE2811" s="218">
        <v>-0.1802323026124458</v>
      </c>
      <c r="AF2811">
        <v>4</v>
      </c>
      <c r="AH2811" t="str">
        <f t="shared" si="135"/>
        <v>Hasanpur</v>
      </c>
      <c r="AJ2811" s="72">
        <v>0</v>
      </c>
      <c r="AK2811" s="72"/>
      <c r="AL2811" s="72"/>
      <c r="AM2811" s="72"/>
    </row>
    <row r="2812" spans="1:39" x14ac:dyDescent="0.25">
      <c r="A2812" s="37" t="s">
        <v>62</v>
      </c>
      <c r="B2812" s="66" t="s">
        <v>1654</v>
      </c>
      <c r="C2812" s="4">
        <v>1058</v>
      </c>
      <c r="D2812" s="41" t="s">
        <v>1296</v>
      </c>
      <c r="E2812" s="41">
        <v>10580012</v>
      </c>
      <c r="F2812" s="85" t="s">
        <v>1307</v>
      </c>
      <c r="G2812" s="39" t="s">
        <v>92</v>
      </c>
      <c r="H2812" s="52" t="s">
        <v>93</v>
      </c>
      <c r="I2812" s="52">
        <v>478.56999999999994</v>
      </c>
      <c r="J2812" s="49">
        <v>18191.66</v>
      </c>
      <c r="K2812" s="58">
        <v>522.16000000000008</v>
      </c>
      <c r="L2812" s="58">
        <v>21009.93</v>
      </c>
      <c r="M2812" s="58">
        <v>0</v>
      </c>
      <c r="N2812" s="58">
        <v>0</v>
      </c>
      <c r="O2812" s="58">
        <v>522.16000000000008</v>
      </c>
      <c r="P2812" s="53">
        <v>21009.93</v>
      </c>
      <c r="Q2812" s="65">
        <v>18191.66</v>
      </c>
      <c r="R2812" s="65">
        <v>0</v>
      </c>
      <c r="S2812" s="65">
        <v>0</v>
      </c>
      <c r="T2812" s="65">
        <v>2818.2700000000004</v>
      </c>
      <c r="U2812" s="58">
        <v>0</v>
      </c>
      <c r="V2812" s="65">
        <v>500</v>
      </c>
      <c r="W2812" s="65">
        <v>0</v>
      </c>
      <c r="X2812" s="65">
        <v>17692</v>
      </c>
      <c r="Y2812" s="65">
        <v>0</v>
      </c>
      <c r="Z2812" s="51">
        <v>0</v>
      </c>
      <c r="AA2812" s="51">
        <v>0</v>
      </c>
      <c r="AB2812" s="102">
        <v>0</v>
      </c>
      <c r="AC2812" s="81">
        <f t="shared" si="133"/>
        <v>168.34232291200874</v>
      </c>
      <c r="AD2812" s="82">
        <f t="shared" si="134"/>
        <v>68.367142857142852</v>
      </c>
      <c r="AE2812" s="218">
        <v>-0.15492099126742698</v>
      </c>
      <c r="AF2812">
        <v>3</v>
      </c>
      <c r="AH2812" t="str">
        <f t="shared" si="135"/>
        <v>Hasanpur</v>
      </c>
      <c r="AJ2812" s="72">
        <v>500</v>
      </c>
      <c r="AK2812" s="72"/>
      <c r="AL2812" s="72"/>
      <c r="AM2812" s="72"/>
    </row>
    <row r="2813" spans="1:39" x14ac:dyDescent="0.25">
      <c r="A2813" s="37" t="s">
        <v>62</v>
      </c>
      <c r="B2813" s="66" t="s">
        <v>1654</v>
      </c>
      <c r="C2813" s="4">
        <v>1058</v>
      </c>
      <c r="D2813" s="41" t="s">
        <v>1296</v>
      </c>
      <c r="E2813" s="41">
        <v>10580013</v>
      </c>
      <c r="F2813" s="85" t="s">
        <v>1495</v>
      </c>
      <c r="G2813" s="39" t="s">
        <v>1610</v>
      </c>
      <c r="H2813" s="52" t="s">
        <v>98</v>
      </c>
      <c r="I2813" s="52">
        <v>175.18</v>
      </c>
      <c r="J2813" s="49">
        <v>6204.19</v>
      </c>
      <c r="K2813" s="58">
        <v>0</v>
      </c>
      <c r="L2813" s="58">
        <v>0</v>
      </c>
      <c r="M2813" s="58">
        <v>0</v>
      </c>
      <c r="N2813" s="58">
        <v>0</v>
      </c>
      <c r="O2813" s="58">
        <v>0</v>
      </c>
      <c r="P2813" s="53">
        <v>0</v>
      </c>
      <c r="Q2813" s="65">
        <v>6204.19</v>
      </c>
      <c r="R2813" s="65">
        <v>0</v>
      </c>
      <c r="S2813" s="65">
        <v>0</v>
      </c>
      <c r="T2813" s="65">
        <v>0</v>
      </c>
      <c r="U2813" s="58">
        <v>0</v>
      </c>
      <c r="V2813" s="65">
        <v>0</v>
      </c>
      <c r="W2813" s="65">
        <v>0</v>
      </c>
      <c r="X2813" s="65">
        <v>0</v>
      </c>
      <c r="Y2813" s="65">
        <v>0</v>
      </c>
      <c r="Z2813" s="51">
        <v>6204.19</v>
      </c>
      <c r="AA2813" s="51">
        <v>0</v>
      </c>
      <c r="AB2813" s="102">
        <v>0</v>
      </c>
      <c r="AC2813" s="81">
        <f t="shared" si="133"/>
        <v>371.74140835711836</v>
      </c>
      <c r="AD2813" s="82">
        <f t="shared" si="134"/>
        <v>25.025714285714287</v>
      </c>
      <c r="AE2813" s="218">
        <v>0</v>
      </c>
      <c r="AF2813">
        <v>0</v>
      </c>
      <c r="AH2813" t="str">
        <f t="shared" si="135"/>
        <v>Hasanpur</v>
      </c>
      <c r="AJ2813" s="72">
        <v>0</v>
      </c>
      <c r="AK2813" s="72"/>
      <c r="AL2813" s="72"/>
      <c r="AM2813" s="72"/>
    </row>
    <row r="2814" spans="1:39" x14ac:dyDescent="0.25">
      <c r="A2814" s="37" t="s">
        <v>62</v>
      </c>
      <c r="B2814" s="66" t="s">
        <v>1654</v>
      </c>
      <c r="C2814" s="4">
        <v>1058</v>
      </c>
      <c r="D2814" s="41" t="s">
        <v>1296</v>
      </c>
      <c r="E2814" s="41">
        <v>10580015</v>
      </c>
      <c r="F2814" s="85" t="s">
        <v>1308</v>
      </c>
      <c r="G2814" s="39" t="s">
        <v>92</v>
      </c>
      <c r="H2814" s="52" t="s">
        <v>93</v>
      </c>
      <c r="I2814" s="52">
        <v>480.5800000000001</v>
      </c>
      <c r="J2814" s="49">
        <v>18196.310000000001</v>
      </c>
      <c r="K2814" s="58">
        <v>472.47</v>
      </c>
      <c r="L2814" s="58">
        <v>18049.080000000002</v>
      </c>
      <c r="M2814" s="58">
        <v>0</v>
      </c>
      <c r="N2814" s="58">
        <v>0</v>
      </c>
      <c r="O2814" s="58">
        <v>472.47</v>
      </c>
      <c r="P2814" s="53">
        <v>18049.080000000002</v>
      </c>
      <c r="Q2814" s="65">
        <v>18049.080000000002</v>
      </c>
      <c r="R2814" s="65">
        <v>0</v>
      </c>
      <c r="S2814" s="65">
        <v>0</v>
      </c>
      <c r="T2814" s="65">
        <v>0</v>
      </c>
      <c r="U2814" s="58">
        <v>0</v>
      </c>
      <c r="V2814" s="65">
        <v>0</v>
      </c>
      <c r="W2814" s="65">
        <v>0</v>
      </c>
      <c r="X2814" s="65">
        <v>18050</v>
      </c>
      <c r="Y2814" s="65">
        <v>0</v>
      </c>
      <c r="Z2814" s="51">
        <v>0</v>
      </c>
      <c r="AA2814" s="51">
        <v>146</v>
      </c>
      <c r="AB2814" s="102">
        <v>0</v>
      </c>
      <c r="AC2814" s="81">
        <f t="shared" ref="AC2814:AC2876" si="136">((IF(AD2814=0,0,100-AD2814))*7*(J2814/I2814))*2%</f>
        <v>166.15898873028411</v>
      </c>
      <c r="AD2814" s="82">
        <f t="shared" ref="AD2814:AD2876" si="137">IF((I2814/7)&gt;100,0,(I2814/7))</f>
        <v>68.654285714285734</v>
      </c>
      <c r="AE2814" s="218">
        <v>8.0912009083160021E-3</v>
      </c>
      <c r="AF2814">
        <v>6</v>
      </c>
      <c r="AH2814" t="str">
        <f t="shared" si="135"/>
        <v>Hasanpur</v>
      </c>
      <c r="AJ2814" s="72">
        <v>0</v>
      </c>
      <c r="AK2814" s="72"/>
      <c r="AL2814" s="72"/>
      <c r="AM2814" s="72"/>
    </row>
    <row r="2815" spans="1:39" x14ac:dyDescent="0.25">
      <c r="A2815" s="37" t="s">
        <v>62</v>
      </c>
      <c r="B2815" s="66" t="s">
        <v>1654</v>
      </c>
      <c r="C2815" s="4">
        <v>1058</v>
      </c>
      <c r="D2815" s="41" t="s">
        <v>1296</v>
      </c>
      <c r="E2815" s="41">
        <v>10580017</v>
      </c>
      <c r="F2815" s="85" t="s">
        <v>1309</v>
      </c>
      <c r="G2815" s="39" t="s">
        <v>92</v>
      </c>
      <c r="H2815" s="52" t="s">
        <v>93</v>
      </c>
      <c r="I2815" s="52">
        <v>974.13999999999987</v>
      </c>
      <c r="J2815" s="49">
        <v>40889.329999999994</v>
      </c>
      <c r="K2815" s="58">
        <v>723.09999999999991</v>
      </c>
      <c r="L2815" s="58">
        <v>30935.859999999993</v>
      </c>
      <c r="M2815" s="58">
        <v>238.99999999999997</v>
      </c>
      <c r="N2815" s="58">
        <v>8906.86</v>
      </c>
      <c r="O2815" s="58">
        <v>962.09999999999991</v>
      </c>
      <c r="P2815" s="53">
        <v>39842.719999999994</v>
      </c>
      <c r="Q2815" s="65">
        <v>39842.719999999994</v>
      </c>
      <c r="R2815" s="65">
        <v>0</v>
      </c>
      <c r="S2815" s="65">
        <v>194.6</v>
      </c>
      <c r="T2815" s="65">
        <v>0</v>
      </c>
      <c r="U2815" s="58">
        <v>0</v>
      </c>
      <c r="V2815" s="65">
        <v>0</v>
      </c>
      <c r="W2815" s="65">
        <v>0</v>
      </c>
      <c r="X2815" s="65">
        <v>30936</v>
      </c>
      <c r="Y2815" s="65">
        <v>8713</v>
      </c>
      <c r="Z2815" s="51">
        <v>0</v>
      </c>
      <c r="AA2815" s="51">
        <v>1046</v>
      </c>
      <c r="AB2815" s="102">
        <v>0</v>
      </c>
      <c r="AC2815" s="81">
        <f t="shared" si="136"/>
        <v>0</v>
      </c>
      <c r="AD2815" s="82">
        <f t="shared" si="137"/>
        <v>0</v>
      </c>
      <c r="AE2815" s="218">
        <v>2.5596164084860297E-2</v>
      </c>
      <c r="AF2815">
        <v>6</v>
      </c>
      <c r="AH2815" t="str">
        <f t="shared" si="135"/>
        <v>Hasanpur</v>
      </c>
      <c r="AJ2815" s="72">
        <v>0</v>
      </c>
      <c r="AK2815" s="72"/>
      <c r="AL2815" s="72"/>
      <c r="AM2815" s="72"/>
    </row>
    <row r="2816" spans="1:39" x14ac:dyDescent="0.25">
      <c r="A2816" s="37" t="s">
        <v>62</v>
      </c>
      <c r="B2816" s="66" t="s">
        <v>1654</v>
      </c>
      <c r="C2816" s="4">
        <v>1058</v>
      </c>
      <c r="D2816" s="41" t="s">
        <v>1296</v>
      </c>
      <c r="E2816" s="41">
        <v>10580018</v>
      </c>
      <c r="F2816" s="85" t="s">
        <v>1316</v>
      </c>
      <c r="G2816" s="39" t="s">
        <v>92</v>
      </c>
      <c r="H2816" s="52" t="s">
        <v>93</v>
      </c>
      <c r="I2816" s="52">
        <v>359.98999999999995</v>
      </c>
      <c r="J2816" s="49">
        <v>14435.210000000001</v>
      </c>
      <c r="K2816" s="58">
        <v>345.05999999999995</v>
      </c>
      <c r="L2816" s="58">
        <v>14106.279999999999</v>
      </c>
      <c r="M2816" s="58">
        <v>2.84</v>
      </c>
      <c r="N2816" s="58">
        <v>114.64999999999999</v>
      </c>
      <c r="O2816" s="58">
        <v>347.89999999999992</v>
      </c>
      <c r="P2816" s="53">
        <v>14220.929999999998</v>
      </c>
      <c r="Q2816" s="65">
        <v>14220.929999999998</v>
      </c>
      <c r="R2816" s="65">
        <v>0</v>
      </c>
      <c r="S2816" s="65">
        <v>114.64999999999999</v>
      </c>
      <c r="T2816" s="65">
        <v>0</v>
      </c>
      <c r="U2816" s="58">
        <v>0</v>
      </c>
      <c r="V2816" s="65">
        <v>500</v>
      </c>
      <c r="W2816" s="65">
        <v>0</v>
      </c>
      <c r="X2816" s="65">
        <v>13606</v>
      </c>
      <c r="Y2816" s="65">
        <v>0</v>
      </c>
      <c r="Z2816" s="51">
        <v>0</v>
      </c>
      <c r="AA2816" s="51">
        <v>215</v>
      </c>
      <c r="AB2816" s="102" t="s">
        <v>66</v>
      </c>
      <c r="AC2816" s="81">
        <f t="shared" si="136"/>
        <v>272.68067180199461</v>
      </c>
      <c r="AD2816" s="82">
        <f t="shared" si="137"/>
        <v>51.427142857142847</v>
      </c>
      <c r="AE2816" s="218">
        <v>1.484425927991366E-2</v>
      </c>
      <c r="AF2816">
        <v>14</v>
      </c>
      <c r="AH2816" t="str">
        <f t="shared" si="135"/>
        <v>Hasanpur</v>
      </c>
      <c r="AJ2816" s="72">
        <v>500</v>
      </c>
      <c r="AK2816" s="72"/>
      <c r="AL2816" s="72"/>
      <c r="AM2816" s="72"/>
    </row>
    <row r="2817" spans="1:39" x14ac:dyDescent="0.25">
      <c r="A2817" s="37" t="s">
        <v>62</v>
      </c>
      <c r="B2817" s="66" t="s">
        <v>1654</v>
      </c>
      <c r="C2817" s="4">
        <v>1058</v>
      </c>
      <c r="D2817" s="41" t="s">
        <v>1296</v>
      </c>
      <c r="E2817" s="41">
        <v>10580022</v>
      </c>
      <c r="F2817" s="85" t="s">
        <v>1344</v>
      </c>
      <c r="G2817" s="39" t="s">
        <v>92</v>
      </c>
      <c r="H2817" s="52" t="s">
        <v>93</v>
      </c>
      <c r="I2817" s="52">
        <v>575.38</v>
      </c>
      <c r="J2817" s="49">
        <v>23657.350000000002</v>
      </c>
      <c r="K2817" s="58">
        <v>566.4</v>
      </c>
      <c r="L2817" s="58">
        <v>23171.089999999997</v>
      </c>
      <c r="M2817" s="58">
        <v>6</v>
      </c>
      <c r="N2817" s="58">
        <v>270.24</v>
      </c>
      <c r="O2817" s="58">
        <v>572.4</v>
      </c>
      <c r="P2817" s="53">
        <v>23441.329999999998</v>
      </c>
      <c r="Q2817" s="65">
        <v>23441.329999999998</v>
      </c>
      <c r="R2817" s="65">
        <v>0</v>
      </c>
      <c r="S2817" s="65">
        <v>270.24</v>
      </c>
      <c r="T2817" s="65">
        <v>0</v>
      </c>
      <c r="U2817" s="58">
        <v>0</v>
      </c>
      <c r="V2817" s="65">
        <v>0</v>
      </c>
      <c r="W2817" s="65">
        <v>0</v>
      </c>
      <c r="X2817" s="65">
        <v>23171</v>
      </c>
      <c r="Y2817" s="65">
        <v>0</v>
      </c>
      <c r="Z2817" s="51">
        <v>0</v>
      </c>
      <c r="AA2817" s="51">
        <v>216</v>
      </c>
      <c r="AB2817" s="102">
        <v>0</v>
      </c>
      <c r="AC2817" s="81">
        <f t="shared" si="136"/>
        <v>102.47763067885575</v>
      </c>
      <c r="AD2817" s="82">
        <f t="shared" si="137"/>
        <v>82.19714285714285</v>
      </c>
      <c r="AE2817" s="218">
        <v>9.131200240094688E-3</v>
      </c>
      <c r="AF2817">
        <v>3</v>
      </c>
      <c r="AH2817" t="str">
        <f t="shared" si="135"/>
        <v>Hasanpur</v>
      </c>
      <c r="AJ2817" s="72">
        <v>0</v>
      </c>
      <c r="AK2817" s="72"/>
      <c r="AL2817" s="72"/>
      <c r="AM2817" s="72"/>
    </row>
    <row r="2818" spans="1:39" x14ac:dyDescent="0.25">
      <c r="A2818" s="37" t="s">
        <v>62</v>
      </c>
      <c r="B2818" s="66" t="s">
        <v>1654</v>
      </c>
      <c r="C2818" s="4">
        <v>1058</v>
      </c>
      <c r="D2818" s="41" t="s">
        <v>1296</v>
      </c>
      <c r="E2818" s="41">
        <v>10580023</v>
      </c>
      <c r="F2818" s="85" t="s">
        <v>1345</v>
      </c>
      <c r="G2818" s="39" t="s">
        <v>1610</v>
      </c>
      <c r="H2818" s="52" t="s">
        <v>98</v>
      </c>
      <c r="I2818" s="52">
        <v>789.20000000000016</v>
      </c>
      <c r="J2818" s="49">
        <v>31540.070000000003</v>
      </c>
      <c r="K2818" s="58">
        <v>0</v>
      </c>
      <c r="L2818" s="58">
        <v>0</v>
      </c>
      <c r="M2818" s="58">
        <v>0</v>
      </c>
      <c r="N2818" s="58">
        <v>0</v>
      </c>
      <c r="O2818" s="58">
        <v>0</v>
      </c>
      <c r="P2818" s="53">
        <v>0</v>
      </c>
      <c r="Q2818" s="65">
        <v>31540.070000000003</v>
      </c>
      <c r="R2818" s="65">
        <v>0</v>
      </c>
      <c r="S2818" s="65">
        <v>0</v>
      </c>
      <c r="T2818" s="65">
        <v>0</v>
      </c>
      <c r="U2818" s="58">
        <v>0</v>
      </c>
      <c r="V2818" s="65">
        <v>0</v>
      </c>
      <c r="W2818" s="65">
        <v>0</v>
      </c>
      <c r="X2818" s="65">
        <v>0</v>
      </c>
      <c r="Y2818" s="65">
        <v>0</v>
      </c>
      <c r="Z2818" s="51">
        <v>31540.070000000003</v>
      </c>
      <c r="AA2818" s="51">
        <v>0</v>
      </c>
      <c r="AB2818" s="102">
        <v>0</v>
      </c>
      <c r="AC2818" s="81">
        <f t="shared" si="136"/>
        <v>0</v>
      </c>
      <c r="AD2818" s="82">
        <f t="shared" si="137"/>
        <v>0</v>
      </c>
      <c r="AE2818" s="218">
        <v>0</v>
      </c>
      <c r="AF2818">
        <v>0</v>
      </c>
      <c r="AH2818" t="str">
        <f t="shared" si="135"/>
        <v>Hasanpur</v>
      </c>
      <c r="AJ2818" s="72">
        <v>0</v>
      </c>
      <c r="AK2818" s="72"/>
      <c r="AL2818" s="72"/>
      <c r="AM2818" s="72"/>
    </row>
    <row r="2819" spans="1:39" x14ac:dyDescent="0.25">
      <c r="A2819" s="37" t="s">
        <v>62</v>
      </c>
      <c r="B2819" s="66" t="s">
        <v>1654</v>
      </c>
      <c r="C2819" s="4">
        <v>1058</v>
      </c>
      <c r="D2819" s="41" t="s">
        <v>1296</v>
      </c>
      <c r="E2819" s="41">
        <v>10580024</v>
      </c>
      <c r="F2819" s="85" t="s">
        <v>1437</v>
      </c>
      <c r="G2819" s="39" t="s">
        <v>92</v>
      </c>
      <c r="H2819" s="52" t="s">
        <v>93</v>
      </c>
      <c r="I2819" s="52">
        <v>678.31999999999994</v>
      </c>
      <c r="J2819" s="49">
        <v>26899.49</v>
      </c>
      <c r="K2819" s="58">
        <v>653.8000000000003</v>
      </c>
      <c r="L2819" s="58">
        <v>28614.329999999987</v>
      </c>
      <c r="M2819" s="58">
        <v>0</v>
      </c>
      <c r="N2819" s="58">
        <v>0</v>
      </c>
      <c r="O2819" s="58">
        <v>653.8000000000003</v>
      </c>
      <c r="P2819" s="53">
        <v>28614.329999999987</v>
      </c>
      <c r="Q2819" s="65">
        <v>26899.49</v>
      </c>
      <c r="R2819" s="65">
        <v>0</v>
      </c>
      <c r="S2819" s="65">
        <v>0</v>
      </c>
      <c r="T2819" s="65">
        <v>1714.8399999999856</v>
      </c>
      <c r="U2819" s="58">
        <v>0</v>
      </c>
      <c r="V2819" s="65">
        <v>0</v>
      </c>
      <c r="W2819" s="65">
        <v>0</v>
      </c>
      <c r="X2819" s="65">
        <v>26899</v>
      </c>
      <c r="Y2819" s="65">
        <v>0</v>
      </c>
      <c r="Z2819" s="51">
        <v>0</v>
      </c>
      <c r="AA2819" s="51">
        <v>0</v>
      </c>
      <c r="AB2819" s="102" t="s">
        <v>66</v>
      </c>
      <c r="AC2819" s="81">
        <f t="shared" si="136"/>
        <v>17.194862106380544</v>
      </c>
      <c r="AD2819" s="82">
        <f t="shared" si="137"/>
        <v>96.90285714285713</v>
      </c>
      <c r="AE2819" s="218">
        <v>-6.3749907526127275E-2</v>
      </c>
      <c r="AF2819">
        <v>2</v>
      </c>
      <c r="AH2819" t="str">
        <f t="shared" si="135"/>
        <v>Hasanpur</v>
      </c>
      <c r="AJ2819" s="72">
        <v>0</v>
      </c>
      <c r="AK2819" s="72"/>
      <c r="AL2819" s="72"/>
      <c r="AM2819" s="72"/>
    </row>
    <row r="2820" spans="1:39" x14ac:dyDescent="0.25">
      <c r="A2820" s="37" t="s">
        <v>62</v>
      </c>
      <c r="B2820" s="66" t="s">
        <v>1654</v>
      </c>
      <c r="C2820" s="4">
        <v>1058</v>
      </c>
      <c r="D2820" s="41" t="s">
        <v>1296</v>
      </c>
      <c r="E2820" s="41">
        <v>10580025</v>
      </c>
      <c r="F2820" s="85" t="s">
        <v>1438</v>
      </c>
      <c r="G2820" s="39" t="s">
        <v>92</v>
      </c>
      <c r="H2820" s="52" t="s">
        <v>93</v>
      </c>
      <c r="I2820" s="52">
        <v>860.17</v>
      </c>
      <c r="J2820" s="49">
        <v>38369.179999999993</v>
      </c>
      <c r="K2820" s="58">
        <v>865.15999999999985</v>
      </c>
      <c r="L2820" s="58">
        <v>39647.75</v>
      </c>
      <c r="M2820" s="58">
        <v>0</v>
      </c>
      <c r="N2820" s="58">
        <v>0</v>
      </c>
      <c r="O2820" s="58">
        <v>865.15999999999985</v>
      </c>
      <c r="P2820" s="53">
        <v>39647.75</v>
      </c>
      <c r="Q2820" s="65">
        <v>38369.179999999993</v>
      </c>
      <c r="R2820" s="65">
        <v>0</v>
      </c>
      <c r="S2820" s="65">
        <v>0</v>
      </c>
      <c r="T2820" s="65">
        <v>1278.570000000007</v>
      </c>
      <c r="U2820" s="58">
        <v>0</v>
      </c>
      <c r="V2820" s="65">
        <v>0</v>
      </c>
      <c r="W2820" s="65">
        <v>0</v>
      </c>
      <c r="X2820" s="65">
        <v>38369</v>
      </c>
      <c r="Y2820" s="65">
        <v>0</v>
      </c>
      <c r="Z2820" s="51">
        <v>0</v>
      </c>
      <c r="AA2820" s="51">
        <v>0</v>
      </c>
      <c r="AB2820" s="102">
        <v>0</v>
      </c>
      <c r="AC2820" s="81">
        <f t="shared" si="136"/>
        <v>0</v>
      </c>
      <c r="AD2820" s="82">
        <f t="shared" si="137"/>
        <v>0</v>
      </c>
      <c r="AE2820" s="218">
        <v>-3.332283879926564E-2</v>
      </c>
      <c r="AF2820">
        <v>13</v>
      </c>
      <c r="AH2820" t="str">
        <f t="shared" si="135"/>
        <v>Hasanpur</v>
      </c>
      <c r="AJ2820" s="72">
        <v>0</v>
      </c>
      <c r="AK2820" s="72"/>
      <c r="AL2820" s="72"/>
      <c r="AM2820" s="72"/>
    </row>
    <row r="2821" spans="1:39" x14ac:dyDescent="0.25">
      <c r="A2821" s="37" t="s">
        <v>62</v>
      </c>
      <c r="B2821" s="66" t="s">
        <v>1654</v>
      </c>
      <c r="C2821" s="4">
        <v>1058</v>
      </c>
      <c r="D2821" s="41" t="s">
        <v>1296</v>
      </c>
      <c r="E2821" s="41">
        <v>10580026</v>
      </c>
      <c r="F2821" s="85" t="s">
        <v>1439</v>
      </c>
      <c r="G2821" s="39" t="s">
        <v>92</v>
      </c>
      <c r="H2821" s="52" t="s">
        <v>93</v>
      </c>
      <c r="I2821" s="52">
        <v>130.29</v>
      </c>
      <c r="J2821" s="49">
        <v>5763.2</v>
      </c>
      <c r="K2821" s="58">
        <v>108.00000000000001</v>
      </c>
      <c r="L2821" s="58">
        <v>4867.8500000000004</v>
      </c>
      <c r="M2821" s="58">
        <v>0</v>
      </c>
      <c r="N2821" s="58">
        <v>0</v>
      </c>
      <c r="O2821" s="58">
        <v>108.00000000000001</v>
      </c>
      <c r="P2821" s="53">
        <v>4867.8500000000004</v>
      </c>
      <c r="Q2821" s="65">
        <v>4867.8500000000004</v>
      </c>
      <c r="R2821" s="65">
        <v>0</v>
      </c>
      <c r="S2821" s="65">
        <v>0</v>
      </c>
      <c r="T2821" s="65">
        <v>0</v>
      </c>
      <c r="U2821" s="58">
        <v>0</v>
      </c>
      <c r="V2821" s="65">
        <v>0</v>
      </c>
      <c r="W2821" s="65">
        <v>0</v>
      </c>
      <c r="X2821" s="65">
        <v>4868</v>
      </c>
      <c r="Y2821" s="65">
        <v>0</v>
      </c>
      <c r="Z2821" s="51">
        <v>0</v>
      </c>
      <c r="AA2821" s="51">
        <v>895</v>
      </c>
      <c r="AB2821" s="102">
        <v>0</v>
      </c>
      <c r="AC2821" s="81">
        <f t="shared" si="136"/>
        <v>504.00685731828997</v>
      </c>
      <c r="AD2821" s="82">
        <f t="shared" si="137"/>
        <v>18.612857142857141</v>
      </c>
      <c r="AE2821" s="218">
        <v>0.15535639922265398</v>
      </c>
      <c r="AF2821">
        <v>1</v>
      </c>
      <c r="AH2821" t="str">
        <f t="shared" si="135"/>
        <v>Hasanpur</v>
      </c>
      <c r="AJ2821" s="72">
        <v>0</v>
      </c>
      <c r="AK2821" s="72"/>
      <c r="AL2821" s="72"/>
      <c r="AM2821" s="72"/>
    </row>
    <row r="2822" spans="1:39" x14ac:dyDescent="0.25">
      <c r="A2822" s="37" t="s">
        <v>62</v>
      </c>
      <c r="B2822" s="66" t="s">
        <v>1654</v>
      </c>
      <c r="C2822" s="4">
        <v>1058</v>
      </c>
      <c r="D2822" s="41" t="s">
        <v>1296</v>
      </c>
      <c r="E2822" s="41">
        <v>10580027</v>
      </c>
      <c r="F2822" s="85" t="s">
        <v>1440</v>
      </c>
      <c r="G2822" s="39" t="s">
        <v>92</v>
      </c>
      <c r="H2822" s="52" t="s">
        <v>93</v>
      </c>
      <c r="I2822" s="52">
        <v>119.04999999999998</v>
      </c>
      <c r="J2822" s="49">
        <v>4847.9800000000005</v>
      </c>
      <c r="K2822" s="58">
        <v>103.36999999999999</v>
      </c>
      <c r="L2822" s="58">
        <v>4295.74</v>
      </c>
      <c r="M2822" s="58">
        <v>0</v>
      </c>
      <c r="N2822" s="58">
        <v>0</v>
      </c>
      <c r="O2822" s="58">
        <v>103.36999999999999</v>
      </c>
      <c r="P2822" s="53">
        <v>4295.74</v>
      </c>
      <c r="Q2822" s="65">
        <v>4295.74</v>
      </c>
      <c r="R2822" s="65">
        <v>0</v>
      </c>
      <c r="S2822" s="65">
        <v>0</v>
      </c>
      <c r="T2822" s="65">
        <v>0</v>
      </c>
      <c r="U2822" s="58">
        <v>0</v>
      </c>
      <c r="V2822" s="65">
        <v>0</v>
      </c>
      <c r="W2822" s="65">
        <v>0</v>
      </c>
      <c r="X2822" s="65">
        <v>4296</v>
      </c>
      <c r="Y2822" s="65">
        <v>0</v>
      </c>
      <c r="Z2822" s="51">
        <v>0</v>
      </c>
      <c r="AA2822" s="51">
        <v>552</v>
      </c>
      <c r="AB2822" s="102">
        <v>0</v>
      </c>
      <c r="AC2822" s="81">
        <f t="shared" si="136"/>
        <v>473.15144577908455</v>
      </c>
      <c r="AD2822" s="82">
        <f t="shared" si="137"/>
        <v>17.007142857142856</v>
      </c>
      <c r="AE2822" s="218">
        <v>0.11391136102046638</v>
      </c>
      <c r="AF2822">
        <v>1</v>
      </c>
      <c r="AH2822" t="str">
        <f t="shared" si="135"/>
        <v>Hasanpur</v>
      </c>
      <c r="AJ2822" s="72">
        <v>0</v>
      </c>
      <c r="AK2822" s="72"/>
      <c r="AL2822" s="72"/>
      <c r="AM2822" s="72"/>
    </row>
    <row r="2823" spans="1:39" x14ac:dyDescent="0.25">
      <c r="A2823" s="37" t="s">
        <v>62</v>
      </c>
      <c r="B2823" s="66" t="s">
        <v>1654</v>
      </c>
      <c r="C2823" s="4">
        <v>1058</v>
      </c>
      <c r="D2823" s="41" t="s">
        <v>1296</v>
      </c>
      <c r="E2823" s="41">
        <v>10580028</v>
      </c>
      <c r="F2823" s="85" t="s">
        <v>1441</v>
      </c>
      <c r="G2823" s="39" t="s">
        <v>92</v>
      </c>
      <c r="H2823" s="52" t="s">
        <v>93</v>
      </c>
      <c r="I2823" s="52">
        <v>438.15</v>
      </c>
      <c r="J2823" s="49">
        <v>17526.879999999997</v>
      </c>
      <c r="K2823" s="58">
        <v>438.40000000000003</v>
      </c>
      <c r="L2823" s="58">
        <v>17586.09</v>
      </c>
      <c r="M2823" s="58">
        <v>0</v>
      </c>
      <c r="N2823" s="58">
        <v>0</v>
      </c>
      <c r="O2823" s="58">
        <v>438.40000000000003</v>
      </c>
      <c r="P2823" s="53">
        <v>17586.09</v>
      </c>
      <c r="Q2823" s="65">
        <v>17526.879999999997</v>
      </c>
      <c r="R2823" s="65">
        <v>0</v>
      </c>
      <c r="S2823" s="65">
        <v>0</v>
      </c>
      <c r="T2823" s="65">
        <v>59.210000000002765</v>
      </c>
      <c r="U2823" s="58">
        <v>0</v>
      </c>
      <c r="V2823" s="65">
        <v>0</v>
      </c>
      <c r="W2823" s="65">
        <v>0</v>
      </c>
      <c r="X2823" s="65">
        <v>17527</v>
      </c>
      <c r="Y2823" s="65">
        <v>0</v>
      </c>
      <c r="Z2823" s="51">
        <v>0</v>
      </c>
      <c r="AA2823" s="51">
        <v>0</v>
      </c>
      <c r="AB2823" s="102">
        <v>0</v>
      </c>
      <c r="AC2823" s="81">
        <f t="shared" si="136"/>
        <v>209.49051822435243</v>
      </c>
      <c r="AD2823" s="82">
        <f t="shared" si="137"/>
        <v>62.592857142857142</v>
      </c>
      <c r="AE2823" s="218">
        <v>-3.3782395954101798E-3</v>
      </c>
      <c r="AF2823">
        <v>2</v>
      </c>
      <c r="AH2823" t="str">
        <f t="shared" si="135"/>
        <v>Hasanpur</v>
      </c>
      <c r="AJ2823" s="72">
        <v>0</v>
      </c>
      <c r="AK2823" s="72"/>
      <c r="AL2823" s="72"/>
      <c r="AM2823" s="72"/>
    </row>
    <row r="2824" spans="1:39" x14ac:dyDescent="0.25">
      <c r="A2824" s="37" t="s">
        <v>62</v>
      </c>
      <c r="B2824" s="66" t="s">
        <v>1654</v>
      </c>
      <c r="C2824" s="4">
        <v>1058</v>
      </c>
      <c r="D2824" s="41" t="s">
        <v>1296</v>
      </c>
      <c r="E2824" s="41">
        <v>10580029</v>
      </c>
      <c r="F2824" s="85" t="s">
        <v>1214</v>
      </c>
      <c r="G2824" s="39" t="s">
        <v>92</v>
      </c>
      <c r="H2824" s="52" t="s">
        <v>93</v>
      </c>
      <c r="I2824" s="52">
        <v>284.54000000000002</v>
      </c>
      <c r="J2824" s="49">
        <v>12689.990000000002</v>
      </c>
      <c r="K2824" s="58">
        <v>264.99999999999994</v>
      </c>
      <c r="L2824" s="58">
        <v>12303.630000000001</v>
      </c>
      <c r="M2824" s="58">
        <v>0</v>
      </c>
      <c r="N2824" s="58">
        <v>0</v>
      </c>
      <c r="O2824" s="58">
        <v>264.99999999999994</v>
      </c>
      <c r="P2824" s="53">
        <v>12303.630000000001</v>
      </c>
      <c r="Q2824" s="65">
        <v>12303.630000000001</v>
      </c>
      <c r="R2824" s="65">
        <v>0</v>
      </c>
      <c r="S2824" s="65">
        <v>0</v>
      </c>
      <c r="T2824" s="65">
        <v>0</v>
      </c>
      <c r="U2824" s="58">
        <v>0</v>
      </c>
      <c r="V2824" s="65">
        <v>0</v>
      </c>
      <c r="W2824" s="65">
        <v>0</v>
      </c>
      <c r="X2824" s="65">
        <v>12305</v>
      </c>
      <c r="Y2824" s="65">
        <v>0</v>
      </c>
      <c r="Z2824" s="51">
        <v>0</v>
      </c>
      <c r="AA2824" s="51">
        <v>385</v>
      </c>
      <c r="AB2824" s="102">
        <v>0</v>
      </c>
      <c r="AC2824" s="81">
        <f t="shared" si="136"/>
        <v>370.57589410276239</v>
      </c>
      <c r="AD2824" s="82">
        <f t="shared" si="137"/>
        <v>40.648571428571429</v>
      </c>
      <c r="AE2824" s="218">
        <v>3.0446044480728553E-2</v>
      </c>
      <c r="AF2824">
        <v>11</v>
      </c>
      <c r="AH2824" t="str">
        <f t="shared" si="135"/>
        <v>Hasanpur</v>
      </c>
      <c r="AJ2824" s="72">
        <v>0</v>
      </c>
      <c r="AK2824" s="72"/>
      <c r="AL2824" s="72"/>
      <c r="AM2824" s="72"/>
    </row>
    <row r="2825" spans="1:39" x14ac:dyDescent="0.25">
      <c r="A2825" s="37" t="s">
        <v>62</v>
      </c>
      <c r="B2825" s="66" t="s">
        <v>1654</v>
      </c>
      <c r="C2825" s="4">
        <v>1059</v>
      </c>
      <c r="D2825" s="41" t="s">
        <v>1299</v>
      </c>
      <c r="E2825" s="41">
        <v>10590001</v>
      </c>
      <c r="F2825" s="85" t="s">
        <v>1293</v>
      </c>
      <c r="G2825" s="39" t="s">
        <v>92</v>
      </c>
      <c r="H2825" s="52" t="s">
        <v>93</v>
      </c>
      <c r="I2825" s="52">
        <v>895.6</v>
      </c>
      <c r="J2825" s="49">
        <v>42513.04</v>
      </c>
      <c r="K2825" s="58">
        <v>992.8</v>
      </c>
      <c r="L2825" s="58">
        <v>49127.659999999989</v>
      </c>
      <c r="M2825" s="58">
        <v>0</v>
      </c>
      <c r="N2825" s="58">
        <v>0</v>
      </c>
      <c r="O2825" s="58">
        <v>992.8</v>
      </c>
      <c r="P2825" s="53">
        <v>49127.659999999989</v>
      </c>
      <c r="Q2825" s="65">
        <v>42513.04</v>
      </c>
      <c r="R2825" s="65">
        <v>0</v>
      </c>
      <c r="S2825" s="65">
        <v>0</v>
      </c>
      <c r="T2825" s="65">
        <v>6614.6199999999881</v>
      </c>
      <c r="U2825" s="58">
        <v>0</v>
      </c>
      <c r="V2825" s="65">
        <v>0</v>
      </c>
      <c r="W2825" s="65">
        <v>0</v>
      </c>
      <c r="X2825" s="65">
        <v>42513</v>
      </c>
      <c r="Y2825" s="65">
        <v>0</v>
      </c>
      <c r="Z2825" s="51">
        <v>0</v>
      </c>
      <c r="AA2825" s="51">
        <v>0</v>
      </c>
      <c r="AB2825" s="102">
        <v>0</v>
      </c>
      <c r="AC2825" s="81">
        <f t="shared" si="136"/>
        <v>0</v>
      </c>
      <c r="AD2825" s="82">
        <f t="shared" si="137"/>
        <v>0</v>
      </c>
      <c r="AE2825" s="218">
        <v>-0.15559037885787486</v>
      </c>
      <c r="AF2825">
        <v>2</v>
      </c>
      <c r="AH2825" t="str">
        <f t="shared" si="135"/>
        <v>Gopalpur Bmc</v>
      </c>
      <c r="AJ2825" s="72">
        <v>0</v>
      </c>
      <c r="AK2825" s="72"/>
      <c r="AL2825" s="72"/>
      <c r="AM2825" s="72"/>
    </row>
    <row r="2826" spans="1:39" x14ac:dyDescent="0.25">
      <c r="A2826" s="37" t="s">
        <v>62</v>
      </c>
      <c r="B2826" s="66" t="s">
        <v>1654</v>
      </c>
      <c r="C2826" s="4">
        <v>1059</v>
      </c>
      <c r="D2826" s="41" t="s">
        <v>1299</v>
      </c>
      <c r="E2826" s="41">
        <v>10590002</v>
      </c>
      <c r="F2826" s="85" t="s">
        <v>1294</v>
      </c>
      <c r="G2826" s="39" t="s">
        <v>92</v>
      </c>
      <c r="H2826" s="52" t="s">
        <v>93</v>
      </c>
      <c r="I2826" s="52">
        <v>58.1</v>
      </c>
      <c r="J2826" s="49">
        <v>3894.19</v>
      </c>
      <c r="K2826" s="58">
        <v>58.099999999999994</v>
      </c>
      <c r="L2826" s="58">
        <v>3890.25</v>
      </c>
      <c r="M2826" s="58">
        <v>0</v>
      </c>
      <c r="N2826" s="58">
        <v>0</v>
      </c>
      <c r="O2826" s="58">
        <v>58.099999999999994</v>
      </c>
      <c r="P2826" s="53">
        <v>3890.25</v>
      </c>
      <c r="Q2826" s="65">
        <v>3890.25</v>
      </c>
      <c r="R2826" s="65">
        <v>0</v>
      </c>
      <c r="S2826" s="65">
        <v>0</v>
      </c>
      <c r="T2826" s="65">
        <v>0</v>
      </c>
      <c r="U2826" s="58">
        <v>0</v>
      </c>
      <c r="V2826" s="65">
        <v>500</v>
      </c>
      <c r="W2826" s="65">
        <v>0</v>
      </c>
      <c r="X2826" s="65">
        <v>3390</v>
      </c>
      <c r="Y2826" s="65">
        <v>0</v>
      </c>
      <c r="Z2826" s="51">
        <v>0</v>
      </c>
      <c r="AA2826" s="51">
        <v>4</v>
      </c>
      <c r="AB2826" s="102">
        <v>0</v>
      </c>
      <c r="AC2826" s="81">
        <f t="shared" si="136"/>
        <v>860.47523614457828</v>
      </c>
      <c r="AD2826" s="82">
        <f t="shared" si="137"/>
        <v>8.3000000000000007</v>
      </c>
      <c r="AE2826" s="218">
        <v>1.0117636787111196E-3</v>
      </c>
      <c r="AF2826">
        <v>1</v>
      </c>
      <c r="AH2826" t="str">
        <f t="shared" si="135"/>
        <v>Gopalpur Bmc</v>
      </c>
      <c r="AJ2826" s="72">
        <v>500</v>
      </c>
      <c r="AK2826" s="72"/>
      <c r="AL2826" s="72"/>
      <c r="AM2826" s="72"/>
    </row>
    <row r="2827" spans="1:39" x14ac:dyDescent="0.25">
      <c r="A2827" s="37" t="s">
        <v>62</v>
      </c>
      <c r="B2827" s="66" t="s">
        <v>1654</v>
      </c>
      <c r="C2827" s="4">
        <v>1059</v>
      </c>
      <c r="D2827" s="41" t="s">
        <v>1299</v>
      </c>
      <c r="E2827" s="41">
        <v>10590004</v>
      </c>
      <c r="F2827" s="85" t="s">
        <v>1295</v>
      </c>
      <c r="G2827" s="39" t="s">
        <v>92</v>
      </c>
      <c r="H2827" s="52" t="s">
        <v>93</v>
      </c>
      <c r="I2827" s="52">
        <v>913.69999999999993</v>
      </c>
      <c r="J2827" s="49">
        <v>35455.25</v>
      </c>
      <c r="K2827" s="58">
        <v>913.7</v>
      </c>
      <c r="L2827" s="58">
        <v>35489.350000000006</v>
      </c>
      <c r="M2827" s="58">
        <v>0</v>
      </c>
      <c r="N2827" s="58">
        <v>0</v>
      </c>
      <c r="O2827" s="58">
        <v>913.7</v>
      </c>
      <c r="P2827" s="53">
        <v>35489.350000000006</v>
      </c>
      <c r="Q2827" s="65">
        <v>35455.25</v>
      </c>
      <c r="R2827" s="65">
        <v>0</v>
      </c>
      <c r="S2827" s="65">
        <v>0</v>
      </c>
      <c r="T2827" s="65">
        <v>34.100000000005821</v>
      </c>
      <c r="U2827" s="58">
        <v>0</v>
      </c>
      <c r="V2827" s="65">
        <v>0</v>
      </c>
      <c r="W2827" s="65">
        <v>0</v>
      </c>
      <c r="X2827" s="65">
        <v>35455</v>
      </c>
      <c r="Y2827" s="65">
        <v>0</v>
      </c>
      <c r="Z2827" s="51">
        <v>0</v>
      </c>
      <c r="AA2827" s="51">
        <v>0</v>
      </c>
      <c r="AB2827" s="102">
        <v>0</v>
      </c>
      <c r="AC2827" s="81">
        <f t="shared" si="136"/>
        <v>0</v>
      </c>
      <c r="AD2827" s="82">
        <f t="shared" si="137"/>
        <v>0</v>
      </c>
      <c r="AE2827" s="218">
        <v>-9.6177575958442888E-4</v>
      </c>
      <c r="AF2827">
        <v>2</v>
      </c>
      <c r="AH2827" t="str">
        <f t="shared" si="135"/>
        <v>Gopalpur Bmc</v>
      </c>
      <c r="AJ2827" s="72">
        <v>0</v>
      </c>
      <c r="AK2827" s="72"/>
      <c r="AL2827" s="72"/>
      <c r="AM2827" s="72"/>
    </row>
    <row r="2828" spans="1:39" x14ac:dyDescent="0.25">
      <c r="A2828" s="37" t="s">
        <v>62</v>
      </c>
      <c r="B2828" s="66" t="s">
        <v>1654</v>
      </c>
      <c r="C2828" s="4">
        <v>1059</v>
      </c>
      <c r="D2828" s="41" t="s">
        <v>1299</v>
      </c>
      <c r="E2828" s="41">
        <v>10590006</v>
      </c>
      <c r="F2828" s="85" t="s">
        <v>1310</v>
      </c>
      <c r="G2828" s="39" t="s">
        <v>92</v>
      </c>
      <c r="H2828" s="52" t="s">
        <v>93</v>
      </c>
      <c r="I2828" s="52">
        <v>2152.6</v>
      </c>
      <c r="J2828" s="49">
        <v>98843.35</v>
      </c>
      <c r="K2828" s="58">
        <v>2178.8999999999996</v>
      </c>
      <c r="L2828" s="58">
        <v>98970.74</v>
      </c>
      <c r="M2828" s="58">
        <v>0</v>
      </c>
      <c r="N2828" s="58">
        <v>0</v>
      </c>
      <c r="O2828" s="58">
        <v>2178.8999999999996</v>
      </c>
      <c r="P2828" s="53">
        <v>98970.74</v>
      </c>
      <c r="Q2828" s="65">
        <v>98843.35</v>
      </c>
      <c r="R2828" s="65">
        <v>0</v>
      </c>
      <c r="S2828" s="65">
        <v>0</v>
      </c>
      <c r="T2828" s="65">
        <v>127.38999999999942</v>
      </c>
      <c r="U2828" s="58">
        <v>0</v>
      </c>
      <c r="V2828" s="65">
        <v>0</v>
      </c>
      <c r="W2828" s="65">
        <v>0</v>
      </c>
      <c r="X2828" s="65">
        <v>98843</v>
      </c>
      <c r="Y2828" s="65">
        <v>0</v>
      </c>
      <c r="Z2828" s="51">
        <v>0</v>
      </c>
      <c r="AA2828" s="51">
        <v>0</v>
      </c>
      <c r="AB2828" s="102">
        <v>0</v>
      </c>
      <c r="AC2828" s="81">
        <f t="shared" si="136"/>
        <v>0</v>
      </c>
      <c r="AD2828" s="82">
        <f t="shared" si="137"/>
        <v>0</v>
      </c>
      <c r="AE2828" s="218">
        <v>-1.2888069860036047E-3</v>
      </c>
      <c r="AF2828">
        <v>12</v>
      </c>
      <c r="AH2828" t="str">
        <f t="shared" si="135"/>
        <v>Gopalpur Bmc</v>
      </c>
      <c r="AJ2828" s="72">
        <v>0</v>
      </c>
      <c r="AK2828" s="72"/>
      <c r="AL2828" s="72"/>
      <c r="AM2828" s="72"/>
    </row>
    <row r="2829" spans="1:39" x14ac:dyDescent="0.25">
      <c r="A2829" s="37" t="s">
        <v>62</v>
      </c>
      <c r="B2829" s="66" t="s">
        <v>1654</v>
      </c>
      <c r="C2829" s="4">
        <v>1059</v>
      </c>
      <c r="D2829" s="41" t="s">
        <v>1299</v>
      </c>
      <c r="E2829" s="41">
        <v>10590008</v>
      </c>
      <c r="F2829" s="85" t="s">
        <v>1369</v>
      </c>
      <c r="G2829" s="39" t="s">
        <v>92</v>
      </c>
      <c r="H2829" s="52" t="s">
        <v>93</v>
      </c>
      <c r="I2829" s="52">
        <v>324.60000000000002</v>
      </c>
      <c r="J2829" s="49">
        <v>15698.539999999999</v>
      </c>
      <c r="K2829" s="58">
        <v>351.8</v>
      </c>
      <c r="L2829" s="58">
        <v>17117.440000000002</v>
      </c>
      <c r="M2829" s="58">
        <v>0</v>
      </c>
      <c r="N2829" s="58">
        <v>0</v>
      </c>
      <c r="O2829" s="58">
        <v>351.8</v>
      </c>
      <c r="P2829" s="53">
        <v>17117.440000000002</v>
      </c>
      <c r="Q2829" s="65">
        <v>15698.539999999999</v>
      </c>
      <c r="R2829" s="65">
        <v>0</v>
      </c>
      <c r="S2829" s="65">
        <v>0</v>
      </c>
      <c r="T2829" s="65">
        <v>1418.9000000000033</v>
      </c>
      <c r="U2829" s="58">
        <v>0</v>
      </c>
      <c r="V2829" s="65">
        <v>0</v>
      </c>
      <c r="W2829" s="65">
        <v>0</v>
      </c>
      <c r="X2829" s="65">
        <v>15699</v>
      </c>
      <c r="Y2829" s="65">
        <v>0</v>
      </c>
      <c r="Z2829" s="51">
        <v>0</v>
      </c>
      <c r="AA2829" s="51">
        <v>0</v>
      </c>
      <c r="AB2829" s="102">
        <v>0</v>
      </c>
      <c r="AC2829" s="81">
        <f t="shared" si="136"/>
        <v>363.10732692544661</v>
      </c>
      <c r="AD2829" s="82">
        <f t="shared" si="137"/>
        <v>46.371428571428574</v>
      </c>
      <c r="AE2829" s="218">
        <v>-9.0384201333372619E-2</v>
      </c>
      <c r="AF2829">
        <v>1</v>
      </c>
      <c r="AH2829" t="str">
        <f t="shared" si="135"/>
        <v>Gopalpur Bmc</v>
      </c>
      <c r="AJ2829" s="72">
        <v>0</v>
      </c>
      <c r="AK2829" s="72"/>
      <c r="AL2829" s="72"/>
      <c r="AM2829" s="72"/>
    </row>
    <row r="2830" spans="1:39" x14ac:dyDescent="0.25">
      <c r="A2830" s="37" t="s">
        <v>62</v>
      </c>
      <c r="B2830" s="66" t="s">
        <v>1654</v>
      </c>
      <c r="C2830" s="4">
        <v>1059</v>
      </c>
      <c r="D2830" s="41" t="s">
        <v>1299</v>
      </c>
      <c r="E2830" s="41">
        <v>10590010</v>
      </c>
      <c r="F2830" s="85" t="s">
        <v>1370</v>
      </c>
      <c r="G2830" s="39" t="s">
        <v>92</v>
      </c>
      <c r="H2830" s="52" t="s">
        <v>93</v>
      </c>
      <c r="I2830" s="52">
        <v>1651.1000000000001</v>
      </c>
      <c r="J2830" s="49">
        <v>84388.19</v>
      </c>
      <c r="K2830" s="58">
        <v>1657.3000000000002</v>
      </c>
      <c r="L2830" s="58">
        <v>84259.75</v>
      </c>
      <c r="M2830" s="58">
        <v>0</v>
      </c>
      <c r="N2830" s="58">
        <v>0</v>
      </c>
      <c r="O2830" s="58">
        <v>1657.3000000000002</v>
      </c>
      <c r="P2830" s="53">
        <v>84259.75</v>
      </c>
      <c r="Q2830" s="65">
        <v>84259.75</v>
      </c>
      <c r="R2830" s="65">
        <v>0</v>
      </c>
      <c r="S2830" s="65">
        <v>0</v>
      </c>
      <c r="T2830" s="65">
        <v>0</v>
      </c>
      <c r="U2830" s="58">
        <v>0</v>
      </c>
      <c r="V2830" s="65">
        <v>0</v>
      </c>
      <c r="W2830" s="65">
        <v>0</v>
      </c>
      <c r="X2830" s="65">
        <v>84259</v>
      </c>
      <c r="Y2830" s="65">
        <v>0</v>
      </c>
      <c r="Z2830" s="51">
        <v>0</v>
      </c>
      <c r="AA2830" s="51">
        <v>129</v>
      </c>
      <c r="AB2830" s="102">
        <v>0</v>
      </c>
      <c r="AC2830" s="81">
        <f t="shared" si="136"/>
        <v>0</v>
      </c>
      <c r="AD2830" s="82">
        <f t="shared" si="137"/>
        <v>0</v>
      </c>
      <c r="AE2830" s="218">
        <v>1.5220139216163106E-3</v>
      </c>
      <c r="AF2830">
        <v>4</v>
      </c>
      <c r="AH2830" t="str">
        <f t="shared" si="135"/>
        <v>Gopalpur Bmc</v>
      </c>
      <c r="AJ2830" s="72">
        <v>0</v>
      </c>
      <c r="AK2830" s="72"/>
      <c r="AL2830" s="72"/>
      <c r="AM2830" s="72"/>
    </row>
    <row r="2831" spans="1:39" x14ac:dyDescent="0.25">
      <c r="A2831" s="37" t="s">
        <v>62</v>
      </c>
      <c r="B2831" s="66" t="s">
        <v>1654</v>
      </c>
      <c r="C2831" s="4">
        <v>1059</v>
      </c>
      <c r="D2831" s="41" t="s">
        <v>1299</v>
      </c>
      <c r="E2831" s="41">
        <v>10590011</v>
      </c>
      <c r="F2831" s="85" t="s">
        <v>1371</v>
      </c>
      <c r="G2831" s="39" t="s">
        <v>92</v>
      </c>
      <c r="H2831" s="52" t="s">
        <v>93</v>
      </c>
      <c r="I2831" s="52">
        <v>508.70000000000005</v>
      </c>
      <c r="J2831" s="49">
        <v>21680.100000000002</v>
      </c>
      <c r="K2831" s="58">
        <v>500.12</v>
      </c>
      <c r="L2831" s="58">
        <v>23236.729999999996</v>
      </c>
      <c r="M2831" s="58">
        <v>0</v>
      </c>
      <c r="N2831" s="58">
        <v>0</v>
      </c>
      <c r="O2831" s="58">
        <v>500.12</v>
      </c>
      <c r="P2831" s="53">
        <v>23236.729999999996</v>
      </c>
      <c r="Q2831" s="65">
        <v>21680.100000000002</v>
      </c>
      <c r="R2831" s="65">
        <v>0</v>
      </c>
      <c r="S2831" s="65">
        <v>0</v>
      </c>
      <c r="T2831" s="65">
        <v>1556.6299999999937</v>
      </c>
      <c r="U2831" s="58">
        <v>0</v>
      </c>
      <c r="V2831" s="65">
        <v>0</v>
      </c>
      <c r="W2831" s="65">
        <v>0</v>
      </c>
      <c r="X2831" s="65">
        <v>21680</v>
      </c>
      <c r="Y2831" s="65">
        <v>0</v>
      </c>
      <c r="Z2831" s="51">
        <v>0</v>
      </c>
      <c r="AA2831" s="51">
        <v>0</v>
      </c>
      <c r="AB2831" s="102">
        <v>0</v>
      </c>
      <c r="AC2831" s="81">
        <f t="shared" si="136"/>
        <v>163.05890033418515</v>
      </c>
      <c r="AD2831" s="82">
        <f t="shared" si="137"/>
        <v>72.671428571428578</v>
      </c>
      <c r="AE2831" s="218">
        <v>-7.1799945572206481E-2</v>
      </c>
      <c r="AF2831">
        <v>6</v>
      </c>
      <c r="AH2831" t="str">
        <f t="shared" si="135"/>
        <v>Gopalpur Bmc</v>
      </c>
      <c r="AJ2831" s="72">
        <v>0</v>
      </c>
      <c r="AK2831" s="72"/>
      <c r="AL2831" s="72"/>
      <c r="AM2831" s="72"/>
    </row>
    <row r="2832" spans="1:39" x14ac:dyDescent="0.25">
      <c r="A2832" s="37" t="s">
        <v>62</v>
      </c>
      <c r="B2832" s="66" t="s">
        <v>1654</v>
      </c>
      <c r="C2832" s="4">
        <v>1059</v>
      </c>
      <c r="D2832" s="41" t="s">
        <v>1299</v>
      </c>
      <c r="E2832" s="41">
        <v>10590012</v>
      </c>
      <c r="F2832" s="85" t="s">
        <v>1372</v>
      </c>
      <c r="G2832" s="39" t="s">
        <v>92</v>
      </c>
      <c r="H2832" s="52" t="s">
        <v>93</v>
      </c>
      <c r="I2832" s="52">
        <v>1108.8999999999999</v>
      </c>
      <c r="J2832" s="49">
        <v>47555.78</v>
      </c>
      <c r="K2832" s="58">
        <v>1108.8999999999996</v>
      </c>
      <c r="L2832" s="58">
        <v>47496.419999999991</v>
      </c>
      <c r="M2832" s="58">
        <v>0</v>
      </c>
      <c r="N2832" s="58">
        <v>0</v>
      </c>
      <c r="O2832" s="58">
        <v>1108.8999999999996</v>
      </c>
      <c r="P2832" s="53">
        <v>47496.419999999991</v>
      </c>
      <c r="Q2832" s="65">
        <v>47496.419999999991</v>
      </c>
      <c r="R2832" s="65">
        <v>0</v>
      </c>
      <c r="S2832" s="65">
        <v>0</v>
      </c>
      <c r="T2832" s="65">
        <v>0</v>
      </c>
      <c r="U2832" s="58">
        <v>0</v>
      </c>
      <c r="V2832" s="65">
        <v>0</v>
      </c>
      <c r="W2832" s="65">
        <v>0</v>
      </c>
      <c r="X2832" s="65">
        <v>47496</v>
      </c>
      <c r="Y2832" s="65">
        <v>0</v>
      </c>
      <c r="Z2832" s="51">
        <v>0</v>
      </c>
      <c r="AA2832" s="51">
        <v>60</v>
      </c>
      <c r="AB2832" s="102">
        <v>0</v>
      </c>
      <c r="AC2832" s="81">
        <f t="shared" si="136"/>
        <v>0</v>
      </c>
      <c r="AD2832" s="82">
        <f t="shared" si="137"/>
        <v>0</v>
      </c>
      <c r="AE2832" s="218">
        <v>1.2482184079413241E-3</v>
      </c>
      <c r="AF2832">
        <v>1</v>
      </c>
      <c r="AH2832" t="str">
        <f t="shared" si="135"/>
        <v>Gopalpur Bmc</v>
      </c>
      <c r="AJ2832" s="72">
        <v>0</v>
      </c>
      <c r="AK2832" s="72"/>
      <c r="AL2832" s="72"/>
      <c r="AM2832" s="72"/>
    </row>
    <row r="2833" spans="1:39" x14ac:dyDescent="0.25">
      <c r="A2833" s="37" t="s">
        <v>62</v>
      </c>
      <c r="B2833" s="66" t="s">
        <v>1654</v>
      </c>
      <c r="C2833" s="4">
        <v>1059</v>
      </c>
      <c r="D2833" s="41" t="s">
        <v>1299</v>
      </c>
      <c r="E2833" s="41">
        <v>10590013</v>
      </c>
      <c r="F2833" s="85" t="s">
        <v>1347</v>
      </c>
      <c r="G2833" s="39" t="s">
        <v>92</v>
      </c>
      <c r="H2833" s="52" t="s">
        <v>93</v>
      </c>
      <c r="I2833" s="52">
        <v>580.19999999999993</v>
      </c>
      <c r="J2833" s="49">
        <v>28017.71</v>
      </c>
      <c r="K2833" s="58">
        <v>580.5</v>
      </c>
      <c r="L2833" s="58">
        <v>27067.579999999998</v>
      </c>
      <c r="M2833" s="58">
        <v>0</v>
      </c>
      <c r="N2833" s="58">
        <v>0</v>
      </c>
      <c r="O2833" s="58">
        <v>580.5</v>
      </c>
      <c r="P2833" s="53">
        <v>27067.579999999998</v>
      </c>
      <c r="Q2833" s="65">
        <v>27067.579999999998</v>
      </c>
      <c r="R2833" s="65">
        <v>0</v>
      </c>
      <c r="S2833" s="65">
        <v>0</v>
      </c>
      <c r="T2833" s="65">
        <v>0</v>
      </c>
      <c r="U2833" s="58">
        <v>0</v>
      </c>
      <c r="V2833" s="65">
        <v>0</v>
      </c>
      <c r="W2833" s="65">
        <v>0</v>
      </c>
      <c r="X2833" s="65">
        <v>27068</v>
      </c>
      <c r="Y2833" s="65">
        <v>0</v>
      </c>
      <c r="Z2833" s="51">
        <v>0</v>
      </c>
      <c r="AA2833" s="51">
        <v>950</v>
      </c>
      <c r="AB2833" s="102">
        <v>0</v>
      </c>
      <c r="AC2833" s="81">
        <f t="shared" si="136"/>
        <v>115.70222881764917</v>
      </c>
      <c r="AD2833" s="82">
        <f t="shared" si="137"/>
        <v>82.885714285714272</v>
      </c>
      <c r="AE2833" s="218">
        <v>3.3911765094292182E-2</v>
      </c>
      <c r="AF2833">
        <v>1</v>
      </c>
      <c r="AH2833" t="str">
        <f t="shared" si="135"/>
        <v>Gopalpur Bmc</v>
      </c>
      <c r="AJ2833" s="72">
        <v>0</v>
      </c>
      <c r="AK2833" s="72"/>
      <c r="AL2833" s="72"/>
      <c r="AM2833" s="72"/>
    </row>
    <row r="2834" spans="1:39" x14ac:dyDescent="0.25">
      <c r="A2834" s="37" t="s">
        <v>62</v>
      </c>
      <c r="B2834" s="66" t="s">
        <v>1654</v>
      </c>
      <c r="C2834" s="4">
        <v>1059</v>
      </c>
      <c r="D2834" s="41" t="s">
        <v>1299</v>
      </c>
      <c r="E2834" s="41">
        <v>10590014</v>
      </c>
      <c r="F2834" s="85" t="s">
        <v>1443</v>
      </c>
      <c r="G2834" s="39" t="s">
        <v>92</v>
      </c>
      <c r="H2834" s="52" t="s">
        <v>93</v>
      </c>
      <c r="I2834" s="52">
        <v>769.5</v>
      </c>
      <c r="J2834" s="49">
        <v>36819.300000000003</v>
      </c>
      <c r="K2834" s="58">
        <v>844.90000000000009</v>
      </c>
      <c r="L2834" s="58">
        <v>40510.590000000004</v>
      </c>
      <c r="M2834" s="58">
        <v>0</v>
      </c>
      <c r="N2834" s="58">
        <v>0</v>
      </c>
      <c r="O2834" s="58">
        <v>844.90000000000009</v>
      </c>
      <c r="P2834" s="53">
        <v>40510.590000000004</v>
      </c>
      <c r="Q2834" s="65">
        <v>36819.300000000003</v>
      </c>
      <c r="R2834" s="65">
        <v>0</v>
      </c>
      <c r="S2834" s="65">
        <v>0</v>
      </c>
      <c r="T2834" s="65">
        <v>3691.2900000000009</v>
      </c>
      <c r="U2834" s="58">
        <v>0</v>
      </c>
      <c r="V2834" s="65">
        <v>0</v>
      </c>
      <c r="W2834" s="65">
        <v>0</v>
      </c>
      <c r="X2834" s="65">
        <v>36819</v>
      </c>
      <c r="Y2834" s="65">
        <v>0</v>
      </c>
      <c r="Z2834" s="51">
        <v>0</v>
      </c>
      <c r="AA2834" s="51">
        <v>0</v>
      </c>
      <c r="AB2834" s="102">
        <v>0</v>
      </c>
      <c r="AC2834" s="81">
        <f t="shared" si="136"/>
        <v>0</v>
      </c>
      <c r="AD2834" s="82">
        <f t="shared" si="137"/>
        <v>0</v>
      </c>
      <c r="AE2834" s="218">
        <v>-0.10025421450163367</v>
      </c>
      <c r="AF2834">
        <v>1</v>
      </c>
      <c r="AH2834" t="str">
        <f t="shared" si="135"/>
        <v>Gopalpur Bmc</v>
      </c>
      <c r="AJ2834" s="72">
        <v>0</v>
      </c>
      <c r="AK2834" s="72"/>
      <c r="AL2834" s="72"/>
      <c r="AM2834" s="72"/>
    </row>
    <row r="2835" spans="1:39" x14ac:dyDescent="0.25">
      <c r="A2835" s="37" t="s">
        <v>62</v>
      </c>
      <c r="B2835" s="66" t="s">
        <v>1654</v>
      </c>
      <c r="C2835" s="4">
        <v>1059</v>
      </c>
      <c r="D2835" s="41" t="s">
        <v>1299</v>
      </c>
      <c r="E2835" s="41">
        <v>10590016</v>
      </c>
      <c r="F2835" s="85" t="s">
        <v>1470</v>
      </c>
      <c r="G2835" s="39" t="s">
        <v>1610</v>
      </c>
      <c r="H2835" s="52" t="s">
        <v>98</v>
      </c>
      <c r="I2835" s="52">
        <v>375.90000000000003</v>
      </c>
      <c r="J2835" s="49">
        <v>20047.990000000002</v>
      </c>
      <c r="K2835" s="58">
        <v>0</v>
      </c>
      <c r="L2835" s="58">
        <v>0</v>
      </c>
      <c r="M2835" s="58">
        <v>0</v>
      </c>
      <c r="N2835" s="58">
        <v>0</v>
      </c>
      <c r="O2835" s="58">
        <v>0</v>
      </c>
      <c r="P2835" s="53">
        <v>0</v>
      </c>
      <c r="Q2835" s="65">
        <v>20047.990000000002</v>
      </c>
      <c r="R2835" s="65">
        <v>0</v>
      </c>
      <c r="S2835" s="65">
        <v>0</v>
      </c>
      <c r="T2835" s="65">
        <v>0</v>
      </c>
      <c r="U2835" s="58">
        <v>0</v>
      </c>
      <c r="V2835" s="65">
        <v>0</v>
      </c>
      <c r="W2835" s="65">
        <v>0</v>
      </c>
      <c r="X2835" s="65">
        <v>0</v>
      </c>
      <c r="Y2835" s="65">
        <v>0</v>
      </c>
      <c r="Z2835" s="51">
        <v>20047.990000000002</v>
      </c>
      <c r="AA2835" s="51">
        <v>0</v>
      </c>
      <c r="AB2835" s="102">
        <v>0</v>
      </c>
      <c r="AC2835" s="81">
        <f t="shared" si="136"/>
        <v>345.70649422718805</v>
      </c>
      <c r="AD2835" s="82">
        <f t="shared" si="137"/>
        <v>53.7</v>
      </c>
      <c r="AE2835" s="218">
        <v>0</v>
      </c>
      <c r="AF2835">
        <v>0</v>
      </c>
      <c r="AH2835" t="str">
        <f t="shared" si="135"/>
        <v>Gopalpur Bmc</v>
      </c>
      <c r="AJ2835" s="72">
        <v>0</v>
      </c>
      <c r="AK2835" s="72"/>
      <c r="AL2835" s="72"/>
      <c r="AM2835" s="72"/>
    </row>
    <row r="2836" spans="1:39" x14ac:dyDescent="0.25">
      <c r="A2836" s="37" t="s">
        <v>62</v>
      </c>
      <c r="B2836" s="66" t="s">
        <v>1654</v>
      </c>
      <c r="C2836" s="4">
        <v>1014</v>
      </c>
      <c r="D2836" s="41" t="s">
        <v>368</v>
      </c>
      <c r="E2836" s="41">
        <v>10600001</v>
      </c>
      <c r="F2836" s="85" t="s">
        <v>1322</v>
      </c>
      <c r="G2836" s="39" t="s">
        <v>92</v>
      </c>
      <c r="H2836" s="52" t="s">
        <v>93</v>
      </c>
      <c r="I2836" s="52">
        <v>112.7</v>
      </c>
      <c r="J2836" s="49">
        <v>4397.24</v>
      </c>
      <c r="K2836" s="58">
        <v>112.5</v>
      </c>
      <c r="L2836" s="58">
        <v>4378.5</v>
      </c>
      <c r="M2836" s="58">
        <v>0</v>
      </c>
      <c r="N2836" s="58">
        <v>0</v>
      </c>
      <c r="O2836" s="58">
        <v>112.5</v>
      </c>
      <c r="P2836" s="53">
        <v>4378.5</v>
      </c>
      <c r="Q2836" s="65">
        <v>4378.5</v>
      </c>
      <c r="R2836" s="65">
        <v>0</v>
      </c>
      <c r="S2836" s="65">
        <v>0</v>
      </c>
      <c r="T2836" s="65">
        <v>0</v>
      </c>
      <c r="U2836" s="58">
        <v>0</v>
      </c>
      <c r="V2836" s="65">
        <v>0</v>
      </c>
      <c r="W2836" s="65">
        <v>0</v>
      </c>
      <c r="X2836" s="65">
        <v>4379</v>
      </c>
      <c r="Y2836" s="65">
        <v>0</v>
      </c>
      <c r="Z2836" s="51">
        <v>0</v>
      </c>
      <c r="AA2836" s="51">
        <v>18</v>
      </c>
      <c r="AB2836" s="102">
        <v>0</v>
      </c>
      <c r="AC2836" s="81">
        <f t="shared" si="136"/>
        <v>458.29619378881989</v>
      </c>
      <c r="AD2836" s="82">
        <f t="shared" si="137"/>
        <v>16.100000000000001</v>
      </c>
      <c r="AE2836" s="218">
        <v>4.2617641975420456E-3</v>
      </c>
      <c r="AF2836">
        <v>1</v>
      </c>
      <c r="AH2836" t="str">
        <f t="shared" si="135"/>
        <v>Dumraon</v>
      </c>
      <c r="AJ2836" s="72">
        <v>0</v>
      </c>
      <c r="AK2836" s="72"/>
      <c r="AL2836" s="72"/>
      <c r="AM2836" s="72"/>
    </row>
    <row r="2837" spans="1:39" x14ac:dyDescent="0.25">
      <c r="A2837" s="37" t="s">
        <v>62</v>
      </c>
      <c r="B2837" s="66" t="s">
        <v>1654</v>
      </c>
      <c r="C2837" s="4">
        <v>1014</v>
      </c>
      <c r="D2837" s="41" t="s">
        <v>368</v>
      </c>
      <c r="E2837" s="41">
        <v>10600002</v>
      </c>
      <c r="F2837" s="85" t="s">
        <v>1323</v>
      </c>
      <c r="G2837" s="39" t="s">
        <v>92</v>
      </c>
      <c r="H2837" s="52" t="s">
        <v>93</v>
      </c>
      <c r="I2837" s="52">
        <v>632.80000000000007</v>
      </c>
      <c r="J2837" s="49">
        <v>24847.55</v>
      </c>
      <c r="K2837" s="58">
        <v>606.29</v>
      </c>
      <c r="L2837" s="58">
        <v>24841.369999999995</v>
      </c>
      <c r="M2837" s="58">
        <v>0</v>
      </c>
      <c r="N2837" s="58">
        <v>0</v>
      </c>
      <c r="O2837" s="58">
        <v>606.29</v>
      </c>
      <c r="P2837" s="53">
        <v>24841.369999999995</v>
      </c>
      <c r="Q2837" s="65">
        <v>24841.369999999995</v>
      </c>
      <c r="R2837" s="65">
        <v>0</v>
      </c>
      <c r="S2837" s="65">
        <v>0</v>
      </c>
      <c r="T2837" s="65">
        <v>0</v>
      </c>
      <c r="U2837" s="58">
        <v>0</v>
      </c>
      <c r="V2837" s="65">
        <v>0</v>
      </c>
      <c r="W2837" s="65">
        <v>0</v>
      </c>
      <c r="X2837" s="65">
        <v>24841</v>
      </c>
      <c r="Y2837" s="65">
        <v>0</v>
      </c>
      <c r="Z2837" s="51">
        <v>0</v>
      </c>
      <c r="AA2837" s="51">
        <v>7</v>
      </c>
      <c r="AB2837" s="102">
        <v>0</v>
      </c>
      <c r="AC2837" s="81">
        <f t="shared" si="136"/>
        <v>52.773557522123859</v>
      </c>
      <c r="AD2837" s="82">
        <f t="shared" si="137"/>
        <v>90.4</v>
      </c>
      <c r="AE2837" s="218">
        <v>2.4871667427991609E-4</v>
      </c>
      <c r="AF2837">
        <v>1</v>
      </c>
      <c r="AH2837" t="str">
        <f t="shared" si="135"/>
        <v>Dumraon</v>
      </c>
      <c r="AJ2837" s="72">
        <v>0</v>
      </c>
      <c r="AK2837" s="72"/>
      <c r="AL2837" s="72"/>
      <c r="AM2837" s="72"/>
    </row>
    <row r="2838" spans="1:39" x14ac:dyDescent="0.25">
      <c r="A2838" s="37" t="s">
        <v>62</v>
      </c>
      <c r="B2838" s="66" t="s">
        <v>1654</v>
      </c>
      <c r="C2838" s="4">
        <v>1014</v>
      </c>
      <c r="D2838" s="41" t="s">
        <v>368</v>
      </c>
      <c r="E2838" s="41">
        <v>10600004</v>
      </c>
      <c r="F2838" s="85" t="s">
        <v>1324</v>
      </c>
      <c r="G2838" s="39" t="s">
        <v>92</v>
      </c>
      <c r="H2838" s="52" t="s">
        <v>93</v>
      </c>
      <c r="I2838" s="52">
        <v>179.9</v>
      </c>
      <c r="J2838" s="49">
        <v>7365.119999999999</v>
      </c>
      <c r="K2838" s="58">
        <v>178.82</v>
      </c>
      <c r="L2838" s="58">
        <v>7353.63</v>
      </c>
      <c r="M2838" s="58">
        <v>0</v>
      </c>
      <c r="N2838" s="58">
        <v>0</v>
      </c>
      <c r="O2838" s="58">
        <v>178.82</v>
      </c>
      <c r="P2838" s="53">
        <v>7353.63</v>
      </c>
      <c r="Q2838" s="65">
        <v>7353.63</v>
      </c>
      <c r="R2838" s="65">
        <v>0</v>
      </c>
      <c r="S2838" s="65">
        <v>0</v>
      </c>
      <c r="T2838" s="65">
        <v>0</v>
      </c>
      <c r="U2838" s="58">
        <v>2660</v>
      </c>
      <c r="V2838" s="65">
        <v>0</v>
      </c>
      <c r="W2838" s="65">
        <v>0</v>
      </c>
      <c r="X2838" s="65">
        <v>4694</v>
      </c>
      <c r="Y2838" s="65">
        <v>0</v>
      </c>
      <c r="Z2838" s="51">
        <v>0</v>
      </c>
      <c r="AA2838" s="51">
        <v>11</v>
      </c>
      <c r="AB2838" s="102">
        <v>0</v>
      </c>
      <c r="AC2838" s="81">
        <f t="shared" si="136"/>
        <v>425.85868949416334</v>
      </c>
      <c r="AD2838" s="82">
        <f t="shared" si="137"/>
        <v>25.7</v>
      </c>
      <c r="AE2838" s="218">
        <v>1.5600560479664791E-3</v>
      </c>
      <c r="AF2838">
        <v>2</v>
      </c>
      <c r="AH2838" t="str">
        <f t="shared" si="135"/>
        <v>Dumraon</v>
      </c>
      <c r="AJ2838" s="72">
        <v>0</v>
      </c>
      <c r="AK2838" s="72"/>
      <c r="AL2838" s="72"/>
      <c r="AM2838" s="72"/>
    </row>
    <row r="2839" spans="1:39" x14ac:dyDescent="0.25">
      <c r="A2839" s="37" t="s">
        <v>62</v>
      </c>
      <c r="B2839" s="66" t="s">
        <v>1654</v>
      </c>
      <c r="C2839" s="4">
        <v>1014</v>
      </c>
      <c r="D2839" s="41" t="s">
        <v>368</v>
      </c>
      <c r="E2839" s="41">
        <v>10600005</v>
      </c>
      <c r="F2839" s="85" t="s">
        <v>1335</v>
      </c>
      <c r="G2839" s="39" t="s">
        <v>92</v>
      </c>
      <c r="H2839" s="52" t="s">
        <v>93</v>
      </c>
      <c r="I2839" s="52">
        <v>135.4</v>
      </c>
      <c r="J2839" s="49">
        <v>5189.37</v>
      </c>
      <c r="K2839" s="58">
        <v>134.6</v>
      </c>
      <c r="L2839" s="58">
        <v>5182.1000000000004</v>
      </c>
      <c r="M2839" s="58">
        <v>0</v>
      </c>
      <c r="N2839" s="58">
        <v>0</v>
      </c>
      <c r="O2839" s="58">
        <v>134.6</v>
      </c>
      <c r="P2839" s="53">
        <v>5182.1000000000004</v>
      </c>
      <c r="Q2839" s="65">
        <v>5182.1000000000004</v>
      </c>
      <c r="R2839" s="65">
        <v>0</v>
      </c>
      <c r="S2839" s="65">
        <v>0</v>
      </c>
      <c r="T2839" s="65">
        <v>0</v>
      </c>
      <c r="U2839" s="58">
        <v>0</v>
      </c>
      <c r="V2839" s="65">
        <v>0</v>
      </c>
      <c r="W2839" s="65">
        <v>0</v>
      </c>
      <c r="X2839" s="65">
        <v>5182</v>
      </c>
      <c r="Y2839" s="65">
        <v>0</v>
      </c>
      <c r="Z2839" s="51">
        <v>0</v>
      </c>
      <c r="AA2839" s="51">
        <v>7</v>
      </c>
      <c r="AB2839" s="102">
        <v>0</v>
      </c>
      <c r="AC2839" s="81">
        <f t="shared" si="136"/>
        <v>432.77966056129981</v>
      </c>
      <c r="AD2839" s="82">
        <f t="shared" si="137"/>
        <v>19.342857142857145</v>
      </c>
      <c r="AE2839" s="218">
        <v>1.4009407693033119E-3</v>
      </c>
      <c r="AF2839">
        <v>1</v>
      </c>
      <c r="AH2839" t="str">
        <f t="shared" si="135"/>
        <v>Dumraon</v>
      </c>
      <c r="AJ2839" s="72">
        <v>0</v>
      </c>
      <c r="AK2839" s="72"/>
      <c r="AL2839" s="72"/>
      <c r="AM2839" s="72"/>
    </row>
    <row r="2840" spans="1:39" x14ac:dyDescent="0.25">
      <c r="A2840" s="37" t="s">
        <v>62</v>
      </c>
      <c r="B2840" s="66" t="s">
        <v>1654</v>
      </c>
      <c r="C2840" s="4">
        <v>1014</v>
      </c>
      <c r="D2840" s="41" t="s">
        <v>368</v>
      </c>
      <c r="E2840" s="41">
        <v>10600006</v>
      </c>
      <c r="F2840" s="85" t="s">
        <v>1325</v>
      </c>
      <c r="G2840" s="39" t="s">
        <v>92</v>
      </c>
      <c r="H2840" s="52" t="s">
        <v>93</v>
      </c>
      <c r="I2840" s="52">
        <v>40.400000000000006</v>
      </c>
      <c r="J2840" s="49">
        <v>1740.8400000000001</v>
      </c>
      <c r="K2840" s="58">
        <v>58.17</v>
      </c>
      <c r="L2840" s="58">
        <v>2360.0500000000002</v>
      </c>
      <c r="M2840" s="58">
        <v>0</v>
      </c>
      <c r="N2840" s="58">
        <v>0</v>
      </c>
      <c r="O2840" s="58">
        <v>58.17</v>
      </c>
      <c r="P2840" s="53">
        <v>2360.0500000000002</v>
      </c>
      <c r="Q2840" s="65">
        <v>1740.8400000000001</v>
      </c>
      <c r="R2840" s="65">
        <v>0</v>
      </c>
      <c r="S2840" s="65">
        <v>0</v>
      </c>
      <c r="T2840" s="65">
        <v>619.21</v>
      </c>
      <c r="U2840" s="58">
        <v>0</v>
      </c>
      <c r="V2840" s="65">
        <v>0</v>
      </c>
      <c r="W2840" s="65">
        <v>0</v>
      </c>
      <c r="X2840" s="65">
        <v>1741</v>
      </c>
      <c r="Y2840" s="65">
        <v>0</v>
      </c>
      <c r="Z2840" s="51">
        <v>0</v>
      </c>
      <c r="AA2840" s="51">
        <v>0</v>
      </c>
      <c r="AB2840" s="102">
        <v>0</v>
      </c>
      <c r="AC2840" s="81">
        <f t="shared" si="136"/>
        <v>568.44458613861389</v>
      </c>
      <c r="AD2840" s="82">
        <f t="shared" si="137"/>
        <v>5.7714285714285722</v>
      </c>
      <c r="AE2840" s="218">
        <v>-0.35569610073297947</v>
      </c>
      <c r="AF2840">
        <v>1</v>
      </c>
      <c r="AH2840" t="str">
        <f t="shared" si="135"/>
        <v>Dumraon</v>
      </c>
      <c r="AJ2840" s="72">
        <v>0</v>
      </c>
      <c r="AK2840" s="72"/>
      <c r="AL2840" s="72"/>
      <c r="AM2840" s="72"/>
    </row>
    <row r="2841" spans="1:39" x14ac:dyDescent="0.25">
      <c r="A2841" s="37" t="s">
        <v>62</v>
      </c>
      <c r="B2841" s="66" t="s">
        <v>1654</v>
      </c>
      <c r="C2841" s="4">
        <v>1014</v>
      </c>
      <c r="D2841" s="41" t="s">
        <v>368</v>
      </c>
      <c r="E2841" s="41">
        <v>10600008</v>
      </c>
      <c r="F2841" s="85" t="s">
        <v>1326</v>
      </c>
      <c r="G2841" s="39" t="s">
        <v>92</v>
      </c>
      <c r="H2841" s="52" t="s">
        <v>93</v>
      </c>
      <c r="I2841" s="52">
        <v>97.3</v>
      </c>
      <c r="J2841" s="49">
        <v>3503.79</v>
      </c>
      <c r="K2841" s="58">
        <v>97.2</v>
      </c>
      <c r="L2841" s="58">
        <v>3499.2</v>
      </c>
      <c r="M2841" s="58">
        <v>0</v>
      </c>
      <c r="N2841" s="58">
        <v>0</v>
      </c>
      <c r="O2841" s="58">
        <v>97.2</v>
      </c>
      <c r="P2841" s="53">
        <v>3499.2</v>
      </c>
      <c r="Q2841" s="65">
        <v>3499.2</v>
      </c>
      <c r="R2841" s="65">
        <v>0</v>
      </c>
      <c r="S2841" s="65">
        <v>0</v>
      </c>
      <c r="T2841" s="65">
        <v>0</v>
      </c>
      <c r="U2841" s="58">
        <v>0</v>
      </c>
      <c r="V2841" s="65">
        <v>500</v>
      </c>
      <c r="W2841" s="65">
        <v>0</v>
      </c>
      <c r="X2841" s="65">
        <v>2999</v>
      </c>
      <c r="Y2841" s="65">
        <v>0</v>
      </c>
      <c r="Z2841" s="51">
        <v>0</v>
      </c>
      <c r="AA2841" s="51">
        <v>5</v>
      </c>
      <c r="AB2841" s="102">
        <v>0</v>
      </c>
      <c r="AC2841" s="81">
        <f t="shared" si="136"/>
        <v>434.06664604316541</v>
      </c>
      <c r="AD2841" s="82">
        <f t="shared" si="137"/>
        <v>13.9</v>
      </c>
      <c r="AE2841" s="218">
        <v>1.3100100177237065E-3</v>
      </c>
      <c r="AF2841">
        <v>1</v>
      </c>
      <c r="AH2841" t="str">
        <f t="shared" si="135"/>
        <v>Dumraon</v>
      </c>
      <c r="AJ2841" s="72">
        <v>500</v>
      </c>
      <c r="AK2841" s="72"/>
      <c r="AL2841" s="72"/>
      <c r="AM2841" s="72"/>
    </row>
    <row r="2842" spans="1:39" x14ac:dyDescent="0.25">
      <c r="A2842" s="37" t="s">
        <v>62</v>
      </c>
      <c r="B2842" s="66" t="s">
        <v>1654</v>
      </c>
      <c r="C2842" s="4">
        <v>1014</v>
      </c>
      <c r="D2842" s="41" t="s">
        <v>368</v>
      </c>
      <c r="E2842" s="41">
        <v>10600009</v>
      </c>
      <c r="F2842" s="85" t="s">
        <v>1327</v>
      </c>
      <c r="G2842" s="39" t="s">
        <v>92</v>
      </c>
      <c r="H2842" s="52" t="s">
        <v>93</v>
      </c>
      <c r="I2842" s="52">
        <v>64.900000000000006</v>
      </c>
      <c r="J2842" s="49">
        <v>2416.79</v>
      </c>
      <c r="K2842" s="58">
        <v>62.580000000000005</v>
      </c>
      <c r="L2842" s="58">
        <v>2404.48</v>
      </c>
      <c r="M2842" s="58">
        <v>0</v>
      </c>
      <c r="N2842" s="58">
        <v>0</v>
      </c>
      <c r="O2842" s="58">
        <v>62.580000000000005</v>
      </c>
      <c r="P2842" s="53">
        <v>2404.48</v>
      </c>
      <c r="Q2842" s="65">
        <v>2404.48</v>
      </c>
      <c r="R2842" s="65">
        <v>0</v>
      </c>
      <c r="S2842" s="65">
        <v>0</v>
      </c>
      <c r="T2842" s="65">
        <v>0</v>
      </c>
      <c r="U2842" s="58">
        <v>0</v>
      </c>
      <c r="V2842" s="65">
        <v>0</v>
      </c>
      <c r="W2842" s="65">
        <v>0</v>
      </c>
      <c r="X2842" s="65">
        <v>2404</v>
      </c>
      <c r="Y2842" s="65">
        <v>0</v>
      </c>
      <c r="Z2842" s="51">
        <v>0</v>
      </c>
      <c r="AA2842" s="51">
        <v>13</v>
      </c>
      <c r="AB2842" s="102">
        <v>0</v>
      </c>
      <c r="AC2842" s="81">
        <f t="shared" si="136"/>
        <v>473.00564838212631</v>
      </c>
      <c r="AD2842" s="82">
        <f t="shared" si="137"/>
        <v>9.2714285714285722</v>
      </c>
      <c r="AE2842" s="218">
        <v>5.0935331576181407E-3</v>
      </c>
      <c r="AF2842">
        <v>1</v>
      </c>
      <c r="AH2842" t="str">
        <f t="shared" si="135"/>
        <v>Dumraon</v>
      </c>
      <c r="AJ2842" s="72">
        <v>0</v>
      </c>
      <c r="AK2842" s="72"/>
      <c r="AL2842" s="72"/>
      <c r="AM2842" s="72"/>
    </row>
    <row r="2843" spans="1:39" x14ac:dyDescent="0.25">
      <c r="A2843" s="37" t="s">
        <v>62</v>
      </c>
      <c r="B2843" s="66" t="s">
        <v>1654</v>
      </c>
      <c r="C2843" s="4">
        <v>1014</v>
      </c>
      <c r="D2843" s="41" t="s">
        <v>368</v>
      </c>
      <c r="E2843" s="41">
        <v>10600012</v>
      </c>
      <c r="F2843" s="85" t="s">
        <v>1394</v>
      </c>
      <c r="G2843" s="39" t="s">
        <v>92</v>
      </c>
      <c r="H2843" s="52" t="s">
        <v>93</v>
      </c>
      <c r="I2843" s="52">
        <v>219.10000000000002</v>
      </c>
      <c r="J2843" s="49">
        <v>8979.44</v>
      </c>
      <c r="K2843" s="58">
        <v>267.02000000000004</v>
      </c>
      <c r="L2843" s="58">
        <v>10536.269999999997</v>
      </c>
      <c r="M2843" s="58">
        <v>0</v>
      </c>
      <c r="N2843" s="58">
        <v>0</v>
      </c>
      <c r="O2843" s="58">
        <v>267.02000000000004</v>
      </c>
      <c r="P2843" s="53">
        <v>10536.269999999997</v>
      </c>
      <c r="Q2843" s="65">
        <v>8979.44</v>
      </c>
      <c r="R2843" s="65">
        <v>0</v>
      </c>
      <c r="S2843" s="65">
        <v>0</v>
      </c>
      <c r="T2843" s="65">
        <v>1556.8299999999963</v>
      </c>
      <c r="U2843" s="58">
        <v>2660</v>
      </c>
      <c r="V2843" s="65">
        <v>0</v>
      </c>
      <c r="W2843" s="65">
        <v>0</v>
      </c>
      <c r="X2843" s="65">
        <v>6319</v>
      </c>
      <c r="Y2843" s="65">
        <v>0</v>
      </c>
      <c r="Z2843" s="51">
        <v>0</v>
      </c>
      <c r="AA2843" s="51">
        <v>0</v>
      </c>
      <c r="AB2843" s="102">
        <v>0</v>
      </c>
      <c r="AC2843" s="81">
        <f t="shared" si="136"/>
        <v>394.17733418530344</v>
      </c>
      <c r="AD2843" s="82">
        <f t="shared" si="137"/>
        <v>31.300000000000004</v>
      </c>
      <c r="AE2843" s="218">
        <v>-0.17337718165052568</v>
      </c>
      <c r="AF2843">
        <v>3</v>
      </c>
      <c r="AH2843" t="str">
        <f t="shared" si="135"/>
        <v>Dumraon</v>
      </c>
      <c r="AJ2843" s="72">
        <v>0</v>
      </c>
      <c r="AK2843" s="72"/>
      <c r="AL2843" s="72"/>
      <c r="AM2843" s="72"/>
    </row>
    <row r="2844" spans="1:39" x14ac:dyDescent="0.25">
      <c r="A2844" s="37" t="s">
        <v>62</v>
      </c>
      <c r="B2844" s="66" t="s">
        <v>1654</v>
      </c>
      <c r="C2844" s="4">
        <v>1061</v>
      </c>
      <c r="D2844" s="41" t="s">
        <v>1388</v>
      </c>
      <c r="E2844" s="41">
        <v>10610001</v>
      </c>
      <c r="F2844" s="85" t="s">
        <v>1395</v>
      </c>
      <c r="G2844" s="39" t="s">
        <v>92</v>
      </c>
      <c r="H2844" s="52" t="s">
        <v>93</v>
      </c>
      <c r="I2844" s="52">
        <v>636.70000000000005</v>
      </c>
      <c r="J2844" s="49">
        <v>30332.879999999997</v>
      </c>
      <c r="K2844" s="58">
        <v>654.79999999999995</v>
      </c>
      <c r="L2844" s="58">
        <v>30399.71</v>
      </c>
      <c r="M2844" s="58">
        <v>0.5</v>
      </c>
      <c r="N2844" s="58">
        <v>20.78</v>
      </c>
      <c r="O2844" s="58">
        <v>655.29999999999995</v>
      </c>
      <c r="P2844" s="53">
        <v>30420.489999999998</v>
      </c>
      <c r="Q2844" s="65">
        <v>30332.879999999997</v>
      </c>
      <c r="R2844" s="65">
        <v>0</v>
      </c>
      <c r="S2844" s="65">
        <v>20.78</v>
      </c>
      <c r="T2844" s="65">
        <v>87.610000000000582</v>
      </c>
      <c r="U2844" s="58">
        <v>0</v>
      </c>
      <c r="V2844" s="65">
        <v>0</v>
      </c>
      <c r="W2844" s="65">
        <v>0</v>
      </c>
      <c r="X2844" s="65">
        <v>30312</v>
      </c>
      <c r="Y2844" s="65">
        <v>0</v>
      </c>
      <c r="Z2844" s="51">
        <v>0</v>
      </c>
      <c r="AA2844" s="51">
        <v>0</v>
      </c>
      <c r="AB2844" s="102">
        <v>0</v>
      </c>
      <c r="AC2844" s="81">
        <f t="shared" si="136"/>
        <v>60.313218281765259</v>
      </c>
      <c r="AD2844" s="82">
        <f t="shared" si="137"/>
        <v>90.95714285714287</v>
      </c>
      <c r="AE2844" s="218">
        <v>-2.888284923818661E-3</v>
      </c>
      <c r="AF2844">
        <v>8</v>
      </c>
      <c r="AH2844" t="str">
        <f t="shared" si="135"/>
        <v>Mahua BMC</v>
      </c>
      <c r="AJ2844" s="72">
        <v>0</v>
      </c>
      <c r="AK2844" s="72"/>
      <c r="AL2844" s="72"/>
      <c r="AM2844" s="72"/>
    </row>
    <row r="2845" spans="1:39" x14ac:dyDescent="0.25">
      <c r="A2845" s="37" t="s">
        <v>62</v>
      </c>
      <c r="B2845" s="66" t="s">
        <v>1654</v>
      </c>
      <c r="C2845" s="4">
        <v>1061</v>
      </c>
      <c r="D2845" s="41" t="s">
        <v>1388</v>
      </c>
      <c r="E2845" s="41">
        <v>10610002</v>
      </c>
      <c r="F2845" s="85" t="s">
        <v>1328</v>
      </c>
      <c r="G2845" s="39" t="s">
        <v>92</v>
      </c>
      <c r="H2845" s="52" t="s">
        <v>93</v>
      </c>
      <c r="I2845" s="52">
        <v>403.09999999999997</v>
      </c>
      <c r="J2845" s="49">
        <v>18498.18</v>
      </c>
      <c r="K2845" s="58">
        <v>406.40000000000003</v>
      </c>
      <c r="L2845" s="58">
        <v>19422.710000000003</v>
      </c>
      <c r="M2845" s="58">
        <v>0</v>
      </c>
      <c r="N2845" s="58">
        <v>0</v>
      </c>
      <c r="O2845" s="58">
        <v>406.40000000000003</v>
      </c>
      <c r="P2845" s="53">
        <v>19422.710000000003</v>
      </c>
      <c r="Q2845" s="65">
        <v>18498.18</v>
      </c>
      <c r="R2845" s="65">
        <v>0</v>
      </c>
      <c r="S2845" s="65">
        <v>0</v>
      </c>
      <c r="T2845" s="65">
        <v>924.53000000000247</v>
      </c>
      <c r="U2845" s="58">
        <v>0</v>
      </c>
      <c r="V2845" s="65">
        <v>0</v>
      </c>
      <c r="W2845" s="65">
        <v>0</v>
      </c>
      <c r="X2845" s="65">
        <v>18498</v>
      </c>
      <c r="Y2845" s="65">
        <v>0</v>
      </c>
      <c r="Z2845" s="51">
        <v>0</v>
      </c>
      <c r="AA2845" s="51">
        <v>0</v>
      </c>
      <c r="AB2845" s="102">
        <v>0</v>
      </c>
      <c r="AC2845" s="81">
        <f t="shared" si="136"/>
        <v>272.49365626395439</v>
      </c>
      <c r="AD2845" s="82">
        <f t="shared" si="137"/>
        <v>57.585714285714282</v>
      </c>
      <c r="AE2845" s="218">
        <v>-4.9979511497888034E-2</v>
      </c>
      <c r="AF2845">
        <v>10</v>
      </c>
      <c r="AH2845" t="str">
        <f t="shared" si="135"/>
        <v>Mahua BMC</v>
      </c>
      <c r="AJ2845" s="72">
        <v>0</v>
      </c>
      <c r="AK2845" s="72"/>
      <c r="AL2845" s="72"/>
      <c r="AM2845" s="72"/>
    </row>
    <row r="2846" spans="1:39" x14ac:dyDescent="0.25">
      <c r="A2846" s="37" t="s">
        <v>62</v>
      </c>
      <c r="B2846" s="66" t="s">
        <v>1654</v>
      </c>
      <c r="C2846" s="4">
        <v>1061</v>
      </c>
      <c r="D2846" s="41" t="s">
        <v>1388</v>
      </c>
      <c r="E2846" s="41">
        <v>10610003</v>
      </c>
      <c r="F2846" s="85" t="s">
        <v>1396</v>
      </c>
      <c r="G2846" s="39" t="s">
        <v>92</v>
      </c>
      <c r="H2846" s="52" t="s">
        <v>93</v>
      </c>
      <c r="I2846" s="52">
        <v>254.60000000000005</v>
      </c>
      <c r="J2846" s="49">
        <v>10135.120000000001</v>
      </c>
      <c r="K2846" s="58">
        <v>257.8</v>
      </c>
      <c r="L2846" s="58">
        <v>10512.97</v>
      </c>
      <c r="M2846" s="58">
        <v>0</v>
      </c>
      <c r="N2846" s="58">
        <v>0</v>
      </c>
      <c r="O2846" s="58">
        <v>257.8</v>
      </c>
      <c r="P2846" s="53">
        <v>10512.97</v>
      </c>
      <c r="Q2846" s="65">
        <v>10135.120000000001</v>
      </c>
      <c r="R2846" s="65">
        <v>0</v>
      </c>
      <c r="S2846" s="65">
        <v>0</v>
      </c>
      <c r="T2846" s="65">
        <v>377.84999999999854</v>
      </c>
      <c r="U2846" s="58">
        <v>0</v>
      </c>
      <c r="V2846" s="65">
        <v>0</v>
      </c>
      <c r="W2846" s="65">
        <v>0</v>
      </c>
      <c r="X2846" s="65">
        <v>10135</v>
      </c>
      <c r="Y2846" s="65">
        <v>0</v>
      </c>
      <c r="Z2846" s="51">
        <v>0</v>
      </c>
      <c r="AA2846" s="51">
        <v>0</v>
      </c>
      <c r="AB2846" s="102">
        <v>0</v>
      </c>
      <c r="AC2846" s="81">
        <f t="shared" si="136"/>
        <v>354.60977596229367</v>
      </c>
      <c r="AD2846" s="82">
        <f t="shared" si="137"/>
        <v>36.371428571428581</v>
      </c>
      <c r="AE2846" s="218">
        <v>-3.7281255673341659E-2</v>
      </c>
      <c r="AF2846">
        <v>3</v>
      </c>
      <c r="AH2846" t="str">
        <f t="shared" si="135"/>
        <v>Mahua BMC</v>
      </c>
      <c r="AJ2846" s="72">
        <v>0</v>
      </c>
      <c r="AK2846" s="72"/>
      <c r="AL2846" s="72"/>
      <c r="AM2846" s="72"/>
    </row>
    <row r="2847" spans="1:39" x14ac:dyDescent="0.25">
      <c r="A2847" s="37" t="s">
        <v>62</v>
      </c>
      <c r="B2847" s="66" t="s">
        <v>1654</v>
      </c>
      <c r="C2847" s="4">
        <v>1061</v>
      </c>
      <c r="D2847" s="41" t="s">
        <v>1388</v>
      </c>
      <c r="E2847" s="41">
        <v>10610004</v>
      </c>
      <c r="F2847" s="85" t="s">
        <v>1397</v>
      </c>
      <c r="G2847" s="39" t="s">
        <v>92</v>
      </c>
      <c r="H2847" s="52" t="s">
        <v>93</v>
      </c>
      <c r="I2847" s="52">
        <v>354.4</v>
      </c>
      <c r="J2847" s="49">
        <v>15684.02</v>
      </c>
      <c r="K2847" s="58">
        <v>344.59999999999991</v>
      </c>
      <c r="L2847" s="58">
        <v>15862.27</v>
      </c>
      <c r="M2847" s="58">
        <v>7.8</v>
      </c>
      <c r="N2847" s="58">
        <v>344.98</v>
      </c>
      <c r="O2847" s="58">
        <v>352.39999999999992</v>
      </c>
      <c r="P2847" s="53">
        <v>16207.25</v>
      </c>
      <c r="Q2847" s="65">
        <v>15684.02</v>
      </c>
      <c r="R2847" s="65">
        <v>0</v>
      </c>
      <c r="S2847" s="65">
        <v>344.98</v>
      </c>
      <c r="T2847" s="65">
        <v>523.22999999999956</v>
      </c>
      <c r="U2847" s="58">
        <v>7336</v>
      </c>
      <c r="V2847" s="65">
        <v>0</v>
      </c>
      <c r="W2847" s="65">
        <v>0</v>
      </c>
      <c r="X2847" s="65">
        <v>8003</v>
      </c>
      <c r="Y2847" s="65">
        <v>0</v>
      </c>
      <c r="Z2847" s="51">
        <v>0</v>
      </c>
      <c r="AA2847" s="51">
        <v>0</v>
      </c>
      <c r="AB2847" s="102" t="s">
        <v>1366</v>
      </c>
      <c r="AC2847" s="81">
        <f t="shared" si="136"/>
        <v>305.89149616252826</v>
      </c>
      <c r="AD2847" s="82">
        <f t="shared" si="137"/>
        <v>50.628571428571426</v>
      </c>
      <c r="AE2847" s="218">
        <v>-3.3360707267652015E-2</v>
      </c>
      <c r="AF2847">
        <v>9</v>
      </c>
      <c r="AH2847" t="str">
        <f t="shared" si="135"/>
        <v>Mahua BMC</v>
      </c>
      <c r="AJ2847" s="72">
        <v>0</v>
      </c>
      <c r="AK2847" s="72"/>
      <c r="AL2847" s="72"/>
      <c r="AM2847" s="72"/>
    </row>
    <row r="2848" spans="1:39" x14ac:dyDescent="0.25">
      <c r="A2848" s="37" t="s">
        <v>62</v>
      </c>
      <c r="B2848" s="66" t="s">
        <v>1654</v>
      </c>
      <c r="C2848" s="4">
        <v>1061</v>
      </c>
      <c r="D2848" s="41" t="s">
        <v>1388</v>
      </c>
      <c r="E2848" s="41">
        <v>10610005</v>
      </c>
      <c r="F2848" s="85" t="s">
        <v>456</v>
      </c>
      <c r="G2848" s="39" t="s">
        <v>92</v>
      </c>
      <c r="H2848" s="52" t="s">
        <v>93</v>
      </c>
      <c r="I2848" s="52">
        <v>1024.5</v>
      </c>
      <c r="J2848" s="49">
        <v>45806.19</v>
      </c>
      <c r="K2848" s="58">
        <v>1056.7</v>
      </c>
      <c r="L2848" s="58">
        <v>45789.19000000001</v>
      </c>
      <c r="M2848" s="58">
        <v>0</v>
      </c>
      <c r="N2848" s="58">
        <v>0</v>
      </c>
      <c r="O2848" s="58">
        <v>1056.7</v>
      </c>
      <c r="P2848" s="53">
        <v>45789.19000000001</v>
      </c>
      <c r="Q2848" s="65">
        <v>45789.19000000001</v>
      </c>
      <c r="R2848" s="65">
        <v>0</v>
      </c>
      <c r="S2848" s="65">
        <v>0</v>
      </c>
      <c r="T2848" s="65">
        <v>0</v>
      </c>
      <c r="U2848" s="58">
        <v>0</v>
      </c>
      <c r="V2848" s="65">
        <v>0</v>
      </c>
      <c r="W2848" s="65">
        <v>0</v>
      </c>
      <c r="X2848" s="65">
        <v>45790</v>
      </c>
      <c r="Y2848" s="65">
        <v>0</v>
      </c>
      <c r="Z2848" s="51">
        <v>0</v>
      </c>
      <c r="AA2848" s="51">
        <v>16</v>
      </c>
      <c r="AB2848" s="102">
        <v>0</v>
      </c>
      <c r="AC2848" s="81">
        <f t="shared" si="136"/>
        <v>0</v>
      </c>
      <c r="AD2848" s="82">
        <f t="shared" si="137"/>
        <v>0</v>
      </c>
      <c r="AE2848" s="218">
        <v>3.7112888017957232E-4</v>
      </c>
      <c r="AF2848">
        <v>7</v>
      </c>
      <c r="AH2848" t="str">
        <f t="shared" si="135"/>
        <v>Mahua BMC</v>
      </c>
      <c r="AJ2848" s="72">
        <v>0</v>
      </c>
      <c r="AK2848" s="72"/>
      <c r="AL2848" s="72"/>
      <c r="AM2848" s="72"/>
    </row>
    <row r="2849" spans="1:39" x14ac:dyDescent="0.25">
      <c r="A2849" s="37" t="s">
        <v>62</v>
      </c>
      <c r="B2849" s="66" t="s">
        <v>1654</v>
      </c>
      <c r="C2849" s="4">
        <v>1061</v>
      </c>
      <c r="D2849" s="41" t="s">
        <v>1388</v>
      </c>
      <c r="E2849" s="41">
        <v>10610006</v>
      </c>
      <c r="F2849" s="85" t="s">
        <v>1329</v>
      </c>
      <c r="G2849" s="39" t="s">
        <v>92</v>
      </c>
      <c r="H2849" s="52" t="s">
        <v>93</v>
      </c>
      <c r="I2849" s="52">
        <v>359.5</v>
      </c>
      <c r="J2849" s="49">
        <v>18040.739999999998</v>
      </c>
      <c r="K2849" s="58">
        <v>359.6</v>
      </c>
      <c r="L2849" s="58">
        <v>17576.53</v>
      </c>
      <c r="M2849" s="58">
        <v>0</v>
      </c>
      <c r="N2849" s="58">
        <v>0</v>
      </c>
      <c r="O2849" s="58">
        <v>359.6</v>
      </c>
      <c r="P2849" s="53">
        <v>17576.53</v>
      </c>
      <c r="Q2849" s="65">
        <v>17576.53</v>
      </c>
      <c r="R2849" s="65">
        <v>0</v>
      </c>
      <c r="S2849" s="65">
        <v>0</v>
      </c>
      <c r="T2849" s="65">
        <v>0</v>
      </c>
      <c r="U2849" s="58">
        <v>0</v>
      </c>
      <c r="V2849" s="65">
        <v>0</v>
      </c>
      <c r="W2849" s="65">
        <v>0</v>
      </c>
      <c r="X2849" s="65">
        <v>17576</v>
      </c>
      <c r="Y2849" s="65">
        <v>0</v>
      </c>
      <c r="Z2849" s="51">
        <v>0</v>
      </c>
      <c r="AA2849" s="51">
        <v>465</v>
      </c>
      <c r="AB2849" s="102">
        <v>0</v>
      </c>
      <c r="AC2849" s="81">
        <f t="shared" si="136"/>
        <v>341.74531126564665</v>
      </c>
      <c r="AD2849" s="82">
        <f t="shared" si="137"/>
        <v>51.357142857142854</v>
      </c>
      <c r="AE2849" s="218">
        <v>2.5731206147863069E-2</v>
      </c>
      <c r="AF2849">
        <v>11</v>
      </c>
      <c r="AH2849" t="str">
        <f t="shared" si="135"/>
        <v>Mahua BMC</v>
      </c>
      <c r="AJ2849" s="72">
        <v>0</v>
      </c>
      <c r="AK2849" s="72"/>
      <c r="AL2849" s="72"/>
      <c r="AM2849" s="72"/>
    </row>
    <row r="2850" spans="1:39" x14ac:dyDescent="0.25">
      <c r="A2850" s="37" t="s">
        <v>62</v>
      </c>
      <c r="B2850" s="66" t="s">
        <v>1654</v>
      </c>
      <c r="C2850" s="4">
        <v>1061</v>
      </c>
      <c r="D2850" s="41" t="s">
        <v>1388</v>
      </c>
      <c r="E2850" s="41">
        <v>10610008</v>
      </c>
      <c r="F2850" s="85" t="s">
        <v>1330</v>
      </c>
      <c r="G2850" s="39" t="s">
        <v>92</v>
      </c>
      <c r="H2850" s="52" t="s">
        <v>93</v>
      </c>
      <c r="I2850" s="52">
        <v>402.09999999999991</v>
      </c>
      <c r="J2850" s="49">
        <v>18694.46</v>
      </c>
      <c r="K2850" s="58">
        <v>404.1</v>
      </c>
      <c r="L2850" s="58">
        <v>18326.64</v>
      </c>
      <c r="M2850" s="58">
        <v>0</v>
      </c>
      <c r="N2850" s="58">
        <v>0</v>
      </c>
      <c r="O2850" s="58">
        <v>404.1</v>
      </c>
      <c r="P2850" s="53">
        <v>18326.64</v>
      </c>
      <c r="Q2850" s="65">
        <v>18326.64</v>
      </c>
      <c r="R2850" s="65">
        <v>0</v>
      </c>
      <c r="S2850" s="65">
        <v>0</v>
      </c>
      <c r="T2850" s="65">
        <v>0</v>
      </c>
      <c r="U2850" s="58">
        <v>0</v>
      </c>
      <c r="V2850" s="65">
        <v>0</v>
      </c>
      <c r="W2850" s="65">
        <v>0</v>
      </c>
      <c r="X2850" s="65">
        <v>18326</v>
      </c>
      <c r="Y2850" s="65">
        <v>0</v>
      </c>
      <c r="Z2850" s="51">
        <v>0</v>
      </c>
      <c r="AA2850" s="51">
        <v>368</v>
      </c>
      <c r="AB2850" s="102">
        <v>0</v>
      </c>
      <c r="AC2850" s="81">
        <f t="shared" si="136"/>
        <v>276.99973310121874</v>
      </c>
      <c r="AD2850" s="82">
        <f t="shared" si="137"/>
        <v>57.442857142857129</v>
      </c>
      <c r="AE2850" s="218">
        <v>1.9675347669844422E-2</v>
      </c>
      <c r="AF2850">
        <v>3</v>
      </c>
      <c r="AH2850" t="str">
        <f t="shared" si="135"/>
        <v>Mahua BMC</v>
      </c>
      <c r="AJ2850" s="72">
        <v>0</v>
      </c>
      <c r="AK2850" s="72"/>
      <c r="AL2850" s="72"/>
      <c r="AM2850" s="72"/>
    </row>
    <row r="2851" spans="1:39" x14ac:dyDescent="0.25">
      <c r="A2851" s="37" t="s">
        <v>62</v>
      </c>
      <c r="B2851" s="66" t="s">
        <v>1654</v>
      </c>
      <c r="C2851" s="4">
        <v>1061</v>
      </c>
      <c r="D2851" s="41" t="s">
        <v>1388</v>
      </c>
      <c r="E2851" s="41">
        <v>10610009</v>
      </c>
      <c r="F2851" s="85" t="s">
        <v>1346</v>
      </c>
      <c r="G2851" s="39" t="s">
        <v>92</v>
      </c>
      <c r="H2851" s="52" t="s">
        <v>93</v>
      </c>
      <c r="I2851" s="52">
        <v>1311.3999999999999</v>
      </c>
      <c r="J2851" s="49">
        <v>62263.560000000005</v>
      </c>
      <c r="K2851" s="58">
        <v>1330.0999999999997</v>
      </c>
      <c r="L2851" s="58">
        <v>63008.990000000005</v>
      </c>
      <c r="M2851" s="58">
        <v>16.400000000000002</v>
      </c>
      <c r="N2851" s="58">
        <v>747.66</v>
      </c>
      <c r="O2851" s="58">
        <v>1346.4999999999998</v>
      </c>
      <c r="P2851" s="53">
        <v>63756.650000000009</v>
      </c>
      <c r="Q2851" s="65">
        <v>62263.560000000005</v>
      </c>
      <c r="R2851" s="65">
        <v>0</v>
      </c>
      <c r="S2851" s="65">
        <v>747.66</v>
      </c>
      <c r="T2851" s="65">
        <v>1493.0900000000038</v>
      </c>
      <c r="U2851" s="58">
        <v>6050</v>
      </c>
      <c r="V2851" s="65">
        <v>0</v>
      </c>
      <c r="W2851" s="65">
        <v>0</v>
      </c>
      <c r="X2851" s="65">
        <v>55466</v>
      </c>
      <c r="Y2851" s="65">
        <v>0</v>
      </c>
      <c r="Z2851" s="51">
        <v>0</v>
      </c>
      <c r="AA2851" s="51">
        <v>0</v>
      </c>
      <c r="AB2851" s="102" t="s">
        <v>68</v>
      </c>
      <c r="AC2851" s="81">
        <f t="shared" si="136"/>
        <v>0</v>
      </c>
      <c r="AD2851" s="82">
        <f t="shared" si="137"/>
        <v>0</v>
      </c>
      <c r="AE2851" s="218">
        <v>-2.3980157896528943E-2</v>
      </c>
      <c r="AF2851">
        <v>29</v>
      </c>
      <c r="AH2851" t="str">
        <f t="shared" si="135"/>
        <v>Mahua BMC</v>
      </c>
      <c r="AJ2851" s="72">
        <v>0</v>
      </c>
      <c r="AK2851" s="72"/>
      <c r="AL2851" s="72"/>
      <c r="AM2851" s="72"/>
    </row>
    <row r="2852" spans="1:39" x14ac:dyDescent="0.25">
      <c r="A2852" s="37" t="s">
        <v>62</v>
      </c>
      <c r="B2852" s="66" t="s">
        <v>1654</v>
      </c>
      <c r="C2852" s="4">
        <v>1061</v>
      </c>
      <c r="D2852" s="41" t="s">
        <v>1388</v>
      </c>
      <c r="E2852" s="41">
        <v>10610010</v>
      </c>
      <c r="F2852" s="85" t="s">
        <v>1331</v>
      </c>
      <c r="G2852" s="39" t="s">
        <v>92</v>
      </c>
      <c r="H2852" s="52" t="s">
        <v>93</v>
      </c>
      <c r="I2852" s="52">
        <v>447.50000000000006</v>
      </c>
      <c r="J2852" s="49">
        <v>21820.819999999996</v>
      </c>
      <c r="K2852" s="58">
        <v>494.79999999999995</v>
      </c>
      <c r="L2852" s="58">
        <v>23095.01</v>
      </c>
      <c r="M2852" s="58">
        <v>0</v>
      </c>
      <c r="N2852" s="58">
        <v>0</v>
      </c>
      <c r="O2852" s="58">
        <v>494.79999999999995</v>
      </c>
      <c r="P2852" s="53">
        <v>23095.01</v>
      </c>
      <c r="Q2852" s="65">
        <v>21820.819999999996</v>
      </c>
      <c r="R2852" s="65">
        <v>0</v>
      </c>
      <c r="S2852" s="65">
        <v>0</v>
      </c>
      <c r="T2852" s="65">
        <v>1274.1900000000023</v>
      </c>
      <c r="U2852" s="58">
        <v>0</v>
      </c>
      <c r="V2852" s="65">
        <v>0</v>
      </c>
      <c r="W2852" s="65">
        <v>0</v>
      </c>
      <c r="X2852" s="65">
        <v>21821</v>
      </c>
      <c r="Y2852" s="65">
        <v>0</v>
      </c>
      <c r="Z2852" s="51">
        <v>0</v>
      </c>
      <c r="AA2852" s="51">
        <v>0</v>
      </c>
      <c r="AB2852" s="102">
        <v>0</v>
      </c>
      <c r="AC2852" s="81">
        <f t="shared" si="136"/>
        <v>246.24612513966466</v>
      </c>
      <c r="AD2852" s="82">
        <f t="shared" si="137"/>
        <v>63.928571428571438</v>
      </c>
      <c r="AE2852" s="218">
        <v>-5.8393314275082354E-2</v>
      </c>
      <c r="AF2852">
        <v>19</v>
      </c>
      <c r="AH2852" t="str">
        <f t="shared" si="135"/>
        <v>Mahua BMC</v>
      </c>
      <c r="AJ2852" s="72">
        <v>0</v>
      </c>
      <c r="AK2852" s="72"/>
      <c r="AL2852" s="72"/>
      <c r="AM2852" s="72"/>
    </row>
    <row r="2853" spans="1:39" x14ac:dyDescent="0.25">
      <c r="A2853" s="37" t="s">
        <v>62</v>
      </c>
      <c r="B2853" s="66" t="s">
        <v>1654</v>
      </c>
      <c r="C2853" s="4">
        <v>1061</v>
      </c>
      <c r="D2853" s="41" t="s">
        <v>1388</v>
      </c>
      <c r="E2853" s="41">
        <v>10610011</v>
      </c>
      <c r="F2853" s="85" t="s">
        <v>1398</v>
      </c>
      <c r="G2853" s="39" t="s">
        <v>1610</v>
      </c>
      <c r="H2853" s="52" t="s">
        <v>98</v>
      </c>
      <c r="I2853" s="52">
        <v>361.2</v>
      </c>
      <c r="J2853" s="49">
        <v>14362.16</v>
      </c>
      <c r="K2853" s="58">
        <v>0</v>
      </c>
      <c r="L2853" s="58">
        <v>0</v>
      </c>
      <c r="M2853" s="58">
        <v>0</v>
      </c>
      <c r="N2853" s="58">
        <v>0</v>
      </c>
      <c r="O2853" s="58">
        <v>0</v>
      </c>
      <c r="P2853" s="53">
        <v>0</v>
      </c>
      <c r="Q2853" s="65">
        <v>14362.16</v>
      </c>
      <c r="R2853" s="65">
        <v>0</v>
      </c>
      <c r="S2853" s="65">
        <v>0</v>
      </c>
      <c r="T2853" s="65">
        <v>0</v>
      </c>
      <c r="U2853" s="58">
        <v>0</v>
      </c>
      <c r="V2853" s="65">
        <v>0</v>
      </c>
      <c r="W2853" s="65">
        <v>0</v>
      </c>
      <c r="X2853" s="65">
        <v>0</v>
      </c>
      <c r="Y2853" s="65">
        <v>0</v>
      </c>
      <c r="Z2853" s="51">
        <v>14362.16</v>
      </c>
      <c r="AA2853" s="51">
        <v>0</v>
      </c>
      <c r="AB2853" s="102">
        <v>0</v>
      </c>
      <c r="AC2853" s="81">
        <f t="shared" si="136"/>
        <v>269.42966821705426</v>
      </c>
      <c r="AD2853" s="82">
        <f t="shared" si="137"/>
        <v>51.6</v>
      </c>
      <c r="AE2853" s="218">
        <v>0</v>
      </c>
      <c r="AF2853">
        <v>0</v>
      </c>
      <c r="AH2853" t="str">
        <f t="shared" si="135"/>
        <v>Mahua BMC</v>
      </c>
      <c r="AJ2853" s="72">
        <v>0</v>
      </c>
      <c r="AK2853" s="72"/>
      <c r="AL2853" s="72"/>
      <c r="AM2853" s="72"/>
    </row>
    <row r="2854" spans="1:39" x14ac:dyDescent="0.25">
      <c r="A2854" s="37" t="s">
        <v>62</v>
      </c>
      <c r="B2854" s="66" t="s">
        <v>1654</v>
      </c>
      <c r="C2854" s="4">
        <v>1061</v>
      </c>
      <c r="D2854" s="41" t="s">
        <v>1388</v>
      </c>
      <c r="E2854" s="41">
        <v>10610013</v>
      </c>
      <c r="F2854" s="85" t="s">
        <v>1399</v>
      </c>
      <c r="G2854" s="39" t="s">
        <v>1610</v>
      </c>
      <c r="H2854" s="52" t="s">
        <v>98</v>
      </c>
      <c r="I2854" s="52">
        <v>162.69999999999999</v>
      </c>
      <c r="J2854" s="49">
        <v>5681.71</v>
      </c>
      <c r="K2854" s="58">
        <v>0</v>
      </c>
      <c r="L2854" s="58">
        <v>0</v>
      </c>
      <c r="M2854" s="58">
        <v>0</v>
      </c>
      <c r="N2854" s="58">
        <v>0</v>
      </c>
      <c r="O2854" s="58">
        <v>0</v>
      </c>
      <c r="P2854" s="53">
        <v>0</v>
      </c>
      <c r="Q2854" s="65">
        <v>5681.71</v>
      </c>
      <c r="R2854" s="65">
        <v>0</v>
      </c>
      <c r="S2854" s="65">
        <v>0</v>
      </c>
      <c r="T2854" s="65">
        <v>0</v>
      </c>
      <c r="U2854" s="58">
        <v>0</v>
      </c>
      <c r="V2854" s="65">
        <v>0</v>
      </c>
      <c r="W2854" s="65">
        <v>0</v>
      </c>
      <c r="X2854" s="65">
        <v>0</v>
      </c>
      <c r="Y2854" s="65">
        <v>0</v>
      </c>
      <c r="Z2854" s="51">
        <v>5681.71</v>
      </c>
      <c r="AA2854" s="51">
        <v>0</v>
      </c>
      <c r="AB2854" s="102">
        <v>0</v>
      </c>
      <c r="AC2854" s="81">
        <f t="shared" si="136"/>
        <v>375.26524683466511</v>
      </c>
      <c r="AD2854" s="82">
        <f t="shared" si="137"/>
        <v>23.24285714285714</v>
      </c>
      <c r="AE2854" s="218">
        <v>0</v>
      </c>
      <c r="AF2854">
        <v>0</v>
      </c>
      <c r="AH2854" t="str">
        <f t="shared" si="135"/>
        <v>Mahua BMC</v>
      </c>
      <c r="AJ2854" s="72">
        <v>0</v>
      </c>
      <c r="AK2854" s="72"/>
      <c r="AL2854" s="72"/>
      <c r="AM2854" s="72"/>
    </row>
    <row r="2855" spans="1:39" x14ac:dyDescent="0.25">
      <c r="A2855" s="37" t="s">
        <v>62</v>
      </c>
      <c r="B2855" s="66" t="s">
        <v>1654</v>
      </c>
      <c r="C2855" s="4">
        <v>1061</v>
      </c>
      <c r="D2855" s="41" t="s">
        <v>1388</v>
      </c>
      <c r="E2855" s="41">
        <v>10610017</v>
      </c>
      <c r="F2855" s="85" t="s">
        <v>1400</v>
      </c>
      <c r="G2855" s="39" t="s">
        <v>92</v>
      </c>
      <c r="H2855" s="52" t="s">
        <v>93</v>
      </c>
      <c r="I2855" s="52">
        <v>189.20000000000002</v>
      </c>
      <c r="J2855" s="49">
        <v>7998.9000000000005</v>
      </c>
      <c r="K2855" s="58">
        <v>187.59999999999997</v>
      </c>
      <c r="L2855" s="58">
        <v>7962.9999999999991</v>
      </c>
      <c r="M2855" s="58">
        <v>0</v>
      </c>
      <c r="N2855" s="58">
        <v>0</v>
      </c>
      <c r="O2855" s="58">
        <v>187.59999999999997</v>
      </c>
      <c r="P2855" s="53">
        <v>7962.9999999999991</v>
      </c>
      <c r="Q2855" s="65">
        <v>7962.9999999999991</v>
      </c>
      <c r="R2855" s="65">
        <v>0</v>
      </c>
      <c r="S2855" s="65">
        <v>0</v>
      </c>
      <c r="T2855" s="65">
        <v>0</v>
      </c>
      <c r="U2855" s="58">
        <v>0</v>
      </c>
      <c r="V2855" s="65">
        <v>0</v>
      </c>
      <c r="W2855" s="65">
        <v>0</v>
      </c>
      <c r="X2855" s="65">
        <v>7963</v>
      </c>
      <c r="Y2855" s="65">
        <v>0</v>
      </c>
      <c r="Z2855" s="51">
        <v>0</v>
      </c>
      <c r="AA2855" s="51">
        <v>36</v>
      </c>
      <c r="AB2855" s="102">
        <v>0</v>
      </c>
      <c r="AC2855" s="81">
        <f t="shared" si="136"/>
        <v>431.90677801268498</v>
      </c>
      <c r="AD2855" s="82">
        <f t="shared" si="137"/>
        <v>27.028571428571432</v>
      </c>
      <c r="AE2855" s="218">
        <v>4.4881171161036456E-3</v>
      </c>
      <c r="AF2855">
        <v>10</v>
      </c>
      <c r="AH2855" t="str">
        <f t="shared" si="135"/>
        <v>Mahua BMC</v>
      </c>
      <c r="AJ2855" s="72">
        <v>0</v>
      </c>
      <c r="AK2855" s="72"/>
      <c r="AL2855" s="72"/>
      <c r="AM2855" s="72"/>
    </row>
    <row r="2856" spans="1:39" x14ac:dyDescent="0.25">
      <c r="A2856" s="37" t="s">
        <v>62</v>
      </c>
      <c r="B2856" s="66" t="s">
        <v>1654</v>
      </c>
      <c r="C2856" s="4">
        <v>1061</v>
      </c>
      <c r="D2856" s="41" t="s">
        <v>1388</v>
      </c>
      <c r="E2856" s="41">
        <v>10610018</v>
      </c>
      <c r="F2856" s="85" t="s">
        <v>1401</v>
      </c>
      <c r="G2856" s="39" t="s">
        <v>92</v>
      </c>
      <c r="H2856" s="52" t="s">
        <v>93</v>
      </c>
      <c r="I2856" s="52">
        <v>487.3</v>
      </c>
      <c r="J2856" s="49">
        <v>21942.970000000005</v>
      </c>
      <c r="K2856" s="58">
        <v>266.39999999999998</v>
      </c>
      <c r="L2856" s="58">
        <v>12931.76</v>
      </c>
      <c r="M2856" s="58">
        <v>247.6</v>
      </c>
      <c r="N2856" s="58">
        <v>9557.42</v>
      </c>
      <c r="O2856" s="58">
        <v>514</v>
      </c>
      <c r="P2856" s="53">
        <v>22489.18</v>
      </c>
      <c r="Q2856" s="65">
        <v>21942.970000000005</v>
      </c>
      <c r="R2856" s="65">
        <v>0</v>
      </c>
      <c r="S2856" s="65">
        <v>0</v>
      </c>
      <c r="T2856" s="65">
        <v>546.20999999999549</v>
      </c>
      <c r="U2856" s="58">
        <v>0</v>
      </c>
      <c r="V2856" s="65">
        <v>0</v>
      </c>
      <c r="W2856" s="65">
        <v>0</v>
      </c>
      <c r="X2856" s="65">
        <v>12387</v>
      </c>
      <c r="Y2856" s="65">
        <v>9556</v>
      </c>
      <c r="Z2856" s="51">
        <v>0</v>
      </c>
      <c r="AA2856" s="51">
        <v>0</v>
      </c>
      <c r="AB2856" s="102">
        <v>0</v>
      </c>
      <c r="AC2856" s="81">
        <f t="shared" si="136"/>
        <v>191.55631926944389</v>
      </c>
      <c r="AD2856" s="82">
        <f t="shared" si="137"/>
        <v>69.614285714285714</v>
      </c>
      <c r="AE2856" s="218">
        <v>-2.4892254785928949E-2</v>
      </c>
      <c r="AF2856">
        <v>15</v>
      </c>
      <c r="AH2856" t="str">
        <f t="shared" si="135"/>
        <v>Mahua BMC</v>
      </c>
      <c r="AJ2856" s="72">
        <v>0</v>
      </c>
      <c r="AK2856" s="72"/>
      <c r="AL2856" s="72"/>
      <c r="AM2856" s="72"/>
    </row>
    <row r="2857" spans="1:39" x14ac:dyDescent="0.25">
      <c r="A2857" s="37" t="s">
        <v>62</v>
      </c>
      <c r="B2857" s="66" t="s">
        <v>1654</v>
      </c>
      <c r="C2857" s="4">
        <v>1061</v>
      </c>
      <c r="D2857" s="41" t="s">
        <v>1388</v>
      </c>
      <c r="E2857" s="41">
        <v>10610019</v>
      </c>
      <c r="F2857" s="85" t="s">
        <v>1414</v>
      </c>
      <c r="G2857" s="39" t="s">
        <v>92</v>
      </c>
      <c r="H2857" s="52" t="s">
        <v>93</v>
      </c>
      <c r="I2857" s="52">
        <v>48.3</v>
      </c>
      <c r="J2857" s="49">
        <v>2434.08</v>
      </c>
      <c r="K2857" s="58">
        <v>47.400000000000006</v>
      </c>
      <c r="L2857" s="58">
        <v>2278.0800000000004</v>
      </c>
      <c r="M2857" s="58">
        <v>0</v>
      </c>
      <c r="N2857" s="58">
        <v>0</v>
      </c>
      <c r="O2857" s="58">
        <v>47.400000000000006</v>
      </c>
      <c r="P2857" s="53">
        <v>2278.0800000000004</v>
      </c>
      <c r="Q2857" s="65">
        <v>2278.0800000000004</v>
      </c>
      <c r="R2857" s="65">
        <v>0</v>
      </c>
      <c r="S2857" s="65">
        <v>0</v>
      </c>
      <c r="T2857" s="65">
        <v>0</v>
      </c>
      <c r="U2857" s="58">
        <v>0</v>
      </c>
      <c r="V2857" s="65">
        <v>0</v>
      </c>
      <c r="W2857" s="65">
        <v>0</v>
      </c>
      <c r="X2857" s="65">
        <v>2278</v>
      </c>
      <c r="Y2857" s="65">
        <v>0</v>
      </c>
      <c r="Z2857" s="51">
        <v>0</v>
      </c>
      <c r="AA2857" s="51">
        <v>156</v>
      </c>
      <c r="AB2857" s="102">
        <v>0</v>
      </c>
      <c r="AC2857" s="81">
        <f t="shared" si="136"/>
        <v>656.84883478260861</v>
      </c>
      <c r="AD2857" s="82">
        <f t="shared" si="137"/>
        <v>6.8999999999999995</v>
      </c>
      <c r="AE2857" s="218">
        <v>6.4089923092092105E-2</v>
      </c>
      <c r="AF2857">
        <v>4</v>
      </c>
      <c r="AH2857" t="str">
        <f t="shared" si="135"/>
        <v>Mahua BMC</v>
      </c>
      <c r="AJ2857" s="72">
        <v>0</v>
      </c>
      <c r="AK2857" s="72"/>
      <c r="AL2857" s="72"/>
      <c r="AM2857" s="72"/>
    </row>
    <row r="2858" spans="1:39" x14ac:dyDescent="0.25">
      <c r="A2858" s="37" t="s">
        <v>62</v>
      </c>
      <c r="B2858" s="66" t="s">
        <v>1654</v>
      </c>
      <c r="C2858" s="4">
        <v>1061</v>
      </c>
      <c r="D2858" s="41" t="s">
        <v>1388</v>
      </c>
      <c r="E2858" s="41">
        <v>10610020</v>
      </c>
      <c r="F2858" s="85" t="s">
        <v>1402</v>
      </c>
      <c r="G2858" s="39" t="s">
        <v>92</v>
      </c>
      <c r="H2858" s="52" t="s">
        <v>93</v>
      </c>
      <c r="I2858" s="52">
        <v>320.20000000000005</v>
      </c>
      <c r="J2858" s="49">
        <v>14010.720000000003</v>
      </c>
      <c r="K2858" s="58">
        <v>317.40000000000003</v>
      </c>
      <c r="L2858" s="58">
        <v>13729.810000000001</v>
      </c>
      <c r="M2858" s="58">
        <v>3</v>
      </c>
      <c r="N2858" s="58">
        <v>132.31</v>
      </c>
      <c r="O2858" s="58">
        <v>320.40000000000003</v>
      </c>
      <c r="P2858" s="53">
        <v>13862.12</v>
      </c>
      <c r="Q2858" s="65">
        <v>13862.12</v>
      </c>
      <c r="R2858" s="65">
        <v>0</v>
      </c>
      <c r="S2858" s="65">
        <v>132.31</v>
      </c>
      <c r="T2858" s="65">
        <v>0</v>
      </c>
      <c r="U2858" s="58">
        <v>0</v>
      </c>
      <c r="V2858" s="65">
        <v>0</v>
      </c>
      <c r="W2858" s="65">
        <v>0</v>
      </c>
      <c r="X2858" s="65">
        <v>13731</v>
      </c>
      <c r="Y2858" s="65">
        <v>0</v>
      </c>
      <c r="Z2858" s="51">
        <v>0</v>
      </c>
      <c r="AA2858" s="51">
        <v>147</v>
      </c>
      <c r="AB2858" s="102">
        <v>0</v>
      </c>
      <c r="AC2858" s="81">
        <f t="shared" si="136"/>
        <v>332.37173366645845</v>
      </c>
      <c r="AD2858" s="82">
        <f t="shared" si="137"/>
        <v>45.742857142857147</v>
      </c>
      <c r="AE2858" s="218">
        <v>1.0606164422670794E-2</v>
      </c>
      <c r="AF2858">
        <v>12</v>
      </c>
      <c r="AH2858" t="str">
        <f t="shared" si="135"/>
        <v>Mahua BMC</v>
      </c>
      <c r="AJ2858" s="72">
        <v>0</v>
      </c>
      <c r="AK2858" s="72"/>
      <c r="AL2858" s="72"/>
      <c r="AM2858" s="72"/>
    </row>
    <row r="2859" spans="1:39" x14ac:dyDescent="0.25">
      <c r="A2859" s="37" t="s">
        <v>62</v>
      </c>
      <c r="B2859" s="66" t="s">
        <v>1654</v>
      </c>
      <c r="C2859" s="4">
        <v>1061</v>
      </c>
      <c r="D2859" s="41" t="s">
        <v>1388</v>
      </c>
      <c r="E2859" s="41">
        <v>10610022</v>
      </c>
      <c r="F2859" s="85" t="s">
        <v>1403</v>
      </c>
      <c r="G2859" s="39" t="s">
        <v>92</v>
      </c>
      <c r="H2859" s="52" t="s">
        <v>93</v>
      </c>
      <c r="I2859" s="52">
        <v>173.80000000000004</v>
      </c>
      <c r="J2859" s="49">
        <v>9748.5600000000013</v>
      </c>
      <c r="K2859" s="58">
        <v>177</v>
      </c>
      <c r="L2859" s="58">
        <v>9828.3100000000013</v>
      </c>
      <c r="M2859" s="58">
        <v>0</v>
      </c>
      <c r="N2859" s="58">
        <v>0</v>
      </c>
      <c r="O2859" s="58">
        <v>177</v>
      </c>
      <c r="P2859" s="53">
        <v>9828.3100000000013</v>
      </c>
      <c r="Q2859" s="65">
        <v>9748.5600000000013</v>
      </c>
      <c r="R2859" s="65">
        <v>0</v>
      </c>
      <c r="S2859" s="65">
        <v>0</v>
      </c>
      <c r="T2859" s="65">
        <v>79.75</v>
      </c>
      <c r="U2859" s="58">
        <v>0</v>
      </c>
      <c r="V2859" s="65">
        <v>0</v>
      </c>
      <c r="W2859" s="65">
        <v>0</v>
      </c>
      <c r="X2859" s="65">
        <v>9749</v>
      </c>
      <c r="Y2859" s="65">
        <v>0</v>
      </c>
      <c r="Z2859" s="51">
        <v>0</v>
      </c>
      <c r="AA2859" s="51">
        <v>0</v>
      </c>
      <c r="AB2859" s="102">
        <v>0</v>
      </c>
      <c r="AC2859" s="81">
        <f t="shared" si="136"/>
        <v>590.29830517836581</v>
      </c>
      <c r="AD2859" s="82">
        <f t="shared" si="137"/>
        <v>24.828571428571433</v>
      </c>
      <c r="AE2859" s="218">
        <v>-8.1806954052701109E-3</v>
      </c>
      <c r="AF2859">
        <v>4</v>
      </c>
      <c r="AH2859" t="str">
        <f t="shared" si="135"/>
        <v>Mahua BMC</v>
      </c>
      <c r="AJ2859" s="72">
        <v>0</v>
      </c>
      <c r="AK2859" s="72"/>
      <c r="AL2859" s="72"/>
      <c r="AM2859" s="72"/>
    </row>
    <row r="2860" spans="1:39" x14ac:dyDescent="0.25">
      <c r="A2860" s="37" t="s">
        <v>62</v>
      </c>
      <c r="B2860" s="66" t="s">
        <v>1654</v>
      </c>
      <c r="C2860" s="4">
        <v>1061</v>
      </c>
      <c r="D2860" s="41" t="s">
        <v>1388</v>
      </c>
      <c r="E2860" s="41">
        <v>10610024</v>
      </c>
      <c r="F2860" s="85" t="s">
        <v>1415</v>
      </c>
      <c r="G2860" s="39" t="s">
        <v>92</v>
      </c>
      <c r="H2860" s="52" t="s">
        <v>93</v>
      </c>
      <c r="I2860" s="52">
        <v>277.09999999999997</v>
      </c>
      <c r="J2860" s="49">
        <v>11071.089999999998</v>
      </c>
      <c r="K2860" s="58">
        <v>279.59999999999991</v>
      </c>
      <c r="L2860" s="58">
        <v>10874.19</v>
      </c>
      <c r="M2860" s="58">
        <v>2.6</v>
      </c>
      <c r="N2860" s="58">
        <v>126.06</v>
      </c>
      <c r="O2860" s="58">
        <v>282.19999999999993</v>
      </c>
      <c r="P2860" s="53">
        <v>11000.25</v>
      </c>
      <c r="Q2860" s="65">
        <v>11000.25</v>
      </c>
      <c r="R2860" s="65">
        <v>0</v>
      </c>
      <c r="S2860" s="65">
        <v>126.06</v>
      </c>
      <c r="T2860" s="65">
        <v>0</v>
      </c>
      <c r="U2860" s="58">
        <v>7000</v>
      </c>
      <c r="V2860" s="65">
        <v>0</v>
      </c>
      <c r="W2860" s="65">
        <v>0</v>
      </c>
      <c r="X2860" s="65">
        <v>3874</v>
      </c>
      <c r="Y2860" s="65">
        <v>0</v>
      </c>
      <c r="Z2860" s="51">
        <v>0</v>
      </c>
      <c r="AA2860" s="51">
        <v>71</v>
      </c>
      <c r="AB2860" s="102" t="s">
        <v>68</v>
      </c>
      <c r="AC2860" s="81">
        <f t="shared" si="136"/>
        <v>337.92594449657167</v>
      </c>
      <c r="AD2860" s="82">
        <f t="shared" si="137"/>
        <v>39.585714285714282</v>
      </c>
      <c r="AE2860" s="218">
        <v>6.3986472876652921E-3</v>
      </c>
      <c r="AF2860">
        <v>9</v>
      </c>
      <c r="AH2860" t="str">
        <f t="shared" si="135"/>
        <v>Mahua BMC</v>
      </c>
      <c r="AJ2860" s="72">
        <v>0</v>
      </c>
      <c r="AK2860" s="72"/>
      <c r="AL2860" s="72"/>
      <c r="AM2860" s="72"/>
    </row>
    <row r="2861" spans="1:39" x14ac:dyDescent="0.25">
      <c r="A2861" s="37" t="s">
        <v>62</v>
      </c>
      <c r="B2861" s="66" t="s">
        <v>1654</v>
      </c>
      <c r="C2861" s="4">
        <v>1061</v>
      </c>
      <c r="D2861" s="41" t="s">
        <v>1388</v>
      </c>
      <c r="E2861" s="41">
        <v>10610026</v>
      </c>
      <c r="F2861" s="85" t="s">
        <v>1444</v>
      </c>
      <c r="G2861" s="39" t="s">
        <v>92</v>
      </c>
      <c r="H2861" s="52" t="s">
        <v>93</v>
      </c>
      <c r="I2861" s="52">
        <v>155.5</v>
      </c>
      <c r="J2861" s="49">
        <v>8298.2200000000012</v>
      </c>
      <c r="K2861" s="58">
        <v>151.5</v>
      </c>
      <c r="L2861" s="58">
        <v>8262.4499999999989</v>
      </c>
      <c r="M2861" s="58">
        <v>0</v>
      </c>
      <c r="N2861" s="58">
        <v>0</v>
      </c>
      <c r="O2861" s="58">
        <v>151.5</v>
      </c>
      <c r="P2861" s="53">
        <v>8262.4499999999989</v>
      </c>
      <c r="Q2861" s="65">
        <v>8262.4499999999989</v>
      </c>
      <c r="R2861" s="65">
        <v>0</v>
      </c>
      <c r="S2861" s="65">
        <v>0</v>
      </c>
      <c r="T2861" s="65">
        <v>0</v>
      </c>
      <c r="U2861" s="58">
        <v>0</v>
      </c>
      <c r="V2861" s="65">
        <v>0</v>
      </c>
      <c r="W2861" s="65">
        <v>0</v>
      </c>
      <c r="X2861" s="65">
        <v>8263</v>
      </c>
      <c r="Y2861" s="65">
        <v>0</v>
      </c>
      <c r="Z2861" s="51">
        <v>0</v>
      </c>
      <c r="AA2861" s="51">
        <v>35</v>
      </c>
      <c r="AB2861" s="102">
        <v>0</v>
      </c>
      <c r="AC2861" s="81">
        <f t="shared" si="136"/>
        <v>581.14222379421233</v>
      </c>
      <c r="AD2861" s="82">
        <f t="shared" si="137"/>
        <v>22.214285714285715</v>
      </c>
      <c r="AE2861" s="218">
        <v>4.3105629882073809E-3</v>
      </c>
      <c r="AF2861">
        <v>7</v>
      </c>
      <c r="AH2861" t="str">
        <f t="shared" si="135"/>
        <v>Mahua BMC</v>
      </c>
      <c r="AJ2861" s="72">
        <v>0</v>
      </c>
      <c r="AK2861" s="72"/>
      <c r="AL2861" s="72"/>
      <c r="AM2861" s="72"/>
    </row>
    <row r="2862" spans="1:39" x14ac:dyDescent="0.25">
      <c r="A2862" s="37" t="s">
        <v>62</v>
      </c>
      <c r="B2862" s="66" t="s">
        <v>1654</v>
      </c>
      <c r="C2862" s="4">
        <v>1061</v>
      </c>
      <c r="D2862" s="41" t="s">
        <v>1388</v>
      </c>
      <c r="E2862" s="41">
        <v>10610027</v>
      </c>
      <c r="F2862" s="85" t="s">
        <v>1445</v>
      </c>
      <c r="G2862" s="39" t="s">
        <v>1610</v>
      </c>
      <c r="H2862" s="52" t="s">
        <v>98</v>
      </c>
      <c r="I2862" s="52">
        <v>1703.4999999999998</v>
      </c>
      <c r="J2862" s="49">
        <v>65933.69</v>
      </c>
      <c r="K2862" s="58">
        <v>0</v>
      </c>
      <c r="L2862" s="58">
        <v>0</v>
      </c>
      <c r="M2862" s="58">
        <v>0</v>
      </c>
      <c r="N2862" s="58">
        <v>0</v>
      </c>
      <c r="O2862" s="58">
        <v>0</v>
      </c>
      <c r="P2862" s="53">
        <v>0</v>
      </c>
      <c r="Q2862" s="65">
        <v>65933.69</v>
      </c>
      <c r="R2862" s="65">
        <v>0</v>
      </c>
      <c r="S2862" s="65">
        <v>0</v>
      </c>
      <c r="T2862" s="65">
        <v>0</v>
      </c>
      <c r="U2862" s="58">
        <v>0</v>
      </c>
      <c r="V2862" s="65">
        <v>0</v>
      </c>
      <c r="W2862" s="65">
        <v>0</v>
      </c>
      <c r="X2862" s="65">
        <v>0</v>
      </c>
      <c r="Y2862" s="65">
        <v>0</v>
      </c>
      <c r="Z2862" s="51">
        <v>65933.69</v>
      </c>
      <c r="AA2862" s="51">
        <v>0</v>
      </c>
      <c r="AB2862" s="102">
        <v>0</v>
      </c>
      <c r="AC2862" s="81">
        <f t="shared" si="136"/>
        <v>0</v>
      </c>
      <c r="AD2862" s="82">
        <f t="shared" si="137"/>
        <v>0</v>
      </c>
      <c r="AE2862" s="218">
        <v>0</v>
      </c>
      <c r="AF2862">
        <v>0</v>
      </c>
      <c r="AH2862" t="str">
        <f t="shared" si="135"/>
        <v>Mahua BMC</v>
      </c>
      <c r="AJ2862" s="72">
        <v>0</v>
      </c>
      <c r="AK2862" s="72"/>
      <c r="AL2862" s="72"/>
      <c r="AM2862" s="72"/>
    </row>
    <row r="2863" spans="1:39" x14ac:dyDescent="0.25">
      <c r="A2863" s="37" t="s">
        <v>62</v>
      </c>
      <c r="B2863" s="66" t="s">
        <v>1654</v>
      </c>
      <c r="C2863" s="4">
        <v>1061</v>
      </c>
      <c r="D2863" s="41" t="s">
        <v>1388</v>
      </c>
      <c r="E2863" s="41">
        <v>10610028</v>
      </c>
      <c r="F2863" s="85" t="s">
        <v>1446</v>
      </c>
      <c r="G2863" s="39" t="s">
        <v>1610</v>
      </c>
      <c r="H2863" s="52" t="s">
        <v>98</v>
      </c>
      <c r="I2863" s="52">
        <v>181.39999999999998</v>
      </c>
      <c r="J2863" s="49">
        <v>7016.7</v>
      </c>
      <c r="K2863" s="58">
        <v>0</v>
      </c>
      <c r="L2863" s="58">
        <v>0</v>
      </c>
      <c r="M2863" s="58">
        <v>0</v>
      </c>
      <c r="N2863" s="58">
        <v>0</v>
      </c>
      <c r="O2863" s="58">
        <v>0</v>
      </c>
      <c r="P2863" s="53">
        <v>0</v>
      </c>
      <c r="Q2863" s="65">
        <v>7016.7</v>
      </c>
      <c r="R2863" s="65">
        <v>0</v>
      </c>
      <c r="S2863" s="65">
        <v>0</v>
      </c>
      <c r="T2863" s="65">
        <v>0</v>
      </c>
      <c r="U2863" s="58">
        <v>0</v>
      </c>
      <c r="V2863" s="65">
        <v>0</v>
      </c>
      <c r="W2863" s="65">
        <v>0</v>
      </c>
      <c r="X2863" s="65">
        <v>0</v>
      </c>
      <c r="Y2863" s="65">
        <v>0</v>
      </c>
      <c r="Z2863" s="51">
        <v>7016.7</v>
      </c>
      <c r="AA2863" s="51">
        <v>0</v>
      </c>
      <c r="AB2863" s="102">
        <v>0</v>
      </c>
      <c r="AC2863" s="81">
        <f t="shared" si="136"/>
        <v>401.1974222712239</v>
      </c>
      <c r="AD2863" s="82">
        <f t="shared" si="137"/>
        <v>25.914285714285711</v>
      </c>
      <c r="AE2863" s="218">
        <v>0</v>
      </c>
      <c r="AF2863">
        <v>0</v>
      </c>
      <c r="AH2863" t="str">
        <f t="shared" si="135"/>
        <v>Mahua BMC</v>
      </c>
      <c r="AJ2863" s="72">
        <v>0</v>
      </c>
      <c r="AK2863" s="72"/>
      <c r="AL2863" s="72"/>
      <c r="AM2863" s="72"/>
    </row>
    <row r="2864" spans="1:39" x14ac:dyDescent="0.25">
      <c r="A2864" s="37" t="s">
        <v>62</v>
      </c>
      <c r="B2864" s="66" t="s">
        <v>1654</v>
      </c>
      <c r="C2864" s="4">
        <v>1061</v>
      </c>
      <c r="D2864" s="41" t="s">
        <v>1388</v>
      </c>
      <c r="E2864" s="41">
        <v>10610031</v>
      </c>
      <c r="F2864" s="85" t="s">
        <v>1447</v>
      </c>
      <c r="G2864" s="39" t="s">
        <v>1610</v>
      </c>
      <c r="H2864" s="52" t="s">
        <v>98</v>
      </c>
      <c r="I2864" s="52">
        <v>622.9</v>
      </c>
      <c r="J2864" s="49">
        <v>25428.399999999998</v>
      </c>
      <c r="K2864" s="58">
        <v>0</v>
      </c>
      <c r="L2864" s="58">
        <v>0</v>
      </c>
      <c r="M2864" s="58">
        <v>0</v>
      </c>
      <c r="N2864" s="58">
        <v>0</v>
      </c>
      <c r="O2864" s="58">
        <v>0</v>
      </c>
      <c r="P2864" s="53">
        <v>0</v>
      </c>
      <c r="Q2864" s="65">
        <v>25428.399999999998</v>
      </c>
      <c r="R2864" s="65">
        <v>0</v>
      </c>
      <c r="S2864" s="65">
        <v>0</v>
      </c>
      <c r="T2864" s="65">
        <v>0</v>
      </c>
      <c r="U2864" s="58">
        <v>0</v>
      </c>
      <c r="V2864" s="65">
        <v>0</v>
      </c>
      <c r="W2864" s="65">
        <v>0</v>
      </c>
      <c r="X2864" s="65">
        <v>0</v>
      </c>
      <c r="Y2864" s="65">
        <v>0</v>
      </c>
      <c r="Z2864" s="51">
        <v>25428.399999999998</v>
      </c>
      <c r="AA2864" s="51">
        <v>0</v>
      </c>
      <c r="AB2864" s="102">
        <v>0</v>
      </c>
      <c r="AC2864" s="81">
        <f t="shared" si="136"/>
        <v>62.948455289773669</v>
      </c>
      <c r="AD2864" s="82">
        <f t="shared" si="137"/>
        <v>88.98571428571428</v>
      </c>
      <c r="AE2864" s="218">
        <v>0</v>
      </c>
      <c r="AF2864">
        <v>0</v>
      </c>
      <c r="AH2864" t="str">
        <f t="shared" si="135"/>
        <v>Mahua BMC</v>
      </c>
      <c r="AJ2864" s="72">
        <v>0</v>
      </c>
      <c r="AK2864" s="72"/>
      <c r="AL2864" s="72"/>
      <c r="AM2864" s="72"/>
    </row>
    <row r="2865" spans="1:39" x14ac:dyDescent="0.25">
      <c r="A2865" s="37" t="s">
        <v>62</v>
      </c>
      <c r="B2865" s="66" t="s">
        <v>1654</v>
      </c>
      <c r="C2865" s="4">
        <v>1061</v>
      </c>
      <c r="D2865" s="41" t="s">
        <v>1388</v>
      </c>
      <c r="E2865" s="41">
        <v>10610032</v>
      </c>
      <c r="F2865" s="85" t="s">
        <v>1622</v>
      </c>
      <c r="G2865" s="39" t="s">
        <v>1610</v>
      </c>
      <c r="H2865" s="52" t="s">
        <v>98</v>
      </c>
      <c r="I2865" s="52">
        <v>387.40000000000003</v>
      </c>
      <c r="J2865" s="49">
        <v>14745.93</v>
      </c>
      <c r="K2865" s="58">
        <v>0</v>
      </c>
      <c r="L2865" s="58">
        <v>0</v>
      </c>
      <c r="M2865" s="58">
        <v>0</v>
      </c>
      <c r="N2865" s="58">
        <v>0</v>
      </c>
      <c r="O2865" s="58">
        <v>0</v>
      </c>
      <c r="P2865" s="53">
        <v>0</v>
      </c>
      <c r="Q2865" s="65">
        <v>14745.93</v>
      </c>
      <c r="R2865" s="65">
        <v>0</v>
      </c>
      <c r="S2865" s="65">
        <v>0</v>
      </c>
      <c r="T2865" s="65">
        <v>0</v>
      </c>
      <c r="U2865" s="58">
        <v>0</v>
      </c>
      <c r="V2865" s="65">
        <v>0</v>
      </c>
      <c r="W2865" s="65">
        <v>0</v>
      </c>
      <c r="X2865" s="65">
        <v>0</v>
      </c>
      <c r="Y2865" s="65">
        <v>0</v>
      </c>
      <c r="Z2865" s="51">
        <v>14745.93</v>
      </c>
      <c r="AA2865" s="51">
        <v>0</v>
      </c>
      <c r="AB2865" s="102">
        <v>0</v>
      </c>
      <c r="AC2865" s="81">
        <f t="shared" si="136"/>
        <v>237.97510160041301</v>
      </c>
      <c r="AD2865" s="82">
        <f t="shared" si="137"/>
        <v>55.342857142857149</v>
      </c>
      <c r="AE2865" s="218">
        <v>0</v>
      </c>
      <c r="AF2865">
        <v>0</v>
      </c>
      <c r="AH2865" t="str">
        <f t="shared" si="135"/>
        <v>Mahua BMC</v>
      </c>
      <c r="AJ2865" s="72">
        <v>0</v>
      </c>
      <c r="AK2865" s="72"/>
      <c r="AL2865" s="72"/>
      <c r="AM2865" s="72"/>
    </row>
    <row r="2866" spans="1:39" x14ac:dyDescent="0.25">
      <c r="A2866" s="37" t="s">
        <v>62</v>
      </c>
      <c r="B2866" s="66" t="s">
        <v>1654</v>
      </c>
      <c r="C2866" s="4">
        <v>1061</v>
      </c>
      <c r="D2866" s="41" t="s">
        <v>1388</v>
      </c>
      <c r="E2866" s="41">
        <v>10610034</v>
      </c>
      <c r="F2866" s="85" t="s">
        <v>1448</v>
      </c>
      <c r="G2866" s="39" t="s">
        <v>1610</v>
      </c>
      <c r="H2866" s="52" t="s">
        <v>98</v>
      </c>
      <c r="I2866" s="52">
        <v>557.69999999999993</v>
      </c>
      <c r="J2866" s="49">
        <v>21807.730000000003</v>
      </c>
      <c r="K2866" s="58">
        <v>0</v>
      </c>
      <c r="L2866" s="58">
        <v>0</v>
      </c>
      <c r="M2866" s="58">
        <v>0</v>
      </c>
      <c r="N2866" s="58">
        <v>0</v>
      </c>
      <c r="O2866" s="58">
        <v>0</v>
      </c>
      <c r="P2866" s="53">
        <v>0</v>
      </c>
      <c r="Q2866" s="65">
        <v>21807.730000000003</v>
      </c>
      <c r="R2866" s="65">
        <v>0</v>
      </c>
      <c r="S2866" s="65">
        <v>0</v>
      </c>
      <c r="T2866" s="65">
        <v>0</v>
      </c>
      <c r="U2866" s="58">
        <v>0</v>
      </c>
      <c r="V2866" s="65">
        <v>0</v>
      </c>
      <c r="W2866" s="65">
        <v>0</v>
      </c>
      <c r="X2866" s="65">
        <v>0</v>
      </c>
      <c r="Y2866" s="65">
        <v>0</v>
      </c>
      <c r="Z2866" s="51">
        <v>21807.730000000003</v>
      </c>
      <c r="AA2866" s="51">
        <v>0</v>
      </c>
      <c r="AB2866" s="102">
        <v>0</v>
      </c>
      <c r="AC2866" s="81">
        <f t="shared" si="136"/>
        <v>111.28707114936356</v>
      </c>
      <c r="AD2866" s="82">
        <f t="shared" si="137"/>
        <v>79.671428571428564</v>
      </c>
      <c r="AE2866" s="218">
        <v>0</v>
      </c>
      <c r="AF2866">
        <v>0</v>
      </c>
      <c r="AH2866" t="str">
        <f t="shared" si="135"/>
        <v>Mahua BMC</v>
      </c>
      <c r="AJ2866" s="72">
        <v>0</v>
      </c>
      <c r="AK2866" s="72"/>
      <c r="AL2866" s="72"/>
      <c r="AM2866" s="72"/>
    </row>
    <row r="2867" spans="1:39" x14ac:dyDescent="0.25">
      <c r="A2867" s="37" t="s">
        <v>62</v>
      </c>
      <c r="B2867" s="66" t="s">
        <v>1654</v>
      </c>
      <c r="C2867" s="4">
        <v>1061</v>
      </c>
      <c r="D2867" s="41" t="s">
        <v>1388</v>
      </c>
      <c r="E2867" s="41">
        <v>10610035</v>
      </c>
      <c r="F2867" s="85" t="s">
        <v>1449</v>
      </c>
      <c r="G2867" s="39" t="s">
        <v>1610</v>
      </c>
      <c r="H2867" s="52" t="s">
        <v>98</v>
      </c>
      <c r="I2867" s="52">
        <v>338.7</v>
      </c>
      <c r="J2867" s="49">
        <v>11371.109999999999</v>
      </c>
      <c r="K2867" s="58">
        <v>0</v>
      </c>
      <c r="L2867" s="58">
        <v>0</v>
      </c>
      <c r="M2867" s="58">
        <v>0</v>
      </c>
      <c r="N2867" s="58">
        <v>0</v>
      </c>
      <c r="O2867" s="58">
        <v>0</v>
      </c>
      <c r="P2867" s="53">
        <v>0</v>
      </c>
      <c r="Q2867" s="65">
        <v>11371.109999999999</v>
      </c>
      <c r="R2867" s="65">
        <v>0</v>
      </c>
      <c r="S2867" s="65">
        <v>0</v>
      </c>
      <c r="T2867" s="65">
        <v>0</v>
      </c>
      <c r="U2867" s="58">
        <v>0</v>
      </c>
      <c r="V2867" s="65">
        <v>0</v>
      </c>
      <c r="W2867" s="65">
        <v>0</v>
      </c>
      <c r="X2867" s="65">
        <v>0</v>
      </c>
      <c r="Y2867" s="65">
        <v>0</v>
      </c>
      <c r="Z2867" s="51">
        <v>11371.109999999999</v>
      </c>
      <c r="AA2867" s="51">
        <v>0</v>
      </c>
      <c r="AB2867" s="102">
        <v>0</v>
      </c>
      <c r="AC2867" s="81">
        <f t="shared" si="136"/>
        <v>242.5971091231178</v>
      </c>
      <c r="AD2867" s="82">
        <f t="shared" si="137"/>
        <v>48.385714285714286</v>
      </c>
      <c r="AE2867" s="218">
        <v>0</v>
      </c>
      <c r="AF2867">
        <v>0</v>
      </c>
      <c r="AH2867" t="str">
        <f t="shared" si="135"/>
        <v>Mahua BMC</v>
      </c>
      <c r="AJ2867" s="72">
        <v>0</v>
      </c>
      <c r="AK2867" s="72"/>
      <c r="AL2867" s="72"/>
      <c r="AM2867" s="72"/>
    </row>
    <row r="2868" spans="1:39" x14ac:dyDescent="0.25">
      <c r="A2868" s="37" t="s">
        <v>62</v>
      </c>
      <c r="B2868" s="66" t="s">
        <v>1654</v>
      </c>
      <c r="C2868" s="4">
        <v>1061</v>
      </c>
      <c r="D2868" s="41" t="s">
        <v>1388</v>
      </c>
      <c r="E2868" s="41">
        <v>10610036</v>
      </c>
      <c r="F2868" s="85" t="s">
        <v>1450</v>
      </c>
      <c r="G2868" s="39" t="s">
        <v>1610</v>
      </c>
      <c r="H2868" s="52" t="s">
        <v>98</v>
      </c>
      <c r="I2868" s="52">
        <v>439.3</v>
      </c>
      <c r="J2868" s="49">
        <v>16211.98</v>
      </c>
      <c r="K2868" s="58">
        <v>0</v>
      </c>
      <c r="L2868" s="58">
        <v>0</v>
      </c>
      <c r="M2868" s="58">
        <v>0</v>
      </c>
      <c r="N2868" s="58">
        <v>0</v>
      </c>
      <c r="O2868" s="58">
        <v>0</v>
      </c>
      <c r="P2868" s="53">
        <v>0</v>
      </c>
      <c r="Q2868" s="65">
        <v>16211.98</v>
      </c>
      <c r="R2868" s="65">
        <v>0</v>
      </c>
      <c r="S2868" s="65">
        <v>0</v>
      </c>
      <c r="T2868" s="65">
        <v>0</v>
      </c>
      <c r="U2868" s="58">
        <v>0</v>
      </c>
      <c r="V2868" s="65">
        <v>0</v>
      </c>
      <c r="W2868" s="65">
        <v>0</v>
      </c>
      <c r="X2868" s="65">
        <v>0</v>
      </c>
      <c r="Y2868" s="65">
        <v>0</v>
      </c>
      <c r="Z2868" s="51">
        <v>16211.98</v>
      </c>
      <c r="AA2868" s="51">
        <v>0</v>
      </c>
      <c r="AB2868" s="102">
        <v>0</v>
      </c>
      <c r="AC2868" s="81">
        <f t="shared" si="136"/>
        <v>192.41808267698613</v>
      </c>
      <c r="AD2868" s="82">
        <f t="shared" si="137"/>
        <v>62.75714285714286</v>
      </c>
      <c r="AE2868" s="218">
        <v>0</v>
      </c>
      <c r="AF2868">
        <v>0</v>
      </c>
      <c r="AH2868" t="str">
        <f t="shared" si="135"/>
        <v>Mahua BMC</v>
      </c>
      <c r="AJ2868" s="72">
        <v>0</v>
      </c>
      <c r="AK2868" s="72"/>
      <c r="AL2868" s="72"/>
      <c r="AM2868" s="72"/>
    </row>
    <row r="2869" spans="1:39" x14ac:dyDescent="0.25">
      <c r="A2869" s="37" t="s">
        <v>62</v>
      </c>
      <c r="B2869" s="66" t="s">
        <v>1654</v>
      </c>
      <c r="C2869" s="4">
        <v>1061</v>
      </c>
      <c r="D2869" s="41" t="s">
        <v>1388</v>
      </c>
      <c r="E2869" s="41">
        <v>10610038</v>
      </c>
      <c r="F2869" s="85" t="s">
        <v>1451</v>
      </c>
      <c r="G2869" s="39" t="s">
        <v>1610</v>
      </c>
      <c r="H2869" s="52" t="s">
        <v>98</v>
      </c>
      <c r="I2869" s="52">
        <v>1965.6999999999998</v>
      </c>
      <c r="J2869" s="49">
        <v>71310.450000000012</v>
      </c>
      <c r="K2869" s="58">
        <v>0</v>
      </c>
      <c r="L2869" s="58">
        <v>0</v>
      </c>
      <c r="M2869" s="58">
        <v>0</v>
      </c>
      <c r="N2869" s="58">
        <v>0</v>
      </c>
      <c r="O2869" s="58">
        <v>0</v>
      </c>
      <c r="P2869" s="53">
        <v>0</v>
      </c>
      <c r="Q2869" s="65">
        <v>71310.450000000012</v>
      </c>
      <c r="R2869" s="65">
        <v>0</v>
      </c>
      <c r="S2869" s="65">
        <v>0</v>
      </c>
      <c r="T2869" s="65">
        <v>0</v>
      </c>
      <c r="U2869" s="58">
        <v>0</v>
      </c>
      <c r="V2869" s="65">
        <v>0</v>
      </c>
      <c r="W2869" s="65">
        <v>0</v>
      </c>
      <c r="X2869" s="65">
        <v>0</v>
      </c>
      <c r="Y2869" s="65">
        <v>0</v>
      </c>
      <c r="Z2869" s="51">
        <v>71310.450000000012</v>
      </c>
      <c r="AA2869" s="51">
        <v>0</v>
      </c>
      <c r="AB2869" s="102">
        <v>0</v>
      </c>
      <c r="AC2869" s="81">
        <f t="shared" si="136"/>
        <v>0</v>
      </c>
      <c r="AD2869" s="82">
        <f t="shared" si="137"/>
        <v>0</v>
      </c>
      <c r="AE2869" s="218">
        <v>0</v>
      </c>
      <c r="AF2869">
        <v>0</v>
      </c>
      <c r="AH2869" t="str">
        <f t="shared" si="135"/>
        <v>Mahua BMC</v>
      </c>
      <c r="AJ2869" s="72">
        <v>0</v>
      </c>
      <c r="AK2869" s="72"/>
      <c r="AL2869" s="72"/>
      <c r="AM2869" s="72"/>
    </row>
    <row r="2870" spans="1:39" x14ac:dyDescent="0.25">
      <c r="A2870" s="37" t="s">
        <v>62</v>
      </c>
      <c r="B2870" s="66" t="s">
        <v>1654</v>
      </c>
      <c r="C2870" s="4">
        <v>1061</v>
      </c>
      <c r="D2870" s="41" t="s">
        <v>1388</v>
      </c>
      <c r="E2870" s="41">
        <v>10610039</v>
      </c>
      <c r="F2870" s="85" t="s">
        <v>1452</v>
      </c>
      <c r="G2870" s="39" t="s">
        <v>1610</v>
      </c>
      <c r="H2870" s="52" t="s">
        <v>98</v>
      </c>
      <c r="I2870" s="52">
        <v>1648.6000000000001</v>
      </c>
      <c r="J2870" s="49">
        <v>67442.570000000007</v>
      </c>
      <c r="K2870" s="58">
        <v>0</v>
      </c>
      <c r="L2870" s="58">
        <v>0</v>
      </c>
      <c r="M2870" s="58">
        <v>0</v>
      </c>
      <c r="N2870" s="58">
        <v>0</v>
      </c>
      <c r="O2870" s="58">
        <v>0</v>
      </c>
      <c r="P2870" s="53">
        <v>0</v>
      </c>
      <c r="Q2870" s="65">
        <v>67442.570000000007</v>
      </c>
      <c r="R2870" s="65">
        <v>0</v>
      </c>
      <c r="S2870" s="65">
        <v>0</v>
      </c>
      <c r="T2870" s="65">
        <v>0</v>
      </c>
      <c r="U2870" s="58">
        <v>0</v>
      </c>
      <c r="V2870" s="65">
        <v>0</v>
      </c>
      <c r="W2870" s="65">
        <v>0</v>
      </c>
      <c r="X2870" s="65">
        <v>0</v>
      </c>
      <c r="Y2870" s="65">
        <v>0</v>
      </c>
      <c r="Z2870" s="51">
        <v>67442.570000000007</v>
      </c>
      <c r="AA2870" s="51">
        <v>0</v>
      </c>
      <c r="AB2870" s="102">
        <v>0</v>
      </c>
      <c r="AC2870" s="81">
        <f t="shared" si="136"/>
        <v>0</v>
      </c>
      <c r="AD2870" s="82">
        <f t="shared" si="137"/>
        <v>0</v>
      </c>
      <c r="AE2870" s="218">
        <v>0</v>
      </c>
      <c r="AF2870">
        <v>0</v>
      </c>
      <c r="AH2870" t="str">
        <f t="shared" si="135"/>
        <v>Mahua BMC</v>
      </c>
      <c r="AJ2870" s="72">
        <v>0</v>
      </c>
      <c r="AK2870" s="72"/>
      <c r="AL2870" s="72"/>
      <c r="AM2870" s="72"/>
    </row>
    <row r="2871" spans="1:39" x14ac:dyDescent="0.25">
      <c r="A2871" s="37" t="s">
        <v>62</v>
      </c>
      <c r="B2871" s="66" t="s">
        <v>1654</v>
      </c>
      <c r="C2871" s="4">
        <v>1061</v>
      </c>
      <c r="D2871" s="41" t="s">
        <v>1388</v>
      </c>
      <c r="E2871" s="41">
        <v>10610045</v>
      </c>
      <c r="F2871" s="85" t="s">
        <v>1459</v>
      </c>
      <c r="G2871" s="39" t="s">
        <v>1610</v>
      </c>
      <c r="H2871" s="52" t="s">
        <v>98</v>
      </c>
      <c r="I2871" s="52">
        <v>543.5</v>
      </c>
      <c r="J2871" s="49">
        <v>21205.230000000003</v>
      </c>
      <c r="K2871" s="58">
        <v>0</v>
      </c>
      <c r="L2871" s="58">
        <v>0</v>
      </c>
      <c r="M2871" s="58">
        <v>0</v>
      </c>
      <c r="N2871" s="58">
        <v>0</v>
      </c>
      <c r="O2871" s="58">
        <v>0</v>
      </c>
      <c r="P2871" s="53">
        <v>0</v>
      </c>
      <c r="Q2871" s="65">
        <v>21205.230000000003</v>
      </c>
      <c r="R2871" s="65">
        <v>0</v>
      </c>
      <c r="S2871" s="65">
        <v>0</v>
      </c>
      <c r="T2871" s="65">
        <v>0</v>
      </c>
      <c r="U2871" s="58">
        <v>0</v>
      </c>
      <c r="V2871" s="65">
        <v>0</v>
      </c>
      <c r="W2871" s="65">
        <v>0</v>
      </c>
      <c r="X2871" s="65">
        <v>0</v>
      </c>
      <c r="Y2871" s="65">
        <v>0</v>
      </c>
      <c r="Z2871" s="51">
        <v>21205.230000000003</v>
      </c>
      <c r="AA2871" s="51">
        <v>0</v>
      </c>
      <c r="AB2871" s="102">
        <v>0</v>
      </c>
      <c r="AC2871" s="81">
        <f t="shared" si="136"/>
        <v>122.12027580496785</v>
      </c>
      <c r="AD2871" s="82">
        <f t="shared" si="137"/>
        <v>77.642857142857139</v>
      </c>
      <c r="AE2871" s="218">
        <v>0</v>
      </c>
      <c r="AF2871">
        <v>0</v>
      </c>
      <c r="AH2871" t="str">
        <f t="shared" si="135"/>
        <v>Mahua BMC</v>
      </c>
      <c r="AJ2871" s="72">
        <v>0</v>
      </c>
      <c r="AK2871" s="72"/>
      <c r="AL2871" s="72"/>
      <c r="AM2871" s="72"/>
    </row>
    <row r="2872" spans="1:39" x14ac:dyDescent="0.25">
      <c r="A2872" s="37" t="s">
        <v>62</v>
      </c>
      <c r="B2872" s="66" t="s">
        <v>1654</v>
      </c>
      <c r="C2872" s="4">
        <v>1061</v>
      </c>
      <c r="D2872" s="41" t="s">
        <v>1388</v>
      </c>
      <c r="E2872" s="41">
        <v>10610047</v>
      </c>
      <c r="F2872" s="85" t="s">
        <v>1623</v>
      </c>
      <c r="G2872" s="39" t="s">
        <v>1610</v>
      </c>
      <c r="H2872" s="52" t="s">
        <v>98</v>
      </c>
      <c r="I2872" s="52">
        <v>407.8</v>
      </c>
      <c r="J2872" s="49">
        <v>14635.050000000001</v>
      </c>
      <c r="K2872" s="58">
        <v>0</v>
      </c>
      <c r="L2872" s="58">
        <v>0</v>
      </c>
      <c r="M2872" s="58">
        <v>0</v>
      </c>
      <c r="N2872" s="58">
        <v>0</v>
      </c>
      <c r="O2872" s="58">
        <v>0</v>
      </c>
      <c r="P2872" s="53">
        <v>0</v>
      </c>
      <c r="Q2872" s="65">
        <v>14635.050000000001</v>
      </c>
      <c r="R2872" s="65">
        <v>0</v>
      </c>
      <c r="S2872" s="65">
        <v>0</v>
      </c>
      <c r="T2872" s="65">
        <v>0</v>
      </c>
      <c r="U2872" s="58">
        <v>0</v>
      </c>
      <c r="V2872" s="65">
        <v>0</v>
      </c>
      <c r="W2872" s="65">
        <v>0</v>
      </c>
      <c r="X2872" s="65">
        <v>0</v>
      </c>
      <c r="Y2872" s="65">
        <v>0</v>
      </c>
      <c r="Z2872" s="51">
        <v>14635.050000000001</v>
      </c>
      <c r="AA2872" s="51">
        <v>0</v>
      </c>
      <c r="AB2872" s="102">
        <v>0</v>
      </c>
      <c r="AC2872" s="81">
        <f t="shared" si="136"/>
        <v>209.72837714565966</v>
      </c>
      <c r="AD2872" s="82">
        <f t="shared" si="137"/>
        <v>58.25714285714286</v>
      </c>
      <c r="AE2872" s="218">
        <v>0</v>
      </c>
      <c r="AF2872">
        <v>0</v>
      </c>
      <c r="AH2872" t="str">
        <f t="shared" ref="AH2872:AH2935" si="138">TEXT(D2872,"0000")</f>
        <v>Mahua BMC</v>
      </c>
      <c r="AJ2872" s="72">
        <v>0</v>
      </c>
      <c r="AK2872" s="72"/>
      <c r="AL2872" s="72"/>
      <c r="AM2872" s="72"/>
    </row>
    <row r="2873" spans="1:39" x14ac:dyDescent="0.25">
      <c r="A2873" s="37" t="s">
        <v>62</v>
      </c>
      <c r="B2873" s="66" t="s">
        <v>1654</v>
      </c>
      <c r="C2873" s="4">
        <v>1061</v>
      </c>
      <c r="D2873" s="41" t="s">
        <v>1388</v>
      </c>
      <c r="E2873" s="41">
        <v>10610050</v>
      </c>
      <c r="F2873" s="85" t="s">
        <v>1474</v>
      </c>
      <c r="G2873" s="39" t="s">
        <v>1610</v>
      </c>
      <c r="H2873" s="52" t="s">
        <v>98</v>
      </c>
      <c r="I2873" s="52">
        <v>441.2</v>
      </c>
      <c r="J2873" s="49">
        <v>18355.080000000002</v>
      </c>
      <c r="K2873" s="58">
        <v>0</v>
      </c>
      <c r="L2873" s="58">
        <v>0</v>
      </c>
      <c r="M2873" s="58">
        <v>0</v>
      </c>
      <c r="N2873" s="58">
        <v>0</v>
      </c>
      <c r="O2873" s="58">
        <v>0</v>
      </c>
      <c r="P2873" s="53">
        <v>0</v>
      </c>
      <c r="Q2873" s="65">
        <v>18355.080000000002</v>
      </c>
      <c r="R2873" s="65">
        <v>0</v>
      </c>
      <c r="S2873" s="65">
        <v>0</v>
      </c>
      <c r="T2873" s="65">
        <v>0</v>
      </c>
      <c r="U2873" s="58">
        <v>0</v>
      </c>
      <c r="V2873" s="65">
        <v>0</v>
      </c>
      <c r="W2873" s="65">
        <v>0</v>
      </c>
      <c r="X2873" s="65">
        <v>0</v>
      </c>
      <c r="Y2873" s="65">
        <v>0</v>
      </c>
      <c r="Z2873" s="51">
        <v>18355.080000000002</v>
      </c>
      <c r="AA2873" s="51">
        <v>0</v>
      </c>
      <c r="AB2873" s="102">
        <v>0</v>
      </c>
      <c r="AC2873" s="81">
        <f t="shared" si="136"/>
        <v>215.33520870353587</v>
      </c>
      <c r="AD2873" s="82">
        <f t="shared" si="137"/>
        <v>63.028571428571425</v>
      </c>
      <c r="AE2873" s="218">
        <v>0</v>
      </c>
      <c r="AF2873">
        <v>0</v>
      </c>
      <c r="AH2873" t="str">
        <f t="shared" si="138"/>
        <v>Mahua BMC</v>
      </c>
      <c r="AJ2873" s="72">
        <v>0</v>
      </c>
      <c r="AK2873" s="72"/>
      <c r="AL2873" s="72"/>
      <c r="AM2873" s="72"/>
    </row>
    <row r="2874" spans="1:39" x14ac:dyDescent="0.25">
      <c r="A2874" s="37" t="s">
        <v>62</v>
      </c>
      <c r="B2874" s="66" t="s">
        <v>1654</v>
      </c>
      <c r="C2874" s="4">
        <v>1061</v>
      </c>
      <c r="D2874" s="41" t="s">
        <v>1388</v>
      </c>
      <c r="E2874" s="41">
        <v>10610051</v>
      </c>
      <c r="F2874" s="85" t="s">
        <v>1475</v>
      </c>
      <c r="G2874" s="39" t="s">
        <v>1610</v>
      </c>
      <c r="H2874" s="52" t="s">
        <v>98</v>
      </c>
      <c r="I2874" s="52">
        <v>264.39999999999998</v>
      </c>
      <c r="J2874" s="49">
        <v>9999.6500000000015</v>
      </c>
      <c r="K2874" s="58">
        <v>0</v>
      </c>
      <c r="L2874" s="58">
        <v>0</v>
      </c>
      <c r="M2874" s="58">
        <v>0</v>
      </c>
      <c r="N2874" s="58">
        <v>0</v>
      </c>
      <c r="O2874" s="58">
        <v>0</v>
      </c>
      <c r="P2874" s="53">
        <v>0</v>
      </c>
      <c r="Q2874" s="65">
        <v>9999.6500000000015</v>
      </c>
      <c r="R2874" s="65">
        <v>0</v>
      </c>
      <c r="S2874" s="65">
        <v>0</v>
      </c>
      <c r="T2874" s="65">
        <v>0</v>
      </c>
      <c r="U2874" s="58">
        <v>0</v>
      </c>
      <c r="V2874" s="65">
        <v>0</v>
      </c>
      <c r="W2874" s="65">
        <v>0</v>
      </c>
      <c r="X2874" s="65">
        <v>0</v>
      </c>
      <c r="Y2874" s="65">
        <v>0</v>
      </c>
      <c r="Z2874" s="51">
        <v>9999.6500000000015</v>
      </c>
      <c r="AA2874" s="51">
        <v>0</v>
      </c>
      <c r="AB2874" s="102">
        <v>0</v>
      </c>
      <c r="AC2874" s="81">
        <f t="shared" si="136"/>
        <v>329.48922390317711</v>
      </c>
      <c r="AD2874" s="82">
        <f t="shared" si="137"/>
        <v>37.771428571428565</v>
      </c>
      <c r="AE2874" s="218">
        <v>0</v>
      </c>
      <c r="AF2874">
        <v>0</v>
      </c>
      <c r="AH2874" t="str">
        <f t="shared" si="138"/>
        <v>Mahua BMC</v>
      </c>
      <c r="AJ2874" s="72">
        <v>0</v>
      </c>
      <c r="AK2874" s="72"/>
      <c r="AL2874" s="72"/>
      <c r="AM2874" s="72"/>
    </row>
    <row r="2875" spans="1:39" x14ac:dyDescent="0.25">
      <c r="A2875" s="37" t="s">
        <v>62</v>
      </c>
      <c r="B2875" s="66" t="s">
        <v>1654</v>
      </c>
      <c r="C2875" s="4">
        <v>1061</v>
      </c>
      <c r="D2875" s="41" t="s">
        <v>1388</v>
      </c>
      <c r="E2875" s="41">
        <v>10610052</v>
      </c>
      <c r="F2875" s="85" t="s">
        <v>1478</v>
      </c>
      <c r="G2875" s="39" t="s">
        <v>1610</v>
      </c>
      <c r="H2875" s="52" t="s">
        <v>98</v>
      </c>
      <c r="I2875" s="52">
        <v>704.20000000000016</v>
      </c>
      <c r="J2875" s="49">
        <v>27249.179999999997</v>
      </c>
      <c r="K2875" s="58">
        <v>0</v>
      </c>
      <c r="L2875" s="58">
        <v>0</v>
      </c>
      <c r="M2875" s="58">
        <v>0</v>
      </c>
      <c r="N2875" s="58">
        <v>0</v>
      </c>
      <c r="O2875" s="58">
        <v>0</v>
      </c>
      <c r="P2875" s="53">
        <v>0</v>
      </c>
      <c r="Q2875" s="65">
        <v>27249.179999999997</v>
      </c>
      <c r="R2875" s="65">
        <v>0</v>
      </c>
      <c r="S2875" s="65">
        <v>0</v>
      </c>
      <c r="T2875" s="65">
        <v>0</v>
      </c>
      <c r="U2875" s="58">
        <v>0</v>
      </c>
      <c r="V2875" s="65">
        <v>0</v>
      </c>
      <c r="W2875" s="65">
        <v>0</v>
      </c>
      <c r="X2875" s="65">
        <v>0</v>
      </c>
      <c r="Y2875" s="65">
        <v>0</v>
      </c>
      <c r="Z2875" s="51">
        <v>27249.179999999997</v>
      </c>
      <c r="AA2875" s="51">
        <v>0</v>
      </c>
      <c r="AB2875" s="102">
        <v>0</v>
      </c>
      <c r="AC2875" s="81">
        <f t="shared" si="136"/>
        <v>0</v>
      </c>
      <c r="AD2875" s="82">
        <f t="shared" si="137"/>
        <v>0</v>
      </c>
      <c r="AE2875" s="218">
        <v>0</v>
      </c>
      <c r="AF2875">
        <v>0</v>
      </c>
      <c r="AH2875" t="str">
        <f t="shared" si="138"/>
        <v>Mahua BMC</v>
      </c>
      <c r="AJ2875" s="72">
        <v>0</v>
      </c>
      <c r="AK2875" s="72"/>
      <c r="AL2875" s="72"/>
      <c r="AM2875" s="72"/>
    </row>
    <row r="2876" spans="1:39" x14ac:dyDescent="0.25">
      <c r="A2876" s="37" t="s">
        <v>62</v>
      </c>
      <c r="B2876" s="66" t="s">
        <v>1654</v>
      </c>
      <c r="C2876" s="4">
        <v>1061</v>
      </c>
      <c r="D2876" s="41" t="s">
        <v>1388</v>
      </c>
      <c r="E2876" s="41">
        <v>10610054</v>
      </c>
      <c r="F2876" s="85" t="s">
        <v>1556</v>
      </c>
      <c r="G2876" s="39" t="s">
        <v>92</v>
      </c>
      <c r="H2876" s="52" t="s">
        <v>93</v>
      </c>
      <c r="I2876" s="52">
        <v>679</v>
      </c>
      <c r="J2876" s="49">
        <v>26789.479999999996</v>
      </c>
      <c r="K2876" s="58">
        <v>680</v>
      </c>
      <c r="L2876" s="58">
        <v>25859.530000000002</v>
      </c>
      <c r="M2876" s="58">
        <v>0</v>
      </c>
      <c r="N2876" s="58">
        <v>0</v>
      </c>
      <c r="O2876" s="58">
        <v>680</v>
      </c>
      <c r="P2876" s="53">
        <v>25859.530000000002</v>
      </c>
      <c r="Q2876" s="65">
        <v>25859.530000000002</v>
      </c>
      <c r="R2876" s="65">
        <v>0</v>
      </c>
      <c r="S2876" s="65">
        <v>0</v>
      </c>
      <c r="T2876" s="65">
        <v>0</v>
      </c>
      <c r="U2876" s="58">
        <v>0</v>
      </c>
      <c r="V2876" s="65">
        <v>0</v>
      </c>
      <c r="W2876" s="65">
        <v>0</v>
      </c>
      <c r="X2876" s="65">
        <v>25859</v>
      </c>
      <c r="Y2876" s="65">
        <v>0</v>
      </c>
      <c r="Z2876" s="51">
        <v>0</v>
      </c>
      <c r="AA2876" s="51">
        <v>930</v>
      </c>
      <c r="AB2876" s="102">
        <v>0</v>
      </c>
      <c r="AC2876" s="81">
        <f t="shared" si="136"/>
        <v>16.570812371134018</v>
      </c>
      <c r="AD2876" s="82">
        <f t="shared" si="137"/>
        <v>97</v>
      </c>
      <c r="AE2876" s="218">
        <v>3.4713253112788812E-2</v>
      </c>
      <c r="AF2876">
        <v>4</v>
      </c>
      <c r="AH2876" t="str">
        <f t="shared" si="138"/>
        <v>Mahua BMC</v>
      </c>
      <c r="AJ2876" s="72">
        <v>0</v>
      </c>
      <c r="AK2876" s="72"/>
      <c r="AL2876" s="72"/>
      <c r="AM2876" s="72"/>
    </row>
    <row r="2877" spans="1:39" x14ac:dyDescent="0.25">
      <c r="A2877" s="37" t="s">
        <v>62</v>
      </c>
      <c r="B2877" s="66" t="s">
        <v>1654</v>
      </c>
      <c r="C2877" s="4">
        <v>1061</v>
      </c>
      <c r="D2877" s="41" t="s">
        <v>1388</v>
      </c>
      <c r="E2877" s="41">
        <v>10610055</v>
      </c>
      <c r="F2877" s="85" t="s">
        <v>1527</v>
      </c>
      <c r="G2877" s="39" t="s">
        <v>92</v>
      </c>
      <c r="H2877" s="52" t="s">
        <v>93</v>
      </c>
      <c r="I2877" s="52">
        <v>253.9</v>
      </c>
      <c r="J2877" s="49">
        <v>12643.569999999998</v>
      </c>
      <c r="K2877" s="58">
        <v>234.79999999999998</v>
      </c>
      <c r="L2877" s="58">
        <v>11461.140000000001</v>
      </c>
      <c r="M2877" s="58">
        <v>20</v>
      </c>
      <c r="N2877" s="58">
        <v>1183.1300000000001</v>
      </c>
      <c r="O2877" s="58">
        <v>254.79999999999998</v>
      </c>
      <c r="P2877" s="53">
        <v>12644.27</v>
      </c>
      <c r="Q2877" s="65">
        <v>12643.569999999998</v>
      </c>
      <c r="R2877" s="65">
        <v>0</v>
      </c>
      <c r="S2877" s="65">
        <v>0</v>
      </c>
      <c r="T2877" s="65">
        <v>0.70000000000254659</v>
      </c>
      <c r="U2877" s="58">
        <v>0</v>
      </c>
      <c r="V2877" s="65">
        <v>0</v>
      </c>
      <c r="W2877" s="65">
        <v>0</v>
      </c>
      <c r="X2877" s="65">
        <v>11460</v>
      </c>
      <c r="Y2877" s="65">
        <v>1183</v>
      </c>
      <c r="Z2877" s="51">
        <v>0</v>
      </c>
      <c r="AA2877" s="51">
        <v>1</v>
      </c>
      <c r="AB2877" s="102">
        <v>0</v>
      </c>
      <c r="AC2877" s="81">
        <f t="shared" ref="AC2877:AC2939" si="139">((IF(AD2877=0,0,100-AD2877))*7*(J2877/I2877))*2%</f>
        <v>444.29275911776284</v>
      </c>
      <c r="AD2877" s="82">
        <f t="shared" ref="AD2877:AD2939" si="140">IF((I2877/7)&gt;100,0,(I2877/7))</f>
        <v>36.271428571428572</v>
      </c>
      <c r="AE2877" s="218">
        <v>-5.5364109978633148E-5</v>
      </c>
      <c r="AF2877">
        <v>13</v>
      </c>
      <c r="AH2877" t="str">
        <f t="shared" si="138"/>
        <v>Mahua BMC</v>
      </c>
      <c r="AJ2877" s="72">
        <v>0</v>
      </c>
      <c r="AK2877" s="72"/>
      <c r="AL2877" s="72"/>
      <c r="AM2877" s="72"/>
    </row>
    <row r="2878" spans="1:39" x14ac:dyDescent="0.25">
      <c r="A2878" s="37" t="s">
        <v>62</v>
      </c>
      <c r="B2878" s="66" t="s">
        <v>1654</v>
      </c>
      <c r="C2878" s="4">
        <v>1061</v>
      </c>
      <c r="D2878" s="41" t="s">
        <v>1388</v>
      </c>
      <c r="E2878" s="41">
        <v>10610056</v>
      </c>
      <c r="F2878" s="85" t="s">
        <v>1528</v>
      </c>
      <c r="G2878" s="39" t="s">
        <v>1610</v>
      </c>
      <c r="H2878" s="52" t="s">
        <v>98</v>
      </c>
      <c r="I2878" s="52">
        <v>2141.3000000000002</v>
      </c>
      <c r="J2878" s="49">
        <v>83271.02</v>
      </c>
      <c r="K2878" s="58">
        <v>0</v>
      </c>
      <c r="L2878" s="58">
        <v>0</v>
      </c>
      <c r="M2878" s="58">
        <v>0</v>
      </c>
      <c r="N2878" s="58">
        <v>0</v>
      </c>
      <c r="O2878" s="58">
        <v>0</v>
      </c>
      <c r="P2878" s="53">
        <v>0</v>
      </c>
      <c r="Q2878" s="65">
        <v>83271.02</v>
      </c>
      <c r="R2878" s="65">
        <v>0</v>
      </c>
      <c r="S2878" s="65">
        <v>0</v>
      </c>
      <c r="T2878" s="65">
        <v>0</v>
      </c>
      <c r="U2878" s="58">
        <v>0</v>
      </c>
      <c r="V2878" s="65">
        <v>0</v>
      </c>
      <c r="W2878" s="65">
        <v>0</v>
      </c>
      <c r="X2878" s="65">
        <v>0</v>
      </c>
      <c r="Y2878" s="65">
        <v>0</v>
      </c>
      <c r="Z2878" s="51">
        <v>83271.02</v>
      </c>
      <c r="AA2878" s="51">
        <v>0</v>
      </c>
      <c r="AB2878" s="102">
        <v>0</v>
      </c>
      <c r="AC2878" s="81">
        <f t="shared" si="139"/>
        <v>0</v>
      </c>
      <c r="AD2878" s="82">
        <f t="shared" si="140"/>
        <v>0</v>
      </c>
      <c r="AE2878" s="218">
        <v>0</v>
      </c>
      <c r="AF2878">
        <v>0</v>
      </c>
      <c r="AH2878" t="str">
        <f t="shared" si="138"/>
        <v>Mahua BMC</v>
      </c>
      <c r="AJ2878" s="72">
        <v>0</v>
      </c>
      <c r="AK2878" s="72"/>
      <c r="AL2878" s="72"/>
      <c r="AM2878" s="72"/>
    </row>
    <row r="2879" spans="1:39" x14ac:dyDescent="0.25">
      <c r="A2879" s="37" t="s">
        <v>62</v>
      </c>
      <c r="B2879" s="66" t="s">
        <v>1654</v>
      </c>
      <c r="C2879" s="4">
        <v>1061</v>
      </c>
      <c r="D2879" s="41" t="s">
        <v>1388</v>
      </c>
      <c r="E2879" s="41">
        <v>10610059</v>
      </c>
      <c r="F2879" s="85" t="s">
        <v>1543</v>
      </c>
      <c r="G2879" s="39" t="s">
        <v>1610</v>
      </c>
      <c r="H2879" s="52" t="s">
        <v>98</v>
      </c>
      <c r="I2879" s="52">
        <v>72.7</v>
      </c>
      <c r="J2879" s="49">
        <v>2287.87</v>
      </c>
      <c r="K2879" s="58">
        <v>0</v>
      </c>
      <c r="L2879" s="58">
        <v>0</v>
      </c>
      <c r="M2879" s="58">
        <v>0</v>
      </c>
      <c r="N2879" s="58">
        <v>0</v>
      </c>
      <c r="O2879" s="58">
        <v>0</v>
      </c>
      <c r="P2879" s="53">
        <v>0</v>
      </c>
      <c r="Q2879" s="65">
        <v>2287.87</v>
      </c>
      <c r="R2879" s="65">
        <v>0</v>
      </c>
      <c r="S2879" s="65">
        <v>0</v>
      </c>
      <c r="T2879" s="65">
        <v>0</v>
      </c>
      <c r="U2879" s="58">
        <v>0</v>
      </c>
      <c r="V2879" s="65">
        <v>0</v>
      </c>
      <c r="W2879" s="65">
        <v>0</v>
      </c>
      <c r="X2879" s="65">
        <v>0</v>
      </c>
      <c r="Y2879" s="65">
        <v>0</v>
      </c>
      <c r="Z2879" s="51">
        <v>2287.87</v>
      </c>
      <c r="AA2879" s="51">
        <v>0</v>
      </c>
      <c r="AB2879" s="102">
        <v>0</v>
      </c>
      <c r="AC2879" s="81">
        <f t="shared" si="139"/>
        <v>394.82279257221455</v>
      </c>
      <c r="AD2879" s="82">
        <f t="shared" si="140"/>
        <v>10.385714285714286</v>
      </c>
      <c r="AE2879" s="218">
        <v>0</v>
      </c>
      <c r="AF2879">
        <v>0</v>
      </c>
      <c r="AH2879" t="str">
        <f t="shared" si="138"/>
        <v>Mahua BMC</v>
      </c>
      <c r="AJ2879" s="72">
        <v>0</v>
      </c>
      <c r="AK2879" s="72"/>
      <c r="AL2879" s="72"/>
      <c r="AM2879" s="72"/>
    </row>
    <row r="2880" spans="1:39" x14ac:dyDescent="0.25">
      <c r="A2880" s="37" t="s">
        <v>62</v>
      </c>
      <c r="B2880" s="66" t="s">
        <v>1654</v>
      </c>
      <c r="C2880" s="4">
        <v>1061</v>
      </c>
      <c r="D2880" s="41" t="s">
        <v>1388</v>
      </c>
      <c r="E2880" s="41">
        <v>10610064</v>
      </c>
      <c r="F2880" s="85" t="s">
        <v>1589</v>
      </c>
      <c r="G2880" s="39" t="s">
        <v>1610</v>
      </c>
      <c r="H2880" s="52" t="s">
        <v>98</v>
      </c>
      <c r="I2880" s="52">
        <v>1038.5999999999999</v>
      </c>
      <c r="J2880" s="49">
        <v>44150.37000000001</v>
      </c>
      <c r="K2880" s="58">
        <v>0</v>
      </c>
      <c r="L2880" s="58">
        <v>0</v>
      </c>
      <c r="M2880" s="58">
        <v>0</v>
      </c>
      <c r="N2880" s="58">
        <v>0</v>
      </c>
      <c r="O2880" s="58">
        <v>0</v>
      </c>
      <c r="P2880" s="53">
        <v>0</v>
      </c>
      <c r="Q2880" s="65">
        <v>44150.37000000001</v>
      </c>
      <c r="R2880" s="65">
        <v>0</v>
      </c>
      <c r="S2880" s="65">
        <v>0</v>
      </c>
      <c r="T2880" s="65">
        <v>0</v>
      </c>
      <c r="U2880" s="58">
        <v>0</v>
      </c>
      <c r="V2880" s="65">
        <v>0</v>
      </c>
      <c r="W2880" s="65">
        <v>0</v>
      </c>
      <c r="X2880" s="65">
        <v>0</v>
      </c>
      <c r="Y2880" s="65">
        <v>0</v>
      </c>
      <c r="Z2880" s="51">
        <v>44150.37000000001</v>
      </c>
      <c r="AA2880" s="51">
        <v>0</v>
      </c>
      <c r="AB2880" s="102">
        <v>0</v>
      </c>
      <c r="AC2880" s="81">
        <f t="shared" si="139"/>
        <v>0</v>
      </c>
      <c r="AD2880" s="82">
        <f t="shared" si="140"/>
        <v>0</v>
      </c>
      <c r="AE2880" s="218">
        <v>0</v>
      </c>
      <c r="AF2880">
        <v>0</v>
      </c>
      <c r="AH2880" t="str">
        <f t="shared" si="138"/>
        <v>Mahua BMC</v>
      </c>
      <c r="AJ2880" s="72">
        <v>0</v>
      </c>
      <c r="AK2880" s="72"/>
      <c r="AL2880" s="72"/>
      <c r="AM2880" s="72"/>
    </row>
    <row r="2881" spans="1:39" x14ac:dyDescent="0.25">
      <c r="A2881" s="37" t="s">
        <v>62</v>
      </c>
      <c r="B2881" s="66" t="s">
        <v>1654</v>
      </c>
      <c r="C2881" s="4">
        <v>1061</v>
      </c>
      <c r="D2881" s="41" t="s">
        <v>1388</v>
      </c>
      <c r="E2881" s="41">
        <v>10610071</v>
      </c>
      <c r="F2881" s="85" t="s">
        <v>1624</v>
      </c>
      <c r="G2881" s="39" t="s">
        <v>1610</v>
      </c>
      <c r="H2881" s="52" t="s">
        <v>98</v>
      </c>
      <c r="I2881" s="52">
        <v>242.10000000000002</v>
      </c>
      <c r="J2881" s="49">
        <v>8808.24</v>
      </c>
      <c r="K2881" s="58">
        <v>0</v>
      </c>
      <c r="L2881" s="58">
        <v>0</v>
      </c>
      <c r="M2881" s="58">
        <v>0</v>
      </c>
      <c r="N2881" s="58">
        <v>0</v>
      </c>
      <c r="O2881" s="58">
        <v>0</v>
      </c>
      <c r="P2881" s="53">
        <v>0</v>
      </c>
      <c r="Q2881" s="65">
        <v>8808.24</v>
      </c>
      <c r="R2881" s="65">
        <v>0</v>
      </c>
      <c r="S2881" s="65">
        <v>0</v>
      </c>
      <c r="T2881" s="65">
        <v>0</v>
      </c>
      <c r="U2881" s="58">
        <v>0</v>
      </c>
      <c r="V2881" s="65">
        <v>0</v>
      </c>
      <c r="W2881" s="65">
        <v>0</v>
      </c>
      <c r="X2881" s="65">
        <v>0</v>
      </c>
      <c r="Y2881" s="65">
        <v>0</v>
      </c>
      <c r="Z2881" s="51">
        <v>8808.24</v>
      </c>
      <c r="AA2881" s="51">
        <v>0</v>
      </c>
      <c r="AB2881" s="102">
        <v>0</v>
      </c>
      <c r="AC2881" s="81">
        <f t="shared" si="139"/>
        <v>333.1923251548946</v>
      </c>
      <c r="AD2881" s="82">
        <f t="shared" si="140"/>
        <v>34.585714285714289</v>
      </c>
      <c r="AE2881" s="218">
        <v>0</v>
      </c>
      <c r="AF2881">
        <v>0</v>
      </c>
      <c r="AH2881" t="str">
        <f t="shared" si="138"/>
        <v>Mahua BMC</v>
      </c>
      <c r="AJ2881" s="72">
        <v>0</v>
      </c>
      <c r="AK2881" s="72"/>
      <c r="AL2881" s="72"/>
      <c r="AM2881" s="72"/>
    </row>
    <row r="2882" spans="1:39" x14ac:dyDescent="0.25">
      <c r="A2882" s="37" t="s">
        <v>62</v>
      </c>
      <c r="B2882" s="66" t="s">
        <v>1654</v>
      </c>
      <c r="C2882" s="4">
        <v>1061</v>
      </c>
      <c r="D2882" s="41" t="s">
        <v>1388</v>
      </c>
      <c r="E2882" s="41">
        <v>10610072</v>
      </c>
      <c r="F2882" s="85" t="s">
        <v>1625</v>
      </c>
      <c r="G2882" s="39" t="s">
        <v>1610</v>
      </c>
      <c r="H2882" s="52" t="s">
        <v>98</v>
      </c>
      <c r="I2882" s="52">
        <v>281.40000000000003</v>
      </c>
      <c r="J2882" s="49">
        <v>11067.849999999999</v>
      </c>
      <c r="K2882" s="58">
        <v>0</v>
      </c>
      <c r="L2882" s="58">
        <v>0</v>
      </c>
      <c r="M2882" s="58">
        <v>0</v>
      </c>
      <c r="N2882" s="58">
        <v>0</v>
      </c>
      <c r="O2882" s="58">
        <v>0</v>
      </c>
      <c r="P2882" s="53">
        <v>0</v>
      </c>
      <c r="Q2882" s="65">
        <v>11067.849999999999</v>
      </c>
      <c r="R2882" s="65">
        <v>0</v>
      </c>
      <c r="S2882" s="65">
        <v>0</v>
      </c>
      <c r="T2882" s="65">
        <v>0</v>
      </c>
      <c r="U2882" s="58">
        <v>0</v>
      </c>
      <c r="V2882" s="65">
        <v>0</v>
      </c>
      <c r="W2882" s="65">
        <v>0</v>
      </c>
      <c r="X2882" s="65">
        <v>0</v>
      </c>
      <c r="Y2882" s="65">
        <v>0</v>
      </c>
      <c r="Z2882" s="51">
        <v>11067.849999999999</v>
      </c>
      <c r="AA2882" s="51">
        <v>0</v>
      </c>
      <c r="AB2882" s="102">
        <v>0</v>
      </c>
      <c r="AC2882" s="81">
        <f t="shared" si="139"/>
        <v>329.28230348258694</v>
      </c>
      <c r="AD2882" s="82">
        <f t="shared" si="140"/>
        <v>40.200000000000003</v>
      </c>
      <c r="AE2882" s="218">
        <v>0</v>
      </c>
      <c r="AF2882">
        <v>0</v>
      </c>
      <c r="AH2882" t="str">
        <f t="shared" si="138"/>
        <v>Mahua BMC</v>
      </c>
      <c r="AJ2882" s="72">
        <v>0</v>
      </c>
      <c r="AK2882" s="72"/>
      <c r="AL2882" s="72"/>
      <c r="AM2882" s="72"/>
    </row>
    <row r="2883" spans="1:39" x14ac:dyDescent="0.25">
      <c r="A2883" s="37" t="s">
        <v>62</v>
      </c>
      <c r="B2883" s="66" t="s">
        <v>1654</v>
      </c>
      <c r="C2883" s="4">
        <v>1061</v>
      </c>
      <c r="D2883" s="41" t="s">
        <v>1388</v>
      </c>
      <c r="E2883" s="41">
        <v>10610073</v>
      </c>
      <c r="F2883" s="85" t="s">
        <v>1626</v>
      </c>
      <c r="G2883" s="39" t="s">
        <v>1610</v>
      </c>
      <c r="H2883" s="52" t="s">
        <v>98</v>
      </c>
      <c r="I2883" s="52">
        <v>328.59999999999997</v>
      </c>
      <c r="J2883" s="49">
        <v>13843.560000000001</v>
      </c>
      <c r="K2883" s="58">
        <v>0</v>
      </c>
      <c r="L2883" s="58">
        <v>0</v>
      </c>
      <c r="M2883" s="58">
        <v>0</v>
      </c>
      <c r="N2883" s="58">
        <v>0</v>
      </c>
      <c r="O2883" s="58">
        <v>0</v>
      </c>
      <c r="P2883" s="53">
        <v>0</v>
      </c>
      <c r="Q2883" s="65">
        <v>13843.560000000001</v>
      </c>
      <c r="R2883" s="65">
        <v>0</v>
      </c>
      <c r="S2883" s="65">
        <v>0</v>
      </c>
      <c r="T2883" s="65">
        <v>0</v>
      </c>
      <c r="U2883" s="58">
        <v>0</v>
      </c>
      <c r="V2883" s="65">
        <v>0</v>
      </c>
      <c r="W2883" s="65">
        <v>0</v>
      </c>
      <c r="X2883" s="65">
        <v>0</v>
      </c>
      <c r="Y2883" s="65">
        <v>0</v>
      </c>
      <c r="Z2883" s="51">
        <v>13843.560000000001</v>
      </c>
      <c r="AA2883" s="51">
        <v>0</v>
      </c>
      <c r="AB2883" s="102">
        <v>0</v>
      </c>
      <c r="AC2883" s="81">
        <f t="shared" si="139"/>
        <v>312.93354741326851</v>
      </c>
      <c r="AD2883" s="82">
        <f t="shared" si="140"/>
        <v>46.942857142857136</v>
      </c>
      <c r="AE2883" s="218">
        <v>0</v>
      </c>
      <c r="AF2883">
        <v>0</v>
      </c>
      <c r="AH2883" t="str">
        <f t="shared" si="138"/>
        <v>Mahua BMC</v>
      </c>
      <c r="AJ2883" s="72">
        <v>0</v>
      </c>
      <c r="AK2883" s="72"/>
      <c r="AL2883" s="72"/>
      <c r="AM2883" s="72"/>
    </row>
    <row r="2884" spans="1:39" x14ac:dyDescent="0.25">
      <c r="A2884" s="37" t="s">
        <v>62</v>
      </c>
      <c r="B2884" s="66" t="s">
        <v>1654</v>
      </c>
      <c r="C2884" s="4">
        <v>1061</v>
      </c>
      <c r="D2884" s="41" t="s">
        <v>1388</v>
      </c>
      <c r="E2884" s="41">
        <v>10610074</v>
      </c>
      <c r="F2884" s="85" t="s">
        <v>1627</v>
      </c>
      <c r="G2884" s="39" t="s">
        <v>1610</v>
      </c>
      <c r="H2884" s="52" t="s">
        <v>98</v>
      </c>
      <c r="I2884" s="52">
        <v>787.6</v>
      </c>
      <c r="J2884" s="49">
        <v>33292.67</v>
      </c>
      <c r="K2884" s="58">
        <v>0</v>
      </c>
      <c r="L2884" s="58">
        <v>0</v>
      </c>
      <c r="M2884" s="58">
        <v>0</v>
      </c>
      <c r="N2884" s="58">
        <v>0</v>
      </c>
      <c r="O2884" s="58">
        <v>0</v>
      </c>
      <c r="P2884" s="53">
        <v>0</v>
      </c>
      <c r="Q2884" s="65">
        <v>33292.67</v>
      </c>
      <c r="R2884" s="65">
        <v>0</v>
      </c>
      <c r="S2884" s="65">
        <v>0</v>
      </c>
      <c r="T2884" s="65">
        <v>0</v>
      </c>
      <c r="U2884" s="58">
        <v>0</v>
      </c>
      <c r="V2884" s="65">
        <v>0</v>
      </c>
      <c r="W2884" s="65">
        <v>0</v>
      </c>
      <c r="X2884" s="65">
        <v>0</v>
      </c>
      <c r="Y2884" s="65">
        <v>0</v>
      </c>
      <c r="Z2884" s="51">
        <v>33292.67</v>
      </c>
      <c r="AA2884" s="51">
        <v>0</v>
      </c>
      <c r="AB2884" s="102">
        <v>0</v>
      </c>
      <c r="AC2884" s="81">
        <f t="shared" si="139"/>
        <v>0</v>
      </c>
      <c r="AD2884" s="82">
        <f t="shared" si="140"/>
        <v>0</v>
      </c>
      <c r="AE2884" s="218">
        <v>0</v>
      </c>
      <c r="AF2884">
        <v>0</v>
      </c>
      <c r="AH2884" t="str">
        <f t="shared" si="138"/>
        <v>Mahua BMC</v>
      </c>
      <c r="AJ2884" s="72">
        <v>0</v>
      </c>
      <c r="AK2884" s="72"/>
      <c r="AL2884" s="72"/>
      <c r="AM2884" s="72"/>
    </row>
    <row r="2885" spans="1:39" x14ac:dyDescent="0.25">
      <c r="A2885" s="37" t="s">
        <v>62</v>
      </c>
      <c r="B2885" s="66" t="s">
        <v>1654</v>
      </c>
      <c r="C2885" s="4">
        <v>1061</v>
      </c>
      <c r="D2885" s="41" t="s">
        <v>1388</v>
      </c>
      <c r="E2885" s="41">
        <v>10610076</v>
      </c>
      <c r="F2885" s="85" t="s">
        <v>1648</v>
      </c>
      <c r="G2885" s="39" t="s">
        <v>1610</v>
      </c>
      <c r="H2885" s="52" t="s">
        <v>98</v>
      </c>
      <c r="I2885" s="52">
        <v>31.7</v>
      </c>
      <c r="J2885" s="49">
        <v>1258.1600000000001</v>
      </c>
      <c r="K2885" s="58">
        <v>0</v>
      </c>
      <c r="L2885" s="58">
        <v>0</v>
      </c>
      <c r="M2885" s="58">
        <v>0</v>
      </c>
      <c r="N2885" s="58">
        <v>0</v>
      </c>
      <c r="O2885" s="58">
        <v>0</v>
      </c>
      <c r="P2885" s="53">
        <v>0</v>
      </c>
      <c r="Q2885" s="65">
        <v>1258.1600000000001</v>
      </c>
      <c r="R2885" s="65">
        <v>0</v>
      </c>
      <c r="S2885" s="65">
        <v>0</v>
      </c>
      <c r="T2885" s="65">
        <v>0</v>
      </c>
      <c r="U2885" s="58">
        <v>0</v>
      </c>
      <c r="V2885" s="65">
        <v>0</v>
      </c>
      <c r="W2885" s="65">
        <v>0</v>
      </c>
      <c r="X2885" s="65">
        <v>0</v>
      </c>
      <c r="Y2885" s="65">
        <v>0</v>
      </c>
      <c r="Z2885" s="51">
        <v>1258.1600000000001</v>
      </c>
      <c r="AA2885" s="51">
        <v>0</v>
      </c>
      <c r="AB2885" s="102">
        <v>0</v>
      </c>
      <c r="AC2885" s="81">
        <f t="shared" si="139"/>
        <v>530.49105867507899</v>
      </c>
      <c r="AD2885" s="82">
        <f t="shared" si="140"/>
        <v>4.5285714285714285</v>
      </c>
      <c r="AE2885" s="218">
        <v>0</v>
      </c>
      <c r="AF2885">
        <v>0</v>
      </c>
      <c r="AH2885" t="str">
        <f t="shared" si="138"/>
        <v>Mahua BMC</v>
      </c>
      <c r="AJ2885" s="72">
        <v>0</v>
      </c>
      <c r="AK2885" s="72"/>
      <c r="AL2885" s="72"/>
      <c r="AM2885" s="72"/>
    </row>
    <row r="2886" spans="1:39" x14ac:dyDescent="0.25">
      <c r="A2886" s="37" t="s">
        <v>62</v>
      </c>
      <c r="B2886" s="66" t="s">
        <v>1654</v>
      </c>
      <c r="C2886" s="4">
        <v>1061</v>
      </c>
      <c r="D2886" s="41" t="s">
        <v>1388</v>
      </c>
      <c r="E2886" s="41">
        <v>10610077</v>
      </c>
      <c r="F2886" s="85" t="s">
        <v>1649</v>
      </c>
      <c r="G2886" s="39" t="s">
        <v>1610</v>
      </c>
      <c r="H2886" s="52" t="s">
        <v>98</v>
      </c>
      <c r="I2886" s="52">
        <v>57.8</v>
      </c>
      <c r="J2886" s="49">
        <v>2504.6499999999996</v>
      </c>
      <c r="K2886" s="58">
        <v>0</v>
      </c>
      <c r="L2886" s="58">
        <v>0</v>
      </c>
      <c r="M2886" s="58">
        <v>0</v>
      </c>
      <c r="N2886" s="58">
        <v>0</v>
      </c>
      <c r="O2886" s="58">
        <v>0</v>
      </c>
      <c r="P2886" s="53">
        <v>0</v>
      </c>
      <c r="Q2886" s="65">
        <v>2504.6499999999996</v>
      </c>
      <c r="R2886" s="65">
        <v>0</v>
      </c>
      <c r="S2886" s="65">
        <v>0</v>
      </c>
      <c r="T2886" s="65">
        <v>0</v>
      </c>
      <c r="U2886" s="58">
        <v>0</v>
      </c>
      <c r="V2886" s="65">
        <v>0</v>
      </c>
      <c r="W2886" s="65">
        <v>0</v>
      </c>
      <c r="X2886" s="65">
        <v>0</v>
      </c>
      <c r="Y2886" s="65">
        <v>0</v>
      </c>
      <c r="Z2886" s="51">
        <v>2504.6499999999996</v>
      </c>
      <c r="AA2886" s="51">
        <v>0</v>
      </c>
      <c r="AB2886" s="102">
        <v>0</v>
      </c>
      <c r="AC2886" s="81">
        <f t="shared" si="139"/>
        <v>556.56962975778549</v>
      </c>
      <c r="AD2886" s="82">
        <f t="shared" si="140"/>
        <v>8.2571428571428562</v>
      </c>
      <c r="AE2886" s="218">
        <v>0</v>
      </c>
      <c r="AF2886">
        <v>0</v>
      </c>
      <c r="AH2886" t="str">
        <f t="shared" si="138"/>
        <v>Mahua BMC</v>
      </c>
      <c r="AJ2886" s="72">
        <v>0</v>
      </c>
      <c r="AK2886" s="72"/>
      <c r="AL2886" s="72"/>
      <c r="AM2886" s="72"/>
    </row>
    <row r="2887" spans="1:39" x14ac:dyDescent="0.25">
      <c r="A2887" s="37" t="s">
        <v>62</v>
      </c>
      <c r="B2887" s="66" t="s">
        <v>1654</v>
      </c>
      <c r="C2887" s="4">
        <v>1057</v>
      </c>
      <c r="D2887" s="41" t="s">
        <v>1174</v>
      </c>
      <c r="E2887" s="41">
        <v>10630002</v>
      </c>
      <c r="F2887" s="85" t="s">
        <v>1453</v>
      </c>
      <c r="G2887" s="39" t="s">
        <v>92</v>
      </c>
      <c r="H2887" s="52" t="s">
        <v>93</v>
      </c>
      <c r="I2887" s="52">
        <v>198.79999999999998</v>
      </c>
      <c r="J2887" s="49">
        <v>8565.17</v>
      </c>
      <c r="K2887" s="58">
        <v>0</v>
      </c>
      <c r="L2887" s="58">
        <v>0</v>
      </c>
      <c r="M2887" s="58">
        <v>198.29999999999998</v>
      </c>
      <c r="N2887" s="58">
        <v>8253.57</v>
      </c>
      <c r="O2887" s="58">
        <v>198.29999999999998</v>
      </c>
      <c r="P2887" s="53">
        <v>8253.57</v>
      </c>
      <c r="Q2887" s="65">
        <v>8253.57</v>
      </c>
      <c r="R2887" s="65">
        <v>0</v>
      </c>
      <c r="S2887" s="65">
        <v>1792.8200000000002</v>
      </c>
      <c r="T2887" s="65">
        <v>0</v>
      </c>
      <c r="U2887" s="58">
        <v>0</v>
      </c>
      <c r="V2887" s="65">
        <v>0</v>
      </c>
      <c r="W2887" s="65">
        <v>0</v>
      </c>
      <c r="X2887" s="65">
        <v>0</v>
      </c>
      <c r="Y2887" s="65">
        <v>6460</v>
      </c>
      <c r="Z2887" s="51">
        <v>0</v>
      </c>
      <c r="AA2887" s="51">
        <v>312</v>
      </c>
      <c r="AB2887" s="102">
        <v>0</v>
      </c>
      <c r="AC2887" s="81">
        <f t="shared" si="139"/>
        <v>431.877585915493</v>
      </c>
      <c r="AD2887" s="82">
        <f t="shared" si="140"/>
        <v>28.4</v>
      </c>
      <c r="AE2887" s="218">
        <v>3.6379896721256015E-2</v>
      </c>
      <c r="AF2887">
        <v>8</v>
      </c>
      <c r="AH2887" t="str">
        <f t="shared" si="138"/>
        <v>Warisnagar</v>
      </c>
      <c r="AJ2887" s="72">
        <v>0</v>
      </c>
      <c r="AK2887" s="72"/>
      <c r="AL2887" s="72"/>
      <c r="AM2887" s="72"/>
    </row>
    <row r="2888" spans="1:39" x14ac:dyDescent="0.25">
      <c r="A2888" s="37" t="s">
        <v>62</v>
      </c>
      <c r="B2888" s="66" t="s">
        <v>1654</v>
      </c>
      <c r="C2888" s="4">
        <v>1063</v>
      </c>
      <c r="D2888" s="41" t="s">
        <v>1565</v>
      </c>
      <c r="E2888" s="41">
        <v>10630004</v>
      </c>
      <c r="F2888" s="85" t="s">
        <v>1380</v>
      </c>
      <c r="G2888" s="39" t="s">
        <v>92</v>
      </c>
      <c r="H2888" s="52" t="s">
        <v>93</v>
      </c>
      <c r="I2888" s="52">
        <v>310.40000000000003</v>
      </c>
      <c r="J2888" s="49">
        <v>12963.65</v>
      </c>
      <c r="K2888" s="58">
        <v>311.49999999999994</v>
      </c>
      <c r="L2888" s="58">
        <v>13858.67</v>
      </c>
      <c r="M2888" s="58">
        <v>0.48</v>
      </c>
      <c r="N2888" s="58">
        <v>21.62</v>
      </c>
      <c r="O2888" s="58">
        <v>311.97999999999996</v>
      </c>
      <c r="P2888" s="53">
        <v>13880.29</v>
      </c>
      <c r="Q2888" s="65">
        <v>12963.65</v>
      </c>
      <c r="R2888" s="65">
        <v>0</v>
      </c>
      <c r="S2888" s="65">
        <v>21.62</v>
      </c>
      <c r="T2888" s="65">
        <v>916.64000000000124</v>
      </c>
      <c r="U2888" s="58">
        <v>0</v>
      </c>
      <c r="V2888" s="65">
        <v>0</v>
      </c>
      <c r="W2888" s="65">
        <v>0</v>
      </c>
      <c r="X2888" s="65">
        <v>12942</v>
      </c>
      <c r="Y2888" s="65">
        <v>0</v>
      </c>
      <c r="Z2888" s="51">
        <v>0</v>
      </c>
      <c r="AA2888" s="51">
        <v>0</v>
      </c>
      <c r="AB2888" s="102">
        <v>0</v>
      </c>
      <c r="AC2888" s="81">
        <f t="shared" si="139"/>
        <v>325.42770876288654</v>
      </c>
      <c r="AD2888" s="82">
        <f t="shared" si="140"/>
        <v>44.342857142857149</v>
      </c>
      <c r="AE2888" s="218">
        <v>-7.0708481021934499E-2</v>
      </c>
      <c r="AF2888">
        <v>7</v>
      </c>
      <c r="AH2888" t="str">
        <f t="shared" si="138"/>
        <v>Rosera</v>
      </c>
      <c r="AJ2888" s="72">
        <v>0</v>
      </c>
      <c r="AK2888" s="72"/>
      <c r="AL2888" s="72"/>
      <c r="AM2888" s="72"/>
    </row>
    <row r="2889" spans="1:39" x14ac:dyDescent="0.25">
      <c r="A2889" s="37" t="s">
        <v>62</v>
      </c>
      <c r="B2889" s="66" t="s">
        <v>1654</v>
      </c>
      <c r="C2889" s="4">
        <v>1063</v>
      </c>
      <c r="D2889" s="41" t="s">
        <v>1565</v>
      </c>
      <c r="E2889" s="41">
        <v>10630009</v>
      </c>
      <c r="F2889" s="85" t="s">
        <v>1356</v>
      </c>
      <c r="G2889" s="39" t="s">
        <v>92</v>
      </c>
      <c r="H2889" s="52" t="s">
        <v>93</v>
      </c>
      <c r="I2889" s="52">
        <v>1369.8999999999999</v>
      </c>
      <c r="J2889" s="49">
        <v>55040.409999999996</v>
      </c>
      <c r="K2889" s="58">
        <v>754.05</v>
      </c>
      <c r="L2889" s="58">
        <v>54980.089999999989</v>
      </c>
      <c r="M2889" s="58">
        <v>0.99999999999999989</v>
      </c>
      <c r="N2889" s="58">
        <v>47.850000000000009</v>
      </c>
      <c r="O2889" s="58">
        <v>755.05</v>
      </c>
      <c r="P2889" s="53">
        <v>55027.939999999988</v>
      </c>
      <c r="Q2889" s="65">
        <v>55027.939999999988</v>
      </c>
      <c r="R2889" s="65">
        <v>0</v>
      </c>
      <c r="S2889" s="65">
        <v>47.850000000000009</v>
      </c>
      <c r="T2889" s="65">
        <v>0</v>
      </c>
      <c r="U2889" s="58">
        <v>0</v>
      </c>
      <c r="V2889" s="65">
        <v>0</v>
      </c>
      <c r="W2889" s="65">
        <v>0</v>
      </c>
      <c r="X2889" s="65">
        <v>54980</v>
      </c>
      <c r="Y2889" s="65">
        <v>0</v>
      </c>
      <c r="Z2889" s="51">
        <v>0</v>
      </c>
      <c r="AA2889" s="51">
        <v>13</v>
      </c>
      <c r="AB2889" s="102">
        <v>0</v>
      </c>
      <c r="AC2889" s="81">
        <f t="shared" si="139"/>
        <v>0</v>
      </c>
      <c r="AD2889" s="82">
        <f t="shared" si="140"/>
        <v>0</v>
      </c>
      <c r="AE2889" s="218">
        <v>2.2656081231968369E-4</v>
      </c>
      <c r="AF2889">
        <v>5</v>
      </c>
      <c r="AH2889" t="str">
        <f t="shared" si="138"/>
        <v>Rosera</v>
      </c>
      <c r="AJ2889" s="72">
        <v>0</v>
      </c>
      <c r="AK2889" s="72"/>
      <c r="AL2889" s="72"/>
      <c r="AM2889" s="72"/>
    </row>
    <row r="2890" spans="1:39" x14ac:dyDescent="0.25">
      <c r="A2890" s="37" t="s">
        <v>62</v>
      </c>
      <c r="B2890" s="66" t="s">
        <v>1654</v>
      </c>
      <c r="C2890" s="4">
        <v>1063</v>
      </c>
      <c r="D2890" s="41" t="s">
        <v>1565</v>
      </c>
      <c r="E2890" s="41">
        <v>10630010</v>
      </c>
      <c r="F2890" s="85" t="s">
        <v>1357</v>
      </c>
      <c r="G2890" s="39" t="s">
        <v>1610</v>
      </c>
      <c r="H2890" s="52" t="s">
        <v>98</v>
      </c>
      <c r="I2890" s="52">
        <v>783.00000000000011</v>
      </c>
      <c r="J2890" s="49">
        <v>34240.269999999997</v>
      </c>
      <c r="K2890" s="58">
        <v>0</v>
      </c>
      <c r="L2890" s="58">
        <v>0</v>
      </c>
      <c r="M2890" s="58">
        <v>0</v>
      </c>
      <c r="N2890" s="58">
        <v>0</v>
      </c>
      <c r="O2890" s="58">
        <v>0</v>
      </c>
      <c r="P2890" s="53">
        <v>0</v>
      </c>
      <c r="Q2890" s="65">
        <v>34240.269999999997</v>
      </c>
      <c r="R2890" s="65">
        <v>0</v>
      </c>
      <c r="S2890" s="65">
        <v>0</v>
      </c>
      <c r="T2890" s="65">
        <v>0</v>
      </c>
      <c r="U2890" s="58">
        <v>0</v>
      </c>
      <c r="V2890" s="65">
        <v>0</v>
      </c>
      <c r="W2890" s="65">
        <v>0</v>
      </c>
      <c r="X2890" s="65">
        <v>0</v>
      </c>
      <c r="Y2890" s="65">
        <v>0</v>
      </c>
      <c r="Z2890" s="51">
        <v>34240.269999999997</v>
      </c>
      <c r="AA2890" s="51">
        <v>0</v>
      </c>
      <c r="AB2890" s="102">
        <v>0</v>
      </c>
      <c r="AC2890" s="81">
        <f t="shared" si="139"/>
        <v>0</v>
      </c>
      <c r="AD2890" s="82">
        <f t="shared" si="140"/>
        <v>0</v>
      </c>
      <c r="AE2890" s="218">
        <v>0</v>
      </c>
      <c r="AF2890">
        <v>0</v>
      </c>
      <c r="AH2890" t="str">
        <f t="shared" si="138"/>
        <v>Rosera</v>
      </c>
      <c r="AJ2890" s="72">
        <v>0</v>
      </c>
      <c r="AK2890" s="72"/>
      <c r="AL2890" s="72"/>
      <c r="AM2890" s="72"/>
    </row>
    <row r="2891" spans="1:39" x14ac:dyDescent="0.25">
      <c r="A2891" s="37" t="s">
        <v>62</v>
      </c>
      <c r="B2891" s="66" t="s">
        <v>1654</v>
      </c>
      <c r="C2891" s="4">
        <v>1063</v>
      </c>
      <c r="D2891" s="41" t="s">
        <v>1565</v>
      </c>
      <c r="E2891" s="41">
        <v>10630011</v>
      </c>
      <c r="F2891" s="85" t="s">
        <v>1358</v>
      </c>
      <c r="G2891" s="39" t="s">
        <v>1610</v>
      </c>
      <c r="H2891" s="52" t="s">
        <v>98</v>
      </c>
      <c r="I2891" s="52">
        <v>123.89999999999999</v>
      </c>
      <c r="J2891" s="49">
        <v>3932.0299999999997</v>
      </c>
      <c r="K2891" s="58">
        <v>0</v>
      </c>
      <c r="L2891" s="58">
        <v>0</v>
      </c>
      <c r="M2891" s="58">
        <v>0</v>
      </c>
      <c r="N2891" s="58">
        <v>0</v>
      </c>
      <c r="O2891" s="58">
        <v>0</v>
      </c>
      <c r="P2891" s="53">
        <v>0</v>
      </c>
      <c r="Q2891" s="65">
        <v>3932.0299999999997</v>
      </c>
      <c r="R2891" s="65">
        <v>0</v>
      </c>
      <c r="S2891" s="65">
        <v>0</v>
      </c>
      <c r="T2891" s="65">
        <v>0</v>
      </c>
      <c r="U2891" s="58">
        <v>0</v>
      </c>
      <c r="V2891" s="65">
        <v>0</v>
      </c>
      <c r="W2891" s="65">
        <v>0</v>
      </c>
      <c r="X2891" s="65">
        <v>0</v>
      </c>
      <c r="Y2891" s="65">
        <v>0</v>
      </c>
      <c r="Z2891" s="51">
        <v>3932.0299999999997</v>
      </c>
      <c r="AA2891" s="51">
        <v>0</v>
      </c>
      <c r="AB2891" s="102">
        <v>0</v>
      </c>
      <c r="AC2891" s="81">
        <f t="shared" si="139"/>
        <v>365.65657514124297</v>
      </c>
      <c r="AD2891" s="82">
        <f t="shared" si="140"/>
        <v>17.7</v>
      </c>
      <c r="AE2891" s="218">
        <v>0</v>
      </c>
      <c r="AF2891">
        <v>0</v>
      </c>
      <c r="AH2891" t="str">
        <f t="shared" si="138"/>
        <v>Rosera</v>
      </c>
      <c r="AJ2891" s="72">
        <v>0</v>
      </c>
      <c r="AK2891" s="72"/>
      <c r="AL2891" s="72"/>
      <c r="AM2891" s="72"/>
    </row>
    <row r="2892" spans="1:39" x14ac:dyDescent="0.25">
      <c r="A2892" s="37" t="s">
        <v>62</v>
      </c>
      <c r="B2892" s="66" t="s">
        <v>1654</v>
      </c>
      <c r="C2892" s="4">
        <v>1063</v>
      </c>
      <c r="D2892" s="41" t="s">
        <v>1565</v>
      </c>
      <c r="E2892" s="41">
        <v>10630014</v>
      </c>
      <c r="F2892" s="85" t="s">
        <v>1461</v>
      </c>
      <c r="G2892" s="39" t="s">
        <v>92</v>
      </c>
      <c r="H2892" s="52" t="s">
        <v>93</v>
      </c>
      <c r="I2892" s="52">
        <v>395.7</v>
      </c>
      <c r="J2892" s="49">
        <v>15039.28</v>
      </c>
      <c r="K2892" s="58">
        <v>390</v>
      </c>
      <c r="L2892" s="58">
        <v>15401.649999999998</v>
      </c>
      <c r="M2892" s="58">
        <v>0</v>
      </c>
      <c r="N2892" s="58">
        <v>0</v>
      </c>
      <c r="O2892" s="58">
        <v>390</v>
      </c>
      <c r="P2892" s="53">
        <v>15401.649999999998</v>
      </c>
      <c r="Q2892" s="65">
        <v>15039.28</v>
      </c>
      <c r="R2892" s="65">
        <v>0</v>
      </c>
      <c r="S2892" s="65">
        <v>0</v>
      </c>
      <c r="T2892" s="65">
        <v>362.36999999999716</v>
      </c>
      <c r="U2892" s="58">
        <v>0</v>
      </c>
      <c r="V2892" s="65">
        <v>0</v>
      </c>
      <c r="W2892" s="65">
        <v>0</v>
      </c>
      <c r="X2892" s="65">
        <v>15039</v>
      </c>
      <c r="Y2892" s="65">
        <v>0</v>
      </c>
      <c r="Z2892" s="51">
        <v>0</v>
      </c>
      <c r="AA2892" s="51">
        <v>0</v>
      </c>
      <c r="AB2892" s="102" t="s">
        <v>1366</v>
      </c>
      <c r="AC2892" s="81">
        <f t="shared" si="139"/>
        <v>231.30921930755625</v>
      </c>
      <c r="AD2892" s="82">
        <f t="shared" si="140"/>
        <v>56.528571428571425</v>
      </c>
      <c r="AE2892" s="218">
        <v>-2.4094903479421698E-2</v>
      </c>
      <c r="AF2892">
        <v>9</v>
      </c>
      <c r="AH2892" t="str">
        <f t="shared" si="138"/>
        <v>Rosera</v>
      </c>
      <c r="AJ2892" s="72">
        <v>0</v>
      </c>
      <c r="AK2892" s="72"/>
      <c r="AL2892" s="72"/>
      <c r="AM2892" s="72"/>
    </row>
    <row r="2893" spans="1:39" x14ac:dyDescent="0.25">
      <c r="A2893" s="37" t="s">
        <v>62</v>
      </c>
      <c r="B2893" s="66" t="s">
        <v>1654</v>
      </c>
      <c r="C2893" s="4">
        <v>1057</v>
      </c>
      <c r="D2893" s="41" t="s">
        <v>1174</v>
      </c>
      <c r="E2893" s="41">
        <v>10630016</v>
      </c>
      <c r="F2893" s="85" t="s">
        <v>1404</v>
      </c>
      <c r="G2893" s="39" t="s">
        <v>1610</v>
      </c>
      <c r="H2893" s="52" t="s">
        <v>98</v>
      </c>
      <c r="I2893" s="52">
        <v>488.49999999999994</v>
      </c>
      <c r="J2893" s="49">
        <v>18897.53</v>
      </c>
      <c r="K2893" s="58">
        <v>0</v>
      </c>
      <c r="L2893" s="58">
        <v>0</v>
      </c>
      <c r="M2893" s="58">
        <v>0</v>
      </c>
      <c r="N2893" s="58">
        <v>0</v>
      </c>
      <c r="O2893" s="58">
        <v>0</v>
      </c>
      <c r="P2893" s="53">
        <v>0</v>
      </c>
      <c r="Q2893" s="65">
        <v>18897.53</v>
      </c>
      <c r="R2893" s="65">
        <v>0</v>
      </c>
      <c r="S2893" s="65">
        <v>0</v>
      </c>
      <c r="T2893" s="65">
        <v>0</v>
      </c>
      <c r="U2893" s="58">
        <v>0</v>
      </c>
      <c r="V2893" s="65">
        <v>0</v>
      </c>
      <c r="W2893" s="65">
        <v>0</v>
      </c>
      <c r="X2893" s="65">
        <v>0</v>
      </c>
      <c r="Y2893" s="65">
        <v>0</v>
      </c>
      <c r="Z2893" s="51">
        <v>18897.53</v>
      </c>
      <c r="AA2893" s="51">
        <v>0</v>
      </c>
      <c r="AB2893" s="102">
        <v>0</v>
      </c>
      <c r="AC2893" s="81">
        <f t="shared" si="139"/>
        <v>163.63674902763566</v>
      </c>
      <c r="AD2893" s="82">
        <f t="shared" si="140"/>
        <v>69.785714285714278</v>
      </c>
      <c r="AE2893" s="218">
        <v>0</v>
      </c>
      <c r="AF2893">
        <v>0</v>
      </c>
      <c r="AH2893" t="str">
        <f t="shared" si="138"/>
        <v>Warisnagar</v>
      </c>
      <c r="AJ2893" s="72">
        <v>0</v>
      </c>
      <c r="AK2893" s="72"/>
      <c r="AL2893" s="72"/>
      <c r="AM2893" s="72"/>
    </row>
    <row r="2894" spans="1:39" x14ac:dyDescent="0.25">
      <c r="A2894" s="37" t="s">
        <v>62</v>
      </c>
      <c r="B2894" s="66" t="s">
        <v>1654</v>
      </c>
      <c r="C2894" s="4">
        <v>1063</v>
      </c>
      <c r="D2894" s="41" t="s">
        <v>1565</v>
      </c>
      <c r="E2894" s="41">
        <v>10630017</v>
      </c>
      <c r="F2894" s="85" t="s">
        <v>1405</v>
      </c>
      <c r="G2894" s="39" t="s">
        <v>1610</v>
      </c>
      <c r="H2894" s="52" t="s">
        <v>98</v>
      </c>
      <c r="I2894" s="52">
        <v>282.7</v>
      </c>
      <c r="J2894" s="49">
        <v>11412.94</v>
      </c>
      <c r="K2894" s="58">
        <v>0</v>
      </c>
      <c r="L2894" s="58">
        <v>0</v>
      </c>
      <c r="M2894" s="58">
        <v>0</v>
      </c>
      <c r="N2894" s="58">
        <v>0</v>
      </c>
      <c r="O2894" s="58">
        <v>0</v>
      </c>
      <c r="P2894" s="53">
        <v>0</v>
      </c>
      <c r="Q2894" s="65">
        <v>11412.94</v>
      </c>
      <c r="R2894" s="65">
        <v>0</v>
      </c>
      <c r="S2894" s="65">
        <v>0</v>
      </c>
      <c r="T2894" s="65">
        <v>0</v>
      </c>
      <c r="U2894" s="58">
        <v>0</v>
      </c>
      <c r="V2894" s="65">
        <v>0</v>
      </c>
      <c r="W2894" s="65">
        <v>0</v>
      </c>
      <c r="X2894" s="65">
        <v>0</v>
      </c>
      <c r="Y2894" s="65">
        <v>0</v>
      </c>
      <c r="Z2894" s="51">
        <v>11412.94</v>
      </c>
      <c r="AA2894" s="51">
        <v>0</v>
      </c>
      <c r="AB2894" s="102">
        <v>0</v>
      </c>
      <c r="AC2894" s="81">
        <f t="shared" si="139"/>
        <v>336.9380871595331</v>
      </c>
      <c r="AD2894" s="82">
        <f t="shared" si="140"/>
        <v>40.385714285714286</v>
      </c>
      <c r="AE2894" s="218">
        <v>0</v>
      </c>
      <c r="AF2894">
        <v>0</v>
      </c>
      <c r="AH2894" t="str">
        <f t="shared" si="138"/>
        <v>Rosera</v>
      </c>
      <c r="AJ2894" s="72">
        <v>0</v>
      </c>
      <c r="AK2894" s="72"/>
      <c r="AL2894" s="72"/>
      <c r="AM2894" s="72"/>
    </row>
    <row r="2895" spans="1:39" x14ac:dyDescent="0.25">
      <c r="A2895" s="37" t="s">
        <v>62</v>
      </c>
      <c r="B2895" s="66" t="s">
        <v>1654</v>
      </c>
      <c r="C2895" s="4">
        <v>1063</v>
      </c>
      <c r="D2895" s="41" t="s">
        <v>1565</v>
      </c>
      <c r="E2895" s="41">
        <v>10630018</v>
      </c>
      <c r="F2895" s="85" t="s">
        <v>1471</v>
      </c>
      <c r="G2895" s="39" t="s">
        <v>1610</v>
      </c>
      <c r="H2895" s="52" t="s">
        <v>98</v>
      </c>
      <c r="I2895" s="52">
        <v>1472.6000000000001</v>
      </c>
      <c r="J2895" s="49">
        <v>56450.16</v>
      </c>
      <c r="K2895" s="58">
        <v>0</v>
      </c>
      <c r="L2895" s="58">
        <v>0</v>
      </c>
      <c r="M2895" s="58">
        <v>0</v>
      </c>
      <c r="N2895" s="58">
        <v>0</v>
      </c>
      <c r="O2895" s="58">
        <v>0</v>
      </c>
      <c r="P2895" s="53">
        <v>0</v>
      </c>
      <c r="Q2895" s="65">
        <v>56450.16</v>
      </c>
      <c r="R2895" s="65">
        <v>0</v>
      </c>
      <c r="S2895" s="65">
        <v>0</v>
      </c>
      <c r="T2895" s="65">
        <v>0</v>
      </c>
      <c r="U2895" s="58">
        <v>0</v>
      </c>
      <c r="V2895" s="65">
        <v>0</v>
      </c>
      <c r="W2895" s="65">
        <v>0</v>
      </c>
      <c r="X2895" s="65">
        <v>0</v>
      </c>
      <c r="Y2895" s="65">
        <v>0</v>
      </c>
      <c r="Z2895" s="51">
        <v>56450.16</v>
      </c>
      <c r="AA2895" s="51">
        <v>0</v>
      </c>
      <c r="AB2895" s="102">
        <v>0</v>
      </c>
      <c r="AC2895" s="81">
        <f t="shared" si="139"/>
        <v>0</v>
      </c>
      <c r="AD2895" s="82">
        <f t="shared" si="140"/>
        <v>0</v>
      </c>
      <c r="AE2895" s="218">
        <v>0</v>
      </c>
      <c r="AF2895">
        <v>0</v>
      </c>
      <c r="AH2895" t="str">
        <f t="shared" si="138"/>
        <v>Rosera</v>
      </c>
      <c r="AJ2895" s="72">
        <v>0</v>
      </c>
      <c r="AK2895" s="72"/>
      <c r="AL2895" s="72"/>
      <c r="AM2895" s="72"/>
    </row>
    <row r="2896" spans="1:39" x14ac:dyDescent="0.25">
      <c r="A2896" s="37" t="s">
        <v>62</v>
      </c>
      <c r="B2896" s="66" t="s">
        <v>1654</v>
      </c>
      <c r="C2896" s="4">
        <v>1063</v>
      </c>
      <c r="D2896" s="41" t="s">
        <v>1565</v>
      </c>
      <c r="E2896" s="41">
        <v>10630019</v>
      </c>
      <c r="F2896" s="85" t="s">
        <v>1406</v>
      </c>
      <c r="G2896" s="39" t="s">
        <v>1610</v>
      </c>
      <c r="H2896" s="52" t="s">
        <v>98</v>
      </c>
      <c r="I2896" s="52">
        <v>821.6</v>
      </c>
      <c r="J2896" s="49">
        <v>31396.809999999998</v>
      </c>
      <c r="K2896" s="58">
        <v>0</v>
      </c>
      <c r="L2896" s="58">
        <v>0</v>
      </c>
      <c r="M2896" s="58">
        <v>0</v>
      </c>
      <c r="N2896" s="58">
        <v>0</v>
      </c>
      <c r="O2896" s="58">
        <v>0</v>
      </c>
      <c r="P2896" s="53">
        <v>0</v>
      </c>
      <c r="Q2896" s="65">
        <v>31396.809999999998</v>
      </c>
      <c r="R2896" s="65">
        <v>0</v>
      </c>
      <c r="S2896" s="65">
        <v>0</v>
      </c>
      <c r="T2896" s="65">
        <v>0</v>
      </c>
      <c r="U2896" s="58">
        <v>0</v>
      </c>
      <c r="V2896" s="65">
        <v>0</v>
      </c>
      <c r="W2896" s="65">
        <v>0</v>
      </c>
      <c r="X2896" s="65">
        <v>0</v>
      </c>
      <c r="Y2896" s="65">
        <v>0</v>
      </c>
      <c r="Z2896" s="51">
        <v>31396.809999999998</v>
      </c>
      <c r="AA2896" s="51">
        <v>0</v>
      </c>
      <c r="AB2896" s="102">
        <v>0</v>
      </c>
      <c r="AC2896" s="81">
        <f t="shared" si="139"/>
        <v>0</v>
      </c>
      <c r="AD2896" s="82">
        <f t="shared" si="140"/>
        <v>0</v>
      </c>
      <c r="AE2896" s="218">
        <v>0</v>
      </c>
      <c r="AF2896">
        <v>0</v>
      </c>
      <c r="AH2896" t="str">
        <f t="shared" si="138"/>
        <v>Rosera</v>
      </c>
      <c r="AJ2896" s="72">
        <v>0</v>
      </c>
      <c r="AK2896" s="72"/>
      <c r="AL2896" s="72"/>
      <c r="AM2896" s="72"/>
    </row>
    <row r="2897" spans="1:39" x14ac:dyDescent="0.25">
      <c r="A2897" s="37" t="s">
        <v>62</v>
      </c>
      <c r="B2897" s="66" t="s">
        <v>1654</v>
      </c>
      <c r="C2897" s="4">
        <v>1063</v>
      </c>
      <c r="D2897" s="41" t="s">
        <v>1565</v>
      </c>
      <c r="E2897" s="41">
        <v>10630022</v>
      </c>
      <c r="F2897" s="85" t="s">
        <v>1544</v>
      </c>
      <c r="G2897" s="39" t="s">
        <v>1610</v>
      </c>
      <c r="H2897" s="52" t="s">
        <v>98</v>
      </c>
      <c r="I2897" s="52">
        <v>340.20000000000005</v>
      </c>
      <c r="J2897" s="49">
        <v>12181.119999999999</v>
      </c>
      <c r="K2897" s="58">
        <v>0</v>
      </c>
      <c r="L2897" s="58">
        <v>0</v>
      </c>
      <c r="M2897" s="58">
        <v>0</v>
      </c>
      <c r="N2897" s="58">
        <v>0</v>
      </c>
      <c r="O2897" s="58">
        <v>0</v>
      </c>
      <c r="P2897" s="53">
        <v>0</v>
      </c>
      <c r="Q2897" s="65">
        <v>12181.119999999999</v>
      </c>
      <c r="R2897" s="65">
        <v>0</v>
      </c>
      <c r="S2897" s="65">
        <v>0</v>
      </c>
      <c r="T2897" s="65">
        <v>0</v>
      </c>
      <c r="U2897" s="58">
        <v>0</v>
      </c>
      <c r="V2897" s="65">
        <v>0</v>
      </c>
      <c r="W2897" s="65">
        <v>0</v>
      </c>
      <c r="X2897" s="65">
        <v>0</v>
      </c>
      <c r="Y2897" s="65">
        <v>0</v>
      </c>
      <c r="Z2897" s="51">
        <v>12181.119999999999</v>
      </c>
      <c r="AA2897" s="51">
        <v>0</v>
      </c>
      <c r="AB2897" s="102">
        <v>0</v>
      </c>
      <c r="AC2897" s="81">
        <f t="shared" si="139"/>
        <v>257.65825843621394</v>
      </c>
      <c r="AD2897" s="82">
        <f t="shared" si="140"/>
        <v>48.600000000000009</v>
      </c>
      <c r="AE2897" s="218">
        <v>0</v>
      </c>
      <c r="AF2897">
        <v>0</v>
      </c>
      <c r="AH2897" t="str">
        <f t="shared" si="138"/>
        <v>Rosera</v>
      </c>
      <c r="AJ2897" s="72">
        <v>0</v>
      </c>
      <c r="AK2897" s="72"/>
      <c r="AL2897" s="72"/>
      <c r="AM2897" s="72"/>
    </row>
    <row r="2898" spans="1:39" x14ac:dyDescent="0.25">
      <c r="A2898" s="37" t="s">
        <v>62</v>
      </c>
      <c r="B2898" s="66" t="s">
        <v>1654</v>
      </c>
      <c r="C2898" s="4">
        <v>1063</v>
      </c>
      <c r="D2898" s="41" t="s">
        <v>1565</v>
      </c>
      <c r="E2898" s="41">
        <v>10630024</v>
      </c>
      <c r="F2898" s="85" t="s">
        <v>1570</v>
      </c>
      <c r="G2898" s="39" t="s">
        <v>1610</v>
      </c>
      <c r="H2898" s="52" t="s">
        <v>93</v>
      </c>
      <c r="I2898" s="52">
        <v>94.100000000000009</v>
      </c>
      <c r="J2898" s="49">
        <v>4774.37</v>
      </c>
      <c r="K2898" s="58">
        <v>91.75</v>
      </c>
      <c r="L2898" s="58">
        <v>4776.87</v>
      </c>
      <c r="M2898" s="58">
        <v>0</v>
      </c>
      <c r="N2898" s="58">
        <v>0</v>
      </c>
      <c r="O2898" s="58">
        <v>91.75</v>
      </c>
      <c r="P2898" s="53">
        <v>4776.87</v>
      </c>
      <c r="Q2898" s="65">
        <v>4774.37</v>
      </c>
      <c r="R2898" s="65">
        <v>0</v>
      </c>
      <c r="S2898" s="65">
        <v>0</v>
      </c>
      <c r="T2898" s="65">
        <v>2.5</v>
      </c>
      <c r="U2898" s="58">
        <v>0</v>
      </c>
      <c r="V2898" s="65">
        <v>0</v>
      </c>
      <c r="W2898" s="65">
        <v>0</v>
      </c>
      <c r="X2898" s="65">
        <v>4774</v>
      </c>
      <c r="Y2898" s="65">
        <v>0</v>
      </c>
      <c r="Z2898" s="51">
        <v>0</v>
      </c>
      <c r="AA2898" s="51">
        <v>0</v>
      </c>
      <c r="AB2898" s="102">
        <v>0</v>
      </c>
      <c r="AC2898" s="81">
        <f t="shared" si="139"/>
        <v>614.83332263549403</v>
      </c>
      <c r="AD2898" s="82">
        <f t="shared" si="140"/>
        <v>13.442857142857145</v>
      </c>
      <c r="AE2898" s="218">
        <v>-5.2362929559292639E-4</v>
      </c>
      <c r="AF2898">
        <v>1</v>
      </c>
      <c r="AH2898" t="str">
        <f t="shared" si="138"/>
        <v>Rosera</v>
      </c>
      <c r="AJ2898" s="72">
        <v>0</v>
      </c>
      <c r="AK2898" s="72"/>
      <c r="AL2898" s="72"/>
      <c r="AM2898" s="72"/>
    </row>
    <row r="2899" spans="1:39" x14ac:dyDescent="0.25">
      <c r="A2899" s="37" t="s">
        <v>62</v>
      </c>
      <c r="B2899" s="66" t="s">
        <v>1654</v>
      </c>
      <c r="C2899" s="4">
        <v>1063</v>
      </c>
      <c r="D2899" s="41" t="s">
        <v>1565</v>
      </c>
      <c r="E2899" s="41">
        <v>10630025</v>
      </c>
      <c r="F2899" s="85" t="s">
        <v>1607</v>
      </c>
      <c r="G2899" s="39" t="s">
        <v>1610</v>
      </c>
      <c r="H2899" s="52" t="s">
        <v>93</v>
      </c>
      <c r="I2899" s="52">
        <v>331.12</v>
      </c>
      <c r="J2899" s="49">
        <v>13486.48</v>
      </c>
      <c r="K2899" s="58">
        <v>225.70999999999998</v>
      </c>
      <c r="L2899" s="58">
        <v>13486.299999999996</v>
      </c>
      <c r="M2899" s="58">
        <v>0</v>
      </c>
      <c r="N2899" s="58">
        <v>0</v>
      </c>
      <c r="O2899" s="58">
        <v>225.70999999999998</v>
      </c>
      <c r="P2899" s="53">
        <v>13486.299999999996</v>
      </c>
      <c r="Q2899" s="65">
        <v>13486.299999999996</v>
      </c>
      <c r="R2899" s="65">
        <v>0</v>
      </c>
      <c r="S2899" s="65">
        <v>0</v>
      </c>
      <c r="T2899" s="65">
        <v>0</v>
      </c>
      <c r="U2899" s="58">
        <v>0</v>
      </c>
      <c r="V2899" s="65">
        <v>0</v>
      </c>
      <c r="W2899" s="65">
        <v>0</v>
      </c>
      <c r="X2899" s="65">
        <v>13486</v>
      </c>
      <c r="Y2899" s="65">
        <v>0</v>
      </c>
      <c r="Z2899" s="51">
        <v>0</v>
      </c>
      <c r="AA2899" s="51">
        <v>0</v>
      </c>
      <c r="AB2899" s="102">
        <v>0</v>
      </c>
      <c r="AC2899" s="81">
        <f t="shared" si="139"/>
        <v>300.48881024402027</v>
      </c>
      <c r="AD2899" s="82">
        <f t="shared" si="140"/>
        <v>47.302857142857142</v>
      </c>
      <c r="AE2899" s="218">
        <v>1.3346699806319293E-5</v>
      </c>
      <c r="AF2899">
        <v>1</v>
      </c>
      <c r="AH2899" t="str">
        <f t="shared" si="138"/>
        <v>Rosera</v>
      </c>
      <c r="AJ2899" s="72">
        <v>0</v>
      </c>
      <c r="AK2899" s="72"/>
      <c r="AL2899" s="72"/>
      <c r="AM2899" s="72"/>
    </row>
    <row r="2900" spans="1:39" x14ac:dyDescent="0.25">
      <c r="A2900" s="37" t="s">
        <v>62</v>
      </c>
      <c r="B2900" s="66" t="s">
        <v>1654</v>
      </c>
      <c r="C2900" s="4">
        <v>1063</v>
      </c>
      <c r="D2900" s="41" t="s">
        <v>1565</v>
      </c>
      <c r="E2900" s="41">
        <v>10630026</v>
      </c>
      <c r="F2900" s="85" t="s">
        <v>1608</v>
      </c>
      <c r="G2900" s="39" t="s">
        <v>1610</v>
      </c>
      <c r="H2900" s="52" t="s">
        <v>98</v>
      </c>
      <c r="I2900" s="52">
        <v>57</v>
      </c>
      <c r="J2900" s="49">
        <v>1646.1599999999999</v>
      </c>
      <c r="K2900" s="58">
        <v>0</v>
      </c>
      <c r="L2900" s="58">
        <v>0</v>
      </c>
      <c r="M2900" s="58">
        <v>0</v>
      </c>
      <c r="N2900" s="58">
        <v>0</v>
      </c>
      <c r="O2900" s="58">
        <v>0</v>
      </c>
      <c r="P2900" s="53">
        <v>0</v>
      </c>
      <c r="Q2900" s="65">
        <v>1646.1599999999999</v>
      </c>
      <c r="R2900" s="65">
        <v>0</v>
      </c>
      <c r="S2900" s="65">
        <v>0</v>
      </c>
      <c r="T2900" s="65">
        <v>0</v>
      </c>
      <c r="U2900" s="58">
        <v>0</v>
      </c>
      <c r="V2900" s="65">
        <v>0</v>
      </c>
      <c r="W2900" s="65">
        <v>0</v>
      </c>
      <c r="X2900" s="65">
        <v>0</v>
      </c>
      <c r="Y2900" s="65">
        <v>0</v>
      </c>
      <c r="Z2900" s="51">
        <v>1646.1599999999999</v>
      </c>
      <c r="AA2900" s="51">
        <v>0</v>
      </c>
      <c r="AB2900" s="102">
        <v>0</v>
      </c>
      <c r="AC2900" s="81">
        <f t="shared" si="139"/>
        <v>371.39679999999998</v>
      </c>
      <c r="AD2900" s="82">
        <f t="shared" si="140"/>
        <v>8.1428571428571423</v>
      </c>
      <c r="AE2900" s="218">
        <v>0</v>
      </c>
      <c r="AF2900">
        <v>0</v>
      </c>
      <c r="AH2900" t="str">
        <f t="shared" si="138"/>
        <v>Rosera</v>
      </c>
      <c r="AJ2900" s="72">
        <v>0</v>
      </c>
      <c r="AK2900" s="72"/>
      <c r="AL2900" s="72"/>
      <c r="AM2900" s="72"/>
    </row>
    <row r="2901" spans="1:39" x14ac:dyDescent="0.25">
      <c r="A2901" s="37" t="s">
        <v>62</v>
      </c>
      <c r="B2901" s="66" t="s">
        <v>1654</v>
      </c>
      <c r="C2901" s="4">
        <v>1063</v>
      </c>
      <c r="D2901" s="41" t="s">
        <v>1565</v>
      </c>
      <c r="E2901" s="41">
        <v>10630030</v>
      </c>
      <c r="F2901" s="85" t="s">
        <v>1571</v>
      </c>
      <c r="G2901" s="39" t="s">
        <v>1610</v>
      </c>
      <c r="H2901" s="52" t="s">
        <v>98</v>
      </c>
      <c r="I2901" s="52">
        <v>59</v>
      </c>
      <c r="J2901" s="49">
        <v>2140.3000000000002</v>
      </c>
      <c r="K2901" s="58">
        <v>0</v>
      </c>
      <c r="L2901" s="58">
        <v>0</v>
      </c>
      <c r="M2901" s="58">
        <v>0</v>
      </c>
      <c r="N2901" s="58">
        <v>0</v>
      </c>
      <c r="O2901" s="58">
        <v>0</v>
      </c>
      <c r="P2901" s="53">
        <v>0</v>
      </c>
      <c r="Q2901" s="65">
        <v>2140.3000000000002</v>
      </c>
      <c r="R2901" s="65">
        <v>0</v>
      </c>
      <c r="S2901" s="65">
        <v>0</v>
      </c>
      <c r="T2901" s="65">
        <v>0</v>
      </c>
      <c r="U2901" s="58">
        <v>0</v>
      </c>
      <c r="V2901" s="65">
        <v>0</v>
      </c>
      <c r="W2901" s="65">
        <v>0</v>
      </c>
      <c r="X2901" s="65">
        <v>0</v>
      </c>
      <c r="Y2901" s="65">
        <v>0</v>
      </c>
      <c r="Z2901" s="51">
        <v>2140.3000000000002</v>
      </c>
      <c r="AA2901" s="51">
        <v>0</v>
      </c>
      <c r="AB2901" s="102">
        <v>0</v>
      </c>
      <c r="AC2901" s="81">
        <f t="shared" si="139"/>
        <v>465.06179661016955</v>
      </c>
      <c r="AD2901" s="82">
        <f t="shared" si="140"/>
        <v>8.4285714285714288</v>
      </c>
      <c r="AE2901" s="218">
        <v>0</v>
      </c>
      <c r="AF2901">
        <v>0</v>
      </c>
      <c r="AH2901" t="str">
        <f t="shared" si="138"/>
        <v>Rosera</v>
      </c>
      <c r="AJ2901" s="72">
        <v>0</v>
      </c>
      <c r="AK2901" s="72"/>
      <c r="AL2901" s="72"/>
      <c r="AM2901" s="72"/>
    </row>
    <row r="2902" spans="1:39" x14ac:dyDescent="0.25">
      <c r="A2902" s="37" t="s">
        <v>62</v>
      </c>
      <c r="B2902" s="66" t="s">
        <v>1654</v>
      </c>
      <c r="C2902" s="4">
        <v>1063</v>
      </c>
      <c r="D2902" s="41" t="s">
        <v>1565</v>
      </c>
      <c r="E2902" s="41">
        <v>10630032</v>
      </c>
      <c r="F2902" s="85" t="s">
        <v>1572</v>
      </c>
      <c r="G2902" s="39" t="s">
        <v>1610</v>
      </c>
      <c r="H2902" s="52" t="s">
        <v>98</v>
      </c>
      <c r="I2902" s="52">
        <v>135.4</v>
      </c>
      <c r="J2902" s="49">
        <v>6055.1200000000008</v>
      </c>
      <c r="K2902" s="58">
        <v>0</v>
      </c>
      <c r="L2902" s="58">
        <v>0</v>
      </c>
      <c r="M2902" s="58">
        <v>0</v>
      </c>
      <c r="N2902" s="58">
        <v>0</v>
      </c>
      <c r="O2902" s="58">
        <v>0</v>
      </c>
      <c r="P2902" s="53">
        <v>0</v>
      </c>
      <c r="Q2902" s="65">
        <v>6055.1200000000008</v>
      </c>
      <c r="R2902" s="65">
        <v>0</v>
      </c>
      <c r="S2902" s="65">
        <v>0</v>
      </c>
      <c r="T2902" s="65">
        <v>0</v>
      </c>
      <c r="U2902" s="58">
        <v>0</v>
      </c>
      <c r="V2902" s="65">
        <v>0</v>
      </c>
      <c r="W2902" s="65">
        <v>0</v>
      </c>
      <c r="X2902" s="65">
        <v>0</v>
      </c>
      <c r="Y2902" s="65">
        <v>0</v>
      </c>
      <c r="Z2902" s="51">
        <v>6055.1200000000008</v>
      </c>
      <c r="AA2902" s="51">
        <v>0</v>
      </c>
      <c r="AB2902" s="102">
        <v>0</v>
      </c>
      <c r="AC2902" s="81">
        <f t="shared" si="139"/>
        <v>504.98090871491877</v>
      </c>
      <c r="AD2902" s="82">
        <f t="shared" si="140"/>
        <v>19.342857142857145</v>
      </c>
      <c r="AE2902" s="218">
        <v>0</v>
      </c>
      <c r="AF2902">
        <v>0</v>
      </c>
      <c r="AH2902" t="str">
        <f t="shared" si="138"/>
        <v>Rosera</v>
      </c>
      <c r="AJ2902" s="72">
        <v>0</v>
      </c>
      <c r="AK2902" s="72"/>
      <c r="AL2902" s="72"/>
      <c r="AM2902" s="72"/>
    </row>
    <row r="2903" spans="1:39" x14ac:dyDescent="0.25">
      <c r="A2903" s="37" t="s">
        <v>62</v>
      </c>
      <c r="B2903" s="66" t="s">
        <v>1654</v>
      </c>
      <c r="C2903" s="4">
        <v>1063</v>
      </c>
      <c r="D2903" s="41" t="s">
        <v>1565</v>
      </c>
      <c r="E2903" s="41">
        <v>10630033</v>
      </c>
      <c r="F2903" s="85" t="s">
        <v>1573</v>
      </c>
      <c r="G2903" s="39" t="s">
        <v>1610</v>
      </c>
      <c r="H2903" s="52" t="s">
        <v>98</v>
      </c>
      <c r="I2903" s="52">
        <v>226.8</v>
      </c>
      <c r="J2903" s="49">
        <v>8481.68</v>
      </c>
      <c r="K2903" s="58">
        <v>0</v>
      </c>
      <c r="L2903" s="58">
        <v>0</v>
      </c>
      <c r="M2903" s="58">
        <v>0</v>
      </c>
      <c r="N2903" s="58">
        <v>0</v>
      </c>
      <c r="O2903" s="58">
        <v>0</v>
      </c>
      <c r="P2903" s="53">
        <v>0</v>
      </c>
      <c r="Q2903" s="65">
        <v>8481.68</v>
      </c>
      <c r="R2903" s="65">
        <v>0</v>
      </c>
      <c r="S2903" s="65">
        <v>0</v>
      </c>
      <c r="T2903" s="65">
        <v>0</v>
      </c>
      <c r="U2903" s="58">
        <v>0</v>
      </c>
      <c r="V2903" s="65">
        <v>0</v>
      </c>
      <c r="W2903" s="65">
        <v>0</v>
      </c>
      <c r="X2903" s="65">
        <v>0</v>
      </c>
      <c r="Y2903" s="65">
        <v>0</v>
      </c>
      <c r="Z2903" s="51">
        <v>8481.68</v>
      </c>
      <c r="AA2903" s="51">
        <v>0</v>
      </c>
      <c r="AB2903" s="102">
        <v>0</v>
      </c>
      <c r="AC2903" s="81">
        <f t="shared" si="139"/>
        <v>353.92689382716048</v>
      </c>
      <c r="AD2903" s="82">
        <f t="shared" si="140"/>
        <v>32.4</v>
      </c>
      <c r="AE2903" s="218">
        <v>0</v>
      </c>
      <c r="AF2903">
        <v>0</v>
      </c>
      <c r="AH2903" t="str">
        <f t="shared" si="138"/>
        <v>Rosera</v>
      </c>
      <c r="AJ2903" s="72">
        <v>0</v>
      </c>
      <c r="AK2903" s="72"/>
      <c r="AL2903" s="72"/>
      <c r="AM2903" s="72"/>
    </row>
    <row r="2904" spans="1:39" x14ac:dyDescent="0.25">
      <c r="A2904" s="37" t="s">
        <v>62</v>
      </c>
      <c r="B2904" s="66" t="s">
        <v>1654</v>
      </c>
      <c r="C2904" s="4">
        <v>1063</v>
      </c>
      <c r="D2904" s="41" t="s">
        <v>1565</v>
      </c>
      <c r="E2904" s="41">
        <v>10630034</v>
      </c>
      <c r="F2904" s="85" t="s">
        <v>1574</v>
      </c>
      <c r="G2904" s="39" t="s">
        <v>1610</v>
      </c>
      <c r="H2904" s="52" t="s">
        <v>98</v>
      </c>
      <c r="I2904" s="52">
        <v>41.900000000000006</v>
      </c>
      <c r="J2904" s="49">
        <v>1364.49</v>
      </c>
      <c r="K2904" s="58">
        <v>0</v>
      </c>
      <c r="L2904" s="58">
        <v>0</v>
      </c>
      <c r="M2904" s="58">
        <v>0</v>
      </c>
      <c r="N2904" s="58">
        <v>0</v>
      </c>
      <c r="O2904" s="58">
        <v>0</v>
      </c>
      <c r="P2904" s="53">
        <v>0</v>
      </c>
      <c r="Q2904" s="65">
        <v>1364.49</v>
      </c>
      <c r="R2904" s="65">
        <v>0</v>
      </c>
      <c r="S2904" s="65">
        <v>0</v>
      </c>
      <c r="T2904" s="65">
        <v>0</v>
      </c>
      <c r="U2904" s="58">
        <v>0</v>
      </c>
      <c r="V2904" s="65">
        <v>0</v>
      </c>
      <c r="W2904" s="65">
        <v>0</v>
      </c>
      <c r="X2904" s="65">
        <v>0</v>
      </c>
      <c r="Y2904" s="65">
        <v>0</v>
      </c>
      <c r="Z2904" s="51">
        <v>1364.49</v>
      </c>
      <c r="AA2904" s="51">
        <v>0</v>
      </c>
      <c r="AB2904" s="102">
        <v>0</v>
      </c>
      <c r="AC2904" s="81">
        <f t="shared" si="139"/>
        <v>428.62571312649163</v>
      </c>
      <c r="AD2904" s="82">
        <f t="shared" si="140"/>
        <v>5.9857142857142867</v>
      </c>
      <c r="AE2904" s="218">
        <v>0</v>
      </c>
      <c r="AF2904">
        <v>0</v>
      </c>
      <c r="AH2904" t="str">
        <f t="shared" si="138"/>
        <v>Rosera</v>
      </c>
      <c r="AJ2904" s="72">
        <v>0</v>
      </c>
      <c r="AK2904" s="72"/>
      <c r="AL2904" s="72"/>
      <c r="AM2904" s="72"/>
    </row>
    <row r="2905" spans="1:39" x14ac:dyDescent="0.25">
      <c r="A2905" s="37" t="s">
        <v>62</v>
      </c>
      <c r="B2905" s="66" t="s">
        <v>1654</v>
      </c>
      <c r="C2905" s="4">
        <v>1063</v>
      </c>
      <c r="D2905" s="41" t="s">
        <v>1565</v>
      </c>
      <c r="E2905" s="41">
        <v>10630035</v>
      </c>
      <c r="F2905" s="85" t="s">
        <v>1575</v>
      </c>
      <c r="G2905" s="39" t="s">
        <v>1610</v>
      </c>
      <c r="H2905" s="52" t="s">
        <v>98</v>
      </c>
      <c r="I2905" s="52">
        <v>1032.4000000000001</v>
      </c>
      <c r="J2905" s="49">
        <v>43692.07</v>
      </c>
      <c r="K2905" s="58">
        <v>0</v>
      </c>
      <c r="L2905" s="58">
        <v>0</v>
      </c>
      <c r="M2905" s="58">
        <v>0</v>
      </c>
      <c r="N2905" s="58">
        <v>0</v>
      </c>
      <c r="O2905" s="58">
        <v>0</v>
      </c>
      <c r="P2905" s="53">
        <v>0</v>
      </c>
      <c r="Q2905" s="65">
        <v>43692.07</v>
      </c>
      <c r="R2905" s="65">
        <v>0</v>
      </c>
      <c r="S2905" s="65">
        <v>0</v>
      </c>
      <c r="T2905" s="65">
        <v>0</v>
      </c>
      <c r="U2905" s="58">
        <v>0</v>
      </c>
      <c r="V2905" s="65">
        <v>0</v>
      </c>
      <c r="W2905" s="65">
        <v>0</v>
      </c>
      <c r="X2905" s="65">
        <v>0</v>
      </c>
      <c r="Y2905" s="65">
        <v>0</v>
      </c>
      <c r="Z2905" s="51">
        <v>43692.07</v>
      </c>
      <c r="AA2905" s="51">
        <v>0</v>
      </c>
      <c r="AB2905" s="102">
        <v>0</v>
      </c>
      <c r="AC2905" s="81">
        <f t="shared" si="139"/>
        <v>0</v>
      </c>
      <c r="AD2905" s="82">
        <f t="shared" si="140"/>
        <v>0</v>
      </c>
      <c r="AE2905" s="218">
        <v>0</v>
      </c>
      <c r="AF2905">
        <v>0</v>
      </c>
      <c r="AH2905" t="str">
        <f t="shared" si="138"/>
        <v>Rosera</v>
      </c>
      <c r="AJ2905" s="72">
        <v>0</v>
      </c>
      <c r="AK2905" s="72"/>
      <c r="AL2905" s="72"/>
      <c r="AM2905" s="72"/>
    </row>
    <row r="2906" spans="1:39" x14ac:dyDescent="0.25">
      <c r="A2906" s="37" t="s">
        <v>62</v>
      </c>
      <c r="B2906" s="66" t="s">
        <v>1654</v>
      </c>
      <c r="C2906" s="4">
        <v>1063</v>
      </c>
      <c r="D2906" s="41" t="s">
        <v>1565</v>
      </c>
      <c r="E2906" s="41">
        <v>10630036</v>
      </c>
      <c r="F2906" s="85" t="s">
        <v>1591</v>
      </c>
      <c r="G2906" s="39" t="s">
        <v>1610</v>
      </c>
      <c r="H2906" s="52" t="s">
        <v>98</v>
      </c>
      <c r="I2906" s="52">
        <v>437.1</v>
      </c>
      <c r="J2906" s="49">
        <v>14553.53</v>
      </c>
      <c r="K2906" s="58">
        <v>0</v>
      </c>
      <c r="L2906" s="58">
        <v>0</v>
      </c>
      <c r="M2906" s="58">
        <v>0</v>
      </c>
      <c r="N2906" s="58">
        <v>0</v>
      </c>
      <c r="O2906" s="58">
        <v>0</v>
      </c>
      <c r="P2906" s="53">
        <v>0</v>
      </c>
      <c r="Q2906" s="65">
        <v>14553.53</v>
      </c>
      <c r="R2906" s="65">
        <v>0</v>
      </c>
      <c r="S2906" s="65">
        <v>0</v>
      </c>
      <c r="T2906" s="65">
        <v>0</v>
      </c>
      <c r="U2906" s="58">
        <v>0</v>
      </c>
      <c r="V2906" s="65">
        <v>0</v>
      </c>
      <c r="W2906" s="65">
        <v>0</v>
      </c>
      <c r="X2906" s="65">
        <v>0</v>
      </c>
      <c r="Y2906" s="65">
        <v>0</v>
      </c>
      <c r="Z2906" s="51">
        <v>14553.53</v>
      </c>
      <c r="AA2906" s="51">
        <v>0</v>
      </c>
      <c r="AB2906" s="102">
        <v>0</v>
      </c>
      <c r="AC2906" s="81">
        <f t="shared" si="139"/>
        <v>175.06854436055823</v>
      </c>
      <c r="AD2906" s="82">
        <f t="shared" si="140"/>
        <v>62.442857142857143</v>
      </c>
      <c r="AE2906" s="218">
        <v>0</v>
      </c>
      <c r="AF2906">
        <v>0</v>
      </c>
      <c r="AH2906" t="str">
        <f t="shared" si="138"/>
        <v>Rosera</v>
      </c>
      <c r="AJ2906" s="72">
        <v>0</v>
      </c>
      <c r="AK2906" s="72"/>
      <c r="AL2906" s="72"/>
      <c r="AM2906" s="72"/>
    </row>
    <row r="2907" spans="1:39" x14ac:dyDescent="0.25">
      <c r="A2907" s="37" t="s">
        <v>62</v>
      </c>
      <c r="B2907" s="66" t="s">
        <v>1654</v>
      </c>
      <c r="C2907" s="4">
        <v>1063</v>
      </c>
      <c r="D2907" s="41" t="s">
        <v>1565</v>
      </c>
      <c r="E2907" s="41">
        <v>10630037</v>
      </c>
      <c r="F2907" s="85" t="s">
        <v>1609</v>
      </c>
      <c r="G2907" s="39" t="s">
        <v>1610</v>
      </c>
      <c r="H2907" s="52" t="s">
        <v>98</v>
      </c>
      <c r="I2907" s="52">
        <v>110.8</v>
      </c>
      <c r="J2907" s="49">
        <v>3905.9700000000003</v>
      </c>
      <c r="K2907" s="58">
        <v>0</v>
      </c>
      <c r="L2907" s="58">
        <v>0</v>
      </c>
      <c r="M2907" s="58">
        <v>0</v>
      </c>
      <c r="N2907" s="58">
        <v>0</v>
      </c>
      <c r="O2907" s="58">
        <v>0</v>
      </c>
      <c r="P2907" s="53">
        <v>0</v>
      </c>
      <c r="Q2907" s="65">
        <v>3905.9700000000003</v>
      </c>
      <c r="R2907" s="65">
        <v>0</v>
      </c>
      <c r="S2907" s="65">
        <v>0</v>
      </c>
      <c r="T2907" s="65">
        <v>0</v>
      </c>
      <c r="U2907" s="58">
        <v>0</v>
      </c>
      <c r="V2907" s="65">
        <v>0</v>
      </c>
      <c r="W2907" s="65">
        <v>0</v>
      </c>
      <c r="X2907" s="65">
        <v>0</v>
      </c>
      <c r="Y2907" s="65">
        <v>0</v>
      </c>
      <c r="Z2907" s="51">
        <v>3905.9700000000003</v>
      </c>
      <c r="AA2907" s="51">
        <v>0</v>
      </c>
      <c r="AB2907" s="102">
        <v>0</v>
      </c>
      <c r="AC2907" s="81">
        <f t="shared" si="139"/>
        <v>415.41471552346582</v>
      </c>
      <c r="AD2907" s="82">
        <f t="shared" si="140"/>
        <v>15.828571428571427</v>
      </c>
      <c r="AE2907" s="218">
        <v>0</v>
      </c>
      <c r="AF2907">
        <v>0</v>
      </c>
      <c r="AH2907" t="str">
        <f t="shared" si="138"/>
        <v>Rosera</v>
      </c>
      <c r="AJ2907" s="72">
        <v>0</v>
      </c>
      <c r="AK2907" s="72"/>
      <c r="AL2907" s="72"/>
      <c r="AM2907" s="72"/>
    </row>
    <row r="2908" spans="1:39" x14ac:dyDescent="0.25">
      <c r="A2908" s="37" t="s">
        <v>62</v>
      </c>
      <c r="B2908" s="66" t="s">
        <v>1654</v>
      </c>
      <c r="C2908" s="4">
        <v>1063</v>
      </c>
      <c r="D2908" s="41" t="s">
        <v>1565</v>
      </c>
      <c r="E2908" s="41">
        <v>10630038</v>
      </c>
      <c r="F2908" s="85" t="s">
        <v>1629</v>
      </c>
      <c r="G2908" s="39" t="s">
        <v>1610</v>
      </c>
      <c r="H2908" s="52" t="s">
        <v>98</v>
      </c>
      <c r="I2908" s="52">
        <v>384.1</v>
      </c>
      <c r="J2908" s="49">
        <v>12430.64</v>
      </c>
      <c r="K2908" s="58">
        <v>0</v>
      </c>
      <c r="L2908" s="58">
        <v>0</v>
      </c>
      <c r="M2908" s="58">
        <v>0</v>
      </c>
      <c r="N2908" s="58">
        <v>0</v>
      </c>
      <c r="O2908" s="58">
        <v>0</v>
      </c>
      <c r="P2908" s="53">
        <v>0</v>
      </c>
      <c r="Q2908" s="65">
        <v>12430.64</v>
      </c>
      <c r="R2908" s="65">
        <v>0</v>
      </c>
      <c r="S2908" s="65">
        <v>0</v>
      </c>
      <c r="T2908" s="65">
        <v>0</v>
      </c>
      <c r="U2908" s="58">
        <v>0</v>
      </c>
      <c r="V2908" s="65">
        <v>0</v>
      </c>
      <c r="W2908" s="65">
        <v>0</v>
      </c>
      <c r="X2908" s="65">
        <v>0</v>
      </c>
      <c r="Y2908" s="65">
        <v>0</v>
      </c>
      <c r="Z2908" s="51">
        <v>12430.64</v>
      </c>
      <c r="AA2908" s="51">
        <v>0</v>
      </c>
      <c r="AB2908" s="102">
        <v>0</v>
      </c>
      <c r="AC2908" s="81">
        <f t="shared" si="139"/>
        <v>204.4696264514449</v>
      </c>
      <c r="AD2908" s="82">
        <f t="shared" si="140"/>
        <v>54.871428571428574</v>
      </c>
      <c r="AE2908" s="218">
        <v>0</v>
      </c>
      <c r="AF2908">
        <v>0</v>
      </c>
      <c r="AH2908" t="str">
        <f t="shared" si="138"/>
        <v>Rosera</v>
      </c>
      <c r="AJ2908" s="72">
        <v>0</v>
      </c>
      <c r="AK2908" s="72"/>
      <c r="AL2908" s="72"/>
      <c r="AM2908" s="72"/>
    </row>
    <row r="2909" spans="1:39" x14ac:dyDescent="0.25">
      <c r="A2909" s="37" t="s">
        <v>62</v>
      </c>
      <c r="B2909" s="66" t="s">
        <v>1654</v>
      </c>
      <c r="C2909" s="4">
        <v>1063</v>
      </c>
      <c r="D2909" s="41" t="s">
        <v>1565</v>
      </c>
      <c r="E2909" s="41">
        <v>10630039</v>
      </c>
      <c r="F2909" s="85" t="s">
        <v>1630</v>
      </c>
      <c r="G2909" s="39" t="s">
        <v>1610</v>
      </c>
      <c r="H2909" s="52" t="s">
        <v>98</v>
      </c>
      <c r="I2909" s="52">
        <v>421.2</v>
      </c>
      <c r="J2909" s="49">
        <v>14548.310000000001</v>
      </c>
      <c r="K2909" s="58">
        <v>0</v>
      </c>
      <c r="L2909" s="58">
        <v>0</v>
      </c>
      <c r="M2909" s="58">
        <v>0</v>
      </c>
      <c r="N2909" s="58">
        <v>0</v>
      </c>
      <c r="O2909" s="58">
        <v>0</v>
      </c>
      <c r="P2909" s="53">
        <v>0</v>
      </c>
      <c r="Q2909" s="65">
        <v>14548.310000000001</v>
      </c>
      <c r="R2909" s="65">
        <v>0</v>
      </c>
      <c r="S2909" s="65">
        <v>0</v>
      </c>
      <c r="T2909" s="65">
        <v>0</v>
      </c>
      <c r="U2909" s="58">
        <v>0</v>
      </c>
      <c r="V2909" s="65">
        <v>0</v>
      </c>
      <c r="W2909" s="65">
        <v>0</v>
      </c>
      <c r="X2909" s="65">
        <v>0</v>
      </c>
      <c r="Y2909" s="65">
        <v>0</v>
      </c>
      <c r="Z2909" s="51">
        <v>14548.310000000001</v>
      </c>
      <c r="AA2909" s="51">
        <v>0</v>
      </c>
      <c r="AB2909" s="102">
        <v>0</v>
      </c>
      <c r="AC2909" s="81">
        <f t="shared" si="139"/>
        <v>192.59586077872748</v>
      </c>
      <c r="AD2909" s="82">
        <f t="shared" si="140"/>
        <v>60.171428571428571</v>
      </c>
      <c r="AE2909" s="218">
        <v>0</v>
      </c>
      <c r="AF2909">
        <v>0</v>
      </c>
      <c r="AH2909" t="str">
        <f t="shared" si="138"/>
        <v>Rosera</v>
      </c>
      <c r="AJ2909" s="72">
        <v>0</v>
      </c>
      <c r="AK2909" s="72"/>
      <c r="AL2909" s="72"/>
      <c r="AM2909" s="72"/>
    </row>
    <row r="2910" spans="1:39" x14ac:dyDescent="0.25">
      <c r="A2910" s="37" t="s">
        <v>62</v>
      </c>
      <c r="B2910" s="66" t="s">
        <v>1654</v>
      </c>
      <c r="C2910" s="4">
        <v>1063</v>
      </c>
      <c r="D2910" s="41" t="s">
        <v>1565</v>
      </c>
      <c r="E2910" s="41">
        <v>10630040</v>
      </c>
      <c r="F2910" s="85" t="s">
        <v>1631</v>
      </c>
      <c r="G2910" s="39" t="s">
        <v>1610</v>
      </c>
      <c r="H2910" s="52" t="s">
        <v>98</v>
      </c>
      <c r="I2910" s="52">
        <v>204.39999999999998</v>
      </c>
      <c r="J2910" s="49">
        <v>6218.6799999999994</v>
      </c>
      <c r="K2910" s="58">
        <v>0</v>
      </c>
      <c r="L2910" s="58">
        <v>0</v>
      </c>
      <c r="M2910" s="58">
        <v>0</v>
      </c>
      <c r="N2910" s="58">
        <v>0</v>
      </c>
      <c r="O2910" s="58">
        <v>0</v>
      </c>
      <c r="P2910" s="53">
        <v>0</v>
      </c>
      <c r="Q2910" s="65">
        <v>6218.6799999999994</v>
      </c>
      <c r="R2910" s="65">
        <v>0</v>
      </c>
      <c r="S2910" s="65">
        <v>0</v>
      </c>
      <c r="T2910" s="65">
        <v>0</v>
      </c>
      <c r="U2910" s="58">
        <v>0</v>
      </c>
      <c r="V2910" s="65">
        <v>0</v>
      </c>
      <c r="W2910" s="65">
        <v>0</v>
      </c>
      <c r="X2910" s="65">
        <v>0</v>
      </c>
      <c r="Y2910" s="65">
        <v>0</v>
      </c>
      <c r="Z2910" s="51">
        <v>6218.6799999999994</v>
      </c>
      <c r="AA2910" s="51">
        <v>0</v>
      </c>
      <c r="AB2910" s="102">
        <v>0</v>
      </c>
      <c r="AC2910" s="81">
        <f t="shared" si="139"/>
        <v>301.56338630136992</v>
      </c>
      <c r="AD2910" s="82">
        <f t="shared" si="140"/>
        <v>29.199999999999996</v>
      </c>
      <c r="AE2910" s="218">
        <v>0</v>
      </c>
      <c r="AF2910">
        <v>0</v>
      </c>
      <c r="AH2910" t="str">
        <f t="shared" si="138"/>
        <v>Rosera</v>
      </c>
      <c r="AJ2910" s="72">
        <v>0</v>
      </c>
      <c r="AK2910" s="72"/>
      <c r="AL2910" s="72"/>
      <c r="AM2910" s="72"/>
    </row>
    <row r="2911" spans="1:39" x14ac:dyDescent="0.25">
      <c r="A2911" s="37" t="s">
        <v>62</v>
      </c>
      <c r="B2911" s="66" t="s">
        <v>1654</v>
      </c>
      <c r="C2911" s="4">
        <v>1063</v>
      </c>
      <c r="D2911" s="41" t="s">
        <v>1565</v>
      </c>
      <c r="E2911" s="41">
        <v>10630042</v>
      </c>
      <c r="F2911" s="85" t="s">
        <v>1633</v>
      </c>
      <c r="G2911" s="39" t="s">
        <v>1610</v>
      </c>
      <c r="H2911" s="52" t="s">
        <v>98</v>
      </c>
      <c r="I2911" s="52">
        <v>218.6</v>
      </c>
      <c r="J2911" s="49">
        <v>7160.71</v>
      </c>
      <c r="K2911" s="58">
        <v>0</v>
      </c>
      <c r="L2911" s="58">
        <v>0</v>
      </c>
      <c r="M2911" s="58">
        <v>0</v>
      </c>
      <c r="N2911" s="58">
        <v>0</v>
      </c>
      <c r="O2911" s="58">
        <v>0</v>
      </c>
      <c r="P2911" s="53">
        <v>0</v>
      </c>
      <c r="Q2911" s="65">
        <v>7160.71</v>
      </c>
      <c r="R2911" s="65">
        <v>0</v>
      </c>
      <c r="S2911" s="65">
        <v>0</v>
      </c>
      <c r="T2911" s="65">
        <v>0</v>
      </c>
      <c r="U2911" s="58">
        <v>0</v>
      </c>
      <c r="V2911" s="65">
        <v>0</v>
      </c>
      <c r="W2911" s="65">
        <v>0</v>
      </c>
      <c r="X2911" s="65">
        <v>0</v>
      </c>
      <c r="Y2911" s="65">
        <v>0</v>
      </c>
      <c r="Z2911" s="51">
        <v>7160.71</v>
      </c>
      <c r="AA2911" s="51">
        <v>0</v>
      </c>
      <c r="AB2911" s="102">
        <v>0</v>
      </c>
      <c r="AC2911" s="81">
        <f t="shared" si="139"/>
        <v>315.38570850869166</v>
      </c>
      <c r="AD2911" s="82">
        <f t="shared" si="140"/>
        <v>31.228571428571428</v>
      </c>
      <c r="AE2911" s="218">
        <v>0</v>
      </c>
      <c r="AF2911">
        <v>0</v>
      </c>
      <c r="AH2911" t="str">
        <f t="shared" si="138"/>
        <v>Rosera</v>
      </c>
      <c r="AJ2911" s="72">
        <v>0</v>
      </c>
      <c r="AK2911" s="72"/>
      <c r="AL2911" s="72"/>
      <c r="AM2911" s="72"/>
    </row>
    <row r="2912" spans="1:39" x14ac:dyDescent="0.25">
      <c r="A2912" s="37" t="s">
        <v>62</v>
      </c>
      <c r="B2912" s="66" t="s">
        <v>1654</v>
      </c>
      <c r="C2912" s="4">
        <v>1063</v>
      </c>
      <c r="D2912" s="41" t="s">
        <v>1565</v>
      </c>
      <c r="E2912" s="41">
        <v>10630043</v>
      </c>
      <c r="F2912" s="85" t="s">
        <v>1634</v>
      </c>
      <c r="G2912" s="39" t="s">
        <v>1610</v>
      </c>
      <c r="H2912" s="52" t="s">
        <v>98</v>
      </c>
      <c r="I2912" s="52">
        <v>46.4</v>
      </c>
      <c r="J2912" s="49">
        <v>1551.71</v>
      </c>
      <c r="K2912" s="58">
        <v>0</v>
      </c>
      <c r="L2912" s="58">
        <v>0</v>
      </c>
      <c r="M2912" s="58">
        <v>0</v>
      </c>
      <c r="N2912" s="58">
        <v>0</v>
      </c>
      <c r="O2912" s="58">
        <v>0</v>
      </c>
      <c r="P2912" s="53">
        <v>0</v>
      </c>
      <c r="Q2912" s="65">
        <v>1551.71</v>
      </c>
      <c r="R2912" s="65">
        <v>0</v>
      </c>
      <c r="S2912" s="65">
        <v>0</v>
      </c>
      <c r="T2912" s="65">
        <v>0</v>
      </c>
      <c r="U2912" s="58">
        <v>0</v>
      </c>
      <c r="V2912" s="65">
        <v>0</v>
      </c>
      <c r="W2912" s="65">
        <v>0</v>
      </c>
      <c r="X2912" s="65">
        <v>0</v>
      </c>
      <c r="Y2912" s="65">
        <v>0</v>
      </c>
      <c r="Z2912" s="51">
        <v>1551.71</v>
      </c>
      <c r="AA2912" s="51">
        <v>0</v>
      </c>
      <c r="AB2912" s="102">
        <v>0</v>
      </c>
      <c r="AC2912" s="81">
        <f t="shared" si="139"/>
        <v>437.15416206896543</v>
      </c>
      <c r="AD2912" s="82">
        <f t="shared" si="140"/>
        <v>6.6285714285714281</v>
      </c>
      <c r="AE2912" s="218">
        <v>0</v>
      </c>
      <c r="AF2912">
        <v>0</v>
      </c>
      <c r="AH2912" t="str">
        <f t="shared" si="138"/>
        <v>Rosera</v>
      </c>
      <c r="AJ2912" s="72">
        <v>0</v>
      </c>
      <c r="AK2912" s="72"/>
      <c r="AL2912" s="72"/>
      <c r="AM2912" s="72"/>
    </row>
    <row r="2913" spans="1:39" x14ac:dyDescent="0.25">
      <c r="A2913" s="37" t="s">
        <v>62</v>
      </c>
      <c r="B2913" s="66" t="s">
        <v>1654</v>
      </c>
      <c r="C2913" s="4">
        <v>1062</v>
      </c>
      <c r="D2913" s="41" t="s">
        <v>1381</v>
      </c>
      <c r="E2913" s="41">
        <v>10640001</v>
      </c>
      <c r="F2913" s="85" t="s">
        <v>1382</v>
      </c>
      <c r="G2913" s="39" t="s">
        <v>92</v>
      </c>
      <c r="H2913" s="52" t="s">
        <v>93</v>
      </c>
      <c r="I2913" s="52">
        <v>1118.8599999999999</v>
      </c>
      <c r="J2913" s="49">
        <v>46286.62</v>
      </c>
      <c r="K2913" s="58">
        <v>1139.6000000000004</v>
      </c>
      <c r="L2913" s="58">
        <v>46533.049999999996</v>
      </c>
      <c r="M2913" s="58">
        <v>0</v>
      </c>
      <c r="N2913" s="58">
        <v>0</v>
      </c>
      <c r="O2913" s="58">
        <v>1139.6000000000004</v>
      </c>
      <c r="P2913" s="53">
        <v>46533.049999999996</v>
      </c>
      <c r="Q2913" s="65">
        <v>46286.62</v>
      </c>
      <c r="R2913" s="65">
        <v>0</v>
      </c>
      <c r="S2913" s="65">
        <v>0</v>
      </c>
      <c r="T2913" s="65">
        <v>246.42999999999302</v>
      </c>
      <c r="U2913" s="58">
        <v>0</v>
      </c>
      <c r="V2913" s="65">
        <v>0</v>
      </c>
      <c r="W2913" s="65">
        <v>0</v>
      </c>
      <c r="X2913" s="65">
        <v>46287</v>
      </c>
      <c r="Y2913" s="65">
        <v>0</v>
      </c>
      <c r="Z2913" s="51">
        <v>0</v>
      </c>
      <c r="AA2913" s="51">
        <v>0</v>
      </c>
      <c r="AB2913" s="102">
        <v>0</v>
      </c>
      <c r="AC2913" s="81">
        <f t="shared" si="139"/>
        <v>0</v>
      </c>
      <c r="AD2913" s="82">
        <f t="shared" si="140"/>
        <v>0</v>
      </c>
      <c r="AE2913" s="218">
        <v>-5.3240007587504337E-3</v>
      </c>
      <c r="AF2913">
        <v>5</v>
      </c>
      <c r="AH2913" t="str">
        <f t="shared" si="138"/>
        <v>Singhia BMC</v>
      </c>
      <c r="AJ2913" s="72">
        <v>0</v>
      </c>
      <c r="AK2913" s="72"/>
      <c r="AL2913" s="72"/>
      <c r="AM2913" s="72"/>
    </row>
    <row r="2914" spans="1:39" x14ac:dyDescent="0.25">
      <c r="A2914" s="37" t="s">
        <v>62</v>
      </c>
      <c r="B2914" s="66" t="s">
        <v>1654</v>
      </c>
      <c r="C2914" s="4">
        <v>1062</v>
      </c>
      <c r="D2914" s="41" t="s">
        <v>1381</v>
      </c>
      <c r="E2914" s="41">
        <v>10640003</v>
      </c>
      <c r="F2914" s="85" t="s">
        <v>1383</v>
      </c>
      <c r="G2914" s="39" t="s">
        <v>92</v>
      </c>
      <c r="H2914" s="52" t="s">
        <v>93</v>
      </c>
      <c r="I2914" s="52">
        <v>1750.7</v>
      </c>
      <c r="J2914" s="49">
        <v>78631.739999999991</v>
      </c>
      <c r="K2914" s="58">
        <v>1741.1</v>
      </c>
      <c r="L2914" s="58">
        <v>78020.800000000017</v>
      </c>
      <c r="M2914" s="58">
        <v>16.8</v>
      </c>
      <c r="N2914" s="58">
        <v>740.09999999999991</v>
      </c>
      <c r="O2914" s="58">
        <v>1757.8999999999999</v>
      </c>
      <c r="P2914" s="53">
        <v>78760.900000000023</v>
      </c>
      <c r="Q2914" s="65">
        <v>78631.739999999991</v>
      </c>
      <c r="R2914" s="65">
        <v>0</v>
      </c>
      <c r="S2914" s="65">
        <v>740.09999999999991</v>
      </c>
      <c r="T2914" s="65">
        <v>129.1600000000326</v>
      </c>
      <c r="U2914" s="58">
        <v>0</v>
      </c>
      <c r="V2914" s="65">
        <v>0</v>
      </c>
      <c r="W2914" s="65">
        <v>0</v>
      </c>
      <c r="X2914" s="65">
        <v>77892</v>
      </c>
      <c r="Y2914" s="65">
        <v>0</v>
      </c>
      <c r="Z2914" s="51">
        <v>0</v>
      </c>
      <c r="AA2914" s="51">
        <v>0</v>
      </c>
      <c r="AB2914" s="102">
        <v>0</v>
      </c>
      <c r="AC2914" s="81">
        <f t="shared" si="139"/>
        <v>0</v>
      </c>
      <c r="AD2914" s="82">
        <f t="shared" si="140"/>
        <v>0</v>
      </c>
      <c r="AE2914" s="218">
        <v>-1.6425936905381034E-3</v>
      </c>
      <c r="AF2914">
        <v>29</v>
      </c>
      <c r="AH2914" t="str">
        <f t="shared" si="138"/>
        <v>Singhia BMC</v>
      </c>
      <c r="AJ2914" s="72">
        <v>0</v>
      </c>
      <c r="AK2914" s="72"/>
      <c r="AL2914" s="72"/>
      <c r="AM2914" s="72"/>
    </row>
    <row r="2915" spans="1:39" x14ac:dyDescent="0.25">
      <c r="A2915" s="37" t="s">
        <v>62</v>
      </c>
      <c r="B2915" s="66" t="s">
        <v>1654</v>
      </c>
      <c r="C2915" s="4">
        <v>1062</v>
      </c>
      <c r="D2915" s="41" t="s">
        <v>1381</v>
      </c>
      <c r="E2915" s="41">
        <v>10640005</v>
      </c>
      <c r="F2915" s="85" t="s">
        <v>1384</v>
      </c>
      <c r="G2915" s="39" t="s">
        <v>92</v>
      </c>
      <c r="H2915" s="52" t="s">
        <v>93</v>
      </c>
      <c r="I2915" s="52">
        <v>149.83000000000001</v>
      </c>
      <c r="J2915" s="49">
        <v>6164.9099999999989</v>
      </c>
      <c r="K2915" s="58">
        <v>147.89999999999998</v>
      </c>
      <c r="L2915" s="58">
        <v>6085.12</v>
      </c>
      <c r="M2915" s="58">
        <v>1.3</v>
      </c>
      <c r="N2915" s="58">
        <v>54.000000000000007</v>
      </c>
      <c r="O2915" s="58">
        <v>149.19999999999999</v>
      </c>
      <c r="P2915" s="53">
        <v>6139.12</v>
      </c>
      <c r="Q2915" s="65">
        <v>6139.12</v>
      </c>
      <c r="R2915" s="65">
        <v>0</v>
      </c>
      <c r="S2915" s="65">
        <v>54.000000000000007</v>
      </c>
      <c r="T2915" s="65">
        <v>0</v>
      </c>
      <c r="U2915" s="58">
        <v>0</v>
      </c>
      <c r="V2915" s="65">
        <v>0</v>
      </c>
      <c r="W2915" s="65">
        <v>0</v>
      </c>
      <c r="X2915" s="65">
        <v>6085</v>
      </c>
      <c r="Y2915" s="65">
        <v>0</v>
      </c>
      <c r="Z2915" s="51">
        <v>0</v>
      </c>
      <c r="AA2915" s="51">
        <v>26</v>
      </c>
      <c r="AB2915" s="102">
        <v>0</v>
      </c>
      <c r="AC2915" s="81">
        <f t="shared" si="139"/>
        <v>452.74625037709393</v>
      </c>
      <c r="AD2915" s="82">
        <f t="shared" si="140"/>
        <v>21.404285714285717</v>
      </c>
      <c r="AE2915" s="218">
        <v>4.1833538526919387E-3</v>
      </c>
      <c r="AF2915">
        <v>2</v>
      </c>
      <c r="AH2915" t="str">
        <f t="shared" si="138"/>
        <v>Singhia BMC</v>
      </c>
      <c r="AJ2915" s="72">
        <v>0</v>
      </c>
      <c r="AK2915" s="72"/>
      <c r="AL2915" s="72"/>
      <c r="AM2915" s="72"/>
    </row>
    <row r="2916" spans="1:39" x14ac:dyDescent="0.25">
      <c r="A2916" s="37" t="s">
        <v>62</v>
      </c>
      <c r="B2916" s="66" t="s">
        <v>1654</v>
      </c>
      <c r="C2916" s="4">
        <v>1062</v>
      </c>
      <c r="D2916" s="41" t="s">
        <v>1381</v>
      </c>
      <c r="E2916" s="41">
        <v>10640006</v>
      </c>
      <c r="F2916" s="85" t="s">
        <v>1385</v>
      </c>
      <c r="G2916" s="39" t="s">
        <v>92</v>
      </c>
      <c r="H2916" s="52" t="s">
        <v>93</v>
      </c>
      <c r="I2916" s="52">
        <v>366.71</v>
      </c>
      <c r="J2916" s="49">
        <v>18163.690000000002</v>
      </c>
      <c r="K2916" s="58">
        <v>359.9</v>
      </c>
      <c r="L2916" s="58">
        <v>18651.54</v>
      </c>
      <c r="M2916" s="58">
        <v>8.4999999999999982</v>
      </c>
      <c r="N2916" s="58">
        <v>400.1699999999999</v>
      </c>
      <c r="O2916" s="58">
        <v>368.4</v>
      </c>
      <c r="P2916" s="53">
        <v>19051.71</v>
      </c>
      <c r="Q2916" s="65">
        <v>18163.690000000002</v>
      </c>
      <c r="R2916" s="65">
        <v>0</v>
      </c>
      <c r="S2916" s="65">
        <v>400.1699999999999</v>
      </c>
      <c r="T2916" s="65">
        <v>888.0199999999968</v>
      </c>
      <c r="U2916" s="58">
        <v>0</v>
      </c>
      <c r="V2916" s="65">
        <v>0</v>
      </c>
      <c r="W2916" s="65">
        <v>0</v>
      </c>
      <c r="X2916" s="65">
        <v>17764</v>
      </c>
      <c r="Y2916" s="65">
        <v>0</v>
      </c>
      <c r="Z2916" s="51">
        <v>0</v>
      </c>
      <c r="AA2916" s="51">
        <v>0</v>
      </c>
      <c r="AB2916" s="102">
        <v>0</v>
      </c>
      <c r="AC2916" s="81">
        <f t="shared" si="139"/>
        <v>330.16695700144533</v>
      </c>
      <c r="AD2916" s="82">
        <f t="shared" si="140"/>
        <v>52.387142857142855</v>
      </c>
      <c r="AE2916" s="218">
        <v>-4.8889845620575814E-2</v>
      </c>
      <c r="AF2916">
        <v>8</v>
      </c>
      <c r="AH2916" t="str">
        <f t="shared" si="138"/>
        <v>Singhia BMC</v>
      </c>
      <c r="AJ2916" s="72">
        <v>0</v>
      </c>
      <c r="AK2916" s="72"/>
      <c r="AL2916" s="72"/>
      <c r="AM2916" s="72"/>
    </row>
    <row r="2917" spans="1:39" x14ac:dyDescent="0.25">
      <c r="A2917" s="37" t="s">
        <v>62</v>
      </c>
      <c r="B2917" s="66" t="s">
        <v>1654</v>
      </c>
      <c r="C2917" s="4">
        <v>1062</v>
      </c>
      <c r="D2917" s="41" t="s">
        <v>1381</v>
      </c>
      <c r="E2917" s="41">
        <v>10640007</v>
      </c>
      <c r="F2917" s="85" t="s">
        <v>1386</v>
      </c>
      <c r="G2917" s="39" t="s">
        <v>1610</v>
      </c>
      <c r="H2917" s="52" t="s">
        <v>98</v>
      </c>
      <c r="I2917" s="52">
        <v>136.07</v>
      </c>
      <c r="J2917" s="49">
        <v>6444.1399999999994</v>
      </c>
      <c r="K2917" s="58">
        <v>0</v>
      </c>
      <c r="L2917" s="58">
        <v>0</v>
      </c>
      <c r="M2917" s="58">
        <v>0</v>
      </c>
      <c r="N2917" s="58">
        <v>0</v>
      </c>
      <c r="O2917" s="58">
        <v>0</v>
      </c>
      <c r="P2917" s="53">
        <v>0</v>
      </c>
      <c r="Q2917" s="65">
        <v>6444.1399999999994</v>
      </c>
      <c r="R2917" s="65">
        <v>0</v>
      </c>
      <c r="S2917" s="65">
        <v>0</v>
      </c>
      <c r="T2917" s="65">
        <v>0</v>
      </c>
      <c r="U2917" s="58">
        <v>0</v>
      </c>
      <c r="V2917" s="65">
        <v>0</v>
      </c>
      <c r="W2917" s="65">
        <v>0</v>
      </c>
      <c r="X2917" s="65">
        <v>0</v>
      </c>
      <c r="Y2917" s="65">
        <v>0</v>
      </c>
      <c r="Z2917" s="51">
        <v>6444.1399999999994</v>
      </c>
      <c r="AA2917" s="51">
        <v>0</v>
      </c>
      <c r="AB2917" s="102">
        <v>0</v>
      </c>
      <c r="AC2917" s="81">
        <f t="shared" si="139"/>
        <v>534.1432895127507</v>
      </c>
      <c r="AD2917" s="82">
        <f t="shared" si="140"/>
        <v>19.438571428571429</v>
      </c>
      <c r="AE2917" s="218">
        <v>0</v>
      </c>
      <c r="AF2917">
        <v>0</v>
      </c>
      <c r="AH2917" t="str">
        <f t="shared" si="138"/>
        <v>Singhia BMC</v>
      </c>
      <c r="AJ2917" s="72">
        <v>0</v>
      </c>
      <c r="AK2917" s="72"/>
      <c r="AL2917" s="72"/>
      <c r="AM2917" s="72"/>
    </row>
    <row r="2918" spans="1:39" x14ac:dyDescent="0.25">
      <c r="A2918" s="37" t="s">
        <v>62</v>
      </c>
      <c r="B2918" s="66" t="s">
        <v>1654</v>
      </c>
      <c r="C2918" s="4">
        <v>1062</v>
      </c>
      <c r="D2918" s="41" t="s">
        <v>1381</v>
      </c>
      <c r="E2918" s="41">
        <v>10640008</v>
      </c>
      <c r="F2918" s="85" t="s">
        <v>1496</v>
      </c>
      <c r="G2918" s="39" t="s">
        <v>1610</v>
      </c>
      <c r="H2918" s="52" t="s">
        <v>93</v>
      </c>
      <c r="I2918" s="52">
        <v>170.94999999999996</v>
      </c>
      <c r="J2918" s="49">
        <v>7937.31</v>
      </c>
      <c r="K2918" s="58">
        <v>171.10000000000002</v>
      </c>
      <c r="L2918" s="58">
        <v>7832.45</v>
      </c>
      <c r="M2918" s="58">
        <v>0</v>
      </c>
      <c r="N2918" s="58">
        <v>0</v>
      </c>
      <c r="O2918" s="58">
        <v>171.10000000000002</v>
      </c>
      <c r="P2918" s="53">
        <v>7832.45</v>
      </c>
      <c r="Q2918" s="65">
        <v>7832.45</v>
      </c>
      <c r="R2918" s="65">
        <v>0</v>
      </c>
      <c r="S2918" s="65">
        <v>0</v>
      </c>
      <c r="T2918" s="65">
        <v>0</v>
      </c>
      <c r="U2918" s="58">
        <v>0</v>
      </c>
      <c r="V2918" s="65">
        <v>0</v>
      </c>
      <c r="W2918" s="65">
        <v>0</v>
      </c>
      <c r="X2918" s="65">
        <v>7832</v>
      </c>
      <c r="Y2918" s="65">
        <v>0</v>
      </c>
      <c r="Z2918" s="51">
        <v>0</v>
      </c>
      <c r="AA2918" s="51">
        <v>105</v>
      </c>
      <c r="AB2918" s="102">
        <v>0</v>
      </c>
      <c r="AC2918" s="81">
        <f t="shared" si="139"/>
        <v>491.28211237203885</v>
      </c>
      <c r="AD2918" s="82">
        <f t="shared" si="140"/>
        <v>24.421428571428567</v>
      </c>
      <c r="AE2918" s="218">
        <v>1.3211024893824303E-2</v>
      </c>
      <c r="AF2918">
        <v>1</v>
      </c>
      <c r="AH2918" t="str">
        <f t="shared" si="138"/>
        <v>Singhia BMC</v>
      </c>
      <c r="AJ2918" s="72">
        <v>0</v>
      </c>
      <c r="AK2918" s="72"/>
      <c r="AL2918" s="72"/>
      <c r="AM2918" s="72"/>
    </row>
    <row r="2919" spans="1:39" x14ac:dyDescent="0.25">
      <c r="A2919" s="37" t="s">
        <v>62</v>
      </c>
      <c r="B2919" s="66" t="s">
        <v>1654</v>
      </c>
      <c r="C2919" s="4">
        <v>1062</v>
      </c>
      <c r="D2919" s="41" t="s">
        <v>1381</v>
      </c>
      <c r="E2919" s="41">
        <v>10640009</v>
      </c>
      <c r="F2919" s="85" t="s">
        <v>1454</v>
      </c>
      <c r="G2919" s="39" t="s">
        <v>92</v>
      </c>
      <c r="H2919" s="52" t="s">
        <v>93</v>
      </c>
      <c r="I2919" s="52">
        <v>384.35999999999996</v>
      </c>
      <c r="J2919" s="49">
        <v>18377.330000000002</v>
      </c>
      <c r="K2919" s="58">
        <v>381.59999999999997</v>
      </c>
      <c r="L2919" s="58">
        <v>18240.93</v>
      </c>
      <c r="M2919" s="58">
        <v>0</v>
      </c>
      <c r="N2919" s="58">
        <v>0</v>
      </c>
      <c r="O2919" s="58">
        <v>381.59999999999997</v>
      </c>
      <c r="P2919" s="53">
        <v>18240.93</v>
      </c>
      <c r="Q2919" s="65">
        <v>18240.93</v>
      </c>
      <c r="R2919" s="65">
        <v>0</v>
      </c>
      <c r="S2919" s="65">
        <v>0</v>
      </c>
      <c r="T2919" s="65">
        <v>0</v>
      </c>
      <c r="U2919" s="58">
        <v>0</v>
      </c>
      <c r="V2919" s="65">
        <v>0</v>
      </c>
      <c r="W2919" s="65">
        <v>0</v>
      </c>
      <c r="X2919" s="65">
        <v>18241</v>
      </c>
      <c r="Y2919" s="65">
        <v>0</v>
      </c>
      <c r="Z2919" s="51">
        <v>0</v>
      </c>
      <c r="AA2919" s="51">
        <v>136</v>
      </c>
      <c r="AB2919" s="102">
        <v>0</v>
      </c>
      <c r="AC2919" s="81">
        <f t="shared" si="139"/>
        <v>301.83267984181509</v>
      </c>
      <c r="AD2919" s="82">
        <f t="shared" si="140"/>
        <v>54.90857142857142</v>
      </c>
      <c r="AE2919" s="218">
        <v>7.4221880980534956E-3</v>
      </c>
      <c r="AF2919">
        <v>1</v>
      </c>
      <c r="AH2919" t="str">
        <f t="shared" si="138"/>
        <v>Singhia BMC</v>
      </c>
      <c r="AJ2919" s="72">
        <v>0</v>
      </c>
      <c r="AK2919" s="72"/>
      <c r="AL2919" s="72"/>
      <c r="AM2919" s="72"/>
    </row>
    <row r="2920" spans="1:39" x14ac:dyDescent="0.25">
      <c r="A2920" s="37" t="s">
        <v>62</v>
      </c>
      <c r="B2920" s="66" t="s">
        <v>1654</v>
      </c>
      <c r="C2920" s="4">
        <v>1062</v>
      </c>
      <c r="D2920" s="41" t="s">
        <v>1381</v>
      </c>
      <c r="E2920" s="41">
        <v>10640010</v>
      </c>
      <c r="F2920" s="85" t="s">
        <v>1416</v>
      </c>
      <c r="G2920" s="39" t="s">
        <v>1610</v>
      </c>
      <c r="H2920" s="52" t="s">
        <v>98</v>
      </c>
      <c r="I2920" s="52">
        <v>234.75000000000003</v>
      </c>
      <c r="J2920" s="49">
        <v>8930.2000000000007</v>
      </c>
      <c r="K2920" s="58">
        <v>0</v>
      </c>
      <c r="L2920" s="58">
        <v>0</v>
      </c>
      <c r="M2920" s="58">
        <v>0</v>
      </c>
      <c r="N2920" s="58">
        <v>0</v>
      </c>
      <c r="O2920" s="58">
        <v>0</v>
      </c>
      <c r="P2920" s="53">
        <v>0</v>
      </c>
      <c r="Q2920" s="65">
        <v>8930.2000000000007</v>
      </c>
      <c r="R2920" s="65">
        <v>0</v>
      </c>
      <c r="S2920" s="65">
        <v>0</v>
      </c>
      <c r="T2920" s="65">
        <v>0</v>
      </c>
      <c r="U2920" s="58">
        <v>0</v>
      </c>
      <c r="V2920" s="65">
        <v>0</v>
      </c>
      <c r="W2920" s="65">
        <v>0</v>
      </c>
      <c r="X2920" s="65">
        <v>0</v>
      </c>
      <c r="Y2920" s="65">
        <v>0</v>
      </c>
      <c r="Z2920" s="51">
        <v>8930.2000000000007</v>
      </c>
      <c r="AA2920" s="51">
        <v>0</v>
      </c>
      <c r="AB2920" s="102">
        <v>0</v>
      </c>
      <c r="AC2920" s="81">
        <f t="shared" si="139"/>
        <v>353.97448775292855</v>
      </c>
      <c r="AD2920" s="82">
        <f t="shared" si="140"/>
        <v>33.535714285714292</v>
      </c>
      <c r="AE2920" s="218">
        <v>0</v>
      </c>
      <c r="AF2920">
        <v>0</v>
      </c>
      <c r="AH2920" t="str">
        <f t="shared" si="138"/>
        <v>Singhia BMC</v>
      </c>
      <c r="AJ2920" s="72">
        <v>0</v>
      </c>
      <c r="AK2920" s="72"/>
      <c r="AL2920" s="72"/>
      <c r="AM2920" s="72"/>
    </row>
    <row r="2921" spans="1:39" x14ac:dyDescent="0.25">
      <c r="A2921" s="37" t="s">
        <v>62</v>
      </c>
      <c r="B2921" s="66" t="s">
        <v>1654</v>
      </c>
      <c r="C2921" s="4">
        <v>1062</v>
      </c>
      <c r="D2921" s="41" t="s">
        <v>1381</v>
      </c>
      <c r="E2921" s="41">
        <v>10640011</v>
      </c>
      <c r="F2921" s="85" t="s">
        <v>1417</v>
      </c>
      <c r="G2921" s="39" t="s">
        <v>1610</v>
      </c>
      <c r="H2921" s="52" t="s">
        <v>98</v>
      </c>
      <c r="I2921" s="52">
        <v>229.44999999999996</v>
      </c>
      <c r="J2921" s="49">
        <v>11052.759999999998</v>
      </c>
      <c r="K2921" s="58">
        <v>0</v>
      </c>
      <c r="L2921" s="58">
        <v>0</v>
      </c>
      <c r="M2921" s="58">
        <v>0</v>
      </c>
      <c r="N2921" s="58">
        <v>0</v>
      </c>
      <c r="O2921" s="58">
        <v>0</v>
      </c>
      <c r="P2921" s="53">
        <v>0</v>
      </c>
      <c r="Q2921" s="65">
        <v>11052.759999999998</v>
      </c>
      <c r="R2921" s="65">
        <v>0</v>
      </c>
      <c r="S2921" s="65">
        <v>0</v>
      </c>
      <c r="T2921" s="65">
        <v>0</v>
      </c>
      <c r="U2921" s="58">
        <v>0</v>
      </c>
      <c r="V2921" s="65">
        <v>0</v>
      </c>
      <c r="W2921" s="65">
        <v>0</v>
      </c>
      <c r="X2921" s="65">
        <v>0</v>
      </c>
      <c r="Y2921" s="65">
        <v>0</v>
      </c>
      <c r="Z2921" s="51">
        <v>11052.759999999998</v>
      </c>
      <c r="AA2921" s="51">
        <v>0</v>
      </c>
      <c r="AB2921" s="102">
        <v>0</v>
      </c>
      <c r="AC2921" s="81">
        <f t="shared" si="139"/>
        <v>453.33416587491826</v>
      </c>
      <c r="AD2921" s="82">
        <f t="shared" si="140"/>
        <v>32.778571428571425</v>
      </c>
      <c r="AE2921" s="218">
        <v>0</v>
      </c>
      <c r="AF2921">
        <v>0</v>
      </c>
      <c r="AH2921" t="str">
        <f t="shared" si="138"/>
        <v>Singhia BMC</v>
      </c>
      <c r="AJ2921" s="72">
        <v>0</v>
      </c>
      <c r="AK2921" s="72"/>
      <c r="AL2921" s="72"/>
      <c r="AM2921" s="72"/>
    </row>
    <row r="2922" spans="1:39" x14ac:dyDescent="0.25">
      <c r="A2922" s="37" t="s">
        <v>62</v>
      </c>
      <c r="B2922" s="66" t="s">
        <v>1654</v>
      </c>
      <c r="C2922" s="4">
        <v>1008</v>
      </c>
      <c r="D2922" s="41" t="s">
        <v>217</v>
      </c>
      <c r="E2922" s="41">
        <v>10650001</v>
      </c>
      <c r="F2922" s="85" t="s">
        <v>1408</v>
      </c>
      <c r="G2922" s="39" t="s">
        <v>92</v>
      </c>
      <c r="H2922" s="52" t="s">
        <v>93</v>
      </c>
      <c r="I2922" s="52">
        <v>310.05</v>
      </c>
      <c r="J2922" s="49">
        <v>12671.279999999999</v>
      </c>
      <c r="K2922" s="58">
        <v>310.5</v>
      </c>
      <c r="L2922" s="58">
        <v>13346.839999999998</v>
      </c>
      <c r="M2922" s="58">
        <v>0</v>
      </c>
      <c r="N2922" s="58">
        <v>0</v>
      </c>
      <c r="O2922" s="58">
        <v>310.5</v>
      </c>
      <c r="P2922" s="53">
        <v>13346.839999999998</v>
      </c>
      <c r="Q2922" s="65">
        <v>12671.279999999999</v>
      </c>
      <c r="R2922" s="65">
        <v>0</v>
      </c>
      <c r="S2922" s="65">
        <v>0</v>
      </c>
      <c r="T2922" s="65">
        <v>675.55999999999949</v>
      </c>
      <c r="U2922" s="58">
        <v>0</v>
      </c>
      <c r="V2922" s="65">
        <v>0</v>
      </c>
      <c r="W2922" s="65">
        <v>0</v>
      </c>
      <c r="X2922" s="65">
        <v>12671</v>
      </c>
      <c r="Y2922" s="65">
        <v>0</v>
      </c>
      <c r="Z2922" s="51">
        <v>0</v>
      </c>
      <c r="AA2922" s="51">
        <v>0</v>
      </c>
      <c r="AB2922" s="102">
        <v>0</v>
      </c>
      <c r="AC2922" s="81">
        <f t="shared" si="139"/>
        <v>318.73347111756163</v>
      </c>
      <c r="AD2922" s="82">
        <f t="shared" si="140"/>
        <v>44.292857142857144</v>
      </c>
      <c r="AE2922" s="218">
        <v>-5.3314266593430144E-2</v>
      </c>
      <c r="AF2922">
        <v>2</v>
      </c>
      <c r="AH2922" t="str">
        <f t="shared" si="138"/>
        <v>Teghra</v>
      </c>
      <c r="AJ2922" s="72">
        <v>0</v>
      </c>
      <c r="AK2922" s="72"/>
      <c r="AL2922" s="72"/>
      <c r="AM2922" s="72"/>
    </row>
    <row r="2923" spans="1:39" x14ac:dyDescent="0.25">
      <c r="A2923" s="37" t="s">
        <v>62</v>
      </c>
      <c r="B2923" s="66" t="s">
        <v>1654</v>
      </c>
      <c r="C2923" s="4">
        <v>1008</v>
      </c>
      <c r="D2923" s="41" t="s">
        <v>217</v>
      </c>
      <c r="E2923" s="41">
        <v>10650003</v>
      </c>
      <c r="F2923" s="85" t="s">
        <v>1409</v>
      </c>
      <c r="G2923" s="39" t="s">
        <v>92</v>
      </c>
      <c r="H2923" s="52" t="s">
        <v>93</v>
      </c>
      <c r="I2923" s="52">
        <v>1129.2</v>
      </c>
      <c r="J2923" s="49">
        <v>47788.44000000001</v>
      </c>
      <c r="K2923" s="58">
        <v>1140.2</v>
      </c>
      <c r="L2923" s="58">
        <v>47839.3</v>
      </c>
      <c r="M2923" s="58">
        <v>0</v>
      </c>
      <c r="N2923" s="58">
        <v>0</v>
      </c>
      <c r="O2923" s="58">
        <v>1140.2</v>
      </c>
      <c r="P2923" s="53">
        <v>47839.3</v>
      </c>
      <c r="Q2923" s="65">
        <v>47788.44000000001</v>
      </c>
      <c r="R2923" s="65">
        <v>0</v>
      </c>
      <c r="S2923" s="65">
        <v>0</v>
      </c>
      <c r="T2923" s="65">
        <v>50.859999999993306</v>
      </c>
      <c r="U2923" s="58">
        <v>0</v>
      </c>
      <c r="V2923" s="65">
        <v>0</v>
      </c>
      <c r="W2923" s="65">
        <v>0</v>
      </c>
      <c r="X2923" s="65">
        <v>47788</v>
      </c>
      <c r="Y2923" s="65">
        <v>0</v>
      </c>
      <c r="Z2923" s="51">
        <v>0</v>
      </c>
      <c r="AA2923" s="51">
        <v>0</v>
      </c>
      <c r="AB2923" s="102">
        <v>0</v>
      </c>
      <c r="AC2923" s="81">
        <f t="shared" si="139"/>
        <v>0</v>
      </c>
      <c r="AD2923" s="82">
        <f t="shared" si="140"/>
        <v>0</v>
      </c>
      <c r="AE2923" s="218">
        <v>-1.0642741215238099E-3</v>
      </c>
      <c r="AF2923">
        <v>22</v>
      </c>
      <c r="AH2923" t="str">
        <f t="shared" si="138"/>
        <v>Teghra</v>
      </c>
      <c r="AJ2923" s="72">
        <v>0</v>
      </c>
      <c r="AK2923" s="72"/>
      <c r="AL2923" s="72"/>
      <c r="AM2923" s="72"/>
    </row>
    <row r="2924" spans="1:39" x14ac:dyDescent="0.25">
      <c r="A2924" s="37" t="s">
        <v>62</v>
      </c>
      <c r="B2924" s="66" t="s">
        <v>1654</v>
      </c>
      <c r="C2924" s="4">
        <v>1008</v>
      </c>
      <c r="D2924" s="41" t="s">
        <v>217</v>
      </c>
      <c r="E2924" s="41">
        <v>10650004</v>
      </c>
      <c r="F2924" s="85" t="s">
        <v>1455</v>
      </c>
      <c r="G2924" s="39" t="s">
        <v>92</v>
      </c>
      <c r="H2924" s="52" t="s">
        <v>93</v>
      </c>
      <c r="I2924" s="52">
        <v>540.44999999999993</v>
      </c>
      <c r="J2924" s="49">
        <v>21347.099999999995</v>
      </c>
      <c r="K2924" s="58">
        <v>402.00000000000017</v>
      </c>
      <c r="L2924" s="58">
        <v>16727.679999999997</v>
      </c>
      <c r="M2924" s="58">
        <v>168.79999999999998</v>
      </c>
      <c r="N2924" s="58">
        <v>7038.9499999999989</v>
      </c>
      <c r="O2924" s="58">
        <v>570.80000000000018</v>
      </c>
      <c r="P2924" s="53">
        <v>23766.629999999997</v>
      </c>
      <c r="Q2924" s="65">
        <v>21347.099999999995</v>
      </c>
      <c r="R2924" s="65">
        <v>0</v>
      </c>
      <c r="S2924" s="65">
        <v>0</v>
      </c>
      <c r="T2924" s="65">
        <v>2419.5300000000025</v>
      </c>
      <c r="U2924" s="58">
        <v>0</v>
      </c>
      <c r="V2924" s="65">
        <v>0</v>
      </c>
      <c r="W2924" s="65">
        <v>0</v>
      </c>
      <c r="X2924" s="65">
        <v>14308</v>
      </c>
      <c r="Y2924" s="65">
        <v>7039</v>
      </c>
      <c r="Z2924" s="51">
        <v>0</v>
      </c>
      <c r="AA2924" s="51">
        <v>0</v>
      </c>
      <c r="AB2924" s="102">
        <v>0</v>
      </c>
      <c r="AC2924" s="81">
        <f t="shared" si="139"/>
        <v>126.04051457119074</v>
      </c>
      <c r="AD2924" s="82">
        <f t="shared" si="140"/>
        <v>77.207142857142841</v>
      </c>
      <c r="AE2924" s="218">
        <v>-0.11334232752926642</v>
      </c>
      <c r="AF2924">
        <v>5</v>
      </c>
      <c r="AH2924" t="str">
        <f t="shared" si="138"/>
        <v>Teghra</v>
      </c>
      <c r="AJ2924" s="72">
        <v>0</v>
      </c>
      <c r="AK2924" s="72"/>
      <c r="AL2924" s="72"/>
      <c r="AM2924" s="72"/>
    </row>
    <row r="2925" spans="1:39" x14ac:dyDescent="0.25">
      <c r="A2925" s="37" t="s">
        <v>62</v>
      </c>
      <c r="B2925" s="66" t="s">
        <v>1654</v>
      </c>
      <c r="C2925" s="4">
        <v>1008</v>
      </c>
      <c r="D2925" s="41" t="s">
        <v>217</v>
      </c>
      <c r="E2925" s="41">
        <v>10650011</v>
      </c>
      <c r="F2925" s="85" t="s">
        <v>1476</v>
      </c>
      <c r="G2925" s="39" t="s">
        <v>92</v>
      </c>
      <c r="H2925" s="52" t="s">
        <v>93</v>
      </c>
      <c r="I2925" s="52">
        <v>562.25</v>
      </c>
      <c r="J2925" s="49">
        <v>22616.69</v>
      </c>
      <c r="K2925" s="58">
        <v>559.20000000000005</v>
      </c>
      <c r="L2925" s="58">
        <v>23024.990000000005</v>
      </c>
      <c r="M2925" s="58">
        <v>0</v>
      </c>
      <c r="N2925" s="58">
        <v>0</v>
      </c>
      <c r="O2925" s="58">
        <v>559.20000000000005</v>
      </c>
      <c r="P2925" s="53">
        <v>23024.990000000005</v>
      </c>
      <c r="Q2925" s="65">
        <v>22616.69</v>
      </c>
      <c r="R2925" s="65">
        <v>0</v>
      </c>
      <c r="S2925" s="65">
        <v>0</v>
      </c>
      <c r="T2925" s="65">
        <v>408.30000000000655</v>
      </c>
      <c r="U2925" s="58">
        <v>0</v>
      </c>
      <c r="V2925" s="65">
        <v>0</v>
      </c>
      <c r="W2925" s="65">
        <v>0</v>
      </c>
      <c r="X2925" s="65">
        <v>22617</v>
      </c>
      <c r="Y2925" s="65">
        <v>0</v>
      </c>
      <c r="Z2925" s="51">
        <v>0</v>
      </c>
      <c r="AA2925" s="51">
        <v>0</v>
      </c>
      <c r="AB2925" s="102">
        <v>0</v>
      </c>
      <c r="AC2925" s="81">
        <f t="shared" si="139"/>
        <v>110.82077536682969</v>
      </c>
      <c r="AD2925" s="82">
        <f t="shared" si="140"/>
        <v>80.321428571428569</v>
      </c>
      <c r="AE2925" s="218">
        <v>-1.8053039591558559E-2</v>
      </c>
      <c r="AF2925">
        <v>9</v>
      </c>
      <c r="AH2925" t="str">
        <f t="shared" si="138"/>
        <v>Teghra</v>
      </c>
      <c r="AJ2925" s="72">
        <v>0</v>
      </c>
      <c r="AK2925" s="72"/>
      <c r="AL2925" s="72"/>
      <c r="AM2925" s="72"/>
    </row>
    <row r="2926" spans="1:39" x14ac:dyDescent="0.25">
      <c r="A2926" s="37" t="s">
        <v>62</v>
      </c>
      <c r="B2926" s="66" t="s">
        <v>1654</v>
      </c>
      <c r="C2926" s="4">
        <v>1008</v>
      </c>
      <c r="D2926" s="41" t="s">
        <v>217</v>
      </c>
      <c r="E2926" s="41">
        <v>10650013</v>
      </c>
      <c r="F2926" s="85" t="s">
        <v>1576</v>
      </c>
      <c r="G2926" s="39" t="s">
        <v>92</v>
      </c>
      <c r="H2926" s="52" t="s">
        <v>93</v>
      </c>
      <c r="I2926" s="52">
        <v>280.95</v>
      </c>
      <c r="J2926" s="49">
        <v>10639.390000000001</v>
      </c>
      <c r="K2926" s="58">
        <v>285.80000000000007</v>
      </c>
      <c r="L2926" s="58">
        <v>10145.950000000001</v>
      </c>
      <c r="M2926" s="58">
        <v>0</v>
      </c>
      <c r="N2926" s="58">
        <v>0</v>
      </c>
      <c r="O2926" s="58">
        <v>285.80000000000007</v>
      </c>
      <c r="P2926" s="53">
        <v>10145.950000000001</v>
      </c>
      <c r="Q2926" s="65">
        <v>10145.950000000001</v>
      </c>
      <c r="R2926" s="65">
        <v>0</v>
      </c>
      <c r="S2926" s="65">
        <v>0</v>
      </c>
      <c r="T2926" s="65">
        <v>0</v>
      </c>
      <c r="U2926" s="58">
        <v>0</v>
      </c>
      <c r="V2926" s="65">
        <v>0</v>
      </c>
      <c r="W2926" s="65">
        <v>0</v>
      </c>
      <c r="X2926" s="65">
        <v>10146</v>
      </c>
      <c r="Y2926" s="65">
        <v>0</v>
      </c>
      <c r="Z2926" s="51">
        <v>0</v>
      </c>
      <c r="AA2926" s="51">
        <v>493</v>
      </c>
      <c r="AB2926" s="102">
        <v>0</v>
      </c>
      <c r="AC2926" s="81">
        <f t="shared" si="139"/>
        <v>317.38290653141132</v>
      </c>
      <c r="AD2926" s="82">
        <f t="shared" si="140"/>
        <v>40.135714285714286</v>
      </c>
      <c r="AE2926" s="218">
        <v>4.6378598773049999E-2</v>
      </c>
      <c r="AF2926">
        <v>4</v>
      </c>
      <c r="AH2926" t="str">
        <f t="shared" si="138"/>
        <v>Teghra</v>
      </c>
      <c r="AJ2926" s="72">
        <v>0</v>
      </c>
      <c r="AK2926" s="72"/>
      <c r="AL2926" s="72"/>
      <c r="AM2926" s="72"/>
    </row>
    <row r="2927" spans="1:39" x14ac:dyDescent="0.25">
      <c r="A2927" s="37" t="s">
        <v>62</v>
      </c>
      <c r="B2927" s="66" t="s">
        <v>1654</v>
      </c>
      <c r="C2927" s="4">
        <v>1008</v>
      </c>
      <c r="D2927" s="41" t="s">
        <v>217</v>
      </c>
      <c r="E2927" s="41">
        <v>10650014</v>
      </c>
      <c r="F2927" s="85" t="s">
        <v>1532</v>
      </c>
      <c r="G2927" s="39" t="s">
        <v>92</v>
      </c>
      <c r="H2927" s="52" t="s">
        <v>93</v>
      </c>
      <c r="I2927" s="52">
        <v>605.94999999999993</v>
      </c>
      <c r="J2927" s="49">
        <v>23844.550000000003</v>
      </c>
      <c r="K2927" s="58">
        <v>604.50000000000011</v>
      </c>
      <c r="L2927" s="58">
        <v>23839.399999999991</v>
      </c>
      <c r="M2927" s="58">
        <v>0</v>
      </c>
      <c r="N2927" s="58">
        <v>0</v>
      </c>
      <c r="O2927" s="58">
        <v>604.50000000000011</v>
      </c>
      <c r="P2927" s="53">
        <v>23839.399999999991</v>
      </c>
      <c r="Q2927" s="65">
        <v>23839.399999999991</v>
      </c>
      <c r="R2927" s="65">
        <v>0</v>
      </c>
      <c r="S2927" s="65">
        <v>0</v>
      </c>
      <c r="T2927" s="65">
        <v>0</v>
      </c>
      <c r="U2927" s="58">
        <v>0</v>
      </c>
      <c r="V2927" s="65">
        <v>0</v>
      </c>
      <c r="W2927" s="65">
        <v>0</v>
      </c>
      <c r="X2927" s="65">
        <v>23839</v>
      </c>
      <c r="Y2927" s="65">
        <v>0</v>
      </c>
      <c r="Z2927" s="51">
        <v>0</v>
      </c>
      <c r="AA2927" s="51">
        <v>6</v>
      </c>
      <c r="AB2927" s="102">
        <v>0</v>
      </c>
      <c r="AC2927" s="81">
        <f t="shared" si="139"/>
        <v>74.018646010396992</v>
      </c>
      <c r="AD2927" s="82">
        <f t="shared" si="140"/>
        <v>86.564285714285703</v>
      </c>
      <c r="AE2927" s="218">
        <v>2.1598226848535068E-4</v>
      </c>
      <c r="AF2927">
        <v>1</v>
      </c>
      <c r="AH2927" t="str">
        <f t="shared" si="138"/>
        <v>Teghra</v>
      </c>
      <c r="AJ2927" s="72">
        <v>0</v>
      </c>
      <c r="AK2927" s="72"/>
      <c r="AL2927" s="72"/>
      <c r="AM2927" s="72"/>
    </row>
    <row r="2928" spans="1:39" x14ac:dyDescent="0.25">
      <c r="A2928" s="37" t="s">
        <v>62</v>
      </c>
      <c r="B2928" s="66" t="s">
        <v>1654</v>
      </c>
      <c r="C2928" s="4">
        <v>1008</v>
      </c>
      <c r="D2928" s="41" t="s">
        <v>217</v>
      </c>
      <c r="E2928" s="41">
        <v>10650016</v>
      </c>
      <c r="F2928" s="85" t="s">
        <v>1533</v>
      </c>
      <c r="G2928" s="39" t="s">
        <v>92</v>
      </c>
      <c r="H2928" s="52" t="s">
        <v>93</v>
      </c>
      <c r="I2928" s="52">
        <v>328.5</v>
      </c>
      <c r="J2928" s="49">
        <v>12289.579999999998</v>
      </c>
      <c r="K2928" s="58">
        <v>207</v>
      </c>
      <c r="L2928" s="58">
        <v>7824.4</v>
      </c>
      <c r="M2928" s="58">
        <v>124.5</v>
      </c>
      <c r="N2928" s="58">
        <v>4371.8600000000006</v>
      </c>
      <c r="O2928" s="58">
        <v>331.5</v>
      </c>
      <c r="P2928" s="53">
        <v>12196.26</v>
      </c>
      <c r="Q2928" s="65">
        <v>12196.26</v>
      </c>
      <c r="R2928" s="65">
        <v>0</v>
      </c>
      <c r="S2928" s="65">
        <v>0</v>
      </c>
      <c r="T2928" s="65">
        <v>0</v>
      </c>
      <c r="U2928" s="58">
        <v>0</v>
      </c>
      <c r="V2928" s="65">
        <v>0</v>
      </c>
      <c r="W2928" s="65">
        <v>0</v>
      </c>
      <c r="X2928" s="65">
        <v>7824</v>
      </c>
      <c r="Y2928" s="65">
        <v>4372</v>
      </c>
      <c r="Z2928" s="51">
        <v>0</v>
      </c>
      <c r="AA2928" s="51">
        <v>94</v>
      </c>
      <c r="AB2928" s="102">
        <v>0</v>
      </c>
      <c r="AC2928" s="81">
        <f t="shared" si="139"/>
        <v>277.96523409436833</v>
      </c>
      <c r="AD2928" s="82">
        <f t="shared" si="140"/>
        <v>46.928571428571431</v>
      </c>
      <c r="AE2928" s="218">
        <v>7.5934246735850945E-3</v>
      </c>
      <c r="AF2928">
        <v>4</v>
      </c>
      <c r="AH2928" t="str">
        <f t="shared" si="138"/>
        <v>Teghra</v>
      </c>
      <c r="AJ2928" s="72">
        <v>0</v>
      </c>
      <c r="AK2928" s="72"/>
      <c r="AL2928" s="72"/>
      <c r="AM2928" s="72"/>
    </row>
    <row r="2929" spans="1:39" x14ac:dyDescent="0.25">
      <c r="A2929" s="37" t="s">
        <v>62</v>
      </c>
      <c r="B2929" s="66" t="s">
        <v>1654</v>
      </c>
      <c r="C2929" s="4">
        <v>1008</v>
      </c>
      <c r="D2929" s="41" t="s">
        <v>217</v>
      </c>
      <c r="E2929" s="41">
        <v>10650018</v>
      </c>
      <c r="F2929" s="85" t="s">
        <v>1545</v>
      </c>
      <c r="G2929" s="39" t="s">
        <v>1610</v>
      </c>
      <c r="H2929" s="52" t="s">
        <v>98</v>
      </c>
      <c r="I2929" s="52">
        <v>980.3</v>
      </c>
      <c r="J2929" s="49">
        <v>38033.32</v>
      </c>
      <c r="K2929" s="58">
        <v>0</v>
      </c>
      <c r="L2929" s="58">
        <v>0</v>
      </c>
      <c r="M2929" s="58">
        <v>0</v>
      </c>
      <c r="N2929" s="58">
        <v>0</v>
      </c>
      <c r="O2929" s="58">
        <v>0</v>
      </c>
      <c r="P2929" s="53">
        <v>0</v>
      </c>
      <c r="Q2929" s="65">
        <v>38033.32</v>
      </c>
      <c r="R2929" s="65">
        <v>0</v>
      </c>
      <c r="S2929" s="65">
        <v>0</v>
      </c>
      <c r="T2929" s="65">
        <v>0</v>
      </c>
      <c r="U2929" s="58">
        <v>0</v>
      </c>
      <c r="V2929" s="65">
        <v>0</v>
      </c>
      <c r="W2929" s="65">
        <v>0</v>
      </c>
      <c r="X2929" s="65">
        <v>0</v>
      </c>
      <c r="Y2929" s="65">
        <v>0</v>
      </c>
      <c r="Z2929" s="51">
        <v>38033.32</v>
      </c>
      <c r="AA2929" s="51">
        <v>0</v>
      </c>
      <c r="AB2929" s="102">
        <v>0</v>
      </c>
      <c r="AC2929" s="81">
        <f t="shared" si="139"/>
        <v>0</v>
      </c>
      <c r="AD2929" s="82">
        <f t="shared" si="140"/>
        <v>0</v>
      </c>
      <c r="AE2929" s="218">
        <v>0</v>
      </c>
      <c r="AF2929">
        <v>0</v>
      </c>
      <c r="AH2929" t="str">
        <f t="shared" si="138"/>
        <v>Teghra</v>
      </c>
      <c r="AJ2929" s="72">
        <v>0</v>
      </c>
      <c r="AK2929" s="72"/>
      <c r="AL2929" s="72"/>
      <c r="AM2929" s="72"/>
    </row>
    <row r="2930" spans="1:39" x14ac:dyDescent="0.25">
      <c r="A2930" s="37" t="s">
        <v>62</v>
      </c>
      <c r="B2930" s="66" t="s">
        <v>1654</v>
      </c>
      <c r="C2930" s="4">
        <v>1066</v>
      </c>
      <c r="D2930" s="41" t="s">
        <v>1501</v>
      </c>
      <c r="E2930" s="41">
        <v>10660001</v>
      </c>
      <c r="F2930" s="85" t="s">
        <v>1506</v>
      </c>
      <c r="G2930" s="39" t="s">
        <v>92</v>
      </c>
      <c r="H2930" s="52" t="s">
        <v>93</v>
      </c>
      <c r="I2930" s="52">
        <v>923.9</v>
      </c>
      <c r="J2930" s="49">
        <v>53160.08</v>
      </c>
      <c r="K2930" s="58">
        <v>915.80000000000007</v>
      </c>
      <c r="L2930" s="58">
        <v>52690.92</v>
      </c>
      <c r="M2930" s="58">
        <v>8.9000000000000021</v>
      </c>
      <c r="N2930" s="58">
        <v>477.99</v>
      </c>
      <c r="O2930" s="58">
        <v>924.7</v>
      </c>
      <c r="P2930" s="53">
        <v>53168.909999999996</v>
      </c>
      <c r="Q2930" s="65">
        <v>53160.08</v>
      </c>
      <c r="R2930" s="65">
        <v>0</v>
      </c>
      <c r="S2930" s="65">
        <v>477.99</v>
      </c>
      <c r="T2930" s="65">
        <v>8.8299999999944703</v>
      </c>
      <c r="U2930" s="58">
        <v>0</v>
      </c>
      <c r="V2930" s="65">
        <v>0</v>
      </c>
      <c r="W2930" s="65">
        <v>0</v>
      </c>
      <c r="X2930" s="65">
        <v>52682</v>
      </c>
      <c r="Y2930" s="65">
        <v>0</v>
      </c>
      <c r="Z2930" s="51">
        <v>0</v>
      </c>
      <c r="AA2930" s="51">
        <v>0</v>
      </c>
      <c r="AB2930" s="102">
        <v>0</v>
      </c>
      <c r="AC2930" s="81">
        <f t="shared" si="139"/>
        <v>0</v>
      </c>
      <c r="AD2930" s="82">
        <f t="shared" si="140"/>
        <v>0</v>
      </c>
      <c r="AE2930" s="218">
        <v>-1.6610208261527202E-4</v>
      </c>
      <c r="AF2930">
        <v>6</v>
      </c>
      <c r="AH2930" t="str">
        <f t="shared" si="138"/>
        <v>Gaighat</v>
      </c>
      <c r="AJ2930" s="72">
        <v>0</v>
      </c>
      <c r="AK2930" s="72"/>
      <c r="AL2930" s="72"/>
      <c r="AM2930" s="72"/>
    </row>
    <row r="2931" spans="1:39" x14ac:dyDescent="0.25">
      <c r="A2931" s="37" t="s">
        <v>62</v>
      </c>
      <c r="B2931" s="66" t="s">
        <v>1654</v>
      </c>
      <c r="C2931" s="4">
        <v>1066</v>
      </c>
      <c r="D2931" s="41" t="s">
        <v>1501</v>
      </c>
      <c r="E2931" s="41">
        <v>10660002</v>
      </c>
      <c r="F2931" s="85" t="s">
        <v>1507</v>
      </c>
      <c r="G2931" s="39" t="s">
        <v>92</v>
      </c>
      <c r="H2931" s="52" t="s">
        <v>93</v>
      </c>
      <c r="I2931" s="52">
        <v>436.89999999999992</v>
      </c>
      <c r="J2931" s="49">
        <v>20418.190000000002</v>
      </c>
      <c r="K2931" s="58">
        <v>423.2</v>
      </c>
      <c r="L2931" s="58">
        <v>20338.919999999998</v>
      </c>
      <c r="M2931" s="58">
        <v>36.800000000000004</v>
      </c>
      <c r="N2931" s="58">
        <v>1619.68</v>
      </c>
      <c r="O2931" s="58">
        <v>460</v>
      </c>
      <c r="P2931" s="53">
        <v>21958.6</v>
      </c>
      <c r="Q2931" s="65">
        <v>20418.190000000002</v>
      </c>
      <c r="R2931" s="65">
        <v>0</v>
      </c>
      <c r="S2931" s="65">
        <v>1619.68</v>
      </c>
      <c r="T2931" s="65">
        <v>1540.4099999999962</v>
      </c>
      <c r="U2931" s="58">
        <v>0</v>
      </c>
      <c r="V2931" s="65">
        <v>0</v>
      </c>
      <c r="W2931" s="65">
        <v>0</v>
      </c>
      <c r="X2931" s="65">
        <v>18798</v>
      </c>
      <c r="Y2931" s="65">
        <v>0</v>
      </c>
      <c r="Z2931" s="51">
        <v>0</v>
      </c>
      <c r="AA2931" s="51">
        <v>1</v>
      </c>
      <c r="AB2931" s="102">
        <v>0</v>
      </c>
      <c r="AC2931" s="81">
        <f t="shared" si="139"/>
        <v>245.9155774319068</v>
      </c>
      <c r="AD2931" s="82">
        <f t="shared" si="140"/>
        <v>62.414285714285704</v>
      </c>
      <c r="AE2931" s="218">
        <v>-7.5443024087835209E-2</v>
      </c>
      <c r="AF2931">
        <v>9</v>
      </c>
      <c r="AH2931" t="str">
        <f t="shared" si="138"/>
        <v>Gaighat</v>
      </c>
      <c r="AJ2931" s="72">
        <v>0</v>
      </c>
      <c r="AK2931" s="72"/>
      <c r="AL2931" s="72"/>
      <c r="AM2931" s="72"/>
    </row>
    <row r="2932" spans="1:39" x14ac:dyDescent="0.25">
      <c r="A2932" s="37" t="s">
        <v>62</v>
      </c>
      <c r="B2932" s="66" t="s">
        <v>1654</v>
      </c>
      <c r="C2932" s="4">
        <v>1066</v>
      </c>
      <c r="D2932" s="41" t="s">
        <v>1501</v>
      </c>
      <c r="E2932" s="41">
        <v>10660004</v>
      </c>
      <c r="F2932" s="85" t="s">
        <v>1508</v>
      </c>
      <c r="G2932" s="39" t="s">
        <v>92</v>
      </c>
      <c r="H2932" s="52" t="s">
        <v>93</v>
      </c>
      <c r="I2932" s="52">
        <v>735.50000000000011</v>
      </c>
      <c r="J2932" s="49">
        <v>32255.440000000006</v>
      </c>
      <c r="K2932" s="58">
        <v>718.2</v>
      </c>
      <c r="L2932" s="58">
        <v>31552.39000000001</v>
      </c>
      <c r="M2932" s="58">
        <v>15.899999999999999</v>
      </c>
      <c r="N2932" s="58">
        <v>696.87</v>
      </c>
      <c r="O2932" s="58">
        <v>734.1</v>
      </c>
      <c r="P2932" s="53">
        <v>32249.260000000009</v>
      </c>
      <c r="Q2932" s="65">
        <v>32249.260000000009</v>
      </c>
      <c r="R2932" s="65">
        <v>0</v>
      </c>
      <c r="S2932" s="65">
        <v>696.87</v>
      </c>
      <c r="T2932" s="65">
        <v>0</v>
      </c>
      <c r="U2932" s="58">
        <v>2599</v>
      </c>
      <c r="V2932" s="65">
        <v>0</v>
      </c>
      <c r="W2932" s="65">
        <v>0</v>
      </c>
      <c r="X2932" s="65">
        <v>28955</v>
      </c>
      <c r="Y2932" s="65">
        <v>0</v>
      </c>
      <c r="Z2932" s="51">
        <v>0</v>
      </c>
      <c r="AA2932" s="51">
        <v>5</v>
      </c>
      <c r="AB2932" s="102">
        <v>0</v>
      </c>
      <c r="AC2932" s="81">
        <f t="shared" si="139"/>
        <v>0</v>
      </c>
      <c r="AD2932" s="82">
        <f t="shared" si="140"/>
        <v>0</v>
      </c>
      <c r="AE2932" s="218">
        <v>1.9159558821695355E-4</v>
      </c>
      <c r="AF2932">
        <v>25</v>
      </c>
      <c r="AH2932" t="str">
        <f t="shared" si="138"/>
        <v>Gaighat</v>
      </c>
      <c r="AJ2932" s="72">
        <v>0</v>
      </c>
      <c r="AK2932" s="72"/>
      <c r="AL2932" s="72"/>
      <c r="AM2932" s="72"/>
    </row>
    <row r="2933" spans="1:39" x14ac:dyDescent="0.25">
      <c r="A2933" s="37" t="s">
        <v>62</v>
      </c>
      <c r="B2933" s="66" t="s">
        <v>1654</v>
      </c>
      <c r="C2933" s="4">
        <v>1066</v>
      </c>
      <c r="D2933" s="41" t="s">
        <v>1501</v>
      </c>
      <c r="E2933" s="41">
        <v>10660005</v>
      </c>
      <c r="F2933" s="85" t="s">
        <v>1509</v>
      </c>
      <c r="G2933" s="39" t="s">
        <v>92</v>
      </c>
      <c r="H2933" s="52" t="s">
        <v>93</v>
      </c>
      <c r="I2933" s="52">
        <v>668.90000000000009</v>
      </c>
      <c r="J2933" s="49">
        <v>32655.750000000004</v>
      </c>
      <c r="K2933" s="58">
        <v>648.40000000000009</v>
      </c>
      <c r="L2933" s="58">
        <v>32633.570000000003</v>
      </c>
      <c r="M2933" s="58">
        <v>0.6</v>
      </c>
      <c r="N2933" s="58">
        <v>31.41</v>
      </c>
      <c r="O2933" s="58">
        <v>649.00000000000011</v>
      </c>
      <c r="P2933" s="53">
        <v>32664.980000000003</v>
      </c>
      <c r="Q2933" s="65">
        <v>32655.750000000004</v>
      </c>
      <c r="R2933" s="65">
        <v>0</v>
      </c>
      <c r="S2933" s="65">
        <v>31.41</v>
      </c>
      <c r="T2933" s="65">
        <v>9.2299999999995634</v>
      </c>
      <c r="U2933" s="58">
        <v>1550</v>
      </c>
      <c r="V2933" s="65">
        <v>0</v>
      </c>
      <c r="W2933" s="65">
        <v>0</v>
      </c>
      <c r="X2933" s="65">
        <v>31074</v>
      </c>
      <c r="Y2933" s="65">
        <v>0</v>
      </c>
      <c r="Z2933" s="51">
        <v>0</v>
      </c>
      <c r="AA2933" s="51">
        <v>0</v>
      </c>
      <c r="AB2933" s="102">
        <v>0</v>
      </c>
      <c r="AC2933" s="81">
        <f t="shared" si="139"/>
        <v>30.366088354014007</v>
      </c>
      <c r="AD2933" s="82">
        <f t="shared" si="140"/>
        <v>95.557142857142864</v>
      </c>
      <c r="AE2933" s="218">
        <v>-2.826454759115795E-4</v>
      </c>
      <c r="AF2933">
        <v>21</v>
      </c>
      <c r="AH2933" t="str">
        <f t="shared" si="138"/>
        <v>Gaighat</v>
      </c>
      <c r="AJ2933" s="72">
        <v>0</v>
      </c>
      <c r="AK2933" s="72"/>
      <c r="AL2933" s="72"/>
      <c r="AM2933" s="72"/>
    </row>
    <row r="2934" spans="1:39" x14ac:dyDescent="0.25">
      <c r="A2934" s="37" t="s">
        <v>62</v>
      </c>
      <c r="B2934" s="66" t="s">
        <v>1654</v>
      </c>
      <c r="C2934" s="4">
        <v>1066</v>
      </c>
      <c r="D2934" s="41" t="s">
        <v>1501</v>
      </c>
      <c r="E2934" s="41">
        <v>10660006</v>
      </c>
      <c r="F2934" s="85" t="s">
        <v>1510</v>
      </c>
      <c r="G2934" s="39" t="s">
        <v>92</v>
      </c>
      <c r="H2934" s="52" t="s">
        <v>93</v>
      </c>
      <c r="I2934" s="52">
        <v>352.8</v>
      </c>
      <c r="J2934" s="49">
        <v>16056.520000000002</v>
      </c>
      <c r="K2934" s="58">
        <v>343.3</v>
      </c>
      <c r="L2934" s="58">
        <v>15785.979999999998</v>
      </c>
      <c r="M2934" s="58">
        <v>6.0000000000000009</v>
      </c>
      <c r="N2934" s="58">
        <v>268.37</v>
      </c>
      <c r="O2934" s="58">
        <v>349.3</v>
      </c>
      <c r="P2934" s="53">
        <v>16054.349999999999</v>
      </c>
      <c r="Q2934" s="65">
        <v>16054.349999999999</v>
      </c>
      <c r="R2934" s="65">
        <v>0</v>
      </c>
      <c r="S2934" s="65">
        <v>268.37</v>
      </c>
      <c r="T2934" s="65">
        <v>0</v>
      </c>
      <c r="U2934" s="58">
        <v>0</v>
      </c>
      <c r="V2934" s="65">
        <v>0</v>
      </c>
      <c r="W2934" s="65">
        <v>0</v>
      </c>
      <c r="X2934" s="65">
        <v>15786</v>
      </c>
      <c r="Y2934" s="65">
        <v>0</v>
      </c>
      <c r="Z2934" s="51">
        <v>0</v>
      </c>
      <c r="AA2934" s="51">
        <v>2</v>
      </c>
      <c r="AB2934" s="102">
        <v>0</v>
      </c>
      <c r="AC2934" s="81">
        <f t="shared" si="139"/>
        <v>316.03309206349206</v>
      </c>
      <c r="AD2934" s="82">
        <f t="shared" si="140"/>
        <v>50.4</v>
      </c>
      <c r="AE2934" s="218">
        <v>1.3514759113454912E-4</v>
      </c>
      <c r="AF2934">
        <v>13</v>
      </c>
      <c r="AH2934" t="str">
        <f t="shared" si="138"/>
        <v>Gaighat</v>
      </c>
      <c r="AJ2934" s="72">
        <v>0</v>
      </c>
      <c r="AK2934" s="72"/>
      <c r="AL2934" s="72"/>
      <c r="AM2934" s="72"/>
    </row>
    <row r="2935" spans="1:39" x14ac:dyDescent="0.25">
      <c r="A2935" s="37" t="s">
        <v>62</v>
      </c>
      <c r="B2935" s="66" t="s">
        <v>1654</v>
      </c>
      <c r="C2935" s="4">
        <v>1066</v>
      </c>
      <c r="D2935" s="41" t="s">
        <v>1501</v>
      </c>
      <c r="E2935" s="41">
        <v>10660010</v>
      </c>
      <c r="F2935" s="85" t="s">
        <v>1512</v>
      </c>
      <c r="G2935" s="39" t="s">
        <v>1610</v>
      </c>
      <c r="H2935" s="52" t="s">
        <v>98</v>
      </c>
      <c r="I2935" s="52">
        <v>2100.1</v>
      </c>
      <c r="J2935" s="49">
        <v>84777.65</v>
      </c>
      <c r="K2935" s="58">
        <v>0</v>
      </c>
      <c r="L2935" s="58">
        <v>0</v>
      </c>
      <c r="M2935" s="58">
        <v>0</v>
      </c>
      <c r="N2935" s="58">
        <v>0</v>
      </c>
      <c r="O2935" s="58">
        <v>0</v>
      </c>
      <c r="P2935" s="53">
        <v>0</v>
      </c>
      <c r="Q2935" s="65">
        <v>84777.65</v>
      </c>
      <c r="R2935" s="65">
        <v>0</v>
      </c>
      <c r="S2935" s="65">
        <v>0</v>
      </c>
      <c r="T2935" s="65">
        <v>0</v>
      </c>
      <c r="U2935" s="58">
        <v>0</v>
      </c>
      <c r="V2935" s="65">
        <v>0</v>
      </c>
      <c r="W2935" s="65">
        <v>0</v>
      </c>
      <c r="X2935" s="65">
        <v>0</v>
      </c>
      <c r="Y2935" s="65">
        <v>0</v>
      </c>
      <c r="Z2935" s="51">
        <v>84777.65</v>
      </c>
      <c r="AA2935" s="51">
        <v>0</v>
      </c>
      <c r="AB2935" s="102">
        <v>0</v>
      </c>
      <c r="AC2935" s="81">
        <f t="shared" si="139"/>
        <v>0</v>
      </c>
      <c r="AD2935" s="82">
        <f t="shared" si="140"/>
        <v>0</v>
      </c>
      <c r="AE2935" s="218">
        <v>0</v>
      </c>
      <c r="AF2935">
        <v>0</v>
      </c>
      <c r="AH2935" t="str">
        <f t="shared" si="138"/>
        <v>Gaighat</v>
      </c>
      <c r="AJ2935" s="72">
        <v>0</v>
      </c>
      <c r="AK2935" s="72"/>
      <c r="AL2935" s="72"/>
      <c r="AM2935" s="72"/>
    </row>
    <row r="2936" spans="1:39" x14ac:dyDescent="0.25">
      <c r="A2936" s="37" t="s">
        <v>62</v>
      </c>
      <c r="B2936" s="66" t="s">
        <v>1654</v>
      </c>
      <c r="C2936" s="4">
        <v>1066</v>
      </c>
      <c r="D2936" s="41" t="s">
        <v>1501</v>
      </c>
      <c r="E2936" s="41">
        <v>10660011</v>
      </c>
      <c r="F2936" s="85" t="s">
        <v>1513</v>
      </c>
      <c r="G2936" s="39" t="s">
        <v>1610</v>
      </c>
      <c r="H2936" s="52" t="s">
        <v>98</v>
      </c>
      <c r="I2936" s="52">
        <v>1439.6</v>
      </c>
      <c r="J2936" s="49">
        <v>60936.98</v>
      </c>
      <c r="K2936" s="58">
        <v>0</v>
      </c>
      <c r="L2936" s="58">
        <v>0</v>
      </c>
      <c r="M2936" s="58">
        <v>0</v>
      </c>
      <c r="N2936" s="58">
        <v>0</v>
      </c>
      <c r="O2936" s="58">
        <v>0</v>
      </c>
      <c r="P2936" s="53">
        <v>0</v>
      </c>
      <c r="Q2936" s="65">
        <v>60936.98</v>
      </c>
      <c r="R2936" s="65">
        <v>0</v>
      </c>
      <c r="S2936" s="65">
        <v>0</v>
      </c>
      <c r="T2936" s="65">
        <v>0</v>
      </c>
      <c r="U2936" s="58">
        <v>0</v>
      </c>
      <c r="V2936" s="65">
        <v>0</v>
      </c>
      <c r="W2936" s="65">
        <v>0</v>
      </c>
      <c r="X2936" s="65">
        <v>0</v>
      </c>
      <c r="Y2936" s="65">
        <v>0</v>
      </c>
      <c r="Z2936" s="51">
        <v>60936.98</v>
      </c>
      <c r="AA2936" s="51">
        <v>0</v>
      </c>
      <c r="AB2936" s="102">
        <v>0</v>
      </c>
      <c r="AC2936" s="81">
        <f t="shared" si="139"/>
        <v>0</v>
      </c>
      <c r="AD2936" s="82">
        <f t="shared" si="140"/>
        <v>0</v>
      </c>
      <c r="AE2936" s="218">
        <v>0</v>
      </c>
      <c r="AF2936">
        <v>0</v>
      </c>
      <c r="AH2936" t="str">
        <f t="shared" ref="AH2936:AH2996" si="141">TEXT(D2936,"0000")</f>
        <v>Gaighat</v>
      </c>
      <c r="AJ2936" s="72">
        <v>0</v>
      </c>
      <c r="AK2936" s="72"/>
      <c r="AL2936" s="72"/>
      <c r="AM2936" s="72"/>
    </row>
    <row r="2937" spans="1:39" x14ac:dyDescent="0.25">
      <c r="A2937" s="37" t="s">
        <v>62</v>
      </c>
      <c r="B2937" s="66" t="s">
        <v>1654</v>
      </c>
      <c r="C2937" s="4">
        <v>1066</v>
      </c>
      <c r="D2937" s="41" t="s">
        <v>1501</v>
      </c>
      <c r="E2937" s="41">
        <v>10660012</v>
      </c>
      <c r="F2937" s="85" t="s">
        <v>1529</v>
      </c>
      <c r="G2937" s="39" t="s">
        <v>1610</v>
      </c>
      <c r="H2937" s="52" t="s">
        <v>98</v>
      </c>
      <c r="I2937" s="52">
        <v>117.49999999999999</v>
      </c>
      <c r="J2937" s="49">
        <v>6190.5300000000007</v>
      </c>
      <c r="K2937" s="58">
        <v>0</v>
      </c>
      <c r="L2937" s="58">
        <v>0</v>
      </c>
      <c r="M2937" s="58">
        <v>0</v>
      </c>
      <c r="N2937" s="58">
        <v>0</v>
      </c>
      <c r="O2937" s="58">
        <v>0</v>
      </c>
      <c r="P2937" s="53">
        <v>0</v>
      </c>
      <c r="Q2937" s="65">
        <v>6190.5300000000007</v>
      </c>
      <c r="R2937" s="65">
        <v>0</v>
      </c>
      <c r="S2937" s="65">
        <v>0</v>
      </c>
      <c r="T2937" s="65">
        <v>0</v>
      </c>
      <c r="U2937" s="58">
        <v>0</v>
      </c>
      <c r="V2937" s="65">
        <v>0</v>
      </c>
      <c r="W2937" s="65">
        <v>0</v>
      </c>
      <c r="X2937" s="65">
        <v>0</v>
      </c>
      <c r="Y2937" s="65">
        <v>0</v>
      </c>
      <c r="Z2937" s="51">
        <v>6190.5300000000007</v>
      </c>
      <c r="AA2937" s="51">
        <v>0</v>
      </c>
      <c r="AB2937" s="102">
        <v>0</v>
      </c>
      <c r="AC2937" s="81">
        <f t="shared" si="139"/>
        <v>613.78446382978734</v>
      </c>
      <c r="AD2937" s="82">
        <f t="shared" si="140"/>
        <v>16.785714285714285</v>
      </c>
      <c r="AE2937" s="218">
        <v>0</v>
      </c>
      <c r="AF2937">
        <v>0</v>
      </c>
      <c r="AH2937" t="str">
        <f t="shared" si="141"/>
        <v>Gaighat</v>
      </c>
      <c r="AJ2937" s="72">
        <v>0</v>
      </c>
      <c r="AK2937" s="72"/>
      <c r="AL2937" s="72"/>
      <c r="AM2937" s="72"/>
    </row>
    <row r="2938" spans="1:39" x14ac:dyDescent="0.25">
      <c r="A2938" s="37" t="s">
        <v>62</v>
      </c>
      <c r="B2938" s="66" t="s">
        <v>1654</v>
      </c>
      <c r="C2938" s="4">
        <v>1066</v>
      </c>
      <c r="D2938" s="41" t="s">
        <v>1501</v>
      </c>
      <c r="E2938" s="41">
        <v>10660013</v>
      </c>
      <c r="F2938" s="85" t="s">
        <v>1514</v>
      </c>
      <c r="G2938" s="39" t="s">
        <v>92</v>
      </c>
      <c r="H2938" s="52" t="s">
        <v>93</v>
      </c>
      <c r="I2938" s="52">
        <v>606.39999999999986</v>
      </c>
      <c r="J2938" s="49">
        <v>24837.16</v>
      </c>
      <c r="K2938" s="58">
        <v>641.9</v>
      </c>
      <c r="L2938" s="58">
        <v>24819.93</v>
      </c>
      <c r="M2938" s="58">
        <v>0</v>
      </c>
      <c r="N2938" s="58">
        <v>0</v>
      </c>
      <c r="O2938" s="58">
        <v>641.9</v>
      </c>
      <c r="P2938" s="53">
        <v>24819.93</v>
      </c>
      <c r="Q2938" s="65">
        <v>24819.93</v>
      </c>
      <c r="R2938" s="65">
        <v>0</v>
      </c>
      <c r="S2938" s="65">
        <v>0</v>
      </c>
      <c r="T2938" s="65">
        <v>0</v>
      </c>
      <c r="U2938" s="58">
        <v>8838</v>
      </c>
      <c r="V2938" s="65">
        <v>0</v>
      </c>
      <c r="W2938" s="65">
        <v>0</v>
      </c>
      <c r="X2938" s="65">
        <v>15982</v>
      </c>
      <c r="Y2938" s="65">
        <v>0</v>
      </c>
      <c r="Z2938" s="51">
        <v>0</v>
      </c>
      <c r="AA2938" s="51">
        <v>17</v>
      </c>
      <c r="AB2938" s="102">
        <v>0</v>
      </c>
      <c r="AC2938" s="81">
        <f t="shared" si="139"/>
        <v>76.674082321899903</v>
      </c>
      <c r="AD2938" s="82">
        <f t="shared" si="140"/>
        <v>86.628571428571405</v>
      </c>
      <c r="AE2938" s="218">
        <v>6.9371860550882479E-4</v>
      </c>
      <c r="AF2938">
        <v>4</v>
      </c>
      <c r="AH2938" t="str">
        <f t="shared" si="141"/>
        <v>Gaighat</v>
      </c>
      <c r="AJ2938" s="72">
        <v>0</v>
      </c>
      <c r="AK2938" s="72"/>
      <c r="AL2938" s="72"/>
      <c r="AM2938" s="72"/>
    </row>
    <row r="2939" spans="1:39" x14ac:dyDescent="0.25">
      <c r="A2939" s="37" t="s">
        <v>62</v>
      </c>
      <c r="B2939" s="66" t="s">
        <v>1654</v>
      </c>
      <c r="C2939" s="4">
        <v>1066</v>
      </c>
      <c r="D2939" s="41" t="s">
        <v>1501</v>
      </c>
      <c r="E2939" s="41">
        <v>10660014</v>
      </c>
      <c r="F2939" s="85" t="s">
        <v>1650</v>
      </c>
      <c r="G2939" s="39" t="s">
        <v>1610</v>
      </c>
      <c r="H2939" s="52" t="s">
        <v>93</v>
      </c>
      <c r="I2939" s="52">
        <v>40.299999999999997</v>
      </c>
      <c r="J2939" s="49">
        <v>1804.71</v>
      </c>
      <c r="K2939" s="58">
        <v>40</v>
      </c>
      <c r="L2939" s="58">
        <v>1768.6999999999998</v>
      </c>
      <c r="M2939" s="58">
        <v>0</v>
      </c>
      <c r="N2939" s="58">
        <v>0</v>
      </c>
      <c r="O2939" s="58">
        <v>40</v>
      </c>
      <c r="P2939" s="53">
        <v>1768.6999999999998</v>
      </c>
      <c r="Q2939" s="65">
        <v>1768.6999999999998</v>
      </c>
      <c r="R2939" s="65">
        <v>0</v>
      </c>
      <c r="S2939" s="65">
        <v>0</v>
      </c>
      <c r="T2939" s="65">
        <v>0</v>
      </c>
      <c r="U2939" s="58">
        <v>0</v>
      </c>
      <c r="V2939" s="65">
        <v>0</v>
      </c>
      <c r="W2939" s="65">
        <v>0</v>
      </c>
      <c r="X2939" s="65">
        <v>1769</v>
      </c>
      <c r="Y2939" s="65">
        <v>0</v>
      </c>
      <c r="Z2939" s="51">
        <v>0</v>
      </c>
      <c r="AA2939" s="51">
        <v>36</v>
      </c>
      <c r="AB2939" s="102">
        <v>0</v>
      </c>
      <c r="AC2939" s="81">
        <f t="shared" si="139"/>
        <v>590.85220198511172</v>
      </c>
      <c r="AD2939" s="82">
        <f t="shared" si="140"/>
        <v>5.7571428571428571</v>
      </c>
      <c r="AE2939" s="218">
        <v>1.995334430462524E-2</v>
      </c>
      <c r="AF2939">
        <v>3</v>
      </c>
      <c r="AH2939" t="str">
        <f t="shared" si="141"/>
        <v>Gaighat</v>
      </c>
      <c r="AJ2939" s="72">
        <v>0</v>
      </c>
      <c r="AK2939" s="72"/>
      <c r="AL2939" s="72"/>
      <c r="AM2939" s="72"/>
    </row>
    <row r="2940" spans="1:39" x14ac:dyDescent="0.25">
      <c r="A2940" s="37" t="s">
        <v>62</v>
      </c>
      <c r="B2940" s="66" t="s">
        <v>1654</v>
      </c>
      <c r="C2940" s="4">
        <v>1066</v>
      </c>
      <c r="D2940" s="41" t="s">
        <v>1501</v>
      </c>
      <c r="E2940" s="41">
        <v>10660015</v>
      </c>
      <c r="F2940" s="85" t="s">
        <v>1515</v>
      </c>
      <c r="G2940" s="39" t="s">
        <v>1610</v>
      </c>
      <c r="H2940" s="52" t="s">
        <v>98</v>
      </c>
      <c r="I2940" s="52">
        <v>1866.6999999999998</v>
      </c>
      <c r="J2940" s="49">
        <v>78193.98000000001</v>
      </c>
      <c r="K2940" s="58">
        <v>0</v>
      </c>
      <c r="L2940" s="58">
        <v>0</v>
      </c>
      <c r="M2940" s="58">
        <v>0</v>
      </c>
      <c r="N2940" s="58">
        <v>0</v>
      </c>
      <c r="O2940" s="58">
        <v>0</v>
      </c>
      <c r="P2940" s="53">
        <v>0</v>
      </c>
      <c r="Q2940" s="65">
        <v>78193.98000000001</v>
      </c>
      <c r="R2940" s="65">
        <v>0</v>
      </c>
      <c r="S2940" s="65">
        <v>0</v>
      </c>
      <c r="T2940" s="65">
        <v>0</v>
      </c>
      <c r="U2940" s="58">
        <v>0</v>
      </c>
      <c r="V2940" s="65">
        <v>0</v>
      </c>
      <c r="W2940" s="65">
        <v>0</v>
      </c>
      <c r="X2940" s="65">
        <v>0</v>
      </c>
      <c r="Y2940" s="65">
        <v>0</v>
      </c>
      <c r="Z2940" s="51">
        <v>78193.98000000001</v>
      </c>
      <c r="AA2940" s="51">
        <v>0</v>
      </c>
      <c r="AB2940" s="102">
        <v>0</v>
      </c>
      <c r="AC2940" s="81">
        <f t="shared" ref="AC2940:AC3002" si="142">((IF(AD2940=0,0,100-AD2940))*7*(J2940/I2940))*2%</f>
        <v>0</v>
      </c>
      <c r="AD2940" s="82">
        <f t="shared" ref="AD2940:AD3002" si="143">IF((I2940/7)&gt;100,0,(I2940/7))</f>
        <v>0</v>
      </c>
      <c r="AE2940" s="218">
        <v>0</v>
      </c>
      <c r="AF2940">
        <v>0</v>
      </c>
      <c r="AH2940" t="str">
        <f t="shared" si="141"/>
        <v>Gaighat</v>
      </c>
      <c r="AJ2940" s="72">
        <v>0</v>
      </c>
      <c r="AK2940" s="72"/>
      <c r="AL2940" s="72"/>
      <c r="AM2940" s="72"/>
    </row>
    <row r="2941" spans="1:39" x14ac:dyDescent="0.25">
      <c r="A2941" s="37" t="s">
        <v>62</v>
      </c>
      <c r="B2941" s="66" t="s">
        <v>1654</v>
      </c>
      <c r="C2941" s="4">
        <v>1066</v>
      </c>
      <c r="D2941" s="41" t="s">
        <v>1501</v>
      </c>
      <c r="E2941" s="41">
        <v>10660016</v>
      </c>
      <c r="F2941" s="85" t="s">
        <v>1516</v>
      </c>
      <c r="G2941" s="39" t="s">
        <v>1610</v>
      </c>
      <c r="H2941" s="52" t="s">
        <v>98</v>
      </c>
      <c r="I2941" s="52">
        <v>732.30000000000007</v>
      </c>
      <c r="J2941" s="49">
        <v>29682.52</v>
      </c>
      <c r="K2941" s="58">
        <v>0</v>
      </c>
      <c r="L2941" s="58">
        <v>0</v>
      </c>
      <c r="M2941" s="58">
        <v>0</v>
      </c>
      <c r="N2941" s="58">
        <v>0</v>
      </c>
      <c r="O2941" s="58">
        <v>0</v>
      </c>
      <c r="P2941" s="53">
        <v>0</v>
      </c>
      <c r="Q2941" s="65">
        <v>29682.52</v>
      </c>
      <c r="R2941" s="65">
        <v>0</v>
      </c>
      <c r="S2941" s="65">
        <v>0</v>
      </c>
      <c r="T2941" s="65">
        <v>0</v>
      </c>
      <c r="U2941" s="58">
        <v>0</v>
      </c>
      <c r="V2941" s="65">
        <v>0</v>
      </c>
      <c r="W2941" s="65">
        <v>0</v>
      </c>
      <c r="X2941" s="65">
        <v>0</v>
      </c>
      <c r="Y2941" s="65">
        <v>0</v>
      </c>
      <c r="Z2941" s="51">
        <v>29682.52</v>
      </c>
      <c r="AA2941" s="51">
        <v>0</v>
      </c>
      <c r="AB2941" s="102">
        <v>0</v>
      </c>
      <c r="AC2941" s="81">
        <f t="shared" si="142"/>
        <v>0</v>
      </c>
      <c r="AD2941" s="82">
        <f t="shared" si="143"/>
        <v>0</v>
      </c>
      <c r="AE2941" s="218">
        <v>0</v>
      </c>
      <c r="AF2941">
        <v>0</v>
      </c>
      <c r="AH2941" t="str">
        <f t="shared" si="141"/>
        <v>Gaighat</v>
      </c>
      <c r="AJ2941" s="72">
        <v>0</v>
      </c>
      <c r="AK2941" s="72"/>
      <c r="AL2941" s="72"/>
      <c r="AM2941" s="72"/>
    </row>
    <row r="2942" spans="1:39" x14ac:dyDescent="0.25">
      <c r="A2942" s="37" t="s">
        <v>62</v>
      </c>
      <c r="B2942" s="66" t="s">
        <v>1654</v>
      </c>
      <c r="C2942" s="4">
        <v>1066</v>
      </c>
      <c r="D2942" s="41" t="s">
        <v>1501</v>
      </c>
      <c r="E2942" s="41">
        <v>10660017</v>
      </c>
      <c r="F2942" s="85" t="s">
        <v>1502</v>
      </c>
      <c r="G2942" s="39" t="s">
        <v>92</v>
      </c>
      <c r="H2942" s="52" t="s">
        <v>93</v>
      </c>
      <c r="I2942" s="52">
        <v>208.6</v>
      </c>
      <c r="J2942" s="49">
        <v>9430.7000000000007</v>
      </c>
      <c r="K2942" s="58">
        <v>199.70000000000002</v>
      </c>
      <c r="L2942" s="58">
        <v>9256.41</v>
      </c>
      <c r="M2942" s="58">
        <v>3.8999999999999995</v>
      </c>
      <c r="N2942" s="58">
        <v>172.5</v>
      </c>
      <c r="O2942" s="58">
        <v>203.60000000000002</v>
      </c>
      <c r="P2942" s="53">
        <v>9428.91</v>
      </c>
      <c r="Q2942" s="65">
        <v>9428.91</v>
      </c>
      <c r="R2942" s="65">
        <v>0</v>
      </c>
      <c r="S2942" s="65">
        <v>172.5</v>
      </c>
      <c r="T2942" s="65">
        <v>0</v>
      </c>
      <c r="U2942" s="58">
        <v>3100</v>
      </c>
      <c r="V2942" s="65">
        <v>0</v>
      </c>
      <c r="W2942" s="65">
        <v>0</v>
      </c>
      <c r="X2942" s="65">
        <v>6156</v>
      </c>
      <c r="Y2942" s="65">
        <v>0</v>
      </c>
      <c r="Z2942" s="51">
        <v>0</v>
      </c>
      <c r="AA2942" s="51">
        <v>2</v>
      </c>
      <c r="AB2942" s="102">
        <v>0</v>
      </c>
      <c r="AC2942" s="81">
        <f t="shared" si="142"/>
        <v>444.31888590604041</v>
      </c>
      <c r="AD2942" s="82">
        <f t="shared" si="143"/>
        <v>29.8</v>
      </c>
      <c r="AE2942" s="218">
        <v>1.8980563478860244E-4</v>
      </c>
      <c r="AF2942">
        <v>9</v>
      </c>
      <c r="AH2942" t="str">
        <f t="shared" si="141"/>
        <v>Gaighat</v>
      </c>
      <c r="AJ2942" s="72">
        <v>0</v>
      </c>
      <c r="AK2942" s="72"/>
      <c r="AL2942" s="72"/>
      <c r="AM2942" s="72"/>
    </row>
    <row r="2943" spans="1:39" x14ac:dyDescent="0.25">
      <c r="A2943" s="37" t="s">
        <v>62</v>
      </c>
      <c r="B2943" s="66" t="s">
        <v>1654</v>
      </c>
      <c r="C2943" s="4">
        <v>1066</v>
      </c>
      <c r="D2943" s="41" t="s">
        <v>1501</v>
      </c>
      <c r="E2943" s="41">
        <v>10660021</v>
      </c>
      <c r="F2943" s="85" t="s">
        <v>1518</v>
      </c>
      <c r="G2943" s="39" t="s">
        <v>1610</v>
      </c>
      <c r="H2943" s="52" t="s">
        <v>98</v>
      </c>
      <c r="I2943" s="52">
        <v>131.69999999999999</v>
      </c>
      <c r="J2943" s="49">
        <v>5061.55</v>
      </c>
      <c r="K2943" s="58">
        <v>0</v>
      </c>
      <c r="L2943" s="58">
        <v>0</v>
      </c>
      <c r="M2943" s="58">
        <v>0</v>
      </c>
      <c r="N2943" s="58">
        <v>0</v>
      </c>
      <c r="O2943" s="58">
        <v>0</v>
      </c>
      <c r="P2943" s="53">
        <v>0</v>
      </c>
      <c r="Q2943" s="65">
        <v>5061.55</v>
      </c>
      <c r="R2943" s="65">
        <v>0</v>
      </c>
      <c r="S2943" s="65">
        <v>0</v>
      </c>
      <c r="T2943" s="65">
        <v>0</v>
      </c>
      <c r="U2943" s="58">
        <v>1400</v>
      </c>
      <c r="V2943" s="65">
        <v>0</v>
      </c>
      <c r="W2943" s="65">
        <v>0</v>
      </c>
      <c r="X2943" s="65">
        <v>0</v>
      </c>
      <c r="Y2943" s="65">
        <v>0</v>
      </c>
      <c r="Z2943" s="51">
        <v>3661.55</v>
      </c>
      <c r="AA2943" s="51">
        <v>0</v>
      </c>
      <c r="AB2943" s="102">
        <v>0</v>
      </c>
      <c r="AC2943" s="81">
        <f t="shared" si="142"/>
        <v>436.82291040242984</v>
      </c>
      <c r="AD2943" s="82">
        <f t="shared" si="143"/>
        <v>18.814285714285713</v>
      </c>
      <c r="AE2943" s="218">
        <v>0</v>
      </c>
      <c r="AF2943">
        <v>0</v>
      </c>
      <c r="AH2943" t="str">
        <f t="shared" si="141"/>
        <v>Gaighat</v>
      </c>
      <c r="AJ2943" s="72">
        <v>0</v>
      </c>
      <c r="AK2943" s="72"/>
      <c r="AL2943" s="72"/>
      <c r="AM2943" s="72"/>
    </row>
    <row r="2944" spans="1:39" x14ac:dyDescent="0.25">
      <c r="A2944" s="37" t="s">
        <v>62</v>
      </c>
      <c r="B2944" s="66" t="s">
        <v>1654</v>
      </c>
      <c r="C2944" s="4">
        <v>1066</v>
      </c>
      <c r="D2944" s="41" t="s">
        <v>1501</v>
      </c>
      <c r="E2944" s="41">
        <v>10660022</v>
      </c>
      <c r="F2944" s="85" t="s">
        <v>1519</v>
      </c>
      <c r="G2944" s="39" t="s">
        <v>1610</v>
      </c>
      <c r="H2944" s="52" t="s">
        <v>98</v>
      </c>
      <c r="I2944" s="52">
        <v>102.9</v>
      </c>
      <c r="J2944" s="49">
        <v>4505.99</v>
      </c>
      <c r="K2944" s="58">
        <v>0</v>
      </c>
      <c r="L2944" s="58">
        <v>0</v>
      </c>
      <c r="M2944" s="58">
        <v>0</v>
      </c>
      <c r="N2944" s="58">
        <v>0</v>
      </c>
      <c r="O2944" s="58">
        <v>0</v>
      </c>
      <c r="P2944" s="53">
        <v>0</v>
      </c>
      <c r="Q2944" s="65">
        <v>4505.99</v>
      </c>
      <c r="R2944" s="65">
        <v>0</v>
      </c>
      <c r="S2944" s="65">
        <v>0</v>
      </c>
      <c r="T2944" s="65">
        <v>0</v>
      </c>
      <c r="U2944" s="58">
        <v>0</v>
      </c>
      <c r="V2944" s="65">
        <v>0</v>
      </c>
      <c r="W2944" s="65">
        <v>0</v>
      </c>
      <c r="X2944" s="65">
        <v>0</v>
      </c>
      <c r="Y2944" s="65">
        <v>0</v>
      </c>
      <c r="Z2944" s="51">
        <v>4505.99</v>
      </c>
      <c r="AA2944" s="51">
        <v>0</v>
      </c>
      <c r="AB2944" s="102">
        <v>0</v>
      </c>
      <c r="AC2944" s="81">
        <f t="shared" si="142"/>
        <v>522.94006394557812</v>
      </c>
      <c r="AD2944" s="82">
        <f t="shared" si="143"/>
        <v>14.700000000000001</v>
      </c>
      <c r="AE2944" s="218">
        <v>0</v>
      </c>
      <c r="AF2944">
        <v>0</v>
      </c>
      <c r="AH2944" t="str">
        <f t="shared" si="141"/>
        <v>Gaighat</v>
      </c>
      <c r="AJ2944" s="72">
        <v>0</v>
      </c>
      <c r="AK2944" s="72"/>
      <c r="AL2944" s="72"/>
      <c r="AM2944" s="72"/>
    </row>
    <row r="2945" spans="1:39" x14ac:dyDescent="0.25">
      <c r="A2945" s="37" t="s">
        <v>62</v>
      </c>
      <c r="B2945" s="66" t="s">
        <v>1654</v>
      </c>
      <c r="C2945" s="4">
        <v>1066</v>
      </c>
      <c r="D2945" s="41" t="s">
        <v>1501</v>
      </c>
      <c r="E2945" s="41">
        <v>10660023</v>
      </c>
      <c r="F2945" s="85" t="s">
        <v>1520</v>
      </c>
      <c r="G2945" s="39" t="s">
        <v>1610</v>
      </c>
      <c r="H2945" s="52" t="s">
        <v>98</v>
      </c>
      <c r="I2945" s="52">
        <v>8605.2999999999993</v>
      </c>
      <c r="J2945" s="49">
        <v>355056.72999999992</v>
      </c>
      <c r="K2945" s="58">
        <v>0</v>
      </c>
      <c r="L2945" s="58">
        <v>0</v>
      </c>
      <c r="M2945" s="58">
        <v>0</v>
      </c>
      <c r="N2945" s="58">
        <v>0</v>
      </c>
      <c r="O2945" s="58">
        <v>0</v>
      </c>
      <c r="P2945" s="53">
        <v>0</v>
      </c>
      <c r="Q2945" s="65">
        <v>355056.72999999992</v>
      </c>
      <c r="R2945" s="65">
        <v>0</v>
      </c>
      <c r="S2945" s="65">
        <v>0</v>
      </c>
      <c r="T2945" s="65">
        <v>0</v>
      </c>
      <c r="U2945" s="58">
        <v>0</v>
      </c>
      <c r="V2945" s="65">
        <v>0</v>
      </c>
      <c r="W2945" s="65">
        <v>0</v>
      </c>
      <c r="X2945" s="65">
        <v>0</v>
      </c>
      <c r="Y2945" s="65">
        <v>0</v>
      </c>
      <c r="Z2945" s="51">
        <v>355056.72999999992</v>
      </c>
      <c r="AA2945" s="51">
        <v>0</v>
      </c>
      <c r="AB2945" s="102">
        <v>0</v>
      </c>
      <c r="AC2945" s="81">
        <f t="shared" si="142"/>
        <v>0</v>
      </c>
      <c r="AD2945" s="82">
        <f t="shared" si="143"/>
        <v>0</v>
      </c>
      <c r="AE2945" s="218">
        <v>0</v>
      </c>
      <c r="AF2945">
        <v>0</v>
      </c>
      <c r="AH2945" t="str">
        <f t="shared" si="141"/>
        <v>Gaighat</v>
      </c>
      <c r="AJ2945" s="72">
        <v>0</v>
      </c>
      <c r="AK2945" s="72"/>
      <c r="AL2945" s="72"/>
      <c r="AM2945" s="72"/>
    </row>
    <row r="2946" spans="1:39" x14ac:dyDescent="0.25">
      <c r="A2946" s="37" t="s">
        <v>62</v>
      </c>
      <c r="B2946" s="66" t="s">
        <v>1654</v>
      </c>
      <c r="C2946" s="4">
        <v>1066</v>
      </c>
      <c r="D2946" s="41" t="s">
        <v>1501</v>
      </c>
      <c r="E2946" s="41">
        <v>10660024</v>
      </c>
      <c r="F2946" s="85" t="s">
        <v>1510</v>
      </c>
      <c r="G2946" s="39" t="s">
        <v>1610</v>
      </c>
      <c r="H2946" s="52" t="s">
        <v>98</v>
      </c>
      <c r="I2946" s="52">
        <v>177.29999999999998</v>
      </c>
      <c r="J2946" s="49">
        <v>7020.4699999999993</v>
      </c>
      <c r="K2946" s="58">
        <v>0</v>
      </c>
      <c r="L2946" s="58">
        <v>0</v>
      </c>
      <c r="M2946" s="58">
        <v>0</v>
      </c>
      <c r="N2946" s="58">
        <v>0</v>
      </c>
      <c r="O2946" s="58">
        <v>0</v>
      </c>
      <c r="P2946" s="53">
        <v>0</v>
      </c>
      <c r="Q2946" s="65">
        <v>7020.4699999999993</v>
      </c>
      <c r="R2946" s="65">
        <v>0</v>
      </c>
      <c r="S2946" s="65">
        <v>0</v>
      </c>
      <c r="T2946" s="65">
        <v>0</v>
      </c>
      <c r="U2946" s="58">
        <v>0</v>
      </c>
      <c r="V2946" s="65">
        <v>0</v>
      </c>
      <c r="W2946" s="65">
        <v>0</v>
      </c>
      <c r="X2946" s="65">
        <v>0</v>
      </c>
      <c r="Y2946" s="65">
        <v>0</v>
      </c>
      <c r="Z2946" s="51">
        <v>7020.4699999999993</v>
      </c>
      <c r="AA2946" s="51">
        <v>0</v>
      </c>
      <c r="AB2946" s="102">
        <v>0</v>
      </c>
      <c r="AC2946" s="81">
        <f t="shared" si="142"/>
        <v>413.94243305132545</v>
      </c>
      <c r="AD2946" s="82">
        <f t="shared" si="143"/>
        <v>25.328571428571426</v>
      </c>
      <c r="AE2946" s="218">
        <v>0</v>
      </c>
      <c r="AF2946">
        <v>0</v>
      </c>
      <c r="AH2946" t="str">
        <f t="shared" si="141"/>
        <v>Gaighat</v>
      </c>
      <c r="AJ2946" s="72">
        <v>0</v>
      </c>
      <c r="AK2946" s="72"/>
      <c r="AL2946" s="72"/>
      <c r="AM2946" s="72"/>
    </row>
    <row r="2947" spans="1:39" x14ac:dyDescent="0.25">
      <c r="A2947" s="37" t="s">
        <v>62</v>
      </c>
      <c r="B2947" s="66" t="s">
        <v>1654</v>
      </c>
      <c r="C2947" s="4">
        <v>1066</v>
      </c>
      <c r="D2947" s="41" t="s">
        <v>1501</v>
      </c>
      <c r="E2947" s="41">
        <v>10660025</v>
      </c>
      <c r="F2947" s="85" t="s">
        <v>1651</v>
      </c>
      <c r="G2947" s="39" t="s">
        <v>1610</v>
      </c>
      <c r="H2947" s="52" t="s">
        <v>98</v>
      </c>
      <c r="I2947" s="52">
        <v>104.39999999999999</v>
      </c>
      <c r="J2947" s="49">
        <v>4608.7300000000005</v>
      </c>
      <c r="K2947" s="58">
        <v>0</v>
      </c>
      <c r="L2947" s="58">
        <v>0</v>
      </c>
      <c r="M2947" s="58">
        <v>0</v>
      </c>
      <c r="N2947" s="58">
        <v>0</v>
      </c>
      <c r="O2947" s="58">
        <v>0</v>
      </c>
      <c r="P2947" s="53">
        <v>0</v>
      </c>
      <c r="Q2947" s="65">
        <v>4608.7300000000005</v>
      </c>
      <c r="R2947" s="65">
        <v>0</v>
      </c>
      <c r="S2947" s="65">
        <v>0</v>
      </c>
      <c r="T2947" s="65">
        <v>0</v>
      </c>
      <c r="U2947" s="58">
        <v>0</v>
      </c>
      <c r="V2947" s="65">
        <v>0</v>
      </c>
      <c r="W2947" s="65">
        <v>0</v>
      </c>
      <c r="X2947" s="65">
        <v>0</v>
      </c>
      <c r="Y2947" s="65">
        <v>0</v>
      </c>
      <c r="Z2947" s="51">
        <v>4608.7300000000005</v>
      </c>
      <c r="AA2947" s="51">
        <v>0</v>
      </c>
      <c r="AB2947" s="102">
        <v>0</v>
      </c>
      <c r="AC2947" s="81">
        <f t="shared" si="142"/>
        <v>525.85432720306517</v>
      </c>
      <c r="AD2947" s="82">
        <f t="shared" si="143"/>
        <v>14.914285714285713</v>
      </c>
      <c r="AE2947" s="218">
        <v>0</v>
      </c>
      <c r="AF2947">
        <v>0</v>
      </c>
      <c r="AH2947" t="str">
        <f t="shared" si="141"/>
        <v>Gaighat</v>
      </c>
      <c r="AJ2947" s="72">
        <v>0</v>
      </c>
      <c r="AK2947" s="72"/>
      <c r="AL2947" s="72"/>
      <c r="AM2947" s="72"/>
    </row>
    <row r="2948" spans="1:39" x14ac:dyDescent="0.25">
      <c r="A2948" s="37" t="s">
        <v>62</v>
      </c>
      <c r="B2948" s="66" t="s">
        <v>1654</v>
      </c>
      <c r="C2948" s="4">
        <v>1066</v>
      </c>
      <c r="D2948" s="41" t="s">
        <v>1501</v>
      </c>
      <c r="E2948" s="41">
        <v>10660026</v>
      </c>
      <c r="F2948" s="85" t="s">
        <v>1635</v>
      </c>
      <c r="G2948" s="39" t="s">
        <v>1610</v>
      </c>
      <c r="H2948" s="52" t="s">
        <v>93</v>
      </c>
      <c r="I2948" s="52">
        <v>232.3</v>
      </c>
      <c r="J2948" s="49">
        <v>10395.459999999999</v>
      </c>
      <c r="K2948" s="58">
        <v>226.49999999999997</v>
      </c>
      <c r="L2948" s="58">
        <v>10235.470000000001</v>
      </c>
      <c r="M2948" s="58">
        <v>0</v>
      </c>
      <c r="N2948" s="58">
        <v>0</v>
      </c>
      <c r="O2948" s="58">
        <v>226.49999999999997</v>
      </c>
      <c r="P2948" s="53">
        <v>10235.470000000001</v>
      </c>
      <c r="Q2948" s="65">
        <v>10235.470000000001</v>
      </c>
      <c r="R2948" s="65">
        <v>0</v>
      </c>
      <c r="S2948" s="65">
        <v>0</v>
      </c>
      <c r="T2948" s="65">
        <v>0</v>
      </c>
      <c r="U2948" s="58">
        <v>0</v>
      </c>
      <c r="V2948" s="65">
        <v>0</v>
      </c>
      <c r="W2948" s="65">
        <v>0</v>
      </c>
      <c r="X2948" s="65">
        <v>10234</v>
      </c>
      <c r="Y2948" s="65">
        <v>0</v>
      </c>
      <c r="Z2948" s="51">
        <v>0</v>
      </c>
      <c r="AA2948" s="51">
        <v>161</v>
      </c>
      <c r="AB2948" s="102">
        <v>0</v>
      </c>
      <c r="AC2948" s="81">
        <f t="shared" si="142"/>
        <v>418.59290934136897</v>
      </c>
      <c r="AD2948" s="82">
        <f t="shared" si="143"/>
        <v>33.18571428571429</v>
      </c>
      <c r="AE2948" s="218">
        <v>1.5390372335615545E-2</v>
      </c>
      <c r="AF2948">
        <v>5</v>
      </c>
      <c r="AH2948" t="str">
        <f t="shared" si="141"/>
        <v>Gaighat</v>
      </c>
      <c r="AJ2948" s="72">
        <v>0</v>
      </c>
      <c r="AK2948" s="72"/>
      <c r="AL2948" s="72"/>
      <c r="AM2948" s="72"/>
    </row>
    <row r="2949" spans="1:39" x14ac:dyDescent="0.25">
      <c r="A2949" s="37" t="s">
        <v>62</v>
      </c>
      <c r="B2949" s="66" t="s">
        <v>1654</v>
      </c>
      <c r="C2949" s="4">
        <v>1066</v>
      </c>
      <c r="D2949" s="41" t="s">
        <v>1501</v>
      </c>
      <c r="E2949" s="41">
        <v>10660027</v>
      </c>
      <c r="F2949" s="85" t="s">
        <v>1636</v>
      </c>
      <c r="G2949" s="39" t="s">
        <v>1610</v>
      </c>
      <c r="H2949" s="52" t="s">
        <v>93</v>
      </c>
      <c r="I2949" s="52">
        <v>312.40000000000003</v>
      </c>
      <c r="J2949" s="49">
        <v>15214.94</v>
      </c>
      <c r="K2949" s="58">
        <v>316.7</v>
      </c>
      <c r="L2949" s="58">
        <v>15128.329999999998</v>
      </c>
      <c r="M2949" s="58">
        <v>0</v>
      </c>
      <c r="N2949" s="58">
        <v>0</v>
      </c>
      <c r="O2949" s="58">
        <v>316.7</v>
      </c>
      <c r="P2949" s="53">
        <v>15128.329999999998</v>
      </c>
      <c r="Q2949" s="65">
        <v>15128.329999999998</v>
      </c>
      <c r="R2949" s="65">
        <v>0</v>
      </c>
      <c r="S2949" s="65">
        <v>0</v>
      </c>
      <c r="T2949" s="65">
        <v>0</v>
      </c>
      <c r="U2949" s="58">
        <v>0</v>
      </c>
      <c r="V2949" s="65">
        <v>0</v>
      </c>
      <c r="W2949" s="65">
        <v>0</v>
      </c>
      <c r="X2949" s="65">
        <v>15129</v>
      </c>
      <c r="Y2949" s="65">
        <v>0</v>
      </c>
      <c r="Z2949" s="51">
        <v>0</v>
      </c>
      <c r="AA2949" s="51">
        <v>86</v>
      </c>
      <c r="AB2949" s="102">
        <v>0</v>
      </c>
      <c r="AC2949" s="81">
        <f t="shared" si="142"/>
        <v>377.54870320102424</v>
      </c>
      <c r="AD2949" s="82">
        <f t="shared" si="143"/>
        <v>44.628571428571433</v>
      </c>
      <c r="AE2949" s="218">
        <v>5.6924312550691884E-3</v>
      </c>
      <c r="AF2949">
        <v>7</v>
      </c>
      <c r="AH2949" t="str">
        <f t="shared" si="141"/>
        <v>Gaighat</v>
      </c>
      <c r="AJ2949" s="72">
        <v>0</v>
      </c>
      <c r="AK2949" s="72"/>
      <c r="AL2949" s="72"/>
      <c r="AM2949" s="72"/>
    </row>
    <row r="2950" spans="1:39" x14ac:dyDescent="0.25">
      <c r="A2950" s="37" t="s">
        <v>62</v>
      </c>
      <c r="B2950" s="66" t="s">
        <v>1654</v>
      </c>
      <c r="C2950" s="4">
        <v>1066</v>
      </c>
      <c r="D2950" s="41" t="s">
        <v>1501</v>
      </c>
      <c r="E2950" s="41">
        <v>10660028</v>
      </c>
      <c r="F2950" s="85" t="s">
        <v>1592</v>
      </c>
      <c r="G2950" s="39" t="s">
        <v>1610</v>
      </c>
      <c r="H2950" s="52" t="s">
        <v>93</v>
      </c>
      <c r="I2950" s="52">
        <v>906.3</v>
      </c>
      <c r="J2950" s="49">
        <v>47980.470000000008</v>
      </c>
      <c r="K2950" s="58">
        <v>888.79999999999984</v>
      </c>
      <c r="L2950" s="58">
        <v>48104.340000000011</v>
      </c>
      <c r="M2950" s="58">
        <v>0</v>
      </c>
      <c r="N2950" s="58">
        <v>0</v>
      </c>
      <c r="O2950" s="58">
        <v>888.79999999999984</v>
      </c>
      <c r="P2950" s="53">
        <v>48104.340000000011</v>
      </c>
      <c r="Q2950" s="65">
        <v>47980.470000000008</v>
      </c>
      <c r="R2950" s="65">
        <v>0</v>
      </c>
      <c r="S2950" s="65">
        <v>0</v>
      </c>
      <c r="T2950" s="65">
        <v>123.87000000000262</v>
      </c>
      <c r="U2950" s="58">
        <v>3100</v>
      </c>
      <c r="V2950" s="65">
        <v>0</v>
      </c>
      <c r="W2950" s="65">
        <v>0</v>
      </c>
      <c r="X2950" s="65">
        <v>44880</v>
      </c>
      <c r="Y2950" s="65">
        <v>0</v>
      </c>
      <c r="Z2950" s="51">
        <v>0</v>
      </c>
      <c r="AA2950" s="51">
        <v>0</v>
      </c>
      <c r="AB2950" s="102">
        <v>0</v>
      </c>
      <c r="AC2950" s="81">
        <f t="shared" si="142"/>
        <v>0</v>
      </c>
      <c r="AD2950" s="82">
        <f t="shared" si="143"/>
        <v>0</v>
      </c>
      <c r="AE2950" s="218">
        <v>-2.5816754191862355E-3</v>
      </c>
      <c r="AF2950">
        <v>21</v>
      </c>
      <c r="AH2950" t="str">
        <f t="shared" si="141"/>
        <v>Gaighat</v>
      </c>
      <c r="AJ2950" s="72">
        <v>0</v>
      </c>
      <c r="AK2950" s="72"/>
      <c r="AL2950" s="72"/>
      <c r="AM2950" s="72"/>
    </row>
    <row r="2951" spans="1:39" x14ac:dyDescent="0.25">
      <c r="A2951" s="37" t="s">
        <v>62</v>
      </c>
      <c r="B2951" s="66" t="s">
        <v>1654</v>
      </c>
      <c r="C2951" s="4">
        <v>1066</v>
      </c>
      <c r="D2951" s="41" t="s">
        <v>1501</v>
      </c>
      <c r="E2951" s="41">
        <v>10660029</v>
      </c>
      <c r="F2951" s="85" t="s">
        <v>1637</v>
      </c>
      <c r="G2951" s="39" t="s">
        <v>1610</v>
      </c>
      <c r="H2951" s="52" t="s">
        <v>93</v>
      </c>
      <c r="I2951" s="52">
        <v>169.4</v>
      </c>
      <c r="J2951" s="49">
        <v>7639.8000000000011</v>
      </c>
      <c r="K2951" s="58">
        <v>163.1</v>
      </c>
      <c r="L2951" s="58">
        <v>7299.3800000000019</v>
      </c>
      <c r="M2951" s="58">
        <v>0</v>
      </c>
      <c r="N2951" s="58">
        <v>0</v>
      </c>
      <c r="O2951" s="58">
        <v>163.1</v>
      </c>
      <c r="P2951" s="53">
        <v>7299.3800000000019</v>
      </c>
      <c r="Q2951" s="65">
        <v>7299.3800000000019</v>
      </c>
      <c r="R2951" s="65">
        <v>0</v>
      </c>
      <c r="S2951" s="65">
        <v>0</v>
      </c>
      <c r="T2951" s="65">
        <v>0</v>
      </c>
      <c r="U2951" s="58">
        <v>0</v>
      </c>
      <c r="V2951" s="65">
        <v>0</v>
      </c>
      <c r="W2951" s="65">
        <v>0</v>
      </c>
      <c r="X2951" s="65">
        <v>7300</v>
      </c>
      <c r="Y2951" s="65">
        <v>0</v>
      </c>
      <c r="Z2951" s="51">
        <v>0</v>
      </c>
      <c r="AA2951" s="51">
        <v>340</v>
      </c>
      <c r="AB2951" s="102">
        <v>0</v>
      </c>
      <c r="AC2951" s="81">
        <f t="shared" si="142"/>
        <v>478.59242975206615</v>
      </c>
      <c r="AD2951" s="82">
        <f t="shared" si="143"/>
        <v>24.2</v>
      </c>
      <c r="AE2951" s="218">
        <v>4.4558758082672206E-2</v>
      </c>
      <c r="AF2951">
        <v>4</v>
      </c>
      <c r="AH2951" t="str">
        <f t="shared" si="141"/>
        <v>Gaighat</v>
      </c>
      <c r="AJ2951" s="72">
        <v>0</v>
      </c>
      <c r="AK2951" s="72"/>
      <c r="AL2951" s="72"/>
      <c r="AM2951" s="72"/>
    </row>
    <row r="2952" spans="1:39" x14ac:dyDescent="0.25">
      <c r="A2952" s="37" t="s">
        <v>62</v>
      </c>
      <c r="B2952" s="66" t="s">
        <v>1654</v>
      </c>
      <c r="C2952" s="4">
        <v>1066</v>
      </c>
      <c r="D2952" s="41" t="s">
        <v>1501</v>
      </c>
      <c r="E2952" s="41">
        <v>10660030</v>
      </c>
      <c r="F2952" s="85" t="s">
        <v>543</v>
      </c>
      <c r="G2952" s="39" t="s">
        <v>1610</v>
      </c>
      <c r="H2952" s="52" t="s">
        <v>98</v>
      </c>
      <c r="I2952" s="52">
        <v>64.599999999999994</v>
      </c>
      <c r="J2952" s="49">
        <v>2789.08</v>
      </c>
      <c r="K2952" s="58">
        <v>0</v>
      </c>
      <c r="L2952" s="58">
        <v>0</v>
      </c>
      <c r="M2952" s="58">
        <v>0</v>
      </c>
      <c r="N2952" s="58">
        <v>0</v>
      </c>
      <c r="O2952" s="58">
        <v>0</v>
      </c>
      <c r="P2952" s="53">
        <v>0</v>
      </c>
      <c r="Q2952" s="65">
        <v>2789.08</v>
      </c>
      <c r="R2952" s="65">
        <v>0</v>
      </c>
      <c r="S2952" s="65">
        <v>0</v>
      </c>
      <c r="T2952" s="65">
        <v>0</v>
      </c>
      <c r="U2952" s="58">
        <v>0</v>
      </c>
      <c r="V2952" s="65">
        <v>0</v>
      </c>
      <c r="W2952" s="65">
        <v>0</v>
      </c>
      <c r="X2952" s="65">
        <v>0</v>
      </c>
      <c r="Y2952" s="65">
        <v>0</v>
      </c>
      <c r="Z2952" s="51">
        <v>2789.08</v>
      </c>
      <c r="AA2952" s="51">
        <v>0</v>
      </c>
      <c r="AB2952" s="102">
        <v>0</v>
      </c>
      <c r="AC2952" s="81">
        <f t="shared" si="142"/>
        <v>548.66298204334362</v>
      </c>
      <c r="AD2952" s="82">
        <f t="shared" si="143"/>
        <v>9.2285714285714278</v>
      </c>
      <c r="AE2952" s="218">
        <v>0</v>
      </c>
      <c r="AF2952">
        <v>0</v>
      </c>
      <c r="AH2952" t="str">
        <f t="shared" si="141"/>
        <v>Gaighat</v>
      </c>
      <c r="AJ2952" s="72">
        <v>0</v>
      </c>
      <c r="AK2952" s="72"/>
      <c r="AL2952" s="72"/>
      <c r="AM2952" s="72"/>
    </row>
    <row r="2953" spans="1:39" x14ac:dyDescent="0.25">
      <c r="A2953" s="37" t="s">
        <v>62</v>
      </c>
      <c r="B2953" s="66" t="s">
        <v>1654</v>
      </c>
      <c r="C2953" s="4">
        <v>1066</v>
      </c>
      <c r="D2953" s="41" t="s">
        <v>1501</v>
      </c>
      <c r="E2953" s="41">
        <v>10660032</v>
      </c>
      <c r="F2953" s="85" t="s">
        <v>1514</v>
      </c>
      <c r="G2953" s="39" t="s">
        <v>1610</v>
      </c>
      <c r="H2953" s="52" t="s">
        <v>98</v>
      </c>
      <c r="I2953" s="52">
        <v>53.6</v>
      </c>
      <c r="J2953" s="49">
        <v>2224.6099999999997</v>
      </c>
      <c r="K2953" s="58">
        <v>0</v>
      </c>
      <c r="L2953" s="58">
        <v>0</v>
      </c>
      <c r="M2953" s="58">
        <v>0</v>
      </c>
      <c r="N2953" s="58">
        <v>0</v>
      </c>
      <c r="O2953" s="58">
        <v>0</v>
      </c>
      <c r="P2953" s="53">
        <v>0</v>
      </c>
      <c r="Q2953" s="65">
        <v>2224.6099999999997</v>
      </c>
      <c r="R2953" s="65">
        <v>0</v>
      </c>
      <c r="S2953" s="65">
        <v>0</v>
      </c>
      <c r="T2953" s="65">
        <v>0</v>
      </c>
      <c r="U2953" s="58">
        <v>0</v>
      </c>
      <c r="V2953" s="65">
        <v>0</v>
      </c>
      <c r="W2953" s="65">
        <v>0</v>
      </c>
      <c r="X2953" s="65">
        <v>0</v>
      </c>
      <c r="Y2953" s="65">
        <v>0</v>
      </c>
      <c r="Z2953" s="51">
        <v>2224.6099999999997</v>
      </c>
      <c r="AA2953" s="51">
        <v>0</v>
      </c>
      <c r="AB2953" s="102">
        <v>0</v>
      </c>
      <c r="AC2953" s="81">
        <f t="shared" si="142"/>
        <v>536.56265074626856</v>
      </c>
      <c r="AD2953" s="82">
        <f t="shared" si="143"/>
        <v>7.6571428571428575</v>
      </c>
      <c r="AE2953" s="218">
        <v>0</v>
      </c>
      <c r="AF2953">
        <v>0</v>
      </c>
      <c r="AH2953" t="str">
        <f t="shared" si="141"/>
        <v>Gaighat</v>
      </c>
      <c r="AJ2953" s="72">
        <v>0</v>
      </c>
      <c r="AK2953" s="72"/>
      <c r="AL2953" s="72"/>
      <c r="AM2953" s="72"/>
    </row>
    <row r="2954" spans="1:39" x14ac:dyDescent="0.25">
      <c r="A2954" s="37" t="s">
        <v>62</v>
      </c>
      <c r="B2954" s="66" t="s">
        <v>1654</v>
      </c>
      <c r="C2954" s="4">
        <v>1066</v>
      </c>
      <c r="D2954" s="41" t="s">
        <v>1501</v>
      </c>
      <c r="E2954" s="41">
        <v>10660034</v>
      </c>
      <c r="F2954" s="85" t="s">
        <v>1652</v>
      </c>
      <c r="G2954" s="39" t="s">
        <v>1610</v>
      </c>
      <c r="H2954" s="52" t="s">
        <v>93</v>
      </c>
      <c r="I2954" s="52">
        <v>69.5</v>
      </c>
      <c r="J2954" s="49">
        <v>3800.6100000000006</v>
      </c>
      <c r="K2954" s="58">
        <v>68.999999999999986</v>
      </c>
      <c r="L2954" s="58">
        <v>3787.2000000000007</v>
      </c>
      <c r="M2954" s="58">
        <v>0</v>
      </c>
      <c r="N2954" s="58">
        <v>0</v>
      </c>
      <c r="O2954" s="58">
        <v>68.999999999999986</v>
      </c>
      <c r="P2954" s="53">
        <v>3787.2000000000007</v>
      </c>
      <c r="Q2954" s="65">
        <v>3787.2000000000007</v>
      </c>
      <c r="R2954" s="65">
        <v>0</v>
      </c>
      <c r="S2954" s="65">
        <v>0</v>
      </c>
      <c r="T2954" s="65">
        <v>0</v>
      </c>
      <c r="U2954" s="58">
        <v>0</v>
      </c>
      <c r="V2954" s="65">
        <v>0</v>
      </c>
      <c r="W2954" s="65">
        <v>0</v>
      </c>
      <c r="X2954" s="65">
        <v>3788</v>
      </c>
      <c r="Y2954" s="65">
        <v>0</v>
      </c>
      <c r="Z2954" s="51">
        <v>0</v>
      </c>
      <c r="AA2954" s="51">
        <v>13</v>
      </c>
      <c r="AB2954" s="102">
        <v>0</v>
      </c>
      <c r="AC2954" s="81">
        <f t="shared" si="142"/>
        <v>689.5783035971225</v>
      </c>
      <c r="AD2954" s="82">
        <f t="shared" si="143"/>
        <v>9.9285714285714288</v>
      </c>
      <c r="AE2954" s="218">
        <v>3.5283809704231301E-3</v>
      </c>
      <c r="AF2954">
        <v>6</v>
      </c>
      <c r="AH2954" t="str">
        <f t="shared" si="141"/>
        <v>Gaighat</v>
      </c>
      <c r="AJ2954" s="72">
        <v>0</v>
      </c>
      <c r="AK2954" s="72"/>
      <c r="AL2954" s="72"/>
      <c r="AM2954" s="72"/>
    </row>
    <row r="2955" spans="1:39" x14ac:dyDescent="0.25">
      <c r="A2955" s="37" t="s">
        <v>62</v>
      </c>
      <c r="B2955" s="66" t="s">
        <v>1654</v>
      </c>
      <c r="C2955" s="4">
        <v>1066</v>
      </c>
      <c r="D2955" s="41" t="s">
        <v>1501</v>
      </c>
      <c r="E2955" s="41">
        <v>10660038</v>
      </c>
      <c r="F2955" s="85" t="s">
        <v>1653</v>
      </c>
      <c r="G2955" s="39" t="s">
        <v>1610</v>
      </c>
      <c r="H2955" s="52" t="s">
        <v>98</v>
      </c>
      <c r="I2955" s="52">
        <v>2494.5999999999995</v>
      </c>
      <c r="J2955" s="49">
        <v>107516.56</v>
      </c>
      <c r="K2955" s="58">
        <v>0</v>
      </c>
      <c r="L2955" s="58">
        <v>0</v>
      </c>
      <c r="M2955" s="58">
        <v>0</v>
      </c>
      <c r="N2955" s="58">
        <v>0</v>
      </c>
      <c r="O2955" s="58">
        <v>0</v>
      </c>
      <c r="P2955" s="53">
        <v>0</v>
      </c>
      <c r="Q2955" s="65">
        <v>107516.56</v>
      </c>
      <c r="R2955" s="65">
        <v>0</v>
      </c>
      <c r="S2955" s="65">
        <v>0</v>
      </c>
      <c r="T2955" s="65">
        <v>0</v>
      </c>
      <c r="U2955" s="58">
        <v>0</v>
      </c>
      <c r="V2955" s="65">
        <v>0</v>
      </c>
      <c r="W2955" s="65">
        <v>0</v>
      </c>
      <c r="X2955" s="65">
        <v>0</v>
      </c>
      <c r="Y2955" s="65">
        <v>0</v>
      </c>
      <c r="Z2955" s="51">
        <v>107516.56</v>
      </c>
      <c r="AA2955" s="51">
        <v>0</v>
      </c>
      <c r="AB2955" s="102">
        <v>0</v>
      </c>
      <c r="AC2955" s="81">
        <f t="shared" si="142"/>
        <v>0</v>
      </c>
      <c r="AD2955" s="82">
        <f t="shared" si="143"/>
        <v>0</v>
      </c>
      <c r="AE2955" s="218">
        <v>0</v>
      </c>
      <c r="AF2955">
        <v>0</v>
      </c>
      <c r="AH2955" t="str">
        <f t="shared" si="141"/>
        <v>Gaighat</v>
      </c>
      <c r="AJ2955" s="72">
        <v>0</v>
      </c>
      <c r="AK2955" s="72"/>
      <c r="AL2955" s="72"/>
      <c r="AM2955" s="72"/>
    </row>
    <row r="2956" spans="1:39" x14ac:dyDescent="0.25">
      <c r="A2956" s="37" t="s">
        <v>62</v>
      </c>
      <c r="B2956" s="66" t="s">
        <v>1676</v>
      </c>
      <c r="C2956" s="4">
        <v>1001</v>
      </c>
      <c r="D2956" s="41" t="s">
        <v>91</v>
      </c>
      <c r="E2956" s="41">
        <v>10010013</v>
      </c>
      <c r="F2956" s="85" t="s">
        <v>94</v>
      </c>
      <c r="G2956" s="39" t="s">
        <v>92</v>
      </c>
      <c r="H2956" s="52" t="s">
        <v>93</v>
      </c>
      <c r="I2956" s="52">
        <v>492.29999999999995</v>
      </c>
      <c r="J2956" s="49">
        <v>18923.719999999998</v>
      </c>
      <c r="K2956" s="58">
        <v>486.43</v>
      </c>
      <c r="L2956" s="58">
        <v>18871.47</v>
      </c>
      <c r="M2956" s="58">
        <v>1.1000000000000001</v>
      </c>
      <c r="N2956" s="58">
        <v>43.05</v>
      </c>
      <c r="O2956" s="58">
        <v>487.53000000000003</v>
      </c>
      <c r="P2956" s="53">
        <v>18914.52</v>
      </c>
      <c r="Q2956" s="65">
        <v>18914.52</v>
      </c>
      <c r="R2956" s="65">
        <v>0</v>
      </c>
      <c r="S2956" s="65">
        <v>43.05</v>
      </c>
      <c r="T2956" s="65">
        <v>0</v>
      </c>
      <c r="U2956" s="58">
        <v>0</v>
      </c>
      <c r="V2956" s="65">
        <v>0</v>
      </c>
      <c r="W2956" s="65">
        <v>0</v>
      </c>
      <c r="X2956" s="65">
        <v>18872</v>
      </c>
      <c r="Y2956" s="65">
        <v>0</v>
      </c>
      <c r="Z2956" s="51">
        <v>0</v>
      </c>
      <c r="AA2956" s="51">
        <v>9</v>
      </c>
      <c r="AB2956" s="102">
        <v>0</v>
      </c>
      <c r="AC2956" s="81">
        <f t="shared" si="142"/>
        <v>159.6772961202519</v>
      </c>
      <c r="AD2956" s="82">
        <f t="shared" si="143"/>
        <v>70.328571428571422</v>
      </c>
      <c r="AE2956" s="218">
        <v>4.8616234017397693E-4</v>
      </c>
      <c r="AF2956">
        <v>14</v>
      </c>
      <c r="AH2956" t="str">
        <f t="shared" si="141"/>
        <v>Majhaul</v>
      </c>
      <c r="AJ2956" s="72">
        <v>0</v>
      </c>
      <c r="AK2956" s="72"/>
      <c r="AL2956" s="72"/>
      <c r="AM2956" s="72"/>
    </row>
    <row r="2957" spans="1:39" x14ac:dyDescent="0.25">
      <c r="A2957" s="37" t="s">
        <v>62</v>
      </c>
      <c r="B2957" s="66" t="s">
        <v>1676</v>
      </c>
      <c r="C2957" s="4">
        <v>1001</v>
      </c>
      <c r="D2957" s="41" t="s">
        <v>91</v>
      </c>
      <c r="E2957" s="41">
        <v>10010019</v>
      </c>
      <c r="F2957" s="85" t="s">
        <v>96</v>
      </c>
      <c r="G2957" s="39" t="s">
        <v>92</v>
      </c>
      <c r="H2957" s="52" t="s">
        <v>93</v>
      </c>
      <c r="I2957" s="52">
        <v>907.29999999999984</v>
      </c>
      <c r="J2957" s="49">
        <v>36395.08</v>
      </c>
      <c r="K2957" s="58">
        <v>899.01999999999987</v>
      </c>
      <c r="L2957" s="58">
        <v>35837.31</v>
      </c>
      <c r="M2957" s="58">
        <v>13.599999999999998</v>
      </c>
      <c r="N2957" s="58">
        <v>505.41</v>
      </c>
      <c r="O2957" s="58">
        <v>912.61999999999989</v>
      </c>
      <c r="P2957" s="53">
        <v>36342.720000000001</v>
      </c>
      <c r="Q2957" s="65">
        <v>36342.720000000001</v>
      </c>
      <c r="R2957" s="65">
        <v>0</v>
      </c>
      <c r="S2957" s="65">
        <v>505.41</v>
      </c>
      <c r="T2957" s="65">
        <v>0</v>
      </c>
      <c r="U2957" s="58">
        <v>0</v>
      </c>
      <c r="V2957" s="65">
        <v>0</v>
      </c>
      <c r="W2957" s="65">
        <v>0</v>
      </c>
      <c r="X2957" s="65">
        <v>35836</v>
      </c>
      <c r="Y2957" s="65">
        <v>0</v>
      </c>
      <c r="Z2957" s="51">
        <v>0</v>
      </c>
      <c r="AA2957" s="51">
        <v>54</v>
      </c>
      <c r="AB2957" s="102">
        <v>0</v>
      </c>
      <c r="AC2957" s="81">
        <f t="shared" si="142"/>
        <v>0</v>
      </c>
      <c r="AD2957" s="82">
        <f t="shared" si="143"/>
        <v>0</v>
      </c>
      <c r="AE2957" s="218">
        <v>1.4386559941618642E-3</v>
      </c>
      <c r="AF2957">
        <v>12</v>
      </c>
      <c r="AH2957" t="str">
        <f t="shared" si="141"/>
        <v>Majhaul</v>
      </c>
      <c r="AJ2957" s="72">
        <v>0</v>
      </c>
      <c r="AK2957" s="72"/>
      <c r="AL2957" s="72"/>
      <c r="AM2957" s="72"/>
    </row>
    <row r="2958" spans="1:39" x14ac:dyDescent="0.25">
      <c r="A2958" s="37" t="s">
        <v>62</v>
      </c>
      <c r="B2958" s="66" t="s">
        <v>1676</v>
      </c>
      <c r="C2958" s="4">
        <v>1058</v>
      </c>
      <c r="D2958" s="41" t="s">
        <v>1296</v>
      </c>
      <c r="E2958" s="41">
        <v>10010038</v>
      </c>
      <c r="F2958" s="85" t="s">
        <v>97</v>
      </c>
      <c r="G2958" s="39" t="s">
        <v>92</v>
      </c>
      <c r="H2958" s="52" t="s">
        <v>93</v>
      </c>
      <c r="I2958" s="52">
        <v>887.9</v>
      </c>
      <c r="J2958" s="49">
        <v>36521.909999999996</v>
      </c>
      <c r="K2958" s="58">
        <v>791.2</v>
      </c>
      <c r="L2958" s="58">
        <v>32535.529999999992</v>
      </c>
      <c r="M2958" s="58">
        <v>97.5</v>
      </c>
      <c r="N2958" s="58">
        <v>3999.2000000000007</v>
      </c>
      <c r="O2958" s="58">
        <v>888.7</v>
      </c>
      <c r="P2958" s="53">
        <v>36534.729999999996</v>
      </c>
      <c r="Q2958" s="65">
        <v>36521.909999999996</v>
      </c>
      <c r="R2958" s="65">
        <v>0</v>
      </c>
      <c r="S2958" s="65">
        <v>167.78</v>
      </c>
      <c r="T2958" s="65">
        <v>12.819999999999709</v>
      </c>
      <c r="U2958" s="58">
        <v>0</v>
      </c>
      <c r="V2958" s="65">
        <v>0</v>
      </c>
      <c r="W2958" s="65">
        <v>0</v>
      </c>
      <c r="X2958" s="65">
        <v>32523</v>
      </c>
      <c r="Y2958" s="65">
        <v>3831</v>
      </c>
      <c r="Z2958" s="51">
        <v>0</v>
      </c>
      <c r="AA2958" s="51">
        <v>0</v>
      </c>
      <c r="AB2958" s="102">
        <v>0</v>
      </c>
      <c r="AC2958" s="81">
        <f t="shared" si="142"/>
        <v>0</v>
      </c>
      <c r="AD2958" s="82">
        <f t="shared" si="143"/>
        <v>0</v>
      </c>
      <c r="AE2958" s="218">
        <v>-3.5102216724151912E-4</v>
      </c>
      <c r="AF2958">
        <v>12</v>
      </c>
      <c r="AH2958" t="str">
        <f t="shared" si="141"/>
        <v>Hasanpur</v>
      </c>
      <c r="AJ2958" s="72">
        <v>0</v>
      </c>
      <c r="AK2958" s="72"/>
      <c r="AL2958" s="72"/>
      <c r="AM2958" s="72"/>
    </row>
    <row r="2959" spans="1:39" x14ac:dyDescent="0.25">
      <c r="A2959" s="37" t="s">
        <v>62</v>
      </c>
      <c r="B2959" s="66" t="s">
        <v>1676</v>
      </c>
      <c r="C2959" s="4">
        <v>1058</v>
      </c>
      <c r="D2959" s="41" t="s">
        <v>1296</v>
      </c>
      <c r="E2959" s="41">
        <v>10010044</v>
      </c>
      <c r="F2959" s="85" t="s">
        <v>1534</v>
      </c>
      <c r="G2959" s="39" t="s">
        <v>92</v>
      </c>
      <c r="H2959" s="52" t="s">
        <v>93</v>
      </c>
      <c r="I2959" s="52">
        <v>254.28</v>
      </c>
      <c r="J2959" s="49">
        <v>10343.89</v>
      </c>
      <c r="K2959" s="58">
        <v>120</v>
      </c>
      <c r="L2959" s="58">
        <v>4865.2</v>
      </c>
      <c r="M2959" s="58">
        <v>135.5</v>
      </c>
      <c r="N2959" s="58">
        <v>5531.3600000000006</v>
      </c>
      <c r="O2959" s="58">
        <v>255.5</v>
      </c>
      <c r="P2959" s="53">
        <v>10396.560000000001</v>
      </c>
      <c r="Q2959" s="65">
        <v>10343.89</v>
      </c>
      <c r="R2959" s="65">
        <v>0</v>
      </c>
      <c r="S2959" s="65">
        <v>201.55</v>
      </c>
      <c r="T2959" s="65">
        <v>52.670000000001892</v>
      </c>
      <c r="U2959" s="58">
        <v>0</v>
      </c>
      <c r="V2959" s="65">
        <v>0</v>
      </c>
      <c r="W2959" s="65">
        <v>0</v>
      </c>
      <c r="X2959" s="65">
        <v>4812</v>
      </c>
      <c r="Y2959" s="65">
        <v>5330</v>
      </c>
      <c r="Z2959" s="51">
        <v>0</v>
      </c>
      <c r="AA2959" s="51">
        <v>0</v>
      </c>
      <c r="AB2959" s="102">
        <v>0</v>
      </c>
      <c r="AC2959" s="81">
        <f t="shared" si="142"/>
        <v>362.63006534528859</v>
      </c>
      <c r="AD2959" s="82">
        <f t="shared" si="143"/>
        <v>36.325714285714284</v>
      </c>
      <c r="AE2959" s="218">
        <v>-5.0918948287348277E-3</v>
      </c>
      <c r="AF2959">
        <v>5</v>
      </c>
      <c r="AH2959" t="str">
        <f t="shared" si="141"/>
        <v>Hasanpur</v>
      </c>
      <c r="AJ2959" s="72">
        <v>0</v>
      </c>
      <c r="AK2959" s="72"/>
      <c r="AL2959" s="72"/>
      <c r="AM2959" s="72"/>
    </row>
    <row r="2960" spans="1:39" x14ac:dyDescent="0.25">
      <c r="A2960" s="37" t="s">
        <v>62</v>
      </c>
      <c r="B2960" s="66" t="s">
        <v>1676</v>
      </c>
      <c r="C2960" s="4">
        <v>1001</v>
      </c>
      <c r="D2960" s="41" t="s">
        <v>91</v>
      </c>
      <c r="E2960" s="41">
        <v>10010047</v>
      </c>
      <c r="F2960" s="85" t="s">
        <v>815</v>
      </c>
      <c r="G2960" s="39" t="s">
        <v>1610</v>
      </c>
      <c r="H2960" s="52" t="s">
        <v>98</v>
      </c>
      <c r="I2960" s="52">
        <v>101.99999999999999</v>
      </c>
      <c r="J2960" s="49">
        <v>3863.81</v>
      </c>
      <c r="K2960" s="58">
        <v>0</v>
      </c>
      <c r="L2960" s="58">
        <v>0</v>
      </c>
      <c r="M2960" s="58">
        <v>0</v>
      </c>
      <c r="N2960" s="58">
        <v>0</v>
      </c>
      <c r="O2960" s="58">
        <v>0</v>
      </c>
      <c r="P2960" s="53">
        <v>0</v>
      </c>
      <c r="Q2960" s="65">
        <v>3863.81</v>
      </c>
      <c r="R2960" s="65">
        <v>0</v>
      </c>
      <c r="S2960" s="65">
        <v>0</v>
      </c>
      <c r="T2960" s="65">
        <v>0</v>
      </c>
      <c r="U2960" s="58">
        <v>0</v>
      </c>
      <c r="V2960" s="65">
        <v>0</v>
      </c>
      <c r="W2960" s="65">
        <v>0</v>
      </c>
      <c r="X2960" s="65">
        <v>0</v>
      </c>
      <c r="Y2960" s="65">
        <v>0</v>
      </c>
      <c r="Z2960" s="51">
        <v>3863.81</v>
      </c>
      <c r="AA2960" s="51">
        <v>0</v>
      </c>
      <c r="AB2960" s="102">
        <v>0</v>
      </c>
      <c r="AC2960" s="81">
        <f t="shared" si="142"/>
        <v>453.05066274509812</v>
      </c>
      <c r="AD2960" s="82">
        <f t="shared" si="143"/>
        <v>14.571428571428569</v>
      </c>
      <c r="AE2960" s="218">
        <v>0</v>
      </c>
      <c r="AF2960">
        <v>0</v>
      </c>
      <c r="AH2960" t="str">
        <f t="shared" si="141"/>
        <v>Majhaul</v>
      </c>
      <c r="AJ2960" s="72">
        <v>0</v>
      </c>
      <c r="AK2960" s="72"/>
      <c r="AL2960" s="72"/>
      <c r="AM2960" s="72"/>
    </row>
    <row r="2961" spans="1:39" x14ac:dyDescent="0.25">
      <c r="A2961" s="37" t="s">
        <v>62</v>
      </c>
      <c r="B2961" s="66" t="s">
        <v>1676</v>
      </c>
      <c r="C2961" s="4">
        <v>1058</v>
      </c>
      <c r="D2961" s="41" t="s">
        <v>1296</v>
      </c>
      <c r="E2961" s="41">
        <v>10010050</v>
      </c>
      <c r="F2961" s="85" t="s">
        <v>99</v>
      </c>
      <c r="G2961" s="39" t="s">
        <v>92</v>
      </c>
      <c r="H2961" s="52" t="s">
        <v>98</v>
      </c>
      <c r="I2961" s="52">
        <v>1332.5599999999997</v>
      </c>
      <c r="J2961" s="49">
        <v>58960.030000000006</v>
      </c>
      <c r="K2961" s="58">
        <v>0</v>
      </c>
      <c r="L2961" s="58">
        <v>0</v>
      </c>
      <c r="M2961" s="58">
        <v>0</v>
      </c>
      <c r="N2961" s="58">
        <v>0</v>
      </c>
      <c r="O2961" s="58">
        <v>0</v>
      </c>
      <c r="P2961" s="53">
        <v>0</v>
      </c>
      <c r="Q2961" s="65">
        <v>58960.030000000006</v>
      </c>
      <c r="R2961" s="65">
        <v>0</v>
      </c>
      <c r="S2961" s="65">
        <v>0</v>
      </c>
      <c r="T2961" s="65">
        <v>0</v>
      </c>
      <c r="U2961" s="58">
        <v>0</v>
      </c>
      <c r="V2961" s="65">
        <v>0</v>
      </c>
      <c r="W2961" s="65">
        <v>0</v>
      </c>
      <c r="X2961" s="65">
        <v>0</v>
      </c>
      <c r="Y2961" s="65">
        <v>0</v>
      </c>
      <c r="Z2961" s="51">
        <v>58960.030000000006</v>
      </c>
      <c r="AA2961" s="51">
        <v>0</v>
      </c>
      <c r="AB2961" s="102">
        <v>0</v>
      </c>
      <c r="AC2961" s="81">
        <f t="shared" si="142"/>
        <v>0</v>
      </c>
      <c r="AD2961" s="82">
        <f t="shared" si="143"/>
        <v>0</v>
      </c>
      <c r="AE2961" s="218">
        <v>0</v>
      </c>
      <c r="AF2961">
        <v>0</v>
      </c>
      <c r="AH2961" t="str">
        <f t="shared" si="141"/>
        <v>Hasanpur</v>
      </c>
      <c r="AJ2961" s="72">
        <v>0</v>
      </c>
      <c r="AK2961" s="72"/>
      <c r="AL2961" s="72"/>
      <c r="AM2961" s="72"/>
    </row>
    <row r="2962" spans="1:39" x14ac:dyDescent="0.25">
      <c r="A2962" s="37" t="s">
        <v>62</v>
      </c>
      <c r="B2962" s="66" t="s">
        <v>1676</v>
      </c>
      <c r="C2962" s="4">
        <v>1058</v>
      </c>
      <c r="D2962" s="41" t="s">
        <v>1296</v>
      </c>
      <c r="E2962" s="41">
        <v>10010051</v>
      </c>
      <c r="F2962" s="85" t="s">
        <v>100</v>
      </c>
      <c r="G2962" s="39" t="s">
        <v>92</v>
      </c>
      <c r="H2962" s="52" t="s">
        <v>93</v>
      </c>
      <c r="I2962" s="52">
        <v>81.59</v>
      </c>
      <c r="J2962" s="49">
        <v>3336.3</v>
      </c>
      <c r="K2962" s="58">
        <v>79.599999999999994</v>
      </c>
      <c r="L2962" s="58">
        <v>3234.5200000000004</v>
      </c>
      <c r="M2962" s="58">
        <v>2.2999999999999998</v>
      </c>
      <c r="N2962" s="58">
        <v>79.17</v>
      </c>
      <c r="O2962" s="58">
        <v>81.899999999999991</v>
      </c>
      <c r="P2962" s="53">
        <v>3313.6900000000005</v>
      </c>
      <c r="Q2962" s="65">
        <v>3313.6900000000005</v>
      </c>
      <c r="R2962" s="65">
        <v>0</v>
      </c>
      <c r="S2962" s="65">
        <v>79.17</v>
      </c>
      <c r="T2962" s="65">
        <v>0</v>
      </c>
      <c r="U2962" s="58">
        <v>0</v>
      </c>
      <c r="V2962" s="65">
        <v>0</v>
      </c>
      <c r="W2962" s="65">
        <v>0</v>
      </c>
      <c r="X2962" s="65">
        <v>3235</v>
      </c>
      <c r="Y2962" s="65">
        <v>0</v>
      </c>
      <c r="Z2962" s="51">
        <v>0</v>
      </c>
      <c r="AA2962" s="51">
        <v>22</v>
      </c>
      <c r="AB2962" s="102">
        <v>0</v>
      </c>
      <c r="AC2962" s="81">
        <f t="shared" si="142"/>
        <v>505.74856796176005</v>
      </c>
      <c r="AD2962" s="82">
        <f t="shared" si="143"/>
        <v>11.655714285714286</v>
      </c>
      <c r="AE2962" s="218">
        <v>6.7769684980366488E-3</v>
      </c>
      <c r="AF2962">
        <v>2</v>
      </c>
      <c r="AH2962" t="str">
        <f t="shared" si="141"/>
        <v>Hasanpur</v>
      </c>
      <c r="AJ2962" s="72">
        <v>0</v>
      </c>
      <c r="AK2962" s="72"/>
      <c r="AL2962" s="72"/>
      <c r="AM2962" s="72"/>
    </row>
    <row r="2963" spans="1:39" x14ac:dyDescent="0.25">
      <c r="A2963" s="37" t="s">
        <v>62</v>
      </c>
      <c r="B2963" s="66" t="s">
        <v>1676</v>
      </c>
      <c r="C2963" s="4">
        <v>1001</v>
      </c>
      <c r="D2963" s="41" t="s">
        <v>91</v>
      </c>
      <c r="E2963" s="41">
        <v>10010055</v>
      </c>
      <c r="F2963" s="85" t="s">
        <v>101</v>
      </c>
      <c r="G2963" s="39" t="s">
        <v>92</v>
      </c>
      <c r="H2963" s="52" t="s">
        <v>93</v>
      </c>
      <c r="I2963" s="52">
        <v>95.800000000000011</v>
      </c>
      <c r="J2963" s="49">
        <v>3979.5299999999997</v>
      </c>
      <c r="K2963" s="58">
        <v>93.8</v>
      </c>
      <c r="L2963" s="58">
        <v>3951.1500000000005</v>
      </c>
      <c r="M2963" s="58">
        <v>0</v>
      </c>
      <c r="N2963" s="58">
        <v>0</v>
      </c>
      <c r="O2963" s="58">
        <v>93.8</v>
      </c>
      <c r="P2963" s="53">
        <v>3951.1500000000005</v>
      </c>
      <c r="Q2963" s="65">
        <v>3951.1500000000005</v>
      </c>
      <c r="R2963" s="65">
        <v>0</v>
      </c>
      <c r="S2963" s="65">
        <v>0</v>
      </c>
      <c r="T2963" s="65">
        <v>0</v>
      </c>
      <c r="U2963" s="58">
        <v>0</v>
      </c>
      <c r="V2963" s="65">
        <v>500</v>
      </c>
      <c r="W2963" s="65">
        <v>0</v>
      </c>
      <c r="X2963" s="65">
        <v>3451</v>
      </c>
      <c r="Y2963" s="65">
        <v>0</v>
      </c>
      <c r="Z2963" s="51">
        <v>0</v>
      </c>
      <c r="AA2963" s="51">
        <v>29</v>
      </c>
      <c r="AB2963" s="102">
        <v>0</v>
      </c>
      <c r="AC2963" s="81">
        <f t="shared" si="142"/>
        <v>501.96910772442578</v>
      </c>
      <c r="AD2963" s="82">
        <f t="shared" si="143"/>
        <v>13.685714285714287</v>
      </c>
      <c r="AE2963" s="218">
        <v>7.1314954278518319E-3</v>
      </c>
      <c r="AF2963">
        <v>1</v>
      </c>
      <c r="AH2963" t="str">
        <f t="shared" si="141"/>
        <v>Majhaul</v>
      </c>
      <c r="AJ2963" s="72">
        <v>500</v>
      </c>
      <c r="AK2963" s="72"/>
      <c r="AL2963" s="72"/>
      <c r="AM2963" s="72"/>
    </row>
    <row r="2964" spans="1:39" x14ac:dyDescent="0.25">
      <c r="A2964" s="37" t="s">
        <v>62</v>
      </c>
      <c r="B2964" s="66" t="s">
        <v>1676</v>
      </c>
      <c r="C2964" s="4">
        <v>1001</v>
      </c>
      <c r="D2964" s="41" t="s">
        <v>91</v>
      </c>
      <c r="E2964" s="41">
        <v>10010057</v>
      </c>
      <c r="F2964" s="85" t="s">
        <v>416</v>
      </c>
      <c r="G2964" s="39" t="s">
        <v>1610</v>
      </c>
      <c r="H2964" s="52" t="s">
        <v>98</v>
      </c>
      <c r="I2964" s="52">
        <v>9342</v>
      </c>
      <c r="J2964" s="49">
        <v>362158.1100000001</v>
      </c>
      <c r="K2964" s="58">
        <v>0</v>
      </c>
      <c r="L2964" s="58">
        <v>0</v>
      </c>
      <c r="M2964" s="58">
        <v>0</v>
      </c>
      <c r="N2964" s="58">
        <v>0</v>
      </c>
      <c r="O2964" s="58">
        <v>0</v>
      </c>
      <c r="P2964" s="53">
        <v>0</v>
      </c>
      <c r="Q2964" s="65">
        <v>362158.1100000001</v>
      </c>
      <c r="R2964" s="65">
        <v>0</v>
      </c>
      <c r="S2964" s="65">
        <v>0</v>
      </c>
      <c r="T2964" s="65">
        <v>0</v>
      </c>
      <c r="U2964" s="58">
        <v>0</v>
      </c>
      <c r="V2964" s="65">
        <v>0</v>
      </c>
      <c r="W2964" s="65">
        <v>0</v>
      </c>
      <c r="X2964" s="65">
        <v>0</v>
      </c>
      <c r="Y2964" s="65">
        <v>0</v>
      </c>
      <c r="Z2964" s="51">
        <v>362158.1100000001</v>
      </c>
      <c r="AA2964" s="51">
        <v>0</v>
      </c>
      <c r="AB2964" s="102">
        <v>0</v>
      </c>
      <c r="AC2964" s="81">
        <f t="shared" si="142"/>
        <v>0</v>
      </c>
      <c r="AD2964" s="82">
        <f t="shared" si="143"/>
        <v>0</v>
      </c>
      <c r="AE2964" s="218">
        <v>0</v>
      </c>
      <c r="AF2964">
        <v>0</v>
      </c>
      <c r="AH2964" t="str">
        <f t="shared" si="141"/>
        <v>Majhaul</v>
      </c>
      <c r="AJ2964" s="72">
        <v>0</v>
      </c>
      <c r="AK2964" s="72"/>
      <c r="AL2964" s="72"/>
      <c r="AM2964" s="72"/>
    </row>
    <row r="2965" spans="1:39" x14ac:dyDescent="0.25">
      <c r="A2965" s="37" t="s">
        <v>62</v>
      </c>
      <c r="B2965" s="66" t="s">
        <v>1676</v>
      </c>
      <c r="C2965" s="4">
        <v>1001</v>
      </c>
      <c r="D2965" s="41" t="s">
        <v>91</v>
      </c>
      <c r="E2965" s="41">
        <v>10010076</v>
      </c>
      <c r="F2965" s="85" t="s">
        <v>422</v>
      </c>
      <c r="G2965" s="39" t="s">
        <v>92</v>
      </c>
      <c r="H2965" s="52" t="s">
        <v>93</v>
      </c>
      <c r="I2965" s="52">
        <v>844.19999999999993</v>
      </c>
      <c r="J2965" s="49">
        <v>36965.219999999994</v>
      </c>
      <c r="K2965" s="58">
        <v>378.30000000000007</v>
      </c>
      <c r="L2965" s="58">
        <v>16408.519999999997</v>
      </c>
      <c r="M2965" s="58">
        <v>468.32000000000005</v>
      </c>
      <c r="N2965" s="58">
        <v>20431.579999999994</v>
      </c>
      <c r="O2965" s="58">
        <v>846.62000000000012</v>
      </c>
      <c r="P2965" s="53">
        <v>36840.099999999991</v>
      </c>
      <c r="Q2965" s="65">
        <v>36840.099999999991</v>
      </c>
      <c r="R2965" s="65">
        <v>0</v>
      </c>
      <c r="S2965" s="65">
        <v>0</v>
      </c>
      <c r="T2965" s="65">
        <v>0</v>
      </c>
      <c r="U2965" s="58">
        <v>0</v>
      </c>
      <c r="V2965" s="65">
        <v>0</v>
      </c>
      <c r="W2965" s="65">
        <v>0</v>
      </c>
      <c r="X2965" s="65">
        <v>16407</v>
      </c>
      <c r="Y2965" s="65">
        <v>20430</v>
      </c>
      <c r="Z2965" s="51">
        <v>0</v>
      </c>
      <c r="AA2965" s="51">
        <v>128</v>
      </c>
      <c r="AB2965" s="102">
        <v>0</v>
      </c>
      <c r="AC2965" s="81">
        <f t="shared" si="142"/>
        <v>0</v>
      </c>
      <c r="AD2965" s="82">
        <f t="shared" si="143"/>
        <v>0</v>
      </c>
      <c r="AE2965" s="218">
        <v>3.3848033367582459E-3</v>
      </c>
      <c r="AF2965">
        <v>14</v>
      </c>
      <c r="AH2965" t="str">
        <f t="shared" si="141"/>
        <v>Majhaul</v>
      </c>
      <c r="AJ2965" s="72">
        <v>0</v>
      </c>
      <c r="AK2965" s="72"/>
      <c r="AL2965" s="72"/>
      <c r="AM2965" s="72"/>
    </row>
    <row r="2966" spans="1:39" x14ac:dyDescent="0.25">
      <c r="A2966" s="37" t="s">
        <v>62</v>
      </c>
      <c r="B2966" s="66" t="s">
        <v>1676</v>
      </c>
      <c r="C2966" s="4">
        <v>1058</v>
      </c>
      <c r="D2966" s="41" t="s">
        <v>1296</v>
      </c>
      <c r="E2966" s="41">
        <v>10010079</v>
      </c>
      <c r="F2966" s="85" t="s">
        <v>1558</v>
      </c>
      <c r="G2966" s="39" t="s">
        <v>1610</v>
      </c>
      <c r="H2966" s="52" t="s">
        <v>98</v>
      </c>
      <c r="I2966" s="52">
        <v>455.86999999999995</v>
      </c>
      <c r="J2966" s="49">
        <v>19081.730000000003</v>
      </c>
      <c r="K2966" s="58">
        <v>0</v>
      </c>
      <c r="L2966" s="58">
        <v>0</v>
      </c>
      <c r="M2966" s="58">
        <v>0</v>
      </c>
      <c r="N2966" s="58">
        <v>0</v>
      </c>
      <c r="O2966" s="58">
        <v>0</v>
      </c>
      <c r="P2966" s="53">
        <v>0</v>
      </c>
      <c r="Q2966" s="65">
        <v>19081.730000000003</v>
      </c>
      <c r="R2966" s="65">
        <v>0</v>
      </c>
      <c r="S2966" s="65">
        <v>0</v>
      </c>
      <c r="T2966" s="65">
        <v>0</v>
      </c>
      <c r="U2966" s="58">
        <v>0</v>
      </c>
      <c r="V2966" s="65">
        <v>0</v>
      </c>
      <c r="W2966" s="65">
        <v>0</v>
      </c>
      <c r="X2966" s="65">
        <v>0</v>
      </c>
      <c r="Y2966" s="65">
        <v>0</v>
      </c>
      <c r="Z2966" s="51">
        <v>19081.730000000003</v>
      </c>
      <c r="AA2966" s="51">
        <v>0</v>
      </c>
      <c r="AB2966" s="102">
        <v>0</v>
      </c>
      <c r="AC2966" s="81">
        <f t="shared" si="142"/>
        <v>204.37505187443799</v>
      </c>
      <c r="AD2966" s="82">
        <f t="shared" si="143"/>
        <v>65.124285714285705</v>
      </c>
      <c r="AE2966" s="218">
        <v>0</v>
      </c>
      <c r="AF2966">
        <v>0</v>
      </c>
      <c r="AH2966" t="str">
        <f t="shared" si="141"/>
        <v>Hasanpur</v>
      </c>
      <c r="AJ2966" s="72">
        <v>0</v>
      </c>
      <c r="AK2966" s="72"/>
      <c r="AL2966" s="72"/>
      <c r="AM2966" s="72"/>
    </row>
    <row r="2967" spans="1:39" x14ac:dyDescent="0.25">
      <c r="A2967" s="37" t="s">
        <v>62</v>
      </c>
      <c r="B2967" s="66" t="s">
        <v>1676</v>
      </c>
      <c r="C2967" s="4">
        <v>1001</v>
      </c>
      <c r="D2967" s="41" t="s">
        <v>91</v>
      </c>
      <c r="E2967" s="41">
        <v>10010082</v>
      </c>
      <c r="F2967" s="85" t="s">
        <v>446</v>
      </c>
      <c r="G2967" s="39" t="s">
        <v>92</v>
      </c>
      <c r="H2967" s="52" t="s">
        <v>93</v>
      </c>
      <c r="I2967" s="52">
        <v>1265.7000000000003</v>
      </c>
      <c r="J2967" s="49">
        <v>49417.929999999993</v>
      </c>
      <c r="K2967" s="58">
        <v>1231.72</v>
      </c>
      <c r="L2967" s="58">
        <v>48269.249999999993</v>
      </c>
      <c r="M2967" s="58">
        <v>31.34</v>
      </c>
      <c r="N2967" s="58">
        <v>1224.27</v>
      </c>
      <c r="O2967" s="58">
        <v>1263.06</v>
      </c>
      <c r="P2967" s="53">
        <v>49493.51999999999</v>
      </c>
      <c r="Q2967" s="65">
        <v>49417.929999999993</v>
      </c>
      <c r="R2967" s="65">
        <v>0</v>
      </c>
      <c r="S2967" s="65">
        <v>0</v>
      </c>
      <c r="T2967" s="65">
        <v>75.589999999996508</v>
      </c>
      <c r="U2967" s="58">
        <v>0</v>
      </c>
      <c r="V2967" s="65">
        <v>0</v>
      </c>
      <c r="W2967" s="65">
        <v>0</v>
      </c>
      <c r="X2967" s="65">
        <v>48194</v>
      </c>
      <c r="Y2967" s="65">
        <v>1224</v>
      </c>
      <c r="Z2967" s="51">
        <v>0</v>
      </c>
      <c r="AA2967" s="51">
        <v>0</v>
      </c>
      <c r="AB2967" s="102">
        <v>0</v>
      </c>
      <c r="AC2967" s="81">
        <f t="shared" si="142"/>
        <v>0</v>
      </c>
      <c r="AD2967" s="82">
        <f t="shared" si="143"/>
        <v>0</v>
      </c>
      <c r="AE2967" s="218">
        <v>-1.529606764184508E-3</v>
      </c>
      <c r="AF2967">
        <v>8</v>
      </c>
      <c r="AH2967" t="str">
        <f t="shared" si="141"/>
        <v>Majhaul</v>
      </c>
      <c r="AJ2967" s="72">
        <v>0</v>
      </c>
      <c r="AK2967" s="72"/>
      <c r="AL2967" s="72"/>
      <c r="AM2967" s="72"/>
    </row>
    <row r="2968" spans="1:39" x14ac:dyDescent="0.25">
      <c r="A2968" s="37" t="s">
        <v>62</v>
      </c>
      <c r="B2968" s="66" t="s">
        <v>1676</v>
      </c>
      <c r="C2968" s="4">
        <v>1001</v>
      </c>
      <c r="D2968" s="41" t="s">
        <v>91</v>
      </c>
      <c r="E2968" s="41">
        <v>10010084</v>
      </c>
      <c r="F2968" s="85" t="s">
        <v>447</v>
      </c>
      <c r="G2968" s="39" t="s">
        <v>1610</v>
      </c>
      <c r="H2968" s="52" t="s">
        <v>98</v>
      </c>
      <c r="I2968" s="52">
        <v>165.8</v>
      </c>
      <c r="J2968" s="49">
        <v>6001.35</v>
      </c>
      <c r="K2968" s="58">
        <v>0</v>
      </c>
      <c r="L2968" s="58">
        <v>0</v>
      </c>
      <c r="M2968" s="58">
        <v>0</v>
      </c>
      <c r="N2968" s="58">
        <v>0</v>
      </c>
      <c r="O2968" s="58">
        <v>0</v>
      </c>
      <c r="P2968" s="53">
        <v>0</v>
      </c>
      <c r="Q2968" s="65">
        <v>6001.35</v>
      </c>
      <c r="R2968" s="65">
        <v>0</v>
      </c>
      <c r="S2968" s="65">
        <v>0</v>
      </c>
      <c r="T2968" s="65">
        <v>0</v>
      </c>
      <c r="U2968" s="58">
        <v>0</v>
      </c>
      <c r="V2968" s="65">
        <v>0</v>
      </c>
      <c r="W2968" s="65">
        <v>0</v>
      </c>
      <c r="X2968" s="65">
        <v>0</v>
      </c>
      <c r="Y2968" s="65">
        <v>0</v>
      </c>
      <c r="Z2968" s="51">
        <v>6001.35</v>
      </c>
      <c r="AA2968" s="51">
        <v>0</v>
      </c>
      <c r="AB2968" s="102">
        <v>0</v>
      </c>
      <c r="AC2968" s="81">
        <f t="shared" si="142"/>
        <v>386.72149215922803</v>
      </c>
      <c r="AD2968" s="82">
        <f t="shared" si="143"/>
        <v>23.685714285714287</v>
      </c>
      <c r="AE2968" s="218">
        <v>0</v>
      </c>
      <c r="AF2968">
        <v>0</v>
      </c>
      <c r="AH2968" t="str">
        <f t="shared" si="141"/>
        <v>Majhaul</v>
      </c>
      <c r="AJ2968" s="72">
        <v>0</v>
      </c>
      <c r="AK2968" s="72"/>
      <c r="AL2968" s="72"/>
      <c r="AM2968" s="72"/>
    </row>
    <row r="2969" spans="1:39" x14ac:dyDescent="0.25">
      <c r="A2969" s="37" t="s">
        <v>62</v>
      </c>
      <c r="B2969" s="66" t="s">
        <v>1676</v>
      </c>
      <c r="C2969" s="4">
        <v>1058</v>
      </c>
      <c r="D2969" s="41" t="s">
        <v>1296</v>
      </c>
      <c r="E2969" s="41">
        <v>10010086</v>
      </c>
      <c r="F2969" s="85" t="s">
        <v>468</v>
      </c>
      <c r="G2969" s="39" t="s">
        <v>92</v>
      </c>
      <c r="H2969" s="52" t="s">
        <v>93</v>
      </c>
      <c r="I2969" s="52">
        <v>63.58</v>
      </c>
      <c r="J2969" s="49">
        <v>3047.44</v>
      </c>
      <c r="K2969" s="58">
        <v>68.69</v>
      </c>
      <c r="L2969" s="58">
        <v>3625.6600000000003</v>
      </c>
      <c r="M2969" s="58">
        <v>1.3</v>
      </c>
      <c r="N2969" s="58">
        <v>70.08</v>
      </c>
      <c r="O2969" s="58">
        <v>69.989999999999995</v>
      </c>
      <c r="P2969" s="53">
        <v>3695.7400000000002</v>
      </c>
      <c r="Q2969" s="65">
        <v>3047.44</v>
      </c>
      <c r="R2969" s="65">
        <v>0</v>
      </c>
      <c r="S2969" s="65">
        <v>70.08</v>
      </c>
      <c r="T2969" s="65">
        <v>648.30000000000018</v>
      </c>
      <c r="U2969" s="58">
        <v>0</v>
      </c>
      <c r="V2969" s="65">
        <v>0</v>
      </c>
      <c r="W2969" s="65">
        <v>0</v>
      </c>
      <c r="X2969" s="65">
        <v>0</v>
      </c>
      <c r="Y2969" s="65">
        <v>0</v>
      </c>
      <c r="Z2969" s="51">
        <v>0</v>
      </c>
      <c r="AA2969" s="51">
        <v>2977</v>
      </c>
      <c r="AB2969" s="102" t="s">
        <v>65</v>
      </c>
      <c r="AC2969" s="81">
        <f t="shared" si="142"/>
        <v>610.08234186851212</v>
      </c>
      <c r="AD2969" s="82">
        <f t="shared" si="143"/>
        <v>9.0828571428571419</v>
      </c>
      <c r="AE2969" s="218">
        <v>-0.21273593573622457</v>
      </c>
      <c r="AF2969">
        <v>5</v>
      </c>
      <c r="AH2969" t="str">
        <f t="shared" si="141"/>
        <v>Hasanpur</v>
      </c>
      <c r="AJ2969" s="72">
        <v>0</v>
      </c>
      <c r="AK2969" s="72"/>
      <c r="AL2969" s="72"/>
      <c r="AM2969" s="72"/>
    </row>
    <row r="2970" spans="1:39" x14ac:dyDescent="0.25">
      <c r="A2970" s="37" t="s">
        <v>62</v>
      </c>
      <c r="B2970" s="66" t="s">
        <v>1676</v>
      </c>
      <c r="C2970" s="4">
        <v>1058</v>
      </c>
      <c r="D2970" s="41" t="s">
        <v>1296</v>
      </c>
      <c r="E2970" s="41">
        <v>10010089</v>
      </c>
      <c r="F2970" s="85" t="s">
        <v>469</v>
      </c>
      <c r="G2970" s="39" t="s">
        <v>92</v>
      </c>
      <c r="H2970" s="52" t="s">
        <v>93</v>
      </c>
      <c r="I2970" s="52">
        <v>581.48</v>
      </c>
      <c r="J2970" s="49">
        <v>24643.690000000002</v>
      </c>
      <c r="K2970" s="58">
        <v>280</v>
      </c>
      <c r="L2970" s="58">
        <v>11845.800000000001</v>
      </c>
      <c r="M2970" s="58">
        <v>300.59999999999997</v>
      </c>
      <c r="N2970" s="58">
        <v>12740.380000000001</v>
      </c>
      <c r="O2970" s="58">
        <v>580.59999999999991</v>
      </c>
      <c r="P2970" s="53">
        <v>24586.18</v>
      </c>
      <c r="Q2970" s="65">
        <v>24586.18</v>
      </c>
      <c r="R2970" s="65">
        <v>0</v>
      </c>
      <c r="S2970" s="65">
        <v>189.89</v>
      </c>
      <c r="T2970" s="65">
        <v>0</v>
      </c>
      <c r="U2970" s="58">
        <v>0</v>
      </c>
      <c r="V2970" s="65">
        <v>0</v>
      </c>
      <c r="W2970" s="65">
        <v>0</v>
      </c>
      <c r="X2970" s="65">
        <v>11846</v>
      </c>
      <c r="Y2970" s="65">
        <v>12550</v>
      </c>
      <c r="Z2970" s="51">
        <v>0</v>
      </c>
      <c r="AA2970" s="51">
        <v>58</v>
      </c>
      <c r="AB2970" s="102">
        <v>0</v>
      </c>
      <c r="AC2970" s="81">
        <f t="shared" si="142"/>
        <v>100.45986581825686</v>
      </c>
      <c r="AD2970" s="82">
        <f t="shared" si="143"/>
        <v>83.068571428571431</v>
      </c>
      <c r="AE2970" s="218">
        <v>2.3336602594823271E-3</v>
      </c>
      <c r="AF2970">
        <v>6</v>
      </c>
      <c r="AH2970" t="str">
        <f t="shared" si="141"/>
        <v>Hasanpur</v>
      </c>
      <c r="AJ2970" s="72">
        <v>0</v>
      </c>
      <c r="AK2970" s="72"/>
      <c r="AL2970" s="72"/>
      <c r="AM2970" s="72"/>
    </row>
    <row r="2971" spans="1:39" x14ac:dyDescent="0.25">
      <c r="A2971" s="37" t="s">
        <v>62</v>
      </c>
      <c r="B2971" s="66" t="s">
        <v>1676</v>
      </c>
      <c r="C2971" s="4">
        <v>1001</v>
      </c>
      <c r="D2971" s="41" t="s">
        <v>91</v>
      </c>
      <c r="E2971" s="41">
        <v>10010092</v>
      </c>
      <c r="F2971" s="85" t="s">
        <v>516</v>
      </c>
      <c r="G2971" s="39" t="s">
        <v>1610</v>
      </c>
      <c r="H2971" s="52" t="s">
        <v>98</v>
      </c>
      <c r="I2971" s="52">
        <v>714.20000000000016</v>
      </c>
      <c r="J2971" s="49">
        <v>22746.78</v>
      </c>
      <c r="K2971" s="58">
        <v>0</v>
      </c>
      <c r="L2971" s="58">
        <v>0</v>
      </c>
      <c r="M2971" s="58">
        <v>0</v>
      </c>
      <c r="N2971" s="58">
        <v>0</v>
      </c>
      <c r="O2971" s="58">
        <v>0</v>
      </c>
      <c r="P2971" s="53">
        <v>0</v>
      </c>
      <c r="Q2971" s="65">
        <v>22746.78</v>
      </c>
      <c r="R2971" s="65">
        <v>0</v>
      </c>
      <c r="S2971" s="65">
        <v>0</v>
      </c>
      <c r="T2971" s="65">
        <v>0</v>
      </c>
      <c r="U2971" s="58">
        <v>0</v>
      </c>
      <c r="V2971" s="65">
        <v>0</v>
      </c>
      <c r="W2971" s="65">
        <v>0</v>
      </c>
      <c r="X2971" s="65">
        <v>0</v>
      </c>
      <c r="Y2971" s="65">
        <v>0</v>
      </c>
      <c r="Z2971" s="51">
        <v>22746.78</v>
      </c>
      <c r="AA2971" s="51">
        <v>0</v>
      </c>
      <c r="AB2971" s="102">
        <v>0</v>
      </c>
      <c r="AC2971" s="81">
        <f t="shared" si="142"/>
        <v>0</v>
      </c>
      <c r="AD2971" s="82">
        <f t="shared" si="143"/>
        <v>0</v>
      </c>
      <c r="AE2971" s="218">
        <v>0</v>
      </c>
      <c r="AF2971">
        <v>0</v>
      </c>
      <c r="AH2971" t="str">
        <f t="shared" si="141"/>
        <v>Majhaul</v>
      </c>
      <c r="AJ2971" s="72">
        <v>0</v>
      </c>
      <c r="AK2971" s="72"/>
      <c r="AL2971" s="72"/>
      <c r="AM2971" s="72"/>
    </row>
    <row r="2972" spans="1:39" x14ac:dyDescent="0.25">
      <c r="A2972" s="37" t="s">
        <v>62</v>
      </c>
      <c r="B2972" s="66" t="s">
        <v>1676</v>
      </c>
      <c r="C2972" s="4">
        <v>1058</v>
      </c>
      <c r="D2972" s="41" t="s">
        <v>1296</v>
      </c>
      <c r="E2972" s="41">
        <v>10010095</v>
      </c>
      <c r="F2972" s="85" t="s">
        <v>517</v>
      </c>
      <c r="G2972" s="39" t="s">
        <v>92</v>
      </c>
      <c r="H2972" s="52" t="s">
        <v>93</v>
      </c>
      <c r="I2972" s="52">
        <v>220.08</v>
      </c>
      <c r="J2972" s="49">
        <v>9183.3599999999988</v>
      </c>
      <c r="K2972" s="58">
        <v>214.70000000000002</v>
      </c>
      <c r="L2972" s="58">
        <v>8947.9199999999983</v>
      </c>
      <c r="M2972" s="58">
        <v>5</v>
      </c>
      <c r="N2972" s="58">
        <v>209.9</v>
      </c>
      <c r="O2972" s="58">
        <v>219.70000000000002</v>
      </c>
      <c r="P2972" s="53">
        <v>9157.8199999999979</v>
      </c>
      <c r="Q2972" s="65">
        <v>9157.8199999999979</v>
      </c>
      <c r="R2972" s="65">
        <v>0</v>
      </c>
      <c r="S2972" s="65">
        <v>209.9</v>
      </c>
      <c r="T2972" s="65">
        <v>0</v>
      </c>
      <c r="U2972" s="58">
        <v>0</v>
      </c>
      <c r="V2972" s="65">
        <v>0</v>
      </c>
      <c r="W2972" s="65">
        <v>0</v>
      </c>
      <c r="X2972" s="65">
        <v>8948</v>
      </c>
      <c r="Y2972" s="65">
        <v>0</v>
      </c>
      <c r="Z2972" s="51">
        <v>0</v>
      </c>
      <c r="AA2972" s="51">
        <v>25</v>
      </c>
      <c r="AB2972" s="102">
        <v>0</v>
      </c>
      <c r="AC2972" s="81">
        <f t="shared" si="142"/>
        <v>400.51600610687018</v>
      </c>
      <c r="AD2972" s="82">
        <f t="shared" si="143"/>
        <v>31.44</v>
      </c>
      <c r="AE2972" s="218">
        <v>2.7811171510210724E-3</v>
      </c>
      <c r="AF2972">
        <v>3</v>
      </c>
      <c r="AH2972" t="str">
        <f t="shared" si="141"/>
        <v>Hasanpur</v>
      </c>
      <c r="AJ2972" s="72">
        <v>0</v>
      </c>
      <c r="AK2972" s="72"/>
      <c r="AL2972" s="72"/>
      <c r="AM2972" s="72"/>
    </row>
    <row r="2973" spans="1:39" x14ac:dyDescent="0.25">
      <c r="A2973" s="37" t="s">
        <v>62</v>
      </c>
      <c r="B2973" s="66" t="s">
        <v>1676</v>
      </c>
      <c r="C2973" s="4">
        <v>1001</v>
      </c>
      <c r="D2973" s="41" t="s">
        <v>91</v>
      </c>
      <c r="E2973" s="41">
        <v>10010097</v>
      </c>
      <c r="F2973" s="85" t="s">
        <v>519</v>
      </c>
      <c r="G2973" s="39" t="s">
        <v>92</v>
      </c>
      <c r="H2973" s="52" t="s">
        <v>93</v>
      </c>
      <c r="I2973" s="52">
        <v>1200.1000000000001</v>
      </c>
      <c r="J2973" s="49">
        <v>47021.899999999994</v>
      </c>
      <c r="K2973" s="58">
        <v>1193.49</v>
      </c>
      <c r="L2973" s="58">
        <v>48433.569999999992</v>
      </c>
      <c r="M2973" s="58">
        <v>1.2900000000000005</v>
      </c>
      <c r="N2973" s="58">
        <v>51.72</v>
      </c>
      <c r="O2973" s="58">
        <v>1194.78</v>
      </c>
      <c r="P2973" s="53">
        <v>48485.289999999994</v>
      </c>
      <c r="Q2973" s="65">
        <v>47021.899999999994</v>
      </c>
      <c r="R2973" s="65">
        <v>0</v>
      </c>
      <c r="S2973" s="65">
        <v>51.72</v>
      </c>
      <c r="T2973" s="65">
        <v>1463.3899999999994</v>
      </c>
      <c r="U2973" s="58">
        <v>0</v>
      </c>
      <c r="V2973" s="65">
        <v>0</v>
      </c>
      <c r="W2973" s="65">
        <v>0</v>
      </c>
      <c r="X2973" s="65">
        <v>46970</v>
      </c>
      <c r="Y2973" s="65">
        <v>0</v>
      </c>
      <c r="Z2973" s="51">
        <v>0</v>
      </c>
      <c r="AA2973" s="51">
        <v>0</v>
      </c>
      <c r="AB2973" s="102">
        <v>0</v>
      </c>
      <c r="AC2973" s="81">
        <f t="shared" si="142"/>
        <v>0</v>
      </c>
      <c r="AD2973" s="82">
        <f t="shared" si="143"/>
        <v>0</v>
      </c>
      <c r="AE2973" s="218">
        <v>-3.112145617254938E-2</v>
      </c>
      <c r="AF2973">
        <v>12</v>
      </c>
      <c r="AH2973" t="str">
        <f t="shared" si="141"/>
        <v>Majhaul</v>
      </c>
      <c r="AJ2973" s="72">
        <v>0</v>
      </c>
      <c r="AK2973" s="72"/>
      <c r="AL2973" s="72"/>
      <c r="AM2973" s="72"/>
    </row>
    <row r="2974" spans="1:39" x14ac:dyDescent="0.25">
      <c r="A2974" s="37" t="s">
        <v>62</v>
      </c>
      <c r="B2974" s="66" t="s">
        <v>1676</v>
      </c>
      <c r="C2974" s="4">
        <v>1058</v>
      </c>
      <c r="D2974" s="41" t="s">
        <v>1296</v>
      </c>
      <c r="E2974" s="41">
        <v>10010099</v>
      </c>
      <c r="F2974" s="85" t="s">
        <v>553</v>
      </c>
      <c r="G2974" s="39" t="s">
        <v>92</v>
      </c>
      <c r="H2974" s="52" t="s">
        <v>93</v>
      </c>
      <c r="I2974" s="52">
        <v>152.05000000000001</v>
      </c>
      <c r="J2974" s="49">
        <v>6484.7900000000009</v>
      </c>
      <c r="K2974" s="58">
        <v>142.19999999999999</v>
      </c>
      <c r="L2974" s="58">
        <v>6061.37</v>
      </c>
      <c r="M2974" s="58">
        <v>5</v>
      </c>
      <c r="N2974" s="58">
        <v>207.1</v>
      </c>
      <c r="O2974" s="58">
        <v>147.19999999999999</v>
      </c>
      <c r="P2974" s="53">
        <v>6268.47</v>
      </c>
      <c r="Q2974" s="65">
        <v>6268.47</v>
      </c>
      <c r="R2974" s="65">
        <v>0</v>
      </c>
      <c r="S2974" s="65">
        <v>207.1</v>
      </c>
      <c r="T2974" s="65">
        <v>0</v>
      </c>
      <c r="U2974" s="58">
        <v>0</v>
      </c>
      <c r="V2974" s="65">
        <v>0</v>
      </c>
      <c r="W2974" s="65">
        <v>0</v>
      </c>
      <c r="X2974" s="65">
        <v>0</v>
      </c>
      <c r="Y2974" s="65">
        <v>0</v>
      </c>
      <c r="Z2974" s="51">
        <v>0</v>
      </c>
      <c r="AA2974" s="51">
        <v>6278</v>
      </c>
      <c r="AB2974" s="102" t="s">
        <v>65</v>
      </c>
      <c r="AC2974" s="81">
        <f t="shared" si="142"/>
        <v>467.39107931601444</v>
      </c>
      <c r="AD2974" s="82">
        <f t="shared" si="143"/>
        <v>21.721428571428572</v>
      </c>
      <c r="AE2974" s="218">
        <v>3.3358057855381686E-2</v>
      </c>
      <c r="AF2974">
        <v>2</v>
      </c>
      <c r="AH2974" t="str">
        <f t="shared" si="141"/>
        <v>Hasanpur</v>
      </c>
      <c r="AJ2974" s="72">
        <v>0</v>
      </c>
      <c r="AK2974" s="72"/>
      <c r="AL2974" s="72"/>
      <c r="AM2974" s="72"/>
    </row>
    <row r="2975" spans="1:39" x14ac:dyDescent="0.25">
      <c r="A2975" s="37" t="s">
        <v>62</v>
      </c>
      <c r="B2975" s="66" t="s">
        <v>1676</v>
      </c>
      <c r="C2975" s="4">
        <v>1001</v>
      </c>
      <c r="D2975" s="41" t="s">
        <v>91</v>
      </c>
      <c r="E2975" s="41">
        <v>10010108</v>
      </c>
      <c r="F2975" s="85" t="s">
        <v>628</v>
      </c>
      <c r="G2975" s="39" t="s">
        <v>92</v>
      </c>
      <c r="H2975" s="52" t="s">
        <v>93</v>
      </c>
      <c r="I2975" s="52">
        <v>203.39999999999998</v>
      </c>
      <c r="J2975" s="49">
        <v>7408.06</v>
      </c>
      <c r="K2975" s="58">
        <v>236.36999999999998</v>
      </c>
      <c r="L2975" s="58">
        <v>8659.4399999999987</v>
      </c>
      <c r="M2975" s="58">
        <v>0</v>
      </c>
      <c r="N2975" s="58">
        <v>0</v>
      </c>
      <c r="O2975" s="58">
        <v>236.36999999999998</v>
      </c>
      <c r="P2975" s="53">
        <v>8659.4399999999987</v>
      </c>
      <c r="Q2975" s="65">
        <v>7408.06</v>
      </c>
      <c r="R2975" s="65">
        <v>0</v>
      </c>
      <c r="S2975" s="65">
        <v>0</v>
      </c>
      <c r="T2975" s="65">
        <v>1251.3799999999983</v>
      </c>
      <c r="U2975" s="58">
        <v>0</v>
      </c>
      <c r="V2975" s="65">
        <v>500</v>
      </c>
      <c r="W2975" s="65">
        <v>0</v>
      </c>
      <c r="X2975" s="65">
        <v>6908</v>
      </c>
      <c r="Y2975" s="65">
        <v>0</v>
      </c>
      <c r="Z2975" s="51">
        <v>0</v>
      </c>
      <c r="AA2975" s="51">
        <v>0</v>
      </c>
      <c r="AB2975" s="102">
        <v>0</v>
      </c>
      <c r="AC2975" s="81">
        <f t="shared" si="142"/>
        <v>361.73476853490672</v>
      </c>
      <c r="AD2975" s="82">
        <f t="shared" si="143"/>
        <v>29.057142857142853</v>
      </c>
      <c r="AE2975" s="218">
        <v>-0.16892141802307192</v>
      </c>
      <c r="AF2975">
        <v>6</v>
      </c>
      <c r="AH2975" t="str">
        <f t="shared" si="141"/>
        <v>Majhaul</v>
      </c>
      <c r="AJ2975" s="72">
        <v>500</v>
      </c>
      <c r="AK2975" s="72"/>
      <c r="AL2975" s="72"/>
      <c r="AM2975" s="72"/>
    </row>
    <row r="2976" spans="1:39" x14ac:dyDescent="0.25">
      <c r="A2976" s="37" t="s">
        <v>62</v>
      </c>
      <c r="B2976" s="66" t="s">
        <v>1676</v>
      </c>
      <c r="C2976" s="4">
        <v>1001</v>
      </c>
      <c r="D2976" s="41" t="s">
        <v>91</v>
      </c>
      <c r="E2976" s="41">
        <v>10010109</v>
      </c>
      <c r="F2976" s="85" t="s">
        <v>629</v>
      </c>
      <c r="G2976" s="39" t="s">
        <v>1610</v>
      </c>
      <c r="H2976" s="52" t="s">
        <v>98</v>
      </c>
      <c r="I2976" s="52">
        <v>285.7</v>
      </c>
      <c r="J2976" s="49">
        <v>10417.179999999998</v>
      </c>
      <c r="K2976" s="58">
        <v>0</v>
      </c>
      <c r="L2976" s="58">
        <v>0</v>
      </c>
      <c r="M2976" s="58">
        <v>0</v>
      </c>
      <c r="N2976" s="58">
        <v>0</v>
      </c>
      <c r="O2976" s="58">
        <v>0</v>
      </c>
      <c r="P2976" s="53">
        <v>0</v>
      </c>
      <c r="Q2976" s="65">
        <v>10417.179999999998</v>
      </c>
      <c r="R2976" s="65">
        <v>0</v>
      </c>
      <c r="S2976" s="65">
        <v>0</v>
      </c>
      <c r="T2976" s="65">
        <v>0</v>
      </c>
      <c r="U2976" s="58">
        <v>0</v>
      </c>
      <c r="V2976" s="65">
        <v>0</v>
      </c>
      <c r="W2976" s="65">
        <v>0</v>
      </c>
      <c r="X2976" s="65">
        <v>0</v>
      </c>
      <c r="Y2976" s="65">
        <v>0</v>
      </c>
      <c r="Z2976" s="51">
        <v>10417.179999999998</v>
      </c>
      <c r="AA2976" s="51">
        <v>0</v>
      </c>
      <c r="AB2976" s="102">
        <v>0</v>
      </c>
      <c r="AC2976" s="81">
        <f t="shared" si="142"/>
        <v>302.12374336716834</v>
      </c>
      <c r="AD2976" s="82">
        <f t="shared" si="143"/>
        <v>40.81428571428571</v>
      </c>
      <c r="AE2976" s="218">
        <v>0</v>
      </c>
      <c r="AF2976">
        <v>0</v>
      </c>
      <c r="AH2976" t="str">
        <f t="shared" si="141"/>
        <v>Majhaul</v>
      </c>
      <c r="AJ2976" s="72">
        <v>0</v>
      </c>
      <c r="AK2976" s="72"/>
      <c r="AL2976" s="72"/>
      <c r="AM2976" s="72"/>
    </row>
    <row r="2977" spans="1:39" x14ac:dyDescent="0.25">
      <c r="A2977" s="37" t="s">
        <v>62</v>
      </c>
      <c r="B2977" s="66" t="s">
        <v>1676</v>
      </c>
      <c r="C2977" s="4">
        <v>1001</v>
      </c>
      <c r="D2977" s="41" t="s">
        <v>91</v>
      </c>
      <c r="E2977" s="41">
        <v>10010113</v>
      </c>
      <c r="F2977" s="85" t="s">
        <v>804</v>
      </c>
      <c r="G2977" s="39" t="s">
        <v>92</v>
      </c>
      <c r="H2977" s="52" t="s">
        <v>93</v>
      </c>
      <c r="I2977" s="52">
        <v>834.4</v>
      </c>
      <c r="J2977" s="49">
        <v>33248.17</v>
      </c>
      <c r="K2977" s="58">
        <v>833.8599999999999</v>
      </c>
      <c r="L2977" s="58">
        <v>34197.249999999993</v>
      </c>
      <c r="M2977" s="58">
        <v>2.17</v>
      </c>
      <c r="N2977" s="58">
        <v>95.03</v>
      </c>
      <c r="O2977" s="58">
        <v>836.02999999999986</v>
      </c>
      <c r="P2977" s="53">
        <v>34292.279999999992</v>
      </c>
      <c r="Q2977" s="65">
        <v>33248.17</v>
      </c>
      <c r="R2977" s="65">
        <v>0</v>
      </c>
      <c r="S2977" s="65">
        <v>95.03</v>
      </c>
      <c r="T2977" s="65">
        <v>1044.1099999999933</v>
      </c>
      <c r="U2977" s="58">
        <v>0</v>
      </c>
      <c r="V2977" s="65">
        <v>0</v>
      </c>
      <c r="W2977" s="65">
        <v>0</v>
      </c>
      <c r="X2977" s="65">
        <v>33153</v>
      </c>
      <c r="Y2977" s="65">
        <v>0</v>
      </c>
      <c r="Z2977" s="51">
        <v>0</v>
      </c>
      <c r="AA2977" s="51">
        <v>0</v>
      </c>
      <c r="AB2977" s="102">
        <v>0</v>
      </c>
      <c r="AC2977" s="81">
        <f t="shared" si="142"/>
        <v>0</v>
      </c>
      <c r="AD2977" s="82">
        <f t="shared" si="143"/>
        <v>0</v>
      </c>
      <c r="AE2977" s="218">
        <v>-3.1403532886170676E-2</v>
      </c>
      <c r="AF2977">
        <v>28</v>
      </c>
      <c r="AH2977" t="str">
        <f t="shared" si="141"/>
        <v>Majhaul</v>
      </c>
      <c r="AJ2977" s="72">
        <v>0</v>
      </c>
      <c r="AK2977" s="72"/>
      <c r="AL2977" s="72"/>
      <c r="AM2977" s="72"/>
    </row>
    <row r="2978" spans="1:39" x14ac:dyDescent="0.25">
      <c r="A2978" s="37" t="s">
        <v>62</v>
      </c>
      <c r="B2978" s="66" t="s">
        <v>1676</v>
      </c>
      <c r="C2978" s="4">
        <v>1001</v>
      </c>
      <c r="D2978" s="41" t="s">
        <v>91</v>
      </c>
      <c r="E2978" s="41">
        <v>10010121</v>
      </c>
      <c r="F2978" s="85" t="s">
        <v>1116</v>
      </c>
      <c r="G2978" s="39" t="s">
        <v>92</v>
      </c>
      <c r="H2978" s="52" t="s">
        <v>93</v>
      </c>
      <c r="I2978" s="52">
        <v>1171.2000000000003</v>
      </c>
      <c r="J2978" s="49">
        <v>45795.619999999995</v>
      </c>
      <c r="K2978" s="58">
        <v>875.56999999999994</v>
      </c>
      <c r="L2978" s="58">
        <v>34224.160000000003</v>
      </c>
      <c r="M2978" s="58">
        <v>385.1</v>
      </c>
      <c r="N2978" s="58">
        <v>15097.79</v>
      </c>
      <c r="O2978" s="58">
        <v>1260.67</v>
      </c>
      <c r="P2978" s="53">
        <v>49321.950000000004</v>
      </c>
      <c r="Q2978" s="65">
        <v>45795.619999999995</v>
      </c>
      <c r="R2978" s="65">
        <v>0</v>
      </c>
      <c r="S2978" s="65">
        <v>61.220000000000006</v>
      </c>
      <c r="T2978" s="65">
        <v>3526.330000000009</v>
      </c>
      <c r="U2978" s="58">
        <v>0</v>
      </c>
      <c r="V2978" s="65">
        <v>0</v>
      </c>
      <c r="W2978" s="65">
        <v>0</v>
      </c>
      <c r="X2978" s="65">
        <v>30697</v>
      </c>
      <c r="Y2978" s="65">
        <v>15037</v>
      </c>
      <c r="Z2978" s="51">
        <v>0</v>
      </c>
      <c r="AA2978" s="51">
        <v>0</v>
      </c>
      <c r="AB2978" s="102">
        <v>0</v>
      </c>
      <c r="AC2978" s="81">
        <f t="shared" si="142"/>
        <v>0</v>
      </c>
      <c r="AD2978" s="82">
        <f t="shared" si="143"/>
        <v>0</v>
      </c>
      <c r="AE2978" s="218">
        <v>-7.7001468699408576E-2</v>
      </c>
      <c r="AF2978">
        <v>14</v>
      </c>
      <c r="AH2978" t="str">
        <f t="shared" si="141"/>
        <v>Majhaul</v>
      </c>
      <c r="AJ2978" s="72">
        <v>0</v>
      </c>
      <c r="AK2978" s="72"/>
      <c r="AL2978" s="72"/>
      <c r="AM2978" s="72"/>
    </row>
    <row r="2979" spans="1:39" x14ac:dyDescent="0.25">
      <c r="A2979" s="37" t="s">
        <v>62</v>
      </c>
      <c r="B2979" s="66" t="s">
        <v>1676</v>
      </c>
      <c r="C2979" s="4">
        <v>1001</v>
      </c>
      <c r="D2979" s="41" t="s">
        <v>91</v>
      </c>
      <c r="E2979" s="41">
        <v>10010125</v>
      </c>
      <c r="F2979" s="85" t="s">
        <v>1126</v>
      </c>
      <c r="G2979" s="39" t="s">
        <v>1610</v>
      </c>
      <c r="H2979" s="52" t="s">
        <v>98</v>
      </c>
      <c r="I2979" s="52">
        <v>394.29999999999995</v>
      </c>
      <c r="J2979" s="49">
        <v>17944.77</v>
      </c>
      <c r="K2979" s="58">
        <v>0</v>
      </c>
      <c r="L2979" s="58">
        <v>0</v>
      </c>
      <c r="M2979" s="58">
        <v>0</v>
      </c>
      <c r="N2979" s="58">
        <v>0</v>
      </c>
      <c r="O2979" s="58">
        <v>0</v>
      </c>
      <c r="P2979" s="53">
        <v>0</v>
      </c>
      <c r="Q2979" s="65">
        <v>17944.77</v>
      </c>
      <c r="R2979" s="65">
        <v>0</v>
      </c>
      <c r="S2979" s="65">
        <v>0</v>
      </c>
      <c r="T2979" s="65">
        <v>0</v>
      </c>
      <c r="U2979" s="58">
        <v>0</v>
      </c>
      <c r="V2979" s="65">
        <v>0</v>
      </c>
      <c r="W2979" s="65">
        <v>0</v>
      </c>
      <c r="X2979" s="65">
        <v>0</v>
      </c>
      <c r="Y2979" s="65">
        <v>0</v>
      </c>
      <c r="Z2979" s="51">
        <v>17944.77</v>
      </c>
      <c r="AA2979" s="51">
        <v>0</v>
      </c>
      <c r="AB2979" s="102">
        <v>0</v>
      </c>
      <c r="AC2979" s="81">
        <f t="shared" si="142"/>
        <v>278.25088455490754</v>
      </c>
      <c r="AD2979" s="82">
        <f t="shared" si="143"/>
        <v>56.328571428571422</v>
      </c>
      <c r="AE2979" s="218">
        <v>0</v>
      </c>
      <c r="AF2979">
        <v>0</v>
      </c>
      <c r="AH2979" t="str">
        <f t="shared" si="141"/>
        <v>Majhaul</v>
      </c>
      <c r="AJ2979" s="72">
        <v>0</v>
      </c>
      <c r="AK2979" s="72"/>
      <c r="AL2979" s="72"/>
      <c r="AM2979" s="72"/>
    </row>
    <row r="2980" spans="1:39" x14ac:dyDescent="0.25">
      <c r="A2980" s="37" t="s">
        <v>62</v>
      </c>
      <c r="B2980" s="66" t="s">
        <v>1676</v>
      </c>
      <c r="C2980" s="4">
        <v>1001</v>
      </c>
      <c r="D2980" s="41" t="s">
        <v>91</v>
      </c>
      <c r="E2980" s="41">
        <v>10010128</v>
      </c>
      <c r="F2980" s="85" t="s">
        <v>1127</v>
      </c>
      <c r="G2980" s="39" t="s">
        <v>92</v>
      </c>
      <c r="H2980" s="52" t="s">
        <v>93</v>
      </c>
      <c r="I2980" s="52">
        <v>969.49999999999989</v>
      </c>
      <c r="J2980" s="49">
        <v>41972.15</v>
      </c>
      <c r="K2980" s="58">
        <v>957.4000000000002</v>
      </c>
      <c r="L2980" s="58">
        <v>41605.629999999997</v>
      </c>
      <c r="M2980" s="58">
        <v>0</v>
      </c>
      <c r="N2980" s="58">
        <v>0</v>
      </c>
      <c r="O2980" s="58">
        <v>957.4000000000002</v>
      </c>
      <c r="P2980" s="53">
        <v>41605.629999999997</v>
      </c>
      <c r="Q2980" s="65">
        <v>41605.629999999997</v>
      </c>
      <c r="R2980" s="65">
        <v>0</v>
      </c>
      <c r="S2980" s="65">
        <v>0</v>
      </c>
      <c r="T2980" s="65">
        <v>0</v>
      </c>
      <c r="U2980" s="58">
        <v>0</v>
      </c>
      <c r="V2980" s="65">
        <v>0</v>
      </c>
      <c r="W2980" s="65">
        <v>0</v>
      </c>
      <c r="X2980" s="65">
        <v>41601</v>
      </c>
      <c r="Y2980" s="65">
        <v>0</v>
      </c>
      <c r="Z2980" s="51">
        <v>0</v>
      </c>
      <c r="AA2980" s="51">
        <v>371</v>
      </c>
      <c r="AB2980" s="102">
        <v>0</v>
      </c>
      <c r="AC2980" s="81">
        <f t="shared" si="142"/>
        <v>0</v>
      </c>
      <c r="AD2980" s="82">
        <f t="shared" si="143"/>
        <v>0</v>
      </c>
      <c r="AE2980" s="218">
        <v>8.7324571173981805E-3</v>
      </c>
      <c r="AF2980">
        <v>15</v>
      </c>
      <c r="AH2980" t="str">
        <f t="shared" si="141"/>
        <v>Majhaul</v>
      </c>
      <c r="AJ2980" s="72">
        <v>0</v>
      </c>
      <c r="AK2980" s="72"/>
      <c r="AL2980" s="72"/>
      <c r="AM2980" s="72"/>
    </row>
    <row r="2981" spans="1:39" x14ac:dyDescent="0.25">
      <c r="A2981" s="37" t="s">
        <v>62</v>
      </c>
      <c r="B2981" s="66" t="s">
        <v>1676</v>
      </c>
      <c r="C2981" s="4">
        <v>1001</v>
      </c>
      <c r="D2981" s="41" t="s">
        <v>91</v>
      </c>
      <c r="E2981" s="41">
        <v>10010129</v>
      </c>
      <c r="F2981" s="85" t="s">
        <v>1128</v>
      </c>
      <c r="G2981" s="39" t="s">
        <v>1610</v>
      </c>
      <c r="H2981" s="52" t="s">
        <v>98</v>
      </c>
      <c r="I2981" s="52">
        <v>433.6</v>
      </c>
      <c r="J2981" s="49">
        <v>20276.55</v>
      </c>
      <c r="K2981" s="58">
        <v>0</v>
      </c>
      <c r="L2981" s="58">
        <v>0</v>
      </c>
      <c r="M2981" s="58">
        <v>0</v>
      </c>
      <c r="N2981" s="58">
        <v>0</v>
      </c>
      <c r="O2981" s="58">
        <v>0</v>
      </c>
      <c r="P2981" s="53">
        <v>0</v>
      </c>
      <c r="Q2981" s="65">
        <v>20276.55</v>
      </c>
      <c r="R2981" s="65">
        <v>0</v>
      </c>
      <c r="S2981" s="65">
        <v>0</v>
      </c>
      <c r="T2981" s="65">
        <v>0</v>
      </c>
      <c r="U2981" s="58">
        <v>0</v>
      </c>
      <c r="V2981" s="65">
        <v>0</v>
      </c>
      <c r="W2981" s="65">
        <v>0</v>
      </c>
      <c r="X2981" s="65">
        <v>0</v>
      </c>
      <c r="Y2981" s="65">
        <v>0</v>
      </c>
      <c r="Z2981" s="51">
        <v>20276.55</v>
      </c>
      <c r="AA2981" s="51">
        <v>0</v>
      </c>
      <c r="AB2981" s="102">
        <v>0</v>
      </c>
      <c r="AC2981" s="81">
        <f t="shared" si="142"/>
        <v>249.15465498154975</v>
      </c>
      <c r="AD2981" s="82">
        <f t="shared" si="143"/>
        <v>61.942857142857143</v>
      </c>
      <c r="AE2981" s="218">
        <v>0</v>
      </c>
      <c r="AF2981">
        <v>0</v>
      </c>
      <c r="AH2981" t="str">
        <f t="shared" si="141"/>
        <v>Majhaul</v>
      </c>
      <c r="AJ2981" s="72">
        <v>0</v>
      </c>
      <c r="AK2981" s="72"/>
      <c r="AL2981" s="72"/>
      <c r="AM2981" s="72"/>
    </row>
    <row r="2982" spans="1:39" x14ac:dyDescent="0.25">
      <c r="A2982" s="37" t="s">
        <v>62</v>
      </c>
      <c r="B2982" s="66" t="s">
        <v>1676</v>
      </c>
      <c r="C2982" s="4">
        <v>1001</v>
      </c>
      <c r="D2982" s="41" t="s">
        <v>91</v>
      </c>
      <c r="E2982" s="41">
        <v>10010130</v>
      </c>
      <c r="F2982" s="85" t="s">
        <v>1150</v>
      </c>
      <c r="G2982" s="39" t="s">
        <v>1610</v>
      </c>
      <c r="H2982" s="52" t="s">
        <v>98</v>
      </c>
      <c r="I2982" s="52">
        <v>375.8</v>
      </c>
      <c r="J2982" s="49">
        <v>13347.770000000002</v>
      </c>
      <c r="K2982" s="58">
        <v>0</v>
      </c>
      <c r="L2982" s="58">
        <v>0</v>
      </c>
      <c r="M2982" s="58">
        <v>0</v>
      </c>
      <c r="N2982" s="58">
        <v>0</v>
      </c>
      <c r="O2982" s="58">
        <v>0</v>
      </c>
      <c r="P2982" s="53">
        <v>0</v>
      </c>
      <c r="Q2982" s="65">
        <v>13347.770000000002</v>
      </c>
      <c r="R2982" s="65">
        <v>0</v>
      </c>
      <c r="S2982" s="65">
        <v>0</v>
      </c>
      <c r="T2982" s="65">
        <v>0</v>
      </c>
      <c r="U2982" s="58">
        <v>0</v>
      </c>
      <c r="V2982" s="65">
        <v>0</v>
      </c>
      <c r="W2982" s="65">
        <v>0</v>
      </c>
      <c r="X2982" s="65">
        <v>0</v>
      </c>
      <c r="Y2982" s="65">
        <v>0</v>
      </c>
      <c r="Z2982" s="51">
        <v>13347.770000000002</v>
      </c>
      <c r="AA2982" s="51">
        <v>0</v>
      </c>
      <c r="AB2982" s="102">
        <v>0</v>
      </c>
      <c r="AC2982" s="81">
        <f t="shared" si="142"/>
        <v>230.30053400745081</v>
      </c>
      <c r="AD2982" s="82">
        <f t="shared" si="143"/>
        <v>53.68571428571429</v>
      </c>
      <c r="AE2982" s="218">
        <v>0</v>
      </c>
      <c r="AF2982">
        <v>0</v>
      </c>
      <c r="AH2982" t="str">
        <f t="shared" si="141"/>
        <v>Majhaul</v>
      </c>
      <c r="AJ2982" s="72">
        <v>0</v>
      </c>
      <c r="AK2982" s="72"/>
      <c r="AL2982" s="72"/>
      <c r="AM2982" s="72"/>
    </row>
    <row r="2983" spans="1:39" x14ac:dyDescent="0.25">
      <c r="A2983" s="37" t="s">
        <v>62</v>
      </c>
      <c r="B2983" s="66" t="s">
        <v>1676</v>
      </c>
      <c r="C2983" s="4">
        <v>1001</v>
      </c>
      <c r="D2983" s="41" t="s">
        <v>91</v>
      </c>
      <c r="E2983" s="41">
        <v>10010131</v>
      </c>
      <c r="F2983" s="85" t="s">
        <v>1151</v>
      </c>
      <c r="G2983" s="39" t="s">
        <v>1610</v>
      </c>
      <c r="H2983" s="52" t="s">
        <v>98</v>
      </c>
      <c r="I2983" s="52">
        <v>609</v>
      </c>
      <c r="J2983" s="49">
        <v>25248.79</v>
      </c>
      <c r="K2983" s="58">
        <v>0</v>
      </c>
      <c r="L2983" s="58">
        <v>0</v>
      </c>
      <c r="M2983" s="58">
        <v>0</v>
      </c>
      <c r="N2983" s="58">
        <v>0</v>
      </c>
      <c r="O2983" s="58">
        <v>0</v>
      </c>
      <c r="P2983" s="53">
        <v>0</v>
      </c>
      <c r="Q2983" s="65">
        <v>25248.79</v>
      </c>
      <c r="R2983" s="65">
        <v>0</v>
      </c>
      <c r="S2983" s="65">
        <v>0</v>
      </c>
      <c r="T2983" s="65">
        <v>0</v>
      </c>
      <c r="U2983" s="58">
        <v>0</v>
      </c>
      <c r="V2983" s="65">
        <v>0</v>
      </c>
      <c r="W2983" s="65">
        <v>0</v>
      </c>
      <c r="X2983" s="65">
        <v>0</v>
      </c>
      <c r="Y2983" s="65">
        <v>0</v>
      </c>
      <c r="Z2983" s="51">
        <v>25248.79</v>
      </c>
      <c r="AA2983" s="51">
        <v>0</v>
      </c>
      <c r="AB2983" s="102">
        <v>0</v>
      </c>
      <c r="AC2983" s="81">
        <f t="shared" si="142"/>
        <v>75.456154022988514</v>
      </c>
      <c r="AD2983" s="82">
        <f t="shared" si="143"/>
        <v>87</v>
      </c>
      <c r="AE2983" s="218">
        <v>0</v>
      </c>
      <c r="AF2983">
        <v>0</v>
      </c>
      <c r="AH2983" t="str">
        <f t="shared" si="141"/>
        <v>Majhaul</v>
      </c>
      <c r="AJ2983" s="72">
        <v>0</v>
      </c>
      <c r="AK2983" s="72"/>
      <c r="AL2983" s="72"/>
      <c r="AM2983" s="72"/>
    </row>
    <row r="2984" spans="1:39" x14ac:dyDescent="0.25">
      <c r="A2984" s="37" t="s">
        <v>62</v>
      </c>
      <c r="B2984" s="66" t="s">
        <v>1676</v>
      </c>
      <c r="C2984" s="4">
        <v>1001</v>
      </c>
      <c r="D2984" s="41" t="s">
        <v>91</v>
      </c>
      <c r="E2984" s="41">
        <v>10010140</v>
      </c>
      <c r="F2984" s="85" t="s">
        <v>1246</v>
      </c>
      <c r="G2984" s="39" t="s">
        <v>92</v>
      </c>
      <c r="H2984" s="52" t="s">
        <v>93</v>
      </c>
      <c r="I2984" s="52">
        <v>215.5</v>
      </c>
      <c r="J2984" s="49">
        <v>9548.630000000001</v>
      </c>
      <c r="K2984" s="58">
        <v>204.88</v>
      </c>
      <c r="L2984" s="58">
        <v>9514.2200000000012</v>
      </c>
      <c r="M2984" s="58">
        <v>0</v>
      </c>
      <c r="N2984" s="58">
        <v>0</v>
      </c>
      <c r="O2984" s="58">
        <v>204.88</v>
      </c>
      <c r="P2984" s="53">
        <v>9514.2200000000012</v>
      </c>
      <c r="Q2984" s="65">
        <v>9514.2200000000012</v>
      </c>
      <c r="R2984" s="65">
        <v>0</v>
      </c>
      <c r="S2984" s="65">
        <v>0</v>
      </c>
      <c r="T2984" s="65">
        <v>0</v>
      </c>
      <c r="U2984" s="58">
        <v>0</v>
      </c>
      <c r="V2984" s="65">
        <v>0</v>
      </c>
      <c r="W2984" s="65">
        <v>0</v>
      </c>
      <c r="X2984" s="65">
        <v>9514</v>
      </c>
      <c r="Y2984" s="65">
        <v>0</v>
      </c>
      <c r="Z2984" s="51">
        <v>0</v>
      </c>
      <c r="AA2984" s="51">
        <v>35</v>
      </c>
      <c r="AB2984" s="102">
        <v>0</v>
      </c>
      <c r="AC2984" s="81">
        <f t="shared" si="142"/>
        <v>429.35603109048731</v>
      </c>
      <c r="AD2984" s="82">
        <f t="shared" si="143"/>
        <v>30.785714285714285</v>
      </c>
      <c r="AE2984" s="218">
        <v>3.6036583258540599E-3</v>
      </c>
      <c r="AF2984">
        <v>4</v>
      </c>
      <c r="AH2984" t="str">
        <f t="shared" si="141"/>
        <v>Majhaul</v>
      </c>
      <c r="AJ2984" s="72">
        <v>0</v>
      </c>
      <c r="AK2984" s="72"/>
      <c r="AL2984" s="72"/>
      <c r="AM2984" s="72"/>
    </row>
    <row r="2985" spans="1:39" x14ac:dyDescent="0.25">
      <c r="A2985" s="37" t="s">
        <v>62</v>
      </c>
      <c r="B2985" s="66" t="s">
        <v>1676</v>
      </c>
      <c r="C2985" s="4">
        <v>1001</v>
      </c>
      <c r="D2985" s="41" t="s">
        <v>91</v>
      </c>
      <c r="E2985" s="41">
        <v>10010143</v>
      </c>
      <c r="F2985" s="85" t="s">
        <v>479</v>
      </c>
      <c r="G2985" s="39" t="s">
        <v>92</v>
      </c>
      <c r="H2985" s="52" t="s">
        <v>93</v>
      </c>
      <c r="I2985" s="52">
        <v>185.70000000000002</v>
      </c>
      <c r="J2985" s="49">
        <v>6470.4799999999987</v>
      </c>
      <c r="K2985" s="58">
        <v>184.39999999999998</v>
      </c>
      <c r="L2985" s="58">
        <v>6441.5099999999993</v>
      </c>
      <c r="M2985" s="58">
        <v>0</v>
      </c>
      <c r="N2985" s="58">
        <v>0</v>
      </c>
      <c r="O2985" s="58">
        <v>184.39999999999998</v>
      </c>
      <c r="P2985" s="53">
        <v>6441.5099999999993</v>
      </c>
      <c r="Q2985" s="65">
        <v>6441.5099999999993</v>
      </c>
      <c r="R2985" s="65">
        <v>0</v>
      </c>
      <c r="S2985" s="65">
        <v>0</v>
      </c>
      <c r="T2985" s="65">
        <v>0</v>
      </c>
      <c r="U2985" s="58">
        <v>0</v>
      </c>
      <c r="V2985" s="65">
        <v>0</v>
      </c>
      <c r="W2985" s="65">
        <v>0</v>
      </c>
      <c r="X2985" s="65">
        <v>6440</v>
      </c>
      <c r="Y2985" s="65">
        <v>0</v>
      </c>
      <c r="Z2985" s="51">
        <v>0</v>
      </c>
      <c r="AA2985" s="51">
        <v>30</v>
      </c>
      <c r="AB2985" s="102">
        <v>0</v>
      </c>
      <c r="AC2985" s="81">
        <f t="shared" si="142"/>
        <v>358.40257016693579</v>
      </c>
      <c r="AD2985" s="82">
        <f t="shared" si="143"/>
        <v>26.528571428571432</v>
      </c>
      <c r="AE2985" s="218">
        <v>4.4772567104757839E-3</v>
      </c>
      <c r="AF2985">
        <v>5</v>
      </c>
      <c r="AH2985" t="str">
        <f t="shared" si="141"/>
        <v>Majhaul</v>
      </c>
      <c r="AJ2985" s="72">
        <v>0</v>
      </c>
      <c r="AK2985" s="72"/>
      <c r="AL2985" s="72"/>
      <c r="AM2985" s="72"/>
    </row>
    <row r="2986" spans="1:39" x14ac:dyDescent="0.25">
      <c r="A2986" s="37" t="s">
        <v>62</v>
      </c>
      <c r="B2986" s="66" t="s">
        <v>1676</v>
      </c>
      <c r="C2986" s="4">
        <v>1001</v>
      </c>
      <c r="D2986" s="41" t="s">
        <v>91</v>
      </c>
      <c r="E2986" s="41">
        <v>10010144</v>
      </c>
      <c r="F2986" s="85" t="s">
        <v>1418</v>
      </c>
      <c r="G2986" s="39" t="s">
        <v>92</v>
      </c>
      <c r="H2986" s="52" t="s">
        <v>93</v>
      </c>
      <c r="I2986" s="52">
        <v>114.9</v>
      </c>
      <c r="J2986" s="49">
        <v>4126.1499999999996</v>
      </c>
      <c r="K2986" s="58">
        <v>122.44999999999999</v>
      </c>
      <c r="L2986" s="58">
        <v>4087.83</v>
      </c>
      <c r="M2986" s="58">
        <v>0</v>
      </c>
      <c r="N2986" s="58">
        <v>0</v>
      </c>
      <c r="O2986" s="58">
        <v>122.44999999999999</v>
      </c>
      <c r="P2986" s="53">
        <v>4087.83</v>
      </c>
      <c r="Q2986" s="65">
        <v>4087.83</v>
      </c>
      <c r="R2986" s="65">
        <v>0</v>
      </c>
      <c r="S2986" s="65">
        <v>0</v>
      </c>
      <c r="T2986" s="65">
        <v>0</v>
      </c>
      <c r="U2986" s="58">
        <v>0</v>
      </c>
      <c r="V2986" s="65">
        <v>0</v>
      </c>
      <c r="W2986" s="65">
        <v>0</v>
      </c>
      <c r="X2986" s="65">
        <v>4088</v>
      </c>
      <c r="Y2986" s="65">
        <v>0</v>
      </c>
      <c r="Z2986" s="51">
        <v>0</v>
      </c>
      <c r="AA2986" s="51">
        <v>38</v>
      </c>
      <c r="AB2986" s="102">
        <v>0</v>
      </c>
      <c r="AC2986" s="81">
        <f t="shared" si="142"/>
        <v>420.2280879025239</v>
      </c>
      <c r="AD2986" s="82">
        <f t="shared" si="143"/>
        <v>16.414285714285715</v>
      </c>
      <c r="AE2986" s="218">
        <v>9.2871078366030587E-3</v>
      </c>
      <c r="AF2986">
        <v>3</v>
      </c>
      <c r="AH2986" t="str">
        <f t="shared" si="141"/>
        <v>Majhaul</v>
      </c>
      <c r="AJ2986" s="72">
        <v>0</v>
      </c>
      <c r="AK2986" s="72"/>
      <c r="AL2986" s="72"/>
      <c r="AM2986" s="72"/>
    </row>
    <row r="2987" spans="1:39" x14ac:dyDescent="0.25">
      <c r="A2987" s="37" t="s">
        <v>62</v>
      </c>
      <c r="B2987" s="66" t="s">
        <v>1676</v>
      </c>
      <c r="C2987" s="4">
        <v>1001</v>
      </c>
      <c r="D2987" s="41" t="s">
        <v>91</v>
      </c>
      <c r="E2987" s="41">
        <v>10010145</v>
      </c>
      <c r="F2987" s="85" t="s">
        <v>499</v>
      </c>
      <c r="G2987" s="39" t="s">
        <v>92</v>
      </c>
      <c r="H2987" s="52" t="s">
        <v>93</v>
      </c>
      <c r="I2987" s="52">
        <v>203.9</v>
      </c>
      <c r="J2987" s="49">
        <v>8175.68</v>
      </c>
      <c r="K2987" s="58">
        <v>199.79</v>
      </c>
      <c r="L2987" s="58">
        <v>8371.39</v>
      </c>
      <c r="M2987" s="58">
        <v>3.4500000000000006</v>
      </c>
      <c r="N2987" s="58">
        <v>128.71</v>
      </c>
      <c r="O2987" s="58">
        <v>203.23999999999998</v>
      </c>
      <c r="P2987" s="53">
        <v>8500.0999999999985</v>
      </c>
      <c r="Q2987" s="65">
        <v>8175.68</v>
      </c>
      <c r="R2987" s="65">
        <v>0</v>
      </c>
      <c r="S2987" s="65">
        <v>128.71</v>
      </c>
      <c r="T2987" s="65">
        <v>324.41999999999825</v>
      </c>
      <c r="U2987" s="58">
        <v>0</v>
      </c>
      <c r="V2987" s="65">
        <v>0</v>
      </c>
      <c r="W2987" s="65">
        <v>0</v>
      </c>
      <c r="X2987" s="65">
        <v>8047</v>
      </c>
      <c r="Y2987" s="65">
        <v>0</v>
      </c>
      <c r="Z2987" s="51">
        <v>0</v>
      </c>
      <c r="AA2987" s="51">
        <v>0</v>
      </c>
      <c r="AB2987" s="102">
        <v>0</v>
      </c>
      <c r="AC2987" s="81">
        <f t="shared" si="142"/>
        <v>397.83765061304558</v>
      </c>
      <c r="AD2987" s="82">
        <f t="shared" si="143"/>
        <v>29.12857142857143</v>
      </c>
      <c r="AE2987" s="218">
        <v>-3.9681102978589948E-2</v>
      </c>
      <c r="AF2987">
        <v>6</v>
      </c>
      <c r="AH2987" t="str">
        <f t="shared" si="141"/>
        <v>Majhaul</v>
      </c>
      <c r="AJ2987" s="72">
        <v>0</v>
      </c>
      <c r="AK2987" s="72"/>
      <c r="AL2987" s="72"/>
      <c r="AM2987" s="72"/>
    </row>
    <row r="2988" spans="1:39" x14ac:dyDescent="0.25">
      <c r="A2988" s="37" t="s">
        <v>62</v>
      </c>
      <c r="B2988" s="66" t="s">
        <v>1676</v>
      </c>
      <c r="C2988" s="4">
        <v>1001</v>
      </c>
      <c r="D2988" s="41" t="s">
        <v>91</v>
      </c>
      <c r="E2988" s="41">
        <v>10010146</v>
      </c>
      <c r="F2988" s="85" t="s">
        <v>1419</v>
      </c>
      <c r="G2988" s="39" t="s">
        <v>92</v>
      </c>
      <c r="H2988" s="52" t="s">
        <v>93</v>
      </c>
      <c r="I2988" s="52">
        <v>193.4</v>
      </c>
      <c r="J2988" s="49">
        <v>7807.45</v>
      </c>
      <c r="K2988" s="58">
        <v>193.78999999999996</v>
      </c>
      <c r="L2988" s="58">
        <v>7953.2999999999993</v>
      </c>
      <c r="M2988" s="58">
        <v>0</v>
      </c>
      <c r="N2988" s="58">
        <v>0</v>
      </c>
      <c r="O2988" s="58">
        <v>193.78999999999996</v>
      </c>
      <c r="P2988" s="53">
        <v>7953.2999999999993</v>
      </c>
      <c r="Q2988" s="65">
        <v>7807.45</v>
      </c>
      <c r="R2988" s="65">
        <v>0</v>
      </c>
      <c r="S2988" s="65">
        <v>0</v>
      </c>
      <c r="T2988" s="65">
        <v>145.84999999999945</v>
      </c>
      <c r="U2988" s="58">
        <v>0</v>
      </c>
      <c r="V2988" s="65">
        <v>0</v>
      </c>
      <c r="W2988" s="65">
        <v>0</v>
      </c>
      <c r="X2988" s="65">
        <v>7807</v>
      </c>
      <c r="Y2988" s="65">
        <v>0</v>
      </c>
      <c r="Z2988" s="51">
        <v>0</v>
      </c>
      <c r="AA2988" s="51">
        <v>0</v>
      </c>
      <c r="AB2988" s="102">
        <v>0</v>
      </c>
      <c r="AC2988" s="81">
        <f t="shared" si="142"/>
        <v>409.02318200620476</v>
      </c>
      <c r="AD2988" s="82">
        <f t="shared" si="143"/>
        <v>27.62857142857143</v>
      </c>
      <c r="AE2988" s="218">
        <v>-1.8680875317805361E-2</v>
      </c>
      <c r="AF2988">
        <v>3</v>
      </c>
      <c r="AH2988" t="str">
        <f t="shared" si="141"/>
        <v>Majhaul</v>
      </c>
      <c r="AJ2988" s="72">
        <v>0</v>
      </c>
      <c r="AK2988" s="72"/>
      <c r="AL2988" s="72"/>
      <c r="AM2988" s="72"/>
    </row>
    <row r="2989" spans="1:39" x14ac:dyDescent="0.25">
      <c r="A2989" s="37" t="s">
        <v>62</v>
      </c>
      <c r="B2989" s="66" t="s">
        <v>1676</v>
      </c>
      <c r="C2989" s="4">
        <v>1001</v>
      </c>
      <c r="D2989" s="41" t="s">
        <v>91</v>
      </c>
      <c r="E2989" s="41">
        <v>10010147</v>
      </c>
      <c r="F2989" s="85" t="s">
        <v>1420</v>
      </c>
      <c r="G2989" s="39" t="s">
        <v>1610</v>
      </c>
      <c r="H2989" s="52" t="s">
        <v>98</v>
      </c>
      <c r="I2989" s="52">
        <v>91.1</v>
      </c>
      <c r="J2989" s="49">
        <v>3998.5999999999995</v>
      </c>
      <c r="K2989" s="58">
        <v>0</v>
      </c>
      <c r="L2989" s="58">
        <v>0</v>
      </c>
      <c r="M2989" s="58">
        <v>0</v>
      </c>
      <c r="N2989" s="58">
        <v>0</v>
      </c>
      <c r="O2989" s="58">
        <v>0</v>
      </c>
      <c r="P2989" s="53">
        <v>0</v>
      </c>
      <c r="Q2989" s="65">
        <v>3998.5999999999995</v>
      </c>
      <c r="R2989" s="65">
        <v>0</v>
      </c>
      <c r="S2989" s="65">
        <v>0</v>
      </c>
      <c r="T2989" s="65">
        <v>0</v>
      </c>
      <c r="U2989" s="58">
        <v>0</v>
      </c>
      <c r="V2989" s="65">
        <v>0</v>
      </c>
      <c r="W2989" s="65">
        <v>0</v>
      </c>
      <c r="X2989" s="65">
        <v>0</v>
      </c>
      <c r="Y2989" s="65">
        <v>0</v>
      </c>
      <c r="Z2989" s="51">
        <v>3998.5999999999995</v>
      </c>
      <c r="AA2989" s="51">
        <v>0</v>
      </c>
      <c r="AB2989" s="102">
        <v>0</v>
      </c>
      <c r="AC2989" s="81">
        <f t="shared" si="142"/>
        <v>534.5219626783753</v>
      </c>
      <c r="AD2989" s="82">
        <f t="shared" si="143"/>
        <v>13.014285714285714</v>
      </c>
      <c r="AE2989" s="218">
        <v>0</v>
      </c>
      <c r="AF2989">
        <v>0</v>
      </c>
      <c r="AH2989" t="str">
        <f t="shared" si="141"/>
        <v>Majhaul</v>
      </c>
      <c r="AJ2989" s="72">
        <v>0</v>
      </c>
      <c r="AK2989" s="72"/>
      <c r="AL2989" s="72"/>
      <c r="AM2989" s="72"/>
    </row>
    <row r="2990" spans="1:39" x14ac:dyDescent="0.25">
      <c r="A2990" s="37" t="s">
        <v>62</v>
      </c>
      <c r="B2990" s="66" t="s">
        <v>1676</v>
      </c>
      <c r="C2990" s="4">
        <v>1001</v>
      </c>
      <c r="D2990" s="41" t="s">
        <v>91</v>
      </c>
      <c r="E2990" s="41">
        <v>10010148</v>
      </c>
      <c r="F2990" s="85" t="s">
        <v>1421</v>
      </c>
      <c r="G2990" s="39" t="s">
        <v>92</v>
      </c>
      <c r="H2990" s="52" t="s">
        <v>93</v>
      </c>
      <c r="I2990" s="52">
        <v>219.6</v>
      </c>
      <c r="J2990" s="49">
        <v>9482.4900000000016</v>
      </c>
      <c r="K2990" s="58">
        <v>223.78</v>
      </c>
      <c r="L2990" s="58">
        <v>9691.15</v>
      </c>
      <c r="M2990" s="58">
        <v>6.38</v>
      </c>
      <c r="N2990" s="58">
        <v>261.25</v>
      </c>
      <c r="O2990" s="58">
        <v>230.16</v>
      </c>
      <c r="P2990" s="53">
        <v>9952.4</v>
      </c>
      <c r="Q2990" s="65">
        <v>9482.4900000000016</v>
      </c>
      <c r="R2990" s="65">
        <v>0</v>
      </c>
      <c r="S2990" s="65">
        <v>261.25</v>
      </c>
      <c r="T2990" s="65">
        <v>469.90999999999804</v>
      </c>
      <c r="U2990" s="58">
        <v>0</v>
      </c>
      <c r="V2990" s="65">
        <v>0</v>
      </c>
      <c r="W2990" s="65">
        <v>0</v>
      </c>
      <c r="X2990" s="65">
        <v>9221</v>
      </c>
      <c r="Y2990" s="65">
        <v>0</v>
      </c>
      <c r="Z2990" s="51">
        <v>0</v>
      </c>
      <c r="AA2990" s="51">
        <v>0</v>
      </c>
      <c r="AB2990" s="102">
        <v>0</v>
      </c>
      <c r="AC2990" s="81">
        <f t="shared" si="142"/>
        <v>414.8805278688526</v>
      </c>
      <c r="AD2990" s="82">
        <f t="shared" si="143"/>
        <v>31.37142857142857</v>
      </c>
      <c r="AE2990" s="218">
        <v>-4.9555549228103374E-2</v>
      </c>
      <c r="AF2990">
        <v>7</v>
      </c>
      <c r="AH2990" t="str">
        <f t="shared" si="141"/>
        <v>Majhaul</v>
      </c>
      <c r="AJ2990" s="72">
        <v>0</v>
      </c>
      <c r="AK2990" s="72"/>
      <c r="AL2990" s="72"/>
      <c r="AM2990" s="72"/>
    </row>
    <row r="2991" spans="1:39" x14ac:dyDescent="0.25">
      <c r="A2991" s="37" t="s">
        <v>62</v>
      </c>
      <c r="B2991" s="66" t="s">
        <v>1676</v>
      </c>
      <c r="C2991" s="4">
        <v>1001</v>
      </c>
      <c r="D2991" s="41" t="s">
        <v>91</v>
      </c>
      <c r="E2991" s="41">
        <v>10010149</v>
      </c>
      <c r="F2991" s="85" t="s">
        <v>1422</v>
      </c>
      <c r="G2991" s="39" t="s">
        <v>92</v>
      </c>
      <c r="H2991" s="52" t="s">
        <v>93</v>
      </c>
      <c r="I2991" s="52">
        <v>138.4</v>
      </c>
      <c r="J2991" s="49">
        <v>5458.3499999999995</v>
      </c>
      <c r="K2991" s="58">
        <v>143.89999999999998</v>
      </c>
      <c r="L2991" s="58">
        <v>5619.9099999999962</v>
      </c>
      <c r="M2991" s="58">
        <v>0</v>
      </c>
      <c r="N2991" s="58">
        <v>0</v>
      </c>
      <c r="O2991" s="58">
        <v>143.89999999999998</v>
      </c>
      <c r="P2991" s="53">
        <v>5619.9099999999962</v>
      </c>
      <c r="Q2991" s="65">
        <v>5458.3499999999995</v>
      </c>
      <c r="R2991" s="65">
        <v>0</v>
      </c>
      <c r="S2991" s="65">
        <v>0</v>
      </c>
      <c r="T2991" s="65">
        <v>161.55999999999676</v>
      </c>
      <c r="U2991" s="58">
        <v>0</v>
      </c>
      <c r="V2991" s="65">
        <v>0</v>
      </c>
      <c r="W2991" s="65">
        <v>0</v>
      </c>
      <c r="X2991" s="65">
        <v>5458</v>
      </c>
      <c r="Y2991" s="65">
        <v>0</v>
      </c>
      <c r="Z2991" s="51">
        <v>0</v>
      </c>
      <c r="AA2991" s="51">
        <v>0</v>
      </c>
      <c r="AB2991" s="102">
        <v>0</v>
      </c>
      <c r="AC2991" s="81">
        <f t="shared" si="142"/>
        <v>442.97823121387279</v>
      </c>
      <c r="AD2991" s="82">
        <f t="shared" si="143"/>
        <v>19.771428571428572</v>
      </c>
      <c r="AE2991" s="218">
        <v>-2.9598688248279569E-2</v>
      </c>
      <c r="AF2991">
        <v>6</v>
      </c>
      <c r="AH2991" t="str">
        <f t="shared" si="141"/>
        <v>Majhaul</v>
      </c>
      <c r="AJ2991" s="72">
        <v>0</v>
      </c>
      <c r="AK2991" s="72"/>
      <c r="AL2991" s="72"/>
      <c r="AM2991" s="72"/>
    </row>
    <row r="2992" spans="1:39" x14ac:dyDescent="0.25">
      <c r="A2992" s="37" t="s">
        <v>62</v>
      </c>
      <c r="B2992" s="66" t="s">
        <v>1676</v>
      </c>
      <c r="C2992" s="4">
        <v>1001</v>
      </c>
      <c r="D2992" s="41" t="s">
        <v>91</v>
      </c>
      <c r="E2992" s="41">
        <v>10010151</v>
      </c>
      <c r="F2992" s="85" t="s">
        <v>1655</v>
      </c>
      <c r="G2992" s="39" t="s">
        <v>1610</v>
      </c>
      <c r="H2992" s="52" t="s">
        <v>98</v>
      </c>
      <c r="I2992" s="52">
        <v>205.89999999999998</v>
      </c>
      <c r="J2992" s="49">
        <v>7377.1</v>
      </c>
      <c r="K2992" s="58">
        <v>0</v>
      </c>
      <c r="L2992" s="58">
        <v>0</v>
      </c>
      <c r="M2992" s="58">
        <v>0</v>
      </c>
      <c r="N2992" s="58">
        <v>0</v>
      </c>
      <c r="O2992" s="58">
        <v>0</v>
      </c>
      <c r="P2992" s="53">
        <v>0</v>
      </c>
      <c r="Q2992" s="65">
        <v>7377.1</v>
      </c>
      <c r="R2992" s="65">
        <v>0</v>
      </c>
      <c r="S2992" s="65">
        <v>0</v>
      </c>
      <c r="T2992" s="65">
        <v>0</v>
      </c>
      <c r="U2992" s="58">
        <v>0</v>
      </c>
      <c r="V2992" s="65">
        <v>0</v>
      </c>
      <c r="W2992" s="65">
        <v>0</v>
      </c>
      <c r="X2992" s="65">
        <v>0</v>
      </c>
      <c r="Y2992" s="65">
        <v>0</v>
      </c>
      <c r="Z2992" s="51">
        <v>7377.1</v>
      </c>
      <c r="AA2992" s="51">
        <v>0</v>
      </c>
      <c r="AB2992" s="102">
        <v>0</v>
      </c>
      <c r="AC2992" s="81">
        <f t="shared" si="142"/>
        <v>354.05780573093739</v>
      </c>
      <c r="AD2992" s="82">
        <f t="shared" si="143"/>
        <v>29.414285714285711</v>
      </c>
      <c r="AE2992" s="218">
        <v>0</v>
      </c>
      <c r="AF2992">
        <v>0</v>
      </c>
      <c r="AH2992" t="str">
        <f t="shared" si="141"/>
        <v>Majhaul</v>
      </c>
      <c r="AJ2992" s="72">
        <v>0</v>
      </c>
      <c r="AK2992" s="72"/>
      <c r="AL2992" s="72"/>
      <c r="AM2992" s="72"/>
    </row>
    <row r="2993" spans="1:39" x14ac:dyDescent="0.25">
      <c r="A2993" s="37" t="s">
        <v>62</v>
      </c>
      <c r="B2993" s="66" t="s">
        <v>1676</v>
      </c>
      <c r="C2993" s="4">
        <v>1002</v>
      </c>
      <c r="D2993" s="41" t="s">
        <v>103</v>
      </c>
      <c r="E2993" s="41">
        <v>10020002</v>
      </c>
      <c r="F2993" s="85" t="s">
        <v>104</v>
      </c>
      <c r="G2993" s="39" t="s">
        <v>92</v>
      </c>
      <c r="H2993" s="52" t="s">
        <v>93</v>
      </c>
      <c r="I2993" s="52">
        <v>2851.9999999999995</v>
      </c>
      <c r="J2993" s="49">
        <v>129991.73</v>
      </c>
      <c r="K2993" s="58">
        <v>1775.1999999999998</v>
      </c>
      <c r="L2993" s="58">
        <v>86570.979999999981</v>
      </c>
      <c r="M2993" s="58">
        <v>1072.6999999999998</v>
      </c>
      <c r="N2993" s="58">
        <v>45404.89</v>
      </c>
      <c r="O2993" s="58">
        <v>2847.8999999999996</v>
      </c>
      <c r="P2993" s="53">
        <v>131975.87</v>
      </c>
      <c r="Q2993" s="65">
        <v>129991.73</v>
      </c>
      <c r="R2993" s="65">
        <v>0</v>
      </c>
      <c r="S2993" s="65">
        <v>983.69000000000017</v>
      </c>
      <c r="T2993" s="65">
        <v>1984.1399999999994</v>
      </c>
      <c r="U2993" s="58">
        <v>0</v>
      </c>
      <c r="V2993" s="65">
        <v>0</v>
      </c>
      <c r="W2993" s="65">
        <v>0</v>
      </c>
      <c r="X2993" s="65">
        <v>84587</v>
      </c>
      <c r="Y2993" s="65">
        <v>44421</v>
      </c>
      <c r="Z2993" s="51">
        <v>0</v>
      </c>
      <c r="AA2993" s="51">
        <v>0</v>
      </c>
      <c r="AB2993" s="102">
        <v>0</v>
      </c>
      <c r="AC2993" s="81">
        <f t="shared" si="142"/>
        <v>0</v>
      </c>
      <c r="AD2993" s="82">
        <f t="shared" si="143"/>
        <v>0</v>
      </c>
      <c r="AE2993" s="218">
        <v>-1.5263586383533779E-2</v>
      </c>
      <c r="AF2993">
        <v>14</v>
      </c>
      <c r="AH2993" t="str">
        <f t="shared" si="141"/>
        <v>Laldiyara</v>
      </c>
      <c r="AJ2993" s="72">
        <v>0</v>
      </c>
      <c r="AK2993" s="72"/>
      <c r="AL2993" s="72"/>
      <c r="AM2993" s="72"/>
    </row>
    <row r="2994" spans="1:39" x14ac:dyDescent="0.25">
      <c r="A2994" s="37" t="s">
        <v>62</v>
      </c>
      <c r="B2994" s="66" t="s">
        <v>1676</v>
      </c>
      <c r="C2994" s="4">
        <v>1002</v>
      </c>
      <c r="D2994" s="41" t="s">
        <v>103</v>
      </c>
      <c r="E2994" s="41">
        <v>10020004</v>
      </c>
      <c r="F2994" s="85" t="s">
        <v>105</v>
      </c>
      <c r="G2994" s="39" t="s">
        <v>92</v>
      </c>
      <c r="H2994" s="52" t="s">
        <v>93</v>
      </c>
      <c r="I2994" s="52">
        <v>533</v>
      </c>
      <c r="J2994" s="49">
        <v>21473.049999999996</v>
      </c>
      <c r="K2994" s="58">
        <v>532.79999999999995</v>
      </c>
      <c r="L2994" s="58">
        <v>21465.43</v>
      </c>
      <c r="M2994" s="58">
        <v>0</v>
      </c>
      <c r="N2994" s="58">
        <v>0</v>
      </c>
      <c r="O2994" s="58">
        <v>532.79999999999995</v>
      </c>
      <c r="P2994" s="53">
        <v>21465.43</v>
      </c>
      <c r="Q2994" s="65">
        <v>21465.43</v>
      </c>
      <c r="R2994" s="65">
        <v>0</v>
      </c>
      <c r="S2994" s="65">
        <v>0</v>
      </c>
      <c r="T2994" s="65">
        <v>0</v>
      </c>
      <c r="U2994" s="58">
        <v>0</v>
      </c>
      <c r="V2994" s="65">
        <v>0</v>
      </c>
      <c r="W2994" s="65">
        <v>0</v>
      </c>
      <c r="X2994" s="65">
        <v>21465</v>
      </c>
      <c r="Y2994" s="65">
        <v>0</v>
      </c>
      <c r="Z2994" s="51">
        <v>0</v>
      </c>
      <c r="AA2994" s="51">
        <v>8</v>
      </c>
      <c r="AB2994" s="102">
        <v>0</v>
      </c>
      <c r="AC2994" s="81">
        <f t="shared" si="142"/>
        <v>134.5590750469043</v>
      </c>
      <c r="AD2994" s="82">
        <f t="shared" si="143"/>
        <v>76.142857142857139</v>
      </c>
      <c r="AE2994" s="218">
        <v>3.5486342182388368E-4</v>
      </c>
      <c r="AF2994">
        <v>1</v>
      </c>
      <c r="AH2994" t="str">
        <f t="shared" si="141"/>
        <v>Laldiyara</v>
      </c>
      <c r="AJ2994" s="72">
        <v>0</v>
      </c>
      <c r="AK2994" s="72"/>
      <c r="AL2994" s="72"/>
      <c r="AM2994" s="72"/>
    </row>
    <row r="2995" spans="1:39" x14ac:dyDescent="0.25">
      <c r="A2995" s="37" t="s">
        <v>62</v>
      </c>
      <c r="B2995" s="66" t="s">
        <v>1676</v>
      </c>
      <c r="C2995" s="4">
        <v>1002</v>
      </c>
      <c r="D2995" s="41" t="s">
        <v>103</v>
      </c>
      <c r="E2995" s="41">
        <v>10020006</v>
      </c>
      <c r="F2995" s="85" t="s">
        <v>107</v>
      </c>
      <c r="G2995" s="39" t="s">
        <v>1610</v>
      </c>
      <c r="H2995" s="52" t="s">
        <v>98</v>
      </c>
      <c r="I2995" s="52">
        <v>150.80000000000001</v>
      </c>
      <c r="J2995" s="49">
        <v>5856.4599999999991</v>
      </c>
      <c r="K2995" s="58">
        <v>0</v>
      </c>
      <c r="L2995" s="58">
        <v>0</v>
      </c>
      <c r="M2995" s="58">
        <v>0</v>
      </c>
      <c r="N2995" s="58">
        <v>0</v>
      </c>
      <c r="O2995" s="58">
        <v>0</v>
      </c>
      <c r="P2995" s="53">
        <v>0</v>
      </c>
      <c r="Q2995" s="65">
        <v>5856.4599999999991</v>
      </c>
      <c r="R2995" s="65">
        <v>0</v>
      </c>
      <c r="S2995" s="65">
        <v>0</v>
      </c>
      <c r="T2995" s="65">
        <v>0</v>
      </c>
      <c r="U2995" s="58">
        <v>0</v>
      </c>
      <c r="V2995" s="65">
        <v>0</v>
      </c>
      <c r="W2995" s="65">
        <v>0</v>
      </c>
      <c r="X2995" s="65">
        <v>0</v>
      </c>
      <c r="Y2995" s="65">
        <v>0</v>
      </c>
      <c r="Z2995" s="51">
        <v>5856.4599999999991</v>
      </c>
      <c r="AA2995" s="51">
        <v>0</v>
      </c>
      <c r="AB2995" s="102">
        <v>0</v>
      </c>
      <c r="AC2995" s="81">
        <f t="shared" si="142"/>
        <v>426.57398302387264</v>
      </c>
      <c r="AD2995" s="82">
        <f t="shared" si="143"/>
        <v>21.542857142857144</v>
      </c>
      <c r="AE2995" s="218">
        <v>0</v>
      </c>
      <c r="AF2995">
        <v>0</v>
      </c>
      <c r="AH2995" t="str">
        <f t="shared" si="141"/>
        <v>Laldiyara</v>
      </c>
      <c r="AJ2995" s="72">
        <v>0</v>
      </c>
      <c r="AK2995" s="72"/>
      <c r="AL2995" s="72"/>
      <c r="AM2995" s="72"/>
    </row>
    <row r="2996" spans="1:39" x14ac:dyDescent="0.25">
      <c r="A2996" s="37" t="s">
        <v>62</v>
      </c>
      <c r="B2996" s="66" t="s">
        <v>1676</v>
      </c>
      <c r="C2996" s="4">
        <v>1002</v>
      </c>
      <c r="D2996" s="41" t="s">
        <v>103</v>
      </c>
      <c r="E2996" s="41">
        <v>10020007</v>
      </c>
      <c r="F2996" s="85" t="s">
        <v>108</v>
      </c>
      <c r="G2996" s="39" t="s">
        <v>1610</v>
      </c>
      <c r="H2996" s="52" t="s">
        <v>98</v>
      </c>
      <c r="I2996" s="52">
        <v>222.60000000000002</v>
      </c>
      <c r="J2996" s="49">
        <v>9162.61</v>
      </c>
      <c r="K2996" s="58">
        <v>0</v>
      </c>
      <c r="L2996" s="58">
        <v>0</v>
      </c>
      <c r="M2996" s="58">
        <v>0</v>
      </c>
      <c r="N2996" s="58">
        <v>0</v>
      </c>
      <c r="O2996" s="58">
        <v>0</v>
      </c>
      <c r="P2996" s="53">
        <v>0</v>
      </c>
      <c r="Q2996" s="65">
        <v>9162.61</v>
      </c>
      <c r="R2996" s="65">
        <v>0</v>
      </c>
      <c r="S2996" s="65">
        <v>0</v>
      </c>
      <c r="T2996" s="65">
        <v>0</v>
      </c>
      <c r="U2996" s="58">
        <v>0</v>
      </c>
      <c r="V2996" s="65">
        <v>0</v>
      </c>
      <c r="W2996" s="65">
        <v>0</v>
      </c>
      <c r="X2996" s="65">
        <v>0</v>
      </c>
      <c r="Y2996" s="65">
        <v>0</v>
      </c>
      <c r="Z2996" s="51">
        <v>9162.61</v>
      </c>
      <c r="AA2996" s="51">
        <v>0</v>
      </c>
      <c r="AB2996" s="102">
        <v>0</v>
      </c>
      <c r="AC2996" s="81">
        <f t="shared" si="142"/>
        <v>393.01257987421371</v>
      </c>
      <c r="AD2996" s="82">
        <f t="shared" si="143"/>
        <v>31.800000000000004</v>
      </c>
      <c r="AE2996" s="218">
        <v>0</v>
      </c>
      <c r="AF2996">
        <v>0</v>
      </c>
      <c r="AH2996" t="str">
        <f t="shared" si="141"/>
        <v>Laldiyara</v>
      </c>
      <c r="AJ2996" s="72">
        <v>0</v>
      </c>
      <c r="AK2996" s="72"/>
      <c r="AL2996" s="72"/>
      <c r="AM2996" s="72"/>
    </row>
    <row r="2997" spans="1:39" x14ac:dyDescent="0.25">
      <c r="A2997" s="37" t="s">
        <v>62</v>
      </c>
      <c r="B2997" s="66" t="s">
        <v>1676</v>
      </c>
      <c r="C2997" s="4">
        <v>1002</v>
      </c>
      <c r="D2997" s="41" t="s">
        <v>103</v>
      </c>
      <c r="E2997" s="41">
        <v>10020008</v>
      </c>
      <c r="F2997" s="85" t="s">
        <v>109</v>
      </c>
      <c r="G2997" s="39" t="s">
        <v>1610</v>
      </c>
      <c r="H2997" s="52" t="s">
        <v>98</v>
      </c>
      <c r="I2997" s="52">
        <v>1486</v>
      </c>
      <c r="J2997" s="49">
        <v>61446.54</v>
      </c>
      <c r="K2997" s="58">
        <v>0</v>
      </c>
      <c r="L2997" s="58">
        <v>0</v>
      </c>
      <c r="M2997" s="58">
        <v>0</v>
      </c>
      <c r="N2997" s="58">
        <v>0</v>
      </c>
      <c r="O2997" s="58">
        <v>0</v>
      </c>
      <c r="P2997" s="53">
        <v>0</v>
      </c>
      <c r="Q2997" s="65">
        <v>61446.54</v>
      </c>
      <c r="R2997" s="65">
        <v>0</v>
      </c>
      <c r="S2997" s="65">
        <v>0</v>
      </c>
      <c r="T2997" s="65">
        <v>0</v>
      </c>
      <c r="U2997" s="58">
        <v>0</v>
      </c>
      <c r="V2997" s="65">
        <v>0</v>
      </c>
      <c r="W2997" s="65">
        <v>0</v>
      </c>
      <c r="X2997" s="65">
        <v>0</v>
      </c>
      <c r="Y2997" s="65">
        <v>0</v>
      </c>
      <c r="Z2997" s="51">
        <v>61446.54</v>
      </c>
      <c r="AA2997" s="51">
        <v>0</v>
      </c>
      <c r="AB2997" s="102">
        <v>0</v>
      </c>
      <c r="AC2997" s="81">
        <f t="shared" si="142"/>
        <v>0</v>
      </c>
      <c r="AD2997" s="82">
        <f t="shared" si="143"/>
        <v>0</v>
      </c>
      <c r="AE2997" s="218">
        <v>0</v>
      </c>
      <c r="AF2997">
        <v>0</v>
      </c>
      <c r="AH2997" t="str">
        <f t="shared" ref="AH2997:AH3060" si="144">TEXT(D2997,"0000")</f>
        <v>Laldiyara</v>
      </c>
      <c r="AJ2997" s="72">
        <v>0</v>
      </c>
      <c r="AK2997" s="72"/>
      <c r="AL2997" s="72"/>
      <c r="AM2997" s="72"/>
    </row>
    <row r="2998" spans="1:39" x14ac:dyDescent="0.25">
      <c r="A2998" s="37" t="s">
        <v>62</v>
      </c>
      <c r="B2998" s="66" t="s">
        <v>1676</v>
      </c>
      <c r="C2998" s="4">
        <v>1002</v>
      </c>
      <c r="D2998" s="41" t="s">
        <v>103</v>
      </c>
      <c r="E2998" s="41">
        <v>10020010</v>
      </c>
      <c r="F2998" s="85" t="s">
        <v>1206</v>
      </c>
      <c r="G2998" s="39" t="s">
        <v>92</v>
      </c>
      <c r="H2998" s="52" t="s">
        <v>93</v>
      </c>
      <c r="I2998" s="52">
        <v>58.5</v>
      </c>
      <c r="J2998" s="49">
        <v>2396.66</v>
      </c>
      <c r="K2998" s="58">
        <v>58.5</v>
      </c>
      <c r="L2998" s="58">
        <v>2342.54</v>
      </c>
      <c r="M2998" s="58">
        <v>0.4</v>
      </c>
      <c r="N2998" s="58">
        <v>14.489999999999998</v>
      </c>
      <c r="O2998" s="58">
        <v>58.9</v>
      </c>
      <c r="P2998" s="53">
        <v>2357.0299999999997</v>
      </c>
      <c r="Q2998" s="65">
        <v>2357.0299999999997</v>
      </c>
      <c r="R2998" s="65">
        <v>0</v>
      </c>
      <c r="S2998" s="65">
        <v>14.489999999999998</v>
      </c>
      <c r="T2998" s="65">
        <v>0</v>
      </c>
      <c r="U2998" s="58">
        <v>0</v>
      </c>
      <c r="V2998" s="65">
        <v>0</v>
      </c>
      <c r="W2998" s="65">
        <v>0</v>
      </c>
      <c r="X2998" s="65">
        <v>2342</v>
      </c>
      <c r="Y2998" s="65">
        <v>0</v>
      </c>
      <c r="Z2998" s="51">
        <v>0</v>
      </c>
      <c r="AA2998" s="51">
        <v>40</v>
      </c>
      <c r="AB2998" s="102">
        <v>0</v>
      </c>
      <c r="AC2998" s="81">
        <f t="shared" si="142"/>
        <v>525.62645811965808</v>
      </c>
      <c r="AD2998" s="82">
        <f t="shared" si="143"/>
        <v>8.3571428571428577</v>
      </c>
      <c r="AE2998" s="218">
        <v>1.6535511920756432E-2</v>
      </c>
      <c r="AF2998">
        <v>4</v>
      </c>
      <c r="AH2998" t="str">
        <f t="shared" si="144"/>
        <v>Laldiyara</v>
      </c>
      <c r="AJ2998" s="72">
        <v>0</v>
      </c>
      <c r="AK2998" s="72"/>
      <c r="AL2998" s="72"/>
      <c r="AM2998" s="72"/>
    </row>
    <row r="2999" spans="1:39" x14ac:dyDescent="0.25">
      <c r="A2999" s="37" t="s">
        <v>62</v>
      </c>
      <c r="B2999" s="66" t="s">
        <v>1676</v>
      </c>
      <c r="C2999" s="4">
        <v>1002</v>
      </c>
      <c r="D2999" s="41" t="s">
        <v>103</v>
      </c>
      <c r="E2999" s="41">
        <v>10020013</v>
      </c>
      <c r="F2999" s="85" t="s">
        <v>597</v>
      </c>
      <c r="G2999" s="39" t="s">
        <v>1610</v>
      </c>
      <c r="H2999" s="52" t="s">
        <v>98</v>
      </c>
      <c r="I2999" s="52">
        <v>1343.3</v>
      </c>
      <c r="J2999" s="49">
        <v>54733.83</v>
      </c>
      <c r="K2999" s="58">
        <v>0</v>
      </c>
      <c r="L2999" s="58">
        <v>0</v>
      </c>
      <c r="M2999" s="58">
        <v>0</v>
      </c>
      <c r="N2999" s="58">
        <v>0</v>
      </c>
      <c r="O2999" s="58">
        <v>0</v>
      </c>
      <c r="P2999" s="53">
        <v>0</v>
      </c>
      <c r="Q2999" s="65">
        <v>54733.83</v>
      </c>
      <c r="R2999" s="65">
        <v>0</v>
      </c>
      <c r="S2999" s="65">
        <v>0</v>
      </c>
      <c r="T2999" s="65">
        <v>0</v>
      </c>
      <c r="U2999" s="58">
        <v>0</v>
      </c>
      <c r="V2999" s="65">
        <v>0</v>
      </c>
      <c r="W2999" s="65">
        <v>0</v>
      </c>
      <c r="X2999" s="65">
        <v>0</v>
      </c>
      <c r="Y2999" s="65">
        <v>0</v>
      </c>
      <c r="Z2999" s="51">
        <v>54733.83</v>
      </c>
      <c r="AA2999" s="51">
        <v>0</v>
      </c>
      <c r="AB2999" s="102">
        <v>0</v>
      </c>
      <c r="AC2999" s="81">
        <f t="shared" si="142"/>
        <v>0</v>
      </c>
      <c r="AD2999" s="82">
        <f t="shared" si="143"/>
        <v>0</v>
      </c>
      <c r="AE2999" s="218">
        <v>0</v>
      </c>
      <c r="AF2999">
        <v>0</v>
      </c>
      <c r="AH2999" t="str">
        <f t="shared" si="144"/>
        <v>Laldiyara</v>
      </c>
      <c r="AJ2999" s="72">
        <v>0</v>
      </c>
      <c r="AK2999" s="72"/>
      <c r="AL2999" s="72"/>
      <c r="AM2999" s="72"/>
    </row>
    <row r="3000" spans="1:39" x14ac:dyDescent="0.25">
      <c r="A3000" s="37" t="s">
        <v>62</v>
      </c>
      <c r="B3000" s="66" t="s">
        <v>1676</v>
      </c>
      <c r="C3000" s="4">
        <v>1002</v>
      </c>
      <c r="D3000" s="41" t="s">
        <v>103</v>
      </c>
      <c r="E3000" s="41">
        <v>10020015</v>
      </c>
      <c r="F3000" s="85" t="s">
        <v>110</v>
      </c>
      <c r="G3000" s="39" t="s">
        <v>1610</v>
      </c>
      <c r="H3000" s="52" t="s">
        <v>98</v>
      </c>
      <c r="I3000" s="52">
        <v>28921</v>
      </c>
      <c r="J3000" s="49">
        <v>1156143.8</v>
      </c>
      <c r="K3000" s="58">
        <v>0</v>
      </c>
      <c r="L3000" s="58">
        <v>0</v>
      </c>
      <c r="M3000" s="58">
        <v>0</v>
      </c>
      <c r="N3000" s="58">
        <v>0</v>
      </c>
      <c r="O3000" s="58">
        <v>0</v>
      </c>
      <c r="P3000" s="53">
        <v>0</v>
      </c>
      <c r="Q3000" s="65">
        <v>1156143.8</v>
      </c>
      <c r="R3000" s="65">
        <v>0</v>
      </c>
      <c r="S3000" s="65">
        <v>0</v>
      </c>
      <c r="T3000" s="65">
        <v>0</v>
      </c>
      <c r="U3000" s="58">
        <v>0</v>
      </c>
      <c r="V3000" s="65">
        <v>0</v>
      </c>
      <c r="W3000" s="65">
        <v>0</v>
      </c>
      <c r="X3000" s="65">
        <v>0</v>
      </c>
      <c r="Y3000" s="65">
        <v>0</v>
      </c>
      <c r="Z3000" s="51">
        <v>1156143.8</v>
      </c>
      <c r="AA3000" s="51">
        <v>0</v>
      </c>
      <c r="AB3000" s="102">
        <v>0</v>
      </c>
      <c r="AC3000" s="81">
        <f t="shared" si="142"/>
        <v>0</v>
      </c>
      <c r="AD3000" s="82">
        <f t="shared" si="143"/>
        <v>0</v>
      </c>
      <c r="AE3000" s="218">
        <v>0</v>
      </c>
      <c r="AF3000">
        <v>0</v>
      </c>
      <c r="AH3000" t="str">
        <f t="shared" si="144"/>
        <v>Laldiyara</v>
      </c>
      <c r="AJ3000" s="72">
        <v>0</v>
      </c>
      <c r="AK3000" s="72"/>
      <c r="AL3000" s="72"/>
      <c r="AM3000" s="72"/>
    </row>
    <row r="3001" spans="1:39" x14ac:dyDescent="0.25">
      <c r="A3001" s="37" t="s">
        <v>62</v>
      </c>
      <c r="B3001" s="66" t="s">
        <v>1676</v>
      </c>
      <c r="C3001" s="4">
        <v>1002</v>
      </c>
      <c r="D3001" s="41" t="s">
        <v>103</v>
      </c>
      <c r="E3001" s="41">
        <v>10020016</v>
      </c>
      <c r="F3001" s="85" t="s">
        <v>111</v>
      </c>
      <c r="G3001" s="39" t="s">
        <v>1610</v>
      </c>
      <c r="H3001" s="52" t="s">
        <v>98</v>
      </c>
      <c r="I3001" s="52">
        <v>28930.800000000003</v>
      </c>
      <c r="J3001" s="49">
        <v>1155498.9200000002</v>
      </c>
      <c r="K3001" s="58">
        <v>0</v>
      </c>
      <c r="L3001" s="58">
        <v>0</v>
      </c>
      <c r="M3001" s="58">
        <v>0</v>
      </c>
      <c r="N3001" s="58">
        <v>0</v>
      </c>
      <c r="O3001" s="58">
        <v>0</v>
      </c>
      <c r="P3001" s="53">
        <v>0</v>
      </c>
      <c r="Q3001" s="65">
        <v>1155498.9200000002</v>
      </c>
      <c r="R3001" s="65">
        <v>0</v>
      </c>
      <c r="S3001" s="65">
        <v>0</v>
      </c>
      <c r="T3001" s="65">
        <v>0</v>
      </c>
      <c r="U3001" s="58">
        <v>0</v>
      </c>
      <c r="V3001" s="65">
        <v>0</v>
      </c>
      <c r="W3001" s="65">
        <v>0</v>
      </c>
      <c r="X3001" s="65">
        <v>0</v>
      </c>
      <c r="Y3001" s="65">
        <v>0</v>
      </c>
      <c r="Z3001" s="51">
        <v>1155498.9200000002</v>
      </c>
      <c r="AA3001" s="51">
        <v>0</v>
      </c>
      <c r="AB3001" s="102">
        <v>0</v>
      </c>
      <c r="AC3001" s="81">
        <f t="shared" si="142"/>
        <v>0</v>
      </c>
      <c r="AD3001" s="82">
        <f t="shared" si="143"/>
        <v>0</v>
      </c>
      <c r="AE3001" s="218">
        <v>0</v>
      </c>
      <c r="AF3001">
        <v>0</v>
      </c>
      <c r="AH3001" t="str">
        <f t="shared" si="144"/>
        <v>Laldiyara</v>
      </c>
      <c r="AJ3001" s="72">
        <v>0</v>
      </c>
      <c r="AK3001" s="72"/>
      <c r="AL3001" s="72"/>
      <c r="AM3001" s="72"/>
    </row>
    <row r="3002" spans="1:39" x14ac:dyDescent="0.25">
      <c r="A3002" s="37" t="s">
        <v>62</v>
      </c>
      <c r="B3002" s="66" t="s">
        <v>1676</v>
      </c>
      <c r="C3002" s="4">
        <v>1002</v>
      </c>
      <c r="D3002" s="41" t="s">
        <v>103</v>
      </c>
      <c r="E3002" s="41">
        <v>10020017</v>
      </c>
      <c r="F3002" s="85" t="s">
        <v>112</v>
      </c>
      <c r="G3002" s="39" t="s">
        <v>92</v>
      </c>
      <c r="H3002" s="52" t="s">
        <v>93</v>
      </c>
      <c r="I3002" s="52">
        <v>3960.5000000000005</v>
      </c>
      <c r="J3002" s="49">
        <v>164438.74</v>
      </c>
      <c r="K3002" s="58">
        <v>4458.800000000002</v>
      </c>
      <c r="L3002" s="58">
        <v>163624.92000000001</v>
      </c>
      <c r="M3002" s="58">
        <v>33.1</v>
      </c>
      <c r="N3002" s="58">
        <v>1518.32</v>
      </c>
      <c r="O3002" s="58">
        <v>4491.9000000000024</v>
      </c>
      <c r="P3002" s="53">
        <v>165143.24000000002</v>
      </c>
      <c r="Q3002" s="65">
        <v>164438.74</v>
      </c>
      <c r="R3002" s="65">
        <v>0</v>
      </c>
      <c r="S3002" s="65">
        <v>1518.32</v>
      </c>
      <c r="T3002" s="65">
        <v>704.5000000000291</v>
      </c>
      <c r="U3002" s="58">
        <v>0</v>
      </c>
      <c r="V3002" s="65">
        <v>0</v>
      </c>
      <c r="W3002" s="65">
        <v>0</v>
      </c>
      <c r="X3002" s="65">
        <v>162920</v>
      </c>
      <c r="Y3002" s="65">
        <v>0</v>
      </c>
      <c r="Z3002" s="51">
        <v>0</v>
      </c>
      <c r="AA3002" s="51">
        <v>0</v>
      </c>
      <c r="AB3002" s="102">
        <v>0</v>
      </c>
      <c r="AC3002" s="81">
        <f t="shared" si="142"/>
        <v>0</v>
      </c>
      <c r="AD3002" s="82">
        <f t="shared" si="143"/>
        <v>0</v>
      </c>
      <c r="AE3002" s="218">
        <v>-4.2842702394826739E-3</v>
      </c>
      <c r="AF3002">
        <v>61</v>
      </c>
      <c r="AH3002" t="str">
        <f t="shared" si="144"/>
        <v>Laldiyara</v>
      </c>
      <c r="AJ3002" s="72">
        <v>0</v>
      </c>
      <c r="AK3002" s="72"/>
      <c r="AL3002" s="72"/>
      <c r="AM3002" s="72"/>
    </row>
    <row r="3003" spans="1:39" x14ac:dyDescent="0.25">
      <c r="A3003" s="37" t="s">
        <v>62</v>
      </c>
      <c r="B3003" s="66" t="s">
        <v>1676</v>
      </c>
      <c r="C3003" s="4">
        <v>1002</v>
      </c>
      <c r="D3003" s="41" t="s">
        <v>103</v>
      </c>
      <c r="E3003" s="41">
        <v>10020018</v>
      </c>
      <c r="F3003" s="85" t="s">
        <v>1639</v>
      </c>
      <c r="G3003" s="39" t="s">
        <v>1610</v>
      </c>
      <c r="H3003" s="52" t="s">
        <v>98</v>
      </c>
      <c r="I3003" s="52">
        <v>31</v>
      </c>
      <c r="J3003" s="49">
        <v>1521.17</v>
      </c>
      <c r="K3003" s="58">
        <v>0</v>
      </c>
      <c r="L3003" s="58">
        <v>0</v>
      </c>
      <c r="M3003" s="58">
        <v>0</v>
      </c>
      <c r="N3003" s="58">
        <v>0</v>
      </c>
      <c r="O3003" s="58">
        <v>0</v>
      </c>
      <c r="P3003" s="53">
        <v>0</v>
      </c>
      <c r="Q3003" s="65">
        <v>1521.17</v>
      </c>
      <c r="R3003" s="65">
        <v>0</v>
      </c>
      <c r="S3003" s="65">
        <v>0</v>
      </c>
      <c r="T3003" s="65">
        <v>0</v>
      </c>
      <c r="U3003" s="58">
        <v>0</v>
      </c>
      <c r="V3003" s="65">
        <v>0</v>
      </c>
      <c r="W3003" s="65">
        <v>0</v>
      </c>
      <c r="X3003" s="65">
        <v>0</v>
      </c>
      <c r="Y3003" s="65">
        <v>0</v>
      </c>
      <c r="Z3003" s="51">
        <v>1521.17</v>
      </c>
      <c r="AA3003" s="51">
        <v>0</v>
      </c>
      <c r="AB3003" s="102">
        <v>0</v>
      </c>
      <c r="AC3003" s="81">
        <f t="shared" ref="AC3003:AC3066" si="145">((IF(AD3003=0,0,100-AD3003))*7*(J3003/I3003))*2%</f>
        <v>656.5566</v>
      </c>
      <c r="AD3003" s="82">
        <f t="shared" ref="AD3003:AD3066" si="146">IF((I3003/7)&gt;100,0,(I3003/7))</f>
        <v>4.4285714285714288</v>
      </c>
      <c r="AE3003" s="218">
        <v>0</v>
      </c>
      <c r="AF3003">
        <v>0</v>
      </c>
      <c r="AH3003" t="str">
        <f t="shared" si="144"/>
        <v>Laldiyara</v>
      </c>
      <c r="AJ3003" s="72">
        <v>0</v>
      </c>
      <c r="AK3003" s="72"/>
      <c r="AL3003" s="72"/>
      <c r="AM3003" s="72"/>
    </row>
    <row r="3004" spans="1:39" x14ac:dyDescent="0.25">
      <c r="A3004" s="37" t="s">
        <v>62</v>
      </c>
      <c r="B3004" s="66" t="s">
        <v>1676</v>
      </c>
      <c r="C3004" s="4">
        <v>1002</v>
      </c>
      <c r="D3004" s="41" t="s">
        <v>103</v>
      </c>
      <c r="E3004" s="41">
        <v>10020021</v>
      </c>
      <c r="F3004" s="85" t="s">
        <v>113</v>
      </c>
      <c r="G3004" s="39" t="s">
        <v>92</v>
      </c>
      <c r="H3004" s="52" t="s">
        <v>93</v>
      </c>
      <c r="I3004" s="52">
        <v>3741.2000000000003</v>
      </c>
      <c r="J3004" s="49">
        <v>161981.51</v>
      </c>
      <c r="K3004" s="58">
        <v>3439.3</v>
      </c>
      <c r="L3004" s="58">
        <v>150010.46000000002</v>
      </c>
      <c r="M3004" s="58">
        <v>387.70000000000005</v>
      </c>
      <c r="N3004" s="58">
        <v>15971.059999999998</v>
      </c>
      <c r="O3004" s="58">
        <v>3827</v>
      </c>
      <c r="P3004" s="53">
        <v>165981.52000000002</v>
      </c>
      <c r="Q3004" s="65">
        <v>161981.51</v>
      </c>
      <c r="R3004" s="65">
        <v>0</v>
      </c>
      <c r="S3004" s="65">
        <v>1319.48</v>
      </c>
      <c r="T3004" s="65">
        <v>4000.0100000000093</v>
      </c>
      <c r="U3004" s="58">
        <v>0</v>
      </c>
      <c r="V3004" s="65">
        <v>0</v>
      </c>
      <c r="W3004" s="65">
        <v>0</v>
      </c>
      <c r="X3004" s="65">
        <v>146011</v>
      </c>
      <c r="Y3004" s="65">
        <v>14651</v>
      </c>
      <c r="Z3004" s="51">
        <v>0</v>
      </c>
      <c r="AA3004" s="51">
        <v>0</v>
      </c>
      <c r="AB3004" s="102">
        <v>0</v>
      </c>
      <c r="AC3004" s="81">
        <f t="shared" si="145"/>
        <v>0</v>
      </c>
      <c r="AD3004" s="82">
        <f t="shared" si="146"/>
        <v>0</v>
      </c>
      <c r="AE3004" s="218">
        <v>-2.4694238249785481E-2</v>
      </c>
      <c r="AF3004">
        <v>31</v>
      </c>
      <c r="AH3004" t="str">
        <f t="shared" si="144"/>
        <v>Laldiyara</v>
      </c>
      <c r="AJ3004" s="72">
        <v>0</v>
      </c>
      <c r="AK3004" s="72"/>
      <c r="AL3004" s="72"/>
      <c r="AM3004" s="72"/>
    </row>
    <row r="3005" spans="1:39" x14ac:dyDescent="0.25">
      <c r="A3005" s="37" t="s">
        <v>62</v>
      </c>
      <c r="B3005" s="66" t="s">
        <v>1676</v>
      </c>
      <c r="C3005" s="4">
        <v>1002</v>
      </c>
      <c r="D3005" s="41" t="s">
        <v>103</v>
      </c>
      <c r="E3005" s="41">
        <v>10020023</v>
      </c>
      <c r="F3005" s="85" t="s">
        <v>115</v>
      </c>
      <c r="G3005" s="39" t="s">
        <v>92</v>
      </c>
      <c r="H3005" s="52" t="s">
        <v>93</v>
      </c>
      <c r="I3005" s="52">
        <v>857.80000000000018</v>
      </c>
      <c r="J3005" s="49">
        <v>33634.810000000005</v>
      </c>
      <c r="K3005" s="58">
        <v>845.0999999999998</v>
      </c>
      <c r="L3005" s="58">
        <v>32867.550000000003</v>
      </c>
      <c r="M3005" s="58">
        <v>7</v>
      </c>
      <c r="N3005" s="58">
        <v>263.63</v>
      </c>
      <c r="O3005" s="58">
        <v>852.0999999999998</v>
      </c>
      <c r="P3005" s="53">
        <v>33131.18</v>
      </c>
      <c r="Q3005" s="65">
        <v>33131.18</v>
      </c>
      <c r="R3005" s="65">
        <v>0</v>
      </c>
      <c r="S3005" s="65">
        <v>263.63</v>
      </c>
      <c r="T3005" s="65">
        <v>0</v>
      </c>
      <c r="U3005" s="58">
        <v>0</v>
      </c>
      <c r="V3005" s="65">
        <v>0</v>
      </c>
      <c r="W3005" s="65">
        <v>0</v>
      </c>
      <c r="X3005" s="65">
        <v>32869</v>
      </c>
      <c r="Y3005" s="65">
        <v>0</v>
      </c>
      <c r="Z3005" s="51">
        <v>0</v>
      </c>
      <c r="AA3005" s="51">
        <v>502</v>
      </c>
      <c r="AB3005" s="102">
        <v>0</v>
      </c>
      <c r="AC3005" s="81">
        <f t="shared" si="145"/>
        <v>0</v>
      </c>
      <c r="AD3005" s="82">
        <f t="shared" si="146"/>
        <v>0</v>
      </c>
      <c r="AE3005" s="218">
        <v>1.4973475396471828E-2</v>
      </c>
      <c r="AF3005">
        <v>21</v>
      </c>
      <c r="AH3005" t="str">
        <f t="shared" si="144"/>
        <v>Laldiyara</v>
      </c>
      <c r="AJ3005" s="72">
        <v>0</v>
      </c>
      <c r="AK3005" s="72"/>
      <c r="AL3005" s="72"/>
      <c r="AM3005" s="72"/>
    </row>
    <row r="3006" spans="1:39" x14ac:dyDescent="0.25">
      <c r="A3006" s="37" t="s">
        <v>62</v>
      </c>
      <c r="B3006" s="66" t="s">
        <v>1676</v>
      </c>
      <c r="C3006" s="4">
        <v>1002</v>
      </c>
      <c r="D3006" s="41" t="s">
        <v>103</v>
      </c>
      <c r="E3006" s="41">
        <v>10020024</v>
      </c>
      <c r="F3006" s="85" t="s">
        <v>116</v>
      </c>
      <c r="G3006" s="39" t="s">
        <v>92</v>
      </c>
      <c r="H3006" s="52" t="s">
        <v>93</v>
      </c>
      <c r="I3006" s="52">
        <v>2923.8999999999996</v>
      </c>
      <c r="J3006" s="49">
        <v>119845.64</v>
      </c>
      <c r="K3006" s="58">
        <v>2906.2799999999988</v>
      </c>
      <c r="L3006" s="58">
        <v>122038.67000000001</v>
      </c>
      <c r="M3006" s="58">
        <v>0</v>
      </c>
      <c r="N3006" s="58">
        <v>0</v>
      </c>
      <c r="O3006" s="58">
        <v>2906.2799999999988</v>
      </c>
      <c r="P3006" s="53">
        <v>122038.67000000001</v>
      </c>
      <c r="Q3006" s="65">
        <v>119845.64</v>
      </c>
      <c r="R3006" s="65">
        <v>0</v>
      </c>
      <c r="S3006" s="65">
        <v>0</v>
      </c>
      <c r="T3006" s="65">
        <v>2193.0300000000134</v>
      </c>
      <c r="U3006" s="58">
        <v>0</v>
      </c>
      <c r="V3006" s="65">
        <v>0</v>
      </c>
      <c r="W3006" s="65">
        <v>0</v>
      </c>
      <c r="X3006" s="65">
        <v>119846</v>
      </c>
      <c r="Y3006" s="65">
        <v>0</v>
      </c>
      <c r="Z3006" s="51">
        <v>0</v>
      </c>
      <c r="AA3006" s="51">
        <v>0</v>
      </c>
      <c r="AB3006" s="102">
        <v>0</v>
      </c>
      <c r="AC3006" s="81">
        <f t="shared" si="145"/>
        <v>0</v>
      </c>
      <c r="AD3006" s="82">
        <f t="shared" si="146"/>
        <v>0</v>
      </c>
      <c r="AE3006" s="218">
        <v>-1.829878834140327E-2</v>
      </c>
      <c r="AF3006">
        <v>62</v>
      </c>
      <c r="AH3006" t="str">
        <f t="shared" si="144"/>
        <v>Laldiyara</v>
      </c>
      <c r="AJ3006" s="72">
        <v>0</v>
      </c>
      <c r="AK3006" s="72"/>
      <c r="AL3006" s="72"/>
      <c r="AM3006" s="72"/>
    </row>
    <row r="3007" spans="1:39" x14ac:dyDescent="0.25">
      <c r="A3007" s="37" t="s">
        <v>62</v>
      </c>
      <c r="B3007" s="66" t="s">
        <v>1676</v>
      </c>
      <c r="C3007" s="4">
        <v>1002</v>
      </c>
      <c r="D3007" s="41" t="s">
        <v>103</v>
      </c>
      <c r="E3007" s="41">
        <v>10020025</v>
      </c>
      <c r="F3007" s="85" t="s">
        <v>117</v>
      </c>
      <c r="G3007" s="39" t="s">
        <v>92</v>
      </c>
      <c r="H3007" s="52" t="s">
        <v>93</v>
      </c>
      <c r="I3007" s="52">
        <v>714</v>
      </c>
      <c r="J3007" s="49">
        <v>29874.6</v>
      </c>
      <c r="K3007" s="58">
        <v>706.35</v>
      </c>
      <c r="L3007" s="58">
        <v>29575.280000000002</v>
      </c>
      <c r="M3007" s="58">
        <v>9.65</v>
      </c>
      <c r="N3007" s="58">
        <v>400.83</v>
      </c>
      <c r="O3007" s="58">
        <v>716</v>
      </c>
      <c r="P3007" s="53">
        <v>29976.110000000004</v>
      </c>
      <c r="Q3007" s="65">
        <v>29874.6</v>
      </c>
      <c r="R3007" s="65">
        <v>0</v>
      </c>
      <c r="S3007" s="65">
        <v>400.83</v>
      </c>
      <c r="T3007" s="65">
        <v>101.51000000000568</v>
      </c>
      <c r="U3007" s="58">
        <v>0</v>
      </c>
      <c r="V3007" s="65">
        <v>0</v>
      </c>
      <c r="W3007" s="65">
        <v>0</v>
      </c>
      <c r="X3007" s="65">
        <v>29474</v>
      </c>
      <c r="Y3007" s="65">
        <v>0</v>
      </c>
      <c r="Z3007" s="51">
        <v>0</v>
      </c>
      <c r="AA3007" s="51">
        <v>0</v>
      </c>
      <c r="AB3007" s="102">
        <v>0</v>
      </c>
      <c r="AC3007" s="81">
        <f t="shared" si="145"/>
        <v>0</v>
      </c>
      <c r="AD3007" s="82">
        <f t="shared" si="146"/>
        <v>0</v>
      </c>
      <c r="AE3007" s="218">
        <v>-3.3978697622731578E-3</v>
      </c>
      <c r="AF3007">
        <v>18</v>
      </c>
      <c r="AH3007" t="str">
        <f t="shared" si="144"/>
        <v>Laldiyara</v>
      </c>
      <c r="AJ3007" s="72">
        <v>0</v>
      </c>
      <c r="AK3007" s="72"/>
      <c r="AL3007" s="72"/>
      <c r="AM3007" s="72"/>
    </row>
    <row r="3008" spans="1:39" x14ac:dyDescent="0.25">
      <c r="A3008" s="37" t="s">
        <v>62</v>
      </c>
      <c r="B3008" s="66" t="s">
        <v>1676</v>
      </c>
      <c r="C3008" s="4">
        <v>1002</v>
      </c>
      <c r="D3008" s="41" t="s">
        <v>103</v>
      </c>
      <c r="E3008" s="41">
        <v>10020026</v>
      </c>
      <c r="F3008" s="85" t="s">
        <v>118</v>
      </c>
      <c r="G3008" s="39" t="s">
        <v>92</v>
      </c>
      <c r="H3008" s="52" t="s">
        <v>93</v>
      </c>
      <c r="I3008" s="52">
        <v>450</v>
      </c>
      <c r="J3008" s="49">
        <v>18470.16</v>
      </c>
      <c r="K3008" s="58">
        <v>464.51</v>
      </c>
      <c r="L3008" s="58">
        <v>19152.11</v>
      </c>
      <c r="M3008" s="58">
        <v>1.2999999999999998</v>
      </c>
      <c r="N3008" s="58">
        <v>52.64</v>
      </c>
      <c r="O3008" s="58">
        <v>465.81</v>
      </c>
      <c r="P3008" s="53">
        <v>19204.75</v>
      </c>
      <c r="Q3008" s="65">
        <v>18470.16</v>
      </c>
      <c r="R3008" s="65">
        <v>0</v>
      </c>
      <c r="S3008" s="65">
        <v>52.64</v>
      </c>
      <c r="T3008" s="65">
        <v>734.59000000000015</v>
      </c>
      <c r="U3008" s="58">
        <v>0</v>
      </c>
      <c r="V3008" s="65">
        <v>0</v>
      </c>
      <c r="W3008" s="65">
        <v>0</v>
      </c>
      <c r="X3008" s="65">
        <v>18417</v>
      </c>
      <c r="Y3008" s="65">
        <v>0</v>
      </c>
      <c r="Z3008" s="51">
        <v>0</v>
      </c>
      <c r="AA3008" s="51">
        <v>1</v>
      </c>
      <c r="AB3008" s="102">
        <v>0</v>
      </c>
      <c r="AC3008" s="81">
        <f t="shared" si="145"/>
        <v>205.22399999999999</v>
      </c>
      <c r="AD3008" s="82">
        <f t="shared" si="146"/>
        <v>64.285714285714292</v>
      </c>
      <c r="AE3008" s="218">
        <v>-3.9771718274232606E-2</v>
      </c>
      <c r="AF3008">
        <v>4</v>
      </c>
      <c r="AH3008" t="str">
        <f t="shared" si="144"/>
        <v>Laldiyara</v>
      </c>
      <c r="AJ3008" s="72">
        <v>0</v>
      </c>
      <c r="AK3008" s="72"/>
      <c r="AL3008" s="72"/>
      <c r="AM3008" s="72"/>
    </row>
    <row r="3009" spans="1:39" x14ac:dyDescent="0.25">
      <c r="A3009" s="37" t="s">
        <v>62</v>
      </c>
      <c r="B3009" s="66" t="s">
        <v>1676</v>
      </c>
      <c r="C3009" s="4">
        <v>1002</v>
      </c>
      <c r="D3009" s="41" t="s">
        <v>103</v>
      </c>
      <c r="E3009" s="41">
        <v>10020027</v>
      </c>
      <c r="F3009" s="85" t="s">
        <v>119</v>
      </c>
      <c r="G3009" s="39" t="s">
        <v>92</v>
      </c>
      <c r="H3009" s="52" t="s">
        <v>93</v>
      </c>
      <c r="I3009" s="52">
        <v>641</v>
      </c>
      <c r="J3009" s="49">
        <v>27466.240000000002</v>
      </c>
      <c r="K3009" s="58">
        <v>641</v>
      </c>
      <c r="L3009" s="58">
        <v>27475.01</v>
      </c>
      <c r="M3009" s="58">
        <v>0</v>
      </c>
      <c r="N3009" s="58">
        <v>0</v>
      </c>
      <c r="O3009" s="58">
        <v>641</v>
      </c>
      <c r="P3009" s="53">
        <v>27475.01</v>
      </c>
      <c r="Q3009" s="65">
        <v>27466.240000000002</v>
      </c>
      <c r="R3009" s="65">
        <v>0</v>
      </c>
      <c r="S3009" s="65">
        <v>0</v>
      </c>
      <c r="T3009" s="65">
        <v>8.7699999999967986</v>
      </c>
      <c r="U3009" s="58">
        <v>0</v>
      </c>
      <c r="V3009" s="65">
        <v>0</v>
      </c>
      <c r="W3009" s="65">
        <v>0</v>
      </c>
      <c r="X3009" s="65">
        <v>27466</v>
      </c>
      <c r="Y3009" s="65">
        <v>0</v>
      </c>
      <c r="Z3009" s="51">
        <v>0</v>
      </c>
      <c r="AA3009" s="51">
        <v>0</v>
      </c>
      <c r="AB3009" s="102">
        <v>0</v>
      </c>
      <c r="AC3009" s="81">
        <f t="shared" si="145"/>
        <v>50.561877067082698</v>
      </c>
      <c r="AD3009" s="82">
        <f t="shared" si="146"/>
        <v>91.571428571428569</v>
      </c>
      <c r="AE3009" s="218">
        <v>-3.1930107652146047E-4</v>
      </c>
      <c r="AF3009">
        <v>1</v>
      </c>
      <c r="AH3009" t="str">
        <f t="shared" si="144"/>
        <v>Laldiyara</v>
      </c>
      <c r="AJ3009" s="72">
        <v>0</v>
      </c>
      <c r="AK3009" s="72"/>
      <c r="AL3009" s="72"/>
      <c r="AM3009" s="72"/>
    </row>
    <row r="3010" spans="1:39" x14ac:dyDescent="0.25">
      <c r="A3010" s="37" t="s">
        <v>62</v>
      </c>
      <c r="B3010" s="66" t="s">
        <v>1676</v>
      </c>
      <c r="C3010" s="4">
        <v>1002</v>
      </c>
      <c r="D3010" s="41" t="s">
        <v>103</v>
      </c>
      <c r="E3010" s="41">
        <v>10020029</v>
      </c>
      <c r="F3010" s="85" t="s">
        <v>120</v>
      </c>
      <c r="G3010" s="39" t="s">
        <v>92</v>
      </c>
      <c r="H3010" s="52" t="s">
        <v>93</v>
      </c>
      <c r="I3010" s="52">
        <v>327.99999999999994</v>
      </c>
      <c r="J3010" s="49">
        <v>13574.36</v>
      </c>
      <c r="K3010" s="58">
        <v>318.01</v>
      </c>
      <c r="L3010" s="58">
        <v>14039.060000000001</v>
      </c>
      <c r="M3010" s="58">
        <v>5.8900000000000006</v>
      </c>
      <c r="N3010" s="58">
        <v>232.61</v>
      </c>
      <c r="O3010" s="58">
        <v>323.89999999999998</v>
      </c>
      <c r="P3010" s="53">
        <v>14271.670000000002</v>
      </c>
      <c r="Q3010" s="65">
        <v>13574.36</v>
      </c>
      <c r="R3010" s="65">
        <v>734</v>
      </c>
      <c r="S3010" s="65">
        <v>232.61</v>
      </c>
      <c r="T3010" s="65">
        <v>697.31000000000131</v>
      </c>
      <c r="U3010" s="58">
        <v>0</v>
      </c>
      <c r="V3010" s="65">
        <v>0</v>
      </c>
      <c r="W3010" s="65">
        <v>0</v>
      </c>
      <c r="X3010" s="65">
        <v>12607</v>
      </c>
      <c r="Y3010" s="65">
        <v>0</v>
      </c>
      <c r="Z3010" s="51">
        <v>0</v>
      </c>
      <c r="AA3010" s="51">
        <v>1</v>
      </c>
      <c r="AB3010" s="102">
        <v>0</v>
      </c>
      <c r="AC3010" s="81">
        <f t="shared" si="145"/>
        <v>307.90621463414652</v>
      </c>
      <c r="AD3010" s="82">
        <f t="shared" si="146"/>
        <v>46.857142857142847</v>
      </c>
      <c r="AE3010" s="218">
        <v>-5.1369640999649434E-2</v>
      </c>
      <c r="AF3010">
        <v>6</v>
      </c>
      <c r="AH3010" t="str">
        <f t="shared" si="144"/>
        <v>Laldiyara</v>
      </c>
      <c r="AJ3010" s="72">
        <v>0</v>
      </c>
      <c r="AK3010" s="72"/>
      <c r="AL3010" s="72"/>
      <c r="AM3010" s="72"/>
    </row>
    <row r="3011" spans="1:39" x14ac:dyDescent="0.25">
      <c r="A3011" s="37" t="s">
        <v>62</v>
      </c>
      <c r="B3011" s="66" t="s">
        <v>1676</v>
      </c>
      <c r="C3011" s="4">
        <v>1002</v>
      </c>
      <c r="D3011" s="41" t="s">
        <v>103</v>
      </c>
      <c r="E3011" s="41">
        <v>10020032</v>
      </c>
      <c r="F3011" s="85" t="s">
        <v>121</v>
      </c>
      <c r="G3011" s="39" t="s">
        <v>92</v>
      </c>
      <c r="H3011" s="52" t="s">
        <v>93</v>
      </c>
      <c r="I3011" s="52">
        <v>1253.8999999999999</v>
      </c>
      <c r="J3011" s="49">
        <v>56348.34</v>
      </c>
      <c r="K3011" s="58">
        <v>1246.1100000000001</v>
      </c>
      <c r="L3011" s="58">
        <v>56482.509999999995</v>
      </c>
      <c r="M3011" s="58">
        <v>14.780000000000001</v>
      </c>
      <c r="N3011" s="58">
        <v>704.42000000000007</v>
      </c>
      <c r="O3011" s="58">
        <v>1260.8900000000001</v>
      </c>
      <c r="P3011" s="53">
        <v>57186.929999999993</v>
      </c>
      <c r="Q3011" s="65">
        <v>56348.34</v>
      </c>
      <c r="R3011" s="65">
        <v>0</v>
      </c>
      <c r="S3011" s="65">
        <v>704.42000000000007</v>
      </c>
      <c r="T3011" s="65">
        <v>838.58999999999651</v>
      </c>
      <c r="U3011" s="58">
        <v>0</v>
      </c>
      <c r="V3011" s="65">
        <v>0</v>
      </c>
      <c r="W3011" s="65">
        <v>0</v>
      </c>
      <c r="X3011" s="65">
        <v>55644</v>
      </c>
      <c r="Y3011" s="65">
        <v>0</v>
      </c>
      <c r="Z3011" s="51">
        <v>0</v>
      </c>
      <c r="AA3011" s="51">
        <v>0</v>
      </c>
      <c r="AB3011" s="102">
        <v>0</v>
      </c>
      <c r="AC3011" s="81">
        <f t="shared" si="145"/>
        <v>0</v>
      </c>
      <c r="AD3011" s="82">
        <f t="shared" si="146"/>
        <v>0</v>
      </c>
      <c r="AE3011" s="218">
        <v>-1.4882248527640682E-2</v>
      </c>
      <c r="AF3011">
        <v>23</v>
      </c>
      <c r="AH3011" t="str">
        <f t="shared" si="144"/>
        <v>Laldiyara</v>
      </c>
      <c r="AJ3011" s="72">
        <v>0</v>
      </c>
      <c r="AK3011" s="72"/>
      <c r="AL3011" s="72"/>
      <c r="AM3011" s="72"/>
    </row>
    <row r="3012" spans="1:39" x14ac:dyDescent="0.25">
      <c r="A3012" s="37" t="s">
        <v>62</v>
      </c>
      <c r="B3012" s="66" t="s">
        <v>1676</v>
      </c>
      <c r="C3012" s="4">
        <v>1002</v>
      </c>
      <c r="D3012" s="41" t="s">
        <v>103</v>
      </c>
      <c r="E3012" s="41">
        <v>10020034</v>
      </c>
      <c r="F3012" s="85" t="s">
        <v>122</v>
      </c>
      <c r="G3012" s="39" t="s">
        <v>92</v>
      </c>
      <c r="H3012" s="52" t="s">
        <v>93</v>
      </c>
      <c r="I3012" s="52">
        <v>815</v>
      </c>
      <c r="J3012" s="49">
        <v>37266.29</v>
      </c>
      <c r="K3012" s="58">
        <v>801.00000000000011</v>
      </c>
      <c r="L3012" s="58">
        <v>35361.78</v>
      </c>
      <c r="M3012" s="58">
        <v>9.2000000000000011</v>
      </c>
      <c r="N3012" s="58">
        <v>372.5</v>
      </c>
      <c r="O3012" s="58">
        <v>810.20000000000016</v>
      </c>
      <c r="P3012" s="53">
        <v>35734.28</v>
      </c>
      <c r="Q3012" s="65">
        <v>35734.28</v>
      </c>
      <c r="R3012" s="65">
        <v>0</v>
      </c>
      <c r="S3012" s="65">
        <v>372.5</v>
      </c>
      <c r="T3012" s="65">
        <v>0</v>
      </c>
      <c r="U3012" s="58">
        <v>0</v>
      </c>
      <c r="V3012" s="65">
        <v>0</v>
      </c>
      <c r="W3012" s="65">
        <v>0</v>
      </c>
      <c r="X3012" s="65">
        <v>35362</v>
      </c>
      <c r="Y3012" s="65">
        <v>0</v>
      </c>
      <c r="Z3012" s="51">
        <v>0</v>
      </c>
      <c r="AA3012" s="51">
        <v>1532</v>
      </c>
      <c r="AB3012" s="102" t="s">
        <v>66</v>
      </c>
      <c r="AC3012" s="81">
        <f t="shared" si="145"/>
        <v>0</v>
      </c>
      <c r="AD3012" s="82">
        <f t="shared" si="146"/>
        <v>0</v>
      </c>
      <c r="AE3012" s="218">
        <v>4.1109807281594225E-2</v>
      </c>
      <c r="AF3012">
        <v>23</v>
      </c>
      <c r="AH3012" t="str">
        <f t="shared" si="144"/>
        <v>Laldiyara</v>
      </c>
      <c r="AJ3012" s="72">
        <v>0</v>
      </c>
      <c r="AK3012" s="72"/>
      <c r="AL3012" s="72"/>
      <c r="AM3012" s="72"/>
    </row>
    <row r="3013" spans="1:39" x14ac:dyDescent="0.25">
      <c r="A3013" s="37" t="s">
        <v>62</v>
      </c>
      <c r="B3013" s="66" t="s">
        <v>1676</v>
      </c>
      <c r="C3013" s="4">
        <v>1002</v>
      </c>
      <c r="D3013" s="41" t="s">
        <v>103</v>
      </c>
      <c r="E3013" s="41">
        <v>10020035</v>
      </c>
      <c r="F3013" s="85" t="s">
        <v>123</v>
      </c>
      <c r="G3013" s="39" t="s">
        <v>92</v>
      </c>
      <c r="H3013" s="52" t="s">
        <v>93</v>
      </c>
      <c r="I3013" s="52">
        <v>2300.4</v>
      </c>
      <c r="J3013" s="49">
        <v>99974.5</v>
      </c>
      <c r="K3013" s="58">
        <v>2366.8000000000002</v>
      </c>
      <c r="L3013" s="58">
        <v>104628.92000000001</v>
      </c>
      <c r="M3013" s="58">
        <v>62.3</v>
      </c>
      <c r="N3013" s="58">
        <v>2800.43</v>
      </c>
      <c r="O3013" s="58">
        <v>2429.1000000000004</v>
      </c>
      <c r="P3013" s="53">
        <v>107429.35</v>
      </c>
      <c r="Q3013" s="65">
        <v>99974.5</v>
      </c>
      <c r="R3013" s="65">
        <v>0</v>
      </c>
      <c r="S3013" s="65">
        <v>1183.6799999999998</v>
      </c>
      <c r="T3013" s="65">
        <v>7454.8500000000058</v>
      </c>
      <c r="U3013" s="58">
        <v>0</v>
      </c>
      <c r="V3013" s="65">
        <v>0</v>
      </c>
      <c r="W3013" s="65">
        <v>0</v>
      </c>
      <c r="X3013" s="65">
        <v>97173</v>
      </c>
      <c r="Y3013" s="65">
        <v>1617</v>
      </c>
      <c r="Z3013" s="51">
        <v>0</v>
      </c>
      <c r="AA3013" s="51">
        <v>1</v>
      </c>
      <c r="AB3013" s="102">
        <v>0</v>
      </c>
      <c r="AC3013" s="81">
        <f t="shared" si="145"/>
        <v>0</v>
      </c>
      <c r="AD3013" s="82">
        <f t="shared" si="146"/>
        <v>0</v>
      </c>
      <c r="AE3013" s="218">
        <v>-7.4567514716252697E-2</v>
      </c>
      <c r="AF3013">
        <v>7</v>
      </c>
      <c r="AH3013" t="str">
        <f t="shared" si="144"/>
        <v>Laldiyara</v>
      </c>
      <c r="AJ3013" s="72">
        <v>0</v>
      </c>
      <c r="AK3013" s="72"/>
      <c r="AL3013" s="72"/>
      <c r="AM3013" s="72"/>
    </row>
    <row r="3014" spans="1:39" x14ac:dyDescent="0.25">
      <c r="A3014" s="37" t="s">
        <v>62</v>
      </c>
      <c r="B3014" s="66" t="s">
        <v>1676</v>
      </c>
      <c r="C3014" s="4">
        <v>1002</v>
      </c>
      <c r="D3014" s="41" t="s">
        <v>103</v>
      </c>
      <c r="E3014" s="41">
        <v>10020038</v>
      </c>
      <c r="F3014" s="85" t="s">
        <v>124</v>
      </c>
      <c r="G3014" s="39" t="s">
        <v>92</v>
      </c>
      <c r="H3014" s="52" t="s">
        <v>93</v>
      </c>
      <c r="I3014" s="52">
        <v>622.69999999999993</v>
      </c>
      <c r="J3014" s="49">
        <v>25359.670000000002</v>
      </c>
      <c r="K3014" s="58">
        <v>617.21999999999991</v>
      </c>
      <c r="L3014" s="58">
        <v>25099.509999999995</v>
      </c>
      <c r="M3014" s="58">
        <v>5.46</v>
      </c>
      <c r="N3014" s="58">
        <v>230.76000000000002</v>
      </c>
      <c r="O3014" s="58">
        <v>622.67999999999995</v>
      </c>
      <c r="P3014" s="53">
        <v>25330.269999999993</v>
      </c>
      <c r="Q3014" s="65">
        <v>25330.269999999993</v>
      </c>
      <c r="R3014" s="65">
        <v>0</v>
      </c>
      <c r="S3014" s="65">
        <v>230.76000000000002</v>
      </c>
      <c r="T3014" s="65">
        <v>0</v>
      </c>
      <c r="U3014" s="58">
        <v>0</v>
      </c>
      <c r="V3014" s="65">
        <v>0</v>
      </c>
      <c r="W3014" s="65">
        <v>0</v>
      </c>
      <c r="X3014" s="65">
        <v>25101</v>
      </c>
      <c r="Y3014" s="65">
        <v>0</v>
      </c>
      <c r="Z3014" s="51">
        <v>0</v>
      </c>
      <c r="AA3014" s="51">
        <v>28</v>
      </c>
      <c r="AB3014" s="102">
        <v>0</v>
      </c>
      <c r="AC3014" s="81">
        <f t="shared" si="145"/>
        <v>62.961377581500031</v>
      </c>
      <c r="AD3014" s="82">
        <f t="shared" si="146"/>
        <v>88.957142857142841</v>
      </c>
      <c r="AE3014" s="218">
        <v>1.1593210794938866E-3</v>
      </c>
      <c r="AF3014">
        <v>11</v>
      </c>
      <c r="AH3014" t="str">
        <f t="shared" si="144"/>
        <v>Laldiyara</v>
      </c>
      <c r="AJ3014" s="72">
        <v>0</v>
      </c>
      <c r="AK3014" s="72"/>
      <c r="AL3014" s="72"/>
      <c r="AM3014" s="72"/>
    </row>
    <row r="3015" spans="1:39" x14ac:dyDescent="0.25">
      <c r="A3015" s="37" t="s">
        <v>62</v>
      </c>
      <c r="B3015" s="66" t="s">
        <v>1676</v>
      </c>
      <c r="C3015" s="4">
        <v>1002</v>
      </c>
      <c r="D3015" s="41" t="s">
        <v>103</v>
      </c>
      <c r="E3015" s="41">
        <v>10020041</v>
      </c>
      <c r="F3015" s="85" t="s">
        <v>125</v>
      </c>
      <c r="G3015" s="39" t="s">
        <v>92</v>
      </c>
      <c r="H3015" s="52" t="s">
        <v>93</v>
      </c>
      <c r="I3015" s="52">
        <v>163.20000000000002</v>
      </c>
      <c r="J3015" s="49">
        <v>8589.7200000000012</v>
      </c>
      <c r="K3015" s="58">
        <v>164.64000000000001</v>
      </c>
      <c r="L3015" s="58">
        <v>8679.4399999999987</v>
      </c>
      <c r="M3015" s="58">
        <v>0</v>
      </c>
      <c r="N3015" s="58">
        <v>0</v>
      </c>
      <c r="O3015" s="58">
        <v>164.64000000000001</v>
      </c>
      <c r="P3015" s="53">
        <v>8679.4399999999987</v>
      </c>
      <c r="Q3015" s="65">
        <v>8589.7200000000012</v>
      </c>
      <c r="R3015" s="65">
        <v>0</v>
      </c>
      <c r="S3015" s="65">
        <v>0</v>
      </c>
      <c r="T3015" s="65">
        <v>89.719999999997526</v>
      </c>
      <c r="U3015" s="58">
        <v>0</v>
      </c>
      <c r="V3015" s="65">
        <v>500</v>
      </c>
      <c r="W3015" s="65">
        <v>0</v>
      </c>
      <c r="X3015" s="65">
        <v>8090</v>
      </c>
      <c r="Y3015" s="65">
        <v>0</v>
      </c>
      <c r="Z3015" s="51">
        <v>0</v>
      </c>
      <c r="AA3015" s="51">
        <v>0</v>
      </c>
      <c r="AB3015" s="102">
        <v>0</v>
      </c>
      <c r="AC3015" s="81">
        <f t="shared" si="145"/>
        <v>565.06883529411766</v>
      </c>
      <c r="AD3015" s="82">
        <f t="shared" si="146"/>
        <v>23.314285714285717</v>
      </c>
      <c r="AE3015" s="218">
        <v>-1.0445043610268729E-2</v>
      </c>
      <c r="AF3015">
        <v>6</v>
      </c>
      <c r="AH3015" t="str">
        <f t="shared" si="144"/>
        <v>Laldiyara</v>
      </c>
      <c r="AJ3015" s="72">
        <v>500</v>
      </c>
      <c r="AK3015" s="72"/>
      <c r="AL3015" s="72"/>
      <c r="AM3015" s="72"/>
    </row>
    <row r="3016" spans="1:39" x14ac:dyDescent="0.25">
      <c r="A3016" s="37" t="s">
        <v>62</v>
      </c>
      <c r="B3016" s="66" t="s">
        <v>1676</v>
      </c>
      <c r="C3016" s="4">
        <v>1002</v>
      </c>
      <c r="D3016" s="41" t="s">
        <v>103</v>
      </c>
      <c r="E3016" s="41">
        <v>10020042</v>
      </c>
      <c r="F3016" s="85" t="s">
        <v>126</v>
      </c>
      <c r="G3016" s="39" t="s">
        <v>92</v>
      </c>
      <c r="H3016" s="52" t="s">
        <v>93</v>
      </c>
      <c r="I3016" s="52">
        <v>685.89999999999986</v>
      </c>
      <c r="J3016" s="49">
        <v>26625.73</v>
      </c>
      <c r="K3016" s="58">
        <v>685.8</v>
      </c>
      <c r="L3016" s="58">
        <v>26536.71</v>
      </c>
      <c r="M3016" s="58">
        <v>0</v>
      </c>
      <c r="N3016" s="58">
        <v>0</v>
      </c>
      <c r="O3016" s="58">
        <v>685.8</v>
      </c>
      <c r="P3016" s="53">
        <v>26536.71</v>
      </c>
      <c r="Q3016" s="65">
        <v>26536.71</v>
      </c>
      <c r="R3016" s="65">
        <v>0</v>
      </c>
      <c r="S3016" s="65">
        <v>0</v>
      </c>
      <c r="T3016" s="65">
        <v>0</v>
      </c>
      <c r="U3016" s="58">
        <v>0</v>
      </c>
      <c r="V3016" s="65">
        <v>0</v>
      </c>
      <c r="W3016" s="65">
        <v>0</v>
      </c>
      <c r="X3016" s="65">
        <v>26537</v>
      </c>
      <c r="Y3016" s="65">
        <v>0</v>
      </c>
      <c r="Z3016" s="51">
        <v>0</v>
      </c>
      <c r="AA3016" s="51">
        <v>89</v>
      </c>
      <c r="AB3016" s="102">
        <v>0</v>
      </c>
      <c r="AC3016" s="81">
        <f t="shared" si="145"/>
        <v>10.946866686105954</v>
      </c>
      <c r="AD3016" s="82">
        <f t="shared" si="146"/>
        <v>97.985714285714266</v>
      </c>
      <c r="AE3016" s="218">
        <v>3.3433825100757965E-3</v>
      </c>
      <c r="AF3016">
        <v>1</v>
      </c>
      <c r="AH3016" t="str">
        <f t="shared" si="144"/>
        <v>Laldiyara</v>
      </c>
      <c r="AJ3016" s="72">
        <v>0</v>
      </c>
      <c r="AK3016" s="72"/>
      <c r="AL3016" s="72"/>
      <c r="AM3016" s="72"/>
    </row>
    <row r="3017" spans="1:39" x14ac:dyDescent="0.25">
      <c r="A3017" s="37" t="s">
        <v>62</v>
      </c>
      <c r="B3017" s="66" t="s">
        <v>1676</v>
      </c>
      <c r="C3017" s="4">
        <v>1002</v>
      </c>
      <c r="D3017" s="41" t="s">
        <v>103</v>
      </c>
      <c r="E3017" s="41">
        <v>10020043</v>
      </c>
      <c r="F3017" s="85" t="s">
        <v>598</v>
      </c>
      <c r="G3017" s="39" t="s">
        <v>92</v>
      </c>
      <c r="H3017" s="52" t="s">
        <v>93</v>
      </c>
      <c r="I3017" s="52">
        <v>621.5</v>
      </c>
      <c r="J3017" s="49">
        <v>27408.929999999997</v>
      </c>
      <c r="K3017" s="58">
        <v>620.97</v>
      </c>
      <c r="L3017" s="58">
        <v>27902.719999999998</v>
      </c>
      <c r="M3017" s="58">
        <v>9.74</v>
      </c>
      <c r="N3017" s="58">
        <v>429.69999999999993</v>
      </c>
      <c r="O3017" s="58">
        <v>630.71</v>
      </c>
      <c r="P3017" s="53">
        <v>28332.42</v>
      </c>
      <c r="Q3017" s="65">
        <v>27408.929999999997</v>
      </c>
      <c r="R3017" s="65">
        <v>0</v>
      </c>
      <c r="S3017" s="65">
        <v>429.69999999999993</v>
      </c>
      <c r="T3017" s="65">
        <v>923.4900000000016</v>
      </c>
      <c r="U3017" s="58">
        <v>0</v>
      </c>
      <c r="V3017" s="65">
        <v>0</v>
      </c>
      <c r="W3017" s="65">
        <v>0</v>
      </c>
      <c r="X3017" s="65">
        <v>26979</v>
      </c>
      <c r="Y3017" s="65">
        <v>0</v>
      </c>
      <c r="Z3017" s="51">
        <v>0</v>
      </c>
      <c r="AA3017" s="51">
        <v>0</v>
      </c>
      <c r="AB3017" s="102">
        <v>0</v>
      </c>
      <c r="AC3017" s="81">
        <f t="shared" si="145"/>
        <v>69.238970394207513</v>
      </c>
      <c r="AD3017" s="82">
        <f t="shared" si="146"/>
        <v>88.785714285714292</v>
      </c>
      <c r="AE3017" s="218">
        <v>-3.3693033620794455E-2</v>
      </c>
      <c r="AF3017">
        <v>8</v>
      </c>
      <c r="AH3017" t="str">
        <f t="shared" si="144"/>
        <v>Laldiyara</v>
      </c>
      <c r="AJ3017" s="72">
        <v>0</v>
      </c>
      <c r="AK3017" s="72"/>
      <c r="AL3017" s="72"/>
      <c r="AM3017" s="72"/>
    </row>
    <row r="3018" spans="1:39" x14ac:dyDescent="0.25">
      <c r="A3018" s="37" t="s">
        <v>62</v>
      </c>
      <c r="B3018" s="66" t="s">
        <v>1676</v>
      </c>
      <c r="C3018" s="4">
        <v>1002</v>
      </c>
      <c r="D3018" s="41" t="s">
        <v>103</v>
      </c>
      <c r="E3018" s="41">
        <v>10020044</v>
      </c>
      <c r="F3018" s="85" t="s">
        <v>127</v>
      </c>
      <c r="G3018" s="39" t="s">
        <v>92</v>
      </c>
      <c r="H3018" s="52" t="s">
        <v>93</v>
      </c>
      <c r="I3018" s="52">
        <v>1311.9</v>
      </c>
      <c r="J3018" s="49">
        <v>59376.87</v>
      </c>
      <c r="K3018" s="58">
        <v>1305.7300000000002</v>
      </c>
      <c r="L3018" s="58">
        <v>58737.62000000001</v>
      </c>
      <c r="M3018" s="58">
        <v>7.7399999999999993</v>
      </c>
      <c r="N3018" s="58">
        <v>344.72999999999996</v>
      </c>
      <c r="O3018" s="58">
        <v>1313.4700000000003</v>
      </c>
      <c r="P3018" s="53">
        <v>59082.350000000013</v>
      </c>
      <c r="Q3018" s="65">
        <v>59082.350000000013</v>
      </c>
      <c r="R3018" s="65">
        <v>0</v>
      </c>
      <c r="S3018" s="65">
        <v>344.72999999999996</v>
      </c>
      <c r="T3018" s="65">
        <v>0</v>
      </c>
      <c r="U3018" s="58">
        <v>0</v>
      </c>
      <c r="V3018" s="65">
        <v>0</v>
      </c>
      <c r="W3018" s="65">
        <v>0</v>
      </c>
      <c r="X3018" s="65">
        <v>58739</v>
      </c>
      <c r="Y3018" s="65">
        <v>0</v>
      </c>
      <c r="Z3018" s="51">
        <v>0</v>
      </c>
      <c r="AA3018" s="51">
        <v>293</v>
      </c>
      <c r="AB3018" s="102">
        <v>0</v>
      </c>
      <c r="AC3018" s="81">
        <f t="shared" si="145"/>
        <v>0</v>
      </c>
      <c r="AD3018" s="82">
        <f t="shared" si="146"/>
        <v>0</v>
      </c>
      <c r="AE3018" s="218">
        <v>4.9601806225216911E-3</v>
      </c>
      <c r="AF3018">
        <v>23</v>
      </c>
      <c r="AH3018" t="str">
        <f t="shared" si="144"/>
        <v>Laldiyara</v>
      </c>
      <c r="AJ3018" s="72">
        <v>0</v>
      </c>
      <c r="AK3018" s="72"/>
      <c r="AL3018" s="72"/>
      <c r="AM3018" s="72"/>
    </row>
    <row r="3019" spans="1:39" x14ac:dyDescent="0.25">
      <c r="A3019" s="37" t="s">
        <v>62</v>
      </c>
      <c r="B3019" s="66" t="s">
        <v>1676</v>
      </c>
      <c r="C3019" s="4">
        <v>1002</v>
      </c>
      <c r="D3019" s="41" t="s">
        <v>103</v>
      </c>
      <c r="E3019" s="41">
        <v>10020047</v>
      </c>
      <c r="F3019" s="85" t="s">
        <v>426</v>
      </c>
      <c r="G3019" s="39" t="s">
        <v>1610</v>
      </c>
      <c r="H3019" s="52" t="s">
        <v>98</v>
      </c>
      <c r="I3019" s="52">
        <v>3343.8</v>
      </c>
      <c r="J3019" s="49">
        <v>144252.51999999999</v>
      </c>
      <c r="K3019" s="58">
        <v>0</v>
      </c>
      <c r="L3019" s="58">
        <v>0</v>
      </c>
      <c r="M3019" s="58">
        <v>0</v>
      </c>
      <c r="N3019" s="58">
        <v>0</v>
      </c>
      <c r="O3019" s="58">
        <v>0</v>
      </c>
      <c r="P3019" s="53">
        <v>0</v>
      </c>
      <c r="Q3019" s="65">
        <v>144252.51999999999</v>
      </c>
      <c r="R3019" s="65">
        <v>0</v>
      </c>
      <c r="S3019" s="65">
        <v>0</v>
      </c>
      <c r="T3019" s="65">
        <v>0</v>
      </c>
      <c r="U3019" s="58">
        <v>0</v>
      </c>
      <c r="V3019" s="65">
        <v>0</v>
      </c>
      <c r="W3019" s="65">
        <v>0</v>
      </c>
      <c r="X3019" s="65">
        <v>0</v>
      </c>
      <c r="Y3019" s="65">
        <v>0</v>
      </c>
      <c r="Z3019" s="51">
        <v>144252.51999999999</v>
      </c>
      <c r="AA3019" s="51">
        <v>0</v>
      </c>
      <c r="AB3019" s="102">
        <v>0</v>
      </c>
      <c r="AC3019" s="81">
        <f t="shared" si="145"/>
        <v>0</v>
      </c>
      <c r="AD3019" s="82">
        <f t="shared" si="146"/>
        <v>0</v>
      </c>
      <c r="AE3019" s="218">
        <v>0</v>
      </c>
      <c r="AF3019">
        <v>0</v>
      </c>
      <c r="AH3019" t="str">
        <f t="shared" si="144"/>
        <v>Laldiyara</v>
      </c>
      <c r="AJ3019" s="72">
        <v>0</v>
      </c>
      <c r="AK3019" s="72"/>
      <c r="AL3019" s="72"/>
      <c r="AM3019" s="72"/>
    </row>
    <row r="3020" spans="1:39" x14ac:dyDescent="0.25">
      <c r="A3020" s="37" t="s">
        <v>62</v>
      </c>
      <c r="B3020" s="66" t="s">
        <v>1676</v>
      </c>
      <c r="C3020" s="4">
        <v>1002</v>
      </c>
      <c r="D3020" s="41" t="s">
        <v>103</v>
      </c>
      <c r="E3020" s="41">
        <v>10020050</v>
      </c>
      <c r="F3020" s="85" t="s">
        <v>128</v>
      </c>
      <c r="G3020" s="39" t="s">
        <v>92</v>
      </c>
      <c r="H3020" s="52" t="s">
        <v>93</v>
      </c>
      <c r="I3020" s="52">
        <v>950.30000000000007</v>
      </c>
      <c r="J3020" s="49">
        <v>45024.739999999991</v>
      </c>
      <c r="K3020" s="58">
        <v>944.53</v>
      </c>
      <c r="L3020" s="58">
        <v>44850.580000000009</v>
      </c>
      <c r="M3020" s="58">
        <v>4.4399999999999995</v>
      </c>
      <c r="N3020" s="58">
        <v>198.03</v>
      </c>
      <c r="O3020" s="58">
        <v>948.97</v>
      </c>
      <c r="P3020" s="53">
        <v>45048.610000000008</v>
      </c>
      <c r="Q3020" s="65">
        <v>45024.739999999991</v>
      </c>
      <c r="R3020" s="65">
        <v>0</v>
      </c>
      <c r="S3020" s="65">
        <v>198.03</v>
      </c>
      <c r="T3020" s="65">
        <v>23.870000000017171</v>
      </c>
      <c r="U3020" s="58">
        <v>0</v>
      </c>
      <c r="V3020" s="65">
        <v>0</v>
      </c>
      <c r="W3020" s="65">
        <v>0</v>
      </c>
      <c r="X3020" s="65">
        <v>44850</v>
      </c>
      <c r="Y3020" s="65">
        <v>0</v>
      </c>
      <c r="Z3020" s="51">
        <v>0</v>
      </c>
      <c r="AA3020" s="51">
        <v>-23</v>
      </c>
      <c r="AB3020" s="102" t="s">
        <v>66</v>
      </c>
      <c r="AC3020" s="81">
        <f t="shared" si="145"/>
        <v>0</v>
      </c>
      <c r="AD3020" s="82">
        <f t="shared" si="146"/>
        <v>0</v>
      </c>
      <c r="AE3020" s="218">
        <v>-5.3015297811863382E-4</v>
      </c>
      <c r="AF3020">
        <v>9</v>
      </c>
      <c r="AH3020" t="str">
        <f t="shared" si="144"/>
        <v>Laldiyara</v>
      </c>
      <c r="AJ3020" s="72">
        <v>0</v>
      </c>
      <c r="AK3020" s="72"/>
      <c r="AL3020" s="72"/>
      <c r="AM3020" s="72"/>
    </row>
    <row r="3021" spans="1:39" x14ac:dyDescent="0.25">
      <c r="A3021" s="37" t="s">
        <v>62</v>
      </c>
      <c r="B3021" s="66" t="s">
        <v>1676</v>
      </c>
      <c r="C3021" s="4">
        <v>1002</v>
      </c>
      <c r="D3021" s="41" t="s">
        <v>103</v>
      </c>
      <c r="E3021" s="41">
        <v>10020052</v>
      </c>
      <c r="F3021" s="85" t="s">
        <v>1497</v>
      </c>
      <c r="G3021" s="39" t="s">
        <v>1610</v>
      </c>
      <c r="H3021" s="52" t="s">
        <v>98</v>
      </c>
      <c r="I3021" s="52">
        <v>310.70000000000005</v>
      </c>
      <c r="J3021" s="49">
        <v>16981.560000000001</v>
      </c>
      <c r="K3021" s="58">
        <v>0</v>
      </c>
      <c r="L3021" s="58">
        <v>0</v>
      </c>
      <c r="M3021" s="58">
        <v>0</v>
      </c>
      <c r="N3021" s="58">
        <v>0</v>
      </c>
      <c r="O3021" s="58">
        <v>0</v>
      </c>
      <c r="P3021" s="53">
        <v>0</v>
      </c>
      <c r="Q3021" s="65">
        <v>16981.560000000001</v>
      </c>
      <c r="R3021" s="65">
        <v>0</v>
      </c>
      <c r="S3021" s="65">
        <v>0</v>
      </c>
      <c r="T3021" s="65">
        <v>0</v>
      </c>
      <c r="U3021" s="58">
        <v>0</v>
      </c>
      <c r="V3021" s="65">
        <v>0</v>
      </c>
      <c r="W3021" s="65">
        <v>0</v>
      </c>
      <c r="X3021" s="65">
        <v>0</v>
      </c>
      <c r="Y3021" s="65">
        <v>0</v>
      </c>
      <c r="Z3021" s="51">
        <v>16981.560000000001</v>
      </c>
      <c r="AA3021" s="51">
        <v>0</v>
      </c>
      <c r="AB3021" s="102">
        <v>0</v>
      </c>
      <c r="AC3021" s="81">
        <f t="shared" si="145"/>
        <v>425.55013247505622</v>
      </c>
      <c r="AD3021" s="82">
        <f t="shared" si="146"/>
        <v>44.385714285714293</v>
      </c>
      <c r="AE3021" s="218">
        <v>0</v>
      </c>
      <c r="AF3021">
        <v>0</v>
      </c>
      <c r="AH3021" t="str">
        <f t="shared" si="144"/>
        <v>Laldiyara</v>
      </c>
      <c r="AJ3021" s="72">
        <v>0</v>
      </c>
      <c r="AK3021" s="72"/>
      <c r="AL3021" s="72"/>
      <c r="AM3021" s="72"/>
    </row>
    <row r="3022" spans="1:39" x14ac:dyDescent="0.25">
      <c r="A3022" s="37" t="s">
        <v>62</v>
      </c>
      <c r="B3022" s="66" t="s">
        <v>1676</v>
      </c>
      <c r="C3022" s="4">
        <v>1002</v>
      </c>
      <c r="D3022" s="41" t="s">
        <v>103</v>
      </c>
      <c r="E3022" s="41">
        <v>10020054</v>
      </c>
      <c r="F3022" s="85" t="s">
        <v>129</v>
      </c>
      <c r="G3022" s="39" t="s">
        <v>1610</v>
      </c>
      <c r="H3022" s="52" t="s">
        <v>98</v>
      </c>
      <c r="I3022" s="52">
        <v>1970.7999999999997</v>
      </c>
      <c r="J3022" s="49">
        <v>86763.119999999981</v>
      </c>
      <c r="K3022" s="58">
        <v>0</v>
      </c>
      <c r="L3022" s="58">
        <v>0</v>
      </c>
      <c r="M3022" s="58">
        <v>0</v>
      </c>
      <c r="N3022" s="58">
        <v>0</v>
      </c>
      <c r="O3022" s="58">
        <v>0</v>
      </c>
      <c r="P3022" s="53">
        <v>0</v>
      </c>
      <c r="Q3022" s="65">
        <v>86763.119999999981</v>
      </c>
      <c r="R3022" s="65">
        <v>0</v>
      </c>
      <c r="S3022" s="65">
        <v>0</v>
      </c>
      <c r="T3022" s="65">
        <v>0</v>
      </c>
      <c r="U3022" s="58">
        <v>0</v>
      </c>
      <c r="V3022" s="65">
        <v>0</v>
      </c>
      <c r="W3022" s="65">
        <v>0</v>
      </c>
      <c r="X3022" s="65">
        <v>0</v>
      </c>
      <c r="Y3022" s="65">
        <v>0</v>
      </c>
      <c r="Z3022" s="51">
        <v>86763.119999999981</v>
      </c>
      <c r="AA3022" s="51">
        <v>0</v>
      </c>
      <c r="AB3022" s="102">
        <v>0</v>
      </c>
      <c r="AC3022" s="81">
        <f t="shared" si="145"/>
        <v>0</v>
      </c>
      <c r="AD3022" s="82">
        <f t="shared" si="146"/>
        <v>0</v>
      </c>
      <c r="AE3022" s="218">
        <v>0</v>
      </c>
      <c r="AF3022">
        <v>0</v>
      </c>
      <c r="AH3022" t="str">
        <f t="shared" si="144"/>
        <v>Laldiyara</v>
      </c>
      <c r="AJ3022" s="72">
        <v>0</v>
      </c>
      <c r="AK3022" s="72"/>
      <c r="AL3022" s="72"/>
      <c r="AM3022" s="72"/>
    </row>
    <row r="3023" spans="1:39" x14ac:dyDescent="0.25">
      <c r="A3023" s="37" t="s">
        <v>62</v>
      </c>
      <c r="B3023" s="66" t="s">
        <v>1676</v>
      </c>
      <c r="C3023" s="4">
        <v>1002</v>
      </c>
      <c r="D3023" s="41" t="s">
        <v>103</v>
      </c>
      <c r="E3023" s="41">
        <v>10020056</v>
      </c>
      <c r="F3023" s="85" t="s">
        <v>1611</v>
      </c>
      <c r="G3023" s="39" t="s">
        <v>1610</v>
      </c>
      <c r="H3023" s="52" t="s">
        <v>98</v>
      </c>
      <c r="I3023" s="52">
        <v>422.5</v>
      </c>
      <c r="J3023" s="49">
        <v>23327.65</v>
      </c>
      <c r="K3023" s="58">
        <v>0</v>
      </c>
      <c r="L3023" s="58">
        <v>0</v>
      </c>
      <c r="M3023" s="58">
        <v>0</v>
      </c>
      <c r="N3023" s="58">
        <v>0</v>
      </c>
      <c r="O3023" s="58">
        <v>0</v>
      </c>
      <c r="P3023" s="53">
        <v>0</v>
      </c>
      <c r="Q3023" s="65">
        <v>23327.65</v>
      </c>
      <c r="R3023" s="65">
        <v>0</v>
      </c>
      <c r="S3023" s="65">
        <v>0</v>
      </c>
      <c r="T3023" s="65">
        <v>0</v>
      </c>
      <c r="U3023" s="58">
        <v>0</v>
      </c>
      <c r="V3023" s="65">
        <v>0</v>
      </c>
      <c r="W3023" s="65">
        <v>0</v>
      </c>
      <c r="X3023" s="65">
        <v>0</v>
      </c>
      <c r="Y3023" s="65">
        <v>0</v>
      </c>
      <c r="Z3023" s="51">
        <v>23327.65</v>
      </c>
      <c r="AA3023" s="51">
        <v>0</v>
      </c>
      <c r="AB3023" s="102">
        <v>0</v>
      </c>
      <c r="AC3023" s="81">
        <f t="shared" si="145"/>
        <v>306.43421893491126</v>
      </c>
      <c r="AD3023" s="82">
        <f t="shared" si="146"/>
        <v>60.357142857142854</v>
      </c>
      <c r="AE3023" s="218">
        <v>0</v>
      </c>
      <c r="AF3023">
        <v>0</v>
      </c>
      <c r="AH3023" t="str">
        <f t="shared" si="144"/>
        <v>Laldiyara</v>
      </c>
      <c r="AJ3023" s="72">
        <v>0</v>
      </c>
      <c r="AK3023" s="72"/>
      <c r="AL3023" s="72"/>
      <c r="AM3023" s="72"/>
    </row>
    <row r="3024" spans="1:39" x14ac:dyDescent="0.25">
      <c r="A3024" s="37" t="s">
        <v>62</v>
      </c>
      <c r="B3024" s="66" t="s">
        <v>1676</v>
      </c>
      <c r="C3024" s="4">
        <v>1002</v>
      </c>
      <c r="D3024" s="41" t="s">
        <v>103</v>
      </c>
      <c r="E3024" s="41">
        <v>10020057</v>
      </c>
      <c r="F3024" s="85" t="s">
        <v>130</v>
      </c>
      <c r="G3024" s="39" t="s">
        <v>92</v>
      </c>
      <c r="H3024" s="52" t="s">
        <v>93</v>
      </c>
      <c r="I3024" s="52">
        <v>2706.6</v>
      </c>
      <c r="J3024" s="49">
        <v>125229.05000000002</v>
      </c>
      <c r="K3024" s="58">
        <v>2289.69</v>
      </c>
      <c r="L3024" s="58">
        <v>109086.89</v>
      </c>
      <c r="M3024" s="58">
        <v>421.21000000000004</v>
      </c>
      <c r="N3024" s="58">
        <v>18293.07</v>
      </c>
      <c r="O3024" s="58">
        <v>2710.9</v>
      </c>
      <c r="P3024" s="53">
        <v>127379.95999999999</v>
      </c>
      <c r="Q3024" s="65">
        <v>125229.05000000002</v>
      </c>
      <c r="R3024" s="65">
        <v>0</v>
      </c>
      <c r="S3024" s="65">
        <v>1782.8300000000002</v>
      </c>
      <c r="T3024" s="65">
        <v>2150.9099999999744</v>
      </c>
      <c r="U3024" s="58">
        <v>0</v>
      </c>
      <c r="V3024" s="65">
        <v>0</v>
      </c>
      <c r="W3024" s="65">
        <v>0</v>
      </c>
      <c r="X3024" s="65">
        <v>106936</v>
      </c>
      <c r="Y3024" s="65">
        <v>16510</v>
      </c>
      <c r="Z3024" s="51">
        <v>0</v>
      </c>
      <c r="AA3024" s="51">
        <v>0</v>
      </c>
      <c r="AB3024" s="102">
        <v>0</v>
      </c>
      <c r="AC3024" s="81">
        <f t="shared" si="145"/>
        <v>0</v>
      </c>
      <c r="AD3024" s="82">
        <f t="shared" si="146"/>
        <v>0</v>
      </c>
      <c r="AE3024" s="218">
        <v>-1.7175807051159248E-2</v>
      </c>
      <c r="AF3024">
        <v>13</v>
      </c>
      <c r="AH3024" t="str">
        <f t="shared" si="144"/>
        <v>Laldiyara</v>
      </c>
      <c r="AJ3024" s="72">
        <v>0</v>
      </c>
      <c r="AK3024" s="72"/>
      <c r="AL3024" s="72"/>
      <c r="AM3024" s="72"/>
    </row>
    <row r="3025" spans="1:39" x14ac:dyDescent="0.25">
      <c r="A3025" s="37" t="s">
        <v>62</v>
      </c>
      <c r="B3025" s="66" t="s">
        <v>1676</v>
      </c>
      <c r="C3025" s="4">
        <v>1002</v>
      </c>
      <c r="D3025" s="41" t="s">
        <v>103</v>
      </c>
      <c r="E3025" s="41">
        <v>10020058</v>
      </c>
      <c r="F3025" s="85" t="s">
        <v>131</v>
      </c>
      <c r="G3025" s="39" t="s">
        <v>92</v>
      </c>
      <c r="H3025" s="52" t="s">
        <v>93</v>
      </c>
      <c r="I3025" s="52">
        <v>676.30000000000007</v>
      </c>
      <c r="J3025" s="49">
        <v>28291.100000000002</v>
      </c>
      <c r="K3025" s="58">
        <v>455.90999999999997</v>
      </c>
      <c r="L3025" s="58">
        <v>20724.449999999997</v>
      </c>
      <c r="M3025" s="58">
        <v>222.71999999999997</v>
      </c>
      <c r="N3025" s="58">
        <v>8735.6899999999987</v>
      </c>
      <c r="O3025" s="58">
        <v>678.62999999999988</v>
      </c>
      <c r="P3025" s="53">
        <v>29460.139999999996</v>
      </c>
      <c r="Q3025" s="65">
        <v>28291.100000000002</v>
      </c>
      <c r="R3025" s="65">
        <v>0</v>
      </c>
      <c r="S3025" s="65">
        <v>204.36999999999995</v>
      </c>
      <c r="T3025" s="65">
        <v>1169.0399999999936</v>
      </c>
      <c r="U3025" s="58">
        <v>0</v>
      </c>
      <c r="V3025" s="65">
        <v>0</v>
      </c>
      <c r="W3025" s="65">
        <v>0</v>
      </c>
      <c r="X3025" s="65">
        <v>19555</v>
      </c>
      <c r="Y3025" s="65">
        <v>8532</v>
      </c>
      <c r="Z3025" s="51">
        <v>0</v>
      </c>
      <c r="AA3025" s="51">
        <v>0</v>
      </c>
      <c r="AB3025" s="102">
        <v>0</v>
      </c>
      <c r="AC3025" s="81">
        <f t="shared" si="145"/>
        <v>19.828450983291358</v>
      </c>
      <c r="AD3025" s="82">
        <f t="shared" si="146"/>
        <v>96.614285714285728</v>
      </c>
      <c r="AE3025" s="218">
        <v>-4.1321829126474176E-2</v>
      </c>
      <c r="AF3025">
        <v>8</v>
      </c>
      <c r="AH3025" t="str">
        <f t="shared" si="144"/>
        <v>Laldiyara</v>
      </c>
      <c r="AJ3025" s="72">
        <v>0</v>
      </c>
      <c r="AK3025" s="72"/>
      <c r="AL3025" s="72"/>
      <c r="AM3025" s="72"/>
    </row>
    <row r="3026" spans="1:39" x14ac:dyDescent="0.25">
      <c r="A3026" s="37" t="s">
        <v>62</v>
      </c>
      <c r="B3026" s="66" t="s">
        <v>1676</v>
      </c>
      <c r="C3026" s="4">
        <v>1002</v>
      </c>
      <c r="D3026" s="41" t="s">
        <v>103</v>
      </c>
      <c r="E3026" s="41">
        <v>10020059</v>
      </c>
      <c r="F3026" s="85" t="s">
        <v>132</v>
      </c>
      <c r="G3026" s="39" t="s">
        <v>92</v>
      </c>
      <c r="H3026" s="52" t="s">
        <v>93</v>
      </c>
      <c r="I3026" s="52">
        <v>985.89999999999986</v>
      </c>
      <c r="J3026" s="49">
        <v>43096.58</v>
      </c>
      <c r="K3026" s="58">
        <v>689.52</v>
      </c>
      <c r="L3026" s="58">
        <v>28932.780000000002</v>
      </c>
      <c r="M3026" s="58">
        <v>322.60000000000002</v>
      </c>
      <c r="N3026" s="58">
        <v>14178.570000000002</v>
      </c>
      <c r="O3026" s="58">
        <v>1012.12</v>
      </c>
      <c r="P3026" s="53">
        <v>43111.350000000006</v>
      </c>
      <c r="Q3026" s="65">
        <v>43096.58</v>
      </c>
      <c r="R3026" s="65">
        <v>0</v>
      </c>
      <c r="S3026" s="65">
        <v>471.76000000000005</v>
      </c>
      <c r="T3026" s="65">
        <v>14.770000000004075</v>
      </c>
      <c r="U3026" s="58">
        <v>0</v>
      </c>
      <c r="V3026" s="65">
        <v>0</v>
      </c>
      <c r="W3026" s="65">
        <v>0</v>
      </c>
      <c r="X3026" s="65">
        <v>28918</v>
      </c>
      <c r="Y3026" s="65">
        <v>13707</v>
      </c>
      <c r="Z3026" s="51">
        <v>0</v>
      </c>
      <c r="AA3026" s="51">
        <v>0</v>
      </c>
      <c r="AB3026" s="102">
        <v>0</v>
      </c>
      <c r="AC3026" s="81">
        <f t="shared" si="145"/>
        <v>0</v>
      </c>
      <c r="AD3026" s="82">
        <f t="shared" si="146"/>
        <v>0</v>
      </c>
      <c r="AE3026" s="218">
        <v>-3.4271861015431097E-4</v>
      </c>
      <c r="AF3026">
        <v>10</v>
      </c>
      <c r="AH3026" t="str">
        <f t="shared" si="144"/>
        <v>Laldiyara</v>
      </c>
      <c r="AJ3026" s="72">
        <v>0</v>
      </c>
      <c r="AK3026" s="72"/>
      <c r="AL3026" s="72"/>
      <c r="AM3026" s="72"/>
    </row>
    <row r="3027" spans="1:39" x14ac:dyDescent="0.25">
      <c r="A3027" s="37" t="s">
        <v>62</v>
      </c>
      <c r="B3027" s="66" t="s">
        <v>1676</v>
      </c>
      <c r="C3027" s="4">
        <v>1002</v>
      </c>
      <c r="D3027" s="41" t="s">
        <v>103</v>
      </c>
      <c r="E3027" s="41">
        <v>10020062</v>
      </c>
      <c r="F3027" s="85" t="s">
        <v>133</v>
      </c>
      <c r="G3027" s="39" t="s">
        <v>92</v>
      </c>
      <c r="H3027" s="52" t="s">
        <v>93</v>
      </c>
      <c r="I3027" s="52">
        <v>272</v>
      </c>
      <c r="J3027" s="49">
        <v>11111.43</v>
      </c>
      <c r="K3027" s="58">
        <v>272.75</v>
      </c>
      <c r="L3027" s="58">
        <v>11140.6</v>
      </c>
      <c r="M3027" s="58">
        <v>3.96</v>
      </c>
      <c r="N3027" s="58">
        <v>166.17999999999998</v>
      </c>
      <c r="O3027" s="58">
        <v>276.70999999999998</v>
      </c>
      <c r="P3027" s="53">
        <v>11306.78</v>
      </c>
      <c r="Q3027" s="65">
        <v>11111.43</v>
      </c>
      <c r="R3027" s="65">
        <v>0</v>
      </c>
      <c r="S3027" s="65">
        <v>166.17999999999998</v>
      </c>
      <c r="T3027" s="65">
        <v>195.35000000000036</v>
      </c>
      <c r="U3027" s="58">
        <v>0</v>
      </c>
      <c r="V3027" s="65">
        <v>0</v>
      </c>
      <c r="W3027" s="65">
        <v>0</v>
      </c>
      <c r="X3027" s="65">
        <v>10945</v>
      </c>
      <c r="Y3027" s="65">
        <v>0</v>
      </c>
      <c r="Z3027" s="51">
        <v>0</v>
      </c>
      <c r="AA3027" s="51">
        <v>0</v>
      </c>
      <c r="AB3027" s="102">
        <v>0</v>
      </c>
      <c r="AC3027" s="81">
        <f t="shared" si="145"/>
        <v>349.68323823529414</v>
      </c>
      <c r="AD3027" s="82">
        <f t="shared" si="146"/>
        <v>38.857142857142854</v>
      </c>
      <c r="AE3027" s="218">
        <v>-1.7580995425431321E-2</v>
      </c>
      <c r="AF3027">
        <v>12</v>
      </c>
      <c r="AH3027" t="str">
        <f t="shared" si="144"/>
        <v>Laldiyara</v>
      </c>
      <c r="AJ3027" s="72">
        <v>0</v>
      </c>
      <c r="AK3027" s="72"/>
      <c r="AL3027" s="72"/>
      <c r="AM3027" s="72"/>
    </row>
    <row r="3028" spans="1:39" x14ac:dyDescent="0.25">
      <c r="A3028" s="37" t="s">
        <v>62</v>
      </c>
      <c r="B3028" s="66" t="s">
        <v>1676</v>
      </c>
      <c r="C3028" s="4">
        <v>1002</v>
      </c>
      <c r="D3028" s="41" t="s">
        <v>103</v>
      </c>
      <c r="E3028" s="41">
        <v>10020063</v>
      </c>
      <c r="F3028" s="85" t="s">
        <v>134</v>
      </c>
      <c r="G3028" s="39" t="s">
        <v>92</v>
      </c>
      <c r="H3028" s="52" t="s">
        <v>93</v>
      </c>
      <c r="I3028" s="52">
        <v>991.89999999999986</v>
      </c>
      <c r="J3028" s="49">
        <v>46269.420000000013</v>
      </c>
      <c r="K3028" s="58">
        <v>595.88</v>
      </c>
      <c r="L3028" s="58">
        <v>30911.58</v>
      </c>
      <c r="M3028" s="58">
        <v>398.67000000000007</v>
      </c>
      <c r="N3028" s="58">
        <v>17171.940000000002</v>
      </c>
      <c r="O3028" s="58">
        <v>994.55000000000007</v>
      </c>
      <c r="P3028" s="53">
        <v>48083.520000000004</v>
      </c>
      <c r="Q3028" s="65">
        <v>46269.420000000013</v>
      </c>
      <c r="R3028" s="65">
        <v>0</v>
      </c>
      <c r="S3028" s="65">
        <v>281.75</v>
      </c>
      <c r="T3028" s="65">
        <v>1814.0999999999913</v>
      </c>
      <c r="U3028" s="58">
        <v>0</v>
      </c>
      <c r="V3028" s="65">
        <v>0</v>
      </c>
      <c r="W3028" s="65">
        <v>0</v>
      </c>
      <c r="X3028" s="65">
        <v>29097</v>
      </c>
      <c r="Y3028" s="65">
        <v>16890</v>
      </c>
      <c r="Z3028" s="51">
        <v>0</v>
      </c>
      <c r="AA3028" s="51">
        <v>1</v>
      </c>
      <c r="AB3028" s="102">
        <v>0</v>
      </c>
      <c r="AC3028" s="81">
        <f t="shared" si="145"/>
        <v>0</v>
      </c>
      <c r="AD3028" s="82">
        <f t="shared" si="146"/>
        <v>0</v>
      </c>
      <c r="AE3028" s="218">
        <v>-3.9207320947614879E-2</v>
      </c>
      <c r="AF3028">
        <v>11</v>
      </c>
      <c r="AH3028" t="str">
        <f t="shared" si="144"/>
        <v>Laldiyara</v>
      </c>
      <c r="AJ3028" s="72">
        <v>0</v>
      </c>
      <c r="AK3028" s="72"/>
      <c r="AL3028" s="72"/>
      <c r="AM3028" s="72"/>
    </row>
    <row r="3029" spans="1:39" x14ac:dyDescent="0.25">
      <c r="A3029" s="37" t="s">
        <v>62</v>
      </c>
      <c r="B3029" s="66" t="s">
        <v>1676</v>
      </c>
      <c r="C3029" s="4">
        <v>1002</v>
      </c>
      <c r="D3029" s="41" t="s">
        <v>103</v>
      </c>
      <c r="E3029" s="41">
        <v>10020064</v>
      </c>
      <c r="F3029" s="85" t="s">
        <v>135</v>
      </c>
      <c r="G3029" s="39" t="s">
        <v>1610</v>
      </c>
      <c r="H3029" s="52" t="s">
        <v>98</v>
      </c>
      <c r="I3029" s="52">
        <v>121.00000000000001</v>
      </c>
      <c r="J3029" s="49">
        <v>4836.51</v>
      </c>
      <c r="K3029" s="58">
        <v>0</v>
      </c>
      <c r="L3029" s="58">
        <v>0</v>
      </c>
      <c r="M3029" s="58">
        <v>0</v>
      </c>
      <c r="N3029" s="58">
        <v>0</v>
      </c>
      <c r="O3029" s="58">
        <v>0</v>
      </c>
      <c r="P3029" s="53">
        <v>0</v>
      </c>
      <c r="Q3029" s="65">
        <v>4836.51</v>
      </c>
      <c r="R3029" s="65">
        <v>0</v>
      </c>
      <c r="S3029" s="65">
        <v>0</v>
      </c>
      <c r="T3029" s="65">
        <v>0</v>
      </c>
      <c r="U3029" s="58">
        <v>0</v>
      </c>
      <c r="V3029" s="65">
        <v>0</v>
      </c>
      <c r="W3029" s="65">
        <v>0</v>
      </c>
      <c r="X3029" s="65">
        <v>0</v>
      </c>
      <c r="Y3029" s="65">
        <v>0</v>
      </c>
      <c r="Z3029" s="51">
        <v>4836.51</v>
      </c>
      <c r="AA3029" s="51">
        <v>0</v>
      </c>
      <c r="AB3029" s="102">
        <v>0</v>
      </c>
      <c r="AC3029" s="81">
        <f t="shared" si="145"/>
        <v>462.86599834710739</v>
      </c>
      <c r="AD3029" s="82">
        <f t="shared" si="146"/>
        <v>17.285714285714288</v>
      </c>
      <c r="AE3029" s="218">
        <v>0</v>
      </c>
      <c r="AF3029">
        <v>0</v>
      </c>
      <c r="AH3029" t="str">
        <f t="shared" si="144"/>
        <v>Laldiyara</v>
      </c>
      <c r="AJ3029" s="72">
        <v>0</v>
      </c>
      <c r="AK3029" s="72"/>
      <c r="AL3029" s="72"/>
      <c r="AM3029" s="72"/>
    </row>
    <row r="3030" spans="1:39" x14ac:dyDescent="0.25">
      <c r="A3030" s="37" t="s">
        <v>62</v>
      </c>
      <c r="B3030" s="66" t="s">
        <v>1676</v>
      </c>
      <c r="C3030" s="4">
        <v>1002</v>
      </c>
      <c r="D3030" s="41" t="s">
        <v>103</v>
      </c>
      <c r="E3030" s="41">
        <v>10020068</v>
      </c>
      <c r="F3030" s="85" t="s">
        <v>106</v>
      </c>
      <c r="G3030" s="39" t="s">
        <v>92</v>
      </c>
      <c r="H3030" s="52" t="s">
        <v>93</v>
      </c>
      <c r="I3030" s="52">
        <v>1443.2</v>
      </c>
      <c r="J3030" s="49">
        <v>62918.219999999994</v>
      </c>
      <c r="K3030" s="58">
        <v>1452.2299999999998</v>
      </c>
      <c r="L3030" s="58">
        <v>65808.000000000015</v>
      </c>
      <c r="M3030" s="58">
        <v>0</v>
      </c>
      <c r="N3030" s="58">
        <v>0</v>
      </c>
      <c r="O3030" s="58">
        <v>1452.2299999999998</v>
      </c>
      <c r="P3030" s="53">
        <v>65808.000000000015</v>
      </c>
      <c r="Q3030" s="65">
        <v>62918.219999999994</v>
      </c>
      <c r="R3030" s="65">
        <v>0</v>
      </c>
      <c r="S3030" s="65">
        <v>0</v>
      </c>
      <c r="T3030" s="65">
        <v>2889.7800000000207</v>
      </c>
      <c r="U3030" s="58">
        <v>0</v>
      </c>
      <c r="V3030" s="65">
        <v>0</v>
      </c>
      <c r="W3030" s="65">
        <v>0</v>
      </c>
      <c r="X3030" s="65">
        <v>62918</v>
      </c>
      <c r="Y3030" s="65">
        <v>0</v>
      </c>
      <c r="Z3030" s="51">
        <v>0</v>
      </c>
      <c r="AA3030" s="51">
        <v>0</v>
      </c>
      <c r="AB3030" s="102">
        <v>0</v>
      </c>
      <c r="AC3030" s="81">
        <f t="shared" si="145"/>
        <v>0</v>
      </c>
      <c r="AD3030" s="82">
        <f t="shared" si="146"/>
        <v>0</v>
      </c>
      <c r="AE3030" s="218">
        <v>-4.5929144212916717E-2</v>
      </c>
      <c r="AF3030">
        <v>35</v>
      </c>
      <c r="AH3030" t="str">
        <f t="shared" si="144"/>
        <v>Laldiyara</v>
      </c>
      <c r="AJ3030" s="72">
        <v>0</v>
      </c>
      <c r="AK3030" s="72"/>
      <c r="AL3030" s="72"/>
      <c r="AM3030" s="72"/>
    </row>
    <row r="3031" spans="1:39" x14ac:dyDescent="0.25">
      <c r="A3031" s="37" t="s">
        <v>62</v>
      </c>
      <c r="B3031" s="66" t="s">
        <v>1676</v>
      </c>
      <c r="C3031" s="4">
        <v>1002</v>
      </c>
      <c r="D3031" s="41" t="s">
        <v>103</v>
      </c>
      <c r="E3031" s="41">
        <v>10020069</v>
      </c>
      <c r="F3031" s="85" t="s">
        <v>448</v>
      </c>
      <c r="G3031" s="39" t="s">
        <v>92</v>
      </c>
      <c r="H3031" s="52" t="s">
        <v>93</v>
      </c>
      <c r="I3031" s="52">
        <v>183.4</v>
      </c>
      <c r="J3031" s="49">
        <v>7982.37</v>
      </c>
      <c r="K3031" s="58">
        <v>183.29</v>
      </c>
      <c r="L3031" s="58">
        <v>7981.8200000000015</v>
      </c>
      <c r="M3031" s="58">
        <v>0.61999999999999988</v>
      </c>
      <c r="N3031" s="58">
        <v>24.649999999999995</v>
      </c>
      <c r="O3031" s="58">
        <v>183.91</v>
      </c>
      <c r="P3031" s="53">
        <v>8006.4700000000012</v>
      </c>
      <c r="Q3031" s="65">
        <v>7982.37</v>
      </c>
      <c r="R3031" s="65">
        <v>0</v>
      </c>
      <c r="S3031" s="65">
        <v>24.649999999999995</v>
      </c>
      <c r="T3031" s="65">
        <v>24.100000000001273</v>
      </c>
      <c r="U3031" s="58">
        <v>0</v>
      </c>
      <c r="V3031" s="65">
        <v>500</v>
      </c>
      <c r="W3031" s="65">
        <v>0</v>
      </c>
      <c r="X3031" s="65">
        <v>7457</v>
      </c>
      <c r="Y3031" s="65">
        <v>0</v>
      </c>
      <c r="Z3031" s="51">
        <v>0</v>
      </c>
      <c r="AA3031" s="51">
        <v>1</v>
      </c>
      <c r="AB3031" s="102">
        <v>0</v>
      </c>
      <c r="AC3031" s="81">
        <f t="shared" si="145"/>
        <v>449.6938213740458</v>
      </c>
      <c r="AD3031" s="82">
        <f t="shared" si="146"/>
        <v>26.2</v>
      </c>
      <c r="AE3031" s="218">
        <v>-3.0191534594363923E-3</v>
      </c>
      <c r="AF3031">
        <v>2</v>
      </c>
      <c r="AH3031" t="str">
        <f t="shared" si="144"/>
        <v>Laldiyara</v>
      </c>
      <c r="AJ3031" s="72">
        <v>500</v>
      </c>
      <c r="AK3031" s="72"/>
      <c r="AL3031" s="72"/>
      <c r="AM3031" s="72"/>
    </row>
    <row r="3032" spans="1:39" x14ac:dyDescent="0.25">
      <c r="A3032" s="37" t="s">
        <v>62</v>
      </c>
      <c r="B3032" s="66" t="s">
        <v>1676</v>
      </c>
      <c r="C3032" s="4">
        <v>1002</v>
      </c>
      <c r="D3032" s="41" t="s">
        <v>103</v>
      </c>
      <c r="E3032" s="41">
        <v>10020070</v>
      </c>
      <c r="F3032" s="85" t="s">
        <v>466</v>
      </c>
      <c r="G3032" s="39" t="s">
        <v>92</v>
      </c>
      <c r="H3032" s="52" t="s">
        <v>93</v>
      </c>
      <c r="I3032" s="52">
        <v>697.69999999999993</v>
      </c>
      <c r="J3032" s="49">
        <v>28059.13</v>
      </c>
      <c r="K3032" s="58">
        <v>698.8</v>
      </c>
      <c r="L3032" s="58">
        <v>32336.3</v>
      </c>
      <c r="M3032" s="58">
        <v>0</v>
      </c>
      <c r="N3032" s="58">
        <v>0</v>
      </c>
      <c r="O3032" s="58">
        <v>698.8</v>
      </c>
      <c r="P3032" s="53">
        <v>32336.3</v>
      </c>
      <c r="Q3032" s="65">
        <v>28059.13</v>
      </c>
      <c r="R3032" s="65">
        <v>0</v>
      </c>
      <c r="S3032" s="65">
        <v>0</v>
      </c>
      <c r="T3032" s="65">
        <v>4277.1699999999983</v>
      </c>
      <c r="U3032" s="58">
        <v>0</v>
      </c>
      <c r="V3032" s="65">
        <v>0</v>
      </c>
      <c r="W3032" s="65">
        <v>0</v>
      </c>
      <c r="X3032" s="65">
        <v>28059</v>
      </c>
      <c r="Y3032" s="65">
        <v>0</v>
      </c>
      <c r="Z3032" s="51">
        <v>0</v>
      </c>
      <c r="AA3032" s="51">
        <v>0</v>
      </c>
      <c r="AB3032" s="102" t="s">
        <v>66</v>
      </c>
      <c r="AC3032" s="81">
        <f t="shared" si="145"/>
        <v>1.8499641393149355</v>
      </c>
      <c r="AD3032" s="82">
        <f t="shared" si="146"/>
        <v>99.671428571428564</v>
      </c>
      <c r="AE3032" s="218">
        <v>-0.15243416314048219</v>
      </c>
      <c r="AF3032">
        <v>10</v>
      </c>
      <c r="AH3032" t="str">
        <f t="shared" si="144"/>
        <v>Laldiyara</v>
      </c>
      <c r="AJ3032" s="72">
        <v>0</v>
      </c>
      <c r="AK3032" s="72"/>
      <c r="AL3032" s="72"/>
      <c r="AM3032" s="72"/>
    </row>
    <row r="3033" spans="1:39" x14ac:dyDescent="0.25">
      <c r="A3033" s="37" t="s">
        <v>62</v>
      </c>
      <c r="B3033" s="66" t="s">
        <v>1676</v>
      </c>
      <c r="C3033" s="4">
        <v>1002</v>
      </c>
      <c r="D3033" s="41" t="s">
        <v>103</v>
      </c>
      <c r="E3033" s="41">
        <v>10020073</v>
      </c>
      <c r="F3033" s="85" t="s">
        <v>483</v>
      </c>
      <c r="G3033" s="39" t="s">
        <v>1610</v>
      </c>
      <c r="H3033" s="52" t="s">
        <v>98</v>
      </c>
      <c r="I3033" s="52">
        <v>1044.5</v>
      </c>
      <c r="J3033" s="49">
        <v>40110.860000000015</v>
      </c>
      <c r="K3033" s="58">
        <v>0</v>
      </c>
      <c r="L3033" s="58">
        <v>0</v>
      </c>
      <c r="M3033" s="58">
        <v>0</v>
      </c>
      <c r="N3033" s="58">
        <v>0</v>
      </c>
      <c r="O3033" s="58">
        <v>0</v>
      </c>
      <c r="P3033" s="53">
        <v>0</v>
      </c>
      <c r="Q3033" s="65">
        <v>40110.860000000015</v>
      </c>
      <c r="R3033" s="65">
        <v>0</v>
      </c>
      <c r="S3033" s="65">
        <v>0</v>
      </c>
      <c r="T3033" s="65">
        <v>0</v>
      </c>
      <c r="U3033" s="58">
        <v>0</v>
      </c>
      <c r="V3033" s="65">
        <v>0</v>
      </c>
      <c r="W3033" s="65">
        <v>0</v>
      </c>
      <c r="X3033" s="65">
        <v>0</v>
      </c>
      <c r="Y3033" s="65">
        <v>0</v>
      </c>
      <c r="Z3033" s="51">
        <v>40110.860000000015</v>
      </c>
      <c r="AA3033" s="51">
        <v>0</v>
      </c>
      <c r="AB3033" s="102">
        <v>0</v>
      </c>
      <c r="AC3033" s="81">
        <f t="shared" si="145"/>
        <v>0</v>
      </c>
      <c r="AD3033" s="82">
        <f t="shared" si="146"/>
        <v>0</v>
      </c>
      <c r="AE3033" s="218">
        <v>0</v>
      </c>
      <c r="AF3033">
        <v>0</v>
      </c>
      <c r="AH3033" t="str">
        <f t="shared" si="144"/>
        <v>Laldiyara</v>
      </c>
      <c r="AJ3033" s="72">
        <v>0</v>
      </c>
      <c r="AK3033" s="72"/>
      <c r="AL3033" s="72"/>
      <c r="AM3033" s="72"/>
    </row>
    <row r="3034" spans="1:39" x14ac:dyDescent="0.25">
      <c r="A3034" s="37" t="s">
        <v>62</v>
      </c>
      <c r="B3034" s="66" t="s">
        <v>1676</v>
      </c>
      <c r="C3034" s="4">
        <v>1002</v>
      </c>
      <c r="D3034" s="41" t="s">
        <v>103</v>
      </c>
      <c r="E3034" s="41">
        <v>10020075</v>
      </c>
      <c r="F3034" s="85" t="s">
        <v>262</v>
      </c>
      <c r="G3034" s="39" t="s">
        <v>92</v>
      </c>
      <c r="H3034" s="52" t="s">
        <v>93</v>
      </c>
      <c r="I3034" s="52">
        <v>266.2</v>
      </c>
      <c r="J3034" s="49">
        <v>12207.55</v>
      </c>
      <c r="K3034" s="58">
        <v>273.09999999999997</v>
      </c>
      <c r="L3034" s="58">
        <v>12868.38</v>
      </c>
      <c r="M3034" s="58">
        <v>0.6</v>
      </c>
      <c r="N3034" s="58">
        <v>21.52</v>
      </c>
      <c r="O3034" s="58">
        <v>273.7</v>
      </c>
      <c r="P3034" s="53">
        <v>12889.9</v>
      </c>
      <c r="Q3034" s="65">
        <v>12207.55</v>
      </c>
      <c r="R3034" s="65">
        <v>0</v>
      </c>
      <c r="S3034" s="65">
        <v>21.52</v>
      </c>
      <c r="T3034" s="65">
        <v>682.35000000000036</v>
      </c>
      <c r="U3034" s="58">
        <v>0</v>
      </c>
      <c r="V3034" s="65">
        <v>0</v>
      </c>
      <c r="W3034" s="65">
        <v>0</v>
      </c>
      <c r="X3034" s="65">
        <v>12186</v>
      </c>
      <c r="Y3034" s="65">
        <v>0</v>
      </c>
      <c r="Z3034" s="51">
        <v>0</v>
      </c>
      <c r="AA3034" s="51">
        <v>0</v>
      </c>
      <c r="AB3034" s="102" t="s">
        <v>66</v>
      </c>
      <c r="AC3034" s="81">
        <f t="shared" si="145"/>
        <v>397.86890984222396</v>
      </c>
      <c r="AD3034" s="82">
        <f t="shared" si="146"/>
        <v>38.028571428571425</v>
      </c>
      <c r="AE3034" s="218">
        <v>-5.5895736654775152E-2</v>
      </c>
      <c r="AF3034">
        <v>9</v>
      </c>
      <c r="AH3034" t="str">
        <f t="shared" si="144"/>
        <v>Laldiyara</v>
      </c>
      <c r="AJ3034" s="72">
        <v>0</v>
      </c>
      <c r="AK3034" s="72"/>
      <c r="AL3034" s="72"/>
      <c r="AM3034" s="72"/>
    </row>
    <row r="3035" spans="1:39" x14ac:dyDescent="0.25">
      <c r="A3035" s="37" t="s">
        <v>62</v>
      </c>
      <c r="B3035" s="66" t="s">
        <v>1676</v>
      </c>
      <c r="C3035" s="4">
        <v>1002</v>
      </c>
      <c r="D3035" s="41" t="s">
        <v>103</v>
      </c>
      <c r="E3035" s="41">
        <v>10020077</v>
      </c>
      <c r="F3035" s="85" t="s">
        <v>1129</v>
      </c>
      <c r="G3035" s="39" t="s">
        <v>92</v>
      </c>
      <c r="H3035" s="52" t="s">
        <v>93</v>
      </c>
      <c r="I3035" s="52">
        <v>294.99999999999994</v>
      </c>
      <c r="J3035" s="49">
        <v>14494.289999999999</v>
      </c>
      <c r="K3035" s="58">
        <v>295</v>
      </c>
      <c r="L3035" s="58">
        <v>14526.189999999999</v>
      </c>
      <c r="M3035" s="58">
        <v>0</v>
      </c>
      <c r="N3035" s="58">
        <v>0</v>
      </c>
      <c r="O3035" s="58">
        <v>295</v>
      </c>
      <c r="P3035" s="53">
        <v>14526.189999999999</v>
      </c>
      <c r="Q3035" s="65">
        <v>14494.289999999999</v>
      </c>
      <c r="R3035" s="65">
        <v>0</v>
      </c>
      <c r="S3035" s="65">
        <v>0</v>
      </c>
      <c r="T3035" s="65">
        <v>31.899999999999636</v>
      </c>
      <c r="U3035" s="58">
        <v>0</v>
      </c>
      <c r="V3035" s="65">
        <v>500</v>
      </c>
      <c r="W3035" s="65">
        <v>0</v>
      </c>
      <c r="X3035" s="65">
        <v>13994</v>
      </c>
      <c r="Y3035" s="65">
        <v>0</v>
      </c>
      <c r="Z3035" s="51">
        <v>0</v>
      </c>
      <c r="AA3035" s="51">
        <v>0</v>
      </c>
      <c r="AB3035" s="102">
        <v>0</v>
      </c>
      <c r="AC3035" s="81">
        <f t="shared" si="145"/>
        <v>397.97881016949162</v>
      </c>
      <c r="AD3035" s="82">
        <f t="shared" si="146"/>
        <v>42.142857142857132</v>
      </c>
      <c r="AE3035" s="218">
        <v>-2.200866686122579E-3</v>
      </c>
      <c r="AF3035">
        <v>1</v>
      </c>
      <c r="AH3035" t="str">
        <f t="shared" si="144"/>
        <v>Laldiyara</v>
      </c>
      <c r="AJ3035" s="72">
        <v>500</v>
      </c>
      <c r="AK3035" s="72"/>
      <c r="AL3035" s="72"/>
      <c r="AM3035" s="72"/>
    </row>
    <row r="3036" spans="1:39" x14ac:dyDescent="0.25">
      <c r="A3036" s="37" t="s">
        <v>62</v>
      </c>
      <c r="B3036" s="66" t="s">
        <v>1676</v>
      </c>
      <c r="C3036" s="4">
        <v>1002</v>
      </c>
      <c r="D3036" s="41" t="s">
        <v>103</v>
      </c>
      <c r="E3036" s="41">
        <v>10020078</v>
      </c>
      <c r="F3036" s="85" t="s">
        <v>1130</v>
      </c>
      <c r="G3036" s="39" t="s">
        <v>92</v>
      </c>
      <c r="H3036" s="52" t="s">
        <v>93</v>
      </c>
      <c r="I3036" s="52">
        <v>480.79999999999995</v>
      </c>
      <c r="J3036" s="49">
        <v>20551.119999999995</v>
      </c>
      <c r="K3036" s="58">
        <v>478.15999999999997</v>
      </c>
      <c r="L3036" s="58">
        <v>28198.720000000001</v>
      </c>
      <c r="M3036" s="58">
        <v>0</v>
      </c>
      <c r="N3036" s="58">
        <v>0</v>
      </c>
      <c r="O3036" s="58">
        <v>478.15999999999997</v>
      </c>
      <c r="P3036" s="53">
        <v>28198.720000000001</v>
      </c>
      <c r="Q3036" s="65">
        <v>20551.119999999995</v>
      </c>
      <c r="R3036" s="65">
        <v>0</v>
      </c>
      <c r="S3036" s="65">
        <v>0</v>
      </c>
      <c r="T3036" s="65">
        <v>7647.6000000000058</v>
      </c>
      <c r="U3036" s="58">
        <v>0</v>
      </c>
      <c r="V3036" s="65">
        <v>0</v>
      </c>
      <c r="W3036" s="65">
        <v>0</v>
      </c>
      <c r="X3036" s="65">
        <v>20551</v>
      </c>
      <c r="Y3036" s="65">
        <v>0</v>
      </c>
      <c r="Z3036" s="51">
        <v>0</v>
      </c>
      <c r="AA3036" s="51">
        <v>0</v>
      </c>
      <c r="AB3036" s="102">
        <v>0</v>
      </c>
      <c r="AC3036" s="81">
        <f t="shared" si="145"/>
        <v>187.38791613976704</v>
      </c>
      <c r="AD3036" s="82">
        <f t="shared" si="146"/>
        <v>68.685714285714283</v>
      </c>
      <c r="AE3036" s="218">
        <v>-0.37212570409787921</v>
      </c>
      <c r="AF3036">
        <v>2</v>
      </c>
      <c r="AH3036" t="str">
        <f t="shared" si="144"/>
        <v>Laldiyara</v>
      </c>
      <c r="AJ3036" s="72">
        <v>0</v>
      </c>
      <c r="AK3036" s="72"/>
      <c r="AL3036" s="72"/>
      <c r="AM3036" s="72"/>
    </row>
    <row r="3037" spans="1:39" x14ac:dyDescent="0.25">
      <c r="A3037" s="37" t="s">
        <v>62</v>
      </c>
      <c r="B3037" s="66" t="s">
        <v>1676</v>
      </c>
      <c r="C3037" s="4">
        <v>1002</v>
      </c>
      <c r="D3037" s="41" t="s">
        <v>103</v>
      </c>
      <c r="E3037" s="41">
        <v>10020079</v>
      </c>
      <c r="F3037" s="85" t="s">
        <v>1131</v>
      </c>
      <c r="G3037" s="39" t="s">
        <v>92</v>
      </c>
      <c r="H3037" s="52" t="s">
        <v>93</v>
      </c>
      <c r="I3037" s="52">
        <v>32.5</v>
      </c>
      <c r="J3037" s="49">
        <v>1435.93</v>
      </c>
      <c r="K3037" s="58">
        <v>33.19</v>
      </c>
      <c r="L3037" s="58">
        <v>1621.5200000000002</v>
      </c>
      <c r="M3037" s="58">
        <v>0</v>
      </c>
      <c r="N3037" s="58">
        <v>0</v>
      </c>
      <c r="O3037" s="58">
        <v>33.19</v>
      </c>
      <c r="P3037" s="53">
        <v>1621.5200000000002</v>
      </c>
      <c r="Q3037" s="65">
        <v>1435.93</v>
      </c>
      <c r="R3037" s="65">
        <v>0</v>
      </c>
      <c r="S3037" s="65">
        <v>0</v>
      </c>
      <c r="T3037" s="65">
        <v>185.59000000000015</v>
      </c>
      <c r="U3037" s="58">
        <v>0</v>
      </c>
      <c r="V3037" s="65">
        <v>500</v>
      </c>
      <c r="W3037" s="65">
        <v>0</v>
      </c>
      <c r="X3037" s="65">
        <v>936</v>
      </c>
      <c r="Y3037" s="65">
        <v>0</v>
      </c>
      <c r="Z3037" s="51">
        <v>0</v>
      </c>
      <c r="AA3037" s="51">
        <v>0</v>
      </c>
      <c r="AB3037" s="102">
        <v>0</v>
      </c>
      <c r="AC3037" s="81">
        <f t="shared" si="145"/>
        <v>589.83586153846159</v>
      </c>
      <c r="AD3037" s="82">
        <f t="shared" si="146"/>
        <v>4.6428571428571432</v>
      </c>
      <c r="AE3037" s="218">
        <v>-0.12924724742849591</v>
      </c>
      <c r="AF3037">
        <v>2</v>
      </c>
      <c r="AH3037" t="str">
        <f t="shared" si="144"/>
        <v>Laldiyara</v>
      </c>
      <c r="AJ3037" s="72">
        <v>500</v>
      </c>
      <c r="AK3037" s="72"/>
      <c r="AL3037" s="72"/>
      <c r="AM3037" s="72"/>
    </row>
    <row r="3038" spans="1:39" x14ac:dyDescent="0.25">
      <c r="A3038" s="37" t="s">
        <v>62</v>
      </c>
      <c r="B3038" s="66" t="s">
        <v>1676</v>
      </c>
      <c r="C3038" s="4">
        <v>1002</v>
      </c>
      <c r="D3038" s="41" t="s">
        <v>103</v>
      </c>
      <c r="E3038" s="41">
        <v>10020081</v>
      </c>
      <c r="F3038" s="85" t="s">
        <v>1169</v>
      </c>
      <c r="G3038" s="39" t="s">
        <v>92</v>
      </c>
      <c r="H3038" s="52" t="s">
        <v>98</v>
      </c>
      <c r="I3038" s="52">
        <v>2010.1999999999998</v>
      </c>
      <c r="J3038" s="49">
        <v>85996.23</v>
      </c>
      <c r="K3038" s="58">
        <v>0</v>
      </c>
      <c r="L3038" s="58">
        <v>0</v>
      </c>
      <c r="M3038" s="58">
        <v>0</v>
      </c>
      <c r="N3038" s="58">
        <v>0</v>
      </c>
      <c r="O3038" s="58">
        <v>0</v>
      </c>
      <c r="P3038" s="53">
        <v>0</v>
      </c>
      <c r="Q3038" s="65">
        <v>85996.23</v>
      </c>
      <c r="R3038" s="65">
        <v>0</v>
      </c>
      <c r="S3038" s="65">
        <v>0</v>
      </c>
      <c r="T3038" s="65">
        <v>0</v>
      </c>
      <c r="U3038" s="58">
        <v>0</v>
      </c>
      <c r="V3038" s="65">
        <v>0</v>
      </c>
      <c r="W3038" s="65">
        <v>0</v>
      </c>
      <c r="X3038" s="65">
        <v>0</v>
      </c>
      <c r="Y3038" s="65">
        <v>0</v>
      </c>
      <c r="Z3038" s="51">
        <v>85996.23</v>
      </c>
      <c r="AA3038" s="51">
        <v>0</v>
      </c>
      <c r="AB3038" s="102">
        <v>0</v>
      </c>
      <c r="AC3038" s="81">
        <f t="shared" si="145"/>
        <v>0</v>
      </c>
      <c r="AD3038" s="82">
        <f t="shared" si="146"/>
        <v>0</v>
      </c>
      <c r="AE3038" s="218">
        <v>0</v>
      </c>
      <c r="AF3038">
        <v>0</v>
      </c>
      <c r="AH3038" t="str">
        <f t="shared" si="144"/>
        <v>Laldiyara</v>
      </c>
      <c r="AJ3038" s="72">
        <v>0</v>
      </c>
      <c r="AK3038" s="72"/>
      <c r="AL3038" s="72"/>
      <c r="AM3038" s="72"/>
    </row>
    <row r="3039" spans="1:39" x14ac:dyDescent="0.25">
      <c r="A3039" s="37" t="s">
        <v>62</v>
      </c>
      <c r="B3039" s="66" t="s">
        <v>1676</v>
      </c>
      <c r="C3039" s="4">
        <v>1002</v>
      </c>
      <c r="D3039" s="41" t="s">
        <v>103</v>
      </c>
      <c r="E3039" s="41">
        <v>10020082</v>
      </c>
      <c r="F3039" s="85" t="s">
        <v>1170</v>
      </c>
      <c r="G3039" s="39" t="s">
        <v>92</v>
      </c>
      <c r="H3039" s="52" t="s">
        <v>98</v>
      </c>
      <c r="I3039" s="52">
        <v>1827.8999999999994</v>
      </c>
      <c r="J3039" s="49">
        <v>79196.239999999991</v>
      </c>
      <c r="K3039" s="58">
        <v>0</v>
      </c>
      <c r="L3039" s="58">
        <v>0</v>
      </c>
      <c r="M3039" s="58">
        <v>0</v>
      </c>
      <c r="N3039" s="58">
        <v>0</v>
      </c>
      <c r="O3039" s="58">
        <v>0</v>
      </c>
      <c r="P3039" s="53">
        <v>0</v>
      </c>
      <c r="Q3039" s="65">
        <v>79196.239999999991</v>
      </c>
      <c r="R3039" s="65">
        <v>0</v>
      </c>
      <c r="S3039" s="65">
        <v>0</v>
      </c>
      <c r="T3039" s="65">
        <v>0</v>
      </c>
      <c r="U3039" s="58">
        <v>0</v>
      </c>
      <c r="V3039" s="65">
        <v>0</v>
      </c>
      <c r="W3039" s="65">
        <v>0</v>
      </c>
      <c r="X3039" s="65">
        <v>0</v>
      </c>
      <c r="Y3039" s="65">
        <v>0</v>
      </c>
      <c r="Z3039" s="51">
        <v>79196.239999999991</v>
      </c>
      <c r="AA3039" s="51">
        <v>0</v>
      </c>
      <c r="AB3039" s="102">
        <v>0</v>
      </c>
      <c r="AC3039" s="81">
        <f t="shared" si="145"/>
        <v>0</v>
      </c>
      <c r="AD3039" s="82">
        <f t="shared" si="146"/>
        <v>0</v>
      </c>
      <c r="AE3039" s="218">
        <v>0</v>
      </c>
      <c r="AF3039">
        <v>0</v>
      </c>
      <c r="AH3039" t="str">
        <f t="shared" si="144"/>
        <v>Laldiyara</v>
      </c>
      <c r="AJ3039" s="72">
        <v>0</v>
      </c>
      <c r="AK3039" s="72"/>
      <c r="AL3039" s="72"/>
      <c r="AM3039" s="72"/>
    </row>
    <row r="3040" spans="1:39" x14ac:dyDescent="0.25">
      <c r="A3040" s="37" t="s">
        <v>62</v>
      </c>
      <c r="B3040" s="66" t="s">
        <v>1676</v>
      </c>
      <c r="C3040" s="4">
        <v>1002</v>
      </c>
      <c r="D3040" s="41" t="s">
        <v>103</v>
      </c>
      <c r="E3040" s="41">
        <v>10020083</v>
      </c>
      <c r="F3040" s="85" t="s">
        <v>1225</v>
      </c>
      <c r="G3040" s="39" t="s">
        <v>92</v>
      </c>
      <c r="H3040" s="52" t="s">
        <v>93</v>
      </c>
      <c r="I3040" s="52">
        <v>468.79999999999995</v>
      </c>
      <c r="J3040" s="49">
        <v>18672.39</v>
      </c>
      <c r="K3040" s="58">
        <v>468.4</v>
      </c>
      <c r="L3040" s="58">
        <v>19466.039999999997</v>
      </c>
      <c r="M3040" s="58">
        <v>0</v>
      </c>
      <c r="N3040" s="58">
        <v>0</v>
      </c>
      <c r="O3040" s="58">
        <v>468.4</v>
      </c>
      <c r="P3040" s="53">
        <v>19466.039999999997</v>
      </c>
      <c r="Q3040" s="65">
        <v>18672.39</v>
      </c>
      <c r="R3040" s="65">
        <v>0</v>
      </c>
      <c r="S3040" s="65">
        <v>0</v>
      </c>
      <c r="T3040" s="65">
        <v>793.64999999999782</v>
      </c>
      <c r="U3040" s="58">
        <v>0</v>
      </c>
      <c r="V3040" s="65">
        <v>0</v>
      </c>
      <c r="W3040" s="65">
        <v>0</v>
      </c>
      <c r="X3040" s="65">
        <v>18672</v>
      </c>
      <c r="Y3040" s="65">
        <v>0</v>
      </c>
      <c r="Z3040" s="51">
        <v>0</v>
      </c>
      <c r="AA3040" s="51">
        <v>0</v>
      </c>
      <c r="AB3040" s="102">
        <v>0</v>
      </c>
      <c r="AC3040" s="81">
        <f t="shared" si="145"/>
        <v>184.17476825938576</v>
      </c>
      <c r="AD3040" s="82">
        <f t="shared" si="146"/>
        <v>66.971428571428561</v>
      </c>
      <c r="AE3040" s="218">
        <v>-4.2503932276478688E-2</v>
      </c>
      <c r="AF3040">
        <v>2</v>
      </c>
      <c r="AH3040" t="str">
        <f t="shared" si="144"/>
        <v>Laldiyara</v>
      </c>
      <c r="AJ3040" s="72">
        <v>0</v>
      </c>
      <c r="AK3040" s="72"/>
      <c r="AL3040" s="72"/>
      <c r="AM3040" s="72"/>
    </row>
    <row r="3041" spans="1:39" x14ac:dyDescent="0.25">
      <c r="A3041" s="37" t="s">
        <v>62</v>
      </c>
      <c r="B3041" s="66" t="s">
        <v>1676</v>
      </c>
      <c r="C3041" s="4">
        <v>1002</v>
      </c>
      <c r="D3041" s="41" t="s">
        <v>103</v>
      </c>
      <c r="E3041" s="41">
        <v>10020084</v>
      </c>
      <c r="F3041" s="85" t="s">
        <v>1217</v>
      </c>
      <c r="G3041" s="39" t="s">
        <v>92</v>
      </c>
      <c r="H3041" s="52" t="s">
        <v>93</v>
      </c>
      <c r="I3041" s="52">
        <v>564.59999999999991</v>
      </c>
      <c r="J3041" s="49">
        <v>23309.969999999998</v>
      </c>
      <c r="K3041" s="58">
        <v>145.94</v>
      </c>
      <c r="L3041" s="58">
        <v>5755.0199999999995</v>
      </c>
      <c r="M3041" s="58">
        <v>421.61999999999995</v>
      </c>
      <c r="N3041" s="58">
        <v>17126.61</v>
      </c>
      <c r="O3041" s="58">
        <v>567.55999999999995</v>
      </c>
      <c r="P3041" s="53">
        <v>22881.63</v>
      </c>
      <c r="Q3041" s="65">
        <v>22881.63</v>
      </c>
      <c r="R3041" s="65">
        <v>0</v>
      </c>
      <c r="S3041" s="65">
        <v>0</v>
      </c>
      <c r="T3041" s="65">
        <v>0</v>
      </c>
      <c r="U3041" s="58">
        <v>0</v>
      </c>
      <c r="V3041" s="65">
        <v>0</v>
      </c>
      <c r="W3041" s="65">
        <v>0</v>
      </c>
      <c r="X3041" s="65">
        <v>5755</v>
      </c>
      <c r="Y3041" s="65">
        <v>17126</v>
      </c>
      <c r="Z3041" s="51">
        <v>0</v>
      </c>
      <c r="AA3041" s="51">
        <v>429</v>
      </c>
      <c r="AB3041" s="102">
        <v>0</v>
      </c>
      <c r="AC3041" s="81">
        <f t="shared" si="145"/>
        <v>111.80198150903303</v>
      </c>
      <c r="AD3041" s="82">
        <f t="shared" si="146"/>
        <v>80.657142857142844</v>
      </c>
      <c r="AE3041" s="218">
        <v>1.8375828025518546E-2</v>
      </c>
      <c r="AF3041">
        <v>24</v>
      </c>
      <c r="AH3041" t="str">
        <f t="shared" si="144"/>
        <v>Laldiyara</v>
      </c>
      <c r="AJ3041" s="72">
        <v>0</v>
      </c>
      <c r="AK3041" s="72"/>
      <c r="AL3041" s="72"/>
      <c r="AM3041" s="72"/>
    </row>
    <row r="3042" spans="1:39" x14ac:dyDescent="0.25">
      <c r="A3042" s="37" t="s">
        <v>62</v>
      </c>
      <c r="B3042" s="66" t="s">
        <v>1676</v>
      </c>
      <c r="C3042" s="4">
        <v>1002</v>
      </c>
      <c r="D3042" s="41" t="s">
        <v>103</v>
      </c>
      <c r="E3042" s="41">
        <v>10020087</v>
      </c>
      <c r="F3042" s="85" t="s">
        <v>1498</v>
      </c>
      <c r="G3042" s="39" t="s">
        <v>92</v>
      </c>
      <c r="H3042" s="52" t="s">
        <v>93</v>
      </c>
      <c r="I3042" s="52">
        <v>807.99999999999989</v>
      </c>
      <c r="J3042" s="49">
        <v>33378.130000000005</v>
      </c>
      <c r="K3042" s="58">
        <v>806.71</v>
      </c>
      <c r="L3042" s="58">
        <v>33526.509999999995</v>
      </c>
      <c r="M3042" s="58">
        <v>0</v>
      </c>
      <c r="N3042" s="58">
        <v>0</v>
      </c>
      <c r="O3042" s="58">
        <v>806.71</v>
      </c>
      <c r="P3042" s="53">
        <v>33526.509999999995</v>
      </c>
      <c r="Q3042" s="65">
        <v>33378.130000000005</v>
      </c>
      <c r="R3042" s="65">
        <v>0</v>
      </c>
      <c r="S3042" s="65">
        <v>0</v>
      </c>
      <c r="T3042" s="65">
        <v>148.3799999999901</v>
      </c>
      <c r="U3042" s="58">
        <v>0</v>
      </c>
      <c r="V3042" s="65">
        <v>0</v>
      </c>
      <c r="W3042" s="65">
        <v>0</v>
      </c>
      <c r="X3042" s="65">
        <v>33378</v>
      </c>
      <c r="Y3042" s="65">
        <v>0</v>
      </c>
      <c r="Z3042" s="51">
        <v>0</v>
      </c>
      <c r="AA3042" s="51">
        <v>0</v>
      </c>
      <c r="AB3042" s="102">
        <v>0</v>
      </c>
      <c r="AC3042" s="81">
        <f t="shared" si="145"/>
        <v>0</v>
      </c>
      <c r="AD3042" s="82">
        <f t="shared" si="146"/>
        <v>0</v>
      </c>
      <c r="AE3042" s="218">
        <v>-4.4454257922774609E-3</v>
      </c>
      <c r="AF3042">
        <v>2</v>
      </c>
      <c r="AH3042" t="str">
        <f t="shared" si="144"/>
        <v>Laldiyara</v>
      </c>
      <c r="AJ3042" s="72">
        <v>0</v>
      </c>
      <c r="AK3042" s="72"/>
      <c r="AL3042" s="72"/>
      <c r="AM3042" s="72"/>
    </row>
    <row r="3043" spans="1:39" x14ac:dyDescent="0.25">
      <c r="A3043" s="37" t="s">
        <v>62</v>
      </c>
      <c r="B3043" s="66" t="s">
        <v>1676</v>
      </c>
      <c r="C3043" s="4">
        <v>1002</v>
      </c>
      <c r="D3043" s="41" t="s">
        <v>103</v>
      </c>
      <c r="E3043" s="41">
        <v>10020088</v>
      </c>
      <c r="F3043" s="85" t="s">
        <v>1535</v>
      </c>
      <c r="G3043" s="39" t="s">
        <v>92</v>
      </c>
      <c r="H3043" s="52" t="s">
        <v>93</v>
      </c>
      <c r="I3043" s="52">
        <v>297.10000000000002</v>
      </c>
      <c r="J3043" s="49">
        <v>11684.41</v>
      </c>
      <c r="K3043" s="58">
        <v>297.09999999999997</v>
      </c>
      <c r="L3043" s="58">
        <v>11633.44</v>
      </c>
      <c r="M3043" s="58">
        <v>0</v>
      </c>
      <c r="N3043" s="58">
        <v>0</v>
      </c>
      <c r="O3043" s="58">
        <v>297.09999999999997</v>
      </c>
      <c r="P3043" s="53">
        <v>11633.44</v>
      </c>
      <c r="Q3043" s="65">
        <v>11633.44</v>
      </c>
      <c r="R3043" s="65">
        <v>0</v>
      </c>
      <c r="S3043" s="65">
        <v>0</v>
      </c>
      <c r="T3043" s="65">
        <v>0</v>
      </c>
      <c r="U3043" s="58">
        <v>0</v>
      </c>
      <c r="V3043" s="65">
        <v>0</v>
      </c>
      <c r="W3043" s="65">
        <v>0</v>
      </c>
      <c r="X3043" s="65">
        <v>11633</v>
      </c>
      <c r="Y3043" s="65">
        <v>0</v>
      </c>
      <c r="Z3043" s="51">
        <v>0</v>
      </c>
      <c r="AA3043" s="51">
        <v>51</v>
      </c>
      <c r="AB3043" s="102">
        <v>0</v>
      </c>
      <c r="AC3043" s="81">
        <f t="shared" si="145"/>
        <v>316.90668387748235</v>
      </c>
      <c r="AD3043" s="82">
        <f t="shared" si="146"/>
        <v>42.442857142857143</v>
      </c>
      <c r="AE3043" s="218">
        <v>4.3622228251147767E-3</v>
      </c>
      <c r="AF3043">
        <v>1</v>
      </c>
      <c r="AH3043" t="str">
        <f t="shared" si="144"/>
        <v>Laldiyara</v>
      </c>
      <c r="AJ3043" s="72">
        <v>0</v>
      </c>
      <c r="AK3043" s="72"/>
      <c r="AL3043" s="72"/>
      <c r="AM3043" s="72"/>
    </row>
    <row r="3044" spans="1:39" x14ac:dyDescent="0.25">
      <c r="A3044" s="37" t="s">
        <v>62</v>
      </c>
      <c r="B3044" s="66" t="s">
        <v>1676</v>
      </c>
      <c r="C3044" s="4">
        <v>1003</v>
      </c>
      <c r="D3044" s="41" t="s">
        <v>137</v>
      </c>
      <c r="E3044" s="41">
        <v>10030002</v>
      </c>
      <c r="F3044" s="85" t="s">
        <v>113</v>
      </c>
      <c r="G3044" s="39" t="s">
        <v>1610</v>
      </c>
      <c r="H3044" s="52" t="s">
        <v>98</v>
      </c>
      <c r="I3044" s="52">
        <v>540.9</v>
      </c>
      <c r="J3044" s="49">
        <v>22967.77</v>
      </c>
      <c r="K3044" s="58">
        <v>0</v>
      </c>
      <c r="L3044" s="58">
        <v>0</v>
      </c>
      <c r="M3044" s="58">
        <v>0</v>
      </c>
      <c r="N3044" s="58">
        <v>0</v>
      </c>
      <c r="O3044" s="58">
        <v>0</v>
      </c>
      <c r="P3044" s="53">
        <v>0</v>
      </c>
      <c r="Q3044" s="65">
        <v>22967.77</v>
      </c>
      <c r="R3044" s="65">
        <v>0</v>
      </c>
      <c r="S3044" s="65">
        <v>0</v>
      </c>
      <c r="T3044" s="65">
        <v>0</v>
      </c>
      <c r="U3044" s="58">
        <v>0</v>
      </c>
      <c r="V3044" s="65">
        <v>0</v>
      </c>
      <c r="W3044" s="65">
        <v>0</v>
      </c>
      <c r="X3044" s="65">
        <v>0</v>
      </c>
      <c r="Y3044" s="65">
        <v>0</v>
      </c>
      <c r="Z3044" s="51">
        <v>22967.77</v>
      </c>
      <c r="AA3044" s="51">
        <v>0</v>
      </c>
      <c r="AB3044" s="102">
        <v>0</v>
      </c>
      <c r="AC3044" s="81">
        <f t="shared" si="145"/>
        <v>135.11452050286559</v>
      </c>
      <c r="AD3044" s="82">
        <f t="shared" si="146"/>
        <v>77.271428571428572</v>
      </c>
      <c r="AE3044" s="218">
        <v>0</v>
      </c>
      <c r="AF3044">
        <v>0</v>
      </c>
      <c r="AH3044" t="str">
        <f t="shared" si="144"/>
        <v>Asarganj</v>
      </c>
      <c r="AJ3044" s="72">
        <v>0</v>
      </c>
      <c r="AK3044" s="72"/>
      <c r="AL3044" s="72"/>
      <c r="AM3044" s="72"/>
    </row>
    <row r="3045" spans="1:39" x14ac:dyDescent="0.25">
      <c r="A3045" s="37" t="s">
        <v>62</v>
      </c>
      <c r="B3045" s="66" t="s">
        <v>1676</v>
      </c>
      <c r="C3045" s="4">
        <v>1003</v>
      </c>
      <c r="D3045" s="41" t="s">
        <v>137</v>
      </c>
      <c r="E3045" s="41">
        <v>10030003</v>
      </c>
      <c r="F3045" s="85" t="s">
        <v>138</v>
      </c>
      <c r="G3045" s="39" t="s">
        <v>92</v>
      </c>
      <c r="H3045" s="52" t="s">
        <v>93</v>
      </c>
      <c r="I3045" s="52">
        <v>1852.3999999999996</v>
      </c>
      <c r="J3045" s="49">
        <v>88781.940000000017</v>
      </c>
      <c r="K3045" s="58">
        <v>1837.6000000000001</v>
      </c>
      <c r="L3045" s="58">
        <v>84533.65</v>
      </c>
      <c r="M3045" s="58">
        <v>26.2</v>
      </c>
      <c r="N3045" s="58">
        <v>1873.64</v>
      </c>
      <c r="O3045" s="58">
        <v>1863.8000000000002</v>
      </c>
      <c r="P3045" s="53">
        <v>86407.29</v>
      </c>
      <c r="Q3045" s="65">
        <v>86407.29</v>
      </c>
      <c r="R3045" s="65">
        <v>0</v>
      </c>
      <c r="S3045" s="65">
        <v>1873.64</v>
      </c>
      <c r="T3045" s="65">
        <v>0</v>
      </c>
      <c r="U3045" s="58">
        <v>0</v>
      </c>
      <c r="V3045" s="65">
        <v>0</v>
      </c>
      <c r="W3045" s="65">
        <v>0</v>
      </c>
      <c r="X3045" s="65">
        <v>84534</v>
      </c>
      <c r="Y3045" s="65">
        <v>0</v>
      </c>
      <c r="Z3045" s="51">
        <v>0</v>
      </c>
      <c r="AA3045" s="51">
        <v>2374</v>
      </c>
      <c r="AB3045" s="102">
        <v>0</v>
      </c>
      <c r="AC3045" s="81">
        <f t="shared" si="145"/>
        <v>0</v>
      </c>
      <c r="AD3045" s="82">
        <f t="shared" si="146"/>
        <v>0</v>
      </c>
      <c r="AE3045" s="218">
        <v>2.6746993814282756E-2</v>
      </c>
      <c r="AF3045">
        <v>70</v>
      </c>
      <c r="AH3045" t="str">
        <f t="shared" si="144"/>
        <v>Asarganj</v>
      </c>
      <c r="AJ3045" s="72">
        <v>0</v>
      </c>
      <c r="AK3045" s="72"/>
      <c r="AL3045" s="72"/>
      <c r="AM3045" s="72"/>
    </row>
    <row r="3046" spans="1:39" x14ac:dyDescent="0.25">
      <c r="A3046" s="37" t="s">
        <v>62</v>
      </c>
      <c r="B3046" s="66" t="s">
        <v>1676</v>
      </c>
      <c r="C3046" s="4">
        <v>1003</v>
      </c>
      <c r="D3046" s="41" t="s">
        <v>137</v>
      </c>
      <c r="E3046" s="41">
        <v>10030007</v>
      </c>
      <c r="F3046" s="85" t="s">
        <v>139</v>
      </c>
      <c r="G3046" s="39" t="s">
        <v>1610</v>
      </c>
      <c r="H3046" s="52" t="s">
        <v>98</v>
      </c>
      <c r="I3046" s="52">
        <v>747.44999999999993</v>
      </c>
      <c r="J3046" s="49">
        <v>22919.429999999997</v>
      </c>
      <c r="K3046" s="58">
        <v>0</v>
      </c>
      <c r="L3046" s="58">
        <v>0</v>
      </c>
      <c r="M3046" s="58">
        <v>0</v>
      </c>
      <c r="N3046" s="58">
        <v>0</v>
      </c>
      <c r="O3046" s="58">
        <v>0</v>
      </c>
      <c r="P3046" s="53">
        <v>0</v>
      </c>
      <c r="Q3046" s="65">
        <v>22919.429999999997</v>
      </c>
      <c r="R3046" s="65">
        <v>0</v>
      </c>
      <c r="S3046" s="65">
        <v>0</v>
      </c>
      <c r="T3046" s="65">
        <v>0</v>
      </c>
      <c r="U3046" s="58">
        <v>0</v>
      </c>
      <c r="V3046" s="65">
        <v>0</v>
      </c>
      <c r="W3046" s="65">
        <v>0</v>
      </c>
      <c r="X3046" s="65">
        <v>0</v>
      </c>
      <c r="Y3046" s="65">
        <v>0</v>
      </c>
      <c r="Z3046" s="51">
        <v>22919.429999999997</v>
      </c>
      <c r="AA3046" s="51">
        <v>0</v>
      </c>
      <c r="AB3046" s="102">
        <v>0</v>
      </c>
      <c r="AC3046" s="81">
        <f t="shared" si="145"/>
        <v>0</v>
      </c>
      <c r="AD3046" s="82">
        <f t="shared" si="146"/>
        <v>0</v>
      </c>
      <c r="AE3046" s="218">
        <v>0</v>
      </c>
      <c r="AF3046">
        <v>0</v>
      </c>
      <c r="AH3046" t="str">
        <f t="shared" si="144"/>
        <v>Asarganj</v>
      </c>
      <c r="AJ3046" s="72">
        <v>0</v>
      </c>
      <c r="AK3046" s="72"/>
      <c r="AL3046" s="72"/>
      <c r="AM3046" s="72"/>
    </row>
    <row r="3047" spans="1:39" x14ac:dyDescent="0.25">
      <c r="A3047" s="37" t="s">
        <v>62</v>
      </c>
      <c r="B3047" s="66" t="s">
        <v>1676</v>
      </c>
      <c r="C3047" s="4">
        <v>1003</v>
      </c>
      <c r="D3047" s="41" t="s">
        <v>137</v>
      </c>
      <c r="E3047" s="41">
        <v>10030009</v>
      </c>
      <c r="F3047" s="85" t="s">
        <v>140</v>
      </c>
      <c r="G3047" s="39" t="s">
        <v>1610</v>
      </c>
      <c r="H3047" s="52" t="s">
        <v>98</v>
      </c>
      <c r="I3047" s="52">
        <v>11037.800000000001</v>
      </c>
      <c r="J3047" s="49">
        <v>472029.31</v>
      </c>
      <c r="K3047" s="58">
        <v>0</v>
      </c>
      <c r="L3047" s="58">
        <v>0</v>
      </c>
      <c r="M3047" s="58">
        <v>0</v>
      </c>
      <c r="N3047" s="58">
        <v>0</v>
      </c>
      <c r="O3047" s="58">
        <v>0</v>
      </c>
      <c r="P3047" s="53">
        <v>0</v>
      </c>
      <c r="Q3047" s="65">
        <v>472029.31</v>
      </c>
      <c r="R3047" s="65">
        <v>0</v>
      </c>
      <c r="S3047" s="65">
        <v>0</v>
      </c>
      <c r="T3047" s="65">
        <v>0</v>
      </c>
      <c r="U3047" s="58">
        <v>0</v>
      </c>
      <c r="V3047" s="65">
        <v>0</v>
      </c>
      <c r="W3047" s="65">
        <v>0</v>
      </c>
      <c r="X3047" s="65">
        <v>0</v>
      </c>
      <c r="Y3047" s="65">
        <v>0</v>
      </c>
      <c r="Z3047" s="51">
        <v>472029.31</v>
      </c>
      <c r="AA3047" s="51">
        <v>0</v>
      </c>
      <c r="AB3047" s="102">
        <v>0</v>
      </c>
      <c r="AC3047" s="81">
        <f t="shared" si="145"/>
        <v>0</v>
      </c>
      <c r="AD3047" s="82">
        <f t="shared" si="146"/>
        <v>0</v>
      </c>
      <c r="AE3047" s="218">
        <v>0</v>
      </c>
      <c r="AF3047">
        <v>0</v>
      </c>
      <c r="AH3047" t="str">
        <f t="shared" si="144"/>
        <v>Asarganj</v>
      </c>
      <c r="AJ3047" s="72">
        <v>0</v>
      </c>
      <c r="AK3047" s="72"/>
      <c r="AL3047" s="72"/>
      <c r="AM3047" s="72"/>
    </row>
    <row r="3048" spans="1:39" x14ac:dyDescent="0.25">
      <c r="A3048" s="37" t="s">
        <v>62</v>
      </c>
      <c r="B3048" s="66" t="s">
        <v>1676</v>
      </c>
      <c r="C3048" s="4">
        <v>1003</v>
      </c>
      <c r="D3048" s="41" t="s">
        <v>137</v>
      </c>
      <c r="E3048" s="41">
        <v>10030010</v>
      </c>
      <c r="F3048" s="85" t="s">
        <v>141</v>
      </c>
      <c r="G3048" s="39" t="s">
        <v>92</v>
      </c>
      <c r="H3048" s="52" t="s">
        <v>93</v>
      </c>
      <c r="I3048" s="52">
        <v>225.00000000000006</v>
      </c>
      <c r="J3048" s="49">
        <v>8000.74</v>
      </c>
      <c r="K3048" s="58">
        <v>217.6</v>
      </c>
      <c r="L3048" s="58">
        <v>8038.43</v>
      </c>
      <c r="M3048" s="58">
        <v>5.5</v>
      </c>
      <c r="N3048" s="58">
        <v>235.46</v>
      </c>
      <c r="O3048" s="58">
        <v>223.1</v>
      </c>
      <c r="P3048" s="53">
        <v>8273.89</v>
      </c>
      <c r="Q3048" s="65">
        <v>8000.74</v>
      </c>
      <c r="R3048" s="65">
        <v>0</v>
      </c>
      <c r="S3048" s="65">
        <v>0</v>
      </c>
      <c r="T3048" s="65">
        <v>273.14999999999964</v>
      </c>
      <c r="U3048" s="58">
        <v>0</v>
      </c>
      <c r="V3048" s="65">
        <v>0</v>
      </c>
      <c r="W3048" s="65">
        <v>0</v>
      </c>
      <c r="X3048" s="65">
        <v>7766</v>
      </c>
      <c r="Y3048" s="65">
        <v>235</v>
      </c>
      <c r="Z3048" s="51">
        <v>0</v>
      </c>
      <c r="AA3048" s="51">
        <v>0</v>
      </c>
      <c r="AB3048" s="102">
        <v>0</v>
      </c>
      <c r="AC3048" s="81">
        <f t="shared" si="145"/>
        <v>337.80902222222204</v>
      </c>
      <c r="AD3048" s="82">
        <f t="shared" si="146"/>
        <v>32.142857142857153</v>
      </c>
      <c r="AE3048" s="218">
        <v>-3.4140591995240395E-2</v>
      </c>
      <c r="AF3048">
        <v>3</v>
      </c>
      <c r="AH3048" t="str">
        <f t="shared" si="144"/>
        <v>Asarganj</v>
      </c>
      <c r="AJ3048" s="72">
        <v>0</v>
      </c>
      <c r="AK3048" s="72"/>
      <c r="AL3048" s="72"/>
      <c r="AM3048" s="72"/>
    </row>
    <row r="3049" spans="1:39" x14ac:dyDescent="0.25">
      <c r="A3049" s="37" t="s">
        <v>62</v>
      </c>
      <c r="B3049" s="66" t="s">
        <v>1676</v>
      </c>
      <c r="C3049" s="4">
        <v>1003</v>
      </c>
      <c r="D3049" s="41" t="s">
        <v>137</v>
      </c>
      <c r="E3049" s="41">
        <v>10030011</v>
      </c>
      <c r="F3049" s="85" t="s">
        <v>142</v>
      </c>
      <c r="G3049" s="39" t="s">
        <v>92</v>
      </c>
      <c r="H3049" s="52" t="s">
        <v>93</v>
      </c>
      <c r="I3049" s="52">
        <v>1407.1</v>
      </c>
      <c r="J3049" s="49">
        <v>61002.689999999995</v>
      </c>
      <c r="K3049" s="58">
        <v>1396.9</v>
      </c>
      <c r="L3049" s="58">
        <v>60514.520000000011</v>
      </c>
      <c r="M3049" s="58">
        <v>6.6</v>
      </c>
      <c r="N3049" s="58">
        <v>289.48</v>
      </c>
      <c r="O3049" s="58">
        <v>1403.5</v>
      </c>
      <c r="P3049" s="53">
        <v>60804.000000000015</v>
      </c>
      <c r="Q3049" s="65">
        <v>60804.000000000015</v>
      </c>
      <c r="R3049" s="65">
        <v>0</v>
      </c>
      <c r="S3049" s="65">
        <v>289.48</v>
      </c>
      <c r="T3049" s="65">
        <v>0</v>
      </c>
      <c r="U3049" s="58">
        <v>0</v>
      </c>
      <c r="V3049" s="65">
        <v>0</v>
      </c>
      <c r="W3049" s="65">
        <v>0</v>
      </c>
      <c r="X3049" s="65">
        <v>60515</v>
      </c>
      <c r="Y3049" s="65">
        <v>0</v>
      </c>
      <c r="Z3049" s="51">
        <v>0</v>
      </c>
      <c r="AA3049" s="51">
        <v>198</v>
      </c>
      <c r="AB3049" s="102">
        <v>0</v>
      </c>
      <c r="AC3049" s="81">
        <f t="shared" si="145"/>
        <v>0</v>
      </c>
      <c r="AD3049" s="82">
        <f t="shared" si="146"/>
        <v>0</v>
      </c>
      <c r="AE3049" s="218">
        <v>3.2570694833290222E-3</v>
      </c>
      <c r="AF3049">
        <v>20</v>
      </c>
      <c r="AH3049" t="str">
        <f t="shared" si="144"/>
        <v>Asarganj</v>
      </c>
      <c r="AJ3049" s="72">
        <v>0</v>
      </c>
      <c r="AK3049" s="72"/>
      <c r="AL3049" s="72"/>
      <c r="AM3049" s="72"/>
    </row>
    <row r="3050" spans="1:39" x14ac:dyDescent="0.25">
      <c r="A3050" s="37" t="s">
        <v>62</v>
      </c>
      <c r="B3050" s="66" t="s">
        <v>1676</v>
      </c>
      <c r="C3050" s="4">
        <v>1003</v>
      </c>
      <c r="D3050" s="41" t="s">
        <v>137</v>
      </c>
      <c r="E3050" s="41">
        <v>10030012</v>
      </c>
      <c r="F3050" s="85" t="s">
        <v>467</v>
      </c>
      <c r="G3050" s="39" t="s">
        <v>1610</v>
      </c>
      <c r="H3050" s="52" t="s">
        <v>98</v>
      </c>
      <c r="I3050" s="52">
        <v>407.85000000000008</v>
      </c>
      <c r="J3050" s="49">
        <v>15290.54</v>
      </c>
      <c r="K3050" s="58">
        <v>0</v>
      </c>
      <c r="L3050" s="58">
        <v>0</v>
      </c>
      <c r="M3050" s="58">
        <v>0</v>
      </c>
      <c r="N3050" s="58">
        <v>0</v>
      </c>
      <c r="O3050" s="58">
        <v>0</v>
      </c>
      <c r="P3050" s="53">
        <v>0</v>
      </c>
      <c r="Q3050" s="65">
        <v>15290.54</v>
      </c>
      <c r="R3050" s="65">
        <v>0</v>
      </c>
      <c r="S3050" s="65">
        <v>0</v>
      </c>
      <c r="T3050" s="65">
        <v>0</v>
      </c>
      <c r="U3050" s="58">
        <v>0</v>
      </c>
      <c r="V3050" s="65">
        <v>0</v>
      </c>
      <c r="W3050" s="65">
        <v>0</v>
      </c>
      <c r="X3050" s="65">
        <v>0</v>
      </c>
      <c r="Y3050" s="65">
        <v>0</v>
      </c>
      <c r="Z3050" s="51">
        <v>15290.54</v>
      </c>
      <c r="AA3050" s="51">
        <v>0</v>
      </c>
      <c r="AB3050" s="102">
        <v>0</v>
      </c>
      <c r="AC3050" s="81">
        <f t="shared" si="145"/>
        <v>219.05755846512193</v>
      </c>
      <c r="AD3050" s="82">
        <f t="shared" si="146"/>
        <v>58.264285714285727</v>
      </c>
      <c r="AE3050" s="218">
        <v>0</v>
      </c>
      <c r="AF3050">
        <v>0</v>
      </c>
      <c r="AH3050" t="str">
        <f t="shared" si="144"/>
        <v>Asarganj</v>
      </c>
      <c r="AJ3050" s="72">
        <v>0</v>
      </c>
      <c r="AK3050" s="72"/>
      <c r="AL3050" s="72"/>
      <c r="AM3050" s="72"/>
    </row>
    <row r="3051" spans="1:39" x14ac:dyDescent="0.25">
      <c r="A3051" s="37" t="s">
        <v>62</v>
      </c>
      <c r="B3051" s="66" t="s">
        <v>1676</v>
      </c>
      <c r="C3051" s="4">
        <v>1003</v>
      </c>
      <c r="D3051" s="41" t="s">
        <v>137</v>
      </c>
      <c r="E3051" s="41">
        <v>10030013</v>
      </c>
      <c r="F3051" s="85" t="s">
        <v>143</v>
      </c>
      <c r="G3051" s="39" t="s">
        <v>92</v>
      </c>
      <c r="H3051" s="52" t="s">
        <v>93</v>
      </c>
      <c r="I3051" s="52">
        <v>747.95</v>
      </c>
      <c r="J3051" s="49">
        <v>40933.129999999997</v>
      </c>
      <c r="K3051" s="58">
        <v>733.4</v>
      </c>
      <c r="L3051" s="58">
        <v>41313.19</v>
      </c>
      <c r="M3051" s="58">
        <v>17.100000000000001</v>
      </c>
      <c r="N3051" s="58">
        <v>909.99</v>
      </c>
      <c r="O3051" s="58">
        <v>750.5</v>
      </c>
      <c r="P3051" s="53">
        <v>42223.18</v>
      </c>
      <c r="Q3051" s="65">
        <v>40933.129999999997</v>
      </c>
      <c r="R3051" s="65">
        <v>0</v>
      </c>
      <c r="S3051" s="65">
        <v>909.99</v>
      </c>
      <c r="T3051" s="65">
        <v>1290.0500000000029</v>
      </c>
      <c r="U3051" s="58">
        <v>0</v>
      </c>
      <c r="V3051" s="65">
        <v>0</v>
      </c>
      <c r="W3051" s="65">
        <v>0</v>
      </c>
      <c r="X3051" s="65">
        <v>40023</v>
      </c>
      <c r="Y3051" s="65">
        <v>0</v>
      </c>
      <c r="Z3051" s="51">
        <v>0</v>
      </c>
      <c r="AA3051" s="51">
        <v>0</v>
      </c>
      <c r="AB3051" s="102">
        <v>0</v>
      </c>
      <c r="AC3051" s="81">
        <f t="shared" si="145"/>
        <v>0</v>
      </c>
      <c r="AD3051" s="82">
        <f t="shared" si="146"/>
        <v>0</v>
      </c>
      <c r="AE3051" s="218">
        <v>-3.1516036032426621E-2</v>
      </c>
      <c r="AF3051">
        <v>12</v>
      </c>
      <c r="AH3051" t="str">
        <f t="shared" si="144"/>
        <v>Asarganj</v>
      </c>
      <c r="AJ3051" s="72">
        <v>0</v>
      </c>
      <c r="AK3051" s="72"/>
      <c r="AL3051" s="72"/>
      <c r="AM3051" s="72"/>
    </row>
    <row r="3052" spans="1:39" x14ac:dyDescent="0.25">
      <c r="A3052" s="37" t="s">
        <v>62</v>
      </c>
      <c r="B3052" s="66" t="s">
        <v>1676</v>
      </c>
      <c r="C3052" s="4">
        <v>1003</v>
      </c>
      <c r="D3052" s="41" t="s">
        <v>137</v>
      </c>
      <c r="E3052" s="41">
        <v>10030016</v>
      </c>
      <c r="F3052" s="85" t="s">
        <v>145</v>
      </c>
      <c r="G3052" s="39" t="s">
        <v>92</v>
      </c>
      <c r="H3052" s="52" t="s">
        <v>93</v>
      </c>
      <c r="I3052" s="52">
        <v>1191.5000000000002</v>
      </c>
      <c r="J3052" s="49">
        <v>52530.339999999989</v>
      </c>
      <c r="K3052" s="58">
        <v>153.30000000000001</v>
      </c>
      <c r="L3052" s="58">
        <v>7995.9500000000007</v>
      </c>
      <c r="M3052" s="58">
        <v>1052.67</v>
      </c>
      <c r="N3052" s="58">
        <v>46542.15</v>
      </c>
      <c r="O3052" s="58">
        <v>1205.97</v>
      </c>
      <c r="P3052" s="53">
        <v>54538.100000000006</v>
      </c>
      <c r="Q3052" s="65">
        <v>52530.339999999989</v>
      </c>
      <c r="R3052" s="65">
        <v>0</v>
      </c>
      <c r="S3052" s="65">
        <v>377.54</v>
      </c>
      <c r="T3052" s="65">
        <v>2007.7600000000166</v>
      </c>
      <c r="U3052" s="58">
        <v>0</v>
      </c>
      <c r="V3052" s="65">
        <v>0</v>
      </c>
      <c r="W3052" s="65">
        <v>0</v>
      </c>
      <c r="X3052" s="65">
        <v>5987</v>
      </c>
      <c r="Y3052" s="65">
        <v>46165</v>
      </c>
      <c r="Z3052" s="51">
        <v>0</v>
      </c>
      <c r="AA3052" s="51">
        <v>1</v>
      </c>
      <c r="AB3052" s="102">
        <v>0</v>
      </c>
      <c r="AC3052" s="81">
        <f t="shared" si="145"/>
        <v>0</v>
      </c>
      <c r="AD3052" s="82">
        <f t="shared" si="146"/>
        <v>0</v>
      </c>
      <c r="AE3052" s="218">
        <v>-3.8220959544522592E-2</v>
      </c>
      <c r="AF3052">
        <v>12</v>
      </c>
      <c r="AH3052" t="str">
        <f t="shared" si="144"/>
        <v>Asarganj</v>
      </c>
      <c r="AJ3052" s="72">
        <v>0</v>
      </c>
      <c r="AK3052" s="72"/>
      <c r="AL3052" s="72"/>
      <c r="AM3052" s="72"/>
    </row>
    <row r="3053" spans="1:39" x14ac:dyDescent="0.25">
      <c r="A3053" s="37" t="s">
        <v>62</v>
      </c>
      <c r="B3053" s="66" t="s">
        <v>1676</v>
      </c>
      <c r="C3053" s="4">
        <v>1003</v>
      </c>
      <c r="D3053" s="41" t="s">
        <v>137</v>
      </c>
      <c r="E3053" s="41">
        <v>10030017</v>
      </c>
      <c r="F3053" s="85" t="s">
        <v>146</v>
      </c>
      <c r="G3053" s="39" t="s">
        <v>92</v>
      </c>
      <c r="H3053" s="52" t="s">
        <v>93</v>
      </c>
      <c r="I3053" s="52">
        <v>1411.9499999999998</v>
      </c>
      <c r="J3053" s="49">
        <v>72187.610000000015</v>
      </c>
      <c r="K3053" s="58">
        <v>1388.1799999999998</v>
      </c>
      <c r="L3053" s="58">
        <v>70526.990000000005</v>
      </c>
      <c r="M3053" s="58">
        <v>38.22</v>
      </c>
      <c r="N3053" s="58">
        <v>2017.7599999999998</v>
      </c>
      <c r="O3053" s="58">
        <v>1426.3999999999999</v>
      </c>
      <c r="P3053" s="53">
        <v>72544.75</v>
      </c>
      <c r="Q3053" s="65">
        <v>72187.610000000015</v>
      </c>
      <c r="R3053" s="65">
        <v>0</v>
      </c>
      <c r="S3053" s="65">
        <v>2017.7599999999998</v>
      </c>
      <c r="T3053" s="65">
        <v>357.13999999998487</v>
      </c>
      <c r="U3053" s="58">
        <v>0</v>
      </c>
      <c r="V3053" s="65">
        <v>0</v>
      </c>
      <c r="W3053" s="65">
        <v>0</v>
      </c>
      <c r="X3053" s="65">
        <v>70170</v>
      </c>
      <c r="Y3053" s="65">
        <v>0</v>
      </c>
      <c r="Z3053" s="51">
        <v>0</v>
      </c>
      <c r="AA3053" s="51">
        <v>0</v>
      </c>
      <c r="AB3053" s="102">
        <v>0</v>
      </c>
      <c r="AC3053" s="81">
        <f t="shared" si="145"/>
        <v>0</v>
      </c>
      <c r="AD3053" s="82">
        <f t="shared" si="146"/>
        <v>0</v>
      </c>
      <c r="AE3053" s="218">
        <v>-4.9473864005192139E-3</v>
      </c>
      <c r="AF3053">
        <v>36</v>
      </c>
      <c r="AH3053" t="str">
        <f t="shared" si="144"/>
        <v>Asarganj</v>
      </c>
      <c r="AJ3053" s="72">
        <v>0</v>
      </c>
      <c r="AK3053" s="72"/>
      <c r="AL3053" s="72"/>
      <c r="AM3053" s="72"/>
    </row>
    <row r="3054" spans="1:39" x14ac:dyDescent="0.25">
      <c r="A3054" s="37" t="s">
        <v>62</v>
      </c>
      <c r="B3054" s="66" t="s">
        <v>1676</v>
      </c>
      <c r="C3054" s="4">
        <v>1003</v>
      </c>
      <c r="D3054" s="41" t="s">
        <v>137</v>
      </c>
      <c r="E3054" s="41">
        <v>10030018</v>
      </c>
      <c r="F3054" s="85" t="s">
        <v>147</v>
      </c>
      <c r="G3054" s="39" t="s">
        <v>92</v>
      </c>
      <c r="H3054" s="52" t="s">
        <v>93</v>
      </c>
      <c r="I3054" s="52">
        <v>792.4</v>
      </c>
      <c r="J3054" s="49">
        <v>33820.1</v>
      </c>
      <c r="K3054" s="58">
        <v>778.21</v>
      </c>
      <c r="L3054" s="58">
        <v>34782.300000000003</v>
      </c>
      <c r="M3054" s="58">
        <v>25.440000000000005</v>
      </c>
      <c r="N3054" s="58">
        <v>1054.1699999999998</v>
      </c>
      <c r="O3054" s="58">
        <v>803.65000000000009</v>
      </c>
      <c r="P3054" s="53">
        <v>35836.47</v>
      </c>
      <c r="Q3054" s="65">
        <v>33820.1</v>
      </c>
      <c r="R3054" s="65">
        <v>0</v>
      </c>
      <c r="S3054" s="65">
        <v>1054.1699999999998</v>
      </c>
      <c r="T3054" s="65">
        <v>2016.3700000000026</v>
      </c>
      <c r="U3054" s="58">
        <v>0</v>
      </c>
      <c r="V3054" s="65">
        <v>0</v>
      </c>
      <c r="W3054" s="65">
        <v>0</v>
      </c>
      <c r="X3054" s="65">
        <v>32766</v>
      </c>
      <c r="Y3054" s="65">
        <v>0</v>
      </c>
      <c r="Z3054" s="51">
        <v>0</v>
      </c>
      <c r="AA3054" s="51">
        <v>0</v>
      </c>
      <c r="AB3054" s="102">
        <v>0</v>
      </c>
      <c r="AC3054" s="81">
        <f t="shared" si="145"/>
        <v>0</v>
      </c>
      <c r="AD3054" s="82">
        <f t="shared" si="146"/>
        <v>0</v>
      </c>
      <c r="AE3054" s="218">
        <v>-5.962046238775174E-2</v>
      </c>
      <c r="AF3054">
        <v>22</v>
      </c>
      <c r="AH3054" t="str">
        <f t="shared" si="144"/>
        <v>Asarganj</v>
      </c>
      <c r="AJ3054" s="72">
        <v>0</v>
      </c>
      <c r="AK3054" s="72"/>
      <c r="AL3054" s="72"/>
      <c r="AM3054" s="72"/>
    </row>
    <row r="3055" spans="1:39" x14ac:dyDescent="0.25">
      <c r="A3055" s="37" t="s">
        <v>62</v>
      </c>
      <c r="B3055" s="66" t="s">
        <v>1676</v>
      </c>
      <c r="C3055" s="4">
        <v>1003</v>
      </c>
      <c r="D3055" s="41" t="s">
        <v>137</v>
      </c>
      <c r="E3055" s="41">
        <v>10030019</v>
      </c>
      <c r="F3055" s="85" t="s">
        <v>148</v>
      </c>
      <c r="G3055" s="39" t="s">
        <v>92</v>
      </c>
      <c r="H3055" s="52" t="s">
        <v>93</v>
      </c>
      <c r="I3055" s="52">
        <v>309</v>
      </c>
      <c r="J3055" s="49">
        <v>13465.65</v>
      </c>
      <c r="K3055" s="58">
        <v>295.77</v>
      </c>
      <c r="L3055" s="58">
        <v>13322.65</v>
      </c>
      <c r="M3055" s="58">
        <v>15.469999999999999</v>
      </c>
      <c r="N3055" s="58">
        <v>1055.6000000000001</v>
      </c>
      <c r="O3055" s="58">
        <v>311.24</v>
      </c>
      <c r="P3055" s="53">
        <v>14378.25</v>
      </c>
      <c r="Q3055" s="65">
        <v>13465.65</v>
      </c>
      <c r="R3055" s="65">
        <v>0</v>
      </c>
      <c r="S3055" s="65">
        <v>1055.6000000000001</v>
      </c>
      <c r="T3055" s="65">
        <v>912.60000000000036</v>
      </c>
      <c r="U3055" s="58">
        <v>0</v>
      </c>
      <c r="V3055" s="65">
        <v>0</v>
      </c>
      <c r="W3055" s="65">
        <v>0</v>
      </c>
      <c r="X3055" s="65">
        <v>12410</v>
      </c>
      <c r="Y3055" s="65">
        <v>0</v>
      </c>
      <c r="Z3055" s="51">
        <v>0</v>
      </c>
      <c r="AA3055" s="51">
        <v>0</v>
      </c>
      <c r="AB3055" s="102">
        <v>0</v>
      </c>
      <c r="AC3055" s="81">
        <f t="shared" si="145"/>
        <v>340.78117475728158</v>
      </c>
      <c r="AD3055" s="82">
        <f t="shared" si="146"/>
        <v>44.142857142857146</v>
      </c>
      <c r="AE3055" s="218">
        <v>-6.7772443216629008E-2</v>
      </c>
      <c r="AF3055">
        <v>5</v>
      </c>
      <c r="AH3055" t="str">
        <f t="shared" si="144"/>
        <v>Asarganj</v>
      </c>
      <c r="AJ3055" s="72">
        <v>0</v>
      </c>
      <c r="AK3055" s="72"/>
      <c r="AL3055" s="72"/>
      <c r="AM3055" s="72"/>
    </row>
    <row r="3056" spans="1:39" x14ac:dyDescent="0.25">
      <c r="A3056" s="37" t="s">
        <v>62</v>
      </c>
      <c r="B3056" s="66" t="s">
        <v>1676</v>
      </c>
      <c r="C3056" s="4">
        <v>1003</v>
      </c>
      <c r="D3056" s="41" t="s">
        <v>137</v>
      </c>
      <c r="E3056" s="41">
        <v>10030021</v>
      </c>
      <c r="F3056" s="85" t="s">
        <v>149</v>
      </c>
      <c r="G3056" s="39" t="s">
        <v>92</v>
      </c>
      <c r="H3056" s="52" t="s">
        <v>93</v>
      </c>
      <c r="I3056" s="52">
        <v>443.10000000000008</v>
      </c>
      <c r="J3056" s="49">
        <v>18614.97</v>
      </c>
      <c r="K3056" s="58">
        <v>476.67000000000007</v>
      </c>
      <c r="L3056" s="58">
        <v>20643.360000000004</v>
      </c>
      <c r="M3056" s="58">
        <v>24.519999999999996</v>
      </c>
      <c r="N3056" s="58">
        <v>1004.9399999999999</v>
      </c>
      <c r="O3056" s="58">
        <v>501.19000000000005</v>
      </c>
      <c r="P3056" s="53">
        <v>21648.300000000003</v>
      </c>
      <c r="Q3056" s="65">
        <v>18614.97</v>
      </c>
      <c r="R3056" s="65">
        <v>0</v>
      </c>
      <c r="S3056" s="65">
        <v>1004.9399999999999</v>
      </c>
      <c r="T3056" s="65">
        <v>3033.3300000000017</v>
      </c>
      <c r="U3056" s="58">
        <v>0</v>
      </c>
      <c r="V3056" s="65">
        <v>0</v>
      </c>
      <c r="W3056" s="65">
        <v>0</v>
      </c>
      <c r="X3056" s="65">
        <v>17610</v>
      </c>
      <c r="Y3056" s="65">
        <v>0</v>
      </c>
      <c r="Z3056" s="51">
        <v>0</v>
      </c>
      <c r="AA3056" s="51">
        <v>0</v>
      </c>
      <c r="AB3056" s="102">
        <v>0</v>
      </c>
      <c r="AC3056" s="81">
        <f t="shared" si="145"/>
        <v>215.85131090047383</v>
      </c>
      <c r="AD3056" s="82">
        <f t="shared" si="146"/>
        <v>63.300000000000011</v>
      </c>
      <c r="AE3056" s="218">
        <v>-0.16295110870444601</v>
      </c>
      <c r="AF3056">
        <v>12</v>
      </c>
      <c r="AH3056" t="str">
        <f t="shared" si="144"/>
        <v>Asarganj</v>
      </c>
      <c r="AJ3056" s="72">
        <v>0</v>
      </c>
      <c r="AK3056" s="72"/>
      <c r="AL3056" s="72"/>
      <c r="AM3056" s="72"/>
    </row>
    <row r="3057" spans="1:39" x14ac:dyDescent="0.25">
      <c r="A3057" s="37" t="s">
        <v>62</v>
      </c>
      <c r="B3057" s="66" t="s">
        <v>1676</v>
      </c>
      <c r="C3057" s="4">
        <v>1003</v>
      </c>
      <c r="D3057" s="41" t="s">
        <v>137</v>
      </c>
      <c r="E3057" s="41">
        <v>10030022</v>
      </c>
      <c r="F3057" s="85" t="s">
        <v>150</v>
      </c>
      <c r="G3057" s="39" t="s">
        <v>92</v>
      </c>
      <c r="H3057" s="52" t="s">
        <v>93</v>
      </c>
      <c r="I3057" s="52">
        <v>1396.3499999999997</v>
      </c>
      <c r="J3057" s="49">
        <v>57707.850000000013</v>
      </c>
      <c r="K3057" s="58">
        <v>1302.6199999999999</v>
      </c>
      <c r="L3057" s="58">
        <v>55346.200000000012</v>
      </c>
      <c r="M3057" s="58">
        <v>122.35000000000001</v>
      </c>
      <c r="N3057" s="58">
        <v>4864.7099999999991</v>
      </c>
      <c r="O3057" s="58">
        <v>1424.9699999999998</v>
      </c>
      <c r="P3057" s="53">
        <v>60210.910000000011</v>
      </c>
      <c r="Q3057" s="65">
        <v>57707.850000000013</v>
      </c>
      <c r="R3057" s="65">
        <v>0</v>
      </c>
      <c r="S3057" s="65">
        <v>784.21999999999991</v>
      </c>
      <c r="T3057" s="65">
        <v>2503.0599999999977</v>
      </c>
      <c r="U3057" s="58">
        <v>0</v>
      </c>
      <c r="V3057" s="65">
        <v>0</v>
      </c>
      <c r="W3057" s="65">
        <v>0</v>
      </c>
      <c r="X3057" s="65">
        <v>52844</v>
      </c>
      <c r="Y3057" s="65">
        <v>4080</v>
      </c>
      <c r="Z3057" s="51">
        <v>0</v>
      </c>
      <c r="AA3057" s="51">
        <v>0</v>
      </c>
      <c r="AB3057" s="102">
        <v>0</v>
      </c>
      <c r="AC3057" s="81">
        <f t="shared" si="145"/>
        <v>0</v>
      </c>
      <c r="AD3057" s="82">
        <f t="shared" si="146"/>
        <v>0</v>
      </c>
      <c r="AE3057" s="218">
        <v>-4.3374688192334268E-2</v>
      </c>
      <c r="AF3057">
        <v>24</v>
      </c>
      <c r="AH3057" t="str">
        <f t="shared" si="144"/>
        <v>Asarganj</v>
      </c>
      <c r="AJ3057" s="72">
        <v>0</v>
      </c>
      <c r="AK3057" s="72"/>
      <c r="AL3057" s="72"/>
      <c r="AM3057" s="72"/>
    </row>
    <row r="3058" spans="1:39" x14ac:dyDescent="0.25">
      <c r="A3058" s="37" t="s">
        <v>62</v>
      </c>
      <c r="B3058" s="66" t="s">
        <v>1676</v>
      </c>
      <c r="C3058" s="4">
        <v>1003</v>
      </c>
      <c r="D3058" s="41" t="s">
        <v>137</v>
      </c>
      <c r="E3058" s="41">
        <v>10030023</v>
      </c>
      <c r="F3058" s="85" t="s">
        <v>151</v>
      </c>
      <c r="G3058" s="39" t="s">
        <v>92</v>
      </c>
      <c r="H3058" s="52" t="s">
        <v>93</v>
      </c>
      <c r="I3058" s="52">
        <v>387.35</v>
      </c>
      <c r="J3058" s="49">
        <v>16020.740000000002</v>
      </c>
      <c r="K3058" s="58">
        <v>384.98</v>
      </c>
      <c r="L3058" s="58">
        <v>16210.779999999999</v>
      </c>
      <c r="M3058" s="58">
        <v>10.65</v>
      </c>
      <c r="N3058" s="58">
        <v>455.25</v>
      </c>
      <c r="O3058" s="58">
        <v>395.63</v>
      </c>
      <c r="P3058" s="53">
        <v>16666.03</v>
      </c>
      <c r="Q3058" s="65">
        <v>16020.740000000002</v>
      </c>
      <c r="R3058" s="65">
        <v>0</v>
      </c>
      <c r="S3058" s="65">
        <v>455.25</v>
      </c>
      <c r="T3058" s="65">
        <v>645.28999999999724</v>
      </c>
      <c r="U3058" s="58">
        <v>0</v>
      </c>
      <c r="V3058" s="65">
        <v>0</v>
      </c>
      <c r="W3058" s="65">
        <v>0</v>
      </c>
      <c r="X3058" s="65">
        <v>15565</v>
      </c>
      <c r="Y3058" s="65">
        <v>0</v>
      </c>
      <c r="Z3058" s="51">
        <v>0</v>
      </c>
      <c r="AA3058" s="51">
        <v>0</v>
      </c>
      <c r="AB3058" s="102">
        <v>0</v>
      </c>
      <c r="AC3058" s="81">
        <f t="shared" si="145"/>
        <v>258.62317599070605</v>
      </c>
      <c r="AD3058" s="82">
        <f t="shared" si="146"/>
        <v>55.335714285714289</v>
      </c>
      <c r="AE3058" s="218">
        <v>-4.0278414105715289E-2</v>
      </c>
      <c r="AF3058">
        <v>15</v>
      </c>
      <c r="AH3058" t="str">
        <f t="shared" si="144"/>
        <v>Asarganj</v>
      </c>
      <c r="AJ3058" s="72">
        <v>0</v>
      </c>
      <c r="AK3058" s="72"/>
      <c r="AL3058" s="72"/>
      <c r="AM3058" s="72"/>
    </row>
    <row r="3059" spans="1:39" x14ac:dyDescent="0.25">
      <c r="A3059" s="37" t="s">
        <v>62</v>
      </c>
      <c r="B3059" s="66" t="s">
        <v>1676</v>
      </c>
      <c r="C3059" s="4">
        <v>1003</v>
      </c>
      <c r="D3059" s="41" t="s">
        <v>137</v>
      </c>
      <c r="E3059" s="41">
        <v>10030025</v>
      </c>
      <c r="F3059" s="85" t="s">
        <v>152</v>
      </c>
      <c r="G3059" s="39" t="s">
        <v>92</v>
      </c>
      <c r="H3059" s="52" t="s">
        <v>93</v>
      </c>
      <c r="I3059" s="52">
        <v>690.05000000000007</v>
      </c>
      <c r="J3059" s="49">
        <v>27584.18</v>
      </c>
      <c r="K3059" s="58">
        <v>688.04000000000008</v>
      </c>
      <c r="L3059" s="58">
        <v>27898.639999999999</v>
      </c>
      <c r="M3059" s="58">
        <v>10.560000000000002</v>
      </c>
      <c r="N3059" s="58">
        <v>425.91</v>
      </c>
      <c r="O3059" s="58">
        <v>698.60000000000014</v>
      </c>
      <c r="P3059" s="53">
        <v>28324.55</v>
      </c>
      <c r="Q3059" s="65">
        <v>27584.18</v>
      </c>
      <c r="R3059" s="65">
        <v>0</v>
      </c>
      <c r="S3059" s="65">
        <v>425.91</v>
      </c>
      <c r="T3059" s="65">
        <v>740.36999999999898</v>
      </c>
      <c r="U3059" s="58">
        <v>0</v>
      </c>
      <c r="V3059" s="65">
        <v>0</v>
      </c>
      <c r="W3059" s="65">
        <v>0</v>
      </c>
      <c r="X3059" s="65">
        <v>27158</v>
      </c>
      <c r="Y3059" s="65">
        <v>0</v>
      </c>
      <c r="Z3059" s="51">
        <v>0</v>
      </c>
      <c r="AA3059" s="51">
        <v>0</v>
      </c>
      <c r="AB3059" s="102">
        <v>0</v>
      </c>
      <c r="AC3059" s="81">
        <f t="shared" si="145"/>
        <v>7.9548609810882827</v>
      </c>
      <c r="AD3059" s="82">
        <f t="shared" si="146"/>
        <v>98.578571428571436</v>
      </c>
      <c r="AE3059" s="218">
        <v>-2.6840384597258245E-2</v>
      </c>
      <c r="AF3059">
        <v>7</v>
      </c>
      <c r="AH3059" t="str">
        <f t="shared" si="144"/>
        <v>Asarganj</v>
      </c>
      <c r="AJ3059" s="72">
        <v>0</v>
      </c>
      <c r="AK3059" s="72"/>
      <c r="AL3059" s="72"/>
      <c r="AM3059" s="72"/>
    </row>
    <row r="3060" spans="1:39" x14ac:dyDescent="0.25">
      <c r="A3060" s="37" t="s">
        <v>62</v>
      </c>
      <c r="B3060" s="66" t="s">
        <v>1676</v>
      </c>
      <c r="C3060" s="4">
        <v>1003</v>
      </c>
      <c r="D3060" s="41" t="s">
        <v>137</v>
      </c>
      <c r="E3060" s="41">
        <v>10030026</v>
      </c>
      <c r="F3060" s="85" t="s">
        <v>153</v>
      </c>
      <c r="G3060" s="39" t="s">
        <v>92</v>
      </c>
      <c r="H3060" s="52" t="s">
        <v>93</v>
      </c>
      <c r="I3060" s="52">
        <v>804.55000000000018</v>
      </c>
      <c r="J3060" s="49">
        <v>33246.53</v>
      </c>
      <c r="K3060" s="58">
        <v>844.42</v>
      </c>
      <c r="L3060" s="58">
        <v>35640.319999999992</v>
      </c>
      <c r="M3060" s="58">
        <v>0</v>
      </c>
      <c r="N3060" s="58">
        <v>0</v>
      </c>
      <c r="O3060" s="58">
        <v>844.42</v>
      </c>
      <c r="P3060" s="53">
        <v>35640.319999999992</v>
      </c>
      <c r="Q3060" s="65">
        <v>33246.53</v>
      </c>
      <c r="R3060" s="65">
        <v>0</v>
      </c>
      <c r="S3060" s="65">
        <v>0</v>
      </c>
      <c r="T3060" s="65">
        <v>2393.7899999999936</v>
      </c>
      <c r="U3060" s="58">
        <v>0</v>
      </c>
      <c r="V3060" s="65">
        <v>0</v>
      </c>
      <c r="W3060" s="65">
        <v>0</v>
      </c>
      <c r="X3060" s="65">
        <v>34851</v>
      </c>
      <c r="Y3060" s="65">
        <v>0</v>
      </c>
      <c r="Z3060" s="51">
        <v>0</v>
      </c>
      <c r="AA3060" s="51">
        <v>-1604</v>
      </c>
      <c r="AB3060" s="102" t="s">
        <v>66</v>
      </c>
      <c r="AC3060" s="81">
        <f t="shared" si="145"/>
        <v>0</v>
      </c>
      <c r="AD3060" s="82">
        <f t="shared" si="146"/>
        <v>0</v>
      </c>
      <c r="AE3060" s="218">
        <v>-7.2001198320546342E-2</v>
      </c>
      <c r="AF3060">
        <v>37</v>
      </c>
      <c r="AH3060" t="str">
        <f t="shared" si="144"/>
        <v>Asarganj</v>
      </c>
      <c r="AJ3060" s="72">
        <v>0</v>
      </c>
      <c r="AK3060" s="72"/>
      <c r="AL3060" s="72"/>
      <c r="AM3060" s="72"/>
    </row>
    <row r="3061" spans="1:39" x14ac:dyDescent="0.25">
      <c r="A3061" s="37" t="s">
        <v>62</v>
      </c>
      <c r="B3061" s="66" t="s">
        <v>1676</v>
      </c>
      <c r="C3061" s="4">
        <v>1003</v>
      </c>
      <c r="D3061" s="41" t="s">
        <v>137</v>
      </c>
      <c r="E3061" s="41">
        <v>10030027</v>
      </c>
      <c r="F3061" s="85" t="s">
        <v>154</v>
      </c>
      <c r="G3061" s="39" t="s">
        <v>92</v>
      </c>
      <c r="H3061" s="52" t="s">
        <v>93</v>
      </c>
      <c r="I3061" s="52">
        <v>853.20000000000016</v>
      </c>
      <c r="J3061" s="49">
        <v>33891.060000000005</v>
      </c>
      <c r="K3061" s="58">
        <v>810.4</v>
      </c>
      <c r="L3061" s="58">
        <v>32527.260000000002</v>
      </c>
      <c r="M3061" s="58">
        <v>28.000000000000004</v>
      </c>
      <c r="N3061" s="58">
        <v>1116.8100000000002</v>
      </c>
      <c r="O3061" s="58">
        <v>838.4</v>
      </c>
      <c r="P3061" s="53">
        <v>33644.07</v>
      </c>
      <c r="Q3061" s="65">
        <v>33644.07</v>
      </c>
      <c r="R3061" s="65">
        <v>0</v>
      </c>
      <c r="S3061" s="65">
        <v>1116.8100000000002</v>
      </c>
      <c r="T3061" s="65">
        <v>0</v>
      </c>
      <c r="U3061" s="58">
        <v>0</v>
      </c>
      <c r="V3061" s="65">
        <v>0</v>
      </c>
      <c r="W3061" s="65">
        <v>0</v>
      </c>
      <c r="X3061" s="65">
        <v>32532</v>
      </c>
      <c r="Y3061" s="65">
        <v>0</v>
      </c>
      <c r="Z3061" s="51">
        <v>0</v>
      </c>
      <c r="AA3061" s="51">
        <v>242</v>
      </c>
      <c r="AB3061" s="102">
        <v>0</v>
      </c>
      <c r="AC3061" s="81">
        <f t="shared" si="145"/>
        <v>0</v>
      </c>
      <c r="AD3061" s="82">
        <f t="shared" si="146"/>
        <v>0</v>
      </c>
      <c r="AE3061" s="218">
        <v>7.2877626135035376E-3</v>
      </c>
      <c r="AF3061">
        <v>43</v>
      </c>
      <c r="AH3061" t="str">
        <f t="shared" ref="AH3061:AH3124" si="147">TEXT(D3061,"0000")</f>
        <v>Asarganj</v>
      </c>
      <c r="AJ3061" s="72">
        <v>0</v>
      </c>
      <c r="AK3061" s="72"/>
      <c r="AL3061" s="72"/>
      <c r="AM3061" s="72"/>
    </row>
    <row r="3062" spans="1:39" x14ac:dyDescent="0.25">
      <c r="A3062" s="37" t="s">
        <v>62</v>
      </c>
      <c r="B3062" s="66" t="s">
        <v>1676</v>
      </c>
      <c r="C3062" s="4">
        <v>1003</v>
      </c>
      <c r="D3062" s="41" t="s">
        <v>137</v>
      </c>
      <c r="E3062" s="41">
        <v>10030028</v>
      </c>
      <c r="F3062" s="85" t="s">
        <v>155</v>
      </c>
      <c r="G3062" s="39" t="s">
        <v>92</v>
      </c>
      <c r="H3062" s="52" t="s">
        <v>93</v>
      </c>
      <c r="I3062" s="52">
        <v>1001.4000000000001</v>
      </c>
      <c r="J3062" s="49">
        <v>42617.039999999994</v>
      </c>
      <c r="K3062" s="58">
        <v>997.39999999999986</v>
      </c>
      <c r="L3062" s="58">
        <v>42718.8</v>
      </c>
      <c r="M3062" s="58">
        <v>19.100000000000001</v>
      </c>
      <c r="N3062" s="58">
        <v>767.78000000000009</v>
      </c>
      <c r="O3062" s="58">
        <v>1016.4999999999999</v>
      </c>
      <c r="P3062" s="53">
        <v>43486.58</v>
      </c>
      <c r="Q3062" s="65">
        <v>42617.039999999994</v>
      </c>
      <c r="R3062" s="65">
        <v>0</v>
      </c>
      <c r="S3062" s="65">
        <v>767.78000000000009</v>
      </c>
      <c r="T3062" s="65">
        <v>869.54000000000815</v>
      </c>
      <c r="U3062" s="58">
        <v>0</v>
      </c>
      <c r="V3062" s="65">
        <v>0</v>
      </c>
      <c r="W3062" s="65">
        <v>0</v>
      </c>
      <c r="X3062" s="65">
        <v>41849</v>
      </c>
      <c r="Y3062" s="65">
        <v>0</v>
      </c>
      <c r="Z3062" s="51">
        <v>0</v>
      </c>
      <c r="AA3062" s="51">
        <v>0</v>
      </c>
      <c r="AB3062" s="102">
        <v>0</v>
      </c>
      <c r="AC3062" s="81">
        <f t="shared" si="145"/>
        <v>0</v>
      </c>
      <c r="AD3062" s="82">
        <f t="shared" si="146"/>
        <v>0</v>
      </c>
      <c r="AE3062" s="218">
        <v>-2.0403575658938498E-2</v>
      </c>
      <c r="AF3062">
        <v>42</v>
      </c>
      <c r="AH3062" t="str">
        <f t="shared" si="147"/>
        <v>Asarganj</v>
      </c>
      <c r="AJ3062" s="72">
        <v>0</v>
      </c>
      <c r="AK3062" s="72"/>
      <c r="AL3062" s="72"/>
      <c r="AM3062" s="72"/>
    </row>
    <row r="3063" spans="1:39" x14ac:dyDescent="0.25">
      <c r="A3063" s="37" t="s">
        <v>62</v>
      </c>
      <c r="B3063" s="66" t="s">
        <v>1676</v>
      </c>
      <c r="C3063" s="4">
        <v>1003</v>
      </c>
      <c r="D3063" s="41" t="s">
        <v>137</v>
      </c>
      <c r="E3063" s="41">
        <v>10030030</v>
      </c>
      <c r="F3063" s="85" t="s">
        <v>1612</v>
      </c>
      <c r="G3063" s="39" t="s">
        <v>92</v>
      </c>
      <c r="H3063" s="52" t="s">
        <v>93</v>
      </c>
      <c r="I3063" s="52">
        <v>96.850000000000009</v>
      </c>
      <c r="J3063" s="49">
        <v>4588.13</v>
      </c>
      <c r="K3063" s="58">
        <v>97</v>
      </c>
      <c r="L3063" s="58">
        <v>4616.43</v>
      </c>
      <c r="M3063" s="58">
        <v>0</v>
      </c>
      <c r="N3063" s="58">
        <v>0</v>
      </c>
      <c r="O3063" s="58">
        <v>97</v>
      </c>
      <c r="P3063" s="53">
        <v>4616.43</v>
      </c>
      <c r="Q3063" s="65">
        <v>4588.13</v>
      </c>
      <c r="R3063" s="65">
        <v>0</v>
      </c>
      <c r="S3063" s="65">
        <v>0</v>
      </c>
      <c r="T3063" s="65">
        <v>28.300000000000182</v>
      </c>
      <c r="U3063" s="58">
        <v>0</v>
      </c>
      <c r="V3063" s="65">
        <v>0</v>
      </c>
      <c r="W3063" s="65">
        <v>0</v>
      </c>
      <c r="X3063" s="65">
        <v>4588</v>
      </c>
      <c r="Y3063" s="65">
        <v>0</v>
      </c>
      <c r="Z3063" s="51">
        <v>0</v>
      </c>
      <c r="AA3063" s="51">
        <v>0</v>
      </c>
      <c r="AB3063" s="102">
        <v>0</v>
      </c>
      <c r="AC3063" s="81">
        <f t="shared" si="145"/>
        <v>571.46734321115127</v>
      </c>
      <c r="AD3063" s="82">
        <f t="shared" si="146"/>
        <v>13.835714285714287</v>
      </c>
      <c r="AE3063" s="218">
        <v>-6.1680902677125936E-3</v>
      </c>
      <c r="AF3063">
        <v>1</v>
      </c>
      <c r="AH3063" t="str">
        <f t="shared" si="147"/>
        <v>Asarganj</v>
      </c>
      <c r="AJ3063" s="72">
        <v>0</v>
      </c>
      <c r="AK3063" s="72"/>
      <c r="AL3063" s="72"/>
      <c r="AM3063" s="72"/>
    </row>
    <row r="3064" spans="1:39" x14ac:dyDescent="0.25">
      <c r="A3064" s="37" t="s">
        <v>62</v>
      </c>
      <c r="B3064" s="66" t="s">
        <v>1676</v>
      </c>
      <c r="C3064" s="4">
        <v>1003</v>
      </c>
      <c r="D3064" s="41" t="s">
        <v>137</v>
      </c>
      <c r="E3064" s="41">
        <v>10030031</v>
      </c>
      <c r="F3064" s="85" t="s">
        <v>156</v>
      </c>
      <c r="G3064" s="39" t="s">
        <v>92</v>
      </c>
      <c r="H3064" s="52" t="s">
        <v>93</v>
      </c>
      <c r="I3064" s="52">
        <v>733.05</v>
      </c>
      <c r="J3064" s="49">
        <v>27539.78</v>
      </c>
      <c r="K3064" s="58">
        <v>729.62</v>
      </c>
      <c r="L3064" s="58">
        <v>27889.869999999995</v>
      </c>
      <c r="M3064" s="58">
        <v>0</v>
      </c>
      <c r="N3064" s="58">
        <v>0</v>
      </c>
      <c r="O3064" s="58">
        <v>729.62</v>
      </c>
      <c r="P3064" s="53">
        <v>27889.869999999995</v>
      </c>
      <c r="Q3064" s="65">
        <v>27539.78</v>
      </c>
      <c r="R3064" s="65">
        <v>0</v>
      </c>
      <c r="S3064" s="65">
        <v>0</v>
      </c>
      <c r="T3064" s="65">
        <v>350.08999999999651</v>
      </c>
      <c r="U3064" s="58">
        <v>0</v>
      </c>
      <c r="V3064" s="65">
        <v>0</v>
      </c>
      <c r="W3064" s="65">
        <v>0</v>
      </c>
      <c r="X3064" s="65">
        <v>27540</v>
      </c>
      <c r="Y3064" s="65">
        <v>0</v>
      </c>
      <c r="Z3064" s="51">
        <v>0</v>
      </c>
      <c r="AA3064" s="51">
        <v>0</v>
      </c>
      <c r="AB3064" s="102">
        <v>0</v>
      </c>
      <c r="AC3064" s="81">
        <f t="shared" si="145"/>
        <v>0</v>
      </c>
      <c r="AD3064" s="82">
        <f t="shared" si="146"/>
        <v>0</v>
      </c>
      <c r="AE3064" s="218">
        <v>-1.271215674199273E-2</v>
      </c>
      <c r="AF3064">
        <v>23</v>
      </c>
      <c r="AH3064" t="str">
        <f t="shared" si="147"/>
        <v>Asarganj</v>
      </c>
      <c r="AJ3064" s="72">
        <v>0</v>
      </c>
      <c r="AK3064" s="72"/>
      <c r="AL3064" s="72"/>
      <c r="AM3064" s="72"/>
    </row>
    <row r="3065" spans="1:39" x14ac:dyDescent="0.25">
      <c r="A3065" s="37" t="s">
        <v>62</v>
      </c>
      <c r="B3065" s="66" t="s">
        <v>1676</v>
      </c>
      <c r="C3065" s="4">
        <v>1003</v>
      </c>
      <c r="D3065" s="41" t="s">
        <v>137</v>
      </c>
      <c r="E3065" s="41">
        <v>10030032</v>
      </c>
      <c r="F3065" s="85" t="s">
        <v>157</v>
      </c>
      <c r="G3065" s="39" t="s">
        <v>92</v>
      </c>
      <c r="H3065" s="52" t="s">
        <v>93</v>
      </c>
      <c r="I3065" s="52">
        <v>1126</v>
      </c>
      <c r="J3065" s="49">
        <v>39686.65</v>
      </c>
      <c r="K3065" s="58">
        <v>1191.3999999999999</v>
      </c>
      <c r="L3065" s="58">
        <v>45327.799999999996</v>
      </c>
      <c r="M3065" s="58">
        <v>8.6999999999999993</v>
      </c>
      <c r="N3065" s="58">
        <v>369.88</v>
      </c>
      <c r="O3065" s="58">
        <v>1200.0999999999999</v>
      </c>
      <c r="P3065" s="53">
        <v>45697.679999999993</v>
      </c>
      <c r="Q3065" s="65">
        <v>39686.65</v>
      </c>
      <c r="R3065" s="65">
        <v>0</v>
      </c>
      <c r="S3065" s="65">
        <v>369.88</v>
      </c>
      <c r="T3065" s="65">
        <v>6011.0299999999916</v>
      </c>
      <c r="U3065" s="58">
        <v>0</v>
      </c>
      <c r="V3065" s="65">
        <v>0</v>
      </c>
      <c r="W3065" s="65">
        <v>0</v>
      </c>
      <c r="X3065" s="65">
        <v>39317</v>
      </c>
      <c r="Y3065" s="65">
        <v>0</v>
      </c>
      <c r="Z3065" s="51">
        <v>0</v>
      </c>
      <c r="AA3065" s="51">
        <v>0</v>
      </c>
      <c r="AB3065" s="102">
        <v>0</v>
      </c>
      <c r="AC3065" s="81">
        <f t="shared" si="145"/>
        <v>0</v>
      </c>
      <c r="AD3065" s="82">
        <f t="shared" si="146"/>
        <v>0</v>
      </c>
      <c r="AE3065" s="218">
        <v>-0.15146226753832817</v>
      </c>
      <c r="AF3065">
        <v>17</v>
      </c>
      <c r="AH3065" t="str">
        <f t="shared" si="147"/>
        <v>Asarganj</v>
      </c>
      <c r="AJ3065" s="72">
        <v>0</v>
      </c>
      <c r="AK3065" s="72"/>
      <c r="AL3065" s="72"/>
      <c r="AM3065" s="72"/>
    </row>
    <row r="3066" spans="1:39" x14ac:dyDescent="0.25">
      <c r="A3066" s="37" t="s">
        <v>62</v>
      </c>
      <c r="B3066" s="66" t="s">
        <v>1676</v>
      </c>
      <c r="C3066" s="4">
        <v>1003</v>
      </c>
      <c r="D3066" s="41" t="s">
        <v>137</v>
      </c>
      <c r="E3066" s="41">
        <v>10030034</v>
      </c>
      <c r="F3066" s="85" t="s">
        <v>158</v>
      </c>
      <c r="G3066" s="39" t="s">
        <v>92</v>
      </c>
      <c r="H3066" s="52" t="s">
        <v>93</v>
      </c>
      <c r="I3066" s="52">
        <v>1254.2</v>
      </c>
      <c r="J3066" s="49">
        <v>54300.459999999992</v>
      </c>
      <c r="K3066" s="58">
        <v>1263.8600000000001</v>
      </c>
      <c r="L3066" s="58">
        <v>54733.329999999994</v>
      </c>
      <c r="M3066" s="58">
        <v>0</v>
      </c>
      <c r="N3066" s="58">
        <v>0</v>
      </c>
      <c r="O3066" s="58">
        <v>1263.8600000000001</v>
      </c>
      <c r="P3066" s="53">
        <v>54733.329999999994</v>
      </c>
      <c r="Q3066" s="65">
        <v>54300.459999999992</v>
      </c>
      <c r="R3066" s="65">
        <v>0</v>
      </c>
      <c r="S3066" s="65">
        <v>0</v>
      </c>
      <c r="T3066" s="65">
        <v>432.87000000000262</v>
      </c>
      <c r="U3066" s="58">
        <v>0</v>
      </c>
      <c r="V3066" s="65">
        <v>0</v>
      </c>
      <c r="W3066" s="65">
        <v>0</v>
      </c>
      <c r="X3066" s="65">
        <v>54300</v>
      </c>
      <c r="Y3066" s="65">
        <v>0</v>
      </c>
      <c r="Z3066" s="51">
        <v>0</v>
      </c>
      <c r="AA3066" s="51">
        <v>0</v>
      </c>
      <c r="AB3066" s="102">
        <v>0</v>
      </c>
      <c r="AC3066" s="81">
        <f t="shared" si="145"/>
        <v>0</v>
      </c>
      <c r="AD3066" s="82">
        <f t="shared" si="146"/>
        <v>0</v>
      </c>
      <c r="AE3066" s="218">
        <v>-7.9717556720514463E-3</v>
      </c>
      <c r="AF3066">
        <v>39</v>
      </c>
      <c r="AH3066" t="str">
        <f t="shared" si="147"/>
        <v>Asarganj</v>
      </c>
      <c r="AJ3066" s="72">
        <v>0</v>
      </c>
      <c r="AK3066" s="72"/>
      <c r="AL3066" s="72"/>
      <c r="AM3066" s="72"/>
    </row>
    <row r="3067" spans="1:39" x14ac:dyDescent="0.25">
      <c r="A3067" s="37" t="s">
        <v>62</v>
      </c>
      <c r="B3067" s="66" t="s">
        <v>1676</v>
      </c>
      <c r="C3067" s="4">
        <v>1003</v>
      </c>
      <c r="D3067" s="41" t="s">
        <v>137</v>
      </c>
      <c r="E3067" s="41">
        <v>10030035</v>
      </c>
      <c r="F3067" s="85" t="s">
        <v>159</v>
      </c>
      <c r="G3067" s="39" t="s">
        <v>92</v>
      </c>
      <c r="H3067" s="52" t="s">
        <v>93</v>
      </c>
      <c r="I3067" s="52">
        <v>651.85</v>
      </c>
      <c r="J3067" s="49">
        <v>27374.259999999995</v>
      </c>
      <c r="K3067" s="58">
        <v>647.57999999999993</v>
      </c>
      <c r="L3067" s="58">
        <v>27298.779999999995</v>
      </c>
      <c r="M3067" s="58">
        <v>3.1599999999999997</v>
      </c>
      <c r="N3067" s="58">
        <v>138.07999999999998</v>
      </c>
      <c r="O3067" s="58">
        <v>650.7399999999999</v>
      </c>
      <c r="P3067" s="53">
        <v>27436.859999999997</v>
      </c>
      <c r="Q3067" s="65">
        <v>27374.259999999995</v>
      </c>
      <c r="R3067" s="65">
        <v>0</v>
      </c>
      <c r="S3067" s="65">
        <v>138.07999999999998</v>
      </c>
      <c r="T3067" s="65">
        <v>62.600000000002183</v>
      </c>
      <c r="U3067" s="58">
        <v>0</v>
      </c>
      <c r="V3067" s="65">
        <v>0</v>
      </c>
      <c r="W3067" s="65">
        <v>0</v>
      </c>
      <c r="X3067" s="65">
        <v>27236</v>
      </c>
      <c r="Y3067" s="65">
        <v>0</v>
      </c>
      <c r="Z3067" s="51">
        <v>0</v>
      </c>
      <c r="AA3067" s="51">
        <v>0</v>
      </c>
      <c r="AB3067" s="102">
        <v>0</v>
      </c>
      <c r="AC3067" s="81">
        <f t="shared" ref="AC3067:AC3130" si="148">((IF(AD3067=0,0,100-AD3067))*7*(J3067/I3067))*2%</f>
        <v>40.440917971925991</v>
      </c>
      <c r="AD3067" s="82">
        <f t="shared" ref="AD3067:AD3130" si="149">IF((I3067/7)&gt;100,0,(I3067/7))</f>
        <v>93.121428571428581</v>
      </c>
      <c r="AE3067" s="218">
        <v>-2.2868198080971758E-3</v>
      </c>
      <c r="AF3067">
        <v>7</v>
      </c>
      <c r="AH3067" t="str">
        <f t="shared" si="147"/>
        <v>Asarganj</v>
      </c>
      <c r="AJ3067" s="72">
        <v>0</v>
      </c>
      <c r="AK3067" s="72"/>
      <c r="AL3067" s="72"/>
      <c r="AM3067" s="72"/>
    </row>
    <row r="3068" spans="1:39" x14ac:dyDescent="0.25">
      <c r="A3068" s="37" t="s">
        <v>62</v>
      </c>
      <c r="B3068" s="66" t="s">
        <v>1676</v>
      </c>
      <c r="C3068" s="4">
        <v>1003</v>
      </c>
      <c r="D3068" s="41" t="s">
        <v>137</v>
      </c>
      <c r="E3068" s="41">
        <v>10030037</v>
      </c>
      <c r="F3068" s="85" t="s">
        <v>160</v>
      </c>
      <c r="G3068" s="39" t="s">
        <v>92</v>
      </c>
      <c r="H3068" s="52" t="s">
        <v>93</v>
      </c>
      <c r="I3068" s="52">
        <v>1555.8500000000001</v>
      </c>
      <c r="J3068" s="49">
        <v>59036.240000000005</v>
      </c>
      <c r="K3068" s="58">
        <v>1507.3400000000001</v>
      </c>
      <c r="L3068" s="58">
        <v>58440.270000000004</v>
      </c>
      <c r="M3068" s="58">
        <v>14.45</v>
      </c>
      <c r="N3068" s="58">
        <v>554.36</v>
      </c>
      <c r="O3068" s="58">
        <v>1521.7900000000002</v>
      </c>
      <c r="P3068" s="53">
        <v>58994.630000000005</v>
      </c>
      <c r="Q3068" s="65">
        <v>58994.630000000005</v>
      </c>
      <c r="R3068" s="65">
        <v>0</v>
      </c>
      <c r="S3068" s="65">
        <v>554.36</v>
      </c>
      <c r="T3068" s="65">
        <v>0</v>
      </c>
      <c r="U3068" s="58">
        <v>0</v>
      </c>
      <c r="V3068" s="65">
        <v>0</v>
      </c>
      <c r="W3068" s="65">
        <v>0</v>
      </c>
      <c r="X3068" s="65">
        <v>58442</v>
      </c>
      <c r="Y3068" s="65">
        <v>0</v>
      </c>
      <c r="Z3068" s="51">
        <v>0</v>
      </c>
      <c r="AA3068" s="51">
        <v>40</v>
      </c>
      <c r="AB3068" s="102">
        <v>0</v>
      </c>
      <c r="AC3068" s="81">
        <f t="shared" si="148"/>
        <v>0</v>
      </c>
      <c r="AD3068" s="82">
        <f t="shared" si="149"/>
        <v>0</v>
      </c>
      <c r="AE3068" s="218">
        <v>7.048213097582193E-4</v>
      </c>
      <c r="AF3068">
        <v>16</v>
      </c>
      <c r="AH3068" t="str">
        <f t="shared" si="147"/>
        <v>Asarganj</v>
      </c>
      <c r="AJ3068" s="72">
        <v>0</v>
      </c>
      <c r="AK3068" s="72"/>
      <c r="AL3068" s="72"/>
      <c r="AM3068" s="72"/>
    </row>
    <row r="3069" spans="1:39" x14ac:dyDescent="0.25">
      <c r="A3069" s="37" t="s">
        <v>62</v>
      </c>
      <c r="B3069" s="66" t="s">
        <v>1676</v>
      </c>
      <c r="C3069" s="4">
        <v>1003</v>
      </c>
      <c r="D3069" s="41" t="s">
        <v>137</v>
      </c>
      <c r="E3069" s="41">
        <v>10030038</v>
      </c>
      <c r="F3069" s="85" t="s">
        <v>161</v>
      </c>
      <c r="G3069" s="39" t="s">
        <v>92</v>
      </c>
      <c r="H3069" s="52" t="s">
        <v>93</v>
      </c>
      <c r="I3069" s="52">
        <v>696.94999999999993</v>
      </c>
      <c r="J3069" s="49">
        <v>30037.299999999996</v>
      </c>
      <c r="K3069" s="58">
        <v>637.45999999999992</v>
      </c>
      <c r="L3069" s="58">
        <v>31467.35</v>
      </c>
      <c r="M3069" s="58">
        <v>0</v>
      </c>
      <c r="N3069" s="58">
        <v>0</v>
      </c>
      <c r="O3069" s="58">
        <v>637.45999999999992</v>
      </c>
      <c r="P3069" s="53">
        <v>31467.35</v>
      </c>
      <c r="Q3069" s="65">
        <v>30037.299999999996</v>
      </c>
      <c r="R3069" s="65">
        <v>0</v>
      </c>
      <c r="S3069" s="65">
        <v>0</v>
      </c>
      <c r="T3069" s="65">
        <v>1430.0500000000029</v>
      </c>
      <c r="U3069" s="58">
        <v>0</v>
      </c>
      <c r="V3069" s="65">
        <v>0</v>
      </c>
      <c r="W3069" s="65">
        <v>0</v>
      </c>
      <c r="X3069" s="65">
        <v>30037</v>
      </c>
      <c r="Y3069" s="65">
        <v>0</v>
      </c>
      <c r="Z3069" s="51">
        <v>0</v>
      </c>
      <c r="AA3069" s="51">
        <v>0</v>
      </c>
      <c r="AB3069" s="102">
        <v>0</v>
      </c>
      <c r="AC3069" s="81">
        <f t="shared" si="148"/>
        <v>2.6289910323553332</v>
      </c>
      <c r="AD3069" s="82">
        <f t="shared" si="149"/>
        <v>99.564285714285703</v>
      </c>
      <c r="AE3069" s="218">
        <v>-4.7609139303466129E-2</v>
      </c>
      <c r="AF3069">
        <v>21</v>
      </c>
      <c r="AH3069" t="str">
        <f t="shared" si="147"/>
        <v>Asarganj</v>
      </c>
      <c r="AJ3069" s="72">
        <v>0</v>
      </c>
      <c r="AK3069" s="72"/>
      <c r="AL3069" s="72"/>
      <c r="AM3069" s="72"/>
    </row>
    <row r="3070" spans="1:39" x14ac:dyDescent="0.25">
      <c r="A3070" s="37" t="s">
        <v>62</v>
      </c>
      <c r="B3070" s="66" t="s">
        <v>1676</v>
      </c>
      <c r="C3070" s="4">
        <v>1003</v>
      </c>
      <c r="D3070" s="41" t="s">
        <v>137</v>
      </c>
      <c r="E3070" s="41">
        <v>10030040</v>
      </c>
      <c r="F3070" s="85" t="s">
        <v>162</v>
      </c>
      <c r="G3070" s="39" t="s">
        <v>1610</v>
      </c>
      <c r="H3070" s="52" t="s">
        <v>98</v>
      </c>
      <c r="I3070" s="52">
        <v>373.95000000000005</v>
      </c>
      <c r="J3070" s="49">
        <v>16671.87</v>
      </c>
      <c r="K3070" s="58">
        <v>0</v>
      </c>
      <c r="L3070" s="58">
        <v>0</v>
      </c>
      <c r="M3070" s="58">
        <v>0</v>
      </c>
      <c r="N3070" s="58">
        <v>0</v>
      </c>
      <c r="O3070" s="58">
        <v>0</v>
      </c>
      <c r="P3070" s="53">
        <v>0</v>
      </c>
      <c r="Q3070" s="65">
        <v>16671.87</v>
      </c>
      <c r="R3070" s="65">
        <v>0</v>
      </c>
      <c r="S3070" s="65">
        <v>0</v>
      </c>
      <c r="T3070" s="65">
        <v>0</v>
      </c>
      <c r="U3070" s="58">
        <v>0</v>
      </c>
      <c r="V3070" s="65">
        <v>0</v>
      </c>
      <c r="W3070" s="65">
        <v>0</v>
      </c>
      <c r="X3070" s="65">
        <v>0</v>
      </c>
      <c r="Y3070" s="65">
        <v>0</v>
      </c>
      <c r="Z3070" s="51">
        <v>16671.87</v>
      </c>
      <c r="AA3070" s="51">
        <v>0</v>
      </c>
      <c r="AB3070" s="102">
        <v>0</v>
      </c>
      <c r="AC3070" s="81">
        <f t="shared" si="148"/>
        <v>290.72673959085432</v>
      </c>
      <c r="AD3070" s="82">
        <f t="shared" si="149"/>
        <v>53.421428571428578</v>
      </c>
      <c r="AE3070" s="218">
        <v>0</v>
      </c>
      <c r="AF3070">
        <v>0</v>
      </c>
      <c r="AH3070" t="str">
        <f t="shared" si="147"/>
        <v>Asarganj</v>
      </c>
      <c r="AJ3070" s="72">
        <v>0</v>
      </c>
      <c r="AK3070" s="72"/>
      <c r="AL3070" s="72"/>
      <c r="AM3070" s="72"/>
    </row>
    <row r="3071" spans="1:39" x14ac:dyDescent="0.25">
      <c r="A3071" s="37" t="s">
        <v>62</v>
      </c>
      <c r="B3071" s="66" t="s">
        <v>1676</v>
      </c>
      <c r="C3071" s="4">
        <v>1003</v>
      </c>
      <c r="D3071" s="41" t="s">
        <v>137</v>
      </c>
      <c r="E3071" s="41">
        <v>10030041</v>
      </c>
      <c r="F3071" s="85" t="s">
        <v>163</v>
      </c>
      <c r="G3071" s="39" t="s">
        <v>1610</v>
      </c>
      <c r="H3071" s="52" t="s">
        <v>98</v>
      </c>
      <c r="I3071" s="52">
        <v>1143</v>
      </c>
      <c r="J3071" s="49">
        <v>46415.89</v>
      </c>
      <c r="K3071" s="58">
        <v>0</v>
      </c>
      <c r="L3071" s="58">
        <v>0</v>
      </c>
      <c r="M3071" s="58">
        <v>0</v>
      </c>
      <c r="N3071" s="58">
        <v>0</v>
      </c>
      <c r="O3071" s="58">
        <v>0</v>
      </c>
      <c r="P3071" s="53">
        <v>0</v>
      </c>
      <c r="Q3071" s="65">
        <v>46415.89</v>
      </c>
      <c r="R3071" s="65">
        <v>0</v>
      </c>
      <c r="S3071" s="65">
        <v>0</v>
      </c>
      <c r="T3071" s="65">
        <v>0</v>
      </c>
      <c r="U3071" s="58">
        <v>0</v>
      </c>
      <c r="V3071" s="65">
        <v>0</v>
      </c>
      <c r="W3071" s="65">
        <v>0</v>
      </c>
      <c r="X3071" s="65">
        <v>0</v>
      </c>
      <c r="Y3071" s="65">
        <v>0</v>
      </c>
      <c r="Z3071" s="51">
        <v>46415.89</v>
      </c>
      <c r="AA3071" s="51">
        <v>0</v>
      </c>
      <c r="AB3071" s="102">
        <v>0</v>
      </c>
      <c r="AC3071" s="81">
        <f t="shared" si="148"/>
        <v>0</v>
      </c>
      <c r="AD3071" s="82">
        <f t="shared" si="149"/>
        <v>0</v>
      </c>
      <c r="AE3071" s="218">
        <v>0</v>
      </c>
      <c r="AF3071">
        <v>0</v>
      </c>
      <c r="AH3071" t="str">
        <f t="shared" si="147"/>
        <v>Asarganj</v>
      </c>
      <c r="AJ3071" s="72">
        <v>0</v>
      </c>
      <c r="AK3071" s="72"/>
      <c r="AL3071" s="72"/>
      <c r="AM3071" s="72"/>
    </row>
    <row r="3072" spans="1:39" x14ac:dyDescent="0.25">
      <c r="A3072" s="37" t="s">
        <v>62</v>
      </c>
      <c r="B3072" s="66" t="s">
        <v>1676</v>
      </c>
      <c r="C3072" s="4">
        <v>1003</v>
      </c>
      <c r="D3072" s="41" t="s">
        <v>137</v>
      </c>
      <c r="E3072" s="41">
        <v>10030042</v>
      </c>
      <c r="F3072" s="85" t="s">
        <v>164</v>
      </c>
      <c r="G3072" s="39" t="s">
        <v>1610</v>
      </c>
      <c r="H3072" s="52" t="s">
        <v>98</v>
      </c>
      <c r="I3072" s="52">
        <v>709.2</v>
      </c>
      <c r="J3072" s="49">
        <v>29037.729999999996</v>
      </c>
      <c r="K3072" s="58">
        <v>0</v>
      </c>
      <c r="L3072" s="58">
        <v>0</v>
      </c>
      <c r="M3072" s="58">
        <v>0</v>
      </c>
      <c r="N3072" s="58">
        <v>0</v>
      </c>
      <c r="O3072" s="58">
        <v>0</v>
      </c>
      <c r="P3072" s="53">
        <v>0</v>
      </c>
      <c r="Q3072" s="65">
        <v>29037.729999999996</v>
      </c>
      <c r="R3072" s="65">
        <v>0</v>
      </c>
      <c r="S3072" s="65">
        <v>0</v>
      </c>
      <c r="T3072" s="65">
        <v>0</v>
      </c>
      <c r="U3072" s="58">
        <v>0</v>
      </c>
      <c r="V3072" s="65">
        <v>0</v>
      </c>
      <c r="W3072" s="65">
        <v>0</v>
      </c>
      <c r="X3072" s="65">
        <v>0</v>
      </c>
      <c r="Y3072" s="65">
        <v>0</v>
      </c>
      <c r="Z3072" s="51">
        <v>29037.729999999996</v>
      </c>
      <c r="AA3072" s="51">
        <v>0</v>
      </c>
      <c r="AB3072" s="102">
        <v>0</v>
      </c>
      <c r="AC3072" s="81">
        <f t="shared" si="148"/>
        <v>0</v>
      </c>
      <c r="AD3072" s="82">
        <f t="shared" si="149"/>
        <v>0</v>
      </c>
      <c r="AE3072" s="218">
        <v>0</v>
      </c>
      <c r="AF3072">
        <v>0</v>
      </c>
      <c r="AH3072" t="str">
        <f t="shared" si="147"/>
        <v>Asarganj</v>
      </c>
      <c r="AJ3072" s="72">
        <v>0</v>
      </c>
      <c r="AK3072" s="72"/>
      <c r="AL3072" s="72"/>
      <c r="AM3072" s="72"/>
    </row>
    <row r="3073" spans="1:39" x14ac:dyDescent="0.25">
      <c r="A3073" s="37" t="s">
        <v>62</v>
      </c>
      <c r="B3073" s="66" t="s">
        <v>1676</v>
      </c>
      <c r="C3073" s="4">
        <v>1003</v>
      </c>
      <c r="D3073" s="41" t="s">
        <v>137</v>
      </c>
      <c r="E3073" s="41">
        <v>10030043</v>
      </c>
      <c r="F3073" s="85" t="s">
        <v>165</v>
      </c>
      <c r="G3073" s="39" t="s">
        <v>1610</v>
      </c>
      <c r="H3073" s="52" t="s">
        <v>98</v>
      </c>
      <c r="I3073" s="52">
        <v>9168.9499999999989</v>
      </c>
      <c r="J3073" s="49">
        <v>391229.94999999995</v>
      </c>
      <c r="K3073" s="58">
        <v>0</v>
      </c>
      <c r="L3073" s="58">
        <v>0</v>
      </c>
      <c r="M3073" s="58">
        <v>0</v>
      </c>
      <c r="N3073" s="58">
        <v>0</v>
      </c>
      <c r="O3073" s="58">
        <v>0</v>
      </c>
      <c r="P3073" s="53">
        <v>0</v>
      </c>
      <c r="Q3073" s="65">
        <v>391229.94999999995</v>
      </c>
      <c r="R3073" s="65">
        <v>0</v>
      </c>
      <c r="S3073" s="65">
        <v>0</v>
      </c>
      <c r="T3073" s="65">
        <v>0</v>
      </c>
      <c r="U3073" s="58">
        <v>0</v>
      </c>
      <c r="V3073" s="65">
        <v>0</v>
      </c>
      <c r="W3073" s="65">
        <v>0</v>
      </c>
      <c r="X3073" s="65">
        <v>0</v>
      </c>
      <c r="Y3073" s="65">
        <v>0</v>
      </c>
      <c r="Z3073" s="51">
        <v>391229.94999999995</v>
      </c>
      <c r="AA3073" s="51">
        <v>0</v>
      </c>
      <c r="AB3073" s="102">
        <v>0</v>
      </c>
      <c r="AC3073" s="81">
        <f t="shared" si="148"/>
        <v>0</v>
      </c>
      <c r="AD3073" s="82">
        <f t="shared" si="149"/>
        <v>0</v>
      </c>
      <c r="AE3073" s="218">
        <v>0</v>
      </c>
      <c r="AF3073">
        <v>0</v>
      </c>
      <c r="AH3073" t="str">
        <f t="shared" si="147"/>
        <v>Asarganj</v>
      </c>
      <c r="AJ3073" s="72">
        <v>0</v>
      </c>
      <c r="AK3073" s="72"/>
      <c r="AL3073" s="72"/>
      <c r="AM3073" s="72"/>
    </row>
    <row r="3074" spans="1:39" x14ac:dyDescent="0.25">
      <c r="A3074" s="37" t="s">
        <v>62</v>
      </c>
      <c r="B3074" s="66" t="s">
        <v>1676</v>
      </c>
      <c r="C3074" s="4">
        <v>1003</v>
      </c>
      <c r="D3074" s="41" t="s">
        <v>137</v>
      </c>
      <c r="E3074" s="41">
        <v>10030044</v>
      </c>
      <c r="F3074" s="85" t="s">
        <v>166</v>
      </c>
      <c r="G3074" s="39" t="s">
        <v>1610</v>
      </c>
      <c r="H3074" s="52" t="s">
        <v>98</v>
      </c>
      <c r="I3074" s="52">
        <v>9013.5499999999993</v>
      </c>
      <c r="J3074" s="49">
        <v>385225.29</v>
      </c>
      <c r="K3074" s="58">
        <v>0</v>
      </c>
      <c r="L3074" s="58">
        <v>0</v>
      </c>
      <c r="M3074" s="58">
        <v>0</v>
      </c>
      <c r="N3074" s="58">
        <v>0</v>
      </c>
      <c r="O3074" s="58">
        <v>0</v>
      </c>
      <c r="P3074" s="53">
        <v>0</v>
      </c>
      <c r="Q3074" s="65">
        <v>385225.29</v>
      </c>
      <c r="R3074" s="65">
        <v>0</v>
      </c>
      <c r="S3074" s="65">
        <v>0</v>
      </c>
      <c r="T3074" s="65">
        <v>0</v>
      </c>
      <c r="U3074" s="58">
        <v>0</v>
      </c>
      <c r="V3074" s="65">
        <v>0</v>
      </c>
      <c r="W3074" s="65">
        <v>0</v>
      </c>
      <c r="X3074" s="65">
        <v>0</v>
      </c>
      <c r="Y3074" s="65">
        <v>0</v>
      </c>
      <c r="Z3074" s="51">
        <v>385225.29</v>
      </c>
      <c r="AA3074" s="51">
        <v>0</v>
      </c>
      <c r="AB3074" s="102">
        <v>0</v>
      </c>
      <c r="AC3074" s="81">
        <f t="shared" si="148"/>
        <v>0</v>
      </c>
      <c r="AD3074" s="82">
        <f t="shared" si="149"/>
        <v>0</v>
      </c>
      <c r="AE3074" s="218">
        <v>0</v>
      </c>
      <c r="AF3074">
        <v>0</v>
      </c>
      <c r="AH3074" t="str">
        <f t="shared" si="147"/>
        <v>Asarganj</v>
      </c>
      <c r="AJ3074" s="72">
        <v>0</v>
      </c>
      <c r="AK3074" s="72"/>
      <c r="AL3074" s="72"/>
      <c r="AM3074" s="72"/>
    </row>
    <row r="3075" spans="1:39" x14ac:dyDescent="0.25">
      <c r="A3075" s="37" t="s">
        <v>62</v>
      </c>
      <c r="B3075" s="66" t="s">
        <v>1676</v>
      </c>
      <c r="C3075" s="4">
        <v>1003</v>
      </c>
      <c r="D3075" s="41" t="s">
        <v>137</v>
      </c>
      <c r="E3075" s="41">
        <v>10030045</v>
      </c>
      <c r="F3075" s="85" t="s">
        <v>167</v>
      </c>
      <c r="G3075" s="39" t="s">
        <v>1610</v>
      </c>
      <c r="H3075" s="52" t="s">
        <v>98</v>
      </c>
      <c r="I3075" s="52">
        <v>809.7</v>
      </c>
      <c r="J3075" s="49">
        <v>33103.049999999996</v>
      </c>
      <c r="K3075" s="58">
        <v>0</v>
      </c>
      <c r="L3075" s="58">
        <v>0</v>
      </c>
      <c r="M3075" s="58">
        <v>0</v>
      </c>
      <c r="N3075" s="58">
        <v>0</v>
      </c>
      <c r="O3075" s="58">
        <v>0</v>
      </c>
      <c r="P3075" s="53">
        <v>0</v>
      </c>
      <c r="Q3075" s="65">
        <v>33103.049999999996</v>
      </c>
      <c r="R3075" s="65">
        <v>0</v>
      </c>
      <c r="S3075" s="65">
        <v>0</v>
      </c>
      <c r="T3075" s="65">
        <v>0</v>
      </c>
      <c r="U3075" s="58">
        <v>0</v>
      </c>
      <c r="V3075" s="65">
        <v>0</v>
      </c>
      <c r="W3075" s="65">
        <v>0</v>
      </c>
      <c r="X3075" s="65">
        <v>0</v>
      </c>
      <c r="Y3075" s="65">
        <v>0</v>
      </c>
      <c r="Z3075" s="51">
        <v>33103.049999999996</v>
      </c>
      <c r="AA3075" s="51">
        <v>0</v>
      </c>
      <c r="AB3075" s="102">
        <v>0</v>
      </c>
      <c r="AC3075" s="81">
        <f t="shared" si="148"/>
        <v>0</v>
      </c>
      <c r="AD3075" s="82">
        <f t="shared" si="149"/>
        <v>0</v>
      </c>
      <c r="AE3075" s="218">
        <v>0</v>
      </c>
      <c r="AF3075">
        <v>0</v>
      </c>
      <c r="AH3075" t="str">
        <f t="shared" si="147"/>
        <v>Asarganj</v>
      </c>
      <c r="AJ3075" s="72">
        <v>0</v>
      </c>
      <c r="AK3075" s="72"/>
      <c r="AL3075" s="72"/>
      <c r="AM3075" s="72"/>
    </row>
    <row r="3076" spans="1:39" x14ac:dyDescent="0.25">
      <c r="A3076" s="37" t="s">
        <v>62</v>
      </c>
      <c r="B3076" s="66" t="s">
        <v>1676</v>
      </c>
      <c r="C3076" s="4">
        <v>1003</v>
      </c>
      <c r="D3076" s="41" t="s">
        <v>137</v>
      </c>
      <c r="E3076" s="41">
        <v>10030046</v>
      </c>
      <c r="F3076" s="85" t="s">
        <v>168</v>
      </c>
      <c r="G3076" s="39" t="s">
        <v>1610</v>
      </c>
      <c r="H3076" s="52" t="s">
        <v>98</v>
      </c>
      <c r="I3076" s="52">
        <v>709.2</v>
      </c>
      <c r="J3076" s="49">
        <v>29037.729999999996</v>
      </c>
      <c r="K3076" s="58">
        <v>0</v>
      </c>
      <c r="L3076" s="58">
        <v>0</v>
      </c>
      <c r="M3076" s="58">
        <v>0</v>
      </c>
      <c r="N3076" s="58">
        <v>0</v>
      </c>
      <c r="O3076" s="58">
        <v>0</v>
      </c>
      <c r="P3076" s="53">
        <v>0</v>
      </c>
      <c r="Q3076" s="65">
        <v>29037.729999999996</v>
      </c>
      <c r="R3076" s="65">
        <v>0</v>
      </c>
      <c r="S3076" s="65">
        <v>0</v>
      </c>
      <c r="T3076" s="65">
        <v>0</v>
      </c>
      <c r="U3076" s="58">
        <v>0</v>
      </c>
      <c r="V3076" s="65">
        <v>0</v>
      </c>
      <c r="W3076" s="65">
        <v>0</v>
      </c>
      <c r="X3076" s="65">
        <v>0</v>
      </c>
      <c r="Y3076" s="65">
        <v>0</v>
      </c>
      <c r="Z3076" s="51">
        <v>29037.729999999996</v>
      </c>
      <c r="AA3076" s="51">
        <v>0</v>
      </c>
      <c r="AB3076" s="102">
        <v>0</v>
      </c>
      <c r="AC3076" s="81">
        <f t="shared" si="148"/>
        <v>0</v>
      </c>
      <c r="AD3076" s="82">
        <f t="shared" si="149"/>
        <v>0</v>
      </c>
      <c r="AE3076" s="218">
        <v>0</v>
      </c>
      <c r="AF3076">
        <v>0</v>
      </c>
      <c r="AH3076" t="str">
        <f t="shared" si="147"/>
        <v>Asarganj</v>
      </c>
      <c r="AJ3076" s="72">
        <v>0</v>
      </c>
      <c r="AK3076" s="72"/>
      <c r="AL3076" s="72"/>
      <c r="AM3076" s="72"/>
    </row>
    <row r="3077" spans="1:39" x14ac:dyDescent="0.25">
      <c r="A3077" s="37" t="s">
        <v>62</v>
      </c>
      <c r="B3077" s="66" t="s">
        <v>1676</v>
      </c>
      <c r="C3077" s="4">
        <v>1003</v>
      </c>
      <c r="D3077" s="41" t="s">
        <v>137</v>
      </c>
      <c r="E3077" s="41">
        <v>10030047</v>
      </c>
      <c r="F3077" s="85" t="s">
        <v>169</v>
      </c>
      <c r="G3077" s="39" t="s">
        <v>1610</v>
      </c>
      <c r="H3077" s="52" t="s">
        <v>98</v>
      </c>
      <c r="I3077" s="52">
        <v>709.2</v>
      </c>
      <c r="J3077" s="49">
        <v>29037.729999999996</v>
      </c>
      <c r="K3077" s="58">
        <v>0</v>
      </c>
      <c r="L3077" s="58">
        <v>0</v>
      </c>
      <c r="M3077" s="58">
        <v>0</v>
      </c>
      <c r="N3077" s="58">
        <v>0</v>
      </c>
      <c r="O3077" s="58">
        <v>0</v>
      </c>
      <c r="P3077" s="53">
        <v>0</v>
      </c>
      <c r="Q3077" s="65">
        <v>29037.729999999996</v>
      </c>
      <c r="R3077" s="65">
        <v>0</v>
      </c>
      <c r="S3077" s="65">
        <v>0</v>
      </c>
      <c r="T3077" s="65">
        <v>0</v>
      </c>
      <c r="U3077" s="58">
        <v>0</v>
      </c>
      <c r="V3077" s="65">
        <v>0</v>
      </c>
      <c r="W3077" s="65">
        <v>0</v>
      </c>
      <c r="X3077" s="65">
        <v>0</v>
      </c>
      <c r="Y3077" s="65">
        <v>0</v>
      </c>
      <c r="Z3077" s="51">
        <v>29037.729999999996</v>
      </c>
      <c r="AA3077" s="51">
        <v>0</v>
      </c>
      <c r="AB3077" s="102">
        <v>0</v>
      </c>
      <c r="AC3077" s="81">
        <f t="shared" si="148"/>
        <v>0</v>
      </c>
      <c r="AD3077" s="82">
        <f t="shared" si="149"/>
        <v>0</v>
      </c>
      <c r="AE3077" s="218">
        <v>0</v>
      </c>
      <c r="AF3077">
        <v>0</v>
      </c>
      <c r="AH3077" t="str">
        <f t="shared" si="147"/>
        <v>Asarganj</v>
      </c>
      <c r="AJ3077" s="72">
        <v>0</v>
      </c>
      <c r="AK3077" s="72"/>
      <c r="AL3077" s="72"/>
      <c r="AM3077" s="72"/>
    </row>
    <row r="3078" spans="1:39" x14ac:dyDescent="0.25">
      <c r="A3078" s="37" t="s">
        <v>62</v>
      </c>
      <c r="B3078" s="66" t="s">
        <v>1676</v>
      </c>
      <c r="C3078" s="4">
        <v>1003</v>
      </c>
      <c r="D3078" s="41" t="s">
        <v>137</v>
      </c>
      <c r="E3078" s="41">
        <v>10030048</v>
      </c>
      <c r="F3078" s="85" t="s">
        <v>170</v>
      </c>
      <c r="G3078" s="39" t="s">
        <v>1610</v>
      </c>
      <c r="H3078" s="52" t="s">
        <v>98</v>
      </c>
      <c r="I3078" s="52">
        <v>709.2</v>
      </c>
      <c r="J3078" s="49">
        <v>29037.729999999996</v>
      </c>
      <c r="K3078" s="58">
        <v>0</v>
      </c>
      <c r="L3078" s="58">
        <v>0</v>
      </c>
      <c r="M3078" s="58">
        <v>0</v>
      </c>
      <c r="N3078" s="58">
        <v>0</v>
      </c>
      <c r="O3078" s="58">
        <v>0</v>
      </c>
      <c r="P3078" s="53">
        <v>0</v>
      </c>
      <c r="Q3078" s="65">
        <v>29037.729999999996</v>
      </c>
      <c r="R3078" s="65">
        <v>0</v>
      </c>
      <c r="S3078" s="65">
        <v>0</v>
      </c>
      <c r="T3078" s="65">
        <v>0</v>
      </c>
      <c r="U3078" s="58">
        <v>0</v>
      </c>
      <c r="V3078" s="65">
        <v>0</v>
      </c>
      <c r="W3078" s="65">
        <v>0</v>
      </c>
      <c r="X3078" s="65">
        <v>0</v>
      </c>
      <c r="Y3078" s="65">
        <v>0</v>
      </c>
      <c r="Z3078" s="51">
        <v>29037.729999999996</v>
      </c>
      <c r="AA3078" s="51">
        <v>0</v>
      </c>
      <c r="AB3078" s="102">
        <v>0</v>
      </c>
      <c r="AC3078" s="81">
        <f t="shared" si="148"/>
        <v>0</v>
      </c>
      <c r="AD3078" s="82">
        <f t="shared" si="149"/>
        <v>0</v>
      </c>
      <c r="AE3078" s="218">
        <v>0</v>
      </c>
      <c r="AF3078">
        <v>0</v>
      </c>
      <c r="AH3078" t="str">
        <f t="shared" si="147"/>
        <v>Asarganj</v>
      </c>
      <c r="AJ3078" s="72">
        <v>0</v>
      </c>
      <c r="AK3078" s="72"/>
      <c r="AL3078" s="72"/>
      <c r="AM3078" s="72"/>
    </row>
    <row r="3079" spans="1:39" x14ac:dyDescent="0.25">
      <c r="A3079" s="37" t="s">
        <v>62</v>
      </c>
      <c r="B3079" s="66" t="s">
        <v>1676</v>
      </c>
      <c r="C3079" s="4">
        <v>1003</v>
      </c>
      <c r="D3079" s="41" t="s">
        <v>137</v>
      </c>
      <c r="E3079" s="41">
        <v>10030050</v>
      </c>
      <c r="F3079" s="85" t="s">
        <v>171</v>
      </c>
      <c r="G3079" s="39" t="s">
        <v>92</v>
      </c>
      <c r="H3079" s="52" t="s">
        <v>93</v>
      </c>
      <c r="I3079" s="52">
        <v>712.90000000000009</v>
      </c>
      <c r="J3079" s="49">
        <v>25963.37</v>
      </c>
      <c r="K3079" s="58">
        <v>708.41000000000008</v>
      </c>
      <c r="L3079" s="58">
        <v>28112.99</v>
      </c>
      <c r="M3079" s="58">
        <v>3.0700000000000003</v>
      </c>
      <c r="N3079" s="58">
        <v>117.86</v>
      </c>
      <c r="O3079" s="58">
        <v>711.48000000000013</v>
      </c>
      <c r="P3079" s="53">
        <v>28230.850000000002</v>
      </c>
      <c r="Q3079" s="65">
        <v>25963.37</v>
      </c>
      <c r="R3079" s="65">
        <v>0</v>
      </c>
      <c r="S3079" s="65">
        <v>117.86</v>
      </c>
      <c r="T3079" s="65">
        <v>2267.4800000000032</v>
      </c>
      <c r="U3079" s="58">
        <v>0</v>
      </c>
      <c r="V3079" s="65">
        <v>0</v>
      </c>
      <c r="W3079" s="65">
        <v>0</v>
      </c>
      <c r="X3079" s="65">
        <v>25845</v>
      </c>
      <c r="Y3079" s="65">
        <v>0</v>
      </c>
      <c r="Z3079" s="51">
        <v>0</v>
      </c>
      <c r="AA3079" s="51">
        <v>1</v>
      </c>
      <c r="AB3079" s="102">
        <v>0</v>
      </c>
      <c r="AC3079" s="81">
        <f t="shared" si="148"/>
        <v>0</v>
      </c>
      <c r="AD3079" s="82">
        <f t="shared" si="149"/>
        <v>0</v>
      </c>
      <c r="AE3079" s="218">
        <v>-8.7333809131865517E-2</v>
      </c>
      <c r="AF3079">
        <v>11</v>
      </c>
      <c r="AH3079" t="str">
        <f t="shared" si="147"/>
        <v>Asarganj</v>
      </c>
      <c r="AJ3079" s="72">
        <v>0</v>
      </c>
      <c r="AK3079" s="72"/>
      <c r="AL3079" s="72"/>
      <c r="AM3079" s="72"/>
    </row>
    <row r="3080" spans="1:39" x14ac:dyDescent="0.25">
      <c r="A3080" s="37" t="s">
        <v>62</v>
      </c>
      <c r="B3080" s="66" t="s">
        <v>1676</v>
      </c>
      <c r="C3080" s="4">
        <v>1003</v>
      </c>
      <c r="D3080" s="41" t="s">
        <v>137</v>
      </c>
      <c r="E3080" s="41">
        <v>10030051</v>
      </c>
      <c r="F3080" s="85" t="s">
        <v>172</v>
      </c>
      <c r="G3080" s="39" t="s">
        <v>92</v>
      </c>
      <c r="H3080" s="52" t="s">
        <v>93</v>
      </c>
      <c r="I3080" s="52">
        <v>3959.4</v>
      </c>
      <c r="J3080" s="49">
        <v>149673.35999999999</v>
      </c>
      <c r="K3080" s="58">
        <v>3902.8399999999992</v>
      </c>
      <c r="L3080" s="58">
        <v>149121.34</v>
      </c>
      <c r="M3080" s="58">
        <v>76.399999999999991</v>
      </c>
      <c r="N3080" s="58">
        <v>2831.8100000000004</v>
      </c>
      <c r="O3080" s="58">
        <v>3979.2399999999993</v>
      </c>
      <c r="P3080" s="53">
        <v>151953.15</v>
      </c>
      <c r="Q3080" s="65">
        <v>149673.35999999999</v>
      </c>
      <c r="R3080" s="65">
        <v>0</v>
      </c>
      <c r="S3080" s="65">
        <v>2831.8100000000004</v>
      </c>
      <c r="T3080" s="65">
        <v>2279.7900000000081</v>
      </c>
      <c r="U3080" s="58">
        <v>0</v>
      </c>
      <c r="V3080" s="65">
        <v>0</v>
      </c>
      <c r="W3080" s="65">
        <v>0</v>
      </c>
      <c r="X3080" s="65">
        <v>146841</v>
      </c>
      <c r="Y3080" s="65">
        <v>0</v>
      </c>
      <c r="Z3080" s="51">
        <v>0</v>
      </c>
      <c r="AA3080" s="51">
        <v>1</v>
      </c>
      <c r="AB3080" s="102">
        <v>0</v>
      </c>
      <c r="AC3080" s="81">
        <f t="shared" si="148"/>
        <v>0</v>
      </c>
      <c r="AD3080" s="82">
        <f t="shared" si="149"/>
        <v>0</v>
      </c>
      <c r="AE3080" s="218">
        <v>-1.5231768699520131E-2</v>
      </c>
      <c r="AF3080">
        <v>7</v>
      </c>
      <c r="AH3080" t="str">
        <f t="shared" si="147"/>
        <v>Asarganj</v>
      </c>
      <c r="AJ3080" s="72">
        <v>0</v>
      </c>
      <c r="AK3080" s="72"/>
      <c r="AL3080" s="72"/>
      <c r="AM3080" s="72"/>
    </row>
    <row r="3081" spans="1:39" x14ac:dyDescent="0.25">
      <c r="A3081" s="37" t="s">
        <v>62</v>
      </c>
      <c r="B3081" s="66" t="s">
        <v>1676</v>
      </c>
      <c r="C3081" s="4">
        <v>1003</v>
      </c>
      <c r="D3081" s="41" t="s">
        <v>137</v>
      </c>
      <c r="E3081" s="41">
        <v>10030053</v>
      </c>
      <c r="F3081" s="85" t="s">
        <v>173</v>
      </c>
      <c r="G3081" s="39" t="s">
        <v>92</v>
      </c>
      <c r="H3081" s="52" t="s">
        <v>93</v>
      </c>
      <c r="I3081" s="52">
        <v>304.8</v>
      </c>
      <c r="J3081" s="49">
        <v>12454.31</v>
      </c>
      <c r="K3081" s="58">
        <v>305.10000000000002</v>
      </c>
      <c r="L3081" s="58">
        <v>12039.04</v>
      </c>
      <c r="M3081" s="58">
        <v>0</v>
      </c>
      <c r="N3081" s="58">
        <v>0</v>
      </c>
      <c r="O3081" s="58">
        <v>305.10000000000002</v>
      </c>
      <c r="P3081" s="53">
        <v>12039.04</v>
      </c>
      <c r="Q3081" s="65">
        <v>12039.04</v>
      </c>
      <c r="R3081" s="65">
        <v>0</v>
      </c>
      <c r="S3081" s="65">
        <v>0</v>
      </c>
      <c r="T3081" s="65">
        <v>0</v>
      </c>
      <c r="U3081" s="58">
        <v>0</v>
      </c>
      <c r="V3081" s="65">
        <v>0</v>
      </c>
      <c r="W3081" s="65">
        <v>0</v>
      </c>
      <c r="X3081" s="65">
        <v>12039</v>
      </c>
      <c r="Y3081" s="65">
        <v>0</v>
      </c>
      <c r="Z3081" s="51">
        <v>0</v>
      </c>
      <c r="AA3081" s="51">
        <v>415</v>
      </c>
      <c r="AB3081" s="102">
        <v>0</v>
      </c>
      <c r="AC3081" s="81">
        <f t="shared" si="148"/>
        <v>322.96215958005246</v>
      </c>
      <c r="AD3081" s="82">
        <f t="shared" si="149"/>
        <v>43.542857142857144</v>
      </c>
      <c r="AE3081" s="218">
        <v>3.3343477077413253E-2</v>
      </c>
      <c r="AF3081">
        <v>7</v>
      </c>
      <c r="AH3081" t="str">
        <f t="shared" si="147"/>
        <v>Asarganj</v>
      </c>
      <c r="AJ3081" s="72">
        <v>0</v>
      </c>
      <c r="AK3081" s="72"/>
      <c r="AL3081" s="72"/>
      <c r="AM3081" s="72"/>
    </row>
    <row r="3082" spans="1:39" x14ac:dyDescent="0.25">
      <c r="A3082" s="37" t="s">
        <v>62</v>
      </c>
      <c r="B3082" s="66" t="s">
        <v>1676</v>
      </c>
      <c r="C3082" s="4">
        <v>1003</v>
      </c>
      <c r="D3082" s="41" t="s">
        <v>137</v>
      </c>
      <c r="E3082" s="41">
        <v>10030055</v>
      </c>
      <c r="F3082" s="85" t="s">
        <v>174</v>
      </c>
      <c r="G3082" s="39" t="s">
        <v>92</v>
      </c>
      <c r="H3082" s="52" t="s">
        <v>93</v>
      </c>
      <c r="I3082" s="52">
        <v>194.94999999999996</v>
      </c>
      <c r="J3082" s="49">
        <v>8267.25</v>
      </c>
      <c r="K3082" s="58">
        <v>191.39000000000001</v>
      </c>
      <c r="L3082" s="58">
        <v>8451.01</v>
      </c>
      <c r="M3082" s="58">
        <v>2.9700000000000006</v>
      </c>
      <c r="N3082" s="58">
        <v>125.64999999999998</v>
      </c>
      <c r="O3082" s="58">
        <v>194.36</v>
      </c>
      <c r="P3082" s="53">
        <v>8576.66</v>
      </c>
      <c r="Q3082" s="65">
        <v>8267.25</v>
      </c>
      <c r="R3082" s="65">
        <v>0</v>
      </c>
      <c r="S3082" s="65">
        <v>125.64999999999998</v>
      </c>
      <c r="T3082" s="65">
        <v>309.40999999999985</v>
      </c>
      <c r="U3082" s="58">
        <v>0</v>
      </c>
      <c r="V3082" s="65">
        <v>0</v>
      </c>
      <c r="W3082" s="65">
        <v>0</v>
      </c>
      <c r="X3082" s="65">
        <v>8141</v>
      </c>
      <c r="Y3082" s="65">
        <v>0</v>
      </c>
      <c r="Z3082" s="51">
        <v>0</v>
      </c>
      <c r="AA3082" s="51">
        <v>1</v>
      </c>
      <c r="AB3082" s="102">
        <v>0</v>
      </c>
      <c r="AC3082" s="81">
        <f t="shared" si="148"/>
        <v>428.35338420107735</v>
      </c>
      <c r="AD3082" s="82">
        <f t="shared" si="149"/>
        <v>27.849999999999994</v>
      </c>
      <c r="AE3082" s="218">
        <v>-3.7425988085518141E-2</v>
      </c>
      <c r="AF3082">
        <v>5</v>
      </c>
      <c r="AH3082" t="str">
        <f t="shared" si="147"/>
        <v>Asarganj</v>
      </c>
      <c r="AJ3082" s="72">
        <v>0</v>
      </c>
      <c r="AK3082" s="72"/>
      <c r="AL3082" s="72"/>
      <c r="AM3082" s="72"/>
    </row>
    <row r="3083" spans="1:39" x14ac:dyDescent="0.25">
      <c r="A3083" s="37" t="s">
        <v>62</v>
      </c>
      <c r="B3083" s="66" t="s">
        <v>1676</v>
      </c>
      <c r="C3083" s="4">
        <v>1003</v>
      </c>
      <c r="D3083" s="41" t="s">
        <v>137</v>
      </c>
      <c r="E3083" s="41">
        <v>10030056</v>
      </c>
      <c r="F3083" s="85" t="s">
        <v>175</v>
      </c>
      <c r="G3083" s="39" t="s">
        <v>92</v>
      </c>
      <c r="H3083" s="52" t="s">
        <v>93</v>
      </c>
      <c r="I3083" s="52">
        <v>216.85000000000002</v>
      </c>
      <c r="J3083" s="49">
        <v>7469.7999999999993</v>
      </c>
      <c r="K3083" s="58">
        <v>248.8</v>
      </c>
      <c r="L3083" s="58">
        <v>11122.7</v>
      </c>
      <c r="M3083" s="58">
        <v>0</v>
      </c>
      <c r="N3083" s="58">
        <v>0</v>
      </c>
      <c r="O3083" s="58">
        <v>248.8</v>
      </c>
      <c r="P3083" s="53">
        <v>11122.7</v>
      </c>
      <c r="Q3083" s="65">
        <v>7469.7999999999993</v>
      </c>
      <c r="R3083" s="65">
        <v>0</v>
      </c>
      <c r="S3083" s="65">
        <v>0</v>
      </c>
      <c r="T3083" s="65">
        <v>3652.9000000000015</v>
      </c>
      <c r="U3083" s="58">
        <v>0</v>
      </c>
      <c r="V3083" s="65">
        <v>500</v>
      </c>
      <c r="W3083" s="65">
        <v>0</v>
      </c>
      <c r="X3083" s="65">
        <v>6970</v>
      </c>
      <c r="Y3083" s="65">
        <v>0</v>
      </c>
      <c r="Z3083" s="51">
        <v>0</v>
      </c>
      <c r="AA3083" s="51">
        <v>0</v>
      </c>
      <c r="AB3083" s="102" t="s">
        <v>66</v>
      </c>
      <c r="AC3083" s="81">
        <f t="shared" si="148"/>
        <v>332.8599372838367</v>
      </c>
      <c r="AD3083" s="82">
        <f t="shared" si="149"/>
        <v>30.978571428571431</v>
      </c>
      <c r="AE3083" s="218">
        <v>-0.48902246378751796</v>
      </c>
      <c r="AF3083">
        <v>2</v>
      </c>
      <c r="AH3083" t="str">
        <f t="shared" si="147"/>
        <v>Asarganj</v>
      </c>
      <c r="AJ3083" s="72">
        <v>500</v>
      </c>
      <c r="AK3083" s="72"/>
      <c r="AL3083" s="72"/>
      <c r="AM3083" s="72"/>
    </row>
    <row r="3084" spans="1:39" x14ac:dyDescent="0.25">
      <c r="A3084" s="37" t="s">
        <v>62</v>
      </c>
      <c r="B3084" s="66" t="s">
        <v>1676</v>
      </c>
      <c r="C3084" s="4">
        <v>1003</v>
      </c>
      <c r="D3084" s="41" t="s">
        <v>137</v>
      </c>
      <c r="E3084" s="41">
        <v>10030059</v>
      </c>
      <c r="F3084" s="85" t="s">
        <v>176</v>
      </c>
      <c r="G3084" s="39" t="s">
        <v>92</v>
      </c>
      <c r="H3084" s="52" t="s">
        <v>93</v>
      </c>
      <c r="I3084" s="52">
        <v>644.79999999999995</v>
      </c>
      <c r="J3084" s="49">
        <v>28299.969999999998</v>
      </c>
      <c r="K3084" s="58">
        <v>680.28000000000009</v>
      </c>
      <c r="L3084" s="58">
        <v>31283.24</v>
      </c>
      <c r="M3084" s="58">
        <v>0</v>
      </c>
      <c r="N3084" s="58">
        <v>0</v>
      </c>
      <c r="O3084" s="58">
        <v>680.28000000000009</v>
      </c>
      <c r="P3084" s="53">
        <v>31283.24</v>
      </c>
      <c r="Q3084" s="65">
        <v>28299.969999999998</v>
      </c>
      <c r="R3084" s="65">
        <v>0</v>
      </c>
      <c r="S3084" s="65">
        <v>0</v>
      </c>
      <c r="T3084" s="65">
        <v>2983.2700000000041</v>
      </c>
      <c r="U3084" s="58">
        <v>0</v>
      </c>
      <c r="V3084" s="65">
        <v>0</v>
      </c>
      <c r="W3084" s="65">
        <v>0</v>
      </c>
      <c r="X3084" s="65">
        <v>28300</v>
      </c>
      <c r="Y3084" s="65">
        <v>0</v>
      </c>
      <c r="Z3084" s="51">
        <v>0</v>
      </c>
      <c r="AA3084" s="51">
        <v>0</v>
      </c>
      <c r="AB3084" s="102">
        <v>0</v>
      </c>
      <c r="AC3084" s="81">
        <f t="shared" si="148"/>
        <v>48.454042928039698</v>
      </c>
      <c r="AD3084" s="82">
        <f t="shared" si="149"/>
        <v>92.114285714285714</v>
      </c>
      <c r="AE3084" s="218">
        <v>-0.1054160128084943</v>
      </c>
      <c r="AF3084">
        <v>10</v>
      </c>
      <c r="AH3084" t="str">
        <f t="shared" si="147"/>
        <v>Asarganj</v>
      </c>
      <c r="AJ3084" s="72">
        <v>0</v>
      </c>
      <c r="AK3084" s="72"/>
      <c r="AL3084" s="72"/>
      <c r="AM3084" s="72"/>
    </row>
    <row r="3085" spans="1:39" x14ac:dyDescent="0.25">
      <c r="A3085" s="37" t="s">
        <v>62</v>
      </c>
      <c r="B3085" s="66" t="s">
        <v>1676</v>
      </c>
      <c r="C3085" s="4">
        <v>1003</v>
      </c>
      <c r="D3085" s="41" t="s">
        <v>137</v>
      </c>
      <c r="E3085" s="41">
        <v>10030061</v>
      </c>
      <c r="F3085" s="85" t="s">
        <v>178</v>
      </c>
      <c r="G3085" s="39" t="s">
        <v>92</v>
      </c>
      <c r="H3085" s="52" t="s">
        <v>93</v>
      </c>
      <c r="I3085" s="52">
        <v>458.49999999999989</v>
      </c>
      <c r="J3085" s="49">
        <v>17381.73</v>
      </c>
      <c r="K3085" s="58">
        <v>473.51000000000005</v>
      </c>
      <c r="L3085" s="58">
        <v>17394.11</v>
      </c>
      <c r="M3085" s="58">
        <v>8.0499999999999989</v>
      </c>
      <c r="N3085" s="58">
        <v>279.11</v>
      </c>
      <c r="O3085" s="58">
        <v>481.56000000000006</v>
      </c>
      <c r="P3085" s="53">
        <v>17673.22</v>
      </c>
      <c r="Q3085" s="65">
        <v>17381.73</v>
      </c>
      <c r="R3085" s="65">
        <v>0</v>
      </c>
      <c r="S3085" s="65">
        <v>279.11</v>
      </c>
      <c r="T3085" s="65">
        <v>291.4900000000016</v>
      </c>
      <c r="U3085" s="58">
        <v>0</v>
      </c>
      <c r="V3085" s="65">
        <v>0</v>
      </c>
      <c r="W3085" s="65">
        <v>0</v>
      </c>
      <c r="X3085" s="65">
        <v>17103</v>
      </c>
      <c r="Y3085" s="65">
        <v>0</v>
      </c>
      <c r="Z3085" s="51">
        <v>0</v>
      </c>
      <c r="AA3085" s="51">
        <v>0</v>
      </c>
      <c r="AB3085" s="102">
        <v>0</v>
      </c>
      <c r="AC3085" s="81">
        <f t="shared" si="148"/>
        <v>183.10524732824442</v>
      </c>
      <c r="AD3085" s="82">
        <f t="shared" si="149"/>
        <v>65.499999999999986</v>
      </c>
      <c r="AE3085" s="218">
        <v>-1.6769907253190657E-2</v>
      </c>
      <c r="AF3085">
        <v>9</v>
      </c>
      <c r="AH3085" t="str">
        <f t="shared" si="147"/>
        <v>Asarganj</v>
      </c>
      <c r="AJ3085" s="72">
        <v>0</v>
      </c>
      <c r="AK3085" s="72"/>
      <c r="AL3085" s="72"/>
      <c r="AM3085" s="72"/>
    </row>
    <row r="3086" spans="1:39" x14ac:dyDescent="0.25">
      <c r="A3086" s="37" t="s">
        <v>62</v>
      </c>
      <c r="B3086" s="66" t="s">
        <v>1676</v>
      </c>
      <c r="C3086" s="4">
        <v>1003</v>
      </c>
      <c r="D3086" s="41" t="s">
        <v>137</v>
      </c>
      <c r="E3086" s="41">
        <v>10030063</v>
      </c>
      <c r="F3086" s="85" t="s">
        <v>437</v>
      </c>
      <c r="G3086" s="39" t="s">
        <v>92</v>
      </c>
      <c r="H3086" s="52" t="s">
        <v>93</v>
      </c>
      <c r="I3086" s="52">
        <v>1557.05</v>
      </c>
      <c r="J3086" s="49">
        <v>65497.499999999985</v>
      </c>
      <c r="K3086" s="58">
        <v>1587.9599999999998</v>
      </c>
      <c r="L3086" s="58">
        <v>67123.199999999997</v>
      </c>
      <c r="M3086" s="58">
        <v>9.4599999999999991</v>
      </c>
      <c r="N3086" s="58">
        <v>411.84000000000003</v>
      </c>
      <c r="O3086" s="58">
        <v>1597.4199999999998</v>
      </c>
      <c r="P3086" s="53">
        <v>67535.039999999994</v>
      </c>
      <c r="Q3086" s="65">
        <v>65497.499999999985</v>
      </c>
      <c r="R3086" s="65">
        <v>0</v>
      </c>
      <c r="S3086" s="65">
        <v>411.84000000000003</v>
      </c>
      <c r="T3086" s="65">
        <v>2037.5400000000081</v>
      </c>
      <c r="U3086" s="58">
        <v>0</v>
      </c>
      <c r="V3086" s="65">
        <v>0</v>
      </c>
      <c r="W3086" s="65">
        <v>0</v>
      </c>
      <c r="X3086" s="65">
        <v>65085</v>
      </c>
      <c r="Y3086" s="65">
        <v>0</v>
      </c>
      <c r="Z3086" s="51">
        <v>0</v>
      </c>
      <c r="AA3086" s="51">
        <v>1</v>
      </c>
      <c r="AB3086" s="102">
        <v>0</v>
      </c>
      <c r="AC3086" s="81">
        <f t="shared" si="148"/>
        <v>0</v>
      </c>
      <c r="AD3086" s="82">
        <f t="shared" si="149"/>
        <v>0</v>
      </c>
      <c r="AE3086" s="218">
        <v>-3.1108668269781422E-2</v>
      </c>
      <c r="AF3086">
        <v>8</v>
      </c>
      <c r="AH3086" t="str">
        <f t="shared" si="147"/>
        <v>Asarganj</v>
      </c>
      <c r="AJ3086" s="72">
        <v>0</v>
      </c>
      <c r="AK3086" s="72"/>
      <c r="AL3086" s="72"/>
      <c r="AM3086" s="72"/>
    </row>
    <row r="3087" spans="1:39" x14ac:dyDescent="0.25">
      <c r="A3087" s="37" t="s">
        <v>62</v>
      </c>
      <c r="B3087" s="66" t="s">
        <v>1676</v>
      </c>
      <c r="C3087" s="4">
        <v>1003</v>
      </c>
      <c r="D3087" s="41" t="s">
        <v>137</v>
      </c>
      <c r="E3087" s="41">
        <v>10030064</v>
      </c>
      <c r="F3087" s="85" t="s">
        <v>427</v>
      </c>
      <c r="G3087" s="39" t="s">
        <v>92</v>
      </c>
      <c r="H3087" s="52" t="s">
        <v>93</v>
      </c>
      <c r="I3087" s="52">
        <v>1231.05</v>
      </c>
      <c r="J3087" s="49">
        <v>50660.86</v>
      </c>
      <c r="K3087" s="58">
        <v>1258.26</v>
      </c>
      <c r="L3087" s="58">
        <v>54579.44999999999</v>
      </c>
      <c r="M3087" s="58">
        <v>0</v>
      </c>
      <c r="N3087" s="58">
        <v>0</v>
      </c>
      <c r="O3087" s="58">
        <v>1258.26</v>
      </c>
      <c r="P3087" s="53">
        <v>54579.44999999999</v>
      </c>
      <c r="Q3087" s="65">
        <v>50660.86</v>
      </c>
      <c r="R3087" s="65">
        <v>0</v>
      </c>
      <c r="S3087" s="65">
        <v>0</v>
      </c>
      <c r="T3087" s="65">
        <v>3918.5899999999892</v>
      </c>
      <c r="U3087" s="58">
        <v>0</v>
      </c>
      <c r="V3087" s="65">
        <v>0</v>
      </c>
      <c r="W3087" s="65">
        <v>0</v>
      </c>
      <c r="X3087" s="65">
        <v>50661</v>
      </c>
      <c r="Y3087" s="65">
        <v>0</v>
      </c>
      <c r="Z3087" s="51">
        <v>0</v>
      </c>
      <c r="AA3087" s="51">
        <v>0</v>
      </c>
      <c r="AB3087" s="102">
        <v>0</v>
      </c>
      <c r="AC3087" s="81">
        <f t="shared" si="148"/>
        <v>0</v>
      </c>
      <c r="AD3087" s="82">
        <f t="shared" si="149"/>
        <v>0</v>
      </c>
      <c r="AE3087" s="218">
        <v>-7.7349456760110055E-2</v>
      </c>
      <c r="AF3087">
        <v>5</v>
      </c>
      <c r="AH3087" t="str">
        <f t="shared" si="147"/>
        <v>Asarganj</v>
      </c>
      <c r="AJ3087" s="72">
        <v>0</v>
      </c>
      <c r="AK3087" s="72"/>
      <c r="AL3087" s="72"/>
      <c r="AM3087" s="72"/>
    </row>
    <row r="3088" spans="1:39" x14ac:dyDescent="0.25">
      <c r="A3088" s="37" t="s">
        <v>62</v>
      </c>
      <c r="B3088" s="66" t="s">
        <v>1676</v>
      </c>
      <c r="C3088" s="4">
        <v>1003</v>
      </c>
      <c r="D3088" s="41" t="s">
        <v>137</v>
      </c>
      <c r="E3088" s="41">
        <v>10030065</v>
      </c>
      <c r="F3088" s="85" t="s">
        <v>470</v>
      </c>
      <c r="G3088" s="39" t="s">
        <v>92</v>
      </c>
      <c r="H3088" s="52" t="s">
        <v>93</v>
      </c>
      <c r="I3088" s="52">
        <v>324.85000000000002</v>
      </c>
      <c r="J3088" s="49">
        <v>12655.240000000002</v>
      </c>
      <c r="K3088" s="58">
        <v>330.37</v>
      </c>
      <c r="L3088" s="58">
        <v>12620.11</v>
      </c>
      <c r="M3088" s="58">
        <v>3.589999999999999</v>
      </c>
      <c r="N3088" s="58">
        <v>137.19</v>
      </c>
      <c r="O3088" s="58">
        <v>333.96</v>
      </c>
      <c r="P3088" s="53">
        <v>12757.300000000001</v>
      </c>
      <c r="Q3088" s="65">
        <v>12655.240000000002</v>
      </c>
      <c r="R3088" s="65">
        <v>0</v>
      </c>
      <c r="S3088" s="65">
        <v>137.19</v>
      </c>
      <c r="T3088" s="65">
        <v>102.05999999999949</v>
      </c>
      <c r="U3088" s="58">
        <v>0</v>
      </c>
      <c r="V3088" s="65">
        <v>500</v>
      </c>
      <c r="W3088" s="65">
        <v>0</v>
      </c>
      <c r="X3088" s="65">
        <v>12018</v>
      </c>
      <c r="Y3088" s="65">
        <v>0</v>
      </c>
      <c r="Z3088" s="51">
        <v>0</v>
      </c>
      <c r="AA3088" s="51">
        <v>0</v>
      </c>
      <c r="AB3088" s="102">
        <v>0</v>
      </c>
      <c r="AC3088" s="81">
        <f t="shared" si="148"/>
        <v>292.29572331845469</v>
      </c>
      <c r="AD3088" s="82">
        <f t="shared" si="149"/>
        <v>46.407142857142858</v>
      </c>
      <c r="AE3088" s="218">
        <v>-8.0646435784702212E-3</v>
      </c>
      <c r="AF3088">
        <v>4</v>
      </c>
      <c r="AH3088" t="str">
        <f t="shared" si="147"/>
        <v>Asarganj</v>
      </c>
      <c r="AJ3088" s="72">
        <v>500</v>
      </c>
      <c r="AK3088" s="72"/>
      <c r="AL3088" s="72"/>
      <c r="AM3088" s="72"/>
    </row>
    <row r="3089" spans="1:39" x14ac:dyDescent="0.25">
      <c r="A3089" s="37" t="s">
        <v>62</v>
      </c>
      <c r="B3089" s="66" t="s">
        <v>1676</v>
      </c>
      <c r="C3089" s="4">
        <v>1003</v>
      </c>
      <c r="D3089" s="41" t="s">
        <v>137</v>
      </c>
      <c r="E3089" s="41">
        <v>10030066</v>
      </c>
      <c r="F3089" s="85" t="s">
        <v>471</v>
      </c>
      <c r="G3089" s="39" t="s">
        <v>92</v>
      </c>
      <c r="H3089" s="52" t="s">
        <v>93</v>
      </c>
      <c r="I3089" s="52">
        <v>3887.5500000000006</v>
      </c>
      <c r="J3089" s="49">
        <v>173465.28</v>
      </c>
      <c r="K3089" s="58">
        <v>2391.0600000000004</v>
      </c>
      <c r="L3089" s="58">
        <v>124654.06</v>
      </c>
      <c r="M3089" s="58">
        <v>1560.44</v>
      </c>
      <c r="N3089" s="58">
        <v>65458.19999999999</v>
      </c>
      <c r="O3089" s="58">
        <v>3951.5000000000005</v>
      </c>
      <c r="P3089" s="53">
        <v>190112.25999999998</v>
      </c>
      <c r="Q3089" s="65">
        <v>173465.28</v>
      </c>
      <c r="R3089" s="65">
        <v>0</v>
      </c>
      <c r="S3089" s="65">
        <v>1872.7199999999998</v>
      </c>
      <c r="T3089" s="65">
        <v>16646.979999999981</v>
      </c>
      <c r="U3089" s="58">
        <v>0</v>
      </c>
      <c r="V3089" s="65">
        <v>0</v>
      </c>
      <c r="W3089" s="65">
        <v>0</v>
      </c>
      <c r="X3089" s="65">
        <v>108006</v>
      </c>
      <c r="Y3089" s="65">
        <v>63586</v>
      </c>
      <c r="Z3089" s="51">
        <v>0</v>
      </c>
      <c r="AA3089" s="51">
        <v>1</v>
      </c>
      <c r="AB3089" s="102">
        <v>0</v>
      </c>
      <c r="AC3089" s="81">
        <f t="shared" si="148"/>
        <v>0</v>
      </c>
      <c r="AD3089" s="82">
        <f t="shared" si="149"/>
        <v>0</v>
      </c>
      <c r="AE3089" s="218">
        <v>-9.5967216033087319E-2</v>
      </c>
      <c r="AF3089">
        <v>19</v>
      </c>
      <c r="AH3089" t="str">
        <f t="shared" si="147"/>
        <v>Asarganj</v>
      </c>
      <c r="AJ3089" s="72">
        <v>0</v>
      </c>
      <c r="AK3089" s="72"/>
      <c r="AL3089" s="72"/>
      <c r="AM3089" s="72"/>
    </row>
    <row r="3090" spans="1:39" x14ac:dyDescent="0.25">
      <c r="A3090" s="37" t="s">
        <v>62</v>
      </c>
      <c r="B3090" s="66" t="s">
        <v>1676</v>
      </c>
      <c r="C3090" s="4">
        <v>1003</v>
      </c>
      <c r="D3090" s="41" t="s">
        <v>137</v>
      </c>
      <c r="E3090" s="41">
        <v>10030068</v>
      </c>
      <c r="F3090" s="85" t="s">
        <v>1230</v>
      </c>
      <c r="G3090" s="39" t="s">
        <v>92</v>
      </c>
      <c r="H3090" s="52" t="s">
        <v>93</v>
      </c>
      <c r="I3090" s="52">
        <v>658</v>
      </c>
      <c r="J3090" s="49">
        <v>25383.170000000002</v>
      </c>
      <c r="K3090" s="58">
        <v>775.58</v>
      </c>
      <c r="L3090" s="58">
        <v>31542.859999999997</v>
      </c>
      <c r="M3090" s="58">
        <v>31.7</v>
      </c>
      <c r="N3090" s="58">
        <v>1544.07</v>
      </c>
      <c r="O3090" s="58">
        <v>807.28000000000009</v>
      </c>
      <c r="P3090" s="53">
        <v>33086.93</v>
      </c>
      <c r="Q3090" s="65">
        <v>25383.170000000002</v>
      </c>
      <c r="R3090" s="65">
        <v>0</v>
      </c>
      <c r="S3090" s="65">
        <v>1544.07</v>
      </c>
      <c r="T3090" s="65">
        <v>7703.7599999999984</v>
      </c>
      <c r="U3090" s="58">
        <v>0</v>
      </c>
      <c r="V3090" s="65">
        <v>0</v>
      </c>
      <c r="W3090" s="65">
        <v>0</v>
      </c>
      <c r="X3090" s="65">
        <v>23839</v>
      </c>
      <c r="Y3090" s="65">
        <v>0</v>
      </c>
      <c r="Z3090" s="51">
        <v>0</v>
      </c>
      <c r="AA3090" s="51">
        <v>0</v>
      </c>
      <c r="AB3090" s="102" t="s">
        <v>66</v>
      </c>
      <c r="AC3090" s="81">
        <f t="shared" si="148"/>
        <v>32.404046808510643</v>
      </c>
      <c r="AD3090" s="82">
        <f t="shared" si="149"/>
        <v>94</v>
      </c>
      <c r="AE3090" s="218">
        <v>-0.30349873557951973</v>
      </c>
      <c r="AF3090">
        <v>9</v>
      </c>
      <c r="AH3090" t="str">
        <f t="shared" si="147"/>
        <v>Asarganj</v>
      </c>
      <c r="AJ3090" s="72">
        <v>0</v>
      </c>
      <c r="AK3090" s="72"/>
      <c r="AL3090" s="72"/>
      <c r="AM3090" s="72"/>
    </row>
    <row r="3091" spans="1:39" x14ac:dyDescent="0.25">
      <c r="A3091" s="37" t="s">
        <v>62</v>
      </c>
      <c r="B3091" s="66" t="s">
        <v>1676</v>
      </c>
      <c r="C3091" s="4">
        <v>1003</v>
      </c>
      <c r="D3091" s="41" t="s">
        <v>137</v>
      </c>
      <c r="E3091" s="41">
        <v>10030069</v>
      </c>
      <c r="F3091" s="85" t="s">
        <v>512</v>
      </c>
      <c r="G3091" s="39" t="s">
        <v>92</v>
      </c>
      <c r="H3091" s="52" t="s">
        <v>98</v>
      </c>
      <c r="I3091" s="52">
        <v>984.09999999999991</v>
      </c>
      <c r="J3091" s="49">
        <v>35578.810000000005</v>
      </c>
      <c r="K3091" s="58">
        <v>0</v>
      </c>
      <c r="L3091" s="58">
        <v>0</v>
      </c>
      <c r="M3091" s="58">
        <v>0</v>
      </c>
      <c r="N3091" s="58">
        <v>0</v>
      </c>
      <c r="O3091" s="58">
        <v>0</v>
      </c>
      <c r="P3091" s="53">
        <v>0</v>
      </c>
      <c r="Q3091" s="65">
        <v>35578.810000000005</v>
      </c>
      <c r="R3091" s="65">
        <v>0</v>
      </c>
      <c r="S3091" s="65">
        <v>0</v>
      </c>
      <c r="T3091" s="65">
        <v>0</v>
      </c>
      <c r="U3091" s="58">
        <v>0</v>
      </c>
      <c r="V3091" s="65">
        <v>0</v>
      </c>
      <c r="W3091" s="65">
        <v>0</v>
      </c>
      <c r="X3091" s="65">
        <v>0</v>
      </c>
      <c r="Y3091" s="65">
        <v>0</v>
      </c>
      <c r="Z3091" s="51">
        <v>35578.810000000005</v>
      </c>
      <c r="AA3091" s="51">
        <v>0</v>
      </c>
      <c r="AB3091" s="102">
        <v>0</v>
      </c>
      <c r="AC3091" s="81">
        <f t="shared" si="148"/>
        <v>0</v>
      </c>
      <c r="AD3091" s="82">
        <f t="shared" si="149"/>
        <v>0</v>
      </c>
      <c r="AE3091" s="218">
        <v>0</v>
      </c>
      <c r="AF3091">
        <v>0</v>
      </c>
      <c r="AH3091" t="str">
        <f t="shared" si="147"/>
        <v>Asarganj</v>
      </c>
      <c r="AJ3091" s="72">
        <v>0</v>
      </c>
      <c r="AK3091" s="72"/>
      <c r="AL3091" s="72"/>
      <c r="AM3091" s="72"/>
    </row>
    <row r="3092" spans="1:39" x14ac:dyDescent="0.25">
      <c r="A3092" s="37" t="s">
        <v>62</v>
      </c>
      <c r="B3092" s="66" t="s">
        <v>1676</v>
      </c>
      <c r="C3092" s="4">
        <v>1003</v>
      </c>
      <c r="D3092" s="41" t="s">
        <v>137</v>
      </c>
      <c r="E3092" s="41">
        <v>10030070</v>
      </c>
      <c r="F3092" s="85" t="s">
        <v>554</v>
      </c>
      <c r="G3092" s="39" t="s">
        <v>92</v>
      </c>
      <c r="H3092" s="52" t="s">
        <v>93</v>
      </c>
      <c r="I3092" s="52">
        <v>662.35</v>
      </c>
      <c r="J3092" s="49">
        <v>29125.18</v>
      </c>
      <c r="K3092" s="58">
        <v>670</v>
      </c>
      <c r="L3092" s="58">
        <v>30592.190000000002</v>
      </c>
      <c r="M3092" s="58">
        <v>15</v>
      </c>
      <c r="N3092" s="58">
        <v>735.33999999999992</v>
      </c>
      <c r="O3092" s="58">
        <v>685</v>
      </c>
      <c r="P3092" s="53">
        <v>31327.530000000002</v>
      </c>
      <c r="Q3092" s="65">
        <v>29125.18</v>
      </c>
      <c r="R3092" s="65">
        <v>0</v>
      </c>
      <c r="S3092" s="65">
        <v>735.33999999999992</v>
      </c>
      <c r="T3092" s="65">
        <v>2202.3500000000022</v>
      </c>
      <c r="U3092" s="58">
        <v>0</v>
      </c>
      <c r="V3092" s="65">
        <v>0</v>
      </c>
      <c r="W3092" s="65">
        <v>0</v>
      </c>
      <c r="X3092" s="65">
        <v>28390</v>
      </c>
      <c r="Y3092" s="65">
        <v>0</v>
      </c>
      <c r="Z3092" s="51">
        <v>0</v>
      </c>
      <c r="AA3092" s="51">
        <v>0</v>
      </c>
      <c r="AB3092" s="102">
        <v>0</v>
      </c>
      <c r="AC3092" s="81">
        <f t="shared" si="148"/>
        <v>33.111286389371124</v>
      </c>
      <c r="AD3092" s="82">
        <f t="shared" si="149"/>
        <v>94.621428571428581</v>
      </c>
      <c r="AE3092" s="218">
        <v>-7.5616700051295893E-2</v>
      </c>
      <c r="AF3092">
        <v>5</v>
      </c>
      <c r="AH3092" t="str">
        <f t="shared" si="147"/>
        <v>Asarganj</v>
      </c>
      <c r="AJ3092" s="72">
        <v>0</v>
      </c>
      <c r="AK3092" s="72"/>
      <c r="AL3092" s="72"/>
      <c r="AM3092" s="72"/>
    </row>
    <row r="3093" spans="1:39" x14ac:dyDescent="0.25">
      <c r="A3093" s="37" t="s">
        <v>62</v>
      </c>
      <c r="B3093" s="66" t="s">
        <v>1676</v>
      </c>
      <c r="C3093" s="4">
        <v>1003</v>
      </c>
      <c r="D3093" s="41" t="s">
        <v>137</v>
      </c>
      <c r="E3093" s="41">
        <v>10030071</v>
      </c>
      <c r="F3093" s="85" t="s">
        <v>555</v>
      </c>
      <c r="G3093" s="39" t="s">
        <v>92</v>
      </c>
      <c r="H3093" s="52" t="s">
        <v>93</v>
      </c>
      <c r="I3093" s="52">
        <v>242.50000000000003</v>
      </c>
      <c r="J3093" s="49">
        <v>10793.859999999999</v>
      </c>
      <c r="K3093" s="58">
        <v>247.76</v>
      </c>
      <c r="L3093" s="58">
        <v>11074.010000000002</v>
      </c>
      <c r="M3093" s="58">
        <v>0</v>
      </c>
      <c r="N3093" s="58">
        <v>0</v>
      </c>
      <c r="O3093" s="58">
        <v>247.76</v>
      </c>
      <c r="P3093" s="53">
        <v>11074.010000000002</v>
      </c>
      <c r="Q3093" s="65">
        <v>10793.859999999999</v>
      </c>
      <c r="R3093" s="65">
        <v>0</v>
      </c>
      <c r="S3093" s="65">
        <v>0</v>
      </c>
      <c r="T3093" s="65">
        <v>280.15000000000327</v>
      </c>
      <c r="U3093" s="58">
        <v>0</v>
      </c>
      <c r="V3093" s="65">
        <v>500</v>
      </c>
      <c r="W3093" s="65">
        <v>0</v>
      </c>
      <c r="X3093" s="65">
        <v>10294</v>
      </c>
      <c r="Y3093" s="65">
        <v>0</v>
      </c>
      <c r="Z3093" s="51">
        <v>0</v>
      </c>
      <c r="AA3093" s="51">
        <v>0</v>
      </c>
      <c r="AB3093" s="102" t="s">
        <v>66</v>
      </c>
      <c r="AC3093" s="81">
        <f t="shared" si="148"/>
        <v>407.2734804123711</v>
      </c>
      <c r="AD3093" s="82">
        <f t="shared" si="149"/>
        <v>34.642857142857146</v>
      </c>
      <c r="AE3093" s="218">
        <v>-2.595457046876681E-2</v>
      </c>
      <c r="AF3093">
        <v>3</v>
      </c>
      <c r="AH3093" t="str">
        <f t="shared" si="147"/>
        <v>Asarganj</v>
      </c>
      <c r="AJ3093" s="72">
        <v>500</v>
      </c>
      <c r="AK3093" s="72"/>
      <c r="AL3093" s="72"/>
      <c r="AM3093" s="72"/>
    </row>
    <row r="3094" spans="1:39" x14ac:dyDescent="0.25">
      <c r="A3094" s="37" t="s">
        <v>62</v>
      </c>
      <c r="B3094" s="66" t="s">
        <v>1676</v>
      </c>
      <c r="C3094" s="4">
        <v>1003</v>
      </c>
      <c r="D3094" s="41" t="s">
        <v>137</v>
      </c>
      <c r="E3094" s="41">
        <v>10030072</v>
      </c>
      <c r="F3094" s="85" t="s">
        <v>1102</v>
      </c>
      <c r="G3094" s="39" t="s">
        <v>92</v>
      </c>
      <c r="H3094" s="52" t="s">
        <v>93</v>
      </c>
      <c r="I3094" s="52">
        <v>1362.3000000000002</v>
      </c>
      <c r="J3094" s="49">
        <v>55672.560000000005</v>
      </c>
      <c r="K3094" s="58">
        <v>1341.21</v>
      </c>
      <c r="L3094" s="58">
        <v>55634.69</v>
      </c>
      <c r="M3094" s="58">
        <v>12.870000000000001</v>
      </c>
      <c r="N3094" s="58">
        <v>533.47</v>
      </c>
      <c r="O3094" s="58">
        <v>1354.08</v>
      </c>
      <c r="P3094" s="53">
        <v>56168.160000000003</v>
      </c>
      <c r="Q3094" s="65">
        <v>55672.560000000005</v>
      </c>
      <c r="R3094" s="65">
        <v>0</v>
      </c>
      <c r="S3094" s="65">
        <v>533.47</v>
      </c>
      <c r="T3094" s="65">
        <v>495.59999999999854</v>
      </c>
      <c r="U3094" s="58">
        <v>0</v>
      </c>
      <c r="V3094" s="65">
        <v>0</v>
      </c>
      <c r="W3094" s="65">
        <v>0</v>
      </c>
      <c r="X3094" s="65">
        <v>55139</v>
      </c>
      <c r="Y3094" s="65">
        <v>0</v>
      </c>
      <c r="Z3094" s="51">
        <v>0</v>
      </c>
      <c r="AA3094" s="51">
        <v>0</v>
      </c>
      <c r="AB3094" s="102">
        <v>0</v>
      </c>
      <c r="AC3094" s="81">
        <f t="shared" si="148"/>
        <v>0</v>
      </c>
      <c r="AD3094" s="82">
        <f t="shared" si="149"/>
        <v>0</v>
      </c>
      <c r="AE3094" s="218">
        <v>-8.9020515672352495E-3</v>
      </c>
      <c r="AF3094">
        <v>26</v>
      </c>
      <c r="AH3094" t="str">
        <f t="shared" si="147"/>
        <v>Asarganj</v>
      </c>
      <c r="AJ3094" s="72">
        <v>0</v>
      </c>
      <c r="AK3094" s="72"/>
      <c r="AL3094" s="72"/>
      <c r="AM3094" s="72"/>
    </row>
    <row r="3095" spans="1:39" x14ac:dyDescent="0.25">
      <c r="A3095" s="37" t="s">
        <v>62</v>
      </c>
      <c r="B3095" s="66" t="s">
        <v>1676</v>
      </c>
      <c r="C3095" s="4">
        <v>1003</v>
      </c>
      <c r="D3095" s="41" t="s">
        <v>137</v>
      </c>
      <c r="E3095" s="41">
        <v>10030074</v>
      </c>
      <c r="F3095" s="85" t="s">
        <v>1162</v>
      </c>
      <c r="G3095" s="39" t="s">
        <v>92</v>
      </c>
      <c r="H3095" s="52" t="s">
        <v>93</v>
      </c>
      <c r="I3095" s="52">
        <v>1568.3999999999999</v>
      </c>
      <c r="J3095" s="49">
        <v>66871.290000000008</v>
      </c>
      <c r="K3095" s="58">
        <v>1686.74</v>
      </c>
      <c r="L3095" s="58">
        <v>73813.36</v>
      </c>
      <c r="M3095" s="58">
        <v>1</v>
      </c>
      <c r="N3095" s="58">
        <v>38.92</v>
      </c>
      <c r="O3095" s="58">
        <v>1687.74</v>
      </c>
      <c r="P3095" s="53">
        <v>73852.28</v>
      </c>
      <c r="Q3095" s="65">
        <v>66871.290000000008</v>
      </c>
      <c r="R3095" s="65">
        <v>0</v>
      </c>
      <c r="S3095" s="65">
        <v>38.92</v>
      </c>
      <c r="T3095" s="65">
        <v>6980.9899999999907</v>
      </c>
      <c r="U3095" s="58">
        <v>0</v>
      </c>
      <c r="V3095" s="65">
        <v>0</v>
      </c>
      <c r="W3095" s="65">
        <v>0</v>
      </c>
      <c r="X3095" s="65">
        <v>66832</v>
      </c>
      <c r="Y3095" s="65">
        <v>0</v>
      </c>
      <c r="Z3095" s="51">
        <v>0</v>
      </c>
      <c r="AA3095" s="51">
        <v>0</v>
      </c>
      <c r="AB3095" s="102">
        <v>0</v>
      </c>
      <c r="AC3095" s="81">
        <f t="shared" si="148"/>
        <v>0</v>
      </c>
      <c r="AD3095" s="82">
        <f t="shared" si="149"/>
        <v>0</v>
      </c>
      <c r="AE3095" s="218">
        <v>-0.10439442696559301</v>
      </c>
      <c r="AF3095">
        <v>5</v>
      </c>
      <c r="AH3095" t="str">
        <f t="shared" si="147"/>
        <v>Asarganj</v>
      </c>
      <c r="AJ3095" s="72">
        <v>0</v>
      </c>
      <c r="AK3095" s="72"/>
      <c r="AL3095" s="72"/>
      <c r="AM3095" s="72"/>
    </row>
    <row r="3096" spans="1:39" x14ac:dyDescent="0.25">
      <c r="A3096" s="37" t="s">
        <v>62</v>
      </c>
      <c r="B3096" s="66" t="s">
        <v>1676</v>
      </c>
      <c r="C3096" s="4">
        <v>1003</v>
      </c>
      <c r="D3096" s="41" t="s">
        <v>137</v>
      </c>
      <c r="E3096" s="41">
        <v>10030075</v>
      </c>
      <c r="F3096" s="85" t="s">
        <v>1132</v>
      </c>
      <c r="G3096" s="39" t="s">
        <v>92</v>
      </c>
      <c r="H3096" s="52" t="s">
        <v>93</v>
      </c>
      <c r="I3096" s="52">
        <v>502.5</v>
      </c>
      <c r="J3096" s="49">
        <v>23350.870000000003</v>
      </c>
      <c r="K3096" s="58">
        <v>552.75</v>
      </c>
      <c r="L3096" s="58">
        <v>25466.97</v>
      </c>
      <c r="M3096" s="58">
        <v>0</v>
      </c>
      <c r="N3096" s="58">
        <v>0</v>
      </c>
      <c r="O3096" s="58">
        <v>552.75</v>
      </c>
      <c r="P3096" s="53">
        <v>25466.97</v>
      </c>
      <c r="Q3096" s="65">
        <v>23350.870000000003</v>
      </c>
      <c r="R3096" s="65">
        <v>0</v>
      </c>
      <c r="S3096" s="65">
        <v>0</v>
      </c>
      <c r="T3096" s="65">
        <v>2116.0999999999985</v>
      </c>
      <c r="U3096" s="58">
        <v>0</v>
      </c>
      <c r="V3096" s="65">
        <v>0</v>
      </c>
      <c r="W3096" s="65">
        <v>0</v>
      </c>
      <c r="X3096" s="65">
        <v>23351</v>
      </c>
      <c r="Y3096" s="65">
        <v>0</v>
      </c>
      <c r="Z3096" s="51">
        <v>0</v>
      </c>
      <c r="AA3096" s="51">
        <v>0</v>
      </c>
      <c r="AB3096" s="102">
        <v>0</v>
      </c>
      <c r="AC3096" s="81">
        <f t="shared" si="148"/>
        <v>183.55410248756218</v>
      </c>
      <c r="AD3096" s="82">
        <f t="shared" si="149"/>
        <v>71.785714285714292</v>
      </c>
      <c r="AE3096" s="218">
        <v>-9.0621891175789102E-2</v>
      </c>
      <c r="AF3096">
        <v>10</v>
      </c>
      <c r="AH3096" t="str">
        <f t="shared" si="147"/>
        <v>Asarganj</v>
      </c>
      <c r="AJ3096" s="72">
        <v>0</v>
      </c>
      <c r="AK3096" s="72"/>
      <c r="AL3096" s="72"/>
      <c r="AM3096" s="72"/>
    </row>
    <row r="3097" spans="1:39" x14ac:dyDescent="0.25">
      <c r="A3097" s="37" t="s">
        <v>62</v>
      </c>
      <c r="B3097" s="66" t="s">
        <v>1676</v>
      </c>
      <c r="C3097" s="4">
        <v>1003</v>
      </c>
      <c r="D3097" s="41" t="s">
        <v>137</v>
      </c>
      <c r="E3097" s="41">
        <v>10030077</v>
      </c>
      <c r="F3097" s="85" t="s">
        <v>1171</v>
      </c>
      <c r="G3097" s="39" t="s">
        <v>1610</v>
      </c>
      <c r="H3097" s="52" t="s">
        <v>98</v>
      </c>
      <c r="I3097" s="52">
        <v>179.95000000000002</v>
      </c>
      <c r="J3097" s="49">
        <v>6705</v>
      </c>
      <c r="K3097" s="58">
        <v>0</v>
      </c>
      <c r="L3097" s="58">
        <v>0</v>
      </c>
      <c r="M3097" s="58">
        <v>0</v>
      </c>
      <c r="N3097" s="58">
        <v>0</v>
      </c>
      <c r="O3097" s="58">
        <v>0</v>
      </c>
      <c r="P3097" s="53">
        <v>0</v>
      </c>
      <c r="Q3097" s="65">
        <v>6705</v>
      </c>
      <c r="R3097" s="65">
        <v>0</v>
      </c>
      <c r="S3097" s="65">
        <v>0</v>
      </c>
      <c r="T3097" s="65">
        <v>0</v>
      </c>
      <c r="U3097" s="58">
        <v>0</v>
      </c>
      <c r="V3097" s="65">
        <v>0</v>
      </c>
      <c r="W3097" s="65">
        <v>0</v>
      </c>
      <c r="X3097" s="65">
        <v>0</v>
      </c>
      <c r="Y3097" s="65">
        <v>0</v>
      </c>
      <c r="Z3097" s="51">
        <v>6705</v>
      </c>
      <c r="AA3097" s="51">
        <v>0</v>
      </c>
      <c r="AB3097" s="102">
        <v>0</v>
      </c>
      <c r="AC3097" s="81">
        <f t="shared" si="148"/>
        <v>387.54490136148917</v>
      </c>
      <c r="AD3097" s="82">
        <f t="shared" si="149"/>
        <v>25.707142857142859</v>
      </c>
      <c r="AE3097" s="218">
        <v>0</v>
      </c>
      <c r="AF3097">
        <v>0</v>
      </c>
      <c r="AH3097" t="str">
        <f t="shared" si="147"/>
        <v>Asarganj</v>
      </c>
      <c r="AJ3097" s="72">
        <v>0</v>
      </c>
      <c r="AK3097" s="72"/>
      <c r="AL3097" s="72"/>
      <c r="AM3097" s="72"/>
    </row>
    <row r="3098" spans="1:39" x14ac:dyDescent="0.25">
      <c r="A3098" s="37" t="s">
        <v>62</v>
      </c>
      <c r="B3098" s="66" t="s">
        <v>1676</v>
      </c>
      <c r="C3098" s="4">
        <v>1003</v>
      </c>
      <c r="D3098" s="41" t="s">
        <v>137</v>
      </c>
      <c r="E3098" s="41">
        <v>10030078</v>
      </c>
      <c r="F3098" s="85" t="s">
        <v>1218</v>
      </c>
      <c r="G3098" s="39" t="s">
        <v>92</v>
      </c>
      <c r="H3098" s="52" t="s">
        <v>93</v>
      </c>
      <c r="I3098" s="52">
        <v>973.84999999999991</v>
      </c>
      <c r="J3098" s="49">
        <v>43931.010000000009</v>
      </c>
      <c r="K3098" s="58">
        <v>989.59</v>
      </c>
      <c r="L3098" s="58">
        <v>53081.149999999994</v>
      </c>
      <c r="M3098" s="58">
        <v>0</v>
      </c>
      <c r="N3098" s="58">
        <v>0</v>
      </c>
      <c r="O3098" s="58">
        <v>989.59</v>
      </c>
      <c r="P3098" s="53">
        <v>53081.149999999994</v>
      </c>
      <c r="Q3098" s="65">
        <v>43931.010000000009</v>
      </c>
      <c r="R3098" s="65">
        <v>0</v>
      </c>
      <c r="S3098" s="65">
        <v>0</v>
      </c>
      <c r="T3098" s="65">
        <v>9150.1399999999849</v>
      </c>
      <c r="U3098" s="58">
        <v>0</v>
      </c>
      <c r="V3098" s="65">
        <v>0</v>
      </c>
      <c r="W3098" s="65">
        <v>0</v>
      </c>
      <c r="X3098" s="65">
        <v>43931</v>
      </c>
      <c r="Y3098" s="65">
        <v>0</v>
      </c>
      <c r="Z3098" s="51">
        <v>0</v>
      </c>
      <c r="AA3098" s="51">
        <v>0</v>
      </c>
      <c r="AB3098" s="102">
        <v>0</v>
      </c>
      <c r="AC3098" s="81">
        <f t="shared" si="148"/>
        <v>0</v>
      </c>
      <c r="AD3098" s="82">
        <f t="shared" si="149"/>
        <v>0</v>
      </c>
      <c r="AE3098" s="218">
        <v>-0.2082843075995745</v>
      </c>
      <c r="AF3098">
        <v>5</v>
      </c>
      <c r="AH3098" t="str">
        <f t="shared" si="147"/>
        <v>Asarganj</v>
      </c>
      <c r="AJ3098" s="72">
        <v>0</v>
      </c>
      <c r="AK3098" s="72"/>
      <c r="AL3098" s="72"/>
      <c r="AM3098" s="72"/>
    </row>
    <row r="3099" spans="1:39" x14ac:dyDescent="0.25">
      <c r="A3099" s="37" t="s">
        <v>62</v>
      </c>
      <c r="B3099" s="66" t="s">
        <v>1676</v>
      </c>
      <c r="C3099" s="4">
        <v>1003</v>
      </c>
      <c r="D3099" s="41" t="s">
        <v>137</v>
      </c>
      <c r="E3099" s="41">
        <v>10030080</v>
      </c>
      <c r="F3099" s="85" t="s">
        <v>1226</v>
      </c>
      <c r="G3099" s="39" t="s">
        <v>92</v>
      </c>
      <c r="H3099" s="52" t="s">
        <v>93</v>
      </c>
      <c r="I3099" s="52">
        <v>915.5</v>
      </c>
      <c r="J3099" s="49">
        <v>37735.000000000007</v>
      </c>
      <c r="K3099" s="58">
        <v>917.12000000000023</v>
      </c>
      <c r="L3099" s="58">
        <v>36620.35</v>
      </c>
      <c r="M3099" s="58">
        <v>0</v>
      </c>
      <c r="N3099" s="58">
        <v>0</v>
      </c>
      <c r="O3099" s="58">
        <v>917.12000000000023</v>
      </c>
      <c r="P3099" s="53">
        <v>36620.35</v>
      </c>
      <c r="Q3099" s="65">
        <v>36620.35</v>
      </c>
      <c r="R3099" s="65">
        <v>0</v>
      </c>
      <c r="S3099" s="65">
        <v>0</v>
      </c>
      <c r="T3099" s="65">
        <v>0</v>
      </c>
      <c r="U3099" s="58">
        <v>0</v>
      </c>
      <c r="V3099" s="65">
        <v>0</v>
      </c>
      <c r="W3099" s="65">
        <v>0</v>
      </c>
      <c r="X3099" s="65">
        <v>36619</v>
      </c>
      <c r="Y3099" s="65">
        <v>0</v>
      </c>
      <c r="Z3099" s="51">
        <v>0</v>
      </c>
      <c r="AA3099" s="51">
        <v>1116</v>
      </c>
      <c r="AB3099" s="102">
        <v>0</v>
      </c>
      <c r="AC3099" s="81">
        <f t="shared" si="148"/>
        <v>0</v>
      </c>
      <c r="AD3099" s="82">
        <f t="shared" si="149"/>
        <v>0</v>
      </c>
      <c r="AE3099" s="218">
        <v>2.9538889625016787E-2</v>
      </c>
      <c r="AF3099">
        <v>30</v>
      </c>
      <c r="AH3099" t="str">
        <f t="shared" si="147"/>
        <v>Asarganj</v>
      </c>
      <c r="AJ3099" s="72">
        <v>0</v>
      </c>
      <c r="AK3099" s="72"/>
      <c r="AL3099" s="72"/>
      <c r="AM3099" s="72"/>
    </row>
    <row r="3100" spans="1:39" x14ac:dyDescent="0.25">
      <c r="A3100" s="37" t="s">
        <v>62</v>
      </c>
      <c r="B3100" s="66" t="s">
        <v>1676</v>
      </c>
      <c r="C3100" s="4">
        <v>1003</v>
      </c>
      <c r="D3100" s="41" t="s">
        <v>137</v>
      </c>
      <c r="E3100" s="41">
        <v>10030082</v>
      </c>
      <c r="F3100" s="85" t="s">
        <v>1278</v>
      </c>
      <c r="G3100" s="39" t="s">
        <v>92</v>
      </c>
      <c r="H3100" s="52" t="s">
        <v>93</v>
      </c>
      <c r="I3100" s="52">
        <v>671.65</v>
      </c>
      <c r="J3100" s="49">
        <v>28431.01</v>
      </c>
      <c r="K3100" s="58">
        <v>665.54000000000008</v>
      </c>
      <c r="L3100" s="58">
        <v>28211.130000000005</v>
      </c>
      <c r="M3100" s="58">
        <v>0</v>
      </c>
      <c r="N3100" s="58">
        <v>0</v>
      </c>
      <c r="O3100" s="58">
        <v>665.54000000000008</v>
      </c>
      <c r="P3100" s="53">
        <v>28211.130000000005</v>
      </c>
      <c r="Q3100" s="65">
        <v>28211.130000000005</v>
      </c>
      <c r="R3100" s="65">
        <v>0</v>
      </c>
      <c r="S3100" s="65">
        <v>0</v>
      </c>
      <c r="T3100" s="65">
        <v>0</v>
      </c>
      <c r="U3100" s="58">
        <v>0</v>
      </c>
      <c r="V3100" s="65">
        <v>0</v>
      </c>
      <c r="W3100" s="65">
        <v>0</v>
      </c>
      <c r="X3100" s="65">
        <v>28211</v>
      </c>
      <c r="Y3100" s="65">
        <v>0</v>
      </c>
      <c r="Z3100" s="51">
        <v>0</v>
      </c>
      <c r="AA3100" s="51">
        <v>220</v>
      </c>
      <c r="AB3100" s="102">
        <v>0</v>
      </c>
      <c r="AC3100" s="81">
        <f t="shared" si="148"/>
        <v>24.001165294424165</v>
      </c>
      <c r="AD3100" s="82">
        <f t="shared" si="149"/>
        <v>95.95</v>
      </c>
      <c r="AE3100" s="218">
        <v>7.7338089642258138E-3</v>
      </c>
      <c r="AF3100">
        <v>2</v>
      </c>
      <c r="AH3100" t="str">
        <f t="shared" si="147"/>
        <v>Asarganj</v>
      </c>
      <c r="AJ3100" s="72">
        <v>0</v>
      </c>
      <c r="AK3100" s="72"/>
      <c r="AL3100" s="72"/>
      <c r="AM3100" s="72"/>
    </row>
    <row r="3101" spans="1:39" x14ac:dyDescent="0.25">
      <c r="A3101" s="37" t="s">
        <v>62</v>
      </c>
      <c r="B3101" s="66" t="s">
        <v>1676</v>
      </c>
      <c r="C3101" s="4">
        <v>1003</v>
      </c>
      <c r="D3101" s="41" t="s">
        <v>137</v>
      </c>
      <c r="E3101" s="41">
        <v>10030084</v>
      </c>
      <c r="F3101" s="85" t="s">
        <v>1285</v>
      </c>
      <c r="G3101" s="39" t="s">
        <v>92</v>
      </c>
      <c r="H3101" s="52" t="s">
        <v>93</v>
      </c>
      <c r="I3101" s="52">
        <v>326.59999999999997</v>
      </c>
      <c r="J3101" s="49">
        <v>16524.46</v>
      </c>
      <c r="K3101" s="58">
        <v>394.58000000000004</v>
      </c>
      <c r="L3101" s="58">
        <v>20639.889999999996</v>
      </c>
      <c r="M3101" s="58">
        <v>0</v>
      </c>
      <c r="N3101" s="58">
        <v>0</v>
      </c>
      <c r="O3101" s="58">
        <v>394.58000000000004</v>
      </c>
      <c r="P3101" s="53">
        <v>20639.889999999996</v>
      </c>
      <c r="Q3101" s="65">
        <v>16524.46</v>
      </c>
      <c r="R3101" s="65">
        <v>0</v>
      </c>
      <c r="S3101" s="65">
        <v>0</v>
      </c>
      <c r="T3101" s="65">
        <v>4115.4299999999967</v>
      </c>
      <c r="U3101" s="58">
        <v>0</v>
      </c>
      <c r="V3101" s="65">
        <v>0</v>
      </c>
      <c r="W3101" s="65">
        <v>0</v>
      </c>
      <c r="X3101" s="65">
        <v>16524</v>
      </c>
      <c r="Y3101" s="65">
        <v>0</v>
      </c>
      <c r="Z3101" s="51">
        <v>0</v>
      </c>
      <c r="AA3101" s="51">
        <v>0</v>
      </c>
      <c r="AB3101" s="102">
        <v>0</v>
      </c>
      <c r="AC3101" s="81">
        <f t="shared" si="148"/>
        <v>377.84650116350286</v>
      </c>
      <c r="AD3101" s="82">
        <f t="shared" si="149"/>
        <v>46.657142857142851</v>
      </c>
      <c r="AE3101" s="218">
        <v>-0.24905080105492081</v>
      </c>
      <c r="AF3101">
        <v>1</v>
      </c>
      <c r="AH3101" t="str">
        <f t="shared" si="147"/>
        <v>Asarganj</v>
      </c>
      <c r="AJ3101" s="72">
        <v>0</v>
      </c>
      <c r="AK3101" s="72"/>
      <c r="AL3101" s="72"/>
      <c r="AM3101" s="72"/>
    </row>
    <row r="3102" spans="1:39" x14ac:dyDescent="0.25">
      <c r="A3102" s="37" t="s">
        <v>62</v>
      </c>
      <c r="B3102" s="66" t="s">
        <v>1676</v>
      </c>
      <c r="C3102" s="4">
        <v>1003</v>
      </c>
      <c r="D3102" s="41" t="s">
        <v>137</v>
      </c>
      <c r="E3102" s="41">
        <v>10030085</v>
      </c>
      <c r="F3102" s="85" t="s">
        <v>1286</v>
      </c>
      <c r="G3102" s="39" t="s">
        <v>92</v>
      </c>
      <c r="H3102" s="52" t="s">
        <v>93</v>
      </c>
      <c r="I3102" s="52">
        <v>914.25000000000011</v>
      </c>
      <c r="J3102" s="49">
        <v>44789.079999999994</v>
      </c>
      <c r="K3102" s="58">
        <v>911.77999999999975</v>
      </c>
      <c r="L3102" s="58">
        <v>45616.4</v>
      </c>
      <c r="M3102" s="58">
        <v>0</v>
      </c>
      <c r="N3102" s="58">
        <v>0</v>
      </c>
      <c r="O3102" s="58">
        <v>911.77999999999975</v>
      </c>
      <c r="P3102" s="53">
        <v>45616.4</v>
      </c>
      <c r="Q3102" s="65">
        <v>44789.079999999994</v>
      </c>
      <c r="R3102" s="65">
        <v>0</v>
      </c>
      <c r="S3102" s="65">
        <v>0</v>
      </c>
      <c r="T3102" s="65">
        <v>827.32000000000698</v>
      </c>
      <c r="U3102" s="58">
        <v>0</v>
      </c>
      <c r="V3102" s="65">
        <v>0</v>
      </c>
      <c r="W3102" s="65">
        <v>0</v>
      </c>
      <c r="X3102" s="65">
        <v>44789</v>
      </c>
      <c r="Y3102" s="65">
        <v>0</v>
      </c>
      <c r="Z3102" s="51">
        <v>0</v>
      </c>
      <c r="AA3102" s="51">
        <v>0</v>
      </c>
      <c r="AB3102" s="102">
        <v>0</v>
      </c>
      <c r="AC3102" s="81">
        <f t="shared" si="148"/>
        <v>0</v>
      </c>
      <c r="AD3102" s="82">
        <f t="shared" si="149"/>
        <v>0</v>
      </c>
      <c r="AE3102" s="218">
        <v>-1.8471466705723964E-2</v>
      </c>
      <c r="AF3102">
        <v>1</v>
      </c>
      <c r="AH3102" t="str">
        <f t="shared" si="147"/>
        <v>Asarganj</v>
      </c>
      <c r="AJ3102" s="72">
        <v>0</v>
      </c>
      <c r="AK3102" s="72"/>
      <c r="AL3102" s="72"/>
      <c r="AM3102" s="72"/>
    </row>
    <row r="3103" spans="1:39" x14ac:dyDescent="0.25">
      <c r="A3103" s="37" t="s">
        <v>62</v>
      </c>
      <c r="B3103" s="66" t="s">
        <v>1676</v>
      </c>
      <c r="C3103" s="4">
        <v>1003</v>
      </c>
      <c r="D3103" s="41" t="s">
        <v>137</v>
      </c>
      <c r="E3103" s="41">
        <v>10030087</v>
      </c>
      <c r="F3103" s="85" t="s">
        <v>1489</v>
      </c>
      <c r="G3103" s="39" t="s">
        <v>92</v>
      </c>
      <c r="H3103" s="52" t="s">
        <v>93</v>
      </c>
      <c r="I3103" s="52">
        <v>409.2</v>
      </c>
      <c r="J3103" s="49">
        <v>22401.67</v>
      </c>
      <c r="K3103" s="58">
        <v>459.11</v>
      </c>
      <c r="L3103" s="58">
        <v>24219.519999999997</v>
      </c>
      <c r="M3103" s="58">
        <v>0</v>
      </c>
      <c r="N3103" s="58">
        <v>0</v>
      </c>
      <c r="O3103" s="58">
        <v>459.11</v>
      </c>
      <c r="P3103" s="53">
        <v>24219.519999999997</v>
      </c>
      <c r="Q3103" s="65">
        <v>22401.67</v>
      </c>
      <c r="R3103" s="65">
        <v>0</v>
      </c>
      <c r="S3103" s="65">
        <v>0</v>
      </c>
      <c r="T3103" s="65">
        <v>1817.8499999999985</v>
      </c>
      <c r="U3103" s="58">
        <v>0</v>
      </c>
      <c r="V3103" s="65">
        <v>0</v>
      </c>
      <c r="W3103" s="65">
        <v>0</v>
      </c>
      <c r="X3103" s="65">
        <v>22402</v>
      </c>
      <c r="Y3103" s="65">
        <v>0</v>
      </c>
      <c r="Z3103" s="51">
        <v>0</v>
      </c>
      <c r="AA3103" s="51">
        <v>0</v>
      </c>
      <c r="AB3103" s="102">
        <v>0</v>
      </c>
      <c r="AC3103" s="81">
        <f t="shared" si="148"/>
        <v>318.39714740957965</v>
      </c>
      <c r="AD3103" s="82">
        <f t="shared" si="149"/>
        <v>58.457142857142856</v>
      </c>
      <c r="AE3103" s="218">
        <v>-8.1147967986315253E-2</v>
      </c>
      <c r="AF3103">
        <v>1</v>
      </c>
      <c r="AH3103" t="str">
        <f t="shared" si="147"/>
        <v>Asarganj</v>
      </c>
      <c r="AJ3103" s="72">
        <v>0</v>
      </c>
      <c r="AK3103" s="72"/>
      <c r="AL3103" s="72"/>
      <c r="AM3103" s="72"/>
    </row>
    <row r="3104" spans="1:39" x14ac:dyDescent="0.25">
      <c r="A3104" s="37" t="s">
        <v>62</v>
      </c>
      <c r="B3104" s="66" t="s">
        <v>1676</v>
      </c>
      <c r="C3104" s="4">
        <v>1003</v>
      </c>
      <c r="D3104" s="41" t="s">
        <v>137</v>
      </c>
      <c r="E3104" s="41">
        <v>10030088</v>
      </c>
      <c r="F3104" s="85" t="s">
        <v>1490</v>
      </c>
      <c r="G3104" s="39" t="s">
        <v>92</v>
      </c>
      <c r="H3104" s="52" t="s">
        <v>93</v>
      </c>
      <c r="I3104" s="52">
        <v>433.25000000000006</v>
      </c>
      <c r="J3104" s="49">
        <v>15828.070000000002</v>
      </c>
      <c r="K3104" s="58">
        <v>422.90000000000003</v>
      </c>
      <c r="L3104" s="58">
        <v>15376.170000000002</v>
      </c>
      <c r="M3104" s="58">
        <v>0</v>
      </c>
      <c r="N3104" s="58">
        <v>0</v>
      </c>
      <c r="O3104" s="58">
        <v>422.90000000000003</v>
      </c>
      <c r="P3104" s="53">
        <v>15376.170000000002</v>
      </c>
      <c r="Q3104" s="65">
        <v>15376.170000000002</v>
      </c>
      <c r="R3104" s="65">
        <v>0</v>
      </c>
      <c r="S3104" s="65">
        <v>0</v>
      </c>
      <c r="T3104" s="65">
        <v>0</v>
      </c>
      <c r="U3104" s="58">
        <v>0</v>
      </c>
      <c r="V3104" s="65">
        <v>0</v>
      </c>
      <c r="W3104" s="65">
        <v>0</v>
      </c>
      <c r="X3104" s="65">
        <v>15376</v>
      </c>
      <c r="Y3104" s="65">
        <v>0</v>
      </c>
      <c r="Z3104" s="51">
        <v>0</v>
      </c>
      <c r="AA3104" s="51">
        <v>452</v>
      </c>
      <c r="AB3104" s="102">
        <v>0</v>
      </c>
      <c r="AC3104" s="81">
        <f t="shared" si="148"/>
        <v>194.90537437968837</v>
      </c>
      <c r="AD3104" s="82">
        <f t="shared" si="149"/>
        <v>61.892857142857153</v>
      </c>
      <c r="AE3104" s="218">
        <v>2.8550543433280215E-2</v>
      </c>
      <c r="AF3104">
        <v>1</v>
      </c>
      <c r="AH3104" t="str">
        <f t="shared" si="147"/>
        <v>Asarganj</v>
      </c>
      <c r="AJ3104" s="72">
        <v>0</v>
      </c>
      <c r="AK3104" s="72"/>
      <c r="AL3104" s="72"/>
      <c r="AM3104" s="72"/>
    </row>
    <row r="3105" spans="1:39" x14ac:dyDescent="0.25">
      <c r="A3105" s="37" t="s">
        <v>62</v>
      </c>
      <c r="B3105" s="66" t="s">
        <v>1676</v>
      </c>
      <c r="C3105" s="4">
        <v>1003</v>
      </c>
      <c r="D3105" s="41" t="s">
        <v>137</v>
      </c>
      <c r="E3105" s="41">
        <v>10030089</v>
      </c>
      <c r="F3105" s="85" t="s">
        <v>1491</v>
      </c>
      <c r="G3105" s="39" t="s">
        <v>92</v>
      </c>
      <c r="H3105" s="52" t="s">
        <v>93</v>
      </c>
      <c r="I3105" s="52">
        <v>882.50000000000011</v>
      </c>
      <c r="J3105" s="49">
        <v>45216.52</v>
      </c>
      <c r="K3105" s="58">
        <v>908.99</v>
      </c>
      <c r="L3105" s="58">
        <v>45458.26</v>
      </c>
      <c r="M3105" s="58">
        <v>0</v>
      </c>
      <c r="N3105" s="58">
        <v>0</v>
      </c>
      <c r="O3105" s="58">
        <v>908.99</v>
      </c>
      <c r="P3105" s="53">
        <v>45458.26</v>
      </c>
      <c r="Q3105" s="65">
        <v>45216.52</v>
      </c>
      <c r="R3105" s="65">
        <v>0</v>
      </c>
      <c r="S3105" s="65">
        <v>0</v>
      </c>
      <c r="T3105" s="65">
        <v>241.74000000000524</v>
      </c>
      <c r="U3105" s="58">
        <v>0</v>
      </c>
      <c r="V3105" s="65">
        <v>0</v>
      </c>
      <c r="W3105" s="65">
        <v>0</v>
      </c>
      <c r="X3105" s="65">
        <v>45217</v>
      </c>
      <c r="Y3105" s="65">
        <v>0</v>
      </c>
      <c r="Z3105" s="51">
        <v>0</v>
      </c>
      <c r="AA3105" s="51">
        <v>0</v>
      </c>
      <c r="AB3105" s="102">
        <v>0</v>
      </c>
      <c r="AC3105" s="81">
        <f t="shared" si="148"/>
        <v>0</v>
      </c>
      <c r="AD3105" s="82">
        <f t="shared" si="149"/>
        <v>0</v>
      </c>
      <c r="AE3105" s="218">
        <v>-5.3462760955510346E-3</v>
      </c>
      <c r="AF3105">
        <v>2</v>
      </c>
      <c r="AH3105" t="str">
        <f t="shared" si="147"/>
        <v>Asarganj</v>
      </c>
      <c r="AJ3105" s="72">
        <v>0</v>
      </c>
      <c r="AK3105" s="72"/>
      <c r="AL3105" s="72"/>
      <c r="AM3105" s="72"/>
    </row>
    <row r="3106" spans="1:39" x14ac:dyDescent="0.25">
      <c r="A3106" s="37" t="s">
        <v>62</v>
      </c>
      <c r="B3106" s="66" t="s">
        <v>1676</v>
      </c>
      <c r="C3106" s="4">
        <v>1003</v>
      </c>
      <c r="D3106" s="41" t="s">
        <v>137</v>
      </c>
      <c r="E3106" s="41">
        <v>10030090</v>
      </c>
      <c r="F3106" s="85" t="s">
        <v>1492</v>
      </c>
      <c r="G3106" s="39" t="s">
        <v>92</v>
      </c>
      <c r="H3106" s="52" t="s">
        <v>93</v>
      </c>
      <c r="I3106" s="52">
        <v>464.34999999999997</v>
      </c>
      <c r="J3106" s="49">
        <v>21361.759999999998</v>
      </c>
      <c r="K3106" s="58">
        <v>513.29999999999995</v>
      </c>
      <c r="L3106" s="58">
        <v>23946.539999999997</v>
      </c>
      <c r="M3106" s="58">
        <v>0</v>
      </c>
      <c r="N3106" s="58">
        <v>0</v>
      </c>
      <c r="O3106" s="58">
        <v>513.29999999999995</v>
      </c>
      <c r="P3106" s="53">
        <v>23946.539999999997</v>
      </c>
      <c r="Q3106" s="65">
        <v>21361.759999999998</v>
      </c>
      <c r="R3106" s="65">
        <v>0</v>
      </c>
      <c r="S3106" s="65">
        <v>0</v>
      </c>
      <c r="T3106" s="65">
        <v>2584.7799999999988</v>
      </c>
      <c r="U3106" s="58">
        <v>0</v>
      </c>
      <c r="V3106" s="65">
        <v>0</v>
      </c>
      <c r="W3106" s="65">
        <v>0</v>
      </c>
      <c r="X3106" s="65">
        <v>21362</v>
      </c>
      <c r="Y3106" s="65">
        <v>0</v>
      </c>
      <c r="Z3106" s="51">
        <v>0</v>
      </c>
      <c r="AA3106" s="51">
        <v>0</v>
      </c>
      <c r="AB3106" s="102">
        <v>0</v>
      </c>
      <c r="AC3106" s="81">
        <f t="shared" si="148"/>
        <v>216.81484845482944</v>
      </c>
      <c r="AD3106" s="82">
        <f t="shared" si="149"/>
        <v>66.335714285714275</v>
      </c>
      <c r="AE3106" s="218">
        <v>-0.12100032956086011</v>
      </c>
      <c r="AF3106">
        <v>1</v>
      </c>
      <c r="AH3106" t="str">
        <f t="shared" si="147"/>
        <v>Asarganj</v>
      </c>
      <c r="AJ3106" s="72">
        <v>0</v>
      </c>
      <c r="AK3106" s="72"/>
      <c r="AL3106" s="72"/>
      <c r="AM3106" s="72"/>
    </row>
    <row r="3107" spans="1:39" x14ac:dyDescent="0.25">
      <c r="A3107" s="37" t="s">
        <v>62</v>
      </c>
      <c r="B3107" s="66" t="s">
        <v>1676</v>
      </c>
      <c r="C3107" s="4">
        <v>1006</v>
      </c>
      <c r="D3107" s="41" t="s">
        <v>179</v>
      </c>
      <c r="E3107" s="41">
        <v>10060002</v>
      </c>
      <c r="F3107" s="85" t="s">
        <v>805</v>
      </c>
      <c r="G3107" s="39" t="s">
        <v>1610</v>
      </c>
      <c r="H3107" s="52" t="s">
        <v>98</v>
      </c>
      <c r="I3107" s="52">
        <v>805.3</v>
      </c>
      <c r="J3107" s="49">
        <v>34098.869999999995</v>
      </c>
      <c r="K3107" s="58">
        <v>0</v>
      </c>
      <c r="L3107" s="58">
        <v>0</v>
      </c>
      <c r="M3107" s="58">
        <v>0</v>
      </c>
      <c r="N3107" s="58">
        <v>0</v>
      </c>
      <c r="O3107" s="58">
        <v>0</v>
      </c>
      <c r="P3107" s="53">
        <v>0</v>
      </c>
      <c r="Q3107" s="65">
        <v>34098.869999999995</v>
      </c>
      <c r="R3107" s="65">
        <v>0</v>
      </c>
      <c r="S3107" s="65">
        <v>0</v>
      </c>
      <c r="T3107" s="65">
        <v>0</v>
      </c>
      <c r="U3107" s="58">
        <v>0</v>
      </c>
      <c r="V3107" s="65">
        <v>0</v>
      </c>
      <c r="W3107" s="65">
        <v>0</v>
      </c>
      <c r="X3107" s="65">
        <v>0</v>
      </c>
      <c r="Y3107" s="65">
        <v>0</v>
      </c>
      <c r="Z3107" s="51">
        <v>34098.869999999995</v>
      </c>
      <c r="AA3107" s="51">
        <v>0</v>
      </c>
      <c r="AB3107" s="102">
        <v>0</v>
      </c>
      <c r="AC3107" s="81">
        <f t="shared" si="148"/>
        <v>0</v>
      </c>
      <c r="AD3107" s="82">
        <f t="shared" si="149"/>
        <v>0</v>
      </c>
      <c r="AE3107" s="218">
        <v>0</v>
      </c>
      <c r="AF3107">
        <v>0</v>
      </c>
      <c r="AH3107" t="str">
        <f t="shared" si="147"/>
        <v>Sonvarsha</v>
      </c>
      <c r="AJ3107" s="72">
        <v>0</v>
      </c>
      <c r="AK3107" s="72"/>
      <c r="AL3107" s="72"/>
      <c r="AM3107" s="72"/>
    </row>
    <row r="3108" spans="1:39" x14ac:dyDescent="0.25">
      <c r="A3108" s="37" t="s">
        <v>62</v>
      </c>
      <c r="B3108" s="66" t="s">
        <v>1676</v>
      </c>
      <c r="C3108" s="4">
        <v>1006</v>
      </c>
      <c r="D3108" s="41" t="s">
        <v>179</v>
      </c>
      <c r="E3108" s="41">
        <v>10060003</v>
      </c>
      <c r="F3108" s="85" t="s">
        <v>180</v>
      </c>
      <c r="G3108" s="39" t="s">
        <v>1610</v>
      </c>
      <c r="H3108" s="52" t="s">
        <v>98</v>
      </c>
      <c r="I3108" s="52">
        <v>1578.1999999999998</v>
      </c>
      <c r="J3108" s="49">
        <v>63823.23</v>
      </c>
      <c r="K3108" s="58">
        <v>0</v>
      </c>
      <c r="L3108" s="58">
        <v>0</v>
      </c>
      <c r="M3108" s="58">
        <v>0</v>
      </c>
      <c r="N3108" s="58">
        <v>0</v>
      </c>
      <c r="O3108" s="58">
        <v>0</v>
      </c>
      <c r="P3108" s="53">
        <v>0</v>
      </c>
      <c r="Q3108" s="65">
        <v>63823.23</v>
      </c>
      <c r="R3108" s="65">
        <v>0</v>
      </c>
      <c r="S3108" s="65">
        <v>0</v>
      </c>
      <c r="T3108" s="65">
        <v>0</v>
      </c>
      <c r="U3108" s="58">
        <v>0</v>
      </c>
      <c r="V3108" s="65">
        <v>0</v>
      </c>
      <c r="W3108" s="65">
        <v>0</v>
      </c>
      <c r="X3108" s="65">
        <v>0</v>
      </c>
      <c r="Y3108" s="65">
        <v>0</v>
      </c>
      <c r="Z3108" s="51">
        <v>63823.23</v>
      </c>
      <c r="AA3108" s="51">
        <v>0</v>
      </c>
      <c r="AB3108" s="102">
        <v>0</v>
      </c>
      <c r="AC3108" s="81">
        <f t="shared" si="148"/>
        <v>0</v>
      </c>
      <c r="AD3108" s="82">
        <f t="shared" si="149"/>
        <v>0</v>
      </c>
      <c r="AE3108" s="218">
        <v>0</v>
      </c>
      <c r="AF3108">
        <v>0</v>
      </c>
      <c r="AH3108" t="str">
        <f t="shared" si="147"/>
        <v>Sonvarsha</v>
      </c>
      <c r="AJ3108" s="72">
        <v>0</v>
      </c>
      <c r="AK3108" s="72"/>
      <c r="AL3108" s="72"/>
      <c r="AM3108" s="72"/>
    </row>
    <row r="3109" spans="1:39" x14ac:dyDescent="0.25">
      <c r="A3109" s="37" t="s">
        <v>62</v>
      </c>
      <c r="B3109" s="66" t="s">
        <v>1676</v>
      </c>
      <c r="C3109" s="4">
        <v>1006</v>
      </c>
      <c r="D3109" s="41" t="s">
        <v>179</v>
      </c>
      <c r="E3109" s="41">
        <v>10060004</v>
      </c>
      <c r="F3109" s="85" t="s">
        <v>181</v>
      </c>
      <c r="G3109" s="39" t="s">
        <v>92</v>
      </c>
      <c r="H3109" s="52" t="s">
        <v>98</v>
      </c>
      <c r="I3109" s="52">
        <v>2812.4</v>
      </c>
      <c r="J3109" s="49">
        <v>113789.31000000001</v>
      </c>
      <c r="K3109" s="58">
        <v>0</v>
      </c>
      <c r="L3109" s="58">
        <v>0</v>
      </c>
      <c r="M3109" s="58">
        <v>0</v>
      </c>
      <c r="N3109" s="58">
        <v>0</v>
      </c>
      <c r="O3109" s="58">
        <v>0</v>
      </c>
      <c r="P3109" s="53">
        <v>0</v>
      </c>
      <c r="Q3109" s="65">
        <v>113789.31000000001</v>
      </c>
      <c r="R3109" s="65">
        <v>0</v>
      </c>
      <c r="S3109" s="65">
        <v>0</v>
      </c>
      <c r="T3109" s="65">
        <v>0</v>
      </c>
      <c r="U3109" s="58">
        <v>0</v>
      </c>
      <c r="V3109" s="65">
        <v>0</v>
      </c>
      <c r="W3109" s="65">
        <v>0</v>
      </c>
      <c r="X3109" s="65">
        <v>0</v>
      </c>
      <c r="Y3109" s="65">
        <v>0</v>
      </c>
      <c r="Z3109" s="51">
        <v>113789.31000000001</v>
      </c>
      <c r="AA3109" s="51">
        <v>0</v>
      </c>
      <c r="AB3109" s="102">
        <v>0</v>
      </c>
      <c r="AC3109" s="81">
        <f t="shared" si="148"/>
        <v>0</v>
      </c>
      <c r="AD3109" s="82">
        <f t="shared" si="149"/>
        <v>0</v>
      </c>
      <c r="AE3109" s="218">
        <v>0</v>
      </c>
      <c r="AF3109">
        <v>0</v>
      </c>
      <c r="AH3109" t="str">
        <f t="shared" si="147"/>
        <v>Sonvarsha</v>
      </c>
      <c r="AJ3109" s="72">
        <v>0</v>
      </c>
      <c r="AK3109" s="72"/>
      <c r="AL3109" s="72"/>
      <c r="AM3109" s="72"/>
    </row>
    <row r="3110" spans="1:39" x14ac:dyDescent="0.25">
      <c r="A3110" s="37" t="s">
        <v>62</v>
      </c>
      <c r="B3110" s="66" t="s">
        <v>1676</v>
      </c>
      <c r="C3110" s="4">
        <v>1006</v>
      </c>
      <c r="D3110" s="41" t="s">
        <v>179</v>
      </c>
      <c r="E3110" s="41">
        <v>10060005</v>
      </c>
      <c r="F3110" s="85" t="s">
        <v>182</v>
      </c>
      <c r="G3110" s="39" t="s">
        <v>1610</v>
      </c>
      <c r="H3110" s="52" t="s">
        <v>98</v>
      </c>
      <c r="I3110" s="52">
        <v>705.00000000000011</v>
      </c>
      <c r="J3110" s="49">
        <v>29514.090000000004</v>
      </c>
      <c r="K3110" s="58">
        <v>0</v>
      </c>
      <c r="L3110" s="58">
        <v>0</v>
      </c>
      <c r="M3110" s="58">
        <v>0</v>
      </c>
      <c r="N3110" s="58">
        <v>0</v>
      </c>
      <c r="O3110" s="58">
        <v>0</v>
      </c>
      <c r="P3110" s="53">
        <v>0</v>
      </c>
      <c r="Q3110" s="65">
        <v>29514.090000000004</v>
      </c>
      <c r="R3110" s="65">
        <v>0</v>
      </c>
      <c r="S3110" s="65">
        <v>0</v>
      </c>
      <c r="T3110" s="65">
        <v>0</v>
      </c>
      <c r="U3110" s="58">
        <v>0</v>
      </c>
      <c r="V3110" s="65">
        <v>0</v>
      </c>
      <c r="W3110" s="65">
        <v>0</v>
      </c>
      <c r="X3110" s="65">
        <v>0</v>
      </c>
      <c r="Y3110" s="65">
        <v>0</v>
      </c>
      <c r="Z3110" s="51">
        <v>29514.090000000004</v>
      </c>
      <c r="AA3110" s="51">
        <v>0</v>
      </c>
      <c r="AB3110" s="102">
        <v>0</v>
      </c>
      <c r="AC3110" s="81">
        <f t="shared" si="148"/>
        <v>0</v>
      </c>
      <c r="AD3110" s="82">
        <f t="shared" si="149"/>
        <v>0</v>
      </c>
      <c r="AE3110" s="218">
        <v>0</v>
      </c>
      <c r="AF3110">
        <v>0</v>
      </c>
      <c r="AH3110" t="str">
        <f t="shared" si="147"/>
        <v>Sonvarsha</v>
      </c>
      <c r="AJ3110" s="72">
        <v>0</v>
      </c>
      <c r="AK3110" s="72"/>
      <c r="AL3110" s="72"/>
      <c r="AM3110" s="72"/>
    </row>
    <row r="3111" spans="1:39" x14ac:dyDescent="0.25">
      <c r="A3111" s="37" t="s">
        <v>62</v>
      </c>
      <c r="B3111" s="66" t="s">
        <v>1676</v>
      </c>
      <c r="C3111" s="4">
        <v>1006</v>
      </c>
      <c r="D3111" s="41" t="s">
        <v>179</v>
      </c>
      <c r="E3111" s="41">
        <v>10060007</v>
      </c>
      <c r="F3111" s="85" t="s">
        <v>183</v>
      </c>
      <c r="G3111" s="39" t="s">
        <v>1610</v>
      </c>
      <c r="H3111" s="52" t="s">
        <v>98</v>
      </c>
      <c r="I3111" s="52">
        <v>782.00000000000011</v>
      </c>
      <c r="J3111" s="49">
        <v>30131.55</v>
      </c>
      <c r="K3111" s="58">
        <v>0</v>
      </c>
      <c r="L3111" s="58">
        <v>0</v>
      </c>
      <c r="M3111" s="58">
        <v>0</v>
      </c>
      <c r="N3111" s="58">
        <v>0</v>
      </c>
      <c r="O3111" s="58">
        <v>0</v>
      </c>
      <c r="P3111" s="53">
        <v>0</v>
      </c>
      <c r="Q3111" s="65">
        <v>30131.55</v>
      </c>
      <c r="R3111" s="65">
        <v>0</v>
      </c>
      <c r="S3111" s="65">
        <v>0</v>
      </c>
      <c r="T3111" s="65">
        <v>0</v>
      </c>
      <c r="U3111" s="58">
        <v>0</v>
      </c>
      <c r="V3111" s="65">
        <v>0</v>
      </c>
      <c r="W3111" s="65">
        <v>0</v>
      </c>
      <c r="X3111" s="65">
        <v>0</v>
      </c>
      <c r="Y3111" s="65">
        <v>0</v>
      </c>
      <c r="Z3111" s="51">
        <v>30131.55</v>
      </c>
      <c r="AA3111" s="51">
        <v>0</v>
      </c>
      <c r="AB3111" s="102">
        <v>0</v>
      </c>
      <c r="AC3111" s="81">
        <f t="shared" si="148"/>
        <v>0</v>
      </c>
      <c r="AD3111" s="82">
        <f t="shared" si="149"/>
        <v>0</v>
      </c>
      <c r="AE3111" s="218">
        <v>0</v>
      </c>
      <c r="AF3111">
        <v>0</v>
      </c>
      <c r="AH3111" t="str">
        <f t="shared" si="147"/>
        <v>Sonvarsha</v>
      </c>
      <c r="AJ3111" s="72">
        <v>0</v>
      </c>
      <c r="AK3111" s="72"/>
      <c r="AL3111" s="72"/>
      <c r="AM3111" s="72"/>
    </row>
    <row r="3112" spans="1:39" x14ac:dyDescent="0.25">
      <c r="A3112" s="37" t="s">
        <v>62</v>
      </c>
      <c r="B3112" s="66" t="s">
        <v>1676</v>
      </c>
      <c r="C3112" s="4">
        <v>1006</v>
      </c>
      <c r="D3112" s="41" t="s">
        <v>179</v>
      </c>
      <c r="E3112" s="41">
        <v>10060008</v>
      </c>
      <c r="F3112" s="85" t="s">
        <v>184</v>
      </c>
      <c r="G3112" s="39" t="s">
        <v>1610</v>
      </c>
      <c r="H3112" s="52" t="s">
        <v>98</v>
      </c>
      <c r="I3112" s="52">
        <v>523.5</v>
      </c>
      <c r="J3112" s="49">
        <v>21278.54</v>
      </c>
      <c r="K3112" s="58">
        <v>0</v>
      </c>
      <c r="L3112" s="58">
        <v>0</v>
      </c>
      <c r="M3112" s="58">
        <v>0</v>
      </c>
      <c r="N3112" s="58">
        <v>0</v>
      </c>
      <c r="O3112" s="58">
        <v>0</v>
      </c>
      <c r="P3112" s="53">
        <v>0</v>
      </c>
      <c r="Q3112" s="65">
        <v>21278.54</v>
      </c>
      <c r="R3112" s="65">
        <v>0</v>
      </c>
      <c r="S3112" s="65">
        <v>0</v>
      </c>
      <c r="T3112" s="65">
        <v>0</v>
      </c>
      <c r="U3112" s="58">
        <v>0</v>
      </c>
      <c r="V3112" s="65">
        <v>0</v>
      </c>
      <c r="W3112" s="65">
        <v>0</v>
      </c>
      <c r="X3112" s="65">
        <v>0</v>
      </c>
      <c r="Y3112" s="65">
        <v>0</v>
      </c>
      <c r="Z3112" s="51">
        <v>21278.54</v>
      </c>
      <c r="AA3112" s="51">
        <v>0</v>
      </c>
      <c r="AB3112" s="102">
        <v>0</v>
      </c>
      <c r="AC3112" s="81">
        <f t="shared" si="148"/>
        <v>143.48280076408784</v>
      </c>
      <c r="AD3112" s="82">
        <f t="shared" si="149"/>
        <v>74.785714285714292</v>
      </c>
      <c r="AE3112" s="218">
        <v>0</v>
      </c>
      <c r="AF3112">
        <v>0</v>
      </c>
      <c r="AH3112" t="str">
        <f t="shared" si="147"/>
        <v>Sonvarsha</v>
      </c>
      <c r="AJ3112" s="72">
        <v>0</v>
      </c>
      <c r="AK3112" s="72"/>
      <c r="AL3112" s="72"/>
      <c r="AM3112" s="72"/>
    </row>
    <row r="3113" spans="1:39" x14ac:dyDescent="0.25">
      <c r="A3113" s="37" t="s">
        <v>62</v>
      </c>
      <c r="B3113" s="66" t="s">
        <v>1676</v>
      </c>
      <c r="C3113" s="4">
        <v>1006</v>
      </c>
      <c r="D3113" s="41" t="s">
        <v>179</v>
      </c>
      <c r="E3113" s="41">
        <v>10060009</v>
      </c>
      <c r="F3113" s="85" t="s">
        <v>185</v>
      </c>
      <c r="G3113" s="39" t="s">
        <v>1610</v>
      </c>
      <c r="H3113" s="52" t="s">
        <v>98</v>
      </c>
      <c r="I3113" s="52">
        <v>1135.4000000000001</v>
      </c>
      <c r="J3113" s="49">
        <v>49525.349999999991</v>
      </c>
      <c r="K3113" s="58">
        <v>0</v>
      </c>
      <c r="L3113" s="58">
        <v>0</v>
      </c>
      <c r="M3113" s="58">
        <v>0</v>
      </c>
      <c r="N3113" s="58">
        <v>0</v>
      </c>
      <c r="O3113" s="58">
        <v>0</v>
      </c>
      <c r="P3113" s="53">
        <v>0</v>
      </c>
      <c r="Q3113" s="65">
        <v>49525.349999999991</v>
      </c>
      <c r="R3113" s="65">
        <v>0</v>
      </c>
      <c r="S3113" s="65">
        <v>0</v>
      </c>
      <c r="T3113" s="65">
        <v>0</v>
      </c>
      <c r="U3113" s="58">
        <v>0</v>
      </c>
      <c r="V3113" s="65">
        <v>0</v>
      </c>
      <c r="W3113" s="65">
        <v>0</v>
      </c>
      <c r="X3113" s="65">
        <v>0</v>
      </c>
      <c r="Y3113" s="65">
        <v>0</v>
      </c>
      <c r="Z3113" s="51">
        <v>49525.349999999991</v>
      </c>
      <c r="AA3113" s="51">
        <v>0</v>
      </c>
      <c r="AB3113" s="102">
        <v>0</v>
      </c>
      <c r="AC3113" s="81">
        <f t="shared" si="148"/>
        <v>0</v>
      </c>
      <c r="AD3113" s="82">
        <f t="shared" si="149"/>
        <v>0</v>
      </c>
      <c r="AE3113" s="218">
        <v>0</v>
      </c>
      <c r="AF3113">
        <v>0</v>
      </c>
      <c r="AH3113" t="str">
        <f t="shared" si="147"/>
        <v>Sonvarsha</v>
      </c>
      <c r="AJ3113" s="72">
        <v>0</v>
      </c>
      <c r="AK3113" s="72"/>
      <c r="AL3113" s="72"/>
      <c r="AM3113" s="72"/>
    </row>
    <row r="3114" spans="1:39" x14ac:dyDescent="0.25">
      <c r="A3114" s="37" t="s">
        <v>62</v>
      </c>
      <c r="B3114" s="66" t="s">
        <v>1676</v>
      </c>
      <c r="C3114" s="4">
        <v>1006</v>
      </c>
      <c r="D3114" s="41" t="s">
        <v>179</v>
      </c>
      <c r="E3114" s="41">
        <v>10060010</v>
      </c>
      <c r="F3114" s="85" t="s">
        <v>186</v>
      </c>
      <c r="G3114" s="39" t="s">
        <v>1610</v>
      </c>
      <c r="H3114" s="52" t="s">
        <v>98</v>
      </c>
      <c r="I3114" s="52">
        <v>1942.8999999999999</v>
      </c>
      <c r="J3114" s="49">
        <v>84104.3</v>
      </c>
      <c r="K3114" s="58">
        <v>0</v>
      </c>
      <c r="L3114" s="58">
        <v>0</v>
      </c>
      <c r="M3114" s="58">
        <v>0</v>
      </c>
      <c r="N3114" s="58">
        <v>0</v>
      </c>
      <c r="O3114" s="58">
        <v>0</v>
      </c>
      <c r="P3114" s="53">
        <v>0</v>
      </c>
      <c r="Q3114" s="65">
        <v>84104.3</v>
      </c>
      <c r="R3114" s="65">
        <v>0</v>
      </c>
      <c r="S3114" s="65">
        <v>0</v>
      </c>
      <c r="T3114" s="65">
        <v>0</v>
      </c>
      <c r="U3114" s="58">
        <v>0</v>
      </c>
      <c r="V3114" s="65">
        <v>0</v>
      </c>
      <c r="W3114" s="65">
        <v>0</v>
      </c>
      <c r="X3114" s="65">
        <v>0</v>
      </c>
      <c r="Y3114" s="65">
        <v>0</v>
      </c>
      <c r="Z3114" s="51">
        <v>84104.3</v>
      </c>
      <c r="AA3114" s="51">
        <v>0</v>
      </c>
      <c r="AB3114" s="102">
        <v>0</v>
      </c>
      <c r="AC3114" s="81">
        <f t="shared" si="148"/>
        <v>0</v>
      </c>
      <c r="AD3114" s="82">
        <f t="shared" si="149"/>
        <v>0</v>
      </c>
      <c r="AE3114" s="218">
        <v>0</v>
      </c>
      <c r="AF3114">
        <v>0</v>
      </c>
      <c r="AH3114" t="str">
        <f t="shared" si="147"/>
        <v>Sonvarsha</v>
      </c>
      <c r="AJ3114" s="72">
        <v>0</v>
      </c>
      <c r="AK3114" s="72"/>
      <c r="AL3114" s="72"/>
      <c r="AM3114" s="72"/>
    </row>
    <row r="3115" spans="1:39" x14ac:dyDescent="0.25">
      <c r="A3115" s="37" t="s">
        <v>62</v>
      </c>
      <c r="B3115" s="66" t="s">
        <v>1676</v>
      </c>
      <c r="C3115" s="4">
        <v>1059</v>
      </c>
      <c r="D3115" s="41" t="s">
        <v>1299</v>
      </c>
      <c r="E3115" s="41">
        <v>10060011</v>
      </c>
      <c r="F3115" s="85" t="s">
        <v>187</v>
      </c>
      <c r="G3115" s="39" t="s">
        <v>92</v>
      </c>
      <c r="H3115" s="52" t="s">
        <v>93</v>
      </c>
      <c r="I3115" s="52">
        <v>468.29999999999995</v>
      </c>
      <c r="J3115" s="49">
        <v>21686.87</v>
      </c>
      <c r="K3115" s="58">
        <v>463.76000000000005</v>
      </c>
      <c r="L3115" s="58">
        <v>21389.07</v>
      </c>
      <c r="M3115" s="58">
        <v>10.130000000000001</v>
      </c>
      <c r="N3115" s="58">
        <v>466.70000000000005</v>
      </c>
      <c r="O3115" s="58">
        <v>473.89000000000004</v>
      </c>
      <c r="P3115" s="53">
        <v>21855.77</v>
      </c>
      <c r="Q3115" s="65">
        <v>21686.87</v>
      </c>
      <c r="R3115" s="65">
        <v>0</v>
      </c>
      <c r="S3115" s="65">
        <v>466.70000000000005</v>
      </c>
      <c r="T3115" s="65">
        <v>168.90000000000146</v>
      </c>
      <c r="U3115" s="58">
        <v>0</v>
      </c>
      <c r="V3115" s="65">
        <v>0</v>
      </c>
      <c r="W3115" s="65">
        <v>0</v>
      </c>
      <c r="X3115" s="65">
        <v>21220</v>
      </c>
      <c r="Y3115" s="65">
        <v>0</v>
      </c>
      <c r="Z3115" s="51">
        <v>0</v>
      </c>
      <c r="AA3115" s="51">
        <v>0</v>
      </c>
      <c r="AB3115" s="102" t="s">
        <v>68</v>
      </c>
      <c r="AC3115" s="81">
        <f t="shared" si="148"/>
        <v>214.59952077727959</v>
      </c>
      <c r="AD3115" s="82">
        <f t="shared" si="149"/>
        <v>66.899999999999991</v>
      </c>
      <c r="AE3115" s="218">
        <v>-7.788122490705273E-3</v>
      </c>
      <c r="AF3115">
        <v>25</v>
      </c>
      <c r="AH3115" t="str">
        <f t="shared" si="147"/>
        <v>Gopalpur Bmc</v>
      </c>
      <c r="AJ3115" s="72">
        <v>0</v>
      </c>
      <c r="AK3115" s="72"/>
      <c r="AL3115" s="72"/>
      <c r="AM3115" s="72"/>
    </row>
    <row r="3116" spans="1:39" x14ac:dyDescent="0.25">
      <c r="A3116" s="37" t="s">
        <v>62</v>
      </c>
      <c r="B3116" s="66" t="s">
        <v>1676</v>
      </c>
      <c r="C3116" s="4">
        <v>1006</v>
      </c>
      <c r="D3116" s="41" t="s">
        <v>179</v>
      </c>
      <c r="E3116" s="41">
        <v>10060014</v>
      </c>
      <c r="F3116" s="85" t="s">
        <v>188</v>
      </c>
      <c r="G3116" s="39" t="s">
        <v>1610</v>
      </c>
      <c r="H3116" s="52" t="s">
        <v>98</v>
      </c>
      <c r="I3116" s="52">
        <v>860.10000000000014</v>
      </c>
      <c r="J3116" s="49">
        <v>31337.33</v>
      </c>
      <c r="K3116" s="58">
        <v>0</v>
      </c>
      <c r="L3116" s="58">
        <v>0</v>
      </c>
      <c r="M3116" s="58">
        <v>0</v>
      </c>
      <c r="N3116" s="58">
        <v>0</v>
      </c>
      <c r="O3116" s="58">
        <v>0</v>
      </c>
      <c r="P3116" s="53">
        <v>0</v>
      </c>
      <c r="Q3116" s="65">
        <v>31337.33</v>
      </c>
      <c r="R3116" s="65">
        <v>0</v>
      </c>
      <c r="S3116" s="65">
        <v>0</v>
      </c>
      <c r="T3116" s="65">
        <v>0</v>
      </c>
      <c r="U3116" s="58">
        <v>0</v>
      </c>
      <c r="V3116" s="65">
        <v>0</v>
      </c>
      <c r="W3116" s="65">
        <v>0</v>
      </c>
      <c r="X3116" s="65">
        <v>0</v>
      </c>
      <c r="Y3116" s="65">
        <v>0</v>
      </c>
      <c r="Z3116" s="51">
        <v>31337.33</v>
      </c>
      <c r="AA3116" s="51">
        <v>0</v>
      </c>
      <c r="AB3116" s="102">
        <v>0</v>
      </c>
      <c r="AC3116" s="81">
        <f t="shared" si="148"/>
        <v>0</v>
      </c>
      <c r="AD3116" s="82">
        <f t="shared" si="149"/>
        <v>0</v>
      </c>
      <c r="AE3116" s="218">
        <v>0</v>
      </c>
      <c r="AF3116">
        <v>0</v>
      </c>
      <c r="AH3116" t="str">
        <f t="shared" si="147"/>
        <v>Sonvarsha</v>
      </c>
      <c r="AJ3116" s="72">
        <v>0</v>
      </c>
      <c r="AK3116" s="72"/>
      <c r="AL3116" s="72"/>
      <c r="AM3116" s="72"/>
    </row>
    <row r="3117" spans="1:39" x14ac:dyDescent="0.25">
      <c r="A3117" s="37" t="s">
        <v>62</v>
      </c>
      <c r="B3117" s="66" t="s">
        <v>1676</v>
      </c>
      <c r="C3117" s="4">
        <v>1006</v>
      </c>
      <c r="D3117" s="41" t="s">
        <v>179</v>
      </c>
      <c r="E3117" s="41">
        <v>10060015</v>
      </c>
      <c r="F3117" s="85" t="s">
        <v>189</v>
      </c>
      <c r="G3117" s="39" t="s">
        <v>1610</v>
      </c>
      <c r="H3117" s="52" t="s">
        <v>98</v>
      </c>
      <c r="I3117" s="52">
        <v>207.4</v>
      </c>
      <c r="J3117" s="49">
        <v>9024.7199999999993</v>
      </c>
      <c r="K3117" s="58">
        <v>0</v>
      </c>
      <c r="L3117" s="58">
        <v>0</v>
      </c>
      <c r="M3117" s="58">
        <v>0</v>
      </c>
      <c r="N3117" s="58">
        <v>0</v>
      </c>
      <c r="O3117" s="58">
        <v>0</v>
      </c>
      <c r="P3117" s="53">
        <v>0</v>
      </c>
      <c r="Q3117" s="65">
        <v>9024.7199999999993</v>
      </c>
      <c r="R3117" s="65">
        <v>0</v>
      </c>
      <c r="S3117" s="65">
        <v>0</v>
      </c>
      <c r="T3117" s="65">
        <v>0</v>
      </c>
      <c r="U3117" s="58">
        <v>0</v>
      </c>
      <c r="V3117" s="65">
        <v>0</v>
      </c>
      <c r="W3117" s="65">
        <v>0</v>
      </c>
      <c r="X3117" s="65">
        <v>0</v>
      </c>
      <c r="Y3117" s="65">
        <v>0</v>
      </c>
      <c r="Z3117" s="51">
        <v>9024.7199999999993</v>
      </c>
      <c r="AA3117" s="51">
        <v>0</v>
      </c>
      <c r="AB3117" s="102">
        <v>0</v>
      </c>
      <c r="AC3117" s="81">
        <f t="shared" si="148"/>
        <v>428.69595679845696</v>
      </c>
      <c r="AD3117" s="82">
        <f t="shared" si="149"/>
        <v>29.62857142857143</v>
      </c>
      <c r="AE3117" s="218">
        <v>0</v>
      </c>
      <c r="AF3117">
        <v>0</v>
      </c>
      <c r="AH3117" t="str">
        <f t="shared" si="147"/>
        <v>Sonvarsha</v>
      </c>
      <c r="AJ3117" s="72">
        <v>0</v>
      </c>
      <c r="AK3117" s="72"/>
      <c r="AL3117" s="72"/>
      <c r="AM3117" s="72"/>
    </row>
    <row r="3118" spans="1:39" x14ac:dyDescent="0.25">
      <c r="A3118" s="37" t="s">
        <v>62</v>
      </c>
      <c r="B3118" s="66" t="s">
        <v>1676</v>
      </c>
      <c r="C3118" s="4">
        <v>1006</v>
      </c>
      <c r="D3118" s="41" t="s">
        <v>179</v>
      </c>
      <c r="E3118" s="41">
        <v>10060020</v>
      </c>
      <c r="F3118" s="85" t="s">
        <v>190</v>
      </c>
      <c r="G3118" s="39" t="s">
        <v>1610</v>
      </c>
      <c r="H3118" s="52" t="s">
        <v>98</v>
      </c>
      <c r="I3118" s="52">
        <v>1194.5000000000002</v>
      </c>
      <c r="J3118" s="49">
        <v>45553.49</v>
      </c>
      <c r="K3118" s="58">
        <v>0</v>
      </c>
      <c r="L3118" s="58">
        <v>0</v>
      </c>
      <c r="M3118" s="58">
        <v>0</v>
      </c>
      <c r="N3118" s="58">
        <v>0</v>
      </c>
      <c r="O3118" s="58">
        <v>0</v>
      </c>
      <c r="P3118" s="53">
        <v>0</v>
      </c>
      <c r="Q3118" s="65">
        <v>45553.49</v>
      </c>
      <c r="R3118" s="65">
        <v>0</v>
      </c>
      <c r="S3118" s="65">
        <v>0</v>
      </c>
      <c r="T3118" s="65">
        <v>0</v>
      </c>
      <c r="U3118" s="58">
        <v>0</v>
      </c>
      <c r="V3118" s="65">
        <v>0</v>
      </c>
      <c r="W3118" s="65">
        <v>0</v>
      </c>
      <c r="X3118" s="65">
        <v>0</v>
      </c>
      <c r="Y3118" s="65">
        <v>0</v>
      </c>
      <c r="Z3118" s="51">
        <v>45553.49</v>
      </c>
      <c r="AA3118" s="51">
        <v>0</v>
      </c>
      <c r="AB3118" s="102">
        <v>0</v>
      </c>
      <c r="AC3118" s="81">
        <f t="shared" si="148"/>
        <v>0</v>
      </c>
      <c r="AD3118" s="82">
        <f t="shared" si="149"/>
        <v>0</v>
      </c>
      <c r="AE3118" s="218">
        <v>0</v>
      </c>
      <c r="AF3118">
        <v>0</v>
      </c>
      <c r="AH3118" t="str">
        <f t="shared" si="147"/>
        <v>Sonvarsha</v>
      </c>
      <c r="AJ3118" s="72">
        <v>0</v>
      </c>
      <c r="AK3118" s="72"/>
      <c r="AL3118" s="72"/>
      <c r="AM3118" s="72"/>
    </row>
    <row r="3119" spans="1:39" x14ac:dyDescent="0.25">
      <c r="A3119" s="37" t="s">
        <v>62</v>
      </c>
      <c r="B3119" s="66" t="s">
        <v>1676</v>
      </c>
      <c r="C3119" s="4">
        <v>1006</v>
      </c>
      <c r="D3119" s="41" t="s">
        <v>179</v>
      </c>
      <c r="E3119" s="41">
        <v>10060021</v>
      </c>
      <c r="F3119" s="85" t="s">
        <v>191</v>
      </c>
      <c r="G3119" s="39" t="s">
        <v>1610</v>
      </c>
      <c r="H3119" s="52" t="s">
        <v>98</v>
      </c>
      <c r="I3119" s="52">
        <v>2064.4</v>
      </c>
      <c r="J3119" s="49">
        <v>89122.669999999969</v>
      </c>
      <c r="K3119" s="58">
        <v>0</v>
      </c>
      <c r="L3119" s="58">
        <v>0</v>
      </c>
      <c r="M3119" s="58">
        <v>0</v>
      </c>
      <c r="N3119" s="58">
        <v>0</v>
      </c>
      <c r="O3119" s="58">
        <v>0</v>
      </c>
      <c r="P3119" s="53">
        <v>0</v>
      </c>
      <c r="Q3119" s="65">
        <v>89122.669999999969</v>
      </c>
      <c r="R3119" s="65">
        <v>0</v>
      </c>
      <c r="S3119" s="65">
        <v>0</v>
      </c>
      <c r="T3119" s="65">
        <v>0</v>
      </c>
      <c r="U3119" s="58">
        <v>21000</v>
      </c>
      <c r="V3119" s="65">
        <v>0</v>
      </c>
      <c r="W3119" s="65">
        <v>0</v>
      </c>
      <c r="X3119" s="65">
        <v>0</v>
      </c>
      <c r="Y3119" s="65">
        <v>0</v>
      </c>
      <c r="Z3119" s="51">
        <v>68122.669999999969</v>
      </c>
      <c r="AA3119" s="51">
        <v>0</v>
      </c>
      <c r="AB3119" s="102">
        <v>0</v>
      </c>
      <c r="AC3119" s="81">
        <f t="shared" si="148"/>
        <v>0</v>
      </c>
      <c r="AD3119" s="82">
        <f t="shared" si="149"/>
        <v>0</v>
      </c>
      <c r="AE3119" s="218">
        <v>0</v>
      </c>
      <c r="AF3119">
        <v>0</v>
      </c>
      <c r="AH3119" t="str">
        <f t="shared" si="147"/>
        <v>Sonvarsha</v>
      </c>
      <c r="AJ3119" s="72">
        <v>0</v>
      </c>
      <c r="AK3119" s="72"/>
      <c r="AL3119" s="72"/>
      <c r="AM3119" s="72"/>
    </row>
    <row r="3120" spans="1:39" x14ac:dyDescent="0.25">
      <c r="A3120" s="37" t="s">
        <v>62</v>
      </c>
      <c r="B3120" s="66" t="s">
        <v>1676</v>
      </c>
      <c r="C3120" s="4">
        <v>1006</v>
      </c>
      <c r="D3120" s="41" t="s">
        <v>179</v>
      </c>
      <c r="E3120" s="41">
        <v>10060022</v>
      </c>
      <c r="F3120" s="85" t="s">
        <v>599</v>
      </c>
      <c r="G3120" s="39" t="s">
        <v>92</v>
      </c>
      <c r="H3120" s="52" t="s">
        <v>93</v>
      </c>
      <c r="I3120" s="52">
        <v>750.7</v>
      </c>
      <c r="J3120" s="49">
        <v>29655.960000000003</v>
      </c>
      <c r="K3120" s="58">
        <v>561.59999999999991</v>
      </c>
      <c r="L3120" s="58">
        <v>22775.58</v>
      </c>
      <c r="M3120" s="58">
        <v>232.6</v>
      </c>
      <c r="N3120" s="58">
        <v>9298.69</v>
      </c>
      <c r="O3120" s="58">
        <v>794.19999999999993</v>
      </c>
      <c r="P3120" s="53">
        <v>32074.270000000004</v>
      </c>
      <c r="Q3120" s="65">
        <v>29655.960000000003</v>
      </c>
      <c r="R3120" s="65">
        <v>0</v>
      </c>
      <c r="S3120" s="65">
        <v>594.94999999999993</v>
      </c>
      <c r="T3120" s="65">
        <v>2418.3100000000013</v>
      </c>
      <c r="U3120" s="58">
        <v>0</v>
      </c>
      <c r="V3120" s="65">
        <v>0</v>
      </c>
      <c r="W3120" s="65">
        <v>0</v>
      </c>
      <c r="X3120" s="65">
        <v>20357</v>
      </c>
      <c r="Y3120" s="65">
        <v>8704</v>
      </c>
      <c r="Z3120" s="51">
        <v>0</v>
      </c>
      <c r="AA3120" s="51">
        <v>0</v>
      </c>
      <c r="AB3120" s="102">
        <v>0</v>
      </c>
      <c r="AC3120" s="81">
        <f t="shared" si="148"/>
        <v>0</v>
      </c>
      <c r="AD3120" s="82">
        <f t="shared" si="149"/>
        <v>0</v>
      </c>
      <c r="AE3120" s="218">
        <v>-8.1545497094007449E-2</v>
      </c>
      <c r="AF3120">
        <v>26</v>
      </c>
      <c r="AH3120" t="str">
        <f t="shared" si="147"/>
        <v>Sonvarsha</v>
      </c>
      <c r="AJ3120" s="72">
        <v>0</v>
      </c>
      <c r="AK3120" s="72"/>
      <c r="AL3120" s="72"/>
      <c r="AM3120" s="72"/>
    </row>
    <row r="3121" spans="1:39" x14ac:dyDescent="0.25">
      <c r="A3121" s="37" t="s">
        <v>62</v>
      </c>
      <c r="B3121" s="66" t="s">
        <v>1676</v>
      </c>
      <c r="C3121" s="4">
        <v>1006</v>
      </c>
      <c r="D3121" s="41" t="s">
        <v>179</v>
      </c>
      <c r="E3121" s="41">
        <v>10060023</v>
      </c>
      <c r="F3121" s="85" t="s">
        <v>192</v>
      </c>
      <c r="G3121" s="39" t="s">
        <v>92</v>
      </c>
      <c r="H3121" s="52" t="s">
        <v>98</v>
      </c>
      <c r="I3121" s="52">
        <v>120.9</v>
      </c>
      <c r="J3121" s="49">
        <v>5556.36</v>
      </c>
      <c r="K3121" s="58">
        <v>0</v>
      </c>
      <c r="L3121" s="58">
        <v>0</v>
      </c>
      <c r="M3121" s="58">
        <v>0</v>
      </c>
      <c r="N3121" s="58">
        <v>0</v>
      </c>
      <c r="O3121" s="58">
        <v>0</v>
      </c>
      <c r="P3121" s="53">
        <v>0</v>
      </c>
      <c r="Q3121" s="65">
        <v>5556.36</v>
      </c>
      <c r="R3121" s="65">
        <v>0</v>
      </c>
      <c r="S3121" s="65">
        <v>0</v>
      </c>
      <c r="T3121" s="65">
        <v>0</v>
      </c>
      <c r="U3121" s="58">
        <v>0</v>
      </c>
      <c r="V3121" s="65">
        <v>0</v>
      </c>
      <c r="W3121" s="65">
        <v>0</v>
      </c>
      <c r="X3121" s="65">
        <v>0</v>
      </c>
      <c r="Y3121" s="65">
        <v>0</v>
      </c>
      <c r="Z3121" s="51">
        <v>5556.36</v>
      </c>
      <c r="AA3121" s="51">
        <v>0</v>
      </c>
      <c r="AB3121" s="102">
        <v>0</v>
      </c>
      <c r="AC3121" s="81">
        <f t="shared" si="148"/>
        <v>532.2891771712159</v>
      </c>
      <c r="AD3121" s="82">
        <f t="shared" si="149"/>
        <v>17.271428571428572</v>
      </c>
      <c r="AE3121" s="218">
        <v>0</v>
      </c>
      <c r="AF3121">
        <v>0</v>
      </c>
      <c r="AH3121" t="str">
        <f t="shared" si="147"/>
        <v>Sonvarsha</v>
      </c>
      <c r="AJ3121" s="72">
        <v>0</v>
      </c>
      <c r="AK3121" s="72"/>
      <c r="AL3121" s="72"/>
      <c r="AM3121" s="72"/>
    </row>
    <row r="3122" spans="1:39" x14ac:dyDescent="0.25">
      <c r="A3122" s="37" t="s">
        <v>62</v>
      </c>
      <c r="B3122" s="66" t="s">
        <v>1676</v>
      </c>
      <c r="C3122" s="4">
        <v>1006</v>
      </c>
      <c r="D3122" s="41" t="s">
        <v>179</v>
      </c>
      <c r="E3122" s="41">
        <v>10060026</v>
      </c>
      <c r="F3122" s="85" t="s">
        <v>193</v>
      </c>
      <c r="G3122" s="39" t="s">
        <v>92</v>
      </c>
      <c r="H3122" s="52" t="s">
        <v>93</v>
      </c>
      <c r="I3122" s="52">
        <v>731.49999999999989</v>
      </c>
      <c r="J3122" s="49">
        <v>38400.619999999995</v>
      </c>
      <c r="K3122" s="58">
        <v>517.19999999999993</v>
      </c>
      <c r="L3122" s="58">
        <v>29575.24</v>
      </c>
      <c r="M3122" s="58">
        <v>224.39999999999998</v>
      </c>
      <c r="N3122" s="58">
        <v>10276.59</v>
      </c>
      <c r="O3122" s="58">
        <v>741.59999999999991</v>
      </c>
      <c r="P3122" s="53">
        <v>39851.83</v>
      </c>
      <c r="Q3122" s="65">
        <v>38400.619999999995</v>
      </c>
      <c r="R3122" s="65">
        <v>0</v>
      </c>
      <c r="S3122" s="65">
        <v>0</v>
      </c>
      <c r="T3122" s="65">
        <v>1451.2100000000064</v>
      </c>
      <c r="U3122" s="58">
        <v>0</v>
      </c>
      <c r="V3122" s="65">
        <v>0</v>
      </c>
      <c r="W3122" s="65">
        <v>0</v>
      </c>
      <c r="X3122" s="65">
        <v>28125</v>
      </c>
      <c r="Y3122" s="65">
        <v>10276</v>
      </c>
      <c r="Z3122" s="51">
        <v>0</v>
      </c>
      <c r="AA3122" s="51">
        <v>0</v>
      </c>
      <c r="AB3122" s="102">
        <v>0</v>
      </c>
      <c r="AC3122" s="81">
        <f t="shared" si="148"/>
        <v>0</v>
      </c>
      <c r="AD3122" s="82">
        <f t="shared" si="149"/>
        <v>0</v>
      </c>
      <c r="AE3122" s="218">
        <v>-3.7791316911029209E-2</v>
      </c>
      <c r="AF3122">
        <v>14</v>
      </c>
      <c r="AH3122" t="str">
        <f t="shared" si="147"/>
        <v>Sonvarsha</v>
      </c>
      <c r="AJ3122" s="72">
        <v>0</v>
      </c>
      <c r="AK3122" s="72"/>
      <c r="AL3122" s="72"/>
      <c r="AM3122" s="72"/>
    </row>
    <row r="3123" spans="1:39" x14ac:dyDescent="0.25">
      <c r="A3123" s="37" t="s">
        <v>62</v>
      </c>
      <c r="B3123" s="66" t="s">
        <v>1676</v>
      </c>
      <c r="C3123" s="4">
        <v>1059</v>
      </c>
      <c r="D3123" s="41" t="s">
        <v>1299</v>
      </c>
      <c r="E3123" s="41">
        <v>10060027</v>
      </c>
      <c r="F3123" s="85" t="s">
        <v>194</v>
      </c>
      <c r="G3123" s="39" t="s">
        <v>92</v>
      </c>
      <c r="H3123" s="52" t="s">
        <v>93</v>
      </c>
      <c r="I3123" s="52">
        <v>1538.8999999999996</v>
      </c>
      <c r="J3123" s="49">
        <v>67571.750000000015</v>
      </c>
      <c r="K3123" s="58">
        <v>1542.9199999999998</v>
      </c>
      <c r="L3123" s="58">
        <v>68307.049999999974</v>
      </c>
      <c r="M3123" s="58">
        <v>16.7</v>
      </c>
      <c r="N3123" s="58">
        <v>734.15000000000009</v>
      </c>
      <c r="O3123" s="58">
        <v>1559.62</v>
      </c>
      <c r="P3123" s="53">
        <v>69041.199999999968</v>
      </c>
      <c r="Q3123" s="65">
        <v>67571.750000000015</v>
      </c>
      <c r="R3123" s="65">
        <v>0</v>
      </c>
      <c r="S3123" s="65">
        <v>734.15000000000009</v>
      </c>
      <c r="T3123" s="65">
        <v>1469.4499999999534</v>
      </c>
      <c r="U3123" s="58">
        <v>0</v>
      </c>
      <c r="V3123" s="65">
        <v>0</v>
      </c>
      <c r="W3123" s="65">
        <v>0</v>
      </c>
      <c r="X3123" s="65">
        <v>0</v>
      </c>
      <c r="Y3123" s="65">
        <v>0</v>
      </c>
      <c r="Z3123" s="51">
        <v>0</v>
      </c>
      <c r="AA3123" s="51">
        <v>66838</v>
      </c>
      <c r="AB3123" s="102" t="s">
        <v>65</v>
      </c>
      <c r="AC3123" s="81">
        <f t="shared" si="148"/>
        <v>0</v>
      </c>
      <c r="AD3123" s="82">
        <f t="shared" si="149"/>
        <v>0</v>
      </c>
      <c r="AE3123" s="218">
        <v>-2.1746513890789465E-2</v>
      </c>
      <c r="AF3123">
        <v>76</v>
      </c>
      <c r="AH3123" t="str">
        <f t="shared" si="147"/>
        <v>Gopalpur Bmc</v>
      </c>
      <c r="AJ3123" s="72">
        <v>0</v>
      </c>
      <c r="AK3123" s="72"/>
      <c r="AL3123" s="72"/>
      <c r="AM3123" s="72"/>
    </row>
    <row r="3124" spans="1:39" x14ac:dyDescent="0.25">
      <c r="A3124" s="37" t="s">
        <v>62</v>
      </c>
      <c r="B3124" s="66" t="s">
        <v>1676</v>
      </c>
      <c r="C3124" s="4">
        <v>1006</v>
      </c>
      <c r="D3124" s="41" t="s">
        <v>179</v>
      </c>
      <c r="E3124" s="41">
        <v>10060028</v>
      </c>
      <c r="F3124" s="85" t="s">
        <v>195</v>
      </c>
      <c r="G3124" s="39" t="s">
        <v>1610</v>
      </c>
      <c r="H3124" s="52" t="s">
        <v>98</v>
      </c>
      <c r="I3124" s="52">
        <v>330.5</v>
      </c>
      <c r="J3124" s="49">
        <v>12570.699999999997</v>
      </c>
      <c r="K3124" s="58">
        <v>0</v>
      </c>
      <c r="L3124" s="58">
        <v>0</v>
      </c>
      <c r="M3124" s="58">
        <v>0</v>
      </c>
      <c r="N3124" s="58">
        <v>0</v>
      </c>
      <c r="O3124" s="58">
        <v>0</v>
      </c>
      <c r="P3124" s="53">
        <v>0</v>
      </c>
      <c r="Q3124" s="65">
        <v>12570.699999999997</v>
      </c>
      <c r="R3124" s="65">
        <v>0</v>
      </c>
      <c r="S3124" s="65">
        <v>0</v>
      </c>
      <c r="T3124" s="65">
        <v>0</v>
      </c>
      <c r="U3124" s="58">
        <v>0</v>
      </c>
      <c r="V3124" s="65">
        <v>0</v>
      </c>
      <c r="W3124" s="65">
        <v>0</v>
      </c>
      <c r="X3124" s="65">
        <v>0</v>
      </c>
      <c r="Y3124" s="65">
        <v>0</v>
      </c>
      <c r="Z3124" s="51">
        <v>12570.699999999997</v>
      </c>
      <c r="AA3124" s="51">
        <v>0</v>
      </c>
      <c r="AB3124" s="102">
        <v>0</v>
      </c>
      <c r="AC3124" s="81">
        <f t="shared" si="148"/>
        <v>281.0816127080181</v>
      </c>
      <c r="AD3124" s="82">
        <f t="shared" si="149"/>
        <v>47.214285714285715</v>
      </c>
      <c r="AE3124" s="218">
        <v>0</v>
      </c>
      <c r="AF3124">
        <v>0</v>
      </c>
      <c r="AH3124" t="str">
        <f t="shared" si="147"/>
        <v>Sonvarsha</v>
      </c>
      <c r="AJ3124" s="72">
        <v>0</v>
      </c>
      <c r="AK3124" s="72"/>
      <c r="AL3124" s="72"/>
      <c r="AM3124" s="72"/>
    </row>
    <row r="3125" spans="1:39" x14ac:dyDescent="0.25">
      <c r="A3125" s="37" t="s">
        <v>62</v>
      </c>
      <c r="B3125" s="66" t="s">
        <v>1676</v>
      </c>
      <c r="C3125" s="4">
        <v>1006</v>
      </c>
      <c r="D3125" s="41" t="s">
        <v>179</v>
      </c>
      <c r="E3125" s="41">
        <v>10060029</v>
      </c>
      <c r="F3125" s="85" t="s">
        <v>196</v>
      </c>
      <c r="G3125" s="39" t="s">
        <v>92</v>
      </c>
      <c r="H3125" s="52" t="s">
        <v>93</v>
      </c>
      <c r="I3125" s="52">
        <v>2170.7999999999997</v>
      </c>
      <c r="J3125" s="49">
        <v>103702.68000000002</v>
      </c>
      <c r="K3125" s="58">
        <v>1900.6899999999998</v>
      </c>
      <c r="L3125" s="58">
        <v>90011.859999999986</v>
      </c>
      <c r="M3125" s="58">
        <v>325.29000000000002</v>
      </c>
      <c r="N3125" s="58">
        <v>15684</v>
      </c>
      <c r="O3125" s="58">
        <v>2225.98</v>
      </c>
      <c r="P3125" s="53">
        <v>105695.85999999999</v>
      </c>
      <c r="Q3125" s="65">
        <v>103702.68000000002</v>
      </c>
      <c r="R3125" s="65">
        <v>0</v>
      </c>
      <c r="S3125" s="65">
        <v>1089.3699999999999</v>
      </c>
      <c r="T3125" s="65">
        <v>1993.1799999999639</v>
      </c>
      <c r="U3125" s="58">
        <v>0</v>
      </c>
      <c r="V3125" s="65">
        <v>0</v>
      </c>
      <c r="W3125" s="65">
        <v>0</v>
      </c>
      <c r="X3125" s="65">
        <v>88019</v>
      </c>
      <c r="Y3125" s="65">
        <v>14594</v>
      </c>
      <c r="Z3125" s="51">
        <v>0</v>
      </c>
      <c r="AA3125" s="51">
        <v>0</v>
      </c>
      <c r="AB3125" s="102">
        <v>0</v>
      </c>
      <c r="AC3125" s="81">
        <f t="shared" si="148"/>
        <v>0</v>
      </c>
      <c r="AD3125" s="82">
        <f t="shared" si="149"/>
        <v>0</v>
      </c>
      <c r="AE3125" s="218">
        <v>-1.9220139730236129E-2</v>
      </c>
      <c r="AF3125">
        <v>41</v>
      </c>
      <c r="AH3125" t="str">
        <f t="shared" ref="AH3125:AH3188" si="150">TEXT(D3125,"0000")</f>
        <v>Sonvarsha</v>
      </c>
      <c r="AJ3125" s="72">
        <v>0</v>
      </c>
      <c r="AK3125" s="72"/>
      <c r="AL3125" s="72"/>
      <c r="AM3125" s="72"/>
    </row>
    <row r="3126" spans="1:39" x14ac:dyDescent="0.25">
      <c r="A3126" s="37" t="s">
        <v>62</v>
      </c>
      <c r="B3126" s="66" t="s">
        <v>1676</v>
      </c>
      <c r="C3126" s="4">
        <v>1006</v>
      </c>
      <c r="D3126" s="41" t="s">
        <v>179</v>
      </c>
      <c r="E3126" s="41">
        <v>10060031</v>
      </c>
      <c r="F3126" s="85" t="s">
        <v>197</v>
      </c>
      <c r="G3126" s="39" t="s">
        <v>92</v>
      </c>
      <c r="H3126" s="52" t="s">
        <v>93</v>
      </c>
      <c r="I3126" s="52">
        <v>391.9</v>
      </c>
      <c r="J3126" s="49">
        <v>17269.14</v>
      </c>
      <c r="K3126" s="58">
        <v>402.59000000000003</v>
      </c>
      <c r="L3126" s="58">
        <v>16990.54</v>
      </c>
      <c r="M3126" s="58">
        <v>0</v>
      </c>
      <c r="N3126" s="58">
        <v>0</v>
      </c>
      <c r="O3126" s="58">
        <v>402.59000000000003</v>
      </c>
      <c r="P3126" s="53">
        <v>16990.54</v>
      </c>
      <c r="Q3126" s="65">
        <v>16990.54</v>
      </c>
      <c r="R3126" s="65">
        <v>0</v>
      </c>
      <c r="S3126" s="65">
        <v>0</v>
      </c>
      <c r="T3126" s="65">
        <v>0</v>
      </c>
      <c r="U3126" s="58">
        <v>0</v>
      </c>
      <c r="V3126" s="65">
        <v>0</v>
      </c>
      <c r="W3126" s="65">
        <v>0</v>
      </c>
      <c r="X3126" s="65">
        <v>16990</v>
      </c>
      <c r="Y3126" s="65">
        <v>0</v>
      </c>
      <c r="Z3126" s="51">
        <v>0</v>
      </c>
      <c r="AA3126" s="51">
        <v>279</v>
      </c>
      <c r="AB3126" s="102">
        <v>0</v>
      </c>
      <c r="AC3126" s="81">
        <f t="shared" si="148"/>
        <v>271.52957560602192</v>
      </c>
      <c r="AD3126" s="82">
        <f t="shared" si="149"/>
        <v>55.98571428571428</v>
      </c>
      <c r="AE3126" s="218">
        <v>1.6132824217071524E-2</v>
      </c>
      <c r="AF3126">
        <v>12</v>
      </c>
      <c r="AH3126" t="str">
        <f t="shared" si="150"/>
        <v>Sonvarsha</v>
      </c>
      <c r="AJ3126" s="72">
        <v>0</v>
      </c>
      <c r="AK3126" s="72"/>
      <c r="AL3126" s="72"/>
      <c r="AM3126" s="72"/>
    </row>
    <row r="3127" spans="1:39" x14ac:dyDescent="0.25">
      <c r="A3127" s="37" t="s">
        <v>62</v>
      </c>
      <c r="B3127" s="66" t="s">
        <v>1676</v>
      </c>
      <c r="C3127" s="4">
        <v>1059</v>
      </c>
      <c r="D3127" s="41" t="s">
        <v>1299</v>
      </c>
      <c r="E3127" s="41">
        <v>10060032</v>
      </c>
      <c r="F3127" s="85" t="s">
        <v>198</v>
      </c>
      <c r="G3127" s="39" t="s">
        <v>92</v>
      </c>
      <c r="H3127" s="52" t="s">
        <v>93</v>
      </c>
      <c r="I3127" s="52">
        <v>3073.6</v>
      </c>
      <c r="J3127" s="49">
        <v>171859.99</v>
      </c>
      <c r="K3127" s="58">
        <v>3095.9500000000007</v>
      </c>
      <c r="L3127" s="58">
        <v>173259.02999999994</v>
      </c>
      <c r="M3127" s="58">
        <v>26.950000000000003</v>
      </c>
      <c r="N3127" s="58">
        <v>1830.8700000000001</v>
      </c>
      <c r="O3127" s="58">
        <v>3122.9000000000005</v>
      </c>
      <c r="P3127" s="53">
        <v>175089.89999999994</v>
      </c>
      <c r="Q3127" s="65">
        <v>171859.99</v>
      </c>
      <c r="R3127" s="65">
        <v>0</v>
      </c>
      <c r="S3127" s="65">
        <v>1830.8700000000001</v>
      </c>
      <c r="T3127" s="65">
        <v>3229.9099999999453</v>
      </c>
      <c r="U3127" s="58">
        <v>5107.5</v>
      </c>
      <c r="V3127" s="65">
        <v>0</v>
      </c>
      <c r="W3127" s="65">
        <v>0</v>
      </c>
      <c r="X3127" s="65">
        <v>164921</v>
      </c>
      <c r="Y3127" s="65">
        <v>0</v>
      </c>
      <c r="Z3127" s="51">
        <v>0</v>
      </c>
      <c r="AA3127" s="51">
        <v>1</v>
      </c>
      <c r="AB3127" s="102" t="s">
        <v>68</v>
      </c>
      <c r="AC3127" s="81">
        <f t="shared" si="148"/>
        <v>0</v>
      </c>
      <c r="AD3127" s="82">
        <f t="shared" si="149"/>
        <v>0</v>
      </c>
      <c r="AE3127" s="218">
        <v>-1.879384491992549E-2</v>
      </c>
      <c r="AF3127">
        <v>55</v>
      </c>
      <c r="AH3127" t="str">
        <f t="shared" si="150"/>
        <v>Gopalpur Bmc</v>
      </c>
      <c r="AJ3127" s="72">
        <v>0</v>
      </c>
      <c r="AK3127" s="72"/>
      <c r="AL3127" s="72"/>
      <c r="AM3127" s="72"/>
    </row>
    <row r="3128" spans="1:39" x14ac:dyDescent="0.25">
      <c r="A3128" s="37" t="s">
        <v>62</v>
      </c>
      <c r="B3128" s="66" t="s">
        <v>1676</v>
      </c>
      <c r="C3128" s="4">
        <v>1006</v>
      </c>
      <c r="D3128" s="41" t="s">
        <v>179</v>
      </c>
      <c r="E3128" s="41">
        <v>10060036</v>
      </c>
      <c r="F3128" s="85" t="s">
        <v>1521</v>
      </c>
      <c r="G3128" s="39" t="s">
        <v>92</v>
      </c>
      <c r="H3128" s="52" t="s">
        <v>93</v>
      </c>
      <c r="I3128" s="52">
        <v>1347.8999999999999</v>
      </c>
      <c r="J3128" s="49">
        <v>68088.45</v>
      </c>
      <c r="K3128" s="58">
        <v>495.38000000000005</v>
      </c>
      <c r="L3128" s="58">
        <v>30192.98</v>
      </c>
      <c r="M3128" s="58">
        <v>780.04</v>
      </c>
      <c r="N3128" s="58">
        <v>43788.6</v>
      </c>
      <c r="O3128" s="58">
        <v>1275.42</v>
      </c>
      <c r="P3128" s="53">
        <v>73981.58</v>
      </c>
      <c r="Q3128" s="65">
        <v>68088.45</v>
      </c>
      <c r="R3128" s="65">
        <v>0</v>
      </c>
      <c r="S3128" s="65">
        <v>0</v>
      </c>
      <c r="T3128" s="65">
        <v>5893.1300000000047</v>
      </c>
      <c r="U3128" s="58">
        <v>0</v>
      </c>
      <c r="V3128" s="65">
        <v>0</v>
      </c>
      <c r="W3128" s="65">
        <v>0</v>
      </c>
      <c r="X3128" s="65">
        <v>24299</v>
      </c>
      <c r="Y3128" s="65">
        <v>43789</v>
      </c>
      <c r="Z3128" s="51">
        <v>0</v>
      </c>
      <c r="AA3128" s="51">
        <v>0</v>
      </c>
      <c r="AB3128" s="102">
        <v>0</v>
      </c>
      <c r="AC3128" s="81">
        <f t="shared" si="148"/>
        <v>0</v>
      </c>
      <c r="AD3128" s="82">
        <f t="shared" si="149"/>
        <v>0</v>
      </c>
      <c r="AE3128" s="218">
        <v>-8.6551096404750075E-2</v>
      </c>
      <c r="AF3128">
        <v>12</v>
      </c>
      <c r="AH3128" t="str">
        <f t="shared" si="150"/>
        <v>Sonvarsha</v>
      </c>
      <c r="AJ3128" s="72">
        <v>0</v>
      </c>
      <c r="AK3128" s="72"/>
      <c r="AL3128" s="72"/>
      <c r="AM3128" s="72"/>
    </row>
    <row r="3129" spans="1:39" x14ac:dyDescent="0.25">
      <c r="A3129" s="37" t="s">
        <v>62</v>
      </c>
      <c r="B3129" s="66" t="s">
        <v>1676</v>
      </c>
      <c r="C3129" s="4">
        <v>1006</v>
      </c>
      <c r="D3129" s="41" t="s">
        <v>179</v>
      </c>
      <c r="E3129" s="41">
        <v>10060041</v>
      </c>
      <c r="F3129" s="85" t="s">
        <v>199</v>
      </c>
      <c r="G3129" s="39" t="s">
        <v>1610</v>
      </c>
      <c r="H3129" s="52" t="s">
        <v>98</v>
      </c>
      <c r="I3129" s="52">
        <v>293.8</v>
      </c>
      <c r="J3129" s="49">
        <v>11456.37</v>
      </c>
      <c r="K3129" s="58">
        <v>0</v>
      </c>
      <c r="L3129" s="58">
        <v>0</v>
      </c>
      <c r="M3129" s="58">
        <v>0</v>
      </c>
      <c r="N3129" s="58">
        <v>0</v>
      </c>
      <c r="O3129" s="58">
        <v>0</v>
      </c>
      <c r="P3129" s="53">
        <v>0</v>
      </c>
      <c r="Q3129" s="65">
        <v>11456.37</v>
      </c>
      <c r="R3129" s="65">
        <v>0</v>
      </c>
      <c r="S3129" s="65">
        <v>0</v>
      </c>
      <c r="T3129" s="65">
        <v>0</v>
      </c>
      <c r="U3129" s="58">
        <v>0</v>
      </c>
      <c r="V3129" s="65">
        <v>0</v>
      </c>
      <c r="W3129" s="65">
        <v>0</v>
      </c>
      <c r="X3129" s="65">
        <v>0</v>
      </c>
      <c r="Y3129" s="65">
        <v>0</v>
      </c>
      <c r="Z3129" s="51">
        <v>11456.37</v>
      </c>
      <c r="AA3129" s="51">
        <v>0</v>
      </c>
      <c r="AB3129" s="102">
        <v>0</v>
      </c>
      <c r="AC3129" s="81">
        <f t="shared" si="148"/>
        <v>316.78539782164734</v>
      </c>
      <c r="AD3129" s="82">
        <f t="shared" si="149"/>
        <v>41.971428571428575</v>
      </c>
      <c r="AE3129" s="218">
        <v>0</v>
      </c>
      <c r="AF3129">
        <v>0</v>
      </c>
      <c r="AH3129" t="str">
        <f t="shared" si="150"/>
        <v>Sonvarsha</v>
      </c>
      <c r="AJ3129" s="72">
        <v>0</v>
      </c>
      <c r="AK3129" s="72"/>
      <c r="AL3129" s="72"/>
      <c r="AM3129" s="72"/>
    </row>
    <row r="3130" spans="1:39" x14ac:dyDescent="0.25">
      <c r="A3130" s="37" t="s">
        <v>62</v>
      </c>
      <c r="B3130" s="66" t="s">
        <v>1676</v>
      </c>
      <c r="C3130" s="4">
        <v>1006</v>
      </c>
      <c r="D3130" s="41" t="s">
        <v>179</v>
      </c>
      <c r="E3130" s="41">
        <v>10060045</v>
      </c>
      <c r="F3130" s="85" t="s">
        <v>1613</v>
      </c>
      <c r="G3130" s="39" t="s">
        <v>1610</v>
      </c>
      <c r="H3130" s="52" t="s">
        <v>98</v>
      </c>
      <c r="I3130" s="52">
        <v>632.79999999999995</v>
      </c>
      <c r="J3130" s="49">
        <v>27152.41</v>
      </c>
      <c r="K3130" s="58">
        <v>0</v>
      </c>
      <c r="L3130" s="58">
        <v>0</v>
      </c>
      <c r="M3130" s="58">
        <v>0</v>
      </c>
      <c r="N3130" s="58">
        <v>0</v>
      </c>
      <c r="O3130" s="58">
        <v>0</v>
      </c>
      <c r="P3130" s="53">
        <v>0</v>
      </c>
      <c r="Q3130" s="65">
        <v>27152.41</v>
      </c>
      <c r="R3130" s="65">
        <v>0</v>
      </c>
      <c r="S3130" s="65">
        <v>0</v>
      </c>
      <c r="T3130" s="65">
        <v>0</v>
      </c>
      <c r="U3130" s="58">
        <v>0</v>
      </c>
      <c r="V3130" s="65">
        <v>0</v>
      </c>
      <c r="W3130" s="65">
        <v>0</v>
      </c>
      <c r="X3130" s="65">
        <v>0</v>
      </c>
      <c r="Y3130" s="65">
        <v>0</v>
      </c>
      <c r="Z3130" s="51">
        <v>27152.41</v>
      </c>
      <c r="AA3130" s="51">
        <v>0</v>
      </c>
      <c r="AB3130" s="102">
        <v>0</v>
      </c>
      <c r="AC3130" s="81">
        <f t="shared" si="148"/>
        <v>57.668835398230144</v>
      </c>
      <c r="AD3130" s="82">
        <f t="shared" si="149"/>
        <v>90.399999999999991</v>
      </c>
      <c r="AE3130" s="218">
        <v>0</v>
      </c>
      <c r="AF3130">
        <v>0</v>
      </c>
      <c r="AH3130" t="str">
        <f t="shared" si="150"/>
        <v>Sonvarsha</v>
      </c>
      <c r="AJ3130" s="72">
        <v>0</v>
      </c>
      <c r="AK3130" s="72"/>
      <c r="AL3130" s="72"/>
      <c r="AM3130" s="72"/>
    </row>
    <row r="3131" spans="1:39" x14ac:dyDescent="0.25">
      <c r="A3131" s="37" t="s">
        <v>62</v>
      </c>
      <c r="B3131" s="66" t="s">
        <v>1676</v>
      </c>
      <c r="C3131" s="4">
        <v>1059</v>
      </c>
      <c r="D3131" s="41" t="s">
        <v>1299</v>
      </c>
      <c r="E3131" s="41">
        <v>10060049</v>
      </c>
      <c r="F3131" s="85" t="s">
        <v>200</v>
      </c>
      <c r="G3131" s="39" t="s">
        <v>92</v>
      </c>
      <c r="H3131" s="52" t="s">
        <v>93</v>
      </c>
      <c r="I3131" s="52">
        <v>767.09999999999991</v>
      </c>
      <c r="J3131" s="49">
        <v>36369.230000000003</v>
      </c>
      <c r="K3131" s="58">
        <v>760.92999999999984</v>
      </c>
      <c r="L3131" s="58">
        <v>36209.250000000007</v>
      </c>
      <c r="M3131" s="58">
        <v>7.0000000000000009</v>
      </c>
      <c r="N3131" s="58">
        <v>375.08</v>
      </c>
      <c r="O3131" s="58">
        <v>767.92999999999984</v>
      </c>
      <c r="P3131" s="53">
        <v>36584.330000000009</v>
      </c>
      <c r="Q3131" s="65">
        <v>36369.230000000003</v>
      </c>
      <c r="R3131" s="65">
        <v>0</v>
      </c>
      <c r="S3131" s="65">
        <v>375.08</v>
      </c>
      <c r="T3131" s="65">
        <v>215.10000000000582</v>
      </c>
      <c r="U3131" s="58">
        <v>774</v>
      </c>
      <c r="V3131" s="65">
        <v>0</v>
      </c>
      <c r="W3131" s="65">
        <v>0</v>
      </c>
      <c r="X3131" s="65">
        <v>35220</v>
      </c>
      <c r="Y3131" s="65">
        <v>0</v>
      </c>
      <c r="Z3131" s="51">
        <v>0</v>
      </c>
      <c r="AA3131" s="51">
        <v>0</v>
      </c>
      <c r="AB3131" s="102" t="s">
        <v>68</v>
      </c>
      <c r="AC3131" s="81">
        <f t="shared" ref="AC3131:AC3194" si="151">((IF(AD3131=0,0,100-AD3131))*7*(J3131/I3131))*2%</f>
        <v>0</v>
      </c>
      <c r="AD3131" s="82">
        <f t="shared" ref="AD3131:AD3194" si="152">IF((I3131/7)&gt;100,0,(I3131/7))</f>
        <v>0</v>
      </c>
      <c r="AE3131" s="218">
        <v>-5.9143402266148004E-3</v>
      </c>
      <c r="AF3131">
        <v>30</v>
      </c>
      <c r="AH3131" t="str">
        <f t="shared" si="150"/>
        <v>Gopalpur Bmc</v>
      </c>
      <c r="AJ3131" s="72">
        <v>0</v>
      </c>
      <c r="AK3131" s="72"/>
      <c r="AL3131" s="72"/>
      <c r="AM3131" s="72"/>
    </row>
    <row r="3132" spans="1:39" x14ac:dyDescent="0.25">
      <c r="A3132" s="37" t="s">
        <v>62</v>
      </c>
      <c r="B3132" s="66" t="s">
        <v>1676</v>
      </c>
      <c r="C3132" s="4">
        <v>1059</v>
      </c>
      <c r="D3132" s="41" t="s">
        <v>1299</v>
      </c>
      <c r="E3132" s="41">
        <v>10060050</v>
      </c>
      <c r="F3132" s="85" t="s">
        <v>201</v>
      </c>
      <c r="G3132" s="39" t="s">
        <v>92</v>
      </c>
      <c r="H3132" s="52" t="s">
        <v>93</v>
      </c>
      <c r="I3132" s="52">
        <v>573.4</v>
      </c>
      <c r="J3132" s="49">
        <v>27540.539999999994</v>
      </c>
      <c r="K3132" s="58">
        <v>581.57999999999981</v>
      </c>
      <c r="L3132" s="58">
        <v>27535.78000000001</v>
      </c>
      <c r="M3132" s="58">
        <v>8.1000000000000014</v>
      </c>
      <c r="N3132" s="58">
        <v>380.32000000000005</v>
      </c>
      <c r="O3132" s="58">
        <v>589.67999999999984</v>
      </c>
      <c r="P3132" s="53">
        <v>27916.100000000009</v>
      </c>
      <c r="Q3132" s="65">
        <v>27540.539999999994</v>
      </c>
      <c r="R3132" s="65">
        <v>0</v>
      </c>
      <c r="S3132" s="65">
        <v>380.32000000000005</v>
      </c>
      <c r="T3132" s="65">
        <v>375.56000000001586</v>
      </c>
      <c r="U3132" s="58">
        <v>0</v>
      </c>
      <c r="V3132" s="65">
        <v>0</v>
      </c>
      <c r="W3132" s="65">
        <v>0</v>
      </c>
      <c r="X3132" s="65">
        <v>27536</v>
      </c>
      <c r="Y3132" s="65">
        <v>0</v>
      </c>
      <c r="Z3132" s="51">
        <v>0</v>
      </c>
      <c r="AA3132" s="51">
        <v>-376</v>
      </c>
      <c r="AB3132" s="102" t="s">
        <v>66</v>
      </c>
      <c r="AC3132" s="81">
        <f t="shared" si="151"/>
        <v>121.61256937565399</v>
      </c>
      <c r="AD3132" s="82">
        <f t="shared" si="152"/>
        <v>81.914285714285711</v>
      </c>
      <c r="AE3132" s="218">
        <v>-1.3636624408962785E-2</v>
      </c>
      <c r="AF3132">
        <v>23</v>
      </c>
      <c r="AH3132" t="str">
        <f t="shared" si="150"/>
        <v>Gopalpur Bmc</v>
      </c>
      <c r="AJ3132" s="72">
        <v>0</v>
      </c>
      <c r="AK3132" s="72"/>
      <c r="AL3132" s="72"/>
      <c r="AM3132" s="72"/>
    </row>
    <row r="3133" spans="1:39" x14ac:dyDescent="0.25">
      <c r="A3133" s="37" t="s">
        <v>62</v>
      </c>
      <c r="B3133" s="66" t="s">
        <v>1676</v>
      </c>
      <c r="C3133" s="4">
        <v>1006</v>
      </c>
      <c r="D3133" s="41" t="s">
        <v>179</v>
      </c>
      <c r="E3133" s="41">
        <v>10060051</v>
      </c>
      <c r="F3133" s="85" t="s">
        <v>1361</v>
      </c>
      <c r="G3133" s="39" t="s">
        <v>1610</v>
      </c>
      <c r="H3133" s="52" t="s">
        <v>98</v>
      </c>
      <c r="I3133" s="52">
        <v>418.3</v>
      </c>
      <c r="J3133" s="49">
        <v>17548.64</v>
      </c>
      <c r="K3133" s="58">
        <v>0</v>
      </c>
      <c r="L3133" s="58">
        <v>0</v>
      </c>
      <c r="M3133" s="58">
        <v>0</v>
      </c>
      <c r="N3133" s="58">
        <v>0</v>
      </c>
      <c r="O3133" s="58">
        <v>0</v>
      </c>
      <c r="P3133" s="53">
        <v>0</v>
      </c>
      <c r="Q3133" s="65">
        <v>17548.64</v>
      </c>
      <c r="R3133" s="65">
        <v>0</v>
      </c>
      <c r="S3133" s="65">
        <v>0</v>
      </c>
      <c r="T3133" s="65">
        <v>0</v>
      </c>
      <c r="U3133" s="58">
        <v>0</v>
      </c>
      <c r="V3133" s="65">
        <v>0</v>
      </c>
      <c r="W3133" s="65">
        <v>0</v>
      </c>
      <c r="X3133" s="65">
        <v>0</v>
      </c>
      <c r="Y3133" s="65">
        <v>0</v>
      </c>
      <c r="Z3133" s="51">
        <v>17548.64</v>
      </c>
      <c r="AA3133" s="51">
        <v>0</v>
      </c>
      <c r="AB3133" s="102">
        <v>0</v>
      </c>
      <c r="AC3133" s="81">
        <f t="shared" si="151"/>
        <v>236.35916270619171</v>
      </c>
      <c r="AD3133" s="82">
        <f t="shared" si="152"/>
        <v>59.75714285714286</v>
      </c>
      <c r="AE3133" s="218">
        <v>0</v>
      </c>
      <c r="AF3133">
        <v>0</v>
      </c>
      <c r="AH3133" t="str">
        <f t="shared" si="150"/>
        <v>Sonvarsha</v>
      </c>
      <c r="AJ3133" s="72">
        <v>0</v>
      </c>
      <c r="AK3133" s="72"/>
      <c r="AL3133" s="72"/>
      <c r="AM3133" s="72"/>
    </row>
    <row r="3134" spans="1:39" x14ac:dyDescent="0.25">
      <c r="A3134" s="37" t="s">
        <v>62</v>
      </c>
      <c r="B3134" s="66" t="s">
        <v>1676</v>
      </c>
      <c r="C3134" s="4">
        <v>1006</v>
      </c>
      <c r="D3134" s="41" t="s">
        <v>179</v>
      </c>
      <c r="E3134" s="41">
        <v>10060052</v>
      </c>
      <c r="F3134" s="85" t="s">
        <v>1640</v>
      </c>
      <c r="G3134" s="39" t="s">
        <v>1610</v>
      </c>
      <c r="H3134" s="52" t="s">
        <v>98</v>
      </c>
      <c r="I3134" s="52">
        <v>563.4</v>
      </c>
      <c r="J3134" s="49">
        <v>21768.7</v>
      </c>
      <c r="K3134" s="58">
        <v>0</v>
      </c>
      <c r="L3134" s="58">
        <v>0</v>
      </c>
      <c r="M3134" s="58">
        <v>0</v>
      </c>
      <c r="N3134" s="58">
        <v>0</v>
      </c>
      <c r="O3134" s="58">
        <v>0</v>
      </c>
      <c r="P3134" s="53">
        <v>0</v>
      </c>
      <c r="Q3134" s="65">
        <v>21768.7</v>
      </c>
      <c r="R3134" s="65">
        <v>0</v>
      </c>
      <c r="S3134" s="65">
        <v>0</v>
      </c>
      <c r="T3134" s="65">
        <v>0</v>
      </c>
      <c r="U3134" s="58">
        <v>0</v>
      </c>
      <c r="V3134" s="65">
        <v>0</v>
      </c>
      <c r="W3134" s="65">
        <v>0</v>
      </c>
      <c r="X3134" s="65">
        <v>0</v>
      </c>
      <c r="Y3134" s="65">
        <v>0</v>
      </c>
      <c r="Z3134" s="51">
        <v>21768.7</v>
      </c>
      <c r="AA3134" s="51">
        <v>0</v>
      </c>
      <c r="AB3134" s="102">
        <v>0</v>
      </c>
      <c r="AC3134" s="81">
        <f t="shared" si="151"/>
        <v>105.55926233581827</v>
      </c>
      <c r="AD3134" s="82">
        <f t="shared" si="152"/>
        <v>80.48571428571428</v>
      </c>
      <c r="AE3134" s="218">
        <v>0</v>
      </c>
      <c r="AF3134">
        <v>0</v>
      </c>
      <c r="AH3134" t="str">
        <f t="shared" si="150"/>
        <v>Sonvarsha</v>
      </c>
      <c r="AJ3134" s="72">
        <v>0</v>
      </c>
      <c r="AK3134" s="72"/>
      <c r="AL3134" s="72"/>
      <c r="AM3134" s="72"/>
    </row>
    <row r="3135" spans="1:39" x14ac:dyDescent="0.25">
      <c r="A3135" s="37" t="s">
        <v>62</v>
      </c>
      <c r="B3135" s="66" t="s">
        <v>1676</v>
      </c>
      <c r="C3135" s="4">
        <v>1006</v>
      </c>
      <c r="D3135" s="41" t="s">
        <v>179</v>
      </c>
      <c r="E3135" s="41">
        <v>10060055</v>
      </c>
      <c r="F3135" s="85" t="s">
        <v>1373</v>
      </c>
      <c r="G3135" s="39" t="s">
        <v>1610</v>
      </c>
      <c r="H3135" s="52" t="s">
        <v>98</v>
      </c>
      <c r="I3135" s="52">
        <v>117.39999999999999</v>
      </c>
      <c r="J3135" s="49">
        <v>4530.9000000000005</v>
      </c>
      <c r="K3135" s="58">
        <v>0</v>
      </c>
      <c r="L3135" s="58">
        <v>0</v>
      </c>
      <c r="M3135" s="58">
        <v>0</v>
      </c>
      <c r="N3135" s="58">
        <v>0</v>
      </c>
      <c r="O3135" s="58">
        <v>0</v>
      </c>
      <c r="P3135" s="53">
        <v>0</v>
      </c>
      <c r="Q3135" s="65">
        <v>4530.9000000000005</v>
      </c>
      <c r="R3135" s="65">
        <v>0</v>
      </c>
      <c r="S3135" s="65">
        <v>0</v>
      </c>
      <c r="T3135" s="65">
        <v>0</v>
      </c>
      <c r="U3135" s="58">
        <v>0</v>
      </c>
      <c r="V3135" s="65">
        <v>0</v>
      </c>
      <c r="W3135" s="65">
        <v>0</v>
      </c>
      <c r="X3135" s="65">
        <v>0</v>
      </c>
      <c r="Y3135" s="65">
        <v>0</v>
      </c>
      <c r="Z3135" s="51">
        <v>4530.9000000000005</v>
      </c>
      <c r="AA3135" s="51">
        <v>0</v>
      </c>
      <c r="AB3135" s="102">
        <v>0</v>
      </c>
      <c r="AC3135" s="81">
        <f t="shared" si="151"/>
        <v>449.69375468483827</v>
      </c>
      <c r="AD3135" s="82">
        <f t="shared" si="152"/>
        <v>16.771428571428569</v>
      </c>
      <c r="AE3135" s="218">
        <v>0</v>
      </c>
      <c r="AF3135">
        <v>0</v>
      </c>
      <c r="AH3135" t="str">
        <f t="shared" si="150"/>
        <v>Sonvarsha</v>
      </c>
      <c r="AJ3135" s="72">
        <v>0</v>
      </c>
      <c r="AK3135" s="72"/>
      <c r="AL3135" s="72"/>
      <c r="AM3135" s="72"/>
    </row>
    <row r="3136" spans="1:39" x14ac:dyDescent="0.25">
      <c r="A3136" s="37" t="s">
        <v>62</v>
      </c>
      <c r="B3136" s="66" t="s">
        <v>1676</v>
      </c>
      <c r="C3136" s="4">
        <v>1006</v>
      </c>
      <c r="D3136" s="41" t="s">
        <v>179</v>
      </c>
      <c r="E3136" s="41">
        <v>10060058</v>
      </c>
      <c r="F3136" s="85" t="s">
        <v>202</v>
      </c>
      <c r="G3136" s="39" t="s">
        <v>92</v>
      </c>
      <c r="H3136" s="52" t="s">
        <v>93</v>
      </c>
      <c r="I3136" s="52">
        <v>364.40000000000003</v>
      </c>
      <c r="J3136" s="49">
        <v>14635.74</v>
      </c>
      <c r="K3136" s="58">
        <v>244.04000000000002</v>
      </c>
      <c r="L3136" s="58">
        <v>10070.109999999997</v>
      </c>
      <c r="M3136" s="58">
        <v>122.47</v>
      </c>
      <c r="N3136" s="58">
        <v>5100.5900000000011</v>
      </c>
      <c r="O3136" s="58">
        <v>366.51</v>
      </c>
      <c r="P3136" s="53">
        <v>15170.699999999997</v>
      </c>
      <c r="Q3136" s="65">
        <v>14635.74</v>
      </c>
      <c r="R3136" s="65">
        <v>0</v>
      </c>
      <c r="S3136" s="65">
        <v>150.42000000000002</v>
      </c>
      <c r="T3136" s="65">
        <v>534.95999999999731</v>
      </c>
      <c r="U3136" s="58">
        <v>0</v>
      </c>
      <c r="V3136" s="65">
        <v>0</v>
      </c>
      <c r="W3136" s="65">
        <v>0</v>
      </c>
      <c r="X3136" s="65">
        <v>9535</v>
      </c>
      <c r="Y3136" s="65">
        <v>4950</v>
      </c>
      <c r="Z3136" s="51">
        <v>0</v>
      </c>
      <c r="AA3136" s="51">
        <v>0</v>
      </c>
      <c r="AB3136" s="102">
        <v>0</v>
      </c>
      <c r="AC3136" s="81">
        <f t="shared" si="151"/>
        <v>269.5803701427003</v>
      </c>
      <c r="AD3136" s="82">
        <f t="shared" si="152"/>
        <v>52.057142857142864</v>
      </c>
      <c r="AE3136" s="218">
        <v>-3.6551619528633152E-2</v>
      </c>
      <c r="AF3136">
        <v>4</v>
      </c>
      <c r="AH3136" t="str">
        <f t="shared" si="150"/>
        <v>Sonvarsha</v>
      </c>
      <c r="AJ3136" s="72">
        <v>0</v>
      </c>
      <c r="AK3136" s="72"/>
      <c r="AL3136" s="72"/>
      <c r="AM3136" s="72"/>
    </row>
    <row r="3137" spans="1:39" x14ac:dyDescent="0.25">
      <c r="A3137" s="37" t="s">
        <v>62</v>
      </c>
      <c r="B3137" s="66" t="s">
        <v>1676</v>
      </c>
      <c r="C3137" s="4">
        <v>1006</v>
      </c>
      <c r="D3137" s="41" t="s">
        <v>179</v>
      </c>
      <c r="E3137" s="41">
        <v>10060061</v>
      </c>
      <c r="F3137" s="85" t="s">
        <v>1387</v>
      </c>
      <c r="G3137" s="39" t="s">
        <v>1610</v>
      </c>
      <c r="H3137" s="52" t="s">
        <v>98</v>
      </c>
      <c r="I3137" s="52">
        <v>104.5</v>
      </c>
      <c r="J3137" s="49">
        <v>3953.9999999999995</v>
      </c>
      <c r="K3137" s="58">
        <v>0</v>
      </c>
      <c r="L3137" s="58">
        <v>0</v>
      </c>
      <c r="M3137" s="58">
        <v>0</v>
      </c>
      <c r="N3137" s="58">
        <v>0</v>
      </c>
      <c r="O3137" s="58">
        <v>0</v>
      </c>
      <c r="P3137" s="53">
        <v>0</v>
      </c>
      <c r="Q3137" s="65">
        <v>3953.9999999999995</v>
      </c>
      <c r="R3137" s="65">
        <v>0</v>
      </c>
      <c r="S3137" s="65">
        <v>0</v>
      </c>
      <c r="T3137" s="65">
        <v>0</v>
      </c>
      <c r="U3137" s="58">
        <v>0</v>
      </c>
      <c r="V3137" s="65">
        <v>0</v>
      </c>
      <c r="W3137" s="65">
        <v>0</v>
      </c>
      <c r="X3137" s="65">
        <v>0</v>
      </c>
      <c r="Y3137" s="65">
        <v>0</v>
      </c>
      <c r="Z3137" s="51">
        <v>3953.9999999999995</v>
      </c>
      <c r="AA3137" s="51">
        <v>0</v>
      </c>
      <c r="AB3137" s="102">
        <v>0</v>
      </c>
      <c r="AC3137" s="81">
        <f t="shared" si="151"/>
        <v>450.64248803827746</v>
      </c>
      <c r="AD3137" s="82">
        <f t="shared" si="152"/>
        <v>14.928571428571429</v>
      </c>
      <c r="AE3137" s="218">
        <v>0</v>
      </c>
      <c r="AF3137">
        <v>0</v>
      </c>
      <c r="AH3137" t="str">
        <f t="shared" si="150"/>
        <v>Sonvarsha</v>
      </c>
      <c r="AJ3137" s="72">
        <v>0</v>
      </c>
      <c r="AK3137" s="72"/>
      <c r="AL3137" s="72"/>
      <c r="AM3137" s="72"/>
    </row>
    <row r="3138" spans="1:39" x14ac:dyDescent="0.25">
      <c r="A3138" s="37" t="s">
        <v>62</v>
      </c>
      <c r="B3138" s="66" t="s">
        <v>1676</v>
      </c>
      <c r="C3138" s="4">
        <v>1006</v>
      </c>
      <c r="D3138" s="41" t="s">
        <v>179</v>
      </c>
      <c r="E3138" s="41">
        <v>10060062</v>
      </c>
      <c r="F3138" s="85" t="s">
        <v>472</v>
      </c>
      <c r="G3138" s="39" t="s">
        <v>1610</v>
      </c>
      <c r="H3138" s="52" t="s">
        <v>98</v>
      </c>
      <c r="I3138" s="52">
        <v>307.8</v>
      </c>
      <c r="J3138" s="49">
        <v>13260.75</v>
      </c>
      <c r="K3138" s="58">
        <v>0</v>
      </c>
      <c r="L3138" s="58">
        <v>0</v>
      </c>
      <c r="M3138" s="58">
        <v>0</v>
      </c>
      <c r="N3138" s="58">
        <v>0</v>
      </c>
      <c r="O3138" s="58">
        <v>0</v>
      </c>
      <c r="P3138" s="53">
        <v>0</v>
      </c>
      <c r="Q3138" s="65">
        <v>13260.75</v>
      </c>
      <c r="R3138" s="65">
        <v>0</v>
      </c>
      <c r="S3138" s="65">
        <v>0</v>
      </c>
      <c r="T3138" s="65">
        <v>0</v>
      </c>
      <c r="U3138" s="58">
        <v>0</v>
      </c>
      <c r="V3138" s="65">
        <v>0</v>
      </c>
      <c r="W3138" s="65">
        <v>0</v>
      </c>
      <c r="X3138" s="65">
        <v>0</v>
      </c>
      <c r="Y3138" s="65">
        <v>0</v>
      </c>
      <c r="Z3138" s="51">
        <v>13260.75</v>
      </c>
      <c r="AA3138" s="51">
        <v>0</v>
      </c>
      <c r="AB3138" s="102">
        <v>0</v>
      </c>
      <c r="AC3138" s="81">
        <f t="shared" si="151"/>
        <v>337.93802144249509</v>
      </c>
      <c r="AD3138" s="82">
        <f t="shared" si="152"/>
        <v>43.971428571428575</v>
      </c>
      <c r="AE3138" s="218">
        <v>0</v>
      </c>
      <c r="AF3138">
        <v>0</v>
      </c>
      <c r="AH3138" t="str">
        <f t="shared" si="150"/>
        <v>Sonvarsha</v>
      </c>
      <c r="AJ3138" s="72">
        <v>0</v>
      </c>
      <c r="AK3138" s="72"/>
      <c r="AL3138" s="72"/>
      <c r="AM3138" s="72"/>
    </row>
    <row r="3139" spans="1:39" x14ac:dyDescent="0.25">
      <c r="A3139" s="37" t="s">
        <v>62</v>
      </c>
      <c r="B3139" s="66" t="s">
        <v>1676</v>
      </c>
      <c r="C3139" s="4">
        <v>1059</v>
      </c>
      <c r="D3139" s="41" t="s">
        <v>1299</v>
      </c>
      <c r="E3139" s="41">
        <v>10060069</v>
      </c>
      <c r="F3139" s="85" t="s">
        <v>439</v>
      </c>
      <c r="G3139" s="39" t="s">
        <v>92</v>
      </c>
      <c r="H3139" s="52" t="s">
        <v>93</v>
      </c>
      <c r="I3139" s="52">
        <v>241.79999999999998</v>
      </c>
      <c r="J3139" s="49">
        <v>11867.820000000002</v>
      </c>
      <c r="K3139" s="58">
        <v>249.96</v>
      </c>
      <c r="L3139" s="58">
        <v>12042.730000000001</v>
      </c>
      <c r="M3139" s="58">
        <v>0</v>
      </c>
      <c r="N3139" s="58">
        <v>0</v>
      </c>
      <c r="O3139" s="58">
        <v>249.96</v>
      </c>
      <c r="P3139" s="53">
        <v>12042.730000000001</v>
      </c>
      <c r="Q3139" s="65">
        <v>11867.820000000002</v>
      </c>
      <c r="R3139" s="65">
        <v>0</v>
      </c>
      <c r="S3139" s="65">
        <v>0</v>
      </c>
      <c r="T3139" s="65">
        <v>174.90999999999985</v>
      </c>
      <c r="U3139" s="58">
        <v>846</v>
      </c>
      <c r="V3139" s="65">
        <v>0</v>
      </c>
      <c r="W3139" s="65">
        <v>0</v>
      </c>
      <c r="X3139" s="65">
        <v>11197</v>
      </c>
      <c r="Y3139" s="65">
        <v>0</v>
      </c>
      <c r="Z3139" s="51">
        <v>0</v>
      </c>
      <c r="AA3139" s="51">
        <v>-175</v>
      </c>
      <c r="AB3139" s="102" t="s">
        <v>66</v>
      </c>
      <c r="AC3139" s="81">
        <f t="shared" si="151"/>
        <v>449.7795801488835</v>
      </c>
      <c r="AD3139" s="82">
        <f t="shared" si="152"/>
        <v>34.542857142857137</v>
      </c>
      <c r="AE3139" s="218">
        <v>-1.4738174323506745E-2</v>
      </c>
      <c r="AF3139">
        <v>1</v>
      </c>
      <c r="AH3139" t="str">
        <f t="shared" si="150"/>
        <v>Gopalpur Bmc</v>
      </c>
      <c r="AJ3139" s="72">
        <v>0</v>
      </c>
      <c r="AK3139" s="72"/>
      <c r="AL3139" s="72"/>
      <c r="AM3139" s="72"/>
    </row>
    <row r="3140" spans="1:39" x14ac:dyDescent="0.25">
      <c r="A3140" s="37" t="s">
        <v>62</v>
      </c>
      <c r="B3140" s="66" t="s">
        <v>1676</v>
      </c>
      <c r="C3140" s="4">
        <v>1059</v>
      </c>
      <c r="D3140" s="41" t="s">
        <v>1299</v>
      </c>
      <c r="E3140" s="41">
        <v>10060074</v>
      </c>
      <c r="F3140" s="85" t="s">
        <v>473</v>
      </c>
      <c r="G3140" s="39" t="s">
        <v>92</v>
      </c>
      <c r="H3140" s="52" t="s">
        <v>93</v>
      </c>
      <c r="I3140" s="52">
        <v>332.49999999999994</v>
      </c>
      <c r="J3140" s="49">
        <v>14455.369999999999</v>
      </c>
      <c r="K3140" s="58">
        <v>321.97000000000003</v>
      </c>
      <c r="L3140" s="58">
        <v>14586.909999999998</v>
      </c>
      <c r="M3140" s="58">
        <v>6.21</v>
      </c>
      <c r="N3140" s="58">
        <v>269.92</v>
      </c>
      <c r="O3140" s="58">
        <v>328.18</v>
      </c>
      <c r="P3140" s="53">
        <v>14856.829999999998</v>
      </c>
      <c r="Q3140" s="65">
        <v>14455.369999999999</v>
      </c>
      <c r="R3140" s="65">
        <v>0</v>
      </c>
      <c r="S3140" s="65">
        <v>269.92</v>
      </c>
      <c r="T3140" s="65">
        <v>401.45999999999913</v>
      </c>
      <c r="U3140" s="58">
        <v>0</v>
      </c>
      <c r="V3140" s="65">
        <v>0</v>
      </c>
      <c r="W3140" s="65">
        <v>0</v>
      </c>
      <c r="X3140" s="65">
        <v>0</v>
      </c>
      <c r="Y3140" s="65">
        <v>0</v>
      </c>
      <c r="Z3140" s="51">
        <v>0</v>
      </c>
      <c r="AA3140" s="51">
        <v>14185</v>
      </c>
      <c r="AB3140" s="102" t="s">
        <v>65</v>
      </c>
      <c r="AC3140" s="81">
        <f t="shared" si="151"/>
        <v>319.53975789473697</v>
      </c>
      <c r="AD3140" s="82">
        <f t="shared" si="152"/>
        <v>47.499999999999993</v>
      </c>
      <c r="AE3140" s="218">
        <v>-2.7772378015920668E-2</v>
      </c>
      <c r="AF3140">
        <v>12</v>
      </c>
      <c r="AH3140" t="str">
        <f t="shared" si="150"/>
        <v>Gopalpur Bmc</v>
      </c>
      <c r="AJ3140" s="72">
        <v>0</v>
      </c>
      <c r="AK3140" s="72"/>
      <c r="AL3140" s="72"/>
      <c r="AM3140" s="72"/>
    </row>
    <row r="3141" spans="1:39" x14ac:dyDescent="0.25">
      <c r="A3141" s="37" t="s">
        <v>62</v>
      </c>
      <c r="B3141" s="66" t="s">
        <v>1676</v>
      </c>
      <c r="C3141" s="4">
        <v>1006</v>
      </c>
      <c r="D3141" s="41" t="s">
        <v>179</v>
      </c>
      <c r="E3141" s="41">
        <v>10060076</v>
      </c>
      <c r="F3141" s="85" t="s">
        <v>505</v>
      </c>
      <c r="G3141" s="39" t="s">
        <v>92</v>
      </c>
      <c r="H3141" s="52" t="s">
        <v>93</v>
      </c>
      <c r="I3141" s="52">
        <v>364.89999999999992</v>
      </c>
      <c r="J3141" s="49">
        <v>15562.42</v>
      </c>
      <c r="K3141" s="58">
        <v>365</v>
      </c>
      <c r="L3141" s="58">
        <v>15656.33</v>
      </c>
      <c r="M3141" s="58">
        <v>0</v>
      </c>
      <c r="N3141" s="58">
        <v>0</v>
      </c>
      <c r="O3141" s="58">
        <v>365</v>
      </c>
      <c r="P3141" s="53">
        <v>15656.33</v>
      </c>
      <c r="Q3141" s="65">
        <v>15562.42</v>
      </c>
      <c r="R3141" s="65">
        <v>0</v>
      </c>
      <c r="S3141" s="65">
        <v>0</v>
      </c>
      <c r="T3141" s="65">
        <v>93.909999999999854</v>
      </c>
      <c r="U3141" s="58">
        <v>0</v>
      </c>
      <c r="V3141" s="65">
        <v>0</v>
      </c>
      <c r="W3141" s="65">
        <v>0</v>
      </c>
      <c r="X3141" s="65">
        <v>15562</v>
      </c>
      <c r="Y3141" s="65">
        <v>0</v>
      </c>
      <c r="Z3141" s="51">
        <v>0</v>
      </c>
      <c r="AA3141" s="51">
        <v>0</v>
      </c>
      <c r="AB3141" s="102">
        <v>0</v>
      </c>
      <c r="AC3141" s="81">
        <f t="shared" si="151"/>
        <v>285.82992282817219</v>
      </c>
      <c r="AD3141" s="82">
        <f t="shared" si="152"/>
        <v>52.128571428571419</v>
      </c>
      <c r="AE3141" s="218">
        <v>-6.0344085302928372E-3</v>
      </c>
      <c r="AF3141">
        <v>1</v>
      </c>
      <c r="AH3141" t="str">
        <f t="shared" si="150"/>
        <v>Sonvarsha</v>
      </c>
      <c r="AJ3141" s="72">
        <v>0</v>
      </c>
      <c r="AK3141" s="72"/>
      <c r="AL3141" s="72"/>
      <c r="AM3141" s="72"/>
    </row>
    <row r="3142" spans="1:39" x14ac:dyDescent="0.25">
      <c r="A3142" s="37" t="s">
        <v>62</v>
      </c>
      <c r="B3142" s="66" t="s">
        <v>1676</v>
      </c>
      <c r="C3142" s="4">
        <v>1006</v>
      </c>
      <c r="D3142" s="41" t="s">
        <v>179</v>
      </c>
      <c r="E3142" s="41">
        <v>10060077</v>
      </c>
      <c r="F3142" s="85" t="s">
        <v>494</v>
      </c>
      <c r="G3142" s="39" t="s">
        <v>92</v>
      </c>
      <c r="H3142" s="52" t="s">
        <v>93</v>
      </c>
      <c r="I3142" s="52">
        <v>1485.8000000000002</v>
      </c>
      <c r="J3142" s="49">
        <v>64667.670000000006</v>
      </c>
      <c r="K3142" s="58">
        <v>1346.0000000000005</v>
      </c>
      <c r="L3142" s="58">
        <v>57990.84</v>
      </c>
      <c r="M3142" s="58">
        <v>176.44</v>
      </c>
      <c r="N3142" s="58">
        <v>7673.5499999999993</v>
      </c>
      <c r="O3142" s="58">
        <v>1522.4400000000005</v>
      </c>
      <c r="P3142" s="53">
        <v>65664.39</v>
      </c>
      <c r="Q3142" s="65">
        <v>64667.670000000006</v>
      </c>
      <c r="R3142" s="65">
        <v>0</v>
      </c>
      <c r="S3142" s="65">
        <v>890.78000000000009</v>
      </c>
      <c r="T3142" s="65">
        <v>996.71999999999389</v>
      </c>
      <c r="U3142" s="58">
        <v>0</v>
      </c>
      <c r="V3142" s="65">
        <v>0</v>
      </c>
      <c r="W3142" s="65">
        <v>0</v>
      </c>
      <c r="X3142" s="65">
        <v>56994</v>
      </c>
      <c r="Y3142" s="65">
        <v>6783</v>
      </c>
      <c r="Z3142" s="51">
        <v>0</v>
      </c>
      <c r="AA3142" s="51">
        <v>0</v>
      </c>
      <c r="AB3142" s="102">
        <v>0</v>
      </c>
      <c r="AC3142" s="81">
        <f t="shared" si="151"/>
        <v>0</v>
      </c>
      <c r="AD3142" s="82">
        <f t="shared" si="152"/>
        <v>0</v>
      </c>
      <c r="AE3142" s="218">
        <v>-1.5412956737114446E-2</v>
      </c>
      <c r="AF3142">
        <v>38</v>
      </c>
      <c r="AH3142" t="str">
        <f t="shared" si="150"/>
        <v>Sonvarsha</v>
      </c>
      <c r="AJ3142" s="72">
        <v>0</v>
      </c>
      <c r="AK3142" s="72"/>
      <c r="AL3142" s="72"/>
      <c r="AM3142" s="72"/>
    </row>
    <row r="3143" spans="1:39" x14ac:dyDescent="0.25">
      <c r="A3143" s="37" t="s">
        <v>62</v>
      </c>
      <c r="B3143" s="66" t="s">
        <v>1676</v>
      </c>
      <c r="C3143" s="4">
        <v>1006</v>
      </c>
      <c r="D3143" s="41" t="s">
        <v>179</v>
      </c>
      <c r="E3143" s="41">
        <v>10060081</v>
      </c>
      <c r="F3143" s="85" t="s">
        <v>1656</v>
      </c>
      <c r="G3143" s="39" t="s">
        <v>1610</v>
      </c>
      <c r="H3143" s="52" t="s">
        <v>98</v>
      </c>
      <c r="I3143" s="52">
        <v>1212.5</v>
      </c>
      <c r="J3143" s="49">
        <v>49609.17</v>
      </c>
      <c r="K3143" s="58">
        <v>0</v>
      </c>
      <c r="L3143" s="58">
        <v>0</v>
      </c>
      <c r="M3143" s="58">
        <v>0</v>
      </c>
      <c r="N3143" s="58">
        <v>0</v>
      </c>
      <c r="O3143" s="58">
        <v>0</v>
      </c>
      <c r="P3143" s="53">
        <v>0</v>
      </c>
      <c r="Q3143" s="65">
        <v>49609.17</v>
      </c>
      <c r="R3143" s="65">
        <v>0</v>
      </c>
      <c r="S3143" s="65">
        <v>0</v>
      </c>
      <c r="T3143" s="65">
        <v>0</v>
      </c>
      <c r="U3143" s="58">
        <v>0</v>
      </c>
      <c r="V3143" s="65">
        <v>0</v>
      </c>
      <c r="W3143" s="65">
        <v>0</v>
      </c>
      <c r="X3143" s="65">
        <v>0</v>
      </c>
      <c r="Y3143" s="65">
        <v>0</v>
      </c>
      <c r="Z3143" s="51">
        <v>49609.17</v>
      </c>
      <c r="AA3143" s="51">
        <v>0</v>
      </c>
      <c r="AB3143" s="102">
        <v>0</v>
      </c>
      <c r="AC3143" s="81">
        <f t="shared" si="151"/>
        <v>0</v>
      </c>
      <c r="AD3143" s="82">
        <f t="shared" si="152"/>
        <v>0</v>
      </c>
      <c r="AE3143" s="218">
        <v>0</v>
      </c>
      <c r="AF3143">
        <v>0</v>
      </c>
      <c r="AH3143" t="str">
        <f t="shared" si="150"/>
        <v>Sonvarsha</v>
      </c>
      <c r="AJ3143" s="72">
        <v>0</v>
      </c>
      <c r="AK3143" s="72"/>
      <c r="AL3143" s="72"/>
      <c r="AM3143" s="72"/>
    </row>
    <row r="3144" spans="1:39" x14ac:dyDescent="0.25">
      <c r="A3144" s="37" t="s">
        <v>62</v>
      </c>
      <c r="B3144" s="66" t="s">
        <v>1676</v>
      </c>
      <c r="C3144" s="4">
        <v>1006</v>
      </c>
      <c r="D3144" s="41" t="s">
        <v>179</v>
      </c>
      <c r="E3144" s="41">
        <v>10060083</v>
      </c>
      <c r="F3144" s="85" t="s">
        <v>490</v>
      </c>
      <c r="G3144" s="39" t="s">
        <v>1610</v>
      </c>
      <c r="H3144" s="52" t="s">
        <v>98</v>
      </c>
      <c r="I3144" s="52">
        <v>2818.6000000000004</v>
      </c>
      <c r="J3144" s="49">
        <v>113050.46999999999</v>
      </c>
      <c r="K3144" s="58">
        <v>0</v>
      </c>
      <c r="L3144" s="58">
        <v>0</v>
      </c>
      <c r="M3144" s="58">
        <v>0</v>
      </c>
      <c r="N3144" s="58">
        <v>0</v>
      </c>
      <c r="O3144" s="58">
        <v>0</v>
      </c>
      <c r="P3144" s="53">
        <v>0</v>
      </c>
      <c r="Q3144" s="65">
        <v>113050.46999999999</v>
      </c>
      <c r="R3144" s="65">
        <v>0</v>
      </c>
      <c r="S3144" s="65">
        <v>0</v>
      </c>
      <c r="T3144" s="65">
        <v>0</v>
      </c>
      <c r="U3144" s="58">
        <v>0</v>
      </c>
      <c r="V3144" s="65">
        <v>0</v>
      </c>
      <c r="W3144" s="65">
        <v>0</v>
      </c>
      <c r="X3144" s="65">
        <v>0</v>
      </c>
      <c r="Y3144" s="65">
        <v>0</v>
      </c>
      <c r="Z3144" s="51">
        <v>113050.46999999999</v>
      </c>
      <c r="AA3144" s="51">
        <v>0</v>
      </c>
      <c r="AB3144" s="102">
        <v>0</v>
      </c>
      <c r="AC3144" s="81">
        <f t="shared" si="151"/>
        <v>0</v>
      </c>
      <c r="AD3144" s="82">
        <f t="shared" si="152"/>
        <v>0</v>
      </c>
      <c r="AE3144" s="218">
        <v>0</v>
      </c>
      <c r="AF3144">
        <v>0</v>
      </c>
      <c r="AH3144" t="str">
        <f t="shared" si="150"/>
        <v>Sonvarsha</v>
      </c>
      <c r="AJ3144" s="72">
        <v>0</v>
      </c>
      <c r="AK3144" s="72"/>
      <c r="AL3144" s="72"/>
      <c r="AM3144" s="72"/>
    </row>
    <row r="3145" spans="1:39" x14ac:dyDescent="0.25">
      <c r="A3145" s="37" t="s">
        <v>62</v>
      </c>
      <c r="B3145" s="66" t="s">
        <v>1676</v>
      </c>
      <c r="C3145" s="4">
        <v>1006</v>
      </c>
      <c r="D3145" s="41" t="s">
        <v>179</v>
      </c>
      <c r="E3145" s="41">
        <v>10060089</v>
      </c>
      <c r="F3145" s="85" t="s">
        <v>1522</v>
      </c>
      <c r="G3145" s="39" t="s">
        <v>1610</v>
      </c>
      <c r="H3145" s="52" t="s">
        <v>98</v>
      </c>
      <c r="I3145" s="52">
        <v>480.9</v>
      </c>
      <c r="J3145" s="49">
        <v>17003.37</v>
      </c>
      <c r="K3145" s="58">
        <v>0</v>
      </c>
      <c r="L3145" s="58">
        <v>0</v>
      </c>
      <c r="M3145" s="58">
        <v>0</v>
      </c>
      <c r="N3145" s="58">
        <v>0</v>
      </c>
      <c r="O3145" s="58">
        <v>0</v>
      </c>
      <c r="P3145" s="53">
        <v>0</v>
      </c>
      <c r="Q3145" s="65">
        <v>17003.37</v>
      </c>
      <c r="R3145" s="65">
        <v>0</v>
      </c>
      <c r="S3145" s="65">
        <v>0</v>
      </c>
      <c r="T3145" s="65">
        <v>0</v>
      </c>
      <c r="U3145" s="58">
        <v>0</v>
      </c>
      <c r="V3145" s="65">
        <v>0</v>
      </c>
      <c r="W3145" s="65">
        <v>0</v>
      </c>
      <c r="X3145" s="65">
        <v>0</v>
      </c>
      <c r="Y3145" s="65">
        <v>0</v>
      </c>
      <c r="Z3145" s="51">
        <v>17003.37</v>
      </c>
      <c r="AA3145" s="51">
        <v>0</v>
      </c>
      <c r="AB3145" s="102">
        <v>0</v>
      </c>
      <c r="AC3145" s="81">
        <f t="shared" si="151"/>
        <v>154.93609344978165</v>
      </c>
      <c r="AD3145" s="82">
        <f t="shared" si="152"/>
        <v>68.7</v>
      </c>
      <c r="AE3145" s="218">
        <v>0</v>
      </c>
      <c r="AF3145">
        <v>0</v>
      </c>
      <c r="AH3145" t="str">
        <f t="shared" si="150"/>
        <v>Sonvarsha</v>
      </c>
      <c r="AJ3145" s="72">
        <v>0</v>
      </c>
      <c r="AK3145" s="72"/>
      <c r="AL3145" s="72"/>
      <c r="AM3145" s="72"/>
    </row>
    <row r="3146" spans="1:39" x14ac:dyDescent="0.25">
      <c r="A3146" s="37" t="s">
        <v>62</v>
      </c>
      <c r="B3146" s="66" t="s">
        <v>1676</v>
      </c>
      <c r="C3146" s="4">
        <v>1059</v>
      </c>
      <c r="D3146" s="41" t="s">
        <v>1299</v>
      </c>
      <c r="E3146" s="41">
        <v>10060090</v>
      </c>
      <c r="F3146" s="85" t="s">
        <v>520</v>
      </c>
      <c r="G3146" s="39" t="s">
        <v>92</v>
      </c>
      <c r="H3146" s="52" t="s">
        <v>93</v>
      </c>
      <c r="I3146" s="52">
        <v>562.40000000000009</v>
      </c>
      <c r="J3146" s="49">
        <v>25955.68</v>
      </c>
      <c r="K3146" s="58">
        <v>583.42000000000007</v>
      </c>
      <c r="L3146" s="58">
        <v>26020.989999999998</v>
      </c>
      <c r="M3146" s="58">
        <v>0</v>
      </c>
      <c r="N3146" s="58">
        <v>0</v>
      </c>
      <c r="O3146" s="58">
        <v>583.42000000000007</v>
      </c>
      <c r="P3146" s="53">
        <v>26020.989999999998</v>
      </c>
      <c r="Q3146" s="65">
        <v>25955.68</v>
      </c>
      <c r="R3146" s="65">
        <v>0</v>
      </c>
      <c r="S3146" s="65">
        <v>0</v>
      </c>
      <c r="T3146" s="65">
        <v>65.309999999997672</v>
      </c>
      <c r="U3146" s="58">
        <v>1152.75</v>
      </c>
      <c r="V3146" s="65">
        <v>0</v>
      </c>
      <c r="W3146" s="65">
        <v>0</v>
      </c>
      <c r="X3146" s="65">
        <v>24803</v>
      </c>
      <c r="Y3146" s="65">
        <v>0</v>
      </c>
      <c r="Z3146" s="51">
        <v>0</v>
      </c>
      <c r="AA3146" s="51">
        <v>0</v>
      </c>
      <c r="AB3146" s="102">
        <v>0</v>
      </c>
      <c r="AC3146" s="81">
        <f t="shared" si="151"/>
        <v>127.00930184921754</v>
      </c>
      <c r="AD3146" s="82">
        <f t="shared" si="152"/>
        <v>80.342857142857156</v>
      </c>
      <c r="AE3146" s="218">
        <v>-2.516212251037063E-3</v>
      </c>
      <c r="AF3146">
        <v>3</v>
      </c>
      <c r="AH3146" t="str">
        <f t="shared" si="150"/>
        <v>Gopalpur Bmc</v>
      </c>
      <c r="AJ3146" s="72">
        <v>0</v>
      </c>
      <c r="AK3146" s="72"/>
      <c r="AL3146" s="72"/>
      <c r="AM3146" s="72"/>
    </row>
    <row r="3147" spans="1:39" x14ac:dyDescent="0.25">
      <c r="A3147" s="37" t="s">
        <v>62</v>
      </c>
      <c r="B3147" s="66" t="s">
        <v>1676</v>
      </c>
      <c r="C3147" s="4">
        <v>1006</v>
      </c>
      <c r="D3147" s="41" t="s">
        <v>179</v>
      </c>
      <c r="E3147" s="41">
        <v>10060096</v>
      </c>
      <c r="F3147" s="85" t="s">
        <v>521</v>
      </c>
      <c r="G3147" s="39" t="s">
        <v>1610</v>
      </c>
      <c r="H3147" s="52" t="s">
        <v>98</v>
      </c>
      <c r="I3147" s="52">
        <v>690.80000000000007</v>
      </c>
      <c r="J3147" s="49">
        <v>26854.89</v>
      </c>
      <c r="K3147" s="58">
        <v>0</v>
      </c>
      <c r="L3147" s="58">
        <v>0</v>
      </c>
      <c r="M3147" s="58">
        <v>0</v>
      </c>
      <c r="N3147" s="58">
        <v>0</v>
      </c>
      <c r="O3147" s="58">
        <v>0</v>
      </c>
      <c r="P3147" s="53">
        <v>0</v>
      </c>
      <c r="Q3147" s="65">
        <v>26854.89</v>
      </c>
      <c r="R3147" s="65">
        <v>0</v>
      </c>
      <c r="S3147" s="65">
        <v>0</v>
      </c>
      <c r="T3147" s="65">
        <v>0</v>
      </c>
      <c r="U3147" s="58">
        <v>0</v>
      </c>
      <c r="V3147" s="65">
        <v>0</v>
      </c>
      <c r="W3147" s="65">
        <v>0</v>
      </c>
      <c r="X3147" s="65">
        <v>0</v>
      </c>
      <c r="Y3147" s="65">
        <v>0</v>
      </c>
      <c r="Z3147" s="51">
        <v>26854.89</v>
      </c>
      <c r="AA3147" s="51">
        <v>0</v>
      </c>
      <c r="AB3147" s="102">
        <v>0</v>
      </c>
      <c r="AC3147" s="81">
        <f t="shared" si="151"/>
        <v>7.1530106543137748</v>
      </c>
      <c r="AD3147" s="82">
        <f t="shared" si="152"/>
        <v>98.685714285714297</v>
      </c>
      <c r="AE3147" s="218">
        <v>0</v>
      </c>
      <c r="AF3147">
        <v>0</v>
      </c>
      <c r="AH3147" t="str">
        <f t="shared" si="150"/>
        <v>Sonvarsha</v>
      </c>
      <c r="AJ3147" s="72">
        <v>0</v>
      </c>
      <c r="AK3147" s="72"/>
      <c r="AL3147" s="72"/>
      <c r="AM3147" s="72"/>
    </row>
    <row r="3148" spans="1:39" x14ac:dyDescent="0.25">
      <c r="A3148" s="37" t="s">
        <v>62</v>
      </c>
      <c r="B3148" s="66" t="s">
        <v>1676</v>
      </c>
      <c r="C3148" s="4">
        <v>1006</v>
      </c>
      <c r="D3148" s="41" t="s">
        <v>179</v>
      </c>
      <c r="E3148" s="41">
        <v>10060097</v>
      </c>
      <c r="F3148" s="85" t="s">
        <v>556</v>
      </c>
      <c r="G3148" s="39" t="s">
        <v>1610</v>
      </c>
      <c r="H3148" s="52" t="s">
        <v>98</v>
      </c>
      <c r="I3148" s="52">
        <v>1197</v>
      </c>
      <c r="J3148" s="49">
        <v>48720.46</v>
      </c>
      <c r="K3148" s="58">
        <v>0</v>
      </c>
      <c r="L3148" s="58">
        <v>0</v>
      </c>
      <c r="M3148" s="58">
        <v>0</v>
      </c>
      <c r="N3148" s="58">
        <v>0</v>
      </c>
      <c r="O3148" s="58">
        <v>0</v>
      </c>
      <c r="P3148" s="53">
        <v>0</v>
      </c>
      <c r="Q3148" s="65">
        <v>48720.46</v>
      </c>
      <c r="R3148" s="65">
        <v>0</v>
      </c>
      <c r="S3148" s="65">
        <v>0</v>
      </c>
      <c r="T3148" s="65">
        <v>0</v>
      </c>
      <c r="U3148" s="58">
        <v>0</v>
      </c>
      <c r="V3148" s="65">
        <v>0</v>
      </c>
      <c r="W3148" s="65">
        <v>0</v>
      </c>
      <c r="X3148" s="65">
        <v>0</v>
      </c>
      <c r="Y3148" s="65">
        <v>0</v>
      </c>
      <c r="Z3148" s="51">
        <v>48720.46</v>
      </c>
      <c r="AA3148" s="51">
        <v>0</v>
      </c>
      <c r="AB3148" s="102">
        <v>0</v>
      </c>
      <c r="AC3148" s="81">
        <f t="shared" si="151"/>
        <v>0</v>
      </c>
      <c r="AD3148" s="82">
        <f t="shared" si="152"/>
        <v>0</v>
      </c>
      <c r="AE3148" s="218">
        <v>0</v>
      </c>
      <c r="AF3148">
        <v>0</v>
      </c>
      <c r="AH3148" t="str">
        <f t="shared" si="150"/>
        <v>Sonvarsha</v>
      </c>
      <c r="AJ3148" s="72">
        <v>0</v>
      </c>
      <c r="AK3148" s="72"/>
      <c r="AL3148" s="72"/>
      <c r="AM3148" s="72"/>
    </row>
    <row r="3149" spans="1:39" x14ac:dyDescent="0.25">
      <c r="A3149" s="37" t="s">
        <v>62</v>
      </c>
      <c r="B3149" s="66" t="s">
        <v>1676</v>
      </c>
      <c r="C3149" s="4">
        <v>1006</v>
      </c>
      <c r="D3149" s="41" t="s">
        <v>179</v>
      </c>
      <c r="E3149" s="41">
        <v>10060098</v>
      </c>
      <c r="F3149" s="85" t="s">
        <v>645</v>
      </c>
      <c r="G3149" s="39" t="s">
        <v>92</v>
      </c>
      <c r="H3149" s="52" t="s">
        <v>93</v>
      </c>
      <c r="I3149" s="52">
        <v>1935.1999999999996</v>
      </c>
      <c r="J3149" s="49">
        <v>88158.329999999987</v>
      </c>
      <c r="K3149" s="58">
        <v>1238.4400000000005</v>
      </c>
      <c r="L3149" s="58">
        <v>60631.61</v>
      </c>
      <c r="M3149" s="58">
        <v>702.37</v>
      </c>
      <c r="N3149" s="58">
        <v>29132.27</v>
      </c>
      <c r="O3149" s="58">
        <v>1940.8100000000004</v>
      </c>
      <c r="P3149" s="53">
        <v>89763.88</v>
      </c>
      <c r="Q3149" s="65">
        <v>88158.329999999987</v>
      </c>
      <c r="R3149" s="65">
        <v>0</v>
      </c>
      <c r="S3149" s="65">
        <v>572.70000000000016</v>
      </c>
      <c r="T3149" s="65">
        <v>1605.5500000000175</v>
      </c>
      <c r="U3149" s="58">
        <v>1350</v>
      </c>
      <c r="V3149" s="65">
        <v>0</v>
      </c>
      <c r="W3149" s="65">
        <v>0</v>
      </c>
      <c r="X3149" s="65">
        <v>59026</v>
      </c>
      <c r="Y3149" s="65">
        <v>27209</v>
      </c>
      <c r="Z3149" s="51">
        <v>0</v>
      </c>
      <c r="AA3149" s="51">
        <v>1</v>
      </c>
      <c r="AB3149" s="102" t="s">
        <v>68</v>
      </c>
      <c r="AC3149" s="81">
        <f t="shared" si="151"/>
        <v>0</v>
      </c>
      <c r="AD3149" s="82">
        <f t="shared" si="152"/>
        <v>0</v>
      </c>
      <c r="AE3149" s="218">
        <v>-1.8212119036284124E-2</v>
      </c>
      <c r="AF3149">
        <v>20</v>
      </c>
      <c r="AH3149" t="str">
        <f t="shared" si="150"/>
        <v>Sonvarsha</v>
      </c>
      <c r="AJ3149" s="72">
        <v>0</v>
      </c>
      <c r="AK3149" s="72"/>
      <c r="AL3149" s="72"/>
      <c r="AM3149" s="72"/>
    </row>
    <row r="3150" spans="1:39" x14ac:dyDescent="0.25">
      <c r="A3150" s="37" t="s">
        <v>62</v>
      </c>
      <c r="B3150" s="66" t="s">
        <v>1676</v>
      </c>
      <c r="C3150" s="4">
        <v>1006</v>
      </c>
      <c r="D3150" s="41" t="s">
        <v>179</v>
      </c>
      <c r="E3150" s="41">
        <v>10060104</v>
      </c>
      <c r="F3150" s="85" t="s">
        <v>650</v>
      </c>
      <c r="G3150" s="39" t="s">
        <v>1610</v>
      </c>
      <c r="H3150" s="52" t="s">
        <v>98</v>
      </c>
      <c r="I3150" s="52">
        <v>1844.1000000000001</v>
      </c>
      <c r="J3150" s="49">
        <v>74403.850000000006</v>
      </c>
      <c r="K3150" s="58">
        <v>0</v>
      </c>
      <c r="L3150" s="58">
        <v>0</v>
      </c>
      <c r="M3150" s="58">
        <v>0</v>
      </c>
      <c r="N3150" s="58">
        <v>0</v>
      </c>
      <c r="O3150" s="58">
        <v>0</v>
      </c>
      <c r="P3150" s="53">
        <v>0</v>
      </c>
      <c r="Q3150" s="65">
        <v>74403.850000000006</v>
      </c>
      <c r="R3150" s="65">
        <v>0</v>
      </c>
      <c r="S3150" s="65">
        <v>0</v>
      </c>
      <c r="T3150" s="65">
        <v>0</v>
      </c>
      <c r="U3150" s="58">
        <v>0</v>
      </c>
      <c r="V3150" s="65">
        <v>0</v>
      </c>
      <c r="W3150" s="65">
        <v>0</v>
      </c>
      <c r="X3150" s="65">
        <v>0</v>
      </c>
      <c r="Y3150" s="65">
        <v>0</v>
      </c>
      <c r="Z3150" s="51">
        <v>74403.850000000006</v>
      </c>
      <c r="AA3150" s="51">
        <v>0</v>
      </c>
      <c r="AB3150" s="102">
        <v>0</v>
      </c>
      <c r="AC3150" s="81">
        <f t="shared" si="151"/>
        <v>0</v>
      </c>
      <c r="AD3150" s="82">
        <f t="shared" si="152"/>
        <v>0</v>
      </c>
      <c r="AE3150" s="218">
        <v>0</v>
      </c>
      <c r="AF3150">
        <v>0</v>
      </c>
      <c r="AH3150" t="str">
        <f t="shared" si="150"/>
        <v>Sonvarsha</v>
      </c>
      <c r="AJ3150" s="72">
        <v>0</v>
      </c>
      <c r="AK3150" s="72"/>
      <c r="AL3150" s="72"/>
      <c r="AM3150" s="72"/>
    </row>
    <row r="3151" spans="1:39" x14ac:dyDescent="0.25">
      <c r="A3151" s="37" t="s">
        <v>62</v>
      </c>
      <c r="B3151" s="66" t="s">
        <v>1676</v>
      </c>
      <c r="C3151" s="4">
        <v>1006</v>
      </c>
      <c r="D3151" s="41" t="s">
        <v>179</v>
      </c>
      <c r="E3151" s="41">
        <v>10060106</v>
      </c>
      <c r="F3151" s="85" t="s">
        <v>678</v>
      </c>
      <c r="G3151" s="39" t="s">
        <v>92</v>
      </c>
      <c r="H3151" s="52" t="s">
        <v>93</v>
      </c>
      <c r="I3151" s="52">
        <v>864.90000000000009</v>
      </c>
      <c r="J3151" s="49">
        <v>43511.840000000004</v>
      </c>
      <c r="K3151" s="58">
        <v>854.02</v>
      </c>
      <c r="L3151" s="58">
        <v>47893.500000000007</v>
      </c>
      <c r="M3151" s="58">
        <v>8.5900000000000016</v>
      </c>
      <c r="N3151" s="58">
        <v>378.03</v>
      </c>
      <c r="O3151" s="58">
        <v>862.61</v>
      </c>
      <c r="P3151" s="53">
        <v>48271.530000000006</v>
      </c>
      <c r="Q3151" s="65">
        <v>43511.840000000004</v>
      </c>
      <c r="R3151" s="65">
        <v>0</v>
      </c>
      <c r="S3151" s="65">
        <v>378.03</v>
      </c>
      <c r="T3151" s="65">
        <v>4759.6900000000023</v>
      </c>
      <c r="U3151" s="58">
        <v>0</v>
      </c>
      <c r="V3151" s="65">
        <v>0</v>
      </c>
      <c r="W3151" s="65">
        <v>0</v>
      </c>
      <c r="X3151" s="65">
        <v>43134</v>
      </c>
      <c r="Y3151" s="65">
        <v>0</v>
      </c>
      <c r="Z3151" s="51">
        <v>0</v>
      </c>
      <c r="AA3151" s="51">
        <v>0</v>
      </c>
      <c r="AB3151" s="102">
        <v>0</v>
      </c>
      <c r="AC3151" s="81">
        <f t="shared" si="151"/>
        <v>0</v>
      </c>
      <c r="AD3151" s="82">
        <f t="shared" si="152"/>
        <v>0</v>
      </c>
      <c r="AE3151" s="218">
        <v>-0.10938838716082799</v>
      </c>
      <c r="AF3151">
        <v>12</v>
      </c>
      <c r="AH3151" t="str">
        <f t="shared" si="150"/>
        <v>Sonvarsha</v>
      </c>
      <c r="AJ3151" s="72">
        <v>0</v>
      </c>
      <c r="AK3151" s="72"/>
      <c r="AL3151" s="72"/>
      <c r="AM3151" s="72"/>
    </row>
    <row r="3152" spans="1:39" x14ac:dyDescent="0.25">
      <c r="A3152" s="37" t="s">
        <v>62</v>
      </c>
      <c r="B3152" s="66" t="s">
        <v>1676</v>
      </c>
      <c r="C3152" s="4">
        <v>1006</v>
      </c>
      <c r="D3152" s="41" t="s">
        <v>179</v>
      </c>
      <c r="E3152" s="41">
        <v>10060107</v>
      </c>
      <c r="F3152" s="85" t="s">
        <v>642</v>
      </c>
      <c r="G3152" s="39" t="s">
        <v>1610</v>
      </c>
      <c r="H3152" s="52" t="s">
        <v>98</v>
      </c>
      <c r="I3152" s="52">
        <v>1121.6999999999998</v>
      </c>
      <c r="J3152" s="49">
        <v>46564.43</v>
      </c>
      <c r="K3152" s="58">
        <v>0</v>
      </c>
      <c r="L3152" s="58">
        <v>0</v>
      </c>
      <c r="M3152" s="58">
        <v>0</v>
      </c>
      <c r="N3152" s="58">
        <v>0</v>
      </c>
      <c r="O3152" s="58">
        <v>0</v>
      </c>
      <c r="P3152" s="53">
        <v>0</v>
      </c>
      <c r="Q3152" s="65">
        <v>46564.43</v>
      </c>
      <c r="R3152" s="65">
        <v>0</v>
      </c>
      <c r="S3152" s="65">
        <v>0</v>
      </c>
      <c r="T3152" s="65">
        <v>0</v>
      </c>
      <c r="U3152" s="58">
        <v>0</v>
      </c>
      <c r="V3152" s="65">
        <v>0</v>
      </c>
      <c r="W3152" s="65">
        <v>0</v>
      </c>
      <c r="X3152" s="65">
        <v>0</v>
      </c>
      <c r="Y3152" s="65">
        <v>0</v>
      </c>
      <c r="Z3152" s="51">
        <v>46564.43</v>
      </c>
      <c r="AA3152" s="51">
        <v>0</v>
      </c>
      <c r="AB3152" s="102">
        <v>0</v>
      </c>
      <c r="AC3152" s="81">
        <f t="shared" si="151"/>
        <v>0</v>
      </c>
      <c r="AD3152" s="82">
        <f t="shared" si="152"/>
        <v>0</v>
      </c>
      <c r="AE3152" s="218">
        <v>0</v>
      </c>
      <c r="AF3152">
        <v>0</v>
      </c>
      <c r="AH3152" t="str">
        <f t="shared" si="150"/>
        <v>Sonvarsha</v>
      </c>
      <c r="AJ3152" s="72">
        <v>0</v>
      </c>
      <c r="AK3152" s="72"/>
      <c r="AL3152" s="72"/>
      <c r="AM3152" s="72"/>
    </row>
    <row r="3153" spans="1:39" x14ac:dyDescent="0.25">
      <c r="A3153" s="37" t="s">
        <v>62</v>
      </c>
      <c r="B3153" s="66" t="s">
        <v>1676</v>
      </c>
      <c r="C3153" s="4">
        <v>1006</v>
      </c>
      <c r="D3153" s="41" t="s">
        <v>179</v>
      </c>
      <c r="E3153" s="41">
        <v>10060110</v>
      </c>
      <c r="F3153" s="85" t="s">
        <v>823</v>
      </c>
      <c r="G3153" s="39" t="s">
        <v>92</v>
      </c>
      <c r="H3153" s="52" t="s">
        <v>93</v>
      </c>
      <c r="I3153" s="52">
        <v>470.7</v>
      </c>
      <c r="J3153" s="49">
        <v>20116.389999999996</v>
      </c>
      <c r="K3153" s="58">
        <v>275.3</v>
      </c>
      <c r="L3153" s="58">
        <v>12185</v>
      </c>
      <c r="M3153" s="58">
        <v>215.14</v>
      </c>
      <c r="N3153" s="58">
        <v>9037.2899999999991</v>
      </c>
      <c r="O3153" s="58">
        <v>490.44</v>
      </c>
      <c r="P3153" s="53">
        <v>21222.29</v>
      </c>
      <c r="Q3153" s="65">
        <v>20116.389999999996</v>
      </c>
      <c r="R3153" s="65">
        <v>0</v>
      </c>
      <c r="S3153" s="65">
        <v>147.09</v>
      </c>
      <c r="T3153" s="65">
        <v>1105.9000000000051</v>
      </c>
      <c r="U3153" s="58">
        <v>0</v>
      </c>
      <c r="V3153" s="65">
        <v>500</v>
      </c>
      <c r="W3153" s="65">
        <v>0</v>
      </c>
      <c r="X3153" s="65">
        <v>10578</v>
      </c>
      <c r="Y3153" s="65">
        <v>8891</v>
      </c>
      <c r="Z3153" s="51">
        <v>0</v>
      </c>
      <c r="AA3153" s="51">
        <v>0</v>
      </c>
      <c r="AB3153" s="102">
        <v>0</v>
      </c>
      <c r="AC3153" s="81">
        <f t="shared" si="151"/>
        <v>195.99270138092197</v>
      </c>
      <c r="AD3153" s="82">
        <f t="shared" si="152"/>
        <v>67.242857142857147</v>
      </c>
      <c r="AE3153" s="218">
        <v>-5.4975072565207041E-2</v>
      </c>
      <c r="AF3153">
        <v>8</v>
      </c>
      <c r="AH3153" t="str">
        <f t="shared" si="150"/>
        <v>Sonvarsha</v>
      </c>
      <c r="AJ3153" s="72">
        <v>500</v>
      </c>
      <c r="AK3153" s="72"/>
      <c r="AL3153" s="72"/>
      <c r="AM3153" s="72"/>
    </row>
    <row r="3154" spans="1:39" x14ac:dyDescent="0.25">
      <c r="A3154" s="37" t="s">
        <v>62</v>
      </c>
      <c r="B3154" s="66" t="s">
        <v>1676</v>
      </c>
      <c r="C3154" s="4">
        <v>1006</v>
      </c>
      <c r="D3154" s="41" t="s">
        <v>179</v>
      </c>
      <c r="E3154" s="41">
        <v>10060111</v>
      </c>
      <c r="F3154" s="85" t="s">
        <v>824</v>
      </c>
      <c r="G3154" s="39" t="s">
        <v>92</v>
      </c>
      <c r="H3154" s="52" t="s">
        <v>93</v>
      </c>
      <c r="I3154" s="52">
        <v>390</v>
      </c>
      <c r="J3154" s="49">
        <v>16177.859999999999</v>
      </c>
      <c r="K3154" s="58">
        <v>472.87</v>
      </c>
      <c r="L3154" s="58">
        <v>28843.56</v>
      </c>
      <c r="M3154" s="58">
        <v>0</v>
      </c>
      <c r="N3154" s="58">
        <v>0</v>
      </c>
      <c r="O3154" s="58">
        <v>472.87</v>
      </c>
      <c r="P3154" s="53">
        <v>28843.56</v>
      </c>
      <c r="Q3154" s="65">
        <v>16177.859999999999</v>
      </c>
      <c r="R3154" s="65">
        <v>0</v>
      </c>
      <c r="S3154" s="65">
        <v>0</v>
      </c>
      <c r="T3154" s="65">
        <v>12665.700000000003</v>
      </c>
      <c r="U3154" s="58">
        <v>6750</v>
      </c>
      <c r="V3154" s="65">
        <v>0</v>
      </c>
      <c r="W3154" s="65">
        <v>0</v>
      </c>
      <c r="X3154" s="65">
        <v>9428</v>
      </c>
      <c r="Y3154" s="65">
        <v>0</v>
      </c>
      <c r="Z3154" s="51">
        <v>0</v>
      </c>
      <c r="AA3154" s="51">
        <v>0</v>
      </c>
      <c r="AB3154" s="102" t="s">
        <v>66</v>
      </c>
      <c r="AC3154" s="81">
        <f t="shared" si="151"/>
        <v>257.18649230769233</v>
      </c>
      <c r="AD3154" s="82">
        <f t="shared" si="152"/>
        <v>55.714285714285715</v>
      </c>
      <c r="AE3154" s="218">
        <v>-0.78290330117827722</v>
      </c>
      <c r="AF3154">
        <v>3</v>
      </c>
      <c r="AH3154" t="str">
        <f t="shared" si="150"/>
        <v>Sonvarsha</v>
      </c>
      <c r="AJ3154" s="72">
        <v>0</v>
      </c>
      <c r="AK3154" s="72"/>
      <c r="AL3154" s="72"/>
      <c r="AM3154" s="72"/>
    </row>
    <row r="3155" spans="1:39" x14ac:dyDescent="0.25">
      <c r="A3155" s="37" t="s">
        <v>62</v>
      </c>
      <c r="B3155" s="66" t="s">
        <v>1676</v>
      </c>
      <c r="C3155" s="4">
        <v>1006</v>
      </c>
      <c r="D3155" s="41" t="s">
        <v>179</v>
      </c>
      <c r="E3155" s="41">
        <v>10060113</v>
      </c>
      <c r="F3155" s="85" t="s">
        <v>825</v>
      </c>
      <c r="G3155" s="39" t="s">
        <v>1610</v>
      </c>
      <c r="H3155" s="52" t="s">
        <v>98</v>
      </c>
      <c r="I3155" s="52">
        <v>769.9</v>
      </c>
      <c r="J3155" s="49">
        <v>31363.960000000006</v>
      </c>
      <c r="K3155" s="58">
        <v>0</v>
      </c>
      <c r="L3155" s="58">
        <v>0</v>
      </c>
      <c r="M3155" s="58">
        <v>0</v>
      </c>
      <c r="N3155" s="58">
        <v>0</v>
      </c>
      <c r="O3155" s="58">
        <v>0</v>
      </c>
      <c r="P3155" s="53">
        <v>0</v>
      </c>
      <c r="Q3155" s="65">
        <v>31363.960000000006</v>
      </c>
      <c r="R3155" s="65">
        <v>0</v>
      </c>
      <c r="S3155" s="65">
        <v>0</v>
      </c>
      <c r="T3155" s="65">
        <v>0</v>
      </c>
      <c r="U3155" s="58">
        <v>0</v>
      </c>
      <c r="V3155" s="65">
        <v>0</v>
      </c>
      <c r="W3155" s="65">
        <v>0</v>
      </c>
      <c r="X3155" s="65">
        <v>0</v>
      </c>
      <c r="Y3155" s="65">
        <v>0</v>
      </c>
      <c r="Z3155" s="51">
        <v>31363.960000000006</v>
      </c>
      <c r="AA3155" s="51">
        <v>0</v>
      </c>
      <c r="AB3155" s="102">
        <v>0</v>
      </c>
      <c r="AC3155" s="81">
        <f t="shared" si="151"/>
        <v>0</v>
      </c>
      <c r="AD3155" s="82">
        <f t="shared" si="152"/>
        <v>0</v>
      </c>
      <c r="AE3155" s="218">
        <v>0</v>
      </c>
      <c r="AF3155">
        <v>0</v>
      </c>
      <c r="AH3155" t="str">
        <f t="shared" si="150"/>
        <v>Sonvarsha</v>
      </c>
      <c r="AJ3155" s="72">
        <v>0</v>
      </c>
      <c r="AK3155" s="72"/>
      <c r="AL3155" s="72"/>
      <c r="AM3155" s="72"/>
    </row>
    <row r="3156" spans="1:39" x14ac:dyDescent="0.25">
      <c r="A3156" s="37" t="s">
        <v>62</v>
      </c>
      <c r="B3156" s="66" t="s">
        <v>1676</v>
      </c>
      <c r="C3156" s="4">
        <v>1006</v>
      </c>
      <c r="D3156" s="41" t="s">
        <v>179</v>
      </c>
      <c r="E3156" s="41">
        <v>10060114</v>
      </c>
      <c r="F3156" s="85" t="s">
        <v>1106</v>
      </c>
      <c r="G3156" s="39" t="s">
        <v>92</v>
      </c>
      <c r="H3156" s="52" t="s">
        <v>93</v>
      </c>
      <c r="I3156" s="52">
        <v>168.10000000000002</v>
      </c>
      <c r="J3156" s="49">
        <v>7922.5099999999993</v>
      </c>
      <c r="K3156" s="58">
        <v>168.6</v>
      </c>
      <c r="L3156" s="58">
        <v>7915.4800000000005</v>
      </c>
      <c r="M3156" s="58">
        <v>0</v>
      </c>
      <c r="N3156" s="58">
        <v>0</v>
      </c>
      <c r="O3156" s="58">
        <v>168.6</v>
      </c>
      <c r="P3156" s="53">
        <v>7915.4800000000005</v>
      </c>
      <c r="Q3156" s="65">
        <v>7915.4800000000005</v>
      </c>
      <c r="R3156" s="65">
        <v>0</v>
      </c>
      <c r="S3156" s="65">
        <v>0</v>
      </c>
      <c r="T3156" s="65">
        <v>0</v>
      </c>
      <c r="U3156" s="58">
        <v>0</v>
      </c>
      <c r="V3156" s="65">
        <v>0</v>
      </c>
      <c r="W3156" s="65">
        <v>0</v>
      </c>
      <c r="X3156" s="65">
        <v>7915</v>
      </c>
      <c r="Y3156" s="65">
        <v>0</v>
      </c>
      <c r="Z3156" s="51">
        <v>0</v>
      </c>
      <c r="AA3156" s="51">
        <v>8</v>
      </c>
      <c r="AB3156" s="102">
        <v>0</v>
      </c>
      <c r="AC3156" s="81">
        <f t="shared" si="151"/>
        <v>501.36621879833416</v>
      </c>
      <c r="AD3156" s="82">
        <f t="shared" si="152"/>
        <v>24.014285714285716</v>
      </c>
      <c r="AE3156" s="218">
        <v>8.8734504595119933E-4</v>
      </c>
      <c r="AF3156">
        <v>1</v>
      </c>
      <c r="AH3156" t="str">
        <f t="shared" si="150"/>
        <v>Sonvarsha</v>
      </c>
      <c r="AJ3156" s="72">
        <v>0</v>
      </c>
      <c r="AK3156" s="72"/>
      <c r="AL3156" s="72"/>
      <c r="AM3156" s="72"/>
    </row>
    <row r="3157" spans="1:39" x14ac:dyDescent="0.25">
      <c r="A3157" s="37" t="s">
        <v>62</v>
      </c>
      <c r="B3157" s="66" t="s">
        <v>1676</v>
      </c>
      <c r="C3157" s="4">
        <v>1006</v>
      </c>
      <c r="D3157" s="41" t="s">
        <v>179</v>
      </c>
      <c r="E3157" s="41">
        <v>10060115</v>
      </c>
      <c r="F3157" s="85" t="s">
        <v>1536</v>
      </c>
      <c r="G3157" s="39" t="s">
        <v>92</v>
      </c>
      <c r="H3157" s="52" t="s">
        <v>93</v>
      </c>
      <c r="I3157" s="52">
        <v>221.4</v>
      </c>
      <c r="J3157" s="49">
        <v>11515.150000000001</v>
      </c>
      <c r="K3157" s="58">
        <v>232.7</v>
      </c>
      <c r="L3157" s="58">
        <v>12490.64</v>
      </c>
      <c r="M3157" s="58">
        <v>0</v>
      </c>
      <c r="N3157" s="58">
        <v>0</v>
      </c>
      <c r="O3157" s="58">
        <v>232.7</v>
      </c>
      <c r="P3157" s="53">
        <v>12490.64</v>
      </c>
      <c r="Q3157" s="65">
        <v>11515.150000000001</v>
      </c>
      <c r="R3157" s="65">
        <v>0</v>
      </c>
      <c r="S3157" s="65">
        <v>0</v>
      </c>
      <c r="T3157" s="65">
        <v>975.48999999999796</v>
      </c>
      <c r="U3157" s="58">
        <v>0</v>
      </c>
      <c r="V3157" s="65">
        <v>500</v>
      </c>
      <c r="W3157" s="65">
        <v>0</v>
      </c>
      <c r="X3157" s="65">
        <v>11015</v>
      </c>
      <c r="Y3157" s="65">
        <v>0</v>
      </c>
      <c r="Z3157" s="51">
        <v>0</v>
      </c>
      <c r="AA3157" s="51">
        <v>0</v>
      </c>
      <c r="AB3157" s="102">
        <v>0</v>
      </c>
      <c r="AC3157" s="81">
        <f t="shared" si="151"/>
        <v>497.84559981933154</v>
      </c>
      <c r="AD3157" s="82">
        <f t="shared" si="152"/>
        <v>31.62857142857143</v>
      </c>
      <c r="AE3157" s="218">
        <v>-8.4713616409686179E-2</v>
      </c>
      <c r="AF3157">
        <v>3</v>
      </c>
      <c r="AH3157" t="str">
        <f t="shared" si="150"/>
        <v>Sonvarsha</v>
      </c>
      <c r="AJ3157" s="72">
        <v>500</v>
      </c>
      <c r="AK3157" s="72"/>
      <c r="AL3157" s="72"/>
      <c r="AM3157" s="72"/>
    </row>
    <row r="3158" spans="1:39" x14ac:dyDescent="0.25">
      <c r="A3158" s="37" t="s">
        <v>62</v>
      </c>
      <c r="B3158" s="66" t="s">
        <v>1676</v>
      </c>
      <c r="C3158" s="4">
        <v>1006</v>
      </c>
      <c r="D3158" s="41" t="s">
        <v>179</v>
      </c>
      <c r="E3158" s="41">
        <v>10060116</v>
      </c>
      <c r="F3158" s="85" t="s">
        <v>1163</v>
      </c>
      <c r="G3158" s="39" t="s">
        <v>92</v>
      </c>
      <c r="H3158" s="52" t="s">
        <v>93</v>
      </c>
      <c r="I3158" s="52">
        <v>119.4</v>
      </c>
      <c r="J3158" s="49">
        <v>4397.880000000001</v>
      </c>
      <c r="K3158" s="58">
        <v>119.5</v>
      </c>
      <c r="L3158" s="58">
        <v>4513.6200000000008</v>
      </c>
      <c r="M3158" s="58">
        <v>0</v>
      </c>
      <c r="N3158" s="58">
        <v>0</v>
      </c>
      <c r="O3158" s="58">
        <v>119.5</v>
      </c>
      <c r="P3158" s="53">
        <v>4513.6200000000008</v>
      </c>
      <c r="Q3158" s="65">
        <v>4397.880000000001</v>
      </c>
      <c r="R3158" s="65">
        <v>0</v>
      </c>
      <c r="S3158" s="65">
        <v>0</v>
      </c>
      <c r="T3158" s="65">
        <v>115.73999999999978</v>
      </c>
      <c r="U3158" s="58">
        <v>0</v>
      </c>
      <c r="V3158" s="65">
        <v>0</v>
      </c>
      <c r="W3158" s="65">
        <v>0</v>
      </c>
      <c r="X3158" s="65">
        <v>4398</v>
      </c>
      <c r="Y3158" s="65">
        <v>0</v>
      </c>
      <c r="Z3158" s="51">
        <v>0</v>
      </c>
      <c r="AA3158" s="51">
        <v>0</v>
      </c>
      <c r="AB3158" s="102">
        <v>0</v>
      </c>
      <c r="AC3158" s="81">
        <f t="shared" si="151"/>
        <v>427.70672160804031</v>
      </c>
      <c r="AD3158" s="82">
        <f t="shared" si="152"/>
        <v>17.057142857142857</v>
      </c>
      <c r="AE3158" s="218">
        <v>-2.6317225572321152E-2</v>
      </c>
      <c r="AF3158">
        <v>1</v>
      </c>
      <c r="AH3158" t="str">
        <f t="shared" si="150"/>
        <v>Sonvarsha</v>
      </c>
      <c r="AJ3158" s="72">
        <v>0</v>
      </c>
      <c r="AK3158" s="72"/>
      <c r="AL3158" s="72"/>
      <c r="AM3158" s="72"/>
    </row>
    <row r="3159" spans="1:39" x14ac:dyDescent="0.25">
      <c r="A3159" s="37" t="s">
        <v>62</v>
      </c>
      <c r="B3159" s="66" t="s">
        <v>1676</v>
      </c>
      <c r="C3159" s="4">
        <v>1006</v>
      </c>
      <c r="D3159" s="41" t="s">
        <v>179</v>
      </c>
      <c r="E3159" s="41">
        <v>10060117</v>
      </c>
      <c r="F3159" s="85" t="s">
        <v>1657</v>
      </c>
      <c r="G3159" s="39" t="s">
        <v>1610</v>
      </c>
      <c r="H3159" s="52" t="s">
        <v>98</v>
      </c>
      <c r="I3159" s="52">
        <v>207</v>
      </c>
      <c r="J3159" s="49">
        <v>9764.23</v>
      </c>
      <c r="K3159" s="58">
        <v>0</v>
      </c>
      <c r="L3159" s="58">
        <v>0</v>
      </c>
      <c r="M3159" s="58">
        <v>0</v>
      </c>
      <c r="N3159" s="58">
        <v>0</v>
      </c>
      <c r="O3159" s="58">
        <v>0</v>
      </c>
      <c r="P3159" s="53">
        <v>0</v>
      </c>
      <c r="Q3159" s="65">
        <v>9764.23</v>
      </c>
      <c r="R3159" s="65">
        <v>0</v>
      </c>
      <c r="S3159" s="65">
        <v>0</v>
      </c>
      <c r="T3159" s="65">
        <v>0</v>
      </c>
      <c r="U3159" s="58">
        <v>0</v>
      </c>
      <c r="V3159" s="65">
        <v>0</v>
      </c>
      <c r="W3159" s="65">
        <v>0</v>
      </c>
      <c r="X3159" s="65">
        <v>0</v>
      </c>
      <c r="Y3159" s="65">
        <v>0</v>
      </c>
      <c r="Z3159" s="51">
        <v>9764.23</v>
      </c>
      <c r="AA3159" s="51">
        <v>0</v>
      </c>
      <c r="AB3159" s="102">
        <v>0</v>
      </c>
      <c r="AC3159" s="81">
        <f t="shared" si="151"/>
        <v>465.09810531400967</v>
      </c>
      <c r="AD3159" s="82">
        <f t="shared" si="152"/>
        <v>29.571428571428573</v>
      </c>
      <c r="AE3159" s="218">
        <v>0</v>
      </c>
      <c r="AF3159">
        <v>0</v>
      </c>
      <c r="AH3159" t="str">
        <f t="shared" si="150"/>
        <v>Sonvarsha</v>
      </c>
      <c r="AJ3159" s="72">
        <v>0</v>
      </c>
      <c r="AK3159" s="72"/>
      <c r="AL3159" s="72"/>
      <c r="AM3159" s="72"/>
    </row>
    <row r="3160" spans="1:39" x14ac:dyDescent="0.25">
      <c r="A3160" s="37" t="s">
        <v>62</v>
      </c>
      <c r="B3160" s="66" t="s">
        <v>1676</v>
      </c>
      <c r="C3160" s="4">
        <v>1006</v>
      </c>
      <c r="D3160" s="41" t="s">
        <v>179</v>
      </c>
      <c r="E3160" s="41">
        <v>10060118</v>
      </c>
      <c r="F3160" s="85" t="s">
        <v>1167</v>
      </c>
      <c r="G3160" s="39" t="s">
        <v>92</v>
      </c>
      <c r="H3160" s="52" t="s">
        <v>93</v>
      </c>
      <c r="I3160" s="52">
        <v>507.6</v>
      </c>
      <c r="J3160" s="49">
        <v>26765.000000000007</v>
      </c>
      <c r="K3160" s="58">
        <v>381.50000000000006</v>
      </c>
      <c r="L3160" s="58">
        <v>23939.420000000002</v>
      </c>
      <c r="M3160" s="58">
        <v>154.38999999999999</v>
      </c>
      <c r="N3160" s="58">
        <v>10128.849999999999</v>
      </c>
      <c r="O3160" s="58">
        <v>535.8900000000001</v>
      </c>
      <c r="P3160" s="53">
        <v>34068.270000000004</v>
      </c>
      <c r="Q3160" s="65">
        <v>26765.000000000007</v>
      </c>
      <c r="R3160" s="65">
        <v>0</v>
      </c>
      <c r="S3160" s="65">
        <v>0</v>
      </c>
      <c r="T3160" s="65">
        <v>7303.2699999999968</v>
      </c>
      <c r="U3160" s="58">
        <v>0</v>
      </c>
      <c r="V3160" s="65">
        <v>0</v>
      </c>
      <c r="W3160" s="65">
        <v>0</v>
      </c>
      <c r="X3160" s="65">
        <v>16637</v>
      </c>
      <c r="Y3160" s="65">
        <v>10128</v>
      </c>
      <c r="Z3160" s="51">
        <v>0</v>
      </c>
      <c r="AA3160" s="51">
        <v>0</v>
      </c>
      <c r="AB3160" s="102">
        <v>0</v>
      </c>
      <c r="AC3160" s="81">
        <f t="shared" si="151"/>
        <v>202.89936958234833</v>
      </c>
      <c r="AD3160" s="82">
        <f t="shared" si="152"/>
        <v>72.51428571428572</v>
      </c>
      <c r="AE3160" s="218">
        <v>-0.27286643003923017</v>
      </c>
      <c r="AF3160">
        <v>5</v>
      </c>
      <c r="AH3160" t="str">
        <f t="shared" si="150"/>
        <v>Sonvarsha</v>
      </c>
      <c r="AJ3160" s="72">
        <v>0</v>
      </c>
      <c r="AK3160" s="72"/>
      <c r="AL3160" s="72"/>
      <c r="AM3160" s="72"/>
    </row>
    <row r="3161" spans="1:39" x14ac:dyDescent="0.25">
      <c r="A3161" s="37" t="s">
        <v>62</v>
      </c>
      <c r="B3161" s="66" t="s">
        <v>1676</v>
      </c>
      <c r="C3161" s="4">
        <v>1006</v>
      </c>
      <c r="D3161" s="41" t="s">
        <v>179</v>
      </c>
      <c r="E3161" s="41">
        <v>10060122</v>
      </c>
      <c r="F3161" s="85" t="s">
        <v>1186</v>
      </c>
      <c r="G3161" s="39" t="s">
        <v>1610</v>
      </c>
      <c r="H3161" s="52" t="s">
        <v>98</v>
      </c>
      <c r="I3161" s="52">
        <v>71.5</v>
      </c>
      <c r="J3161" s="49">
        <v>2645.4300000000003</v>
      </c>
      <c r="K3161" s="58">
        <v>0</v>
      </c>
      <c r="L3161" s="58">
        <v>0</v>
      </c>
      <c r="M3161" s="58">
        <v>0</v>
      </c>
      <c r="N3161" s="58">
        <v>0</v>
      </c>
      <c r="O3161" s="58">
        <v>0</v>
      </c>
      <c r="P3161" s="53">
        <v>0</v>
      </c>
      <c r="Q3161" s="65">
        <v>2645.4300000000003</v>
      </c>
      <c r="R3161" s="65">
        <v>0</v>
      </c>
      <c r="S3161" s="65">
        <v>0</v>
      </c>
      <c r="T3161" s="65">
        <v>0</v>
      </c>
      <c r="U3161" s="58">
        <v>0</v>
      </c>
      <c r="V3161" s="65">
        <v>0</v>
      </c>
      <c r="W3161" s="65">
        <v>0</v>
      </c>
      <c r="X3161" s="65">
        <v>0</v>
      </c>
      <c r="Y3161" s="65">
        <v>0</v>
      </c>
      <c r="Z3161" s="51">
        <v>2645.4300000000003</v>
      </c>
      <c r="AA3161" s="51">
        <v>0</v>
      </c>
      <c r="AB3161" s="102">
        <v>0</v>
      </c>
      <c r="AC3161" s="81">
        <f t="shared" si="151"/>
        <v>465.07769370629381</v>
      </c>
      <c r="AD3161" s="82">
        <f t="shared" si="152"/>
        <v>10.214285714285714</v>
      </c>
      <c r="AE3161" s="218">
        <v>0</v>
      </c>
      <c r="AF3161">
        <v>0</v>
      </c>
      <c r="AH3161" t="str">
        <f t="shared" si="150"/>
        <v>Sonvarsha</v>
      </c>
      <c r="AJ3161" s="72">
        <v>0</v>
      </c>
      <c r="AK3161" s="72"/>
      <c r="AL3161" s="72"/>
      <c r="AM3161" s="72"/>
    </row>
    <row r="3162" spans="1:39" x14ac:dyDescent="0.25">
      <c r="A3162" s="37" t="s">
        <v>62</v>
      </c>
      <c r="B3162" s="66" t="s">
        <v>1676</v>
      </c>
      <c r="C3162" s="4">
        <v>1006</v>
      </c>
      <c r="D3162" s="41" t="s">
        <v>179</v>
      </c>
      <c r="E3162" s="41">
        <v>10060125</v>
      </c>
      <c r="F3162" s="85" t="s">
        <v>1267</v>
      </c>
      <c r="G3162" s="39" t="s">
        <v>1610</v>
      </c>
      <c r="H3162" s="52" t="s">
        <v>98</v>
      </c>
      <c r="I3162" s="52">
        <v>119.20000000000002</v>
      </c>
      <c r="J3162" s="49">
        <v>4808.2100000000009</v>
      </c>
      <c r="K3162" s="58">
        <v>0</v>
      </c>
      <c r="L3162" s="58">
        <v>0</v>
      </c>
      <c r="M3162" s="58">
        <v>0</v>
      </c>
      <c r="N3162" s="58">
        <v>0</v>
      </c>
      <c r="O3162" s="58">
        <v>0</v>
      </c>
      <c r="P3162" s="53">
        <v>0</v>
      </c>
      <c r="Q3162" s="65">
        <v>4808.2100000000009</v>
      </c>
      <c r="R3162" s="65">
        <v>0</v>
      </c>
      <c r="S3162" s="65">
        <v>0</v>
      </c>
      <c r="T3162" s="65">
        <v>0</v>
      </c>
      <c r="U3162" s="58">
        <v>0</v>
      </c>
      <c r="V3162" s="65">
        <v>0</v>
      </c>
      <c r="W3162" s="65">
        <v>0</v>
      </c>
      <c r="X3162" s="65">
        <v>0</v>
      </c>
      <c r="Y3162" s="65">
        <v>0</v>
      </c>
      <c r="Z3162" s="51">
        <v>4808.2100000000009</v>
      </c>
      <c r="AA3162" s="51">
        <v>0</v>
      </c>
      <c r="AB3162" s="102">
        <v>0</v>
      </c>
      <c r="AC3162" s="81">
        <f t="shared" si="151"/>
        <v>468.55845100671144</v>
      </c>
      <c r="AD3162" s="82">
        <f t="shared" si="152"/>
        <v>17.028571428571432</v>
      </c>
      <c r="AE3162" s="218">
        <v>0</v>
      </c>
      <c r="AF3162">
        <v>0</v>
      </c>
      <c r="AH3162" t="str">
        <f t="shared" si="150"/>
        <v>Sonvarsha</v>
      </c>
      <c r="AJ3162" s="72">
        <v>0</v>
      </c>
      <c r="AK3162" s="72"/>
      <c r="AL3162" s="72"/>
      <c r="AM3162" s="72"/>
    </row>
    <row r="3163" spans="1:39" x14ac:dyDescent="0.25">
      <c r="A3163" s="37" t="s">
        <v>62</v>
      </c>
      <c r="B3163" s="66" t="s">
        <v>1676</v>
      </c>
      <c r="C3163" s="4">
        <v>1006</v>
      </c>
      <c r="D3163" s="41" t="s">
        <v>179</v>
      </c>
      <c r="E3163" s="41">
        <v>10060126</v>
      </c>
      <c r="F3163" s="85" t="s">
        <v>1268</v>
      </c>
      <c r="G3163" s="39" t="s">
        <v>92</v>
      </c>
      <c r="H3163" s="52" t="s">
        <v>93</v>
      </c>
      <c r="I3163" s="52">
        <v>758.6</v>
      </c>
      <c r="J3163" s="49">
        <v>27241.93</v>
      </c>
      <c r="K3163" s="58">
        <v>276.90000000000003</v>
      </c>
      <c r="L3163" s="58">
        <v>10045.719999999999</v>
      </c>
      <c r="M3163" s="58">
        <v>523.20000000000005</v>
      </c>
      <c r="N3163" s="58">
        <v>18919.300000000003</v>
      </c>
      <c r="O3163" s="58">
        <v>800.10000000000014</v>
      </c>
      <c r="P3163" s="53">
        <v>28965.020000000004</v>
      </c>
      <c r="Q3163" s="65">
        <v>27241.93</v>
      </c>
      <c r="R3163" s="65">
        <v>0</v>
      </c>
      <c r="S3163" s="65">
        <v>0</v>
      </c>
      <c r="T3163" s="65">
        <v>1723.0900000000038</v>
      </c>
      <c r="U3163" s="58">
        <v>0</v>
      </c>
      <c r="V3163" s="65">
        <v>0</v>
      </c>
      <c r="W3163" s="65">
        <v>0</v>
      </c>
      <c r="X3163" s="65">
        <v>8322</v>
      </c>
      <c r="Y3163" s="65">
        <v>18920</v>
      </c>
      <c r="Z3163" s="51">
        <v>0</v>
      </c>
      <c r="AA3163" s="51">
        <v>0</v>
      </c>
      <c r="AB3163" s="102">
        <v>0</v>
      </c>
      <c r="AC3163" s="81">
        <f t="shared" si="151"/>
        <v>0</v>
      </c>
      <c r="AD3163" s="82">
        <f t="shared" si="152"/>
        <v>0</v>
      </c>
      <c r="AE3163" s="218">
        <v>-6.325139224717205E-2</v>
      </c>
      <c r="AF3163">
        <v>6</v>
      </c>
      <c r="AH3163" t="str">
        <f t="shared" si="150"/>
        <v>Sonvarsha</v>
      </c>
      <c r="AJ3163" s="72">
        <v>0</v>
      </c>
      <c r="AK3163" s="72"/>
      <c r="AL3163" s="72"/>
      <c r="AM3163" s="72"/>
    </row>
    <row r="3164" spans="1:39" x14ac:dyDescent="0.25">
      <c r="A3164" s="37" t="s">
        <v>62</v>
      </c>
      <c r="B3164" s="66" t="s">
        <v>1676</v>
      </c>
      <c r="C3164" s="4">
        <v>1006</v>
      </c>
      <c r="D3164" s="41" t="s">
        <v>179</v>
      </c>
      <c r="E3164" s="41">
        <v>10060129</v>
      </c>
      <c r="F3164" s="85" t="s">
        <v>1347</v>
      </c>
      <c r="G3164" s="39" t="s">
        <v>92</v>
      </c>
      <c r="H3164" s="52" t="s">
        <v>93</v>
      </c>
      <c r="I3164" s="52">
        <v>451.10000000000008</v>
      </c>
      <c r="J3164" s="49">
        <v>19295.349999999995</v>
      </c>
      <c r="K3164" s="58">
        <v>348.3</v>
      </c>
      <c r="L3164" s="58">
        <v>15418.539999999997</v>
      </c>
      <c r="M3164" s="58">
        <v>92.1</v>
      </c>
      <c r="N3164" s="58">
        <v>3882.7099999999996</v>
      </c>
      <c r="O3164" s="58">
        <v>440.4</v>
      </c>
      <c r="P3164" s="53">
        <v>19301.249999999996</v>
      </c>
      <c r="Q3164" s="65">
        <v>19295.349999999995</v>
      </c>
      <c r="R3164" s="65">
        <v>0</v>
      </c>
      <c r="S3164" s="65">
        <v>172.01999999999998</v>
      </c>
      <c r="T3164" s="65">
        <v>5.9000000000014552</v>
      </c>
      <c r="U3164" s="58">
        <v>0</v>
      </c>
      <c r="V3164" s="65">
        <v>0</v>
      </c>
      <c r="W3164" s="65">
        <v>0</v>
      </c>
      <c r="X3164" s="65">
        <v>15412</v>
      </c>
      <c r="Y3164" s="65">
        <v>3711</v>
      </c>
      <c r="Z3164" s="51">
        <v>0</v>
      </c>
      <c r="AA3164" s="51">
        <v>0</v>
      </c>
      <c r="AB3164" s="102">
        <v>0</v>
      </c>
      <c r="AC3164" s="81">
        <f t="shared" si="151"/>
        <v>212.92895655065382</v>
      </c>
      <c r="AD3164" s="82">
        <f t="shared" si="152"/>
        <v>64.44285714285715</v>
      </c>
      <c r="AE3164" s="218">
        <v>-3.0577315259901775E-4</v>
      </c>
      <c r="AF3164">
        <v>7</v>
      </c>
      <c r="AH3164" t="str">
        <f t="shared" si="150"/>
        <v>Sonvarsha</v>
      </c>
      <c r="AJ3164" s="72">
        <v>0</v>
      </c>
      <c r="AK3164" s="72"/>
      <c r="AL3164" s="72"/>
      <c r="AM3164" s="72"/>
    </row>
    <row r="3165" spans="1:39" x14ac:dyDescent="0.25">
      <c r="A3165" s="37" t="s">
        <v>62</v>
      </c>
      <c r="B3165" s="66" t="s">
        <v>1676</v>
      </c>
      <c r="C3165" s="4">
        <v>1006</v>
      </c>
      <c r="D3165" s="41" t="s">
        <v>179</v>
      </c>
      <c r="E3165" s="41">
        <v>10060130</v>
      </c>
      <c r="F3165" s="85" t="s">
        <v>1332</v>
      </c>
      <c r="G3165" s="39" t="s">
        <v>92</v>
      </c>
      <c r="H3165" s="52" t="s">
        <v>93</v>
      </c>
      <c r="I3165" s="52">
        <v>2082.9</v>
      </c>
      <c r="J3165" s="49">
        <v>92017.489999999991</v>
      </c>
      <c r="K3165" s="58">
        <v>1816.3699999999997</v>
      </c>
      <c r="L3165" s="58">
        <v>85443.12000000001</v>
      </c>
      <c r="M3165" s="58">
        <v>177.92999999999995</v>
      </c>
      <c r="N3165" s="58">
        <v>8757.43</v>
      </c>
      <c r="O3165" s="58">
        <v>1994.2999999999997</v>
      </c>
      <c r="P3165" s="53">
        <v>94200.550000000017</v>
      </c>
      <c r="Q3165" s="65">
        <v>92017.489999999991</v>
      </c>
      <c r="R3165" s="65">
        <v>0</v>
      </c>
      <c r="S3165" s="65">
        <v>951.37999999999988</v>
      </c>
      <c r="T3165" s="65">
        <v>2183.0600000000268</v>
      </c>
      <c r="U3165" s="58">
        <v>0</v>
      </c>
      <c r="V3165" s="65">
        <v>0</v>
      </c>
      <c r="W3165" s="65">
        <v>0</v>
      </c>
      <c r="X3165" s="65">
        <v>83260</v>
      </c>
      <c r="Y3165" s="65">
        <v>7806</v>
      </c>
      <c r="Z3165" s="51">
        <v>0</v>
      </c>
      <c r="AA3165" s="51">
        <v>0</v>
      </c>
      <c r="AB3165" s="102">
        <v>0</v>
      </c>
      <c r="AC3165" s="81">
        <f t="shared" si="151"/>
        <v>0</v>
      </c>
      <c r="AD3165" s="82">
        <f t="shared" si="152"/>
        <v>0</v>
      </c>
      <c r="AE3165" s="218">
        <v>-2.3724402828201759E-2</v>
      </c>
      <c r="AF3165">
        <v>22</v>
      </c>
      <c r="AH3165" t="str">
        <f t="shared" si="150"/>
        <v>Sonvarsha</v>
      </c>
      <c r="AJ3165" s="72">
        <v>0</v>
      </c>
      <c r="AK3165" s="72"/>
      <c r="AL3165" s="72"/>
      <c r="AM3165" s="72"/>
    </row>
    <row r="3166" spans="1:39" x14ac:dyDescent="0.25">
      <c r="A3166" s="37" t="s">
        <v>62</v>
      </c>
      <c r="B3166" s="66" t="s">
        <v>1676</v>
      </c>
      <c r="C3166" s="4">
        <v>1006</v>
      </c>
      <c r="D3166" s="41" t="s">
        <v>179</v>
      </c>
      <c r="E3166" s="41">
        <v>10060133</v>
      </c>
      <c r="F3166" s="85" t="s">
        <v>1463</v>
      </c>
      <c r="G3166" s="39" t="s">
        <v>1610</v>
      </c>
      <c r="H3166" s="52" t="s">
        <v>98</v>
      </c>
      <c r="I3166" s="52">
        <v>572.89999999999986</v>
      </c>
      <c r="J3166" s="49">
        <v>20311.050000000003</v>
      </c>
      <c r="K3166" s="58">
        <v>0</v>
      </c>
      <c r="L3166" s="58">
        <v>0</v>
      </c>
      <c r="M3166" s="58">
        <v>0</v>
      </c>
      <c r="N3166" s="58">
        <v>0</v>
      </c>
      <c r="O3166" s="58">
        <v>0</v>
      </c>
      <c r="P3166" s="53">
        <v>0</v>
      </c>
      <c r="Q3166" s="65">
        <v>20311.050000000003</v>
      </c>
      <c r="R3166" s="65">
        <v>0</v>
      </c>
      <c r="S3166" s="65">
        <v>0</v>
      </c>
      <c r="T3166" s="65">
        <v>0</v>
      </c>
      <c r="U3166" s="58">
        <v>0</v>
      </c>
      <c r="V3166" s="65">
        <v>0</v>
      </c>
      <c r="W3166" s="65">
        <v>0</v>
      </c>
      <c r="X3166" s="65">
        <v>0</v>
      </c>
      <c r="Y3166" s="65">
        <v>0</v>
      </c>
      <c r="Z3166" s="51">
        <v>20311.050000000003</v>
      </c>
      <c r="AA3166" s="51">
        <v>0</v>
      </c>
      <c r="AB3166" s="102">
        <v>0</v>
      </c>
      <c r="AC3166" s="81">
        <f t="shared" si="151"/>
        <v>90.121642695060331</v>
      </c>
      <c r="AD3166" s="82">
        <f t="shared" si="152"/>
        <v>81.842857142857127</v>
      </c>
      <c r="AE3166" s="218">
        <v>0</v>
      </c>
      <c r="AF3166">
        <v>0</v>
      </c>
      <c r="AH3166" t="str">
        <f t="shared" si="150"/>
        <v>Sonvarsha</v>
      </c>
      <c r="AJ3166" s="72">
        <v>0</v>
      </c>
      <c r="AK3166" s="72"/>
      <c r="AL3166" s="72"/>
      <c r="AM3166" s="72"/>
    </row>
    <row r="3167" spans="1:39" x14ac:dyDescent="0.25">
      <c r="A3167" s="37" t="s">
        <v>62</v>
      </c>
      <c r="B3167" s="66" t="s">
        <v>1676</v>
      </c>
      <c r="C3167" s="4">
        <v>1006</v>
      </c>
      <c r="D3167" s="41" t="s">
        <v>179</v>
      </c>
      <c r="E3167" s="41">
        <v>10060135</v>
      </c>
      <c r="F3167" s="85" t="s">
        <v>1614</v>
      </c>
      <c r="G3167" s="39" t="s">
        <v>1610</v>
      </c>
      <c r="H3167" s="52" t="s">
        <v>93</v>
      </c>
      <c r="I3167" s="52">
        <v>408</v>
      </c>
      <c r="J3167" s="49">
        <v>17359.249999999996</v>
      </c>
      <c r="K3167" s="58">
        <v>341.15</v>
      </c>
      <c r="L3167" s="58">
        <v>14180.2</v>
      </c>
      <c r="M3167" s="58">
        <v>69.92</v>
      </c>
      <c r="N3167" s="58">
        <v>2739.95</v>
      </c>
      <c r="O3167" s="58">
        <v>411.07</v>
      </c>
      <c r="P3167" s="53">
        <v>16920.150000000001</v>
      </c>
      <c r="Q3167" s="65">
        <v>16920.150000000001</v>
      </c>
      <c r="R3167" s="65">
        <v>0</v>
      </c>
      <c r="S3167" s="65">
        <v>0</v>
      </c>
      <c r="T3167" s="65">
        <v>0</v>
      </c>
      <c r="U3167" s="58">
        <v>0</v>
      </c>
      <c r="V3167" s="65">
        <v>0</v>
      </c>
      <c r="W3167" s="65">
        <v>0</v>
      </c>
      <c r="X3167" s="65">
        <v>14180</v>
      </c>
      <c r="Y3167" s="65">
        <v>2740</v>
      </c>
      <c r="Z3167" s="51">
        <v>0</v>
      </c>
      <c r="AA3167" s="51">
        <v>439</v>
      </c>
      <c r="AB3167" s="102">
        <v>0</v>
      </c>
      <c r="AC3167" s="81">
        <f t="shared" si="151"/>
        <v>248.47553921568624</v>
      </c>
      <c r="AD3167" s="82">
        <f t="shared" si="152"/>
        <v>58.285714285714285</v>
      </c>
      <c r="AE3167" s="218">
        <v>2.529487161023633E-2</v>
      </c>
      <c r="AF3167">
        <v>7</v>
      </c>
      <c r="AH3167" t="str">
        <f t="shared" si="150"/>
        <v>Sonvarsha</v>
      </c>
      <c r="AJ3167" s="72">
        <v>0</v>
      </c>
      <c r="AK3167" s="72"/>
      <c r="AL3167" s="72"/>
      <c r="AM3167" s="72"/>
    </row>
    <row r="3168" spans="1:39" x14ac:dyDescent="0.25">
      <c r="A3168" s="37" t="s">
        <v>62</v>
      </c>
      <c r="B3168" s="66" t="s">
        <v>1676</v>
      </c>
      <c r="C3168" s="4">
        <v>1006</v>
      </c>
      <c r="D3168" s="41" t="s">
        <v>179</v>
      </c>
      <c r="E3168" s="41">
        <v>10060136</v>
      </c>
      <c r="F3168" s="85" t="s">
        <v>1577</v>
      </c>
      <c r="G3168" s="39" t="s">
        <v>1610</v>
      </c>
      <c r="H3168" s="52" t="s">
        <v>98</v>
      </c>
      <c r="I3168" s="52">
        <v>603.29999999999995</v>
      </c>
      <c r="J3168" s="49">
        <v>21134.42</v>
      </c>
      <c r="K3168" s="58">
        <v>0</v>
      </c>
      <c r="L3168" s="58">
        <v>0</v>
      </c>
      <c r="M3168" s="58">
        <v>0</v>
      </c>
      <c r="N3168" s="58">
        <v>0</v>
      </c>
      <c r="O3168" s="58">
        <v>0</v>
      </c>
      <c r="P3168" s="53">
        <v>0</v>
      </c>
      <c r="Q3168" s="65">
        <v>21134.42</v>
      </c>
      <c r="R3168" s="65">
        <v>0</v>
      </c>
      <c r="S3168" s="65">
        <v>0</v>
      </c>
      <c r="T3168" s="65">
        <v>0</v>
      </c>
      <c r="U3168" s="58">
        <v>0</v>
      </c>
      <c r="V3168" s="65">
        <v>0</v>
      </c>
      <c r="W3168" s="65">
        <v>0</v>
      </c>
      <c r="X3168" s="65">
        <v>0</v>
      </c>
      <c r="Y3168" s="65">
        <v>0</v>
      </c>
      <c r="Z3168" s="51">
        <v>21134.42</v>
      </c>
      <c r="AA3168" s="51">
        <v>0</v>
      </c>
      <c r="AB3168" s="102">
        <v>0</v>
      </c>
      <c r="AC3168" s="81">
        <f t="shared" si="151"/>
        <v>67.750651881319413</v>
      </c>
      <c r="AD3168" s="82">
        <f t="shared" si="152"/>
        <v>86.185714285714283</v>
      </c>
      <c r="AE3168" s="218">
        <v>0</v>
      </c>
      <c r="AF3168">
        <v>0</v>
      </c>
      <c r="AH3168" t="str">
        <f t="shared" si="150"/>
        <v>Sonvarsha</v>
      </c>
      <c r="AJ3168" s="72">
        <v>0</v>
      </c>
      <c r="AK3168" s="72"/>
      <c r="AL3168" s="72"/>
      <c r="AM3168" s="72"/>
    </row>
    <row r="3169" spans="1:39" x14ac:dyDescent="0.25">
      <c r="A3169" s="37" t="s">
        <v>62</v>
      </c>
      <c r="B3169" s="66" t="s">
        <v>1676</v>
      </c>
      <c r="C3169" s="4">
        <v>1006</v>
      </c>
      <c r="D3169" s="41" t="s">
        <v>179</v>
      </c>
      <c r="E3169" s="41">
        <v>10060138</v>
      </c>
      <c r="F3169" s="85" t="s">
        <v>1658</v>
      </c>
      <c r="G3169" s="39" t="s">
        <v>1610</v>
      </c>
      <c r="H3169" s="52" t="s">
        <v>98</v>
      </c>
      <c r="I3169" s="52">
        <v>5563.8</v>
      </c>
      <c r="J3169" s="49">
        <v>234627.50999999995</v>
      </c>
      <c r="K3169" s="58">
        <v>0</v>
      </c>
      <c r="L3169" s="58">
        <v>0</v>
      </c>
      <c r="M3169" s="58">
        <v>0</v>
      </c>
      <c r="N3169" s="58">
        <v>0</v>
      </c>
      <c r="O3169" s="58">
        <v>0</v>
      </c>
      <c r="P3169" s="53">
        <v>0</v>
      </c>
      <c r="Q3169" s="65">
        <v>234627.50999999995</v>
      </c>
      <c r="R3169" s="65">
        <v>0</v>
      </c>
      <c r="S3169" s="65">
        <v>0</v>
      </c>
      <c r="T3169" s="65">
        <v>0</v>
      </c>
      <c r="U3169" s="58">
        <v>0</v>
      </c>
      <c r="V3169" s="65">
        <v>0</v>
      </c>
      <c r="W3169" s="65">
        <v>0</v>
      </c>
      <c r="X3169" s="65">
        <v>0</v>
      </c>
      <c r="Y3169" s="65">
        <v>0</v>
      </c>
      <c r="Z3169" s="51">
        <v>234627.50999999995</v>
      </c>
      <c r="AA3169" s="51">
        <v>0</v>
      </c>
      <c r="AB3169" s="102">
        <v>0</v>
      </c>
      <c r="AC3169" s="81">
        <f t="shared" si="151"/>
        <v>0</v>
      </c>
      <c r="AD3169" s="82">
        <f t="shared" si="152"/>
        <v>0</v>
      </c>
      <c r="AE3169" s="218">
        <v>0</v>
      </c>
      <c r="AF3169">
        <v>0</v>
      </c>
      <c r="AH3169" t="str">
        <f t="shared" si="150"/>
        <v>Sonvarsha</v>
      </c>
      <c r="AJ3169" s="72">
        <v>0</v>
      </c>
      <c r="AK3169" s="72"/>
      <c r="AL3169" s="72"/>
      <c r="AM3169" s="72"/>
    </row>
    <row r="3170" spans="1:39" x14ac:dyDescent="0.25">
      <c r="A3170" s="37" t="s">
        <v>62</v>
      </c>
      <c r="B3170" s="66" t="s">
        <v>1676</v>
      </c>
      <c r="C3170" s="4">
        <v>1007</v>
      </c>
      <c r="D3170" s="41" t="s">
        <v>203</v>
      </c>
      <c r="E3170" s="41">
        <v>10070002</v>
      </c>
      <c r="F3170" s="85" t="s">
        <v>204</v>
      </c>
      <c r="G3170" s="39" t="s">
        <v>1610</v>
      </c>
      <c r="H3170" s="52" t="s">
        <v>98</v>
      </c>
      <c r="I3170" s="52">
        <v>4557.5</v>
      </c>
      <c r="J3170" s="49">
        <v>186965.49000000002</v>
      </c>
      <c r="K3170" s="58">
        <v>0</v>
      </c>
      <c r="L3170" s="58">
        <v>0</v>
      </c>
      <c r="M3170" s="58">
        <v>0</v>
      </c>
      <c r="N3170" s="58">
        <v>0</v>
      </c>
      <c r="O3170" s="58">
        <v>0</v>
      </c>
      <c r="P3170" s="53">
        <v>0</v>
      </c>
      <c r="Q3170" s="65">
        <v>186965.49000000002</v>
      </c>
      <c r="R3170" s="65">
        <v>0</v>
      </c>
      <c r="S3170" s="65">
        <v>0</v>
      </c>
      <c r="T3170" s="65">
        <v>0</v>
      </c>
      <c r="U3170" s="58">
        <v>0</v>
      </c>
      <c r="V3170" s="65">
        <v>0</v>
      </c>
      <c r="W3170" s="65">
        <v>0</v>
      </c>
      <c r="X3170" s="65">
        <v>0</v>
      </c>
      <c r="Y3170" s="65">
        <v>0</v>
      </c>
      <c r="Z3170" s="51">
        <v>186965.49000000002</v>
      </c>
      <c r="AA3170" s="51">
        <v>0</v>
      </c>
      <c r="AB3170" s="102">
        <v>0</v>
      </c>
      <c r="AC3170" s="81">
        <f t="shared" si="151"/>
        <v>0</v>
      </c>
      <c r="AD3170" s="82">
        <f t="shared" si="152"/>
        <v>0</v>
      </c>
      <c r="AE3170" s="218">
        <v>0</v>
      </c>
      <c r="AF3170">
        <v>0</v>
      </c>
      <c r="AH3170" t="str">
        <f t="shared" si="150"/>
        <v>Araria</v>
      </c>
      <c r="AJ3170" s="72">
        <v>0</v>
      </c>
      <c r="AK3170" s="72"/>
      <c r="AL3170" s="72"/>
      <c r="AM3170" s="72"/>
    </row>
    <row r="3171" spans="1:39" x14ac:dyDescent="0.25">
      <c r="A3171" s="37" t="s">
        <v>62</v>
      </c>
      <c r="B3171" s="66" t="s">
        <v>1676</v>
      </c>
      <c r="C3171" s="4">
        <v>1007</v>
      </c>
      <c r="D3171" s="41" t="s">
        <v>203</v>
      </c>
      <c r="E3171" s="41">
        <v>10070003</v>
      </c>
      <c r="F3171" s="85" t="s">
        <v>205</v>
      </c>
      <c r="G3171" s="39" t="s">
        <v>1610</v>
      </c>
      <c r="H3171" s="52" t="s">
        <v>98</v>
      </c>
      <c r="I3171" s="52">
        <v>700.60000000000014</v>
      </c>
      <c r="J3171" s="49">
        <v>25360.280000000002</v>
      </c>
      <c r="K3171" s="58">
        <v>0</v>
      </c>
      <c r="L3171" s="58">
        <v>0</v>
      </c>
      <c r="M3171" s="58">
        <v>0</v>
      </c>
      <c r="N3171" s="58">
        <v>0</v>
      </c>
      <c r="O3171" s="58">
        <v>0</v>
      </c>
      <c r="P3171" s="53">
        <v>0</v>
      </c>
      <c r="Q3171" s="65">
        <v>25360.280000000002</v>
      </c>
      <c r="R3171" s="65">
        <v>0</v>
      </c>
      <c r="S3171" s="65">
        <v>0</v>
      </c>
      <c r="T3171" s="65">
        <v>0</v>
      </c>
      <c r="U3171" s="58">
        <v>0</v>
      </c>
      <c r="V3171" s="65">
        <v>0</v>
      </c>
      <c r="W3171" s="65">
        <v>0</v>
      </c>
      <c r="X3171" s="65">
        <v>0</v>
      </c>
      <c r="Y3171" s="65">
        <v>0</v>
      </c>
      <c r="Z3171" s="51">
        <v>25360.280000000002</v>
      </c>
      <c r="AA3171" s="51">
        <v>0</v>
      </c>
      <c r="AB3171" s="102">
        <v>0</v>
      </c>
      <c r="AC3171" s="81">
        <f t="shared" si="151"/>
        <v>0</v>
      </c>
      <c r="AD3171" s="82">
        <f t="shared" si="152"/>
        <v>0</v>
      </c>
      <c r="AE3171" s="218">
        <v>0</v>
      </c>
      <c r="AF3171">
        <v>0</v>
      </c>
      <c r="AH3171" t="str">
        <f t="shared" si="150"/>
        <v>Araria</v>
      </c>
      <c r="AJ3171" s="72">
        <v>0</v>
      </c>
      <c r="AK3171" s="72"/>
      <c r="AL3171" s="72"/>
      <c r="AM3171" s="72"/>
    </row>
    <row r="3172" spans="1:39" x14ac:dyDescent="0.25">
      <c r="A3172" s="37" t="s">
        <v>62</v>
      </c>
      <c r="B3172" s="66" t="s">
        <v>1676</v>
      </c>
      <c r="C3172" s="4">
        <v>1056</v>
      </c>
      <c r="D3172" s="41" t="s">
        <v>816</v>
      </c>
      <c r="E3172" s="41">
        <v>10070008</v>
      </c>
      <c r="F3172" s="85" t="s">
        <v>207</v>
      </c>
      <c r="G3172" s="39" t="s">
        <v>92</v>
      </c>
      <c r="H3172" s="52" t="s">
        <v>98</v>
      </c>
      <c r="I3172" s="52">
        <v>281.91999999999996</v>
      </c>
      <c r="J3172" s="49">
        <v>10452.929999999998</v>
      </c>
      <c r="K3172" s="58">
        <v>0</v>
      </c>
      <c r="L3172" s="58">
        <v>0</v>
      </c>
      <c r="M3172" s="58">
        <v>0</v>
      </c>
      <c r="N3172" s="58">
        <v>0</v>
      </c>
      <c r="O3172" s="58">
        <v>0</v>
      </c>
      <c r="P3172" s="53">
        <v>0</v>
      </c>
      <c r="Q3172" s="65">
        <v>10452.929999999998</v>
      </c>
      <c r="R3172" s="65">
        <v>0</v>
      </c>
      <c r="S3172" s="65">
        <v>0</v>
      </c>
      <c r="T3172" s="65">
        <v>0</v>
      </c>
      <c r="U3172" s="58">
        <v>10453</v>
      </c>
      <c r="V3172" s="65">
        <v>0</v>
      </c>
      <c r="W3172" s="65">
        <v>0</v>
      </c>
      <c r="X3172" s="65">
        <v>0</v>
      </c>
      <c r="Y3172" s="65">
        <v>0</v>
      </c>
      <c r="Z3172" s="51">
        <v>-7.0000000001527951E-2</v>
      </c>
      <c r="AA3172" s="51">
        <v>0</v>
      </c>
      <c r="AB3172" s="102">
        <v>0</v>
      </c>
      <c r="AC3172" s="81">
        <f t="shared" si="151"/>
        <v>310.02844597048812</v>
      </c>
      <c r="AD3172" s="82">
        <f t="shared" si="152"/>
        <v>40.27428571428571</v>
      </c>
      <c r="AE3172" s="218">
        <v>0</v>
      </c>
      <c r="AF3172">
        <v>0</v>
      </c>
      <c r="AH3172" t="str">
        <f t="shared" si="150"/>
        <v>Chautham</v>
      </c>
      <c r="AJ3172" s="72">
        <v>0</v>
      </c>
      <c r="AK3172" s="72"/>
      <c r="AL3172" s="72"/>
      <c r="AM3172" s="72"/>
    </row>
    <row r="3173" spans="1:39" x14ac:dyDescent="0.25">
      <c r="A3173" s="37" t="s">
        <v>62</v>
      </c>
      <c r="B3173" s="66" t="s">
        <v>1676</v>
      </c>
      <c r="C3173" s="4">
        <v>1007</v>
      </c>
      <c r="D3173" s="41" t="s">
        <v>203</v>
      </c>
      <c r="E3173" s="41">
        <v>10070013</v>
      </c>
      <c r="F3173" s="85" t="s">
        <v>208</v>
      </c>
      <c r="G3173" s="39" t="s">
        <v>92</v>
      </c>
      <c r="H3173" s="52" t="s">
        <v>93</v>
      </c>
      <c r="I3173" s="52">
        <v>230</v>
      </c>
      <c r="J3173" s="49">
        <v>9498.5600000000013</v>
      </c>
      <c r="K3173" s="58">
        <v>210.42000000000002</v>
      </c>
      <c r="L3173" s="58">
        <v>8489.49</v>
      </c>
      <c r="M3173" s="58">
        <v>21.36</v>
      </c>
      <c r="N3173" s="58">
        <v>875.73</v>
      </c>
      <c r="O3173" s="58">
        <v>231.78000000000003</v>
      </c>
      <c r="P3173" s="53">
        <v>9365.2199999999993</v>
      </c>
      <c r="Q3173" s="65">
        <v>9365.2199999999993</v>
      </c>
      <c r="R3173" s="65">
        <v>0</v>
      </c>
      <c r="S3173" s="65">
        <v>105.85</v>
      </c>
      <c r="T3173" s="65">
        <v>0</v>
      </c>
      <c r="U3173" s="58">
        <v>0</v>
      </c>
      <c r="V3173" s="65">
        <v>0</v>
      </c>
      <c r="W3173" s="65">
        <v>0</v>
      </c>
      <c r="X3173" s="65">
        <v>8490</v>
      </c>
      <c r="Y3173" s="65">
        <v>771</v>
      </c>
      <c r="Z3173" s="51">
        <v>0</v>
      </c>
      <c r="AA3173" s="51">
        <v>132</v>
      </c>
      <c r="AB3173" s="102">
        <v>0</v>
      </c>
      <c r="AC3173" s="81">
        <f t="shared" si="151"/>
        <v>388.20201739130442</v>
      </c>
      <c r="AD3173" s="82">
        <f t="shared" si="152"/>
        <v>32.857142857142854</v>
      </c>
      <c r="AE3173" s="218">
        <v>1.4037917326415999E-2</v>
      </c>
      <c r="AF3173">
        <v>10</v>
      </c>
      <c r="AH3173" t="str">
        <f t="shared" si="150"/>
        <v>Araria</v>
      </c>
      <c r="AJ3173" s="72">
        <v>0</v>
      </c>
      <c r="AK3173" s="72"/>
      <c r="AL3173" s="72"/>
      <c r="AM3173" s="72"/>
    </row>
    <row r="3174" spans="1:39" x14ac:dyDescent="0.25">
      <c r="A3174" s="37" t="s">
        <v>62</v>
      </c>
      <c r="B3174" s="66" t="s">
        <v>1676</v>
      </c>
      <c r="C3174" s="4">
        <v>1007</v>
      </c>
      <c r="D3174" s="41" t="s">
        <v>203</v>
      </c>
      <c r="E3174" s="41">
        <v>10070016</v>
      </c>
      <c r="F3174" s="85" t="s">
        <v>209</v>
      </c>
      <c r="G3174" s="39" t="s">
        <v>92</v>
      </c>
      <c r="H3174" s="52" t="s">
        <v>93</v>
      </c>
      <c r="I3174" s="52">
        <v>284.40000000000003</v>
      </c>
      <c r="J3174" s="49">
        <v>11436.35</v>
      </c>
      <c r="K3174" s="58">
        <v>283.75</v>
      </c>
      <c r="L3174" s="58">
        <v>11433.43</v>
      </c>
      <c r="M3174" s="58">
        <v>0.65</v>
      </c>
      <c r="N3174" s="58">
        <v>26.249999999999996</v>
      </c>
      <c r="O3174" s="58">
        <v>284.39999999999998</v>
      </c>
      <c r="P3174" s="53">
        <v>11459.68</v>
      </c>
      <c r="Q3174" s="65">
        <v>11436.35</v>
      </c>
      <c r="R3174" s="65">
        <v>0</v>
      </c>
      <c r="S3174" s="65">
        <v>26.249999999999996</v>
      </c>
      <c r="T3174" s="65">
        <v>23.329999999999927</v>
      </c>
      <c r="U3174" s="58">
        <v>0</v>
      </c>
      <c r="V3174" s="65">
        <v>0</v>
      </c>
      <c r="W3174" s="65">
        <v>0</v>
      </c>
      <c r="X3174" s="65">
        <v>11410</v>
      </c>
      <c r="Y3174" s="65">
        <v>0</v>
      </c>
      <c r="Z3174" s="51">
        <v>0</v>
      </c>
      <c r="AA3174" s="51">
        <v>0</v>
      </c>
      <c r="AB3174" s="102">
        <v>0</v>
      </c>
      <c r="AC3174" s="81">
        <f t="shared" si="151"/>
        <v>334.24381575246122</v>
      </c>
      <c r="AD3174" s="82">
        <f t="shared" si="152"/>
        <v>40.628571428571433</v>
      </c>
      <c r="AE3174" s="218">
        <v>-2.0399865341651775E-3</v>
      </c>
      <c r="AF3174">
        <v>6</v>
      </c>
      <c r="AH3174" t="str">
        <f t="shared" si="150"/>
        <v>Araria</v>
      </c>
      <c r="AJ3174" s="72">
        <v>0</v>
      </c>
      <c r="AK3174" s="72"/>
      <c r="AL3174" s="72"/>
      <c r="AM3174" s="72"/>
    </row>
    <row r="3175" spans="1:39" x14ac:dyDescent="0.25">
      <c r="A3175" s="37" t="s">
        <v>62</v>
      </c>
      <c r="B3175" s="66" t="s">
        <v>1676</v>
      </c>
      <c r="C3175" s="4">
        <v>1007</v>
      </c>
      <c r="D3175" s="41" t="s">
        <v>203</v>
      </c>
      <c r="E3175" s="41">
        <v>10070018</v>
      </c>
      <c r="F3175" s="85" t="s">
        <v>210</v>
      </c>
      <c r="G3175" s="39" t="s">
        <v>1610</v>
      </c>
      <c r="H3175" s="52" t="s">
        <v>98</v>
      </c>
      <c r="I3175" s="52">
        <v>11829.1</v>
      </c>
      <c r="J3175" s="49">
        <v>467460</v>
      </c>
      <c r="K3175" s="58">
        <v>0</v>
      </c>
      <c r="L3175" s="58">
        <v>0</v>
      </c>
      <c r="M3175" s="58">
        <v>0</v>
      </c>
      <c r="N3175" s="58">
        <v>0</v>
      </c>
      <c r="O3175" s="58">
        <v>0</v>
      </c>
      <c r="P3175" s="53">
        <v>0</v>
      </c>
      <c r="Q3175" s="65">
        <v>467460</v>
      </c>
      <c r="R3175" s="65">
        <v>0</v>
      </c>
      <c r="S3175" s="65">
        <v>0</v>
      </c>
      <c r="T3175" s="65">
        <v>0</v>
      </c>
      <c r="U3175" s="58">
        <v>0</v>
      </c>
      <c r="V3175" s="65">
        <v>0</v>
      </c>
      <c r="W3175" s="65">
        <v>0</v>
      </c>
      <c r="X3175" s="65">
        <v>0</v>
      </c>
      <c r="Y3175" s="65">
        <v>0</v>
      </c>
      <c r="Z3175" s="51">
        <v>467460</v>
      </c>
      <c r="AA3175" s="51">
        <v>0</v>
      </c>
      <c r="AB3175" s="102">
        <v>0</v>
      </c>
      <c r="AC3175" s="81">
        <f t="shared" si="151"/>
        <v>0</v>
      </c>
      <c r="AD3175" s="82">
        <f t="shared" si="152"/>
        <v>0</v>
      </c>
      <c r="AE3175" s="218">
        <v>0</v>
      </c>
      <c r="AF3175">
        <v>0</v>
      </c>
      <c r="AH3175" t="str">
        <f t="shared" si="150"/>
        <v>Araria</v>
      </c>
      <c r="AJ3175" s="72">
        <v>0</v>
      </c>
      <c r="AK3175" s="72"/>
      <c r="AL3175" s="72"/>
      <c r="AM3175" s="72"/>
    </row>
    <row r="3176" spans="1:39" x14ac:dyDescent="0.25">
      <c r="A3176" s="37" t="s">
        <v>62</v>
      </c>
      <c r="B3176" s="66" t="s">
        <v>1676</v>
      </c>
      <c r="C3176" s="4">
        <v>1007</v>
      </c>
      <c r="D3176" s="41" t="s">
        <v>203</v>
      </c>
      <c r="E3176" s="41">
        <v>10070019</v>
      </c>
      <c r="F3176" s="85" t="s">
        <v>211</v>
      </c>
      <c r="G3176" s="39" t="s">
        <v>1610</v>
      </c>
      <c r="H3176" s="52" t="s">
        <v>98</v>
      </c>
      <c r="I3176" s="52">
        <v>6942.0999999999995</v>
      </c>
      <c r="J3176" s="49">
        <v>272155.30000000005</v>
      </c>
      <c r="K3176" s="58">
        <v>0</v>
      </c>
      <c r="L3176" s="58">
        <v>0</v>
      </c>
      <c r="M3176" s="58">
        <v>0</v>
      </c>
      <c r="N3176" s="58">
        <v>0</v>
      </c>
      <c r="O3176" s="58">
        <v>0</v>
      </c>
      <c r="P3176" s="53">
        <v>0</v>
      </c>
      <c r="Q3176" s="65">
        <v>272155.30000000005</v>
      </c>
      <c r="R3176" s="65">
        <v>0</v>
      </c>
      <c r="S3176" s="65">
        <v>0</v>
      </c>
      <c r="T3176" s="65">
        <v>0</v>
      </c>
      <c r="U3176" s="58">
        <v>0</v>
      </c>
      <c r="V3176" s="65">
        <v>0</v>
      </c>
      <c r="W3176" s="65">
        <v>0</v>
      </c>
      <c r="X3176" s="65">
        <v>0</v>
      </c>
      <c r="Y3176" s="65">
        <v>0</v>
      </c>
      <c r="Z3176" s="51">
        <v>272155.30000000005</v>
      </c>
      <c r="AA3176" s="51">
        <v>0</v>
      </c>
      <c r="AB3176" s="102">
        <v>0</v>
      </c>
      <c r="AC3176" s="81">
        <f t="shared" si="151"/>
        <v>0</v>
      </c>
      <c r="AD3176" s="82">
        <f t="shared" si="152"/>
        <v>0</v>
      </c>
      <c r="AE3176" s="218">
        <v>0</v>
      </c>
      <c r="AF3176">
        <v>0</v>
      </c>
      <c r="AH3176" t="str">
        <f t="shared" si="150"/>
        <v>Araria</v>
      </c>
      <c r="AJ3176" s="72">
        <v>0</v>
      </c>
      <c r="AK3176" s="72"/>
      <c r="AL3176" s="72"/>
      <c r="AM3176" s="72"/>
    </row>
    <row r="3177" spans="1:39" x14ac:dyDescent="0.25">
      <c r="A3177" s="37" t="s">
        <v>62</v>
      </c>
      <c r="B3177" s="66" t="s">
        <v>1676</v>
      </c>
      <c r="C3177" s="4">
        <v>1007</v>
      </c>
      <c r="D3177" s="41" t="s">
        <v>203</v>
      </c>
      <c r="E3177" s="41">
        <v>10070020</v>
      </c>
      <c r="F3177" s="85" t="s">
        <v>212</v>
      </c>
      <c r="G3177" s="39" t="s">
        <v>1610</v>
      </c>
      <c r="H3177" s="52" t="s">
        <v>98</v>
      </c>
      <c r="I3177" s="52">
        <v>6065.1</v>
      </c>
      <c r="J3177" s="49">
        <v>234386.56</v>
      </c>
      <c r="K3177" s="58">
        <v>0</v>
      </c>
      <c r="L3177" s="58">
        <v>0</v>
      </c>
      <c r="M3177" s="58">
        <v>0</v>
      </c>
      <c r="N3177" s="58">
        <v>0</v>
      </c>
      <c r="O3177" s="58">
        <v>0</v>
      </c>
      <c r="P3177" s="53">
        <v>0</v>
      </c>
      <c r="Q3177" s="65">
        <v>234386.56</v>
      </c>
      <c r="R3177" s="65">
        <v>0</v>
      </c>
      <c r="S3177" s="65">
        <v>0</v>
      </c>
      <c r="T3177" s="65">
        <v>0</v>
      </c>
      <c r="U3177" s="58">
        <v>0</v>
      </c>
      <c r="V3177" s="65">
        <v>0</v>
      </c>
      <c r="W3177" s="65">
        <v>0</v>
      </c>
      <c r="X3177" s="65">
        <v>0</v>
      </c>
      <c r="Y3177" s="65">
        <v>0</v>
      </c>
      <c r="Z3177" s="51">
        <v>234386.56</v>
      </c>
      <c r="AA3177" s="51">
        <v>0</v>
      </c>
      <c r="AB3177" s="102">
        <v>0</v>
      </c>
      <c r="AC3177" s="81">
        <f t="shared" si="151"/>
        <v>0</v>
      </c>
      <c r="AD3177" s="82">
        <f t="shared" si="152"/>
        <v>0</v>
      </c>
      <c r="AE3177" s="218">
        <v>0</v>
      </c>
      <c r="AF3177">
        <v>0</v>
      </c>
      <c r="AH3177" t="str">
        <f t="shared" si="150"/>
        <v>Araria</v>
      </c>
      <c r="AJ3177" s="72">
        <v>0</v>
      </c>
      <c r="AK3177" s="72"/>
      <c r="AL3177" s="72"/>
      <c r="AM3177" s="72"/>
    </row>
    <row r="3178" spans="1:39" x14ac:dyDescent="0.25">
      <c r="A3178" s="37" t="s">
        <v>62</v>
      </c>
      <c r="B3178" s="66" t="s">
        <v>1676</v>
      </c>
      <c r="C3178" s="4">
        <v>1007</v>
      </c>
      <c r="D3178" s="41" t="s">
        <v>203</v>
      </c>
      <c r="E3178" s="41">
        <v>10070024</v>
      </c>
      <c r="F3178" s="85" t="s">
        <v>213</v>
      </c>
      <c r="G3178" s="39" t="s">
        <v>1610</v>
      </c>
      <c r="H3178" s="52" t="s">
        <v>98</v>
      </c>
      <c r="I3178" s="52">
        <v>611.20000000000005</v>
      </c>
      <c r="J3178" s="49">
        <v>23439.730000000003</v>
      </c>
      <c r="K3178" s="58">
        <v>0</v>
      </c>
      <c r="L3178" s="58">
        <v>0</v>
      </c>
      <c r="M3178" s="58">
        <v>0</v>
      </c>
      <c r="N3178" s="58">
        <v>0</v>
      </c>
      <c r="O3178" s="58">
        <v>0</v>
      </c>
      <c r="P3178" s="53">
        <v>0</v>
      </c>
      <c r="Q3178" s="65">
        <v>23439.730000000003</v>
      </c>
      <c r="R3178" s="65">
        <v>0</v>
      </c>
      <c r="S3178" s="65">
        <v>0</v>
      </c>
      <c r="T3178" s="65">
        <v>0</v>
      </c>
      <c r="U3178" s="58">
        <v>0</v>
      </c>
      <c r="V3178" s="65">
        <v>0</v>
      </c>
      <c r="W3178" s="65">
        <v>0</v>
      </c>
      <c r="X3178" s="65">
        <v>0</v>
      </c>
      <c r="Y3178" s="65">
        <v>0</v>
      </c>
      <c r="Z3178" s="51">
        <v>23439.730000000003</v>
      </c>
      <c r="AA3178" s="51">
        <v>0</v>
      </c>
      <c r="AB3178" s="102">
        <v>0</v>
      </c>
      <c r="AC3178" s="81">
        <f t="shared" si="151"/>
        <v>68.110210209424082</v>
      </c>
      <c r="AD3178" s="82">
        <f t="shared" si="152"/>
        <v>87.314285714285717</v>
      </c>
      <c r="AE3178" s="218">
        <v>0</v>
      </c>
      <c r="AF3178">
        <v>0</v>
      </c>
      <c r="AH3178" t="str">
        <f t="shared" si="150"/>
        <v>Araria</v>
      </c>
      <c r="AJ3178" s="72">
        <v>0</v>
      </c>
      <c r="AK3178" s="72"/>
      <c r="AL3178" s="72"/>
      <c r="AM3178" s="72"/>
    </row>
    <row r="3179" spans="1:39" x14ac:dyDescent="0.25">
      <c r="A3179" s="37" t="s">
        <v>62</v>
      </c>
      <c r="B3179" s="66" t="s">
        <v>1676</v>
      </c>
      <c r="C3179" s="4">
        <v>1007</v>
      </c>
      <c r="D3179" s="41" t="s">
        <v>203</v>
      </c>
      <c r="E3179" s="41">
        <v>10070026</v>
      </c>
      <c r="F3179" s="85" t="s">
        <v>214</v>
      </c>
      <c r="G3179" s="39" t="s">
        <v>1610</v>
      </c>
      <c r="H3179" s="52" t="s">
        <v>98</v>
      </c>
      <c r="I3179" s="52">
        <v>5049.0999999999995</v>
      </c>
      <c r="J3179" s="49">
        <v>192423.56</v>
      </c>
      <c r="K3179" s="58">
        <v>0</v>
      </c>
      <c r="L3179" s="58">
        <v>0</v>
      </c>
      <c r="M3179" s="58">
        <v>0</v>
      </c>
      <c r="N3179" s="58">
        <v>0</v>
      </c>
      <c r="O3179" s="58">
        <v>0</v>
      </c>
      <c r="P3179" s="53">
        <v>0</v>
      </c>
      <c r="Q3179" s="65">
        <v>192423.56</v>
      </c>
      <c r="R3179" s="65">
        <v>0</v>
      </c>
      <c r="S3179" s="65">
        <v>0</v>
      </c>
      <c r="T3179" s="65">
        <v>0</v>
      </c>
      <c r="U3179" s="58">
        <v>0</v>
      </c>
      <c r="V3179" s="65">
        <v>0</v>
      </c>
      <c r="W3179" s="65">
        <v>0</v>
      </c>
      <c r="X3179" s="65">
        <v>0</v>
      </c>
      <c r="Y3179" s="65">
        <v>0</v>
      </c>
      <c r="Z3179" s="51">
        <v>192423.56</v>
      </c>
      <c r="AA3179" s="51">
        <v>0</v>
      </c>
      <c r="AB3179" s="102">
        <v>0</v>
      </c>
      <c r="AC3179" s="81">
        <f t="shared" si="151"/>
        <v>0</v>
      </c>
      <c r="AD3179" s="82">
        <f t="shared" si="152"/>
        <v>0</v>
      </c>
      <c r="AE3179" s="218">
        <v>0</v>
      </c>
      <c r="AF3179">
        <v>0</v>
      </c>
      <c r="AH3179" t="str">
        <f t="shared" si="150"/>
        <v>Araria</v>
      </c>
      <c r="AJ3179" s="72">
        <v>0</v>
      </c>
      <c r="AK3179" s="72"/>
      <c r="AL3179" s="72"/>
      <c r="AM3179" s="72"/>
    </row>
    <row r="3180" spans="1:39" x14ac:dyDescent="0.25">
      <c r="A3180" s="37" t="s">
        <v>62</v>
      </c>
      <c r="B3180" s="66" t="s">
        <v>1676</v>
      </c>
      <c r="C3180" s="4">
        <v>1010</v>
      </c>
      <c r="D3180" s="41" t="s">
        <v>1311</v>
      </c>
      <c r="E3180" s="41">
        <v>10070033</v>
      </c>
      <c r="F3180" s="85" t="s">
        <v>215</v>
      </c>
      <c r="G3180" s="39" t="s">
        <v>92</v>
      </c>
      <c r="H3180" s="52" t="s">
        <v>93</v>
      </c>
      <c r="I3180" s="52">
        <v>376.5</v>
      </c>
      <c r="J3180" s="49">
        <v>19177.7</v>
      </c>
      <c r="K3180" s="58">
        <v>479.7</v>
      </c>
      <c r="L3180" s="58">
        <v>23943.809999999998</v>
      </c>
      <c r="M3180" s="58">
        <v>0</v>
      </c>
      <c r="N3180" s="58">
        <v>0</v>
      </c>
      <c r="O3180" s="58">
        <v>479.7</v>
      </c>
      <c r="P3180" s="53">
        <v>23943.809999999998</v>
      </c>
      <c r="Q3180" s="65">
        <v>19177.7</v>
      </c>
      <c r="R3180" s="65">
        <v>0</v>
      </c>
      <c r="S3180" s="65">
        <v>0</v>
      </c>
      <c r="T3180" s="65">
        <v>4766.1099999999969</v>
      </c>
      <c r="U3180" s="58">
        <v>0</v>
      </c>
      <c r="V3180" s="65">
        <v>0</v>
      </c>
      <c r="W3180" s="65">
        <v>0</v>
      </c>
      <c r="X3180" s="65">
        <v>19178</v>
      </c>
      <c r="Y3180" s="65">
        <v>0</v>
      </c>
      <c r="Z3180" s="51">
        <v>0</v>
      </c>
      <c r="AA3180" s="51">
        <v>0</v>
      </c>
      <c r="AB3180" s="102">
        <v>0</v>
      </c>
      <c r="AC3180" s="81">
        <f t="shared" si="151"/>
        <v>329.56100664010631</v>
      </c>
      <c r="AD3180" s="82">
        <f t="shared" si="152"/>
        <v>53.785714285714285</v>
      </c>
      <c r="AE3180" s="218">
        <v>-0.24852354557637238</v>
      </c>
      <c r="AF3180">
        <v>2</v>
      </c>
      <c r="AH3180" t="str">
        <f t="shared" si="150"/>
        <v>Parbatta</v>
      </c>
      <c r="AJ3180" s="72">
        <v>0</v>
      </c>
      <c r="AK3180" s="72"/>
      <c r="AL3180" s="72"/>
      <c r="AM3180" s="72"/>
    </row>
    <row r="3181" spans="1:39" x14ac:dyDescent="0.25">
      <c r="A3181" s="37" t="s">
        <v>62</v>
      </c>
      <c r="B3181" s="66" t="s">
        <v>1676</v>
      </c>
      <c r="C3181" s="4">
        <v>1056</v>
      </c>
      <c r="D3181" s="41" t="s">
        <v>816</v>
      </c>
      <c r="E3181" s="41">
        <v>10070039</v>
      </c>
      <c r="F3181" s="85" t="s">
        <v>1219</v>
      </c>
      <c r="G3181" s="39" t="s">
        <v>1610</v>
      </c>
      <c r="H3181" s="52" t="s">
        <v>98</v>
      </c>
      <c r="I3181" s="52">
        <v>117.38</v>
      </c>
      <c r="J3181" s="49">
        <v>3986.25</v>
      </c>
      <c r="K3181" s="58">
        <v>0</v>
      </c>
      <c r="L3181" s="58">
        <v>0</v>
      </c>
      <c r="M3181" s="58">
        <v>0</v>
      </c>
      <c r="N3181" s="58">
        <v>0</v>
      </c>
      <c r="O3181" s="58">
        <v>0</v>
      </c>
      <c r="P3181" s="53">
        <v>0</v>
      </c>
      <c r="Q3181" s="65">
        <v>3986.25</v>
      </c>
      <c r="R3181" s="65">
        <v>0</v>
      </c>
      <c r="S3181" s="65">
        <v>0</v>
      </c>
      <c r="T3181" s="65">
        <v>0</v>
      </c>
      <c r="U3181" s="58">
        <v>3986</v>
      </c>
      <c r="V3181" s="65">
        <v>0</v>
      </c>
      <c r="W3181" s="65">
        <v>0</v>
      </c>
      <c r="X3181" s="65">
        <v>0</v>
      </c>
      <c r="Y3181" s="65">
        <v>0</v>
      </c>
      <c r="Z3181" s="51">
        <v>0.25</v>
      </c>
      <c r="AA3181" s="51">
        <v>0</v>
      </c>
      <c r="AB3181" s="102">
        <v>0</v>
      </c>
      <c r="AC3181" s="81">
        <f t="shared" si="151"/>
        <v>395.71800562276377</v>
      </c>
      <c r="AD3181" s="82">
        <f t="shared" si="152"/>
        <v>16.768571428571427</v>
      </c>
      <c r="AE3181" s="218">
        <v>0</v>
      </c>
      <c r="AF3181">
        <v>0</v>
      </c>
      <c r="AH3181" t="str">
        <f t="shared" si="150"/>
        <v>Chautham</v>
      </c>
      <c r="AJ3181" s="72">
        <v>0</v>
      </c>
      <c r="AK3181" s="72"/>
      <c r="AL3181" s="72"/>
      <c r="AM3181" s="72"/>
    </row>
    <row r="3182" spans="1:39" x14ac:dyDescent="0.25">
      <c r="A3182" s="37" t="s">
        <v>62</v>
      </c>
      <c r="B3182" s="66" t="s">
        <v>1676</v>
      </c>
      <c r="C3182" s="4">
        <v>1007</v>
      </c>
      <c r="D3182" s="41" t="s">
        <v>203</v>
      </c>
      <c r="E3182" s="41">
        <v>10070042</v>
      </c>
      <c r="F3182" s="85" t="s">
        <v>216</v>
      </c>
      <c r="G3182" s="39" t="s">
        <v>92</v>
      </c>
      <c r="H3182" s="52" t="s">
        <v>93</v>
      </c>
      <c r="I3182" s="52">
        <v>203.20000000000002</v>
      </c>
      <c r="J3182" s="49">
        <v>8285.11</v>
      </c>
      <c r="K3182" s="58">
        <v>198.16999999999996</v>
      </c>
      <c r="L3182" s="58">
        <v>8175.83</v>
      </c>
      <c r="M3182" s="58">
        <v>5.03</v>
      </c>
      <c r="N3182" s="58">
        <v>208.8</v>
      </c>
      <c r="O3182" s="58">
        <v>203.19999999999996</v>
      </c>
      <c r="P3182" s="53">
        <v>8384.6299999999992</v>
      </c>
      <c r="Q3182" s="65">
        <v>8285.11</v>
      </c>
      <c r="R3182" s="65">
        <v>0</v>
      </c>
      <c r="S3182" s="65">
        <v>208.8</v>
      </c>
      <c r="T3182" s="65">
        <v>99.519999999998618</v>
      </c>
      <c r="U3182" s="58">
        <v>0</v>
      </c>
      <c r="V3182" s="65">
        <v>0</v>
      </c>
      <c r="W3182" s="65">
        <v>0</v>
      </c>
      <c r="X3182" s="65">
        <v>8076</v>
      </c>
      <c r="Y3182" s="65">
        <v>0</v>
      </c>
      <c r="Z3182" s="51">
        <v>0</v>
      </c>
      <c r="AA3182" s="51">
        <v>0</v>
      </c>
      <c r="AB3182" s="102">
        <v>0</v>
      </c>
      <c r="AC3182" s="81">
        <f t="shared" si="151"/>
        <v>405.12230787401569</v>
      </c>
      <c r="AD3182" s="82">
        <f t="shared" si="152"/>
        <v>29.028571428571432</v>
      </c>
      <c r="AE3182" s="218">
        <v>-1.2011910523819069E-2</v>
      </c>
      <c r="AF3182">
        <v>4</v>
      </c>
      <c r="AH3182" t="str">
        <f t="shared" si="150"/>
        <v>Araria</v>
      </c>
      <c r="AJ3182" s="72">
        <v>0</v>
      </c>
      <c r="AK3182" s="72"/>
      <c r="AL3182" s="72"/>
      <c r="AM3182" s="72"/>
    </row>
    <row r="3183" spans="1:39" x14ac:dyDescent="0.25">
      <c r="A3183" s="37" t="s">
        <v>62</v>
      </c>
      <c r="B3183" s="66" t="s">
        <v>1676</v>
      </c>
      <c r="C3183" s="4">
        <v>1007</v>
      </c>
      <c r="D3183" s="41" t="s">
        <v>203</v>
      </c>
      <c r="E3183" s="41">
        <v>10070043</v>
      </c>
      <c r="F3183" s="85" t="s">
        <v>203</v>
      </c>
      <c r="G3183" s="39" t="s">
        <v>1610</v>
      </c>
      <c r="H3183" s="52" t="s">
        <v>98</v>
      </c>
      <c r="I3183" s="52">
        <v>14324.199999999997</v>
      </c>
      <c r="J3183" s="49">
        <v>572514.35</v>
      </c>
      <c r="K3183" s="58">
        <v>0</v>
      </c>
      <c r="L3183" s="58">
        <v>0</v>
      </c>
      <c r="M3183" s="58">
        <v>0</v>
      </c>
      <c r="N3183" s="58">
        <v>0</v>
      </c>
      <c r="O3183" s="58">
        <v>0</v>
      </c>
      <c r="P3183" s="53">
        <v>0</v>
      </c>
      <c r="Q3183" s="65">
        <v>572514.35</v>
      </c>
      <c r="R3183" s="65">
        <v>0</v>
      </c>
      <c r="S3183" s="65">
        <v>0</v>
      </c>
      <c r="T3183" s="65">
        <v>0</v>
      </c>
      <c r="U3183" s="58">
        <v>0</v>
      </c>
      <c r="V3183" s="65">
        <v>0</v>
      </c>
      <c r="W3183" s="65">
        <v>0</v>
      </c>
      <c r="X3183" s="65">
        <v>0</v>
      </c>
      <c r="Y3183" s="65">
        <v>0</v>
      </c>
      <c r="Z3183" s="51">
        <v>572514.35</v>
      </c>
      <c r="AA3183" s="51">
        <v>0</v>
      </c>
      <c r="AB3183" s="102">
        <v>0</v>
      </c>
      <c r="AC3183" s="81">
        <f t="shared" si="151"/>
        <v>0</v>
      </c>
      <c r="AD3183" s="82">
        <f t="shared" si="152"/>
        <v>0</v>
      </c>
      <c r="AE3183" s="218">
        <v>0</v>
      </c>
      <c r="AF3183">
        <v>0</v>
      </c>
      <c r="AH3183" t="str">
        <f t="shared" si="150"/>
        <v>Araria</v>
      </c>
      <c r="AJ3183" s="72">
        <v>0</v>
      </c>
      <c r="AK3183" s="72"/>
      <c r="AL3183" s="72"/>
      <c r="AM3183" s="72"/>
    </row>
    <row r="3184" spans="1:39" x14ac:dyDescent="0.25">
      <c r="A3184" s="37" t="s">
        <v>62</v>
      </c>
      <c r="B3184" s="66" t="s">
        <v>1676</v>
      </c>
      <c r="C3184" s="4">
        <v>1007</v>
      </c>
      <c r="D3184" s="41" t="s">
        <v>203</v>
      </c>
      <c r="E3184" s="41">
        <v>10070045</v>
      </c>
      <c r="F3184" s="85" t="s">
        <v>209</v>
      </c>
      <c r="G3184" s="39" t="s">
        <v>92</v>
      </c>
      <c r="H3184" s="52" t="s">
        <v>93</v>
      </c>
      <c r="I3184" s="52">
        <v>107.49999999999999</v>
      </c>
      <c r="J3184" s="49">
        <v>4037.55</v>
      </c>
      <c r="K3184" s="58">
        <v>107.5</v>
      </c>
      <c r="L3184" s="58">
        <v>4064.58</v>
      </c>
      <c r="M3184" s="58">
        <v>0</v>
      </c>
      <c r="N3184" s="58">
        <v>0</v>
      </c>
      <c r="O3184" s="58">
        <v>107.5</v>
      </c>
      <c r="P3184" s="53">
        <v>4064.58</v>
      </c>
      <c r="Q3184" s="65">
        <v>4037.55</v>
      </c>
      <c r="R3184" s="65">
        <v>0</v>
      </c>
      <c r="S3184" s="65">
        <v>0</v>
      </c>
      <c r="T3184" s="65">
        <v>27.029999999999745</v>
      </c>
      <c r="U3184" s="58">
        <v>0</v>
      </c>
      <c r="V3184" s="65">
        <v>0</v>
      </c>
      <c r="W3184" s="65">
        <v>0</v>
      </c>
      <c r="X3184" s="65">
        <v>4038</v>
      </c>
      <c r="Y3184" s="65">
        <v>0</v>
      </c>
      <c r="Z3184" s="51">
        <v>0</v>
      </c>
      <c r="AA3184" s="51">
        <v>0</v>
      </c>
      <c r="AB3184" s="102">
        <v>0</v>
      </c>
      <c r="AC3184" s="81">
        <f t="shared" si="151"/>
        <v>445.0694651162791</v>
      </c>
      <c r="AD3184" s="82">
        <f t="shared" si="152"/>
        <v>15.357142857142856</v>
      </c>
      <c r="AE3184" s="218">
        <v>-6.6946539361741018E-3</v>
      </c>
      <c r="AF3184">
        <v>1</v>
      </c>
      <c r="AH3184" t="str">
        <f t="shared" si="150"/>
        <v>Araria</v>
      </c>
      <c r="AJ3184" s="72">
        <v>0</v>
      </c>
      <c r="AK3184" s="72"/>
      <c r="AL3184" s="72"/>
      <c r="AM3184" s="72"/>
    </row>
    <row r="3185" spans="1:39" x14ac:dyDescent="0.25">
      <c r="A3185" s="37" t="s">
        <v>62</v>
      </c>
      <c r="B3185" s="66" t="s">
        <v>1676</v>
      </c>
      <c r="C3185" s="4">
        <v>1056</v>
      </c>
      <c r="D3185" s="41" t="s">
        <v>816</v>
      </c>
      <c r="E3185" s="41">
        <v>10070046</v>
      </c>
      <c r="F3185" s="85" t="s">
        <v>491</v>
      </c>
      <c r="G3185" s="39" t="s">
        <v>92</v>
      </c>
      <c r="H3185" s="52" t="s">
        <v>93</v>
      </c>
      <c r="I3185" s="52">
        <v>1332.32</v>
      </c>
      <c r="J3185" s="49">
        <v>53637.72</v>
      </c>
      <c r="K3185" s="58">
        <v>1351.6</v>
      </c>
      <c r="L3185" s="58">
        <v>55065.040000000008</v>
      </c>
      <c r="M3185" s="58">
        <v>5.6000000000000005</v>
      </c>
      <c r="N3185" s="58">
        <v>204.33000000000004</v>
      </c>
      <c r="O3185" s="58">
        <v>1357.1999999999998</v>
      </c>
      <c r="P3185" s="53">
        <v>55269.37000000001</v>
      </c>
      <c r="Q3185" s="65">
        <v>53637.72</v>
      </c>
      <c r="R3185" s="65">
        <v>0</v>
      </c>
      <c r="S3185" s="65">
        <v>204.33000000000004</v>
      </c>
      <c r="T3185" s="65">
        <v>1631.6500000000087</v>
      </c>
      <c r="U3185" s="58">
        <v>0</v>
      </c>
      <c r="V3185" s="65">
        <v>0</v>
      </c>
      <c r="W3185" s="65">
        <v>0</v>
      </c>
      <c r="X3185" s="65">
        <v>53433</v>
      </c>
      <c r="Y3185" s="65">
        <v>0</v>
      </c>
      <c r="Z3185" s="51">
        <v>0</v>
      </c>
      <c r="AA3185" s="51">
        <v>0</v>
      </c>
      <c r="AB3185" s="102">
        <v>0</v>
      </c>
      <c r="AC3185" s="81">
        <f t="shared" si="151"/>
        <v>0</v>
      </c>
      <c r="AD3185" s="82">
        <f t="shared" si="152"/>
        <v>0</v>
      </c>
      <c r="AE3185" s="218">
        <v>-3.0419823959706129E-2</v>
      </c>
      <c r="AF3185">
        <v>7</v>
      </c>
      <c r="AH3185" t="str">
        <f t="shared" si="150"/>
        <v>Chautham</v>
      </c>
      <c r="AJ3185" s="72">
        <v>0</v>
      </c>
      <c r="AK3185" s="72"/>
      <c r="AL3185" s="72"/>
      <c r="AM3185" s="72"/>
    </row>
    <row r="3186" spans="1:39" x14ac:dyDescent="0.25">
      <c r="A3186" s="37" t="s">
        <v>62</v>
      </c>
      <c r="B3186" s="66" t="s">
        <v>1676</v>
      </c>
      <c r="C3186" s="4">
        <v>1007</v>
      </c>
      <c r="D3186" s="41" t="s">
        <v>203</v>
      </c>
      <c r="E3186" s="41">
        <v>10070048</v>
      </c>
      <c r="F3186" s="85" t="s">
        <v>513</v>
      </c>
      <c r="G3186" s="39" t="s">
        <v>92</v>
      </c>
      <c r="H3186" s="52" t="s">
        <v>93</v>
      </c>
      <c r="I3186" s="52">
        <v>1464.4999999999998</v>
      </c>
      <c r="J3186" s="49">
        <v>59098.089999999989</v>
      </c>
      <c r="K3186" s="58">
        <v>1501.06</v>
      </c>
      <c r="L3186" s="58">
        <v>63458.329999999994</v>
      </c>
      <c r="M3186" s="58">
        <v>0</v>
      </c>
      <c r="N3186" s="58">
        <v>0</v>
      </c>
      <c r="O3186" s="58">
        <v>1501.06</v>
      </c>
      <c r="P3186" s="53">
        <v>63458.329999999994</v>
      </c>
      <c r="Q3186" s="65">
        <v>59098.089999999989</v>
      </c>
      <c r="R3186" s="65">
        <v>0</v>
      </c>
      <c r="S3186" s="65">
        <v>0</v>
      </c>
      <c r="T3186" s="65">
        <v>4360.2400000000052</v>
      </c>
      <c r="U3186" s="58">
        <v>0</v>
      </c>
      <c r="V3186" s="65">
        <v>0</v>
      </c>
      <c r="W3186" s="65">
        <v>0</v>
      </c>
      <c r="X3186" s="65">
        <v>59098</v>
      </c>
      <c r="Y3186" s="65">
        <v>0</v>
      </c>
      <c r="Z3186" s="51">
        <v>0</v>
      </c>
      <c r="AA3186" s="51">
        <v>0</v>
      </c>
      <c r="AB3186" s="102">
        <v>0</v>
      </c>
      <c r="AC3186" s="81">
        <f t="shared" si="151"/>
        <v>0</v>
      </c>
      <c r="AD3186" s="82">
        <f t="shared" si="152"/>
        <v>0</v>
      </c>
      <c r="AE3186" s="218">
        <v>-7.3779710985583558E-2</v>
      </c>
      <c r="AF3186">
        <v>9</v>
      </c>
      <c r="AH3186" t="str">
        <f t="shared" si="150"/>
        <v>Araria</v>
      </c>
      <c r="AJ3186" s="72">
        <v>0</v>
      </c>
      <c r="AK3186" s="72"/>
      <c r="AL3186" s="72"/>
      <c r="AM3186" s="72"/>
    </row>
    <row r="3187" spans="1:39" x14ac:dyDescent="0.25">
      <c r="A3187" s="37" t="s">
        <v>62</v>
      </c>
      <c r="B3187" s="66" t="s">
        <v>1676</v>
      </c>
      <c r="C3187" s="4">
        <v>1056</v>
      </c>
      <c r="D3187" s="41" t="s">
        <v>816</v>
      </c>
      <c r="E3187" s="41">
        <v>10070053</v>
      </c>
      <c r="F3187" s="85" t="s">
        <v>1262</v>
      </c>
      <c r="G3187" s="39" t="s">
        <v>92</v>
      </c>
      <c r="H3187" s="52" t="s">
        <v>93</v>
      </c>
      <c r="I3187" s="52">
        <v>321.68</v>
      </c>
      <c r="J3187" s="49">
        <v>11606.36</v>
      </c>
      <c r="K3187" s="58">
        <v>396.96999999999997</v>
      </c>
      <c r="L3187" s="58">
        <v>16664.830000000002</v>
      </c>
      <c r="M3187" s="58">
        <v>0</v>
      </c>
      <c r="N3187" s="58">
        <v>0</v>
      </c>
      <c r="O3187" s="58">
        <v>396.96999999999997</v>
      </c>
      <c r="P3187" s="53">
        <v>16664.830000000002</v>
      </c>
      <c r="Q3187" s="65">
        <v>11606.36</v>
      </c>
      <c r="R3187" s="65">
        <v>0</v>
      </c>
      <c r="S3187" s="65">
        <v>0</v>
      </c>
      <c r="T3187" s="65">
        <v>5058.4700000000012</v>
      </c>
      <c r="U3187" s="58">
        <v>0</v>
      </c>
      <c r="V3187" s="65">
        <v>0</v>
      </c>
      <c r="W3187" s="65">
        <v>0</v>
      </c>
      <c r="X3187" s="65">
        <v>12762</v>
      </c>
      <c r="Y3187" s="65">
        <v>0</v>
      </c>
      <c r="Z3187" s="51">
        <v>0</v>
      </c>
      <c r="AA3187" s="51">
        <v>-1156</v>
      </c>
      <c r="AB3187" s="102" t="s">
        <v>66</v>
      </c>
      <c r="AC3187" s="81">
        <f t="shared" si="151"/>
        <v>272.99913673215622</v>
      </c>
      <c r="AD3187" s="82">
        <f t="shared" si="152"/>
        <v>45.954285714285717</v>
      </c>
      <c r="AE3187" s="218">
        <v>-0.43583604161856093</v>
      </c>
      <c r="AF3187">
        <v>2</v>
      </c>
      <c r="AH3187" t="str">
        <f t="shared" si="150"/>
        <v>Chautham</v>
      </c>
      <c r="AJ3187" s="72">
        <v>0</v>
      </c>
      <c r="AK3187" s="72"/>
      <c r="AL3187" s="72"/>
      <c r="AM3187" s="72"/>
    </row>
    <row r="3188" spans="1:39" x14ac:dyDescent="0.25">
      <c r="A3188" s="37" t="s">
        <v>62</v>
      </c>
      <c r="B3188" s="66" t="s">
        <v>1676</v>
      </c>
      <c r="C3188" s="4">
        <v>1056</v>
      </c>
      <c r="D3188" s="41" t="s">
        <v>816</v>
      </c>
      <c r="E3188" s="41">
        <v>10070056</v>
      </c>
      <c r="F3188" s="85" t="s">
        <v>524</v>
      </c>
      <c r="G3188" s="39" t="s">
        <v>1610</v>
      </c>
      <c r="H3188" s="52" t="s">
        <v>98</v>
      </c>
      <c r="I3188" s="52">
        <v>149.01999999999998</v>
      </c>
      <c r="J3188" s="49">
        <v>6185.6500000000005</v>
      </c>
      <c r="K3188" s="58">
        <v>0</v>
      </c>
      <c r="L3188" s="58">
        <v>0</v>
      </c>
      <c r="M3188" s="58">
        <v>0</v>
      </c>
      <c r="N3188" s="58">
        <v>0</v>
      </c>
      <c r="O3188" s="58">
        <v>0</v>
      </c>
      <c r="P3188" s="53">
        <v>0</v>
      </c>
      <c r="Q3188" s="65">
        <v>6185.6500000000005</v>
      </c>
      <c r="R3188" s="65">
        <v>0</v>
      </c>
      <c r="S3188" s="65">
        <v>0</v>
      </c>
      <c r="T3188" s="65">
        <v>0</v>
      </c>
      <c r="U3188" s="58">
        <v>0</v>
      </c>
      <c r="V3188" s="65">
        <v>0</v>
      </c>
      <c r="W3188" s="65">
        <v>0</v>
      </c>
      <c r="X3188" s="65">
        <v>0</v>
      </c>
      <c r="Y3188" s="65">
        <v>0</v>
      </c>
      <c r="Z3188" s="51">
        <v>6185.6500000000005</v>
      </c>
      <c r="AA3188" s="51">
        <v>0</v>
      </c>
      <c r="AB3188" s="102">
        <v>0</v>
      </c>
      <c r="AC3188" s="81">
        <f t="shared" si="151"/>
        <v>457.41101019997325</v>
      </c>
      <c r="AD3188" s="82">
        <f t="shared" si="152"/>
        <v>21.288571428571426</v>
      </c>
      <c r="AE3188" s="218">
        <v>0</v>
      </c>
      <c r="AF3188">
        <v>0</v>
      </c>
      <c r="AH3188" t="str">
        <f t="shared" si="150"/>
        <v>Chautham</v>
      </c>
      <c r="AJ3188" s="72">
        <v>0</v>
      </c>
      <c r="AK3188" s="72"/>
      <c r="AL3188" s="72"/>
      <c r="AM3188" s="72"/>
    </row>
    <row r="3189" spans="1:39" x14ac:dyDescent="0.25">
      <c r="A3189" s="37" t="s">
        <v>62</v>
      </c>
      <c r="B3189" s="66" t="s">
        <v>1676</v>
      </c>
      <c r="C3189" s="4">
        <v>1056</v>
      </c>
      <c r="D3189" s="41" t="s">
        <v>816</v>
      </c>
      <c r="E3189" s="41">
        <v>10070058</v>
      </c>
      <c r="F3189" s="85" t="s">
        <v>1254</v>
      </c>
      <c r="G3189" s="39" t="s">
        <v>1610</v>
      </c>
      <c r="H3189" s="52" t="s">
        <v>98</v>
      </c>
      <c r="I3189" s="52">
        <v>37.32</v>
      </c>
      <c r="J3189" s="49">
        <v>1342.45</v>
      </c>
      <c r="K3189" s="58">
        <v>0</v>
      </c>
      <c r="L3189" s="58">
        <v>0</v>
      </c>
      <c r="M3189" s="58">
        <v>0</v>
      </c>
      <c r="N3189" s="58">
        <v>0</v>
      </c>
      <c r="O3189" s="58">
        <v>0</v>
      </c>
      <c r="P3189" s="53">
        <v>0</v>
      </c>
      <c r="Q3189" s="65">
        <v>1342.45</v>
      </c>
      <c r="R3189" s="65">
        <v>0</v>
      </c>
      <c r="S3189" s="65">
        <v>0</v>
      </c>
      <c r="T3189" s="65">
        <v>0</v>
      </c>
      <c r="U3189" s="58">
        <v>0</v>
      </c>
      <c r="V3189" s="65">
        <v>0</v>
      </c>
      <c r="W3189" s="65">
        <v>0</v>
      </c>
      <c r="X3189" s="65">
        <v>0</v>
      </c>
      <c r="Y3189" s="65">
        <v>0</v>
      </c>
      <c r="Z3189" s="51">
        <v>1342.45</v>
      </c>
      <c r="AA3189" s="51">
        <v>0</v>
      </c>
      <c r="AB3189" s="102">
        <v>0</v>
      </c>
      <c r="AC3189" s="81">
        <f t="shared" si="151"/>
        <v>476.74960664523041</v>
      </c>
      <c r="AD3189" s="82">
        <f t="shared" si="152"/>
        <v>5.3314285714285718</v>
      </c>
      <c r="AE3189" s="218">
        <v>0</v>
      </c>
      <c r="AF3189">
        <v>0</v>
      </c>
      <c r="AH3189" t="str">
        <f t="shared" ref="AH3189:AH3252" si="153">TEXT(D3189,"0000")</f>
        <v>Chautham</v>
      </c>
      <c r="AJ3189" s="72">
        <v>0</v>
      </c>
      <c r="AK3189" s="72"/>
      <c r="AL3189" s="72"/>
      <c r="AM3189" s="72"/>
    </row>
    <row r="3190" spans="1:39" x14ac:dyDescent="0.25">
      <c r="A3190" s="37" t="s">
        <v>62</v>
      </c>
      <c r="B3190" s="66" t="s">
        <v>1676</v>
      </c>
      <c r="C3190" s="4">
        <v>1056</v>
      </c>
      <c r="D3190" s="41" t="s">
        <v>816</v>
      </c>
      <c r="E3190" s="41">
        <v>10070059</v>
      </c>
      <c r="F3190" s="85" t="s">
        <v>552</v>
      </c>
      <c r="G3190" s="39" t="s">
        <v>1610</v>
      </c>
      <c r="H3190" s="52" t="s">
        <v>93</v>
      </c>
      <c r="I3190" s="52">
        <v>684.74</v>
      </c>
      <c r="J3190" s="49">
        <v>26525.51</v>
      </c>
      <c r="K3190" s="58">
        <v>0</v>
      </c>
      <c r="L3190" s="58">
        <v>0</v>
      </c>
      <c r="M3190" s="58">
        <v>0</v>
      </c>
      <c r="N3190" s="58">
        <v>0</v>
      </c>
      <c r="O3190" s="58">
        <v>0</v>
      </c>
      <c r="P3190" s="53">
        <v>0</v>
      </c>
      <c r="Q3190" s="65">
        <v>0</v>
      </c>
      <c r="R3190" s="65">
        <v>0</v>
      </c>
      <c r="S3190" s="65">
        <v>0</v>
      </c>
      <c r="T3190" s="65">
        <v>0</v>
      </c>
      <c r="U3190" s="58">
        <v>0</v>
      </c>
      <c r="V3190" s="65">
        <v>0</v>
      </c>
      <c r="W3190" s="65">
        <v>0</v>
      </c>
      <c r="X3190" s="65">
        <v>0</v>
      </c>
      <c r="Y3190" s="65">
        <v>0</v>
      </c>
      <c r="Z3190" s="51">
        <v>0</v>
      </c>
      <c r="AA3190" s="51">
        <v>26526</v>
      </c>
      <c r="AB3190" s="102">
        <v>0</v>
      </c>
      <c r="AC3190" s="81">
        <f t="shared" si="151"/>
        <v>11.822860723778327</v>
      </c>
      <c r="AD3190" s="82">
        <f t="shared" si="152"/>
        <v>97.820000000000007</v>
      </c>
      <c r="AE3190" s="218">
        <v>1</v>
      </c>
      <c r="AF3190">
        <v>0</v>
      </c>
      <c r="AH3190" t="str">
        <f t="shared" si="153"/>
        <v>Chautham</v>
      </c>
      <c r="AJ3190" s="72">
        <v>0</v>
      </c>
      <c r="AK3190" s="72"/>
      <c r="AL3190" s="72"/>
      <c r="AM3190" s="72"/>
    </row>
    <row r="3191" spans="1:39" x14ac:dyDescent="0.25">
      <c r="A3191" s="37" t="s">
        <v>62</v>
      </c>
      <c r="B3191" s="66" t="s">
        <v>1676</v>
      </c>
      <c r="C3191" s="4">
        <v>1056</v>
      </c>
      <c r="D3191" s="41" t="s">
        <v>816</v>
      </c>
      <c r="E3191" s="41">
        <v>10070060</v>
      </c>
      <c r="F3191" s="85" t="s">
        <v>1300</v>
      </c>
      <c r="G3191" s="39" t="s">
        <v>1610</v>
      </c>
      <c r="H3191" s="52" t="s">
        <v>98</v>
      </c>
      <c r="I3191" s="52">
        <v>43.16</v>
      </c>
      <c r="J3191" s="49">
        <v>1860.62</v>
      </c>
      <c r="K3191" s="58">
        <v>0</v>
      </c>
      <c r="L3191" s="58">
        <v>0</v>
      </c>
      <c r="M3191" s="58">
        <v>0</v>
      </c>
      <c r="N3191" s="58">
        <v>0</v>
      </c>
      <c r="O3191" s="58">
        <v>0</v>
      </c>
      <c r="P3191" s="53">
        <v>0</v>
      </c>
      <c r="Q3191" s="65">
        <v>1860.62</v>
      </c>
      <c r="R3191" s="65">
        <v>0</v>
      </c>
      <c r="S3191" s="65">
        <v>0</v>
      </c>
      <c r="T3191" s="65">
        <v>0</v>
      </c>
      <c r="U3191" s="58">
        <v>0</v>
      </c>
      <c r="V3191" s="65">
        <v>0</v>
      </c>
      <c r="W3191" s="65">
        <v>0</v>
      </c>
      <c r="X3191" s="65">
        <v>0</v>
      </c>
      <c r="Y3191" s="65">
        <v>0</v>
      </c>
      <c r="Z3191" s="51">
        <v>1860.62</v>
      </c>
      <c r="AA3191" s="51">
        <v>0</v>
      </c>
      <c r="AB3191" s="102">
        <v>0</v>
      </c>
      <c r="AC3191" s="81">
        <f t="shared" si="151"/>
        <v>566.32513475440237</v>
      </c>
      <c r="AD3191" s="82">
        <f t="shared" si="152"/>
        <v>6.1657142857142855</v>
      </c>
      <c r="AE3191" s="218">
        <v>0</v>
      </c>
      <c r="AF3191">
        <v>0</v>
      </c>
      <c r="AH3191" t="str">
        <f t="shared" si="153"/>
        <v>Chautham</v>
      </c>
      <c r="AJ3191" s="72">
        <v>0</v>
      </c>
      <c r="AK3191" s="72"/>
      <c r="AL3191" s="72"/>
      <c r="AM3191" s="72"/>
    </row>
    <row r="3192" spans="1:39" x14ac:dyDescent="0.25">
      <c r="A3192" s="37" t="s">
        <v>62</v>
      </c>
      <c r="B3192" s="66" t="s">
        <v>1676</v>
      </c>
      <c r="C3192" s="4">
        <v>1007</v>
      </c>
      <c r="D3192" s="41" t="s">
        <v>203</v>
      </c>
      <c r="E3192" s="41">
        <v>10070061</v>
      </c>
      <c r="F3192" s="85" t="s">
        <v>557</v>
      </c>
      <c r="G3192" s="39" t="s">
        <v>1610</v>
      </c>
      <c r="H3192" s="52" t="s">
        <v>98</v>
      </c>
      <c r="I3192" s="52">
        <v>252.2</v>
      </c>
      <c r="J3192" s="49">
        <v>9191.9200000000019</v>
      </c>
      <c r="K3192" s="58">
        <v>0</v>
      </c>
      <c r="L3192" s="58">
        <v>0</v>
      </c>
      <c r="M3192" s="58">
        <v>0</v>
      </c>
      <c r="N3192" s="58">
        <v>0</v>
      </c>
      <c r="O3192" s="58">
        <v>0</v>
      </c>
      <c r="P3192" s="53">
        <v>0</v>
      </c>
      <c r="Q3192" s="65">
        <v>9191.9200000000019</v>
      </c>
      <c r="R3192" s="65">
        <v>0</v>
      </c>
      <c r="S3192" s="65">
        <v>0</v>
      </c>
      <c r="T3192" s="65">
        <v>0</v>
      </c>
      <c r="U3192" s="58">
        <v>4050</v>
      </c>
      <c r="V3192" s="65">
        <v>0</v>
      </c>
      <c r="W3192" s="65">
        <v>0</v>
      </c>
      <c r="X3192" s="65">
        <v>0</v>
      </c>
      <c r="Y3192" s="65">
        <v>0</v>
      </c>
      <c r="Z3192" s="51">
        <v>5141.9200000000019</v>
      </c>
      <c r="AA3192" s="51">
        <v>0</v>
      </c>
      <c r="AB3192" s="102">
        <v>0</v>
      </c>
      <c r="AC3192" s="81">
        <f t="shared" si="151"/>
        <v>326.4188561459161</v>
      </c>
      <c r="AD3192" s="82">
        <f t="shared" si="152"/>
        <v>36.028571428571425</v>
      </c>
      <c r="AE3192" s="218">
        <v>0</v>
      </c>
      <c r="AF3192">
        <v>0</v>
      </c>
      <c r="AH3192" t="str">
        <f t="shared" si="153"/>
        <v>Araria</v>
      </c>
      <c r="AJ3192" s="72">
        <v>0</v>
      </c>
      <c r="AK3192" s="72"/>
      <c r="AL3192" s="72"/>
      <c r="AM3192" s="72"/>
    </row>
    <row r="3193" spans="1:39" x14ac:dyDescent="0.25">
      <c r="A3193" s="37" t="s">
        <v>62</v>
      </c>
      <c r="B3193" s="66" t="s">
        <v>1676</v>
      </c>
      <c r="C3193" s="4">
        <v>1010</v>
      </c>
      <c r="D3193" s="41" t="s">
        <v>1311</v>
      </c>
      <c r="E3193" s="41">
        <v>10070063</v>
      </c>
      <c r="F3193" s="85" t="s">
        <v>623</v>
      </c>
      <c r="G3193" s="39" t="s">
        <v>92</v>
      </c>
      <c r="H3193" s="52" t="s">
        <v>93</v>
      </c>
      <c r="I3193" s="52">
        <v>329.3</v>
      </c>
      <c r="J3193" s="49">
        <v>12539.049999999997</v>
      </c>
      <c r="K3193" s="58">
        <v>329.3</v>
      </c>
      <c r="L3193" s="58">
        <v>12794.099999999999</v>
      </c>
      <c r="M3193" s="58">
        <v>0</v>
      </c>
      <c r="N3193" s="58">
        <v>0</v>
      </c>
      <c r="O3193" s="58">
        <v>329.3</v>
      </c>
      <c r="P3193" s="53">
        <v>12794.099999999999</v>
      </c>
      <c r="Q3193" s="65">
        <v>12539.049999999997</v>
      </c>
      <c r="R3193" s="65">
        <v>0</v>
      </c>
      <c r="S3193" s="65">
        <v>0</v>
      </c>
      <c r="T3193" s="65">
        <v>255.05000000000109</v>
      </c>
      <c r="U3193" s="58">
        <v>0</v>
      </c>
      <c r="V3193" s="65">
        <v>0</v>
      </c>
      <c r="W3193" s="65">
        <v>0</v>
      </c>
      <c r="X3193" s="65">
        <v>12539</v>
      </c>
      <c r="Y3193" s="65">
        <v>0</v>
      </c>
      <c r="Z3193" s="51">
        <v>0</v>
      </c>
      <c r="AA3193" s="51">
        <v>0</v>
      </c>
      <c r="AB3193" s="102">
        <v>0</v>
      </c>
      <c r="AC3193" s="81">
        <f t="shared" si="151"/>
        <v>282.30949498937133</v>
      </c>
      <c r="AD3193" s="82">
        <f t="shared" si="152"/>
        <v>47.042857142857144</v>
      </c>
      <c r="AE3193" s="218">
        <v>-2.0340456414162249E-2</v>
      </c>
      <c r="AF3193">
        <v>1</v>
      </c>
      <c r="AH3193" t="str">
        <f t="shared" si="153"/>
        <v>Parbatta</v>
      </c>
      <c r="AJ3193" s="72">
        <v>0</v>
      </c>
      <c r="AK3193" s="72"/>
      <c r="AL3193" s="72"/>
      <c r="AM3193" s="72"/>
    </row>
    <row r="3194" spans="1:39" x14ac:dyDescent="0.25">
      <c r="A3194" s="37" t="s">
        <v>62</v>
      </c>
      <c r="B3194" s="66" t="s">
        <v>1676</v>
      </c>
      <c r="C3194" s="4">
        <v>1056</v>
      </c>
      <c r="D3194" s="41" t="s">
        <v>816</v>
      </c>
      <c r="E3194" s="41">
        <v>10070064</v>
      </c>
      <c r="F3194" s="85" t="s">
        <v>624</v>
      </c>
      <c r="G3194" s="39" t="s">
        <v>92</v>
      </c>
      <c r="H3194" s="52" t="s">
        <v>93</v>
      </c>
      <c r="I3194" s="52">
        <v>715.98</v>
      </c>
      <c r="J3194" s="49">
        <v>29603.429999999997</v>
      </c>
      <c r="K3194" s="58">
        <v>557.72</v>
      </c>
      <c r="L3194" s="58">
        <v>22893.35</v>
      </c>
      <c r="M3194" s="58">
        <v>252.64</v>
      </c>
      <c r="N3194" s="58">
        <v>11320.47</v>
      </c>
      <c r="O3194" s="58">
        <v>810.36</v>
      </c>
      <c r="P3194" s="53">
        <v>34213.82</v>
      </c>
      <c r="Q3194" s="65">
        <v>29603.429999999997</v>
      </c>
      <c r="R3194" s="65">
        <v>0</v>
      </c>
      <c r="S3194" s="65">
        <v>136.62</v>
      </c>
      <c r="T3194" s="65">
        <v>4610.3900000000031</v>
      </c>
      <c r="U3194" s="58">
        <v>0</v>
      </c>
      <c r="V3194" s="65">
        <v>0</v>
      </c>
      <c r="W3194" s="65">
        <v>0</v>
      </c>
      <c r="X3194" s="65">
        <v>18282</v>
      </c>
      <c r="Y3194" s="65">
        <v>11184</v>
      </c>
      <c r="Z3194" s="51">
        <v>0</v>
      </c>
      <c r="AA3194" s="51">
        <v>1</v>
      </c>
      <c r="AB3194" s="102">
        <v>0</v>
      </c>
      <c r="AC3194" s="81">
        <f t="shared" si="151"/>
        <v>0</v>
      </c>
      <c r="AD3194" s="82">
        <f t="shared" si="152"/>
        <v>0</v>
      </c>
      <c r="AE3194" s="218">
        <v>-0.15573837220889619</v>
      </c>
      <c r="AF3194">
        <v>8</v>
      </c>
      <c r="AH3194" t="str">
        <f t="shared" si="153"/>
        <v>Chautham</v>
      </c>
      <c r="AJ3194" s="72">
        <v>0</v>
      </c>
      <c r="AK3194" s="72"/>
      <c r="AL3194" s="72"/>
      <c r="AM3194" s="72"/>
    </row>
    <row r="3195" spans="1:39" x14ac:dyDescent="0.25">
      <c r="A3195" s="37" t="s">
        <v>62</v>
      </c>
      <c r="B3195" s="66" t="s">
        <v>1676</v>
      </c>
      <c r="C3195" s="4">
        <v>1007</v>
      </c>
      <c r="D3195" s="41" t="s">
        <v>203</v>
      </c>
      <c r="E3195" s="41">
        <v>10070067</v>
      </c>
      <c r="F3195" s="85" t="s">
        <v>1530</v>
      </c>
      <c r="G3195" s="39" t="s">
        <v>1610</v>
      </c>
      <c r="H3195" s="52" t="s">
        <v>98</v>
      </c>
      <c r="I3195" s="52">
        <v>1689.6000000000001</v>
      </c>
      <c r="J3195" s="49">
        <v>66989.669999999984</v>
      </c>
      <c r="K3195" s="58">
        <v>0</v>
      </c>
      <c r="L3195" s="58">
        <v>0</v>
      </c>
      <c r="M3195" s="58">
        <v>0</v>
      </c>
      <c r="N3195" s="58">
        <v>0</v>
      </c>
      <c r="O3195" s="58">
        <v>0</v>
      </c>
      <c r="P3195" s="53">
        <v>0</v>
      </c>
      <c r="Q3195" s="65">
        <v>66989.669999999984</v>
      </c>
      <c r="R3195" s="65">
        <v>0</v>
      </c>
      <c r="S3195" s="65">
        <v>0</v>
      </c>
      <c r="T3195" s="65">
        <v>0</v>
      </c>
      <c r="U3195" s="58">
        <v>0</v>
      </c>
      <c r="V3195" s="65">
        <v>0</v>
      </c>
      <c r="W3195" s="65">
        <v>0</v>
      </c>
      <c r="X3195" s="65">
        <v>0</v>
      </c>
      <c r="Y3195" s="65">
        <v>0</v>
      </c>
      <c r="Z3195" s="51">
        <v>66989.669999999984</v>
      </c>
      <c r="AA3195" s="51">
        <v>0</v>
      </c>
      <c r="AB3195" s="102">
        <v>0</v>
      </c>
      <c r="AC3195" s="81">
        <f t="shared" ref="AC3195:AC3258" si="154">((IF(AD3195=0,0,100-AD3195))*7*(J3195/I3195))*2%</f>
        <v>0</v>
      </c>
      <c r="AD3195" s="82">
        <f t="shared" ref="AD3195:AD3258" si="155">IF((I3195/7)&gt;100,0,(I3195/7))</f>
        <v>0</v>
      </c>
      <c r="AE3195" s="218">
        <v>0</v>
      </c>
      <c r="AF3195">
        <v>0</v>
      </c>
      <c r="AH3195" t="str">
        <f t="shared" si="153"/>
        <v>Araria</v>
      </c>
      <c r="AJ3195" s="72">
        <v>0</v>
      </c>
      <c r="AK3195" s="72"/>
      <c r="AL3195" s="72"/>
      <c r="AM3195" s="72"/>
    </row>
    <row r="3196" spans="1:39" x14ac:dyDescent="0.25">
      <c r="A3196" s="37" t="s">
        <v>62</v>
      </c>
      <c r="B3196" s="66" t="s">
        <v>1676</v>
      </c>
      <c r="C3196" s="4">
        <v>1007</v>
      </c>
      <c r="D3196" s="41" t="s">
        <v>203</v>
      </c>
      <c r="E3196" s="41">
        <v>10070072</v>
      </c>
      <c r="F3196" s="85" t="s">
        <v>1659</v>
      </c>
      <c r="G3196" s="39" t="s">
        <v>1610</v>
      </c>
      <c r="H3196" s="52" t="s">
        <v>98</v>
      </c>
      <c r="I3196" s="52">
        <v>297</v>
      </c>
      <c r="J3196" s="49">
        <v>11154.220000000001</v>
      </c>
      <c r="K3196" s="58">
        <v>297</v>
      </c>
      <c r="L3196" s="58">
        <v>11271.15</v>
      </c>
      <c r="M3196" s="58">
        <v>0</v>
      </c>
      <c r="N3196" s="58">
        <v>0</v>
      </c>
      <c r="O3196" s="58">
        <v>297</v>
      </c>
      <c r="P3196" s="53">
        <v>11271.15</v>
      </c>
      <c r="Q3196" s="65">
        <v>11154.220000000001</v>
      </c>
      <c r="R3196" s="65">
        <v>0</v>
      </c>
      <c r="S3196" s="65">
        <v>0</v>
      </c>
      <c r="T3196" s="65">
        <v>116.92999999999847</v>
      </c>
      <c r="U3196" s="58">
        <v>0</v>
      </c>
      <c r="V3196" s="65">
        <v>0</v>
      </c>
      <c r="W3196" s="65">
        <v>0</v>
      </c>
      <c r="X3196" s="65">
        <v>0</v>
      </c>
      <c r="Y3196" s="65">
        <v>0</v>
      </c>
      <c r="Z3196" s="51">
        <v>11154.220000000001</v>
      </c>
      <c r="AA3196" s="51">
        <v>0</v>
      </c>
      <c r="AB3196" s="102">
        <v>0</v>
      </c>
      <c r="AC3196" s="81">
        <f t="shared" si="154"/>
        <v>302.70374814814818</v>
      </c>
      <c r="AD3196" s="82">
        <f t="shared" si="155"/>
        <v>42.428571428571431</v>
      </c>
      <c r="AE3196" s="218">
        <v>0</v>
      </c>
      <c r="AF3196">
        <v>1</v>
      </c>
      <c r="AH3196" t="str">
        <f t="shared" si="153"/>
        <v>Araria</v>
      </c>
      <c r="AJ3196" s="72">
        <v>0</v>
      </c>
      <c r="AK3196" s="72"/>
      <c r="AL3196" s="72"/>
      <c r="AM3196" s="72"/>
    </row>
    <row r="3197" spans="1:39" x14ac:dyDescent="0.25">
      <c r="A3197" s="37" t="s">
        <v>62</v>
      </c>
      <c r="B3197" s="66" t="s">
        <v>1676</v>
      </c>
      <c r="C3197" s="4">
        <v>1007</v>
      </c>
      <c r="D3197" s="41" t="s">
        <v>203</v>
      </c>
      <c r="E3197" s="41">
        <v>10070074</v>
      </c>
      <c r="F3197" s="85" t="s">
        <v>1133</v>
      </c>
      <c r="G3197" s="39" t="s">
        <v>1610</v>
      </c>
      <c r="H3197" s="52" t="s">
        <v>98</v>
      </c>
      <c r="I3197" s="52">
        <v>363.1</v>
      </c>
      <c r="J3197" s="49">
        <v>14240.59</v>
      </c>
      <c r="K3197" s="58">
        <v>0</v>
      </c>
      <c r="L3197" s="58">
        <v>0</v>
      </c>
      <c r="M3197" s="58">
        <v>0</v>
      </c>
      <c r="N3197" s="58">
        <v>0</v>
      </c>
      <c r="O3197" s="58">
        <v>0</v>
      </c>
      <c r="P3197" s="53">
        <v>0</v>
      </c>
      <c r="Q3197" s="65">
        <v>14240.59</v>
      </c>
      <c r="R3197" s="65">
        <v>0</v>
      </c>
      <c r="S3197" s="65">
        <v>0</v>
      </c>
      <c r="T3197" s="65">
        <v>0</v>
      </c>
      <c r="U3197" s="58">
        <v>0</v>
      </c>
      <c r="V3197" s="65">
        <v>0</v>
      </c>
      <c r="W3197" s="65">
        <v>0</v>
      </c>
      <c r="X3197" s="65">
        <v>0</v>
      </c>
      <c r="Y3197" s="65">
        <v>0</v>
      </c>
      <c r="Z3197" s="51">
        <v>14240.59</v>
      </c>
      <c r="AA3197" s="51">
        <v>0</v>
      </c>
      <c r="AB3197" s="102">
        <v>0</v>
      </c>
      <c r="AC3197" s="81">
        <f t="shared" si="154"/>
        <v>264.26079708069398</v>
      </c>
      <c r="AD3197" s="82">
        <f t="shared" si="155"/>
        <v>51.871428571428574</v>
      </c>
      <c r="AE3197" s="218">
        <v>0</v>
      </c>
      <c r="AF3197">
        <v>0</v>
      </c>
      <c r="AH3197" t="str">
        <f t="shared" si="153"/>
        <v>Araria</v>
      </c>
      <c r="AJ3197" s="72">
        <v>0</v>
      </c>
      <c r="AK3197" s="72"/>
      <c r="AL3197" s="72"/>
      <c r="AM3197" s="72"/>
    </row>
    <row r="3198" spans="1:39" x14ac:dyDescent="0.25">
      <c r="A3198" s="37" t="s">
        <v>62</v>
      </c>
      <c r="B3198" s="66" t="s">
        <v>1676</v>
      </c>
      <c r="C3198" s="4">
        <v>1007</v>
      </c>
      <c r="D3198" s="41" t="s">
        <v>203</v>
      </c>
      <c r="E3198" s="41">
        <v>10070077</v>
      </c>
      <c r="F3198" s="85" t="s">
        <v>1301</v>
      </c>
      <c r="G3198" s="39" t="s">
        <v>92</v>
      </c>
      <c r="H3198" s="52" t="s">
        <v>93</v>
      </c>
      <c r="I3198" s="52">
        <v>501</v>
      </c>
      <c r="J3198" s="49">
        <v>19341.969999999994</v>
      </c>
      <c r="K3198" s="58">
        <v>395.51000000000005</v>
      </c>
      <c r="L3198" s="58">
        <v>15703.58</v>
      </c>
      <c r="M3198" s="58">
        <v>106.94</v>
      </c>
      <c r="N3198" s="58">
        <v>5053.5600000000004</v>
      </c>
      <c r="O3198" s="58">
        <v>502.45000000000005</v>
      </c>
      <c r="P3198" s="53">
        <v>20757.14</v>
      </c>
      <c r="Q3198" s="65">
        <v>19341.969999999994</v>
      </c>
      <c r="R3198" s="65">
        <v>0</v>
      </c>
      <c r="S3198" s="65">
        <v>0</v>
      </c>
      <c r="T3198" s="65">
        <v>1415.1700000000055</v>
      </c>
      <c r="U3198" s="58">
        <v>6750</v>
      </c>
      <c r="V3198" s="65">
        <v>500</v>
      </c>
      <c r="W3198" s="65">
        <v>0</v>
      </c>
      <c r="X3198" s="65">
        <v>7039</v>
      </c>
      <c r="Y3198" s="65">
        <v>5053</v>
      </c>
      <c r="Z3198" s="51">
        <v>0</v>
      </c>
      <c r="AA3198" s="51">
        <v>0</v>
      </c>
      <c r="AB3198" s="102">
        <v>0</v>
      </c>
      <c r="AC3198" s="81">
        <f t="shared" si="154"/>
        <v>153.65477165668656</v>
      </c>
      <c r="AD3198" s="82">
        <f t="shared" si="155"/>
        <v>71.571428571428569</v>
      </c>
      <c r="AE3198" s="218">
        <v>-7.3165763363297845E-2</v>
      </c>
      <c r="AF3198">
        <v>8</v>
      </c>
      <c r="AH3198" t="str">
        <f t="shared" si="153"/>
        <v>Araria</v>
      </c>
      <c r="AJ3198" s="72">
        <v>500</v>
      </c>
      <c r="AK3198" s="72"/>
      <c r="AL3198" s="72"/>
      <c r="AM3198" s="72"/>
    </row>
    <row r="3199" spans="1:39" x14ac:dyDescent="0.25">
      <c r="A3199" s="37" t="s">
        <v>62</v>
      </c>
      <c r="B3199" s="66" t="s">
        <v>1676</v>
      </c>
      <c r="C3199" s="4">
        <v>1007</v>
      </c>
      <c r="D3199" s="41" t="s">
        <v>203</v>
      </c>
      <c r="E3199" s="41">
        <v>10070078</v>
      </c>
      <c r="F3199" s="85" t="s">
        <v>1302</v>
      </c>
      <c r="G3199" s="39" t="s">
        <v>92</v>
      </c>
      <c r="H3199" s="52" t="s">
        <v>93</v>
      </c>
      <c r="I3199" s="52">
        <v>777.9</v>
      </c>
      <c r="J3199" s="49">
        <v>29080.530000000002</v>
      </c>
      <c r="K3199" s="58">
        <v>777.9</v>
      </c>
      <c r="L3199" s="58">
        <v>28556.71</v>
      </c>
      <c r="M3199" s="58">
        <v>0</v>
      </c>
      <c r="N3199" s="58">
        <v>0</v>
      </c>
      <c r="O3199" s="58">
        <v>777.9</v>
      </c>
      <c r="P3199" s="53">
        <v>28556.71</v>
      </c>
      <c r="Q3199" s="65">
        <v>28556.71</v>
      </c>
      <c r="R3199" s="65">
        <v>0</v>
      </c>
      <c r="S3199" s="65">
        <v>0</v>
      </c>
      <c r="T3199" s="65">
        <v>0</v>
      </c>
      <c r="U3199" s="58">
        <v>0</v>
      </c>
      <c r="V3199" s="65">
        <v>0</v>
      </c>
      <c r="W3199" s="65">
        <v>0</v>
      </c>
      <c r="X3199" s="65">
        <v>28557</v>
      </c>
      <c r="Y3199" s="65">
        <v>0</v>
      </c>
      <c r="Z3199" s="51">
        <v>0</v>
      </c>
      <c r="AA3199" s="51">
        <v>524</v>
      </c>
      <c r="AB3199" s="102">
        <v>0</v>
      </c>
      <c r="AC3199" s="81">
        <f t="shared" si="154"/>
        <v>0</v>
      </c>
      <c r="AD3199" s="82">
        <f t="shared" si="155"/>
        <v>0</v>
      </c>
      <c r="AE3199" s="218">
        <v>1.8012739107574838E-2</v>
      </c>
      <c r="AF3199">
        <v>1</v>
      </c>
      <c r="AH3199" t="str">
        <f t="shared" si="153"/>
        <v>Araria</v>
      </c>
      <c r="AJ3199" s="72">
        <v>0</v>
      </c>
      <c r="AK3199" s="72"/>
      <c r="AL3199" s="72"/>
      <c r="AM3199" s="72"/>
    </row>
    <row r="3200" spans="1:39" x14ac:dyDescent="0.25">
      <c r="A3200" s="37" t="s">
        <v>62</v>
      </c>
      <c r="B3200" s="66" t="s">
        <v>1676</v>
      </c>
      <c r="C3200" s="4">
        <v>1007</v>
      </c>
      <c r="D3200" s="41" t="s">
        <v>203</v>
      </c>
      <c r="E3200" s="41">
        <v>10070079</v>
      </c>
      <c r="F3200" s="85" t="s">
        <v>1537</v>
      </c>
      <c r="G3200" s="39" t="s">
        <v>1610</v>
      </c>
      <c r="H3200" s="52" t="s">
        <v>98</v>
      </c>
      <c r="I3200" s="52">
        <v>62.5</v>
      </c>
      <c r="J3200" s="49">
        <v>3176.38</v>
      </c>
      <c r="K3200" s="58">
        <v>0</v>
      </c>
      <c r="L3200" s="58">
        <v>0</v>
      </c>
      <c r="M3200" s="58">
        <v>0</v>
      </c>
      <c r="N3200" s="58">
        <v>0</v>
      </c>
      <c r="O3200" s="58">
        <v>0</v>
      </c>
      <c r="P3200" s="53">
        <v>0</v>
      </c>
      <c r="Q3200" s="65">
        <v>3176.38</v>
      </c>
      <c r="R3200" s="65">
        <v>0</v>
      </c>
      <c r="S3200" s="65">
        <v>0</v>
      </c>
      <c r="T3200" s="65">
        <v>0</v>
      </c>
      <c r="U3200" s="58">
        <v>0</v>
      </c>
      <c r="V3200" s="65">
        <v>0</v>
      </c>
      <c r="W3200" s="65">
        <v>0</v>
      </c>
      <c r="X3200" s="65">
        <v>0</v>
      </c>
      <c r="Y3200" s="65">
        <v>0</v>
      </c>
      <c r="Z3200" s="51">
        <v>3176.38</v>
      </c>
      <c r="AA3200" s="51">
        <v>0</v>
      </c>
      <c r="AB3200" s="102">
        <v>0</v>
      </c>
      <c r="AC3200" s="81">
        <f t="shared" si="154"/>
        <v>647.98152000000005</v>
      </c>
      <c r="AD3200" s="82">
        <f t="shared" si="155"/>
        <v>8.9285714285714288</v>
      </c>
      <c r="AE3200" s="218">
        <v>0</v>
      </c>
      <c r="AF3200">
        <v>0</v>
      </c>
      <c r="AH3200" t="str">
        <f t="shared" si="153"/>
        <v>Araria</v>
      </c>
      <c r="AJ3200" s="72">
        <v>0</v>
      </c>
      <c r="AK3200" s="72"/>
      <c r="AL3200" s="72"/>
      <c r="AM3200" s="72"/>
    </row>
    <row r="3201" spans="1:39" x14ac:dyDescent="0.25">
      <c r="A3201" s="37" t="s">
        <v>62</v>
      </c>
      <c r="B3201" s="66" t="s">
        <v>1676</v>
      </c>
      <c r="C3201" s="4">
        <v>1007</v>
      </c>
      <c r="D3201" s="41" t="s">
        <v>203</v>
      </c>
      <c r="E3201" s="41">
        <v>10070080</v>
      </c>
      <c r="F3201" s="85" t="s">
        <v>1660</v>
      </c>
      <c r="G3201" s="39" t="s">
        <v>1610</v>
      </c>
      <c r="H3201" s="52" t="s">
        <v>93</v>
      </c>
      <c r="I3201" s="52">
        <v>450.5</v>
      </c>
      <c r="J3201" s="49">
        <v>18746.670000000002</v>
      </c>
      <c r="K3201" s="58">
        <v>481.47999999999996</v>
      </c>
      <c r="L3201" s="58">
        <v>20006.420000000002</v>
      </c>
      <c r="M3201" s="58">
        <v>0</v>
      </c>
      <c r="N3201" s="58">
        <v>0</v>
      </c>
      <c r="O3201" s="58">
        <v>481.47999999999996</v>
      </c>
      <c r="P3201" s="53">
        <v>20006.420000000002</v>
      </c>
      <c r="Q3201" s="65">
        <v>18746.670000000002</v>
      </c>
      <c r="R3201" s="65">
        <v>0</v>
      </c>
      <c r="S3201" s="65">
        <v>0</v>
      </c>
      <c r="T3201" s="65">
        <v>1259.75</v>
      </c>
      <c r="U3201" s="58">
        <v>0</v>
      </c>
      <c r="V3201" s="65">
        <v>0</v>
      </c>
      <c r="W3201" s="65">
        <v>0</v>
      </c>
      <c r="X3201" s="65">
        <v>18747</v>
      </c>
      <c r="Y3201" s="65">
        <v>0</v>
      </c>
      <c r="Z3201" s="51">
        <v>0</v>
      </c>
      <c r="AA3201" s="51">
        <v>0</v>
      </c>
      <c r="AB3201" s="102">
        <v>0</v>
      </c>
      <c r="AC3201" s="81">
        <f t="shared" si="154"/>
        <v>207.64901953385126</v>
      </c>
      <c r="AD3201" s="82">
        <f t="shared" si="155"/>
        <v>64.357142857142861</v>
      </c>
      <c r="AE3201" s="218">
        <v>-6.7198601138228814E-2</v>
      </c>
      <c r="AF3201">
        <v>7</v>
      </c>
      <c r="AH3201" t="str">
        <f t="shared" si="153"/>
        <v>Araria</v>
      </c>
      <c r="AJ3201" s="72">
        <v>0</v>
      </c>
      <c r="AK3201" s="72"/>
      <c r="AL3201" s="72"/>
      <c r="AM3201" s="72"/>
    </row>
    <row r="3202" spans="1:39" x14ac:dyDescent="0.25">
      <c r="A3202" s="37" t="s">
        <v>62</v>
      </c>
      <c r="B3202" s="66" t="s">
        <v>1676</v>
      </c>
      <c r="C3202" s="4">
        <v>1055</v>
      </c>
      <c r="D3202" s="41" t="s">
        <v>1125</v>
      </c>
      <c r="E3202" s="41">
        <v>10080001</v>
      </c>
      <c r="F3202" s="85" t="s">
        <v>600</v>
      </c>
      <c r="G3202" s="39" t="s">
        <v>1610</v>
      </c>
      <c r="H3202" s="52" t="s">
        <v>98</v>
      </c>
      <c r="I3202" s="52">
        <v>652.20000000000005</v>
      </c>
      <c r="J3202" s="49">
        <v>26620.050000000003</v>
      </c>
      <c r="K3202" s="58">
        <v>0</v>
      </c>
      <c r="L3202" s="58">
        <v>0</v>
      </c>
      <c r="M3202" s="58">
        <v>0</v>
      </c>
      <c r="N3202" s="58">
        <v>0</v>
      </c>
      <c r="O3202" s="58">
        <v>0</v>
      </c>
      <c r="P3202" s="53">
        <v>0</v>
      </c>
      <c r="Q3202" s="65">
        <v>26620.050000000003</v>
      </c>
      <c r="R3202" s="65">
        <v>0</v>
      </c>
      <c r="S3202" s="65">
        <v>0</v>
      </c>
      <c r="T3202" s="65">
        <v>0</v>
      </c>
      <c r="U3202" s="58">
        <v>0</v>
      </c>
      <c r="V3202" s="65">
        <v>0</v>
      </c>
      <c r="W3202" s="65">
        <v>0</v>
      </c>
      <c r="X3202" s="65">
        <v>0</v>
      </c>
      <c r="Y3202" s="65">
        <v>0</v>
      </c>
      <c r="Z3202" s="51">
        <v>26620.050000000003</v>
      </c>
      <c r="AA3202" s="51">
        <v>0</v>
      </c>
      <c r="AB3202" s="102">
        <v>0</v>
      </c>
      <c r="AC3202" s="81">
        <f t="shared" si="154"/>
        <v>39.019883164673381</v>
      </c>
      <c r="AD3202" s="82">
        <f t="shared" si="155"/>
        <v>93.171428571428578</v>
      </c>
      <c r="AE3202" s="218">
        <v>0</v>
      </c>
      <c r="AF3202">
        <v>0</v>
      </c>
      <c r="AH3202" t="str">
        <f t="shared" si="153"/>
        <v>Matihani</v>
      </c>
      <c r="AJ3202" s="72">
        <v>0</v>
      </c>
      <c r="AK3202" s="72"/>
      <c r="AL3202" s="72"/>
      <c r="AM3202" s="72"/>
    </row>
    <row r="3203" spans="1:39" x14ac:dyDescent="0.25">
      <c r="A3203" s="37" t="s">
        <v>62</v>
      </c>
      <c r="B3203" s="66" t="s">
        <v>1676</v>
      </c>
      <c r="C3203" s="4">
        <v>1008</v>
      </c>
      <c r="D3203" s="41" t="s">
        <v>217</v>
      </c>
      <c r="E3203" s="41">
        <v>10080002</v>
      </c>
      <c r="F3203" s="85" t="s">
        <v>218</v>
      </c>
      <c r="G3203" s="39" t="s">
        <v>92</v>
      </c>
      <c r="H3203" s="52" t="s">
        <v>98</v>
      </c>
      <c r="I3203" s="52">
        <v>286.65000000000003</v>
      </c>
      <c r="J3203" s="49">
        <v>11070.96</v>
      </c>
      <c r="K3203" s="58">
        <v>0</v>
      </c>
      <c r="L3203" s="58">
        <v>0</v>
      </c>
      <c r="M3203" s="58">
        <v>0</v>
      </c>
      <c r="N3203" s="58">
        <v>0</v>
      </c>
      <c r="O3203" s="58">
        <v>0</v>
      </c>
      <c r="P3203" s="53">
        <v>0</v>
      </c>
      <c r="Q3203" s="65">
        <v>11070.96</v>
      </c>
      <c r="R3203" s="65">
        <v>0</v>
      </c>
      <c r="S3203" s="65">
        <v>0</v>
      </c>
      <c r="T3203" s="65">
        <v>0</v>
      </c>
      <c r="U3203" s="58">
        <v>0</v>
      </c>
      <c r="V3203" s="65">
        <v>0</v>
      </c>
      <c r="W3203" s="65">
        <v>0</v>
      </c>
      <c r="X3203" s="65">
        <v>0</v>
      </c>
      <c r="Y3203" s="65">
        <v>0</v>
      </c>
      <c r="Z3203" s="51">
        <v>11070.96</v>
      </c>
      <c r="AA3203" s="51">
        <v>0</v>
      </c>
      <c r="AB3203" s="102">
        <v>0</v>
      </c>
      <c r="AC3203" s="81">
        <f t="shared" si="154"/>
        <v>319.28702710622701</v>
      </c>
      <c r="AD3203" s="82">
        <f t="shared" si="155"/>
        <v>40.950000000000003</v>
      </c>
      <c r="AE3203" s="218">
        <v>0</v>
      </c>
      <c r="AF3203">
        <v>0</v>
      </c>
      <c r="AH3203" t="str">
        <f t="shared" si="153"/>
        <v>Teghra</v>
      </c>
      <c r="AJ3203" s="72">
        <v>0</v>
      </c>
      <c r="AK3203" s="72"/>
      <c r="AL3203" s="72"/>
      <c r="AM3203" s="72"/>
    </row>
    <row r="3204" spans="1:39" x14ac:dyDescent="0.25">
      <c r="A3204" s="37" t="s">
        <v>62</v>
      </c>
      <c r="B3204" s="66" t="s">
        <v>1676</v>
      </c>
      <c r="C3204" s="4">
        <v>1008</v>
      </c>
      <c r="D3204" s="41" t="s">
        <v>217</v>
      </c>
      <c r="E3204" s="41">
        <v>10080004</v>
      </c>
      <c r="F3204" s="85" t="s">
        <v>220</v>
      </c>
      <c r="G3204" s="39" t="s">
        <v>1610</v>
      </c>
      <c r="H3204" s="52" t="s">
        <v>98</v>
      </c>
      <c r="I3204" s="52">
        <v>11.25</v>
      </c>
      <c r="J3204" s="49">
        <v>430.88</v>
      </c>
      <c r="K3204" s="58">
        <v>0</v>
      </c>
      <c r="L3204" s="58">
        <v>0</v>
      </c>
      <c r="M3204" s="58">
        <v>0</v>
      </c>
      <c r="N3204" s="58">
        <v>0</v>
      </c>
      <c r="O3204" s="58">
        <v>0</v>
      </c>
      <c r="P3204" s="53">
        <v>0</v>
      </c>
      <c r="Q3204" s="65">
        <v>430.88</v>
      </c>
      <c r="R3204" s="65">
        <v>0</v>
      </c>
      <c r="S3204" s="65">
        <v>0</v>
      </c>
      <c r="T3204" s="65">
        <v>0</v>
      </c>
      <c r="U3204" s="58">
        <v>0</v>
      </c>
      <c r="V3204" s="65">
        <v>0</v>
      </c>
      <c r="W3204" s="65">
        <v>0</v>
      </c>
      <c r="X3204" s="65">
        <v>0</v>
      </c>
      <c r="Y3204" s="65">
        <v>0</v>
      </c>
      <c r="Z3204" s="51">
        <v>430.88</v>
      </c>
      <c r="AA3204" s="51">
        <v>0</v>
      </c>
      <c r="AB3204" s="102">
        <v>0</v>
      </c>
      <c r="AC3204" s="81">
        <f t="shared" si="154"/>
        <v>527.58862222222228</v>
      </c>
      <c r="AD3204" s="82">
        <f t="shared" si="155"/>
        <v>1.6071428571428572</v>
      </c>
      <c r="AE3204" s="218">
        <v>0</v>
      </c>
      <c r="AF3204">
        <v>0</v>
      </c>
      <c r="AH3204" t="str">
        <f t="shared" si="153"/>
        <v>Teghra</v>
      </c>
      <c r="AJ3204" s="72">
        <v>0</v>
      </c>
      <c r="AK3204" s="72"/>
      <c r="AL3204" s="72"/>
      <c r="AM3204" s="72"/>
    </row>
    <row r="3205" spans="1:39" x14ac:dyDescent="0.25">
      <c r="A3205" s="37" t="s">
        <v>62</v>
      </c>
      <c r="B3205" s="66" t="s">
        <v>1676</v>
      </c>
      <c r="C3205" s="4">
        <v>1008</v>
      </c>
      <c r="D3205" s="41" t="s">
        <v>217</v>
      </c>
      <c r="E3205" s="41">
        <v>10080006</v>
      </c>
      <c r="F3205" s="85" t="s">
        <v>221</v>
      </c>
      <c r="G3205" s="39" t="s">
        <v>1610</v>
      </c>
      <c r="H3205" s="52" t="s">
        <v>98</v>
      </c>
      <c r="I3205" s="52">
        <v>222.39999999999995</v>
      </c>
      <c r="J3205" s="49">
        <v>8372.9299999999985</v>
      </c>
      <c r="K3205" s="58">
        <v>0</v>
      </c>
      <c r="L3205" s="58">
        <v>0</v>
      </c>
      <c r="M3205" s="58">
        <v>0</v>
      </c>
      <c r="N3205" s="58">
        <v>0</v>
      </c>
      <c r="O3205" s="58">
        <v>0</v>
      </c>
      <c r="P3205" s="53">
        <v>0</v>
      </c>
      <c r="Q3205" s="65">
        <v>8372.9299999999985</v>
      </c>
      <c r="R3205" s="65">
        <v>0</v>
      </c>
      <c r="S3205" s="65">
        <v>0</v>
      </c>
      <c r="T3205" s="65">
        <v>0</v>
      </c>
      <c r="U3205" s="58">
        <v>0</v>
      </c>
      <c r="V3205" s="65">
        <v>0</v>
      </c>
      <c r="W3205" s="65">
        <v>0</v>
      </c>
      <c r="X3205" s="65">
        <v>0</v>
      </c>
      <c r="Y3205" s="65">
        <v>0</v>
      </c>
      <c r="Z3205" s="51">
        <v>8372.9299999999985</v>
      </c>
      <c r="AA3205" s="51">
        <v>0</v>
      </c>
      <c r="AB3205" s="102">
        <v>0</v>
      </c>
      <c r="AC3205" s="81">
        <f t="shared" si="154"/>
        <v>359.61433165467628</v>
      </c>
      <c r="AD3205" s="82">
        <f t="shared" si="155"/>
        <v>31.771428571428565</v>
      </c>
      <c r="AE3205" s="218">
        <v>0</v>
      </c>
      <c r="AF3205">
        <v>0</v>
      </c>
      <c r="AH3205" t="str">
        <f t="shared" si="153"/>
        <v>Teghra</v>
      </c>
      <c r="AJ3205" s="72">
        <v>0</v>
      </c>
      <c r="AK3205" s="72"/>
      <c r="AL3205" s="72"/>
      <c r="AM3205" s="72"/>
    </row>
    <row r="3206" spans="1:39" x14ac:dyDescent="0.25">
      <c r="A3206" s="37" t="s">
        <v>62</v>
      </c>
      <c r="B3206" s="66" t="s">
        <v>1676</v>
      </c>
      <c r="C3206" s="4">
        <v>1008</v>
      </c>
      <c r="D3206" s="41" t="s">
        <v>217</v>
      </c>
      <c r="E3206" s="41">
        <v>10080007</v>
      </c>
      <c r="F3206" s="85" t="s">
        <v>222</v>
      </c>
      <c r="G3206" s="39" t="s">
        <v>1610</v>
      </c>
      <c r="H3206" s="52" t="s">
        <v>98</v>
      </c>
      <c r="I3206" s="52">
        <v>543.35</v>
      </c>
      <c r="J3206" s="49">
        <v>19909.59</v>
      </c>
      <c r="K3206" s="58">
        <v>0</v>
      </c>
      <c r="L3206" s="58">
        <v>0</v>
      </c>
      <c r="M3206" s="58">
        <v>0</v>
      </c>
      <c r="N3206" s="58">
        <v>0</v>
      </c>
      <c r="O3206" s="58">
        <v>0</v>
      </c>
      <c r="P3206" s="53">
        <v>0</v>
      </c>
      <c r="Q3206" s="65">
        <v>19909.59</v>
      </c>
      <c r="R3206" s="65">
        <v>0</v>
      </c>
      <c r="S3206" s="65">
        <v>0</v>
      </c>
      <c r="T3206" s="65">
        <v>0</v>
      </c>
      <c r="U3206" s="58">
        <v>0</v>
      </c>
      <c r="V3206" s="65">
        <v>0</v>
      </c>
      <c r="W3206" s="65">
        <v>0</v>
      </c>
      <c r="X3206" s="65">
        <v>0</v>
      </c>
      <c r="Y3206" s="65">
        <v>0</v>
      </c>
      <c r="Z3206" s="51">
        <v>19909.59</v>
      </c>
      <c r="AA3206" s="51">
        <v>0</v>
      </c>
      <c r="AB3206" s="102">
        <v>0</v>
      </c>
      <c r="AC3206" s="81">
        <f t="shared" si="154"/>
        <v>114.80030453667059</v>
      </c>
      <c r="AD3206" s="82">
        <f t="shared" si="155"/>
        <v>77.621428571428581</v>
      </c>
      <c r="AE3206" s="218">
        <v>0</v>
      </c>
      <c r="AF3206">
        <v>0</v>
      </c>
      <c r="AH3206" t="str">
        <f t="shared" si="153"/>
        <v>Teghra</v>
      </c>
      <c r="AJ3206" s="72">
        <v>0</v>
      </c>
      <c r="AK3206" s="72"/>
      <c r="AL3206" s="72"/>
      <c r="AM3206" s="72"/>
    </row>
    <row r="3207" spans="1:39" x14ac:dyDescent="0.25">
      <c r="A3207" s="37" t="s">
        <v>62</v>
      </c>
      <c r="B3207" s="66" t="s">
        <v>1676</v>
      </c>
      <c r="C3207" s="4">
        <v>1008</v>
      </c>
      <c r="D3207" s="41" t="s">
        <v>217</v>
      </c>
      <c r="E3207" s="41">
        <v>10080012</v>
      </c>
      <c r="F3207" s="85" t="s">
        <v>1199</v>
      </c>
      <c r="G3207" s="39" t="s">
        <v>1610</v>
      </c>
      <c r="H3207" s="52" t="s">
        <v>98</v>
      </c>
      <c r="I3207" s="52">
        <v>77.400000000000006</v>
      </c>
      <c r="J3207" s="49">
        <v>2893.77</v>
      </c>
      <c r="K3207" s="58">
        <v>0</v>
      </c>
      <c r="L3207" s="58">
        <v>0</v>
      </c>
      <c r="M3207" s="58">
        <v>0</v>
      </c>
      <c r="N3207" s="58">
        <v>0</v>
      </c>
      <c r="O3207" s="58">
        <v>0</v>
      </c>
      <c r="P3207" s="53">
        <v>0</v>
      </c>
      <c r="Q3207" s="65">
        <v>2893.77</v>
      </c>
      <c r="R3207" s="65">
        <v>0</v>
      </c>
      <c r="S3207" s="65">
        <v>0</v>
      </c>
      <c r="T3207" s="65">
        <v>0</v>
      </c>
      <c r="U3207" s="58">
        <v>0</v>
      </c>
      <c r="V3207" s="65">
        <v>0</v>
      </c>
      <c r="W3207" s="65">
        <v>0</v>
      </c>
      <c r="X3207" s="65">
        <v>0</v>
      </c>
      <c r="Y3207" s="65">
        <v>0</v>
      </c>
      <c r="Z3207" s="51">
        <v>2893.77</v>
      </c>
      <c r="AA3207" s="51">
        <v>0</v>
      </c>
      <c r="AB3207" s="102">
        <v>0</v>
      </c>
      <c r="AC3207" s="81">
        <f t="shared" si="154"/>
        <v>465.54553023255812</v>
      </c>
      <c r="AD3207" s="82">
        <f t="shared" si="155"/>
        <v>11.057142857142859</v>
      </c>
      <c r="AE3207" s="218">
        <v>0</v>
      </c>
      <c r="AF3207">
        <v>0</v>
      </c>
      <c r="AH3207" t="str">
        <f t="shared" si="153"/>
        <v>Teghra</v>
      </c>
      <c r="AJ3207" s="72">
        <v>0</v>
      </c>
      <c r="AK3207" s="72"/>
      <c r="AL3207" s="72"/>
      <c r="AM3207" s="72"/>
    </row>
    <row r="3208" spans="1:39" x14ac:dyDescent="0.25">
      <c r="A3208" s="37" t="s">
        <v>62</v>
      </c>
      <c r="B3208" s="66" t="s">
        <v>1676</v>
      </c>
      <c r="C3208" s="4">
        <v>1008</v>
      </c>
      <c r="D3208" s="41" t="s">
        <v>217</v>
      </c>
      <c r="E3208" s="41">
        <v>10080013</v>
      </c>
      <c r="F3208" s="85" t="s">
        <v>223</v>
      </c>
      <c r="G3208" s="39" t="s">
        <v>1610</v>
      </c>
      <c r="H3208" s="52" t="s">
        <v>98</v>
      </c>
      <c r="I3208" s="52">
        <v>358.24999999999994</v>
      </c>
      <c r="J3208" s="49">
        <v>14433.29</v>
      </c>
      <c r="K3208" s="58">
        <v>0</v>
      </c>
      <c r="L3208" s="58">
        <v>0</v>
      </c>
      <c r="M3208" s="58">
        <v>0</v>
      </c>
      <c r="N3208" s="58">
        <v>0</v>
      </c>
      <c r="O3208" s="58">
        <v>0</v>
      </c>
      <c r="P3208" s="53">
        <v>0</v>
      </c>
      <c r="Q3208" s="65">
        <v>14433.29</v>
      </c>
      <c r="R3208" s="65">
        <v>0</v>
      </c>
      <c r="S3208" s="65">
        <v>0</v>
      </c>
      <c r="T3208" s="65">
        <v>0</v>
      </c>
      <c r="U3208" s="58">
        <v>0</v>
      </c>
      <c r="V3208" s="65">
        <v>0</v>
      </c>
      <c r="W3208" s="65">
        <v>0</v>
      </c>
      <c r="X3208" s="65">
        <v>0</v>
      </c>
      <c r="Y3208" s="65">
        <v>0</v>
      </c>
      <c r="Z3208" s="51">
        <v>14433.29</v>
      </c>
      <c r="AA3208" s="51">
        <v>0</v>
      </c>
      <c r="AB3208" s="102">
        <v>0</v>
      </c>
      <c r="AC3208" s="81">
        <f t="shared" si="154"/>
        <v>275.37065498953257</v>
      </c>
      <c r="AD3208" s="82">
        <f t="shared" si="155"/>
        <v>51.178571428571423</v>
      </c>
      <c r="AE3208" s="218">
        <v>0</v>
      </c>
      <c r="AF3208">
        <v>0</v>
      </c>
      <c r="AH3208" t="str">
        <f t="shared" si="153"/>
        <v>Teghra</v>
      </c>
      <c r="AJ3208" s="72">
        <v>0</v>
      </c>
      <c r="AK3208" s="72"/>
      <c r="AL3208" s="72"/>
      <c r="AM3208" s="72"/>
    </row>
    <row r="3209" spans="1:39" x14ac:dyDescent="0.25">
      <c r="A3209" s="37" t="s">
        <v>62</v>
      </c>
      <c r="B3209" s="66" t="s">
        <v>1676</v>
      </c>
      <c r="C3209" s="4">
        <v>1008</v>
      </c>
      <c r="D3209" s="41" t="s">
        <v>217</v>
      </c>
      <c r="E3209" s="41">
        <v>10080014</v>
      </c>
      <c r="F3209" s="85" t="s">
        <v>224</v>
      </c>
      <c r="G3209" s="39" t="s">
        <v>1610</v>
      </c>
      <c r="H3209" s="52" t="s">
        <v>98</v>
      </c>
      <c r="I3209" s="52">
        <v>30.05</v>
      </c>
      <c r="J3209" s="49">
        <v>1155.2199999999998</v>
      </c>
      <c r="K3209" s="58">
        <v>0</v>
      </c>
      <c r="L3209" s="58">
        <v>0</v>
      </c>
      <c r="M3209" s="58">
        <v>0</v>
      </c>
      <c r="N3209" s="58">
        <v>0</v>
      </c>
      <c r="O3209" s="58">
        <v>0</v>
      </c>
      <c r="P3209" s="53">
        <v>0</v>
      </c>
      <c r="Q3209" s="65">
        <v>1155.2199999999998</v>
      </c>
      <c r="R3209" s="65">
        <v>0</v>
      </c>
      <c r="S3209" s="65">
        <v>0</v>
      </c>
      <c r="T3209" s="65">
        <v>0</v>
      </c>
      <c r="U3209" s="58">
        <v>0</v>
      </c>
      <c r="V3209" s="65">
        <v>0</v>
      </c>
      <c r="W3209" s="65">
        <v>0</v>
      </c>
      <c r="X3209" s="65">
        <v>0</v>
      </c>
      <c r="Y3209" s="65">
        <v>0</v>
      </c>
      <c r="Z3209" s="51">
        <v>1155.2199999999998</v>
      </c>
      <c r="AA3209" s="51">
        <v>0</v>
      </c>
      <c r="AB3209" s="102">
        <v>0</v>
      </c>
      <c r="AC3209" s="81">
        <f t="shared" si="154"/>
        <v>515.10125723793669</v>
      </c>
      <c r="AD3209" s="82">
        <f t="shared" si="155"/>
        <v>4.2928571428571427</v>
      </c>
      <c r="AE3209" s="218">
        <v>0</v>
      </c>
      <c r="AF3209">
        <v>0</v>
      </c>
      <c r="AH3209" t="str">
        <f t="shared" si="153"/>
        <v>Teghra</v>
      </c>
      <c r="AJ3209" s="72">
        <v>0</v>
      </c>
      <c r="AK3209" s="72"/>
      <c r="AL3209" s="72"/>
      <c r="AM3209" s="72"/>
    </row>
    <row r="3210" spans="1:39" x14ac:dyDescent="0.25">
      <c r="A3210" s="37" t="s">
        <v>62</v>
      </c>
      <c r="B3210" s="66" t="s">
        <v>1676</v>
      </c>
      <c r="C3210" s="4">
        <v>1008</v>
      </c>
      <c r="D3210" s="41" t="s">
        <v>217</v>
      </c>
      <c r="E3210" s="41">
        <v>10080015</v>
      </c>
      <c r="F3210" s="85" t="s">
        <v>225</v>
      </c>
      <c r="G3210" s="39" t="s">
        <v>92</v>
      </c>
      <c r="H3210" s="52" t="s">
        <v>93</v>
      </c>
      <c r="I3210" s="52">
        <v>918.25</v>
      </c>
      <c r="J3210" s="49">
        <v>32763.93</v>
      </c>
      <c r="K3210" s="58">
        <v>921.09999999999991</v>
      </c>
      <c r="L3210" s="58">
        <v>34615.380000000005</v>
      </c>
      <c r="M3210" s="58">
        <v>1.9</v>
      </c>
      <c r="N3210" s="58">
        <v>66.539999999999992</v>
      </c>
      <c r="O3210" s="58">
        <v>922.99999999999989</v>
      </c>
      <c r="P3210" s="53">
        <v>34681.920000000006</v>
      </c>
      <c r="Q3210" s="65">
        <v>32763.93</v>
      </c>
      <c r="R3210" s="65">
        <v>0</v>
      </c>
      <c r="S3210" s="65">
        <v>66.539999999999992</v>
      </c>
      <c r="T3210" s="65">
        <v>1917.9900000000052</v>
      </c>
      <c r="U3210" s="58">
        <v>0</v>
      </c>
      <c r="V3210" s="65">
        <v>0</v>
      </c>
      <c r="W3210" s="65">
        <v>0</v>
      </c>
      <c r="X3210" s="65">
        <v>32697</v>
      </c>
      <c r="Y3210" s="65">
        <v>0</v>
      </c>
      <c r="Z3210" s="51">
        <v>0</v>
      </c>
      <c r="AA3210" s="51">
        <v>0</v>
      </c>
      <c r="AB3210" s="102">
        <v>0</v>
      </c>
      <c r="AC3210" s="81">
        <f t="shared" si="154"/>
        <v>0</v>
      </c>
      <c r="AD3210" s="82">
        <f t="shared" si="155"/>
        <v>0</v>
      </c>
      <c r="AE3210" s="218">
        <v>-5.8539680679332587E-2</v>
      </c>
      <c r="AF3210">
        <v>8</v>
      </c>
      <c r="AH3210" t="str">
        <f t="shared" si="153"/>
        <v>Teghra</v>
      </c>
      <c r="AJ3210" s="72">
        <v>0</v>
      </c>
      <c r="AK3210" s="72"/>
      <c r="AL3210" s="72"/>
      <c r="AM3210" s="72"/>
    </row>
    <row r="3211" spans="1:39" x14ac:dyDescent="0.25">
      <c r="A3211" s="37" t="s">
        <v>62</v>
      </c>
      <c r="B3211" s="66" t="s">
        <v>1676</v>
      </c>
      <c r="C3211" s="4">
        <v>1008</v>
      </c>
      <c r="D3211" s="41" t="s">
        <v>217</v>
      </c>
      <c r="E3211" s="41">
        <v>10080016</v>
      </c>
      <c r="F3211" s="85" t="s">
        <v>226</v>
      </c>
      <c r="G3211" s="39" t="s">
        <v>92</v>
      </c>
      <c r="H3211" s="52" t="s">
        <v>93</v>
      </c>
      <c r="I3211" s="52">
        <v>139.75</v>
      </c>
      <c r="J3211" s="49">
        <v>5280.03</v>
      </c>
      <c r="K3211" s="58">
        <v>139</v>
      </c>
      <c r="L3211" s="58">
        <v>5251.3600000000006</v>
      </c>
      <c r="M3211" s="58">
        <v>0.7</v>
      </c>
      <c r="N3211" s="58">
        <v>25.91</v>
      </c>
      <c r="O3211" s="58">
        <v>139.69999999999999</v>
      </c>
      <c r="P3211" s="53">
        <v>5277.27</v>
      </c>
      <c r="Q3211" s="65">
        <v>5277.27</v>
      </c>
      <c r="R3211" s="65">
        <v>0</v>
      </c>
      <c r="S3211" s="65">
        <v>25.91</v>
      </c>
      <c r="T3211" s="65">
        <v>0</v>
      </c>
      <c r="U3211" s="58">
        <v>0</v>
      </c>
      <c r="V3211" s="65">
        <v>500</v>
      </c>
      <c r="W3211" s="65">
        <v>0</v>
      </c>
      <c r="X3211" s="65">
        <v>4751</v>
      </c>
      <c r="Y3211" s="65">
        <v>0</v>
      </c>
      <c r="Z3211" s="51">
        <v>0</v>
      </c>
      <c r="AA3211" s="51">
        <v>3</v>
      </c>
      <c r="AB3211" s="102">
        <v>0</v>
      </c>
      <c r="AC3211" s="81">
        <f t="shared" si="154"/>
        <v>423.34694919499105</v>
      </c>
      <c r="AD3211" s="82">
        <f t="shared" si="155"/>
        <v>19.964285714285715</v>
      </c>
      <c r="AE3211" s="218">
        <v>5.2272430270269463E-4</v>
      </c>
      <c r="AF3211">
        <v>4</v>
      </c>
      <c r="AH3211" t="str">
        <f t="shared" si="153"/>
        <v>Teghra</v>
      </c>
      <c r="AJ3211" s="72">
        <v>500</v>
      </c>
      <c r="AK3211" s="72"/>
      <c r="AL3211" s="72"/>
      <c r="AM3211" s="72"/>
    </row>
    <row r="3212" spans="1:39" x14ac:dyDescent="0.25">
      <c r="A3212" s="37" t="s">
        <v>62</v>
      </c>
      <c r="B3212" s="66" t="s">
        <v>1676</v>
      </c>
      <c r="C3212" s="4">
        <v>1008</v>
      </c>
      <c r="D3212" s="41" t="s">
        <v>217</v>
      </c>
      <c r="E3212" s="41">
        <v>10080022</v>
      </c>
      <c r="F3212" s="85" t="s">
        <v>228</v>
      </c>
      <c r="G3212" s="39" t="s">
        <v>92</v>
      </c>
      <c r="H3212" s="52" t="s">
        <v>93</v>
      </c>
      <c r="I3212" s="52">
        <v>200.89999999999998</v>
      </c>
      <c r="J3212" s="49">
        <v>8986.2899999999991</v>
      </c>
      <c r="K3212" s="58">
        <v>194.39000000000004</v>
      </c>
      <c r="L3212" s="58">
        <v>8840.2099999999991</v>
      </c>
      <c r="M3212" s="58">
        <v>2.1300000000000003</v>
      </c>
      <c r="N3212" s="58">
        <v>92.41</v>
      </c>
      <c r="O3212" s="58">
        <v>196.52000000000004</v>
      </c>
      <c r="P3212" s="53">
        <v>8932.619999999999</v>
      </c>
      <c r="Q3212" s="65">
        <v>8932.619999999999</v>
      </c>
      <c r="R3212" s="65">
        <v>0</v>
      </c>
      <c r="S3212" s="65">
        <v>92.41</v>
      </c>
      <c r="T3212" s="65">
        <v>0</v>
      </c>
      <c r="U3212" s="58">
        <v>0</v>
      </c>
      <c r="V3212" s="65">
        <v>0</v>
      </c>
      <c r="W3212" s="65">
        <v>0</v>
      </c>
      <c r="X3212" s="65">
        <v>8840</v>
      </c>
      <c r="Y3212" s="65">
        <v>0</v>
      </c>
      <c r="Z3212" s="51">
        <v>0</v>
      </c>
      <c r="AA3212" s="51">
        <v>54</v>
      </c>
      <c r="AB3212" s="102">
        <v>0</v>
      </c>
      <c r="AC3212" s="81">
        <f t="shared" si="154"/>
        <v>446.49649965156812</v>
      </c>
      <c r="AD3212" s="82">
        <f t="shared" si="155"/>
        <v>28.699999999999996</v>
      </c>
      <c r="AE3212" s="218">
        <v>5.9724313370701455E-3</v>
      </c>
      <c r="AF3212">
        <v>6</v>
      </c>
      <c r="AH3212" t="str">
        <f t="shared" si="153"/>
        <v>Teghra</v>
      </c>
      <c r="AJ3212" s="72">
        <v>0</v>
      </c>
      <c r="AK3212" s="72"/>
      <c r="AL3212" s="72"/>
      <c r="AM3212" s="72"/>
    </row>
    <row r="3213" spans="1:39" x14ac:dyDescent="0.25">
      <c r="A3213" s="37" t="s">
        <v>62</v>
      </c>
      <c r="B3213" s="66" t="s">
        <v>1676</v>
      </c>
      <c r="C3213" s="4">
        <v>1008</v>
      </c>
      <c r="D3213" s="41" t="s">
        <v>217</v>
      </c>
      <c r="E3213" s="41">
        <v>10080024</v>
      </c>
      <c r="F3213" s="85" t="s">
        <v>230</v>
      </c>
      <c r="G3213" s="39" t="s">
        <v>1610</v>
      </c>
      <c r="H3213" s="52" t="s">
        <v>98</v>
      </c>
      <c r="I3213" s="52">
        <v>800.59999999999991</v>
      </c>
      <c r="J3213" s="49">
        <v>31584.489999999998</v>
      </c>
      <c r="K3213" s="58">
        <v>0</v>
      </c>
      <c r="L3213" s="58">
        <v>0</v>
      </c>
      <c r="M3213" s="58">
        <v>0</v>
      </c>
      <c r="N3213" s="58">
        <v>0</v>
      </c>
      <c r="O3213" s="58">
        <v>0</v>
      </c>
      <c r="P3213" s="53">
        <v>0</v>
      </c>
      <c r="Q3213" s="65">
        <v>31584.489999999998</v>
      </c>
      <c r="R3213" s="65">
        <v>0</v>
      </c>
      <c r="S3213" s="65">
        <v>0</v>
      </c>
      <c r="T3213" s="65">
        <v>0</v>
      </c>
      <c r="U3213" s="58">
        <v>0</v>
      </c>
      <c r="V3213" s="65">
        <v>0</v>
      </c>
      <c r="W3213" s="65">
        <v>0</v>
      </c>
      <c r="X3213" s="65">
        <v>0</v>
      </c>
      <c r="Y3213" s="65">
        <v>0</v>
      </c>
      <c r="Z3213" s="51">
        <v>31584.489999999998</v>
      </c>
      <c r="AA3213" s="51">
        <v>0</v>
      </c>
      <c r="AB3213" s="102">
        <v>0</v>
      </c>
      <c r="AC3213" s="81">
        <f t="shared" si="154"/>
        <v>0</v>
      </c>
      <c r="AD3213" s="82">
        <f t="shared" si="155"/>
        <v>0</v>
      </c>
      <c r="AE3213" s="218">
        <v>0</v>
      </c>
      <c r="AF3213">
        <v>0</v>
      </c>
      <c r="AH3213" t="str">
        <f t="shared" si="153"/>
        <v>Teghra</v>
      </c>
      <c r="AJ3213" s="72">
        <v>0</v>
      </c>
      <c r="AK3213" s="72"/>
      <c r="AL3213" s="72"/>
      <c r="AM3213" s="72"/>
    </row>
    <row r="3214" spans="1:39" x14ac:dyDescent="0.25">
      <c r="A3214" s="37" t="s">
        <v>62</v>
      </c>
      <c r="B3214" s="66" t="s">
        <v>1676</v>
      </c>
      <c r="C3214" s="4">
        <v>1008</v>
      </c>
      <c r="D3214" s="41" t="s">
        <v>217</v>
      </c>
      <c r="E3214" s="41">
        <v>10080025</v>
      </c>
      <c r="F3214" s="85" t="s">
        <v>231</v>
      </c>
      <c r="G3214" s="39" t="s">
        <v>92</v>
      </c>
      <c r="H3214" s="52" t="s">
        <v>93</v>
      </c>
      <c r="I3214" s="52">
        <v>833.6</v>
      </c>
      <c r="J3214" s="49">
        <v>29365.13</v>
      </c>
      <c r="K3214" s="58">
        <v>757.66</v>
      </c>
      <c r="L3214" s="58">
        <v>28751.900000000009</v>
      </c>
      <c r="M3214" s="58">
        <v>13.09</v>
      </c>
      <c r="N3214" s="58">
        <v>499.22</v>
      </c>
      <c r="O3214" s="58">
        <v>770.75</v>
      </c>
      <c r="P3214" s="53">
        <v>29251.12000000001</v>
      </c>
      <c r="Q3214" s="65">
        <v>29251.12000000001</v>
      </c>
      <c r="R3214" s="65">
        <v>0</v>
      </c>
      <c r="S3214" s="65">
        <v>499.22</v>
      </c>
      <c r="T3214" s="65">
        <v>0</v>
      </c>
      <c r="U3214" s="58">
        <v>0</v>
      </c>
      <c r="V3214" s="65">
        <v>0</v>
      </c>
      <c r="W3214" s="65">
        <v>0</v>
      </c>
      <c r="X3214" s="65">
        <v>28749</v>
      </c>
      <c r="Y3214" s="65">
        <v>0</v>
      </c>
      <c r="Z3214" s="51">
        <v>0</v>
      </c>
      <c r="AA3214" s="51">
        <v>117</v>
      </c>
      <c r="AB3214" s="102">
        <v>0</v>
      </c>
      <c r="AC3214" s="81">
        <f t="shared" si="154"/>
        <v>0</v>
      </c>
      <c r="AD3214" s="82">
        <f t="shared" si="155"/>
        <v>0</v>
      </c>
      <c r="AE3214" s="218">
        <v>3.8824960080200946E-3</v>
      </c>
      <c r="AF3214">
        <v>22</v>
      </c>
      <c r="AH3214" t="str">
        <f t="shared" si="153"/>
        <v>Teghra</v>
      </c>
      <c r="AJ3214" s="72">
        <v>0</v>
      </c>
      <c r="AK3214" s="72"/>
      <c r="AL3214" s="72"/>
      <c r="AM3214" s="72"/>
    </row>
    <row r="3215" spans="1:39" x14ac:dyDescent="0.25">
      <c r="A3215" s="37" t="s">
        <v>62</v>
      </c>
      <c r="B3215" s="66" t="s">
        <v>1676</v>
      </c>
      <c r="C3215" s="4">
        <v>1008</v>
      </c>
      <c r="D3215" s="41" t="s">
        <v>217</v>
      </c>
      <c r="E3215" s="41">
        <v>10080032</v>
      </c>
      <c r="F3215" s="85" t="s">
        <v>233</v>
      </c>
      <c r="G3215" s="39" t="s">
        <v>92</v>
      </c>
      <c r="H3215" s="52" t="s">
        <v>93</v>
      </c>
      <c r="I3215" s="52">
        <v>318.34999999999997</v>
      </c>
      <c r="J3215" s="49">
        <v>13978.189999999999</v>
      </c>
      <c r="K3215" s="58">
        <v>62.45</v>
      </c>
      <c r="L3215" s="58">
        <v>2781.24</v>
      </c>
      <c r="M3215" s="58">
        <v>250.13999999999996</v>
      </c>
      <c r="N3215" s="58">
        <v>11143.899999999998</v>
      </c>
      <c r="O3215" s="58">
        <v>312.58999999999997</v>
      </c>
      <c r="P3215" s="53">
        <v>13925.139999999998</v>
      </c>
      <c r="Q3215" s="65">
        <v>13925.139999999998</v>
      </c>
      <c r="R3215" s="65">
        <v>0</v>
      </c>
      <c r="S3215" s="65">
        <v>255.07</v>
      </c>
      <c r="T3215" s="65">
        <v>0</v>
      </c>
      <c r="U3215" s="58">
        <v>0</v>
      </c>
      <c r="V3215" s="65">
        <v>0</v>
      </c>
      <c r="W3215" s="65">
        <v>0</v>
      </c>
      <c r="X3215" s="65">
        <v>2781</v>
      </c>
      <c r="Y3215" s="65">
        <v>10889</v>
      </c>
      <c r="Z3215" s="51">
        <v>0</v>
      </c>
      <c r="AA3215" s="51">
        <v>53</v>
      </c>
      <c r="AB3215" s="102">
        <v>0</v>
      </c>
      <c r="AC3215" s="81">
        <f t="shared" si="154"/>
        <v>335.15163898225228</v>
      </c>
      <c r="AD3215" s="82">
        <f t="shared" si="155"/>
        <v>45.478571428571421</v>
      </c>
      <c r="AE3215" s="218">
        <v>3.7951980907400098E-3</v>
      </c>
      <c r="AF3215">
        <v>12</v>
      </c>
      <c r="AH3215" t="str">
        <f t="shared" si="153"/>
        <v>Teghra</v>
      </c>
      <c r="AJ3215" s="72">
        <v>0</v>
      </c>
      <c r="AK3215" s="72"/>
      <c r="AL3215" s="72"/>
      <c r="AM3215" s="72"/>
    </row>
    <row r="3216" spans="1:39" x14ac:dyDescent="0.25">
      <c r="A3216" s="37" t="s">
        <v>62</v>
      </c>
      <c r="B3216" s="66" t="s">
        <v>1676</v>
      </c>
      <c r="C3216" s="4">
        <v>1008</v>
      </c>
      <c r="D3216" s="41" t="s">
        <v>217</v>
      </c>
      <c r="E3216" s="41">
        <v>10080037</v>
      </c>
      <c r="F3216" s="85" t="s">
        <v>1546</v>
      </c>
      <c r="G3216" s="39" t="s">
        <v>1610</v>
      </c>
      <c r="H3216" s="52" t="s">
        <v>98</v>
      </c>
      <c r="I3216" s="52">
        <v>250.2</v>
      </c>
      <c r="J3216" s="49">
        <v>10555.429999999998</v>
      </c>
      <c r="K3216" s="58">
        <v>0</v>
      </c>
      <c r="L3216" s="58">
        <v>0</v>
      </c>
      <c r="M3216" s="58">
        <v>0</v>
      </c>
      <c r="N3216" s="58">
        <v>0</v>
      </c>
      <c r="O3216" s="58">
        <v>0</v>
      </c>
      <c r="P3216" s="53">
        <v>0</v>
      </c>
      <c r="Q3216" s="65">
        <v>10555.429999999998</v>
      </c>
      <c r="R3216" s="65">
        <v>0</v>
      </c>
      <c r="S3216" s="65">
        <v>0</v>
      </c>
      <c r="T3216" s="65">
        <v>0</v>
      </c>
      <c r="U3216" s="58">
        <v>0</v>
      </c>
      <c r="V3216" s="65">
        <v>0</v>
      </c>
      <c r="W3216" s="65">
        <v>0</v>
      </c>
      <c r="X3216" s="65">
        <v>0</v>
      </c>
      <c r="Y3216" s="65">
        <v>0</v>
      </c>
      <c r="Z3216" s="51">
        <v>10555.429999999998</v>
      </c>
      <c r="AA3216" s="51">
        <v>0</v>
      </c>
      <c r="AB3216" s="102">
        <v>0</v>
      </c>
      <c r="AC3216" s="81">
        <f t="shared" si="154"/>
        <v>379.52297474020787</v>
      </c>
      <c r="AD3216" s="82">
        <f t="shared" si="155"/>
        <v>35.74285714285714</v>
      </c>
      <c r="AE3216" s="218">
        <v>0</v>
      </c>
      <c r="AF3216">
        <v>0</v>
      </c>
      <c r="AH3216" t="str">
        <f t="shared" si="153"/>
        <v>Teghra</v>
      </c>
      <c r="AJ3216" s="72">
        <v>0</v>
      </c>
      <c r="AK3216" s="72"/>
      <c r="AL3216" s="72"/>
      <c r="AM3216" s="72"/>
    </row>
    <row r="3217" spans="1:39" x14ac:dyDescent="0.25">
      <c r="A3217" s="37" t="s">
        <v>62</v>
      </c>
      <c r="B3217" s="66" t="s">
        <v>1676</v>
      </c>
      <c r="C3217" s="4">
        <v>1008</v>
      </c>
      <c r="D3217" s="41" t="s">
        <v>217</v>
      </c>
      <c r="E3217" s="41">
        <v>10080039</v>
      </c>
      <c r="F3217" s="85" t="s">
        <v>558</v>
      </c>
      <c r="G3217" s="39" t="s">
        <v>1610</v>
      </c>
      <c r="H3217" s="52" t="s">
        <v>98</v>
      </c>
      <c r="I3217" s="52">
        <v>11094.2</v>
      </c>
      <c r="J3217" s="49">
        <v>438498.83</v>
      </c>
      <c r="K3217" s="58">
        <v>0</v>
      </c>
      <c r="L3217" s="58">
        <v>0</v>
      </c>
      <c r="M3217" s="58">
        <v>0</v>
      </c>
      <c r="N3217" s="58">
        <v>0</v>
      </c>
      <c r="O3217" s="58">
        <v>0</v>
      </c>
      <c r="P3217" s="53">
        <v>0</v>
      </c>
      <c r="Q3217" s="65">
        <v>438498.83</v>
      </c>
      <c r="R3217" s="65">
        <v>0</v>
      </c>
      <c r="S3217" s="65">
        <v>0</v>
      </c>
      <c r="T3217" s="65">
        <v>0</v>
      </c>
      <c r="U3217" s="58">
        <v>0</v>
      </c>
      <c r="V3217" s="65">
        <v>0</v>
      </c>
      <c r="W3217" s="65">
        <v>0</v>
      </c>
      <c r="X3217" s="65">
        <v>0</v>
      </c>
      <c r="Y3217" s="65">
        <v>0</v>
      </c>
      <c r="Z3217" s="51">
        <v>438498.83</v>
      </c>
      <c r="AA3217" s="51">
        <v>0</v>
      </c>
      <c r="AB3217" s="102">
        <v>0</v>
      </c>
      <c r="AC3217" s="81">
        <f t="shared" si="154"/>
        <v>0</v>
      </c>
      <c r="AD3217" s="82">
        <f t="shared" si="155"/>
        <v>0</v>
      </c>
      <c r="AE3217" s="218">
        <v>0</v>
      </c>
      <c r="AF3217">
        <v>0</v>
      </c>
      <c r="AH3217" t="str">
        <f t="shared" si="153"/>
        <v>Teghra</v>
      </c>
      <c r="AJ3217" s="72">
        <v>0</v>
      </c>
      <c r="AK3217" s="72"/>
      <c r="AL3217" s="72"/>
      <c r="AM3217" s="72"/>
    </row>
    <row r="3218" spans="1:39" x14ac:dyDescent="0.25">
      <c r="A3218" s="37" t="s">
        <v>62</v>
      </c>
      <c r="B3218" s="66" t="s">
        <v>1676</v>
      </c>
      <c r="C3218" s="4">
        <v>1008</v>
      </c>
      <c r="D3218" s="41" t="s">
        <v>217</v>
      </c>
      <c r="E3218" s="41">
        <v>10080040</v>
      </c>
      <c r="F3218" s="85" t="s">
        <v>234</v>
      </c>
      <c r="G3218" s="39" t="s">
        <v>1610</v>
      </c>
      <c r="H3218" s="52" t="s">
        <v>98</v>
      </c>
      <c r="I3218" s="52">
        <v>666.45</v>
      </c>
      <c r="J3218" s="49">
        <v>27958.35</v>
      </c>
      <c r="K3218" s="58">
        <v>0</v>
      </c>
      <c r="L3218" s="58">
        <v>0</v>
      </c>
      <c r="M3218" s="58">
        <v>0</v>
      </c>
      <c r="N3218" s="58">
        <v>0</v>
      </c>
      <c r="O3218" s="58">
        <v>0</v>
      </c>
      <c r="P3218" s="53">
        <v>0</v>
      </c>
      <c r="Q3218" s="65">
        <v>27958.35</v>
      </c>
      <c r="R3218" s="65">
        <v>0</v>
      </c>
      <c r="S3218" s="65">
        <v>0</v>
      </c>
      <c r="T3218" s="65">
        <v>0</v>
      </c>
      <c r="U3218" s="58">
        <v>0</v>
      </c>
      <c r="V3218" s="65">
        <v>0</v>
      </c>
      <c r="W3218" s="65">
        <v>0</v>
      </c>
      <c r="X3218" s="65">
        <v>0</v>
      </c>
      <c r="Y3218" s="65">
        <v>0</v>
      </c>
      <c r="Z3218" s="51">
        <v>27958.35</v>
      </c>
      <c r="AA3218" s="51">
        <v>0</v>
      </c>
      <c r="AB3218" s="102">
        <v>0</v>
      </c>
      <c r="AC3218" s="81">
        <f t="shared" si="154"/>
        <v>28.149227774026482</v>
      </c>
      <c r="AD3218" s="82">
        <f t="shared" si="155"/>
        <v>95.20714285714287</v>
      </c>
      <c r="AE3218" s="218">
        <v>0</v>
      </c>
      <c r="AF3218">
        <v>0</v>
      </c>
      <c r="AH3218" t="str">
        <f t="shared" si="153"/>
        <v>Teghra</v>
      </c>
      <c r="AJ3218" s="72">
        <v>0</v>
      </c>
      <c r="AK3218" s="72"/>
      <c r="AL3218" s="72"/>
      <c r="AM3218" s="72"/>
    </row>
    <row r="3219" spans="1:39" x14ac:dyDescent="0.25">
      <c r="A3219" s="37" t="s">
        <v>62</v>
      </c>
      <c r="B3219" s="66" t="s">
        <v>1676</v>
      </c>
      <c r="C3219" s="4">
        <v>1008</v>
      </c>
      <c r="D3219" s="41" t="s">
        <v>217</v>
      </c>
      <c r="E3219" s="41">
        <v>10080041</v>
      </c>
      <c r="F3219" s="85" t="s">
        <v>1538</v>
      </c>
      <c r="G3219" s="39" t="s">
        <v>1610</v>
      </c>
      <c r="H3219" s="52" t="s">
        <v>98</v>
      </c>
      <c r="I3219" s="52">
        <v>110.05000000000001</v>
      </c>
      <c r="J3219" s="49">
        <v>4476.34</v>
      </c>
      <c r="K3219" s="58">
        <v>0</v>
      </c>
      <c r="L3219" s="58">
        <v>0</v>
      </c>
      <c r="M3219" s="58">
        <v>0</v>
      </c>
      <c r="N3219" s="58">
        <v>0</v>
      </c>
      <c r="O3219" s="58">
        <v>0</v>
      </c>
      <c r="P3219" s="53">
        <v>0</v>
      </c>
      <c r="Q3219" s="65">
        <v>4476.34</v>
      </c>
      <c r="R3219" s="65">
        <v>0</v>
      </c>
      <c r="S3219" s="65">
        <v>0</v>
      </c>
      <c r="T3219" s="65">
        <v>0</v>
      </c>
      <c r="U3219" s="58">
        <v>0</v>
      </c>
      <c r="V3219" s="65">
        <v>0</v>
      </c>
      <c r="W3219" s="65">
        <v>0</v>
      </c>
      <c r="X3219" s="65">
        <v>0</v>
      </c>
      <c r="Y3219" s="65">
        <v>0</v>
      </c>
      <c r="Z3219" s="51">
        <v>4476.34</v>
      </c>
      <c r="AA3219" s="51">
        <v>0</v>
      </c>
      <c r="AB3219" s="102">
        <v>0</v>
      </c>
      <c r="AC3219" s="81">
        <f t="shared" si="154"/>
        <v>479.93035583825531</v>
      </c>
      <c r="AD3219" s="82">
        <f t="shared" si="155"/>
        <v>15.721428571428573</v>
      </c>
      <c r="AE3219" s="218">
        <v>0</v>
      </c>
      <c r="AF3219">
        <v>0</v>
      </c>
      <c r="AH3219" t="str">
        <f t="shared" si="153"/>
        <v>Teghra</v>
      </c>
      <c r="AJ3219" s="72">
        <v>0</v>
      </c>
      <c r="AK3219" s="72"/>
      <c r="AL3219" s="72"/>
      <c r="AM3219" s="72"/>
    </row>
    <row r="3220" spans="1:39" x14ac:dyDescent="0.25">
      <c r="A3220" s="37" t="s">
        <v>62</v>
      </c>
      <c r="B3220" s="66" t="s">
        <v>1676</v>
      </c>
      <c r="C3220" s="4">
        <v>1008</v>
      </c>
      <c r="D3220" s="41" t="s">
        <v>217</v>
      </c>
      <c r="E3220" s="41">
        <v>10080048</v>
      </c>
      <c r="F3220" s="85" t="s">
        <v>235</v>
      </c>
      <c r="G3220" s="39" t="s">
        <v>92</v>
      </c>
      <c r="H3220" s="52" t="s">
        <v>93</v>
      </c>
      <c r="I3220" s="52">
        <v>58.7</v>
      </c>
      <c r="J3220" s="49">
        <v>2441.9900000000002</v>
      </c>
      <c r="K3220" s="58">
        <v>59.38000000000001</v>
      </c>
      <c r="L3220" s="58">
        <v>2418.8999999999996</v>
      </c>
      <c r="M3220" s="58">
        <v>0.33999999999999997</v>
      </c>
      <c r="N3220" s="58">
        <v>13.790000000000001</v>
      </c>
      <c r="O3220" s="58">
        <v>59.720000000000013</v>
      </c>
      <c r="P3220" s="53">
        <v>2432.6899999999996</v>
      </c>
      <c r="Q3220" s="65">
        <v>2432.6899999999996</v>
      </c>
      <c r="R3220" s="65">
        <v>0</v>
      </c>
      <c r="S3220" s="65">
        <v>13.790000000000001</v>
      </c>
      <c r="T3220" s="65">
        <v>0</v>
      </c>
      <c r="U3220" s="58">
        <v>0</v>
      </c>
      <c r="V3220" s="65">
        <v>138</v>
      </c>
      <c r="W3220" s="65">
        <v>0</v>
      </c>
      <c r="X3220" s="65">
        <v>2281</v>
      </c>
      <c r="Y3220" s="65">
        <v>0</v>
      </c>
      <c r="Z3220" s="51">
        <v>0</v>
      </c>
      <c r="AA3220" s="51">
        <v>9</v>
      </c>
      <c r="AB3220" s="102" t="s">
        <v>68</v>
      </c>
      <c r="AC3220" s="81">
        <f t="shared" si="154"/>
        <v>533.57689505962526</v>
      </c>
      <c r="AD3220" s="82">
        <f t="shared" si="155"/>
        <v>8.3857142857142861</v>
      </c>
      <c r="AE3220" s="218">
        <v>3.8083694036423719E-3</v>
      </c>
      <c r="AF3220">
        <v>3</v>
      </c>
      <c r="AH3220" t="str">
        <f t="shared" si="153"/>
        <v>Teghra</v>
      </c>
      <c r="AJ3220" s="72">
        <v>500</v>
      </c>
      <c r="AK3220" s="72"/>
      <c r="AL3220" s="72"/>
      <c r="AM3220" s="72"/>
    </row>
    <row r="3221" spans="1:39" x14ac:dyDescent="0.25">
      <c r="A3221" s="37" t="s">
        <v>62</v>
      </c>
      <c r="B3221" s="66" t="s">
        <v>1676</v>
      </c>
      <c r="C3221" s="4">
        <v>1008</v>
      </c>
      <c r="D3221" s="41" t="s">
        <v>217</v>
      </c>
      <c r="E3221" s="41">
        <v>10080052</v>
      </c>
      <c r="F3221" s="85" t="s">
        <v>237</v>
      </c>
      <c r="G3221" s="39" t="s">
        <v>92</v>
      </c>
      <c r="H3221" s="52" t="s">
        <v>93</v>
      </c>
      <c r="I3221" s="52">
        <v>582.65000000000009</v>
      </c>
      <c r="J3221" s="49">
        <v>22698.780000000002</v>
      </c>
      <c r="K3221" s="58">
        <v>572.14</v>
      </c>
      <c r="L3221" s="58">
        <v>23012.510000000002</v>
      </c>
      <c r="M3221" s="58">
        <v>1.7599999999999998</v>
      </c>
      <c r="N3221" s="58">
        <v>70.72</v>
      </c>
      <c r="O3221" s="58">
        <v>573.9</v>
      </c>
      <c r="P3221" s="53">
        <v>23083.230000000003</v>
      </c>
      <c r="Q3221" s="65">
        <v>22698.780000000002</v>
      </c>
      <c r="R3221" s="65">
        <v>0</v>
      </c>
      <c r="S3221" s="65">
        <v>70.72</v>
      </c>
      <c r="T3221" s="65">
        <v>384.45000000000073</v>
      </c>
      <c r="U3221" s="58">
        <v>0</v>
      </c>
      <c r="V3221" s="65">
        <v>0</v>
      </c>
      <c r="W3221" s="65">
        <v>0</v>
      </c>
      <c r="X3221" s="65">
        <v>22628</v>
      </c>
      <c r="Y3221" s="65">
        <v>0</v>
      </c>
      <c r="Z3221" s="51">
        <v>0</v>
      </c>
      <c r="AA3221" s="51">
        <v>0</v>
      </c>
      <c r="AB3221" s="102">
        <v>0</v>
      </c>
      <c r="AC3221" s="81">
        <f t="shared" si="154"/>
        <v>91.434028421865577</v>
      </c>
      <c r="AD3221" s="82">
        <f t="shared" si="155"/>
        <v>83.235714285714295</v>
      </c>
      <c r="AE3221" s="218">
        <v>-1.6937033620309138E-2</v>
      </c>
      <c r="AF3221">
        <v>5</v>
      </c>
      <c r="AH3221" t="str">
        <f t="shared" si="153"/>
        <v>Teghra</v>
      </c>
      <c r="AJ3221" s="72">
        <v>0</v>
      </c>
      <c r="AK3221" s="72"/>
      <c r="AL3221" s="72"/>
      <c r="AM3221" s="72"/>
    </row>
    <row r="3222" spans="1:39" x14ac:dyDescent="0.25">
      <c r="A3222" s="37" t="s">
        <v>62</v>
      </c>
      <c r="B3222" s="66" t="s">
        <v>1676</v>
      </c>
      <c r="C3222" s="4">
        <v>1008</v>
      </c>
      <c r="D3222" s="41" t="s">
        <v>217</v>
      </c>
      <c r="E3222" s="41">
        <v>10080053</v>
      </c>
      <c r="F3222" s="85" t="s">
        <v>238</v>
      </c>
      <c r="G3222" s="39" t="s">
        <v>92</v>
      </c>
      <c r="H3222" s="52" t="s">
        <v>93</v>
      </c>
      <c r="I3222" s="52">
        <v>20.75</v>
      </c>
      <c r="J3222" s="49">
        <v>830.62</v>
      </c>
      <c r="K3222" s="58">
        <v>20</v>
      </c>
      <c r="L3222" s="58">
        <v>786.8</v>
      </c>
      <c r="M3222" s="58">
        <v>0</v>
      </c>
      <c r="N3222" s="58">
        <v>0</v>
      </c>
      <c r="O3222" s="58">
        <v>20</v>
      </c>
      <c r="P3222" s="53">
        <v>786.8</v>
      </c>
      <c r="Q3222" s="65">
        <v>786.8</v>
      </c>
      <c r="R3222" s="65">
        <v>0</v>
      </c>
      <c r="S3222" s="65">
        <v>0</v>
      </c>
      <c r="T3222" s="65">
        <v>0</v>
      </c>
      <c r="U3222" s="58">
        <v>0</v>
      </c>
      <c r="V3222" s="65">
        <v>0</v>
      </c>
      <c r="W3222" s="65">
        <v>0</v>
      </c>
      <c r="X3222" s="65">
        <v>787</v>
      </c>
      <c r="Y3222" s="65">
        <v>0</v>
      </c>
      <c r="Z3222" s="51">
        <v>0</v>
      </c>
      <c r="AA3222" s="51">
        <v>44</v>
      </c>
      <c r="AB3222" s="102">
        <v>0</v>
      </c>
      <c r="AC3222" s="81">
        <f t="shared" si="154"/>
        <v>543.80591325301214</v>
      </c>
      <c r="AD3222" s="82">
        <f t="shared" si="155"/>
        <v>2.9642857142857144</v>
      </c>
      <c r="AE3222" s="218">
        <v>5.2755772796224565E-2</v>
      </c>
      <c r="AF3222">
        <v>1</v>
      </c>
      <c r="AH3222" t="str">
        <f t="shared" si="153"/>
        <v>Teghra</v>
      </c>
      <c r="AJ3222" s="72">
        <v>0</v>
      </c>
      <c r="AK3222" s="72"/>
      <c r="AL3222" s="72"/>
      <c r="AM3222" s="72"/>
    </row>
    <row r="3223" spans="1:39" x14ac:dyDescent="0.25">
      <c r="A3223" s="37" t="s">
        <v>62</v>
      </c>
      <c r="B3223" s="66" t="s">
        <v>1676</v>
      </c>
      <c r="C3223" s="4">
        <v>1008</v>
      </c>
      <c r="D3223" s="41" t="s">
        <v>217</v>
      </c>
      <c r="E3223" s="41">
        <v>10080054</v>
      </c>
      <c r="F3223" s="85" t="s">
        <v>239</v>
      </c>
      <c r="G3223" s="39" t="s">
        <v>1610</v>
      </c>
      <c r="H3223" s="52" t="s">
        <v>98</v>
      </c>
      <c r="I3223" s="52">
        <v>1123.9499999999998</v>
      </c>
      <c r="J3223" s="49">
        <v>43628.250000000007</v>
      </c>
      <c r="K3223" s="58">
        <v>0</v>
      </c>
      <c r="L3223" s="58">
        <v>0</v>
      </c>
      <c r="M3223" s="58">
        <v>0</v>
      </c>
      <c r="N3223" s="58">
        <v>0</v>
      </c>
      <c r="O3223" s="58">
        <v>0</v>
      </c>
      <c r="P3223" s="53">
        <v>0</v>
      </c>
      <c r="Q3223" s="65">
        <v>43628.250000000007</v>
      </c>
      <c r="R3223" s="65">
        <v>0</v>
      </c>
      <c r="S3223" s="65">
        <v>0</v>
      </c>
      <c r="T3223" s="65">
        <v>0</v>
      </c>
      <c r="U3223" s="58">
        <v>0</v>
      </c>
      <c r="V3223" s="65">
        <v>0</v>
      </c>
      <c r="W3223" s="65">
        <v>0</v>
      </c>
      <c r="X3223" s="65">
        <v>0</v>
      </c>
      <c r="Y3223" s="65">
        <v>0</v>
      </c>
      <c r="Z3223" s="51">
        <v>43628.250000000007</v>
      </c>
      <c r="AA3223" s="51">
        <v>0</v>
      </c>
      <c r="AB3223" s="102">
        <v>0</v>
      </c>
      <c r="AC3223" s="81">
        <f t="shared" si="154"/>
        <v>0</v>
      </c>
      <c r="AD3223" s="82">
        <f t="shared" si="155"/>
        <v>0</v>
      </c>
      <c r="AE3223" s="218">
        <v>0</v>
      </c>
      <c r="AF3223">
        <v>0</v>
      </c>
      <c r="AH3223" t="str">
        <f t="shared" si="153"/>
        <v>Teghra</v>
      </c>
      <c r="AJ3223" s="72">
        <v>0</v>
      </c>
      <c r="AK3223" s="72"/>
      <c r="AL3223" s="72"/>
      <c r="AM3223" s="72"/>
    </row>
    <row r="3224" spans="1:39" x14ac:dyDescent="0.25">
      <c r="A3224" s="37" t="s">
        <v>62</v>
      </c>
      <c r="B3224" s="66" t="s">
        <v>1676</v>
      </c>
      <c r="C3224" s="4">
        <v>1008</v>
      </c>
      <c r="D3224" s="41" t="s">
        <v>217</v>
      </c>
      <c r="E3224" s="41">
        <v>10080055</v>
      </c>
      <c r="F3224" s="85" t="s">
        <v>240</v>
      </c>
      <c r="G3224" s="39" t="s">
        <v>92</v>
      </c>
      <c r="H3224" s="52" t="s">
        <v>93</v>
      </c>
      <c r="I3224" s="52">
        <v>337.45000000000005</v>
      </c>
      <c r="J3224" s="49">
        <v>13371.61</v>
      </c>
      <c r="K3224" s="58">
        <v>215.72</v>
      </c>
      <c r="L3224" s="58">
        <v>9114.7099999999991</v>
      </c>
      <c r="M3224" s="58">
        <v>100.32000000000001</v>
      </c>
      <c r="N3224" s="58">
        <v>4280.05</v>
      </c>
      <c r="O3224" s="58">
        <v>316.04000000000002</v>
      </c>
      <c r="P3224" s="53">
        <v>13394.759999999998</v>
      </c>
      <c r="Q3224" s="65">
        <v>13371.61</v>
      </c>
      <c r="R3224" s="65">
        <v>0</v>
      </c>
      <c r="S3224" s="65">
        <v>0</v>
      </c>
      <c r="T3224" s="65">
        <v>23.149999999997817</v>
      </c>
      <c r="U3224" s="58">
        <v>0</v>
      </c>
      <c r="V3224" s="65">
        <v>0</v>
      </c>
      <c r="W3224" s="65">
        <v>0</v>
      </c>
      <c r="X3224" s="65">
        <v>9093</v>
      </c>
      <c r="Y3224" s="65">
        <v>4279</v>
      </c>
      <c r="Z3224" s="51">
        <v>0</v>
      </c>
      <c r="AA3224" s="51">
        <v>0</v>
      </c>
      <c r="AB3224" s="102">
        <v>0</v>
      </c>
      <c r="AC3224" s="81">
        <f t="shared" si="154"/>
        <v>287.32417872277369</v>
      </c>
      <c r="AD3224" s="82">
        <f t="shared" si="155"/>
        <v>48.207142857142863</v>
      </c>
      <c r="AE3224" s="218">
        <v>-1.7312799281461108E-3</v>
      </c>
      <c r="AF3224">
        <v>9</v>
      </c>
      <c r="AH3224" t="str">
        <f t="shared" si="153"/>
        <v>Teghra</v>
      </c>
      <c r="AJ3224" s="72">
        <v>0</v>
      </c>
      <c r="AK3224" s="72"/>
      <c r="AL3224" s="72"/>
      <c r="AM3224" s="72"/>
    </row>
    <row r="3225" spans="1:39" x14ac:dyDescent="0.25">
      <c r="A3225" s="37" t="s">
        <v>62</v>
      </c>
      <c r="B3225" s="66" t="s">
        <v>1676</v>
      </c>
      <c r="C3225" s="4">
        <v>1008</v>
      </c>
      <c r="D3225" s="41" t="s">
        <v>217</v>
      </c>
      <c r="E3225" s="41">
        <v>10080061</v>
      </c>
      <c r="F3225" s="85" t="s">
        <v>241</v>
      </c>
      <c r="G3225" s="39" t="s">
        <v>1610</v>
      </c>
      <c r="H3225" s="52" t="s">
        <v>93</v>
      </c>
      <c r="I3225" s="52">
        <v>353.45</v>
      </c>
      <c r="J3225" s="49">
        <v>12885.390000000001</v>
      </c>
      <c r="K3225" s="58">
        <v>353.2</v>
      </c>
      <c r="L3225" s="58">
        <v>12876.05</v>
      </c>
      <c r="M3225" s="58">
        <v>0</v>
      </c>
      <c r="N3225" s="58">
        <v>0</v>
      </c>
      <c r="O3225" s="58">
        <v>353.2</v>
      </c>
      <c r="P3225" s="53">
        <v>12876.05</v>
      </c>
      <c r="Q3225" s="65">
        <v>12876.05</v>
      </c>
      <c r="R3225" s="65">
        <v>0</v>
      </c>
      <c r="S3225" s="65">
        <v>0</v>
      </c>
      <c r="T3225" s="65">
        <v>0</v>
      </c>
      <c r="U3225" s="58">
        <v>0</v>
      </c>
      <c r="V3225" s="65">
        <v>0</v>
      </c>
      <c r="W3225" s="65">
        <v>0</v>
      </c>
      <c r="X3225" s="65">
        <v>12876</v>
      </c>
      <c r="Y3225" s="65">
        <v>0</v>
      </c>
      <c r="Z3225" s="51">
        <v>0</v>
      </c>
      <c r="AA3225" s="51">
        <v>9</v>
      </c>
      <c r="AB3225" s="102">
        <v>0</v>
      </c>
      <c r="AC3225" s="81">
        <f t="shared" si="154"/>
        <v>252.67686544065646</v>
      </c>
      <c r="AD3225" s="82">
        <f t="shared" si="155"/>
        <v>50.49285714285714</v>
      </c>
      <c r="AE3225" s="218">
        <v>7.2485194472204288E-4</v>
      </c>
      <c r="AF3225">
        <v>1</v>
      </c>
      <c r="AH3225" t="str">
        <f t="shared" si="153"/>
        <v>Teghra</v>
      </c>
      <c r="AJ3225" s="72">
        <v>0</v>
      </c>
      <c r="AK3225" s="72"/>
      <c r="AL3225" s="72"/>
      <c r="AM3225" s="72"/>
    </row>
    <row r="3226" spans="1:39" x14ac:dyDescent="0.25">
      <c r="A3226" s="37" t="s">
        <v>62</v>
      </c>
      <c r="B3226" s="66" t="s">
        <v>1676</v>
      </c>
      <c r="C3226" s="4">
        <v>1008</v>
      </c>
      <c r="D3226" s="41" t="s">
        <v>217</v>
      </c>
      <c r="E3226" s="41">
        <v>10080065</v>
      </c>
      <c r="F3226" s="85" t="s">
        <v>242</v>
      </c>
      <c r="G3226" s="39" t="s">
        <v>92</v>
      </c>
      <c r="H3226" s="52" t="s">
        <v>93</v>
      </c>
      <c r="I3226" s="52">
        <v>403.15000000000003</v>
      </c>
      <c r="J3226" s="49">
        <v>15265.640000000001</v>
      </c>
      <c r="K3226" s="58">
        <v>399.13</v>
      </c>
      <c r="L3226" s="58">
        <v>15176.82</v>
      </c>
      <c r="M3226" s="58">
        <v>0.63</v>
      </c>
      <c r="N3226" s="58">
        <v>23.75</v>
      </c>
      <c r="O3226" s="58">
        <v>399.76</v>
      </c>
      <c r="P3226" s="53">
        <v>15200.57</v>
      </c>
      <c r="Q3226" s="65">
        <v>15200.57</v>
      </c>
      <c r="R3226" s="65">
        <v>0</v>
      </c>
      <c r="S3226" s="65">
        <v>23.75</v>
      </c>
      <c r="T3226" s="65">
        <v>0</v>
      </c>
      <c r="U3226" s="58">
        <v>0</v>
      </c>
      <c r="V3226" s="65">
        <v>500</v>
      </c>
      <c r="W3226" s="65">
        <v>0</v>
      </c>
      <c r="X3226" s="65">
        <v>14677</v>
      </c>
      <c r="Y3226" s="65">
        <v>0</v>
      </c>
      <c r="Z3226" s="51">
        <v>0</v>
      </c>
      <c r="AA3226" s="51">
        <v>65</v>
      </c>
      <c r="AB3226" s="102">
        <v>0</v>
      </c>
      <c r="AC3226" s="81">
        <f t="shared" si="154"/>
        <v>224.8098838645665</v>
      </c>
      <c r="AD3226" s="82">
        <f t="shared" si="155"/>
        <v>57.592857142857149</v>
      </c>
      <c r="AE3226" s="218">
        <v>4.2625137236304228E-3</v>
      </c>
      <c r="AF3226">
        <v>2</v>
      </c>
      <c r="AH3226" t="str">
        <f t="shared" si="153"/>
        <v>Teghra</v>
      </c>
      <c r="AJ3226" s="72">
        <v>500</v>
      </c>
      <c r="AK3226" s="72"/>
      <c r="AL3226" s="72"/>
      <c r="AM3226" s="72"/>
    </row>
    <row r="3227" spans="1:39" x14ac:dyDescent="0.25">
      <c r="A3227" s="37" t="s">
        <v>62</v>
      </c>
      <c r="B3227" s="66" t="s">
        <v>1676</v>
      </c>
      <c r="C3227" s="4">
        <v>1008</v>
      </c>
      <c r="D3227" s="41" t="s">
        <v>217</v>
      </c>
      <c r="E3227" s="41">
        <v>10080067</v>
      </c>
      <c r="F3227" s="85" t="s">
        <v>243</v>
      </c>
      <c r="G3227" s="39" t="s">
        <v>92</v>
      </c>
      <c r="H3227" s="52" t="s">
        <v>93</v>
      </c>
      <c r="I3227" s="52">
        <v>131.9</v>
      </c>
      <c r="J3227" s="49">
        <v>5291.8100000000013</v>
      </c>
      <c r="K3227" s="58">
        <v>138.36999999999998</v>
      </c>
      <c r="L3227" s="58">
        <v>5237.68</v>
      </c>
      <c r="M3227" s="58">
        <v>0</v>
      </c>
      <c r="N3227" s="58">
        <v>0</v>
      </c>
      <c r="O3227" s="58">
        <v>138.36999999999998</v>
      </c>
      <c r="P3227" s="53">
        <v>5237.68</v>
      </c>
      <c r="Q3227" s="65">
        <v>5237.68</v>
      </c>
      <c r="R3227" s="65">
        <v>0</v>
      </c>
      <c r="S3227" s="65">
        <v>0</v>
      </c>
      <c r="T3227" s="65">
        <v>0</v>
      </c>
      <c r="U3227" s="58">
        <v>0</v>
      </c>
      <c r="V3227" s="65">
        <v>500</v>
      </c>
      <c r="W3227" s="65">
        <v>0</v>
      </c>
      <c r="X3227" s="65">
        <v>4737</v>
      </c>
      <c r="Y3227" s="65">
        <v>0</v>
      </c>
      <c r="Z3227" s="51">
        <v>0</v>
      </c>
      <c r="AA3227" s="51">
        <v>55</v>
      </c>
      <c r="AB3227" s="102">
        <v>0</v>
      </c>
      <c r="AC3227" s="81">
        <f t="shared" si="154"/>
        <v>455.84188946171349</v>
      </c>
      <c r="AD3227" s="82">
        <f t="shared" si="155"/>
        <v>18.842857142857145</v>
      </c>
      <c r="AE3227" s="218">
        <v>1.0229014269219985E-2</v>
      </c>
      <c r="AF3227">
        <v>5</v>
      </c>
      <c r="AH3227" t="str">
        <f t="shared" si="153"/>
        <v>Teghra</v>
      </c>
      <c r="AJ3227" s="72">
        <v>500</v>
      </c>
      <c r="AK3227" s="72"/>
      <c r="AL3227" s="72"/>
      <c r="AM3227" s="72"/>
    </row>
    <row r="3228" spans="1:39" x14ac:dyDescent="0.25">
      <c r="A3228" s="37" t="s">
        <v>62</v>
      </c>
      <c r="B3228" s="66" t="s">
        <v>1676</v>
      </c>
      <c r="C3228" s="4">
        <v>1008</v>
      </c>
      <c r="D3228" s="41" t="s">
        <v>217</v>
      </c>
      <c r="E3228" s="41">
        <v>10080073</v>
      </c>
      <c r="F3228" s="85" t="s">
        <v>1523</v>
      </c>
      <c r="G3228" s="39" t="s">
        <v>1610</v>
      </c>
      <c r="H3228" s="52" t="s">
        <v>98</v>
      </c>
      <c r="I3228" s="52">
        <v>5080.7000000000007</v>
      </c>
      <c r="J3228" s="49">
        <v>200555.78000000003</v>
      </c>
      <c r="K3228" s="58">
        <v>0</v>
      </c>
      <c r="L3228" s="58">
        <v>0</v>
      </c>
      <c r="M3228" s="58">
        <v>0</v>
      </c>
      <c r="N3228" s="58">
        <v>0</v>
      </c>
      <c r="O3228" s="58">
        <v>0</v>
      </c>
      <c r="P3228" s="53">
        <v>0</v>
      </c>
      <c r="Q3228" s="65">
        <v>200555.78000000003</v>
      </c>
      <c r="R3228" s="65">
        <v>0</v>
      </c>
      <c r="S3228" s="65">
        <v>0</v>
      </c>
      <c r="T3228" s="65">
        <v>0</v>
      </c>
      <c r="U3228" s="58">
        <v>0</v>
      </c>
      <c r="V3228" s="65">
        <v>0</v>
      </c>
      <c r="W3228" s="65">
        <v>0</v>
      </c>
      <c r="X3228" s="65">
        <v>0</v>
      </c>
      <c r="Y3228" s="65">
        <v>0</v>
      </c>
      <c r="Z3228" s="51">
        <v>200555.78000000003</v>
      </c>
      <c r="AA3228" s="51">
        <v>0</v>
      </c>
      <c r="AB3228" s="102">
        <v>0</v>
      </c>
      <c r="AC3228" s="81">
        <f t="shared" si="154"/>
        <v>0</v>
      </c>
      <c r="AD3228" s="82">
        <f t="shared" si="155"/>
        <v>0</v>
      </c>
      <c r="AE3228" s="218">
        <v>0</v>
      </c>
      <c r="AF3228">
        <v>0</v>
      </c>
      <c r="AH3228" t="str">
        <f t="shared" si="153"/>
        <v>Teghra</v>
      </c>
      <c r="AJ3228" s="72">
        <v>0</v>
      </c>
      <c r="AK3228" s="72"/>
      <c r="AL3228" s="72"/>
      <c r="AM3228" s="72"/>
    </row>
    <row r="3229" spans="1:39" x14ac:dyDescent="0.25">
      <c r="A3229" s="37" t="s">
        <v>62</v>
      </c>
      <c r="B3229" s="66" t="s">
        <v>1676</v>
      </c>
      <c r="C3229" s="4">
        <v>1008</v>
      </c>
      <c r="D3229" s="41" t="s">
        <v>217</v>
      </c>
      <c r="E3229" s="41">
        <v>10080076</v>
      </c>
      <c r="F3229" s="85" t="s">
        <v>461</v>
      </c>
      <c r="G3229" s="39" t="s">
        <v>1610</v>
      </c>
      <c r="H3229" s="52" t="s">
        <v>98</v>
      </c>
      <c r="I3229" s="52">
        <v>207.20000000000002</v>
      </c>
      <c r="J3229" s="49">
        <v>8087.16</v>
      </c>
      <c r="K3229" s="58">
        <v>0</v>
      </c>
      <c r="L3229" s="58">
        <v>0</v>
      </c>
      <c r="M3229" s="58">
        <v>0</v>
      </c>
      <c r="N3229" s="58">
        <v>0</v>
      </c>
      <c r="O3229" s="58">
        <v>0</v>
      </c>
      <c r="P3229" s="53">
        <v>0</v>
      </c>
      <c r="Q3229" s="65">
        <v>8087.16</v>
      </c>
      <c r="R3229" s="65">
        <v>0</v>
      </c>
      <c r="S3229" s="65">
        <v>0</v>
      </c>
      <c r="T3229" s="65">
        <v>0</v>
      </c>
      <c r="U3229" s="58">
        <v>0</v>
      </c>
      <c r="V3229" s="65">
        <v>0</v>
      </c>
      <c r="W3229" s="65">
        <v>0</v>
      </c>
      <c r="X3229" s="65">
        <v>0</v>
      </c>
      <c r="Y3229" s="65">
        <v>0</v>
      </c>
      <c r="Z3229" s="51">
        <v>8087.16</v>
      </c>
      <c r="AA3229" s="51">
        <v>0</v>
      </c>
      <c r="AB3229" s="102">
        <v>0</v>
      </c>
      <c r="AC3229" s="81">
        <f t="shared" si="154"/>
        <v>384.68652972972973</v>
      </c>
      <c r="AD3229" s="82">
        <f t="shared" si="155"/>
        <v>29.6</v>
      </c>
      <c r="AE3229" s="218">
        <v>0</v>
      </c>
      <c r="AF3229">
        <v>0</v>
      </c>
      <c r="AH3229" t="str">
        <f t="shared" si="153"/>
        <v>Teghra</v>
      </c>
      <c r="AJ3229" s="72">
        <v>0</v>
      </c>
      <c r="AK3229" s="72"/>
      <c r="AL3229" s="72"/>
      <c r="AM3229" s="72"/>
    </row>
    <row r="3230" spans="1:39" x14ac:dyDescent="0.25">
      <c r="A3230" s="37" t="s">
        <v>62</v>
      </c>
      <c r="B3230" s="66" t="s">
        <v>1676</v>
      </c>
      <c r="C3230" s="4">
        <v>1008</v>
      </c>
      <c r="D3230" s="41" t="s">
        <v>217</v>
      </c>
      <c r="E3230" s="41">
        <v>10080078</v>
      </c>
      <c r="F3230" s="85" t="s">
        <v>601</v>
      </c>
      <c r="G3230" s="39" t="s">
        <v>1610</v>
      </c>
      <c r="H3230" s="52" t="s">
        <v>98</v>
      </c>
      <c r="I3230" s="52">
        <v>13.6</v>
      </c>
      <c r="J3230" s="49">
        <v>529.30999999999995</v>
      </c>
      <c r="K3230" s="58">
        <v>0</v>
      </c>
      <c r="L3230" s="58">
        <v>0</v>
      </c>
      <c r="M3230" s="58">
        <v>0</v>
      </c>
      <c r="N3230" s="58">
        <v>0</v>
      </c>
      <c r="O3230" s="58">
        <v>0</v>
      </c>
      <c r="P3230" s="53">
        <v>0</v>
      </c>
      <c r="Q3230" s="65">
        <v>529.30999999999995</v>
      </c>
      <c r="R3230" s="65">
        <v>0</v>
      </c>
      <c r="S3230" s="65">
        <v>0</v>
      </c>
      <c r="T3230" s="65">
        <v>0</v>
      </c>
      <c r="U3230" s="58">
        <v>0</v>
      </c>
      <c r="V3230" s="65">
        <v>0</v>
      </c>
      <c r="W3230" s="65">
        <v>0</v>
      </c>
      <c r="X3230" s="65">
        <v>0</v>
      </c>
      <c r="Y3230" s="65">
        <v>0</v>
      </c>
      <c r="Z3230" s="51">
        <v>529.30999999999995</v>
      </c>
      <c r="AA3230" s="51">
        <v>0</v>
      </c>
      <c r="AB3230" s="102">
        <v>0</v>
      </c>
      <c r="AC3230" s="81">
        <f t="shared" si="154"/>
        <v>534.29174117647062</v>
      </c>
      <c r="AD3230" s="82">
        <f t="shared" si="155"/>
        <v>1.9428571428571428</v>
      </c>
      <c r="AE3230" s="218">
        <v>0</v>
      </c>
      <c r="AF3230">
        <v>0</v>
      </c>
      <c r="AH3230" t="str">
        <f t="shared" si="153"/>
        <v>Teghra</v>
      </c>
      <c r="AJ3230" s="72">
        <v>0</v>
      </c>
      <c r="AK3230" s="72"/>
      <c r="AL3230" s="72"/>
      <c r="AM3230" s="72"/>
    </row>
    <row r="3231" spans="1:39" x14ac:dyDescent="0.25">
      <c r="A3231" s="37" t="s">
        <v>62</v>
      </c>
      <c r="B3231" s="66" t="s">
        <v>1676</v>
      </c>
      <c r="C3231" s="4">
        <v>1008</v>
      </c>
      <c r="D3231" s="41" t="s">
        <v>217</v>
      </c>
      <c r="E3231" s="41">
        <v>10080080</v>
      </c>
      <c r="F3231" s="85" t="s">
        <v>485</v>
      </c>
      <c r="G3231" s="39" t="s">
        <v>1610</v>
      </c>
      <c r="H3231" s="52" t="s">
        <v>98</v>
      </c>
      <c r="I3231" s="52">
        <v>284.8</v>
      </c>
      <c r="J3231" s="49">
        <v>10800.42</v>
      </c>
      <c r="K3231" s="58">
        <v>0</v>
      </c>
      <c r="L3231" s="58">
        <v>0</v>
      </c>
      <c r="M3231" s="58">
        <v>0</v>
      </c>
      <c r="N3231" s="58">
        <v>0</v>
      </c>
      <c r="O3231" s="58">
        <v>0</v>
      </c>
      <c r="P3231" s="53">
        <v>0</v>
      </c>
      <c r="Q3231" s="65">
        <v>10800.42</v>
      </c>
      <c r="R3231" s="65">
        <v>0</v>
      </c>
      <c r="S3231" s="65">
        <v>0</v>
      </c>
      <c r="T3231" s="65">
        <v>0</v>
      </c>
      <c r="U3231" s="58">
        <v>0</v>
      </c>
      <c r="V3231" s="65">
        <v>0</v>
      </c>
      <c r="W3231" s="65">
        <v>0</v>
      </c>
      <c r="X3231" s="65">
        <v>0</v>
      </c>
      <c r="Y3231" s="65">
        <v>0</v>
      </c>
      <c r="Z3231" s="51">
        <v>10800.42</v>
      </c>
      <c r="AA3231" s="51">
        <v>0</v>
      </c>
      <c r="AB3231" s="102">
        <v>0</v>
      </c>
      <c r="AC3231" s="81">
        <f t="shared" si="154"/>
        <v>314.91112247191012</v>
      </c>
      <c r="AD3231" s="82">
        <f t="shared" si="155"/>
        <v>40.68571428571429</v>
      </c>
      <c r="AE3231" s="218">
        <v>0</v>
      </c>
      <c r="AF3231">
        <v>0</v>
      </c>
      <c r="AH3231" t="str">
        <f t="shared" si="153"/>
        <v>Teghra</v>
      </c>
      <c r="AJ3231" s="72">
        <v>0</v>
      </c>
      <c r="AK3231" s="72"/>
      <c r="AL3231" s="72"/>
      <c r="AM3231" s="72"/>
    </row>
    <row r="3232" spans="1:39" x14ac:dyDescent="0.25">
      <c r="A3232" s="37" t="s">
        <v>62</v>
      </c>
      <c r="B3232" s="66" t="s">
        <v>1676</v>
      </c>
      <c r="C3232" s="4">
        <v>1008</v>
      </c>
      <c r="D3232" s="41" t="s">
        <v>217</v>
      </c>
      <c r="E3232" s="41">
        <v>10080083</v>
      </c>
      <c r="F3232" s="85" t="s">
        <v>487</v>
      </c>
      <c r="G3232" s="39" t="s">
        <v>1610</v>
      </c>
      <c r="H3232" s="52" t="s">
        <v>98</v>
      </c>
      <c r="I3232" s="52">
        <v>225</v>
      </c>
      <c r="J3232" s="49">
        <v>8523.98</v>
      </c>
      <c r="K3232" s="58">
        <v>0</v>
      </c>
      <c r="L3232" s="58">
        <v>0</v>
      </c>
      <c r="M3232" s="58">
        <v>0</v>
      </c>
      <c r="N3232" s="58">
        <v>0</v>
      </c>
      <c r="O3232" s="58">
        <v>0</v>
      </c>
      <c r="P3232" s="53">
        <v>0</v>
      </c>
      <c r="Q3232" s="65">
        <v>8523.98</v>
      </c>
      <c r="R3232" s="65">
        <v>0</v>
      </c>
      <c r="S3232" s="65">
        <v>0</v>
      </c>
      <c r="T3232" s="65">
        <v>0</v>
      </c>
      <c r="U3232" s="58">
        <v>0</v>
      </c>
      <c r="V3232" s="65">
        <v>0</v>
      </c>
      <c r="W3232" s="65">
        <v>0</v>
      </c>
      <c r="X3232" s="65">
        <v>0</v>
      </c>
      <c r="Y3232" s="65">
        <v>0</v>
      </c>
      <c r="Z3232" s="51">
        <v>8523.98</v>
      </c>
      <c r="AA3232" s="51">
        <v>0</v>
      </c>
      <c r="AB3232" s="102">
        <v>0</v>
      </c>
      <c r="AC3232" s="81">
        <f t="shared" si="154"/>
        <v>359.90137777777772</v>
      </c>
      <c r="AD3232" s="82">
        <f t="shared" si="155"/>
        <v>32.142857142857146</v>
      </c>
      <c r="AE3232" s="218">
        <v>0</v>
      </c>
      <c r="AF3232">
        <v>0</v>
      </c>
      <c r="AH3232" t="str">
        <f t="shared" si="153"/>
        <v>Teghra</v>
      </c>
      <c r="AJ3232" s="72">
        <v>0</v>
      </c>
      <c r="AK3232" s="72"/>
      <c r="AL3232" s="72"/>
      <c r="AM3232" s="72"/>
    </row>
    <row r="3233" spans="1:39" x14ac:dyDescent="0.25">
      <c r="A3233" s="37" t="s">
        <v>62</v>
      </c>
      <c r="B3233" s="66" t="s">
        <v>1676</v>
      </c>
      <c r="C3233" s="4">
        <v>1008</v>
      </c>
      <c r="D3233" s="41" t="s">
        <v>217</v>
      </c>
      <c r="E3233" s="41">
        <v>10080086</v>
      </c>
      <c r="F3233" s="85" t="s">
        <v>547</v>
      </c>
      <c r="G3233" s="39" t="s">
        <v>92</v>
      </c>
      <c r="H3233" s="52" t="s">
        <v>93</v>
      </c>
      <c r="I3233" s="52">
        <v>274.75</v>
      </c>
      <c r="J3233" s="49">
        <v>10201.260000000002</v>
      </c>
      <c r="K3233" s="58">
        <v>275.10000000000002</v>
      </c>
      <c r="L3233" s="58">
        <v>10214.039999999999</v>
      </c>
      <c r="M3233" s="58">
        <v>6.6</v>
      </c>
      <c r="N3233" s="58">
        <v>245.27</v>
      </c>
      <c r="O3233" s="58">
        <v>281.70000000000005</v>
      </c>
      <c r="P3233" s="53">
        <v>10459.31</v>
      </c>
      <c r="Q3233" s="65">
        <v>10201.260000000002</v>
      </c>
      <c r="R3233" s="65">
        <v>0</v>
      </c>
      <c r="S3233" s="65">
        <v>245.27</v>
      </c>
      <c r="T3233" s="65">
        <v>258.04999999999745</v>
      </c>
      <c r="U3233" s="58">
        <v>0</v>
      </c>
      <c r="V3233" s="65">
        <v>500</v>
      </c>
      <c r="W3233" s="65">
        <v>0</v>
      </c>
      <c r="X3233" s="65">
        <v>9456</v>
      </c>
      <c r="Y3233" s="65">
        <v>0</v>
      </c>
      <c r="Z3233" s="51">
        <v>0</v>
      </c>
      <c r="AA3233" s="51">
        <v>0</v>
      </c>
      <c r="AB3233" s="102">
        <v>0</v>
      </c>
      <c r="AC3233" s="81">
        <f t="shared" si="154"/>
        <v>315.78422675159243</v>
      </c>
      <c r="AD3233" s="82">
        <f t="shared" si="155"/>
        <v>39.25</v>
      </c>
      <c r="AE3233" s="218">
        <v>-2.5295894820835604E-2</v>
      </c>
      <c r="AF3233">
        <v>3</v>
      </c>
      <c r="AH3233" t="str">
        <f t="shared" si="153"/>
        <v>Teghra</v>
      </c>
      <c r="AJ3233" s="72">
        <v>500</v>
      </c>
      <c r="AK3233" s="72"/>
      <c r="AL3233" s="72"/>
      <c r="AM3233" s="72"/>
    </row>
    <row r="3234" spans="1:39" x14ac:dyDescent="0.25">
      <c r="A3234" s="37" t="s">
        <v>62</v>
      </c>
      <c r="B3234" s="66" t="s">
        <v>1676</v>
      </c>
      <c r="C3234" s="4">
        <v>1008</v>
      </c>
      <c r="D3234" s="41" t="s">
        <v>217</v>
      </c>
      <c r="E3234" s="41">
        <v>10080087</v>
      </c>
      <c r="F3234" s="85" t="s">
        <v>568</v>
      </c>
      <c r="G3234" s="39" t="s">
        <v>92</v>
      </c>
      <c r="H3234" s="52" t="s">
        <v>93</v>
      </c>
      <c r="I3234" s="52">
        <v>617.74999999999989</v>
      </c>
      <c r="J3234" s="49">
        <v>25268.070000000003</v>
      </c>
      <c r="K3234" s="58">
        <v>616.88000000000011</v>
      </c>
      <c r="L3234" s="58">
        <v>24682.15</v>
      </c>
      <c r="M3234" s="58">
        <v>0.43999999999999995</v>
      </c>
      <c r="N3234" s="58">
        <v>17.62</v>
      </c>
      <c r="O3234" s="58">
        <v>617.32000000000016</v>
      </c>
      <c r="P3234" s="53">
        <v>24699.77</v>
      </c>
      <c r="Q3234" s="65">
        <v>24699.77</v>
      </c>
      <c r="R3234" s="65">
        <v>0</v>
      </c>
      <c r="S3234" s="65">
        <v>17.62</v>
      </c>
      <c r="T3234" s="65">
        <v>0</v>
      </c>
      <c r="U3234" s="58">
        <v>0</v>
      </c>
      <c r="V3234" s="65">
        <v>0</v>
      </c>
      <c r="W3234" s="65">
        <v>0</v>
      </c>
      <c r="X3234" s="65">
        <v>24682</v>
      </c>
      <c r="Y3234" s="65">
        <v>0</v>
      </c>
      <c r="Z3234" s="51">
        <v>0</v>
      </c>
      <c r="AA3234" s="51">
        <v>568</v>
      </c>
      <c r="AB3234" s="102">
        <v>0</v>
      </c>
      <c r="AC3234" s="81">
        <f t="shared" si="154"/>
        <v>67.28607875354119</v>
      </c>
      <c r="AD3234" s="82">
        <f t="shared" si="155"/>
        <v>88.249999999999986</v>
      </c>
      <c r="AE3234" s="218">
        <v>2.2490835271550335E-2</v>
      </c>
      <c r="AF3234">
        <v>3</v>
      </c>
      <c r="AH3234" t="str">
        <f t="shared" si="153"/>
        <v>Teghra</v>
      </c>
      <c r="AJ3234" s="72">
        <v>0</v>
      </c>
      <c r="AK3234" s="72"/>
      <c r="AL3234" s="72"/>
      <c r="AM3234" s="72"/>
    </row>
    <row r="3235" spans="1:39" x14ac:dyDescent="0.25">
      <c r="A3235" s="37" t="s">
        <v>62</v>
      </c>
      <c r="B3235" s="66" t="s">
        <v>1676</v>
      </c>
      <c r="C3235" s="4">
        <v>1008</v>
      </c>
      <c r="D3235" s="41" t="s">
        <v>217</v>
      </c>
      <c r="E3235" s="41">
        <v>10080088</v>
      </c>
      <c r="F3235" s="85" t="s">
        <v>569</v>
      </c>
      <c r="G3235" s="39" t="s">
        <v>92</v>
      </c>
      <c r="H3235" s="52" t="s">
        <v>93</v>
      </c>
      <c r="I3235" s="52">
        <v>633.35000000000014</v>
      </c>
      <c r="J3235" s="49">
        <v>22789.379999999997</v>
      </c>
      <c r="K3235" s="58">
        <v>632</v>
      </c>
      <c r="L3235" s="58">
        <v>22068.159999999996</v>
      </c>
      <c r="M3235" s="58">
        <v>0.8</v>
      </c>
      <c r="N3235" s="58">
        <v>28.330000000000002</v>
      </c>
      <c r="O3235" s="58">
        <v>632.79999999999995</v>
      </c>
      <c r="P3235" s="53">
        <v>22096.489999999998</v>
      </c>
      <c r="Q3235" s="65">
        <v>22096.489999999998</v>
      </c>
      <c r="R3235" s="65">
        <v>0</v>
      </c>
      <c r="S3235" s="65">
        <v>28.330000000000002</v>
      </c>
      <c r="T3235" s="65">
        <v>0</v>
      </c>
      <c r="U3235" s="58">
        <v>0</v>
      </c>
      <c r="V3235" s="65">
        <v>0</v>
      </c>
      <c r="W3235" s="65">
        <v>0</v>
      </c>
      <c r="X3235" s="65">
        <v>22067</v>
      </c>
      <c r="Y3235" s="65">
        <v>0</v>
      </c>
      <c r="Z3235" s="51">
        <v>0</v>
      </c>
      <c r="AA3235" s="51">
        <v>694</v>
      </c>
      <c r="AB3235" s="102">
        <v>0</v>
      </c>
      <c r="AC3235" s="81">
        <f t="shared" si="154"/>
        <v>47.964385474066383</v>
      </c>
      <c r="AD3235" s="82">
        <f t="shared" si="155"/>
        <v>90.478571428571442</v>
      </c>
      <c r="AE3235" s="218">
        <v>3.040407417841115E-2</v>
      </c>
      <c r="AF3235">
        <v>8</v>
      </c>
      <c r="AH3235" t="str">
        <f t="shared" si="153"/>
        <v>Teghra</v>
      </c>
      <c r="AJ3235" s="72">
        <v>0</v>
      </c>
      <c r="AK3235" s="72"/>
      <c r="AL3235" s="72"/>
      <c r="AM3235" s="72"/>
    </row>
    <row r="3236" spans="1:39" x14ac:dyDescent="0.25">
      <c r="A3236" s="37" t="s">
        <v>62</v>
      </c>
      <c r="B3236" s="66" t="s">
        <v>1676</v>
      </c>
      <c r="C3236" s="4">
        <v>1008</v>
      </c>
      <c r="D3236" s="41" t="s">
        <v>217</v>
      </c>
      <c r="E3236" s="41">
        <v>10080089</v>
      </c>
      <c r="F3236" s="85" t="s">
        <v>1247</v>
      </c>
      <c r="G3236" s="39" t="s">
        <v>1610</v>
      </c>
      <c r="H3236" s="52" t="s">
        <v>98</v>
      </c>
      <c r="I3236" s="52">
        <v>250.5</v>
      </c>
      <c r="J3236" s="49">
        <v>9184.92</v>
      </c>
      <c r="K3236" s="58">
        <v>0</v>
      </c>
      <c r="L3236" s="58">
        <v>0</v>
      </c>
      <c r="M3236" s="58">
        <v>0</v>
      </c>
      <c r="N3236" s="58">
        <v>0</v>
      </c>
      <c r="O3236" s="58">
        <v>0</v>
      </c>
      <c r="P3236" s="53">
        <v>0</v>
      </c>
      <c r="Q3236" s="65">
        <v>9184.92</v>
      </c>
      <c r="R3236" s="65">
        <v>0</v>
      </c>
      <c r="S3236" s="65">
        <v>0</v>
      </c>
      <c r="T3236" s="65">
        <v>0</v>
      </c>
      <c r="U3236" s="58">
        <v>0</v>
      </c>
      <c r="V3236" s="65">
        <v>0</v>
      </c>
      <c r="W3236" s="65">
        <v>0</v>
      </c>
      <c r="X3236" s="65">
        <v>0</v>
      </c>
      <c r="Y3236" s="65">
        <v>0</v>
      </c>
      <c r="Z3236" s="51">
        <v>9184.92</v>
      </c>
      <c r="AA3236" s="51">
        <v>0</v>
      </c>
      <c r="AB3236" s="102">
        <v>0</v>
      </c>
      <c r="AC3236" s="81">
        <f t="shared" si="154"/>
        <v>329.63046227544919</v>
      </c>
      <c r="AD3236" s="82">
        <f t="shared" si="155"/>
        <v>35.785714285714285</v>
      </c>
      <c r="AE3236" s="218">
        <v>0</v>
      </c>
      <c r="AF3236">
        <v>0</v>
      </c>
      <c r="AH3236" t="str">
        <f t="shared" si="153"/>
        <v>Teghra</v>
      </c>
      <c r="AJ3236" s="72">
        <v>0</v>
      </c>
      <c r="AK3236" s="72"/>
      <c r="AL3236" s="72"/>
      <c r="AM3236" s="72"/>
    </row>
    <row r="3237" spans="1:39" x14ac:dyDescent="0.25">
      <c r="A3237" s="37" t="s">
        <v>62</v>
      </c>
      <c r="B3237" s="66" t="s">
        <v>1676</v>
      </c>
      <c r="C3237" s="4">
        <v>1008</v>
      </c>
      <c r="D3237" s="41" t="s">
        <v>217</v>
      </c>
      <c r="E3237" s="41">
        <v>10080090</v>
      </c>
      <c r="F3237" s="85" t="s">
        <v>630</v>
      </c>
      <c r="G3237" s="39" t="s">
        <v>1610</v>
      </c>
      <c r="H3237" s="52" t="s">
        <v>98</v>
      </c>
      <c r="I3237" s="52">
        <v>381.8</v>
      </c>
      <c r="J3237" s="49">
        <v>14682.019999999999</v>
      </c>
      <c r="K3237" s="58">
        <v>0</v>
      </c>
      <c r="L3237" s="58">
        <v>0</v>
      </c>
      <c r="M3237" s="58">
        <v>0</v>
      </c>
      <c r="N3237" s="58">
        <v>0</v>
      </c>
      <c r="O3237" s="58">
        <v>0</v>
      </c>
      <c r="P3237" s="53">
        <v>0</v>
      </c>
      <c r="Q3237" s="65">
        <v>14682.019999999999</v>
      </c>
      <c r="R3237" s="65">
        <v>0</v>
      </c>
      <c r="S3237" s="65">
        <v>0</v>
      </c>
      <c r="T3237" s="65">
        <v>0</v>
      </c>
      <c r="U3237" s="58">
        <v>0</v>
      </c>
      <c r="V3237" s="65">
        <v>0</v>
      </c>
      <c r="W3237" s="65">
        <v>0</v>
      </c>
      <c r="X3237" s="65">
        <v>0</v>
      </c>
      <c r="Y3237" s="65">
        <v>0</v>
      </c>
      <c r="Z3237" s="51">
        <v>14682.019999999999</v>
      </c>
      <c r="AA3237" s="51">
        <v>0</v>
      </c>
      <c r="AB3237" s="102">
        <v>0</v>
      </c>
      <c r="AC3237" s="81">
        <f t="shared" si="154"/>
        <v>244.72596982713461</v>
      </c>
      <c r="AD3237" s="82">
        <f t="shared" si="155"/>
        <v>54.542857142857144</v>
      </c>
      <c r="AE3237" s="218">
        <v>0</v>
      </c>
      <c r="AF3237">
        <v>0</v>
      </c>
      <c r="AH3237" t="str">
        <f t="shared" si="153"/>
        <v>Teghra</v>
      </c>
      <c r="AJ3237" s="72">
        <v>0</v>
      </c>
      <c r="AK3237" s="72"/>
      <c r="AL3237" s="72"/>
      <c r="AM3237" s="72"/>
    </row>
    <row r="3238" spans="1:39" x14ac:dyDescent="0.25">
      <c r="A3238" s="37" t="s">
        <v>62</v>
      </c>
      <c r="B3238" s="66" t="s">
        <v>1676</v>
      </c>
      <c r="C3238" s="4">
        <v>1008</v>
      </c>
      <c r="D3238" s="41" t="s">
        <v>217</v>
      </c>
      <c r="E3238" s="41">
        <v>10080093</v>
      </c>
      <c r="F3238" s="85" t="s">
        <v>806</v>
      </c>
      <c r="G3238" s="39" t="s">
        <v>92</v>
      </c>
      <c r="H3238" s="52" t="s">
        <v>93</v>
      </c>
      <c r="I3238" s="52">
        <v>319.90000000000003</v>
      </c>
      <c r="J3238" s="49">
        <v>12222.83</v>
      </c>
      <c r="K3238" s="58">
        <v>319.89999999999998</v>
      </c>
      <c r="L3238" s="58">
        <v>12316.15</v>
      </c>
      <c r="M3238" s="58">
        <v>0</v>
      </c>
      <c r="N3238" s="58">
        <v>0</v>
      </c>
      <c r="O3238" s="58">
        <v>319.89999999999998</v>
      </c>
      <c r="P3238" s="53">
        <v>12316.15</v>
      </c>
      <c r="Q3238" s="65">
        <v>12222.83</v>
      </c>
      <c r="R3238" s="65">
        <v>0</v>
      </c>
      <c r="S3238" s="65">
        <v>0</v>
      </c>
      <c r="T3238" s="65">
        <v>93.319999999999709</v>
      </c>
      <c r="U3238" s="58">
        <v>0</v>
      </c>
      <c r="V3238" s="65">
        <v>0</v>
      </c>
      <c r="W3238" s="65">
        <v>0</v>
      </c>
      <c r="X3238" s="65">
        <v>12223</v>
      </c>
      <c r="Y3238" s="65">
        <v>0</v>
      </c>
      <c r="Z3238" s="51">
        <v>0</v>
      </c>
      <c r="AA3238" s="51">
        <v>0</v>
      </c>
      <c r="AB3238" s="102">
        <v>0</v>
      </c>
      <c r="AC3238" s="81">
        <f t="shared" si="154"/>
        <v>290.45937374179425</v>
      </c>
      <c r="AD3238" s="82">
        <f t="shared" si="155"/>
        <v>45.7</v>
      </c>
      <c r="AE3238" s="218">
        <v>-7.6348930648630232E-3</v>
      </c>
      <c r="AF3238">
        <v>1</v>
      </c>
      <c r="AH3238" t="str">
        <f t="shared" si="153"/>
        <v>Teghra</v>
      </c>
      <c r="AJ3238" s="72">
        <v>0</v>
      </c>
      <c r="AK3238" s="72"/>
      <c r="AL3238" s="72"/>
      <c r="AM3238" s="72"/>
    </row>
    <row r="3239" spans="1:39" x14ac:dyDescent="0.25">
      <c r="A3239" s="37" t="s">
        <v>62</v>
      </c>
      <c r="B3239" s="66" t="s">
        <v>1676</v>
      </c>
      <c r="C3239" s="4">
        <v>1008</v>
      </c>
      <c r="D3239" s="41" t="s">
        <v>217</v>
      </c>
      <c r="E3239" s="41">
        <v>10080097</v>
      </c>
      <c r="F3239" s="85" t="s">
        <v>643</v>
      </c>
      <c r="G3239" s="39" t="s">
        <v>1610</v>
      </c>
      <c r="H3239" s="52" t="s">
        <v>98</v>
      </c>
      <c r="I3239" s="52">
        <v>191.20000000000002</v>
      </c>
      <c r="J3239" s="49">
        <v>7598.8499999999995</v>
      </c>
      <c r="K3239" s="58">
        <v>0</v>
      </c>
      <c r="L3239" s="58">
        <v>0</v>
      </c>
      <c r="M3239" s="58">
        <v>0</v>
      </c>
      <c r="N3239" s="58">
        <v>0</v>
      </c>
      <c r="O3239" s="58">
        <v>0</v>
      </c>
      <c r="P3239" s="53">
        <v>0</v>
      </c>
      <c r="Q3239" s="65">
        <v>7598.8499999999995</v>
      </c>
      <c r="R3239" s="65">
        <v>0</v>
      </c>
      <c r="S3239" s="65">
        <v>0</v>
      </c>
      <c r="T3239" s="65">
        <v>0</v>
      </c>
      <c r="U3239" s="58">
        <v>0</v>
      </c>
      <c r="V3239" s="65">
        <v>0</v>
      </c>
      <c r="W3239" s="65">
        <v>0</v>
      </c>
      <c r="X3239" s="65">
        <v>0</v>
      </c>
      <c r="Y3239" s="65">
        <v>0</v>
      </c>
      <c r="Z3239" s="51">
        <v>7598.8499999999995</v>
      </c>
      <c r="AA3239" s="51">
        <v>0</v>
      </c>
      <c r="AB3239" s="102">
        <v>0</v>
      </c>
      <c r="AC3239" s="81">
        <f t="shared" si="154"/>
        <v>404.42415062761495</v>
      </c>
      <c r="AD3239" s="82">
        <f t="shared" si="155"/>
        <v>27.314285714285717</v>
      </c>
      <c r="AE3239" s="218">
        <v>0</v>
      </c>
      <c r="AF3239">
        <v>0</v>
      </c>
      <c r="AH3239" t="str">
        <f t="shared" si="153"/>
        <v>Teghra</v>
      </c>
      <c r="AJ3239" s="72">
        <v>0</v>
      </c>
      <c r="AK3239" s="72"/>
      <c r="AL3239" s="72"/>
      <c r="AM3239" s="72"/>
    </row>
    <row r="3240" spans="1:39" x14ac:dyDescent="0.25">
      <c r="A3240" s="37" t="s">
        <v>62</v>
      </c>
      <c r="B3240" s="66" t="s">
        <v>1676</v>
      </c>
      <c r="C3240" s="4">
        <v>1008</v>
      </c>
      <c r="D3240" s="41" t="s">
        <v>217</v>
      </c>
      <c r="E3240" s="41">
        <v>10080099</v>
      </c>
      <c r="F3240" s="85" t="s">
        <v>807</v>
      </c>
      <c r="G3240" s="39" t="s">
        <v>92</v>
      </c>
      <c r="H3240" s="52" t="s">
        <v>93</v>
      </c>
      <c r="I3240" s="52">
        <v>154.24999999999997</v>
      </c>
      <c r="J3240" s="49">
        <v>6192.2000000000007</v>
      </c>
      <c r="K3240" s="58">
        <v>154</v>
      </c>
      <c r="L3240" s="58">
        <v>6123.04</v>
      </c>
      <c r="M3240" s="58">
        <v>0</v>
      </c>
      <c r="N3240" s="58">
        <v>0</v>
      </c>
      <c r="O3240" s="58">
        <v>154</v>
      </c>
      <c r="P3240" s="53">
        <v>6123.04</v>
      </c>
      <c r="Q3240" s="65">
        <v>6123.04</v>
      </c>
      <c r="R3240" s="65">
        <v>0</v>
      </c>
      <c r="S3240" s="65">
        <v>0</v>
      </c>
      <c r="T3240" s="65">
        <v>0</v>
      </c>
      <c r="U3240" s="58">
        <v>0</v>
      </c>
      <c r="V3240" s="65">
        <v>0</v>
      </c>
      <c r="W3240" s="65">
        <v>0</v>
      </c>
      <c r="X3240" s="65">
        <v>6123</v>
      </c>
      <c r="Y3240" s="65">
        <v>0</v>
      </c>
      <c r="Z3240" s="51">
        <v>0</v>
      </c>
      <c r="AA3240" s="51">
        <v>69</v>
      </c>
      <c r="AB3240" s="102">
        <v>0</v>
      </c>
      <c r="AC3240" s="81">
        <f t="shared" si="154"/>
        <v>438.17091085899528</v>
      </c>
      <c r="AD3240" s="82">
        <f t="shared" si="155"/>
        <v>22.035714285714281</v>
      </c>
      <c r="AE3240" s="218">
        <v>1.1168889893737405E-2</v>
      </c>
      <c r="AF3240">
        <v>1</v>
      </c>
      <c r="AH3240" t="str">
        <f t="shared" si="153"/>
        <v>Teghra</v>
      </c>
      <c r="AJ3240" s="72">
        <v>0</v>
      </c>
      <c r="AK3240" s="72"/>
      <c r="AL3240" s="72"/>
      <c r="AM3240" s="72"/>
    </row>
    <row r="3241" spans="1:39" x14ac:dyDescent="0.25">
      <c r="A3241" s="37" t="s">
        <v>62</v>
      </c>
      <c r="B3241" s="66" t="s">
        <v>1676</v>
      </c>
      <c r="C3241" s="4">
        <v>1008</v>
      </c>
      <c r="D3241" s="41" t="s">
        <v>217</v>
      </c>
      <c r="E3241" s="41">
        <v>10080107</v>
      </c>
      <c r="F3241" s="85" t="s">
        <v>317</v>
      </c>
      <c r="G3241" s="39" t="s">
        <v>1610</v>
      </c>
      <c r="H3241" s="52" t="s">
        <v>98</v>
      </c>
      <c r="I3241" s="52">
        <v>1245.6000000000001</v>
      </c>
      <c r="J3241" s="49">
        <v>44936.799999999996</v>
      </c>
      <c r="K3241" s="58">
        <v>0</v>
      </c>
      <c r="L3241" s="58">
        <v>0</v>
      </c>
      <c r="M3241" s="58">
        <v>0</v>
      </c>
      <c r="N3241" s="58">
        <v>0</v>
      </c>
      <c r="O3241" s="58">
        <v>0</v>
      </c>
      <c r="P3241" s="53">
        <v>0</v>
      </c>
      <c r="Q3241" s="65">
        <v>44936.799999999996</v>
      </c>
      <c r="R3241" s="65">
        <v>0</v>
      </c>
      <c r="S3241" s="65">
        <v>0</v>
      </c>
      <c r="T3241" s="65">
        <v>0</v>
      </c>
      <c r="U3241" s="58">
        <v>0</v>
      </c>
      <c r="V3241" s="65">
        <v>0</v>
      </c>
      <c r="W3241" s="65">
        <v>0</v>
      </c>
      <c r="X3241" s="65">
        <v>0</v>
      </c>
      <c r="Y3241" s="65">
        <v>0</v>
      </c>
      <c r="Z3241" s="51">
        <v>44936.799999999996</v>
      </c>
      <c r="AA3241" s="51">
        <v>0</v>
      </c>
      <c r="AB3241" s="102">
        <v>0</v>
      </c>
      <c r="AC3241" s="81">
        <f t="shared" si="154"/>
        <v>0</v>
      </c>
      <c r="AD3241" s="82">
        <f t="shared" si="155"/>
        <v>0</v>
      </c>
      <c r="AE3241" s="218">
        <v>0</v>
      </c>
      <c r="AF3241">
        <v>0</v>
      </c>
      <c r="AH3241" t="str">
        <f t="shared" si="153"/>
        <v>Teghra</v>
      </c>
      <c r="AJ3241" s="72">
        <v>0</v>
      </c>
      <c r="AK3241" s="72"/>
      <c r="AL3241" s="72"/>
      <c r="AM3241" s="72"/>
    </row>
    <row r="3242" spans="1:39" x14ac:dyDescent="0.25">
      <c r="A3242" s="37" t="s">
        <v>62</v>
      </c>
      <c r="B3242" s="66" t="s">
        <v>1676</v>
      </c>
      <c r="C3242" s="4">
        <v>1008</v>
      </c>
      <c r="D3242" s="41" t="s">
        <v>217</v>
      </c>
      <c r="E3242" s="41">
        <v>10080112</v>
      </c>
      <c r="F3242" s="85" t="s">
        <v>1190</v>
      </c>
      <c r="G3242" s="39" t="s">
        <v>1610</v>
      </c>
      <c r="H3242" s="52" t="s">
        <v>98</v>
      </c>
      <c r="I3242" s="52">
        <v>1430.2999999999997</v>
      </c>
      <c r="J3242" s="49">
        <v>58097.63</v>
      </c>
      <c r="K3242" s="58">
        <v>0</v>
      </c>
      <c r="L3242" s="58">
        <v>0</v>
      </c>
      <c r="M3242" s="58">
        <v>0</v>
      </c>
      <c r="N3242" s="58">
        <v>0</v>
      </c>
      <c r="O3242" s="58">
        <v>0</v>
      </c>
      <c r="P3242" s="53">
        <v>0</v>
      </c>
      <c r="Q3242" s="65">
        <v>58097.63</v>
      </c>
      <c r="R3242" s="65">
        <v>0</v>
      </c>
      <c r="S3242" s="65">
        <v>0</v>
      </c>
      <c r="T3242" s="65">
        <v>0</v>
      </c>
      <c r="U3242" s="58">
        <v>0</v>
      </c>
      <c r="V3242" s="65">
        <v>0</v>
      </c>
      <c r="W3242" s="65">
        <v>0</v>
      </c>
      <c r="X3242" s="65">
        <v>0</v>
      </c>
      <c r="Y3242" s="65">
        <v>0</v>
      </c>
      <c r="Z3242" s="51">
        <v>58097.63</v>
      </c>
      <c r="AA3242" s="51">
        <v>0</v>
      </c>
      <c r="AB3242" s="102">
        <v>0</v>
      </c>
      <c r="AC3242" s="81">
        <f t="shared" si="154"/>
        <v>0</v>
      </c>
      <c r="AD3242" s="82">
        <f t="shared" si="155"/>
        <v>0</v>
      </c>
      <c r="AE3242" s="218">
        <v>0</v>
      </c>
      <c r="AF3242">
        <v>0</v>
      </c>
      <c r="AH3242" t="str">
        <f t="shared" si="153"/>
        <v>Teghra</v>
      </c>
      <c r="AJ3242" s="72">
        <v>0</v>
      </c>
      <c r="AK3242" s="72"/>
      <c r="AL3242" s="72"/>
      <c r="AM3242" s="72"/>
    </row>
    <row r="3243" spans="1:39" x14ac:dyDescent="0.25">
      <c r="A3243" s="37" t="s">
        <v>62</v>
      </c>
      <c r="B3243" s="66" t="s">
        <v>1676</v>
      </c>
      <c r="C3243" s="4">
        <v>1008</v>
      </c>
      <c r="D3243" s="41" t="s">
        <v>217</v>
      </c>
      <c r="E3243" s="41">
        <v>10080113</v>
      </c>
      <c r="F3243" s="85" t="s">
        <v>1191</v>
      </c>
      <c r="G3243" s="39" t="s">
        <v>1610</v>
      </c>
      <c r="H3243" s="52" t="s">
        <v>98</v>
      </c>
      <c r="I3243" s="52">
        <v>335.84999999999997</v>
      </c>
      <c r="J3243" s="49">
        <v>12546.94</v>
      </c>
      <c r="K3243" s="58">
        <v>0</v>
      </c>
      <c r="L3243" s="58">
        <v>0</v>
      </c>
      <c r="M3243" s="58">
        <v>0</v>
      </c>
      <c r="N3243" s="58">
        <v>0</v>
      </c>
      <c r="O3243" s="58">
        <v>0</v>
      </c>
      <c r="P3243" s="53">
        <v>0</v>
      </c>
      <c r="Q3243" s="65">
        <v>12546.94</v>
      </c>
      <c r="R3243" s="65">
        <v>0</v>
      </c>
      <c r="S3243" s="65">
        <v>0</v>
      </c>
      <c r="T3243" s="65">
        <v>0</v>
      </c>
      <c r="U3243" s="58">
        <v>0</v>
      </c>
      <c r="V3243" s="65">
        <v>0</v>
      </c>
      <c r="W3243" s="65">
        <v>0</v>
      </c>
      <c r="X3243" s="65">
        <v>0</v>
      </c>
      <c r="Y3243" s="65">
        <v>0</v>
      </c>
      <c r="Z3243" s="51">
        <v>12546.94</v>
      </c>
      <c r="AA3243" s="51">
        <v>0</v>
      </c>
      <c r="AB3243" s="102">
        <v>0</v>
      </c>
      <c r="AC3243" s="81">
        <f t="shared" si="154"/>
        <v>272.08385892511541</v>
      </c>
      <c r="AD3243" s="82">
        <f t="shared" si="155"/>
        <v>47.978571428571421</v>
      </c>
      <c r="AE3243" s="218">
        <v>0</v>
      </c>
      <c r="AF3243">
        <v>0</v>
      </c>
      <c r="AH3243" t="str">
        <f t="shared" si="153"/>
        <v>Teghra</v>
      </c>
      <c r="AJ3243" s="72">
        <v>0</v>
      </c>
      <c r="AK3243" s="72"/>
      <c r="AL3243" s="72"/>
      <c r="AM3243" s="72"/>
    </row>
    <row r="3244" spans="1:39" x14ac:dyDescent="0.25">
      <c r="A3244" s="37" t="s">
        <v>62</v>
      </c>
      <c r="B3244" s="66" t="s">
        <v>1676</v>
      </c>
      <c r="C3244" s="4">
        <v>1008</v>
      </c>
      <c r="D3244" s="41" t="s">
        <v>217</v>
      </c>
      <c r="E3244" s="41">
        <v>10080115</v>
      </c>
      <c r="F3244" s="85" t="s">
        <v>1231</v>
      </c>
      <c r="G3244" s="39" t="s">
        <v>92</v>
      </c>
      <c r="H3244" s="52" t="s">
        <v>93</v>
      </c>
      <c r="I3244" s="52">
        <v>204.9</v>
      </c>
      <c r="J3244" s="49">
        <v>7843.16</v>
      </c>
      <c r="K3244" s="58">
        <v>204</v>
      </c>
      <c r="L3244" s="58">
        <v>7770.36</v>
      </c>
      <c r="M3244" s="58">
        <v>0</v>
      </c>
      <c r="N3244" s="58">
        <v>0</v>
      </c>
      <c r="O3244" s="58">
        <v>204</v>
      </c>
      <c r="P3244" s="53">
        <v>7770.36</v>
      </c>
      <c r="Q3244" s="65">
        <v>7770.36</v>
      </c>
      <c r="R3244" s="65">
        <v>0</v>
      </c>
      <c r="S3244" s="65">
        <v>0</v>
      </c>
      <c r="T3244" s="65">
        <v>0</v>
      </c>
      <c r="U3244" s="58">
        <v>0</v>
      </c>
      <c r="V3244" s="65">
        <v>0</v>
      </c>
      <c r="W3244" s="65">
        <v>0</v>
      </c>
      <c r="X3244" s="65">
        <v>7770</v>
      </c>
      <c r="Y3244" s="65">
        <v>0</v>
      </c>
      <c r="Z3244" s="51">
        <v>0</v>
      </c>
      <c r="AA3244" s="51">
        <v>73</v>
      </c>
      <c r="AB3244" s="102">
        <v>0</v>
      </c>
      <c r="AC3244" s="81">
        <f t="shared" si="154"/>
        <v>379.02864968277208</v>
      </c>
      <c r="AD3244" s="82">
        <f t="shared" si="155"/>
        <v>29.271428571428572</v>
      </c>
      <c r="AE3244" s="218">
        <v>9.2819730822780843E-3</v>
      </c>
      <c r="AF3244">
        <v>1</v>
      </c>
      <c r="AH3244" t="str">
        <f t="shared" si="153"/>
        <v>Teghra</v>
      </c>
      <c r="AJ3244" s="72">
        <v>0</v>
      </c>
      <c r="AK3244" s="72"/>
      <c r="AL3244" s="72"/>
      <c r="AM3244" s="72"/>
    </row>
    <row r="3245" spans="1:39" x14ac:dyDescent="0.25">
      <c r="A3245" s="37" t="s">
        <v>62</v>
      </c>
      <c r="B3245" s="66" t="s">
        <v>1676</v>
      </c>
      <c r="C3245" s="4">
        <v>1008</v>
      </c>
      <c r="D3245" s="41" t="s">
        <v>217</v>
      </c>
      <c r="E3245" s="41">
        <v>10080119</v>
      </c>
      <c r="F3245" s="85" t="s">
        <v>1279</v>
      </c>
      <c r="G3245" s="39" t="s">
        <v>92</v>
      </c>
      <c r="H3245" s="52" t="s">
        <v>93</v>
      </c>
      <c r="I3245" s="52">
        <v>188.20000000000002</v>
      </c>
      <c r="J3245" s="49">
        <v>7245.62</v>
      </c>
      <c r="K3245" s="58">
        <v>171.61999999999998</v>
      </c>
      <c r="L3245" s="58">
        <v>7260.65</v>
      </c>
      <c r="M3245" s="58">
        <v>0</v>
      </c>
      <c r="N3245" s="58">
        <v>0</v>
      </c>
      <c r="O3245" s="58">
        <v>171.61999999999998</v>
      </c>
      <c r="P3245" s="53">
        <v>7260.65</v>
      </c>
      <c r="Q3245" s="65">
        <v>7245.62</v>
      </c>
      <c r="R3245" s="65">
        <v>0</v>
      </c>
      <c r="S3245" s="65">
        <v>0</v>
      </c>
      <c r="T3245" s="65">
        <v>15.029999999999745</v>
      </c>
      <c r="U3245" s="58">
        <v>0</v>
      </c>
      <c r="V3245" s="65">
        <v>0</v>
      </c>
      <c r="W3245" s="65">
        <v>0</v>
      </c>
      <c r="X3245" s="65">
        <v>7246</v>
      </c>
      <c r="Y3245" s="65">
        <v>0</v>
      </c>
      <c r="Z3245" s="51">
        <v>0</v>
      </c>
      <c r="AA3245" s="51">
        <v>0</v>
      </c>
      <c r="AB3245" s="102">
        <v>0</v>
      </c>
      <c r="AC3245" s="81">
        <f t="shared" si="154"/>
        <v>394.08164888416576</v>
      </c>
      <c r="AD3245" s="82">
        <f t="shared" si="155"/>
        <v>26.88571428571429</v>
      </c>
      <c r="AE3245" s="218">
        <v>-2.0743566458080532E-3</v>
      </c>
      <c r="AF3245">
        <v>1</v>
      </c>
      <c r="AH3245" t="str">
        <f t="shared" si="153"/>
        <v>Teghra</v>
      </c>
      <c r="AJ3245" s="72">
        <v>0</v>
      </c>
      <c r="AK3245" s="72"/>
      <c r="AL3245" s="72"/>
      <c r="AM3245" s="72"/>
    </row>
    <row r="3246" spans="1:39" x14ac:dyDescent="0.25">
      <c r="A3246" s="37" t="s">
        <v>62</v>
      </c>
      <c r="B3246" s="66" t="s">
        <v>1676</v>
      </c>
      <c r="C3246" s="4">
        <v>1008</v>
      </c>
      <c r="D3246" s="41" t="s">
        <v>217</v>
      </c>
      <c r="E3246" s="41">
        <v>10080120</v>
      </c>
      <c r="F3246" s="85" t="s">
        <v>1336</v>
      </c>
      <c r="G3246" s="39" t="s">
        <v>92</v>
      </c>
      <c r="H3246" s="52" t="s">
        <v>93</v>
      </c>
      <c r="I3246" s="52">
        <v>586.29999999999995</v>
      </c>
      <c r="J3246" s="49">
        <v>22885.16</v>
      </c>
      <c r="K3246" s="58">
        <v>535.04999999999995</v>
      </c>
      <c r="L3246" s="58">
        <v>20377.739999999998</v>
      </c>
      <c r="M3246" s="58">
        <v>50.67</v>
      </c>
      <c r="N3246" s="58">
        <v>2016.37</v>
      </c>
      <c r="O3246" s="58">
        <v>585.71999999999991</v>
      </c>
      <c r="P3246" s="53">
        <v>22394.109999999997</v>
      </c>
      <c r="Q3246" s="65">
        <v>22394.109999999997</v>
      </c>
      <c r="R3246" s="65">
        <v>0</v>
      </c>
      <c r="S3246" s="65">
        <v>0</v>
      </c>
      <c r="T3246" s="65">
        <v>0</v>
      </c>
      <c r="U3246" s="58">
        <v>0</v>
      </c>
      <c r="V3246" s="65">
        <v>0</v>
      </c>
      <c r="W3246" s="65">
        <v>0</v>
      </c>
      <c r="X3246" s="65">
        <v>20377</v>
      </c>
      <c r="Y3246" s="65">
        <v>2016</v>
      </c>
      <c r="Z3246" s="51">
        <v>0</v>
      </c>
      <c r="AA3246" s="51">
        <v>492</v>
      </c>
      <c r="AB3246" s="102">
        <v>0</v>
      </c>
      <c r="AC3246" s="81">
        <f t="shared" si="154"/>
        <v>88.761476786628023</v>
      </c>
      <c r="AD3246" s="82">
        <f t="shared" si="155"/>
        <v>83.757142857142853</v>
      </c>
      <c r="AE3246" s="218">
        <v>2.1457136415039393E-2</v>
      </c>
      <c r="AF3246">
        <v>9</v>
      </c>
      <c r="AH3246" t="str">
        <f t="shared" si="153"/>
        <v>Teghra</v>
      </c>
      <c r="AJ3246" s="72">
        <v>0</v>
      </c>
      <c r="AK3246" s="72"/>
      <c r="AL3246" s="72"/>
      <c r="AM3246" s="72"/>
    </row>
    <row r="3247" spans="1:39" x14ac:dyDescent="0.25">
      <c r="A3247" s="37" t="s">
        <v>62</v>
      </c>
      <c r="B3247" s="66" t="s">
        <v>1676</v>
      </c>
      <c r="C3247" s="4">
        <v>1008</v>
      </c>
      <c r="D3247" s="41" t="s">
        <v>217</v>
      </c>
      <c r="E3247" s="41">
        <v>10080122</v>
      </c>
      <c r="F3247" s="85" t="s">
        <v>1348</v>
      </c>
      <c r="G3247" s="39" t="s">
        <v>92</v>
      </c>
      <c r="H3247" s="52" t="s">
        <v>93</v>
      </c>
      <c r="I3247" s="52">
        <v>584.00000000000011</v>
      </c>
      <c r="J3247" s="49">
        <v>23155.350000000002</v>
      </c>
      <c r="K3247" s="58">
        <v>581.6</v>
      </c>
      <c r="L3247" s="58">
        <v>23063.33</v>
      </c>
      <c r="M3247" s="58">
        <v>0</v>
      </c>
      <c r="N3247" s="58">
        <v>0</v>
      </c>
      <c r="O3247" s="58">
        <v>581.6</v>
      </c>
      <c r="P3247" s="53">
        <v>23063.33</v>
      </c>
      <c r="Q3247" s="65">
        <v>23063.33</v>
      </c>
      <c r="R3247" s="65">
        <v>0</v>
      </c>
      <c r="S3247" s="65">
        <v>0</v>
      </c>
      <c r="T3247" s="65">
        <v>0</v>
      </c>
      <c r="U3247" s="58">
        <v>0</v>
      </c>
      <c r="V3247" s="65">
        <v>0</v>
      </c>
      <c r="W3247" s="65">
        <v>0</v>
      </c>
      <c r="X3247" s="65">
        <v>23063</v>
      </c>
      <c r="Y3247" s="65">
        <v>0</v>
      </c>
      <c r="Z3247" s="51">
        <v>0</v>
      </c>
      <c r="AA3247" s="51">
        <v>92</v>
      </c>
      <c r="AB3247" s="102">
        <v>0</v>
      </c>
      <c r="AC3247" s="81">
        <f t="shared" si="154"/>
        <v>91.987006849314966</v>
      </c>
      <c r="AD3247" s="82">
        <f t="shared" si="155"/>
        <v>83.428571428571445</v>
      </c>
      <c r="AE3247" s="218">
        <v>3.9740276005329409E-3</v>
      </c>
      <c r="AF3247">
        <v>1</v>
      </c>
      <c r="AH3247" t="str">
        <f t="shared" si="153"/>
        <v>Teghra</v>
      </c>
      <c r="AJ3247" s="72">
        <v>0</v>
      </c>
      <c r="AK3247" s="72"/>
      <c r="AL3247" s="72"/>
      <c r="AM3247" s="72"/>
    </row>
    <row r="3248" spans="1:39" x14ac:dyDescent="0.25">
      <c r="A3248" s="37" t="s">
        <v>62</v>
      </c>
      <c r="B3248" s="66" t="s">
        <v>1676</v>
      </c>
      <c r="C3248" s="4">
        <v>1008</v>
      </c>
      <c r="D3248" s="41" t="s">
        <v>217</v>
      </c>
      <c r="E3248" s="41">
        <v>10080124</v>
      </c>
      <c r="F3248" s="85" t="s">
        <v>1362</v>
      </c>
      <c r="G3248" s="39" t="s">
        <v>92</v>
      </c>
      <c r="H3248" s="52" t="s">
        <v>93</v>
      </c>
      <c r="I3248" s="52">
        <v>228.10000000000002</v>
      </c>
      <c r="J3248" s="49">
        <v>9276.49</v>
      </c>
      <c r="K3248" s="58">
        <v>80</v>
      </c>
      <c r="L3248" s="58">
        <v>3224.8</v>
      </c>
      <c r="M3248" s="58">
        <v>148</v>
      </c>
      <c r="N3248" s="58">
        <v>5965.88</v>
      </c>
      <c r="O3248" s="58">
        <v>228</v>
      </c>
      <c r="P3248" s="53">
        <v>9190.68</v>
      </c>
      <c r="Q3248" s="65">
        <v>9190.68</v>
      </c>
      <c r="R3248" s="65">
        <v>0</v>
      </c>
      <c r="S3248" s="65">
        <v>0</v>
      </c>
      <c r="T3248" s="65">
        <v>0</v>
      </c>
      <c r="U3248" s="58">
        <v>0</v>
      </c>
      <c r="V3248" s="65">
        <v>0</v>
      </c>
      <c r="W3248" s="65">
        <v>0</v>
      </c>
      <c r="X3248" s="65">
        <v>3224</v>
      </c>
      <c r="Y3248" s="65">
        <v>5965</v>
      </c>
      <c r="Z3248" s="51">
        <v>0</v>
      </c>
      <c r="AA3248" s="51">
        <v>87</v>
      </c>
      <c r="AB3248" s="102">
        <v>0</v>
      </c>
      <c r="AC3248" s="81">
        <f t="shared" si="154"/>
        <v>383.82951608943443</v>
      </c>
      <c r="AD3248" s="82">
        <f t="shared" si="155"/>
        <v>32.585714285714289</v>
      </c>
      <c r="AE3248" s="218">
        <v>9.2502659950045221E-3</v>
      </c>
      <c r="AF3248">
        <v>5</v>
      </c>
      <c r="AH3248" t="str">
        <f t="shared" si="153"/>
        <v>Teghra</v>
      </c>
      <c r="AJ3248" s="72">
        <v>0</v>
      </c>
      <c r="AK3248" s="72"/>
      <c r="AL3248" s="72"/>
      <c r="AM3248" s="72"/>
    </row>
    <row r="3249" spans="1:39" x14ac:dyDescent="0.25">
      <c r="A3249" s="37" t="s">
        <v>62</v>
      </c>
      <c r="B3249" s="66" t="s">
        <v>1676</v>
      </c>
      <c r="C3249" s="4">
        <v>1008</v>
      </c>
      <c r="D3249" s="41" t="s">
        <v>217</v>
      </c>
      <c r="E3249" s="41">
        <v>10080126</v>
      </c>
      <c r="F3249" s="85" t="s">
        <v>1423</v>
      </c>
      <c r="G3249" s="39" t="s">
        <v>92</v>
      </c>
      <c r="H3249" s="52" t="s">
        <v>93</v>
      </c>
      <c r="I3249" s="52">
        <v>248.6</v>
      </c>
      <c r="J3249" s="49">
        <v>9590.81</v>
      </c>
      <c r="K3249" s="58">
        <v>248</v>
      </c>
      <c r="L3249" s="58">
        <v>9515.76</v>
      </c>
      <c r="M3249" s="58">
        <v>0</v>
      </c>
      <c r="N3249" s="58">
        <v>0</v>
      </c>
      <c r="O3249" s="58">
        <v>248</v>
      </c>
      <c r="P3249" s="53">
        <v>9515.76</v>
      </c>
      <c r="Q3249" s="65">
        <v>9515.76</v>
      </c>
      <c r="R3249" s="65">
        <v>0</v>
      </c>
      <c r="S3249" s="65">
        <v>0</v>
      </c>
      <c r="T3249" s="65">
        <v>0</v>
      </c>
      <c r="U3249" s="58">
        <v>0</v>
      </c>
      <c r="V3249" s="65">
        <v>0</v>
      </c>
      <c r="W3249" s="65">
        <v>0</v>
      </c>
      <c r="X3249" s="65">
        <v>9516</v>
      </c>
      <c r="Y3249" s="65">
        <v>0</v>
      </c>
      <c r="Z3249" s="51">
        <v>0</v>
      </c>
      <c r="AA3249" s="51">
        <v>75</v>
      </c>
      <c r="AB3249" s="102">
        <v>0</v>
      </c>
      <c r="AC3249" s="81">
        <f t="shared" si="154"/>
        <v>348.29377586484321</v>
      </c>
      <c r="AD3249" s="82">
        <f t="shared" si="155"/>
        <v>35.514285714285712</v>
      </c>
      <c r="AE3249" s="218">
        <v>7.8251993314432545E-3</v>
      </c>
      <c r="AF3249">
        <v>1</v>
      </c>
      <c r="AH3249" t="str">
        <f t="shared" si="153"/>
        <v>Teghra</v>
      </c>
      <c r="AJ3249" s="72">
        <v>0</v>
      </c>
      <c r="AK3249" s="72"/>
      <c r="AL3249" s="72"/>
      <c r="AM3249" s="72"/>
    </row>
    <row r="3250" spans="1:39" x14ac:dyDescent="0.25">
      <c r="A3250" s="37" t="s">
        <v>62</v>
      </c>
      <c r="B3250" s="66" t="s">
        <v>1676</v>
      </c>
      <c r="C3250" s="4">
        <v>1008</v>
      </c>
      <c r="D3250" s="41" t="s">
        <v>217</v>
      </c>
      <c r="E3250" s="41">
        <v>10080128</v>
      </c>
      <c r="F3250" s="85" t="s">
        <v>1599</v>
      </c>
      <c r="G3250" s="39" t="s">
        <v>92</v>
      </c>
      <c r="H3250" s="52" t="s">
        <v>98</v>
      </c>
      <c r="I3250" s="52">
        <v>249.7</v>
      </c>
      <c r="J3250" s="49">
        <v>9799.9</v>
      </c>
      <c r="K3250" s="58">
        <v>0</v>
      </c>
      <c r="L3250" s="58">
        <v>0</v>
      </c>
      <c r="M3250" s="58">
        <v>0</v>
      </c>
      <c r="N3250" s="58">
        <v>0</v>
      </c>
      <c r="O3250" s="58">
        <v>0</v>
      </c>
      <c r="P3250" s="53">
        <v>0</v>
      </c>
      <c r="Q3250" s="65">
        <v>9799.9</v>
      </c>
      <c r="R3250" s="65">
        <v>0</v>
      </c>
      <c r="S3250" s="65">
        <v>0</v>
      </c>
      <c r="T3250" s="65">
        <v>0</v>
      </c>
      <c r="U3250" s="58">
        <v>0</v>
      </c>
      <c r="V3250" s="65">
        <v>0</v>
      </c>
      <c r="W3250" s="65">
        <v>0</v>
      </c>
      <c r="X3250" s="65">
        <v>0</v>
      </c>
      <c r="Y3250" s="65">
        <v>0</v>
      </c>
      <c r="Z3250" s="51">
        <v>9799.9</v>
      </c>
      <c r="AA3250" s="51">
        <v>0</v>
      </c>
      <c r="AB3250" s="102">
        <v>0</v>
      </c>
      <c r="AC3250" s="81">
        <f t="shared" si="154"/>
        <v>353.45574449339205</v>
      </c>
      <c r="AD3250" s="82">
        <f t="shared" si="155"/>
        <v>35.671428571428571</v>
      </c>
      <c r="AE3250" s="218">
        <v>0</v>
      </c>
      <c r="AF3250">
        <v>0</v>
      </c>
      <c r="AH3250" t="str">
        <f t="shared" si="153"/>
        <v>Teghra</v>
      </c>
      <c r="AJ3250" s="72">
        <v>0</v>
      </c>
      <c r="AK3250" s="72"/>
      <c r="AL3250" s="72"/>
      <c r="AM3250" s="72"/>
    </row>
    <row r="3251" spans="1:39" x14ac:dyDescent="0.25">
      <c r="A3251" s="37" t="s">
        <v>62</v>
      </c>
      <c r="B3251" s="66" t="s">
        <v>1676</v>
      </c>
      <c r="C3251" s="4">
        <v>1009</v>
      </c>
      <c r="D3251" s="41" t="s">
        <v>244</v>
      </c>
      <c r="E3251" s="41">
        <v>10090001</v>
      </c>
      <c r="F3251" s="85" t="s">
        <v>245</v>
      </c>
      <c r="G3251" s="39" t="s">
        <v>92</v>
      </c>
      <c r="H3251" s="52" t="s">
        <v>98</v>
      </c>
      <c r="I3251" s="52">
        <v>597.59999999999991</v>
      </c>
      <c r="J3251" s="49">
        <v>25641.379999999997</v>
      </c>
      <c r="K3251" s="58">
        <v>0</v>
      </c>
      <c r="L3251" s="58">
        <v>0</v>
      </c>
      <c r="M3251" s="58">
        <v>0</v>
      </c>
      <c r="N3251" s="58">
        <v>0</v>
      </c>
      <c r="O3251" s="58">
        <v>0</v>
      </c>
      <c r="P3251" s="53">
        <v>0</v>
      </c>
      <c r="Q3251" s="65">
        <v>25641.379999999997</v>
      </c>
      <c r="R3251" s="65">
        <v>0</v>
      </c>
      <c r="S3251" s="65">
        <v>0</v>
      </c>
      <c r="T3251" s="65">
        <v>0</v>
      </c>
      <c r="U3251" s="58">
        <v>0</v>
      </c>
      <c r="V3251" s="65">
        <v>0</v>
      </c>
      <c r="W3251" s="65">
        <v>0</v>
      </c>
      <c r="X3251" s="65">
        <v>0</v>
      </c>
      <c r="Y3251" s="65">
        <v>0</v>
      </c>
      <c r="Z3251" s="51">
        <v>25641.379999999997</v>
      </c>
      <c r="AA3251" s="51">
        <v>0</v>
      </c>
      <c r="AB3251" s="102">
        <v>0</v>
      </c>
      <c r="AC3251" s="81">
        <f t="shared" si="154"/>
        <v>87.874073360107218</v>
      </c>
      <c r="AD3251" s="82">
        <f t="shared" si="155"/>
        <v>85.371428571428552</v>
      </c>
      <c r="AE3251" s="218">
        <v>0</v>
      </c>
      <c r="AF3251">
        <v>0</v>
      </c>
      <c r="AH3251" t="str">
        <f t="shared" si="153"/>
        <v>Halsi</v>
      </c>
      <c r="AJ3251" s="72">
        <v>0</v>
      </c>
      <c r="AK3251" s="72"/>
      <c r="AL3251" s="72"/>
      <c r="AM3251" s="72"/>
    </row>
    <row r="3252" spans="1:39" x14ac:dyDescent="0.25">
      <c r="A3252" s="37" t="s">
        <v>62</v>
      </c>
      <c r="B3252" s="66" t="s">
        <v>1676</v>
      </c>
      <c r="C3252" s="4">
        <v>1009</v>
      </c>
      <c r="D3252" s="41" t="s">
        <v>244</v>
      </c>
      <c r="E3252" s="41">
        <v>10090002</v>
      </c>
      <c r="F3252" s="85" t="s">
        <v>246</v>
      </c>
      <c r="G3252" s="39" t="s">
        <v>92</v>
      </c>
      <c r="H3252" s="52" t="s">
        <v>93</v>
      </c>
      <c r="I3252" s="52">
        <v>1041.6999999999998</v>
      </c>
      <c r="J3252" s="49">
        <v>44977.049999999988</v>
      </c>
      <c r="K3252" s="58">
        <v>831.76999999999987</v>
      </c>
      <c r="L3252" s="58">
        <v>36959.900000000009</v>
      </c>
      <c r="M3252" s="58">
        <v>212</v>
      </c>
      <c r="N3252" s="58">
        <v>8998.2400000000016</v>
      </c>
      <c r="O3252" s="58">
        <v>1043.77</v>
      </c>
      <c r="P3252" s="53">
        <v>45958.140000000014</v>
      </c>
      <c r="Q3252" s="65">
        <v>44977.049999999988</v>
      </c>
      <c r="R3252" s="65">
        <v>0</v>
      </c>
      <c r="S3252" s="65">
        <v>332.97</v>
      </c>
      <c r="T3252" s="65">
        <v>981.09000000002561</v>
      </c>
      <c r="U3252" s="58">
        <v>0</v>
      </c>
      <c r="V3252" s="65">
        <v>0</v>
      </c>
      <c r="W3252" s="65">
        <v>0</v>
      </c>
      <c r="X3252" s="65">
        <v>35979</v>
      </c>
      <c r="Y3252" s="65">
        <v>8665</v>
      </c>
      <c r="Z3252" s="51">
        <v>0</v>
      </c>
      <c r="AA3252" s="51">
        <v>0</v>
      </c>
      <c r="AB3252" s="102">
        <v>0</v>
      </c>
      <c r="AC3252" s="81">
        <f t="shared" si="154"/>
        <v>0</v>
      </c>
      <c r="AD3252" s="82">
        <f t="shared" si="155"/>
        <v>0</v>
      </c>
      <c r="AE3252" s="218">
        <v>-2.1813124693594307E-2</v>
      </c>
      <c r="AF3252">
        <v>14</v>
      </c>
      <c r="AH3252" t="str">
        <f t="shared" si="153"/>
        <v>Halsi</v>
      </c>
      <c r="AJ3252" s="72">
        <v>0</v>
      </c>
      <c r="AK3252" s="72"/>
      <c r="AL3252" s="72"/>
      <c r="AM3252" s="72"/>
    </row>
    <row r="3253" spans="1:39" x14ac:dyDescent="0.25">
      <c r="A3253" s="37" t="s">
        <v>62</v>
      </c>
      <c r="B3253" s="66" t="s">
        <v>1676</v>
      </c>
      <c r="C3253" s="4">
        <v>1009</v>
      </c>
      <c r="D3253" s="41" t="s">
        <v>244</v>
      </c>
      <c r="E3253" s="41">
        <v>10090003</v>
      </c>
      <c r="F3253" s="85" t="s">
        <v>247</v>
      </c>
      <c r="G3253" s="39" t="s">
        <v>92</v>
      </c>
      <c r="H3253" s="52" t="s">
        <v>93</v>
      </c>
      <c r="I3253" s="52">
        <v>44.000000000000007</v>
      </c>
      <c r="J3253" s="49">
        <v>1512.75</v>
      </c>
      <c r="K3253" s="58">
        <v>43</v>
      </c>
      <c r="L3253" s="58">
        <v>1496.82</v>
      </c>
      <c r="M3253" s="58">
        <v>0.7</v>
      </c>
      <c r="N3253" s="58">
        <v>23.910000000000004</v>
      </c>
      <c r="O3253" s="58">
        <v>43.7</v>
      </c>
      <c r="P3253" s="53">
        <v>1520.73</v>
      </c>
      <c r="Q3253" s="65">
        <v>1512.75</v>
      </c>
      <c r="R3253" s="65">
        <v>0</v>
      </c>
      <c r="S3253" s="65">
        <v>23.910000000000004</v>
      </c>
      <c r="T3253" s="65">
        <v>7.9800000000000182</v>
      </c>
      <c r="U3253" s="58">
        <v>0</v>
      </c>
      <c r="V3253" s="65">
        <v>0</v>
      </c>
      <c r="W3253" s="65">
        <v>0</v>
      </c>
      <c r="X3253" s="65">
        <v>1489</v>
      </c>
      <c r="Y3253" s="65">
        <v>0</v>
      </c>
      <c r="Z3253" s="51">
        <v>0</v>
      </c>
      <c r="AA3253" s="51">
        <v>0</v>
      </c>
      <c r="AB3253" s="102">
        <v>0</v>
      </c>
      <c r="AC3253" s="81">
        <f t="shared" si="154"/>
        <v>451.07454545454539</v>
      </c>
      <c r="AD3253" s="82">
        <f t="shared" si="155"/>
        <v>6.2857142857142865</v>
      </c>
      <c r="AE3253" s="218">
        <v>-5.2751611303916831E-3</v>
      </c>
      <c r="AF3253">
        <v>3</v>
      </c>
      <c r="AH3253" t="str">
        <f t="shared" ref="AH3253:AH3316" si="156">TEXT(D3253,"0000")</f>
        <v>Halsi</v>
      </c>
      <c r="AJ3253" s="72">
        <v>0</v>
      </c>
      <c r="AK3253" s="72"/>
      <c r="AL3253" s="72"/>
      <c r="AM3253" s="72"/>
    </row>
    <row r="3254" spans="1:39" x14ac:dyDescent="0.25">
      <c r="A3254" s="37" t="s">
        <v>62</v>
      </c>
      <c r="B3254" s="66" t="s">
        <v>1676</v>
      </c>
      <c r="C3254" s="4">
        <v>1009</v>
      </c>
      <c r="D3254" s="41" t="s">
        <v>244</v>
      </c>
      <c r="E3254" s="41">
        <v>10090006</v>
      </c>
      <c r="F3254" s="85" t="s">
        <v>249</v>
      </c>
      <c r="G3254" s="39" t="s">
        <v>92</v>
      </c>
      <c r="H3254" s="52" t="s">
        <v>93</v>
      </c>
      <c r="I3254" s="52">
        <v>1463.5</v>
      </c>
      <c r="J3254" s="49">
        <v>62197.549999999988</v>
      </c>
      <c r="K3254" s="58">
        <v>1388.7</v>
      </c>
      <c r="L3254" s="58">
        <v>62154.100000000006</v>
      </c>
      <c r="M3254" s="58">
        <v>0</v>
      </c>
      <c r="N3254" s="58">
        <v>0</v>
      </c>
      <c r="O3254" s="58">
        <v>1388.7</v>
      </c>
      <c r="P3254" s="53">
        <v>62154.100000000006</v>
      </c>
      <c r="Q3254" s="65">
        <v>62154.100000000006</v>
      </c>
      <c r="R3254" s="65">
        <v>0</v>
      </c>
      <c r="S3254" s="65">
        <v>0</v>
      </c>
      <c r="T3254" s="65">
        <v>0</v>
      </c>
      <c r="U3254" s="58">
        <v>0</v>
      </c>
      <c r="V3254" s="65">
        <v>0</v>
      </c>
      <c r="W3254" s="65">
        <v>0</v>
      </c>
      <c r="X3254" s="65">
        <v>62156</v>
      </c>
      <c r="Y3254" s="65">
        <v>0</v>
      </c>
      <c r="Z3254" s="51">
        <v>0</v>
      </c>
      <c r="AA3254" s="51">
        <v>42</v>
      </c>
      <c r="AB3254" s="102">
        <v>0</v>
      </c>
      <c r="AC3254" s="81">
        <f t="shared" si="154"/>
        <v>0</v>
      </c>
      <c r="AD3254" s="82">
        <f t="shared" si="155"/>
        <v>0</v>
      </c>
      <c r="AE3254" s="218">
        <v>6.9858057109938487E-4</v>
      </c>
      <c r="AF3254">
        <v>9</v>
      </c>
      <c r="AH3254" t="str">
        <f t="shared" si="156"/>
        <v>Halsi</v>
      </c>
      <c r="AJ3254" s="72">
        <v>0</v>
      </c>
      <c r="AK3254" s="72"/>
      <c r="AL3254" s="72"/>
      <c r="AM3254" s="72"/>
    </row>
    <row r="3255" spans="1:39" x14ac:dyDescent="0.25">
      <c r="A3255" s="37" t="s">
        <v>62</v>
      </c>
      <c r="B3255" s="66" t="s">
        <v>1676</v>
      </c>
      <c r="C3255" s="4">
        <v>1009</v>
      </c>
      <c r="D3255" s="41" t="s">
        <v>244</v>
      </c>
      <c r="E3255" s="41">
        <v>10090007</v>
      </c>
      <c r="F3255" s="85" t="s">
        <v>250</v>
      </c>
      <c r="G3255" s="39" t="s">
        <v>92</v>
      </c>
      <c r="H3255" s="52" t="s">
        <v>93</v>
      </c>
      <c r="I3255" s="52">
        <v>477.70000000000005</v>
      </c>
      <c r="J3255" s="49">
        <v>18175.13</v>
      </c>
      <c r="K3255" s="58">
        <v>553.29999999999995</v>
      </c>
      <c r="L3255" s="58">
        <v>22266.429999999997</v>
      </c>
      <c r="M3255" s="58">
        <v>2.4000000000000004</v>
      </c>
      <c r="N3255" s="58">
        <v>96.190000000000012</v>
      </c>
      <c r="O3255" s="58">
        <v>555.69999999999993</v>
      </c>
      <c r="P3255" s="53">
        <v>22362.619999999995</v>
      </c>
      <c r="Q3255" s="65">
        <v>18175.13</v>
      </c>
      <c r="R3255" s="65">
        <v>0</v>
      </c>
      <c r="S3255" s="65">
        <v>96.190000000000012</v>
      </c>
      <c r="T3255" s="65">
        <v>4187.4899999999943</v>
      </c>
      <c r="U3255" s="58">
        <v>0</v>
      </c>
      <c r="V3255" s="65">
        <v>0</v>
      </c>
      <c r="W3255" s="65">
        <v>0</v>
      </c>
      <c r="X3255" s="65">
        <v>18079</v>
      </c>
      <c r="Y3255" s="65">
        <v>0</v>
      </c>
      <c r="Z3255" s="51">
        <v>0</v>
      </c>
      <c r="AA3255" s="51">
        <v>0</v>
      </c>
      <c r="AB3255" s="102">
        <v>0</v>
      </c>
      <c r="AC3255" s="81">
        <f t="shared" si="154"/>
        <v>169.15768888423693</v>
      </c>
      <c r="AD3255" s="82">
        <f t="shared" si="155"/>
        <v>68.242857142857147</v>
      </c>
      <c r="AE3255" s="218">
        <v>-0.23039670142661944</v>
      </c>
      <c r="AF3255">
        <v>5</v>
      </c>
      <c r="AH3255" t="str">
        <f t="shared" si="156"/>
        <v>Halsi</v>
      </c>
      <c r="AJ3255" s="72">
        <v>0</v>
      </c>
      <c r="AK3255" s="72"/>
      <c r="AL3255" s="72"/>
      <c r="AM3255" s="72"/>
    </row>
    <row r="3256" spans="1:39" x14ac:dyDescent="0.25">
      <c r="A3256" s="37" t="s">
        <v>62</v>
      </c>
      <c r="B3256" s="66" t="s">
        <v>1676</v>
      </c>
      <c r="C3256" s="4">
        <v>1009</v>
      </c>
      <c r="D3256" s="41" t="s">
        <v>244</v>
      </c>
      <c r="E3256" s="41">
        <v>10090008</v>
      </c>
      <c r="F3256" s="85" t="s">
        <v>251</v>
      </c>
      <c r="G3256" s="39" t="s">
        <v>92</v>
      </c>
      <c r="H3256" s="52" t="s">
        <v>93</v>
      </c>
      <c r="I3256" s="52">
        <v>686.60000000000014</v>
      </c>
      <c r="J3256" s="49">
        <v>27677.709999999995</v>
      </c>
      <c r="K3256" s="58">
        <v>700.3</v>
      </c>
      <c r="L3256" s="58">
        <v>27158.679999999997</v>
      </c>
      <c r="M3256" s="58">
        <v>5.9</v>
      </c>
      <c r="N3256" s="58">
        <v>217.94</v>
      </c>
      <c r="O3256" s="58">
        <v>706.19999999999993</v>
      </c>
      <c r="P3256" s="53">
        <v>27376.619999999995</v>
      </c>
      <c r="Q3256" s="65">
        <v>27376.619999999995</v>
      </c>
      <c r="R3256" s="65">
        <v>0</v>
      </c>
      <c r="S3256" s="65">
        <v>217.94</v>
      </c>
      <c r="T3256" s="65">
        <v>0</v>
      </c>
      <c r="U3256" s="58">
        <v>0</v>
      </c>
      <c r="V3256" s="65">
        <v>0</v>
      </c>
      <c r="W3256" s="65">
        <v>0</v>
      </c>
      <c r="X3256" s="65">
        <v>27158</v>
      </c>
      <c r="Y3256" s="65">
        <v>0</v>
      </c>
      <c r="Z3256" s="51">
        <v>0</v>
      </c>
      <c r="AA3256" s="51">
        <v>302</v>
      </c>
      <c r="AB3256" s="102">
        <v>0</v>
      </c>
      <c r="AC3256" s="81">
        <f t="shared" si="154"/>
        <v>10.803417244392559</v>
      </c>
      <c r="AD3256" s="82">
        <f t="shared" si="155"/>
        <v>98.085714285714303</v>
      </c>
      <c r="AE3256" s="218">
        <v>1.0878428887360991E-2</v>
      </c>
      <c r="AF3256">
        <v>25</v>
      </c>
      <c r="AH3256" t="str">
        <f t="shared" si="156"/>
        <v>Halsi</v>
      </c>
      <c r="AJ3256" s="72">
        <v>0</v>
      </c>
      <c r="AK3256" s="72"/>
      <c r="AL3256" s="72"/>
      <c r="AM3256" s="72"/>
    </row>
    <row r="3257" spans="1:39" x14ac:dyDescent="0.25">
      <c r="A3257" s="37" t="s">
        <v>62</v>
      </c>
      <c r="B3257" s="66" t="s">
        <v>1676</v>
      </c>
      <c r="C3257" s="4">
        <v>1009</v>
      </c>
      <c r="D3257" s="41" t="s">
        <v>244</v>
      </c>
      <c r="E3257" s="41">
        <v>10090009</v>
      </c>
      <c r="F3257" s="85" t="s">
        <v>252</v>
      </c>
      <c r="G3257" s="39" t="s">
        <v>92</v>
      </c>
      <c r="H3257" s="52" t="s">
        <v>93</v>
      </c>
      <c r="I3257" s="52">
        <v>500.19999999999987</v>
      </c>
      <c r="J3257" s="49">
        <v>19853.349999999999</v>
      </c>
      <c r="K3257" s="58">
        <v>516.89999999999986</v>
      </c>
      <c r="L3257" s="58">
        <v>20713.579999999998</v>
      </c>
      <c r="M3257" s="58">
        <v>4.8999999999999995</v>
      </c>
      <c r="N3257" s="58">
        <v>202.36000000000004</v>
      </c>
      <c r="O3257" s="58">
        <v>521.79999999999984</v>
      </c>
      <c r="P3257" s="53">
        <v>20915.939999999999</v>
      </c>
      <c r="Q3257" s="65">
        <v>19853.349999999999</v>
      </c>
      <c r="R3257" s="65">
        <v>0</v>
      </c>
      <c r="S3257" s="65">
        <v>202.36000000000004</v>
      </c>
      <c r="T3257" s="65">
        <v>1062.5900000000001</v>
      </c>
      <c r="U3257" s="58">
        <v>0</v>
      </c>
      <c r="V3257" s="65">
        <v>0</v>
      </c>
      <c r="W3257" s="65">
        <v>0</v>
      </c>
      <c r="X3257" s="65">
        <v>19651</v>
      </c>
      <c r="Y3257" s="65">
        <v>0</v>
      </c>
      <c r="Z3257" s="51">
        <v>0</v>
      </c>
      <c r="AA3257" s="51">
        <v>0</v>
      </c>
      <c r="AB3257" s="102">
        <v>0</v>
      </c>
      <c r="AC3257" s="81">
        <f t="shared" si="154"/>
        <v>158.60453138744512</v>
      </c>
      <c r="AD3257" s="82">
        <f t="shared" si="155"/>
        <v>71.457142857142841</v>
      </c>
      <c r="AE3257" s="218">
        <v>-5.3521949696147007E-2</v>
      </c>
      <c r="AF3257">
        <v>10</v>
      </c>
      <c r="AH3257" t="str">
        <f t="shared" si="156"/>
        <v>Halsi</v>
      </c>
      <c r="AJ3257" s="72">
        <v>0</v>
      </c>
      <c r="AK3257" s="72"/>
      <c r="AL3257" s="72"/>
      <c r="AM3257" s="72"/>
    </row>
    <row r="3258" spans="1:39" x14ac:dyDescent="0.25">
      <c r="A3258" s="37" t="s">
        <v>62</v>
      </c>
      <c r="B3258" s="66" t="s">
        <v>1676</v>
      </c>
      <c r="C3258" s="4">
        <v>1009</v>
      </c>
      <c r="D3258" s="41" t="s">
        <v>244</v>
      </c>
      <c r="E3258" s="41">
        <v>10090011</v>
      </c>
      <c r="F3258" s="85" t="s">
        <v>253</v>
      </c>
      <c r="G3258" s="39" t="s">
        <v>1610</v>
      </c>
      <c r="H3258" s="52" t="s">
        <v>98</v>
      </c>
      <c r="I3258" s="52">
        <v>700.2</v>
      </c>
      <c r="J3258" s="49">
        <v>27065.27</v>
      </c>
      <c r="K3258" s="58">
        <v>0</v>
      </c>
      <c r="L3258" s="58">
        <v>0</v>
      </c>
      <c r="M3258" s="58">
        <v>0</v>
      </c>
      <c r="N3258" s="58">
        <v>0</v>
      </c>
      <c r="O3258" s="58">
        <v>0</v>
      </c>
      <c r="P3258" s="53">
        <v>0</v>
      </c>
      <c r="Q3258" s="65">
        <v>27065.27</v>
      </c>
      <c r="R3258" s="65">
        <v>0</v>
      </c>
      <c r="S3258" s="65">
        <v>0</v>
      </c>
      <c r="T3258" s="65">
        <v>0</v>
      </c>
      <c r="U3258" s="58">
        <v>0</v>
      </c>
      <c r="V3258" s="65">
        <v>0</v>
      </c>
      <c r="W3258" s="65">
        <v>0</v>
      </c>
      <c r="X3258" s="65">
        <v>0</v>
      </c>
      <c r="Y3258" s="65">
        <v>0</v>
      </c>
      <c r="Z3258" s="51">
        <v>27065.27</v>
      </c>
      <c r="AA3258" s="51">
        <v>0</v>
      </c>
      <c r="AB3258" s="102">
        <v>0</v>
      </c>
      <c r="AC3258" s="81">
        <f t="shared" si="154"/>
        <v>0</v>
      </c>
      <c r="AD3258" s="82">
        <f t="shared" si="155"/>
        <v>0</v>
      </c>
      <c r="AE3258" s="218">
        <v>0</v>
      </c>
      <c r="AF3258">
        <v>0</v>
      </c>
      <c r="AH3258" t="str">
        <f t="shared" si="156"/>
        <v>Halsi</v>
      </c>
      <c r="AJ3258" s="72">
        <v>0</v>
      </c>
      <c r="AK3258" s="72"/>
      <c r="AL3258" s="72"/>
      <c r="AM3258" s="72"/>
    </row>
    <row r="3259" spans="1:39" x14ac:dyDescent="0.25">
      <c r="A3259" s="37" t="s">
        <v>62</v>
      </c>
      <c r="B3259" s="66" t="s">
        <v>1676</v>
      </c>
      <c r="C3259" s="4">
        <v>1009</v>
      </c>
      <c r="D3259" s="41" t="s">
        <v>244</v>
      </c>
      <c r="E3259" s="41">
        <v>10090012</v>
      </c>
      <c r="F3259" s="85" t="s">
        <v>254</v>
      </c>
      <c r="G3259" s="39" t="s">
        <v>1610</v>
      </c>
      <c r="H3259" s="52" t="s">
        <v>98</v>
      </c>
      <c r="I3259" s="52">
        <v>1000.1</v>
      </c>
      <c r="J3259" s="49">
        <v>38765.89</v>
      </c>
      <c r="K3259" s="58">
        <v>0</v>
      </c>
      <c r="L3259" s="58">
        <v>0</v>
      </c>
      <c r="M3259" s="58">
        <v>0</v>
      </c>
      <c r="N3259" s="58">
        <v>0</v>
      </c>
      <c r="O3259" s="58">
        <v>0</v>
      </c>
      <c r="P3259" s="53">
        <v>0</v>
      </c>
      <c r="Q3259" s="65">
        <v>38765.89</v>
      </c>
      <c r="R3259" s="65">
        <v>0</v>
      </c>
      <c r="S3259" s="65">
        <v>0</v>
      </c>
      <c r="T3259" s="65">
        <v>0</v>
      </c>
      <c r="U3259" s="58">
        <v>0</v>
      </c>
      <c r="V3259" s="65">
        <v>0</v>
      </c>
      <c r="W3259" s="65">
        <v>0</v>
      </c>
      <c r="X3259" s="65">
        <v>0</v>
      </c>
      <c r="Y3259" s="65">
        <v>0</v>
      </c>
      <c r="Z3259" s="51">
        <v>38765.89</v>
      </c>
      <c r="AA3259" s="51">
        <v>0</v>
      </c>
      <c r="AB3259" s="102">
        <v>0</v>
      </c>
      <c r="AC3259" s="81">
        <f t="shared" ref="AC3259:AC3322" si="157">((IF(AD3259=0,0,100-AD3259))*7*(J3259/I3259))*2%</f>
        <v>0</v>
      </c>
      <c r="AD3259" s="82">
        <f t="shared" ref="AD3259:AD3322" si="158">IF((I3259/7)&gt;100,0,(I3259/7))</f>
        <v>0</v>
      </c>
      <c r="AE3259" s="218">
        <v>0</v>
      </c>
      <c r="AF3259">
        <v>0</v>
      </c>
      <c r="AH3259" t="str">
        <f t="shared" si="156"/>
        <v>Halsi</v>
      </c>
      <c r="AJ3259" s="72">
        <v>0</v>
      </c>
      <c r="AK3259" s="72"/>
      <c r="AL3259" s="72"/>
      <c r="AM3259" s="72"/>
    </row>
    <row r="3260" spans="1:39" x14ac:dyDescent="0.25">
      <c r="A3260" s="37" t="s">
        <v>62</v>
      </c>
      <c r="B3260" s="66" t="s">
        <v>1676</v>
      </c>
      <c r="C3260" s="4">
        <v>1009</v>
      </c>
      <c r="D3260" s="41" t="s">
        <v>244</v>
      </c>
      <c r="E3260" s="41">
        <v>10090014</v>
      </c>
      <c r="F3260" s="85" t="s">
        <v>255</v>
      </c>
      <c r="G3260" s="39" t="s">
        <v>1610</v>
      </c>
      <c r="H3260" s="52" t="s">
        <v>98</v>
      </c>
      <c r="I3260" s="52">
        <v>712.10000000000014</v>
      </c>
      <c r="J3260" s="49">
        <v>30936.969999999994</v>
      </c>
      <c r="K3260" s="58">
        <v>0</v>
      </c>
      <c r="L3260" s="58">
        <v>0</v>
      </c>
      <c r="M3260" s="58">
        <v>0</v>
      </c>
      <c r="N3260" s="58">
        <v>0</v>
      </c>
      <c r="O3260" s="58">
        <v>0</v>
      </c>
      <c r="P3260" s="53">
        <v>0</v>
      </c>
      <c r="Q3260" s="65">
        <v>30936.969999999994</v>
      </c>
      <c r="R3260" s="65">
        <v>0</v>
      </c>
      <c r="S3260" s="65">
        <v>0</v>
      </c>
      <c r="T3260" s="65">
        <v>0</v>
      </c>
      <c r="U3260" s="58">
        <v>0</v>
      </c>
      <c r="V3260" s="65">
        <v>0</v>
      </c>
      <c r="W3260" s="65">
        <v>0</v>
      </c>
      <c r="X3260" s="65">
        <v>0</v>
      </c>
      <c r="Y3260" s="65">
        <v>0</v>
      </c>
      <c r="Z3260" s="51">
        <v>30936.969999999994</v>
      </c>
      <c r="AA3260" s="51">
        <v>0</v>
      </c>
      <c r="AB3260" s="102">
        <v>0</v>
      </c>
      <c r="AC3260" s="81">
        <f t="shared" si="157"/>
        <v>0</v>
      </c>
      <c r="AD3260" s="82">
        <f t="shared" si="158"/>
        <v>0</v>
      </c>
      <c r="AE3260" s="218">
        <v>0</v>
      </c>
      <c r="AF3260">
        <v>0</v>
      </c>
      <c r="AH3260" t="str">
        <f t="shared" si="156"/>
        <v>Halsi</v>
      </c>
      <c r="AJ3260" s="72">
        <v>0</v>
      </c>
      <c r="AK3260" s="72"/>
      <c r="AL3260" s="72"/>
      <c r="AM3260" s="72"/>
    </row>
    <row r="3261" spans="1:39" x14ac:dyDescent="0.25">
      <c r="A3261" s="37" t="s">
        <v>62</v>
      </c>
      <c r="B3261" s="66" t="s">
        <v>1676</v>
      </c>
      <c r="C3261" s="4">
        <v>1009</v>
      </c>
      <c r="D3261" s="41" t="s">
        <v>244</v>
      </c>
      <c r="E3261" s="41">
        <v>10090015</v>
      </c>
      <c r="F3261" s="85" t="s">
        <v>256</v>
      </c>
      <c r="G3261" s="39" t="s">
        <v>92</v>
      </c>
      <c r="H3261" s="52" t="s">
        <v>98</v>
      </c>
      <c r="I3261" s="52">
        <v>555.69999999999982</v>
      </c>
      <c r="J3261" s="49">
        <v>23889.29</v>
      </c>
      <c r="K3261" s="58">
        <v>0</v>
      </c>
      <c r="L3261" s="58">
        <v>0</v>
      </c>
      <c r="M3261" s="58">
        <v>0</v>
      </c>
      <c r="N3261" s="58">
        <v>0</v>
      </c>
      <c r="O3261" s="58">
        <v>0</v>
      </c>
      <c r="P3261" s="53">
        <v>0</v>
      </c>
      <c r="Q3261" s="65">
        <v>23889.29</v>
      </c>
      <c r="R3261" s="65">
        <v>0</v>
      </c>
      <c r="S3261" s="65">
        <v>0</v>
      </c>
      <c r="T3261" s="65">
        <v>0</v>
      </c>
      <c r="U3261" s="58">
        <v>0</v>
      </c>
      <c r="V3261" s="65">
        <v>0</v>
      </c>
      <c r="W3261" s="65">
        <v>0</v>
      </c>
      <c r="X3261" s="65">
        <v>0</v>
      </c>
      <c r="Y3261" s="65">
        <v>0</v>
      </c>
      <c r="Z3261" s="51">
        <v>23889.29</v>
      </c>
      <c r="AA3261" s="51">
        <v>0</v>
      </c>
      <c r="AB3261" s="102">
        <v>0</v>
      </c>
      <c r="AC3261" s="81">
        <f t="shared" si="157"/>
        <v>124.06782605722532</v>
      </c>
      <c r="AD3261" s="82">
        <f t="shared" si="158"/>
        <v>79.385714285714258</v>
      </c>
      <c r="AE3261" s="218">
        <v>0</v>
      </c>
      <c r="AF3261">
        <v>0</v>
      </c>
      <c r="AH3261" t="str">
        <f t="shared" si="156"/>
        <v>Halsi</v>
      </c>
      <c r="AJ3261" s="72">
        <v>0</v>
      </c>
      <c r="AK3261" s="72"/>
      <c r="AL3261" s="72"/>
      <c r="AM3261" s="72"/>
    </row>
    <row r="3262" spans="1:39" x14ac:dyDescent="0.25">
      <c r="A3262" s="37" t="s">
        <v>62</v>
      </c>
      <c r="B3262" s="66" t="s">
        <v>1676</v>
      </c>
      <c r="C3262" s="4">
        <v>1009</v>
      </c>
      <c r="D3262" s="41" t="s">
        <v>244</v>
      </c>
      <c r="E3262" s="41">
        <v>10090017</v>
      </c>
      <c r="F3262" s="85" t="s">
        <v>257</v>
      </c>
      <c r="G3262" s="39" t="s">
        <v>1610</v>
      </c>
      <c r="H3262" s="52" t="s">
        <v>98</v>
      </c>
      <c r="I3262" s="52">
        <v>4611.6000000000013</v>
      </c>
      <c r="J3262" s="49">
        <v>170511.59000000003</v>
      </c>
      <c r="K3262" s="58">
        <v>0</v>
      </c>
      <c r="L3262" s="58">
        <v>0</v>
      </c>
      <c r="M3262" s="58">
        <v>0</v>
      </c>
      <c r="N3262" s="58">
        <v>0</v>
      </c>
      <c r="O3262" s="58">
        <v>0</v>
      </c>
      <c r="P3262" s="53">
        <v>0</v>
      </c>
      <c r="Q3262" s="65">
        <v>170511.59000000003</v>
      </c>
      <c r="R3262" s="65">
        <v>0</v>
      </c>
      <c r="S3262" s="65">
        <v>0</v>
      </c>
      <c r="T3262" s="65">
        <v>0</v>
      </c>
      <c r="U3262" s="58">
        <v>0</v>
      </c>
      <c r="V3262" s="65">
        <v>0</v>
      </c>
      <c r="W3262" s="65">
        <v>0</v>
      </c>
      <c r="X3262" s="65">
        <v>0</v>
      </c>
      <c r="Y3262" s="65">
        <v>0</v>
      </c>
      <c r="Z3262" s="51">
        <v>170511.59000000003</v>
      </c>
      <c r="AA3262" s="51">
        <v>0</v>
      </c>
      <c r="AB3262" s="102">
        <v>0</v>
      </c>
      <c r="AC3262" s="81">
        <f t="shared" si="157"/>
        <v>0</v>
      </c>
      <c r="AD3262" s="82">
        <f t="shared" si="158"/>
        <v>0</v>
      </c>
      <c r="AE3262" s="218">
        <v>0</v>
      </c>
      <c r="AF3262">
        <v>0</v>
      </c>
      <c r="AH3262" t="str">
        <f t="shared" si="156"/>
        <v>Halsi</v>
      </c>
      <c r="AJ3262" s="72">
        <v>0</v>
      </c>
      <c r="AK3262" s="72"/>
      <c r="AL3262" s="72"/>
      <c r="AM3262" s="72"/>
    </row>
    <row r="3263" spans="1:39" x14ac:dyDescent="0.25">
      <c r="A3263" s="37" t="s">
        <v>62</v>
      </c>
      <c r="B3263" s="66" t="s">
        <v>1676</v>
      </c>
      <c r="C3263" s="4">
        <v>1009</v>
      </c>
      <c r="D3263" s="41" t="s">
        <v>244</v>
      </c>
      <c r="E3263" s="41">
        <v>10090018</v>
      </c>
      <c r="F3263" s="85" t="s">
        <v>1172</v>
      </c>
      <c r="G3263" s="39" t="s">
        <v>1610</v>
      </c>
      <c r="H3263" s="52" t="s">
        <v>98</v>
      </c>
      <c r="I3263" s="52">
        <v>579.69999999999993</v>
      </c>
      <c r="J3263" s="49">
        <v>23766.789999999997</v>
      </c>
      <c r="K3263" s="58">
        <v>0</v>
      </c>
      <c r="L3263" s="58">
        <v>0</v>
      </c>
      <c r="M3263" s="58">
        <v>0</v>
      </c>
      <c r="N3263" s="58">
        <v>0</v>
      </c>
      <c r="O3263" s="58">
        <v>0</v>
      </c>
      <c r="P3263" s="53">
        <v>0</v>
      </c>
      <c r="Q3263" s="65">
        <v>23766.789999999997</v>
      </c>
      <c r="R3263" s="65">
        <v>0</v>
      </c>
      <c r="S3263" s="65">
        <v>0</v>
      </c>
      <c r="T3263" s="65">
        <v>0</v>
      </c>
      <c r="U3263" s="58">
        <v>0</v>
      </c>
      <c r="V3263" s="65">
        <v>0</v>
      </c>
      <c r="W3263" s="65">
        <v>0</v>
      </c>
      <c r="X3263" s="65">
        <v>0</v>
      </c>
      <c r="Y3263" s="65">
        <v>0</v>
      </c>
      <c r="Z3263" s="51">
        <v>23766.789999999997</v>
      </c>
      <c r="AA3263" s="51">
        <v>0</v>
      </c>
      <c r="AB3263" s="102">
        <v>0</v>
      </c>
      <c r="AC3263" s="81">
        <f t="shared" si="157"/>
        <v>98.64222311540459</v>
      </c>
      <c r="AD3263" s="82">
        <f t="shared" si="158"/>
        <v>82.814285714285703</v>
      </c>
      <c r="AE3263" s="218">
        <v>0</v>
      </c>
      <c r="AF3263">
        <v>0</v>
      </c>
      <c r="AH3263" t="str">
        <f t="shared" si="156"/>
        <v>Halsi</v>
      </c>
      <c r="AJ3263" s="72">
        <v>0</v>
      </c>
      <c r="AK3263" s="72"/>
      <c r="AL3263" s="72"/>
      <c r="AM3263" s="72"/>
    </row>
    <row r="3264" spans="1:39" x14ac:dyDescent="0.25">
      <c r="A3264" s="37" t="s">
        <v>62</v>
      </c>
      <c r="B3264" s="66" t="s">
        <v>1676</v>
      </c>
      <c r="C3264" s="4">
        <v>1009</v>
      </c>
      <c r="D3264" s="41" t="s">
        <v>244</v>
      </c>
      <c r="E3264" s="41">
        <v>10090021</v>
      </c>
      <c r="F3264" s="85" t="s">
        <v>258</v>
      </c>
      <c r="G3264" s="39" t="s">
        <v>92</v>
      </c>
      <c r="H3264" s="52" t="s">
        <v>93</v>
      </c>
      <c r="I3264" s="52">
        <v>1177.3</v>
      </c>
      <c r="J3264" s="49">
        <v>55042.000000000007</v>
      </c>
      <c r="K3264" s="58">
        <v>1193.8</v>
      </c>
      <c r="L3264" s="58">
        <v>58112.79</v>
      </c>
      <c r="M3264" s="58">
        <v>1.2000000000000002</v>
      </c>
      <c r="N3264" s="58">
        <v>58.680000000000007</v>
      </c>
      <c r="O3264" s="58">
        <v>1195</v>
      </c>
      <c r="P3264" s="53">
        <v>58171.47</v>
      </c>
      <c r="Q3264" s="65">
        <v>55042.000000000007</v>
      </c>
      <c r="R3264" s="65">
        <v>0</v>
      </c>
      <c r="S3264" s="65">
        <v>58.680000000000007</v>
      </c>
      <c r="T3264" s="65">
        <v>3129.4699999999939</v>
      </c>
      <c r="U3264" s="58">
        <v>0</v>
      </c>
      <c r="V3264" s="65">
        <v>0</v>
      </c>
      <c r="W3264" s="65">
        <v>0</v>
      </c>
      <c r="X3264" s="65">
        <v>54983</v>
      </c>
      <c r="Y3264" s="65">
        <v>0</v>
      </c>
      <c r="Z3264" s="51">
        <v>0</v>
      </c>
      <c r="AA3264" s="51">
        <v>0</v>
      </c>
      <c r="AB3264" s="102">
        <v>0</v>
      </c>
      <c r="AC3264" s="81">
        <f t="shared" si="157"/>
        <v>0</v>
      </c>
      <c r="AD3264" s="82">
        <f t="shared" si="158"/>
        <v>0</v>
      </c>
      <c r="AE3264" s="218">
        <v>-5.6856037207950176E-2</v>
      </c>
      <c r="AF3264">
        <v>8</v>
      </c>
      <c r="AH3264" t="str">
        <f t="shared" si="156"/>
        <v>Halsi</v>
      </c>
      <c r="AJ3264" s="72">
        <v>0</v>
      </c>
      <c r="AK3264" s="72"/>
      <c r="AL3264" s="72"/>
      <c r="AM3264" s="72"/>
    </row>
    <row r="3265" spans="1:39" x14ac:dyDescent="0.25">
      <c r="A3265" s="37" t="s">
        <v>62</v>
      </c>
      <c r="B3265" s="66" t="s">
        <v>1676</v>
      </c>
      <c r="C3265" s="4">
        <v>1009</v>
      </c>
      <c r="D3265" s="41" t="s">
        <v>244</v>
      </c>
      <c r="E3265" s="41">
        <v>10090022</v>
      </c>
      <c r="F3265" s="85" t="s">
        <v>259</v>
      </c>
      <c r="G3265" s="39" t="s">
        <v>92</v>
      </c>
      <c r="H3265" s="52" t="s">
        <v>98</v>
      </c>
      <c r="I3265" s="52">
        <v>476.7</v>
      </c>
      <c r="J3265" s="49">
        <v>19167.420000000002</v>
      </c>
      <c r="K3265" s="58">
        <v>0</v>
      </c>
      <c r="L3265" s="58">
        <v>0</v>
      </c>
      <c r="M3265" s="58">
        <v>0</v>
      </c>
      <c r="N3265" s="58">
        <v>0</v>
      </c>
      <c r="O3265" s="58">
        <v>0</v>
      </c>
      <c r="P3265" s="53">
        <v>0</v>
      </c>
      <c r="Q3265" s="65">
        <v>19167.420000000002</v>
      </c>
      <c r="R3265" s="65">
        <v>0</v>
      </c>
      <c r="S3265" s="65">
        <v>0</v>
      </c>
      <c r="T3265" s="65">
        <v>0</v>
      </c>
      <c r="U3265" s="58">
        <v>0</v>
      </c>
      <c r="V3265" s="65">
        <v>0</v>
      </c>
      <c r="W3265" s="65">
        <v>0</v>
      </c>
      <c r="X3265" s="65">
        <v>0</v>
      </c>
      <c r="Y3265" s="65">
        <v>0</v>
      </c>
      <c r="Z3265" s="51">
        <v>19167.420000000002</v>
      </c>
      <c r="AA3265" s="51">
        <v>0</v>
      </c>
      <c r="AB3265" s="102">
        <v>0</v>
      </c>
      <c r="AC3265" s="81">
        <f t="shared" si="157"/>
        <v>179.5714237885463</v>
      </c>
      <c r="AD3265" s="82">
        <f t="shared" si="158"/>
        <v>68.099999999999994</v>
      </c>
      <c r="AE3265" s="218">
        <v>0</v>
      </c>
      <c r="AF3265">
        <v>0</v>
      </c>
      <c r="AH3265" t="str">
        <f t="shared" si="156"/>
        <v>Halsi</v>
      </c>
      <c r="AJ3265" s="72">
        <v>0</v>
      </c>
      <c r="AK3265" s="72"/>
      <c r="AL3265" s="72"/>
      <c r="AM3265" s="72"/>
    </row>
    <row r="3266" spans="1:39" x14ac:dyDescent="0.25">
      <c r="A3266" s="37" t="s">
        <v>62</v>
      </c>
      <c r="B3266" s="66" t="s">
        <v>1676</v>
      </c>
      <c r="C3266" s="4">
        <v>1009</v>
      </c>
      <c r="D3266" s="41" t="s">
        <v>244</v>
      </c>
      <c r="E3266" s="41">
        <v>10090024</v>
      </c>
      <c r="F3266" s="85" t="s">
        <v>260</v>
      </c>
      <c r="G3266" s="39" t="s">
        <v>92</v>
      </c>
      <c r="H3266" s="52" t="s">
        <v>98</v>
      </c>
      <c r="I3266" s="52">
        <v>123.30000000000003</v>
      </c>
      <c r="J3266" s="49">
        <v>4958.88</v>
      </c>
      <c r="K3266" s="58">
        <v>0</v>
      </c>
      <c r="L3266" s="58">
        <v>0</v>
      </c>
      <c r="M3266" s="58">
        <v>0</v>
      </c>
      <c r="N3266" s="58">
        <v>0</v>
      </c>
      <c r="O3266" s="58">
        <v>0</v>
      </c>
      <c r="P3266" s="53">
        <v>0</v>
      </c>
      <c r="Q3266" s="65">
        <v>4958.88</v>
      </c>
      <c r="R3266" s="65">
        <v>0</v>
      </c>
      <c r="S3266" s="65">
        <v>0</v>
      </c>
      <c r="T3266" s="65">
        <v>0</v>
      </c>
      <c r="U3266" s="58">
        <v>0</v>
      </c>
      <c r="V3266" s="65">
        <v>0</v>
      </c>
      <c r="W3266" s="65">
        <v>0</v>
      </c>
      <c r="X3266" s="65">
        <v>0</v>
      </c>
      <c r="Y3266" s="65">
        <v>0</v>
      </c>
      <c r="Z3266" s="51">
        <v>4958.88</v>
      </c>
      <c r="AA3266" s="51">
        <v>0</v>
      </c>
      <c r="AB3266" s="102">
        <v>0</v>
      </c>
      <c r="AC3266" s="81">
        <f t="shared" si="157"/>
        <v>463.87446812652058</v>
      </c>
      <c r="AD3266" s="82">
        <f t="shared" si="158"/>
        <v>17.614285714285717</v>
      </c>
      <c r="AE3266" s="218">
        <v>0</v>
      </c>
      <c r="AF3266">
        <v>0</v>
      </c>
      <c r="AH3266" t="str">
        <f t="shared" si="156"/>
        <v>Halsi</v>
      </c>
      <c r="AJ3266" s="72">
        <v>0</v>
      </c>
      <c r="AK3266" s="72"/>
      <c r="AL3266" s="72"/>
      <c r="AM3266" s="72"/>
    </row>
    <row r="3267" spans="1:39" x14ac:dyDescent="0.25">
      <c r="A3267" s="37" t="s">
        <v>62</v>
      </c>
      <c r="B3267" s="66" t="s">
        <v>1676</v>
      </c>
      <c r="C3267" s="4">
        <v>1009</v>
      </c>
      <c r="D3267" s="41" t="s">
        <v>244</v>
      </c>
      <c r="E3267" s="41">
        <v>10090025</v>
      </c>
      <c r="F3267" s="85" t="s">
        <v>484</v>
      </c>
      <c r="G3267" s="39" t="s">
        <v>1610</v>
      </c>
      <c r="H3267" s="52" t="s">
        <v>98</v>
      </c>
      <c r="I3267" s="52">
        <v>501.40000000000003</v>
      </c>
      <c r="J3267" s="49">
        <v>18484.55</v>
      </c>
      <c r="K3267" s="58">
        <v>0</v>
      </c>
      <c r="L3267" s="58">
        <v>0</v>
      </c>
      <c r="M3267" s="58">
        <v>0</v>
      </c>
      <c r="N3267" s="58">
        <v>0</v>
      </c>
      <c r="O3267" s="58">
        <v>0</v>
      </c>
      <c r="P3267" s="53">
        <v>0</v>
      </c>
      <c r="Q3267" s="65">
        <v>18484.55</v>
      </c>
      <c r="R3267" s="65">
        <v>0</v>
      </c>
      <c r="S3267" s="65">
        <v>0</v>
      </c>
      <c r="T3267" s="65">
        <v>0</v>
      </c>
      <c r="U3267" s="58">
        <v>0</v>
      </c>
      <c r="V3267" s="65">
        <v>0</v>
      </c>
      <c r="W3267" s="65">
        <v>0</v>
      </c>
      <c r="X3267" s="65">
        <v>0</v>
      </c>
      <c r="Y3267" s="65">
        <v>0</v>
      </c>
      <c r="Z3267" s="51">
        <v>18484.55</v>
      </c>
      <c r="AA3267" s="51">
        <v>0</v>
      </c>
      <c r="AB3267" s="102">
        <v>0</v>
      </c>
      <c r="AC3267" s="81">
        <f t="shared" si="157"/>
        <v>146.43125767850015</v>
      </c>
      <c r="AD3267" s="82">
        <f t="shared" si="158"/>
        <v>71.628571428571433</v>
      </c>
      <c r="AE3267" s="218">
        <v>0</v>
      </c>
      <c r="AF3267">
        <v>0</v>
      </c>
      <c r="AH3267" t="str">
        <f t="shared" si="156"/>
        <v>Halsi</v>
      </c>
      <c r="AJ3267" s="72">
        <v>0</v>
      </c>
      <c r="AK3267" s="72"/>
      <c r="AL3267" s="72"/>
      <c r="AM3267" s="72"/>
    </row>
    <row r="3268" spans="1:39" x14ac:dyDescent="0.25">
      <c r="A3268" s="37" t="s">
        <v>62</v>
      </c>
      <c r="B3268" s="66" t="s">
        <v>1676</v>
      </c>
      <c r="C3268" s="4">
        <v>1009</v>
      </c>
      <c r="D3268" s="41" t="s">
        <v>244</v>
      </c>
      <c r="E3268" s="41">
        <v>10090026</v>
      </c>
      <c r="F3268" s="85" t="s">
        <v>1661</v>
      </c>
      <c r="G3268" s="39" t="s">
        <v>1610</v>
      </c>
      <c r="H3268" s="52" t="s">
        <v>98</v>
      </c>
      <c r="I3268" s="52">
        <v>12.5</v>
      </c>
      <c r="J3268" s="49">
        <v>524.75</v>
      </c>
      <c r="K3268" s="58">
        <v>0</v>
      </c>
      <c r="L3268" s="58">
        <v>0</v>
      </c>
      <c r="M3268" s="58">
        <v>0</v>
      </c>
      <c r="N3268" s="58">
        <v>0</v>
      </c>
      <c r="O3268" s="58">
        <v>0</v>
      </c>
      <c r="P3268" s="53">
        <v>0</v>
      </c>
      <c r="Q3268" s="65">
        <v>524.75</v>
      </c>
      <c r="R3268" s="65">
        <v>0</v>
      </c>
      <c r="S3268" s="65">
        <v>0</v>
      </c>
      <c r="T3268" s="65">
        <v>0</v>
      </c>
      <c r="U3268" s="58">
        <v>0</v>
      </c>
      <c r="V3268" s="65">
        <v>0</v>
      </c>
      <c r="W3268" s="65">
        <v>0</v>
      </c>
      <c r="X3268" s="65">
        <v>0</v>
      </c>
      <c r="Y3268" s="65">
        <v>0</v>
      </c>
      <c r="Z3268" s="51">
        <v>524.75</v>
      </c>
      <c r="AA3268" s="51">
        <v>0</v>
      </c>
      <c r="AB3268" s="102">
        <v>0</v>
      </c>
      <c r="AC3268" s="81">
        <f t="shared" si="157"/>
        <v>577.22499999999991</v>
      </c>
      <c r="AD3268" s="82">
        <f t="shared" si="158"/>
        <v>1.7857142857142858</v>
      </c>
      <c r="AE3268" s="218">
        <v>0</v>
      </c>
      <c r="AF3268">
        <v>0</v>
      </c>
      <c r="AH3268" t="str">
        <f t="shared" si="156"/>
        <v>Halsi</v>
      </c>
      <c r="AJ3268" s="72">
        <v>0</v>
      </c>
      <c r="AK3268" s="72"/>
      <c r="AL3268" s="72"/>
      <c r="AM3268" s="72"/>
    </row>
    <row r="3269" spans="1:39" x14ac:dyDescent="0.25">
      <c r="A3269" s="37" t="s">
        <v>62</v>
      </c>
      <c r="B3269" s="66" t="s">
        <v>1676</v>
      </c>
      <c r="C3269" s="4">
        <v>1009</v>
      </c>
      <c r="D3269" s="41" t="s">
        <v>244</v>
      </c>
      <c r="E3269" s="41">
        <v>10090027</v>
      </c>
      <c r="F3269" s="85" t="s">
        <v>261</v>
      </c>
      <c r="G3269" s="39" t="s">
        <v>1610</v>
      </c>
      <c r="H3269" s="52" t="s">
        <v>98</v>
      </c>
      <c r="I3269" s="52">
        <v>1641.5000000000002</v>
      </c>
      <c r="J3269" s="49">
        <v>73369.539999999994</v>
      </c>
      <c r="K3269" s="58">
        <v>0</v>
      </c>
      <c r="L3269" s="58">
        <v>0</v>
      </c>
      <c r="M3269" s="58">
        <v>0</v>
      </c>
      <c r="N3269" s="58">
        <v>0</v>
      </c>
      <c r="O3269" s="58">
        <v>0</v>
      </c>
      <c r="P3269" s="53">
        <v>0</v>
      </c>
      <c r="Q3269" s="65">
        <v>73369.539999999994</v>
      </c>
      <c r="R3269" s="65">
        <v>0</v>
      </c>
      <c r="S3269" s="65">
        <v>0</v>
      </c>
      <c r="T3269" s="65">
        <v>0</v>
      </c>
      <c r="U3269" s="58">
        <v>0</v>
      </c>
      <c r="V3269" s="65">
        <v>0</v>
      </c>
      <c r="W3269" s="65">
        <v>0</v>
      </c>
      <c r="X3269" s="65">
        <v>0</v>
      </c>
      <c r="Y3269" s="65">
        <v>0</v>
      </c>
      <c r="Z3269" s="51">
        <v>73369.539999999994</v>
      </c>
      <c r="AA3269" s="51">
        <v>0</v>
      </c>
      <c r="AB3269" s="102">
        <v>0</v>
      </c>
      <c r="AC3269" s="81">
        <f t="shared" si="157"/>
        <v>0</v>
      </c>
      <c r="AD3269" s="82">
        <f t="shared" si="158"/>
        <v>0</v>
      </c>
      <c r="AE3269" s="218">
        <v>0</v>
      </c>
      <c r="AF3269">
        <v>0</v>
      </c>
      <c r="AH3269" t="str">
        <f t="shared" si="156"/>
        <v>Halsi</v>
      </c>
      <c r="AJ3269" s="72">
        <v>0</v>
      </c>
      <c r="AK3269" s="72"/>
      <c r="AL3269" s="72"/>
      <c r="AM3269" s="72"/>
    </row>
    <row r="3270" spans="1:39" x14ac:dyDescent="0.25">
      <c r="A3270" s="37" t="s">
        <v>62</v>
      </c>
      <c r="B3270" s="66" t="s">
        <v>1676</v>
      </c>
      <c r="C3270" s="4">
        <v>1009</v>
      </c>
      <c r="D3270" s="41" t="s">
        <v>244</v>
      </c>
      <c r="E3270" s="41">
        <v>10090029</v>
      </c>
      <c r="F3270" s="85" t="s">
        <v>262</v>
      </c>
      <c r="G3270" s="39" t="s">
        <v>92</v>
      </c>
      <c r="H3270" s="52" t="s">
        <v>93</v>
      </c>
      <c r="I3270" s="52">
        <v>647.6</v>
      </c>
      <c r="J3270" s="49">
        <v>29059.32</v>
      </c>
      <c r="K3270" s="58">
        <v>666.79000000000019</v>
      </c>
      <c r="L3270" s="58">
        <v>29004.51</v>
      </c>
      <c r="M3270" s="58">
        <v>7.22</v>
      </c>
      <c r="N3270" s="58">
        <v>306.13</v>
      </c>
      <c r="O3270" s="58">
        <v>674.01000000000022</v>
      </c>
      <c r="P3270" s="53">
        <v>29310.639999999999</v>
      </c>
      <c r="Q3270" s="65">
        <v>29059.32</v>
      </c>
      <c r="R3270" s="65">
        <v>0</v>
      </c>
      <c r="S3270" s="65">
        <v>306.13</v>
      </c>
      <c r="T3270" s="65">
        <v>251.31999999999971</v>
      </c>
      <c r="U3270" s="58">
        <v>0</v>
      </c>
      <c r="V3270" s="65">
        <v>0</v>
      </c>
      <c r="W3270" s="65">
        <v>0</v>
      </c>
      <c r="X3270" s="65">
        <v>28753</v>
      </c>
      <c r="Y3270" s="65">
        <v>0</v>
      </c>
      <c r="Z3270" s="51">
        <v>0</v>
      </c>
      <c r="AA3270" s="51">
        <v>0</v>
      </c>
      <c r="AB3270" s="102">
        <v>0</v>
      </c>
      <c r="AC3270" s="81">
        <f t="shared" si="157"/>
        <v>47.026200370599099</v>
      </c>
      <c r="AD3270" s="82">
        <f t="shared" si="158"/>
        <v>92.51428571428572</v>
      </c>
      <c r="AE3270" s="218">
        <v>-8.648516207536849E-3</v>
      </c>
      <c r="AF3270">
        <v>17</v>
      </c>
      <c r="AH3270" t="str">
        <f t="shared" si="156"/>
        <v>Halsi</v>
      </c>
      <c r="AJ3270" s="72">
        <v>0</v>
      </c>
      <c r="AK3270" s="72"/>
      <c r="AL3270" s="72"/>
      <c r="AM3270" s="72"/>
    </row>
    <row r="3271" spans="1:39" x14ac:dyDescent="0.25">
      <c r="A3271" s="37" t="s">
        <v>62</v>
      </c>
      <c r="B3271" s="66" t="s">
        <v>1676</v>
      </c>
      <c r="C3271" s="4">
        <v>1009</v>
      </c>
      <c r="D3271" s="41" t="s">
        <v>244</v>
      </c>
      <c r="E3271" s="41">
        <v>10090033</v>
      </c>
      <c r="F3271" s="85" t="s">
        <v>263</v>
      </c>
      <c r="G3271" s="39" t="s">
        <v>92</v>
      </c>
      <c r="H3271" s="52" t="s">
        <v>93</v>
      </c>
      <c r="I3271" s="52">
        <v>1203.5999999999999</v>
      </c>
      <c r="J3271" s="49">
        <v>53629.919999999998</v>
      </c>
      <c r="K3271" s="58">
        <v>1103.9299999999998</v>
      </c>
      <c r="L3271" s="58">
        <v>52118.560000000019</v>
      </c>
      <c r="M3271" s="58">
        <v>5.2</v>
      </c>
      <c r="N3271" s="58">
        <v>241.61</v>
      </c>
      <c r="O3271" s="58">
        <v>1109.1299999999999</v>
      </c>
      <c r="P3271" s="53">
        <v>52360.17000000002</v>
      </c>
      <c r="Q3271" s="65">
        <v>52360.17000000002</v>
      </c>
      <c r="R3271" s="65">
        <v>0</v>
      </c>
      <c r="S3271" s="65">
        <v>241.61</v>
      </c>
      <c r="T3271" s="65">
        <v>0</v>
      </c>
      <c r="U3271" s="58">
        <v>0</v>
      </c>
      <c r="V3271" s="65">
        <v>0</v>
      </c>
      <c r="W3271" s="65">
        <v>0</v>
      </c>
      <c r="X3271" s="65">
        <v>52119</v>
      </c>
      <c r="Y3271" s="65">
        <v>0</v>
      </c>
      <c r="Z3271" s="51">
        <v>0</v>
      </c>
      <c r="AA3271" s="51">
        <v>1269</v>
      </c>
      <c r="AB3271" s="102">
        <v>0</v>
      </c>
      <c r="AC3271" s="81">
        <f t="shared" si="157"/>
        <v>0</v>
      </c>
      <c r="AD3271" s="82">
        <f t="shared" si="158"/>
        <v>0</v>
      </c>
      <c r="AE3271" s="218">
        <v>2.3676149433002662E-2</v>
      </c>
      <c r="AF3271">
        <v>8</v>
      </c>
      <c r="AH3271" t="str">
        <f t="shared" si="156"/>
        <v>Halsi</v>
      </c>
      <c r="AJ3271" s="72">
        <v>0</v>
      </c>
      <c r="AK3271" s="72"/>
      <c r="AL3271" s="72"/>
      <c r="AM3271" s="72"/>
    </row>
    <row r="3272" spans="1:39" x14ac:dyDescent="0.25">
      <c r="A3272" s="37" t="s">
        <v>62</v>
      </c>
      <c r="B3272" s="66" t="s">
        <v>1676</v>
      </c>
      <c r="C3272" s="4">
        <v>1009</v>
      </c>
      <c r="D3272" s="41" t="s">
        <v>244</v>
      </c>
      <c r="E3272" s="41">
        <v>10090036</v>
      </c>
      <c r="F3272" s="85" t="s">
        <v>264</v>
      </c>
      <c r="G3272" s="39" t="s">
        <v>92</v>
      </c>
      <c r="H3272" s="52" t="s">
        <v>93</v>
      </c>
      <c r="I3272" s="52">
        <v>1723.6999999999996</v>
      </c>
      <c r="J3272" s="49">
        <v>75766.289999999994</v>
      </c>
      <c r="K3272" s="58">
        <v>1699.6200000000001</v>
      </c>
      <c r="L3272" s="58">
        <v>77842.67</v>
      </c>
      <c r="M3272" s="58">
        <v>39.080000000000005</v>
      </c>
      <c r="N3272" s="58">
        <v>1772.3500000000001</v>
      </c>
      <c r="O3272" s="58">
        <v>1738.7</v>
      </c>
      <c r="P3272" s="53">
        <v>79615.02</v>
      </c>
      <c r="Q3272" s="65">
        <v>75766.289999999994</v>
      </c>
      <c r="R3272" s="65">
        <v>0</v>
      </c>
      <c r="S3272" s="65">
        <v>1772.3500000000001</v>
      </c>
      <c r="T3272" s="65">
        <v>3848.7300000000105</v>
      </c>
      <c r="U3272" s="58">
        <v>0</v>
      </c>
      <c r="V3272" s="65">
        <v>0</v>
      </c>
      <c r="W3272" s="65">
        <v>0</v>
      </c>
      <c r="X3272" s="65">
        <v>73994</v>
      </c>
      <c r="Y3272" s="65">
        <v>0</v>
      </c>
      <c r="Z3272" s="51">
        <v>0</v>
      </c>
      <c r="AA3272" s="51">
        <v>0</v>
      </c>
      <c r="AB3272" s="102">
        <v>0</v>
      </c>
      <c r="AC3272" s="81">
        <f t="shared" si="157"/>
        <v>0</v>
      </c>
      <c r="AD3272" s="82">
        <f t="shared" si="158"/>
        <v>0</v>
      </c>
      <c r="AE3272" s="218">
        <v>-5.0797392877492228E-2</v>
      </c>
      <c r="AF3272">
        <v>41</v>
      </c>
      <c r="AH3272" t="str">
        <f t="shared" si="156"/>
        <v>Halsi</v>
      </c>
      <c r="AJ3272" s="72">
        <v>0</v>
      </c>
      <c r="AK3272" s="72"/>
      <c r="AL3272" s="72"/>
      <c r="AM3272" s="72"/>
    </row>
    <row r="3273" spans="1:39" x14ac:dyDescent="0.25">
      <c r="A3273" s="37" t="s">
        <v>62</v>
      </c>
      <c r="B3273" s="66" t="s">
        <v>1676</v>
      </c>
      <c r="C3273" s="4">
        <v>1009</v>
      </c>
      <c r="D3273" s="41" t="s">
        <v>244</v>
      </c>
      <c r="E3273" s="41">
        <v>10090037</v>
      </c>
      <c r="F3273" s="85" t="s">
        <v>265</v>
      </c>
      <c r="G3273" s="39" t="s">
        <v>92</v>
      </c>
      <c r="H3273" s="52" t="s">
        <v>93</v>
      </c>
      <c r="I3273" s="52">
        <v>676.5</v>
      </c>
      <c r="J3273" s="49">
        <v>34855.240000000005</v>
      </c>
      <c r="K3273" s="58">
        <v>476.65000000000003</v>
      </c>
      <c r="L3273" s="58">
        <v>25580.2</v>
      </c>
      <c r="M3273" s="58">
        <v>214.49</v>
      </c>
      <c r="N3273" s="58">
        <v>13287.030000000002</v>
      </c>
      <c r="O3273" s="58">
        <v>691.1400000000001</v>
      </c>
      <c r="P3273" s="53">
        <v>38867.230000000003</v>
      </c>
      <c r="Q3273" s="65">
        <v>34855.240000000005</v>
      </c>
      <c r="R3273" s="65">
        <v>0</v>
      </c>
      <c r="S3273" s="65">
        <v>249.52999999999994</v>
      </c>
      <c r="T3273" s="65">
        <v>4011.989999999998</v>
      </c>
      <c r="U3273" s="58">
        <v>0</v>
      </c>
      <c r="V3273" s="65">
        <v>0</v>
      </c>
      <c r="W3273" s="65">
        <v>0</v>
      </c>
      <c r="X3273" s="65">
        <v>21568</v>
      </c>
      <c r="Y3273" s="65">
        <v>13037</v>
      </c>
      <c r="Z3273" s="51">
        <v>0</v>
      </c>
      <c r="AA3273" s="51">
        <v>1</v>
      </c>
      <c r="AB3273" s="102">
        <v>0</v>
      </c>
      <c r="AC3273" s="81">
        <f t="shared" si="157"/>
        <v>24.215761714708087</v>
      </c>
      <c r="AD3273" s="82">
        <f t="shared" si="158"/>
        <v>96.642857142857139</v>
      </c>
      <c r="AE3273" s="218">
        <v>-0.11510435733622829</v>
      </c>
      <c r="AF3273">
        <v>10</v>
      </c>
      <c r="AH3273" t="str">
        <f t="shared" si="156"/>
        <v>Halsi</v>
      </c>
      <c r="AJ3273" s="72">
        <v>0</v>
      </c>
      <c r="AK3273" s="72"/>
      <c r="AL3273" s="72"/>
      <c r="AM3273" s="72"/>
    </row>
    <row r="3274" spans="1:39" x14ac:dyDescent="0.25">
      <c r="A3274" s="37" t="s">
        <v>62</v>
      </c>
      <c r="B3274" s="66" t="s">
        <v>1676</v>
      </c>
      <c r="C3274" s="4">
        <v>1009</v>
      </c>
      <c r="D3274" s="41" t="s">
        <v>244</v>
      </c>
      <c r="E3274" s="41">
        <v>10090039</v>
      </c>
      <c r="F3274" s="85" t="s">
        <v>1578</v>
      </c>
      <c r="G3274" s="39" t="s">
        <v>1610</v>
      </c>
      <c r="H3274" s="52" t="s">
        <v>93</v>
      </c>
      <c r="I3274" s="52">
        <v>310.90000000000003</v>
      </c>
      <c r="J3274" s="49">
        <v>12430.7</v>
      </c>
      <c r="K3274" s="58">
        <v>308.86</v>
      </c>
      <c r="L3274" s="58">
        <v>12219.88</v>
      </c>
      <c r="M3274" s="58">
        <v>0</v>
      </c>
      <c r="N3274" s="58">
        <v>0</v>
      </c>
      <c r="O3274" s="58">
        <v>308.86</v>
      </c>
      <c r="P3274" s="53">
        <v>12219.88</v>
      </c>
      <c r="Q3274" s="65">
        <v>12219.88</v>
      </c>
      <c r="R3274" s="65">
        <v>0</v>
      </c>
      <c r="S3274" s="65">
        <v>0</v>
      </c>
      <c r="T3274" s="65">
        <v>0</v>
      </c>
      <c r="U3274" s="58">
        <v>0</v>
      </c>
      <c r="V3274" s="65">
        <v>0</v>
      </c>
      <c r="W3274" s="65">
        <v>0</v>
      </c>
      <c r="X3274" s="65">
        <v>12221</v>
      </c>
      <c r="Y3274" s="65">
        <v>0</v>
      </c>
      <c r="Z3274" s="51">
        <v>0</v>
      </c>
      <c r="AA3274" s="51">
        <v>210</v>
      </c>
      <c r="AB3274" s="102">
        <v>0</v>
      </c>
      <c r="AC3274" s="81">
        <f t="shared" si="157"/>
        <v>311.14733805082017</v>
      </c>
      <c r="AD3274" s="82">
        <f t="shared" si="158"/>
        <v>44.414285714285718</v>
      </c>
      <c r="AE3274" s="218">
        <v>1.6959624156322774E-2</v>
      </c>
      <c r="AF3274">
        <v>7</v>
      </c>
      <c r="AH3274" t="str">
        <f t="shared" si="156"/>
        <v>Halsi</v>
      </c>
      <c r="AJ3274" s="72">
        <v>0</v>
      </c>
      <c r="AK3274" s="72"/>
      <c r="AL3274" s="72"/>
      <c r="AM3274" s="72"/>
    </row>
    <row r="3275" spans="1:39" x14ac:dyDescent="0.25">
      <c r="A3275" s="37" t="s">
        <v>62</v>
      </c>
      <c r="B3275" s="66" t="s">
        <v>1676</v>
      </c>
      <c r="C3275" s="4">
        <v>1009</v>
      </c>
      <c r="D3275" s="41" t="s">
        <v>244</v>
      </c>
      <c r="E3275" s="41">
        <v>10090041</v>
      </c>
      <c r="F3275" s="85" t="s">
        <v>266</v>
      </c>
      <c r="G3275" s="39" t="s">
        <v>1610</v>
      </c>
      <c r="H3275" s="52" t="s">
        <v>98</v>
      </c>
      <c r="I3275" s="52">
        <v>307.89999999999998</v>
      </c>
      <c r="J3275" s="49">
        <v>9558.130000000001</v>
      </c>
      <c r="K3275" s="58">
        <v>0</v>
      </c>
      <c r="L3275" s="58">
        <v>0</v>
      </c>
      <c r="M3275" s="58">
        <v>0</v>
      </c>
      <c r="N3275" s="58">
        <v>0</v>
      </c>
      <c r="O3275" s="58">
        <v>0</v>
      </c>
      <c r="P3275" s="53">
        <v>0</v>
      </c>
      <c r="Q3275" s="65">
        <v>9558.130000000001</v>
      </c>
      <c r="R3275" s="65">
        <v>0</v>
      </c>
      <c r="S3275" s="65">
        <v>0</v>
      </c>
      <c r="T3275" s="65">
        <v>0</v>
      </c>
      <c r="U3275" s="58">
        <v>0</v>
      </c>
      <c r="V3275" s="65">
        <v>0</v>
      </c>
      <c r="W3275" s="65">
        <v>0</v>
      </c>
      <c r="X3275" s="65">
        <v>0</v>
      </c>
      <c r="Y3275" s="65">
        <v>0</v>
      </c>
      <c r="Z3275" s="51">
        <v>9558.130000000001</v>
      </c>
      <c r="AA3275" s="51">
        <v>0</v>
      </c>
      <c r="AB3275" s="102">
        <v>0</v>
      </c>
      <c r="AC3275" s="81">
        <f t="shared" si="157"/>
        <v>243.43895894771035</v>
      </c>
      <c r="AD3275" s="82">
        <f t="shared" si="158"/>
        <v>43.98571428571428</v>
      </c>
      <c r="AE3275" s="218">
        <v>0</v>
      </c>
      <c r="AF3275">
        <v>0</v>
      </c>
      <c r="AH3275" t="str">
        <f t="shared" si="156"/>
        <v>Halsi</v>
      </c>
      <c r="AJ3275" s="72">
        <v>0</v>
      </c>
      <c r="AK3275" s="72"/>
      <c r="AL3275" s="72"/>
      <c r="AM3275" s="72"/>
    </row>
    <row r="3276" spans="1:39" x14ac:dyDescent="0.25">
      <c r="A3276" s="37" t="s">
        <v>62</v>
      </c>
      <c r="B3276" s="66" t="s">
        <v>1676</v>
      </c>
      <c r="C3276" s="4">
        <v>1009</v>
      </c>
      <c r="D3276" s="41" t="s">
        <v>244</v>
      </c>
      <c r="E3276" s="41">
        <v>10090042</v>
      </c>
      <c r="F3276" s="85" t="s">
        <v>267</v>
      </c>
      <c r="G3276" s="39" t="s">
        <v>92</v>
      </c>
      <c r="H3276" s="52" t="s">
        <v>93</v>
      </c>
      <c r="I3276" s="52">
        <v>975</v>
      </c>
      <c r="J3276" s="49">
        <v>41530.57</v>
      </c>
      <c r="K3276" s="58">
        <v>1014.6399999999999</v>
      </c>
      <c r="L3276" s="58">
        <v>44745.29</v>
      </c>
      <c r="M3276" s="58">
        <v>0.87000000000000011</v>
      </c>
      <c r="N3276" s="58">
        <v>40.43</v>
      </c>
      <c r="O3276" s="58">
        <v>1015.5099999999999</v>
      </c>
      <c r="P3276" s="53">
        <v>44785.72</v>
      </c>
      <c r="Q3276" s="65">
        <v>41530.57</v>
      </c>
      <c r="R3276" s="65">
        <v>0</v>
      </c>
      <c r="S3276" s="65">
        <v>40.43</v>
      </c>
      <c r="T3276" s="65">
        <v>3255.1500000000015</v>
      </c>
      <c r="U3276" s="58">
        <v>0</v>
      </c>
      <c r="V3276" s="65">
        <v>0</v>
      </c>
      <c r="W3276" s="65">
        <v>0</v>
      </c>
      <c r="X3276" s="65">
        <v>41490</v>
      </c>
      <c r="Y3276" s="65">
        <v>0</v>
      </c>
      <c r="Z3276" s="51">
        <v>0</v>
      </c>
      <c r="AA3276" s="51">
        <v>0</v>
      </c>
      <c r="AB3276" s="102">
        <v>0</v>
      </c>
      <c r="AC3276" s="81">
        <f t="shared" si="157"/>
        <v>0</v>
      </c>
      <c r="AD3276" s="82">
        <f t="shared" si="158"/>
        <v>0</v>
      </c>
      <c r="AE3276" s="218">
        <v>-7.8379612897198414E-2</v>
      </c>
      <c r="AF3276">
        <v>6</v>
      </c>
      <c r="AH3276" t="str">
        <f t="shared" si="156"/>
        <v>Halsi</v>
      </c>
      <c r="AJ3276" s="72">
        <v>0</v>
      </c>
      <c r="AK3276" s="72"/>
      <c r="AL3276" s="72"/>
      <c r="AM3276" s="72"/>
    </row>
    <row r="3277" spans="1:39" x14ac:dyDescent="0.25">
      <c r="A3277" s="37" t="s">
        <v>62</v>
      </c>
      <c r="B3277" s="66" t="s">
        <v>1676</v>
      </c>
      <c r="C3277" s="4">
        <v>1009</v>
      </c>
      <c r="D3277" s="41" t="s">
        <v>244</v>
      </c>
      <c r="E3277" s="41">
        <v>10090045</v>
      </c>
      <c r="F3277" s="85" t="s">
        <v>1269</v>
      </c>
      <c r="G3277" s="39" t="s">
        <v>92</v>
      </c>
      <c r="H3277" s="52" t="s">
        <v>93</v>
      </c>
      <c r="I3277" s="52">
        <v>67.3</v>
      </c>
      <c r="J3277" s="49">
        <v>3044.22</v>
      </c>
      <c r="K3277" s="58">
        <v>61.4</v>
      </c>
      <c r="L3277" s="58">
        <v>2718.32</v>
      </c>
      <c r="M3277" s="58">
        <v>0</v>
      </c>
      <c r="N3277" s="58">
        <v>0</v>
      </c>
      <c r="O3277" s="58">
        <v>61.4</v>
      </c>
      <c r="P3277" s="53">
        <v>2718.32</v>
      </c>
      <c r="Q3277" s="65">
        <v>2718.32</v>
      </c>
      <c r="R3277" s="65">
        <v>0</v>
      </c>
      <c r="S3277" s="65">
        <v>0</v>
      </c>
      <c r="T3277" s="65">
        <v>0</v>
      </c>
      <c r="U3277" s="58">
        <v>0</v>
      </c>
      <c r="V3277" s="65">
        <v>0</v>
      </c>
      <c r="W3277" s="65">
        <v>0</v>
      </c>
      <c r="X3277" s="65">
        <v>2718</v>
      </c>
      <c r="Y3277" s="65">
        <v>0</v>
      </c>
      <c r="Z3277" s="51">
        <v>0</v>
      </c>
      <c r="AA3277" s="51">
        <v>326</v>
      </c>
      <c r="AB3277" s="102">
        <v>0</v>
      </c>
      <c r="AC3277" s="81">
        <f t="shared" si="157"/>
        <v>572.3857337295691</v>
      </c>
      <c r="AD3277" s="82">
        <f t="shared" si="158"/>
        <v>9.6142857142857139</v>
      </c>
      <c r="AE3277" s="218">
        <v>0.10705533765627966</v>
      </c>
      <c r="AF3277">
        <v>1</v>
      </c>
      <c r="AH3277" t="str">
        <f t="shared" si="156"/>
        <v>Halsi</v>
      </c>
      <c r="AJ3277" s="72">
        <v>0</v>
      </c>
      <c r="AK3277" s="72"/>
      <c r="AL3277" s="72"/>
      <c r="AM3277" s="72"/>
    </row>
    <row r="3278" spans="1:39" x14ac:dyDescent="0.25">
      <c r="A3278" s="37" t="s">
        <v>62</v>
      </c>
      <c r="B3278" s="66" t="s">
        <v>1676</v>
      </c>
      <c r="C3278" s="4">
        <v>1009</v>
      </c>
      <c r="D3278" s="41" t="s">
        <v>244</v>
      </c>
      <c r="E3278" s="41">
        <v>10090046</v>
      </c>
      <c r="F3278" s="85" t="s">
        <v>268</v>
      </c>
      <c r="G3278" s="39" t="s">
        <v>92</v>
      </c>
      <c r="H3278" s="52" t="s">
        <v>93</v>
      </c>
      <c r="I3278" s="52">
        <v>431.20000000000005</v>
      </c>
      <c r="J3278" s="49">
        <v>19713.740000000002</v>
      </c>
      <c r="K3278" s="58">
        <v>444.45</v>
      </c>
      <c r="L3278" s="58">
        <v>21425.519999999997</v>
      </c>
      <c r="M3278" s="58">
        <v>0</v>
      </c>
      <c r="N3278" s="58">
        <v>0</v>
      </c>
      <c r="O3278" s="58">
        <v>444.45</v>
      </c>
      <c r="P3278" s="53">
        <v>21425.519999999997</v>
      </c>
      <c r="Q3278" s="65">
        <v>19713.740000000002</v>
      </c>
      <c r="R3278" s="65">
        <v>0</v>
      </c>
      <c r="S3278" s="65">
        <v>0</v>
      </c>
      <c r="T3278" s="65">
        <v>1711.7799999999952</v>
      </c>
      <c r="U3278" s="58">
        <v>0</v>
      </c>
      <c r="V3278" s="65">
        <v>0</v>
      </c>
      <c r="W3278" s="65">
        <v>0</v>
      </c>
      <c r="X3278" s="65">
        <v>19714</v>
      </c>
      <c r="Y3278" s="65">
        <v>0</v>
      </c>
      <c r="Z3278" s="51">
        <v>0</v>
      </c>
      <c r="AA3278" s="51">
        <v>0</v>
      </c>
      <c r="AB3278" s="102">
        <v>0</v>
      </c>
      <c r="AC3278" s="81">
        <f t="shared" si="157"/>
        <v>245.78169350649347</v>
      </c>
      <c r="AD3278" s="82">
        <f t="shared" si="158"/>
        <v>61.600000000000009</v>
      </c>
      <c r="AE3278" s="218">
        <v>-8.6831823895414828E-2</v>
      </c>
      <c r="AF3278">
        <v>4</v>
      </c>
      <c r="AH3278" t="str">
        <f t="shared" si="156"/>
        <v>Halsi</v>
      </c>
      <c r="AJ3278" s="72">
        <v>0</v>
      </c>
      <c r="AK3278" s="72"/>
      <c r="AL3278" s="72"/>
      <c r="AM3278" s="72"/>
    </row>
    <row r="3279" spans="1:39" x14ac:dyDescent="0.25">
      <c r="A3279" s="37" t="s">
        <v>62</v>
      </c>
      <c r="B3279" s="66" t="s">
        <v>1676</v>
      </c>
      <c r="C3279" s="4">
        <v>1009</v>
      </c>
      <c r="D3279" s="41" t="s">
        <v>244</v>
      </c>
      <c r="E3279" s="41">
        <v>10090047</v>
      </c>
      <c r="F3279" s="85" t="s">
        <v>269</v>
      </c>
      <c r="G3279" s="39" t="s">
        <v>92</v>
      </c>
      <c r="H3279" s="52" t="s">
        <v>93</v>
      </c>
      <c r="I3279" s="52">
        <v>280.90000000000003</v>
      </c>
      <c r="J3279" s="49">
        <v>12381.44</v>
      </c>
      <c r="K3279" s="58">
        <v>285.15000000000003</v>
      </c>
      <c r="L3279" s="58">
        <v>12115.230000000001</v>
      </c>
      <c r="M3279" s="58">
        <v>9.4</v>
      </c>
      <c r="N3279" s="58">
        <v>406.78</v>
      </c>
      <c r="O3279" s="58">
        <v>294.55</v>
      </c>
      <c r="P3279" s="53">
        <v>12522.010000000002</v>
      </c>
      <c r="Q3279" s="65">
        <v>12381.44</v>
      </c>
      <c r="R3279" s="65">
        <v>0</v>
      </c>
      <c r="S3279" s="65">
        <v>406.78</v>
      </c>
      <c r="T3279" s="65">
        <v>140.57000000000153</v>
      </c>
      <c r="U3279" s="58">
        <v>0</v>
      </c>
      <c r="V3279" s="65">
        <v>0</v>
      </c>
      <c r="W3279" s="65">
        <v>0</v>
      </c>
      <c r="X3279" s="65">
        <v>11974</v>
      </c>
      <c r="Y3279" s="65">
        <v>0</v>
      </c>
      <c r="Z3279" s="51">
        <v>0</v>
      </c>
      <c r="AA3279" s="51">
        <v>1</v>
      </c>
      <c r="AB3279" s="102">
        <v>0</v>
      </c>
      <c r="AC3279" s="81">
        <f t="shared" si="157"/>
        <v>369.45970124599495</v>
      </c>
      <c r="AD3279" s="82">
        <f t="shared" si="158"/>
        <v>40.128571428571433</v>
      </c>
      <c r="AE3279" s="218">
        <v>-1.1353283624521988E-2</v>
      </c>
      <c r="AF3279">
        <v>17</v>
      </c>
      <c r="AH3279" t="str">
        <f t="shared" si="156"/>
        <v>Halsi</v>
      </c>
      <c r="AJ3279" s="72">
        <v>0</v>
      </c>
      <c r="AK3279" s="72"/>
      <c r="AL3279" s="72"/>
      <c r="AM3279" s="72"/>
    </row>
    <row r="3280" spans="1:39" x14ac:dyDescent="0.25">
      <c r="A3280" s="37" t="s">
        <v>62</v>
      </c>
      <c r="B3280" s="66" t="s">
        <v>1676</v>
      </c>
      <c r="C3280" s="4">
        <v>1009</v>
      </c>
      <c r="D3280" s="41" t="s">
        <v>244</v>
      </c>
      <c r="E3280" s="41">
        <v>10090049</v>
      </c>
      <c r="F3280" s="85" t="s">
        <v>270</v>
      </c>
      <c r="G3280" s="39" t="s">
        <v>92</v>
      </c>
      <c r="H3280" s="52" t="s">
        <v>93</v>
      </c>
      <c r="I3280" s="52">
        <v>720.09999999999991</v>
      </c>
      <c r="J3280" s="49">
        <v>37020.92</v>
      </c>
      <c r="K3280" s="58">
        <v>720.49</v>
      </c>
      <c r="L3280" s="58">
        <v>39687.120000000003</v>
      </c>
      <c r="M3280" s="58">
        <v>6.45</v>
      </c>
      <c r="N3280" s="58">
        <v>371.36</v>
      </c>
      <c r="O3280" s="58">
        <v>726.94</v>
      </c>
      <c r="P3280" s="53">
        <v>40058.480000000003</v>
      </c>
      <c r="Q3280" s="65">
        <v>37020.92</v>
      </c>
      <c r="R3280" s="65">
        <v>0</v>
      </c>
      <c r="S3280" s="65">
        <v>371.36</v>
      </c>
      <c r="T3280" s="65">
        <v>3037.5600000000049</v>
      </c>
      <c r="U3280" s="58">
        <v>0</v>
      </c>
      <c r="V3280" s="65">
        <v>0</v>
      </c>
      <c r="W3280" s="65">
        <v>0</v>
      </c>
      <c r="X3280" s="65">
        <v>36650</v>
      </c>
      <c r="Y3280" s="65">
        <v>0</v>
      </c>
      <c r="Z3280" s="51">
        <v>0</v>
      </c>
      <c r="AA3280" s="51">
        <v>0</v>
      </c>
      <c r="AB3280" s="102">
        <v>0</v>
      </c>
      <c r="AC3280" s="81">
        <f t="shared" si="157"/>
        <v>0</v>
      </c>
      <c r="AD3280" s="82">
        <f t="shared" si="158"/>
        <v>0</v>
      </c>
      <c r="AE3280" s="218">
        <v>-8.2049824801760873E-2</v>
      </c>
      <c r="AF3280">
        <v>12</v>
      </c>
      <c r="AH3280" t="str">
        <f t="shared" si="156"/>
        <v>Halsi</v>
      </c>
      <c r="AJ3280" s="72">
        <v>0</v>
      </c>
      <c r="AK3280" s="72"/>
      <c r="AL3280" s="72"/>
      <c r="AM3280" s="72"/>
    </row>
    <row r="3281" spans="1:39" x14ac:dyDescent="0.25">
      <c r="A3281" s="37" t="s">
        <v>62</v>
      </c>
      <c r="B3281" s="66" t="s">
        <v>1676</v>
      </c>
      <c r="C3281" s="4">
        <v>1009</v>
      </c>
      <c r="D3281" s="41" t="s">
        <v>244</v>
      </c>
      <c r="E3281" s="41">
        <v>10090055</v>
      </c>
      <c r="F3281" s="85" t="s">
        <v>453</v>
      </c>
      <c r="G3281" s="39" t="s">
        <v>1610</v>
      </c>
      <c r="H3281" s="52" t="s">
        <v>98</v>
      </c>
      <c r="I3281" s="52">
        <v>298.39999999999998</v>
      </c>
      <c r="J3281" s="49">
        <v>12709.390000000001</v>
      </c>
      <c r="K3281" s="58">
        <v>0</v>
      </c>
      <c r="L3281" s="58">
        <v>0</v>
      </c>
      <c r="M3281" s="58">
        <v>0</v>
      </c>
      <c r="N3281" s="58">
        <v>0</v>
      </c>
      <c r="O3281" s="58">
        <v>0</v>
      </c>
      <c r="P3281" s="53">
        <v>0</v>
      </c>
      <c r="Q3281" s="65">
        <v>12709.390000000001</v>
      </c>
      <c r="R3281" s="65">
        <v>0</v>
      </c>
      <c r="S3281" s="65">
        <v>0</v>
      </c>
      <c r="T3281" s="65">
        <v>0</v>
      </c>
      <c r="U3281" s="58">
        <v>0</v>
      </c>
      <c r="V3281" s="65">
        <v>0</v>
      </c>
      <c r="W3281" s="65">
        <v>0</v>
      </c>
      <c r="X3281" s="65">
        <v>0</v>
      </c>
      <c r="Y3281" s="65">
        <v>0</v>
      </c>
      <c r="Z3281" s="51">
        <v>12709.390000000001</v>
      </c>
      <c r="AA3281" s="51">
        <v>0</v>
      </c>
      <c r="AB3281" s="102">
        <v>0</v>
      </c>
      <c r="AC3281" s="81">
        <f t="shared" si="157"/>
        <v>342.09725361930299</v>
      </c>
      <c r="AD3281" s="82">
        <f t="shared" si="158"/>
        <v>42.628571428571426</v>
      </c>
      <c r="AE3281" s="218">
        <v>0</v>
      </c>
      <c r="AF3281">
        <v>0</v>
      </c>
      <c r="AH3281" t="str">
        <f t="shared" si="156"/>
        <v>Halsi</v>
      </c>
      <c r="AJ3281" s="72">
        <v>0</v>
      </c>
      <c r="AK3281" s="72"/>
      <c r="AL3281" s="72"/>
      <c r="AM3281" s="72"/>
    </row>
    <row r="3282" spans="1:39" x14ac:dyDescent="0.25">
      <c r="A3282" s="37" t="s">
        <v>62</v>
      </c>
      <c r="B3282" s="66" t="s">
        <v>1676</v>
      </c>
      <c r="C3282" s="4">
        <v>1009</v>
      </c>
      <c r="D3282" s="41" t="s">
        <v>244</v>
      </c>
      <c r="E3282" s="41">
        <v>10090056</v>
      </c>
      <c r="F3282" s="85" t="s">
        <v>464</v>
      </c>
      <c r="G3282" s="39" t="s">
        <v>92</v>
      </c>
      <c r="H3282" s="52" t="s">
        <v>93</v>
      </c>
      <c r="I3282" s="52">
        <v>218.60000000000002</v>
      </c>
      <c r="J3282" s="49">
        <v>9563.65</v>
      </c>
      <c r="K3282" s="58">
        <v>287.83999999999997</v>
      </c>
      <c r="L3282" s="58">
        <v>12849.15</v>
      </c>
      <c r="M3282" s="58">
        <v>1.25</v>
      </c>
      <c r="N3282" s="58">
        <v>57.360000000000014</v>
      </c>
      <c r="O3282" s="58">
        <v>289.08999999999997</v>
      </c>
      <c r="P3282" s="53">
        <v>12906.51</v>
      </c>
      <c r="Q3282" s="65">
        <v>9563.65</v>
      </c>
      <c r="R3282" s="65">
        <v>4000</v>
      </c>
      <c r="S3282" s="65">
        <v>57.360000000000014</v>
      </c>
      <c r="T3282" s="65">
        <v>3342.8600000000006</v>
      </c>
      <c r="U3282" s="58">
        <v>0</v>
      </c>
      <c r="V3282" s="65">
        <v>0</v>
      </c>
      <c r="W3282" s="65">
        <v>0</v>
      </c>
      <c r="X3282" s="65">
        <v>5506</v>
      </c>
      <c r="Y3282" s="65">
        <v>0</v>
      </c>
      <c r="Z3282" s="51">
        <v>0</v>
      </c>
      <c r="AA3282" s="51">
        <v>0</v>
      </c>
      <c r="AB3282" s="102">
        <v>0</v>
      </c>
      <c r="AC3282" s="81">
        <f t="shared" si="157"/>
        <v>421.22059560841717</v>
      </c>
      <c r="AD3282" s="82">
        <f t="shared" si="158"/>
        <v>31.228571428571431</v>
      </c>
      <c r="AE3282" s="218">
        <v>-0.34953809476507408</v>
      </c>
      <c r="AF3282">
        <v>4</v>
      </c>
      <c r="AH3282" t="str">
        <f t="shared" si="156"/>
        <v>Halsi</v>
      </c>
      <c r="AJ3282" s="72">
        <v>0</v>
      </c>
      <c r="AK3282" s="72"/>
      <c r="AL3282" s="72"/>
      <c r="AM3282" s="72"/>
    </row>
    <row r="3283" spans="1:39" x14ac:dyDescent="0.25">
      <c r="A3283" s="37" t="s">
        <v>62</v>
      </c>
      <c r="B3283" s="66" t="s">
        <v>1676</v>
      </c>
      <c r="C3283" s="4">
        <v>1009</v>
      </c>
      <c r="D3283" s="41" t="s">
        <v>244</v>
      </c>
      <c r="E3283" s="41">
        <v>10090058</v>
      </c>
      <c r="F3283" s="85" t="s">
        <v>514</v>
      </c>
      <c r="G3283" s="39" t="s">
        <v>92</v>
      </c>
      <c r="H3283" s="52" t="s">
        <v>93</v>
      </c>
      <c r="I3283" s="52">
        <v>833</v>
      </c>
      <c r="J3283" s="49">
        <v>35981.060000000005</v>
      </c>
      <c r="K3283" s="58">
        <v>802.66</v>
      </c>
      <c r="L3283" s="58">
        <v>35505.99</v>
      </c>
      <c r="M3283" s="58">
        <v>0</v>
      </c>
      <c r="N3283" s="58">
        <v>0</v>
      </c>
      <c r="O3283" s="58">
        <v>802.66</v>
      </c>
      <c r="P3283" s="53">
        <v>35505.99</v>
      </c>
      <c r="Q3283" s="65">
        <v>35505.99</v>
      </c>
      <c r="R3283" s="65">
        <v>0</v>
      </c>
      <c r="S3283" s="65">
        <v>0</v>
      </c>
      <c r="T3283" s="65">
        <v>0</v>
      </c>
      <c r="U3283" s="58">
        <v>0</v>
      </c>
      <c r="V3283" s="65">
        <v>0</v>
      </c>
      <c r="W3283" s="65">
        <v>0</v>
      </c>
      <c r="X3283" s="65">
        <v>35507</v>
      </c>
      <c r="Y3283" s="65">
        <v>0</v>
      </c>
      <c r="Z3283" s="51">
        <v>0</v>
      </c>
      <c r="AA3283" s="51">
        <v>474</v>
      </c>
      <c r="AB3283" s="102">
        <v>0</v>
      </c>
      <c r="AC3283" s="81">
        <f t="shared" si="157"/>
        <v>0</v>
      </c>
      <c r="AD3283" s="82">
        <f t="shared" si="158"/>
        <v>0</v>
      </c>
      <c r="AE3283" s="218">
        <v>1.3203335310299555E-2</v>
      </c>
      <c r="AF3283">
        <v>3</v>
      </c>
      <c r="AH3283" t="str">
        <f t="shared" si="156"/>
        <v>Halsi</v>
      </c>
      <c r="AJ3283" s="72">
        <v>0</v>
      </c>
      <c r="AK3283" s="72"/>
      <c r="AL3283" s="72"/>
      <c r="AM3283" s="72"/>
    </row>
    <row r="3284" spans="1:39" x14ac:dyDescent="0.25">
      <c r="A3284" s="37" t="s">
        <v>62</v>
      </c>
      <c r="B3284" s="66" t="s">
        <v>1676</v>
      </c>
      <c r="C3284" s="4">
        <v>1009</v>
      </c>
      <c r="D3284" s="41" t="s">
        <v>244</v>
      </c>
      <c r="E3284" s="41">
        <v>10090059</v>
      </c>
      <c r="F3284" s="85" t="s">
        <v>1197</v>
      </c>
      <c r="G3284" s="39" t="s">
        <v>92</v>
      </c>
      <c r="H3284" s="52" t="s">
        <v>93</v>
      </c>
      <c r="I3284" s="52">
        <v>157.30000000000001</v>
      </c>
      <c r="J3284" s="49">
        <v>6980.2800000000007</v>
      </c>
      <c r="K3284" s="58">
        <v>235.57</v>
      </c>
      <c r="L3284" s="58">
        <v>19249.739999999998</v>
      </c>
      <c r="M3284" s="58">
        <v>0</v>
      </c>
      <c r="N3284" s="58">
        <v>0</v>
      </c>
      <c r="O3284" s="58">
        <v>235.57</v>
      </c>
      <c r="P3284" s="53">
        <v>19249.739999999998</v>
      </c>
      <c r="Q3284" s="65">
        <v>6980.2800000000007</v>
      </c>
      <c r="R3284" s="65">
        <v>0</v>
      </c>
      <c r="S3284" s="65">
        <v>0</v>
      </c>
      <c r="T3284" s="65">
        <v>12269.459999999997</v>
      </c>
      <c r="U3284" s="58">
        <v>0</v>
      </c>
      <c r="V3284" s="65">
        <v>0</v>
      </c>
      <c r="W3284" s="65">
        <v>0</v>
      </c>
      <c r="X3284" s="65">
        <v>6980</v>
      </c>
      <c r="Y3284" s="65">
        <v>0</v>
      </c>
      <c r="Z3284" s="51">
        <v>0</v>
      </c>
      <c r="AA3284" s="51">
        <v>0</v>
      </c>
      <c r="AB3284" s="102">
        <v>0</v>
      </c>
      <c r="AC3284" s="81">
        <f t="shared" si="157"/>
        <v>481.65263267641444</v>
      </c>
      <c r="AD3284" s="82">
        <f t="shared" si="158"/>
        <v>22.471428571428572</v>
      </c>
      <c r="AE3284" s="218">
        <v>-1.7577317815331184</v>
      </c>
      <c r="AF3284">
        <v>6</v>
      </c>
      <c r="AH3284" t="str">
        <f t="shared" si="156"/>
        <v>Halsi</v>
      </c>
      <c r="AJ3284" s="72">
        <v>0</v>
      </c>
      <c r="AK3284" s="72"/>
      <c r="AL3284" s="72"/>
      <c r="AM3284" s="72"/>
    </row>
    <row r="3285" spans="1:39" x14ac:dyDescent="0.25">
      <c r="A3285" s="37" t="s">
        <v>62</v>
      </c>
      <c r="B3285" s="66" t="s">
        <v>1676</v>
      </c>
      <c r="C3285" s="4">
        <v>1009</v>
      </c>
      <c r="D3285" s="41" t="s">
        <v>244</v>
      </c>
      <c r="E3285" s="41">
        <v>10090060</v>
      </c>
      <c r="F3285" s="85" t="s">
        <v>522</v>
      </c>
      <c r="G3285" s="39" t="s">
        <v>92</v>
      </c>
      <c r="H3285" s="52" t="s">
        <v>93</v>
      </c>
      <c r="I3285" s="52">
        <v>96.300000000000011</v>
      </c>
      <c r="J3285" s="49">
        <v>4761</v>
      </c>
      <c r="K3285" s="58">
        <v>93.600000000000009</v>
      </c>
      <c r="L3285" s="58">
        <v>4559.7299999999996</v>
      </c>
      <c r="M3285" s="58">
        <v>0</v>
      </c>
      <c r="N3285" s="58">
        <v>0</v>
      </c>
      <c r="O3285" s="58">
        <v>93.600000000000009</v>
      </c>
      <c r="P3285" s="53">
        <v>4559.7299999999996</v>
      </c>
      <c r="Q3285" s="65">
        <v>4559.7299999999996</v>
      </c>
      <c r="R3285" s="65">
        <v>0</v>
      </c>
      <c r="S3285" s="65">
        <v>0</v>
      </c>
      <c r="T3285" s="65">
        <v>0</v>
      </c>
      <c r="U3285" s="58">
        <v>0</v>
      </c>
      <c r="V3285" s="65">
        <v>500</v>
      </c>
      <c r="W3285" s="65">
        <v>0</v>
      </c>
      <c r="X3285" s="65">
        <v>4060</v>
      </c>
      <c r="Y3285" s="65">
        <v>0</v>
      </c>
      <c r="Z3285" s="51">
        <v>0</v>
      </c>
      <c r="AA3285" s="51">
        <v>201</v>
      </c>
      <c r="AB3285" s="102">
        <v>0</v>
      </c>
      <c r="AC3285" s="81">
        <f t="shared" si="157"/>
        <v>596.92953271028034</v>
      </c>
      <c r="AD3285" s="82">
        <f t="shared" si="158"/>
        <v>13.757142857142858</v>
      </c>
      <c r="AE3285" s="218">
        <v>4.2274732199117926E-2</v>
      </c>
      <c r="AF3285">
        <v>1</v>
      </c>
      <c r="AH3285" t="str">
        <f t="shared" si="156"/>
        <v>Halsi</v>
      </c>
      <c r="AJ3285" s="72">
        <v>500</v>
      </c>
      <c r="AK3285" s="72"/>
      <c r="AL3285" s="72"/>
      <c r="AM3285" s="72"/>
    </row>
    <row r="3286" spans="1:39" x14ac:dyDescent="0.25">
      <c r="A3286" s="37" t="s">
        <v>62</v>
      </c>
      <c r="B3286" s="66" t="s">
        <v>1676</v>
      </c>
      <c r="C3286" s="4">
        <v>1009</v>
      </c>
      <c r="D3286" s="41" t="s">
        <v>244</v>
      </c>
      <c r="E3286" s="41">
        <v>10090061</v>
      </c>
      <c r="F3286" s="85" t="s">
        <v>548</v>
      </c>
      <c r="G3286" s="39" t="s">
        <v>92</v>
      </c>
      <c r="H3286" s="52" t="s">
        <v>93</v>
      </c>
      <c r="I3286" s="52">
        <v>137.5</v>
      </c>
      <c r="J3286" s="49">
        <v>5933.4</v>
      </c>
      <c r="K3286" s="58">
        <v>166.32000000000002</v>
      </c>
      <c r="L3286" s="58">
        <v>7152.82</v>
      </c>
      <c r="M3286" s="58">
        <v>0</v>
      </c>
      <c r="N3286" s="58">
        <v>0</v>
      </c>
      <c r="O3286" s="58">
        <v>166.32000000000002</v>
      </c>
      <c r="P3286" s="53">
        <v>7152.82</v>
      </c>
      <c r="Q3286" s="65">
        <v>5933.4</v>
      </c>
      <c r="R3286" s="65">
        <v>0</v>
      </c>
      <c r="S3286" s="65">
        <v>0</v>
      </c>
      <c r="T3286" s="65">
        <v>1219.42</v>
      </c>
      <c r="U3286" s="58">
        <v>0</v>
      </c>
      <c r="V3286" s="65">
        <v>500</v>
      </c>
      <c r="W3286" s="65">
        <v>0</v>
      </c>
      <c r="X3286" s="65">
        <v>5433</v>
      </c>
      <c r="Y3286" s="65">
        <v>0</v>
      </c>
      <c r="Z3286" s="51">
        <v>0</v>
      </c>
      <c r="AA3286" s="51">
        <v>0</v>
      </c>
      <c r="AB3286" s="102">
        <v>0</v>
      </c>
      <c r="AC3286" s="81">
        <f t="shared" si="157"/>
        <v>485.45999999999992</v>
      </c>
      <c r="AD3286" s="82">
        <f t="shared" si="158"/>
        <v>19.642857142857142</v>
      </c>
      <c r="AE3286" s="218">
        <v>-0.20551791552903903</v>
      </c>
      <c r="AF3286">
        <v>4</v>
      </c>
      <c r="AH3286" t="str">
        <f t="shared" si="156"/>
        <v>Halsi</v>
      </c>
      <c r="AJ3286" s="72">
        <v>500</v>
      </c>
      <c r="AK3286" s="72"/>
      <c r="AL3286" s="72"/>
      <c r="AM3286" s="72"/>
    </row>
    <row r="3287" spans="1:39" x14ac:dyDescent="0.25">
      <c r="A3287" s="37" t="s">
        <v>62</v>
      </c>
      <c r="B3287" s="66" t="s">
        <v>1676</v>
      </c>
      <c r="C3287" s="4">
        <v>1009</v>
      </c>
      <c r="D3287" s="41" t="s">
        <v>244</v>
      </c>
      <c r="E3287" s="41">
        <v>10090063</v>
      </c>
      <c r="F3287" s="85" t="s">
        <v>570</v>
      </c>
      <c r="G3287" s="39" t="s">
        <v>92</v>
      </c>
      <c r="H3287" s="52" t="s">
        <v>93</v>
      </c>
      <c r="I3287" s="52">
        <v>137.5</v>
      </c>
      <c r="J3287" s="49">
        <v>7590.49</v>
      </c>
      <c r="K3287" s="58">
        <v>137.50000000000003</v>
      </c>
      <c r="L3287" s="58">
        <v>7582.1699999999992</v>
      </c>
      <c r="M3287" s="58">
        <v>0</v>
      </c>
      <c r="N3287" s="58">
        <v>0</v>
      </c>
      <c r="O3287" s="58">
        <v>137.50000000000003</v>
      </c>
      <c r="P3287" s="53">
        <v>7582.1699999999992</v>
      </c>
      <c r="Q3287" s="65">
        <v>7582.1699999999992</v>
      </c>
      <c r="R3287" s="65">
        <v>0</v>
      </c>
      <c r="S3287" s="65">
        <v>0</v>
      </c>
      <c r="T3287" s="65">
        <v>0</v>
      </c>
      <c r="U3287" s="58">
        <v>0</v>
      </c>
      <c r="V3287" s="65">
        <v>500</v>
      </c>
      <c r="W3287" s="65">
        <v>0</v>
      </c>
      <c r="X3287" s="65">
        <v>7082</v>
      </c>
      <c r="Y3287" s="65">
        <v>0</v>
      </c>
      <c r="Z3287" s="51">
        <v>0</v>
      </c>
      <c r="AA3287" s="51">
        <v>8</v>
      </c>
      <c r="AB3287" s="102">
        <v>0</v>
      </c>
      <c r="AC3287" s="81">
        <f t="shared" si="157"/>
        <v>621.04009090909085</v>
      </c>
      <c r="AD3287" s="82">
        <f t="shared" si="158"/>
        <v>19.642857142857142</v>
      </c>
      <c r="AE3287" s="218">
        <v>1.0961084198781131E-3</v>
      </c>
      <c r="AF3287">
        <v>1</v>
      </c>
      <c r="AH3287" t="str">
        <f t="shared" si="156"/>
        <v>Halsi</v>
      </c>
      <c r="AJ3287" s="72">
        <v>500</v>
      </c>
      <c r="AK3287" s="72"/>
      <c r="AL3287" s="72"/>
      <c r="AM3287" s="72"/>
    </row>
    <row r="3288" spans="1:39" x14ac:dyDescent="0.25">
      <c r="A3288" s="37" t="s">
        <v>62</v>
      </c>
      <c r="B3288" s="66" t="s">
        <v>1676</v>
      </c>
      <c r="C3288" s="4">
        <v>1009</v>
      </c>
      <c r="D3288" s="41" t="s">
        <v>244</v>
      </c>
      <c r="E3288" s="41">
        <v>10090064</v>
      </c>
      <c r="F3288" s="85" t="s">
        <v>571</v>
      </c>
      <c r="G3288" s="39" t="s">
        <v>92</v>
      </c>
      <c r="H3288" s="52" t="s">
        <v>93</v>
      </c>
      <c r="I3288" s="52">
        <v>539.9</v>
      </c>
      <c r="J3288" s="49">
        <v>26152.199999999997</v>
      </c>
      <c r="K3288" s="58">
        <v>309.68999999999994</v>
      </c>
      <c r="L3288" s="58">
        <v>16629.25</v>
      </c>
      <c r="M3288" s="58">
        <v>259.49</v>
      </c>
      <c r="N3288" s="58">
        <v>12450.92</v>
      </c>
      <c r="O3288" s="58">
        <v>569.17999999999995</v>
      </c>
      <c r="P3288" s="53">
        <v>29080.17</v>
      </c>
      <c r="Q3288" s="65">
        <v>26152.199999999997</v>
      </c>
      <c r="R3288" s="65">
        <v>0</v>
      </c>
      <c r="S3288" s="65">
        <v>0</v>
      </c>
      <c r="T3288" s="65">
        <v>2927.9700000000012</v>
      </c>
      <c r="U3288" s="58">
        <v>0</v>
      </c>
      <c r="V3288" s="65">
        <v>0</v>
      </c>
      <c r="W3288" s="65">
        <v>0</v>
      </c>
      <c r="X3288" s="65">
        <v>13701</v>
      </c>
      <c r="Y3288" s="65">
        <v>12451</v>
      </c>
      <c r="Z3288" s="51">
        <v>0</v>
      </c>
      <c r="AA3288" s="51">
        <v>0</v>
      </c>
      <c r="AB3288" s="102">
        <v>0</v>
      </c>
      <c r="AC3288" s="81">
        <f t="shared" si="157"/>
        <v>155.10158251528065</v>
      </c>
      <c r="AD3288" s="82">
        <f t="shared" si="158"/>
        <v>77.128571428571419</v>
      </c>
      <c r="AE3288" s="218">
        <v>-0.11195884093881209</v>
      </c>
      <c r="AF3288">
        <v>5</v>
      </c>
      <c r="AH3288" t="str">
        <f t="shared" si="156"/>
        <v>Halsi</v>
      </c>
      <c r="AJ3288" s="72">
        <v>0</v>
      </c>
      <c r="AK3288" s="72"/>
      <c r="AL3288" s="72"/>
      <c r="AM3288" s="72"/>
    </row>
    <row r="3289" spans="1:39" x14ac:dyDescent="0.25">
      <c r="A3289" s="37" t="s">
        <v>62</v>
      </c>
      <c r="B3289" s="66" t="s">
        <v>1676</v>
      </c>
      <c r="C3289" s="4">
        <v>1009</v>
      </c>
      <c r="D3289" s="41" t="s">
        <v>244</v>
      </c>
      <c r="E3289" s="41">
        <v>10090065</v>
      </c>
      <c r="F3289" s="85" t="s">
        <v>647</v>
      </c>
      <c r="G3289" s="39" t="s">
        <v>92</v>
      </c>
      <c r="H3289" s="52" t="s">
        <v>93</v>
      </c>
      <c r="I3289" s="52">
        <v>692.00000000000011</v>
      </c>
      <c r="J3289" s="49">
        <v>29392.280000000002</v>
      </c>
      <c r="K3289" s="58">
        <v>701.75999999999988</v>
      </c>
      <c r="L3289" s="58">
        <v>31281.870000000006</v>
      </c>
      <c r="M3289" s="58">
        <v>0</v>
      </c>
      <c r="N3289" s="58">
        <v>0</v>
      </c>
      <c r="O3289" s="58">
        <v>701.75999999999988</v>
      </c>
      <c r="P3289" s="53">
        <v>31281.870000000006</v>
      </c>
      <c r="Q3289" s="65">
        <v>29392.280000000002</v>
      </c>
      <c r="R3289" s="65">
        <v>0</v>
      </c>
      <c r="S3289" s="65">
        <v>0</v>
      </c>
      <c r="T3289" s="65">
        <v>1889.5900000000038</v>
      </c>
      <c r="U3289" s="58">
        <v>0</v>
      </c>
      <c r="V3289" s="65">
        <v>0</v>
      </c>
      <c r="W3289" s="65">
        <v>0</v>
      </c>
      <c r="X3289" s="65">
        <v>29392</v>
      </c>
      <c r="Y3289" s="65">
        <v>0</v>
      </c>
      <c r="Z3289" s="51">
        <v>0</v>
      </c>
      <c r="AA3289" s="51">
        <v>0</v>
      </c>
      <c r="AB3289" s="102">
        <v>0</v>
      </c>
      <c r="AC3289" s="81">
        <f t="shared" si="157"/>
        <v>6.7959028901733012</v>
      </c>
      <c r="AD3289" s="82">
        <f t="shared" si="158"/>
        <v>98.857142857142875</v>
      </c>
      <c r="AE3289" s="218">
        <v>-6.4288649944815562E-2</v>
      </c>
      <c r="AF3289">
        <v>4</v>
      </c>
      <c r="AH3289" t="str">
        <f t="shared" si="156"/>
        <v>Halsi</v>
      </c>
      <c r="AJ3289" s="72">
        <v>0</v>
      </c>
      <c r="AK3289" s="72"/>
      <c r="AL3289" s="72"/>
      <c r="AM3289" s="72"/>
    </row>
    <row r="3290" spans="1:39" x14ac:dyDescent="0.25">
      <c r="A3290" s="37" t="s">
        <v>62</v>
      </c>
      <c r="B3290" s="66" t="s">
        <v>1676</v>
      </c>
      <c r="C3290" s="4">
        <v>1009</v>
      </c>
      <c r="D3290" s="41" t="s">
        <v>244</v>
      </c>
      <c r="E3290" s="41">
        <v>10090069</v>
      </c>
      <c r="F3290" s="85" t="s">
        <v>1559</v>
      </c>
      <c r="G3290" s="39" t="s">
        <v>1610</v>
      </c>
      <c r="H3290" s="52" t="s">
        <v>98</v>
      </c>
      <c r="I3290" s="52">
        <v>725.6</v>
      </c>
      <c r="J3290" s="49">
        <v>34025.230000000003</v>
      </c>
      <c r="K3290" s="58">
        <v>0</v>
      </c>
      <c r="L3290" s="58">
        <v>0</v>
      </c>
      <c r="M3290" s="58">
        <v>0</v>
      </c>
      <c r="N3290" s="58">
        <v>0</v>
      </c>
      <c r="O3290" s="58">
        <v>0</v>
      </c>
      <c r="P3290" s="53">
        <v>0</v>
      </c>
      <c r="Q3290" s="65">
        <v>34025.230000000003</v>
      </c>
      <c r="R3290" s="65">
        <v>0</v>
      </c>
      <c r="S3290" s="65">
        <v>0</v>
      </c>
      <c r="T3290" s="65">
        <v>0</v>
      </c>
      <c r="U3290" s="58">
        <v>0</v>
      </c>
      <c r="V3290" s="65">
        <v>0</v>
      </c>
      <c r="W3290" s="65">
        <v>0</v>
      </c>
      <c r="X3290" s="65">
        <v>0</v>
      </c>
      <c r="Y3290" s="65">
        <v>0</v>
      </c>
      <c r="Z3290" s="51">
        <v>34025.230000000003</v>
      </c>
      <c r="AA3290" s="51">
        <v>0</v>
      </c>
      <c r="AB3290" s="102">
        <v>0</v>
      </c>
      <c r="AC3290" s="81">
        <f t="shared" si="157"/>
        <v>0</v>
      </c>
      <c r="AD3290" s="82">
        <f t="shared" si="158"/>
        <v>0</v>
      </c>
      <c r="AE3290" s="218">
        <v>0</v>
      </c>
      <c r="AF3290">
        <v>0</v>
      </c>
      <c r="AH3290" t="str">
        <f t="shared" si="156"/>
        <v>Halsi</v>
      </c>
      <c r="AJ3290" s="72">
        <v>0</v>
      </c>
      <c r="AK3290" s="72"/>
      <c r="AL3290" s="72"/>
      <c r="AM3290" s="72"/>
    </row>
    <row r="3291" spans="1:39" x14ac:dyDescent="0.25">
      <c r="A3291" s="37" t="s">
        <v>62</v>
      </c>
      <c r="B3291" s="66" t="s">
        <v>1676</v>
      </c>
      <c r="C3291" s="4">
        <v>1009</v>
      </c>
      <c r="D3291" s="41" t="s">
        <v>244</v>
      </c>
      <c r="E3291" s="41">
        <v>10090072</v>
      </c>
      <c r="F3291" s="85" t="s">
        <v>1255</v>
      </c>
      <c r="G3291" s="39" t="s">
        <v>92</v>
      </c>
      <c r="H3291" s="52" t="s">
        <v>93</v>
      </c>
      <c r="I3291" s="52">
        <v>305.09999999999997</v>
      </c>
      <c r="J3291" s="49">
        <v>11928.67</v>
      </c>
      <c r="K3291" s="58">
        <v>323.55</v>
      </c>
      <c r="L3291" s="58">
        <v>12728.19</v>
      </c>
      <c r="M3291" s="58">
        <v>0</v>
      </c>
      <c r="N3291" s="58">
        <v>0</v>
      </c>
      <c r="O3291" s="58">
        <v>323.55</v>
      </c>
      <c r="P3291" s="53">
        <v>12728.19</v>
      </c>
      <c r="Q3291" s="65">
        <v>11928.67</v>
      </c>
      <c r="R3291" s="65">
        <v>0</v>
      </c>
      <c r="S3291" s="65">
        <v>0</v>
      </c>
      <c r="T3291" s="65">
        <v>799.52000000000044</v>
      </c>
      <c r="U3291" s="58">
        <v>0</v>
      </c>
      <c r="V3291" s="65">
        <v>0</v>
      </c>
      <c r="W3291" s="65">
        <v>0</v>
      </c>
      <c r="X3291" s="65">
        <v>11929</v>
      </c>
      <c r="Y3291" s="65">
        <v>0</v>
      </c>
      <c r="Z3291" s="51">
        <v>0</v>
      </c>
      <c r="AA3291" s="51">
        <v>0</v>
      </c>
      <c r="AB3291" s="102">
        <v>0</v>
      </c>
      <c r="AC3291" s="81">
        <f t="shared" si="157"/>
        <v>308.79264392002631</v>
      </c>
      <c r="AD3291" s="82">
        <f t="shared" si="158"/>
        <v>43.585714285714282</v>
      </c>
      <c r="AE3291" s="218">
        <v>-6.7025074882614777E-2</v>
      </c>
      <c r="AF3291">
        <v>1</v>
      </c>
      <c r="AH3291" t="str">
        <f t="shared" si="156"/>
        <v>Halsi</v>
      </c>
      <c r="AJ3291" s="72">
        <v>0</v>
      </c>
      <c r="AK3291" s="72"/>
      <c r="AL3291" s="72"/>
      <c r="AM3291" s="72"/>
    </row>
    <row r="3292" spans="1:39" x14ac:dyDescent="0.25">
      <c r="A3292" s="37" t="s">
        <v>62</v>
      </c>
      <c r="B3292" s="66" t="s">
        <v>1676</v>
      </c>
      <c r="C3292" s="4">
        <v>1009</v>
      </c>
      <c r="D3292" s="41" t="s">
        <v>244</v>
      </c>
      <c r="E3292" s="41">
        <v>10090074</v>
      </c>
      <c r="F3292" s="85" t="s">
        <v>1270</v>
      </c>
      <c r="G3292" s="39" t="s">
        <v>92</v>
      </c>
      <c r="H3292" s="52" t="s">
        <v>93</v>
      </c>
      <c r="I3292" s="52">
        <v>336.19999999999993</v>
      </c>
      <c r="J3292" s="49">
        <v>14616.489999999998</v>
      </c>
      <c r="K3292" s="58">
        <v>357.35</v>
      </c>
      <c r="L3292" s="58">
        <v>15259.56</v>
      </c>
      <c r="M3292" s="58">
        <v>0</v>
      </c>
      <c r="N3292" s="58">
        <v>0</v>
      </c>
      <c r="O3292" s="58">
        <v>357.35</v>
      </c>
      <c r="P3292" s="53">
        <v>15259.56</v>
      </c>
      <c r="Q3292" s="65">
        <v>14616.489999999998</v>
      </c>
      <c r="R3292" s="65">
        <v>0</v>
      </c>
      <c r="S3292" s="65">
        <v>0</v>
      </c>
      <c r="T3292" s="65">
        <v>643.07000000000153</v>
      </c>
      <c r="U3292" s="58">
        <v>0</v>
      </c>
      <c r="V3292" s="65">
        <v>0</v>
      </c>
      <c r="W3292" s="65">
        <v>0</v>
      </c>
      <c r="X3292" s="65">
        <v>14616</v>
      </c>
      <c r="Y3292" s="65">
        <v>0</v>
      </c>
      <c r="Z3292" s="51">
        <v>0</v>
      </c>
      <c r="AA3292" s="51">
        <v>0</v>
      </c>
      <c r="AB3292" s="102">
        <v>0</v>
      </c>
      <c r="AC3292" s="81">
        <f t="shared" si="157"/>
        <v>316.32832016656761</v>
      </c>
      <c r="AD3292" s="82">
        <f t="shared" si="158"/>
        <v>48.028571428571418</v>
      </c>
      <c r="AE3292" s="218">
        <v>-4.3996198813805613E-2</v>
      </c>
      <c r="AF3292">
        <v>3</v>
      </c>
      <c r="AH3292" t="str">
        <f t="shared" si="156"/>
        <v>Halsi</v>
      </c>
      <c r="AJ3292" s="72">
        <v>0</v>
      </c>
      <c r="AK3292" s="72"/>
      <c r="AL3292" s="72"/>
      <c r="AM3292" s="72"/>
    </row>
    <row r="3293" spans="1:39" x14ac:dyDescent="0.25">
      <c r="A3293" s="37" t="s">
        <v>62</v>
      </c>
      <c r="B3293" s="66" t="s">
        <v>1676</v>
      </c>
      <c r="C3293" s="4">
        <v>1009</v>
      </c>
      <c r="D3293" s="41" t="s">
        <v>244</v>
      </c>
      <c r="E3293" s="41">
        <v>10090075</v>
      </c>
      <c r="F3293" s="85" t="s">
        <v>1280</v>
      </c>
      <c r="G3293" s="39" t="s">
        <v>92</v>
      </c>
      <c r="H3293" s="52" t="s">
        <v>93</v>
      </c>
      <c r="I3293" s="52">
        <v>65.2</v>
      </c>
      <c r="J3293" s="49">
        <v>2480.3199999999997</v>
      </c>
      <c r="K3293" s="58">
        <v>71.199999999999989</v>
      </c>
      <c r="L3293" s="58">
        <v>3140.49</v>
      </c>
      <c r="M3293" s="58">
        <v>0</v>
      </c>
      <c r="N3293" s="58">
        <v>0</v>
      </c>
      <c r="O3293" s="58">
        <v>71.199999999999989</v>
      </c>
      <c r="P3293" s="53">
        <v>3140.49</v>
      </c>
      <c r="Q3293" s="65">
        <v>2480.3199999999997</v>
      </c>
      <c r="R3293" s="65">
        <v>0</v>
      </c>
      <c r="S3293" s="65">
        <v>0</v>
      </c>
      <c r="T3293" s="65">
        <v>660.17000000000007</v>
      </c>
      <c r="U3293" s="58">
        <v>0</v>
      </c>
      <c r="V3293" s="65">
        <v>0</v>
      </c>
      <c r="W3293" s="65">
        <v>0</v>
      </c>
      <c r="X3293" s="65">
        <v>2480</v>
      </c>
      <c r="Y3293" s="65">
        <v>0</v>
      </c>
      <c r="Z3293" s="51">
        <v>0</v>
      </c>
      <c r="AA3293" s="51">
        <v>0</v>
      </c>
      <c r="AB3293" s="102">
        <v>0</v>
      </c>
      <c r="AC3293" s="81">
        <f t="shared" si="157"/>
        <v>482.97764907975449</v>
      </c>
      <c r="AD3293" s="82">
        <f t="shared" si="158"/>
        <v>9.3142857142857149</v>
      </c>
      <c r="AE3293" s="218">
        <v>-0.26616323700167727</v>
      </c>
      <c r="AF3293">
        <v>1</v>
      </c>
      <c r="AH3293" t="str">
        <f t="shared" si="156"/>
        <v>Halsi</v>
      </c>
      <c r="AJ3293" s="72">
        <v>0</v>
      </c>
      <c r="AK3293" s="72"/>
      <c r="AL3293" s="72"/>
      <c r="AM3293" s="72"/>
    </row>
    <row r="3294" spans="1:39" x14ac:dyDescent="0.25">
      <c r="A3294" s="37" t="s">
        <v>62</v>
      </c>
      <c r="B3294" s="66" t="s">
        <v>1676</v>
      </c>
      <c r="C3294" s="4">
        <v>1009</v>
      </c>
      <c r="D3294" s="41" t="s">
        <v>244</v>
      </c>
      <c r="E3294" s="41">
        <v>10090076</v>
      </c>
      <c r="F3294" s="85" t="s">
        <v>1287</v>
      </c>
      <c r="G3294" s="39" t="s">
        <v>1610</v>
      </c>
      <c r="H3294" s="52" t="s">
        <v>98</v>
      </c>
      <c r="I3294" s="52">
        <v>12800</v>
      </c>
      <c r="J3294" s="49">
        <v>523191</v>
      </c>
      <c r="K3294" s="58">
        <v>0</v>
      </c>
      <c r="L3294" s="58">
        <v>0</v>
      </c>
      <c r="M3294" s="58">
        <v>0</v>
      </c>
      <c r="N3294" s="58">
        <v>0</v>
      </c>
      <c r="O3294" s="58">
        <v>0</v>
      </c>
      <c r="P3294" s="53">
        <v>0</v>
      </c>
      <c r="Q3294" s="65">
        <v>523191</v>
      </c>
      <c r="R3294" s="65">
        <v>0</v>
      </c>
      <c r="S3294" s="65">
        <v>0</v>
      </c>
      <c r="T3294" s="65">
        <v>0</v>
      </c>
      <c r="U3294" s="58">
        <v>0</v>
      </c>
      <c r="V3294" s="65">
        <v>0</v>
      </c>
      <c r="W3294" s="65">
        <v>0</v>
      </c>
      <c r="X3294" s="65">
        <v>0</v>
      </c>
      <c r="Y3294" s="65">
        <v>0</v>
      </c>
      <c r="Z3294" s="51">
        <v>523191</v>
      </c>
      <c r="AA3294" s="51">
        <v>0</v>
      </c>
      <c r="AB3294" s="102">
        <v>0</v>
      </c>
      <c r="AC3294" s="81">
        <f t="shared" si="157"/>
        <v>0</v>
      </c>
      <c r="AD3294" s="82">
        <f t="shared" si="158"/>
        <v>0</v>
      </c>
      <c r="AE3294" s="218">
        <v>0</v>
      </c>
      <c r="AF3294">
        <v>0</v>
      </c>
      <c r="AH3294" t="str">
        <f t="shared" si="156"/>
        <v>Halsi</v>
      </c>
      <c r="AJ3294" s="72">
        <v>0</v>
      </c>
      <c r="AK3294" s="72"/>
      <c r="AL3294" s="72"/>
      <c r="AM3294" s="72"/>
    </row>
    <row r="3295" spans="1:39" x14ac:dyDescent="0.25">
      <c r="A3295" s="37" t="s">
        <v>62</v>
      </c>
      <c r="B3295" s="66" t="s">
        <v>1676</v>
      </c>
      <c r="C3295" s="4">
        <v>1009</v>
      </c>
      <c r="D3295" s="41" t="s">
        <v>244</v>
      </c>
      <c r="E3295" s="41">
        <v>10090077</v>
      </c>
      <c r="F3295" s="85" t="s">
        <v>1288</v>
      </c>
      <c r="G3295" s="39" t="s">
        <v>1610</v>
      </c>
      <c r="H3295" s="52" t="s">
        <v>98</v>
      </c>
      <c r="I3295" s="52">
        <v>13200</v>
      </c>
      <c r="J3295" s="49">
        <v>544347</v>
      </c>
      <c r="K3295" s="58">
        <v>0</v>
      </c>
      <c r="L3295" s="58">
        <v>0</v>
      </c>
      <c r="M3295" s="58">
        <v>0</v>
      </c>
      <c r="N3295" s="58">
        <v>0</v>
      </c>
      <c r="O3295" s="58">
        <v>0</v>
      </c>
      <c r="P3295" s="53">
        <v>0</v>
      </c>
      <c r="Q3295" s="65">
        <v>544347</v>
      </c>
      <c r="R3295" s="65">
        <v>0</v>
      </c>
      <c r="S3295" s="65">
        <v>0</v>
      </c>
      <c r="T3295" s="65">
        <v>0</v>
      </c>
      <c r="U3295" s="58">
        <v>0</v>
      </c>
      <c r="V3295" s="65">
        <v>0</v>
      </c>
      <c r="W3295" s="65">
        <v>0</v>
      </c>
      <c r="X3295" s="65">
        <v>0</v>
      </c>
      <c r="Y3295" s="65">
        <v>0</v>
      </c>
      <c r="Z3295" s="51">
        <v>544347</v>
      </c>
      <c r="AA3295" s="51">
        <v>0</v>
      </c>
      <c r="AB3295" s="102">
        <v>0</v>
      </c>
      <c r="AC3295" s="81">
        <f t="shared" si="157"/>
        <v>0</v>
      </c>
      <c r="AD3295" s="82">
        <f t="shared" si="158"/>
        <v>0</v>
      </c>
      <c r="AE3295" s="218">
        <v>0</v>
      </c>
      <c r="AF3295">
        <v>0</v>
      </c>
      <c r="AH3295" t="str">
        <f t="shared" si="156"/>
        <v>Halsi</v>
      </c>
      <c r="AJ3295" s="72">
        <v>0</v>
      </c>
      <c r="AK3295" s="72"/>
      <c r="AL3295" s="72"/>
      <c r="AM3295" s="72"/>
    </row>
    <row r="3296" spans="1:39" x14ac:dyDescent="0.25">
      <c r="A3296" s="37" t="s">
        <v>62</v>
      </c>
      <c r="B3296" s="66" t="s">
        <v>1676</v>
      </c>
      <c r="C3296" s="4">
        <v>1009</v>
      </c>
      <c r="D3296" s="41" t="s">
        <v>244</v>
      </c>
      <c r="E3296" s="41">
        <v>10090078</v>
      </c>
      <c r="F3296" s="85" t="s">
        <v>1317</v>
      </c>
      <c r="G3296" s="39" t="s">
        <v>92</v>
      </c>
      <c r="H3296" s="52" t="s">
        <v>93</v>
      </c>
      <c r="I3296" s="52">
        <v>290.2</v>
      </c>
      <c r="J3296" s="49">
        <v>10067.649999999998</v>
      </c>
      <c r="K3296" s="58">
        <v>298.79999999999995</v>
      </c>
      <c r="L3296" s="58">
        <v>10867.089999999998</v>
      </c>
      <c r="M3296" s="58">
        <v>0</v>
      </c>
      <c r="N3296" s="58">
        <v>0</v>
      </c>
      <c r="O3296" s="58">
        <v>298.79999999999995</v>
      </c>
      <c r="P3296" s="53">
        <v>10867.089999999998</v>
      </c>
      <c r="Q3296" s="65">
        <v>10067.649999999998</v>
      </c>
      <c r="R3296" s="65">
        <v>0</v>
      </c>
      <c r="S3296" s="65">
        <v>0</v>
      </c>
      <c r="T3296" s="65">
        <v>799.44000000000051</v>
      </c>
      <c r="U3296" s="58">
        <v>0</v>
      </c>
      <c r="V3296" s="65">
        <v>0</v>
      </c>
      <c r="W3296" s="65">
        <v>0</v>
      </c>
      <c r="X3296" s="65">
        <v>10068</v>
      </c>
      <c r="Y3296" s="65">
        <v>0</v>
      </c>
      <c r="Z3296" s="51">
        <v>0</v>
      </c>
      <c r="AA3296" s="51">
        <v>0</v>
      </c>
      <c r="AB3296" s="102">
        <v>0</v>
      </c>
      <c r="AC3296" s="81">
        <f t="shared" si="157"/>
        <v>284.33652446588559</v>
      </c>
      <c r="AD3296" s="82">
        <f t="shared" si="158"/>
        <v>41.457142857142856</v>
      </c>
      <c r="AE3296" s="218">
        <v>-7.9406812910659458E-2</v>
      </c>
      <c r="AF3296">
        <v>1</v>
      </c>
      <c r="AH3296" t="str">
        <f t="shared" si="156"/>
        <v>Halsi</v>
      </c>
      <c r="AJ3296" s="72">
        <v>0</v>
      </c>
      <c r="AK3296" s="72"/>
      <c r="AL3296" s="72"/>
      <c r="AM3296" s="72"/>
    </row>
    <row r="3297" spans="1:39" x14ac:dyDescent="0.25">
      <c r="A3297" s="37" t="s">
        <v>62</v>
      </c>
      <c r="B3297" s="66" t="s">
        <v>1676</v>
      </c>
      <c r="C3297" s="4">
        <v>1009</v>
      </c>
      <c r="D3297" s="41" t="s">
        <v>244</v>
      </c>
      <c r="E3297" s="41">
        <v>10090079</v>
      </c>
      <c r="F3297" s="85" t="s">
        <v>1424</v>
      </c>
      <c r="G3297" s="39" t="s">
        <v>92</v>
      </c>
      <c r="H3297" s="52" t="s">
        <v>93</v>
      </c>
      <c r="I3297" s="52">
        <v>237.09999999999997</v>
      </c>
      <c r="J3297" s="49">
        <v>9003.98</v>
      </c>
      <c r="K3297" s="58">
        <v>240.39999999999998</v>
      </c>
      <c r="L3297" s="58">
        <v>9349.0300000000025</v>
      </c>
      <c r="M3297" s="58">
        <v>0</v>
      </c>
      <c r="N3297" s="58">
        <v>0</v>
      </c>
      <c r="O3297" s="58">
        <v>240.39999999999998</v>
      </c>
      <c r="P3297" s="53">
        <v>9349.0300000000025</v>
      </c>
      <c r="Q3297" s="65">
        <v>9003.98</v>
      </c>
      <c r="R3297" s="65">
        <v>0</v>
      </c>
      <c r="S3297" s="65">
        <v>0</v>
      </c>
      <c r="T3297" s="65">
        <v>345.05000000000291</v>
      </c>
      <c r="U3297" s="58">
        <v>0</v>
      </c>
      <c r="V3297" s="65">
        <v>0</v>
      </c>
      <c r="W3297" s="65">
        <v>0</v>
      </c>
      <c r="X3297" s="65">
        <v>9004</v>
      </c>
      <c r="Y3297" s="65">
        <v>0</v>
      </c>
      <c r="Z3297" s="51">
        <v>0</v>
      </c>
      <c r="AA3297" s="51">
        <v>0</v>
      </c>
      <c r="AB3297" s="102">
        <v>0</v>
      </c>
      <c r="AC3297" s="81">
        <f t="shared" si="157"/>
        <v>351.57674753268674</v>
      </c>
      <c r="AD3297" s="82">
        <f t="shared" si="158"/>
        <v>33.871428571428567</v>
      </c>
      <c r="AE3297" s="218">
        <v>-3.8321942074505157E-2</v>
      </c>
      <c r="AF3297">
        <v>1</v>
      </c>
      <c r="AH3297" t="str">
        <f t="shared" si="156"/>
        <v>Halsi</v>
      </c>
      <c r="AJ3297" s="72">
        <v>0</v>
      </c>
      <c r="AK3297" s="72"/>
      <c r="AL3297" s="72"/>
      <c r="AM3297" s="72"/>
    </row>
    <row r="3298" spans="1:39" x14ac:dyDescent="0.25">
      <c r="A3298" s="37" t="s">
        <v>62</v>
      </c>
      <c r="B3298" s="66" t="s">
        <v>1676</v>
      </c>
      <c r="C3298" s="4">
        <v>1009</v>
      </c>
      <c r="D3298" s="41" t="s">
        <v>244</v>
      </c>
      <c r="E3298" s="41">
        <v>10090080</v>
      </c>
      <c r="F3298" s="85" t="s">
        <v>1493</v>
      </c>
      <c r="G3298" s="39" t="s">
        <v>92</v>
      </c>
      <c r="H3298" s="52" t="s">
        <v>93</v>
      </c>
      <c r="I3298" s="52">
        <v>559.29999999999995</v>
      </c>
      <c r="J3298" s="49">
        <v>27807.199999999993</v>
      </c>
      <c r="K3298" s="58">
        <v>402.59999999999997</v>
      </c>
      <c r="L3298" s="58">
        <v>20124.97</v>
      </c>
      <c r="M3298" s="58">
        <v>168.4</v>
      </c>
      <c r="N3298" s="58">
        <v>8080.74</v>
      </c>
      <c r="O3298" s="58">
        <v>571</v>
      </c>
      <c r="P3298" s="53">
        <v>28205.71</v>
      </c>
      <c r="Q3298" s="65">
        <v>27807.199999999993</v>
      </c>
      <c r="R3298" s="65">
        <v>0</v>
      </c>
      <c r="S3298" s="65">
        <v>0</v>
      </c>
      <c r="T3298" s="65">
        <v>398.51000000000568</v>
      </c>
      <c r="U3298" s="58">
        <v>0</v>
      </c>
      <c r="V3298" s="65">
        <v>0</v>
      </c>
      <c r="W3298" s="65">
        <v>0</v>
      </c>
      <c r="X3298" s="65">
        <v>19727</v>
      </c>
      <c r="Y3298" s="65">
        <v>8080</v>
      </c>
      <c r="Z3298" s="51">
        <v>0</v>
      </c>
      <c r="AA3298" s="51">
        <v>0</v>
      </c>
      <c r="AB3298" s="102">
        <v>0</v>
      </c>
      <c r="AC3298" s="81">
        <f t="shared" si="157"/>
        <v>139.90606257822279</v>
      </c>
      <c r="AD3298" s="82">
        <f t="shared" si="158"/>
        <v>79.899999999999991</v>
      </c>
      <c r="AE3298" s="218">
        <v>-1.4331180413706011E-2</v>
      </c>
      <c r="AF3298">
        <v>5</v>
      </c>
      <c r="AH3298" t="str">
        <f t="shared" si="156"/>
        <v>Halsi</v>
      </c>
      <c r="AJ3298" s="72">
        <v>0</v>
      </c>
      <c r="AK3298" s="72"/>
      <c r="AL3298" s="72"/>
      <c r="AM3298" s="72"/>
    </row>
    <row r="3299" spans="1:39" x14ac:dyDescent="0.25">
      <c r="A3299" s="37" t="s">
        <v>62</v>
      </c>
      <c r="B3299" s="66" t="s">
        <v>1676</v>
      </c>
      <c r="C3299" s="4">
        <v>1007</v>
      </c>
      <c r="D3299" s="41" t="s">
        <v>203</v>
      </c>
      <c r="E3299" s="41">
        <v>10100001</v>
      </c>
      <c r="F3299" s="85" t="s">
        <v>602</v>
      </c>
      <c r="G3299" s="39" t="s">
        <v>92</v>
      </c>
      <c r="H3299" s="52" t="s">
        <v>93</v>
      </c>
      <c r="I3299" s="52">
        <v>847.4</v>
      </c>
      <c r="J3299" s="49">
        <v>34026.730000000003</v>
      </c>
      <c r="K3299" s="58">
        <v>806.7</v>
      </c>
      <c r="L3299" s="58">
        <v>33348.54</v>
      </c>
      <c r="M3299" s="58">
        <v>7</v>
      </c>
      <c r="N3299" s="58">
        <v>282.03000000000003</v>
      </c>
      <c r="O3299" s="58">
        <v>813.7</v>
      </c>
      <c r="P3299" s="53">
        <v>33630.57</v>
      </c>
      <c r="Q3299" s="65">
        <v>33630.57</v>
      </c>
      <c r="R3299" s="65">
        <v>0</v>
      </c>
      <c r="S3299" s="65">
        <v>282.03000000000003</v>
      </c>
      <c r="T3299" s="65">
        <v>0</v>
      </c>
      <c r="U3299" s="58">
        <v>0</v>
      </c>
      <c r="V3299" s="65">
        <v>0</v>
      </c>
      <c r="W3299" s="65">
        <v>0</v>
      </c>
      <c r="X3299" s="65">
        <v>33348</v>
      </c>
      <c r="Y3299" s="65">
        <v>0</v>
      </c>
      <c r="Z3299" s="51">
        <v>0</v>
      </c>
      <c r="AA3299" s="51">
        <v>397</v>
      </c>
      <c r="AB3299" s="102">
        <v>0</v>
      </c>
      <c r="AC3299" s="81">
        <f t="shared" si="157"/>
        <v>0</v>
      </c>
      <c r="AD3299" s="82">
        <f t="shared" si="158"/>
        <v>0</v>
      </c>
      <c r="AE3299" s="218">
        <v>1.1642611558618871E-2</v>
      </c>
      <c r="AF3299">
        <v>10</v>
      </c>
      <c r="AH3299" t="str">
        <f t="shared" si="156"/>
        <v>Araria</v>
      </c>
      <c r="AJ3299" s="72">
        <v>0</v>
      </c>
      <c r="AK3299" s="72"/>
      <c r="AL3299" s="72"/>
      <c r="AM3299" s="72"/>
    </row>
    <row r="3300" spans="1:39" x14ac:dyDescent="0.25">
      <c r="A3300" s="37" t="s">
        <v>62</v>
      </c>
      <c r="B3300" s="66" t="s">
        <v>1676</v>
      </c>
      <c r="C3300" s="4">
        <v>1010</v>
      </c>
      <c r="D3300" s="41" t="s">
        <v>1311</v>
      </c>
      <c r="E3300" s="41">
        <v>10100003</v>
      </c>
      <c r="F3300" s="85" t="s">
        <v>271</v>
      </c>
      <c r="G3300" s="39" t="s">
        <v>92</v>
      </c>
      <c r="H3300" s="52" t="s">
        <v>93</v>
      </c>
      <c r="I3300" s="52">
        <v>1856.2000000000003</v>
      </c>
      <c r="J3300" s="49">
        <v>77996.819999999992</v>
      </c>
      <c r="K3300" s="58">
        <v>1864.7</v>
      </c>
      <c r="L3300" s="58">
        <v>82274.989999999991</v>
      </c>
      <c r="M3300" s="58">
        <v>7</v>
      </c>
      <c r="N3300" s="58">
        <v>340.54999999999995</v>
      </c>
      <c r="O3300" s="58">
        <v>1871.7</v>
      </c>
      <c r="P3300" s="53">
        <v>82615.539999999994</v>
      </c>
      <c r="Q3300" s="65">
        <v>77996.819999999992</v>
      </c>
      <c r="R3300" s="65">
        <v>0</v>
      </c>
      <c r="S3300" s="65">
        <v>340.54999999999995</v>
      </c>
      <c r="T3300" s="65">
        <v>4618.7200000000012</v>
      </c>
      <c r="U3300" s="58">
        <v>13500</v>
      </c>
      <c r="V3300" s="65">
        <v>0</v>
      </c>
      <c r="W3300" s="65">
        <v>0</v>
      </c>
      <c r="X3300" s="65">
        <v>64156</v>
      </c>
      <c r="Y3300" s="65">
        <v>0</v>
      </c>
      <c r="Z3300" s="51">
        <v>0</v>
      </c>
      <c r="AA3300" s="51">
        <v>0</v>
      </c>
      <c r="AB3300" s="102">
        <v>0</v>
      </c>
      <c r="AC3300" s="81">
        <f t="shared" si="157"/>
        <v>0</v>
      </c>
      <c r="AD3300" s="82">
        <f t="shared" si="158"/>
        <v>0</v>
      </c>
      <c r="AE3300" s="218">
        <v>-5.9216773196650856E-2</v>
      </c>
      <c r="AF3300">
        <v>5</v>
      </c>
      <c r="AH3300" t="str">
        <f t="shared" si="156"/>
        <v>Parbatta</v>
      </c>
      <c r="AJ3300" s="72">
        <v>0</v>
      </c>
      <c r="AK3300" s="72"/>
      <c r="AL3300" s="72"/>
      <c r="AM3300" s="72"/>
    </row>
    <row r="3301" spans="1:39" x14ac:dyDescent="0.25">
      <c r="A3301" s="37" t="s">
        <v>62</v>
      </c>
      <c r="B3301" s="66" t="s">
        <v>1676</v>
      </c>
      <c r="C3301" s="4">
        <v>1010</v>
      </c>
      <c r="D3301" s="41" t="s">
        <v>1311</v>
      </c>
      <c r="E3301" s="41">
        <v>10100004</v>
      </c>
      <c r="F3301" s="85" t="s">
        <v>272</v>
      </c>
      <c r="G3301" s="39" t="s">
        <v>1610</v>
      </c>
      <c r="H3301" s="52" t="s">
        <v>98</v>
      </c>
      <c r="I3301" s="52">
        <v>139.5</v>
      </c>
      <c r="J3301" s="49">
        <v>5328.58</v>
      </c>
      <c r="K3301" s="58">
        <v>0</v>
      </c>
      <c r="L3301" s="58">
        <v>0</v>
      </c>
      <c r="M3301" s="58">
        <v>0</v>
      </c>
      <c r="N3301" s="58">
        <v>0</v>
      </c>
      <c r="O3301" s="58">
        <v>0</v>
      </c>
      <c r="P3301" s="53">
        <v>0</v>
      </c>
      <c r="Q3301" s="65">
        <v>5328.58</v>
      </c>
      <c r="R3301" s="65">
        <v>0</v>
      </c>
      <c r="S3301" s="65">
        <v>0</v>
      </c>
      <c r="T3301" s="65">
        <v>0</v>
      </c>
      <c r="U3301" s="58">
        <v>0</v>
      </c>
      <c r="V3301" s="65">
        <v>0</v>
      </c>
      <c r="W3301" s="65">
        <v>0</v>
      </c>
      <c r="X3301" s="65">
        <v>0</v>
      </c>
      <c r="Y3301" s="65">
        <v>0</v>
      </c>
      <c r="Z3301" s="51">
        <v>5328.58</v>
      </c>
      <c r="AA3301" s="51">
        <v>0</v>
      </c>
      <c r="AB3301" s="102">
        <v>0</v>
      </c>
      <c r="AC3301" s="81">
        <f t="shared" si="157"/>
        <v>428.19628530465945</v>
      </c>
      <c r="AD3301" s="82">
        <f t="shared" si="158"/>
        <v>19.928571428571427</v>
      </c>
      <c r="AE3301" s="218">
        <v>0</v>
      </c>
      <c r="AF3301">
        <v>0</v>
      </c>
      <c r="AH3301" t="str">
        <f t="shared" si="156"/>
        <v>Parbatta</v>
      </c>
      <c r="AJ3301" s="72">
        <v>0</v>
      </c>
      <c r="AK3301" s="72"/>
      <c r="AL3301" s="72"/>
      <c r="AM3301" s="72"/>
    </row>
    <row r="3302" spans="1:39" x14ac:dyDescent="0.25">
      <c r="A3302" s="37" t="s">
        <v>62</v>
      </c>
      <c r="B3302" s="66" t="s">
        <v>1676</v>
      </c>
      <c r="C3302" s="4">
        <v>1010</v>
      </c>
      <c r="D3302" s="41" t="s">
        <v>1311</v>
      </c>
      <c r="E3302" s="41">
        <v>10100009</v>
      </c>
      <c r="F3302" s="85" t="s">
        <v>274</v>
      </c>
      <c r="G3302" s="39" t="s">
        <v>92</v>
      </c>
      <c r="H3302" s="52" t="s">
        <v>93</v>
      </c>
      <c r="I3302" s="52">
        <v>1344.5</v>
      </c>
      <c r="J3302" s="49">
        <v>56399.249999999993</v>
      </c>
      <c r="K3302" s="58">
        <v>1373.26</v>
      </c>
      <c r="L3302" s="58">
        <v>63324.610000000008</v>
      </c>
      <c r="M3302" s="58">
        <v>0</v>
      </c>
      <c r="N3302" s="58">
        <v>0</v>
      </c>
      <c r="O3302" s="58">
        <v>1373.26</v>
      </c>
      <c r="P3302" s="53">
        <v>63324.610000000008</v>
      </c>
      <c r="Q3302" s="65">
        <v>56399.249999999993</v>
      </c>
      <c r="R3302" s="65">
        <v>0</v>
      </c>
      <c r="S3302" s="65">
        <v>0</v>
      </c>
      <c r="T3302" s="65">
        <v>6925.3600000000151</v>
      </c>
      <c r="U3302" s="58">
        <v>0</v>
      </c>
      <c r="V3302" s="65">
        <v>0</v>
      </c>
      <c r="W3302" s="65">
        <v>0</v>
      </c>
      <c r="X3302" s="65">
        <v>56399</v>
      </c>
      <c r="Y3302" s="65">
        <v>0</v>
      </c>
      <c r="Z3302" s="51">
        <v>0</v>
      </c>
      <c r="AA3302" s="51">
        <v>0</v>
      </c>
      <c r="AB3302" s="102">
        <v>0</v>
      </c>
      <c r="AC3302" s="81">
        <f t="shared" si="157"/>
        <v>0</v>
      </c>
      <c r="AD3302" s="82">
        <f t="shared" si="158"/>
        <v>0</v>
      </c>
      <c r="AE3302" s="218">
        <v>-0.12279170379038756</v>
      </c>
      <c r="AF3302">
        <v>3</v>
      </c>
      <c r="AH3302" t="str">
        <f t="shared" si="156"/>
        <v>Parbatta</v>
      </c>
      <c r="AJ3302" s="72">
        <v>0</v>
      </c>
      <c r="AK3302" s="72"/>
      <c r="AL3302" s="72"/>
      <c r="AM3302" s="72"/>
    </row>
    <row r="3303" spans="1:39" x14ac:dyDescent="0.25">
      <c r="A3303" s="37" t="s">
        <v>62</v>
      </c>
      <c r="B3303" s="66" t="s">
        <v>1676</v>
      </c>
      <c r="C3303" s="4">
        <v>1010</v>
      </c>
      <c r="D3303" s="41" t="s">
        <v>1311</v>
      </c>
      <c r="E3303" s="41">
        <v>10100014</v>
      </c>
      <c r="F3303" s="85" t="s">
        <v>1207</v>
      </c>
      <c r="G3303" s="39" t="s">
        <v>92</v>
      </c>
      <c r="H3303" s="52" t="s">
        <v>93</v>
      </c>
      <c r="I3303" s="52">
        <v>336.20000000000005</v>
      </c>
      <c r="J3303" s="49">
        <v>14223.709999999997</v>
      </c>
      <c r="K3303" s="58">
        <v>346.43999999999994</v>
      </c>
      <c r="L3303" s="58">
        <v>14192.11</v>
      </c>
      <c r="M3303" s="58">
        <v>0</v>
      </c>
      <c r="N3303" s="58">
        <v>0</v>
      </c>
      <c r="O3303" s="58">
        <v>346.43999999999994</v>
      </c>
      <c r="P3303" s="53">
        <v>14192.11</v>
      </c>
      <c r="Q3303" s="65">
        <v>14192.11</v>
      </c>
      <c r="R3303" s="65">
        <v>0</v>
      </c>
      <c r="S3303" s="65">
        <v>0</v>
      </c>
      <c r="T3303" s="65">
        <v>0</v>
      </c>
      <c r="U3303" s="58">
        <v>0</v>
      </c>
      <c r="V3303" s="65">
        <v>0</v>
      </c>
      <c r="W3303" s="65">
        <v>0</v>
      </c>
      <c r="X3303" s="65">
        <v>14192</v>
      </c>
      <c r="Y3303" s="65">
        <v>0</v>
      </c>
      <c r="Z3303" s="51">
        <v>0</v>
      </c>
      <c r="AA3303" s="51">
        <v>32</v>
      </c>
      <c r="AB3303" s="102">
        <v>0</v>
      </c>
      <c r="AC3303" s="81">
        <f t="shared" si="157"/>
        <v>307.82782260559173</v>
      </c>
      <c r="AD3303" s="82">
        <f t="shared" si="158"/>
        <v>48.028571428571432</v>
      </c>
      <c r="AE3303" s="218">
        <v>2.2216425953563968E-3</v>
      </c>
      <c r="AF3303">
        <v>4</v>
      </c>
      <c r="AH3303" t="str">
        <f t="shared" si="156"/>
        <v>Parbatta</v>
      </c>
      <c r="AJ3303" s="72">
        <v>0</v>
      </c>
      <c r="AK3303" s="72"/>
      <c r="AL3303" s="72"/>
      <c r="AM3303" s="72"/>
    </row>
    <row r="3304" spans="1:39" x14ac:dyDescent="0.25">
      <c r="A3304" s="37" t="s">
        <v>62</v>
      </c>
      <c r="B3304" s="66" t="s">
        <v>1676</v>
      </c>
      <c r="C3304" s="4">
        <v>1010</v>
      </c>
      <c r="D3304" s="41" t="s">
        <v>1311</v>
      </c>
      <c r="E3304" s="41">
        <v>10100016</v>
      </c>
      <c r="F3304" s="85" t="s">
        <v>1248</v>
      </c>
      <c r="G3304" s="39" t="s">
        <v>92</v>
      </c>
      <c r="H3304" s="52" t="s">
        <v>93</v>
      </c>
      <c r="I3304" s="52">
        <v>281.10000000000002</v>
      </c>
      <c r="J3304" s="49">
        <v>11929.279999999999</v>
      </c>
      <c r="K3304" s="58">
        <v>281.10000000000002</v>
      </c>
      <c r="L3304" s="58">
        <v>11880.699999999999</v>
      </c>
      <c r="M3304" s="58">
        <v>0</v>
      </c>
      <c r="N3304" s="58">
        <v>0</v>
      </c>
      <c r="O3304" s="58">
        <v>281.10000000000002</v>
      </c>
      <c r="P3304" s="53">
        <v>11880.699999999999</v>
      </c>
      <c r="Q3304" s="65">
        <v>11880.699999999999</v>
      </c>
      <c r="R3304" s="65">
        <v>0</v>
      </c>
      <c r="S3304" s="65">
        <v>0</v>
      </c>
      <c r="T3304" s="65">
        <v>0</v>
      </c>
      <c r="U3304" s="58">
        <v>0</v>
      </c>
      <c r="V3304" s="65">
        <v>0</v>
      </c>
      <c r="W3304" s="65">
        <v>0</v>
      </c>
      <c r="X3304" s="65">
        <v>11881</v>
      </c>
      <c r="Y3304" s="65">
        <v>0</v>
      </c>
      <c r="Z3304" s="51">
        <v>0</v>
      </c>
      <c r="AA3304" s="51">
        <v>48</v>
      </c>
      <c r="AB3304" s="102">
        <v>0</v>
      </c>
      <c r="AC3304" s="81">
        <f t="shared" si="157"/>
        <v>355.54431817858398</v>
      </c>
      <c r="AD3304" s="82">
        <f t="shared" si="158"/>
        <v>40.157142857142858</v>
      </c>
      <c r="AE3304" s="218">
        <v>4.0723329488451887E-3</v>
      </c>
      <c r="AF3304">
        <v>2</v>
      </c>
      <c r="AH3304" t="str">
        <f t="shared" si="156"/>
        <v>Parbatta</v>
      </c>
      <c r="AJ3304" s="72">
        <v>0</v>
      </c>
      <c r="AK3304" s="72"/>
      <c r="AL3304" s="72"/>
      <c r="AM3304" s="72"/>
    </row>
    <row r="3305" spans="1:39" x14ac:dyDescent="0.25">
      <c r="A3305" s="37" t="s">
        <v>62</v>
      </c>
      <c r="B3305" s="66" t="s">
        <v>1676</v>
      </c>
      <c r="C3305" s="4">
        <v>1010</v>
      </c>
      <c r="D3305" s="41" t="s">
        <v>1311</v>
      </c>
      <c r="E3305" s="41">
        <v>10100021</v>
      </c>
      <c r="F3305" s="85" t="s">
        <v>276</v>
      </c>
      <c r="G3305" s="39" t="s">
        <v>92</v>
      </c>
      <c r="H3305" s="52" t="s">
        <v>93</v>
      </c>
      <c r="I3305" s="52">
        <v>575.1</v>
      </c>
      <c r="J3305" s="49">
        <v>23747.690000000002</v>
      </c>
      <c r="K3305" s="58">
        <v>573.70000000000005</v>
      </c>
      <c r="L3305" s="58">
        <v>23689.85</v>
      </c>
      <c r="M3305" s="58">
        <v>1.4000000000000001</v>
      </c>
      <c r="N3305" s="58">
        <v>57.830000000000005</v>
      </c>
      <c r="O3305" s="58">
        <v>575.1</v>
      </c>
      <c r="P3305" s="53">
        <v>23747.68</v>
      </c>
      <c r="Q3305" s="65">
        <v>23747.68</v>
      </c>
      <c r="R3305" s="65">
        <v>0</v>
      </c>
      <c r="S3305" s="65">
        <v>57.830000000000005</v>
      </c>
      <c r="T3305" s="65">
        <v>0</v>
      </c>
      <c r="U3305" s="58">
        <v>0</v>
      </c>
      <c r="V3305" s="65">
        <v>0</v>
      </c>
      <c r="W3305" s="65">
        <v>0</v>
      </c>
      <c r="X3305" s="65">
        <v>23690</v>
      </c>
      <c r="Y3305" s="65">
        <v>0</v>
      </c>
      <c r="Z3305" s="51">
        <v>0</v>
      </c>
      <c r="AA3305" s="51">
        <v>0</v>
      </c>
      <c r="AB3305" s="102">
        <v>0</v>
      </c>
      <c r="AC3305" s="81">
        <f t="shared" si="157"/>
        <v>103.15028624587029</v>
      </c>
      <c r="AD3305" s="82">
        <f t="shared" si="158"/>
        <v>82.157142857142858</v>
      </c>
      <c r="AE3305" s="218">
        <v>4.2109358855691931E-7</v>
      </c>
      <c r="AF3305">
        <v>4</v>
      </c>
      <c r="AH3305" t="str">
        <f t="shared" si="156"/>
        <v>Parbatta</v>
      </c>
      <c r="AJ3305" s="72">
        <v>0</v>
      </c>
      <c r="AK3305" s="72"/>
      <c r="AL3305" s="72"/>
      <c r="AM3305" s="72"/>
    </row>
    <row r="3306" spans="1:39" x14ac:dyDescent="0.25">
      <c r="A3306" s="37" t="s">
        <v>62</v>
      </c>
      <c r="B3306" s="66" t="s">
        <v>1676</v>
      </c>
      <c r="C3306" s="4">
        <v>1010</v>
      </c>
      <c r="D3306" s="41" t="s">
        <v>1311</v>
      </c>
      <c r="E3306" s="41">
        <v>10100026</v>
      </c>
      <c r="F3306" s="85" t="s">
        <v>1312</v>
      </c>
      <c r="G3306" s="39" t="s">
        <v>1610</v>
      </c>
      <c r="H3306" s="52" t="s">
        <v>98</v>
      </c>
      <c r="I3306" s="52">
        <v>1072.8000000000002</v>
      </c>
      <c r="J3306" s="49">
        <v>49438.849999999991</v>
      </c>
      <c r="K3306" s="58">
        <v>0</v>
      </c>
      <c r="L3306" s="58">
        <v>0</v>
      </c>
      <c r="M3306" s="58">
        <v>0</v>
      </c>
      <c r="N3306" s="58">
        <v>0</v>
      </c>
      <c r="O3306" s="58">
        <v>0</v>
      </c>
      <c r="P3306" s="53">
        <v>0</v>
      </c>
      <c r="Q3306" s="65">
        <v>49438.849999999991</v>
      </c>
      <c r="R3306" s="65">
        <v>0</v>
      </c>
      <c r="S3306" s="65">
        <v>0</v>
      </c>
      <c r="T3306" s="65">
        <v>0</v>
      </c>
      <c r="U3306" s="58">
        <v>0</v>
      </c>
      <c r="V3306" s="65">
        <v>0</v>
      </c>
      <c r="W3306" s="65">
        <v>0</v>
      </c>
      <c r="X3306" s="65">
        <v>0</v>
      </c>
      <c r="Y3306" s="65">
        <v>0</v>
      </c>
      <c r="Z3306" s="51">
        <v>49438.849999999991</v>
      </c>
      <c r="AA3306" s="51">
        <v>0</v>
      </c>
      <c r="AB3306" s="102">
        <v>0</v>
      </c>
      <c r="AC3306" s="81">
        <f t="shared" si="157"/>
        <v>0</v>
      </c>
      <c r="AD3306" s="82">
        <f t="shared" si="158"/>
        <v>0</v>
      </c>
      <c r="AE3306" s="218">
        <v>0</v>
      </c>
      <c r="AF3306">
        <v>0</v>
      </c>
      <c r="AH3306" t="str">
        <f t="shared" si="156"/>
        <v>Parbatta</v>
      </c>
      <c r="AJ3306" s="72">
        <v>0</v>
      </c>
      <c r="AK3306" s="72"/>
      <c r="AL3306" s="72"/>
      <c r="AM3306" s="72"/>
    </row>
    <row r="3307" spans="1:39" x14ac:dyDescent="0.25">
      <c r="A3307" s="37" t="s">
        <v>62</v>
      </c>
      <c r="B3307" s="66" t="s">
        <v>1676</v>
      </c>
      <c r="C3307" s="4">
        <v>1010</v>
      </c>
      <c r="D3307" s="41" t="s">
        <v>1311</v>
      </c>
      <c r="E3307" s="41">
        <v>10100028</v>
      </c>
      <c r="F3307" s="85" t="s">
        <v>1499</v>
      </c>
      <c r="G3307" s="39" t="s">
        <v>1610</v>
      </c>
      <c r="H3307" s="52" t="s">
        <v>98</v>
      </c>
      <c r="I3307" s="52">
        <v>396.40000000000003</v>
      </c>
      <c r="J3307" s="49">
        <v>14421.279999999999</v>
      </c>
      <c r="K3307" s="58">
        <v>0</v>
      </c>
      <c r="L3307" s="58">
        <v>0</v>
      </c>
      <c r="M3307" s="58">
        <v>0</v>
      </c>
      <c r="N3307" s="58">
        <v>0</v>
      </c>
      <c r="O3307" s="58">
        <v>0</v>
      </c>
      <c r="P3307" s="53">
        <v>0</v>
      </c>
      <c r="Q3307" s="65">
        <v>14421.279999999999</v>
      </c>
      <c r="R3307" s="65">
        <v>0</v>
      </c>
      <c r="S3307" s="65">
        <v>0</v>
      </c>
      <c r="T3307" s="65">
        <v>0</v>
      </c>
      <c r="U3307" s="58">
        <v>0</v>
      </c>
      <c r="V3307" s="65">
        <v>0</v>
      </c>
      <c r="W3307" s="65">
        <v>0</v>
      </c>
      <c r="X3307" s="65">
        <v>0</v>
      </c>
      <c r="Y3307" s="65">
        <v>0</v>
      </c>
      <c r="Z3307" s="51">
        <v>14421.279999999999</v>
      </c>
      <c r="AA3307" s="51">
        <v>0</v>
      </c>
      <c r="AB3307" s="102">
        <v>0</v>
      </c>
      <c r="AC3307" s="81">
        <f t="shared" si="157"/>
        <v>220.90315882946516</v>
      </c>
      <c r="AD3307" s="82">
        <f t="shared" si="158"/>
        <v>56.628571428571433</v>
      </c>
      <c r="AE3307" s="218">
        <v>0</v>
      </c>
      <c r="AF3307">
        <v>0</v>
      </c>
      <c r="AH3307" t="str">
        <f t="shared" si="156"/>
        <v>Parbatta</v>
      </c>
      <c r="AJ3307" s="72">
        <v>0</v>
      </c>
      <c r="AK3307" s="72"/>
      <c r="AL3307" s="72"/>
      <c r="AM3307" s="72"/>
    </row>
    <row r="3308" spans="1:39" x14ac:dyDescent="0.25">
      <c r="A3308" s="37" t="s">
        <v>62</v>
      </c>
      <c r="B3308" s="66" t="s">
        <v>1676</v>
      </c>
      <c r="C3308" s="4">
        <v>1007</v>
      </c>
      <c r="D3308" s="41" t="s">
        <v>203</v>
      </c>
      <c r="E3308" s="41">
        <v>10100035</v>
      </c>
      <c r="F3308" s="85" t="s">
        <v>279</v>
      </c>
      <c r="G3308" s="39" t="s">
        <v>92</v>
      </c>
      <c r="H3308" s="52" t="s">
        <v>93</v>
      </c>
      <c r="I3308" s="52">
        <v>151.69999999999999</v>
      </c>
      <c r="J3308" s="49">
        <v>7095.68</v>
      </c>
      <c r="K3308" s="58">
        <v>272</v>
      </c>
      <c r="L3308" s="58">
        <v>14055.74</v>
      </c>
      <c r="M3308" s="58">
        <v>0</v>
      </c>
      <c r="N3308" s="58">
        <v>0</v>
      </c>
      <c r="O3308" s="58">
        <v>272</v>
      </c>
      <c r="P3308" s="53">
        <v>14055.74</v>
      </c>
      <c r="Q3308" s="65">
        <v>7095.68</v>
      </c>
      <c r="R3308" s="65">
        <v>0</v>
      </c>
      <c r="S3308" s="65">
        <v>0</v>
      </c>
      <c r="T3308" s="65">
        <v>6960.0599999999995</v>
      </c>
      <c r="U3308" s="58">
        <v>0</v>
      </c>
      <c r="V3308" s="65">
        <v>500</v>
      </c>
      <c r="W3308" s="65">
        <v>0</v>
      </c>
      <c r="X3308" s="65">
        <v>6596</v>
      </c>
      <c r="Y3308" s="65">
        <v>0</v>
      </c>
      <c r="Z3308" s="51">
        <v>0</v>
      </c>
      <c r="AA3308" s="51">
        <v>0</v>
      </c>
      <c r="AB3308" s="102">
        <v>0</v>
      </c>
      <c r="AC3308" s="81">
        <f t="shared" si="157"/>
        <v>512.92832485168105</v>
      </c>
      <c r="AD3308" s="82">
        <f t="shared" si="158"/>
        <v>21.671428571428571</v>
      </c>
      <c r="AE3308" s="218">
        <v>-0.98088696220799121</v>
      </c>
      <c r="AF3308">
        <v>1</v>
      </c>
      <c r="AH3308" t="str">
        <f t="shared" si="156"/>
        <v>Araria</v>
      </c>
      <c r="AJ3308" s="72">
        <v>500</v>
      </c>
      <c r="AK3308" s="72"/>
      <c r="AL3308" s="72"/>
      <c r="AM3308" s="72"/>
    </row>
    <row r="3309" spans="1:39" x14ac:dyDescent="0.25">
      <c r="A3309" s="37" t="s">
        <v>62</v>
      </c>
      <c r="B3309" s="66" t="s">
        <v>1676</v>
      </c>
      <c r="C3309" s="4">
        <v>1010</v>
      </c>
      <c r="D3309" s="41" t="s">
        <v>1311</v>
      </c>
      <c r="E3309" s="41">
        <v>10100037</v>
      </c>
      <c r="F3309" s="85" t="s">
        <v>280</v>
      </c>
      <c r="G3309" s="39" t="s">
        <v>92</v>
      </c>
      <c r="H3309" s="52" t="s">
        <v>93</v>
      </c>
      <c r="I3309" s="52">
        <v>262.3</v>
      </c>
      <c r="J3309" s="49">
        <v>12138.380000000001</v>
      </c>
      <c r="K3309" s="58">
        <v>319.5</v>
      </c>
      <c r="L3309" s="58">
        <v>15196.27</v>
      </c>
      <c r="M3309" s="58">
        <v>0</v>
      </c>
      <c r="N3309" s="58">
        <v>0</v>
      </c>
      <c r="O3309" s="58">
        <v>319.5</v>
      </c>
      <c r="P3309" s="53">
        <v>15196.27</v>
      </c>
      <c r="Q3309" s="65">
        <v>12138.380000000001</v>
      </c>
      <c r="R3309" s="65">
        <v>0</v>
      </c>
      <c r="S3309" s="65">
        <v>0</v>
      </c>
      <c r="T3309" s="65">
        <v>3057.8899999999994</v>
      </c>
      <c r="U3309" s="58">
        <v>0</v>
      </c>
      <c r="V3309" s="65">
        <v>500</v>
      </c>
      <c r="W3309" s="65">
        <v>0</v>
      </c>
      <c r="X3309" s="65">
        <v>11638</v>
      </c>
      <c r="Y3309" s="65">
        <v>0</v>
      </c>
      <c r="Z3309" s="51">
        <v>0</v>
      </c>
      <c r="AA3309" s="51">
        <v>0</v>
      </c>
      <c r="AB3309" s="102">
        <v>0</v>
      </c>
      <c r="AC3309" s="81">
        <f t="shared" si="157"/>
        <v>405.10628486465885</v>
      </c>
      <c r="AD3309" s="82">
        <f t="shared" si="158"/>
        <v>37.471428571428575</v>
      </c>
      <c r="AE3309" s="218">
        <v>-0.25191911935530104</v>
      </c>
      <c r="AF3309">
        <v>2</v>
      </c>
      <c r="AH3309" t="str">
        <f t="shared" si="156"/>
        <v>Parbatta</v>
      </c>
      <c r="AJ3309" s="72">
        <v>500</v>
      </c>
      <c r="AK3309" s="72"/>
      <c r="AL3309" s="72"/>
      <c r="AM3309" s="72"/>
    </row>
    <row r="3310" spans="1:39" x14ac:dyDescent="0.25">
      <c r="A3310" s="37" t="s">
        <v>62</v>
      </c>
      <c r="B3310" s="66" t="s">
        <v>1676</v>
      </c>
      <c r="C3310" s="4">
        <v>1007</v>
      </c>
      <c r="D3310" s="41" t="s">
        <v>203</v>
      </c>
      <c r="E3310" s="41">
        <v>10100044</v>
      </c>
      <c r="F3310" s="85" t="s">
        <v>1249</v>
      </c>
      <c r="G3310" s="39" t="s">
        <v>1610</v>
      </c>
      <c r="H3310" s="52" t="s">
        <v>98</v>
      </c>
      <c r="I3310" s="52">
        <v>953.49999999999989</v>
      </c>
      <c r="J3310" s="49">
        <v>37352.409999999996</v>
      </c>
      <c r="K3310" s="58">
        <v>0</v>
      </c>
      <c r="L3310" s="58">
        <v>0</v>
      </c>
      <c r="M3310" s="58">
        <v>0</v>
      </c>
      <c r="N3310" s="58">
        <v>0</v>
      </c>
      <c r="O3310" s="58">
        <v>0</v>
      </c>
      <c r="P3310" s="53">
        <v>0</v>
      </c>
      <c r="Q3310" s="65">
        <v>37352.409999999996</v>
      </c>
      <c r="R3310" s="65">
        <v>0</v>
      </c>
      <c r="S3310" s="65">
        <v>0</v>
      </c>
      <c r="T3310" s="65">
        <v>0</v>
      </c>
      <c r="U3310" s="58">
        <v>0</v>
      </c>
      <c r="V3310" s="65">
        <v>0</v>
      </c>
      <c r="W3310" s="65">
        <v>0</v>
      </c>
      <c r="X3310" s="65">
        <v>0</v>
      </c>
      <c r="Y3310" s="65">
        <v>0</v>
      </c>
      <c r="Z3310" s="51">
        <v>37352.409999999996</v>
      </c>
      <c r="AA3310" s="51">
        <v>0</v>
      </c>
      <c r="AB3310" s="102">
        <v>0</v>
      </c>
      <c r="AC3310" s="81">
        <f t="shared" si="157"/>
        <v>0</v>
      </c>
      <c r="AD3310" s="82">
        <f t="shared" si="158"/>
        <v>0</v>
      </c>
      <c r="AE3310" s="218">
        <v>0</v>
      </c>
      <c r="AF3310">
        <v>0</v>
      </c>
      <c r="AH3310" t="str">
        <f t="shared" si="156"/>
        <v>Araria</v>
      </c>
      <c r="AJ3310" s="72">
        <v>0</v>
      </c>
      <c r="AK3310" s="72"/>
      <c r="AL3310" s="72"/>
      <c r="AM3310" s="72"/>
    </row>
    <row r="3311" spans="1:39" x14ac:dyDescent="0.25">
      <c r="A3311" s="37" t="s">
        <v>62</v>
      </c>
      <c r="B3311" s="66" t="s">
        <v>1676</v>
      </c>
      <c r="C3311" s="4">
        <v>1010</v>
      </c>
      <c r="D3311" s="41" t="s">
        <v>1311</v>
      </c>
      <c r="E3311" s="41">
        <v>10100045</v>
      </c>
      <c r="F3311" s="85" t="s">
        <v>423</v>
      </c>
      <c r="G3311" s="39" t="s">
        <v>92</v>
      </c>
      <c r="H3311" s="52" t="s">
        <v>93</v>
      </c>
      <c r="I3311" s="52">
        <v>2226</v>
      </c>
      <c r="J3311" s="49">
        <v>83432.010000000009</v>
      </c>
      <c r="K3311" s="58">
        <v>2243.56</v>
      </c>
      <c r="L3311" s="58">
        <v>86588.83</v>
      </c>
      <c r="M3311" s="58">
        <v>3.7699999999999996</v>
      </c>
      <c r="N3311" s="58">
        <v>145.72</v>
      </c>
      <c r="O3311" s="58">
        <v>2247.33</v>
      </c>
      <c r="P3311" s="53">
        <v>86734.55</v>
      </c>
      <c r="Q3311" s="65">
        <v>83432.010000000009</v>
      </c>
      <c r="R3311" s="65">
        <v>0</v>
      </c>
      <c r="S3311" s="65">
        <v>145.72</v>
      </c>
      <c r="T3311" s="65">
        <v>3302.5399999999936</v>
      </c>
      <c r="U3311" s="58">
        <v>0</v>
      </c>
      <c r="V3311" s="65">
        <v>0</v>
      </c>
      <c r="W3311" s="65">
        <v>0</v>
      </c>
      <c r="X3311" s="65">
        <v>83286</v>
      </c>
      <c r="Y3311" s="65">
        <v>0</v>
      </c>
      <c r="Z3311" s="51">
        <v>0</v>
      </c>
      <c r="AA3311" s="51">
        <v>0</v>
      </c>
      <c r="AB3311" s="102">
        <v>0</v>
      </c>
      <c r="AC3311" s="81">
        <f t="shared" si="157"/>
        <v>0</v>
      </c>
      <c r="AD3311" s="82">
        <f t="shared" si="158"/>
        <v>0</v>
      </c>
      <c r="AE3311" s="218">
        <v>-3.9583608257789706E-2</v>
      </c>
      <c r="AF3311">
        <v>4</v>
      </c>
      <c r="AH3311" t="str">
        <f t="shared" si="156"/>
        <v>Parbatta</v>
      </c>
      <c r="AJ3311" s="72">
        <v>0</v>
      </c>
      <c r="AK3311" s="72"/>
      <c r="AL3311" s="72"/>
      <c r="AM3311" s="72"/>
    </row>
    <row r="3312" spans="1:39" x14ac:dyDescent="0.25">
      <c r="A3312" s="37" t="s">
        <v>62</v>
      </c>
      <c r="B3312" s="66" t="s">
        <v>1676</v>
      </c>
      <c r="C3312" s="4">
        <v>1007</v>
      </c>
      <c r="D3312" s="41" t="s">
        <v>203</v>
      </c>
      <c r="E3312" s="41">
        <v>10100049</v>
      </c>
      <c r="F3312" s="85" t="s">
        <v>603</v>
      </c>
      <c r="G3312" s="39" t="s">
        <v>92</v>
      </c>
      <c r="H3312" s="52" t="s">
        <v>93</v>
      </c>
      <c r="I3312" s="52">
        <v>949.19999999999993</v>
      </c>
      <c r="J3312" s="49">
        <v>37038.759999999995</v>
      </c>
      <c r="K3312" s="58">
        <v>949.2</v>
      </c>
      <c r="L3312" s="58">
        <v>37075.75</v>
      </c>
      <c r="M3312" s="58">
        <v>0</v>
      </c>
      <c r="N3312" s="58">
        <v>0</v>
      </c>
      <c r="O3312" s="58">
        <v>949.2</v>
      </c>
      <c r="P3312" s="53">
        <v>37075.75</v>
      </c>
      <c r="Q3312" s="65">
        <v>37038.759999999995</v>
      </c>
      <c r="R3312" s="65">
        <v>0</v>
      </c>
      <c r="S3312" s="65">
        <v>0</v>
      </c>
      <c r="T3312" s="65">
        <v>36.990000000005239</v>
      </c>
      <c r="U3312" s="58">
        <v>0</v>
      </c>
      <c r="V3312" s="65">
        <v>0</v>
      </c>
      <c r="W3312" s="65">
        <v>0</v>
      </c>
      <c r="X3312" s="65">
        <v>37039</v>
      </c>
      <c r="Y3312" s="65">
        <v>0</v>
      </c>
      <c r="Z3312" s="51">
        <v>0</v>
      </c>
      <c r="AA3312" s="51">
        <v>0</v>
      </c>
      <c r="AB3312" s="102">
        <v>0</v>
      </c>
      <c r="AC3312" s="81">
        <f t="shared" si="157"/>
        <v>0</v>
      </c>
      <c r="AD3312" s="82">
        <f t="shared" si="158"/>
        <v>0</v>
      </c>
      <c r="AE3312" s="218">
        <v>-9.986835412418031E-4</v>
      </c>
      <c r="AF3312">
        <v>1</v>
      </c>
      <c r="AH3312" t="str">
        <f t="shared" si="156"/>
        <v>Araria</v>
      </c>
      <c r="AJ3312" s="72">
        <v>0</v>
      </c>
      <c r="AK3312" s="72"/>
      <c r="AL3312" s="72"/>
      <c r="AM3312" s="72"/>
    </row>
    <row r="3313" spans="1:39" x14ac:dyDescent="0.25">
      <c r="A3313" s="37" t="s">
        <v>62</v>
      </c>
      <c r="B3313" s="66" t="s">
        <v>1676</v>
      </c>
      <c r="C3313" s="4">
        <v>1007</v>
      </c>
      <c r="D3313" s="41" t="s">
        <v>203</v>
      </c>
      <c r="E3313" s="41">
        <v>10100051</v>
      </c>
      <c r="F3313" s="85" t="s">
        <v>440</v>
      </c>
      <c r="G3313" s="39" t="s">
        <v>92</v>
      </c>
      <c r="H3313" s="52" t="s">
        <v>93</v>
      </c>
      <c r="I3313" s="52">
        <v>1570.7000000000003</v>
      </c>
      <c r="J3313" s="49">
        <v>62573.11</v>
      </c>
      <c r="K3313" s="58">
        <v>1579</v>
      </c>
      <c r="L3313" s="58">
        <v>63125.41</v>
      </c>
      <c r="M3313" s="58">
        <v>0</v>
      </c>
      <c r="N3313" s="58">
        <v>0</v>
      </c>
      <c r="O3313" s="58">
        <v>1579</v>
      </c>
      <c r="P3313" s="53">
        <v>63125.41</v>
      </c>
      <c r="Q3313" s="65">
        <v>62573.11</v>
      </c>
      <c r="R3313" s="65">
        <v>0</v>
      </c>
      <c r="S3313" s="65">
        <v>0</v>
      </c>
      <c r="T3313" s="65">
        <v>552.30000000000291</v>
      </c>
      <c r="U3313" s="58">
        <v>0</v>
      </c>
      <c r="V3313" s="65">
        <v>0</v>
      </c>
      <c r="W3313" s="65">
        <v>0</v>
      </c>
      <c r="X3313" s="65">
        <v>62573</v>
      </c>
      <c r="Y3313" s="65">
        <v>0</v>
      </c>
      <c r="Z3313" s="51">
        <v>0</v>
      </c>
      <c r="AA3313" s="51">
        <v>0</v>
      </c>
      <c r="AB3313" s="102">
        <v>0</v>
      </c>
      <c r="AC3313" s="81">
        <f t="shared" si="157"/>
        <v>0</v>
      </c>
      <c r="AD3313" s="82">
        <f t="shared" si="158"/>
        <v>0</v>
      </c>
      <c r="AE3313" s="218">
        <v>-8.8264751424374285E-3</v>
      </c>
      <c r="AF3313">
        <v>3</v>
      </c>
      <c r="AH3313" t="str">
        <f t="shared" si="156"/>
        <v>Araria</v>
      </c>
      <c r="AJ3313" s="72">
        <v>0</v>
      </c>
      <c r="AK3313" s="72"/>
      <c r="AL3313" s="72"/>
      <c r="AM3313" s="72"/>
    </row>
    <row r="3314" spans="1:39" x14ac:dyDescent="0.25">
      <c r="A3314" s="37" t="s">
        <v>62</v>
      </c>
      <c r="B3314" s="66" t="s">
        <v>1676</v>
      </c>
      <c r="C3314" s="4">
        <v>1010</v>
      </c>
      <c r="D3314" s="41" t="s">
        <v>1311</v>
      </c>
      <c r="E3314" s="41">
        <v>10100054</v>
      </c>
      <c r="F3314" s="85" t="s">
        <v>495</v>
      </c>
      <c r="G3314" s="39" t="s">
        <v>92</v>
      </c>
      <c r="H3314" s="52" t="s">
        <v>93</v>
      </c>
      <c r="I3314" s="52">
        <v>354.4</v>
      </c>
      <c r="J3314" s="49">
        <v>15993.2</v>
      </c>
      <c r="K3314" s="58">
        <v>443.2</v>
      </c>
      <c r="L3314" s="58">
        <v>19103.12</v>
      </c>
      <c r="M3314" s="58">
        <v>3.04</v>
      </c>
      <c r="N3314" s="58">
        <v>130.78</v>
      </c>
      <c r="O3314" s="58">
        <v>446.24</v>
      </c>
      <c r="P3314" s="53">
        <v>19233.899999999998</v>
      </c>
      <c r="Q3314" s="65">
        <v>15993.2</v>
      </c>
      <c r="R3314" s="65">
        <v>0</v>
      </c>
      <c r="S3314" s="65">
        <v>130.78</v>
      </c>
      <c r="T3314" s="65">
        <v>3240.6999999999971</v>
      </c>
      <c r="U3314" s="58">
        <v>0</v>
      </c>
      <c r="V3314" s="65">
        <v>0</v>
      </c>
      <c r="W3314" s="65">
        <v>0</v>
      </c>
      <c r="X3314" s="65">
        <v>15862</v>
      </c>
      <c r="Y3314" s="65">
        <v>0</v>
      </c>
      <c r="Z3314" s="51">
        <v>0</v>
      </c>
      <c r="AA3314" s="51">
        <v>0</v>
      </c>
      <c r="AB3314" s="102">
        <v>0</v>
      </c>
      <c r="AC3314" s="81">
        <f t="shared" si="157"/>
        <v>311.92155304740413</v>
      </c>
      <c r="AD3314" s="82">
        <f t="shared" si="158"/>
        <v>50.628571428571426</v>
      </c>
      <c r="AE3314" s="218">
        <v>-0.20262986769376967</v>
      </c>
      <c r="AF3314">
        <v>5</v>
      </c>
      <c r="AH3314" t="str">
        <f t="shared" si="156"/>
        <v>Parbatta</v>
      </c>
      <c r="AJ3314" s="72">
        <v>0</v>
      </c>
      <c r="AK3314" s="72"/>
      <c r="AL3314" s="72"/>
      <c r="AM3314" s="72"/>
    </row>
    <row r="3315" spans="1:39" x14ac:dyDescent="0.25">
      <c r="A3315" s="37" t="s">
        <v>62</v>
      </c>
      <c r="B3315" s="66" t="s">
        <v>1676</v>
      </c>
      <c r="C3315" s="4">
        <v>1010</v>
      </c>
      <c r="D3315" s="41" t="s">
        <v>1311</v>
      </c>
      <c r="E3315" s="41">
        <v>10100058</v>
      </c>
      <c r="F3315" s="85" t="s">
        <v>1642</v>
      </c>
      <c r="G3315" s="39" t="s">
        <v>1610</v>
      </c>
      <c r="H3315" s="52" t="s">
        <v>98</v>
      </c>
      <c r="I3315" s="52">
        <v>680</v>
      </c>
      <c r="J3315" s="49">
        <v>31538.100000000002</v>
      </c>
      <c r="K3315" s="58">
        <v>0</v>
      </c>
      <c r="L3315" s="58">
        <v>0</v>
      </c>
      <c r="M3315" s="58">
        <v>0</v>
      </c>
      <c r="N3315" s="58">
        <v>0</v>
      </c>
      <c r="O3315" s="58">
        <v>0</v>
      </c>
      <c r="P3315" s="53">
        <v>0</v>
      </c>
      <c r="Q3315" s="65">
        <v>31538.100000000002</v>
      </c>
      <c r="R3315" s="65">
        <v>0</v>
      </c>
      <c r="S3315" s="65">
        <v>0</v>
      </c>
      <c r="T3315" s="65">
        <v>0</v>
      </c>
      <c r="U3315" s="58">
        <v>0</v>
      </c>
      <c r="V3315" s="65">
        <v>0</v>
      </c>
      <c r="W3315" s="65">
        <v>0</v>
      </c>
      <c r="X3315" s="65">
        <v>0</v>
      </c>
      <c r="Y3315" s="65">
        <v>0</v>
      </c>
      <c r="Z3315" s="51">
        <v>31538.100000000002</v>
      </c>
      <c r="AA3315" s="51">
        <v>0</v>
      </c>
      <c r="AB3315" s="102">
        <v>0</v>
      </c>
      <c r="AC3315" s="81">
        <f t="shared" si="157"/>
        <v>18.551823529411791</v>
      </c>
      <c r="AD3315" s="82">
        <f t="shared" si="158"/>
        <v>97.142857142857139</v>
      </c>
      <c r="AE3315" s="218">
        <v>0</v>
      </c>
      <c r="AF3315">
        <v>0</v>
      </c>
      <c r="AH3315" t="str">
        <f t="shared" si="156"/>
        <v>Parbatta</v>
      </c>
      <c r="AJ3315" s="72">
        <v>0</v>
      </c>
      <c r="AK3315" s="72"/>
      <c r="AL3315" s="72"/>
      <c r="AM3315" s="72"/>
    </row>
    <row r="3316" spans="1:39" x14ac:dyDescent="0.25">
      <c r="A3316" s="37" t="s">
        <v>62</v>
      </c>
      <c r="B3316" s="66" t="s">
        <v>1676</v>
      </c>
      <c r="C3316" s="4">
        <v>1010</v>
      </c>
      <c r="D3316" s="41" t="s">
        <v>1311</v>
      </c>
      <c r="E3316" s="41">
        <v>10100059</v>
      </c>
      <c r="F3316" s="85" t="s">
        <v>1616</v>
      </c>
      <c r="G3316" s="39" t="s">
        <v>1610</v>
      </c>
      <c r="H3316" s="52" t="s">
        <v>98</v>
      </c>
      <c r="I3316" s="52">
        <v>1184.3</v>
      </c>
      <c r="J3316" s="49">
        <v>56871.739999999991</v>
      </c>
      <c r="K3316" s="58">
        <v>0</v>
      </c>
      <c r="L3316" s="58">
        <v>0</v>
      </c>
      <c r="M3316" s="58">
        <v>0</v>
      </c>
      <c r="N3316" s="58">
        <v>0</v>
      </c>
      <c r="O3316" s="58">
        <v>0</v>
      </c>
      <c r="P3316" s="53">
        <v>0</v>
      </c>
      <c r="Q3316" s="65">
        <v>56871.739999999991</v>
      </c>
      <c r="R3316" s="65">
        <v>0</v>
      </c>
      <c r="S3316" s="65">
        <v>0</v>
      </c>
      <c r="T3316" s="65">
        <v>0</v>
      </c>
      <c r="U3316" s="58">
        <v>0</v>
      </c>
      <c r="V3316" s="65">
        <v>0</v>
      </c>
      <c r="W3316" s="65">
        <v>0</v>
      </c>
      <c r="X3316" s="65">
        <v>0</v>
      </c>
      <c r="Y3316" s="65">
        <v>0</v>
      </c>
      <c r="Z3316" s="51">
        <v>56871.739999999991</v>
      </c>
      <c r="AA3316" s="51">
        <v>0</v>
      </c>
      <c r="AB3316" s="102">
        <v>0</v>
      </c>
      <c r="AC3316" s="81">
        <f t="shared" si="157"/>
        <v>0</v>
      </c>
      <c r="AD3316" s="82">
        <f t="shared" si="158"/>
        <v>0</v>
      </c>
      <c r="AE3316" s="218">
        <v>0</v>
      </c>
      <c r="AF3316">
        <v>0</v>
      </c>
      <c r="AH3316" t="str">
        <f t="shared" si="156"/>
        <v>Parbatta</v>
      </c>
      <c r="AJ3316" s="72">
        <v>0</v>
      </c>
      <c r="AK3316" s="72"/>
      <c r="AL3316" s="72"/>
      <c r="AM3316" s="72"/>
    </row>
    <row r="3317" spans="1:39" x14ac:dyDescent="0.25">
      <c r="A3317" s="37" t="s">
        <v>62</v>
      </c>
      <c r="B3317" s="66" t="s">
        <v>1676</v>
      </c>
      <c r="C3317" s="4">
        <v>1007</v>
      </c>
      <c r="D3317" s="41" t="s">
        <v>203</v>
      </c>
      <c r="E3317" s="41">
        <v>10100060</v>
      </c>
      <c r="F3317" s="85" t="s">
        <v>496</v>
      </c>
      <c r="G3317" s="39" t="s">
        <v>92</v>
      </c>
      <c r="H3317" s="52" t="s">
        <v>93</v>
      </c>
      <c r="I3317" s="52">
        <v>194.9</v>
      </c>
      <c r="J3317" s="49">
        <v>7586.24</v>
      </c>
      <c r="K3317" s="58">
        <v>194.9</v>
      </c>
      <c r="L3317" s="58">
        <v>7581.76</v>
      </c>
      <c r="M3317" s="58">
        <v>0.1</v>
      </c>
      <c r="N3317" s="58">
        <v>3.95</v>
      </c>
      <c r="O3317" s="58">
        <v>195</v>
      </c>
      <c r="P3317" s="53">
        <v>7585.71</v>
      </c>
      <c r="Q3317" s="65">
        <v>7585.71</v>
      </c>
      <c r="R3317" s="65">
        <v>0</v>
      </c>
      <c r="S3317" s="65">
        <v>3.95</v>
      </c>
      <c r="T3317" s="65">
        <v>0</v>
      </c>
      <c r="U3317" s="58">
        <v>0</v>
      </c>
      <c r="V3317" s="65">
        <v>0</v>
      </c>
      <c r="W3317" s="65">
        <v>0</v>
      </c>
      <c r="X3317" s="65">
        <v>7581</v>
      </c>
      <c r="Y3317" s="65">
        <v>0</v>
      </c>
      <c r="Z3317" s="51">
        <v>0</v>
      </c>
      <c r="AA3317" s="51">
        <v>1</v>
      </c>
      <c r="AB3317" s="102">
        <v>0</v>
      </c>
      <c r="AC3317" s="81">
        <f t="shared" si="157"/>
        <v>393.20778081067215</v>
      </c>
      <c r="AD3317" s="82">
        <f t="shared" si="158"/>
        <v>27.842857142857145</v>
      </c>
      <c r="AE3317" s="218">
        <v>6.9863331505428961E-5</v>
      </c>
      <c r="AF3317">
        <v>5</v>
      </c>
      <c r="AH3317" t="str">
        <f t="shared" ref="AH3317:AH3380" si="159">TEXT(D3317,"0000")</f>
        <v>Araria</v>
      </c>
      <c r="AJ3317" s="72">
        <v>0</v>
      </c>
      <c r="AK3317" s="72"/>
      <c r="AL3317" s="72"/>
      <c r="AM3317" s="72"/>
    </row>
    <row r="3318" spans="1:39" x14ac:dyDescent="0.25">
      <c r="A3318" s="37" t="s">
        <v>62</v>
      </c>
      <c r="B3318" s="66" t="s">
        <v>1676</v>
      </c>
      <c r="C3318" s="4">
        <v>1010</v>
      </c>
      <c r="D3318" s="41" t="s">
        <v>1311</v>
      </c>
      <c r="E3318" s="41">
        <v>10100062</v>
      </c>
      <c r="F3318" s="85" t="s">
        <v>1313</v>
      </c>
      <c r="G3318" s="39" t="s">
        <v>1610</v>
      </c>
      <c r="H3318" s="52" t="s">
        <v>98</v>
      </c>
      <c r="I3318" s="52">
        <v>5498.4</v>
      </c>
      <c r="J3318" s="49">
        <v>225968.65</v>
      </c>
      <c r="K3318" s="58">
        <v>0</v>
      </c>
      <c r="L3318" s="58">
        <v>0</v>
      </c>
      <c r="M3318" s="58">
        <v>0</v>
      </c>
      <c r="N3318" s="58">
        <v>0</v>
      </c>
      <c r="O3318" s="58">
        <v>0</v>
      </c>
      <c r="P3318" s="53">
        <v>0</v>
      </c>
      <c r="Q3318" s="65">
        <v>225968.65</v>
      </c>
      <c r="R3318" s="65">
        <v>0</v>
      </c>
      <c r="S3318" s="65">
        <v>0</v>
      </c>
      <c r="T3318" s="65">
        <v>0</v>
      </c>
      <c r="U3318" s="58">
        <v>0</v>
      </c>
      <c r="V3318" s="65">
        <v>0</v>
      </c>
      <c r="W3318" s="65">
        <v>0</v>
      </c>
      <c r="X3318" s="65">
        <v>0</v>
      </c>
      <c r="Y3318" s="65">
        <v>0</v>
      </c>
      <c r="Z3318" s="51">
        <v>225968.65</v>
      </c>
      <c r="AA3318" s="51">
        <v>0</v>
      </c>
      <c r="AB3318" s="102">
        <v>0</v>
      </c>
      <c r="AC3318" s="81">
        <f t="shared" si="157"/>
        <v>0</v>
      </c>
      <c r="AD3318" s="82">
        <f t="shared" si="158"/>
        <v>0</v>
      </c>
      <c r="AE3318" s="218">
        <v>0</v>
      </c>
      <c r="AF3318">
        <v>0</v>
      </c>
      <c r="AH3318" t="str">
        <f t="shared" si="159"/>
        <v>Parbatta</v>
      </c>
      <c r="AJ3318" s="72">
        <v>0</v>
      </c>
      <c r="AK3318" s="72"/>
      <c r="AL3318" s="72"/>
      <c r="AM3318" s="72"/>
    </row>
    <row r="3319" spans="1:39" x14ac:dyDescent="0.25">
      <c r="A3319" s="37" t="s">
        <v>62</v>
      </c>
      <c r="B3319" s="66" t="s">
        <v>1676</v>
      </c>
      <c r="C3319" s="4">
        <v>1010</v>
      </c>
      <c r="D3319" s="41" t="s">
        <v>1311</v>
      </c>
      <c r="E3319" s="41">
        <v>10100065</v>
      </c>
      <c r="F3319" s="85" t="s">
        <v>1333</v>
      </c>
      <c r="G3319" s="39" t="s">
        <v>1610</v>
      </c>
      <c r="H3319" s="52" t="s">
        <v>98</v>
      </c>
      <c r="I3319" s="52">
        <v>198.60000000000002</v>
      </c>
      <c r="J3319" s="49">
        <v>7626.21</v>
      </c>
      <c r="K3319" s="58">
        <v>0</v>
      </c>
      <c r="L3319" s="58">
        <v>0</v>
      </c>
      <c r="M3319" s="58">
        <v>0</v>
      </c>
      <c r="N3319" s="58">
        <v>0</v>
      </c>
      <c r="O3319" s="58">
        <v>0</v>
      </c>
      <c r="P3319" s="53">
        <v>0</v>
      </c>
      <c r="Q3319" s="65">
        <v>7626.21</v>
      </c>
      <c r="R3319" s="65">
        <v>0</v>
      </c>
      <c r="S3319" s="65">
        <v>0</v>
      </c>
      <c r="T3319" s="65">
        <v>0</v>
      </c>
      <c r="U3319" s="58">
        <v>0</v>
      </c>
      <c r="V3319" s="65">
        <v>0</v>
      </c>
      <c r="W3319" s="65">
        <v>0</v>
      </c>
      <c r="X3319" s="65">
        <v>0</v>
      </c>
      <c r="Y3319" s="65">
        <v>0</v>
      </c>
      <c r="Z3319" s="51">
        <v>7626.21</v>
      </c>
      <c r="AA3319" s="51">
        <v>0</v>
      </c>
      <c r="AB3319" s="102">
        <v>0</v>
      </c>
      <c r="AC3319" s="81">
        <f t="shared" si="157"/>
        <v>385.07368519637458</v>
      </c>
      <c r="AD3319" s="82">
        <f t="shared" si="158"/>
        <v>28.371428571428574</v>
      </c>
      <c r="AE3319" s="218">
        <v>0</v>
      </c>
      <c r="AF3319">
        <v>0</v>
      </c>
      <c r="AH3319" t="str">
        <f t="shared" si="159"/>
        <v>Parbatta</v>
      </c>
      <c r="AJ3319" s="72">
        <v>0</v>
      </c>
      <c r="AK3319" s="72"/>
      <c r="AL3319" s="72"/>
      <c r="AM3319" s="72"/>
    </row>
    <row r="3320" spans="1:39" x14ac:dyDescent="0.25">
      <c r="A3320" s="37" t="s">
        <v>62</v>
      </c>
      <c r="B3320" s="66" t="s">
        <v>1676</v>
      </c>
      <c r="C3320" s="4">
        <v>1010</v>
      </c>
      <c r="D3320" s="41" t="s">
        <v>1311</v>
      </c>
      <c r="E3320" s="41">
        <v>10100066</v>
      </c>
      <c r="F3320" s="85" t="s">
        <v>1643</v>
      </c>
      <c r="G3320" s="39" t="s">
        <v>1610</v>
      </c>
      <c r="H3320" s="52" t="s">
        <v>98</v>
      </c>
      <c r="I3320" s="52">
        <v>986.70000000000016</v>
      </c>
      <c r="J3320" s="49">
        <v>51014.259999999995</v>
      </c>
      <c r="K3320" s="58">
        <v>0</v>
      </c>
      <c r="L3320" s="58">
        <v>0</v>
      </c>
      <c r="M3320" s="58">
        <v>0</v>
      </c>
      <c r="N3320" s="58">
        <v>0</v>
      </c>
      <c r="O3320" s="58">
        <v>0</v>
      </c>
      <c r="P3320" s="53">
        <v>0</v>
      </c>
      <c r="Q3320" s="65">
        <v>51014.259999999995</v>
      </c>
      <c r="R3320" s="65">
        <v>0</v>
      </c>
      <c r="S3320" s="65">
        <v>0</v>
      </c>
      <c r="T3320" s="65">
        <v>0</v>
      </c>
      <c r="U3320" s="58">
        <v>0</v>
      </c>
      <c r="V3320" s="65">
        <v>0</v>
      </c>
      <c r="W3320" s="65">
        <v>0</v>
      </c>
      <c r="X3320" s="65">
        <v>0</v>
      </c>
      <c r="Y3320" s="65">
        <v>0</v>
      </c>
      <c r="Z3320" s="51">
        <v>51014.259999999995</v>
      </c>
      <c r="AA3320" s="51">
        <v>0</v>
      </c>
      <c r="AB3320" s="102">
        <v>0</v>
      </c>
      <c r="AC3320" s="81">
        <f t="shared" si="157"/>
        <v>0</v>
      </c>
      <c r="AD3320" s="82">
        <f t="shared" si="158"/>
        <v>0</v>
      </c>
      <c r="AE3320" s="218">
        <v>0</v>
      </c>
      <c r="AF3320">
        <v>0</v>
      </c>
      <c r="AH3320" t="str">
        <f t="shared" si="159"/>
        <v>Parbatta</v>
      </c>
      <c r="AJ3320" s="72">
        <v>0</v>
      </c>
      <c r="AK3320" s="72"/>
      <c r="AL3320" s="72"/>
      <c r="AM3320" s="72"/>
    </row>
    <row r="3321" spans="1:39" x14ac:dyDescent="0.25">
      <c r="A3321" s="37" t="s">
        <v>62</v>
      </c>
      <c r="B3321" s="66" t="s">
        <v>1676</v>
      </c>
      <c r="C3321" s="4">
        <v>1010</v>
      </c>
      <c r="D3321" s="41" t="s">
        <v>1311</v>
      </c>
      <c r="E3321" s="41">
        <v>10100069</v>
      </c>
      <c r="F3321" s="85" t="s">
        <v>1425</v>
      </c>
      <c r="G3321" s="39" t="s">
        <v>1610</v>
      </c>
      <c r="H3321" s="52" t="s">
        <v>98</v>
      </c>
      <c r="I3321" s="52">
        <v>440.4</v>
      </c>
      <c r="J3321" s="49">
        <v>24412.560000000001</v>
      </c>
      <c r="K3321" s="58">
        <v>0</v>
      </c>
      <c r="L3321" s="58">
        <v>0</v>
      </c>
      <c r="M3321" s="58">
        <v>0</v>
      </c>
      <c r="N3321" s="58">
        <v>0</v>
      </c>
      <c r="O3321" s="58">
        <v>0</v>
      </c>
      <c r="P3321" s="53">
        <v>0</v>
      </c>
      <c r="Q3321" s="65">
        <v>24412.560000000001</v>
      </c>
      <c r="R3321" s="65">
        <v>0</v>
      </c>
      <c r="S3321" s="65">
        <v>0</v>
      </c>
      <c r="T3321" s="65">
        <v>0</v>
      </c>
      <c r="U3321" s="58">
        <v>0</v>
      </c>
      <c r="V3321" s="65">
        <v>0</v>
      </c>
      <c r="W3321" s="65">
        <v>0</v>
      </c>
      <c r="X3321" s="65">
        <v>0</v>
      </c>
      <c r="Y3321" s="65">
        <v>0</v>
      </c>
      <c r="Z3321" s="51">
        <v>24412.560000000001</v>
      </c>
      <c r="AA3321" s="51">
        <v>0</v>
      </c>
      <c r="AB3321" s="102">
        <v>0</v>
      </c>
      <c r="AC3321" s="81">
        <f t="shared" si="157"/>
        <v>287.806565667575</v>
      </c>
      <c r="AD3321" s="82">
        <f t="shared" si="158"/>
        <v>62.914285714285711</v>
      </c>
      <c r="AE3321" s="218">
        <v>0</v>
      </c>
      <c r="AF3321">
        <v>0</v>
      </c>
      <c r="AH3321" t="str">
        <f t="shared" si="159"/>
        <v>Parbatta</v>
      </c>
      <c r="AJ3321" s="72">
        <v>0</v>
      </c>
      <c r="AK3321" s="72"/>
      <c r="AL3321" s="72"/>
      <c r="AM3321" s="72"/>
    </row>
    <row r="3322" spans="1:39" x14ac:dyDescent="0.25">
      <c r="A3322" s="37" t="s">
        <v>62</v>
      </c>
      <c r="B3322" s="66" t="s">
        <v>1676</v>
      </c>
      <c r="C3322" s="4">
        <v>1010</v>
      </c>
      <c r="D3322" s="41" t="s">
        <v>1311</v>
      </c>
      <c r="E3322" s="41">
        <v>10100070</v>
      </c>
      <c r="F3322" s="85" t="s">
        <v>1426</v>
      </c>
      <c r="G3322" s="39" t="s">
        <v>1610</v>
      </c>
      <c r="H3322" s="52" t="s">
        <v>98</v>
      </c>
      <c r="I3322" s="52">
        <v>1917.9999999999998</v>
      </c>
      <c r="J3322" s="49">
        <v>104569.92</v>
      </c>
      <c r="K3322" s="58">
        <v>0</v>
      </c>
      <c r="L3322" s="58">
        <v>0</v>
      </c>
      <c r="M3322" s="58">
        <v>0</v>
      </c>
      <c r="N3322" s="58">
        <v>0</v>
      </c>
      <c r="O3322" s="58">
        <v>0</v>
      </c>
      <c r="P3322" s="53">
        <v>0</v>
      </c>
      <c r="Q3322" s="65">
        <v>104569.92</v>
      </c>
      <c r="R3322" s="65">
        <v>0</v>
      </c>
      <c r="S3322" s="65">
        <v>0</v>
      </c>
      <c r="T3322" s="65">
        <v>0</v>
      </c>
      <c r="U3322" s="58">
        <v>0</v>
      </c>
      <c r="V3322" s="65">
        <v>0</v>
      </c>
      <c r="W3322" s="65">
        <v>0</v>
      </c>
      <c r="X3322" s="65">
        <v>0</v>
      </c>
      <c r="Y3322" s="65">
        <v>0</v>
      </c>
      <c r="Z3322" s="51">
        <v>104569.92</v>
      </c>
      <c r="AA3322" s="51">
        <v>0</v>
      </c>
      <c r="AB3322" s="102">
        <v>0</v>
      </c>
      <c r="AC3322" s="81">
        <f t="shared" si="157"/>
        <v>0</v>
      </c>
      <c r="AD3322" s="82">
        <f t="shared" si="158"/>
        <v>0</v>
      </c>
      <c r="AE3322" s="218">
        <v>0</v>
      </c>
      <c r="AF3322">
        <v>0</v>
      </c>
      <c r="AH3322" t="str">
        <f t="shared" si="159"/>
        <v>Parbatta</v>
      </c>
      <c r="AJ3322" s="72">
        <v>0</v>
      </c>
      <c r="AK3322" s="72"/>
      <c r="AL3322" s="72"/>
      <c r="AM3322" s="72"/>
    </row>
    <row r="3323" spans="1:39" x14ac:dyDescent="0.25">
      <c r="A3323" s="37" t="s">
        <v>62</v>
      </c>
      <c r="B3323" s="66" t="s">
        <v>1676</v>
      </c>
      <c r="C3323" s="4">
        <v>1010</v>
      </c>
      <c r="D3323" s="41" t="s">
        <v>1311</v>
      </c>
      <c r="E3323" s="41">
        <v>10100071</v>
      </c>
      <c r="F3323" s="85" t="s">
        <v>1524</v>
      </c>
      <c r="G3323" s="39" t="s">
        <v>1610</v>
      </c>
      <c r="H3323" s="52" t="s">
        <v>98</v>
      </c>
      <c r="I3323" s="52">
        <v>1994.1</v>
      </c>
      <c r="J3323" s="49">
        <v>96831.98000000001</v>
      </c>
      <c r="K3323" s="58">
        <v>0</v>
      </c>
      <c r="L3323" s="58">
        <v>0</v>
      </c>
      <c r="M3323" s="58">
        <v>0</v>
      </c>
      <c r="N3323" s="58">
        <v>0</v>
      </c>
      <c r="O3323" s="58">
        <v>0</v>
      </c>
      <c r="P3323" s="53">
        <v>0</v>
      </c>
      <c r="Q3323" s="65">
        <v>96831.98000000001</v>
      </c>
      <c r="R3323" s="65">
        <v>0</v>
      </c>
      <c r="S3323" s="65">
        <v>0</v>
      </c>
      <c r="T3323" s="65">
        <v>0</v>
      </c>
      <c r="U3323" s="58">
        <v>0</v>
      </c>
      <c r="V3323" s="65">
        <v>0</v>
      </c>
      <c r="W3323" s="65">
        <v>0</v>
      </c>
      <c r="X3323" s="65">
        <v>0</v>
      </c>
      <c r="Y3323" s="65">
        <v>0</v>
      </c>
      <c r="Z3323" s="51">
        <v>96831.98000000001</v>
      </c>
      <c r="AA3323" s="51">
        <v>0</v>
      </c>
      <c r="AB3323" s="102">
        <v>0</v>
      </c>
      <c r="AC3323" s="81">
        <f t="shared" ref="AC3323:AC3386" si="160">((IF(AD3323=0,0,100-AD3323))*7*(J3323/I3323))*2%</f>
        <v>0</v>
      </c>
      <c r="AD3323" s="82">
        <f t="shared" ref="AD3323:AD3386" si="161">IF((I3323/7)&gt;100,0,(I3323/7))</f>
        <v>0</v>
      </c>
      <c r="AE3323" s="218">
        <v>0</v>
      </c>
      <c r="AF3323">
        <v>0</v>
      </c>
      <c r="AH3323" t="str">
        <f t="shared" si="159"/>
        <v>Parbatta</v>
      </c>
      <c r="AJ3323" s="72">
        <v>0</v>
      </c>
      <c r="AK3323" s="72"/>
      <c r="AL3323" s="72"/>
      <c r="AM3323" s="72"/>
    </row>
    <row r="3324" spans="1:39" x14ac:dyDescent="0.25">
      <c r="A3324" s="37" t="s">
        <v>62</v>
      </c>
      <c r="B3324" s="66" t="s">
        <v>1676</v>
      </c>
      <c r="C3324" s="4">
        <v>1055</v>
      </c>
      <c r="D3324" s="41" t="s">
        <v>1125</v>
      </c>
      <c r="E3324" s="41">
        <v>10110001</v>
      </c>
      <c r="F3324" s="85" t="s">
        <v>282</v>
      </c>
      <c r="G3324" s="39" t="s">
        <v>92</v>
      </c>
      <c r="H3324" s="52" t="s">
        <v>93</v>
      </c>
      <c r="I3324" s="52">
        <v>2221.2000000000003</v>
      </c>
      <c r="J3324" s="49">
        <v>93263.610000000015</v>
      </c>
      <c r="K3324" s="58">
        <v>2178.8000000000002</v>
      </c>
      <c r="L3324" s="58">
        <v>94756.069999999963</v>
      </c>
      <c r="M3324" s="58">
        <v>56</v>
      </c>
      <c r="N3324" s="58">
        <v>2432.5999999999995</v>
      </c>
      <c r="O3324" s="58">
        <v>2234.8000000000002</v>
      </c>
      <c r="P3324" s="53">
        <v>97188.669999999969</v>
      </c>
      <c r="Q3324" s="65">
        <v>93263.610000000015</v>
      </c>
      <c r="R3324" s="65">
        <v>0</v>
      </c>
      <c r="S3324" s="65">
        <v>2432.5999999999995</v>
      </c>
      <c r="T3324" s="65">
        <v>3925.059999999954</v>
      </c>
      <c r="U3324" s="58">
        <v>5450</v>
      </c>
      <c r="V3324" s="65">
        <v>0</v>
      </c>
      <c r="W3324" s="65">
        <v>0</v>
      </c>
      <c r="X3324" s="65">
        <v>85381</v>
      </c>
      <c r="Y3324" s="65">
        <v>0</v>
      </c>
      <c r="Z3324" s="51">
        <v>0</v>
      </c>
      <c r="AA3324" s="51">
        <v>0</v>
      </c>
      <c r="AB3324" s="102">
        <v>0</v>
      </c>
      <c r="AC3324" s="81">
        <f t="shared" si="160"/>
        <v>0</v>
      </c>
      <c r="AD3324" s="82">
        <f t="shared" si="161"/>
        <v>0</v>
      </c>
      <c r="AE3324" s="218">
        <v>-4.2085653772140637E-2</v>
      </c>
      <c r="AF3324">
        <v>16</v>
      </c>
      <c r="AH3324" t="str">
        <f t="shared" si="159"/>
        <v>Matihani</v>
      </c>
      <c r="AJ3324" s="72">
        <v>0</v>
      </c>
      <c r="AK3324" s="72"/>
      <c r="AL3324" s="72"/>
      <c r="AM3324" s="72"/>
    </row>
    <row r="3325" spans="1:39" x14ac:dyDescent="0.25">
      <c r="A3325" s="37" t="s">
        <v>62</v>
      </c>
      <c r="B3325" s="66" t="s">
        <v>1676</v>
      </c>
      <c r="C3325" s="4">
        <v>1055</v>
      </c>
      <c r="D3325" s="41" t="s">
        <v>1125</v>
      </c>
      <c r="E3325" s="41">
        <v>10110002</v>
      </c>
      <c r="F3325" s="85" t="s">
        <v>283</v>
      </c>
      <c r="G3325" s="39" t="s">
        <v>1610</v>
      </c>
      <c r="H3325" s="52" t="s">
        <v>93</v>
      </c>
      <c r="I3325" s="52">
        <v>395.6</v>
      </c>
      <c r="J3325" s="49">
        <v>15174.110000000002</v>
      </c>
      <c r="K3325" s="58">
        <v>396.99999999999994</v>
      </c>
      <c r="L3325" s="58">
        <v>15399.7</v>
      </c>
      <c r="M3325" s="58">
        <v>0</v>
      </c>
      <c r="N3325" s="58">
        <v>0</v>
      </c>
      <c r="O3325" s="58">
        <v>396.99999999999994</v>
      </c>
      <c r="P3325" s="53">
        <v>15399.7</v>
      </c>
      <c r="Q3325" s="65">
        <v>15174.110000000002</v>
      </c>
      <c r="R3325" s="65">
        <v>0</v>
      </c>
      <c r="S3325" s="65">
        <v>0</v>
      </c>
      <c r="T3325" s="65">
        <v>225.58999999999833</v>
      </c>
      <c r="U3325" s="58">
        <v>0</v>
      </c>
      <c r="V3325" s="65">
        <v>0</v>
      </c>
      <c r="W3325" s="65">
        <v>0</v>
      </c>
      <c r="X3325" s="65">
        <v>15174</v>
      </c>
      <c r="Y3325" s="65">
        <v>0</v>
      </c>
      <c r="Z3325" s="51">
        <v>0</v>
      </c>
      <c r="AA3325" s="51">
        <v>0</v>
      </c>
      <c r="AB3325" s="102">
        <v>0</v>
      </c>
      <c r="AC3325" s="81">
        <f t="shared" si="160"/>
        <v>233.51865945399393</v>
      </c>
      <c r="AD3325" s="82">
        <f t="shared" si="161"/>
        <v>56.51428571428572</v>
      </c>
      <c r="AE3325" s="218">
        <v>-1.4866769780896428E-2</v>
      </c>
      <c r="AF3325">
        <v>3</v>
      </c>
      <c r="AH3325" t="str">
        <f t="shared" si="159"/>
        <v>Matihani</v>
      </c>
      <c r="AJ3325" s="72">
        <v>0</v>
      </c>
      <c r="AK3325" s="72"/>
      <c r="AL3325" s="72"/>
      <c r="AM3325" s="72"/>
    </row>
    <row r="3326" spans="1:39" x14ac:dyDescent="0.25">
      <c r="A3326" s="37" t="s">
        <v>62</v>
      </c>
      <c r="B3326" s="66" t="s">
        <v>1676</v>
      </c>
      <c r="C3326" s="4">
        <v>1011</v>
      </c>
      <c r="D3326" s="41" t="s">
        <v>281</v>
      </c>
      <c r="E3326" s="41">
        <v>10110004</v>
      </c>
      <c r="F3326" s="85" t="s">
        <v>284</v>
      </c>
      <c r="G3326" s="39" t="s">
        <v>92</v>
      </c>
      <c r="H3326" s="52" t="s">
        <v>93</v>
      </c>
      <c r="I3326" s="52">
        <v>476.40000000000003</v>
      </c>
      <c r="J3326" s="49">
        <v>18155.36</v>
      </c>
      <c r="K3326" s="58">
        <v>476.1</v>
      </c>
      <c r="L3326" s="58">
        <v>18304.32</v>
      </c>
      <c r="M3326" s="58">
        <v>1.4000000000000001</v>
      </c>
      <c r="N3326" s="58">
        <v>53.410000000000004</v>
      </c>
      <c r="O3326" s="58">
        <v>477.5</v>
      </c>
      <c r="P3326" s="53">
        <v>18357.73</v>
      </c>
      <c r="Q3326" s="65">
        <v>18155.36</v>
      </c>
      <c r="R3326" s="65">
        <v>0</v>
      </c>
      <c r="S3326" s="65">
        <v>53.410000000000004</v>
      </c>
      <c r="T3326" s="65">
        <v>202.36999999999898</v>
      </c>
      <c r="U3326" s="58">
        <v>0</v>
      </c>
      <c r="V3326" s="65">
        <v>0</v>
      </c>
      <c r="W3326" s="65">
        <v>0</v>
      </c>
      <c r="X3326" s="65">
        <v>18102</v>
      </c>
      <c r="Y3326" s="65">
        <v>0</v>
      </c>
      <c r="Z3326" s="51">
        <v>0</v>
      </c>
      <c r="AA3326" s="51">
        <v>0</v>
      </c>
      <c r="AB3326" s="102">
        <v>0</v>
      </c>
      <c r="AC3326" s="81">
        <f t="shared" si="160"/>
        <v>170.42562955499579</v>
      </c>
      <c r="AD3326" s="82">
        <f t="shared" si="161"/>
        <v>68.057142857142864</v>
      </c>
      <c r="AE3326" s="218">
        <v>-1.1146570489376085E-2</v>
      </c>
      <c r="AF3326">
        <v>3</v>
      </c>
      <c r="AH3326" t="str">
        <f t="shared" si="159"/>
        <v>Sahibpur Kamal</v>
      </c>
      <c r="AJ3326" s="72">
        <v>0</v>
      </c>
      <c r="AK3326" s="72"/>
      <c r="AL3326" s="72"/>
      <c r="AM3326" s="72"/>
    </row>
    <row r="3327" spans="1:39" x14ac:dyDescent="0.25">
      <c r="A3327" s="37" t="s">
        <v>62</v>
      </c>
      <c r="B3327" s="66" t="s">
        <v>1676</v>
      </c>
      <c r="C3327" s="4">
        <v>1055</v>
      </c>
      <c r="D3327" s="41" t="s">
        <v>1125</v>
      </c>
      <c r="E3327" s="41">
        <v>10110005</v>
      </c>
      <c r="F3327" s="85" t="s">
        <v>285</v>
      </c>
      <c r="G3327" s="39" t="s">
        <v>92</v>
      </c>
      <c r="H3327" s="52" t="s">
        <v>93</v>
      </c>
      <c r="I3327" s="52">
        <v>3703.5</v>
      </c>
      <c r="J3327" s="49">
        <v>161760.84</v>
      </c>
      <c r="K3327" s="58">
        <v>3665.14</v>
      </c>
      <c r="L3327" s="58">
        <v>159230.58000000002</v>
      </c>
      <c r="M3327" s="58">
        <v>35.650000000000006</v>
      </c>
      <c r="N3327" s="58">
        <v>2612.3900000000003</v>
      </c>
      <c r="O3327" s="58">
        <v>3700.79</v>
      </c>
      <c r="P3327" s="53">
        <v>161842.97000000003</v>
      </c>
      <c r="Q3327" s="65">
        <v>161760.84</v>
      </c>
      <c r="R3327" s="65">
        <v>0</v>
      </c>
      <c r="S3327" s="65">
        <v>2612.3900000000003</v>
      </c>
      <c r="T3327" s="65">
        <v>82.13000000003376</v>
      </c>
      <c r="U3327" s="58">
        <v>0</v>
      </c>
      <c r="V3327" s="65">
        <v>0</v>
      </c>
      <c r="W3327" s="65">
        <v>0</v>
      </c>
      <c r="X3327" s="65">
        <v>159148</v>
      </c>
      <c r="Y3327" s="65">
        <v>0</v>
      </c>
      <c r="Z3327" s="51">
        <v>0</v>
      </c>
      <c r="AA3327" s="51">
        <v>0</v>
      </c>
      <c r="AB3327" s="102">
        <v>0</v>
      </c>
      <c r="AC3327" s="81">
        <f t="shared" si="160"/>
        <v>0</v>
      </c>
      <c r="AD3327" s="82">
        <f t="shared" si="161"/>
        <v>0</v>
      </c>
      <c r="AE3327" s="218">
        <v>-5.077248609739772E-4</v>
      </c>
      <c r="AF3327">
        <v>35</v>
      </c>
      <c r="AH3327" t="str">
        <f t="shared" si="159"/>
        <v>Matihani</v>
      </c>
      <c r="AJ3327" s="72">
        <v>0</v>
      </c>
      <c r="AK3327" s="72"/>
      <c r="AL3327" s="72"/>
      <c r="AM3327" s="72"/>
    </row>
    <row r="3328" spans="1:39" x14ac:dyDescent="0.25">
      <c r="A3328" s="37" t="s">
        <v>62</v>
      </c>
      <c r="B3328" s="66" t="s">
        <v>1676</v>
      </c>
      <c r="C3328" s="4">
        <v>1011</v>
      </c>
      <c r="D3328" s="41" t="s">
        <v>281</v>
      </c>
      <c r="E3328" s="41">
        <v>10110007</v>
      </c>
      <c r="F3328" s="85" t="s">
        <v>286</v>
      </c>
      <c r="G3328" s="39" t="s">
        <v>92</v>
      </c>
      <c r="H3328" s="52" t="s">
        <v>93</v>
      </c>
      <c r="I3328" s="52">
        <v>371.89999999999992</v>
      </c>
      <c r="J3328" s="49">
        <v>13682.83</v>
      </c>
      <c r="K3328" s="58">
        <v>351.70000000000005</v>
      </c>
      <c r="L3328" s="58">
        <v>13621.51</v>
      </c>
      <c r="M3328" s="58">
        <v>2.6</v>
      </c>
      <c r="N3328" s="58">
        <v>101.49000000000001</v>
      </c>
      <c r="O3328" s="58">
        <v>354.30000000000007</v>
      </c>
      <c r="P3328" s="53">
        <v>13723</v>
      </c>
      <c r="Q3328" s="65">
        <v>13682.83</v>
      </c>
      <c r="R3328" s="65">
        <v>0</v>
      </c>
      <c r="S3328" s="65">
        <v>101.49000000000001</v>
      </c>
      <c r="T3328" s="65">
        <v>40.170000000000073</v>
      </c>
      <c r="U3328" s="58">
        <v>0</v>
      </c>
      <c r="V3328" s="65">
        <v>0</v>
      </c>
      <c r="W3328" s="65">
        <v>0</v>
      </c>
      <c r="X3328" s="65">
        <v>13581</v>
      </c>
      <c r="Y3328" s="65">
        <v>0</v>
      </c>
      <c r="Z3328" s="51">
        <v>0</v>
      </c>
      <c r="AA3328" s="51">
        <v>0</v>
      </c>
      <c r="AB3328" s="102">
        <v>0</v>
      </c>
      <c r="AC3328" s="81">
        <f t="shared" si="160"/>
        <v>241.42707840817434</v>
      </c>
      <c r="AD3328" s="82">
        <f t="shared" si="161"/>
        <v>53.128571428571419</v>
      </c>
      <c r="AE3328" s="218">
        <v>-2.9357961766681359E-3</v>
      </c>
      <c r="AF3328">
        <v>5</v>
      </c>
      <c r="AH3328" t="str">
        <f t="shared" si="159"/>
        <v>Sahibpur Kamal</v>
      </c>
      <c r="AJ3328" s="72">
        <v>0</v>
      </c>
      <c r="AK3328" s="72"/>
      <c r="AL3328" s="72"/>
      <c r="AM3328" s="72"/>
    </row>
    <row r="3329" spans="1:39" x14ac:dyDescent="0.25">
      <c r="A3329" s="37" t="s">
        <v>62</v>
      </c>
      <c r="B3329" s="66" t="s">
        <v>1676</v>
      </c>
      <c r="C3329" s="4">
        <v>1011</v>
      </c>
      <c r="D3329" s="41" t="s">
        <v>281</v>
      </c>
      <c r="E3329" s="41">
        <v>10110008</v>
      </c>
      <c r="F3329" s="85" t="s">
        <v>604</v>
      </c>
      <c r="G3329" s="39" t="s">
        <v>92</v>
      </c>
      <c r="H3329" s="52" t="s">
        <v>98</v>
      </c>
      <c r="I3329" s="52">
        <v>7827.6000000000013</v>
      </c>
      <c r="J3329" s="49">
        <v>310838.36</v>
      </c>
      <c r="K3329" s="58">
        <v>0</v>
      </c>
      <c r="L3329" s="58">
        <v>0</v>
      </c>
      <c r="M3329" s="58">
        <v>0</v>
      </c>
      <c r="N3329" s="58">
        <v>0</v>
      </c>
      <c r="O3329" s="58">
        <v>0</v>
      </c>
      <c r="P3329" s="53">
        <v>0</v>
      </c>
      <c r="Q3329" s="65">
        <v>310838.36</v>
      </c>
      <c r="R3329" s="65">
        <v>0</v>
      </c>
      <c r="S3329" s="65">
        <v>0</v>
      </c>
      <c r="T3329" s="65">
        <v>0</v>
      </c>
      <c r="U3329" s="58">
        <v>310838</v>
      </c>
      <c r="V3329" s="65">
        <v>0</v>
      </c>
      <c r="W3329" s="65">
        <v>0</v>
      </c>
      <c r="X3329" s="65">
        <v>0</v>
      </c>
      <c r="Y3329" s="65">
        <v>0</v>
      </c>
      <c r="Z3329" s="51">
        <v>0.35999999998603016</v>
      </c>
      <c r="AA3329" s="51">
        <v>0</v>
      </c>
      <c r="AB3329" s="102">
        <v>0</v>
      </c>
      <c r="AC3329" s="81">
        <f t="shared" si="160"/>
        <v>0</v>
      </c>
      <c r="AD3329" s="82">
        <f t="shared" si="161"/>
        <v>0</v>
      </c>
      <c r="AE3329" s="218">
        <v>0</v>
      </c>
      <c r="AF3329">
        <v>0</v>
      </c>
      <c r="AH3329" t="str">
        <f t="shared" si="159"/>
        <v>Sahibpur Kamal</v>
      </c>
      <c r="AJ3329" s="72">
        <v>0</v>
      </c>
      <c r="AK3329" s="72"/>
      <c r="AL3329" s="72"/>
      <c r="AM3329" s="72"/>
    </row>
    <row r="3330" spans="1:39" x14ac:dyDescent="0.25">
      <c r="A3330" s="37" t="s">
        <v>62</v>
      </c>
      <c r="B3330" s="66" t="s">
        <v>1676</v>
      </c>
      <c r="C3330" s="4">
        <v>1011</v>
      </c>
      <c r="D3330" s="41" t="s">
        <v>281</v>
      </c>
      <c r="E3330" s="41">
        <v>10110013</v>
      </c>
      <c r="F3330" s="85" t="s">
        <v>287</v>
      </c>
      <c r="G3330" s="39" t="s">
        <v>92</v>
      </c>
      <c r="H3330" s="52" t="s">
        <v>93</v>
      </c>
      <c r="I3330" s="52">
        <v>850.7</v>
      </c>
      <c r="J3330" s="49">
        <v>32172.52</v>
      </c>
      <c r="K3330" s="58">
        <v>825</v>
      </c>
      <c r="L3330" s="58">
        <v>31761.65</v>
      </c>
      <c r="M3330" s="58">
        <v>1.1000000000000001</v>
      </c>
      <c r="N3330" s="58">
        <v>42.489999999999995</v>
      </c>
      <c r="O3330" s="58">
        <v>826.1</v>
      </c>
      <c r="P3330" s="53">
        <v>31804.140000000003</v>
      </c>
      <c r="Q3330" s="65">
        <v>31804.140000000003</v>
      </c>
      <c r="R3330" s="65">
        <v>0</v>
      </c>
      <c r="S3330" s="65">
        <v>42.489999999999995</v>
      </c>
      <c r="T3330" s="65">
        <v>0</v>
      </c>
      <c r="U3330" s="58">
        <v>0</v>
      </c>
      <c r="V3330" s="65">
        <v>0</v>
      </c>
      <c r="W3330" s="65">
        <v>0</v>
      </c>
      <c r="X3330" s="65">
        <v>31761</v>
      </c>
      <c r="Y3330" s="65">
        <v>0</v>
      </c>
      <c r="Z3330" s="51">
        <v>0</v>
      </c>
      <c r="AA3330" s="51">
        <v>369</v>
      </c>
      <c r="AB3330" s="102">
        <v>0</v>
      </c>
      <c r="AC3330" s="81">
        <f t="shared" si="160"/>
        <v>0</v>
      </c>
      <c r="AD3330" s="82">
        <f t="shared" si="161"/>
        <v>0</v>
      </c>
      <c r="AE3330" s="218">
        <v>1.1450144408955138E-2</v>
      </c>
      <c r="AF3330">
        <v>6</v>
      </c>
      <c r="AH3330" t="str">
        <f t="shared" si="159"/>
        <v>Sahibpur Kamal</v>
      </c>
      <c r="AJ3330" s="72">
        <v>0</v>
      </c>
      <c r="AK3330" s="72"/>
      <c r="AL3330" s="72"/>
      <c r="AM3330" s="72"/>
    </row>
    <row r="3331" spans="1:39" x14ac:dyDescent="0.25">
      <c r="A3331" s="37" t="s">
        <v>62</v>
      </c>
      <c r="B3331" s="66" t="s">
        <v>1676</v>
      </c>
      <c r="C3331" s="4">
        <v>1011</v>
      </c>
      <c r="D3331" s="41" t="s">
        <v>281</v>
      </c>
      <c r="E3331" s="41">
        <v>10110014</v>
      </c>
      <c r="F3331" s="85" t="s">
        <v>288</v>
      </c>
      <c r="G3331" s="39" t="s">
        <v>92</v>
      </c>
      <c r="H3331" s="52" t="s">
        <v>93</v>
      </c>
      <c r="I3331" s="52">
        <v>1045.2</v>
      </c>
      <c r="J3331" s="49">
        <v>47092.87</v>
      </c>
      <c r="K3331" s="58">
        <v>1043.1000000000001</v>
      </c>
      <c r="L3331" s="58">
        <v>46176.590000000011</v>
      </c>
      <c r="M3331" s="58">
        <v>18.999999999999996</v>
      </c>
      <c r="N3331" s="58">
        <v>827.42</v>
      </c>
      <c r="O3331" s="58">
        <v>1062.1000000000001</v>
      </c>
      <c r="P3331" s="53">
        <v>47004.010000000009</v>
      </c>
      <c r="Q3331" s="65">
        <v>47004.010000000009</v>
      </c>
      <c r="R3331" s="65">
        <v>0</v>
      </c>
      <c r="S3331" s="65">
        <v>827.42</v>
      </c>
      <c r="T3331" s="65">
        <v>0</v>
      </c>
      <c r="U3331" s="58">
        <v>0</v>
      </c>
      <c r="V3331" s="65">
        <v>0</v>
      </c>
      <c r="W3331" s="65">
        <v>0</v>
      </c>
      <c r="X3331" s="65">
        <v>46177</v>
      </c>
      <c r="Y3331" s="65">
        <v>0</v>
      </c>
      <c r="Z3331" s="51">
        <v>0</v>
      </c>
      <c r="AA3331" s="51">
        <v>88</v>
      </c>
      <c r="AB3331" s="102">
        <v>0</v>
      </c>
      <c r="AC3331" s="81">
        <f t="shared" si="160"/>
        <v>0</v>
      </c>
      <c r="AD3331" s="82">
        <f t="shared" si="161"/>
        <v>0</v>
      </c>
      <c r="AE3331" s="218">
        <v>1.8869098443138697E-3</v>
      </c>
      <c r="AF3331">
        <v>34</v>
      </c>
      <c r="AH3331" t="str">
        <f t="shared" si="159"/>
        <v>Sahibpur Kamal</v>
      </c>
      <c r="AJ3331" s="72">
        <v>0</v>
      </c>
      <c r="AK3331" s="72"/>
      <c r="AL3331" s="72"/>
      <c r="AM3331" s="72"/>
    </row>
    <row r="3332" spans="1:39" x14ac:dyDescent="0.25">
      <c r="A3332" s="37" t="s">
        <v>62</v>
      </c>
      <c r="B3332" s="66" t="s">
        <v>1676</v>
      </c>
      <c r="C3332" s="4">
        <v>1055</v>
      </c>
      <c r="D3332" s="41" t="s">
        <v>1125</v>
      </c>
      <c r="E3332" s="41">
        <v>10110015</v>
      </c>
      <c r="F3332" s="85" t="s">
        <v>289</v>
      </c>
      <c r="G3332" s="39" t="s">
        <v>92</v>
      </c>
      <c r="H3332" s="52" t="s">
        <v>93</v>
      </c>
      <c r="I3332" s="52">
        <v>474.79999999999995</v>
      </c>
      <c r="J3332" s="49">
        <v>20580.690000000002</v>
      </c>
      <c r="K3332" s="58">
        <v>496.83000000000004</v>
      </c>
      <c r="L3332" s="58">
        <v>21572.29</v>
      </c>
      <c r="M3332" s="58">
        <v>0</v>
      </c>
      <c r="N3332" s="58">
        <v>0</v>
      </c>
      <c r="O3332" s="58">
        <v>496.83000000000004</v>
      </c>
      <c r="P3332" s="53">
        <v>21572.29</v>
      </c>
      <c r="Q3332" s="65">
        <v>20580.690000000002</v>
      </c>
      <c r="R3332" s="65">
        <v>0</v>
      </c>
      <c r="S3332" s="65">
        <v>0</v>
      </c>
      <c r="T3332" s="65">
        <v>991.59999999999854</v>
      </c>
      <c r="U3332" s="58">
        <v>0</v>
      </c>
      <c r="V3332" s="65">
        <v>0</v>
      </c>
      <c r="W3332" s="65">
        <v>0</v>
      </c>
      <c r="X3332" s="65">
        <v>20581</v>
      </c>
      <c r="Y3332" s="65">
        <v>0</v>
      </c>
      <c r="Z3332" s="51">
        <v>0</v>
      </c>
      <c r="AA3332" s="51">
        <v>0</v>
      </c>
      <c r="AB3332" s="102">
        <v>0</v>
      </c>
      <c r="AC3332" s="81">
        <f t="shared" si="160"/>
        <v>195.23047127211464</v>
      </c>
      <c r="AD3332" s="82">
        <f t="shared" si="161"/>
        <v>67.828571428571422</v>
      </c>
      <c r="AE3332" s="218">
        <v>-4.8181086251238341E-2</v>
      </c>
      <c r="AF3332">
        <v>7</v>
      </c>
      <c r="AH3332" t="str">
        <f t="shared" si="159"/>
        <v>Matihani</v>
      </c>
      <c r="AJ3332" s="72">
        <v>0</v>
      </c>
      <c r="AK3332" s="72"/>
      <c r="AL3332" s="72"/>
      <c r="AM3332" s="72"/>
    </row>
    <row r="3333" spans="1:39" x14ac:dyDescent="0.25">
      <c r="A3333" s="37" t="s">
        <v>62</v>
      </c>
      <c r="B3333" s="66" t="s">
        <v>1676</v>
      </c>
      <c r="C3333" s="4">
        <v>1055</v>
      </c>
      <c r="D3333" s="41" t="s">
        <v>1125</v>
      </c>
      <c r="E3333" s="41">
        <v>10110016</v>
      </c>
      <c r="F3333" s="85" t="s">
        <v>290</v>
      </c>
      <c r="G3333" s="39" t="s">
        <v>92</v>
      </c>
      <c r="H3333" s="52" t="s">
        <v>93</v>
      </c>
      <c r="I3333" s="52">
        <v>425.79999999999995</v>
      </c>
      <c r="J3333" s="49">
        <v>18181.13</v>
      </c>
      <c r="K3333" s="58">
        <v>423.4</v>
      </c>
      <c r="L3333" s="58">
        <v>18220.14</v>
      </c>
      <c r="M3333" s="58">
        <v>3.5</v>
      </c>
      <c r="N3333" s="58">
        <v>153.73999999999998</v>
      </c>
      <c r="O3333" s="58">
        <v>426.9</v>
      </c>
      <c r="P3333" s="53">
        <v>18373.88</v>
      </c>
      <c r="Q3333" s="65">
        <v>18181.13</v>
      </c>
      <c r="R3333" s="65">
        <v>0</v>
      </c>
      <c r="S3333" s="65">
        <v>153.73999999999998</v>
      </c>
      <c r="T3333" s="65">
        <v>192.75</v>
      </c>
      <c r="U3333" s="58">
        <v>0</v>
      </c>
      <c r="V3333" s="65">
        <v>0</v>
      </c>
      <c r="W3333" s="65">
        <v>0</v>
      </c>
      <c r="X3333" s="65">
        <v>18027</v>
      </c>
      <c r="Y3333" s="65">
        <v>0</v>
      </c>
      <c r="Z3333" s="51">
        <v>0</v>
      </c>
      <c r="AA3333" s="51">
        <v>0</v>
      </c>
      <c r="AB3333" s="102">
        <v>0</v>
      </c>
      <c r="AC3333" s="81">
        <f t="shared" si="160"/>
        <v>234.15997397839368</v>
      </c>
      <c r="AD3333" s="82">
        <f t="shared" si="161"/>
        <v>60.828571428571422</v>
      </c>
      <c r="AE3333" s="218">
        <v>-1.0601651272500663E-2</v>
      </c>
      <c r="AF3333">
        <v>6</v>
      </c>
      <c r="AH3333" t="str">
        <f t="shared" si="159"/>
        <v>Matihani</v>
      </c>
      <c r="AJ3333" s="72">
        <v>0</v>
      </c>
      <c r="AK3333" s="72"/>
      <c r="AL3333" s="72"/>
      <c r="AM3333" s="72"/>
    </row>
    <row r="3334" spans="1:39" x14ac:dyDescent="0.25">
      <c r="A3334" s="37" t="s">
        <v>62</v>
      </c>
      <c r="B3334" s="66" t="s">
        <v>1676</v>
      </c>
      <c r="C3334" s="4">
        <v>1011</v>
      </c>
      <c r="D3334" s="41" t="s">
        <v>281</v>
      </c>
      <c r="E3334" s="41">
        <v>10110021</v>
      </c>
      <c r="F3334" s="85" t="s">
        <v>291</v>
      </c>
      <c r="G3334" s="39" t="s">
        <v>92</v>
      </c>
      <c r="H3334" s="52" t="s">
        <v>93</v>
      </c>
      <c r="I3334" s="52">
        <v>206.50000000000003</v>
      </c>
      <c r="J3334" s="49">
        <v>9204.69</v>
      </c>
      <c r="K3334" s="58">
        <v>204.55</v>
      </c>
      <c r="L3334" s="58">
        <v>9102.8900000000012</v>
      </c>
      <c r="M3334" s="58">
        <v>1.7400000000000002</v>
      </c>
      <c r="N3334" s="58">
        <v>75.669999999999987</v>
      </c>
      <c r="O3334" s="58">
        <v>206.29000000000002</v>
      </c>
      <c r="P3334" s="53">
        <v>9178.5600000000013</v>
      </c>
      <c r="Q3334" s="65">
        <v>9178.5600000000013</v>
      </c>
      <c r="R3334" s="65">
        <v>0</v>
      </c>
      <c r="S3334" s="65">
        <v>75.669999999999987</v>
      </c>
      <c r="T3334" s="65">
        <v>0</v>
      </c>
      <c r="U3334" s="58">
        <v>2700</v>
      </c>
      <c r="V3334" s="65">
        <v>0</v>
      </c>
      <c r="W3334" s="65">
        <v>0</v>
      </c>
      <c r="X3334" s="65">
        <v>6402</v>
      </c>
      <c r="Y3334" s="65">
        <v>0</v>
      </c>
      <c r="Z3334" s="51">
        <v>0</v>
      </c>
      <c r="AA3334" s="51">
        <v>27</v>
      </c>
      <c r="AB3334" s="102">
        <v>0</v>
      </c>
      <c r="AC3334" s="81">
        <f t="shared" si="160"/>
        <v>439.95297966101697</v>
      </c>
      <c r="AD3334" s="82">
        <f t="shared" si="161"/>
        <v>29.500000000000004</v>
      </c>
      <c r="AE3334" s="218">
        <v>2.8387702356080648E-3</v>
      </c>
      <c r="AF3334">
        <v>6</v>
      </c>
      <c r="AH3334" t="str">
        <f t="shared" si="159"/>
        <v>Sahibpur Kamal</v>
      </c>
      <c r="AJ3334" s="72">
        <v>0</v>
      </c>
      <c r="AK3334" s="72"/>
      <c r="AL3334" s="72"/>
      <c r="AM3334" s="72"/>
    </row>
    <row r="3335" spans="1:39" x14ac:dyDescent="0.25">
      <c r="A3335" s="37" t="s">
        <v>62</v>
      </c>
      <c r="B3335" s="66" t="s">
        <v>1676</v>
      </c>
      <c r="C3335" s="4">
        <v>1011</v>
      </c>
      <c r="D3335" s="41" t="s">
        <v>281</v>
      </c>
      <c r="E3335" s="41">
        <v>10110032</v>
      </c>
      <c r="F3335" s="85" t="s">
        <v>1232</v>
      </c>
      <c r="G3335" s="39" t="s">
        <v>92</v>
      </c>
      <c r="H3335" s="52" t="s">
        <v>93</v>
      </c>
      <c r="I3335" s="52">
        <v>30.5</v>
      </c>
      <c r="J3335" s="49">
        <v>1254.3800000000001</v>
      </c>
      <c r="K3335" s="58">
        <v>35.700000000000003</v>
      </c>
      <c r="L3335" s="58">
        <v>1548.31</v>
      </c>
      <c r="M3335" s="58">
        <v>0.2</v>
      </c>
      <c r="N3335" s="58">
        <v>8.67</v>
      </c>
      <c r="O3335" s="58">
        <v>35.900000000000006</v>
      </c>
      <c r="P3335" s="53">
        <v>1556.98</v>
      </c>
      <c r="Q3335" s="65">
        <v>1254.3800000000001</v>
      </c>
      <c r="R3335" s="65">
        <v>0</v>
      </c>
      <c r="S3335" s="65">
        <v>8.67</v>
      </c>
      <c r="T3335" s="65">
        <v>302.59999999999991</v>
      </c>
      <c r="U3335" s="58">
        <v>0</v>
      </c>
      <c r="V3335" s="65">
        <v>500</v>
      </c>
      <c r="W3335" s="65">
        <v>0</v>
      </c>
      <c r="X3335" s="65">
        <v>745</v>
      </c>
      <c r="Y3335" s="65">
        <v>0</v>
      </c>
      <c r="Z3335" s="51">
        <v>0</v>
      </c>
      <c r="AA3335" s="51">
        <v>1</v>
      </c>
      <c r="AB3335" s="102">
        <v>0</v>
      </c>
      <c r="AC3335" s="81">
        <f t="shared" si="160"/>
        <v>550.6933836065574</v>
      </c>
      <c r="AD3335" s="82">
        <f t="shared" si="161"/>
        <v>4.3571428571428568</v>
      </c>
      <c r="AE3335" s="218">
        <v>-0.24123471356367279</v>
      </c>
      <c r="AF3335">
        <v>2</v>
      </c>
      <c r="AH3335" t="str">
        <f t="shared" si="159"/>
        <v>Sahibpur Kamal</v>
      </c>
      <c r="AJ3335" s="72">
        <v>500</v>
      </c>
      <c r="AK3335" s="72"/>
      <c r="AL3335" s="72"/>
      <c r="AM3335" s="72"/>
    </row>
    <row r="3336" spans="1:39" x14ac:dyDescent="0.25">
      <c r="A3336" s="37" t="s">
        <v>62</v>
      </c>
      <c r="B3336" s="66" t="s">
        <v>1676</v>
      </c>
      <c r="C3336" s="4">
        <v>1011</v>
      </c>
      <c r="D3336" s="41" t="s">
        <v>281</v>
      </c>
      <c r="E3336" s="41">
        <v>10110036</v>
      </c>
      <c r="F3336" s="85" t="s">
        <v>1662</v>
      </c>
      <c r="G3336" s="39" t="s">
        <v>1610</v>
      </c>
      <c r="H3336" s="52" t="s">
        <v>98</v>
      </c>
      <c r="I3336" s="52">
        <v>420.20000000000005</v>
      </c>
      <c r="J3336" s="49">
        <v>16629.84</v>
      </c>
      <c r="K3336" s="58">
        <v>0</v>
      </c>
      <c r="L3336" s="58">
        <v>0</v>
      </c>
      <c r="M3336" s="58">
        <v>0</v>
      </c>
      <c r="N3336" s="58">
        <v>0</v>
      </c>
      <c r="O3336" s="58">
        <v>0</v>
      </c>
      <c r="P3336" s="53">
        <v>0</v>
      </c>
      <c r="Q3336" s="65">
        <v>16629.84</v>
      </c>
      <c r="R3336" s="65">
        <v>0</v>
      </c>
      <c r="S3336" s="65">
        <v>0</v>
      </c>
      <c r="T3336" s="65">
        <v>0</v>
      </c>
      <c r="U3336" s="58">
        <v>0</v>
      </c>
      <c r="V3336" s="65">
        <v>0</v>
      </c>
      <c r="W3336" s="65">
        <v>0</v>
      </c>
      <c r="X3336" s="65">
        <v>0</v>
      </c>
      <c r="Y3336" s="65">
        <v>0</v>
      </c>
      <c r="Z3336" s="51">
        <v>16629.84</v>
      </c>
      <c r="AA3336" s="51">
        <v>0</v>
      </c>
      <c r="AB3336" s="102">
        <v>0</v>
      </c>
      <c r="AC3336" s="81">
        <f t="shared" si="160"/>
        <v>221.46735992384572</v>
      </c>
      <c r="AD3336" s="82">
        <f t="shared" si="161"/>
        <v>60.028571428571432</v>
      </c>
      <c r="AE3336" s="218">
        <v>0</v>
      </c>
      <c r="AF3336">
        <v>0</v>
      </c>
      <c r="AH3336" t="str">
        <f t="shared" si="159"/>
        <v>Sahibpur Kamal</v>
      </c>
      <c r="AJ3336" s="72">
        <v>0</v>
      </c>
      <c r="AK3336" s="72"/>
      <c r="AL3336" s="72"/>
      <c r="AM3336" s="72"/>
    </row>
    <row r="3337" spans="1:39" x14ac:dyDescent="0.25">
      <c r="A3337" s="37" t="s">
        <v>62</v>
      </c>
      <c r="B3337" s="66" t="s">
        <v>1676</v>
      </c>
      <c r="C3337" s="4">
        <v>1055</v>
      </c>
      <c r="D3337" s="41" t="s">
        <v>1125</v>
      </c>
      <c r="E3337" s="41">
        <v>10110042</v>
      </c>
      <c r="F3337" s="85" t="s">
        <v>293</v>
      </c>
      <c r="G3337" s="39" t="s">
        <v>1610</v>
      </c>
      <c r="H3337" s="52" t="s">
        <v>98</v>
      </c>
      <c r="I3337" s="52">
        <v>396.99999999999994</v>
      </c>
      <c r="J3337" s="49">
        <v>15364.649999999996</v>
      </c>
      <c r="K3337" s="58">
        <v>0</v>
      </c>
      <c r="L3337" s="58">
        <v>0</v>
      </c>
      <c r="M3337" s="58">
        <v>0</v>
      </c>
      <c r="N3337" s="58">
        <v>0</v>
      </c>
      <c r="O3337" s="58">
        <v>0</v>
      </c>
      <c r="P3337" s="53">
        <v>0</v>
      </c>
      <c r="Q3337" s="65">
        <v>15364.649999999996</v>
      </c>
      <c r="R3337" s="65">
        <v>0</v>
      </c>
      <c r="S3337" s="65">
        <v>0</v>
      </c>
      <c r="T3337" s="65">
        <v>0</v>
      </c>
      <c r="U3337" s="58">
        <v>0</v>
      </c>
      <c r="V3337" s="65">
        <v>0</v>
      </c>
      <c r="W3337" s="65">
        <v>0</v>
      </c>
      <c r="X3337" s="65">
        <v>0</v>
      </c>
      <c r="Y3337" s="65">
        <v>0</v>
      </c>
      <c r="Z3337" s="51">
        <v>15364.649999999996</v>
      </c>
      <c r="AA3337" s="51">
        <v>0</v>
      </c>
      <c r="AB3337" s="102">
        <v>0</v>
      </c>
      <c r="AC3337" s="81">
        <f t="shared" si="160"/>
        <v>234.53344836272041</v>
      </c>
      <c r="AD3337" s="82">
        <f t="shared" si="161"/>
        <v>56.714285714285708</v>
      </c>
      <c r="AE3337" s="218">
        <v>0</v>
      </c>
      <c r="AF3337">
        <v>0</v>
      </c>
      <c r="AH3337" t="str">
        <f t="shared" si="159"/>
        <v>Matihani</v>
      </c>
      <c r="AJ3337" s="72">
        <v>0</v>
      </c>
      <c r="AK3337" s="72"/>
      <c r="AL3337" s="72"/>
      <c r="AM3337" s="72"/>
    </row>
    <row r="3338" spans="1:39" x14ac:dyDescent="0.25">
      <c r="A3338" s="37" t="s">
        <v>62</v>
      </c>
      <c r="B3338" s="66" t="s">
        <v>1676</v>
      </c>
      <c r="C3338" s="4">
        <v>1011</v>
      </c>
      <c r="D3338" s="41" t="s">
        <v>281</v>
      </c>
      <c r="E3338" s="41">
        <v>10110043</v>
      </c>
      <c r="F3338" s="85" t="s">
        <v>294</v>
      </c>
      <c r="G3338" s="39" t="s">
        <v>92</v>
      </c>
      <c r="H3338" s="52" t="s">
        <v>98</v>
      </c>
      <c r="I3338" s="52">
        <v>898.19999999999993</v>
      </c>
      <c r="J3338" s="49">
        <v>40489.83</v>
      </c>
      <c r="K3338" s="58">
        <v>0</v>
      </c>
      <c r="L3338" s="58">
        <v>0</v>
      </c>
      <c r="M3338" s="58">
        <v>0</v>
      </c>
      <c r="N3338" s="58">
        <v>0</v>
      </c>
      <c r="O3338" s="58">
        <v>0</v>
      </c>
      <c r="P3338" s="53">
        <v>0</v>
      </c>
      <c r="Q3338" s="65">
        <v>40489.83</v>
      </c>
      <c r="R3338" s="65">
        <v>0</v>
      </c>
      <c r="S3338" s="65">
        <v>0</v>
      </c>
      <c r="T3338" s="65">
        <v>0</v>
      </c>
      <c r="U3338" s="58">
        <v>0</v>
      </c>
      <c r="V3338" s="65">
        <v>0</v>
      </c>
      <c r="W3338" s="65">
        <v>0</v>
      </c>
      <c r="X3338" s="65">
        <v>0</v>
      </c>
      <c r="Y3338" s="65">
        <v>0</v>
      </c>
      <c r="Z3338" s="51">
        <v>40489.83</v>
      </c>
      <c r="AA3338" s="51">
        <v>0</v>
      </c>
      <c r="AB3338" s="102">
        <v>0</v>
      </c>
      <c r="AC3338" s="81">
        <f t="shared" si="160"/>
        <v>0</v>
      </c>
      <c r="AD3338" s="82">
        <f t="shared" si="161"/>
        <v>0</v>
      </c>
      <c r="AE3338" s="218">
        <v>0</v>
      </c>
      <c r="AF3338">
        <v>0</v>
      </c>
      <c r="AH3338" t="str">
        <f t="shared" si="159"/>
        <v>Sahibpur Kamal</v>
      </c>
      <c r="AJ3338" s="72">
        <v>0</v>
      </c>
      <c r="AK3338" s="72"/>
      <c r="AL3338" s="72"/>
      <c r="AM3338" s="72"/>
    </row>
    <row r="3339" spans="1:39" x14ac:dyDescent="0.25">
      <c r="A3339" s="37" t="s">
        <v>62</v>
      </c>
      <c r="B3339" s="66" t="s">
        <v>1676</v>
      </c>
      <c r="C3339" s="4">
        <v>1011</v>
      </c>
      <c r="D3339" s="41" t="s">
        <v>281</v>
      </c>
      <c r="E3339" s="41">
        <v>10110049</v>
      </c>
      <c r="F3339" s="85" t="s">
        <v>1318</v>
      </c>
      <c r="G3339" s="39" t="s">
        <v>92</v>
      </c>
      <c r="H3339" s="52" t="s">
        <v>93</v>
      </c>
      <c r="I3339" s="52">
        <v>732.5</v>
      </c>
      <c r="J3339" s="49">
        <v>28577.29</v>
      </c>
      <c r="K3339" s="58">
        <v>712.1</v>
      </c>
      <c r="L3339" s="58">
        <v>28586.54</v>
      </c>
      <c r="M3339" s="58">
        <v>2.8000000000000003</v>
      </c>
      <c r="N3339" s="58">
        <v>112.12000000000002</v>
      </c>
      <c r="O3339" s="58">
        <v>714.9</v>
      </c>
      <c r="P3339" s="53">
        <v>28698.66</v>
      </c>
      <c r="Q3339" s="65">
        <v>28577.29</v>
      </c>
      <c r="R3339" s="65">
        <v>0</v>
      </c>
      <c r="S3339" s="65">
        <v>112.12000000000002</v>
      </c>
      <c r="T3339" s="65">
        <v>121.36999999999898</v>
      </c>
      <c r="U3339" s="58">
        <v>0</v>
      </c>
      <c r="V3339" s="65">
        <v>0</v>
      </c>
      <c r="W3339" s="65">
        <v>0</v>
      </c>
      <c r="X3339" s="65">
        <v>28465</v>
      </c>
      <c r="Y3339" s="65">
        <v>0</v>
      </c>
      <c r="Z3339" s="51">
        <v>0</v>
      </c>
      <c r="AA3339" s="51">
        <v>0</v>
      </c>
      <c r="AB3339" s="102">
        <v>0</v>
      </c>
      <c r="AC3339" s="81">
        <f t="shared" si="160"/>
        <v>0</v>
      </c>
      <c r="AD3339" s="82">
        <f t="shared" si="161"/>
        <v>0</v>
      </c>
      <c r="AE3339" s="218">
        <v>-4.2470787118022383E-3</v>
      </c>
      <c r="AF3339">
        <v>4</v>
      </c>
      <c r="AH3339" t="str">
        <f t="shared" si="159"/>
        <v>Sahibpur Kamal</v>
      </c>
      <c r="AJ3339" s="72">
        <v>0</v>
      </c>
      <c r="AK3339" s="72"/>
      <c r="AL3339" s="72"/>
      <c r="AM3339" s="72"/>
    </row>
    <row r="3340" spans="1:39" x14ac:dyDescent="0.25">
      <c r="A3340" s="37" t="s">
        <v>62</v>
      </c>
      <c r="B3340" s="66" t="s">
        <v>1676</v>
      </c>
      <c r="C3340" s="4">
        <v>1011</v>
      </c>
      <c r="D3340" s="41" t="s">
        <v>281</v>
      </c>
      <c r="E3340" s="41">
        <v>10110050</v>
      </c>
      <c r="F3340" s="85" t="s">
        <v>296</v>
      </c>
      <c r="G3340" s="39" t="s">
        <v>92</v>
      </c>
      <c r="H3340" s="52" t="s">
        <v>93</v>
      </c>
      <c r="I3340" s="52">
        <v>1123.8</v>
      </c>
      <c r="J3340" s="49">
        <v>50609.27</v>
      </c>
      <c r="K3340" s="58">
        <v>1123</v>
      </c>
      <c r="L3340" s="58">
        <v>50422.7</v>
      </c>
      <c r="M3340" s="58">
        <v>0</v>
      </c>
      <c r="N3340" s="58">
        <v>0</v>
      </c>
      <c r="O3340" s="58">
        <v>1123</v>
      </c>
      <c r="P3340" s="53">
        <v>50422.7</v>
      </c>
      <c r="Q3340" s="65">
        <v>50422.7</v>
      </c>
      <c r="R3340" s="65">
        <v>0</v>
      </c>
      <c r="S3340" s="65">
        <v>0</v>
      </c>
      <c r="T3340" s="65">
        <v>0</v>
      </c>
      <c r="U3340" s="58">
        <v>0</v>
      </c>
      <c r="V3340" s="65">
        <v>0</v>
      </c>
      <c r="W3340" s="65">
        <v>0</v>
      </c>
      <c r="X3340" s="65">
        <v>50423</v>
      </c>
      <c r="Y3340" s="65">
        <v>0</v>
      </c>
      <c r="Z3340" s="51">
        <v>0</v>
      </c>
      <c r="AA3340" s="51">
        <v>186</v>
      </c>
      <c r="AB3340" s="102">
        <v>0</v>
      </c>
      <c r="AC3340" s="81">
        <f t="shared" si="160"/>
        <v>0</v>
      </c>
      <c r="AD3340" s="82">
        <f t="shared" si="161"/>
        <v>0</v>
      </c>
      <c r="AE3340" s="218">
        <v>3.6864787814564351E-3</v>
      </c>
      <c r="AF3340">
        <v>1</v>
      </c>
      <c r="AH3340" t="str">
        <f t="shared" si="159"/>
        <v>Sahibpur Kamal</v>
      </c>
      <c r="AJ3340" s="72">
        <v>0</v>
      </c>
      <c r="AK3340" s="72"/>
      <c r="AL3340" s="72"/>
      <c r="AM3340" s="72"/>
    </row>
    <row r="3341" spans="1:39" x14ac:dyDescent="0.25">
      <c r="A3341" s="37" t="s">
        <v>62</v>
      </c>
      <c r="B3341" s="66" t="s">
        <v>1676</v>
      </c>
      <c r="C3341" s="4">
        <v>1011</v>
      </c>
      <c r="D3341" s="41" t="s">
        <v>281</v>
      </c>
      <c r="E3341" s="41">
        <v>10110053</v>
      </c>
      <c r="F3341" s="85" t="s">
        <v>297</v>
      </c>
      <c r="G3341" s="39" t="s">
        <v>92</v>
      </c>
      <c r="H3341" s="52" t="s">
        <v>93</v>
      </c>
      <c r="I3341" s="52">
        <v>372.1</v>
      </c>
      <c r="J3341" s="49">
        <v>14896.580000000002</v>
      </c>
      <c r="K3341" s="58">
        <v>370.4</v>
      </c>
      <c r="L3341" s="58">
        <v>14813.55</v>
      </c>
      <c r="M3341" s="58">
        <v>2.8000000000000007</v>
      </c>
      <c r="N3341" s="58">
        <v>114.6</v>
      </c>
      <c r="O3341" s="58">
        <v>373.2</v>
      </c>
      <c r="P3341" s="53">
        <v>14928.15</v>
      </c>
      <c r="Q3341" s="65">
        <v>14896.580000000002</v>
      </c>
      <c r="R3341" s="65">
        <v>0</v>
      </c>
      <c r="S3341" s="65">
        <v>114.6</v>
      </c>
      <c r="T3341" s="65">
        <v>31.56999999999789</v>
      </c>
      <c r="U3341" s="58">
        <v>1644</v>
      </c>
      <c r="V3341" s="65">
        <v>500</v>
      </c>
      <c r="W3341" s="65">
        <v>0</v>
      </c>
      <c r="X3341" s="65">
        <v>12638</v>
      </c>
      <c r="Y3341" s="65">
        <v>0</v>
      </c>
      <c r="Z3341" s="51">
        <v>0</v>
      </c>
      <c r="AA3341" s="51">
        <v>0</v>
      </c>
      <c r="AB3341" s="102">
        <v>0</v>
      </c>
      <c r="AC3341" s="81">
        <f t="shared" si="160"/>
        <v>262.54171362536954</v>
      </c>
      <c r="AD3341" s="82">
        <f t="shared" si="161"/>
        <v>53.157142857142858</v>
      </c>
      <c r="AE3341" s="218">
        <v>-2.1192783847029241E-3</v>
      </c>
      <c r="AF3341">
        <v>3</v>
      </c>
      <c r="AH3341" t="str">
        <f t="shared" si="159"/>
        <v>Sahibpur Kamal</v>
      </c>
      <c r="AJ3341" s="72">
        <v>500</v>
      </c>
      <c r="AK3341" s="72"/>
      <c r="AL3341" s="72"/>
      <c r="AM3341" s="72"/>
    </row>
    <row r="3342" spans="1:39" x14ac:dyDescent="0.25">
      <c r="A3342" s="37" t="s">
        <v>62</v>
      </c>
      <c r="B3342" s="66" t="s">
        <v>1676</v>
      </c>
      <c r="C3342" s="4">
        <v>1011</v>
      </c>
      <c r="D3342" s="41" t="s">
        <v>281</v>
      </c>
      <c r="E3342" s="41">
        <v>10110055</v>
      </c>
      <c r="F3342" s="85" t="s">
        <v>298</v>
      </c>
      <c r="G3342" s="39" t="s">
        <v>92</v>
      </c>
      <c r="H3342" s="52" t="s">
        <v>93</v>
      </c>
      <c r="I3342" s="52">
        <v>1077.9000000000001</v>
      </c>
      <c r="J3342" s="49">
        <v>50588.650000000009</v>
      </c>
      <c r="K3342" s="58">
        <v>847.45999999999992</v>
      </c>
      <c r="L3342" s="58">
        <v>40206.879999999997</v>
      </c>
      <c r="M3342" s="58">
        <v>223.58</v>
      </c>
      <c r="N3342" s="58">
        <v>10381.470000000001</v>
      </c>
      <c r="O3342" s="58">
        <v>1071.04</v>
      </c>
      <c r="P3342" s="53">
        <v>50588.35</v>
      </c>
      <c r="Q3342" s="65">
        <v>50588.35</v>
      </c>
      <c r="R3342" s="65">
        <v>0</v>
      </c>
      <c r="S3342" s="65">
        <v>0</v>
      </c>
      <c r="T3342" s="65">
        <v>0</v>
      </c>
      <c r="U3342" s="58">
        <v>0</v>
      </c>
      <c r="V3342" s="65">
        <v>0</v>
      </c>
      <c r="W3342" s="65">
        <v>0</v>
      </c>
      <c r="X3342" s="65">
        <v>40206</v>
      </c>
      <c r="Y3342" s="65">
        <v>10381</v>
      </c>
      <c r="Z3342" s="51">
        <v>0</v>
      </c>
      <c r="AA3342" s="51">
        <v>2</v>
      </c>
      <c r="AB3342" s="102">
        <v>0</v>
      </c>
      <c r="AC3342" s="81">
        <f t="shared" si="160"/>
        <v>0</v>
      </c>
      <c r="AD3342" s="82">
        <f t="shared" si="161"/>
        <v>0</v>
      </c>
      <c r="AE3342" s="218">
        <v>5.930183944623671E-6</v>
      </c>
      <c r="AF3342">
        <v>6</v>
      </c>
      <c r="AH3342" t="str">
        <f t="shared" si="159"/>
        <v>Sahibpur Kamal</v>
      </c>
      <c r="AJ3342" s="72">
        <v>0</v>
      </c>
      <c r="AK3342" s="72"/>
      <c r="AL3342" s="72"/>
      <c r="AM3342" s="72"/>
    </row>
    <row r="3343" spans="1:39" x14ac:dyDescent="0.25">
      <c r="A3343" s="37" t="s">
        <v>62</v>
      </c>
      <c r="B3343" s="66" t="s">
        <v>1676</v>
      </c>
      <c r="C3343" s="4">
        <v>1011</v>
      </c>
      <c r="D3343" s="41" t="s">
        <v>281</v>
      </c>
      <c r="E3343" s="41">
        <v>10110057</v>
      </c>
      <c r="F3343" s="85" t="s">
        <v>299</v>
      </c>
      <c r="G3343" s="39" t="s">
        <v>1610</v>
      </c>
      <c r="H3343" s="52" t="s">
        <v>93</v>
      </c>
      <c r="I3343" s="52">
        <v>270.89999999999998</v>
      </c>
      <c r="J3343" s="49">
        <v>11700.36</v>
      </c>
      <c r="K3343" s="58">
        <v>253.5</v>
      </c>
      <c r="L3343" s="58">
        <v>11665.439999999997</v>
      </c>
      <c r="M3343" s="58">
        <v>0</v>
      </c>
      <c r="N3343" s="58">
        <v>0</v>
      </c>
      <c r="O3343" s="58">
        <v>253.5</v>
      </c>
      <c r="P3343" s="53">
        <v>11665.439999999997</v>
      </c>
      <c r="Q3343" s="65">
        <v>11665.439999999997</v>
      </c>
      <c r="R3343" s="65">
        <v>0</v>
      </c>
      <c r="S3343" s="65">
        <v>0</v>
      </c>
      <c r="T3343" s="65">
        <v>0</v>
      </c>
      <c r="U3343" s="58">
        <v>0</v>
      </c>
      <c r="V3343" s="65">
        <v>0</v>
      </c>
      <c r="W3343" s="65">
        <v>0</v>
      </c>
      <c r="X3343" s="65">
        <v>11665</v>
      </c>
      <c r="Y3343" s="65">
        <v>0</v>
      </c>
      <c r="Z3343" s="51">
        <v>0</v>
      </c>
      <c r="AA3343" s="51">
        <v>35</v>
      </c>
      <c r="AB3343" s="102">
        <v>0</v>
      </c>
      <c r="AC3343" s="81">
        <f t="shared" si="160"/>
        <v>370.66256744186052</v>
      </c>
      <c r="AD3343" s="82">
        <f t="shared" si="161"/>
        <v>38.699999999999996</v>
      </c>
      <c r="AE3343" s="218">
        <v>2.9845235531217595E-3</v>
      </c>
      <c r="AF3343">
        <v>1</v>
      </c>
      <c r="AH3343" t="str">
        <f t="shared" si="159"/>
        <v>Sahibpur Kamal</v>
      </c>
      <c r="AJ3343" s="72">
        <v>0</v>
      </c>
      <c r="AK3343" s="72"/>
      <c r="AL3343" s="72"/>
      <c r="AM3343" s="72"/>
    </row>
    <row r="3344" spans="1:39" x14ac:dyDescent="0.25">
      <c r="A3344" s="37" t="s">
        <v>62</v>
      </c>
      <c r="B3344" s="66" t="s">
        <v>1676</v>
      </c>
      <c r="C3344" s="4">
        <v>1011</v>
      </c>
      <c r="D3344" s="41" t="s">
        <v>281</v>
      </c>
      <c r="E3344" s="41">
        <v>10110065</v>
      </c>
      <c r="F3344" s="85" t="s">
        <v>300</v>
      </c>
      <c r="G3344" s="39" t="s">
        <v>92</v>
      </c>
      <c r="H3344" s="52" t="s">
        <v>93</v>
      </c>
      <c r="I3344" s="52">
        <v>611.69999999999993</v>
      </c>
      <c r="J3344" s="49">
        <v>24273.179999999993</v>
      </c>
      <c r="K3344" s="58">
        <v>616.29999999999995</v>
      </c>
      <c r="L3344" s="58">
        <v>23965.9</v>
      </c>
      <c r="M3344" s="58">
        <v>0</v>
      </c>
      <c r="N3344" s="58">
        <v>0</v>
      </c>
      <c r="O3344" s="58">
        <v>616.29999999999995</v>
      </c>
      <c r="P3344" s="53">
        <v>23965.9</v>
      </c>
      <c r="Q3344" s="65">
        <v>23965.9</v>
      </c>
      <c r="R3344" s="65">
        <v>0</v>
      </c>
      <c r="S3344" s="65">
        <v>0</v>
      </c>
      <c r="T3344" s="65">
        <v>0</v>
      </c>
      <c r="U3344" s="58">
        <v>1.7999999999999998</v>
      </c>
      <c r="V3344" s="65">
        <v>0</v>
      </c>
      <c r="W3344" s="65">
        <v>0</v>
      </c>
      <c r="X3344" s="65">
        <v>23963</v>
      </c>
      <c r="Y3344" s="65">
        <v>0</v>
      </c>
      <c r="Z3344" s="51">
        <v>0</v>
      </c>
      <c r="AA3344" s="51">
        <v>308</v>
      </c>
      <c r="AB3344" s="102">
        <v>0</v>
      </c>
      <c r="AC3344" s="81">
        <f t="shared" si="160"/>
        <v>70.07754762138309</v>
      </c>
      <c r="AD3344" s="82">
        <f t="shared" si="161"/>
        <v>87.385714285714272</v>
      </c>
      <c r="AE3344" s="218">
        <v>1.2659239539277164E-2</v>
      </c>
      <c r="AF3344">
        <v>17</v>
      </c>
      <c r="AH3344" t="str">
        <f t="shared" si="159"/>
        <v>Sahibpur Kamal</v>
      </c>
      <c r="AJ3344" s="72">
        <v>0</v>
      </c>
      <c r="AK3344" s="72"/>
      <c r="AL3344" s="72"/>
      <c r="AM3344" s="72"/>
    </row>
    <row r="3345" spans="1:39" x14ac:dyDescent="0.25">
      <c r="A3345" s="37" t="s">
        <v>62</v>
      </c>
      <c r="B3345" s="66" t="s">
        <v>1676</v>
      </c>
      <c r="C3345" s="4">
        <v>1011</v>
      </c>
      <c r="D3345" s="41" t="s">
        <v>281</v>
      </c>
      <c r="E3345" s="41">
        <v>10110066</v>
      </c>
      <c r="F3345" s="85" t="s">
        <v>301</v>
      </c>
      <c r="G3345" s="39" t="s">
        <v>92</v>
      </c>
      <c r="H3345" s="52" t="s">
        <v>93</v>
      </c>
      <c r="I3345" s="52">
        <v>700.30000000000018</v>
      </c>
      <c r="J3345" s="49">
        <v>29808.36</v>
      </c>
      <c r="K3345" s="58">
        <v>686.7</v>
      </c>
      <c r="L3345" s="58">
        <v>29592.99</v>
      </c>
      <c r="M3345" s="58">
        <v>4.72</v>
      </c>
      <c r="N3345" s="58">
        <v>193.6</v>
      </c>
      <c r="O3345" s="58">
        <v>691.42000000000007</v>
      </c>
      <c r="P3345" s="53">
        <v>29786.59</v>
      </c>
      <c r="Q3345" s="65">
        <v>29786.59</v>
      </c>
      <c r="R3345" s="65">
        <v>0</v>
      </c>
      <c r="S3345" s="65">
        <v>193.6</v>
      </c>
      <c r="T3345" s="65">
        <v>0</v>
      </c>
      <c r="U3345" s="58">
        <v>0</v>
      </c>
      <c r="V3345" s="65">
        <v>0</v>
      </c>
      <c r="W3345" s="65">
        <v>0</v>
      </c>
      <c r="X3345" s="65">
        <v>29593</v>
      </c>
      <c r="Y3345" s="65">
        <v>0</v>
      </c>
      <c r="Z3345" s="51">
        <v>0</v>
      </c>
      <c r="AA3345" s="51">
        <v>22</v>
      </c>
      <c r="AB3345" s="102">
        <v>0</v>
      </c>
      <c r="AC3345" s="81">
        <f t="shared" si="160"/>
        <v>0</v>
      </c>
      <c r="AD3345" s="82">
        <f t="shared" si="161"/>
        <v>0</v>
      </c>
      <c r="AE3345" s="218">
        <v>7.3033202765936925E-4</v>
      </c>
      <c r="AF3345">
        <v>15</v>
      </c>
      <c r="AH3345" t="str">
        <f t="shared" si="159"/>
        <v>Sahibpur Kamal</v>
      </c>
      <c r="AJ3345" s="72">
        <v>0</v>
      </c>
      <c r="AK3345" s="72"/>
      <c r="AL3345" s="72"/>
      <c r="AM3345" s="72"/>
    </row>
    <row r="3346" spans="1:39" x14ac:dyDescent="0.25">
      <c r="A3346" s="37" t="s">
        <v>62</v>
      </c>
      <c r="B3346" s="66" t="s">
        <v>1676</v>
      </c>
      <c r="C3346" s="4">
        <v>1011</v>
      </c>
      <c r="D3346" s="41" t="s">
        <v>281</v>
      </c>
      <c r="E3346" s="41">
        <v>10110071</v>
      </c>
      <c r="F3346" s="85" t="s">
        <v>302</v>
      </c>
      <c r="G3346" s="39" t="s">
        <v>92</v>
      </c>
      <c r="H3346" s="52" t="s">
        <v>93</v>
      </c>
      <c r="I3346" s="52">
        <v>164.70000000000002</v>
      </c>
      <c r="J3346" s="49">
        <v>5691.35</v>
      </c>
      <c r="K3346" s="58">
        <v>145</v>
      </c>
      <c r="L3346" s="58">
        <v>5722.8</v>
      </c>
      <c r="M3346" s="58">
        <v>0</v>
      </c>
      <c r="N3346" s="58">
        <v>0</v>
      </c>
      <c r="O3346" s="58">
        <v>145</v>
      </c>
      <c r="P3346" s="53">
        <v>5722.8</v>
      </c>
      <c r="Q3346" s="65">
        <v>5691.35</v>
      </c>
      <c r="R3346" s="65">
        <v>0</v>
      </c>
      <c r="S3346" s="65">
        <v>0</v>
      </c>
      <c r="T3346" s="65">
        <v>31.449999999999818</v>
      </c>
      <c r="U3346" s="58">
        <v>0</v>
      </c>
      <c r="V3346" s="65">
        <v>500</v>
      </c>
      <c r="W3346" s="65">
        <v>0</v>
      </c>
      <c r="X3346" s="65">
        <v>5191</v>
      </c>
      <c r="Y3346" s="65">
        <v>0</v>
      </c>
      <c r="Z3346" s="51">
        <v>0</v>
      </c>
      <c r="AA3346" s="51">
        <v>0</v>
      </c>
      <c r="AB3346" s="102">
        <v>0</v>
      </c>
      <c r="AC3346" s="81">
        <f t="shared" si="160"/>
        <v>369.95502792956893</v>
      </c>
      <c r="AD3346" s="82">
        <f t="shared" si="161"/>
        <v>23.528571428571432</v>
      </c>
      <c r="AE3346" s="218">
        <v>-5.5259297003346858E-3</v>
      </c>
      <c r="AF3346">
        <v>1</v>
      </c>
      <c r="AH3346" t="str">
        <f t="shared" si="159"/>
        <v>Sahibpur Kamal</v>
      </c>
      <c r="AJ3346" s="72">
        <v>500</v>
      </c>
      <c r="AK3346" s="72"/>
      <c r="AL3346" s="72"/>
      <c r="AM3346" s="72"/>
    </row>
    <row r="3347" spans="1:39" x14ac:dyDescent="0.25">
      <c r="A3347" s="37" t="s">
        <v>62</v>
      </c>
      <c r="B3347" s="66" t="s">
        <v>1676</v>
      </c>
      <c r="C3347" s="4">
        <v>1011</v>
      </c>
      <c r="D3347" s="41" t="s">
        <v>281</v>
      </c>
      <c r="E3347" s="41">
        <v>10110073</v>
      </c>
      <c r="F3347" s="85" t="s">
        <v>605</v>
      </c>
      <c r="G3347" s="39" t="s">
        <v>92</v>
      </c>
      <c r="H3347" s="52" t="s">
        <v>93</v>
      </c>
      <c r="I3347" s="52">
        <v>187.79999999999998</v>
      </c>
      <c r="J3347" s="49">
        <v>7019.1900000000005</v>
      </c>
      <c r="K3347" s="58">
        <v>171.52999999999997</v>
      </c>
      <c r="L3347" s="58">
        <v>6884.6599999999989</v>
      </c>
      <c r="M3347" s="58">
        <v>0</v>
      </c>
      <c r="N3347" s="58">
        <v>0</v>
      </c>
      <c r="O3347" s="58">
        <v>171.52999999999997</v>
      </c>
      <c r="P3347" s="53">
        <v>6884.6599999999989</v>
      </c>
      <c r="Q3347" s="65">
        <v>6884.6599999999989</v>
      </c>
      <c r="R3347" s="65">
        <v>0</v>
      </c>
      <c r="S3347" s="65">
        <v>0</v>
      </c>
      <c r="T3347" s="65">
        <v>0</v>
      </c>
      <c r="U3347" s="58">
        <v>0</v>
      </c>
      <c r="V3347" s="65">
        <v>0</v>
      </c>
      <c r="W3347" s="65">
        <v>0</v>
      </c>
      <c r="X3347" s="65">
        <v>6885</v>
      </c>
      <c r="Y3347" s="65">
        <v>0</v>
      </c>
      <c r="Z3347" s="51">
        <v>0</v>
      </c>
      <c r="AA3347" s="51">
        <v>134</v>
      </c>
      <c r="AB3347" s="102" t="s">
        <v>68</v>
      </c>
      <c r="AC3347" s="81">
        <f t="shared" si="160"/>
        <v>382.87850031948898</v>
      </c>
      <c r="AD3347" s="82">
        <f t="shared" si="161"/>
        <v>26.828571428571426</v>
      </c>
      <c r="AE3347" s="218">
        <v>1.9166029128717354E-2</v>
      </c>
      <c r="AF3347">
        <v>2</v>
      </c>
      <c r="AH3347" t="str">
        <f t="shared" si="159"/>
        <v>Sahibpur Kamal</v>
      </c>
      <c r="AJ3347" s="72">
        <v>500</v>
      </c>
      <c r="AK3347" s="72"/>
      <c r="AL3347" s="72"/>
      <c r="AM3347" s="72"/>
    </row>
    <row r="3348" spans="1:39" x14ac:dyDescent="0.25">
      <c r="A3348" s="37" t="s">
        <v>62</v>
      </c>
      <c r="B3348" s="66" t="s">
        <v>1676</v>
      </c>
      <c r="C3348" s="4">
        <v>1011</v>
      </c>
      <c r="D3348" s="41" t="s">
        <v>281</v>
      </c>
      <c r="E3348" s="41">
        <v>10110076</v>
      </c>
      <c r="F3348" s="85" t="s">
        <v>303</v>
      </c>
      <c r="G3348" s="39" t="s">
        <v>92</v>
      </c>
      <c r="H3348" s="52" t="s">
        <v>93</v>
      </c>
      <c r="I3348" s="52">
        <v>2240.2000000000003</v>
      </c>
      <c r="J3348" s="49">
        <v>96784.919999999984</v>
      </c>
      <c r="K3348" s="58">
        <v>1650.46</v>
      </c>
      <c r="L3348" s="58">
        <v>79222.850000000006</v>
      </c>
      <c r="M3348" s="58">
        <v>617.78000000000009</v>
      </c>
      <c r="N3348" s="58">
        <v>27756.489999999998</v>
      </c>
      <c r="O3348" s="58">
        <v>2268.2400000000002</v>
      </c>
      <c r="P3348" s="53">
        <v>106979.34</v>
      </c>
      <c r="Q3348" s="65">
        <v>96784.919999999984</v>
      </c>
      <c r="R3348" s="65">
        <v>0</v>
      </c>
      <c r="S3348" s="65">
        <v>219.8</v>
      </c>
      <c r="T3348" s="65">
        <v>10194.420000000013</v>
      </c>
      <c r="U3348" s="58">
        <v>0</v>
      </c>
      <c r="V3348" s="65">
        <v>0</v>
      </c>
      <c r="W3348" s="65">
        <v>0</v>
      </c>
      <c r="X3348" s="65">
        <v>69028</v>
      </c>
      <c r="Y3348" s="65">
        <v>27537</v>
      </c>
      <c r="Z3348" s="51">
        <v>0</v>
      </c>
      <c r="AA3348" s="51">
        <v>0</v>
      </c>
      <c r="AB3348" s="102">
        <v>0</v>
      </c>
      <c r="AC3348" s="81">
        <f t="shared" si="160"/>
        <v>0</v>
      </c>
      <c r="AD3348" s="82">
        <f t="shared" si="161"/>
        <v>0</v>
      </c>
      <c r="AE3348" s="218">
        <v>-0.10533066514907502</v>
      </c>
      <c r="AF3348">
        <v>14</v>
      </c>
      <c r="AH3348" t="str">
        <f t="shared" si="159"/>
        <v>Sahibpur Kamal</v>
      </c>
      <c r="AJ3348" s="72">
        <v>0</v>
      </c>
      <c r="AK3348" s="72"/>
      <c r="AL3348" s="72"/>
      <c r="AM3348" s="72"/>
    </row>
    <row r="3349" spans="1:39" x14ac:dyDescent="0.25">
      <c r="A3349" s="37" t="s">
        <v>62</v>
      </c>
      <c r="B3349" s="66" t="s">
        <v>1676</v>
      </c>
      <c r="C3349" s="4">
        <v>1011</v>
      </c>
      <c r="D3349" s="41" t="s">
        <v>281</v>
      </c>
      <c r="E3349" s="41">
        <v>10110078</v>
      </c>
      <c r="F3349" s="85" t="s">
        <v>304</v>
      </c>
      <c r="G3349" s="39" t="s">
        <v>1610</v>
      </c>
      <c r="H3349" s="52" t="s">
        <v>93</v>
      </c>
      <c r="I3349" s="52">
        <v>240.29999999999998</v>
      </c>
      <c r="J3349" s="49">
        <v>9262.6600000000017</v>
      </c>
      <c r="K3349" s="58">
        <v>216</v>
      </c>
      <c r="L3349" s="58">
        <v>9197.630000000001</v>
      </c>
      <c r="M3349" s="58">
        <v>0</v>
      </c>
      <c r="N3349" s="58">
        <v>0</v>
      </c>
      <c r="O3349" s="58">
        <v>216</v>
      </c>
      <c r="P3349" s="53">
        <v>9197.630000000001</v>
      </c>
      <c r="Q3349" s="65">
        <v>9197.630000000001</v>
      </c>
      <c r="R3349" s="65">
        <v>0</v>
      </c>
      <c r="S3349" s="65">
        <v>0</v>
      </c>
      <c r="T3349" s="65">
        <v>0</v>
      </c>
      <c r="U3349" s="58">
        <v>0</v>
      </c>
      <c r="V3349" s="65">
        <v>0</v>
      </c>
      <c r="W3349" s="65">
        <v>0</v>
      </c>
      <c r="X3349" s="65">
        <v>9198</v>
      </c>
      <c r="Y3349" s="65">
        <v>0</v>
      </c>
      <c r="Z3349" s="51">
        <v>0</v>
      </c>
      <c r="AA3349" s="51">
        <v>65</v>
      </c>
      <c r="AB3349" s="102">
        <v>0</v>
      </c>
      <c r="AC3349" s="81">
        <f t="shared" si="160"/>
        <v>354.3940742405328</v>
      </c>
      <c r="AD3349" s="82">
        <f t="shared" si="161"/>
        <v>34.328571428571429</v>
      </c>
      <c r="AE3349" s="218">
        <v>7.0206614514621768E-3</v>
      </c>
      <c r="AF3349">
        <v>1</v>
      </c>
      <c r="AH3349" t="str">
        <f t="shared" si="159"/>
        <v>Sahibpur Kamal</v>
      </c>
      <c r="AJ3349" s="72">
        <v>0</v>
      </c>
      <c r="AK3349" s="72"/>
      <c r="AL3349" s="72"/>
      <c r="AM3349" s="72"/>
    </row>
    <row r="3350" spans="1:39" x14ac:dyDescent="0.25">
      <c r="A3350" s="37" t="s">
        <v>62</v>
      </c>
      <c r="B3350" s="66" t="s">
        <v>1676</v>
      </c>
      <c r="C3350" s="4">
        <v>1011</v>
      </c>
      <c r="D3350" s="41" t="s">
        <v>281</v>
      </c>
      <c r="E3350" s="41">
        <v>10110079</v>
      </c>
      <c r="F3350" s="85" t="s">
        <v>305</v>
      </c>
      <c r="G3350" s="39" t="s">
        <v>92</v>
      </c>
      <c r="H3350" s="52" t="s">
        <v>93</v>
      </c>
      <c r="I3350" s="52">
        <v>39.9</v>
      </c>
      <c r="J3350" s="49">
        <v>1481.49</v>
      </c>
      <c r="K3350" s="58">
        <v>39</v>
      </c>
      <c r="L3350" s="58">
        <v>1469.13</v>
      </c>
      <c r="M3350" s="58">
        <v>0</v>
      </c>
      <c r="N3350" s="58">
        <v>0</v>
      </c>
      <c r="O3350" s="58">
        <v>39</v>
      </c>
      <c r="P3350" s="53">
        <v>1469.13</v>
      </c>
      <c r="Q3350" s="65">
        <v>1469.13</v>
      </c>
      <c r="R3350" s="65">
        <v>0</v>
      </c>
      <c r="S3350" s="65">
        <v>0</v>
      </c>
      <c r="T3350" s="65">
        <v>0</v>
      </c>
      <c r="U3350" s="58">
        <v>0</v>
      </c>
      <c r="V3350" s="65">
        <v>0</v>
      </c>
      <c r="W3350" s="65">
        <v>0</v>
      </c>
      <c r="X3350" s="65">
        <v>1469</v>
      </c>
      <c r="Y3350" s="65">
        <v>0</v>
      </c>
      <c r="Z3350" s="51">
        <v>0</v>
      </c>
      <c r="AA3350" s="51">
        <v>12</v>
      </c>
      <c r="AB3350" s="102">
        <v>0</v>
      </c>
      <c r="AC3350" s="81">
        <f t="shared" si="160"/>
        <v>490.19125263157906</v>
      </c>
      <c r="AD3350" s="82">
        <f t="shared" si="161"/>
        <v>5.7</v>
      </c>
      <c r="AE3350" s="218">
        <v>8.3429520280257716E-3</v>
      </c>
      <c r="AF3350">
        <v>1</v>
      </c>
      <c r="AH3350" t="str">
        <f t="shared" si="159"/>
        <v>Sahibpur Kamal</v>
      </c>
      <c r="AJ3350" s="72">
        <v>0</v>
      </c>
      <c r="AK3350" s="72"/>
      <c r="AL3350" s="72"/>
      <c r="AM3350" s="72"/>
    </row>
    <row r="3351" spans="1:39" x14ac:dyDescent="0.25">
      <c r="A3351" s="37" t="s">
        <v>62</v>
      </c>
      <c r="B3351" s="66" t="s">
        <v>1676</v>
      </c>
      <c r="C3351" s="4">
        <v>1011</v>
      </c>
      <c r="D3351" s="41" t="s">
        <v>281</v>
      </c>
      <c r="E3351" s="41">
        <v>10110083</v>
      </c>
      <c r="F3351" s="85" t="s">
        <v>424</v>
      </c>
      <c r="G3351" s="39" t="s">
        <v>92</v>
      </c>
      <c r="H3351" s="52" t="s">
        <v>93</v>
      </c>
      <c r="I3351" s="52">
        <v>223.99999999999997</v>
      </c>
      <c r="J3351" s="49">
        <v>8829.7099999999991</v>
      </c>
      <c r="K3351" s="58">
        <v>224</v>
      </c>
      <c r="L3351" s="58">
        <v>8998.08</v>
      </c>
      <c r="M3351" s="58">
        <v>0</v>
      </c>
      <c r="N3351" s="58">
        <v>0</v>
      </c>
      <c r="O3351" s="58">
        <v>224</v>
      </c>
      <c r="P3351" s="53">
        <v>8998.08</v>
      </c>
      <c r="Q3351" s="65">
        <v>8829.7099999999991</v>
      </c>
      <c r="R3351" s="65">
        <v>0</v>
      </c>
      <c r="S3351" s="65">
        <v>0</v>
      </c>
      <c r="T3351" s="65">
        <v>168.3700000000008</v>
      </c>
      <c r="U3351" s="58">
        <v>0</v>
      </c>
      <c r="V3351" s="65">
        <v>0</v>
      </c>
      <c r="W3351" s="65">
        <v>0</v>
      </c>
      <c r="X3351" s="65">
        <v>8830</v>
      </c>
      <c r="Y3351" s="65">
        <v>0</v>
      </c>
      <c r="Z3351" s="51">
        <v>0</v>
      </c>
      <c r="AA3351" s="51">
        <v>0</v>
      </c>
      <c r="AB3351" s="102">
        <v>0</v>
      </c>
      <c r="AC3351" s="81">
        <f t="shared" si="160"/>
        <v>375.262675</v>
      </c>
      <c r="AD3351" s="82">
        <f t="shared" si="161"/>
        <v>31.999999999999996</v>
      </c>
      <c r="AE3351" s="218">
        <v>-1.9068576431162609E-2</v>
      </c>
      <c r="AF3351">
        <v>1</v>
      </c>
      <c r="AH3351" t="str">
        <f t="shared" si="159"/>
        <v>Sahibpur Kamal</v>
      </c>
      <c r="AJ3351" s="72">
        <v>0</v>
      </c>
      <c r="AK3351" s="72"/>
      <c r="AL3351" s="72"/>
      <c r="AM3351" s="72"/>
    </row>
    <row r="3352" spans="1:39" x14ac:dyDescent="0.25">
      <c r="A3352" s="37" t="s">
        <v>62</v>
      </c>
      <c r="B3352" s="66" t="s">
        <v>1676</v>
      </c>
      <c r="C3352" s="4">
        <v>1011</v>
      </c>
      <c r="D3352" s="41" t="s">
        <v>281</v>
      </c>
      <c r="E3352" s="41">
        <v>10110086</v>
      </c>
      <c r="F3352" s="85" t="s">
        <v>428</v>
      </c>
      <c r="G3352" s="39" t="s">
        <v>92</v>
      </c>
      <c r="H3352" s="52" t="s">
        <v>93</v>
      </c>
      <c r="I3352" s="52">
        <v>252.2</v>
      </c>
      <c r="J3352" s="49">
        <v>10007.42</v>
      </c>
      <c r="K3352" s="58">
        <v>239.4</v>
      </c>
      <c r="L3352" s="58">
        <v>9803.4499999999989</v>
      </c>
      <c r="M3352" s="58">
        <v>1.8</v>
      </c>
      <c r="N3352" s="58">
        <v>73.87</v>
      </c>
      <c r="O3352" s="58">
        <v>241.20000000000002</v>
      </c>
      <c r="P3352" s="53">
        <v>9877.32</v>
      </c>
      <c r="Q3352" s="65">
        <v>9877.32</v>
      </c>
      <c r="R3352" s="65">
        <v>0</v>
      </c>
      <c r="S3352" s="65">
        <v>73.87</v>
      </c>
      <c r="T3352" s="65">
        <v>0</v>
      </c>
      <c r="U3352" s="58">
        <v>0</v>
      </c>
      <c r="V3352" s="65">
        <v>0</v>
      </c>
      <c r="W3352" s="65">
        <v>0</v>
      </c>
      <c r="X3352" s="65">
        <v>9803</v>
      </c>
      <c r="Y3352" s="65">
        <v>0</v>
      </c>
      <c r="Z3352" s="51">
        <v>0</v>
      </c>
      <c r="AA3352" s="51">
        <v>131</v>
      </c>
      <c r="AB3352" s="102">
        <v>0</v>
      </c>
      <c r="AC3352" s="81">
        <f t="shared" si="160"/>
        <v>355.37848342585255</v>
      </c>
      <c r="AD3352" s="82">
        <f t="shared" si="161"/>
        <v>36.028571428571425</v>
      </c>
      <c r="AE3352" s="218">
        <v>1.3000353737526791E-2</v>
      </c>
      <c r="AF3352">
        <v>4</v>
      </c>
      <c r="AH3352" t="str">
        <f t="shared" si="159"/>
        <v>Sahibpur Kamal</v>
      </c>
      <c r="AJ3352" s="72">
        <v>0</v>
      </c>
      <c r="AK3352" s="72"/>
      <c r="AL3352" s="72"/>
      <c r="AM3352" s="72"/>
    </row>
    <row r="3353" spans="1:39" x14ac:dyDescent="0.25">
      <c r="A3353" s="37" t="s">
        <v>62</v>
      </c>
      <c r="B3353" s="66" t="s">
        <v>1676</v>
      </c>
      <c r="C3353" s="4">
        <v>1054</v>
      </c>
      <c r="D3353" s="41" t="s">
        <v>808</v>
      </c>
      <c r="E3353" s="41">
        <v>10110093</v>
      </c>
      <c r="F3353" s="85" t="s">
        <v>475</v>
      </c>
      <c r="G3353" s="39" t="s">
        <v>92</v>
      </c>
      <c r="H3353" s="52" t="s">
        <v>93</v>
      </c>
      <c r="I3353" s="52">
        <v>437.09999999999997</v>
      </c>
      <c r="J3353" s="49">
        <v>16471.169999999998</v>
      </c>
      <c r="K3353" s="58">
        <v>474.99999999999994</v>
      </c>
      <c r="L3353" s="58">
        <v>18746.459999999995</v>
      </c>
      <c r="M3353" s="58">
        <v>12</v>
      </c>
      <c r="N3353" s="58">
        <v>473.2700000000001</v>
      </c>
      <c r="O3353" s="58">
        <v>486.99999999999994</v>
      </c>
      <c r="P3353" s="53">
        <v>19219.729999999996</v>
      </c>
      <c r="Q3353" s="65">
        <v>16471.169999999998</v>
      </c>
      <c r="R3353" s="65">
        <v>0</v>
      </c>
      <c r="S3353" s="65">
        <v>473.2700000000001</v>
      </c>
      <c r="T3353" s="65">
        <v>2748.5599999999977</v>
      </c>
      <c r="U3353" s="58">
        <v>0</v>
      </c>
      <c r="V3353" s="65">
        <v>0</v>
      </c>
      <c r="W3353" s="65">
        <v>0</v>
      </c>
      <c r="X3353" s="65">
        <v>15998</v>
      </c>
      <c r="Y3353" s="65">
        <v>0</v>
      </c>
      <c r="Z3353" s="51">
        <v>0</v>
      </c>
      <c r="AA3353" s="51">
        <v>0</v>
      </c>
      <c r="AB3353" s="102">
        <v>0</v>
      </c>
      <c r="AC3353" s="81">
        <f t="shared" si="160"/>
        <v>198.13638037062458</v>
      </c>
      <c r="AD3353" s="82">
        <f t="shared" si="161"/>
        <v>62.442857142857136</v>
      </c>
      <c r="AE3353" s="218">
        <v>-0.16687096302205598</v>
      </c>
      <c r="AF3353">
        <v>3</v>
      </c>
      <c r="AH3353" t="str">
        <f t="shared" si="159"/>
        <v xml:space="preserve">Alauli </v>
      </c>
      <c r="AJ3353" s="72">
        <v>0</v>
      </c>
      <c r="AK3353" s="72"/>
      <c r="AL3353" s="72"/>
      <c r="AM3353" s="72"/>
    </row>
    <row r="3354" spans="1:39" x14ac:dyDescent="0.25">
      <c r="A3354" s="37" t="s">
        <v>62</v>
      </c>
      <c r="B3354" s="66" t="s">
        <v>1676</v>
      </c>
      <c r="C3354" s="4">
        <v>1011</v>
      </c>
      <c r="D3354" s="41" t="s">
        <v>281</v>
      </c>
      <c r="E3354" s="41">
        <v>10110094</v>
      </c>
      <c r="F3354" s="85" t="s">
        <v>476</v>
      </c>
      <c r="G3354" s="39" t="s">
        <v>92</v>
      </c>
      <c r="H3354" s="52" t="s">
        <v>93</v>
      </c>
      <c r="I3354" s="52">
        <v>382.3</v>
      </c>
      <c r="J3354" s="49">
        <v>15171.079999999996</v>
      </c>
      <c r="K3354" s="58">
        <v>376.90999999999997</v>
      </c>
      <c r="L3354" s="58">
        <v>14904.91</v>
      </c>
      <c r="M3354" s="58">
        <v>5.87</v>
      </c>
      <c r="N3354" s="58">
        <v>231.8</v>
      </c>
      <c r="O3354" s="58">
        <v>382.78</v>
      </c>
      <c r="P3354" s="53">
        <v>15136.71</v>
      </c>
      <c r="Q3354" s="65">
        <v>15136.71</v>
      </c>
      <c r="R3354" s="65">
        <v>0</v>
      </c>
      <c r="S3354" s="65">
        <v>231.8</v>
      </c>
      <c r="T3354" s="65">
        <v>0</v>
      </c>
      <c r="U3354" s="58">
        <v>0</v>
      </c>
      <c r="V3354" s="65">
        <v>0</v>
      </c>
      <c r="W3354" s="65">
        <v>0</v>
      </c>
      <c r="X3354" s="65">
        <v>14905</v>
      </c>
      <c r="Y3354" s="65">
        <v>0</v>
      </c>
      <c r="Z3354" s="51">
        <v>0</v>
      </c>
      <c r="AA3354" s="51">
        <v>34</v>
      </c>
      <c r="AB3354" s="102">
        <v>0</v>
      </c>
      <c r="AC3354" s="81">
        <f t="shared" si="160"/>
        <v>252.15025456447805</v>
      </c>
      <c r="AD3354" s="82">
        <f t="shared" si="161"/>
        <v>54.614285714285714</v>
      </c>
      <c r="AE3354" s="218">
        <v>2.2654946121170787E-3</v>
      </c>
      <c r="AF3354">
        <v>12</v>
      </c>
      <c r="AH3354" t="str">
        <f t="shared" si="159"/>
        <v>Sahibpur Kamal</v>
      </c>
      <c r="AJ3354" s="72">
        <v>0</v>
      </c>
      <c r="AK3354" s="72"/>
      <c r="AL3354" s="72"/>
      <c r="AM3354" s="72"/>
    </row>
    <row r="3355" spans="1:39" x14ac:dyDescent="0.25">
      <c r="A3355" s="37" t="s">
        <v>62</v>
      </c>
      <c r="B3355" s="66" t="s">
        <v>1676</v>
      </c>
      <c r="C3355" s="4">
        <v>1011</v>
      </c>
      <c r="D3355" s="41" t="s">
        <v>281</v>
      </c>
      <c r="E3355" s="41">
        <v>10110095</v>
      </c>
      <c r="F3355" s="85" t="s">
        <v>477</v>
      </c>
      <c r="G3355" s="39" t="s">
        <v>92</v>
      </c>
      <c r="H3355" s="52" t="s">
        <v>93</v>
      </c>
      <c r="I3355" s="52">
        <v>266</v>
      </c>
      <c r="J3355" s="49">
        <v>12149.810000000001</v>
      </c>
      <c r="K3355" s="58">
        <v>251.57999999999998</v>
      </c>
      <c r="L3355" s="58">
        <v>11859.250000000002</v>
      </c>
      <c r="M3355" s="58">
        <v>5.69</v>
      </c>
      <c r="N3355" s="58">
        <v>260.44</v>
      </c>
      <c r="O3355" s="58">
        <v>257.27</v>
      </c>
      <c r="P3355" s="53">
        <v>12119.690000000002</v>
      </c>
      <c r="Q3355" s="65">
        <v>12119.690000000002</v>
      </c>
      <c r="R3355" s="65">
        <v>0</v>
      </c>
      <c r="S3355" s="65">
        <v>260.44</v>
      </c>
      <c r="T3355" s="65">
        <v>0</v>
      </c>
      <c r="U3355" s="58">
        <v>0</v>
      </c>
      <c r="V3355" s="65">
        <v>0</v>
      </c>
      <c r="W3355" s="65">
        <v>0</v>
      </c>
      <c r="X3355" s="65">
        <v>11859</v>
      </c>
      <c r="Y3355" s="65">
        <v>0</v>
      </c>
      <c r="Z3355" s="51">
        <v>0</v>
      </c>
      <c r="AA3355" s="51">
        <v>30</v>
      </c>
      <c r="AB3355" s="102">
        <v>0</v>
      </c>
      <c r="AC3355" s="81">
        <f t="shared" si="160"/>
        <v>396.46748421052638</v>
      </c>
      <c r="AD3355" s="82">
        <f t="shared" si="161"/>
        <v>38</v>
      </c>
      <c r="AE3355" s="218">
        <v>2.479051112733366E-3</v>
      </c>
      <c r="AF3355">
        <v>11</v>
      </c>
      <c r="AH3355" t="str">
        <f t="shared" si="159"/>
        <v>Sahibpur Kamal</v>
      </c>
      <c r="AJ3355" s="72">
        <v>0</v>
      </c>
      <c r="AK3355" s="72"/>
      <c r="AL3355" s="72"/>
      <c r="AM3355" s="72"/>
    </row>
    <row r="3356" spans="1:39" x14ac:dyDescent="0.25">
      <c r="A3356" s="37" t="s">
        <v>62</v>
      </c>
      <c r="B3356" s="66" t="s">
        <v>1676</v>
      </c>
      <c r="C3356" s="4">
        <v>1054</v>
      </c>
      <c r="D3356" s="41" t="s">
        <v>808</v>
      </c>
      <c r="E3356" s="41">
        <v>10110098</v>
      </c>
      <c r="F3356" s="85" t="s">
        <v>497</v>
      </c>
      <c r="G3356" s="39" t="s">
        <v>92</v>
      </c>
      <c r="H3356" s="52" t="s">
        <v>93</v>
      </c>
      <c r="I3356" s="52">
        <v>140.5</v>
      </c>
      <c r="J3356" s="49">
        <v>5309.03</v>
      </c>
      <c r="K3356" s="58">
        <v>140.5</v>
      </c>
      <c r="L3356" s="58">
        <v>5554.06</v>
      </c>
      <c r="M3356" s="58">
        <v>0</v>
      </c>
      <c r="N3356" s="58">
        <v>0</v>
      </c>
      <c r="O3356" s="58">
        <v>140.5</v>
      </c>
      <c r="P3356" s="53">
        <v>5554.06</v>
      </c>
      <c r="Q3356" s="65">
        <v>5309.03</v>
      </c>
      <c r="R3356" s="65">
        <v>0</v>
      </c>
      <c r="S3356" s="65">
        <v>0</v>
      </c>
      <c r="T3356" s="65">
        <v>245.03000000000065</v>
      </c>
      <c r="U3356" s="58">
        <v>0</v>
      </c>
      <c r="V3356" s="65">
        <v>500</v>
      </c>
      <c r="W3356" s="65">
        <v>0</v>
      </c>
      <c r="X3356" s="65">
        <v>4809</v>
      </c>
      <c r="Y3356" s="65">
        <v>0</v>
      </c>
      <c r="Z3356" s="51">
        <v>0</v>
      </c>
      <c r="AA3356" s="51">
        <v>0</v>
      </c>
      <c r="AB3356" s="102">
        <v>0</v>
      </c>
      <c r="AC3356" s="81">
        <f t="shared" si="160"/>
        <v>422.83306548042702</v>
      </c>
      <c r="AD3356" s="82">
        <f t="shared" si="161"/>
        <v>20.071428571428573</v>
      </c>
      <c r="AE3356" s="218">
        <v>-4.6153440458991696E-2</v>
      </c>
      <c r="AF3356">
        <v>1</v>
      </c>
      <c r="AH3356" t="str">
        <f t="shared" si="159"/>
        <v xml:space="preserve">Alauli </v>
      </c>
      <c r="AJ3356" s="72">
        <v>500</v>
      </c>
      <c r="AK3356" s="72"/>
      <c r="AL3356" s="72"/>
      <c r="AM3356" s="72"/>
    </row>
    <row r="3357" spans="1:39" x14ac:dyDescent="0.25">
      <c r="A3357" s="37" t="s">
        <v>62</v>
      </c>
      <c r="B3357" s="66" t="s">
        <v>1676</v>
      </c>
      <c r="C3357" s="4">
        <v>1054</v>
      </c>
      <c r="D3357" s="41" t="s">
        <v>808</v>
      </c>
      <c r="E3357" s="41">
        <v>10110100</v>
      </c>
      <c r="F3357" s="85" t="s">
        <v>498</v>
      </c>
      <c r="G3357" s="39" t="s">
        <v>92</v>
      </c>
      <c r="H3357" s="52" t="s">
        <v>93</v>
      </c>
      <c r="I3357" s="52">
        <v>5555.6</v>
      </c>
      <c r="J3357" s="49">
        <v>227078.40999999995</v>
      </c>
      <c r="K3357" s="58">
        <v>5463.53</v>
      </c>
      <c r="L3357" s="58">
        <v>227424.77000000002</v>
      </c>
      <c r="M3357" s="58">
        <v>0</v>
      </c>
      <c r="N3357" s="58">
        <v>0</v>
      </c>
      <c r="O3357" s="58">
        <v>5463.53</v>
      </c>
      <c r="P3357" s="53">
        <v>227424.77000000002</v>
      </c>
      <c r="Q3357" s="65">
        <v>227078.40999999995</v>
      </c>
      <c r="R3357" s="65">
        <v>0</v>
      </c>
      <c r="S3357" s="65">
        <v>0</v>
      </c>
      <c r="T3357" s="65">
        <v>346.36000000007334</v>
      </c>
      <c r="U3357" s="58">
        <v>3461</v>
      </c>
      <c r="V3357" s="65">
        <v>0</v>
      </c>
      <c r="W3357" s="65">
        <v>0</v>
      </c>
      <c r="X3357" s="65">
        <v>223617</v>
      </c>
      <c r="Y3357" s="65">
        <v>0</v>
      </c>
      <c r="Z3357" s="51">
        <v>0</v>
      </c>
      <c r="AA3357" s="51">
        <v>0</v>
      </c>
      <c r="AB3357" s="102">
        <v>0</v>
      </c>
      <c r="AC3357" s="81">
        <f t="shared" si="160"/>
        <v>0</v>
      </c>
      <c r="AD3357" s="82">
        <f t="shared" si="161"/>
        <v>0</v>
      </c>
      <c r="AE3357" s="218">
        <v>-1.5252881152376988E-3</v>
      </c>
      <c r="AF3357">
        <v>17</v>
      </c>
      <c r="AH3357" t="str">
        <f t="shared" si="159"/>
        <v xml:space="preserve">Alauli </v>
      </c>
      <c r="AJ3357" s="72">
        <v>0</v>
      </c>
      <c r="AK3357" s="72"/>
      <c r="AL3357" s="72"/>
      <c r="AM3357" s="72"/>
    </row>
    <row r="3358" spans="1:39" x14ac:dyDescent="0.25">
      <c r="A3358" s="37" t="s">
        <v>62</v>
      </c>
      <c r="B3358" s="66" t="s">
        <v>1676</v>
      </c>
      <c r="C3358" s="4">
        <v>1054</v>
      </c>
      <c r="D3358" s="41" t="s">
        <v>808</v>
      </c>
      <c r="E3358" s="41">
        <v>10110101</v>
      </c>
      <c r="F3358" s="85" t="s">
        <v>508</v>
      </c>
      <c r="G3358" s="39" t="s">
        <v>92</v>
      </c>
      <c r="H3358" s="52" t="s">
        <v>93</v>
      </c>
      <c r="I3358" s="52">
        <v>323.39999999999998</v>
      </c>
      <c r="J3358" s="49">
        <v>14703.500000000002</v>
      </c>
      <c r="K3358" s="58">
        <v>345.17000000000007</v>
      </c>
      <c r="L3358" s="58">
        <v>14732.82</v>
      </c>
      <c r="M3358" s="58">
        <v>0</v>
      </c>
      <c r="N3358" s="58">
        <v>0</v>
      </c>
      <c r="O3358" s="58">
        <v>345.17000000000007</v>
      </c>
      <c r="P3358" s="53">
        <v>14732.82</v>
      </c>
      <c r="Q3358" s="65">
        <v>14703.500000000002</v>
      </c>
      <c r="R3358" s="65">
        <v>0</v>
      </c>
      <c r="S3358" s="65">
        <v>0</v>
      </c>
      <c r="T3358" s="65">
        <v>29.31999999999789</v>
      </c>
      <c r="U3358" s="58">
        <v>0</v>
      </c>
      <c r="V3358" s="65">
        <v>0</v>
      </c>
      <c r="W3358" s="65">
        <v>0</v>
      </c>
      <c r="X3358" s="65">
        <v>14704</v>
      </c>
      <c r="Y3358" s="65">
        <v>0</v>
      </c>
      <c r="Z3358" s="51">
        <v>0</v>
      </c>
      <c r="AA3358" s="51">
        <v>0</v>
      </c>
      <c r="AB3358" s="102">
        <v>0</v>
      </c>
      <c r="AC3358" s="81">
        <f t="shared" si="160"/>
        <v>342.44515151515162</v>
      </c>
      <c r="AD3358" s="82">
        <f t="shared" si="161"/>
        <v>46.199999999999996</v>
      </c>
      <c r="AE3358" s="218">
        <v>-1.9940830414525716E-3</v>
      </c>
      <c r="AF3358">
        <v>8</v>
      </c>
      <c r="AH3358" t="str">
        <f t="shared" si="159"/>
        <v xml:space="preserve">Alauli </v>
      </c>
      <c r="AJ3358" s="72">
        <v>0</v>
      </c>
      <c r="AK3358" s="72"/>
      <c r="AL3358" s="72"/>
      <c r="AM3358" s="72"/>
    </row>
    <row r="3359" spans="1:39" x14ac:dyDescent="0.25">
      <c r="A3359" s="37" t="s">
        <v>62</v>
      </c>
      <c r="B3359" s="66" t="s">
        <v>1676</v>
      </c>
      <c r="C3359" s="4">
        <v>1011</v>
      </c>
      <c r="D3359" s="41" t="s">
        <v>281</v>
      </c>
      <c r="E3359" s="41">
        <v>10110106</v>
      </c>
      <c r="F3359" s="85" t="s">
        <v>606</v>
      </c>
      <c r="G3359" s="39" t="s">
        <v>92</v>
      </c>
      <c r="H3359" s="52" t="s">
        <v>93</v>
      </c>
      <c r="I3359" s="52">
        <v>6747</v>
      </c>
      <c r="J3359" s="49">
        <v>275686.65000000002</v>
      </c>
      <c r="K3359" s="58">
        <v>1307.2800000000002</v>
      </c>
      <c r="L3359" s="58">
        <v>53813.73</v>
      </c>
      <c r="M3359" s="58">
        <v>5442.1800000000012</v>
      </c>
      <c r="N3359" s="58">
        <v>223726.98000000004</v>
      </c>
      <c r="O3359" s="58">
        <v>6749.4600000000009</v>
      </c>
      <c r="P3359" s="53">
        <v>277540.71000000002</v>
      </c>
      <c r="Q3359" s="65">
        <v>275686.65000000002</v>
      </c>
      <c r="R3359" s="65">
        <v>0</v>
      </c>
      <c r="S3359" s="65">
        <v>517.04000000000008</v>
      </c>
      <c r="T3359" s="65">
        <v>1854.0599999999977</v>
      </c>
      <c r="U3359" s="58">
        <v>0</v>
      </c>
      <c r="V3359" s="65">
        <v>0</v>
      </c>
      <c r="W3359" s="65">
        <v>0</v>
      </c>
      <c r="X3359" s="65">
        <v>51958</v>
      </c>
      <c r="Y3359" s="65">
        <v>223212</v>
      </c>
      <c r="Z3359" s="51">
        <v>0</v>
      </c>
      <c r="AA3359" s="51">
        <v>0</v>
      </c>
      <c r="AB3359" s="102">
        <v>0</v>
      </c>
      <c r="AC3359" s="81">
        <f t="shared" si="160"/>
        <v>0</v>
      </c>
      <c r="AD3359" s="82">
        <f t="shared" si="161"/>
        <v>0</v>
      </c>
      <c r="AE3359" s="218">
        <v>-6.725244040652667E-3</v>
      </c>
      <c r="AF3359">
        <v>21</v>
      </c>
      <c r="AH3359" t="str">
        <f t="shared" si="159"/>
        <v>Sahibpur Kamal</v>
      </c>
      <c r="AJ3359" s="72">
        <v>0</v>
      </c>
      <c r="AK3359" s="72"/>
      <c r="AL3359" s="72"/>
      <c r="AM3359" s="72"/>
    </row>
    <row r="3360" spans="1:39" x14ac:dyDescent="0.25">
      <c r="A3360" s="37" t="s">
        <v>62</v>
      </c>
      <c r="B3360" s="66" t="s">
        <v>1676</v>
      </c>
      <c r="C3360" s="4">
        <v>1054</v>
      </c>
      <c r="D3360" s="41" t="s">
        <v>808</v>
      </c>
      <c r="E3360" s="41">
        <v>10110109</v>
      </c>
      <c r="F3360" s="85" t="s">
        <v>1297</v>
      </c>
      <c r="G3360" s="39" t="s">
        <v>92</v>
      </c>
      <c r="H3360" s="52" t="s">
        <v>93</v>
      </c>
      <c r="I3360" s="52">
        <v>705.5</v>
      </c>
      <c r="J3360" s="49">
        <v>28052.640000000003</v>
      </c>
      <c r="K3360" s="58">
        <v>782.38000000000011</v>
      </c>
      <c r="L3360" s="58">
        <v>31344.870000000003</v>
      </c>
      <c r="M3360" s="58">
        <v>1.5400000000000005</v>
      </c>
      <c r="N3360" s="58">
        <v>61.930000000000007</v>
      </c>
      <c r="O3360" s="58">
        <v>783.92000000000007</v>
      </c>
      <c r="P3360" s="53">
        <v>31406.800000000003</v>
      </c>
      <c r="Q3360" s="65">
        <v>28052.640000000003</v>
      </c>
      <c r="R3360" s="65">
        <v>0</v>
      </c>
      <c r="S3360" s="65">
        <v>61.930000000000007</v>
      </c>
      <c r="T3360" s="65">
        <v>3354.16</v>
      </c>
      <c r="U3360" s="58">
        <v>0</v>
      </c>
      <c r="V3360" s="65">
        <v>0</v>
      </c>
      <c r="W3360" s="65">
        <v>0</v>
      </c>
      <c r="X3360" s="65">
        <v>27991</v>
      </c>
      <c r="Y3360" s="65">
        <v>0</v>
      </c>
      <c r="Z3360" s="51">
        <v>0</v>
      </c>
      <c r="AA3360" s="51">
        <v>0</v>
      </c>
      <c r="AB3360" s="102" t="s">
        <v>66</v>
      </c>
      <c r="AC3360" s="81">
        <f t="shared" si="160"/>
        <v>0</v>
      </c>
      <c r="AD3360" s="82">
        <f t="shared" si="161"/>
        <v>0</v>
      </c>
      <c r="AE3360" s="218">
        <v>-0.11956664328205828</v>
      </c>
      <c r="AF3360">
        <v>4</v>
      </c>
      <c r="AH3360" t="str">
        <f t="shared" si="159"/>
        <v xml:space="preserve">Alauli </v>
      </c>
      <c r="AJ3360" s="72">
        <v>0</v>
      </c>
      <c r="AK3360" s="72"/>
      <c r="AL3360" s="72"/>
      <c r="AM3360" s="72"/>
    </row>
    <row r="3361" spans="1:39" x14ac:dyDescent="0.25">
      <c r="A3361" s="37" t="s">
        <v>62</v>
      </c>
      <c r="B3361" s="66" t="s">
        <v>1676</v>
      </c>
      <c r="C3361" s="4">
        <v>1055</v>
      </c>
      <c r="D3361" s="41" t="s">
        <v>1125</v>
      </c>
      <c r="E3361" s="41">
        <v>10110110</v>
      </c>
      <c r="F3361" s="85" t="s">
        <v>572</v>
      </c>
      <c r="G3361" s="39" t="s">
        <v>92</v>
      </c>
      <c r="H3361" s="52" t="s">
        <v>93</v>
      </c>
      <c r="I3361" s="52">
        <v>41.5</v>
      </c>
      <c r="J3361" s="49">
        <v>1785.7</v>
      </c>
      <c r="K3361" s="58">
        <v>41.599999999999994</v>
      </c>
      <c r="L3361" s="58">
        <v>1786.7499999999995</v>
      </c>
      <c r="M3361" s="58">
        <v>0</v>
      </c>
      <c r="N3361" s="58">
        <v>0</v>
      </c>
      <c r="O3361" s="58">
        <v>41.599999999999994</v>
      </c>
      <c r="P3361" s="53">
        <v>1786.7499999999995</v>
      </c>
      <c r="Q3361" s="65">
        <v>1785.7</v>
      </c>
      <c r="R3361" s="65">
        <v>0</v>
      </c>
      <c r="S3361" s="65">
        <v>0</v>
      </c>
      <c r="T3361" s="65">
        <v>1.0499999999994998</v>
      </c>
      <c r="U3361" s="58">
        <v>0</v>
      </c>
      <c r="V3361" s="65">
        <v>500</v>
      </c>
      <c r="W3361" s="65">
        <v>0</v>
      </c>
      <c r="X3361" s="65">
        <v>1286</v>
      </c>
      <c r="Y3361" s="65">
        <v>0</v>
      </c>
      <c r="Z3361" s="51">
        <v>0</v>
      </c>
      <c r="AA3361" s="51">
        <v>0</v>
      </c>
      <c r="AB3361" s="102">
        <v>0</v>
      </c>
      <c r="AC3361" s="81">
        <f t="shared" si="160"/>
        <v>566.69081927710852</v>
      </c>
      <c r="AD3361" s="82">
        <f t="shared" si="161"/>
        <v>5.9285714285714288</v>
      </c>
      <c r="AE3361" s="218">
        <v>-5.8800470403735212E-4</v>
      </c>
      <c r="AF3361">
        <v>2</v>
      </c>
      <c r="AH3361" t="str">
        <f t="shared" si="159"/>
        <v>Matihani</v>
      </c>
      <c r="AJ3361" s="72">
        <v>500</v>
      </c>
      <c r="AK3361" s="72"/>
      <c r="AL3361" s="72"/>
      <c r="AM3361" s="72"/>
    </row>
    <row r="3362" spans="1:39" x14ac:dyDescent="0.25">
      <c r="A3362" s="37" t="s">
        <v>62</v>
      </c>
      <c r="B3362" s="66" t="s">
        <v>1676</v>
      </c>
      <c r="C3362" s="4">
        <v>1055</v>
      </c>
      <c r="D3362" s="41" t="s">
        <v>1125</v>
      </c>
      <c r="E3362" s="41">
        <v>10110111</v>
      </c>
      <c r="F3362" s="85" t="s">
        <v>549</v>
      </c>
      <c r="G3362" s="39" t="s">
        <v>92</v>
      </c>
      <c r="H3362" s="52" t="s">
        <v>93</v>
      </c>
      <c r="I3362" s="52">
        <v>132.19999999999999</v>
      </c>
      <c r="J3362" s="49">
        <v>7019.5300000000007</v>
      </c>
      <c r="K3362" s="58">
        <v>127.78</v>
      </c>
      <c r="L3362" s="58">
        <v>6971.9900000000007</v>
      </c>
      <c r="M3362" s="58">
        <v>2.2000000000000002</v>
      </c>
      <c r="N3362" s="58">
        <v>150.19</v>
      </c>
      <c r="O3362" s="58">
        <v>129.97999999999999</v>
      </c>
      <c r="P3362" s="53">
        <v>7122.18</v>
      </c>
      <c r="Q3362" s="65">
        <v>7019.5300000000007</v>
      </c>
      <c r="R3362" s="65">
        <v>0</v>
      </c>
      <c r="S3362" s="65">
        <v>150.19</v>
      </c>
      <c r="T3362" s="65">
        <v>102.64999999999964</v>
      </c>
      <c r="U3362" s="58">
        <v>0</v>
      </c>
      <c r="V3362" s="65">
        <v>0</v>
      </c>
      <c r="W3362" s="65">
        <v>0</v>
      </c>
      <c r="X3362" s="65">
        <v>6869</v>
      </c>
      <c r="Y3362" s="65">
        <v>0</v>
      </c>
      <c r="Z3362" s="51">
        <v>0</v>
      </c>
      <c r="AA3362" s="51">
        <v>0</v>
      </c>
      <c r="AB3362" s="102">
        <v>0</v>
      </c>
      <c r="AC3362" s="81">
        <f t="shared" si="160"/>
        <v>602.97868895612714</v>
      </c>
      <c r="AD3362" s="82">
        <f t="shared" si="161"/>
        <v>18.885714285714283</v>
      </c>
      <c r="AE3362" s="218">
        <v>-1.4623486187821638E-2</v>
      </c>
      <c r="AF3362">
        <v>4</v>
      </c>
      <c r="AH3362" t="str">
        <f t="shared" si="159"/>
        <v>Matihani</v>
      </c>
      <c r="AJ3362" s="72">
        <v>0</v>
      </c>
      <c r="AK3362" s="72"/>
      <c r="AL3362" s="72"/>
      <c r="AM3362" s="72"/>
    </row>
    <row r="3363" spans="1:39" x14ac:dyDescent="0.25">
      <c r="A3363" s="37" t="s">
        <v>62</v>
      </c>
      <c r="B3363" s="66" t="s">
        <v>1676</v>
      </c>
      <c r="C3363" s="4">
        <v>1054</v>
      </c>
      <c r="D3363" s="41" t="s">
        <v>808</v>
      </c>
      <c r="E3363" s="41">
        <v>10110112</v>
      </c>
      <c r="F3363" s="85" t="s">
        <v>694</v>
      </c>
      <c r="G3363" s="39" t="s">
        <v>92</v>
      </c>
      <c r="H3363" s="52" t="s">
        <v>93</v>
      </c>
      <c r="I3363" s="52">
        <v>213.8</v>
      </c>
      <c r="J3363" s="49">
        <v>8112.4800000000014</v>
      </c>
      <c r="K3363" s="58">
        <v>213.8</v>
      </c>
      <c r="L3363" s="58">
        <v>9332.3700000000008</v>
      </c>
      <c r="M3363" s="58">
        <v>0</v>
      </c>
      <c r="N3363" s="58">
        <v>0</v>
      </c>
      <c r="O3363" s="58">
        <v>213.8</v>
      </c>
      <c r="P3363" s="53">
        <v>9332.3700000000008</v>
      </c>
      <c r="Q3363" s="65">
        <v>8112.4800000000014</v>
      </c>
      <c r="R3363" s="65">
        <v>0</v>
      </c>
      <c r="S3363" s="65">
        <v>0</v>
      </c>
      <c r="T3363" s="65">
        <v>1219.8899999999994</v>
      </c>
      <c r="U3363" s="58">
        <v>0</v>
      </c>
      <c r="V3363" s="65">
        <v>500</v>
      </c>
      <c r="W3363" s="65">
        <v>0</v>
      </c>
      <c r="X3363" s="65">
        <v>7612</v>
      </c>
      <c r="Y3363" s="65">
        <v>0</v>
      </c>
      <c r="Z3363" s="51">
        <v>0</v>
      </c>
      <c r="AA3363" s="51">
        <v>0</v>
      </c>
      <c r="AB3363" s="102">
        <v>0</v>
      </c>
      <c r="AC3363" s="81">
        <f t="shared" si="160"/>
        <v>368.9698574368569</v>
      </c>
      <c r="AD3363" s="82">
        <f t="shared" si="161"/>
        <v>30.542857142857144</v>
      </c>
      <c r="AE3363" s="218">
        <v>-0.15037201940713557</v>
      </c>
      <c r="AF3363">
        <v>1</v>
      </c>
      <c r="AH3363" t="str">
        <f t="shared" si="159"/>
        <v xml:space="preserve">Alauli </v>
      </c>
      <c r="AJ3363" s="72">
        <v>500</v>
      </c>
      <c r="AK3363" s="72"/>
      <c r="AL3363" s="72"/>
      <c r="AM3363" s="72"/>
    </row>
    <row r="3364" spans="1:39" x14ac:dyDescent="0.25">
      <c r="A3364" s="37" t="s">
        <v>62</v>
      </c>
      <c r="B3364" s="66" t="s">
        <v>1676</v>
      </c>
      <c r="C3364" s="4">
        <v>1054</v>
      </c>
      <c r="D3364" s="41" t="s">
        <v>808</v>
      </c>
      <c r="E3364" s="41">
        <v>10110114</v>
      </c>
      <c r="F3364" s="85" t="s">
        <v>573</v>
      </c>
      <c r="G3364" s="39" t="s">
        <v>92</v>
      </c>
      <c r="H3364" s="52" t="s">
        <v>93</v>
      </c>
      <c r="I3364" s="52">
        <v>409.2000000000001</v>
      </c>
      <c r="J3364" s="49">
        <v>16349.170000000002</v>
      </c>
      <c r="K3364" s="58">
        <v>381.61999999999995</v>
      </c>
      <c r="L3364" s="58">
        <v>15380.640000000001</v>
      </c>
      <c r="M3364" s="58">
        <v>24.59</v>
      </c>
      <c r="N3364" s="58">
        <v>993.66</v>
      </c>
      <c r="O3364" s="58">
        <v>406.20999999999992</v>
      </c>
      <c r="P3364" s="53">
        <v>16374.300000000001</v>
      </c>
      <c r="Q3364" s="65">
        <v>16349.170000000002</v>
      </c>
      <c r="R3364" s="65">
        <v>0</v>
      </c>
      <c r="S3364" s="65">
        <v>0</v>
      </c>
      <c r="T3364" s="65">
        <v>25.1299999999992</v>
      </c>
      <c r="U3364" s="58">
        <v>0</v>
      </c>
      <c r="V3364" s="65">
        <v>0</v>
      </c>
      <c r="W3364" s="65">
        <v>0</v>
      </c>
      <c r="X3364" s="65">
        <v>15355</v>
      </c>
      <c r="Y3364" s="65">
        <v>994</v>
      </c>
      <c r="Z3364" s="51">
        <v>0</v>
      </c>
      <c r="AA3364" s="51">
        <v>0</v>
      </c>
      <c r="AB3364" s="102">
        <v>0</v>
      </c>
      <c r="AC3364" s="81">
        <f t="shared" si="160"/>
        <v>232.3723673509285</v>
      </c>
      <c r="AD3364" s="82">
        <f t="shared" si="161"/>
        <v>58.45714285714287</v>
      </c>
      <c r="AE3364" s="218">
        <v>-1.5370810872967372E-3</v>
      </c>
      <c r="AF3364">
        <v>4</v>
      </c>
      <c r="AH3364" t="str">
        <f t="shared" si="159"/>
        <v xml:space="preserve">Alauli </v>
      </c>
      <c r="AJ3364" s="72">
        <v>0</v>
      </c>
      <c r="AK3364" s="72"/>
      <c r="AL3364" s="72"/>
      <c r="AM3364" s="72"/>
    </row>
    <row r="3365" spans="1:39" x14ac:dyDescent="0.25">
      <c r="A3365" s="37" t="s">
        <v>62</v>
      </c>
      <c r="B3365" s="66" t="s">
        <v>1676</v>
      </c>
      <c r="C3365" s="4">
        <v>1054</v>
      </c>
      <c r="D3365" s="41" t="s">
        <v>808</v>
      </c>
      <c r="E3365" s="41">
        <v>10110116</v>
      </c>
      <c r="F3365" s="85" t="s">
        <v>531</v>
      </c>
      <c r="G3365" s="39" t="s">
        <v>92</v>
      </c>
      <c r="H3365" s="52" t="s">
        <v>93</v>
      </c>
      <c r="I3365" s="52">
        <v>769.00000000000011</v>
      </c>
      <c r="J3365" s="49">
        <v>29052.280000000002</v>
      </c>
      <c r="K3365" s="58">
        <v>376</v>
      </c>
      <c r="L3365" s="58">
        <v>14217.420000000002</v>
      </c>
      <c r="M3365" s="58">
        <v>396</v>
      </c>
      <c r="N3365" s="58">
        <v>14949.000000000002</v>
      </c>
      <c r="O3365" s="58">
        <v>772</v>
      </c>
      <c r="P3365" s="53">
        <v>29166.420000000006</v>
      </c>
      <c r="Q3365" s="65">
        <v>29052.280000000002</v>
      </c>
      <c r="R3365" s="65">
        <v>0</v>
      </c>
      <c r="S3365" s="65">
        <v>0</v>
      </c>
      <c r="T3365" s="65">
        <v>114.14000000000306</v>
      </c>
      <c r="U3365" s="58">
        <v>0</v>
      </c>
      <c r="V3365" s="65">
        <v>0</v>
      </c>
      <c r="W3365" s="65">
        <v>0</v>
      </c>
      <c r="X3365" s="65">
        <v>14100</v>
      </c>
      <c r="Y3365" s="65">
        <v>14952</v>
      </c>
      <c r="Z3365" s="51">
        <v>0</v>
      </c>
      <c r="AA3365" s="51">
        <v>0</v>
      </c>
      <c r="AB3365" s="102">
        <v>0</v>
      </c>
      <c r="AC3365" s="81">
        <f t="shared" si="160"/>
        <v>0</v>
      </c>
      <c r="AD3365" s="82">
        <f t="shared" si="161"/>
        <v>0</v>
      </c>
      <c r="AE3365" s="218">
        <v>-3.9287794279830373E-3</v>
      </c>
      <c r="AF3365">
        <v>10</v>
      </c>
      <c r="AH3365" t="str">
        <f t="shared" si="159"/>
        <v xml:space="preserve">Alauli </v>
      </c>
      <c r="AJ3365" s="72">
        <v>0</v>
      </c>
      <c r="AK3365" s="72"/>
      <c r="AL3365" s="72"/>
      <c r="AM3365" s="72"/>
    </row>
    <row r="3366" spans="1:39" x14ac:dyDescent="0.25">
      <c r="A3366" s="37" t="s">
        <v>62</v>
      </c>
      <c r="B3366" s="66" t="s">
        <v>1676</v>
      </c>
      <c r="C3366" s="4">
        <v>1054</v>
      </c>
      <c r="D3366" s="41" t="s">
        <v>808</v>
      </c>
      <c r="E3366" s="41">
        <v>10110118</v>
      </c>
      <c r="F3366" s="85" t="s">
        <v>575</v>
      </c>
      <c r="G3366" s="39" t="s">
        <v>92</v>
      </c>
      <c r="H3366" s="52" t="s">
        <v>93</v>
      </c>
      <c r="I3366" s="52">
        <v>538.5</v>
      </c>
      <c r="J3366" s="49">
        <v>22681.439999999999</v>
      </c>
      <c r="K3366" s="58">
        <v>293.01000000000005</v>
      </c>
      <c r="L3366" s="58">
        <v>12024.61</v>
      </c>
      <c r="M3366" s="58">
        <v>277.09000000000003</v>
      </c>
      <c r="N3366" s="58">
        <v>10652.64</v>
      </c>
      <c r="O3366" s="58">
        <v>570.10000000000014</v>
      </c>
      <c r="P3366" s="53">
        <v>22677.25</v>
      </c>
      <c r="Q3366" s="65">
        <v>22677.25</v>
      </c>
      <c r="R3366" s="65">
        <v>0</v>
      </c>
      <c r="S3366" s="65">
        <v>436.85999999999996</v>
      </c>
      <c r="T3366" s="65">
        <v>0</v>
      </c>
      <c r="U3366" s="58">
        <v>0</v>
      </c>
      <c r="V3366" s="65">
        <v>0</v>
      </c>
      <c r="W3366" s="65">
        <v>0</v>
      </c>
      <c r="X3366" s="65">
        <v>12025</v>
      </c>
      <c r="Y3366" s="65">
        <v>10216</v>
      </c>
      <c r="Z3366" s="51">
        <v>0</v>
      </c>
      <c r="AA3366" s="51">
        <v>4</v>
      </c>
      <c r="AB3366" s="102">
        <v>0</v>
      </c>
      <c r="AC3366" s="81">
        <f t="shared" si="160"/>
        <v>136.04652033426186</v>
      </c>
      <c r="AD3366" s="82">
        <f t="shared" si="161"/>
        <v>76.928571428571431</v>
      </c>
      <c r="AE3366" s="218">
        <v>1.8473253902744671E-4</v>
      </c>
      <c r="AF3366">
        <v>10</v>
      </c>
      <c r="AH3366" t="str">
        <f t="shared" si="159"/>
        <v xml:space="preserve">Alauli </v>
      </c>
      <c r="AJ3366" s="72">
        <v>0</v>
      </c>
      <c r="AK3366" s="72"/>
      <c r="AL3366" s="72"/>
      <c r="AM3366" s="72"/>
    </row>
    <row r="3367" spans="1:39" x14ac:dyDescent="0.25">
      <c r="A3367" s="37" t="s">
        <v>62</v>
      </c>
      <c r="B3367" s="66" t="s">
        <v>1676</v>
      </c>
      <c r="C3367" s="4">
        <v>1054</v>
      </c>
      <c r="D3367" s="41" t="s">
        <v>808</v>
      </c>
      <c r="E3367" s="41">
        <v>10110119</v>
      </c>
      <c r="F3367" s="85" t="s">
        <v>576</v>
      </c>
      <c r="G3367" s="39" t="s">
        <v>92</v>
      </c>
      <c r="H3367" s="52" t="s">
        <v>93</v>
      </c>
      <c r="I3367" s="52">
        <v>426.09999999999997</v>
      </c>
      <c r="J3367" s="49">
        <v>16222.920000000002</v>
      </c>
      <c r="K3367" s="58">
        <v>444.6</v>
      </c>
      <c r="L3367" s="58">
        <v>16222.679999999998</v>
      </c>
      <c r="M3367" s="58">
        <v>0</v>
      </c>
      <c r="N3367" s="58">
        <v>0</v>
      </c>
      <c r="O3367" s="58">
        <v>444.6</v>
      </c>
      <c r="P3367" s="53">
        <v>16222.679999999998</v>
      </c>
      <c r="Q3367" s="65">
        <v>16222.679999999998</v>
      </c>
      <c r="R3367" s="65">
        <v>0</v>
      </c>
      <c r="S3367" s="65">
        <v>0</v>
      </c>
      <c r="T3367" s="65">
        <v>0</v>
      </c>
      <c r="U3367" s="58">
        <v>0</v>
      </c>
      <c r="V3367" s="65">
        <v>0</v>
      </c>
      <c r="W3367" s="65">
        <v>0</v>
      </c>
      <c r="X3367" s="65">
        <v>16223</v>
      </c>
      <c r="Y3367" s="65">
        <v>0</v>
      </c>
      <c r="Z3367" s="51">
        <v>0</v>
      </c>
      <c r="AA3367" s="51">
        <v>0</v>
      </c>
      <c r="AB3367" s="102">
        <v>0</v>
      </c>
      <c r="AC3367" s="81">
        <f t="shared" si="160"/>
        <v>208.56408298521481</v>
      </c>
      <c r="AD3367" s="82">
        <f t="shared" si="161"/>
        <v>60.871428571428567</v>
      </c>
      <c r="AE3367" s="218">
        <v>1.4793884208479095E-5</v>
      </c>
      <c r="AF3367">
        <v>13</v>
      </c>
      <c r="AH3367" t="str">
        <f t="shared" si="159"/>
        <v xml:space="preserve">Alauli </v>
      </c>
      <c r="AJ3367" s="72">
        <v>0</v>
      </c>
      <c r="AK3367" s="72"/>
      <c r="AL3367" s="72"/>
      <c r="AM3367" s="72"/>
    </row>
    <row r="3368" spans="1:39" x14ac:dyDescent="0.25">
      <c r="A3368" s="37" t="s">
        <v>62</v>
      </c>
      <c r="B3368" s="66" t="s">
        <v>1676</v>
      </c>
      <c r="C3368" s="4">
        <v>1054</v>
      </c>
      <c r="D3368" s="41" t="s">
        <v>808</v>
      </c>
      <c r="E3368" s="41">
        <v>10110120</v>
      </c>
      <c r="F3368" s="85" t="s">
        <v>810</v>
      </c>
      <c r="G3368" s="39" t="s">
        <v>92</v>
      </c>
      <c r="H3368" s="52" t="s">
        <v>93</v>
      </c>
      <c r="I3368" s="52">
        <v>1078.5999999999999</v>
      </c>
      <c r="J3368" s="49">
        <v>50634.990000000005</v>
      </c>
      <c r="K3368" s="58">
        <v>30.500000000000004</v>
      </c>
      <c r="L3368" s="58">
        <v>1417.8000000000002</v>
      </c>
      <c r="M3368" s="58">
        <v>1075.0999999999999</v>
      </c>
      <c r="N3368" s="58">
        <v>50103.39</v>
      </c>
      <c r="O3368" s="58">
        <v>1105.5999999999999</v>
      </c>
      <c r="P3368" s="53">
        <v>51521.19</v>
      </c>
      <c r="Q3368" s="65">
        <v>50634.990000000005</v>
      </c>
      <c r="R3368" s="65">
        <v>0</v>
      </c>
      <c r="S3368" s="65">
        <v>0</v>
      </c>
      <c r="T3368" s="65">
        <v>886.19999999999709</v>
      </c>
      <c r="U3368" s="58">
        <v>0</v>
      </c>
      <c r="V3368" s="65">
        <v>0</v>
      </c>
      <c r="W3368" s="65">
        <v>0</v>
      </c>
      <c r="X3368" s="65">
        <v>531</v>
      </c>
      <c r="Y3368" s="65">
        <v>50104</v>
      </c>
      <c r="Z3368" s="51">
        <v>0</v>
      </c>
      <c r="AA3368" s="51">
        <v>0</v>
      </c>
      <c r="AB3368" s="102">
        <v>0</v>
      </c>
      <c r="AC3368" s="81">
        <f t="shared" si="160"/>
        <v>0</v>
      </c>
      <c r="AD3368" s="82">
        <f t="shared" si="161"/>
        <v>0</v>
      </c>
      <c r="AE3368" s="218">
        <v>-1.750173151016712E-2</v>
      </c>
      <c r="AF3368">
        <v>10</v>
      </c>
      <c r="AH3368" t="str">
        <f t="shared" si="159"/>
        <v xml:space="preserve">Alauli </v>
      </c>
      <c r="AJ3368" s="72">
        <v>0</v>
      </c>
      <c r="AK3368" s="72"/>
      <c r="AL3368" s="72"/>
      <c r="AM3368" s="72"/>
    </row>
    <row r="3369" spans="1:39" x14ac:dyDescent="0.25">
      <c r="A3369" s="37" t="s">
        <v>62</v>
      </c>
      <c r="B3369" s="66" t="s">
        <v>1676</v>
      </c>
      <c r="C3369" s="4">
        <v>1054</v>
      </c>
      <c r="D3369" s="41" t="s">
        <v>808</v>
      </c>
      <c r="E3369" s="41">
        <v>10110121</v>
      </c>
      <c r="F3369" s="85" t="s">
        <v>577</v>
      </c>
      <c r="G3369" s="39" t="s">
        <v>92</v>
      </c>
      <c r="H3369" s="52" t="s">
        <v>93</v>
      </c>
      <c r="I3369" s="52">
        <v>332.3</v>
      </c>
      <c r="J3369" s="49">
        <v>13219.850000000002</v>
      </c>
      <c r="K3369" s="58">
        <v>334.39000000000004</v>
      </c>
      <c r="L3369" s="58">
        <v>13558.17</v>
      </c>
      <c r="M3369" s="58">
        <v>0</v>
      </c>
      <c r="N3369" s="58">
        <v>0</v>
      </c>
      <c r="O3369" s="58">
        <v>334.39000000000004</v>
      </c>
      <c r="P3369" s="53">
        <v>13558.17</v>
      </c>
      <c r="Q3369" s="65">
        <v>13219.850000000002</v>
      </c>
      <c r="R3369" s="65">
        <v>0</v>
      </c>
      <c r="S3369" s="65">
        <v>0</v>
      </c>
      <c r="T3369" s="65">
        <v>338.31999999999789</v>
      </c>
      <c r="U3369" s="58">
        <v>0</v>
      </c>
      <c r="V3369" s="65">
        <v>0</v>
      </c>
      <c r="W3369" s="65">
        <v>0</v>
      </c>
      <c r="X3369" s="65">
        <v>13220</v>
      </c>
      <c r="Y3369" s="65">
        <v>0</v>
      </c>
      <c r="Z3369" s="51">
        <v>0</v>
      </c>
      <c r="AA3369" s="51">
        <v>0</v>
      </c>
      <c r="AB3369" s="102">
        <v>0</v>
      </c>
      <c r="AC3369" s="81">
        <f t="shared" si="160"/>
        <v>292.56327685826068</v>
      </c>
      <c r="AD3369" s="82">
        <f t="shared" si="161"/>
        <v>47.471428571428575</v>
      </c>
      <c r="AE3369" s="218">
        <v>-2.5591818364050865E-2</v>
      </c>
      <c r="AF3369">
        <v>1</v>
      </c>
      <c r="AH3369" t="str">
        <f t="shared" si="159"/>
        <v xml:space="preserve">Alauli </v>
      </c>
      <c r="AJ3369" s="72">
        <v>0</v>
      </c>
      <c r="AK3369" s="72"/>
      <c r="AL3369" s="72"/>
      <c r="AM3369" s="72"/>
    </row>
    <row r="3370" spans="1:39" x14ac:dyDescent="0.25">
      <c r="A3370" s="37" t="s">
        <v>62</v>
      </c>
      <c r="B3370" s="66" t="s">
        <v>1676</v>
      </c>
      <c r="C3370" s="4">
        <v>1055</v>
      </c>
      <c r="D3370" s="41" t="s">
        <v>1125</v>
      </c>
      <c r="E3370" s="41">
        <v>10110123</v>
      </c>
      <c r="F3370" s="85" t="s">
        <v>578</v>
      </c>
      <c r="G3370" s="39" t="s">
        <v>92</v>
      </c>
      <c r="H3370" s="52" t="s">
        <v>93</v>
      </c>
      <c r="I3370" s="52">
        <v>972.80000000000007</v>
      </c>
      <c r="J3370" s="49">
        <v>41193.199999999997</v>
      </c>
      <c r="K3370" s="58">
        <v>998.57999999999993</v>
      </c>
      <c r="L3370" s="58">
        <v>40634.6</v>
      </c>
      <c r="M3370" s="58">
        <v>13.459999999999999</v>
      </c>
      <c r="N3370" s="58">
        <v>535.92999999999995</v>
      </c>
      <c r="O3370" s="58">
        <v>1012.04</v>
      </c>
      <c r="P3370" s="53">
        <v>41170.53</v>
      </c>
      <c r="Q3370" s="65">
        <v>41170.53</v>
      </c>
      <c r="R3370" s="65">
        <v>0</v>
      </c>
      <c r="S3370" s="65">
        <v>535.92999999999995</v>
      </c>
      <c r="T3370" s="65">
        <v>0</v>
      </c>
      <c r="U3370" s="58">
        <v>9800</v>
      </c>
      <c r="V3370" s="65">
        <v>0</v>
      </c>
      <c r="W3370" s="65">
        <v>0</v>
      </c>
      <c r="X3370" s="65">
        <v>30835</v>
      </c>
      <c r="Y3370" s="65">
        <v>0</v>
      </c>
      <c r="Z3370" s="51">
        <v>0</v>
      </c>
      <c r="AA3370" s="51">
        <v>22</v>
      </c>
      <c r="AB3370" s="102">
        <v>0</v>
      </c>
      <c r="AC3370" s="81">
        <f t="shared" si="160"/>
        <v>0</v>
      </c>
      <c r="AD3370" s="82">
        <f t="shared" si="161"/>
        <v>0</v>
      </c>
      <c r="AE3370" s="218">
        <v>5.5033355019756304E-4</v>
      </c>
      <c r="AF3370">
        <v>14</v>
      </c>
      <c r="AH3370" t="str">
        <f t="shared" si="159"/>
        <v>Matihani</v>
      </c>
      <c r="AJ3370" s="72">
        <v>0</v>
      </c>
      <c r="AK3370" s="72"/>
      <c r="AL3370" s="72"/>
      <c r="AM3370" s="72"/>
    </row>
    <row r="3371" spans="1:39" x14ac:dyDescent="0.25">
      <c r="A3371" s="37" t="s">
        <v>62</v>
      </c>
      <c r="B3371" s="66" t="s">
        <v>1676</v>
      </c>
      <c r="C3371" s="4">
        <v>1055</v>
      </c>
      <c r="D3371" s="41" t="s">
        <v>1125</v>
      </c>
      <c r="E3371" s="41">
        <v>10110124</v>
      </c>
      <c r="F3371" s="85" t="s">
        <v>579</v>
      </c>
      <c r="G3371" s="39" t="s">
        <v>92</v>
      </c>
      <c r="H3371" s="52" t="s">
        <v>93</v>
      </c>
      <c r="I3371" s="52">
        <v>1233</v>
      </c>
      <c r="J3371" s="49">
        <v>52957.810000000005</v>
      </c>
      <c r="K3371" s="58">
        <v>1211.8900000000001</v>
      </c>
      <c r="L3371" s="58">
        <v>52596.54</v>
      </c>
      <c r="M3371" s="58">
        <v>8.2899999999999991</v>
      </c>
      <c r="N3371" s="58">
        <v>353.43</v>
      </c>
      <c r="O3371" s="58">
        <v>1220.18</v>
      </c>
      <c r="P3371" s="53">
        <v>52949.97</v>
      </c>
      <c r="Q3371" s="65">
        <v>52949.97</v>
      </c>
      <c r="R3371" s="65">
        <v>0</v>
      </c>
      <c r="S3371" s="65">
        <v>353.43</v>
      </c>
      <c r="T3371" s="65">
        <v>0</v>
      </c>
      <c r="U3371" s="58">
        <v>4200</v>
      </c>
      <c r="V3371" s="65">
        <v>0</v>
      </c>
      <c r="W3371" s="65">
        <v>0</v>
      </c>
      <c r="X3371" s="65">
        <v>48397</v>
      </c>
      <c r="Y3371" s="65">
        <v>0</v>
      </c>
      <c r="Z3371" s="51">
        <v>0</v>
      </c>
      <c r="AA3371" s="51">
        <v>7</v>
      </c>
      <c r="AB3371" s="102">
        <v>0</v>
      </c>
      <c r="AC3371" s="81">
        <f t="shared" si="160"/>
        <v>0</v>
      </c>
      <c r="AD3371" s="82">
        <f t="shared" si="161"/>
        <v>0</v>
      </c>
      <c r="AE3371" s="218">
        <v>1.4804237561945598E-4</v>
      </c>
      <c r="AF3371">
        <v>14</v>
      </c>
      <c r="AH3371" t="str">
        <f t="shared" si="159"/>
        <v>Matihani</v>
      </c>
      <c r="AJ3371" s="72">
        <v>0</v>
      </c>
      <c r="AK3371" s="72"/>
      <c r="AL3371" s="72"/>
      <c r="AM3371" s="72"/>
    </row>
    <row r="3372" spans="1:39" x14ac:dyDescent="0.25">
      <c r="A3372" s="37" t="s">
        <v>62</v>
      </c>
      <c r="B3372" s="66" t="s">
        <v>1676</v>
      </c>
      <c r="C3372" s="4">
        <v>1055</v>
      </c>
      <c r="D3372" s="41" t="s">
        <v>1125</v>
      </c>
      <c r="E3372" s="41">
        <v>10110128</v>
      </c>
      <c r="F3372" s="85" t="s">
        <v>580</v>
      </c>
      <c r="G3372" s="39" t="s">
        <v>92</v>
      </c>
      <c r="H3372" s="52" t="s">
        <v>93</v>
      </c>
      <c r="I3372" s="52">
        <v>360.30000000000007</v>
      </c>
      <c r="J3372" s="49">
        <v>15438.440000000002</v>
      </c>
      <c r="K3372" s="58">
        <v>357.18</v>
      </c>
      <c r="L3372" s="58">
        <v>14936.979999999996</v>
      </c>
      <c r="M3372" s="58">
        <v>3.0300000000000007</v>
      </c>
      <c r="N3372" s="58">
        <v>116.90000000000002</v>
      </c>
      <c r="O3372" s="58">
        <v>360.21</v>
      </c>
      <c r="P3372" s="53">
        <v>15053.879999999996</v>
      </c>
      <c r="Q3372" s="65">
        <v>15053.879999999996</v>
      </c>
      <c r="R3372" s="65">
        <v>0</v>
      </c>
      <c r="S3372" s="65">
        <v>116.90000000000002</v>
      </c>
      <c r="T3372" s="65">
        <v>0</v>
      </c>
      <c r="U3372" s="58">
        <v>0</v>
      </c>
      <c r="V3372" s="65">
        <v>0</v>
      </c>
      <c r="W3372" s="65">
        <v>0</v>
      </c>
      <c r="X3372" s="65">
        <v>14937</v>
      </c>
      <c r="Y3372" s="65">
        <v>0</v>
      </c>
      <c r="Z3372" s="51">
        <v>0</v>
      </c>
      <c r="AA3372" s="51">
        <v>385</v>
      </c>
      <c r="AB3372" s="102">
        <v>0</v>
      </c>
      <c r="AC3372" s="81">
        <f t="shared" si="160"/>
        <v>291.11507454898691</v>
      </c>
      <c r="AD3372" s="82">
        <f t="shared" si="161"/>
        <v>51.471428571428582</v>
      </c>
      <c r="AE3372" s="218">
        <v>2.4909252489241574E-2</v>
      </c>
      <c r="AF3372">
        <v>9</v>
      </c>
      <c r="AH3372" t="str">
        <f t="shared" si="159"/>
        <v>Matihani</v>
      </c>
      <c r="AJ3372" s="72">
        <v>0</v>
      </c>
      <c r="AK3372" s="72"/>
      <c r="AL3372" s="72"/>
      <c r="AM3372" s="72"/>
    </row>
    <row r="3373" spans="1:39" x14ac:dyDescent="0.25">
      <c r="A3373" s="37" t="s">
        <v>62</v>
      </c>
      <c r="B3373" s="66" t="s">
        <v>1676</v>
      </c>
      <c r="C3373" s="4">
        <v>1054</v>
      </c>
      <c r="D3373" s="41" t="s">
        <v>808</v>
      </c>
      <c r="E3373" s="41">
        <v>10110129</v>
      </c>
      <c r="F3373" s="85" t="s">
        <v>690</v>
      </c>
      <c r="G3373" s="39" t="s">
        <v>92</v>
      </c>
      <c r="H3373" s="52" t="s">
        <v>93</v>
      </c>
      <c r="I3373" s="52">
        <v>618.79999999999995</v>
      </c>
      <c r="J3373" s="49">
        <v>23020.559999999998</v>
      </c>
      <c r="K3373" s="58">
        <v>681.5</v>
      </c>
      <c r="L3373" s="58">
        <v>28701.57</v>
      </c>
      <c r="M3373" s="58">
        <v>0</v>
      </c>
      <c r="N3373" s="58">
        <v>0</v>
      </c>
      <c r="O3373" s="58">
        <v>681.5</v>
      </c>
      <c r="P3373" s="53">
        <v>28701.57</v>
      </c>
      <c r="Q3373" s="65">
        <v>23020.559999999998</v>
      </c>
      <c r="R3373" s="65">
        <v>0</v>
      </c>
      <c r="S3373" s="65">
        <v>0</v>
      </c>
      <c r="T3373" s="65">
        <v>5681.010000000002</v>
      </c>
      <c r="U3373" s="58">
        <v>0</v>
      </c>
      <c r="V3373" s="65">
        <v>0</v>
      </c>
      <c r="W3373" s="65">
        <v>0</v>
      </c>
      <c r="X3373" s="65">
        <v>23021</v>
      </c>
      <c r="Y3373" s="65">
        <v>0</v>
      </c>
      <c r="Z3373" s="51">
        <v>0</v>
      </c>
      <c r="AA3373" s="51">
        <v>0</v>
      </c>
      <c r="AB3373" s="102">
        <v>0</v>
      </c>
      <c r="AC3373" s="81">
        <f t="shared" si="160"/>
        <v>60.415949321267007</v>
      </c>
      <c r="AD3373" s="82">
        <f t="shared" si="161"/>
        <v>88.399999999999991</v>
      </c>
      <c r="AE3373" s="218">
        <v>-0.24677983506917306</v>
      </c>
      <c r="AF3373">
        <v>3</v>
      </c>
      <c r="AH3373" t="str">
        <f t="shared" si="159"/>
        <v xml:space="preserve">Alauli </v>
      </c>
      <c r="AJ3373" s="72">
        <v>0</v>
      </c>
      <c r="AK3373" s="72"/>
      <c r="AL3373" s="72"/>
      <c r="AM3373" s="72"/>
    </row>
    <row r="3374" spans="1:39" x14ac:dyDescent="0.25">
      <c r="A3374" s="37" t="s">
        <v>62</v>
      </c>
      <c r="B3374" s="66" t="s">
        <v>1676</v>
      </c>
      <c r="C3374" s="4">
        <v>1054</v>
      </c>
      <c r="D3374" s="41" t="s">
        <v>808</v>
      </c>
      <c r="E3374" s="41">
        <v>10110132</v>
      </c>
      <c r="F3374" s="85" t="s">
        <v>631</v>
      </c>
      <c r="G3374" s="39" t="s">
        <v>92</v>
      </c>
      <c r="H3374" s="52" t="s">
        <v>93</v>
      </c>
      <c r="I3374" s="52">
        <v>293.60000000000002</v>
      </c>
      <c r="J3374" s="49">
        <v>12090.130000000001</v>
      </c>
      <c r="K3374" s="58">
        <v>191.91</v>
      </c>
      <c r="L3374" s="58">
        <v>8036.84</v>
      </c>
      <c r="M3374" s="58">
        <v>118.53999999999999</v>
      </c>
      <c r="N3374" s="58">
        <v>5134.3399999999992</v>
      </c>
      <c r="O3374" s="58">
        <v>310.45</v>
      </c>
      <c r="P3374" s="53">
        <v>13171.18</v>
      </c>
      <c r="Q3374" s="65">
        <v>12090.130000000001</v>
      </c>
      <c r="R3374" s="65">
        <v>0</v>
      </c>
      <c r="S3374" s="65">
        <v>0</v>
      </c>
      <c r="T3374" s="65">
        <v>1081.0499999999993</v>
      </c>
      <c r="U3374" s="58">
        <v>0</v>
      </c>
      <c r="V3374" s="65">
        <v>500</v>
      </c>
      <c r="W3374" s="65">
        <v>0</v>
      </c>
      <c r="X3374" s="65">
        <v>6455</v>
      </c>
      <c r="Y3374" s="65">
        <v>5135</v>
      </c>
      <c r="Z3374" s="51">
        <v>0</v>
      </c>
      <c r="AA3374" s="51">
        <v>0</v>
      </c>
      <c r="AB3374" s="102">
        <v>0</v>
      </c>
      <c r="AC3374" s="81">
        <f t="shared" si="160"/>
        <v>334.70223651226155</v>
      </c>
      <c r="AD3374" s="82">
        <f t="shared" si="161"/>
        <v>41.942857142857143</v>
      </c>
      <c r="AE3374" s="218">
        <v>-8.9415911987712218E-2</v>
      </c>
      <c r="AF3374">
        <v>12</v>
      </c>
      <c r="AH3374" t="str">
        <f t="shared" si="159"/>
        <v xml:space="preserve">Alauli </v>
      </c>
      <c r="AJ3374" s="72">
        <v>500</v>
      </c>
      <c r="AK3374" s="72"/>
      <c r="AL3374" s="72"/>
      <c r="AM3374" s="72"/>
    </row>
    <row r="3375" spans="1:39" x14ac:dyDescent="0.25">
      <c r="A3375" s="37" t="s">
        <v>62</v>
      </c>
      <c r="B3375" s="66" t="s">
        <v>1676</v>
      </c>
      <c r="C3375" s="4">
        <v>1054</v>
      </c>
      <c r="D3375" s="41" t="s">
        <v>808</v>
      </c>
      <c r="E3375" s="41">
        <v>10110133</v>
      </c>
      <c r="F3375" s="85" t="s">
        <v>656</v>
      </c>
      <c r="G3375" s="39" t="s">
        <v>92</v>
      </c>
      <c r="H3375" s="52" t="s">
        <v>93</v>
      </c>
      <c r="I3375" s="52">
        <v>3193.5000000000005</v>
      </c>
      <c r="J3375" s="49">
        <v>131554.54999999999</v>
      </c>
      <c r="K3375" s="58">
        <v>393.5</v>
      </c>
      <c r="L3375" s="58">
        <v>16135.740000000002</v>
      </c>
      <c r="M3375" s="58">
        <v>2800</v>
      </c>
      <c r="N3375" s="58">
        <v>115432</v>
      </c>
      <c r="O3375" s="58">
        <v>3193.5</v>
      </c>
      <c r="P3375" s="53">
        <v>131567.74</v>
      </c>
      <c r="Q3375" s="65">
        <v>131554.54999999999</v>
      </c>
      <c r="R3375" s="65">
        <v>0</v>
      </c>
      <c r="S3375" s="65">
        <v>0</v>
      </c>
      <c r="T3375" s="65">
        <v>13.190000000002328</v>
      </c>
      <c r="U3375" s="58">
        <v>0</v>
      </c>
      <c r="V3375" s="65">
        <v>0</v>
      </c>
      <c r="W3375" s="65">
        <v>0</v>
      </c>
      <c r="X3375" s="65">
        <v>16123</v>
      </c>
      <c r="Y3375" s="65">
        <v>115432</v>
      </c>
      <c r="Z3375" s="51">
        <v>0</v>
      </c>
      <c r="AA3375" s="51">
        <v>0</v>
      </c>
      <c r="AB3375" s="102">
        <v>0</v>
      </c>
      <c r="AC3375" s="81">
        <f t="shared" si="160"/>
        <v>0</v>
      </c>
      <c r="AD3375" s="82">
        <f t="shared" si="161"/>
        <v>0</v>
      </c>
      <c r="AE3375" s="218">
        <v>-1.0026259068958337E-4</v>
      </c>
      <c r="AF3375">
        <v>3</v>
      </c>
      <c r="AH3375" t="str">
        <f t="shared" si="159"/>
        <v xml:space="preserve">Alauli </v>
      </c>
      <c r="AJ3375" s="72">
        <v>0</v>
      </c>
      <c r="AK3375" s="72"/>
      <c r="AL3375" s="72"/>
      <c r="AM3375" s="72"/>
    </row>
    <row r="3376" spans="1:39" x14ac:dyDescent="0.25">
      <c r="A3376" s="37" t="s">
        <v>62</v>
      </c>
      <c r="B3376" s="66" t="s">
        <v>1676</v>
      </c>
      <c r="C3376" s="4">
        <v>1054</v>
      </c>
      <c r="D3376" s="41" t="s">
        <v>808</v>
      </c>
      <c r="E3376" s="41">
        <v>10110134</v>
      </c>
      <c r="F3376" s="85" t="s">
        <v>231</v>
      </c>
      <c r="G3376" s="39" t="s">
        <v>92</v>
      </c>
      <c r="H3376" s="52" t="s">
        <v>93</v>
      </c>
      <c r="I3376" s="52">
        <v>266.2</v>
      </c>
      <c r="J3376" s="49">
        <v>11096.920000000002</v>
      </c>
      <c r="K3376" s="58">
        <v>263.10000000000002</v>
      </c>
      <c r="L3376" s="58">
        <v>11036.58</v>
      </c>
      <c r="M3376" s="58">
        <v>4.55</v>
      </c>
      <c r="N3376" s="58">
        <v>186.97000000000003</v>
      </c>
      <c r="O3376" s="58">
        <v>267.65000000000003</v>
      </c>
      <c r="P3376" s="53">
        <v>11223.55</v>
      </c>
      <c r="Q3376" s="65">
        <v>11096.920000000002</v>
      </c>
      <c r="R3376" s="65">
        <v>0</v>
      </c>
      <c r="S3376" s="65">
        <v>186.97000000000003</v>
      </c>
      <c r="T3376" s="65">
        <v>126.62999999999738</v>
      </c>
      <c r="U3376" s="58">
        <v>0</v>
      </c>
      <c r="V3376" s="65">
        <v>0</v>
      </c>
      <c r="W3376" s="65">
        <v>0</v>
      </c>
      <c r="X3376" s="65">
        <v>10910</v>
      </c>
      <c r="Y3376" s="65">
        <v>0</v>
      </c>
      <c r="Z3376" s="51">
        <v>0</v>
      </c>
      <c r="AA3376" s="51">
        <v>0</v>
      </c>
      <c r="AB3376" s="102">
        <v>0</v>
      </c>
      <c r="AC3376" s="81">
        <f t="shared" si="160"/>
        <v>361.67121682945157</v>
      </c>
      <c r="AD3376" s="82">
        <f t="shared" si="161"/>
        <v>38.028571428571425</v>
      </c>
      <c r="AE3376" s="218">
        <v>-1.1411274479765319E-2</v>
      </c>
      <c r="AF3376">
        <v>6</v>
      </c>
      <c r="AH3376" t="str">
        <f t="shared" si="159"/>
        <v xml:space="preserve">Alauli </v>
      </c>
      <c r="AJ3376" s="72">
        <v>0</v>
      </c>
      <c r="AK3376" s="72"/>
      <c r="AL3376" s="72"/>
      <c r="AM3376" s="72"/>
    </row>
    <row r="3377" spans="1:39" x14ac:dyDescent="0.25">
      <c r="A3377" s="37" t="s">
        <v>62</v>
      </c>
      <c r="B3377" s="66" t="s">
        <v>1676</v>
      </c>
      <c r="C3377" s="4">
        <v>1054</v>
      </c>
      <c r="D3377" s="41" t="s">
        <v>808</v>
      </c>
      <c r="E3377" s="41">
        <v>10110135</v>
      </c>
      <c r="F3377" s="85" t="s">
        <v>625</v>
      </c>
      <c r="G3377" s="39" t="s">
        <v>92</v>
      </c>
      <c r="H3377" s="52" t="s">
        <v>93</v>
      </c>
      <c r="I3377" s="52">
        <v>749</v>
      </c>
      <c r="J3377" s="49">
        <v>29946.120000000003</v>
      </c>
      <c r="K3377" s="58">
        <v>645.76</v>
      </c>
      <c r="L3377" s="58">
        <v>25023.050000000003</v>
      </c>
      <c r="M3377" s="58">
        <v>110.65</v>
      </c>
      <c r="N3377" s="58">
        <v>4921.1500000000005</v>
      </c>
      <c r="O3377" s="58">
        <v>756.41</v>
      </c>
      <c r="P3377" s="53">
        <v>29944.200000000004</v>
      </c>
      <c r="Q3377" s="65">
        <v>29944.200000000004</v>
      </c>
      <c r="R3377" s="65">
        <v>0</v>
      </c>
      <c r="S3377" s="65">
        <v>0</v>
      </c>
      <c r="T3377" s="65">
        <v>0</v>
      </c>
      <c r="U3377" s="58">
        <v>950</v>
      </c>
      <c r="V3377" s="65">
        <v>0</v>
      </c>
      <c r="W3377" s="65">
        <v>0</v>
      </c>
      <c r="X3377" s="65">
        <v>24074</v>
      </c>
      <c r="Y3377" s="65">
        <v>4921</v>
      </c>
      <c r="Z3377" s="51">
        <v>0</v>
      </c>
      <c r="AA3377" s="51">
        <v>1</v>
      </c>
      <c r="AB3377" s="102">
        <v>0</v>
      </c>
      <c r="AC3377" s="81">
        <f t="shared" si="160"/>
        <v>0</v>
      </c>
      <c r="AD3377" s="82">
        <f t="shared" si="161"/>
        <v>0</v>
      </c>
      <c r="AE3377" s="218">
        <v>6.4115150810797978E-5</v>
      </c>
      <c r="AF3377">
        <v>13</v>
      </c>
      <c r="AH3377" t="str">
        <f t="shared" si="159"/>
        <v xml:space="preserve">Alauli </v>
      </c>
      <c r="AJ3377" s="72">
        <v>0</v>
      </c>
      <c r="AK3377" s="72"/>
      <c r="AL3377" s="72"/>
      <c r="AM3377" s="72"/>
    </row>
    <row r="3378" spans="1:39" x14ac:dyDescent="0.25">
      <c r="A3378" s="37" t="s">
        <v>62</v>
      </c>
      <c r="B3378" s="66" t="s">
        <v>1676</v>
      </c>
      <c r="C3378" s="4">
        <v>1054</v>
      </c>
      <c r="D3378" s="41" t="s">
        <v>808</v>
      </c>
      <c r="E3378" s="41">
        <v>10110140</v>
      </c>
      <c r="F3378" s="85" t="s">
        <v>657</v>
      </c>
      <c r="G3378" s="39" t="s">
        <v>92</v>
      </c>
      <c r="H3378" s="52" t="s">
        <v>93</v>
      </c>
      <c r="I3378" s="52">
        <v>105.2</v>
      </c>
      <c r="J3378" s="49">
        <v>5218.43</v>
      </c>
      <c r="K3378" s="58">
        <v>109.4</v>
      </c>
      <c r="L3378" s="58">
        <v>5259.6100000000006</v>
      </c>
      <c r="M3378" s="58">
        <v>1.3599999999999999</v>
      </c>
      <c r="N3378" s="58">
        <v>67.040000000000006</v>
      </c>
      <c r="O3378" s="58">
        <v>110.76</v>
      </c>
      <c r="P3378" s="53">
        <v>5326.6500000000005</v>
      </c>
      <c r="Q3378" s="65">
        <v>5218.43</v>
      </c>
      <c r="R3378" s="65">
        <v>0</v>
      </c>
      <c r="S3378" s="65">
        <v>67.040000000000006</v>
      </c>
      <c r="T3378" s="65">
        <v>108.22000000000025</v>
      </c>
      <c r="U3378" s="58">
        <v>0</v>
      </c>
      <c r="V3378" s="65">
        <v>0</v>
      </c>
      <c r="W3378" s="65">
        <v>0</v>
      </c>
      <c r="X3378" s="65">
        <v>5151</v>
      </c>
      <c r="Y3378" s="65">
        <v>0</v>
      </c>
      <c r="Z3378" s="51">
        <v>0</v>
      </c>
      <c r="AA3378" s="51">
        <v>0</v>
      </c>
      <c r="AB3378" s="102">
        <v>0</v>
      </c>
      <c r="AC3378" s="81">
        <f t="shared" si="160"/>
        <v>590.09927072243363</v>
      </c>
      <c r="AD3378" s="82">
        <f t="shared" si="161"/>
        <v>15.028571428571428</v>
      </c>
      <c r="AE3378" s="218">
        <v>-2.0738038068921161E-2</v>
      </c>
      <c r="AF3378">
        <v>4</v>
      </c>
      <c r="AH3378" t="str">
        <f t="shared" si="159"/>
        <v xml:space="preserve">Alauli </v>
      </c>
      <c r="AJ3378" s="72">
        <v>0</v>
      </c>
      <c r="AK3378" s="72"/>
      <c r="AL3378" s="72"/>
      <c r="AM3378" s="72"/>
    </row>
    <row r="3379" spans="1:39" x14ac:dyDescent="0.25">
      <c r="A3379" s="37" t="s">
        <v>62</v>
      </c>
      <c r="B3379" s="66" t="s">
        <v>1676</v>
      </c>
      <c r="C3379" s="4">
        <v>1054</v>
      </c>
      <c r="D3379" s="41" t="s">
        <v>808</v>
      </c>
      <c r="E3379" s="41">
        <v>10110141</v>
      </c>
      <c r="F3379" s="85" t="s">
        <v>658</v>
      </c>
      <c r="G3379" s="39" t="s">
        <v>92</v>
      </c>
      <c r="H3379" s="52" t="s">
        <v>93</v>
      </c>
      <c r="I3379" s="52">
        <v>769.4</v>
      </c>
      <c r="J3379" s="49">
        <v>32088</v>
      </c>
      <c r="K3379" s="58">
        <v>756.72000000000014</v>
      </c>
      <c r="L3379" s="58">
        <v>32503.289999999997</v>
      </c>
      <c r="M3379" s="58">
        <v>9.4799999999999986</v>
      </c>
      <c r="N3379" s="58">
        <v>411.26</v>
      </c>
      <c r="O3379" s="58">
        <v>766.20000000000016</v>
      </c>
      <c r="P3379" s="53">
        <v>32914.549999999996</v>
      </c>
      <c r="Q3379" s="65">
        <v>32088</v>
      </c>
      <c r="R3379" s="65">
        <v>0</v>
      </c>
      <c r="S3379" s="65">
        <v>411.26</v>
      </c>
      <c r="T3379" s="65">
        <v>826.54999999999563</v>
      </c>
      <c r="U3379" s="58">
        <v>0</v>
      </c>
      <c r="V3379" s="65">
        <v>0</v>
      </c>
      <c r="W3379" s="65">
        <v>0</v>
      </c>
      <c r="X3379" s="65">
        <v>31677</v>
      </c>
      <c r="Y3379" s="65">
        <v>0</v>
      </c>
      <c r="Z3379" s="51">
        <v>0</v>
      </c>
      <c r="AA3379" s="51">
        <v>0</v>
      </c>
      <c r="AB3379" s="102">
        <v>0</v>
      </c>
      <c r="AC3379" s="81">
        <f t="shared" si="160"/>
        <v>0</v>
      </c>
      <c r="AD3379" s="82">
        <f t="shared" si="161"/>
        <v>0</v>
      </c>
      <c r="AE3379" s="218">
        <v>-2.5758850660682984E-2</v>
      </c>
      <c r="AF3379">
        <v>17</v>
      </c>
      <c r="AH3379" t="str">
        <f t="shared" si="159"/>
        <v xml:space="preserve">Alauli </v>
      </c>
      <c r="AJ3379" s="72">
        <v>0</v>
      </c>
      <c r="AK3379" s="72"/>
      <c r="AL3379" s="72"/>
      <c r="AM3379" s="72"/>
    </row>
    <row r="3380" spans="1:39" x14ac:dyDescent="0.25">
      <c r="A3380" s="37" t="s">
        <v>62</v>
      </c>
      <c r="B3380" s="66" t="s">
        <v>1676</v>
      </c>
      <c r="C3380" s="4">
        <v>1054</v>
      </c>
      <c r="D3380" s="41" t="s">
        <v>808</v>
      </c>
      <c r="E3380" s="41">
        <v>10110143</v>
      </c>
      <c r="F3380" s="85" t="s">
        <v>659</v>
      </c>
      <c r="G3380" s="39" t="s">
        <v>92</v>
      </c>
      <c r="H3380" s="52" t="s">
        <v>93</v>
      </c>
      <c r="I3380" s="52">
        <v>724.69999999999993</v>
      </c>
      <c r="J3380" s="49">
        <v>27690.629999999997</v>
      </c>
      <c r="K3380" s="58">
        <v>918.99999999999989</v>
      </c>
      <c r="L3380" s="58">
        <v>37985.33</v>
      </c>
      <c r="M3380" s="58">
        <v>0</v>
      </c>
      <c r="N3380" s="58">
        <v>0</v>
      </c>
      <c r="O3380" s="58">
        <v>918.99999999999989</v>
      </c>
      <c r="P3380" s="53">
        <v>37985.33</v>
      </c>
      <c r="Q3380" s="65">
        <v>27690.629999999997</v>
      </c>
      <c r="R3380" s="65">
        <v>0</v>
      </c>
      <c r="S3380" s="65">
        <v>0</v>
      </c>
      <c r="T3380" s="65">
        <v>10294.700000000004</v>
      </c>
      <c r="U3380" s="58">
        <v>0</v>
      </c>
      <c r="V3380" s="65">
        <v>0</v>
      </c>
      <c r="W3380" s="65">
        <v>0</v>
      </c>
      <c r="X3380" s="65">
        <v>27691</v>
      </c>
      <c r="Y3380" s="65">
        <v>0</v>
      </c>
      <c r="Z3380" s="51">
        <v>0</v>
      </c>
      <c r="AA3380" s="51">
        <v>0</v>
      </c>
      <c r="AB3380" s="102">
        <v>0</v>
      </c>
      <c r="AC3380" s="81">
        <f t="shared" si="160"/>
        <v>0</v>
      </c>
      <c r="AD3380" s="82">
        <f t="shared" si="161"/>
        <v>0</v>
      </c>
      <c r="AE3380" s="218">
        <v>-0.37177557895938101</v>
      </c>
      <c r="AF3380">
        <v>2</v>
      </c>
      <c r="AH3380" t="str">
        <f t="shared" si="159"/>
        <v xml:space="preserve">Alauli </v>
      </c>
      <c r="AJ3380" s="72">
        <v>0</v>
      </c>
      <c r="AK3380" s="72"/>
      <c r="AL3380" s="72"/>
      <c r="AM3380" s="72"/>
    </row>
    <row r="3381" spans="1:39" x14ac:dyDescent="0.25">
      <c r="A3381" s="37" t="s">
        <v>62</v>
      </c>
      <c r="B3381" s="66" t="s">
        <v>1676</v>
      </c>
      <c r="C3381" s="4">
        <v>1054</v>
      </c>
      <c r="D3381" s="41" t="s">
        <v>808</v>
      </c>
      <c r="E3381" s="41">
        <v>10110144</v>
      </c>
      <c r="F3381" s="85" t="s">
        <v>660</v>
      </c>
      <c r="G3381" s="39" t="s">
        <v>92</v>
      </c>
      <c r="H3381" s="52" t="s">
        <v>93</v>
      </c>
      <c r="I3381" s="52">
        <v>732.10000000000014</v>
      </c>
      <c r="J3381" s="49">
        <v>29045.1</v>
      </c>
      <c r="K3381" s="58">
        <v>784.09</v>
      </c>
      <c r="L3381" s="58">
        <v>30161.48</v>
      </c>
      <c r="M3381" s="58">
        <v>0</v>
      </c>
      <c r="N3381" s="58">
        <v>0</v>
      </c>
      <c r="O3381" s="58">
        <v>784.09</v>
      </c>
      <c r="P3381" s="53">
        <v>30161.48</v>
      </c>
      <c r="Q3381" s="65">
        <v>29045.1</v>
      </c>
      <c r="R3381" s="65">
        <v>0</v>
      </c>
      <c r="S3381" s="65">
        <v>0</v>
      </c>
      <c r="T3381" s="65">
        <v>1116.380000000001</v>
      </c>
      <c r="U3381" s="58">
        <v>3601</v>
      </c>
      <c r="V3381" s="65">
        <v>0</v>
      </c>
      <c r="W3381" s="65">
        <v>0</v>
      </c>
      <c r="X3381" s="65">
        <v>25444</v>
      </c>
      <c r="Y3381" s="65">
        <v>0</v>
      </c>
      <c r="Z3381" s="51">
        <v>0</v>
      </c>
      <c r="AA3381" s="51">
        <v>0</v>
      </c>
      <c r="AB3381" s="102">
        <v>0</v>
      </c>
      <c r="AC3381" s="81">
        <f t="shared" si="160"/>
        <v>0</v>
      </c>
      <c r="AD3381" s="82">
        <f t="shared" si="161"/>
        <v>0</v>
      </c>
      <c r="AE3381" s="218">
        <v>-3.8436087326261609E-2</v>
      </c>
      <c r="AF3381">
        <v>7</v>
      </c>
      <c r="AH3381" t="str">
        <f t="shared" ref="AH3381:AH3444" si="162">TEXT(D3381,"0000")</f>
        <v xml:space="preserve">Alauli </v>
      </c>
      <c r="AJ3381" s="72">
        <v>0</v>
      </c>
      <c r="AK3381" s="72"/>
      <c r="AL3381" s="72"/>
      <c r="AM3381" s="72"/>
    </row>
    <row r="3382" spans="1:39" x14ac:dyDescent="0.25">
      <c r="A3382" s="37" t="s">
        <v>62</v>
      </c>
      <c r="B3382" s="66" t="s">
        <v>1676</v>
      </c>
      <c r="C3382" s="4">
        <v>1011</v>
      </c>
      <c r="D3382" s="41" t="s">
        <v>281</v>
      </c>
      <c r="E3382" s="41">
        <v>10110146</v>
      </c>
      <c r="F3382" s="85" t="s">
        <v>626</v>
      </c>
      <c r="G3382" s="39" t="s">
        <v>92</v>
      </c>
      <c r="H3382" s="52" t="s">
        <v>93</v>
      </c>
      <c r="I3382" s="52">
        <v>1629.5000000000002</v>
      </c>
      <c r="J3382" s="49">
        <v>63118.13</v>
      </c>
      <c r="K3382" s="58">
        <v>1629.1</v>
      </c>
      <c r="L3382" s="58">
        <v>64064.900000000009</v>
      </c>
      <c r="M3382" s="58">
        <v>0</v>
      </c>
      <c r="N3382" s="58">
        <v>0</v>
      </c>
      <c r="O3382" s="58">
        <v>1629.1</v>
      </c>
      <c r="P3382" s="53">
        <v>64064.900000000009</v>
      </c>
      <c r="Q3382" s="65">
        <v>63118.13</v>
      </c>
      <c r="R3382" s="65">
        <v>0</v>
      </c>
      <c r="S3382" s="65">
        <v>0</v>
      </c>
      <c r="T3382" s="65">
        <v>946.77000000001135</v>
      </c>
      <c r="U3382" s="58">
        <v>0</v>
      </c>
      <c r="V3382" s="65">
        <v>0</v>
      </c>
      <c r="W3382" s="65">
        <v>0</v>
      </c>
      <c r="X3382" s="65">
        <v>63118</v>
      </c>
      <c r="Y3382" s="65">
        <v>0</v>
      </c>
      <c r="Z3382" s="51">
        <v>0</v>
      </c>
      <c r="AA3382" s="51">
        <v>0</v>
      </c>
      <c r="AB3382" s="102">
        <v>0</v>
      </c>
      <c r="AC3382" s="81">
        <f t="shared" si="160"/>
        <v>0</v>
      </c>
      <c r="AD3382" s="82">
        <f t="shared" si="161"/>
        <v>0</v>
      </c>
      <c r="AE3382" s="218">
        <v>-1.4999969105548776E-2</v>
      </c>
      <c r="AF3382">
        <v>2</v>
      </c>
      <c r="AH3382" t="str">
        <f t="shared" si="162"/>
        <v>Sahibpur Kamal</v>
      </c>
      <c r="AJ3382" s="72">
        <v>0</v>
      </c>
      <c r="AK3382" s="72"/>
      <c r="AL3382" s="72"/>
      <c r="AM3382" s="72"/>
    </row>
    <row r="3383" spans="1:39" x14ac:dyDescent="0.25">
      <c r="A3383" s="37" t="s">
        <v>62</v>
      </c>
      <c r="B3383" s="66" t="s">
        <v>1676</v>
      </c>
      <c r="C3383" s="4">
        <v>1054</v>
      </c>
      <c r="D3383" s="41" t="s">
        <v>808</v>
      </c>
      <c r="E3383" s="41">
        <v>10110148</v>
      </c>
      <c r="F3383" s="85" t="s">
        <v>1644</v>
      </c>
      <c r="G3383" s="39" t="s">
        <v>92</v>
      </c>
      <c r="H3383" s="52" t="s">
        <v>93</v>
      </c>
      <c r="I3383" s="52">
        <v>415.6</v>
      </c>
      <c r="J3383" s="49">
        <v>16783.349999999999</v>
      </c>
      <c r="K3383" s="58">
        <v>415.6</v>
      </c>
      <c r="L3383" s="58">
        <v>19524.89</v>
      </c>
      <c r="M3383" s="58">
        <v>0</v>
      </c>
      <c r="N3383" s="58">
        <v>0</v>
      </c>
      <c r="O3383" s="58">
        <v>415.6</v>
      </c>
      <c r="P3383" s="53">
        <v>19524.89</v>
      </c>
      <c r="Q3383" s="65">
        <v>16783.349999999999</v>
      </c>
      <c r="R3383" s="65">
        <v>0</v>
      </c>
      <c r="S3383" s="65">
        <v>0</v>
      </c>
      <c r="T3383" s="65">
        <v>2741.5400000000009</v>
      </c>
      <c r="U3383" s="58">
        <v>9542</v>
      </c>
      <c r="V3383" s="65">
        <v>500</v>
      </c>
      <c r="W3383" s="65">
        <v>0</v>
      </c>
      <c r="X3383" s="65">
        <v>6741</v>
      </c>
      <c r="Y3383" s="65">
        <v>0</v>
      </c>
      <c r="Z3383" s="51">
        <v>0</v>
      </c>
      <c r="AA3383" s="51">
        <v>0</v>
      </c>
      <c r="AB3383" s="102" t="s">
        <v>68</v>
      </c>
      <c r="AC3383" s="81">
        <f t="shared" si="160"/>
        <v>229.7009018286814</v>
      </c>
      <c r="AD3383" s="82">
        <f t="shared" si="161"/>
        <v>59.371428571428574</v>
      </c>
      <c r="AE3383" s="218">
        <v>-0.16334879508560574</v>
      </c>
      <c r="AF3383">
        <v>1</v>
      </c>
      <c r="AH3383" t="str">
        <f t="shared" si="162"/>
        <v xml:space="preserve">Alauli </v>
      </c>
      <c r="AJ3383" s="72">
        <v>500</v>
      </c>
      <c r="AK3383" s="72"/>
      <c r="AL3383" s="72"/>
      <c r="AM3383" s="72"/>
    </row>
    <row r="3384" spans="1:39" x14ac:dyDescent="0.25">
      <c r="A3384" s="37" t="s">
        <v>62</v>
      </c>
      <c r="B3384" s="66" t="s">
        <v>1676</v>
      </c>
      <c r="C3384" s="4">
        <v>1054</v>
      </c>
      <c r="D3384" s="41" t="s">
        <v>808</v>
      </c>
      <c r="E3384" s="41">
        <v>10110149</v>
      </c>
      <c r="F3384" s="85" t="s">
        <v>664</v>
      </c>
      <c r="G3384" s="39" t="s">
        <v>92</v>
      </c>
      <c r="H3384" s="52" t="s">
        <v>93</v>
      </c>
      <c r="I3384" s="52">
        <v>570.30000000000007</v>
      </c>
      <c r="J3384" s="49">
        <v>22352.620000000003</v>
      </c>
      <c r="K3384" s="58">
        <v>67.45</v>
      </c>
      <c r="L3384" s="58">
        <v>3350.65</v>
      </c>
      <c r="M3384" s="58">
        <v>478.01</v>
      </c>
      <c r="N3384" s="58">
        <v>22017.53</v>
      </c>
      <c r="O3384" s="58">
        <v>545.46</v>
      </c>
      <c r="P3384" s="53">
        <v>25368.18</v>
      </c>
      <c r="Q3384" s="65">
        <v>22352.620000000003</v>
      </c>
      <c r="R3384" s="65">
        <v>0</v>
      </c>
      <c r="S3384" s="65">
        <v>0</v>
      </c>
      <c r="T3384" s="65">
        <v>3015.5599999999977</v>
      </c>
      <c r="U3384" s="58">
        <v>0</v>
      </c>
      <c r="V3384" s="65">
        <v>0</v>
      </c>
      <c r="W3384" s="65">
        <v>0</v>
      </c>
      <c r="X3384" s="65">
        <v>336</v>
      </c>
      <c r="Y3384" s="65">
        <v>22017</v>
      </c>
      <c r="Z3384" s="51">
        <v>0</v>
      </c>
      <c r="AA3384" s="51">
        <v>0</v>
      </c>
      <c r="AB3384" s="102">
        <v>0</v>
      </c>
      <c r="AC3384" s="81">
        <f t="shared" si="160"/>
        <v>101.6705177625811</v>
      </c>
      <c r="AD3384" s="82">
        <f t="shared" si="161"/>
        <v>81.471428571428575</v>
      </c>
      <c r="AE3384" s="218">
        <v>-0.13490857000208464</v>
      </c>
      <c r="AF3384">
        <v>10</v>
      </c>
      <c r="AH3384" t="str">
        <f t="shared" si="162"/>
        <v xml:space="preserve">Alauli </v>
      </c>
      <c r="AJ3384" s="72">
        <v>0</v>
      </c>
      <c r="AK3384" s="72"/>
      <c r="AL3384" s="72"/>
      <c r="AM3384" s="72"/>
    </row>
    <row r="3385" spans="1:39" x14ac:dyDescent="0.25">
      <c r="A3385" s="37" t="s">
        <v>62</v>
      </c>
      <c r="B3385" s="66" t="s">
        <v>1676</v>
      </c>
      <c r="C3385" s="4">
        <v>1011</v>
      </c>
      <c r="D3385" s="41" t="s">
        <v>281</v>
      </c>
      <c r="E3385" s="41">
        <v>10110153</v>
      </c>
      <c r="F3385" s="85" t="s">
        <v>812</v>
      </c>
      <c r="G3385" s="39" t="s">
        <v>1610</v>
      </c>
      <c r="H3385" s="52" t="s">
        <v>98</v>
      </c>
      <c r="I3385" s="52">
        <v>1689.8</v>
      </c>
      <c r="J3385" s="49">
        <v>67800.02</v>
      </c>
      <c r="K3385" s="58">
        <v>0</v>
      </c>
      <c r="L3385" s="58">
        <v>0</v>
      </c>
      <c r="M3385" s="58">
        <v>0</v>
      </c>
      <c r="N3385" s="58">
        <v>0</v>
      </c>
      <c r="O3385" s="58">
        <v>0</v>
      </c>
      <c r="P3385" s="53">
        <v>0</v>
      </c>
      <c r="Q3385" s="65">
        <v>67800.02</v>
      </c>
      <c r="R3385" s="65">
        <v>0</v>
      </c>
      <c r="S3385" s="65">
        <v>0</v>
      </c>
      <c r="T3385" s="65">
        <v>0</v>
      </c>
      <c r="U3385" s="58">
        <v>0</v>
      </c>
      <c r="V3385" s="65">
        <v>0</v>
      </c>
      <c r="W3385" s="65">
        <v>0</v>
      </c>
      <c r="X3385" s="65">
        <v>0</v>
      </c>
      <c r="Y3385" s="65">
        <v>0</v>
      </c>
      <c r="Z3385" s="51">
        <v>67800.02</v>
      </c>
      <c r="AA3385" s="51">
        <v>0</v>
      </c>
      <c r="AB3385" s="102">
        <v>0</v>
      </c>
      <c r="AC3385" s="81">
        <f t="shared" si="160"/>
        <v>0</v>
      </c>
      <c r="AD3385" s="82">
        <f t="shared" si="161"/>
        <v>0</v>
      </c>
      <c r="AE3385" s="218">
        <v>0</v>
      </c>
      <c r="AF3385">
        <v>0</v>
      </c>
      <c r="AH3385" t="str">
        <f t="shared" si="162"/>
        <v>Sahibpur Kamal</v>
      </c>
      <c r="AJ3385" s="72">
        <v>0</v>
      </c>
      <c r="AK3385" s="72"/>
      <c r="AL3385" s="72"/>
      <c r="AM3385" s="72"/>
    </row>
    <row r="3386" spans="1:39" x14ac:dyDescent="0.25">
      <c r="A3386" s="37" t="s">
        <v>62</v>
      </c>
      <c r="B3386" s="66" t="s">
        <v>1676</v>
      </c>
      <c r="C3386" s="4">
        <v>1055</v>
      </c>
      <c r="D3386" s="41" t="s">
        <v>1125</v>
      </c>
      <c r="E3386" s="41">
        <v>10110155</v>
      </c>
      <c r="F3386" s="85" t="s">
        <v>817</v>
      </c>
      <c r="G3386" s="39" t="s">
        <v>1610</v>
      </c>
      <c r="H3386" s="52" t="s">
        <v>98</v>
      </c>
      <c r="I3386" s="52">
        <v>515.9</v>
      </c>
      <c r="J3386" s="49">
        <v>20475.95</v>
      </c>
      <c r="K3386" s="58">
        <v>0</v>
      </c>
      <c r="L3386" s="58">
        <v>0</v>
      </c>
      <c r="M3386" s="58">
        <v>0</v>
      </c>
      <c r="N3386" s="58">
        <v>0</v>
      </c>
      <c r="O3386" s="58">
        <v>0</v>
      </c>
      <c r="P3386" s="53">
        <v>0</v>
      </c>
      <c r="Q3386" s="65">
        <v>20475.95</v>
      </c>
      <c r="R3386" s="65">
        <v>0</v>
      </c>
      <c r="S3386" s="65">
        <v>0</v>
      </c>
      <c r="T3386" s="65">
        <v>0</v>
      </c>
      <c r="U3386" s="58">
        <v>0</v>
      </c>
      <c r="V3386" s="65">
        <v>0</v>
      </c>
      <c r="W3386" s="65">
        <v>0</v>
      </c>
      <c r="X3386" s="65">
        <v>0</v>
      </c>
      <c r="Y3386" s="65">
        <v>0</v>
      </c>
      <c r="Z3386" s="51">
        <v>20475.95</v>
      </c>
      <c r="AA3386" s="51">
        <v>0</v>
      </c>
      <c r="AB3386" s="102">
        <v>0</v>
      </c>
      <c r="AC3386" s="81">
        <f t="shared" si="160"/>
        <v>146.13771641791044</v>
      </c>
      <c r="AD3386" s="82">
        <f t="shared" si="161"/>
        <v>73.7</v>
      </c>
      <c r="AE3386" s="218">
        <v>0</v>
      </c>
      <c r="AF3386">
        <v>0</v>
      </c>
      <c r="AH3386" t="str">
        <f t="shared" si="162"/>
        <v>Matihani</v>
      </c>
      <c r="AJ3386" s="72">
        <v>0</v>
      </c>
      <c r="AK3386" s="72"/>
      <c r="AL3386" s="72"/>
      <c r="AM3386" s="72"/>
    </row>
    <row r="3387" spans="1:39" x14ac:dyDescent="0.25">
      <c r="A3387" s="37" t="s">
        <v>62</v>
      </c>
      <c r="B3387" s="66" t="s">
        <v>1676</v>
      </c>
      <c r="C3387" s="4">
        <v>1011</v>
      </c>
      <c r="D3387" s="41" t="s">
        <v>281</v>
      </c>
      <c r="E3387" s="41">
        <v>10110158</v>
      </c>
      <c r="F3387" s="85" t="s">
        <v>1118</v>
      </c>
      <c r="G3387" s="39" t="s">
        <v>92</v>
      </c>
      <c r="H3387" s="52" t="s">
        <v>93</v>
      </c>
      <c r="I3387" s="52">
        <v>6666</v>
      </c>
      <c r="J3387" s="49">
        <v>261721.90000000002</v>
      </c>
      <c r="K3387" s="58">
        <v>5416.7400000000007</v>
      </c>
      <c r="L3387" s="58">
        <v>213841.37000000002</v>
      </c>
      <c r="M3387" s="58">
        <v>1175.8600000000001</v>
      </c>
      <c r="N3387" s="58">
        <v>47782.229999999996</v>
      </c>
      <c r="O3387" s="58">
        <v>6592.6</v>
      </c>
      <c r="P3387" s="53">
        <v>261623.60000000003</v>
      </c>
      <c r="Q3387" s="65">
        <v>261623.60000000003</v>
      </c>
      <c r="R3387" s="65">
        <v>0</v>
      </c>
      <c r="S3387" s="65">
        <v>0</v>
      </c>
      <c r="T3387" s="65">
        <v>0</v>
      </c>
      <c r="U3387" s="58">
        <v>0</v>
      </c>
      <c r="V3387" s="65">
        <v>0</v>
      </c>
      <c r="W3387" s="65">
        <v>0</v>
      </c>
      <c r="X3387" s="65">
        <v>213841</v>
      </c>
      <c r="Y3387" s="65">
        <v>47782</v>
      </c>
      <c r="Z3387" s="51">
        <v>0</v>
      </c>
      <c r="AA3387" s="51">
        <v>99</v>
      </c>
      <c r="AB3387" s="102">
        <v>0</v>
      </c>
      <c r="AC3387" s="81">
        <f t="shared" ref="AC3387:AC3450" si="163">((IF(AD3387=0,0,100-AD3387))*7*(J3387/I3387))*2%</f>
        <v>0</v>
      </c>
      <c r="AD3387" s="82">
        <f t="shared" ref="AD3387:AD3450" si="164">IF((I3387/7)&gt;100,0,(I3387/7))</f>
        <v>0</v>
      </c>
      <c r="AE3387" s="218">
        <v>3.755895093226373E-4</v>
      </c>
      <c r="AF3387">
        <v>43</v>
      </c>
      <c r="AH3387" t="str">
        <f t="shared" si="162"/>
        <v>Sahibpur Kamal</v>
      </c>
      <c r="AJ3387" s="72">
        <v>0</v>
      </c>
      <c r="AK3387" s="72"/>
      <c r="AL3387" s="72"/>
      <c r="AM3387" s="72"/>
    </row>
    <row r="3388" spans="1:39" x14ac:dyDescent="0.25">
      <c r="A3388" s="37" t="s">
        <v>62</v>
      </c>
      <c r="B3388" s="66" t="s">
        <v>1676</v>
      </c>
      <c r="C3388" s="4">
        <v>1011</v>
      </c>
      <c r="D3388" s="41" t="s">
        <v>281</v>
      </c>
      <c r="E3388" s="41">
        <v>10110159</v>
      </c>
      <c r="F3388" s="85" t="s">
        <v>826</v>
      </c>
      <c r="G3388" s="39" t="s">
        <v>92</v>
      </c>
      <c r="H3388" s="52" t="s">
        <v>93</v>
      </c>
      <c r="I3388" s="52">
        <v>1712.3</v>
      </c>
      <c r="J3388" s="49">
        <v>66509.87999999999</v>
      </c>
      <c r="K3388" s="58">
        <v>731.09999999999991</v>
      </c>
      <c r="L3388" s="58">
        <v>28626.309999999998</v>
      </c>
      <c r="M3388" s="58">
        <v>984.40000000000009</v>
      </c>
      <c r="N3388" s="58">
        <v>38568.67</v>
      </c>
      <c r="O3388" s="58">
        <v>1715.5</v>
      </c>
      <c r="P3388" s="53">
        <v>67194.98</v>
      </c>
      <c r="Q3388" s="65">
        <v>66509.87999999999</v>
      </c>
      <c r="R3388" s="65">
        <v>0</v>
      </c>
      <c r="S3388" s="65">
        <v>165.65999999999997</v>
      </c>
      <c r="T3388" s="65">
        <v>685.10000000000582</v>
      </c>
      <c r="U3388" s="58">
        <v>0</v>
      </c>
      <c r="V3388" s="65">
        <v>0</v>
      </c>
      <c r="W3388" s="65">
        <v>0</v>
      </c>
      <c r="X3388" s="65">
        <v>27940</v>
      </c>
      <c r="Y3388" s="65">
        <v>38404</v>
      </c>
      <c r="Z3388" s="51">
        <v>0</v>
      </c>
      <c r="AA3388" s="51">
        <v>0</v>
      </c>
      <c r="AB3388" s="102">
        <v>0</v>
      </c>
      <c r="AC3388" s="81">
        <f t="shared" si="163"/>
        <v>0</v>
      </c>
      <c r="AD3388" s="82">
        <f t="shared" si="164"/>
        <v>0</v>
      </c>
      <c r="AE3388" s="218">
        <v>-1.0300725245632768E-2</v>
      </c>
      <c r="AF3388">
        <v>11</v>
      </c>
      <c r="AH3388" t="str">
        <f t="shared" si="162"/>
        <v>Sahibpur Kamal</v>
      </c>
      <c r="AJ3388" s="72">
        <v>0</v>
      </c>
      <c r="AK3388" s="72"/>
      <c r="AL3388" s="72"/>
      <c r="AM3388" s="72"/>
    </row>
    <row r="3389" spans="1:39" x14ac:dyDescent="0.25">
      <c r="A3389" s="37" t="s">
        <v>62</v>
      </c>
      <c r="B3389" s="66" t="s">
        <v>1676</v>
      </c>
      <c r="C3389" s="4">
        <v>1011</v>
      </c>
      <c r="D3389" s="41" t="s">
        <v>281</v>
      </c>
      <c r="E3389" s="41">
        <v>10110160</v>
      </c>
      <c r="F3389" s="85" t="s">
        <v>1121</v>
      </c>
      <c r="G3389" s="39" t="s">
        <v>1610</v>
      </c>
      <c r="H3389" s="52" t="s">
        <v>98</v>
      </c>
      <c r="I3389" s="52">
        <v>517.30000000000007</v>
      </c>
      <c r="J3389" s="49">
        <v>19044.469999999998</v>
      </c>
      <c r="K3389" s="58">
        <v>0</v>
      </c>
      <c r="L3389" s="58">
        <v>0</v>
      </c>
      <c r="M3389" s="58">
        <v>0</v>
      </c>
      <c r="N3389" s="58">
        <v>0</v>
      </c>
      <c r="O3389" s="58">
        <v>0</v>
      </c>
      <c r="P3389" s="53">
        <v>0</v>
      </c>
      <c r="Q3389" s="65">
        <v>19044.469999999998</v>
      </c>
      <c r="R3389" s="65">
        <v>0</v>
      </c>
      <c r="S3389" s="65">
        <v>0</v>
      </c>
      <c r="T3389" s="65">
        <v>0</v>
      </c>
      <c r="U3389" s="58">
        <v>0</v>
      </c>
      <c r="V3389" s="65">
        <v>0</v>
      </c>
      <c r="W3389" s="65">
        <v>0</v>
      </c>
      <c r="X3389" s="65">
        <v>0</v>
      </c>
      <c r="Y3389" s="65">
        <v>0</v>
      </c>
      <c r="Z3389" s="51">
        <v>19044.469999999998</v>
      </c>
      <c r="AA3389" s="51">
        <v>0</v>
      </c>
      <c r="AB3389" s="102">
        <v>0</v>
      </c>
      <c r="AC3389" s="81">
        <f t="shared" si="163"/>
        <v>134.52250798376178</v>
      </c>
      <c r="AD3389" s="82">
        <f t="shared" si="164"/>
        <v>73.900000000000006</v>
      </c>
      <c r="AE3389" s="218">
        <v>0</v>
      </c>
      <c r="AF3389">
        <v>0</v>
      </c>
      <c r="AH3389" t="str">
        <f t="shared" si="162"/>
        <v>Sahibpur Kamal</v>
      </c>
      <c r="AJ3389" s="72">
        <v>0</v>
      </c>
      <c r="AK3389" s="72"/>
      <c r="AL3389" s="72"/>
      <c r="AM3389" s="72"/>
    </row>
    <row r="3390" spans="1:39" x14ac:dyDescent="0.25">
      <c r="A3390" s="37" t="s">
        <v>62</v>
      </c>
      <c r="B3390" s="66" t="s">
        <v>1676</v>
      </c>
      <c r="C3390" s="4">
        <v>1011</v>
      </c>
      <c r="D3390" s="41" t="s">
        <v>281</v>
      </c>
      <c r="E3390" s="41">
        <v>10110161</v>
      </c>
      <c r="F3390" s="85" t="s">
        <v>1122</v>
      </c>
      <c r="G3390" s="39" t="s">
        <v>1610</v>
      </c>
      <c r="H3390" s="52" t="s">
        <v>98</v>
      </c>
      <c r="I3390" s="52">
        <v>670</v>
      </c>
      <c r="J3390" s="49">
        <v>24683.7</v>
      </c>
      <c r="K3390" s="58">
        <v>0</v>
      </c>
      <c r="L3390" s="58">
        <v>0</v>
      </c>
      <c r="M3390" s="58">
        <v>0</v>
      </c>
      <c r="N3390" s="58">
        <v>0</v>
      </c>
      <c r="O3390" s="58">
        <v>0</v>
      </c>
      <c r="P3390" s="53">
        <v>0</v>
      </c>
      <c r="Q3390" s="65">
        <v>24683.7</v>
      </c>
      <c r="R3390" s="65">
        <v>0</v>
      </c>
      <c r="S3390" s="65">
        <v>0</v>
      </c>
      <c r="T3390" s="65">
        <v>0</v>
      </c>
      <c r="U3390" s="58">
        <v>0</v>
      </c>
      <c r="V3390" s="65">
        <v>0</v>
      </c>
      <c r="W3390" s="65">
        <v>0</v>
      </c>
      <c r="X3390" s="65">
        <v>0</v>
      </c>
      <c r="Y3390" s="65">
        <v>0</v>
      </c>
      <c r="Z3390" s="51">
        <v>24683.7</v>
      </c>
      <c r="AA3390" s="51">
        <v>0</v>
      </c>
      <c r="AB3390" s="102">
        <v>0</v>
      </c>
      <c r="AC3390" s="81">
        <f t="shared" si="163"/>
        <v>22.104805970149286</v>
      </c>
      <c r="AD3390" s="82">
        <f t="shared" si="164"/>
        <v>95.714285714285708</v>
      </c>
      <c r="AE3390" s="218">
        <v>0</v>
      </c>
      <c r="AF3390">
        <v>0</v>
      </c>
      <c r="AH3390" t="str">
        <f t="shared" si="162"/>
        <v>Sahibpur Kamal</v>
      </c>
      <c r="AJ3390" s="72">
        <v>0</v>
      </c>
      <c r="AK3390" s="72"/>
      <c r="AL3390" s="72"/>
      <c r="AM3390" s="72"/>
    </row>
    <row r="3391" spans="1:39" x14ac:dyDescent="0.25">
      <c r="A3391" s="37" t="s">
        <v>62</v>
      </c>
      <c r="B3391" s="66" t="s">
        <v>1676</v>
      </c>
      <c r="C3391" s="4">
        <v>1011</v>
      </c>
      <c r="D3391" s="41" t="s">
        <v>281</v>
      </c>
      <c r="E3391" s="41">
        <v>10110164</v>
      </c>
      <c r="F3391" s="85" t="s">
        <v>1220</v>
      </c>
      <c r="G3391" s="39" t="s">
        <v>92</v>
      </c>
      <c r="H3391" s="52" t="s">
        <v>93</v>
      </c>
      <c r="I3391" s="52">
        <v>247.10000000000002</v>
      </c>
      <c r="J3391" s="49">
        <v>10370.269999999999</v>
      </c>
      <c r="K3391" s="58">
        <v>247</v>
      </c>
      <c r="L3391" s="58">
        <v>10065.549999999999</v>
      </c>
      <c r="M3391" s="58">
        <v>0</v>
      </c>
      <c r="N3391" s="58">
        <v>0</v>
      </c>
      <c r="O3391" s="58">
        <v>247</v>
      </c>
      <c r="P3391" s="53">
        <v>10065.549999999999</v>
      </c>
      <c r="Q3391" s="65">
        <v>10065.549999999999</v>
      </c>
      <c r="R3391" s="65">
        <v>0</v>
      </c>
      <c r="S3391" s="65">
        <v>0</v>
      </c>
      <c r="T3391" s="65">
        <v>0</v>
      </c>
      <c r="U3391" s="58">
        <v>0</v>
      </c>
      <c r="V3391" s="65">
        <v>0</v>
      </c>
      <c r="W3391" s="65">
        <v>0</v>
      </c>
      <c r="X3391" s="65">
        <v>10067</v>
      </c>
      <c r="Y3391" s="65">
        <v>0</v>
      </c>
      <c r="Z3391" s="51">
        <v>0</v>
      </c>
      <c r="AA3391" s="51">
        <v>303</v>
      </c>
      <c r="AB3391" s="102">
        <v>0</v>
      </c>
      <c r="AC3391" s="81">
        <f t="shared" si="163"/>
        <v>380.14530821529729</v>
      </c>
      <c r="AD3391" s="82">
        <f t="shared" si="164"/>
        <v>35.300000000000004</v>
      </c>
      <c r="AE3391" s="218">
        <v>2.9383998680844316E-2</v>
      </c>
      <c r="AF3391">
        <v>5</v>
      </c>
      <c r="AH3391" t="str">
        <f t="shared" si="162"/>
        <v>Sahibpur Kamal</v>
      </c>
      <c r="AJ3391" s="72">
        <v>0</v>
      </c>
      <c r="AK3391" s="72"/>
      <c r="AL3391" s="72"/>
      <c r="AM3391" s="72"/>
    </row>
    <row r="3392" spans="1:39" x14ac:dyDescent="0.25">
      <c r="A3392" s="37" t="s">
        <v>62</v>
      </c>
      <c r="B3392" s="66" t="s">
        <v>1676</v>
      </c>
      <c r="C3392" s="4">
        <v>1011</v>
      </c>
      <c r="D3392" s="41" t="s">
        <v>281</v>
      </c>
      <c r="E3392" s="41">
        <v>10110166</v>
      </c>
      <c r="F3392" s="85" t="s">
        <v>1601</v>
      </c>
      <c r="G3392" s="39" t="s">
        <v>1610</v>
      </c>
      <c r="H3392" s="52" t="s">
        <v>98</v>
      </c>
      <c r="I3392" s="52">
        <v>276.89999999999998</v>
      </c>
      <c r="J3392" s="49">
        <v>9876.3000000000011</v>
      </c>
      <c r="K3392" s="58">
        <v>0</v>
      </c>
      <c r="L3392" s="58">
        <v>0</v>
      </c>
      <c r="M3392" s="58">
        <v>0</v>
      </c>
      <c r="N3392" s="58">
        <v>0</v>
      </c>
      <c r="O3392" s="58">
        <v>0</v>
      </c>
      <c r="P3392" s="53">
        <v>0</v>
      </c>
      <c r="Q3392" s="65">
        <v>9876.3000000000011</v>
      </c>
      <c r="R3392" s="65">
        <v>0</v>
      </c>
      <c r="S3392" s="65">
        <v>0</v>
      </c>
      <c r="T3392" s="65">
        <v>0</v>
      </c>
      <c r="U3392" s="58">
        <v>0</v>
      </c>
      <c r="V3392" s="65">
        <v>0</v>
      </c>
      <c r="W3392" s="65">
        <v>0</v>
      </c>
      <c r="X3392" s="65">
        <v>0</v>
      </c>
      <c r="Y3392" s="65">
        <v>0</v>
      </c>
      <c r="Z3392" s="51">
        <v>9876.3000000000011</v>
      </c>
      <c r="AA3392" s="51">
        <v>0</v>
      </c>
      <c r="AB3392" s="102">
        <v>0</v>
      </c>
      <c r="AC3392" s="81">
        <f t="shared" si="163"/>
        <v>301.81744528710732</v>
      </c>
      <c r="AD3392" s="82">
        <f t="shared" si="164"/>
        <v>39.557142857142857</v>
      </c>
      <c r="AE3392" s="218">
        <v>0</v>
      </c>
      <c r="AF3392">
        <v>0</v>
      </c>
      <c r="AH3392" t="str">
        <f t="shared" si="162"/>
        <v>Sahibpur Kamal</v>
      </c>
      <c r="AJ3392" s="72">
        <v>0</v>
      </c>
      <c r="AK3392" s="72"/>
      <c r="AL3392" s="72"/>
      <c r="AM3392" s="72"/>
    </row>
    <row r="3393" spans="1:39" x14ac:dyDescent="0.25">
      <c r="A3393" s="37" t="s">
        <v>62</v>
      </c>
      <c r="B3393" s="66" t="s">
        <v>1676</v>
      </c>
      <c r="C3393" s="4">
        <v>1011</v>
      </c>
      <c r="D3393" s="41" t="s">
        <v>281</v>
      </c>
      <c r="E3393" s="41">
        <v>10110168</v>
      </c>
      <c r="F3393" s="85" t="s">
        <v>1221</v>
      </c>
      <c r="G3393" s="39" t="s">
        <v>92</v>
      </c>
      <c r="H3393" s="52" t="s">
        <v>93</v>
      </c>
      <c r="I3393" s="52">
        <v>1431.6999999999998</v>
      </c>
      <c r="J3393" s="49">
        <v>55112.13</v>
      </c>
      <c r="K3393" s="58">
        <v>1394.3999999999999</v>
      </c>
      <c r="L3393" s="58">
        <v>55211.049999999996</v>
      </c>
      <c r="M3393" s="58">
        <v>4.5</v>
      </c>
      <c r="N3393" s="58">
        <v>179.24</v>
      </c>
      <c r="O3393" s="58">
        <v>1398.8999999999999</v>
      </c>
      <c r="P3393" s="53">
        <v>55390.289999999994</v>
      </c>
      <c r="Q3393" s="65">
        <v>55112.13</v>
      </c>
      <c r="R3393" s="65">
        <v>0</v>
      </c>
      <c r="S3393" s="65">
        <v>179.24</v>
      </c>
      <c r="T3393" s="65">
        <v>278.15999999999622</v>
      </c>
      <c r="U3393" s="58">
        <v>0</v>
      </c>
      <c r="V3393" s="65">
        <v>0</v>
      </c>
      <c r="W3393" s="65">
        <v>0</v>
      </c>
      <c r="X3393" s="65">
        <v>54933</v>
      </c>
      <c r="Y3393" s="65">
        <v>0</v>
      </c>
      <c r="Z3393" s="51">
        <v>0</v>
      </c>
      <c r="AA3393" s="51">
        <v>0</v>
      </c>
      <c r="AB3393" s="102">
        <v>0</v>
      </c>
      <c r="AC3393" s="81">
        <f t="shared" si="163"/>
        <v>0</v>
      </c>
      <c r="AD3393" s="82">
        <f t="shared" si="164"/>
        <v>0</v>
      </c>
      <c r="AE3393" s="218">
        <v>-5.0471647530225417E-3</v>
      </c>
      <c r="AF3393">
        <v>3</v>
      </c>
      <c r="AH3393" t="str">
        <f t="shared" si="162"/>
        <v>Sahibpur Kamal</v>
      </c>
      <c r="AJ3393" s="72">
        <v>0</v>
      </c>
      <c r="AK3393" s="72"/>
      <c r="AL3393" s="72"/>
      <c r="AM3393" s="72"/>
    </row>
    <row r="3394" spans="1:39" x14ac:dyDescent="0.25">
      <c r="A3394" s="37" t="s">
        <v>62</v>
      </c>
      <c r="B3394" s="66" t="s">
        <v>1676</v>
      </c>
      <c r="C3394" s="4">
        <v>1011</v>
      </c>
      <c r="D3394" s="41" t="s">
        <v>281</v>
      </c>
      <c r="E3394" s="41">
        <v>10110172</v>
      </c>
      <c r="F3394" s="85" t="s">
        <v>1233</v>
      </c>
      <c r="G3394" s="39" t="s">
        <v>92</v>
      </c>
      <c r="H3394" s="52" t="s">
        <v>93</v>
      </c>
      <c r="I3394" s="52">
        <v>279</v>
      </c>
      <c r="J3394" s="49">
        <v>10743.13</v>
      </c>
      <c r="K3394" s="58">
        <v>279</v>
      </c>
      <c r="L3394" s="58">
        <v>10705.23</v>
      </c>
      <c r="M3394" s="58">
        <v>0</v>
      </c>
      <c r="N3394" s="58">
        <v>0</v>
      </c>
      <c r="O3394" s="58">
        <v>279</v>
      </c>
      <c r="P3394" s="53">
        <v>10705.23</v>
      </c>
      <c r="Q3394" s="65">
        <v>10705.23</v>
      </c>
      <c r="R3394" s="65">
        <v>0</v>
      </c>
      <c r="S3394" s="65">
        <v>0</v>
      </c>
      <c r="T3394" s="65">
        <v>0</v>
      </c>
      <c r="U3394" s="58">
        <v>0</v>
      </c>
      <c r="V3394" s="65">
        <v>0</v>
      </c>
      <c r="W3394" s="65">
        <v>0</v>
      </c>
      <c r="X3394" s="65">
        <v>10705</v>
      </c>
      <c r="Y3394" s="65">
        <v>0</v>
      </c>
      <c r="Z3394" s="51">
        <v>0</v>
      </c>
      <c r="AA3394" s="51">
        <v>38</v>
      </c>
      <c r="AB3394" s="102">
        <v>0</v>
      </c>
      <c r="AC3394" s="81">
        <f t="shared" si="163"/>
        <v>324.21919211469532</v>
      </c>
      <c r="AD3394" s="82">
        <f t="shared" si="164"/>
        <v>39.857142857142854</v>
      </c>
      <c r="AE3394" s="218">
        <v>3.5278359286352898E-3</v>
      </c>
      <c r="AF3394">
        <v>1</v>
      </c>
      <c r="AH3394" t="str">
        <f t="shared" si="162"/>
        <v>Sahibpur Kamal</v>
      </c>
      <c r="AJ3394" s="72">
        <v>0</v>
      </c>
      <c r="AK3394" s="72"/>
      <c r="AL3394" s="72"/>
      <c r="AM3394" s="72"/>
    </row>
    <row r="3395" spans="1:39" x14ac:dyDescent="0.25">
      <c r="A3395" s="37" t="s">
        <v>62</v>
      </c>
      <c r="B3395" s="66" t="s">
        <v>1676</v>
      </c>
      <c r="C3395" s="4">
        <v>1011</v>
      </c>
      <c r="D3395" s="41" t="s">
        <v>281</v>
      </c>
      <c r="E3395" s="41">
        <v>10110173</v>
      </c>
      <c r="F3395" s="85" t="s">
        <v>1222</v>
      </c>
      <c r="G3395" s="39" t="s">
        <v>1610</v>
      </c>
      <c r="H3395" s="52" t="s">
        <v>98</v>
      </c>
      <c r="I3395" s="52">
        <v>1140.3</v>
      </c>
      <c r="J3395" s="49">
        <v>47820.020000000004</v>
      </c>
      <c r="K3395" s="58">
        <v>0</v>
      </c>
      <c r="L3395" s="58">
        <v>0</v>
      </c>
      <c r="M3395" s="58">
        <v>0</v>
      </c>
      <c r="N3395" s="58">
        <v>0</v>
      </c>
      <c r="O3395" s="58">
        <v>0</v>
      </c>
      <c r="P3395" s="53">
        <v>0</v>
      </c>
      <c r="Q3395" s="65">
        <v>47820.020000000004</v>
      </c>
      <c r="R3395" s="65">
        <v>0</v>
      </c>
      <c r="S3395" s="65">
        <v>0</v>
      </c>
      <c r="T3395" s="65">
        <v>0</v>
      </c>
      <c r="U3395" s="58">
        <v>0</v>
      </c>
      <c r="V3395" s="65">
        <v>0</v>
      </c>
      <c r="W3395" s="65">
        <v>0</v>
      </c>
      <c r="X3395" s="65">
        <v>0</v>
      </c>
      <c r="Y3395" s="65">
        <v>0</v>
      </c>
      <c r="Z3395" s="51">
        <v>47820.020000000004</v>
      </c>
      <c r="AA3395" s="51">
        <v>0</v>
      </c>
      <c r="AB3395" s="102">
        <v>0</v>
      </c>
      <c r="AC3395" s="81">
        <f t="shared" si="163"/>
        <v>0</v>
      </c>
      <c r="AD3395" s="82">
        <f t="shared" si="164"/>
        <v>0</v>
      </c>
      <c r="AE3395" s="218">
        <v>0</v>
      </c>
      <c r="AF3395">
        <v>0</v>
      </c>
      <c r="AH3395" t="str">
        <f t="shared" si="162"/>
        <v>Sahibpur Kamal</v>
      </c>
      <c r="AJ3395" s="72">
        <v>0</v>
      </c>
      <c r="AK3395" s="72"/>
      <c r="AL3395" s="72"/>
      <c r="AM3395" s="72"/>
    </row>
    <row r="3396" spans="1:39" x14ac:dyDescent="0.25">
      <c r="A3396" s="37" t="s">
        <v>62</v>
      </c>
      <c r="B3396" s="66" t="s">
        <v>1676</v>
      </c>
      <c r="C3396" s="4">
        <v>1011</v>
      </c>
      <c r="D3396" s="41" t="s">
        <v>281</v>
      </c>
      <c r="E3396" s="41">
        <v>10110176</v>
      </c>
      <c r="F3396" s="85" t="s">
        <v>1250</v>
      </c>
      <c r="G3396" s="39" t="s">
        <v>1610</v>
      </c>
      <c r="H3396" s="52" t="s">
        <v>98</v>
      </c>
      <c r="I3396" s="52">
        <v>522.9</v>
      </c>
      <c r="J3396" s="49">
        <v>21435.989999999998</v>
      </c>
      <c r="K3396" s="58">
        <v>0</v>
      </c>
      <c r="L3396" s="58">
        <v>0</v>
      </c>
      <c r="M3396" s="58">
        <v>0</v>
      </c>
      <c r="N3396" s="58">
        <v>0</v>
      </c>
      <c r="O3396" s="58">
        <v>0</v>
      </c>
      <c r="P3396" s="53">
        <v>0</v>
      </c>
      <c r="Q3396" s="65">
        <v>21435.989999999998</v>
      </c>
      <c r="R3396" s="65">
        <v>0</v>
      </c>
      <c r="S3396" s="65">
        <v>0</v>
      </c>
      <c r="T3396" s="65">
        <v>0</v>
      </c>
      <c r="U3396" s="58">
        <v>0</v>
      </c>
      <c r="V3396" s="65">
        <v>0</v>
      </c>
      <c r="W3396" s="65">
        <v>0</v>
      </c>
      <c r="X3396" s="65">
        <v>0</v>
      </c>
      <c r="Y3396" s="65">
        <v>0</v>
      </c>
      <c r="Z3396" s="51">
        <v>21435.989999999998</v>
      </c>
      <c r="AA3396" s="51">
        <v>0</v>
      </c>
      <c r="AB3396" s="102">
        <v>0</v>
      </c>
      <c r="AC3396" s="81">
        <f t="shared" si="163"/>
        <v>145.20228835341362</v>
      </c>
      <c r="AD3396" s="82">
        <f t="shared" si="164"/>
        <v>74.7</v>
      </c>
      <c r="AE3396" s="218">
        <v>0</v>
      </c>
      <c r="AF3396">
        <v>0</v>
      </c>
      <c r="AH3396" t="str">
        <f t="shared" si="162"/>
        <v>Sahibpur Kamal</v>
      </c>
      <c r="AJ3396" s="72">
        <v>0</v>
      </c>
      <c r="AK3396" s="72"/>
      <c r="AL3396" s="72"/>
      <c r="AM3396" s="72"/>
    </row>
    <row r="3397" spans="1:39" x14ac:dyDescent="0.25">
      <c r="A3397" s="37" t="s">
        <v>62</v>
      </c>
      <c r="B3397" s="66" t="s">
        <v>1676</v>
      </c>
      <c r="C3397" s="4">
        <v>1011</v>
      </c>
      <c r="D3397" s="41" t="s">
        <v>281</v>
      </c>
      <c r="E3397" s="41">
        <v>10110177</v>
      </c>
      <c r="F3397" s="85" t="s">
        <v>1337</v>
      </c>
      <c r="G3397" s="39" t="s">
        <v>92</v>
      </c>
      <c r="H3397" s="52" t="s">
        <v>93</v>
      </c>
      <c r="I3397" s="52">
        <v>923.1</v>
      </c>
      <c r="J3397" s="49">
        <v>39242.79</v>
      </c>
      <c r="K3397" s="58">
        <v>919.7</v>
      </c>
      <c r="L3397" s="58">
        <v>39160.839999999997</v>
      </c>
      <c r="M3397" s="58">
        <v>3.4999999999999996</v>
      </c>
      <c r="N3397" s="58">
        <v>172.36</v>
      </c>
      <c r="O3397" s="58">
        <v>923.2</v>
      </c>
      <c r="P3397" s="53">
        <v>39333.199999999997</v>
      </c>
      <c r="Q3397" s="65">
        <v>39242.79</v>
      </c>
      <c r="R3397" s="65">
        <v>0</v>
      </c>
      <c r="S3397" s="65">
        <v>172.36</v>
      </c>
      <c r="T3397" s="65">
        <v>90.409999999996217</v>
      </c>
      <c r="U3397" s="58">
        <v>0</v>
      </c>
      <c r="V3397" s="65">
        <v>0</v>
      </c>
      <c r="W3397" s="65">
        <v>0</v>
      </c>
      <c r="X3397" s="65">
        <v>39070</v>
      </c>
      <c r="Y3397" s="65">
        <v>0</v>
      </c>
      <c r="Z3397" s="51">
        <v>0</v>
      </c>
      <c r="AA3397" s="51">
        <v>0</v>
      </c>
      <c r="AB3397" s="102">
        <v>0</v>
      </c>
      <c r="AC3397" s="81">
        <f t="shared" si="163"/>
        <v>0</v>
      </c>
      <c r="AD3397" s="82">
        <f t="shared" si="164"/>
        <v>0</v>
      </c>
      <c r="AE3397" s="218">
        <v>-2.3038626968163124E-3</v>
      </c>
      <c r="AF3397">
        <v>3</v>
      </c>
      <c r="AH3397" t="str">
        <f t="shared" si="162"/>
        <v>Sahibpur Kamal</v>
      </c>
      <c r="AJ3397" s="72">
        <v>0</v>
      </c>
      <c r="AK3397" s="72"/>
      <c r="AL3397" s="72"/>
      <c r="AM3397" s="72"/>
    </row>
    <row r="3398" spans="1:39" x14ac:dyDescent="0.25">
      <c r="A3398" s="37" t="s">
        <v>62</v>
      </c>
      <c r="B3398" s="66" t="s">
        <v>1676</v>
      </c>
      <c r="C3398" s="4">
        <v>1011</v>
      </c>
      <c r="D3398" s="41" t="s">
        <v>281</v>
      </c>
      <c r="E3398" s="41">
        <v>10110178</v>
      </c>
      <c r="F3398" s="85" t="s">
        <v>1263</v>
      </c>
      <c r="G3398" s="39" t="s">
        <v>1610</v>
      </c>
      <c r="H3398" s="52" t="s">
        <v>98</v>
      </c>
      <c r="I3398" s="52">
        <v>16414.200000000004</v>
      </c>
      <c r="J3398" s="49">
        <v>648868.43000000005</v>
      </c>
      <c r="K3398" s="58">
        <v>0</v>
      </c>
      <c r="L3398" s="58">
        <v>0</v>
      </c>
      <c r="M3398" s="58">
        <v>0</v>
      </c>
      <c r="N3398" s="58">
        <v>0</v>
      </c>
      <c r="O3398" s="58">
        <v>0</v>
      </c>
      <c r="P3398" s="53">
        <v>0</v>
      </c>
      <c r="Q3398" s="65">
        <v>648868.43000000005</v>
      </c>
      <c r="R3398" s="65">
        <v>0</v>
      </c>
      <c r="S3398" s="65">
        <v>0</v>
      </c>
      <c r="T3398" s="65">
        <v>0</v>
      </c>
      <c r="U3398" s="58">
        <v>0</v>
      </c>
      <c r="V3398" s="65">
        <v>0</v>
      </c>
      <c r="W3398" s="65">
        <v>0</v>
      </c>
      <c r="X3398" s="65">
        <v>0</v>
      </c>
      <c r="Y3398" s="65">
        <v>0</v>
      </c>
      <c r="Z3398" s="51">
        <v>648868.43000000005</v>
      </c>
      <c r="AA3398" s="51">
        <v>0</v>
      </c>
      <c r="AB3398" s="102">
        <v>0</v>
      </c>
      <c r="AC3398" s="81">
        <f t="shared" si="163"/>
        <v>0</v>
      </c>
      <c r="AD3398" s="82">
        <f t="shared" si="164"/>
        <v>0</v>
      </c>
      <c r="AE3398" s="218">
        <v>0</v>
      </c>
      <c r="AF3398">
        <v>0</v>
      </c>
      <c r="AH3398" t="str">
        <f t="shared" si="162"/>
        <v>Sahibpur Kamal</v>
      </c>
      <c r="AJ3398" s="72">
        <v>0</v>
      </c>
      <c r="AK3398" s="72"/>
      <c r="AL3398" s="72"/>
      <c r="AM3398" s="72"/>
    </row>
    <row r="3399" spans="1:39" x14ac:dyDescent="0.25">
      <c r="A3399" s="37" t="s">
        <v>62</v>
      </c>
      <c r="B3399" s="66" t="s">
        <v>1676</v>
      </c>
      <c r="C3399" s="4">
        <v>1011</v>
      </c>
      <c r="D3399" s="41" t="s">
        <v>281</v>
      </c>
      <c r="E3399" s="41">
        <v>10110179</v>
      </c>
      <c r="F3399" s="85" t="s">
        <v>1617</v>
      </c>
      <c r="G3399" s="39" t="s">
        <v>1610</v>
      </c>
      <c r="H3399" s="52" t="s">
        <v>98</v>
      </c>
      <c r="I3399" s="52">
        <v>891.69999999999993</v>
      </c>
      <c r="J3399" s="49">
        <v>37216.050000000003</v>
      </c>
      <c r="K3399" s="58">
        <v>0</v>
      </c>
      <c r="L3399" s="58">
        <v>0</v>
      </c>
      <c r="M3399" s="58">
        <v>0</v>
      </c>
      <c r="N3399" s="58">
        <v>0</v>
      </c>
      <c r="O3399" s="58">
        <v>0</v>
      </c>
      <c r="P3399" s="53">
        <v>0</v>
      </c>
      <c r="Q3399" s="65">
        <v>37216.050000000003</v>
      </c>
      <c r="R3399" s="65">
        <v>0</v>
      </c>
      <c r="S3399" s="65">
        <v>0</v>
      </c>
      <c r="T3399" s="65">
        <v>0</v>
      </c>
      <c r="U3399" s="58">
        <v>0</v>
      </c>
      <c r="V3399" s="65">
        <v>0</v>
      </c>
      <c r="W3399" s="65">
        <v>0</v>
      </c>
      <c r="X3399" s="65">
        <v>0</v>
      </c>
      <c r="Y3399" s="65">
        <v>0</v>
      </c>
      <c r="Z3399" s="51">
        <v>37216.050000000003</v>
      </c>
      <c r="AA3399" s="51">
        <v>0</v>
      </c>
      <c r="AB3399" s="102">
        <v>0</v>
      </c>
      <c r="AC3399" s="81">
        <f t="shared" si="163"/>
        <v>0</v>
      </c>
      <c r="AD3399" s="82">
        <f t="shared" si="164"/>
        <v>0</v>
      </c>
      <c r="AE3399" s="218">
        <v>0</v>
      </c>
      <c r="AF3399">
        <v>0</v>
      </c>
      <c r="AH3399" t="str">
        <f t="shared" si="162"/>
        <v>Sahibpur Kamal</v>
      </c>
      <c r="AJ3399" s="72">
        <v>0</v>
      </c>
      <c r="AK3399" s="72"/>
      <c r="AL3399" s="72"/>
      <c r="AM3399" s="72"/>
    </row>
    <row r="3400" spans="1:39" x14ac:dyDescent="0.25">
      <c r="A3400" s="37" t="s">
        <v>62</v>
      </c>
      <c r="B3400" s="66" t="s">
        <v>1676</v>
      </c>
      <c r="C3400" s="4">
        <v>1011</v>
      </c>
      <c r="D3400" s="41" t="s">
        <v>281</v>
      </c>
      <c r="E3400" s="41">
        <v>10110183</v>
      </c>
      <c r="F3400" s="85" t="s">
        <v>1349</v>
      </c>
      <c r="G3400" s="39" t="s">
        <v>1610</v>
      </c>
      <c r="H3400" s="52" t="s">
        <v>98</v>
      </c>
      <c r="I3400" s="52">
        <v>2459</v>
      </c>
      <c r="J3400" s="49">
        <v>101113.62</v>
      </c>
      <c r="K3400" s="58">
        <v>0</v>
      </c>
      <c r="L3400" s="58">
        <v>0</v>
      </c>
      <c r="M3400" s="58">
        <v>0</v>
      </c>
      <c r="N3400" s="58">
        <v>0</v>
      </c>
      <c r="O3400" s="58">
        <v>0</v>
      </c>
      <c r="P3400" s="53">
        <v>0</v>
      </c>
      <c r="Q3400" s="65">
        <v>101113.62</v>
      </c>
      <c r="R3400" s="65">
        <v>0</v>
      </c>
      <c r="S3400" s="65">
        <v>0</v>
      </c>
      <c r="T3400" s="65">
        <v>0</v>
      </c>
      <c r="U3400" s="58">
        <v>0</v>
      </c>
      <c r="V3400" s="65">
        <v>0</v>
      </c>
      <c r="W3400" s="65">
        <v>0</v>
      </c>
      <c r="X3400" s="65">
        <v>0</v>
      </c>
      <c r="Y3400" s="65">
        <v>0</v>
      </c>
      <c r="Z3400" s="51">
        <v>101113.62</v>
      </c>
      <c r="AA3400" s="51">
        <v>0</v>
      </c>
      <c r="AB3400" s="102">
        <v>0</v>
      </c>
      <c r="AC3400" s="81">
        <f t="shared" si="163"/>
        <v>0</v>
      </c>
      <c r="AD3400" s="82">
        <f t="shared" si="164"/>
        <v>0</v>
      </c>
      <c r="AE3400" s="218">
        <v>0</v>
      </c>
      <c r="AF3400">
        <v>0</v>
      </c>
      <c r="AH3400" t="str">
        <f t="shared" si="162"/>
        <v>Sahibpur Kamal</v>
      </c>
      <c r="AJ3400" s="72">
        <v>0</v>
      </c>
      <c r="AK3400" s="72"/>
      <c r="AL3400" s="72"/>
      <c r="AM3400" s="72"/>
    </row>
    <row r="3401" spans="1:39" x14ac:dyDescent="0.25">
      <c r="A3401" s="37" t="s">
        <v>62</v>
      </c>
      <c r="B3401" s="66" t="s">
        <v>1676</v>
      </c>
      <c r="C3401" s="4">
        <v>1011</v>
      </c>
      <c r="D3401" s="41" t="s">
        <v>281</v>
      </c>
      <c r="E3401" s="41">
        <v>10110184</v>
      </c>
      <c r="F3401" s="85" t="s">
        <v>1350</v>
      </c>
      <c r="G3401" s="39" t="s">
        <v>1610</v>
      </c>
      <c r="H3401" s="52" t="s">
        <v>98</v>
      </c>
      <c r="I3401" s="52">
        <v>400.9</v>
      </c>
      <c r="J3401" s="49">
        <v>17335.36</v>
      </c>
      <c r="K3401" s="58">
        <v>0</v>
      </c>
      <c r="L3401" s="58">
        <v>0</v>
      </c>
      <c r="M3401" s="58">
        <v>0</v>
      </c>
      <c r="N3401" s="58">
        <v>0</v>
      </c>
      <c r="O3401" s="58">
        <v>0</v>
      </c>
      <c r="P3401" s="53">
        <v>0</v>
      </c>
      <c r="Q3401" s="65">
        <v>17335.36</v>
      </c>
      <c r="R3401" s="65">
        <v>0</v>
      </c>
      <c r="S3401" s="65">
        <v>0</v>
      </c>
      <c r="T3401" s="65">
        <v>0</v>
      </c>
      <c r="U3401" s="58">
        <v>0</v>
      </c>
      <c r="V3401" s="65">
        <v>0</v>
      </c>
      <c r="W3401" s="65">
        <v>0</v>
      </c>
      <c r="X3401" s="65">
        <v>0</v>
      </c>
      <c r="Y3401" s="65">
        <v>0</v>
      </c>
      <c r="Z3401" s="51">
        <v>17335.36</v>
      </c>
      <c r="AA3401" s="51">
        <v>0</v>
      </c>
      <c r="AB3401" s="102" t="s">
        <v>66</v>
      </c>
      <c r="AC3401" s="81">
        <f t="shared" si="163"/>
        <v>258.66830511349468</v>
      </c>
      <c r="AD3401" s="82">
        <f t="shared" si="164"/>
        <v>57.271428571428565</v>
      </c>
      <c r="AE3401" s="218">
        <v>0</v>
      </c>
      <c r="AF3401">
        <v>0</v>
      </c>
      <c r="AH3401" t="str">
        <f t="shared" si="162"/>
        <v>Sahibpur Kamal</v>
      </c>
      <c r="AJ3401" s="72">
        <v>0</v>
      </c>
      <c r="AK3401" s="72"/>
      <c r="AL3401" s="72"/>
      <c r="AM3401" s="72"/>
    </row>
    <row r="3402" spans="1:39" x14ac:dyDescent="0.25">
      <c r="A3402" s="37" t="s">
        <v>62</v>
      </c>
      <c r="B3402" s="66" t="s">
        <v>1676</v>
      </c>
      <c r="C3402" s="4">
        <v>1011</v>
      </c>
      <c r="D3402" s="41" t="s">
        <v>281</v>
      </c>
      <c r="E3402" s="41">
        <v>10110185</v>
      </c>
      <c r="F3402" s="85" t="s">
        <v>1363</v>
      </c>
      <c r="G3402" s="39" t="s">
        <v>1610</v>
      </c>
      <c r="H3402" s="52" t="s">
        <v>98</v>
      </c>
      <c r="I3402" s="52">
        <v>308.8</v>
      </c>
      <c r="J3402" s="49">
        <v>12529.329999999998</v>
      </c>
      <c r="K3402" s="58">
        <v>0</v>
      </c>
      <c r="L3402" s="58">
        <v>0</v>
      </c>
      <c r="M3402" s="58">
        <v>0</v>
      </c>
      <c r="N3402" s="58">
        <v>0</v>
      </c>
      <c r="O3402" s="58">
        <v>0</v>
      </c>
      <c r="P3402" s="53">
        <v>0</v>
      </c>
      <c r="Q3402" s="65">
        <v>12529.329999999998</v>
      </c>
      <c r="R3402" s="65">
        <v>0</v>
      </c>
      <c r="S3402" s="65">
        <v>0</v>
      </c>
      <c r="T3402" s="65">
        <v>0</v>
      </c>
      <c r="U3402" s="58">
        <v>0</v>
      </c>
      <c r="V3402" s="65">
        <v>0</v>
      </c>
      <c r="W3402" s="65">
        <v>0</v>
      </c>
      <c r="X3402" s="65">
        <v>0</v>
      </c>
      <c r="Y3402" s="65">
        <v>0</v>
      </c>
      <c r="Z3402" s="51">
        <v>12529.329999999998</v>
      </c>
      <c r="AA3402" s="51">
        <v>0</v>
      </c>
      <c r="AB3402" s="102">
        <v>0</v>
      </c>
      <c r="AC3402" s="81">
        <f t="shared" si="163"/>
        <v>317.45297253886002</v>
      </c>
      <c r="AD3402" s="82">
        <f t="shared" si="164"/>
        <v>44.114285714285714</v>
      </c>
      <c r="AE3402" s="218">
        <v>0</v>
      </c>
      <c r="AF3402">
        <v>0</v>
      </c>
      <c r="AH3402" t="str">
        <f t="shared" si="162"/>
        <v>Sahibpur Kamal</v>
      </c>
      <c r="AJ3402" s="72">
        <v>0</v>
      </c>
      <c r="AK3402" s="72"/>
      <c r="AL3402" s="72"/>
      <c r="AM3402" s="72"/>
    </row>
    <row r="3403" spans="1:39" x14ac:dyDescent="0.25">
      <c r="A3403" s="37" t="s">
        <v>62</v>
      </c>
      <c r="B3403" s="66" t="s">
        <v>1676</v>
      </c>
      <c r="C3403" s="4">
        <v>1011</v>
      </c>
      <c r="D3403" s="41" t="s">
        <v>281</v>
      </c>
      <c r="E3403" s="41">
        <v>10110187</v>
      </c>
      <c r="F3403" s="85" t="s">
        <v>1427</v>
      </c>
      <c r="G3403" s="39" t="s">
        <v>1610</v>
      </c>
      <c r="H3403" s="52" t="s">
        <v>93</v>
      </c>
      <c r="I3403" s="52">
        <v>875.5</v>
      </c>
      <c r="J3403" s="49">
        <v>32114.51</v>
      </c>
      <c r="K3403" s="58">
        <v>875.5</v>
      </c>
      <c r="L3403" s="58">
        <v>32612.38</v>
      </c>
      <c r="M3403" s="58">
        <v>0</v>
      </c>
      <c r="N3403" s="58">
        <v>0</v>
      </c>
      <c r="O3403" s="58">
        <v>875.5</v>
      </c>
      <c r="P3403" s="53">
        <v>32612.38</v>
      </c>
      <c r="Q3403" s="65">
        <v>32114.51</v>
      </c>
      <c r="R3403" s="65">
        <v>0</v>
      </c>
      <c r="S3403" s="65">
        <v>0</v>
      </c>
      <c r="T3403" s="65">
        <v>497.87000000000262</v>
      </c>
      <c r="U3403" s="58">
        <v>0</v>
      </c>
      <c r="V3403" s="65">
        <v>0</v>
      </c>
      <c r="W3403" s="65">
        <v>0</v>
      </c>
      <c r="X3403" s="65">
        <v>32115</v>
      </c>
      <c r="Y3403" s="65">
        <v>0</v>
      </c>
      <c r="Z3403" s="51">
        <v>0</v>
      </c>
      <c r="AA3403" s="51">
        <v>0</v>
      </c>
      <c r="AB3403" s="102">
        <v>0</v>
      </c>
      <c r="AC3403" s="81">
        <f t="shared" si="163"/>
        <v>0</v>
      </c>
      <c r="AD3403" s="82">
        <f t="shared" si="164"/>
        <v>0</v>
      </c>
      <c r="AE3403" s="218">
        <v>-1.5502961122558079E-2</v>
      </c>
      <c r="AF3403">
        <v>1</v>
      </c>
      <c r="AH3403" t="str">
        <f t="shared" si="162"/>
        <v>Sahibpur Kamal</v>
      </c>
      <c r="AJ3403" s="72">
        <v>0</v>
      </c>
      <c r="AK3403" s="72"/>
      <c r="AL3403" s="72"/>
      <c r="AM3403" s="72"/>
    </row>
    <row r="3404" spans="1:39" x14ac:dyDescent="0.25">
      <c r="A3404" s="37" t="s">
        <v>62</v>
      </c>
      <c r="B3404" s="66" t="s">
        <v>1676</v>
      </c>
      <c r="C3404" s="4">
        <v>1011</v>
      </c>
      <c r="D3404" s="41" t="s">
        <v>281</v>
      </c>
      <c r="E3404" s="41">
        <v>10110190</v>
      </c>
      <c r="F3404" s="85" t="s">
        <v>1579</v>
      </c>
      <c r="G3404" s="39" t="s">
        <v>1610</v>
      </c>
      <c r="H3404" s="52" t="s">
        <v>98</v>
      </c>
      <c r="I3404" s="52">
        <v>7499.5999999999995</v>
      </c>
      <c r="J3404" s="49">
        <v>292629.06</v>
      </c>
      <c r="K3404" s="58">
        <v>0</v>
      </c>
      <c r="L3404" s="58">
        <v>0</v>
      </c>
      <c r="M3404" s="58">
        <v>0</v>
      </c>
      <c r="N3404" s="58">
        <v>0</v>
      </c>
      <c r="O3404" s="58">
        <v>0</v>
      </c>
      <c r="P3404" s="53">
        <v>0</v>
      </c>
      <c r="Q3404" s="65">
        <v>292629.06</v>
      </c>
      <c r="R3404" s="65">
        <v>0</v>
      </c>
      <c r="S3404" s="65">
        <v>0</v>
      </c>
      <c r="T3404" s="65">
        <v>0</v>
      </c>
      <c r="U3404" s="58">
        <v>0</v>
      </c>
      <c r="V3404" s="65">
        <v>0</v>
      </c>
      <c r="W3404" s="65">
        <v>0</v>
      </c>
      <c r="X3404" s="65">
        <v>0</v>
      </c>
      <c r="Y3404" s="65">
        <v>0</v>
      </c>
      <c r="Z3404" s="51">
        <v>292629.06</v>
      </c>
      <c r="AA3404" s="51">
        <v>0</v>
      </c>
      <c r="AB3404" s="102">
        <v>0</v>
      </c>
      <c r="AC3404" s="81">
        <f t="shared" si="163"/>
        <v>0</v>
      </c>
      <c r="AD3404" s="82">
        <f t="shared" si="164"/>
        <v>0</v>
      </c>
      <c r="AE3404" s="218">
        <v>0</v>
      </c>
      <c r="AF3404">
        <v>0</v>
      </c>
      <c r="AH3404" t="str">
        <f t="shared" si="162"/>
        <v>Sahibpur Kamal</v>
      </c>
      <c r="AJ3404" s="72">
        <v>0</v>
      </c>
      <c r="AK3404" s="72"/>
      <c r="AL3404" s="72"/>
      <c r="AM3404" s="72"/>
    </row>
    <row r="3405" spans="1:39" x14ac:dyDescent="0.25">
      <c r="A3405" s="37" t="s">
        <v>62</v>
      </c>
      <c r="B3405" s="66" t="s">
        <v>1676</v>
      </c>
      <c r="C3405" s="4">
        <v>1012</v>
      </c>
      <c r="D3405" s="41" t="s">
        <v>306</v>
      </c>
      <c r="E3405" s="41">
        <v>10120001</v>
      </c>
      <c r="F3405" s="85" t="s">
        <v>307</v>
      </c>
      <c r="G3405" s="39" t="s">
        <v>92</v>
      </c>
      <c r="H3405" s="52" t="s">
        <v>98</v>
      </c>
      <c r="I3405" s="52">
        <v>239.4</v>
      </c>
      <c r="J3405" s="49">
        <v>9730.6</v>
      </c>
      <c r="K3405" s="58">
        <v>0</v>
      </c>
      <c r="L3405" s="58">
        <v>0</v>
      </c>
      <c r="M3405" s="58">
        <v>0</v>
      </c>
      <c r="N3405" s="58">
        <v>0</v>
      </c>
      <c r="O3405" s="58">
        <v>0</v>
      </c>
      <c r="P3405" s="53">
        <v>0</v>
      </c>
      <c r="Q3405" s="65">
        <v>9730.6</v>
      </c>
      <c r="R3405" s="65">
        <v>0</v>
      </c>
      <c r="S3405" s="65">
        <v>0</v>
      </c>
      <c r="T3405" s="65">
        <v>0</v>
      </c>
      <c r="U3405" s="58">
        <v>1400</v>
      </c>
      <c r="V3405" s="65">
        <v>0</v>
      </c>
      <c r="W3405" s="65">
        <v>0</v>
      </c>
      <c r="X3405" s="65">
        <v>0</v>
      </c>
      <c r="Y3405" s="65">
        <v>0</v>
      </c>
      <c r="Z3405" s="51">
        <v>8330.6</v>
      </c>
      <c r="AA3405" s="51">
        <v>0</v>
      </c>
      <c r="AB3405" s="102">
        <v>0</v>
      </c>
      <c r="AC3405" s="81">
        <f t="shared" si="163"/>
        <v>374.42893567251463</v>
      </c>
      <c r="AD3405" s="82">
        <f t="shared" si="164"/>
        <v>34.200000000000003</v>
      </c>
      <c r="AE3405" s="218">
        <v>0</v>
      </c>
      <c r="AF3405">
        <v>0</v>
      </c>
      <c r="AH3405" t="str">
        <f t="shared" si="162"/>
        <v>DalsinghSarai</v>
      </c>
      <c r="AJ3405" s="72">
        <v>0</v>
      </c>
      <c r="AK3405" s="72"/>
      <c r="AL3405" s="72"/>
      <c r="AM3405" s="72"/>
    </row>
    <row r="3406" spans="1:39" x14ac:dyDescent="0.25">
      <c r="A3406" s="37" t="s">
        <v>62</v>
      </c>
      <c r="B3406" s="66" t="s">
        <v>1676</v>
      </c>
      <c r="C3406" s="4">
        <v>1012</v>
      </c>
      <c r="D3406" s="41" t="s">
        <v>306</v>
      </c>
      <c r="E3406" s="41">
        <v>10120002</v>
      </c>
      <c r="F3406" s="85" t="s">
        <v>308</v>
      </c>
      <c r="G3406" s="39" t="s">
        <v>92</v>
      </c>
      <c r="H3406" s="52" t="s">
        <v>98</v>
      </c>
      <c r="I3406" s="52">
        <v>518.04999999999995</v>
      </c>
      <c r="J3406" s="49">
        <v>20346.110000000004</v>
      </c>
      <c r="K3406" s="58">
        <v>0</v>
      </c>
      <c r="L3406" s="58">
        <v>0</v>
      </c>
      <c r="M3406" s="58">
        <v>0</v>
      </c>
      <c r="N3406" s="58">
        <v>0</v>
      </c>
      <c r="O3406" s="58">
        <v>0</v>
      </c>
      <c r="P3406" s="53">
        <v>0</v>
      </c>
      <c r="Q3406" s="65">
        <v>20346.110000000004</v>
      </c>
      <c r="R3406" s="65">
        <v>0</v>
      </c>
      <c r="S3406" s="65">
        <v>0</v>
      </c>
      <c r="T3406" s="65">
        <v>0</v>
      </c>
      <c r="U3406" s="58">
        <v>7000</v>
      </c>
      <c r="V3406" s="65">
        <v>0</v>
      </c>
      <c r="W3406" s="65">
        <v>0</v>
      </c>
      <c r="X3406" s="65">
        <v>0</v>
      </c>
      <c r="Y3406" s="65">
        <v>0</v>
      </c>
      <c r="Z3406" s="51">
        <v>13346.110000000004</v>
      </c>
      <c r="AA3406" s="51">
        <v>0</v>
      </c>
      <c r="AB3406" s="102">
        <v>0</v>
      </c>
      <c r="AC3406" s="81">
        <f t="shared" si="163"/>
        <v>142.91959133288302</v>
      </c>
      <c r="AD3406" s="82">
        <f t="shared" si="164"/>
        <v>74.007142857142853</v>
      </c>
      <c r="AE3406" s="218">
        <v>0</v>
      </c>
      <c r="AF3406">
        <v>0</v>
      </c>
      <c r="AH3406" t="str">
        <f t="shared" si="162"/>
        <v>DalsinghSarai</v>
      </c>
      <c r="AJ3406" s="72">
        <v>0</v>
      </c>
      <c r="AK3406" s="72"/>
      <c r="AL3406" s="72"/>
      <c r="AM3406" s="72"/>
    </row>
    <row r="3407" spans="1:39" x14ac:dyDescent="0.25">
      <c r="A3407" s="37" t="s">
        <v>62</v>
      </c>
      <c r="B3407" s="66" t="s">
        <v>1676</v>
      </c>
      <c r="C3407" s="4">
        <v>1012</v>
      </c>
      <c r="D3407" s="41" t="s">
        <v>306</v>
      </c>
      <c r="E3407" s="41">
        <v>10120005</v>
      </c>
      <c r="F3407" s="85" t="s">
        <v>309</v>
      </c>
      <c r="G3407" s="39" t="s">
        <v>92</v>
      </c>
      <c r="H3407" s="52" t="s">
        <v>93</v>
      </c>
      <c r="I3407" s="52">
        <v>595.04999999999995</v>
      </c>
      <c r="J3407" s="49">
        <v>22965.25</v>
      </c>
      <c r="K3407" s="58">
        <v>590.17000000000007</v>
      </c>
      <c r="L3407" s="58">
        <v>22965.07</v>
      </c>
      <c r="M3407" s="58">
        <v>0</v>
      </c>
      <c r="N3407" s="58">
        <v>0</v>
      </c>
      <c r="O3407" s="58">
        <v>590.17000000000007</v>
      </c>
      <c r="P3407" s="53">
        <v>22965.07</v>
      </c>
      <c r="Q3407" s="65">
        <v>22965.07</v>
      </c>
      <c r="R3407" s="65">
        <v>0</v>
      </c>
      <c r="S3407" s="65">
        <v>0</v>
      </c>
      <c r="T3407" s="65">
        <v>0</v>
      </c>
      <c r="U3407" s="58">
        <v>0</v>
      </c>
      <c r="V3407" s="65">
        <v>0</v>
      </c>
      <c r="W3407" s="65">
        <v>0</v>
      </c>
      <c r="X3407" s="65">
        <v>22965</v>
      </c>
      <c r="Y3407" s="65">
        <v>0</v>
      </c>
      <c r="Z3407" s="51">
        <v>0</v>
      </c>
      <c r="AA3407" s="51">
        <v>0</v>
      </c>
      <c r="AB3407" s="102">
        <v>0</v>
      </c>
      <c r="AC3407" s="81">
        <f t="shared" si="163"/>
        <v>81.008419040416797</v>
      </c>
      <c r="AD3407" s="82">
        <f t="shared" si="164"/>
        <v>85.007142857142853</v>
      </c>
      <c r="AE3407" s="218">
        <v>7.8379290449827902E-6</v>
      </c>
      <c r="AF3407">
        <v>5</v>
      </c>
      <c r="AH3407" t="str">
        <f t="shared" si="162"/>
        <v>DalsinghSarai</v>
      </c>
      <c r="AJ3407" s="72">
        <v>0</v>
      </c>
      <c r="AK3407" s="72"/>
      <c r="AL3407" s="72"/>
      <c r="AM3407" s="72"/>
    </row>
    <row r="3408" spans="1:39" x14ac:dyDescent="0.25">
      <c r="A3408" s="37" t="s">
        <v>62</v>
      </c>
      <c r="B3408" s="66" t="s">
        <v>1676</v>
      </c>
      <c r="C3408" s="4">
        <v>1012</v>
      </c>
      <c r="D3408" s="41" t="s">
        <v>306</v>
      </c>
      <c r="E3408" s="41">
        <v>10120006</v>
      </c>
      <c r="F3408" s="85" t="s">
        <v>310</v>
      </c>
      <c r="G3408" s="39" t="s">
        <v>92</v>
      </c>
      <c r="H3408" s="52" t="s">
        <v>93</v>
      </c>
      <c r="I3408" s="52">
        <v>283.3</v>
      </c>
      <c r="J3408" s="49">
        <v>10668.75</v>
      </c>
      <c r="K3408" s="58">
        <v>267.95</v>
      </c>
      <c r="L3408" s="58">
        <v>10135.41</v>
      </c>
      <c r="M3408" s="58">
        <v>14.2</v>
      </c>
      <c r="N3408" s="58">
        <v>532.25</v>
      </c>
      <c r="O3408" s="58">
        <v>282.14999999999998</v>
      </c>
      <c r="P3408" s="53">
        <v>10667.66</v>
      </c>
      <c r="Q3408" s="65">
        <v>10667.66</v>
      </c>
      <c r="R3408" s="65">
        <v>0</v>
      </c>
      <c r="S3408" s="65">
        <v>0</v>
      </c>
      <c r="T3408" s="65">
        <v>0</v>
      </c>
      <c r="U3408" s="58">
        <v>0</v>
      </c>
      <c r="V3408" s="65">
        <v>0</v>
      </c>
      <c r="W3408" s="65">
        <v>0</v>
      </c>
      <c r="X3408" s="65">
        <v>10135</v>
      </c>
      <c r="Y3408" s="65">
        <v>532</v>
      </c>
      <c r="Z3408" s="51">
        <v>0</v>
      </c>
      <c r="AA3408" s="51">
        <v>2</v>
      </c>
      <c r="AB3408" s="102">
        <v>0</v>
      </c>
      <c r="AC3408" s="81">
        <f t="shared" si="163"/>
        <v>313.8487910342393</v>
      </c>
      <c r="AD3408" s="82">
        <f t="shared" si="164"/>
        <v>40.471428571428575</v>
      </c>
      <c r="AE3408" s="218">
        <v>1.0216754540130245E-4</v>
      </c>
      <c r="AF3408">
        <v>7</v>
      </c>
      <c r="AH3408" t="str">
        <f t="shared" si="162"/>
        <v>DalsinghSarai</v>
      </c>
      <c r="AJ3408" s="72">
        <v>0</v>
      </c>
      <c r="AK3408" s="72"/>
      <c r="AL3408" s="72"/>
      <c r="AM3408" s="72"/>
    </row>
    <row r="3409" spans="1:39" x14ac:dyDescent="0.25">
      <c r="A3409" s="37" t="s">
        <v>62</v>
      </c>
      <c r="B3409" s="66" t="s">
        <v>1676</v>
      </c>
      <c r="C3409" s="4">
        <v>1012</v>
      </c>
      <c r="D3409" s="41" t="s">
        <v>306</v>
      </c>
      <c r="E3409" s="41">
        <v>10120007</v>
      </c>
      <c r="F3409" s="85" t="s">
        <v>311</v>
      </c>
      <c r="G3409" s="39" t="s">
        <v>92</v>
      </c>
      <c r="H3409" s="52" t="s">
        <v>93</v>
      </c>
      <c r="I3409" s="52">
        <v>1147.4000000000001</v>
      </c>
      <c r="J3409" s="49">
        <v>47464.330000000016</v>
      </c>
      <c r="K3409" s="58">
        <v>1126.3699999999999</v>
      </c>
      <c r="L3409" s="58">
        <v>46793.319999999992</v>
      </c>
      <c r="M3409" s="58">
        <v>14.55</v>
      </c>
      <c r="N3409" s="58">
        <v>598.34</v>
      </c>
      <c r="O3409" s="58">
        <v>1140.9199999999998</v>
      </c>
      <c r="P3409" s="53">
        <v>47391.659999999989</v>
      </c>
      <c r="Q3409" s="65">
        <v>47391.659999999989</v>
      </c>
      <c r="R3409" s="65">
        <v>0</v>
      </c>
      <c r="S3409" s="65">
        <v>598.34</v>
      </c>
      <c r="T3409" s="65">
        <v>0</v>
      </c>
      <c r="U3409" s="58">
        <v>5540</v>
      </c>
      <c r="V3409" s="65">
        <v>0</v>
      </c>
      <c r="W3409" s="65">
        <v>0</v>
      </c>
      <c r="X3409" s="65">
        <v>41252</v>
      </c>
      <c r="Y3409" s="65">
        <v>0</v>
      </c>
      <c r="Z3409" s="51">
        <v>0</v>
      </c>
      <c r="AA3409" s="51">
        <v>74</v>
      </c>
      <c r="AB3409" s="102">
        <v>0</v>
      </c>
      <c r="AC3409" s="81">
        <f t="shared" si="163"/>
        <v>0</v>
      </c>
      <c r="AD3409" s="82">
        <f t="shared" si="164"/>
        <v>0</v>
      </c>
      <c r="AE3409" s="218">
        <v>1.5310444706588577E-3</v>
      </c>
      <c r="AF3409">
        <v>31</v>
      </c>
      <c r="AH3409" t="str">
        <f t="shared" si="162"/>
        <v>DalsinghSarai</v>
      </c>
      <c r="AJ3409" s="72">
        <v>0</v>
      </c>
      <c r="AK3409" s="72"/>
      <c r="AL3409" s="72"/>
      <c r="AM3409" s="72"/>
    </row>
    <row r="3410" spans="1:39" x14ac:dyDescent="0.25">
      <c r="A3410" s="37" t="s">
        <v>62</v>
      </c>
      <c r="B3410" s="66" t="s">
        <v>1676</v>
      </c>
      <c r="C3410" s="4">
        <v>1012</v>
      </c>
      <c r="D3410" s="41" t="s">
        <v>306</v>
      </c>
      <c r="E3410" s="41">
        <v>10120008</v>
      </c>
      <c r="F3410" s="85" t="s">
        <v>312</v>
      </c>
      <c r="G3410" s="39" t="s">
        <v>92</v>
      </c>
      <c r="H3410" s="52" t="s">
        <v>98</v>
      </c>
      <c r="I3410" s="52">
        <v>74.150000000000006</v>
      </c>
      <c r="J3410" s="49">
        <v>2642.1499999999996</v>
      </c>
      <c r="K3410" s="58">
        <v>0</v>
      </c>
      <c r="L3410" s="58">
        <v>0</v>
      </c>
      <c r="M3410" s="58">
        <v>0</v>
      </c>
      <c r="N3410" s="58">
        <v>0</v>
      </c>
      <c r="O3410" s="58">
        <v>0</v>
      </c>
      <c r="P3410" s="53">
        <v>0</v>
      </c>
      <c r="Q3410" s="65">
        <v>2642.1499999999996</v>
      </c>
      <c r="R3410" s="65">
        <v>0</v>
      </c>
      <c r="S3410" s="65">
        <v>0</v>
      </c>
      <c r="T3410" s="65">
        <v>0</v>
      </c>
      <c r="U3410" s="58">
        <v>0</v>
      </c>
      <c r="V3410" s="65">
        <v>0</v>
      </c>
      <c r="W3410" s="65">
        <v>0</v>
      </c>
      <c r="X3410" s="65">
        <v>0</v>
      </c>
      <c r="Y3410" s="65">
        <v>0</v>
      </c>
      <c r="Z3410" s="51">
        <v>2642.1499999999996</v>
      </c>
      <c r="AA3410" s="51">
        <v>0</v>
      </c>
      <c r="AB3410" s="102">
        <v>0</v>
      </c>
      <c r="AC3410" s="81">
        <f t="shared" si="163"/>
        <v>446.01202360080913</v>
      </c>
      <c r="AD3410" s="82">
        <f t="shared" si="164"/>
        <v>10.592857142857143</v>
      </c>
      <c r="AE3410" s="218">
        <v>0</v>
      </c>
      <c r="AF3410">
        <v>0</v>
      </c>
      <c r="AH3410" t="str">
        <f t="shared" si="162"/>
        <v>DalsinghSarai</v>
      </c>
      <c r="AJ3410" s="72">
        <v>0</v>
      </c>
      <c r="AK3410" s="72"/>
      <c r="AL3410" s="72"/>
      <c r="AM3410" s="72"/>
    </row>
    <row r="3411" spans="1:39" x14ac:dyDescent="0.25">
      <c r="A3411" s="37" t="s">
        <v>62</v>
      </c>
      <c r="B3411" s="66" t="s">
        <v>1676</v>
      </c>
      <c r="C3411" s="4">
        <v>1012</v>
      </c>
      <c r="D3411" s="41" t="s">
        <v>306</v>
      </c>
      <c r="E3411" s="41">
        <v>10120010</v>
      </c>
      <c r="F3411" s="85" t="s">
        <v>313</v>
      </c>
      <c r="G3411" s="39" t="s">
        <v>92</v>
      </c>
      <c r="H3411" s="52" t="s">
        <v>98</v>
      </c>
      <c r="I3411" s="52">
        <v>1976.7500000000002</v>
      </c>
      <c r="J3411" s="49">
        <v>86439.95</v>
      </c>
      <c r="K3411" s="58">
        <v>0</v>
      </c>
      <c r="L3411" s="58">
        <v>0</v>
      </c>
      <c r="M3411" s="58">
        <v>0</v>
      </c>
      <c r="N3411" s="58">
        <v>0</v>
      </c>
      <c r="O3411" s="58">
        <v>0</v>
      </c>
      <c r="P3411" s="53">
        <v>0</v>
      </c>
      <c r="Q3411" s="65">
        <v>86439.95</v>
      </c>
      <c r="R3411" s="65">
        <v>0</v>
      </c>
      <c r="S3411" s="65">
        <v>0</v>
      </c>
      <c r="T3411" s="65">
        <v>0</v>
      </c>
      <c r="U3411" s="58">
        <v>2800</v>
      </c>
      <c r="V3411" s="65">
        <v>0</v>
      </c>
      <c r="W3411" s="65">
        <v>0</v>
      </c>
      <c r="X3411" s="65">
        <v>0</v>
      </c>
      <c r="Y3411" s="65">
        <v>0</v>
      </c>
      <c r="Z3411" s="51">
        <v>83639.95</v>
      </c>
      <c r="AA3411" s="51">
        <v>0</v>
      </c>
      <c r="AB3411" s="102">
        <v>0</v>
      </c>
      <c r="AC3411" s="81">
        <f t="shared" si="163"/>
        <v>0</v>
      </c>
      <c r="AD3411" s="82">
        <f t="shared" si="164"/>
        <v>0</v>
      </c>
      <c r="AE3411" s="218">
        <v>0</v>
      </c>
      <c r="AF3411">
        <v>0</v>
      </c>
      <c r="AH3411" t="str">
        <f t="shared" si="162"/>
        <v>DalsinghSarai</v>
      </c>
      <c r="AJ3411" s="72">
        <v>0</v>
      </c>
      <c r="AK3411" s="72"/>
      <c r="AL3411" s="72"/>
      <c r="AM3411" s="72"/>
    </row>
    <row r="3412" spans="1:39" x14ac:dyDescent="0.25">
      <c r="A3412" s="37" t="s">
        <v>62</v>
      </c>
      <c r="B3412" s="66" t="s">
        <v>1676</v>
      </c>
      <c r="C3412" s="4">
        <v>1012</v>
      </c>
      <c r="D3412" s="41" t="s">
        <v>306</v>
      </c>
      <c r="E3412" s="41">
        <v>10120011</v>
      </c>
      <c r="F3412" s="85" t="s">
        <v>607</v>
      </c>
      <c r="G3412" s="39" t="s">
        <v>92</v>
      </c>
      <c r="H3412" s="52" t="s">
        <v>98</v>
      </c>
      <c r="I3412" s="52">
        <v>579.90000000000009</v>
      </c>
      <c r="J3412" s="49">
        <v>23742.740000000005</v>
      </c>
      <c r="K3412" s="58">
        <v>0</v>
      </c>
      <c r="L3412" s="58">
        <v>0</v>
      </c>
      <c r="M3412" s="58">
        <v>0</v>
      </c>
      <c r="N3412" s="58">
        <v>0</v>
      </c>
      <c r="O3412" s="58">
        <v>0</v>
      </c>
      <c r="P3412" s="53">
        <v>0</v>
      </c>
      <c r="Q3412" s="65">
        <v>23742.740000000005</v>
      </c>
      <c r="R3412" s="65">
        <v>0</v>
      </c>
      <c r="S3412" s="65">
        <v>0</v>
      </c>
      <c r="T3412" s="65">
        <v>0</v>
      </c>
      <c r="U3412" s="58">
        <v>0</v>
      </c>
      <c r="V3412" s="65">
        <v>0</v>
      </c>
      <c r="W3412" s="65">
        <v>0</v>
      </c>
      <c r="X3412" s="65">
        <v>0</v>
      </c>
      <c r="Y3412" s="65">
        <v>0</v>
      </c>
      <c r="Z3412" s="51">
        <v>23742.740000000005</v>
      </c>
      <c r="AA3412" s="51">
        <v>0</v>
      </c>
      <c r="AB3412" s="102">
        <v>0</v>
      </c>
      <c r="AC3412" s="81">
        <f t="shared" si="163"/>
        <v>98.344648180720739</v>
      </c>
      <c r="AD3412" s="82">
        <f t="shared" si="164"/>
        <v>82.842857142857156</v>
      </c>
      <c r="AE3412" s="218">
        <v>0</v>
      </c>
      <c r="AF3412">
        <v>0</v>
      </c>
      <c r="AH3412" t="str">
        <f t="shared" si="162"/>
        <v>DalsinghSarai</v>
      </c>
      <c r="AJ3412" s="72">
        <v>0</v>
      </c>
      <c r="AK3412" s="72"/>
      <c r="AL3412" s="72"/>
      <c r="AM3412" s="72"/>
    </row>
    <row r="3413" spans="1:39" x14ac:dyDescent="0.25">
      <c r="A3413" s="37" t="s">
        <v>62</v>
      </c>
      <c r="B3413" s="66" t="s">
        <v>1676</v>
      </c>
      <c r="C3413" s="4">
        <v>1012</v>
      </c>
      <c r="D3413" s="41" t="s">
        <v>306</v>
      </c>
      <c r="E3413" s="41">
        <v>10120012</v>
      </c>
      <c r="F3413" s="85" t="s">
        <v>314</v>
      </c>
      <c r="G3413" s="39" t="s">
        <v>92</v>
      </c>
      <c r="H3413" s="52" t="s">
        <v>93</v>
      </c>
      <c r="I3413" s="52">
        <v>646.54999999999984</v>
      </c>
      <c r="J3413" s="49">
        <v>32088.309999999998</v>
      </c>
      <c r="K3413" s="58">
        <v>662.9</v>
      </c>
      <c r="L3413" s="58">
        <v>31721.99</v>
      </c>
      <c r="M3413" s="58">
        <v>7.9</v>
      </c>
      <c r="N3413" s="58">
        <v>364.91</v>
      </c>
      <c r="O3413" s="58">
        <v>670.8</v>
      </c>
      <c r="P3413" s="53">
        <v>32086.9</v>
      </c>
      <c r="Q3413" s="65">
        <v>32086.9</v>
      </c>
      <c r="R3413" s="65">
        <v>1965</v>
      </c>
      <c r="S3413" s="65">
        <v>364.91</v>
      </c>
      <c r="T3413" s="65">
        <v>0</v>
      </c>
      <c r="U3413" s="58">
        <v>0</v>
      </c>
      <c r="V3413" s="65">
        <v>0</v>
      </c>
      <c r="W3413" s="65">
        <v>0</v>
      </c>
      <c r="X3413" s="65">
        <v>29758</v>
      </c>
      <c r="Y3413" s="65">
        <v>0</v>
      </c>
      <c r="Z3413" s="51">
        <v>0</v>
      </c>
      <c r="AA3413" s="51">
        <v>0</v>
      </c>
      <c r="AB3413" s="102">
        <v>0</v>
      </c>
      <c r="AC3413" s="81">
        <f t="shared" si="163"/>
        <v>53.054525388601242</v>
      </c>
      <c r="AD3413" s="82">
        <f t="shared" si="164"/>
        <v>92.364285714285685</v>
      </c>
      <c r="AE3413" s="218">
        <v>4.3941235920377748E-5</v>
      </c>
      <c r="AF3413">
        <v>17</v>
      </c>
      <c r="AH3413" t="str">
        <f t="shared" si="162"/>
        <v>DalsinghSarai</v>
      </c>
      <c r="AJ3413" s="72">
        <v>0</v>
      </c>
      <c r="AK3413" s="72"/>
      <c r="AL3413" s="72"/>
      <c r="AM3413" s="72"/>
    </row>
    <row r="3414" spans="1:39" x14ac:dyDescent="0.25">
      <c r="A3414" s="37" t="s">
        <v>62</v>
      </c>
      <c r="B3414" s="66" t="s">
        <v>1676</v>
      </c>
      <c r="C3414" s="4">
        <v>1012</v>
      </c>
      <c r="D3414" s="41" t="s">
        <v>306</v>
      </c>
      <c r="E3414" s="41">
        <v>10120013</v>
      </c>
      <c r="F3414" s="85" t="s">
        <v>315</v>
      </c>
      <c r="G3414" s="39" t="s">
        <v>92</v>
      </c>
      <c r="H3414" s="52" t="s">
        <v>98</v>
      </c>
      <c r="I3414" s="52">
        <v>394.35</v>
      </c>
      <c r="J3414" s="49">
        <v>12970.43</v>
      </c>
      <c r="K3414" s="58">
        <v>0</v>
      </c>
      <c r="L3414" s="58">
        <v>0</v>
      </c>
      <c r="M3414" s="58">
        <v>0</v>
      </c>
      <c r="N3414" s="58">
        <v>0</v>
      </c>
      <c r="O3414" s="58">
        <v>0</v>
      </c>
      <c r="P3414" s="53">
        <v>0</v>
      </c>
      <c r="Q3414" s="65">
        <v>12970.43</v>
      </c>
      <c r="R3414" s="65">
        <v>0</v>
      </c>
      <c r="S3414" s="65">
        <v>0</v>
      </c>
      <c r="T3414" s="65">
        <v>0</v>
      </c>
      <c r="U3414" s="58">
        <v>2800</v>
      </c>
      <c r="V3414" s="65">
        <v>0</v>
      </c>
      <c r="W3414" s="65">
        <v>0</v>
      </c>
      <c r="X3414" s="65">
        <v>0</v>
      </c>
      <c r="Y3414" s="65">
        <v>0</v>
      </c>
      <c r="Z3414" s="51">
        <v>10170.43</v>
      </c>
      <c r="AA3414" s="51">
        <v>0</v>
      </c>
      <c r="AB3414" s="102">
        <v>0</v>
      </c>
      <c r="AC3414" s="81">
        <f t="shared" si="163"/>
        <v>201.06057712691771</v>
      </c>
      <c r="AD3414" s="82">
        <f t="shared" si="164"/>
        <v>56.335714285714289</v>
      </c>
      <c r="AE3414" s="218">
        <v>0</v>
      </c>
      <c r="AF3414">
        <v>0</v>
      </c>
      <c r="AH3414" t="str">
        <f t="shared" si="162"/>
        <v>DalsinghSarai</v>
      </c>
      <c r="AJ3414" s="72">
        <v>0</v>
      </c>
      <c r="AK3414" s="72"/>
      <c r="AL3414" s="72"/>
      <c r="AM3414" s="72"/>
    </row>
    <row r="3415" spans="1:39" x14ac:dyDescent="0.25">
      <c r="A3415" s="37" t="s">
        <v>62</v>
      </c>
      <c r="B3415" s="66" t="s">
        <v>1676</v>
      </c>
      <c r="C3415" s="4">
        <v>1012</v>
      </c>
      <c r="D3415" s="41" t="s">
        <v>306</v>
      </c>
      <c r="E3415" s="41">
        <v>10120014</v>
      </c>
      <c r="F3415" s="85" t="s">
        <v>316</v>
      </c>
      <c r="G3415" s="39" t="s">
        <v>92</v>
      </c>
      <c r="H3415" s="52" t="s">
        <v>93</v>
      </c>
      <c r="I3415" s="52">
        <v>994.05000000000007</v>
      </c>
      <c r="J3415" s="49">
        <v>42771.869999999995</v>
      </c>
      <c r="K3415" s="58">
        <v>406.90000000000003</v>
      </c>
      <c r="L3415" s="58">
        <v>18451.86</v>
      </c>
      <c r="M3415" s="58">
        <v>563.20000000000005</v>
      </c>
      <c r="N3415" s="58">
        <v>24320.239999999998</v>
      </c>
      <c r="O3415" s="58">
        <v>970.10000000000014</v>
      </c>
      <c r="P3415" s="53">
        <v>42772.1</v>
      </c>
      <c r="Q3415" s="65">
        <v>42771.869999999995</v>
      </c>
      <c r="R3415" s="65">
        <v>0</v>
      </c>
      <c r="S3415" s="65">
        <v>54.88</v>
      </c>
      <c r="T3415" s="65">
        <v>0.23000000000320142</v>
      </c>
      <c r="U3415" s="58">
        <v>0</v>
      </c>
      <c r="V3415" s="65">
        <v>0</v>
      </c>
      <c r="W3415" s="65">
        <v>0</v>
      </c>
      <c r="X3415" s="65">
        <v>18451</v>
      </c>
      <c r="Y3415" s="65">
        <v>24266</v>
      </c>
      <c r="Z3415" s="51">
        <v>0</v>
      </c>
      <c r="AA3415" s="51">
        <v>0</v>
      </c>
      <c r="AB3415" s="102">
        <v>0</v>
      </c>
      <c r="AC3415" s="81">
        <f t="shared" si="163"/>
        <v>0</v>
      </c>
      <c r="AD3415" s="82">
        <f t="shared" si="164"/>
        <v>0</v>
      </c>
      <c r="AE3415" s="218">
        <v>-5.3773660118952351E-6</v>
      </c>
      <c r="AF3415">
        <v>22</v>
      </c>
      <c r="AH3415" t="str">
        <f t="shared" si="162"/>
        <v>DalsinghSarai</v>
      </c>
      <c r="AJ3415" s="72">
        <v>0</v>
      </c>
      <c r="AK3415" s="72"/>
      <c r="AL3415" s="72"/>
      <c r="AM3415" s="72"/>
    </row>
    <row r="3416" spans="1:39" x14ac:dyDescent="0.25">
      <c r="A3416" s="37" t="s">
        <v>62</v>
      </c>
      <c r="B3416" s="66" t="s">
        <v>1676</v>
      </c>
      <c r="C3416" s="4">
        <v>1012</v>
      </c>
      <c r="D3416" s="41" t="s">
        <v>306</v>
      </c>
      <c r="E3416" s="41">
        <v>10120015</v>
      </c>
      <c r="F3416" s="85" t="s">
        <v>317</v>
      </c>
      <c r="G3416" s="39" t="s">
        <v>92</v>
      </c>
      <c r="H3416" s="52" t="s">
        <v>93</v>
      </c>
      <c r="I3416" s="52">
        <v>1232.1499999999999</v>
      </c>
      <c r="J3416" s="49">
        <v>48379.66</v>
      </c>
      <c r="K3416" s="58">
        <v>1081.3899999999999</v>
      </c>
      <c r="L3416" s="58">
        <v>40787.94</v>
      </c>
      <c r="M3416" s="58">
        <v>195.38</v>
      </c>
      <c r="N3416" s="58">
        <v>7590.38</v>
      </c>
      <c r="O3416" s="58">
        <v>1276.77</v>
      </c>
      <c r="P3416" s="53">
        <v>48378.32</v>
      </c>
      <c r="Q3416" s="65">
        <v>48378.32</v>
      </c>
      <c r="R3416" s="65">
        <v>0</v>
      </c>
      <c r="S3416" s="65">
        <v>0</v>
      </c>
      <c r="T3416" s="65">
        <v>0</v>
      </c>
      <c r="U3416" s="58">
        <v>0</v>
      </c>
      <c r="V3416" s="65">
        <v>0</v>
      </c>
      <c r="W3416" s="65">
        <v>0</v>
      </c>
      <c r="X3416" s="65">
        <v>40788</v>
      </c>
      <c r="Y3416" s="65">
        <v>7590</v>
      </c>
      <c r="Z3416" s="51">
        <v>0</v>
      </c>
      <c r="AA3416" s="51">
        <v>2</v>
      </c>
      <c r="AB3416" s="102">
        <v>0</v>
      </c>
      <c r="AC3416" s="81">
        <f t="shared" si="163"/>
        <v>0</v>
      </c>
      <c r="AD3416" s="82">
        <f t="shared" si="164"/>
        <v>0</v>
      </c>
      <c r="AE3416" s="218">
        <v>2.7697590268385174E-5</v>
      </c>
      <c r="AF3416">
        <v>16</v>
      </c>
      <c r="AH3416" t="str">
        <f t="shared" si="162"/>
        <v>DalsinghSarai</v>
      </c>
      <c r="AJ3416" s="72">
        <v>0</v>
      </c>
      <c r="AK3416" s="72"/>
      <c r="AL3416" s="72"/>
      <c r="AM3416" s="72"/>
    </row>
    <row r="3417" spans="1:39" x14ac:dyDescent="0.25">
      <c r="A3417" s="37" t="s">
        <v>62</v>
      </c>
      <c r="B3417" s="66" t="s">
        <v>1676</v>
      </c>
      <c r="C3417" s="4">
        <v>1012</v>
      </c>
      <c r="D3417" s="41" t="s">
        <v>306</v>
      </c>
      <c r="E3417" s="41">
        <v>10120016</v>
      </c>
      <c r="F3417" s="85" t="s">
        <v>318</v>
      </c>
      <c r="G3417" s="39" t="s">
        <v>92</v>
      </c>
      <c r="H3417" s="52" t="s">
        <v>93</v>
      </c>
      <c r="I3417" s="52">
        <v>228.39999999999998</v>
      </c>
      <c r="J3417" s="49">
        <v>7858.6799999999994</v>
      </c>
      <c r="K3417" s="58">
        <v>211.73000000000002</v>
      </c>
      <c r="L3417" s="58">
        <v>7691.86</v>
      </c>
      <c r="M3417" s="58">
        <v>4.49</v>
      </c>
      <c r="N3417" s="58">
        <v>166.57000000000002</v>
      </c>
      <c r="O3417" s="58">
        <v>216.22000000000003</v>
      </c>
      <c r="P3417" s="53">
        <v>7858.4299999999994</v>
      </c>
      <c r="Q3417" s="65">
        <v>7858.4299999999994</v>
      </c>
      <c r="R3417" s="65">
        <v>0</v>
      </c>
      <c r="S3417" s="65">
        <v>166.57000000000002</v>
      </c>
      <c r="T3417" s="65">
        <v>0</v>
      </c>
      <c r="U3417" s="58">
        <v>2428</v>
      </c>
      <c r="V3417" s="65">
        <v>0</v>
      </c>
      <c r="W3417" s="65">
        <v>0</v>
      </c>
      <c r="X3417" s="65">
        <v>5263</v>
      </c>
      <c r="Y3417" s="65">
        <v>0</v>
      </c>
      <c r="Z3417" s="51">
        <v>0</v>
      </c>
      <c r="AA3417" s="51">
        <v>1</v>
      </c>
      <c r="AB3417" s="102">
        <v>0</v>
      </c>
      <c r="AC3417" s="81">
        <f t="shared" si="163"/>
        <v>324.53182907180388</v>
      </c>
      <c r="AD3417" s="82">
        <f t="shared" si="164"/>
        <v>32.628571428571426</v>
      </c>
      <c r="AE3417" s="218">
        <v>3.1811958242351134E-5</v>
      </c>
      <c r="AF3417">
        <v>5</v>
      </c>
      <c r="AH3417" t="str">
        <f t="shared" si="162"/>
        <v>DalsinghSarai</v>
      </c>
      <c r="AJ3417" s="72">
        <v>0</v>
      </c>
      <c r="AK3417" s="72"/>
      <c r="AL3417" s="72"/>
      <c r="AM3417" s="72"/>
    </row>
    <row r="3418" spans="1:39" x14ac:dyDescent="0.25">
      <c r="A3418" s="37" t="s">
        <v>62</v>
      </c>
      <c r="B3418" s="66" t="s">
        <v>1676</v>
      </c>
      <c r="C3418" s="4">
        <v>1012</v>
      </c>
      <c r="D3418" s="41" t="s">
        <v>306</v>
      </c>
      <c r="E3418" s="41">
        <v>10120017</v>
      </c>
      <c r="F3418" s="85" t="s">
        <v>319</v>
      </c>
      <c r="G3418" s="39" t="s">
        <v>92</v>
      </c>
      <c r="H3418" s="52" t="s">
        <v>93</v>
      </c>
      <c r="I3418" s="52">
        <v>407.8</v>
      </c>
      <c r="J3418" s="49">
        <v>15437.81</v>
      </c>
      <c r="K3418" s="58">
        <v>415.85</v>
      </c>
      <c r="L3418" s="58">
        <v>15920.73</v>
      </c>
      <c r="M3418" s="58">
        <v>0</v>
      </c>
      <c r="N3418" s="58">
        <v>0</v>
      </c>
      <c r="O3418" s="58">
        <v>415.85</v>
      </c>
      <c r="P3418" s="53">
        <v>15920.73</v>
      </c>
      <c r="Q3418" s="65">
        <v>15437.81</v>
      </c>
      <c r="R3418" s="65">
        <v>0</v>
      </c>
      <c r="S3418" s="65">
        <v>0</v>
      </c>
      <c r="T3418" s="65">
        <v>482.92000000000007</v>
      </c>
      <c r="U3418" s="58">
        <v>0</v>
      </c>
      <c r="V3418" s="65">
        <v>0</v>
      </c>
      <c r="W3418" s="65">
        <v>0</v>
      </c>
      <c r="X3418" s="65">
        <v>15438</v>
      </c>
      <c r="Y3418" s="65">
        <v>0</v>
      </c>
      <c r="Z3418" s="51">
        <v>0</v>
      </c>
      <c r="AA3418" s="51">
        <v>0</v>
      </c>
      <c r="AB3418" s="102">
        <v>0</v>
      </c>
      <c r="AC3418" s="81">
        <f t="shared" si="163"/>
        <v>221.23237282981853</v>
      </c>
      <c r="AD3418" s="82">
        <f t="shared" si="164"/>
        <v>58.25714285714286</v>
      </c>
      <c r="AE3418" s="218">
        <v>-3.1281639040770685E-2</v>
      </c>
      <c r="AF3418">
        <v>3</v>
      </c>
      <c r="AH3418" t="str">
        <f t="shared" si="162"/>
        <v>DalsinghSarai</v>
      </c>
      <c r="AJ3418" s="72">
        <v>0</v>
      </c>
      <c r="AK3418" s="72"/>
      <c r="AL3418" s="72"/>
      <c r="AM3418" s="72"/>
    </row>
    <row r="3419" spans="1:39" x14ac:dyDescent="0.25">
      <c r="A3419" s="37" t="s">
        <v>62</v>
      </c>
      <c r="B3419" s="66" t="s">
        <v>1676</v>
      </c>
      <c r="C3419" s="4">
        <v>1012</v>
      </c>
      <c r="D3419" s="41" t="s">
        <v>306</v>
      </c>
      <c r="E3419" s="41">
        <v>10120018</v>
      </c>
      <c r="F3419" s="85" t="s">
        <v>320</v>
      </c>
      <c r="G3419" s="39" t="s">
        <v>92</v>
      </c>
      <c r="H3419" s="52" t="s">
        <v>93</v>
      </c>
      <c r="I3419" s="52">
        <v>439</v>
      </c>
      <c r="J3419" s="49">
        <v>19484.550000000003</v>
      </c>
      <c r="K3419" s="58">
        <v>420.7</v>
      </c>
      <c r="L3419" s="58">
        <v>18737.68</v>
      </c>
      <c r="M3419" s="58">
        <v>15.8</v>
      </c>
      <c r="N3419" s="58">
        <v>730.16</v>
      </c>
      <c r="O3419" s="58">
        <v>436.5</v>
      </c>
      <c r="P3419" s="53">
        <v>19467.84</v>
      </c>
      <c r="Q3419" s="65">
        <v>19467.84</v>
      </c>
      <c r="R3419" s="65">
        <v>0</v>
      </c>
      <c r="S3419" s="65">
        <v>259.60000000000002</v>
      </c>
      <c r="T3419" s="65">
        <v>0</v>
      </c>
      <c r="U3419" s="58">
        <v>0</v>
      </c>
      <c r="V3419" s="65">
        <v>0</v>
      </c>
      <c r="W3419" s="65">
        <v>0</v>
      </c>
      <c r="X3419" s="65">
        <v>18738</v>
      </c>
      <c r="Y3419" s="65">
        <v>473</v>
      </c>
      <c r="Z3419" s="51">
        <v>0</v>
      </c>
      <c r="AA3419" s="51">
        <v>14</v>
      </c>
      <c r="AB3419" s="102">
        <v>0</v>
      </c>
      <c r="AC3419" s="81">
        <f t="shared" si="163"/>
        <v>231.68417084282464</v>
      </c>
      <c r="AD3419" s="82">
        <f t="shared" si="164"/>
        <v>62.714285714285715</v>
      </c>
      <c r="AE3419" s="218">
        <v>8.5760256203005775E-4</v>
      </c>
      <c r="AF3419">
        <v>11</v>
      </c>
      <c r="AH3419" t="str">
        <f t="shared" si="162"/>
        <v>DalsinghSarai</v>
      </c>
      <c r="AJ3419" s="72">
        <v>0</v>
      </c>
      <c r="AK3419" s="72"/>
      <c r="AL3419" s="72"/>
      <c r="AM3419" s="72"/>
    </row>
    <row r="3420" spans="1:39" x14ac:dyDescent="0.25">
      <c r="A3420" s="37" t="s">
        <v>62</v>
      </c>
      <c r="B3420" s="66" t="s">
        <v>1676</v>
      </c>
      <c r="C3420" s="4">
        <v>1012</v>
      </c>
      <c r="D3420" s="41" t="s">
        <v>306</v>
      </c>
      <c r="E3420" s="41">
        <v>10120019</v>
      </c>
      <c r="F3420" s="85" t="s">
        <v>321</v>
      </c>
      <c r="G3420" s="39" t="s">
        <v>92</v>
      </c>
      <c r="H3420" s="52" t="s">
        <v>93</v>
      </c>
      <c r="I3420" s="52">
        <v>224.40000000000003</v>
      </c>
      <c r="J3420" s="49">
        <v>10155.019999999999</v>
      </c>
      <c r="K3420" s="58">
        <v>129.91</v>
      </c>
      <c r="L3420" s="58">
        <v>5716.77</v>
      </c>
      <c r="M3420" s="58">
        <v>96.84</v>
      </c>
      <c r="N3420" s="58">
        <v>4229.1900000000005</v>
      </c>
      <c r="O3420" s="58">
        <v>226.75</v>
      </c>
      <c r="P3420" s="53">
        <v>9945.9600000000009</v>
      </c>
      <c r="Q3420" s="65">
        <v>9945.9600000000009</v>
      </c>
      <c r="R3420" s="65">
        <v>0</v>
      </c>
      <c r="S3420" s="65">
        <v>151.35</v>
      </c>
      <c r="T3420" s="65">
        <v>0</v>
      </c>
      <c r="U3420" s="58">
        <v>1400</v>
      </c>
      <c r="V3420" s="65">
        <v>0</v>
      </c>
      <c r="W3420" s="65">
        <v>0</v>
      </c>
      <c r="X3420" s="65">
        <v>4316</v>
      </c>
      <c r="Y3420" s="65">
        <v>4078</v>
      </c>
      <c r="Z3420" s="51">
        <v>0</v>
      </c>
      <c r="AA3420" s="51">
        <v>210</v>
      </c>
      <c r="AB3420" s="102">
        <v>0</v>
      </c>
      <c r="AC3420" s="81">
        <f t="shared" si="163"/>
        <v>430.45699750445618</v>
      </c>
      <c r="AD3420" s="82">
        <f t="shared" si="164"/>
        <v>32.057142857142864</v>
      </c>
      <c r="AE3420" s="218">
        <v>2.058686245817317E-2</v>
      </c>
      <c r="AF3420">
        <v>6</v>
      </c>
      <c r="AH3420" t="str">
        <f t="shared" si="162"/>
        <v>DalsinghSarai</v>
      </c>
      <c r="AJ3420" s="72">
        <v>0</v>
      </c>
      <c r="AK3420" s="72"/>
      <c r="AL3420" s="72"/>
      <c r="AM3420" s="72"/>
    </row>
    <row r="3421" spans="1:39" x14ac:dyDescent="0.25">
      <c r="A3421" s="37" t="s">
        <v>62</v>
      </c>
      <c r="B3421" s="66" t="s">
        <v>1676</v>
      </c>
      <c r="C3421" s="4">
        <v>1012</v>
      </c>
      <c r="D3421" s="41" t="s">
        <v>306</v>
      </c>
      <c r="E3421" s="41">
        <v>10120022</v>
      </c>
      <c r="F3421" s="85" t="s">
        <v>322</v>
      </c>
      <c r="G3421" s="39" t="s">
        <v>92</v>
      </c>
      <c r="H3421" s="52" t="s">
        <v>98</v>
      </c>
      <c r="I3421" s="52">
        <v>161.75000000000003</v>
      </c>
      <c r="J3421" s="49">
        <v>7478.84</v>
      </c>
      <c r="K3421" s="58">
        <v>0</v>
      </c>
      <c r="L3421" s="58">
        <v>0</v>
      </c>
      <c r="M3421" s="58">
        <v>0</v>
      </c>
      <c r="N3421" s="58">
        <v>0</v>
      </c>
      <c r="O3421" s="58">
        <v>0</v>
      </c>
      <c r="P3421" s="53">
        <v>0</v>
      </c>
      <c r="Q3421" s="65">
        <v>7478.84</v>
      </c>
      <c r="R3421" s="65">
        <v>0</v>
      </c>
      <c r="S3421" s="65">
        <v>0</v>
      </c>
      <c r="T3421" s="65">
        <v>0</v>
      </c>
      <c r="U3421" s="58">
        <v>7479</v>
      </c>
      <c r="V3421" s="65">
        <v>0</v>
      </c>
      <c r="W3421" s="65">
        <v>0</v>
      </c>
      <c r="X3421" s="65">
        <v>0</v>
      </c>
      <c r="Y3421" s="65">
        <v>0</v>
      </c>
      <c r="Z3421" s="51">
        <v>-0.15999999999985448</v>
      </c>
      <c r="AA3421" s="51">
        <v>0</v>
      </c>
      <c r="AB3421" s="102">
        <v>0</v>
      </c>
      <c r="AC3421" s="81">
        <f t="shared" si="163"/>
        <v>497.74165440494579</v>
      </c>
      <c r="AD3421" s="82">
        <f t="shared" si="164"/>
        <v>23.107142857142861</v>
      </c>
      <c r="AE3421" s="218">
        <v>0</v>
      </c>
      <c r="AF3421">
        <v>0</v>
      </c>
      <c r="AH3421" t="str">
        <f t="shared" si="162"/>
        <v>DalsinghSarai</v>
      </c>
      <c r="AJ3421" s="72">
        <v>0</v>
      </c>
      <c r="AK3421" s="72"/>
      <c r="AL3421" s="72"/>
      <c r="AM3421" s="72"/>
    </row>
    <row r="3422" spans="1:39" x14ac:dyDescent="0.25">
      <c r="A3422" s="37" t="s">
        <v>62</v>
      </c>
      <c r="B3422" s="66" t="s">
        <v>1676</v>
      </c>
      <c r="C3422" s="4">
        <v>1012</v>
      </c>
      <c r="D3422" s="41" t="s">
        <v>306</v>
      </c>
      <c r="E3422" s="41">
        <v>10120023</v>
      </c>
      <c r="F3422" s="85" t="s">
        <v>323</v>
      </c>
      <c r="G3422" s="39" t="s">
        <v>92</v>
      </c>
      <c r="H3422" s="52" t="s">
        <v>98</v>
      </c>
      <c r="I3422" s="52">
        <v>185.60000000000002</v>
      </c>
      <c r="J3422" s="49">
        <v>7012.15</v>
      </c>
      <c r="K3422" s="58">
        <v>0</v>
      </c>
      <c r="L3422" s="58">
        <v>0</v>
      </c>
      <c r="M3422" s="58">
        <v>0</v>
      </c>
      <c r="N3422" s="58">
        <v>0</v>
      </c>
      <c r="O3422" s="58">
        <v>0</v>
      </c>
      <c r="P3422" s="53">
        <v>0</v>
      </c>
      <c r="Q3422" s="65">
        <v>7012.15</v>
      </c>
      <c r="R3422" s="65">
        <v>0</v>
      </c>
      <c r="S3422" s="65">
        <v>0</v>
      </c>
      <c r="T3422" s="65">
        <v>0</v>
      </c>
      <c r="U3422" s="58">
        <v>0</v>
      </c>
      <c r="V3422" s="65">
        <v>0</v>
      </c>
      <c r="W3422" s="65">
        <v>0</v>
      </c>
      <c r="X3422" s="65">
        <v>0</v>
      </c>
      <c r="Y3422" s="65">
        <v>0</v>
      </c>
      <c r="Z3422" s="51">
        <v>7012.15</v>
      </c>
      <c r="AA3422" s="51">
        <v>0</v>
      </c>
      <c r="AB3422" s="102">
        <v>0</v>
      </c>
      <c r="AC3422" s="81">
        <f t="shared" si="163"/>
        <v>388.69072844827576</v>
      </c>
      <c r="AD3422" s="82">
        <f t="shared" si="164"/>
        <v>26.514285714285716</v>
      </c>
      <c r="AE3422" s="218">
        <v>0</v>
      </c>
      <c r="AF3422">
        <v>0</v>
      </c>
      <c r="AH3422" t="str">
        <f t="shared" si="162"/>
        <v>DalsinghSarai</v>
      </c>
      <c r="AJ3422" s="72">
        <v>0</v>
      </c>
      <c r="AK3422" s="72"/>
      <c r="AL3422" s="72"/>
      <c r="AM3422" s="72"/>
    </row>
    <row r="3423" spans="1:39" x14ac:dyDescent="0.25">
      <c r="A3423" s="37" t="s">
        <v>62</v>
      </c>
      <c r="B3423" s="66" t="s">
        <v>1676</v>
      </c>
      <c r="C3423" s="4">
        <v>1012</v>
      </c>
      <c r="D3423" s="41" t="s">
        <v>306</v>
      </c>
      <c r="E3423" s="41">
        <v>10120024</v>
      </c>
      <c r="F3423" s="85" t="s">
        <v>324</v>
      </c>
      <c r="G3423" s="39" t="s">
        <v>92</v>
      </c>
      <c r="H3423" s="52" t="s">
        <v>98</v>
      </c>
      <c r="I3423" s="52">
        <v>147.9</v>
      </c>
      <c r="J3423" s="49">
        <v>5134.42</v>
      </c>
      <c r="K3423" s="58">
        <v>0</v>
      </c>
      <c r="L3423" s="58">
        <v>0</v>
      </c>
      <c r="M3423" s="58">
        <v>0</v>
      </c>
      <c r="N3423" s="58">
        <v>0</v>
      </c>
      <c r="O3423" s="58">
        <v>0</v>
      </c>
      <c r="P3423" s="53">
        <v>0</v>
      </c>
      <c r="Q3423" s="65">
        <v>5134.42</v>
      </c>
      <c r="R3423" s="65">
        <v>0</v>
      </c>
      <c r="S3423" s="65">
        <v>0</v>
      </c>
      <c r="T3423" s="65">
        <v>0</v>
      </c>
      <c r="U3423" s="58">
        <v>0</v>
      </c>
      <c r="V3423" s="65">
        <v>0</v>
      </c>
      <c r="W3423" s="65">
        <v>0</v>
      </c>
      <c r="X3423" s="65">
        <v>0</v>
      </c>
      <c r="Y3423" s="65">
        <v>0</v>
      </c>
      <c r="Z3423" s="51">
        <v>5134.42</v>
      </c>
      <c r="AA3423" s="51">
        <v>0</v>
      </c>
      <c r="AB3423" s="102">
        <v>0</v>
      </c>
      <c r="AC3423" s="81">
        <f t="shared" si="163"/>
        <v>383.32836808654486</v>
      </c>
      <c r="AD3423" s="82">
        <f t="shared" si="164"/>
        <v>21.12857142857143</v>
      </c>
      <c r="AE3423" s="218">
        <v>0</v>
      </c>
      <c r="AF3423">
        <v>0</v>
      </c>
      <c r="AH3423" t="str">
        <f t="shared" si="162"/>
        <v>DalsinghSarai</v>
      </c>
      <c r="AJ3423" s="72">
        <v>0</v>
      </c>
      <c r="AK3423" s="72"/>
      <c r="AL3423" s="72"/>
      <c r="AM3423" s="72"/>
    </row>
    <row r="3424" spans="1:39" x14ac:dyDescent="0.25">
      <c r="A3424" s="37" t="s">
        <v>62</v>
      </c>
      <c r="B3424" s="66" t="s">
        <v>1676</v>
      </c>
      <c r="C3424" s="4">
        <v>1012</v>
      </c>
      <c r="D3424" s="41" t="s">
        <v>306</v>
      </c>
      <c r="E3424" s="41">
        <v>10120025</v>
      </c>
      <c r="F3424" s="85" t="s">
        <v>325</v>
      </c>
      <c r="G3424" s="39" t="s">
        <v>92</v>
      </c>
      <c r="H3424" s="52" t="s">
        <v>93</v>
      </c>
      <c r="I3424" s="52">
        <v>2574.6</v>
      </c>
      <c r="J3424" s="49">
        <v>108368.29</v>
      </c>
      <c r="K3424" s="58">
        <v>1345.9</v>
      </c>
      <c r="L3424" s="58">
        <v>63995.479999999996</v>
      </c>
      <c r="M3424" s="58">
        <v>1048.78</v>
      </c>
      <c r="N3424" s="58">
        <v>44369.609999999993</v>
      </c>
      <c r="O3424" s="58">
        <v>2394.6800000000003</v>
      </c>
      <c r="P3424" s="53">
        <v>108365.09</v>
      </c>
      <c r="Q3424" s="65">
        <v>108365.09</v>
      </c>
      <c r="R3424" s="65">
        <v>0</v>
      </c>
      <c r="S3424" s="65">
        <v>862.80000000000007</v>
      </c>
      <c r="T3424" s="65">
        <v>0</v>
      </c>
      <c r="U3424" s="58">
        <v>0</v>
      </c>
      <c r="V3424" s="65">
        <v>0</v>
      </c>
      <c r="W3424" s="65">
        <v>0</v>
      </c>
      <c r="X3424" s="65">
        <v>63995</v>
      </c>
      <c r="Y3424" s="65">
        <v>43507</v>
      </c>
      <c r="Z3424" s="51">
        <v>0</v>
      </c>
      <c r="AA3424" s="51">
        <v>3</v>
      </c>
      <c r="AB3424" s="102">
        <v>0</v>
      </c>
      <c r="AC3424" s="81">
        <f t="shared" si="163"/>
        <v>0</v>
      </c>
      <c r="AD3424" s="82">
        <f t="shared" si="164"/>
        <v>0</v>
      </c>
      <c r="AE3424" s="218">
        <v>2.9528933233117268E-5</v>
      </c>
      <c r="AF3424">
        <v>28</v>
      </c>
      <c r="AH3424" t="str">
        <f t="shared" si="162"/>
        <v>DalsinghSarai</v>
      </c>
      <c r="AJ3424" s="72">
        <v>0</v>
      </c>
      <c r="AK3424" s="72"/>
      <c r="AL3424" s="72"/>
      <c r="AM3424" s="72"/>
    </row>
    <row r="3425" spans="1:39" x14ac:dyDescent="0.25">
      <c r="A3425" s="37" t="s">
        <v>62</v>
      </c>
      <c r="B3425" s="66" t="s">
        <v>1676</v>
      </c>
      <c r="C3425" s="4">
        <v>1012</v>
      </c>
      <c r="D3425" s="41" t="s">
        <v>306</v>
      </c>
      <c r="E3425" s="41">
        <v>10120026</v>
      </c>
      <c r="F3425" s="85" t="s">
        <v>640</v>
      </c>
      <c r="G3425" s="39" t="s">
        <v>92</v>
      </c>
      <c r="H3425" s="52" t="s">
        <v>98</v>
      </c>
      <c r="I3425" s="52">
        <v>33.050000000000004</v>
      </c>
      <c r="J3425" s="49">
        <v>1193.1000000000001</v>
      </c>
      <c r="K3425" s="58">
        <v>0</v>
      </c>
      <c r="L3425" s="58">
        <v>0</v>
      </c>
      <c r="M3425" s="58">
        <v>0</v>
      </c>
      <c r="N3425" s="58">
        <v>0</v>
      </c>
      <c r="O3425" s="58">
        <v>0</v>
      </c>
      <c r="P3425" s="53">
        <v>0</v>
      </c>
      <c r="Q3425" s="65">
        <v>1193.1000000000001</v>
      </c>
      <c r="R3425" s="65">
        <v>0</v>
      </c>
      <c r="S3425" s="65">
        <v>0</v>
      </c>
      <c r="T3425" s="65">
        <v>0</v>
      </c>
      <c r="U3425" s="58">
        <v>0</v>
      </c>
      <c r="V3425" s="65">
        <v>0</v>
      </c>
      <c r="W3425" s="65">
        <v>0</v>
      </c>
      <c r="X3425" s="65">
        <v>0</v>
      </c>
      <c r="Y3425" s="65">
        <v>0</v>
      </c>
      <c r="Z3425" s="51">
        <v>1193.1000000000001</v>
      </c>
      <c r="AA3425" s="51">
        <v>0</v>
      </c>
      <c r="AB3425" s="102">
        <v>0</v>
      </c>
      <c r="AC3425" s="81">
        <f t="shared" si="163"/>
        <v>481.5358819969743</v>
      </c>
      <c r="AD3425" s="82">
        <f t="shared" si="164"/>
        <v>4.7214285714285724</v>
      </c>
      <c r="AE3425" s="218">
        <v>0</v>
      </c>
      <c r="AF3425">
        <v>0</v>
      </c>
      <c r="AH3425" t="str">
        <f t="shared" si="162"/>
        <v>DalsinghSarai</v>
      </c>
      <c r="AJ3425" s="72">
        <v>0</v>
      </c>
      <c r="AK3425" s="72"/>
      <c r="AL3425" s="72"/>
      <c r="AM3425" s="72"/>
    </row>
    <row r="3426" spans="1:39" x14ac:dyDescent="0.25">
      <c r="A3426" s="37" t="s">
        <v>62</v>
      </c>
      <c r="B3426" s="66" t="s">
        <v>1676</v>
      </c>
      <c r="C3426" s="4">
        <v>1012</v>
      </c>
      <c r="D3426" s="41" t="s">
        <v>306</v>
      </c>
      <c r="E3426" s="41">
        <v>10120029</v>
      </c>
      <c r="F3426" s="85" t="s">
        <v>326</v>
      </c>
      <c r="G3426" s="39" t="s">
        <v>92</v>
      </c>
      <c r="H3426" s="52" t="s">
        <v>93</v>
      </c>
      <c r="I3426" s="52">
        <v>628.6</v>
      </c>
      <c r="J3426" s="49">
        <v>25257.61</v>
      </c>
      <c r="K3426" s="58">
        <v>415.98000000000008</v>
      </c>
      <c r="L3426" s="58">
        <v>16723.170000000002</v>
      </c>
      <c r="M3426" s="58">
        <v>217.42</v>
      </c>
      <c r="N3426" s="58">
        <v>8532.8700000000008</v>
      </c>
      <c r="O3426" s="58">
        <v>633.40000000000009</v>
      </c>
      <c r="P3426" s="53">
        <v>25256.04</v>
      </c>
      <c r="Q3426" s="65">
        <v>25256.04</v>
      </c>
      <c r="R3426" s="65">
        <v>0</v>
      </c>
      <c r="S3426" s="65">
        <v>241.72000000000003</v>
      </c>
      <c r="T3426" s="65">
        <v>0</v>
      </c>
      <c r="U3426" s="58">
        <v>0</v>
      </c>
      <c r="V3426" s="65">
        <v>0</v>
      </c>
      <c r="W3426" s="65">
        <v>0</v>
      </c>
      <c r="X3426" s="65">
        <v>16723</v>
      </c>
      <c r="Y3426" s="65">
        <v>8292</v>
      </c>
      <c r="Z3426" s="51">
        <v>0</v>
      </c>
      <c r="AA3426" s="51">
        <v>1</v>
      </c>
      <c r="AB3426" s="102">
        <v>0</v>
      </c>
      <c r="AC3426" s="81">
        <f t="shared" si="163"/>
        <v>57.378089532293998</v>
      </c>
      <c r="AD3426" s="82">
        <f t="shared" si="164"/>
        <v>89.8</v>
      </c>
      <c r="AE3426" s="218">
        <v>6.2159483814965425E-5</v>
      </c>
      <c r="AF3426">
        <v>15</v>
      </c>
      <c r="AH3426" t="str">
        <f t="shared" si="162"/>
        <v>DalsinghSarai</v>
      </c>
      <c r="AJ3426" s="72">
        <v>0</v>
      </c>
      <c r="AK3426" s="72"/>
      <c r="AL3426" s="72"/>
      <c r="AM3426" s="72"/>
    </row>
    <row r="3427" spans="1:39" x14ac:dyDescent="0.25">
      <c r="A3427" s="37" t="s">
        <v>62</v>
      </c>
      <c r="B3427" s="66" t="s">
        <v>1676</v>
      </c>
      <c r="C3427" s="4">
        <v>1012</v>
      </c>
      <c r="D3427" s="41" t="s">
        <v>306</v>
      </c>
      <c r="E3427" s="41">
        <v>10120031</v>
      </c>
      <c r="F3427" s="85" t="s">
        <v>328</v>
      </c>
      <c r="G3427" s="39" t="s">
        <v>92</v>
      </c>
      <c r="H3427" s="52" t="s">
        <v>93</v>
      </c>
      <c r="I3427" s="52">
        <v>453.9</v>
      </c>
      <c r="J3427" s="49">
        <v>20483.98</v>
      </c>
      <c r="K3427" s="58">
        <v>137.43</v>
      </c>
      <c r="L3427" s="58">
        <v>6422.2800000000007</v>
      </c>
      <c r="M3427" s="58">
        <v>318.09999999999997</v>
      </c>
      <c r="N3427" s="58">
        <v>14060.499999999996</v>
      </c>
      <c r="O3427" s="58">
        <v>455.53</v>
      </c>
      <c r="P3427" s="53">
        <v>20482.78</v>
      </c>
      <c r="Q3427" s="65">
        <v>20482.78</v>
      </c>
      <c r="R3427" s="65">
        <v>0</v>
      </c>
      <c r="S3427" s="65">
        <v>208.98999999999998</v>
      </c>
      <c r="T3427" s="65">
        <v>0</v>
      </c>
      <c r="U3427" s="58">
        <v>0</v>
      </c>
      <c r="V3427" s="65">
        <v>0</v>
      </c>
      <c r="W3427" s="65">
        <v>0</v>
      </c>
      <c r="X3427" s="65">
        <v>6422</v>
      </c>
      <c r="Y3427" s="65">
        <v>13852</v>
      </c>
      <c r="Z3427" s="51">
        <v>0</v>
      </c>
      <c r="AA3427" s="51">
        <v>1</v>
      </c>
      <c r="AB3427" s="102">
        <v>0</v>
      </c>
      <c r="AC3427" s="81">
        <f t="shared" si="163"/>
        <v>222.12414531835211</v>
      </c>
      <c r="AD3427" s="82">
        <f t="shared" si="164"/>
        <v>64.842857142857142</v>
      </c>
      <c r="AE3427" s="218">
        <v>5.858236534114599E-5</v>
      </c>
      <c r="AF3427">
        <v>13</v>
      </c>
      <c r="AH3427" t="str">
        <f t="shared" si="162"/>
        <v>DalsinghSarai</v>
      </c>
      <c r="AJ3427" s="72">
        <v>0</v>
      </c>
      <c r="AK3427" s="72"/>
      <c r="AL3427" s="72"/>
      <c r="AM3427" s="72"/>
    </row>
    <row r="3428" spans="1:39" x14ac:dyDescent="0.25">
      <c r="A3428" s="37" t="s">
        <v>62</v>
      </c>
      <c r="B3428" s="66" t="s">
        <v>1676</v>
      </c>
      <c r="C3428" s="4">
        <v>1012</v>
      </c>
      <c r="D3428" s="41" t="s">
        <v>306</v>
      </c>
      <c r="E3428" s="41">
        <v>10120034</v>
      </c>
      <c r="F3428" s="85" t="s">
        <v>329</v>
      </c>
      <c r="G3428" s="39" t="s">
        <v>92</v>
      </c>
      <c r="H3428" s="52" t="s">
        <v>93</v>
      </c>
      <c r="I3428" s="52">
        <v>235.1</v>
      </c>
      <c r="J3428" s="49">
        <v>8766.57</v>
      </c>
      <c r="K3428" s="58">
        <v>89.6</v>
      </c>
      <c r="L3428" s="58">
        <v>3536.7</v>
      </c>
      <c r="M3428" s="58">
        <v>137.52000000000001</v>
      </c>
      <c r="N3428" s="58">
        <v>5229.6299999999992</v>
      </c>
      <c r="O3428" s="58">
        <v>227.12</v>
      </c>
      <c r="P3428" s="53">
        <v>8766.3299999999981</v>
      </c>
      <c r="Q3428" s="65">
        <v>8766.3299999999981</v>
      </c>
      <c r="R3428" s="65">
        <v>0</v>
      </c>
      <c r="S3428" s="65">
        <v>0</v>
      </c>
      <c r="T3428" s="65">
        <v>0</v>
      </c>
      <c r="U3428" s="58">
        <v>0</v>
      </c>
      <c r="V3428" s="65">
        <v>0</v>
      </c>
      <c r="W3428" s="65">
        <v>0</v>
      </c>
      <c r="X3428" s="65">
        <v>3537</v>
      </c>
      <c r="Y3428" s="65">
        <v>5229</v>
      </c>
      <c r="Z3428" s="51">
        <v>0</v>
      </c>
      <c r="AA3428" s="51">
        <v>1</v>
      </c>
      <c r="AB3428" s="102">
        <v>0</v>
      </c>
      <c r="AC3428" s="81">
        <f t="shared" si="163"/>
        <v>346.71019931943857</v>
      </c>
      <c r="AD3428" s="82">
        <f t="shared" si="164"/>
        <v>33.585714285714282</v>
      </c>
      <c r="AE3428" s="218">
        <v>2.7376727728359063E-5</v>
      </c>
      <c r="AF3428">
        <v>5</v>
      </c>
      <c r="AH3428" t="str">
        <f t="shared" si="162"/>
        <v>DalsinghSarai</v>
      </c>
      <c r="AJ3428" s="72">
        <v>0</v>
      </c>
      <c r="AK3428" s="72"/>
      <c r="AL3428" s="72"/>
      <c r="AM3428" s="72"/>
    </row>
    <row r="3429" spans="1:39" x14ac:dyDescent="0.25">
      <c r="A3429" s="37" t="s">
        <v>62</v>
      </c>
      <c r="B3429" s="66" t="s">
        <v>1676</v>
      </c>
      <c r="C3429" s="4">
        <v>1012</v>
      </c>
      <c r="D3429" s="41" t="s">
        <v>306</v>
      </c>
      <c r="E3429" s="41">
        <v>10120035</v>
      </c>
      <c r="F3429" s="85" t="s">
        <v>330</v>
      </c>
      <c r="G3429" s="39" t="s">
        <v>92</v>
      </c>
      <c r="H3429" s="52" t="s">
        <v>98</v>
      </c>
      <c r="I3429" s="52">
        <v>317.54999999999995</v>
      </c>
      <c r="J3429" s="49">
        <v>13131.24</v>
      </c>
      <c r="K3429" s="58">
        <v>0</v>
      </c>
      <c r="L3429" s="58">
        <v>0</v>
      </c>
      <c r="M3429" s="58">
        <v>0</v>
      </c>
      <c r="N3429" s="58">
        <v>0</v>
      </c>
      <c r="O3429" s="58">
        <v>0</v>
      </c>
      <c r="P3429" s="53">
        <v>0</v>
      </c>
      <c r="Q3429" s="65">
        <v>13131.24</v>
      </c>
      <c r="R3429" s="65">
        <v>0</v>
      </c>
      <c r="S3429" s="65">
        <v>0</v>
      </c>
      <c r="T3429" s="65">
        <v>0</v>
      </c>
      <c r="U3429" s="58">
        <v>0</v>
      </c>
      <c r="V3429" s="65">
        <v>0</v>
      </c>
      <c r="W3429" s="65">
        <v>0</v>
      </c>
      <c r="X3429" s="65">
        <v>0</v>
      </c>
      <c r="Y3429" s="65">
        <v>0</v>
      </c>
      <c r="Z3429" s="51">
        <v>13131.24</v>
      </c>
      <c r="AA3429" s="51">
        <v>0</v>
      </c>
      <c r="AB3429" s="102">
        <v>0</v>
      </c>
      <c r="AC3429" s="81">
        <f t="shared" si="163"/>
        <v>316.29933793103453</v>
      </c>
      <c r="AD3429" s="82">
        <f t="shared" si="164"/>
        <v>45.364285714285707</v>
      </c>
      <c r="AE3429" s="218">
        <v>0</v>
      </c>
      <c r="AF3429">
        <v>0</v>
      </c>
      <c r="AH3429" t="str">
        <f t="shared" si="162"/>
        <v>DalsinghSarai</v>
      </c>
      <c r="AJ3429" s="72">
        <v>0</v>
      </c>
      <c r="AK3429" s="72"/>
      <c r="AL3429" s="72"/>
      <c r="AM3429" s="72"/>
    </row>
    <row r="3430" spans="1:39" x14ac:dyDescent="0.25">
      <c r="A3430" s="37" t="s">
        <v>62</v>
      </c>
      <c r="B3430" s="66" t="s">
        <v>1676</v>
      </c>
      <c r="C3430" s="4">
        <v>1012</v>
      </c>
      <c r="D3430" s="41" t="s">
        <v>306</v>
      </c>
      <c r="E3430" s="41">
        <v>10120043</v>
      </c>
      <c r="F3430" s="85" t="s">
        <v>331</v>
      </c>
      <c r="G3430" s="39" t="s">
        <v>92</v>
      </c>
      <c r="H3430" s="52" t="s">
        <v>93</v>
      </c>
      <c r="I3430" s="52">
        <v>143.14999999999998</v>
      </c>
      <c r="J3430" s="49">
        <v>7882.51</v>
      </c>
      <c r="K3430" s="58">
        <v>135.9</v>
      </c>
      <c r="L3430" s="58">
        <v>7558.9699999999993</v>
      </c>
      <c r="M3430" s="58">
        <v>8.1000000000000014</v>
      </c>
      <c r="N3430" s="58">
        <v>321.04000000000002</v>
      </c>
      <c r="O3430" s="58">
        <v>144</v>
      </c>
      <c r="P3430" s="53">
        <v>7880.0099999999993</v>
      </c>
      <c r="Q3430" s="65">
        <v>7880.0099999999993</v>
      </c>
      <c r="R3430" s="65">
        <v>0</v>
      </c>
      <c r="S3430" s="65">
        <v>0</v>
      </c>
      <c r="T3430" s="65">
        <v>0</v>
      </c>
      <c r="U3430" s="58">
        <v>0</v>
      </c>
      <c r="V3430" s="65">
        <v>500</v>
      </c>
      <c r="W3430" s="65">
        <v>0</v>
      </c>
      <c r="X3430" s="65">
        <v>7059</v>
      </c>
      <c r="Y3430" s="65">
        <v>321</v>
      </c>
      <c r="Z3430" s="51">
        <v>0</v>
      </c>
      <c r="AA3430" s="51">
        <v>3</v>
      </c>
      <c r="AB3430" s="102">
        <v>0</v>
      </c>
      <c r="AC3430" s="81">
        <f t="shared" si="163"/>
        <v>613.25542347188286</v>
      </c>
      <c r="AD3430" s="82">
        <f t="shared" si="164"/>
        <v>20.449999999999996</v>
      </c>
      <c r="AE3430" s="218">
        <v>3.1715785961589766E-4</v>
      </c>
      <c r="AF3430">
        <v>6</v>
      </c>
      <c r="AH3430" t="str">
        <f t="shared" si="162"/>
        <v>DalsinghSarai</v>
      </c>
      <c r="AJ3430" s="72">
        <v>500</v>
      </c>
      <c r="AK3430" s="72"/>
      <c r="AL3430" s="72"/>
      <c r="AM3430" s="72"/>
    </row>
    <row r="3431" spans="1:39" x14ac:dyDescent="0.25">
      <c r="A3431" s="37" t="s">
        <v>62</v>
      </c>
      <c r="B3431" s="66" t="s">
        <v>1676</v>
      </c>
      <c r="C3431" s="4">
        <v>1012</v>
      </c>
      <c r="D3431" s="41" t="s">
        <v>306</v>
      </c>
      <c r="E3431" s="41">
        <v>10120046</v>
      </c>
      <c r="F3431" s="85" t="s">
        <v>332</v>
      </c>
      <c r="G3431" s="39" t="s">
        <v>92</v>
      </c>
      <c r="H3431" s="52" t="s">
        <v>93</v>
      </c>
      <c r="I3431" s="52">
        <v>2347.5499999999997</v>
      </c>
      <c r="J3431" s="49">
        <v>93253.92</v>
      </c>
      <c r="K3431" s="58">
        <v>1622.91</v>
      </c>
      <c r="L3431" s="58">
        <v>64972.570000000007</v>
      </c>
      <c r="M3431" s="58">
        <v>678.77</v>
      </c>
      <c r="N3431" s="58">
        <v>28278.49</v>
      </c>
      <c r="O3431" s="58">
        <v>2301.6800000000003</v>
      </c>
      <c r="P3431" s="53">
        <v>93251.060000000012</v>
      </c>
      <c r="Q3431" s="65">
        <v>93251.060000000012</v>
      </c>
      <c r="R3431" s="65">
        <v>0</v>
      </c>
      <c r="S3431" s="65">
        <v>786.40999999999985</v>
      </c>
      <c r="T3431" s="65">
        <v>0</v>
      </c>
      <c r="U3431" s="58">
        <v>0</v>
      </c>
      <c r="V3431" s="65">
        <v>0</v>
      </c>
      <c r="W3431" s="65">
        <v>0</v>
      </c>
      <c r="X3431" s="65">
        <v>64974</v>
      </c>
      <c r="Y3431" s="65">
        <v>27491</v>
      </c>
      <c r="Z3431" s="51">
        <v>0</v>
      </c>
      <c r="AA3431" s="51">
        <v>3</v>
      </c>
      <c r="AB3431" s="102">
        <v>0</v>
      </c>
      <c r="AC3431" s="81">
        <f t="shared" si="163"/>
        <v>0</v>
      </c>
      <c r="AD3431" s="82">
        <f t="shared" si="164"/>
        <v>0</v>
      </c>
      <c r="AE3431" s="218">
        <v>3.0668952039614317E-5</v>
      </c>
      <c r="AF3431">
        <v>34</v>
      </c>
      <c r="AH3431" t="str">
        <f t="shared" si="162"/>
        <v>DalsinghSarai</v>
      </c>
      <c r="AJ3431" s="72">
        <v>0</v>
      </c>
      <c r="AK3431" s="72"/>
      <c r="AL3431" s="72"/>
      <c r="AM3431" s="72"/>
    </row>
    <row r="3432" spans="1:39" x14ac:dyDescent="0.25">
      <c r="A3432" s="37" t="s">
        <v>62</v>
      </c>
      <c r="B3432" s="66" t="s">
        <v>1676</v>
      </c>
      <c r="C3432" s="4">
        <v>1012</v>
      </c>
      <c r="D3432" s="41" t="s">
        <v>306</v>
      </c>
      <c r="E3432" s="41">
        <v>10120049</v>
      </c>
      <c r="F3432" s="85" t="s">
        <v>333</v>
      </c>
      <c r="G3432" s="39" t="s">
        <v>1610</v>
      </c>
      <c r="H3432" s="52" t="s">
        <v>98</v>
      </c>
      <c r="I3432" s="52">
        <v>275.84999999999997</v>
      </c>
      <c r="J3432" s="49">
        <v>12441.53</v>
      </c>
      <c r="K3432" s="58">
        <v>0</v>
      </c>
      <c r="L3432" s="58">
        <v>0</v>
      </c>
      <c r="M3432" s="58">
        <v>0</v>
      </c>
      <c r="N3432" s="58">
        <v>0</v>
      </c>
      <c r="O3432" s="58">
        <v>0</v>
      </c>
      <c r="P3432" s="53">
        <v>0</v>
      </c>
      <c r="Q3432" s="65">
        <v>12441.53</v>
      </c>
      <c r="R3432" s="65">
        <v>0</v>
      </c>
      <c r="S3432" s="65">
        <v>0</v>
      </c>
      <c r="T3432" s="65">
        <v>0</v>
      </c>
      <c r="U3432" s="58">
        <v>3500</v>
      </c>
      <c r="V3432" s="65">
        <v>0</v>
      </c>
      <c r="W3432" s="65">
        <v>0</v>
      </c>
      <c r="X3432" s="65">
        <v>0</v>
      </c>
      <c r="Y3432" s="65">
        <v>0</v>
      </c>
      <c r="Z3432" s="51">
        <v>8941.5300000000007</v>
      </c>
      <c r="AA3432" s="51">
        <v>0</v>
      </c>
      <c r="AB3432" s="102">
        <v>0</v>
      </c>
      <c r="AC3432" s="81">
        <f t="shared" si="163"/>
        <v>382.60467279318482</v>
      </c>
      <c r="AD3432" s="82">
        <f t="shared" si="164"/>
        <v>39.407142857142851</v>
      </c>
      <c r="AE3432" s="218">
        <v>0</v>
      </c>
      <c r="AF3432">
        <v>0</v>
      </c>
      <c r="AH3432" t="str">
        <f t="shared" si="162"/>
        <v>DalsinghSarai</v>
      </c>
      <c r="AJ3432" s="72">
        <v>0</v>
      </c>
      <c r="AK3432" s="72"/>
      <c r="AL3432" s="72"/>
      <c r="AM3432" s="72"/>
    </row>
    <row r="3433" spans="1:39" x14ac:dyDescent="0.25">
      <c r="A3433" s="37" t="s">
        <v>62</v>
      </c>
      <c r="B3433" s="66" t="s">
        <v>1676</v>
      </c>
      <c r="C3433" s="4">
        <v>1012</v>
      </c>
      <c r="D3433" s="41" t="s">
        <v>306</v>
      </c>
      <c r="E3433" s="41">
        <v>10120050</v>
      </c>
      <c r="F3433" s="85" t="s">
        <v>334</v>
      </c>
      <c r="G3433" s="39" t="s">
        <v>1610</v>
      </c>
      <c r="H3433" s="52" t="s">
        <v>98</v>
      </c>
      <c r="I3433" s="52">
        <v>700</v>
      </c>
      <c r="J3433" s="49">
        <v>27734</v>
      </c>
      <c r="K3433" s="58">
        <v>0</v>
      </c>
      <c r="L3433" s="58">
        <v>0</v>
      </c>
      <c r="M3433" s="58">
        <v>0</v>
      </c>
      <c r="N3433" s="58">
        <v>0</v>
      </c>
      <c r="O3433" s="58">
        <v>0</v>
      </c>
      <c r="P3433" s="53">
        <v>0</v>
      </c>
      <c r="Q3433" s="65">
        <v>27734</v>
      </c>
      <c r="R3433" s="65">
        <v>0</v>
      </c>
      <c r="S3433" s="65">
        <v>0</v>
      </c>
      <c r="T3433" s="65">
        <v>0</v>
      </c>
      <c r="U3433" s="58">
        <v>0</v>
      </c>
      <c r="V3433" s="65">
        <v>0</v>
      </c>
      <c r="W3433" s="65">
        <v>0</v>
      </c>
      <c r="X3433" s="65">
        <v>0</v>
      </c>
      <c r="Y3433" s="65">
        <v>0</v>
      </c>
      <c r="Z3433" s="51">
        <v>27734</v>
      </c>
      <c r="AA3433" s="51">
        <v>0</v>
      </c>
      <c r="AB3433" s="102">
        <v>0</v>
      </c>
      <c r="AC3433" s="81">
        <f t="shared" si="163"/>
        <v>0</v>
      </c>
      <c r="AD3433" s="82">
        <f t="shared" si="164"/>
        <v>100</v>
      </c>
      <c r="AE3433" s="218">
        <v>0</v>
      </c>
      <c r="AF3433">
        <v>0</v>
      </c>
      <c r="AH3433" t="str">
        <f t="shared" si="162"/>
        <v>DalsinghSarai</v>
      </c>
      <c r="AJ3433" s="72">
        <v>0</v>
      </c>
      <c r="AK3433" s="72"/>
      <c r="AL3433" s="72"/>
      <c r="AM3433" s="72"/>
    </row>
    <row r="3434" spans="1:39" x14ac:dyDescent="0.25">
      <c r="A3434" s="37" t="s">
        <v>62</v>
      </c>
      <c r="B3434" s="66" t="s">
        <v>1676</v>
      </c>
      <c r="C3434" s="4">
        <v>1012</v>
      </c>
      <c r="D3434" s="41" t="s">
        <v>306</v>
      </c>
      <c r="E3434" s="41">
        <v>10120051</v>
      </c>
      <c r="F3434" s="85" t="s">
        <v>335</v>
      </c>
      <c r="G3434" s="39" t="s">
        <v>92</v>
      </c>
      <c r="H3434" s="52" t="s">
        <v>93</v>
      </c>
      <c r="I3434" s="52">
        <v>339.1</v>
      </c>
      <c r="J3434" s="49">
        <v>13984.759999999998</v>
      </c>
      <c r="K3434" s="58">
        <v>78.210000000000008</v>
      </c>
      <c r="L3434" s="58">
        <v>3636.5399999999995</v>
      </c>
      <c r="M3434" s="58">
        <v>238.58</v>
      </c>
      <c r="N3434" s="58">
        <v>10342.730000000001</v>
      </c>
      <c r="O3434" s="58">
        <v>316.79000000000002</v>
      </c>
      <c r="P3434" s="53">
        <v>13979.27</v>
      </c>
      <c r="Q3434" s="65">
        <v>13979.27</v>
      </c>
      <c r="R3434" s="65">
        <v>0</v>
      </c>
      <c r="S3434" s="65">
        <v>0</v>
      </c>
      <c r="T3434" s="65">
        <v>0</v>
      </c>
      <c r="U3434" s="58">
        <v>0</v>
      </c>
      <c r="V3434" s="65">
        <v>0</v>
      </c>
      <c r="W3434" s="65">
        <v>0</v>
      </c>
      <c r="X3434" s="65">
        <v>3636</v>
      </c>
      <c r="Y3434" s="65">
        <v>10343</v>
      </c>
      <c r="Z3434" s="51">
        <v>0</v>
      </c>
      <c r="AA3434" s="51">
        <v>6</v>
      </c>
      <c r="AB3434" s="102">
        <v>0</v>
      </c>
      <c r="AC3434" s="81">
        <f t="shared" si="163"/>
        <v>297.67619486877021</v>
      </c>
      <c r="AD3434" s="82">
        <f t="shared" si="164"/>
        <v>48.442857142857143</v>
      </c>
      <c r="AE3434" s="218">
        <v>3.9257019784379307E-4</v>
      </c>
      <c r="AF3434">
        <v>11</v>
      </c>
      <c r="AH3434" t="str">
        <f t="shared" si="162"/>
        <v>DalsinghSarai</v>
      </c>
      <c r="AJ3434" s="72">
        <v>0</v>
      </c>
      <c r="AK3434" s="72"/>
      <c r="AL3434" s="72"/>
      <c r="AM3434" s="72"/>
    </row>
    <row r="3435" spans="1:39" x14ac:dyDescent="0.25">
      <c r="A3435" s="37" t="s">
        <v>62</v>
      </c>
      <c r="B3435" s="66" t="s">
        <v>1676</v>
      </c>
      <c r="C3435" s="4">
        <v>1012</v>
      </c>
      <c r="D3435" s="41" t="s">
        <v>306</v>
      </c>
      <c r="E3435" s="41">
        <v>10120052</v>
      </c>
      <c r="F3435" s="85" t="s">
        <v>336</v>
      </c>
      <c r="G3435" s="39" t="s">
        <v>92</v>
      </c>
      <c r="H3435" s="52" t="s">
        <v>93</v>
      </c>
      <c r="I3435" s="52">
        <v>1614.3500000000001</v>
      </c>
      <c r="J3435" s="49">
        <v>66099.790000000008</v>
      </c>
      <c r="K3435" s="58">
        <v>1018.11</v>
      </c>
      <c r="L3435" s="58">
        <v>41756.520000000004</v>
      </c>
      <c r="M3435" s="58">
        <v>599.04000000000133</v>
      </c>
      <c r="N3435" s="58">
        <v>24342.65000000002</v>
      </c>
      <c r="O3435" s="58">
        <v>1617.1500000000015</v>
      </c>
      <c r="P3435" s="53">
        <v>66099.170000000027</v>
      </c>
      <c r="Q3435" s="65">
        <v>66099.170000000027</v>
      </c>
      <c r="R3435" s="65">
        <v>0</v>
      </c>
      <c r="S3435" s="65">
        <v>53.98</v>
      </c>
      <c r="T3435" s="65">
        <v>0</v>
      </c>
      <c r="U3435" s="58">
        <v>4225</v>
      </c>
      <c r="V3435" s="65">
        <v>0</v>
      </c>
      <c r="W3435" s="65">
        <v>0</v>
      </c>
      <c r="X3435" s="65">
        <v>37528</v>
      </c>
      <c r="Y3435" s="65">
        <v>24293</v>
      </c>
      <c r="Z3435" s="51">
        <v>0</v>
      </c>
      <c r="AA3435" s="51">
        <v>0</v>
      </c>
      <c r="AB3435" s="102">
        <v>0</v>
      </c>
      <c r="AC3435" s="81">
        <f t="shared" si="163"/>
        <v>0</v>
      </c>
      <c r="AD3435" s="82">
        <f t="shared" si="164"/>
        <v>0</v>
      </c>
      <c r="AE3435" s="218">
        <v>9.3797574845667649E-6</v>
      </c>
      <c r="AF3435">
        <v>45</v>
      </c>
      <c r="AH3435" t="str">
        <f t="shared" si="162"/>
        <v>DalsinghSarai</v>
      </c>
      <c r="AJ3435" s="72">
        <v>0</v>
      </c>
      <c r="AK3435" s="72"/>
      <c r="AL3435" s="72"/>
      <c r="AM3435" s="72"/>
    </row>
    <row r="3436" spans="1:39" x14ac:dyDescent="0.25">
      <c r="A3436" s="37" t="s">
        <v>62</v>
      </c>
      <c r="B3436" s="66" t="s">
        <v>1676</v>
      </c>
      <c r="C3436" s="4">
        <v>1012</v>
      </c>
      <c r="D3436" s="41" t="s">
        <v>306</v>
      </c>
      <c r="E3436" s="41">
        <v>10120053</v>
      </c>
      <c r="F3436" s="85" t="s">
        <v>337</v>
      </c>
      <c r="G3436" s="39" t="s">
        <v>92</v>
      </c>
      <c r="H3436" s="52" t="s">
        <v>93</v>
      </c>
      <c r="I3436" s="52">
        <v>144.35</v>
      </c>
      <c r="J3436" s="49">
        <v>5696.91</v>
      </c>
      <c r="K3436" s="58">
        <v>146.97999999999999</v>
      </c>
      <c r="L3436" s="58">
        <v>5581.1699999999992</v>
      </c>
      <c r="M3436" s="58">
        <v>0</v>
      </c>
      <c r="N3436" s="58">
        <v>0</v>
      </c>
      <c r="O3436" s="58">
        <v>146.97999999999999</v>
      </c>
      <c r="P3436" s="53">
        <v>5581.1699999999992</v>
      </c>
      <c r="Q3436" s="65">
        <v>5581.1699999999992</v>
      </c>
      <c r="R3436" s="65">
        <v>0</v>
      </c>
      <c r="S3436" s="65">
        <v>0</v>
      </c>
      <c r="T3436" s="65">
        <v>0</v>
      </c>
      <c r="U3436" s="58">
        <v>0</v>
      </c>
      <c r="V3436" s="65">
        <v>0</v>
      </c>
      <c r="W3436" s="65">
        <v>0</v>
      </c>
      <c r="X3436" s="65">
        <v>5581</v>
      </c>
      <c r="Y3436" s="65">
        <v>0</v>
      </c>
      <c r="Z3436" s="51">
        <v>0</v>
      </c>
      <c r="AA3436" s="51">
        <v>116</v>
      </c>
      <c r="AB3436" s="102">
        <v>0</v>
      </c>
      <c r="AC3436" s="81">
        <f t="shared" si="163"/>
        <v>438.58511139591275</v>
      </c>
      <c r="AD3436" s="82">
        <f t="shared" si="164"/>
        <v>20.62142857142857</v>
      </c>
      <c r="AE3436" s="218">
        <v>2.0316276718431694E-2</v>
      </c>
      <c r="AF3436">
        <v>5</v>
      </c>
      <c r="AH3436" t="str">
        <f t="shared" si="162"/>
        <v>DalsinghSarai</v>
      </c>
      <c r="AJ3436" s="72">
        <v>0</v>
      </c>
      <c r="AK3436" s="72"/>
      <c r="AL3436" s="72"/>
      <c r="AM3436" s="72"/>
    </row>
    <row r="3437" spans="1:39" x14ac:dyDescent="0.25">
      <c r="A3437" s="37" t="s">
        <v>62</v>
      </c>
      <c r="B3437" s="66" t="s">
        <v>1676</v>
      </c>
      <c r="C3437" s="4">
        <v>1012</v>
      </c>
      <c r="D3437" s="41" t="s">
        <v>306</v>
      </c>
      <c r="E3437" s="41">
        <v>10120060</v>
      </c>
      <c r="F3437" s="85" t="s">
        <v>339</v>
      </c>
      <c r="G3437" s="39" t="s">
        <v>1610</v>
      </c>
      <c r="H3437" s="52" t="s">
        <v>98</v>
      </c>
      <c r="I3437" s="52">
        <v>4100</v>
      </c>
      <c r="J3437" s="49">
        <v>161224</v>
      </c>
      <c r="K3437" s="58">
        <v>0</v>
      </c>
      <c r="L3437" s="58">
        <v>0</v>
      </c>
      <c r="M3437" s="58">
        <v>0</v>
      </c>
      <c r="N3437" s="58">
        <v>0</v>
      </c>
      <c r="O3437" s="58">
        <v>0</v>
      </c>
      <c r="P3437" s="53">
        <v>0</v>
      </c>
      <c r="Q3437" s="65">
        <v>161224</v>
      </c>
      <c r="R3437" s="65">
        <v>0</v>
      </c>
      <c r="S3437" s="65">
        <v>0</v>
      </c>
      <c r="T3437" s="65">
        <v>0</v>
      </c>
      <c r="U3437" s="58">
        <v>0</v>
      </c>
      <c r="V3437" s="65">
        <v>0</v>
      </c>
      <c r="W3437" s="65">
        <v>0</v>
      </c>
      <c r="X3437" s="65">
        <v>0</v>
      </c>
      <c r="Y3437" s="65">
        <v>0</v>
      </c>
      <c r="Z3437" s="51">
        <v>161224</v>
      </c>
      <c r="AA3437" s="51">
        <v>0</v>
      </c>
      <c r="AB3437" s="102">
        <v>0</v>
      </c>
      <c r="AC3437" s="81">
        <f t="shared" si="163"/>
        <v>0</v>
      </c>
      <c r="AD3437" s="82">
        <f t="shared" si="164"/>
        <v>0</v>
      </c>
      <c r="AE3437" s="218">
        <v>0</v>
      </c>
      <c r="AF3437">
        <v>0</v>
      </c>
      <c r="AH3437" t="str">
        <f t="shared" si="162"/>
        <v>DalsinghSarai</v>
      </c>
      <c r="AJ3437" s="72">
        <v>0</v>
      </c>
      <c r="AK3437" s="72"/>
      <c r="AL3437" s="72"/>
      <c r="AM3437" s="72"/>
    </row>
    <row r="3438" spans="1:39" x14ac:dyDescent="0.25">
      <c r="A3438" s="37" t="s">
        <v>62</v>
      </c>
      <c r="B3438" s="66" t="s">
        <v>1676</v>
      </c>
      <c r="C3438" s="4">
        <v>1012</v>
      </c>
      <c r="D3438" s="41" t="s">
        <v>306</v>
      </c>
      <c r="E3438" s="41">
        <v>10120067</v>
      </c>
      <c r="F3438" s="85" t="s">
        <v>1566</v>
      </c>
      <c r="G3438" s="39" t="s">
        <v>1610</v>
      </c>
      <c r="H3438" s="52" t="s">
        <v>98</v>
      </c>
      <c r="I3438" s="52">
        <v>183.75000000000003</v>
      </c>
      <c r="J3438" s="49">
        <v>6505.7000000000007</v>
      </c>
      <c r="K3438" s="58">
        <v>0</v>
      </c>
      <c r="L3438" s="58">
        <v>0</v>
      </c>
      <c r="M3438" s="58">
        <v>0</v>
      </c>
      <c r="N3438" s="58">
        <v>0</v>
      </c>
      <c r="O3438" s="58">
        <v>0</v>
      </c>
      <c r="P3438" s="53">
        <v>0</v>
      </c>
      <c r="Q3438" s="65">
        <v>6505.7000000000007</v>
      </c>
      <c r="R3438" s="65">
        <v>0</v>
      </c>
      <c r="S3438" s="65">
        <v>0</v>
      </c>
      <c r="T3438" s="65">
        <v>0</v>
      </c>
      <c r="U3438" s="58">
        <v>0</v>
      </c>
      <c r="V3438" s="65">
        <v>0</v>
      </c>
      <c r="W3438" s="65">
        <v>0</v>
      </c>
      <c r="X3438" s="65">
        <v>0</v>
      </c>
      <c r="Y3438" s="65">
        <v>0</v>
      </c>
      <c r="Z3438" s="51">
        <v>6505.7000000000007</v>
      </c>
      <c r="AA3438" s="51">
        <v>0</v>
      </c>
      <c r="AB3438" s="102">
        <v>0</v>
      </c>
      <c r="AC3438" s="81">
        <f t="shared" si="163"/>
        <v>365.55838095238096</v>
      </c>
      <c r="AD3438" s="82">
        <f t="shared" si="164"/>
        <v>26.250000000000004</v>
      </c>
      <c r="AE3438" s="218">
        <v>0</v>
      </c>
      <c r="AF3438">
        <v>0</v>
      </c>
      <c r="AH3438" t="str">
        <f t="shared" si="162"/>
        <v>DalsinghSarai</v>
      </c>
      <c r="AJ3438" s="72">
        <v>0</v>
      </c>
      <c r="AK3438" s="72"/>
      <c r="AL3438" s="72"/>
      <c r="AM3438" s="72"/>
    </row>
    <row r="3439" spans="1:39" x14ac:dyDescent="0.25">
      <c r="A3439" s="37" t="s">
        <v>62</v>
      </c>
      <c r="B3439" s="66" t="s">
        <v>1676</v>
      </c>
      <c r="C3439" s="4">
        <v>1012</v>
      </c>
      <c r="D3439" s="41" t="s">
        <v>306</v>
      </c>
      <c r="E3439" s="41">
        <v>10120071</v>
      </c>
      <c r="F3439" s="85" t="s">
        <v>341</v>
      </c>
      <c r="G3439" s="39" t="s">
        <v>92</v>
      </c>
      <c r="H3439" s="52" t="s">
        <v>93</v>
      </c>
      <c r="I3439" s="52">
        <v>1034.2</v>
      </c>
      <c r="J3439" s="49">
        <v>41486.620000000003</v>
      </c>
      <c r="K3439" s="58">
        <v>136.84</v>
      </c>
      <c r="L3439" s="58">
        <v>5569.2000000000007</v>
      </c>
      <c r="M3439" s="58">
        <v>896.61999999999989</v>
      </c>
      <c r="N3439" s="58">
        <v>35915.800000000003</v>
      </c>
      <c r="O3439" s="58">
        <v>1033.4599999999998</v>
      </c>
      <c r="P3439" s="53">
        <v>41485</v>
      </c>
      <c r="Q3439" s="65">
        <v>41485</v>
      </c>
      <c r="R3439" s="65">
        <v>0</v>
      </c>
      <c r="S3439" s="65">
        <v>0</v>
      </c>
      <c r="T3439" s="65">
        <v>0</v>
      </c>
      <c r="U3439" s="58">
        <v>1400</v>
      </c>
      <c r="V3439" s="65">
        <v>0</v>
      </c>
      <c r="W3439" s="65">
        <v>0</v>
      </c>
      <c r="X3439" s="65">
        <v>4169</v>
      </c>
      <c r="Y3439" s="65">
        <v>35915</v>
      </c>
      <c r="Z3439" s="51">
        <v>0</v>
      </c>
      <c r="AA3439" s="51">
        <v>3</v>
      </c>
      <c r="AB3439" s="102">
        <v>0</v>
      </c>
      <c r="AC3439" s="81">
        <f t="shared" si="163"/>
        <v>0</v>
      </c>
      <c r="AD3439" s="82">
        <f t="shared" si="164"/>
        <v>0</v>
      </c>
      <c r="AE3439" s="218">
        <v>3.9048734266677289E-5</v>
      </c>
      <c r="AF3439">
        <v>13</v>
      </c>
      <c r="AH3439" t="str">
        <f t="shared" si="162"/>
        <v>DalsinghSarai</v>
      </c>
      <c r="AJ3439" s="72">
        <v>0</v>
      </c>
      <c r="AK3439" s="72"/>
      <c r="AL3439" s="72"/>
      <c r="AM3439" s="72"/>
    </row>
    <row r="3440" spans="1:39" x14ac:dyDescent="0.25">
      <c r="A3440" s="37" t="s">
        <v>62</v>
      </c>
      <c r="B3440" s="66" t="s">
        <v>1676</v>
      </c>
      <c r="C3440" s="4">
        <v>1012</v>
      </c>
      <c r="D3440" s="41" t="s">
        <v>306</v>
      </c>
      <c r="E3440" s="41">
        <v>10120083</v>
      </c>
      <c r="F3440" s="85" t="s">
        <v>430</v>
      </c>
      <c r="G3440" s="39" t="s">
        <v>92</v>
      </c>
      <c r="H3440" s="52" t="s">
        <v>93</v>
      </c>
      <c r="I3440" s="52">
        <v>60.949999999999996</v>
      </c>
      <c r="J3440" s="49">
        <v>2797.02</v>
      </c>
      <c r="K3440" s="58">
        <v>50.05</v>
      </c>
      <c r="L3440" s="58">
        <v>2244.17</v>
      </c>
      <c r="M3440" s="58">
        <v>10.8</v>
      </c>
      <c r="N3440" s="58">
        <v>552.96</v>
      </c>
      <c r="O3440" s="58">
        <v>60.849999999999994</v>
      </c>
      <c r="P3440" s="53">
        <v>2797.13</v>
      </c>
      <c r="Q3440" s="65">
        <v>2797.02</v>
      </c>
      <c r="R3440" s="65">
        <v>0</v>
      </c>
      <c r="S3440" s="65">
        <v>0</v>
      </c>
      <c r="T3440" s="65">
        <v>0.11000000000012733</v>
      </c>
      <c r="U3440" s="58">
        <v>2244</v>
      </c>
      <c r="V3440" s="65">
        <v>0</v>
      </c>
      <c r="W3440" s="65">
        <v>0</v>
      </c>
      <c r="X3440" s="65">
        <v>0</v>
      </c>
      <c r="Y3440" s="65">
        <v>553</v>
      </c>
      <c r="Z3440" s="51">
        <v>0</v>
      </c>
      <c r="AA3440" s="51">
        <v>0</v>
      </c>
      <c r="AB3440" s="102">
        <v>0</v>
      </c>
      <c r="AC3440" s="81">
        <f t="shared" si="163"/>
        <v>586.52522756357666</v>
      </c>
      <c r="AD3440" s="82">
        <f t="shared" si="164"/>
        <v>8.7071428571428573</v>
      </c>
      <c r="AE3440" s="218">
        <v>-3.9327570056748731E-5</v>
      </c>
      <c r="AF3440">
        <v>4</v>
      </c>
      <c r="AH3440" t="str">
        <f t="shared" si="162"/>
        <v>DalsinghSarai</v>
      </c>
      <c r="AJ3440" s="72">
        <v>0</v>
      </c>
      <c r="AK3440" s="72"/>
      <c r="AL3440" s="72"/>
      <c r="AM3440" s="72"/>
    </row>
    <row r="3441" spans="1:39" x14ac:dyDescent="0.25">
      <c r="A3441" s="37" t="s">
        <v>62</v>
      </c>
      <c r="B3441" s="66" t="s">
        <v>1676</v>
      </c>
      <c r="C3441" s="4">
        <v>1012</v>
      </c>
      <c r="D3441" s="41" t="s">
        <v>306</v>
      </c>
      <c r="E3441" s="41">
        <v>10120084</v>
      </c>
      <c r="F3441" s="85" t="s">
        <v>435</v>
      </c>
      <c r="G3441" s="39" t="s">
        <v>92</v>
      </c>
      <c r="H3441" s="52" t="s">
        <v>93</v>
      </c>
      <c r="I3441" s="52">
        <v>2617.3000000000006</v>
      </c>
      <c r="J3441" s="49">
        <v>136352.97</v>
      </c>
      <c r="K3441" s="58">
        <v>620.46</v>
      </c>
      <c r="L3441" s="58">
        <v>33563.25</v>
      </c>
      <c r="M3441" s="58">
        <v>1925.2800000000002</v>
      </c>
      <c r="N3441" s="58">
        <v>102717.80999999998</v>
      </c>
      <c r="O3441" s="58">
        <v>2545.7400000000002</v>
      </c>
      <c r="P3441" s="53">
        <v>136281.06</v>
      </c>
      <c r="Q3441" s="65">
        <v>136281.06</v>
      </c>
      <c r="R3441" s="65">
        <v>0</v>
      </c>
      <c r="S3441" s="65">
        <v>0</v>
      </c>
      <c r="T3441" s="65">
        <v>0</v>
      </c>
      <c r="U3441" s="58">
        <v>0</v>
      </c>
      <c r="V3441" s="65">
        <v>0</v>
      </c>
      <c r="W3441" s="65">
        <v>0</v>
      </c>
      <c r="X3441" s="65">
        <v>33564</v>
      </c>
      <c r="Y3441" s="65">
        <v>102716</v>
      </c>
      <c r="Z3441" s="51">
        <v>0</v>
      </c>
      <c r="AA3441" s="51">
        <v>73</v>
      </c>
      <c r="AB3441" s="102">
        <v>0</v>
      </c>
      <c r="AC3441" s="81">
        <f t="shared" si="163"/>
        <v>0</v>
      </c>
      <c r="AD3441" s="82">
        <f t="shared" si="164"/>
        <v>0</v>
      </c>
      <c r="AE3441" s="218">
        <v>5.2738125176153843E-4</v>
      </c>
      <c r="AF3441">
        <v>45</v>
      </c>
      <c r="AH3441" t="str">
        <f t="shared" si="162"/>
        <v>DalsinghSarai</v>
      </c>
      <c r="AJ3441" s="72">
        <v>0</v>
      </c>
      <c r="AK3441" s="72"/>
      <c r="AL3441" s="72"/>
      <c r="AM3441" s="72"/>
    </row>
    <row r="3442" spans="1:39" x14ac:dyDescent="0.25">
      <c r="A3442" s="37" t="s">
        <v>62</v>
      </c>
      <c r="B3442" s="66" t="s">
        <v>1676</v>
      </c>
      <c r="C3442" s="4">
        <v>1012</v>
      </c>
      <c r="D3442" s="41" t="s">
        <v>306</v>
      </c>
      <c r="E3442" s="41">
        <v>10120086</v>
      </c>
      <c r="F3442" s="85" t="s">
        <v>431</v>
      </c>
      <c r="G3442" s="39" t="s">
        <v>1610</v>
      </c>
      <c r="H3442" s="52" t="s">
        <v>98</v>
      </c>
      <c r="I3442" s="52">
        <v>157.25</v>
      </c>
      <c r="J3442" s="49">
        <v>6530.2099999999991</v>
      </c>
      <c r="K3442" s="58">
        <v>0</v>
      </c>
      <c r="L3442" s="58">
        <v>0</v>
      </c>
      <c r="M3442" s="58">
        <v>0</v>
      </c>
      <c r="N3442" s="58">
        <v>0</v>
      </c>
      <c r="O3442" s="58">
        <v>0</v>
      </c>
      <c r="P3442" s="53">
        <v>0</v>
      </c>
      <c r="Q3442" s="65">
        <v>6530.2099999999991</v>
      </c>
      <c r="R3442" s="65">
        <v>0</v>
      </c>
      <c r="S3442" s="65">
        <v>0</v>
      </c>
      <c r="T3442" s="65">
        <v>0</v>
      </c>
      <c r="U3442" s="58">
        <v>0</v>
      </c>
      <c r="V3442" s="65">
        <v>0</v>
      </c>
      <c r="W3442" s="65">
        <v>0</v>
      </c>
      <c r="X3442" s="65">
        <v>0</v>
      </c>
      <c r="Y3442" s="65">
        <v>0</v>
      </c>
      <c r="Z3442" s="51">
        <v>6530.2099999999991</v>
      </c>
      <c r="AA3442" s="51">
        <v>0</v>
      </c>
      <c r="AB3442" s="102">
        <v>0</v>
      </c>
      <c r="AC3442" s="81">
        <f t="shared" si="163"/>
        <v>450.78174594594589</v>
      </c>
      <c r="AD3442" s="82">
        <f t="shared" si="164"/>
        <v>22.464285714285715</v>
      </c>
      <c r="AE3442" s="218">
        <v>0</v>
      </c>
      <c r="AF3442">
        <v>0</v>
      </c>
      <c r="AH3442" t="str">
        <f t="shared" si="162"/>
        <v>DalsinghSarai</v>
      </c>
      <c r="AJ3442" s="72">
        <v>0</v>
      </c>
      <c r="AK3442" s="72"/>
      <c r="AL3442" s="72"/>
      <c r="AM3442" s="72"/>
    </row>
    <row r="3443" spans="1:39" x14ac:dyDescent="0.25">
      <c r="A3443" s="37" t="s">
        <v>62</v>
      </c>
      <c r="B3443" s="66" t="s">
        <v>1676</v>
      </c>
      <c r="C3443" s="4">
        <v>1062</v>
      </c>
      <c r="D3443" s="41" t="s">
        <v>1381</v>
      </c>
      <c r="E3443" s="41">
        <v>10120088</v>
      </c>
      <c r="F3443" s="85" t="s">
        <v>1338</v>
      </c>
      <c r="G3443" s="39" t="s">
        <v>1610</v>
      </c>
      <c r="H3443" s="52" t="s">
        <v>98</v>
      </c>
      <c r="I3443" s="52">
        <v>7711.74</v>
      </c>
      <c r="J3443" s="49">
        <v>330602.36</v>
      </c>
      <c r="K3443" s="58">
        <v>0</v>
      </c>
      <c r="L3443" s="58">
        <v>0</v>
      </c>
      <c r="M3443" s="58">
        <v>0</v>
      </c>
      <c r="N3443" s="58">
        <v>0</v>
      </c>
      <c r="O3443" s="58">
        <v>0</v>
      </c>
      <c r="P3443" s="53">
        <v>0</v>
      </c>
      <c r="Q3443" s="65">
        <v>330602.36</v>
      </c>
      <c r="R3443" s="65">
        <v>100000</v>
      </c>
      <c r="S3443" s="65">
        <v>0</v>
      </c>
      <c r="T3443" s="65">
        <v>0</v>
      </c>
      <c r="U3443" s="58">
        <v>0</v>
      </c>
      <c r="V3443" s="65">
        <v>0</v>
      </c>
      <c r="W3443" s="65">
        <v>0</v>
      </c>
      <c r="X3443" s="65">
        <v>0</v>
      </c>
      <c r="Y3443" s="65">
        <v>0</v>
      </c>
      <c r="Z3443" s="51">
        <v>230602.36</v>
      </c>
      <c r="AA3443" s="51">
        <v>0</v>
      </c>
      <c r="AB3443" s="102" t="s">
        <v>66</v>
      </c>
      <c r="AC3443" s="81">
        <f t="shared" si="163"/>
        <v>0</v>
      </c>
      <c r="AD3443" s="82">
        <f t="shared" si="164"/>
        <v>0</v>
      </c>
      <c r="AE3443" s="218">
        <v>0</v>
      </c>
      <c r="AF3443">
        <v>0</v>
      </c>
      <c r="AH3443" t="str">
        <f t="shared" si="162"/>
        <v>Singhia BMC</v>
      </c>
      <c r="AJ3443" s="72">
        <v>0</v>
      </c>
      <c r="AK3443" s="72"/>
      <c r="AL3443" s="72"/>
      <c r="AM3443" s="72"/>
    </row>
    <row r="3444" spans="1:39" x14ac:dyDescent="0.25">
      <c r="A3444" s="37" t="s">
        <v>62</v>
      </c>
      <c r="B3444" s="66" t="s">
        <v>1676</v>
      </c>
      <c r="C3444" s="4">
        <v>1012</v>
      </c>
      <c r="D3444" s="41" t="s">
        <v>306</v>
      </c>
      <c r="E3444" s="41">
        <v>10120089</v>
      </c>
      <c r="F3444" s="85" t="s">
        <v>493</v>
      </c>
      <c r="G3444" s="39" t="s">
        <v>92</v>
      </c>
      <c r="H3444" s="52" t="s">
        <v>93</v>
      </c>
      <c r="I3444" s="52">
        <v>542.70000000000005</v>
      </c>
      <c r="J3444" s="49">
        <v>21088.61</v>
      </c>
      <c r="K3444" s="58">
        <v>507.95</v>
      </c>
      <c r="L3444" s="58">
        <v>20897.199999999993</v>
      </c>
      <c r="M3444" s="58">
        <v>5.2</v>
      </c>
      <c r="N3444" s="58">
        <v>191.29000000000002</v>
      </c>
      <c r="O3444" s="58">
        <v>513.15</v>
      </c>
      <c r="P3444" s="53">
        <v>21088.489999999994</v>
      </c>
      <c r="Q3444" s="65">
        <v>21088.489999999994</v>
      </c>
      <c r="R3444" s="65">
        <v>0</v>
      </c>
      <c r="S3444" s="65">
        <v>57.74</v>
      </c>
      <c r="T3444" s="65">
        <v>0</v>
      </c>
      <c r="U3444" s="58">
        <v>1400</v>
      </c>
      <c r="V3444" s="65">
        <v>0</v>
      </c>
      <c r="W3444" s="65">
        <v>0</v>
      </c>
      <c r="X3444" s="65">
        <v>19497</v>
      </c>
      <c r="Y3444" s="65">
        <v>133</v>
      </c>
      <c r="Z3444" s="51">
        <v>0</v>
      </c>
      <c r="AA3444" s="51">
        <v>1</v>
      </c>
      <c r="AB3444" s="102">
        <v>0</v>
      </c>
      <c r="AC3444" s="81">
        <f t="shared" si="163"/>
        <v>122.24943257785141</v>
      </c>
      <c r="AD3444" s="82">
        <f t="shared" si="164"/>
        <v>77.528571428571439</v>
      </c>
      <c r="AE3444" s="218">
        <v>5.6902754617899101E-6</v>
      </c>
      <c r="AF3444">
        <v>13</v>
      </c>
      <c r="AH3444" t="str">
        <f t="shared" si="162"/>
        <v>DalsinghSarai</v>
      </c>
      <c r="AJ3444" s="72">
        <v>0</v>
      </c>
      <c r="AK3444" s="72"/>
      <c r="AL3444" s="72"/>
      <c r="AM3444" s="72"/>
    </row>
    <row r="3445" spans="1:39" x14ac:dyDescent="0.25">
      <c r="A3445" s="37" t="s">
        <v>62</v>
      </c>
      <c r="B3445" s="66" t="s">
        <v>1676</v>
      </c>
      <c r="C3445" s="4">
        <v>1012</v>
      </c>
      <c r="D3445" s="41" t="s">
        <v>306</v>
      </c>
      <c r="E3445" s="41">
        <v>10120091</v>
      </c>
      <c r="F3445" s="85" t="s">
        <v>499</v>
      </c>
      <c r="G3445" s="39" t="s">
        <v>92</v>
      </c>
      <c r="H3445" s="52" t="s">
        <v>93</v>
      </c>
      <c r="I3445" s="52">
        <v>390.94999999999993</v>
      </c>
      <c r="J3445" s="49">
        <v>15076.009999999998</v>
      </c>
      <c r="K3445" s="58">
        <v>148.07999999999998</v>
      </c>
      <c r="L3445" s="58">
        <v>5526.4699999999993</v>
      </c>
      <c r="M3445" s="58">
        <v>255.31</v>
      </c>
      <c r="N3445" s="58">
        <v>9543.56</v>
      </c>
      <c r="O3445" s="58">
        <v>403.39</v>
      </c>
      <c r="P3445" s="53">
        <v>15070.029999999999</v>
      </c>
      <c r="Q3445" s="65">
        <v>15070.029999999999</v>
      </c>
      <c r="R3445" s="65">
        <v>0</v>
      </c>
      <c r="S3445" s="65">
        <v>672.9799999999999</v>
      </c>
      <c r="T3445" s="65">
        <v>0</v>
      </c>
      <c r="U3445" s="58">
        <v>0</v>
      </c>
      <c r="V3445" s="65">
        <v>0</v>
      </c>
      <c r="W3445" s="65">
        <v>0</v>
      </c>
      <c r="X3445" s="65">
        <v>5527</v>
      </c>
      <c r="Y3445" s="65">
        <v>8870</v>
      </c>
      <c r="Z3445" s="51">
        <v>0</v>
      </c>
      <c r="AA3445" s="51">
        <v>6</v>
      </c>
      <c r="AB3445" s="102">
        <v>0</v>
      </c>
      <c r="AC3445" s="81">
        <f t="shared" si="163"/>
        <v>238.35482238137877</v>
      </c>
      <c r="AD3445" s="82">
        <f t="shared" si="164"/>
        <v>55.849999999999987</v>
      </c>
      <c r="AE3445" s="218">
        <v>3.9665667507514016E-4</v>
      </c>
      <c r="AF3445">
        <v>10</v>
      </c>
      <c r="AH3445" t="str">
        <f t="shared" ref="AH3445:AH3508" si="165">TEXT(D3445,"0000")</f>
        <v>DalsinghSarai</v>
      </c>
      <c r="AJ3445" s="72">
        <v>0</v>
      </c>
      <c r="AK3445" s="72"/>
      <c r="AL3445" s="72"/>
      <c r="AM3445" s="72"/>
    </row>
    <row r="3446" spans="1:39" x14ac:dyDescent="0.25">
      <c r="A3446" s="37" t="s">
        <v>62</v>
      </c>
      <c r="B3446" s="66" t="s">
        <v>1676</v>
      </c>
      <c r="C3446" s="4">
        <v>1012</v>
      </c>
      <c r="D3446" s="41" t="s">
        <v>306</v>
      </c>
      <c r="E3446" s="41">
        <v>10120094</v>
      </c>
      <c r="F3446" s="85" t="s">
        <v>506</v>
      </c>
      <c r="G3446" s="39" t="s">
        <v>92</v>
      </c>
      <c r="H3446" s="52" t="s">
        <v>93</v>
      </c>
      <c r="I3446" s="52">
        <v>1264.5999999999999</v>
      </c>
      <c r="J3446" s="49">
        <v>58919.270000000004</v>
      </c>
      <c r="K3446" s="58">
        <v>240.76</v>
      </c>
      <c r="L3446" s="58">
        <v>10705.28</v>
      </c>
      <c r="M3446" s="58">
        <v>1086.77</v>
      </c>
      <c r="N3446" s="58">
        <v>48328.12</v>
      </c>
      <c r="O3446" s="58">
        <v>1327.53</v>
      </c>
      <c r="P3446" s="53">
        <v>59033.4</v>
      </c>
      <c r="Q3446" s="65">
        <v>58919.270000000004</v>
      </c>
      <c r="R3446" s="65">
        <v>0</v>
      </c>
      <c r="S3446" s="65">
        <v>0</v>
      </c>
      <c r="T3446" s="65">
        <v>114.12999999999738</v>
      </c>
      <c r="U3446" s="58">
        <v>0</v>
      </c>
      <c r="V3446" s="65">
        <v>0</v>
      </c>
      <c r="W3446" s="65">
        <v>0</v>
      </c>
      <c r="X3446" s="65">
        <v>10590</v>
      </c>
      <c r="Y3446" s="65">
        <v>48329</v>
      </c>
      <c r="Z3446" s="51">
        <v>0</v>
      </c>
      <c r="AA3446" s="51">
        <v>0</v>
      </c>
      <c r="AB3446" s="102">
        <v>0</v>
      </c>
      <c r="AC3446" s="81">
        <f t="shared" si="163"/>
        <v>0</v>
      </c>
      <c r="AD3446" s="82">
        <f t="shared" si="164"/>
        <v>0</v>
      </c>
      <c r="AE3446" s="218">
        <v>-1.9370572649660691E-3</v>
      </c>
      <c r="AF3446">
        <v>24</v>
      </c>
      <c r="AH3446" t="str">
        <f t="shared" si="165"/>
        <v>DalsinghSarai</v>
      </c>
      <c r="AJ3446" s="72">
        <v>0</v>
      </c>
      <c r="AK3446" s="72"/>
      <c r="AL3446" s="72"/>
      <c r="AM3446" s="72"/>
    </row>
    <row r="3447" spans="1:39" x14ac:dyDescent="0.25">
      <c r="A3447" s="37" t="s">
        <v>62</v>
      </c>
      <c r="B3447" s="66" t="s">
        <v>1676</v>
      </c>
      <c r="C3447" s="4">
        <v>1012</v>
      </c>
      <c r="D3447" s="41" t="s">
        <v>306</v>
      </c>
      <c r="E3447" s="41">
        <v>10120095</v>
      </c>
      <c r="F3447" s="85" t="s">
        <v>523</v>
      </c>
      <c r="G3447" s="39" t="s">
        <v>92</v>
      </c>
      <c r="H3447" s="52" t="s">
        <v>93</v>
      </c>
      <c r="I3447" s="52">
        <v>179.55</v>
      </c>
      <c r="J3447" s="49">
        <v>7681.37</v>
      </c>
      <c r="K3447" s="58">
        <v>179.55</v>
      </c>
      <c r="L3447" s="58">
        <v>7471.6900000000005</v>
      </c>
      <c r="M3447" s="58">
        <v>5.3000000000000007</v>
      </c>
      <c r="N3447" s="58">
        <v>194.56</v>
      </c>
      <c r="O3447" s="58">
        <v>184.85000000000002</v>
      </c>
      <c r="P3447" s="53">
        <v>7666.2500000000009</v>
      </c>
      <c r="Q3447" s="65">
        <v>7666.2500000000009</v>
      </c>
      <c r="R3447" s="65">
        <v>0</v>
      </c>
      <c r="S3447" s="65">
        <v>0</v>
      </c>
      <c r="T3447" s="65">
        <v>0</v>
      </c>
      <c r="U3447" s="58">
        <v>0</v>
      </c>
      <c r="V3447" s="65">
        <v>500</v>
      </c>
      <c r="W3447" s="65">
        <v>0</v>
      </c>
      <c r="X3447" s="65">
        <v>6972</v>
      </c>
      <c r="Y3447" s="65">
        <v>195</v>
      </c>
      <c r="Z3447" s="51">
        <v>0</v>
      </c>
      <c r="AA3447" s="51">
        <v>14</v>
      </c>
      <c r="AB3447" s="102">
        <v>0</v>
      </c>
      <c r="AC3447" s="81">
        <f t="shared" si="163"/>
        <v>445.30983196881078</v>
      </c>
      <c r="AD3447" s="82">
        <f t="shared" si="164"/>
        <v>25.650000000000002</v>
      </c>
      <c r="AE3447" s="218">
        <v>1.9683988663479275E-3</v>
      </c>
      <c r="AF3447">
        <v>5</v>
      </c>
      <c r="AH3447" t="str">
        <f t="shared" si="165"/>
        <v>DalsinghSarai</v>
      </c>
      <c r="AJ3447" s="72">
        <v>500</v>
      </c>
      <c r="AK3447" s="72"/>
      <c r="AL3447" s="72"/>
      <c r="AM3447" s="72"/>
    </row>
    <row r="3448" spans="1:39" x14ac:dyDescent="0.25">
      <c r="A3448" s="37" t="s">
        <v>62</v>
      </c>
      <c r="B3448" s="66" t="s">
        <v>1676</v>
      </c>
      <c r="C3448" s="4">
        <v>1012</v>
      </c>
      <c r="D3448" s="41" t="s">
        <v>306</v>
      </c>
      <c r="E3448" s="41">
        <v>10120096</v>
      </c>
      <c r="F3448" s="85" t="s">
        <v>507</v>
      </c>
      <c r="G3448" s="39" t="s">
        <v>1610</v>
      </c>
      <c r="H3448" s="52" t="s">
        <v>98</v>
      </c>
      <c r="I3448" s="52">
        <v>2069.0500000000002</v>
      </c>
      <c r="J3448" s="49">
        <v>105630.45</v>
      </c>
      <c r="K3448" s="58">
        <v>0</v>
      </c>
      <c r="L3448" s="58">
        <v>0</v>
      </c>
      <c r="M3448" s="58">
        <v>0</v>
      </c>
      <c r="N3448" s="58">
        <v>0</v>
      </c>
      <c r="O3448" s="58">
        <v>0</v>
      </c>
      <c r="P3448" s="53">
        <v>0</v>
      </c>
      <c r="Q3448" s="65">
        <v>105630.45</v>
      </c>
      <c r="R3448" s="65">
        <v>0</v>
      </c>
      <c r="S3448" s="65">
        <v>0</v>
      </c>
      <c r="T3448" s="65">
        <v>0</v>
      </c>
      <c r="U3448" s="58">
        <v>0</v>
      </c>
      <c r="V3448" s="65">
        <v>0</v>
      </c>
      <c r="W3448" s="65">
        <v>0</v>
      </c>
      <c r="X3448" s="65">
        <v>0</v>
      </c>
      <c r="Y3448" s="65">
        <v>0</v>
      </c>
      <c r="Z3448" s="51">
        <v>105630.45</v>
      </c>
      <c r="AA3448" s="51">
        <v>0</v>
      </c>
      <c r="AB3448" s="102">
        <v>0</v>
      </c>
      <c r="AC3448" s="81">
        <f t="shared" si="163"/>
        <v>0</v>
      </c>
      <c r="AD3448" s="82">
        <f t="shared" si="164"/>
        <v>0</v>
      </c>
      <c r="AE3448" s="218">
        <v>0</v>
      </c>
      <c r="AF3448">
        <v>0</v>
      </c>
      <c r="AH3448" t="str">
        <f t="shared" si="165"/>
        <v>DalsinghSarai</v>
      </c>
      <c r="AJ3448" s="72">
        <v>0</v>
      </c>
      <c r="AK3448" s="72"/>
      <c r="AL3448" s="72"/>
      <c r="AM3448" s="72"/>
    </row>
    <row r="3449" spans="1:39" x14ac:dyDescent="0.25">
      <c r="A3449" s="37" t="s">
        <v>62</v>
      </c>
      <c r="B3449" s="66" t="s">
        <v>1676</v>
      </c>
      <c r="C3449" s="4">
        <v>1012</v>
      </c>
      <c r="D3449" s="41" t="s">
        <v>306</v>
      </c>
      <c r="E3449" s="41">
        <v>10120099</v>
      </c>
      <c r="F3449" s="85" t="s">
        <v>525</v>
      </c>
      <c r="G3449" s="39" t="s">
        <v>1610</v>
      </c>
      <c r="H3449" s="52" t="s">
        <v>98</v>
      </c>
      <c r="I3449" s="52">
        <v>9908</v>
      </c>
      <c r="J3449" s="49">
        <v>397709.66000000003</v>
      </c>
      <c r="K3449" s="58">
        <v>0</v>
      </c>
      <c r="L3449" s="58">
        <v>0</v>
      </c>
      <c r="M3449" s="58">
        <v>0</v>
      </c>
      <c r="N3449" s="58">
        <v>0</v>
      </c>
      <c r="O3449" s="58">
        <v>0</v>
      </c>
      <c r="P3449" s="53">
        <v>0</v>
      </c>
      <c r="Q3449" s="65">
        <v>397709.66000000003</v>
      </c>
      <c r="R3449" s="65">
        <v>0</v>
      </c>
      <c r="S3449" s="65">
        <v>0</v>
      </c>
      <c r="T3449" s="65">
        <v>0</v>
      </c>
      <c r="U3449" s="58">
        <v>0</v>
      </c>
      <c r="V3449" s="65">
        <v>0</v>
      </c>
      <c r="W3449" s="65">
        <v>0</v>
      </c>
      <c r="X3449" s="65">
        <v>0</v>
      </c>
      <c r="Y3449" s="65">
        <v>0</v>
      </c>
      <c r="Z3449" s="51">
        <v>397709.66000000003</v>
      </c>
      <c r="AA3449" s="51">
        <v>0</v>
      </c>
      <c r="AB3449" s="102">
        <v>0</v>
      </c>
      <c r="AC3449" s="81">
        <f t="shared" si="163"/>
        <v>0</v>
      </c>
      <c r="AD3449" s="82">
        <f t="shared" si="164"/>
        <v>0</v>
      </c>
      <c r="AE3449" s="218">
        <v>0</v>
      </c>
      <c r="AF3449">
        <v>0</v>
      </c>
      <c r="AH3449" t="str">
        <f t="shared" si="165"/>
        <v>DalsinghSarai</v>
      </c>
      <c r="AJ3449" s="72">
        <v>0</v>
      </c>
      <c r="AK3449" s="72"/>
      <c r="AL3449" s="72"/>
      <c r="AM3449" s="72"/>
    </row>
    <row r="3450" spans="1:39" x14ac:dyDescent="0.25">
      <c r="A3450" s="37" t="s">
        <v>62</v>
      </c>
      <c r="B3450" s="66" t="s">
        <v>1676</v>
      </c>
      <c r="C3450" s="4">
        <v>1012</v>
      </c>
      <c r="D3450" s="41" t="s">
        <v>306</v>
      </c>
      <c r="E3450" s="41">
        <v>10120103</v>
      </c>
      <c r="F3450" s="85" t="s">
        <v>560</v>
      </c>
      <c r="G3450" s="39" t="s">
        <v>1610</v>
      </c>
      <c r="H3450" s="52" t="s">
        <v>98</v>
      </c>
      <c r="I3450" s="52">
        <v>1824.3</v>
      </c>
      <c r="J3450" s="49">
        <v>74623.649999999994</v>
      </c>
      <c r="K3450" s="58">
        <v>0</v>
      </c>
      <c r="L3450" s="58">
        <v>0</v>
      </c>
      <c r="M3450" s="58">
        <v>0</v>
      </c>
      <c r="N3450" s="58">
        <v>0</v>
      </c>
      <c r="O3450" s="58">
        <v>0</v>
      </c>
      <c r="P3450" s="53">
        <v>0</v>
      </c>
      <c r="Q3450" s="65">
        <v>74623.649999999994</v>
      </c>
      <c r="R3450" s="65">
        <v>0</v>
      </c>
      <c r="S3450" s="65">
        <v>0</v>
      </c>
      <c r="T3450" s="65">
        <v>0</v>
      </c>
      <c r="U3450" s="58">
        <v>1855</v>
      </c>
      <c r="V3450" s="65">
        <v>0</v>
      </c>
      <c r="W3450" s="65">
        <v>0</v>
      </c>
      <c r="X3450" s="65">
        <v>0</v>
      </c>
      <c r="Y3450" s="65">
        <v>0</v>
      </c>
      <c r="Z3450" s="51">
        <v>72768.649999999994</v>
      </c>
      <c r="AA3450" s="51">
        <v>0</v>
      </c>
      <c r="AB3450" s="102">
        <v>0</v>
      </c>
      <c r="AC3450" s="81">
        <f t="shared" si="163"/>
        <v>0</v>
      </c>
      <c r="AD3450" s="82">
        <f t="shared" si="164"/>
        <v>0</v>
      </c>
      <c r="AE3450" s="218">
        <v>0</v>
      </c>
      <c r="AF3450">
        <v>0</v>
      </c>
      <c r="AH3450" t="str">
        <f t="shared" si="165"/>
        <v>DalsinghSarai</v>
      </c>
      <c r="AJ3450" s="72">
        <v>0</v>
      </c>
      <c r="AK3450" s="72"/>
      <c r="AL3450" s="72"/>
      <c r="AM3450" s="72"/>
    </row>
    <row r="3451" spans="1:39" x14ac:dyDescent="0.25">
      <c r="A3451" s="37" t="s">
        <v>62</v>
      </c>
      <c r="B3451" s="66" t="s">
        <v>1676</v>
      </c>
      <c r="C3451" s="4">
        <v>1012</v>
      </c>
      <c r="D3451" s="41" t="s">
        <v>306</v>
      </c>
      <c r="E3451" s="41">
        <v>10120104</v>
      </c>
      <c r="F3451" s="85" t="s">
        <v>648</v>
      </c>
      <c r="G3451" s="39" t="s">
        <v>92</v>
      </c>
      <c r="H3451" s="52" t="s">
        <v>93</v>
      </c>
      <c r="I3451" s="52">
        <v>1283</v>
      </c>
      <c r="J3451" s="49">
        <v>51816.860000000008</v>
      </c>
      <c r="K3451" s="58">
        <v>265.24</v>
      </c>
      <c r="L3451" s="58">
        <v>10594.02</v>
      </c>
      <c r="M3451" s="58">
        <v>1027.4299999999998</v>
      </c>
      <c r="N3451" s="58">
        <v>41210.69000000001</v>
      </c>
      <c r="O3451" s="58">
        <v>1292.6699999999998</v>
      </c>
      <c r="P3451" s="53">
        <v>51804.710000000006</v>
      </c>
      <c r="Q3451" s="65">
        <v>51804.710000000006</v>
      </c>
      <c r="R3451" s="65">
        <v>0</v>
      </c>
      <c r="S3451" s="65">
        <v>0</v>
      </c>
      <c r="T3451" s="65">
        <v>0</v>
      </c>
      <c r="U3451" s="58">
        <v>2800</v>
      </c>
      <c r="V3451" s="65">
        <v>0</v>
      </c>
      <c r="W3451" s="65">
        <v>0</v>
      </c>
      <c r="X3451" s="65">
        <v>7794</v>
      </c>
      <c r="Y3451" s="65">
        <v>41210</v>
      </c>
      <c r="Z3451" s="51">
        <v>0</v>
      </c>
      <c r="AA3451" s="51">
        <v>13</v>
      </c>
      <c r="AB3451" s="102">
        <v>0</v>
      </c>
      <c r="AC3451" s="81">
        <f t="shared" ref="AC3451:AC3514" si="166">((IF(AD3451=0,0,100-AD3451))*7*(J3451/I3451))*2%</f>
        <v>0</v>
      </c>
      <c r="AD3451" s="82">
        <f t="shared" ref="AD3451:AD3514" si="167">IF((I3451/7)&gt;100,0,(I3451/7))</f>
        <v>0</v>
      </c>
      <c r="AE3451" s="218">
        <v>2.3447966549886376E-4</v>
      </c>
      <c r="AF3451">
        <v>18</v>
      </c>
      <c r="AH3451" t="str">
        <f t="shared" si="165"/>
        <v>DalsinghSarai</v>
      </c>
      <c r="AJ3451" s="72">
        <v>0</v>
      </c>
      <c r="AK3451" s="72"/>
      <c r="AL3451" s="72"/>
      <c r="AM3451" s="72"/>
    </row>
    <row r="3452" spans="1:39" x14ac:dyDescent="0.25">
      <c r="A3452" s="37" t="s">
        <v>62</v>
      </c>
      <c r="B3452" s="66" t="s">
        <v>1676</v>
      </c>
      <c r="C3452" s="4">
        <v>1012</v>
      </c>
      <c r="D3452" s="41" t="s">
        <v>306</v>
      </c>
      <c r="E3452" s="41">
        <v>10120106</v>
      </c>
      <c r="F3452" s="85" t="s">
        <v>641</v>
      </c>
      <c r="G3452" s="39" t="s">
        <v>1610</v>
      </c>
      <c r="H3452" s="52" t="s">
        <v>98</v>
      </c>
      <c r="I3452" s="52">
        <v>1150</v>
      </c>
      <c r="J3452" s="49">
        <v>44615.199999999997</v>
      </c>
      <c r="K3452" s="58">
        <v>0</v>
      </c>
      <c r="L3452" s="58">
        <v>0</v>
      </c>
      <c r="M3452" s="58">
        <v>0</v>
      </c>
      <c r="N3452" s="58">
        <v>0</v>
      </c>
      <c r="O3452" s="58">
        <v>0</v>
      </c>
      <c r="P3452" s="53">
        <v>0</v>
      </c>
      <c r="Q3452" s="65">
        <v>44615.199999999997</v>
      </c>
      <c r="R3452" s="65">
        <v>0</v>
      </c>
      <c r="S3452" s="65">
        <v>0</v>
      </c>
      <c r="T3452" s="65">
        <v>0</v>
      </c>
      <c r="U3452" s="58">
        <v>0</v>
      </c>
      <c r="V3452" s="65">
        <v>0</v>
      </c>
      <c r="W3452" s="65">
        <v>0</v>
      </c>
      <c r="X3452" s="65">
        <v>0</v>
      </c>
      <c r="Y3452" s="65">
        <v>0</v>
      </c>
      <c r="Z3452" s="51">
        <v>44615.199999999997</v>
      </c>
      <c r="AA3452" s="51">
        <v>0</v>
      </c>
      <c r="AB3452" s="102">
        <v>0</v>
      </c>
      <c r="AC3452" s="81">
        <f t="shared" si="166"/>
        <v>0</v>
      </c>
      <c r="AD3452" s="82">
        <f t="shared" si="167"/>
        <v>0</v>
      </c>
      <c r="AE3452" s="218">
        <v>0</v>
      </c>
      <c r="AF3452">
        <v>0</v>
      </c>
      <c r="AH3452" t="str">
        <f t="shared" si="165"/>
        <v>DalsinghSarai</v>
      </c>
      <c r="AJ3452" s="72">
        <v>0</v>
      </c>
      <c r="AK3452" s="72"/>
      <c r="AL3452" s="72"/>
      <c r="AM3452" s="72"/>
    </row>
    <row r="3453" spans="1:39" x14ac:dyDescent="0.25">
      <c r="A3453" s="37" t="s">
        <v>62</v>
      </c>
      <c r="B3453" s="66" t="s">
        <v>1676</v>
      </c>
      <c r="C3453" s="4">
        <v>1012</v>
      </c>
      <c r="D3453" s="41" t="s">
        <v>306</v>
      </c>
      <c r="E3453" s="41">
        <v>10120107</v>
      </c>
      <c r="F3453" s="85" t="s">
        <v>649</v>
      </c>
      <c r="G3453" s="39" t="s">
        <v>92</v>
      </c>
      <c r="H3453" s="52" t="s">
        <v>93</v>
      </c>
      <c r="I3453" s="52">
        <v>701.45</v>
      </c>
      <c r="J3453" s="49">
        <v>28445.009999999995</v>
      </c>
      <c r="K3453" s="58">
        <v>671.44999999999993</v>
      </c>
      <c r="L3453" s="58">
        <v>27023.010000000006</v>
      </c>
      <c r="M3453" s="58">
        <v>33.6</v>
      </c>
      <c r="N3453" s="58">
        <v>1418.4499999999998</v>
      </c>
      <c r="O3453" s="58">
        <v>705.05</v>
      </c>
      <c r="P3453" s="53">
        <v>28441.460000000006</v>
      </c>
      <c r="Q3453" s="65">
        <v>28441.460000000006</v>
      </c>
      <c r="R3453" s="65">
        <v>0</v>
      </c>
      <c r="S3453" s="65">
        <v>0</v>
      </c>
      <c r="T3453" s="65">
        <v>0</v>
      </c>
      <c r="U3453" s="58">
        <v>0</v>
      </c>
      <c r="V3453" s="65">
        <v>0</v>
      </c>
      <c r="W3453" s="65">
        <v>0</v>
      </c>
      <c r="X3453" s="65">
        <v>27023</v>
      </c>
      <c r="Y3453" s="65">
        <v>1420</v>
      </c>
      <c r="Z3453" s="51">
        <v>0</v>
      </c>
      <c r="AA3453" s="51">
        <v>2</v>
      </c>
      <c r="AB3453" s="102">
        <v>0</v>
      </c>
      <c r="AC3453" s="81">
        <f t="shared" si="166"/>
        <v>0</v>
      </c>
      <c r="AD3453" s="82">
        <f t="shared" si="167"/>
        <v>0</v>
      </c>
      <c r="AE3453" s="218">
        <v>1.2480220608072765E-4</v>
      </c>
      <c r="AF3453">
        <v>12</v>
      </c>
      <c r="AH3453" t="str">
        <f t="shared" si="165"/>
        <v>DalsinghSarai</v>
      </c>
      <c r="AJ3453" s="72">
        <v>0</v>
      </c>
      <c r="AK3453" s="72"/>
      <c r="AL3453" s="72"/>
      <c r="AM3453" s="72"/>
    </row>
    <row r="3454" spans="1:39" x14ac:dyDescent="0.25">
      <c r="A3454" s="37" t="s">
        <v>62</v>
      </c>
      <c r="B3454" s="66" t="s">
        <v>1676</v>
      </c>
      <c r="C3454" s="4">
        <v>1012</v>
      </c>
      <c r="D3454" s="41" t="s">
        <v>306</v>
      </c>
      <c r="E3454" s="41">
        <v>10120108</v>
      </c>
      <c r="F3454" s="85" t="s">
        <v>1099</v>
      </c>
      <c r="G3454" s="39" t="s">
        <v>92</v>
      </c>
      <c r="H3454" s="52" t="s">
        <v>93</v>
      </c>
      <c r="I3454" s="52">
        <v>573.15000000000009</v>
      </c>
      <c r="J3454" s="49">
        <v>22187.139999999996</v>
      </c>
      <c r="K3454" s="58">
        <v>347.2</v>
      </c>
      <c r="L3454" s="58">
        <v>14405.84</v>
      </c>
      <c r="M3454" s="58">
        <v>181.89999999999998</v>
      </c>
      <c r="N3454" s="58">
        <v>7758.8700000000008</v>
      </c>
      <c r="O3454" s="58">
        <v>529.09999999999991</v>
      </c>
      <c r="P3454" s="53">
        <v>22164.71</v>
      </c>
      <c r="Q3454" s="65">
        <v>22164.71</v>
      </c>
      <c r="R3454" s="65">
        <v>0</v>
      </c>
      <c r="S3454" s="65">
        <v>0</v>
      </c>
      <c r="T3454" s="65">
        <v>0</v>
      </c>
      <c r="U3454" s="58">
        <v>0</v>
      </c>
      <c r="V3454" s="65">
        <v>0</v>
      </c>
      <c r="W3454" s="65">
        <v>0</v>
      </c>
      <c r="X3454" s="65">
        <v>14405</v>
      </c>
      <c r="Y3454" s="65">
        <v>7759</v>
      </c>
      <c r="Z3454" s="51">
        <v>0</v>
      </c>
      <c r="AA3454" s="51">
        <v>23</v>
      </c>
      <c r="AB3454" s="102">
        <v>0</v>
      </c>
      <c r="AC3454" s="81">
        <f t="shared" si="166"/>
        <v>98.209498700165611</v>
      </c>
      <c r="AD3454" s="82">
        <f t="shared" si="167"/>
        <v>81.878571428571448</v>
      </c>
      <c r="AE3454" s="218">
        <v>1.0109459804191372E-3</v>
      </c>
      <c r="AF3454">
        <v>13</v>
      </c>
      <c r="AH3454" t="str">
        <f t="shared" si="165"/>
        <v>DalsinghSarai</v>
      </c>
      <c r="AJ3454" s="72">
        <v>0</v>
      </c>
      <c r="AK3454" s="72"/>
      <c r="AL3454" s="72"/>
      <c r="AM3454" s="72"/>
    </row>
    <row r="3455" spans="1:39" x14ac:dyDescent="0.25">
      <c r="A3455" s="37" t="s">
        <v>62</v>
      </c>
      <c r="B3455" s="66" t="s">
        <v>1676</v>
      </c>
      <c r="C3455" s="4">
        <v>1012</v>
      </c>
      <c r="D3455" s="41" t="s">
        <v>306</v>
      </c>
      <c r="E3455" s="41">
        <v>10120109</v>
      </c>
      <c r="F3455" s="85" t="s">
        <v>1428</v>
      </c>
      <c r="G3455" s="39" t="s">
        <v>1610</v>
      </c>
      <c r="H3455" s="52" t="s">
        <v>98</v>
      </c>
      <c r="I3455" s="52">
        <v>1565.6000000000001</v>
      </c>
      <c r="J3455" s="49">
        <v>59082.510000000009</v>
      </c>
      <c r="K3455" s="58">
        <v>0</v>
      </c>
      <c r="L3455" s="58">
        <v>0</v>
      </c>
      <c r="M3455" s="58">
        <v>0</v>
      </c>
      <c r="N3455" s="58">
        <v>0</v>
      </c>
      <c r="O3455" s="58">
        <v>0</v>
      </c>
      <c r="P3455" s="53">
        <v>0</v>
      </c>
      <c r="Q3455" s="65">
        <v>59082.510000000009</v>
      </c>
      <c r="R3455" s="65">
        <v>0</v>
      </c>
      <c r="S3455" s="65">
        <v>0</v>
      </c>
      <c r="T3455" s="65">
        <v>0</v>
      </c>
      <c r="U3455" s="58">
        <v>0</v>
      </c>
      <c r="V3455" s="65">
        <v>0</v>
      </c>
      <c r="W3455" s="65">
        <v>0</v>
      </c>
      <c r="X3455" s="65">
        <v>0</v>
      </c>
      <c r="Y3455" s="65">
        <v>0</v>
      </c>
      <c r="Z3455" s="51">
        <v>59082.510000000009</v>
      </c>
      <c r="AA3455" s="51">
        <v>0</v>
      </c>
      <c r="AB3455" s="102">
        <v>0</v>
      </c>
      <c r="AC3455" s="81">
        <f t="shared" si="166"/>
        <v>0</v>
      </c>
      <c r="AD3455" s="82">
        <f t="shared" si="167"/>
        <v>0</v>
      </c>
      <c r="AE3455" s="218">
        <v>0</v>
      </c>
      <c r="AF3455">
        <v>0</v>
      </c>
      <c r="AH3455" t="str">
        <f t="shared" si="165"/>
        <v>DalsinghSarai</v>
      </c>
      <c r="AJ3455" s="72">
        <v>0</v>
      </c>
      <c r="AK3455" s="72"/>
      <c r="AL3455" s="72"/>
      <c r="AM3455" s="72"/>
    </row>
    <row r="3456" spans="1:39" x14ac:dyDescent="0.25">
      <c r="A3456" s="37" t="s">
        <v>62</v>
      </c>
      <c r="B3456" s="66" t="s">
        <v>1676</v>
      </c>
      <c r="C3456" s="4">
        <v>1012</v>
      </c>
      <c r="D3456" s="41" t="s">
        <v>306</v>
      </c>
      <c r="E3456" s="41">
        <v>10120111</v>
      </c>
      <c r="F3456" s="85" t="s">
        <v>1152</v>
      </c>
      <c r="G3456" s="39" t="s">
        <v>92</v>
      </c>
      <c r="H3456" s="52" t="s">
        <v>93</v>
      </c>
      <c r="I3456" s="52">
        <v>983.6</v>
      </c>
      <c r="J3456" s="49">
        <v>40514.870000000003</v>
      </c>
      <c r="K3456" s="58">
        <v>183</v>
      </c>
      <c r="L3456" s="58">
        <v>7448.42</v>
      </c>
      <c r="M3456" s="58">
        <v>800.75000000000011</v>
      </c>
      <c r="N3456" s="58">
        <v>33065.619999999995</v>
      </c>
      <c r="O3456" s="58">
        <v>983.75000000000011</v>
      </c>
      <c r="P3456" s="53">
        <v>40514.039999999994</v>
      </c>
      <c r="Q3456" s="65">
        <v>40514.039999999994</v>
      </c>
      <c r="R3456" s="65">
        <v>0</v>
      </c>
      <c r="S3456" s="65">
        <v>55.85</v>
      </c>
      <c r="T3456" s="65">
        <v>0</v>
      </c>
      <c r="U3456" s="58">
        <v>0</v>
      </c>
      <c r="V3456" s="65">
        <v>0</v>
      </c>
      <c r="W3456" s="65">
        <v>0</v>
      </c>
      <c r="X3456" s="65">
        <v>7449</v>
      </c>
      <c r="Y3456" s="65">
        <v>33010</v>
      </c>
      <c r="Z3456" s="51">
        <v>0</v>
      </c>
      <c r="AA3456" s="51">
        <v>0</v>
      </c>
      <c r="AB3456" s="102">
        <v>0</v>
      </c>
      <c r="AC3456" s="81">
        <f t="shared" si="166"/>
        <v>0</v>
      </c>
      <c r="AD3456" s="82">
        <f t="shared" si="167"/>
        <v>0</v>
      </c>
      <c r="AE3456" s="218">
        <v>2.0486305398709712E-5</v>
      </c>
      <c r="AF3456">
        <v>12</v>
      </c>
      <c r="AH3456" t="str">
        <f t="shared" si="165"/>
        <v>DalsinghSarai</v>
      </c>
      <c r="AJ3456" s="72">
        <v>0</v>
      </c>
      <c r="AK3456" s="72"/>
      <c r="AL3456" s="72"/>
      <c r="AM3456" s="72"/>
    </row>
    <row r="3457" spans="1:39" x14ac:dyDescent="0.25">
      <c r="A3457" s="37" t="s">
        <v>62</v>
      </c>
      <c r="B3457" s="66" t="s">
        <v>1676</v>
      </c>
      <c r="C3457" s="4">
        <v>1012</v>
      </c>
      <c r="D3457" s="41" t="s">
        <v>306</v>
      </c>
      <c r="E3457" s="41">
        <v>10120113</v>
      </c>
      <c r="F3457" s="85" t="s">
        <v>1227</v>
      </c>
      <c r="G3457" s="39" t="s">
        <v>92</v>
      </c>
      <c r="H3457" s="52" t="s">
        <v>93</v>
      </c>
      <c r="I3457" s="52">
        <v>75.050000000000011</v>
      </c>
      <c r="J3457" s="49">
        <v>2913.0099999999998</v>
      </c>
      <c r="K3457" s="58">
        <v>74.56</v>
      </c>
      <c r="L3457" s="58">
        <v>2912.0699999999997</v>
      </c>
      <c r="M3457" s="58">
        <v>0</v>
      </c>
      <c r="N3457" s="58">
        <v>0</v>
      </c>
      <c r="O3457" s="58">
        <v>74.56</v>
      </c>
      <c r="P3457" s="53">
        <v>2912.0699999999997</v>
      </c>
      <c r="Q3457" s="65">
        <v>2912.0699999999997</v>
      </c>
      <c r="R3457" s="65">
        <v>0</v>
      </c>
      <c r="S3457" s="65">
        <v>0</v>
      </c>
      <c r="T3457" s="65">
        <v>0</v>
      </c>
      <c r="U3457" s="58">
        <v>0</v>
      </c>
      <c r="V3457" s="65">
        <v>500</v>
      </c>
      <c r="W3457" s="65">
        <v>0</v>
      </c>
      <c r="X3457" s="65">
        <v>2412</v>
      </c>
      <c r="Y3457" s="65">
        <v>0</v>
      </c>
      <c r="Z3457" s="51">
        <v>0</v>
      </c>
      <c r="AA3457" s="51">
        <v>1</v>
      </c>
      <c r="AB3457" s="102" t="s">
        <v>66</v>
      </c>
      <c r="AC3457" s="81">
        <f t="shared" si="166"/>
        <v>485.13940026648891</v>
      </c>
      <c r="AD3457" s="82">
        <f t="shared" si="167"/>
        <v>10.721428571428573</v>
      </c>
      <c r="AE3457" s="218">
        <v>3.2269027569423197E-4</v>
      </c>
      <c r="AF3457">
        <v>1</v>
      </c>
      <c r="AH3457" t="str">
        <f t="shared" si="165"/>
        <v>DalsinghSarai</v>
      </c>
      <c r="AJ3457" s="72">
        <v>500</v>
      </c>
      <c r="AK3457" s="72"/>
      <c r="AL3457" s="72"/>
      <c r="AM3457" s="72"/>
    </row>
    <row r="3458" spans="1:39" x14ac:dyDescent="0.25">
      <c r="A3458" s="37" t="s">
        <v>62</v>
      </c>
      <c r="B3458" s="66" t="s">
        <v>1676</v>
      </c>
      <c r="C3458" s="4">
        <v>1012</v>
      </c>
      <c r="D3458" s="41" t="s">
        <v>306</v>
      </c>
      <c r="E3458" s="41">
        <v>10120114</v>
      </c>
      <c r="F3458" s="85" t="s">
        <v>1187</v>
      </c>
      <c r="G3458" s="39" t="s">
        <v>92</v>
      </c>
      <c r="H3458" s="52" t="s">
        <v>93</v>
      </c>
      <c r="I3458" s="52">
        <v>156.95000000000002</v>
      </c>
      <c r="J3458" s="49">
        <v>6680.9999999999991</v>
      </c>
      <c r="K3458" s="58">
        <v>106.3</v>
      </c>
      <c r="L3458" s="58">
        <v>4599.57</v>
      </c>
      <c r="M3458" s="58">
        <v>54.899999999999991</v>
      </c>
      <c r="N3458" s="58">
        <v>2017.09</v>
      </c>
      <c r="O3458" s="58">
        <v>161.19999999999999</v>
      </c>
      <c r="P3458" s="53">
        <v>6616.66</v>
      </c>
      <c r="Q3458" s="65">
        <v>6616.66</v>
      </c>
      <c r="R3458" s="65">
        <v>0</v>
      </c>
      <c r="S3458" s="65">
        <v>0</v>
      </c>
      <c r="T3458" s="65">
        <v>0</v>
      </c>
      <c r="U3458" s="58">
        <v>0</v>
      </c>
      <c r="V3458" s="65">
        <v>500</v>
      </c>
      <c r="W3458" s="65">
        <v>0</v>
      </c>
      <c r="X3458" s="65">
        <v>4100</v>
      </c>
      <c r="Y3458" s="65">
        <v>2017</v>
      </c>
      <c r="Z3458" s="51">
        <v>0</v>
      </c>
      <c r="AA3458" s="51">
        <v>64</v>
      </c>
      <c r="AB3458" s="102">
        <v>0</v>
      </c>
      <c r="AC3458" s="81">
        <f t="shared" si="166"/>
        <v>462.32775406180298</v>
      </c>
      <c r="AD3458" s="82">
        <f t="shared" si="167"/>
        <v>22.421428571428574</v>
      </c>
      <c r="AE3458" s="218">
        <v>9.6302948660379056E-3</v>
      </c>
      <c r="AF3458">
        <v>4</v>
      </c>
      <c r="AH3458" t="str">
        <f t="shared" si="165"/>
        <v>DalsinghSarai</v>
      </c>
      <c r="AJ3458" s="72">
        <v>500</v>
      </c>
      <c r="AK3458" s="72"/>
      <c r="AL3458" s="72"/>
      <c r="AM3458" s="72"/>
    </row>
    <row r="3459" spans="1:39" x14ac:dyDescent="0.25">
      <c r="A3459" s="37" t="s">
        <v>62</v>
      </c>
      <c r="B3459" s="66" t="s">
        <v>1676</v>
      </c>
      <c r="C3459" s="4">
        <v>1012</v>
      </c>
      <c r="D3459" s="41" t="s">
        <v>306</v>
      </c>
      <c r="E3459" s="41">
        <v>10120115</v>
      </c>
      <c r="F3459" s="85" t="s">
        <v>1192</v>
      </c>
      <c r="G3459" s="39" t="s">
        <v>1610</v>
      </c>
      <c r="H3459" s="52" t="s">
        <v>98</v>
      </c>
      <c r="I3459" s="52">
        <v>1745.55</v>
      </c>
      <c r="J3459" s="49">
        <v>69044.44</v>
      </c>
      <c r="K3459" s="58">
        <v>0</v>
      </c>
      <c r="L3459" s="58">
        <v>0</v>
      </c>
      <c r="M3459" s="58">
        <v>0</v>
      </c>
      <c r="N3459" s="58">
        <v>0</v>
      </c>
      <c r="O3459" s="58">
        <v>0</v>
      </c>
      <c r="P3459" s="53">
        <v>0</v>
      </c>
      <c r="Q3459" s="65">
        <v>69044.44</v>
      </c>
      <c r="R3459" s="65">
        <v>0</v>
      </c>
      <c r="S3459" s="65">
        <v>0</v>
      </c>
      <c r="T3459" s="65">
        <v>0</v>
      </c>
      <c r="U3459" s="58">
        <v>0</v>
      </c>
      <c r="V3459" s="65">
        <v>0</v>
      </c>
      <c r="W3459" s="65">
        <v>0</v>
      </c>
      <c r="X3459" s="65">
        <v>0</v>
      </c>
      <c r="Y3459" s="65">
        <v>0</v>
      </c>
      <c r="Z3459" s="51">
        <v>69044.44</v>
      </c>
      <c r="AA3459" s="51">
        <v>0</v>
      </c>
      <c r="AB3459" s="102">
        <v>0</v>
      </c>
      <c r="AC3459" s="81">
        <f t="shared" si="166"/>
        <v>0</v>
      </c>
      <c r="AD3459" s="82">
        <f t="shared" si="167"/>
        <v>0</v>
      </c>
      <c r="AE3459" s="218">
        <v>0</v>
      </c>
      <c r="AF3459">
        <v>0</v>
      </c>
      <c r="AH3459" t="str">
        <f t="shared" si="165"/>
        <v>DalsinghSarai</v>
      </c>
      <c r="AJ3459" s="72">
        <v>0</v>
      </c>
      <c r="AK3459" s="72"/>
      <c r="AL3459" s="72"/>
      <c r="AM3459" s="72"/>
    </row>
    <row r="3460" spans="1:39" x14ac:dyDescent="0.25">
      <c r="A3460" s="37" t="s">
        <v>62</v>
      </c>
      <c r="B3460" s="66" t="s">
        <v>1676</v>
      </c>
      <c r="C3460" s="4">
        <v>1012</v>
      </c>
      <c r="D3460" s="41" t="s">
        <v>306</v>
      </c>
      <c r="E3460" s="41">
        <v>10120116</v>
      </c>
      <c r="F3460" s="85" t="s">
        <v>1234</v>
      </c>
      <c r="G3460" s="39" t="s">
        <v>92</v>
      </c>
      <c r="H3460" s="52" t="s">
        <v>93</v>
      </c>
      <c r="I3460" s="52">
        <v>1460.5999999999995</v>
      </c>
      <c r="J3460" s="49">
        <v>64066.520000000019</v>
      </c>
      <c r="K3460" s="58">
        <v>374.59999999999997</v>
      </c>
      <c r="L3460" s="58">
        <v>14754.14</v>
      </c>
      <c r="M3460" s="58">
        <v>1139.0999999999999</v>
      </c>
      <c r="N3460" s="58">
        <v>49307.68</v>
      </c>
      <c r="O3460" s="58">
        <v>1513.6999999999998</v>
      </c>
      <c r="P3460" s="53">
        <v>64061.82</v>
      </c>
      <c r="Q3460" s="65">
        <v>64061.82</v>
      </c>
      <c r="R3460" s="65">
        <v>0</v>
      </c>
      <c r="S3460" s="65">
        <v>2841.32</v>
      </c>
      <c r="T3460" s="65">
        <v>0</v>
      </c>
      <c r="U3460" s="58">
        <v>0</v>
      </c>
      <c r="V3460" s="65">
        <v>0</v>
      </c>
      <c r="W3460" s="65">
        <v>0</v>
      </c>
      <c r="X3460" s="65">
        <v>14753</v>
      </c>
      <c r="Y3460" s="65">
        <v>46466</v>
      </c>
      <c r="Z3460" s="51">
        <v>0</v>
      </c>
      <c r="AA3460" s="51">
        <v>6</v>
      </c>
      <c r="AB3460" s="102">
        <v>0</v>
      </c>
      <c r="AC3460" s="81">
        <f t="shared" si="166"/>
        <v>0</v>
      </c>
      <c r="AD3460" s="82">
        <f t="shared" si="167"/>
        <v>0</v>
      </c>
      <c r="AE3460" s="218">
        <v>7.3361250150919948E-5</v>
      </c>
      <c r="AF3460">
        <v>29</v>
      </c>
      <c r="AH3460" t="str">
        <f t="shared" si="165"/>
        <v>DalsinghSarai</v>
      </c>
      <c r="AJ3460" s="72">
        <v>0</v>
      </c>
      <c r="AK3460" s="72"/>
      <c r="AL3460" s="72"/>
      <c r="AM3460" s="72"/>
    </row>
    <row r="3461" spans="1:39" x14ac:dyDescent="0.25">
      <c r="A3461" s="37" t="s">
        <v>62</v>
      </c>
      <c r="B3461" s="66" t="s">
        <v>1676</v>
      </c>
      <c r="C3461" s="4">
        <v>1012</v>
      </c>
      <c r="D3461" s="41" t="s">
        <v>306</v>
      </c>
      <c r="E3461" s="41">
        <v>10120120</v>
      </c>
      <c r="F3461" s="85" t="s">
        <v>1364</v>
      </c>
      <c r="G3461" s="39" t="s">
        <v>92</v>
      </c>
      <c r="H3461" s="52" t="s">
        <v>93</v>
      </c>
      <c r="I3461" s="52">
        <v>403.70000000000005</v>
      </c>
      <c r="J3461" s="49">
        <v>16323.510000000002</v>
      </c>
      <c r="K3461" s="58">
        <v>251.48999999999998</v>
      </c>
      <c r="L3461" s="58">
        <v>10112.759999999998</v>
      </c>
      <c r="M3461" s="58">
        <v>155.46</v>
      </c>
      <c r="N3461" s="58">
        <v>6203.920000000001</v>
      </c>
      <c r="O3461" s="58">
        <v>406.95</v>
      </c>
      <c r="P3461" s="53">
        <v>16316.68</v>
      </c>
      <c r="Q3461" s="65">
        <v>16316.68</v>
      </c>
      <c r="R3461" s="65">
        <v>0</v>
      </c>
      <c r="S3461" s="65">
        <v>0</v>
      </c>
      <c r="T3461" s="65">
        <v>0</v>
      </c>
      <c r="U3461" s="58">
        <v>0</v>
      </c>
      <c r="V3461" s="65">
        <v>0</v>
      </c>
      <c r="W3461" s="65">
        <v>0</v>
      </c>
      <c r="X3461" s="65">
        <v>10113</v>
      </c>
      <c r="Y3461" s="65">
        <v>6203</v>
      </c>
      <c r="Z3461" s="51">
        <v>0</v>
      </c>
      <c r="AA3461" s="51">
        <v>8</v>
      </c>
      <c r="AB3461" s="102">
        <v>0</v>
      </c>
      <c r="AC3461" s="81">
        <f t="shared" si="166"/>
        <v>239.61634941788452</v>
      </c>
      <c r="AD3461" s="82">
        <f t="shared" si="167"/>
        <v>57.671428571428578</v>
      </c>
      <c r="AE3461" s="218">
        <v>4.1841491198901126E-4</v>
      </c>
      <c r="AF3461">
        <v>11</v>
      </c>
      <c r="AH3461" t="str">
        <f t="shared" si="165"/>
        <v>DalsinghSarai</v>
      </c>
      <c r="AJ3461" s="72">
        <v>0</v>
      </c>
      <c r="AK3461" s="72"/>
      <c r="AL3461" s="72"/>
      <c r="AM3461" s="72"/>
    </row>
    <row r="3462" spans="1:39" x14ac:dyDescent="0.25">
      <c r="A3462" s="37" t="s">
        <v>62</v>
      </c>
      <c r="B3462" s="66" t="s">
        <v>1676</v>
      </c>
      <c r="C3462" s="4">
        <v>1012</v>
      </c>
      <c r="D3462" s="41" t="s">
        <v>306</v>
      </c>
      <c r="E3462" s="41">
        <v>10120122</v>
      </c>
      <c r="F3462" s="85" t="s">
        <v>1314</v>
      </c>
      <c r="G3462" s="39" t="s">
        <v>92</v>
      </c>
      <c r="H3462" s="52" t="s">
        <v>93</v>
      </c>
      <c r="I3462" s="52">
        <v>1177.6999999999998</v>
      </c>
      <c r="J3462" s="49">
        <v>50680.229999999989</v>
      </c>
      <c r="K3462" s="58">
        <v>505.43999999999994</v>
      </c>
      <c r="L3462" s="58">
        <v>20911.810000000001</v>
      </c>
      <c r="M3462" s="58">
        <v>690.31</v>
      </c>
      <c r="N3462" s="58">
        <v>29761.919999999995</v>
      </c>
      <c r="O3462" s="58">
        <v>1195.75</v>
      </c>
      <c r="P3462" s="53">
        <v>50673.729999999996</v>
      </c>
      <c r="Q3462" s="65">
        <v>50673.729999999996</v>
      </c>
      <c r="R3462" s="65">
        <v>0</v>
      </c>
      <c r="S3462" s="65">
        <v>0</v>
      </c>
      <c r="T3462" s="65">
        <v>0</v>
      </c>
      <c r="U3462" s="58">
        <v>108</v>
      </c>
      <c r="V3462" s="65">
        <v>0</v>
      </c>
      <c r="W3462" s="65">
        <v>0</v>
      </c>
      <c r="X3462" s="65">
        <v>20804</v>
      </c>
      <c r="Y3462" s="65">
        <v>29761</v>
      </c>
      <c r="Z3462" s="51">
        <v>0</v>
      </c>
      <c r="AA3462" s="51">
        <v>7</v>
      </c>
      <c r="AB3462" s="102">
        <v>0</v>
      </c>
      <c r="AC3462" s="81">
        <f t="shared" si="166"/>
        <v>0</v>
      </c>
      <c r="AD3462" s="82">
        <f t="shared" si="167"/>
        <v>0</v>
      </c>
      <c r="AE3462" s="218">
        <v>1.282551401205702E-4</v>
      </c>
      <c r="AF3462">
        <v>20</v>
      </c>
      <c r="AH3462" t="str">
        <f t="shared" si="165"/>
        <v>DalsinghSarai</v>
      </c>
      <c r="AJ3462" s="72">
        <v>0</v>
      </c>
      <c r="AK3462" s="72"/>
      <c r="AL3462" s="72"/>
      <c r="AM3462" s="72"/>
    </row>
    <row r="3463" spans="1:39" x14ac:dyDescent="0.25">
      <c r="A3463" s="37" t="s">
        <v>62</v>
      </c>
      <c r="B3463" s="66" t="s">
        <v>1676</v>
      </c>
      <c r="C3463" s="4">
        <v>1012</v>
      </c>
      <c r="D3463" s="41" t="s">
        <v>306</v>
      </c>
      <c r="E3463" s="41">
        <v>10120123</v>
      </c>
      <c r="F3463" s="85" t="s">
        <v>1365</v>
      </c>
      <c r="G3463" s="39" t="s">
        <v>92</v>
      </c>
      <c r="H3463" s="52" t="s">
        <v>93</v>
      </c>
      <c r="I3463" s="52">
        <v>984.14999999999975</v>
      </c>
      <c r="J3463" s="49">
        <v>38918.709999999992</v>
      </c>
      <c r="K3463" s="58">
        <v>609.79</v>
      </c>
      <c r="L3463" s="58">
        <v>24729.29</v>
      </c>
      <c r="M3463" s="58">
        <v>370.00000000000011</v>
      </c>
      <c r="N3463" s="58">
        <v>14179.220000000003</v>
      </c>
      <c r="O3463" s="58">
        <v>979.79000000000008</v>
      </c>
      <c r="P3463" s="53">
        <v>38908.51</v>
      </c>
      <c r="Q3463" s="65">
        <v>38908.51</v>
      </c>
      <c r="R3463" s="65">
        <v>0</v>
      </c>
      <c r="S3463" s="65">
        <v>135.54999999999998</v>
      </c>
      <c r="T3463" s="65">
        <v>0</v>
      </c>
      <c r="U3463" s="58">
        <v>0</v>
      </c>
      <c r="V3463" s="65">
        <v>0</v>
      </c>
      <c r="W3463" s="65">
        <v>0</v>
      </c>
      <c r="X3463" s="65">
        <v>24730</v>
      </c>
      <c r="Y3463" s="65">
        <v>14042</v>
      </c>
      <c r="Z3463" s="51">
        <v>0</v>
      </c>
      <c r="AA3463" s="51">
        <v>11</v>
      </c>
      <c r="AB3463" s="102">
        <v>0</v>
      </c>
      <c r="AC3463" s="81">
        <f t="shared" si="166"/>
        <v>0</v>
      </c>
      <c r="AD3463" s="82">
        <f t="shared" si="167"/>
        <v>0</v>
      </c>
      <c r="AE3463" s="218">
        <v>2.6208474021851739E-4</v>
      </c>
      <c r="AF3463">
        <v>22</v>
      </c>
      <c r="AH3463" t="str">
        <f t="shared" si="165"/>
        <v>DalsinghSarai</v>
      </c>
      <c r="AJ3463" s="72">
        <v>0</v>
      </c>
      <c r="AK3463" s="72"/>
      <c r="AL3463" s="72"/>
      <c r="AM3463" s="72"/>
    </row>
    <row r="3464" spans="1:39" x14ac:dyDescent="0.25">
      <c r="A3464" s="37" t="s">
        <v>62</v>
      </c>
      <c r="B3464" s="66" t="s">
        <v>1676</v>
      </c>
      <c r="C3464" s="4">
        <v>1012</v>
      </c>
      <c r="D3464" s="41" t="s">
        <v>306</v>
      </c>
      <c r="E3464" s="41">
        <v>10120124</v>
      </c>
      <c r="F3464" s="85" t="s">
        <v>1567</v>
      </c>
      <c r="G3464" s="39" t="s">
        <v>1610</v>
      </c>
      <c r="H3464" s="52" t="s">
        <v>98</v>
      </c>
      <c r="I3464" s="52">
        <v>844.79999999999984</v>
      </c>
      <c r="J3464" s="49">
        <v>35082.22</v>
      </c>
      <c r="K3464" s="58">
        <v>0</v>
      </c>
      <c r="L3464" s="58">
        <v>0</v>
      </c>
      <c r="M3464" s="58">
        <v>0</v>
      </c>
      <c r="N3464" s="58">
        <v>0</v>
      </c>
      <c r="O3464" s="58">
        <v>0</v>
      </c>
      <c r="P3464" s="53">
        <v>0</v>
      </c>
      <c r="Q3464" s="65">
        <v>35082.22</v>
      </c>
      <c r="R3464" s="65">
        <v>0</v>
      </c>
      <c r="S3464" s="65">
        <v>0</v>
      </c>
      <c r="T3464" s="65">
        <v>0</v>
      </c>
      <c r="U3464" s="58">
        <v>0</v>
      </c>
      <c r="V3464" s="65">
        <v>0</v>
      </c>
      <c r="W3464" s="65">
        <v>0</v>
      </c>
      <c r="X3464" s="65">
        <v>0</v>
      </c>
      <c r="Y3464" s="65">
        <v>0</v>
      </c>
      <c r="Z3464" s="51">
        <v>35082.22</v>
      </c>
      <c r="AA3464" s="51">
        <v>0</v>
      </c>
      <c r="AB3464" s="102">
        <v>0</v>
      </c>
      <c r="AC3464" s="81">
        <f t="shared" si="166"/>
        <v>0</v>
      </c>
      <c r="AD3464" s="82">
        <f t="shared" si="167"/>
        <v>0</v>
      </c>
      <c r="AE3464" s="218">
        <v>0</v>
      </c>
      <c r="AF3464">
        <v>0</v>
      </c>
      <c r="AH3464" t="str">
        <f t="shared" si="165"/>
        <v>DalsinghSarai</v>
      </c>
      <c r="AJ3464" s="72">
        <v>0</v>
      </c>
      <c r="AK3464" s="72"/>
      <c r="AL3464" s="72"/>
      <c r="AM3464" s="72"/>
    </row>
    <row r="3465" spans="1:39" x14ac:dyDescent="0.25">
      <c r="A3465" s="37" t="s">
        <v>62</v>
      </c>
      <c r="B3465" s="66" t="s">
        <v>1676</v>
      </c>
      <c r="C3465" s="4">
        <v>1013</v>
      </c>
      <c r="D3465" s="41" t="s">
        <v>343</v>
      </c>
      <c r="E3465" s="41">
        <v>10130001</v>
      </c>
      <c r="F3465" s="85" t="s">
        <v>344</v>
      </c>
      <c r="G3465" s="39" t="s">
        <v>92</v>
      </c>
      <c r="H3465" s="52" t="s">
        <v>93</v>
      </c>
      <c r="I3465" s="52">
        <v>606.79999999999995</v>
      </c>
      <c r="J3465" s="49">
        <v>22422.09</v>
      </c>
      <c r="K3465" s="58">
        <v>173.22</v>
      </c>
      <c r="L3465" s="58">
        <v>6223.6200000000008</v>
      </c>
      <c r="M3465" s="58">
        <v>546.02</v>
      </c>
      <c r="N3465" s="58">
        <v>20361.070000000003</v>
      </c>
      <c r="O3465" s="58">
        <v>719.24</v>
      </c>
      <c r="P3465" s="53">
        <v>26584.690000000002</v>
      </c>
      <c r="Q3465" s="65">
        <v>22422.09</v>
      </c>
      <c r="R3465" s="65">
        <v>0</v>
      </c>
      <c r="S3465" s="65">
        <v>59.980000000000004</v>
      </c>
      <c r="T3465" s="65">
        <v>4162.6000000000022</v>
      </c>
      <c r="U3465" s="58">
        <v>0</v>
      </c>
      <c r="V3465" s="65">
        <v>0</v>
      </c>
      <c r="W3465" s="65">
        <v>0</v>
      </c>
      <c r="X3465" s="65">
        <v>2061</v>
      </c>
      <c r="Y3465" s="65">
        <v>20301</v>
      </c>
      <c r="Z3465" s="51">
        <v>0</v>
      </c>
      <c r="AA3465" s="51">
        <v>0</v>
      </c>
      <c r="AB3465" s="102">
        <v>0</v>
      </c>
      <c r="AC3465" s="81">
        <f t="shared" si="166"/>
        <v>68.877349637442336</v>
      </c>
      <c r="AD3465" s="82">
        <f t="shared" si="167"/>
        <v>86.685714285714283</v>
      </c>
      <c r="AE3465" s="218">
        <v>-0.18564727908950512</v>
      </c>
      <c r="AF3465">
        <v>16</v>
      </c>
      <c r="AH3465" t="str">
        <f t="shared" si="165"/>
        <v>Musrigharari</v>
      </c>
      <c r="AJ3465" s="72">
        <v>0</v>
      </c>
      <c r="AK3465" s="72"/>
      <c r="AL3465" s="72"/>
      <c r="AM3465" s="72"/>
    </row>
    <row r="3466" spans="1:39" x14ac:dyDescent="0.25">
      <c r="A3466" s="37" t="s">
        <v>62</v>
      </c>
      <c r="B3466" s="66" t="s">
        <v>1676</v>
      </c>
      <c r="C3466" s="4">
        <v>1013</v>
      </c>
      <c r="D3466" s="41" t="s">
        <v>343</v>
      </c>
      <c r="E3466" s="41">
        <v>10130002</v>
      </c>
      <c r="F3466" s="85" t="s">
        <v>345</v>
      </c>
      <c r="G3466" s="39" t="s">
        <v>1610</v>
      </c>
      <c r="H3466" s="52" t="s">
        <v>98</v>
      </c>
      <c r="I3466" s="52">
        <v>264.10000000000002</v>
      </c>
      <c r="J3466" s="49">
        <v>10082.560000000001</v>
      </c>
      <c r="K3466" s="58">
        <v>0</v>
      </c>
      <c r="L3466" s="58">
        <v>0</v>
      </c>
      <c r="M3466" s="58">
        <v>0</v>
      </c>
      <c r="N3466" s="58">
        <v>0</v>
      </c>
      <c r="O3466" s="58">
        <v>0</v>
      </c>
      <c r="P3466" s="53">
        <v>0</v>
      </c>
      <c r="Q3466" s="65">
        <v>10082.560000000001</v>
      </c>
      <c r="R3466" s="65">
        <v>0</v>
      </c>
      <c r="S3466" s="65">
        <v>0</v>
      </c>
      <c r="T3466" s="65">
        <v>0</v>
      </c>
      <c r="U3466" s="58">
        <v>0</v>
      </c>
      <c r="V3466" s="65">
        <v>0</v>
      </c>
      <c r="W3466" s="65">
        <v>0</v>
      </c>
      <c r="X3466" s="65">
        <v>0</v>
      </c>
      <c r="Y3466" s="65">
        <v>0</v>
      </c>
      <c r="Z3466" s="51">
        <v>10082.560000000001</v>
      </c>
      <c r="AA3466" s="51">
        <v>0</v>
      </c>
      <c r="AB3466" s="102">
        <v>0</v>
      </c>
      <c r="AC3466" s="81">
        <f t="shared" si="166"/>
        <v>332.82755804619461</v>
      </c>
      <c r="AD3466" s="82">
        <f t="shared" si="167"/>
        <v>37.728571428571435</v>
      </c>
      <c r="AE3466" s="218">
        <v>0</v>
      </c>
      <c r="AF3466">
        <v>0</v>
      </c>
      <c r="AH3466" t="str">
        <f t="shared" si="165"/>
        <v>Musrigharari</v>
      </c>
      <c r="AJ3466" s="72">
        <v>0</v>
      </c>
      <c r="AK3466" s="72"/>
      <c r="AL3466" s="72"/>
      <c r="AM3466" s="72"/>
    </row>
    <row r="3467" spans="1:39" x14ac:dyDescent="0.25">
      <c r="A3467" s="37" t="s">
        <v>62</v>
      </c>
      <c r="B3467" s="66" t="s">
        <v>1676</v>
      </c>
      <c r="C3467" s="4">
        <v>1013</v>
      </c>
      <c r="D3467" s="41" t="s">
        <v>343</v>
      </c>
      <c r="E3467" s="41">
        <v>10130003</v>
      </c>
      <c r="F3467" s="85" t="s">
        <v>346</v>
      </c>
      <c r="G3467" s="39" t="s">
        <v>92</v>
      </c>
      <c r="H3467" s="52" t="s">
        <v>93</v>
      </c>
      <c r="I3467" s="52">
        <v>81</v>
      </c>
      <c r="J3467" s="49">
        <v>2548.0100000000002</v>
      </c>
      <c r="K3467" s="58">
        <v>80.5</v>
      </c>
      <c r="L3467" s="58">
        <v>2519.0200000000004</v>
      </c>
      <c r="M3467" s="58">
        <v>0.8</v>
      </c>
      <c r="N3467" s="58">
        <v>22.560000000000002</v>
      </c>
      <c r="O3467" s="58">
        <v>81.3</v>
      </c>
      <c r="P3467" s="53">
        <v>2541.5800000000004</v>
      </c>
      <c r="Q3467" s="65">
        <v>2541.5800000000004</v>
      </c>
      <c r="R3467" s="65">
        <v>0</v>
      </c>
      <c r="S3467" s="65">
        <v>22.560000000000002</v>
      </c>
      <c r="T3467" s="65">
        <v>0</v>
      </c>
      <c r="U3467" s="58">
        <v>0</v>
      </c>
      <c r="V3467" s="65">
        <v>0</v>
      </c>
      <c r="W3467" s="65">
        <v>0</v>
      </c>
      <c r="X3467" s="65">
        <v>2519</v>
      </c>
      <c r="Y3467" s="65">
        <v>0</v>
      </c>
      <c r="Z3467" s="51">
        <v>0</v>
      </c>
      <c r="AA3467" s="51">
        <v>6</v>
      </c>
      <c r="AB3467" s="102">
        <v>0</v>
      </c>
      <c r="AC3467" s="81">
        <f t="shared" si="166"/>
        <v>389.43659012345688</v>
      </c>
      <c r="AD3467" s="82">
        <f t="shared" si="167"/>
        <v>11.571428571428571</v>
      </c>
      <c r="AE3467" s="218">
        <v>2.5235379766954742E-3</v>
      </c>
      <c r="AF3467">
        <v>3</v>
      </c>
      <c r="AH3467" t="str">
        <f t="shared" si="165"/>
        <v>Musrigharari</v>
      </c>
      <c r="AJ3467" s="72">
        <v>0</v>
      </c>
      <c r="AK3467" s="72"/>
      <c r="AL3467" s="72"/>
      <c r="AM3467" s="72"/>
    </row>
    <row r="3468" spans="1:39" x14ac:dyDescent="0.25">
      <c r="A3468" s="37" t="s">
        <v>62</v>
      </c>
      <c r="B3468" s="66" t="s">
        <v>1676</v>
      </c>
      <c r="C3468" s="4">
        <v>1013</v>
      </c>
      <c r="D3468" s="41" t="s">
        <v>343</v>
      </c>
      <c r="E3468" s="41">
        <v>10130005</v>
      </c>
      <c r="F3468" s="85" t="s">
        <v>347</v>
      </c>
      <c r="G3468" s="39" t="s">
        <v>92</v>
      </c>
      <c r="H3468" s="52" t="s">
        <v>98</v>
      </c>
      <c r="I3468" s="52">
        <v>47.399999999999991</v>
      </c>
      <c r="J3468" s="49">
        <v>1709.88</v>
      </c>
      <c r="K3468" s="58">
        <v>0</v>
      </c>
      <c r="L3468" s="58">
        <v>0</v>
      </c>
      <c r="M3468" s="58">
        <v>0</v>
      </c>
      <c r="N3468" s="58">
        <v>0</v>
      </c>
      <c r="O3468" s="58">
        <v>0</v>
      </c>
      <c r="P3468" s="53">
        <v>0</v>
      </c>
      <c r="Q3468" s="65">
        <v>1709.88</v>
      </c>
      <c r="R3468" s="65">
        <v>0</v>
      </c>
      <c r="S3468" s="65">
        <v>0</v>
      </c>
      <c r="T3468" s="65">
        <v>0</v>
      </c>
      <c r="U3468" s="58">
        <v>0</v>
      </c>
      <c r="V3468" s="65">
        <v>0</v>
      </c>
      <c r="W3468" s="65">
        <v>0</v>
      </c>
      <c r="X3468" s="65">
        <v>0</v>
      </c>
      <c r="Y3468" s="65">
        <v>0</v>
      </c>
      <c r="Z3468" s="51">
        <v>1709.88</v>
      </c>
      <c r="AA3468" s="51">
        <v>0</v>
      </c>
      <c r="AB3468" s="102">
        <v>0</v>
      </c>
      <c r="AC3468" s="81">
        <f t="shared" si="166"/>
        <v>470.83024810126591</v>
      </c>
      <c r="AD3468" s="82">
        <f t="shared" si="167"/>
        <v>6.7714285714285705</v>
      </c>
      <c r="AE3468" s="218">
        <v>0</v>
      </c>
      <c r="AF3468">
        <v>0</v>
      </c>
      <c r="AH3468" t="str">
        <f t="shared" si="165"/>
        <v>Musrigharari</v>
      </c>
      <c r="AJ3468" s="72">
        <v>0</v>
      </c>
      <c r="AK3468" s="72"/>
      <c r="AL3468" s="72"/>
      <c r="AM3468" s="72"/>
    </row>
    <row r="3469" spans="1:39" x14ac:dyDescent="0.25">
      <c r="A3469" s="37" t="s">
        <v>62</v>
      </c>
      <c r="B3469" s="66" t="s">
        <v>1676</v>
      </c>
      <c r="C3469" s="4">
        <v>1013</v>
      </c>
      <c r="D3469" s="41" t="s">
        <v>343</v>
      </c>
      <c r="E3469" s="41">
        <v>10130006</v>
      </c>
      <c r="F3469" s="85" t="s">
        <v>348</v>
      </c>
      <c r="G3469" s="39" t="s">
        <v>92</v>
      </c>
      <c r="H3469" s="52" t="s">
        <v>93</v>
      </c>
      <c r="I3469" s="52">
        <v>481.79999999999995</v>
      </c>
      <c r="J3469" s="49">
        <v>18994.999999999996</v>
      </c>
      <c r="K3469" s="58">
        <v>486.99</v>
      </c>
      <c r="L3469" s="58">
        <v>18985.34</v>
      </c>
      <c r="M3469" s="58">
        <v>0</v>
      </c>
      <c r="N3469" s="58">
        <v>0</v>
      </c>
      <c r="O3469" s="58">
        <v>486.99</v>
      </c>
      <c r="P3469" s="53">
        <v>18985.34</v>
      </c>
      <c r="Q3469" s="65">
        <v>18985.34</v>
      </c>
      <c r="R3469" s="65">
        <v>0</v>
      </c>
      <c r="S3469" s="65">
        <v>0</v>
      </c>
      <c r="T3469" s="65">
        <v>0</v>
      </c>
      <c r="U3469" s="58">
        <v>822</v>
      </c>
      <c r="V3469" s="65">
        <v>0</v>
      </c>
      <c r="W3469" s="65">
        <v>0</v>
      </c>
      <c r="X3469" s="65">
        <v>18164</v>
      </c>
      <c r="Y3469" s="65">
        <v>0</v>
      </c>
      <c r="Z3469" s="51">
        <v>0</v>
      </c>
      <c r="AA3469" s="51">
        <v>9</v>
      </c>
      <c r="AB3469" s="102">
        <v>0</v>
      </c>
      <c r="AC3469" s="81">
        <f t="shared" si="166"/>
        <v>172.05101701951023</v>
      </c>
      <c r="AD3469" s="82">
        <f t="shared" si="167"/>
        <v>68.828571428571422</v>
      </c>
      <c r="AE3469" s="218">
        <v>5.0855488286371251E-4</v>
      </c>
      <c r="AF3469">
        <v>7</v>
      </c>
      <c r="AH3469" t="str">
        <f t="shared" si="165"/>
        <v>Musrigharari</v>
      </c>
      <c r="AJ3469" s="72">
        <v>0</v>
      </c>
      <c r="AK3469" s="72"/>
      <c r="AL3469" s="72"/>
      <c r="AM3469" s="72"/>
    </row>
    <row r="3470" spans="1:39" x14ac:dyDescent="0.25">
      <c r="A3470" s="37" t="s">
        <v>62</v>
      </c>
      <c r="B3470" s="66" t="s">
        <v>1676</v>
      </c>
      <c r="C3470" s="4">
        <v>1013</v>
      </c>
      <c r="D3470" s="41" t="s">
        <v>343</v>
      </c>
      <c r="E3470" s="41">
        <v>10130008</v>
      </c>
      <c r="F3470" s="85" t="s">
        <v>349</v>
      </c>
      <c r="G3470" s="39" t="s">
        <v>92</v>
      </c>
      <c r="H3470" s="52" t="s">
        <v>93</v>
      </c>
      <c r="I3470" s="52">
        <v>425.6</v>
      </c>
      <c r="J3470" s="49">
        <v>17514.099999999999</v>
      </c>
      <c r="K3470" s="58">
        <v>408.31000000000006</v>
      </c>
      <c r="L3470" s="58">
        <v>17207.66</v>
      </c>
      <c r="M3470" s="58">
        <v>6.6800000000000006</v>
      </c>
      <c r="N3470" s="58">
        <v>279.5</v>
      </c>
      <c r="O3470" s="58">
        <v>414.99000000000007</v>
      </c>
      <c r="P3470" s="53">
        <v>17487.16</v>
      </c>
      <c r="Q3470" s="65">
        <v>17487.16</v>
      </c>
      <c r="R3470" s="65">
        <v>0</v>
      </c>
      <c r="S3470" s="65">
        <v>201.74</v>
      </c>
      <c r="T3470" s="65">
        <v>0</v>
      </c>
      <c r="U3470" s="58">
        <v>0</v>
      </c>
      <c r="V3470" s="65">
        <v>0</v>
      </c>
      <c r="W3470" s="65">
        <v>0</v>
      </c>
      <c r="X3470" s="65">
        <v>17207</v>
      </c>
      <c r="Y3470" s="65">
        <v>78</v>
      </c>
      <c r="Z3470" s="51">
        <v>0</v>
      </c>
      <c r="AA3470" s="51">
        <v>27</v>
      </c>
      <c r="AB3470" s="102">
        <v>0</v>
      </c>
      <c r="AC3470" s="81">
        <f t="shared" si="166"/>
        <v>225.83971052631577</v>
      </c>
      <c r="AD3470" s="82">
        <f t="shared" si="167"/>
        <v>60.800000000000004</v>
      </c>
      <c r="AE3470" s="218">
        <v>1.5381892303914385E-3</v>
      </c>
      <c r="AF3470">
        <v>10</v>
      </c>
      <c r="AH3470" t="str">
        <f t="shared" si="165"/>
        <v>Musrigharari</v>
      </c>
      <c r="AJ3470" s="72">
        <v>0</v>
      </c>
      <c r="AK3470" s="72"/>
      <c r="AL3470" s="72"/>
      <c r="AM3470" s="72"/>
    </row>
    <row r="3471" spans="1:39" x14ac:dyDescent="0.25">
      <c r="A3471" s="37" t="s">
        <v>62</v>
      </c>
      <c r="B3471" s="66" t="s">
        <v>1676</v>
      </c>
      <c r="C3471" s="4">
        <v>1013</v>
      </c>
      <c r="D3471" s="41" t="s">
        <v>343</v>
      </c>
      <c r="E3471" s="41">
        <v>10130012</v>
      </c>
      <c r="F3471" s="85" t="s">
        <v>350</v>
      </c>
      <c r="G3471" s="39" t="s">
        <v>92</v>
      </c>
      <c r="H3471" s="52" t="s">
        <v>93</v>
      </c>
      <c r="I3471" s="52">
        <v>2683.8</v>
      </c>
      <c r="J3471" s="49">
        <v>102840.04000000001</v>
      </c>
      <c r="K3471" s="58">
        <v>1353.7000000000003</v>
      </c>
      <c r="L3471" s="58">
        <v>53438.489999999991</v>
      </c>
      <c r="M3471" s="58">
        <v>1283.9000000000001</v>
      </c>
      <c r="N3471" s="58">
        <v>49398.639999999992</v>
      </c>
      <c r="O3471" s="58">
        <v>2637.6000000000004</v>
      </c>
      <c r="P3471" s="53">
        <v>102837.12999999998</v>
      </c>
      <c r="Q3471" s="65">
        <v>102837.12999999998</v>
      </c>
      <c r="R3471" s="65">
        <v>0</v>
      </c>
      <c r="S3471" s="65">
        <v>1305.4600000000003</v>
      </c>
      <c r="T3471" s="65">
        <v>0</v>
      </c>
      <c r="U3471" s="58">
        <v>0</v>
      </c>
      <c r="V3471" s="65">
        <v>0</v>
      </c>
      <c r="W3471" s="65">
        <v>0</v>
      </c>
      <c r="X3471" s="65">
        <v>53438</v>
      </c>
      <c r="Y3471" s="65">
        <v>48092</v>
      </c>
      <c r="Z3471" s="51">
        <v>0</v>
      </c>
      <c r="AA3471" s="51">
        <v>5</v>
      </c>
      <c r="AB3471" s="102">
        <v>0</v>
      </c>
      <c r="AC3471" s="81">
        <f t="shared" si="166"/>
        <v>0</v>
      </c>
      <c r="AD3471" s="82">
        <f t="shared" si="167"/>
        <v>0</v>
      </c>
      <c r="AE3471" s="218">
        <v>2.8296371724793147E-5</v>
      </c>
      <c r="AF3471">
        <v>56</v>
      </c>
      <c r="AH3471" t="str">
        <f t="shared" si="165"/>
        <v>Musrigharari</v>
      </c>
      <c r="AJ3471" s="72">
        <v>0</v>
      </c>
      <c r="AK3471" s="72"/>
      <c r="AL3471" s="72"/>
      <c r="AM3471" s="72"/>
    </row>
    <row r="3472" spans="1:39" x14ac:dyDescent="0.25">
      <c r="A3472" s="37" t="s">
        <v>62</v>
      </c>
      <c r="B3472" s="66" t="s">
        <v>1676</v>
      </c>
      <c r="C3472" s="4">
        <v>1013</v>
      </c>
      <c r="D3472" s="41" t="s">
        <v>343</v>
      </c>
      <c r="E3472" s="41">
        <v>10130015</v>
      </c>
      <c r="F3472" s="85" t="s">
        <v>351</v>
      </c>
      <c r="G3472" s="39" t="s">
        <v>92</v>
      </c>
      <c r="H3472" s="52" t="s">
        <v>98</v>
      </c>
      <c r="I3472" s="52">
        <v>653.79999999999995</v>
      </c>
      <c r="J3472" s="49">
        <v>25405.309999999998</v>
      </c>
      <c r="K3472" s="58">
        <v>0</v>
      </c>
      <c r="L3472" s="58">
        <v>0</v>
      </c>
      <c r="M3472" s="58">
        <v>0</v>
      </c>
      <c r="N3472" s="58">
        <v>0</v>
      </c>
      <c r="O3472" s="58">
        <v>0</v>
      </c>
      <c r="P3472" s="53">
        <v>0</v>
      </c>
      <c r="Q3472" s="65">
        <v>25405.309999999998</v>
      </c>
      <c r="R3472" s="65">
        <v>0</v>
      </c>
      <c r="S3472" s="65">
        <v>0</v>
      </c>
      <c r="T3472" s="65">
        <v>0</v>
      </c>
      <c r="U3472" s="58">
        <v>1400</v>
      </c>
      <c r="V3472" s="65">
        <v>0</v>
      </c>
      <c r="W3472" s="65">
        <v>0</v>
      </c>
      <c r="X3472" s="65">
        <v>0</v>
      </c>
      <c r="Y3472" s="65">
        <v>0</v>
      </c>
      <c r="Z3472" s="51">
        <v>24005.309999999998</v>
      </c>
      <c r="AA3472" s="51">
        <v>0</v>
      </c>
      <c r="AB3472" s="102">
        <v>0</v>
      </c>
      <c r="AC3472" s="81">
        <f t="shared" si="166"/>
        <v>35.904720770877987</v>
      </c>
      <c r="AD3472" s="82">
        <f t="shared" si="167"/>
        <v>93.399999999999991</v>
      </c>
      <c r="AE3472" s="218">
        <v>0</v>
      </c>
      <c r="AF3472">
        <v>0</v>
      </c>
      <c r="AH3472" t="str">
        <f t="shared" si="165"/>
        <v>Musrigharari</v>
      </c>
      <c r="AJ3472" s="72">
        <v>0</v>
      </c>
      <c r="AK3472" s="72"/>
      <c r="AL3472" s="72"/>
      <c r="AM3472" s="72"/>
    </row>
    <row r="3473" spans="1:39" x14ac:dyDescent="0.25">
      <c r="A3473" s="37" t="s">
        <v>62</v>
      </c>
      <c r="B3473" s="66" t="s">
        <v>1676</v>
      </c>
      <c r="C3473" s="4">
        <v>1013</v>
      </c>
      <c r="D3473" s="41" t="s">
        <v>343</v>
      </c>
      <c r="E3473" s="41">
        <v>10130016</v>
      </c>
      <c r="F3473" s="85" t="s">
        <v>352</v>
      </c>
      <c r="G3473" s="39" t="s">
        <v>92</v>
      </c>
      <c r="H3473" s="52" t="s">
        <v>98</v>
      </c>
      <c r="I3473" s="52">
        <v>234</v>
      </c>
      <c r="J3473" s="49">
        <v>10283.49</v>
      </c>
      <c r="K3473" s="58">
        <v>0</v>
      </c>
      <c r="L3473" s="58">
        <v>0</v>
      </c>
      <c r="M3473" s="58">
        <v>0</v>
      </c>
      <c r="N3473" s="58">
        <v>0</v>
      </c>
      <c r="O3473" s="58">
        <v>0</v>
      </c>
      <c r="P3473" s="53">
        <v>0</v>
      </c>
      <c r="Q3473" s="65">
        <v>10283.49</v>
      </c>
      <c r="R3473" s="65">
        <v>0</v>
      </c>
      <c r="S3473" s="65">
        <v>0</v>
      </c>
      <c r="T3473" s="65">
        <v>0</v>
      </c>
      <c r="U3473" s="58">
        <v>0</v>
      </c>
      <c r="V3473" s="65">
        <v>0</v>
      </c>
      <c r="W3473" s="65">
        <v>0</v>
      </c>
      <c r="X3473" s="65">
        <v>0</v>
      </c>
      <c r="Y3473" s="65">
        <v>0</v>
      </c>
      <c r="Z3473" s="51">
        <v>10283.49</v>
      </c>
      <c r="AA3473" s="51">
        <v>0</v>
      </c>
      <c r="AB3473" s="102">
        <v>0</v>
      </c>
      <c r="AC3473" s="81">
        <f t="shared" si="166"/>
        <v>409.58173846153841</v>
      </c>
      <c r="AD3473" s="82">
        <f t="shared" si="167"/>
        <v>33.428571428571431</v>
      </c>
      <c r="AE3473" s="218">
        <v>0</v>
      </c>
      <c r="AF3473">
        <v>0</v>
      </c>
      <c r="AH3473" t="str">
        <f t="shared" si="165"/>
        <v>Musrigharari</v>
      </c>
      <c r="AJ3473" s="72">
        <v>0</v>
      </c>
      <c r="AK3473" s="72"/>
      <c r="AL3473" s="72"/>
      <c r="AM3473" s="72"/>
    </row>
    <row r="3474" spans="1:39" x14ac:dyDescent="0.25">
      <c r="A3474" s="37" t="s">
        <v>62</v>
      </c>
      <c r="B3474" s="66" t="s">
        <v>1676</v>
      </c>
      <c r="C3474" s="4">
        <v>1013</v>
      </c>
      <c r="D3474" s="41" t="s">
        <v>343</v>
      </c>
      <c r="E3474" s="41">
        <v>10130018</v>
      </c>
      <c r="F3474" s="85" t="s">
        <v>353</v>
      </c>
      <c r="G3474" s="39" t="s">
        <v>92</v>
      </c>
      <c r="H3474" s="52" t="s">
        <v>98</v>
      </c>
      <c r="I3474" s="52">
        <v>443.49999999999994</v>
      </c>
      <c r="J3474" s="49">
        <v>14588.98</v>
      </c>
      <c r="K3474" s="58">
        <v>0</v>
      </c>
      <c r="L3474" s="58">
        <v>0</v>
      </c>
      <c r="M3474" s="58">
        <v>0</v>
      </c>
      <c r="N3474" s="58">
        <v>0</v>
      </c>
      <c r="O3474" s="58">
        <v>0</v>
      </c>
      <c r="P3474" s="53">
        <v>0</v>
      </c>
      <c r="Q3474" s="65">
        <v>14588.98</v>
      </c>
      <c r="R3474" s="65">
        <v>0</v>
      </c>
      <c r="S3474" s="65">
        <v>0</v>
      </c>
      <c r="T3474" s="65">
        <v>0</v>
      </c>
      <c r="U3474" s="58">
        <v>1400</v>
      </c>
      <c r="V3474" s="65">
        <v>0</v>
      </c>
      <c r="W3474" s="65">
        <v>0</v>
      </c>
      <c r="X3474" s="65">
        <v>0</v>
      </c>
      <c r="Y3474" s="65">
        <v>0</v>
      </c>
      <c r="Z3474" s="51">
        <v>13188.98</v>
      </c>
      <c r="AA3474" s="51">
        <v>0</v>
      </c>
      <c r="AB3474" s="102">
        <v>0</v>
      </c>
      <c r="AC3474" s="81">
        <f t="shared" si="166"/>
        <v>168.75189943630224</v>
      </c>
      <c r="AD3474" s="82">
        <f t="shared" si="167"/>
        <v>63.357142857142847</v>
      </c>
      <c r="AE3474" s="218">
        <v>0</v>
      </c>
      <c r="AF3474">
        <v>0</v>
      </c>
      <c r="AH3474" t="str">
        <f t="shared" si="165"/>
        <v>Musrigharari</v>
      </c>
      <c r="AJ3474" s="72">
        <v>0</v>
      </c>
      <c r="AK3474" s="72"/>
      <c r="AL3474" s="72"/>
      <c r="AM3474" s="72"/>
    </row>
    <row r="3475" spans="1:39" x14ac:dyDescent="0.25">
      <c r="A3475" s="37" t="s">
        <v>62</v>
      </c>
      <c r="B3475" s="66" t="s">
        <v>1676</v>
      </c>
      <c r="C3475" s="4">
        <v>1013</v>
      </c>
      <c r="D3475" s="41" t="s">
        <v>343</v>
      </c>
      <c r="E3475" s="41">
        <v>10130020</v>
      </c>
      <c r="F3475" s="85" t="s">
        <v>354</v>
      </c>
      <c r="G3475" s="39" t="s">
        <v>1610</v>
      </c>
      <c r="H3475" s="52" t="s">
        <v>98</v>
      </c>
      <c r="I3475" s="52">
        <v>598.30000000000007</v>
      </c>
      <c r="J3475" s="49">
        <v>24401.760000000002</v>
      </c>
      <c r="K3475" s="58">
        <v>0</v>
      </c>
      <c r="L3475" s="58">
        <v>0</v>
      </c>
      <c r="M3475" s="58">
        <v>0</v>
      </c>
      <c r="N3475" s="58">
        <v>0</v>
      </c>
      <c r="O3475" s="58">
        <v>0</v>
      </c>
      <c r="P3475" s="53">
        <v>0</v>
      </c>
      <c r="Q3475" s="65">
        <v>24401.760000000002</v>
      </c>
      <c r="R3475" s="65">
        <v>0</v>
      </c>
      <c r="S3475" s="65">
        <v>0</v>
      </c>
      <c r="T3475" s="65">
        <v>0</v>
      </c>
      <c r="U3475" s="58">
        <v>0</v>
      </c>
      <c r="V3475" s="65">
        <v>0</v>
      </c>
      <c r="W3475" s="65">
        <v>0</v>
      </c>
      <c r="X3475" s="65">
        <v>0</v>
      </c>
      <c r="Y3475" s="65">
        <v>0</v>
      </c>
      <c r="Z3475" s="51">
        <v>24401.760000000002</v>
      </c>
      <c r="AA3475" s="51">
        <v>0</v>
      </c>
      <c r="AB3475" s="102">
        <v>0</v>
      </c>
      <c r="AC3475" s="81">
        <f t="shared" si="166"/>
        <v>82.957011265251538</v>
      </c>
      <c r="AD3475" s="82">
        <f t="shared" si="167"/>
        <v>85.471428571428575</v>
      </c>
      <c r="AE3475" s="218">
        <v>0</v>
      </c>
      <c r="AF3475">
        <v>0</v>
      </c>
      <c r="AH3475" t="str">
        <f t="shared" si="165"/>
        <v>Musrigharari</v>
      </c>
      <c r="AJ3475" s="72">
        <v>0</v>
      </c>
      <c r="AK3475" s="72"/>
      <c r="AL3475" s="72"/>
      <c r="AM3475" s="72"/>
    </row>
    <row r="3476" spans="1:39" x14ac:dyDescent="0.25">
      <c r="A3476" s="37" t="s">
        <v>62</v>
      </c>
      <c r="B3476" s="66" t="s">
        <v>1676</v>
      </c>
      <c r="C3476" s="4">
        <v>1013</v>
      </c>
      <c r="D3476" s="41" t="s">
        <v>343</v>
      </c>
      <c r="E3476" s="41">
        <v>10130025</v>
      </c>
      <c r="F3476" s="85" t="s">
        <v>355</v>
      </c>
      <c r="G3476" s="39" t="s">
        <v>92</v>
      </c>
      <c r="H3476" s="52" t="s">
        <v>98</v>
      </c>
      <c r="I3476" s="52">
        <v>530</v>
      </c>
      <c r="J3476" s="49">
        <v>21021.989999999998</v>
      </c>
      <c r="K3476" s="58">
        <v>0</v>
      </c>
      <c r="L3476" s="58">
        <v>0</v>
      </c>
      <c r="M3476" s="58">
        <v>0</v>
      </c>
      <c r="N3476" s="58">
        <v>0</v>
      </c>
      <c r="O3476" s="58">
        <v>0</v>
      </c>
      <c r="P3476" s="53">
        <v>0</v>
      </c>
      <c r="Q3476" s="65">
        <v>21021.989999999998</v>
      </c>
      <c r="R3476" s="65">
        <v>0</v>
      </c>
      <c r="S3476" s="65">
        <v>0</v>
      </c>
      <c r="T3476" s="65">
        <v>0</v>
      </c>
      <c r="U3476" s="58">
        <v>3100</v>
      </c>
      <c r="V3476" s="65">
        <v>0</v>
      </c>
      <c r="W3476" s="65">
        <v>0</v>
      </c>
      <c r="X3476" s="65">
        <v>0</v>
      </c>
      <c r="Y3476" s="65">
        <v>0</v>
      </c>
      <c r="Z3476" s="51">
        <v>17921.989999999998</v>
      </c>
      <c r="AA3476" s="51">
        <v>0</v>
      </c>
      <c r="AB3476" s="102">
        <v>0</v>
      </c>
      <c r="AC3476" s="81">
        <f t="shared" si="166"/>
        <v>134.85804905660379</v>
      </c>
      <c r="AD3476" s="82">
        <f t="shared" si="167"/>
        <v>75.714285714285708</v>
      </c>
      <c r="AE3476" s="218">
        <v>0</v>
      </c>
      <c r="AF3476">
        <v>0</v>
      </c>
      <c r="AH3476" t="str">
        <f t="shared" si="165"/>
        <v>Musrigharari</v>
      </c>
      <c r="AJ3476" s="72">
        <v>0</v>
      </c>
      <c r="AK3476" s="72"/>
      <c r="AL3476" s="72"/>
      <c r="AM3476" s="72"/>
    </row>
    <row r="3477" spans="1:39" x14ac:dyDescent="0.25">
      <c r="A3477" s="37" t="s">
        <v>62</v>
      </c>
      <c r="B3477" s="66" t="s">
        <v>1676</v>
      </c>
      <c r="C3477" s="4">
        <v>1013</v>
      </c>
      <c r="D3477" s="41" t="s">
        <v>343</v>
      </c>
      <c r="E3477" s="41">
        <v>10130026</v>
      </c>
      <c r="F3477" s="85" t="s">
        <v>317</v>
      </c>
      <c r="G3477" s="39" t="s">
        <v>92</v>
      </c>
      <c r="H3477" s="52" t="s">
        <v>93</v>
      </c>
      <c r="I3477" s="52">
        <v>234</v>
      </c>
      <c r="J3477" s="49">
        <v>10990.8</v>
      </c>
      <c r="K3477" s="58">
        <v>69.429999999999993</v>
      </c>
      <c r="L3477" s="58">
        <v>3434.62</v>
      </c>
      <c r="M3477" s="58">
        <v>159.79999999999998</v>
      </c>
      <c r="N3477" s="58">
        <v>7630.9</v>
      </c>
      <c r="O3477" s="58">
        <v>229.22999999999996</v>
      </c>
      <c r="P3477" s="53">
        <v>11065.52</v>
      </c>
      <c r="Q3477" s="65">
        <v>10990.8</v>
      </c>
      <c r="R3477" s="65">
        <v>0</v>
      </c>
      <c r="S3477" s="65">
        <v>119.64</v>
      </c>
      <c r="T3477" s="65">
        <v>74.720000000001164</v>
      </c>
      <c r="U3477" s="58">
        <v>0</v>
      </c>
      <c r="V3477" s="65">
        <v>500</v>
      </c>
      <c r="W3477" s="65">
        <v>0</v>
      </c>
      <c r="X3477" s="65">
        <v>2859</v>
      </c>
      <c r="Y3477" s="65">
        <v>7512</v>
      </c>
      <c r="Z3477" s="51">
        <v>0</v>
      </c>
      <c r="AA3477" s="51">
        <v>0</v>
      </c>
      <c r="AB3477" s="102">
        <v>0</v>
      </c>
      <c r="AC3477" s="81">
        <f t="shared" si="166"/>
        <v>437.75323076923081</v>
      </c>
      <c r="AD3477" s="82">
        <f t="shared" si="167"/>
        <v>33.428571428571431</v>
      </c>
      <c r="AE3477" s="218">
        <v>-6.7984132183281625E-3</v>
      </c>
      <c r="AF3477">
        <v>8</v>
      </c>
      <c r="AH3477" t="str">
        <f t="shared" si="165"/>
        <v>Musrigharari</v>
      </c>
      <c r="AJ3477" s="72">
        <v>500</v>
      </c>
      <c r="AK3477" s="72"/>
      <c r="AL3477" s="72"/>
      <c r="AM3477" s="72"/>
    </row>
    <row r="3478" spans="1:39" x14ac:dyDescent="0.25">
      <c r="A3478" s="37" t="s">
        <v>62</v>
      </c>
      <c r="B3478" s="66" t="s">
        <v>1676</v>
      </c>
      <c r="C3478" s="4">
        <v>1013</v>
      </c>
      <c r="D3478" s="41" t="s">
        <v>343</v>
      </c>
      <c r="E3478" s="41">
        <v>10130027</v>
      </c>
      <c r="F3478" s="85" t="s">
        <v>1477</v>
      </c>
      <c r="G3478" s="39" t="s">
        <v>92</v>
      </c>
      <c r="H3478" s="52" t="s">
        <v>98</v>
      </c>
      <c r="I3478" s="52">
        <v>79.3</v>
      </c>
      <c r="J3478" s="49">
        <v>3026.1899999999996</v>
      </c>
      <c r="K3478" s="58">
        <v>0</v>
      </c>
      <c r="L3478" s="58">
        <v>0</v>
      </c>
      <c r="M3478" s="58">
        <v>0</v>
      </c>
      <c r="N3478" s="58">
        <v>0</v>
      </c>
      <c r="O3478" s="58">
        <v>0</v>
      </c>
      <c r="P3478" s="53">
        <v>0</v>
      </c>
      <c r="Q3478" s="65">
        <v>3026.1899999999996</v>
      </c>
      <c r="R3478" s="65">
        <v>0</v>
      </c>
      <c r="S3478" s="65">
        <v>0</v>
      </c>
      <c r="T3478" s="65">
        <v>0</v>
      </c>
      <c r="U3478" s="58">
        <v>0</v>
      </c>
      <c r="V3478" s="65">
        <v>0</v>
      </c>
      <c r="W3478" s="65">
        <v>0</v>
      </c>
      <c r="X3478" s="65">
        <v>0</v>
      </c>
      <c r="Y3478" s="65">
        <v>0</v>
      </c>
      <c r="Z3478" s="51">
        <v>3026.1899999999996</v>
      </c>
      <c r="AA3478" s="51">
        <v>0</v>
      </c>
      <c r="AB3478" s="102">
        <v>0</v>
      </c>
      <c r="AC3478" s="81">
        <f t="shared" si="166"/>
        <v>473.7342075662043</v>
      </c>
      <c r="AD3478" s="82">
        <f t="shared" si="167"/>
        <v>11.328571428571427</v>
      </c>
      <c r="AE3478" s="218">
        <v>0</v>
      </c>
      <c r="AF3478">
        <v>0</v>
      </c>
      <c r="AH3478" t="str">
        <f t="shared" si="165"/>
        <v>Musrigharari</v>
      </c>
      <c r="AJ3478" s="72">
        <v>0</v>
      </c>
      <c r="AK3478" s="72"/>
      <c r="AL3478" s="72"/>
      <c r="AM3478" s="72"/>
    </row>
    <row r="3479" spans="1:39" x14ac:dyDescent="0.25">
      <c r="A3479" s="37" t="s">
        <v>62</v>
      </c>
      <c r="B3479" s="66" t="s">
        <v>1676</v>
      </c>
      <c r="C3479" s="4">
        <v>1013</v>
      </c>
      <c r="D3479" s="41" t="s">
        <v>343</v>
      </c>
      <c r="E3479" s="41">
        <v>10130030</v>
      </c>
      <c r="F3479" s="85" t="s">
        <v>356</v>
      </c>
      <c r="G3479" s="39" t="s">
        <v>92</v>
      </c>
      <c r="H3479" s="52" t="s">
        <v>93</v>
      </c>
      <c r="I3479" s="52">
        <v>136.19999999999999</v>
      </c>
      <c r="J3479" s="49">
        <v>5164.9000000000005</v>
      </c>
      <c r="K3479" s="58">
        <v>96.2</v>
      </c>
      <c r="L3479" s="58">
        <v>3682.18</v>
      </c>
      <c r="M3479" s="58">
        <v>39.5</v>
      </c>
      <c r="N3479" s="58">
        <v>1471.3000000000002</v>
      </c>
      <c r="O3479" s="58">
        <v>135.69999999999999</v>
      </c>
      <c r="P3479" s="53">
        <v>5153.4799999999996</v>
      </c>
      <c r="Q3479" s="65">
        <v>5153.4799999999996</v>
      </c>
      <c r="R3479" s="65">
        <v>0</v>
      </c>
      <c r="S3479" s="65">
        <v>16.07</v>
      </c>
      <c r="T3479" s="65">
        <v>0</v>
      </c>
      <c r="U3479" s="58">
        <v>0</v>
      </c>
      <c r="V3479" s="65">
        <v>0</v>
      </c>
      <c r="W3479" s="65">
        <v>0</v>
      </c>
      <c r="X3479" s="65">
        <v>3682</v>
      </c>
      <c r="Y3479" s="65">
        <v>1455</v>
      </c>
      <c r="Z3479" s="51">
        <v>0</v>
      </c>
      <c r="AA3479" s="51">
        <v>12</v>
      </c>
      <c r="AB3479" s="102">
        <v>0</v>
      </c>
      <c r="AC3479" s="81">
        <f t="shared" si="166"/>
        <v>427.60214684287814</v>
      </c>
      <c r="AD3479" s="82">
        <f t="shared" si="167"/>
        <v>19.457142857142856</v>
      </c>
      <c r="AE3479" s="218">
        <v>2.2110786268855118E-3</v>
      </c>
      <c r="AF3479">
        <v>10</v>
      </c>
      <c r="AH3479" t="str">
        <f t="shared" si="165"/>
        <v>Musrigharari</v>
      </c>
      <c r="AJ3479" s="72">
        <v>0</v>
      </c>
      <c r="AK3479" s="72"/>
      <c r="AL3479" s="72"/>
      <c r="AM3479" s="72"/>
    </row>
    <row r="3480" spans="1:39" x14ac:dyDescent="0.25">
      <c r="A3480" s="37" t="s">
        <v>62</v>
      </c>
      <c r="B3480" s="66" t="s">
        <v>1676</v>
      </c>
      <c r="C3480" s="4">
        <v>1013</v>
      </c>
      <c r="D3480" s="41" t="s">
        <v>343</v>
      </c>
      <c r="E3480" s="41">
        <v>10130031</v>
      </c>
      <c r="F3480" s="85" t="s">
        <v>357</v>
      </c>
      <c r="G3480" s="39" t="s">
        <v>1610</v>
      </c>
      <c r="H3480" s="52" t="s">
        <v>98</v>
      </c>
      <c r="I3480" s="52">
        <v>84.6</v>
      </c>
      <c r="J3480" s="49">
        <v>2981.35</v>
      </c>
      <c r="K3480" s="58">
        <v>0</v>
      </c>
      <c r="L3480" s="58">
        <v>0</v>
      </c>
      <c r="M3480" s="58">
        <v>0</v>
      </c>
      <c r="N3480" s="58">
        <v>0</v>
      </c>
      <c r="O3480" s="58">
        <v>0</v>
      </c>
      <c r="P3480" s="53">
        <v>0</v>
      </c>
      <c r="Q3480" s="65">
        <v>2981.35</v>
      </c>
      <c r="R3480" s="65">
        <v>0</v>
      </c>
      <c r="S3480" s="65">
        <v>0</v>
      </c>
      <c r="T3480" s="65">
        <v>0</v>
      </c>
      <c r="U3480" s="58">
        <v>2981</v>
      </c>
      <c r="V3480" s="65">
        <v>0</v>
      </c>
      <c r="W3480" s="65">
        <v>0</v>
      </c>
      <c r="X3480" s="65">
        <v>0</v>
      </c>
      <c r="Y3480" s="65">
        <v>0</v>
      </c>
      <c r="Z3480" s="51">
        <v>0.34999999999990905</v>
      </c>
      <c r="AA3480" s="51">
        <v>0</v>
      </c>
      <c r="AB3480" s="102">
        <v>0</v>
      </c>
      <c r="AC3480" s="81">
        <f t="shared" si="166"/>
        <v>433.74061229314418</v>
      </c>
      <c r="AD3480" s="82">
        <f t="shared" si="167"/>
        <v>12.085714285714285</v>
      </c>
      <c r="AE3480" s="218">
        <v>0</v>
      </c>
      <c r="AF3480">
        <v>0</v>
      </c>
      <c r="AH3480" t="str">
        <f t="shared" si="165"/>
        <v>Musrigharari</v>
      </c>
      <c r="AJ3480" s="72">
        <v>0</v>
      </c>
      <c r="AK3480" s="72"/>
      <c r="AL3480" s="72"/>
      <c r="AM3480" s="72"/>
    </row>
    <row r="3481" spans="1:39" x14ac:dyDescent="0.25">
      <c r="A3481" s="37" t="s">
        <v>62</v>
      </c>
      <c r="B3481" s="66" t="s">
        <v>1676</v>
      </c>
      <c r="C3481" s="4">
        <v>1013</v>
      </c>
      <c r="D3481" s="41" t="s">
        <v>343</v>
      </c>
      <c r="E3481" s="41">
        <v>10130040</v>
      </c>
      <c r="F3481" s="85" t="s">
        <v>358</v>
      </c>
      <c r="G3481" s="39" t="s">
        <v>1610</v>
      </c>
      <c r="H3481" s="52" t="s">
        <v>98</v>
      </c>
      <c r="I3481" s="52">
        <v>1334.1</v>
      </c>
      <c r="J3481" s="49">
        <v>37223.019999999997</v>
      </c>
      <c r="K3481" s="58">
        <v>0</v>
      </c>
      <c r="L3481" s="58">
        <v>0</v>
      </c>
      <c r="M3481" s="58">
        <v>0</v>
      </c>
      <c r="N3481" s="58">
        <v>0</v>
      </c>
      <c r="O3481" s="58">
        <v>0</v>
      </c>
      <c r="P3481" s="53">
        <v>0</v>
      </c>
      <c r="Q3481" s="65">
        <v>37223.019999999997</v>
      </c>
      <c r="R3481" s="65">
        <v>0</v>
      </c>
      <c r="S3481" s="65">
        <v>0</v>
      </c>
      <c r="T3481" s="65">
        <v>0</v>
      </c>
      <c r="U3481" s="58">
        <v>0</v>
      </c>
      <c r="V3481" s="65">
        <v>0</v>
      </c>
      <c r="W3481" s="65">
        <v>0</v>
      </c>
      <c r="X3481" s="65">
        <v>0</v>
      </c>
      <c r="Y3481" s="65">
        <v>0</v>
      </c>
      <c r="Z3481" s="51">
        <v>37223.019999999997</v>
      </c>
      <c r="AA3481" s="51">
        <v>0</v>
      </c>
      <c r="AB3481" s="102">
        <v>0</v>
      </c>
      <c r="AC3481" s="81">
        <f t="shared" si="166"/>
        <v>0</v>
      </c>
      <c r="AD3481" s="82">
        <f t="shared" si="167"/>
        <v>0</v>
      </c>
      <c r="AE3481" s="218">
        <v>0</v>
      </c>
      <c r="AF3481">
        <v>0</v>
      </c>
      <c r="AH3481" t="str">
        <f t="shared" si="165"/>
        <v>Musrigharari</v>
      </c>
      <c r="AJ3481" s="72">
        <v>0</v>
      </c>
      <c r="AK3481" s="72"/>
      <c r="AL3481" s="72"/>
      <c r="AM3481" s="72"/>
    </row>
    <row r="3482" spans="1:39" x14ac:dyDescent="0.25">
      <c r="A3482" s="37" t="s">
        <v>62</v>
      </c>
      <c r="B3482" s="66" t="s">
        <v>1676</v>
      </c>
      <c r="C3482" s="4">
        <v>1013</v>
      </c>
      <c r="D3482" s="41" t="s">
        <v>343</v>
      </c>
      <c r="E3482" s="41">
        <v>10130041</v>
      </c>
      <c r="F3482" s="85" t="s">
        <v>359</v>
      </c>
      <c r="G3482" s="39" t="s">
        <v>1610</v>
      </c>
      <c r="H3482" s="52" t="s">
        <v>98</v>
      </c>
      <c r="I3482" s="52">
        <v>54.7</v>
      </c>
      <c r="J3482" s="49">
        <v>2208.09</v>
      </c>
      <c r="K3482" s="58">
        <v>0</v>
      </c>
      <c r="L3482" s="58">
        <v>0</v>
      </c>
      <c r="M3482" s="58">
        <v>0</v>
      </c>
      <c r="N3482" s="58">
        <v>0</v>
      </c>
      <c r="O3482" s="58">
        <v>0</v>
      </c>
      <c r="P3482" s="53">
        <v>0</v>
      </c>
      <c r="Q3482" s="65">
        <v>2208.09</v>
      </c>
      <c r="R3482" s="65">
        <v>0</v>
      </c>
      <c r="S3482" s="65">
        <v>0</v>
      </c>
      <c r="T3482" s="65">
        <v>0</v>
      </c>
      <c r="U3482" s="58">
        <v>0</v>
      </c>
      <c r="V3482" s="65">
        <v>0</v>
      </c>
      <c r="W3482" s="65">
        <v>0</v>
      </c>
      <c r="X3482" s="65">
        <v>0</v>
      </c>
      <c r="Y3482" s="65">
        <v>0</v>
      </c>
      <c r="Z3482" s="51">
        <v>2208.09</v>
      </c>
      <c r="AA3482" s="51">
        <v>0</v>
      </c>
      <c r="AB3482" s="102">
        <v>0</v>
      </c>
      <c r="AC3482" s="81">
        <f t="shared" si="166"/>
        <v>520.98006471663609</v>
      </c>
      <c r="AD3482" s="82">
        <f t="shared" si="167"/>
        <v>7.8142857142857149</v>
      </c>
      <c r="AE3482" s="218">
        <v>0</v>
      </c>
      <c r="AF3482">
        <v>0</v>
      </c>
      <c r="AH3482" t="str">
        <f t="shared" si="165"/>
        <v>Musrigharari</v>
      </c>
      <c r="AJ3482" s="72">
        <v>0</v>
      </c>
      <c r="AK3482" s="72"/>
      <c r="AL3482" s="72"/>
      <c r="AM3482" s="72"/>
    </row>
    <row r="3483" spans="1:39" x14ac:dyDescent="0.25">
      <c r="A3483" s="37" t="s">
        <v>62</v>
      </c>
      <c r="B3483" s="66" t="s">
        <v>1676</v>
      </c>
      <c r="C3483" s="4">
        <v>1013</v>
      </c>
      <c r="D3483" s="41" t="s">
        <v>343</v>
      </c>
      <c r="E3483" s="41">
        <v>10130042</v>
      </c>
      <c r="F3483" s="85" t="s">
        <v>360</v>
      </c>
      <c r="G3483" s="39" t="s">
        <v>1610</v>
      </c>
      <c r="H3483" s="52" t="s">
        <v>98</v>
      </c>
      <c r="I3483" s="52">
        <v>6.6</v>
      </c>
      <c r="J3483" s="49">
        <v>242.22</v>
      </c>
      <c r="K3483" s="58">
        <v>0</v>
      </c>
      <c r="L3483" s="58">
        <v>0</v>
      </c>
      <c r="M3483" s="58">
        <v>0</v>
      </c>
      <c r="N3483" s="58">
        <v>0</v>
      </c>
      <c r="O3483" s="58">
        <v>0</v>
      </c>
      <c r="P3483" s="53">
        <v>0</v>
      </c>
      <c r="Q3483" s="65">
        <v>242.22</v>
      </c>
      <c r="R3483" s="65">
        <v>0</v>
      </c>
      <c r="S3483" s="65">
        <v>0</v>
      </c>
      <c r="T3483" s="65">
        <v>0</v>
      </c>
      <c r="U3483" s="58">
        <v>0</v>
      </c>
      <c r="V3483" s="65">
        <v>0</v>
      </c>
      <c r="W3483" s="65">
        <v>0</v>
      </c>
      <c r="X3483" s="65">
        <v>0</v>
      </c>
      <c r="Y3483" s="65">
        <v>0</v>
      </c>
      <c r="Z3483" s="51">
        <v>242.22</v>
      </c>
      <c r="AA3483" s="51">
        <v>0</v>
      </c>
      <c r="AB3483" s="102">
        <v>0</v>
      </c>
      <c r="AC3483" s="81">
        <f t="shared" si="166"/>
        <v>508.95560000000012</v>
      </c>
      <c r="AD3483" s="82">
        <f t="shared" si="167"/>
        <v>0.94285714285714284</v>
      </c>
      <c r="AE3483" s="218">
        <v>0</v>
      </c>
      <c r="AF3483">
        <v>0</v>
      </c>
      <c r="AH3483" t="str">
        <f t="shared" si="165"/>
        <v>Musrigharari</v>
      </c>
      <c r="AJ3483" s="72">
        <v>0</v>
      </c>
      <c r="AK3483" s="72"/>
      <c r="AL3483" s="72"/>
      <c r="AM3483" s="72"/>
    </row>
    <row r="3484" spans="1:39" x14ac:dyDescent="0.25">
      <c r="A3484" s="37" t="s">
        <v>62</v>
      </c>
      <c r="B3484" s="66" t="s">
        <v>1676</v>
      </c>
      <c r="C3484" s="4">
        <v>1013</v>
      </c>
      <c r="D3484" s="41" t="s">
        <v>343</v>
      </c>
      <c r="E3484" s="41">
        <v>10130044</v>
      </c>
      <c r="F3484" s="85" t="s">
        <v>361</v>
      </c>
      <c r="G3484" s="39" t="s">
        <v>92</v>
      </c>
      <c r="H3484" s="52" t="s">
        <v>98</v>
      </c>
      <c r="I3484" s="52">
        <v>1988.9</v>
      </c>
      <c r="J3484" s="49">
        <v>90062.02</v>
      </c>
      <c r="K3484" s="58">
        <v>0</v>
      </c>
      <c r="L3484" s="58">
        <v>0</v>
      </c>
      <c r="M3484" s="58">
        <v>0</v>
      </c>
      <c r="N3484" s="58">
        <v>0</v>
      </c>
      <c r="O3484" s="58">
        <v>0</v>
      </c>
      <c r="P3484" s="53">
        <v>0</v>
      </c>
      <c r="Q3484" s="65">
        <v>90062.02</v>
      </c>
      <c r="R3484" s="65">
        <v>0</v>
      </c>
      <c r="S3484" s="65">
        <v>0</v>
      </c>
      <c r="T3484" s="65">
        <v>0</v>
      </c>
      <c r="U3484" s="58">
        <v>0</v>
      </c>
      <c r="V3484" s="65">
        <v>0</v>
      </c>
      <c r="W3484" s="65">
        <v>0</v>
      </c>
      <c r="X3484" s="65">
        <v>0</v>
      </c>
      <c r="Y3484" s="65">
        <v>0</v>
      </c>
      <c r="Z3484" s="51">
        <v>90062.02</v>
      </c>
      <c r="AA3484" s="51">
        <v>0</v>
      </c>
      <c r="AB3484" s="102">
        <v>0</v>
      </c>
      <c r="AC3484" s="81">
        <f t="shared" si="166"/>
        <v>0</v>
      </c>
      <c r="AD3484" s="82">
        <f t="shared" si="167"/>
        <v>0</v>
      </c>
      <c r="AE3484" s="218">
        <v>0</v>
      </c>
      <c r="AF3484">
        <v>0</v>
      </c>
      <c r="AH3484" t="str">
        <f t="shared" si="165"/>
        <v>Musrigharari</v>
      </c>
      <c r="AJ3484" s="72">
        <v>0</v>
      </c>
      <c r="AK3484" s="72"/>
      <c r="AL3484" s="72"/>
      <c r="AM3484" s="72"/>
    </row>
    <row r="3485" spans="1:39" x14ac:dyDescent="0.25">
      <c r="A3485" s="37" t="s">
        <v>62</v>
      </c>
      <c r="B3485" s="66" t="s">
        <v>1676</v>
      </c>
      <c r="C3485" s="4">
        <v>1013</v>
      </c>
      <c r="D3485" s="41" t="s">
        <v>343</v>
      </c>
      <c r="E3485" s="41">
        <v>10130046</v>
      </c>
      <c r="F3485" s="85" t="s">
        <v>362</v>
      </c>
      <c r="G3485" s="39" t="s">
        <v>92</v>
      </c>
      <c r="H3485" s="52" t="s">
        <v>93</v>
      </c>
      <c r="I3485" s="52">
        <v>287.40000000000003</v>
      </c>
      <c r="J3485" s="49">
        <v>13226.19</v>
      </c>
      <c r="K3485" s="58">
        <v>424.14</v>
      </c>
      <c r="L3485" s="58">
        <v>20201.41</v>
      </c>
      <c r="M3485" s="58">
        <v>25.43</v>
      </c>
      <c r="N3485" s="58">
        <v>1645.8000000000002</v>
      </c>
      <c r="O3485" s="58">
        <v>449.57</v>
      </c>
      <c r="P3485" s="53">
        <v>21847.21</v>
      </c>
      <c r="Q3485" s="65">
        <v>13226.19</v>
      </c>
      <c r="R3485" s="65">
        <v>0</v>
      </c>
      <c r="S3485" s="65">
        <v>0</v>
      </c>
      <c r="T3485" s="65">
        <v>8621.0199999999986</v>
      </c>
      <c r="U3485" s="58">
        <v>1400</v>
      </c>
      <c r="V3485" s="65">
        <v>0</v>
      </c>
      <c r="W3485" s="65">
        <v>0</v>
      </c>
      <c r="X3485" s="65">
        <v>10180</v>
      </c>
      <c r="Y3485" s="65">
        <v>1646</v>
      </c>
      <c r="Z3485" s="51">
        <v>0</v>
      </c>
      <c r="AA3485" s="51">
        <v>0</v>
      </c>
      <c r="AB3485" s="102">
        <v>0</v>
      </c>
      <c r="AC3485" s="81">
        <f t="shared" si="166"/>
        <v>379.75824592901876</v>
      </c>
      <c r="AD3485" s="82">
        <f t="shared" si="167"/>
        <v>41.057142857142864</v>
      </c>
      <c r="AE3485" s="218">
        <v>-0.65181431689700498</v>
      </c>
      <c r="AF3485">
        <v>12</v>
      </c>
      <c r="AH3485" t="str">
        <f t="shared" si="165"/>
        <v>Musrigharari</v>
      </c>
      <c r="AJ3485" s="72">
        <v>0</v>
      </c>
      <c r="AK3485" s="72"/>
      <c r="AL3485" s="72"/>
      <c r="AM3485" s="72"/>
    </row>
    <row r="3486" spans="1:39" x14ac:dyDescent="0.25">
      <c r="A3486" s="37" t="s">
        <v>62</v>
      </c>
      <c r="B3486" s="66" t="s">
        <v>1676</v>
      </c>
      <c r="C3486" s="4">
        <v>1013</v>
      </c>
      <c r="D3486" s="41" t="s">
        <v>343</v>
      </c>
      <c r="E3486" s="41">
        <v>10130047</v>
      </c>
      <c r="F3486" s="85" t="s">
        <v>363</v>
      </c>
      <c r="G3486" s="39" t="s">
        <v>92</v>
      </c>
      <c r="H3486" s="52" t="s">
        <v>93</v>
      </c>
      <c r="I3486" s="52">
        <v>261.2</v>
      </c>
      <c r="J3486" s="49">
        <v>10244.079999999998</v>
      </c>
      <c r="K3486" s="58">
        <v>263.48</v>
      </c>
      <c r="L3486" s="58">
        <v>10149.969999999998</v>
      </c>
      <c r="M3486" s="58">
        <v>2.72</v>
      </c>
      <c r="N3486" s="58">
        <v>102.17</v>
      </c>
      <c r="O3486" s="58">
        <v>266.20000000000005</v>
      </c>
      <c r="P3486" s="53">
        <v>10252.139999999998</v>
      </c>
      <c r="Q3486" s="65">
        <v>10244.079999999998</v>
      </c>
      <c r="R3486" s="65">
        <v>0</v>
      </c>
      <c r="S3486" s="65">
        <v>102.17</v>
      </c>
      <c r="T3486" s="65">
        <v>8.0599999999994907</v>
      </c>
      <c r="U3486" s="58">
        <v>0</v>
      </c>
      <c r="V3486" s="65">
        <v>0</v>
      </c>
      <c r="W3486" s="65">
        <v>0</v>
      </c>
      <c r="X3486" s="65">
        <v>10142</v>
      </c>
      <c r="Y3486" s="65">
        <v>0</v>
      </c>
      <c r="Z3486" s="51">
        <v>0</v>
      </c>
      <c r="AA3486" s="51">
        <v>0</v>
      </c>
      <c r="AB3486" s="102">
        <v>0</v>
      </c>
      <c r="AC3486" s="81">
        <f t="shared" si="166"/>
        <v>344.18853782542107</v>
      </c>
      <c r="AD3486" s="82">
        <f t="shared" si="167"/>
        <v>37.31428571428571</v>
      </c>
      <c r="AE3486" s="218">
        <v>-7.8679588601411664E-4</v>
      </c>
      <c r="AF3486">
        <v>6</v>
      </c>
      <c r="AH3486" t="str">
        <f t="shared" si="165"/>
        <v>Musrigharari</v>
      </c>
      <c r="AJ3486" s="72">
        <v>0</v>
      </c>
      <c r="AK3486" s="72"/>
      <c r="AL3486" s="72"/>
      <c r="AM3486" s="72"/>
    </row>
    <row r="3487" spans="1:39" x14ac:dyDescent="0.25">
      <c r="A3487" s="37" t="s">
        <v>62</v>
      </c>
      <c r="B3487" s="66" t="s">
        <v>1676</v>
      </c>
      <c r="C3487" s="4">
        <v>1013</v>
      </c>
      <c r="D3487" s="41" t="s">
        <v>343</v>
      </c>
      <c r="E3487" s="41">
        <v>10130052</v>
      </c>
      <c r="F3487" s="85" t="s">
        <v>365</v>
      </c>
      <c r="G3487" s="39" t="s">
        <v>92</v>
      </c>
      <c r="H3487" s="52" t="s">
        <v>93</v>
      </c>
      <c r="I3487" s="52">
        <v>1049.3</v>
      </c>
      <c r="J3487" s="49">
        <v>38040.33</v>
      </c>
      <c r="K3487" s="58">
        <v>822.49999999999989</v>
      </c>
      <c r="L3487" s="58">
        <v>30008.280000000006</v>
      </c>
      <c r="M3487" s="58">
        <v>219.3</v>
      </c>
      <c r="N3487" s="58">
        <v>8004.6</v>
      </c>
      <c r="O3487" s="58">
        <v>1041.8</v>
      </c>
      <c r="P3487" s="53">
        <v>38012.880000000005</v>
      </c>
      <c r="Q3487" s="65">
        <v>38012.880000000005</v>
      </c>
      <c r="R3487" s="65">
        <v>0</v>
      </c>
      <c r="S3487" s="65">
        <v>398.65000000000003</v>
      </c>
      <c r="T3487" s="65">
        <v>0</v>
      </c>
      <c r="U3487" s="58">
        <v>15500</v>
      </c>
      <c r="V3487" s="65">
        <v>0</v>
      </c>
      <c r="W3487" s="65">
        <v>0</v>
      </c>
      <c r="X3487" s="65">
        <v>18793</v>
      </c>
      <c r="Y3487" s="65">
        <v>3323</v>
      </c>
      <c r="Z3487" s="51">
        <v>0</v>
      </c>
      <c r="AA3487" s="51">
        <v>26</v>
      </c>
      <c r="AB3487" s="102" t="s">
        <v>68</v>
      </c>
      <c r="AC3487" s="81">
        <f t="shared" si="166"/>
        <v>0</v>
      </c>
      <c r="AD3487" s="82">
        <f t="shared" si="167"/>
        <v>0</v>
      </c>
      <c r="AE3487" s="218">
        <v>7.2160257284826623E-4</v>
      </c>
      <c r="AF3487">
        <v>25</v>
      </c>
      <c r="AH3487" t="str">
        <f t="shared" si="165"/>
        <v>Musrigharari</v>
      </c>
      <c r="AJ3487" s="72">
        <v>0</v>
      </c>
      <c r="AK3487" s="72"/>
      <c r="AL3487" s="72"/>
      <c r="AM3487" s="72"/>
    </row>
    <row r="3488" spans="1:39" x14ac:dyDescent="0.25">
      <c r="A3488" s="37" t="s">
        <v>62</v>
      </c>
      <c r="B3488" s="66" t="s">
        <v>1676</v>
      </c>
      <c r="C3488" s="4">
        <v>1013</v>
      </c>
      <c r="D3488" s="41" t="s">
        <v>343</v>
      </c>
      <c r="E3488" s="41">
        <v>10130054</v>
      </c>
      <c r="F3488" s="85" t="s">
        <v>366</v>
      </c>
      <c r="G3488" s="39" t="s">
        <v>92</v>
      </c>
      <c r="H3488" s="52" t="s">
        <v>93</v>
      </c>
      <c r="I3488" s="52">
        <v>808.1</v>
      </c>
      <c r="J3488" s="49">
        <v>33355.020000000004</v>
      </c>
      <c r="K3488" s="58">
        <v>168.94</v>
      </c>
      <c r="L3488" s="58">
        <v>8589.0499999999993</v>
      </c>
      <c r="M3488" s="58">
        <v>638.25</v>
      </c>
      <c r="N3488" s="58">
        <v>24784.04</v>
      </c>
      <c r="O3488" s="58">
        <v>807.19</v>
      </c>
      <c r="P3488" s="53">
        <v>33373.089999999997</v>
      </c>
      <c r="Q3488" s="65">
        <v>33355.020000000004</v>
      </c>
      <c r="R3488" s="65">
        <v>0</v>
      </c>
      <c r="S3488" s="65">
        <v>0</v>
      </c>
      <c r="T3488" s="65">
        <v>18.069999999992433</v>
      </c>
      <c r="U3488" s="58">
        <v>0</v>
      </c>
      <c r="V3488" s="65">
        <v>0</v>
      </c>
      <c r="W3488" s="65">
        <v>0</v>
      </c>
      <c r="X3488" s="65">
        <v>8570</v>
      </c>
      <c r="Y3488" s="65">
        <v>24785</v>
      </c>
      <c r="Z3488" s="51">
        <v>0</v>
      </c>
      <c r="AA3488" s="51">
        <v>0</v>
      </c>
      <c r="AB3488" s="102">
        <v>0</v>
      </c>
      <c r="AC3488" s="81">
        <f t="shared" si="166"/>
        <v>0</v>
      </c>
      <c r="AD3488" s="82">
        <f t="shared" si="167"/>
        <v>0</v>
      </c>
      <c r="AE3488" s="218">
        <v>-5.4174753905086642E-4</v>
      </c>
      <c r="AF3488">
        <v>15</v>
      </c>
      <c r="AH3488" t="str">
        <f t="shared" si="165"/>
        <v>Musrigharari</v>
      </c>
      <c r="AJ3488" s="72">
        <v>0</v>
      </c>
      <c r="AK3488" s="72"/>
      <c r="AL3488" s="72"/>
      <c r="AM3488" s="72"/>
    </row>
    <row r="3489" spans="1:39" x14ac:dyDescent="0.25">
      <c r="A3489" s="37" t="s">
        <v>62</v>
      </c>
      <c r="B3489" s="66" t="s">
        <v>1676</v>
      </c>
      <c r="C3489" s="4">
        <v>1013</v>
      </c>
      <c r="D3489" s="41" t="s">
        <v>343</v>
      </c>
      <c r="E3489" s="41">
        <v>10130058</v>
      </c>
      <c r="F3489" s="85" t="s">
        <v>367</v>
      </c>
      <c r="G3489" s="39" t="s">
        <v>1610</v>
      </c>
      <c r="H3489" s="52" t="s">
        <v>98</v>
      </c>
      <c r="I3489" s="52">
        <v>1386.8</v>
      </c>
      <c r="J3489" s="49">
        <v>44834.66</v>
      </c>
      <c r="K3489" s="58">
        <v>0</v>
      </c>
      <c r="L3489" s="58">
        <v>0</v>
      </c>
      <c r="M3489" s="58">
        <v>0</v>
      </c>
      <c r="N3489" s="58">
        <v>0</v>
      </c>
      <c r="O3489" s="58">
        <v>0</v>
      </c>
      <c r="P3489" s="53">
        <v>0</v>
      </c>
      <c r="Q3489" s="65">
        <v>44834.66</v>
      </c>
      <c r="R3489" s="65">
        <v>0</v>
      </c>
      <c r="S3489" s="65">
        <v>0</v>
      </c>
      <c r="T3489" s="65">
        <v>0</v>
      </c>
      <c r="U3489" s="58">
        <v>1400</v>
      </c>
      <c r="V3489" s="65">
        <v>0</v>
      </c>
      <c r="W3489" s="65">
        <v>0</v>
      </c>
      <c r="X3489" s="65">
        <v>0</v>
      </c>
      <c r="Y3489" s="65">
        <v>0</v>
      </c>
      <c r="Z3489" s="51">
        <v>43434.66</v>
      </c>
      <c r="AA3489" s="51">
        <v>0</v>
      </c>
      <c r="AB3489" s="102">
        <v>0</v>
      </c>
      <c r="AC3489" s="81">
        <f t="shared" si="166"/>
        <v>0</v>
      </c>
      <c r="AD3489" s="82">
        <f t="shared" si="167"/>
        <v>0</v>
      </c>
      <c r="AE3489" s="218">
        <v>0</v>
      </c>
      <c r="AF3489">
        <v>0</v>
      </c>
      <c r="AH3489" t="str">
        <f t="shared" si="165"/>
        <v>Musrigharari</v>
      </c>
      <c r="AJ3489" s="72">
        <v>0</v>
      </c>
      <c r="AK3489" s="72"/>
      <c r="AL3489" s="72"/>
      <c r="AM3489" s="72"/>
    </row>
    <row r="3490" spans="1:39" x14ac:dyDescent="0.25">
      <c r="A3490" s="37" t="s">
        <v>62</v>
      </c>
      <c r="B3490" s="66" t="s">
        <v>1676</v>
      </c>
      <c r="C3490" s="4">
        <v>1013</v>
      </c>
      <c r="D3490" s="41" t="s">
        <v>343</v>
      </c>
      <c r="E3490" s="41">
        <v>10130061</v>
      </c>
      <c r="F3490" s="85" t="s">
        <v>1568</v>
      </c>
      <c r="G3490" s="39" t="s">
        <v>1610</v>
      </c>
      <c r="H3490" s="52" t="s">
        <v>98</v>
      </c>
      <c r="I3490" s="52">
        <v>678</v>
      </c>
      <c r="J3490" s="49">
        <v>28235.5</v>
      </c>
      <c r="K3490" s="58">
        <v>0</v>
      </c>
      <c r="L3490" s="58">
        <v>0</v>
      </c>
      <c r="M3490" s="58">
        <v>0</v>
      </c>
      <c r="N3490" s="58">
        <v>0</v>
      </c>
      <c r="O3490" s="58">
        <v>0</v>
      </c>
      <c r="P3490" s="53">
        <v>0</v>
      </c>
      <c r="Q3490" s="65">
        <v>28235.5</v>
      </c>
      <c r="R3490" s="65">
        <v>0</v>
      </c>
      <c r="S3490" s="65">
        <v>0</v>
      </c>
      <c r="T3490" s="65">
        <v>0</v>
      </c>
      <c r="U3490" s="58">
        <v>0</v>
      </c>
      <c r="V3490" s="65">
        <v>0</v>
      </c>
      <c r="W3490" s="65">
        <v>0</v>
      </c>
      <c r="X3490" s="65">
        <v>0</v>
      </c>
      <c r="Y3490" s="65">
        <v>0</v>
      </c>
      <c r="Z3490" s="51">
        <v>28235.5</v>
      </c>
      <c r="AA3490" s="51">
        <v>0</v>
      </c>
      <c r="AB3490" s="102">
        <v>0</v>
      </c>
      <c r="AC3490" s="81">
        <f t="shared" si="166"/>
        <v>18.323923303834786</v>
      </c>
      <c r="AD3490" s="82">
        <f t="shared" si="167"/>
        <v>96.857142857142861</v>
      </c>
      <c r="AE3490" s="218">
        <v>0</v>
      </c>
      <c r="AF3490">
        <v>0</v>
      </c>
      <c r="AH3490" t="str">
        <f t="shared" si="165"/>
        <v>Musrigharari</v>
      </c>
      <c r="AJ3490" s="72">
        <v>0</v>
      </c>
      <c r="AK3490" s="72"/>
      <c r="AL3490" s="72"/>
      <c r="AM3490" s="72"/>
    </row>
    <row r="3491" spans="1:39" x14ac:dyDescent="0.25">
      <c r="A3491" s="37" t="s">
        <v>62</v>
      </c>
      <c r="B3491" s="66" t="s">
        <v>1676</v>
      </c>
      <c r="C3491" s="4">
        <v>1013</v>
      </c>
      <c r="D3491" s="41" t="s">
        <v>343</v>
      </c>
      <c r="E3491" s="41">
        <v>10130065</v>
      </c>
      <c r="F3491" s="85" t="s">
        <v>417</v>
      </c>
      <c r="G3491" s="39" t="s">
        <v>1610</v>
      </c>
      <c r="H3491" s="52" t="s">
        <v>98</v>
      </c>
      <c r="I3491" s="52">
        <v>476.90000000000003</v>
      </c>
      <c r="J3491" s="49">
        <v>19376.549999999996</v>
      </c>
      <c r="K3491" s="58">
        <v>0</v>
      </c>
      <c r="L3491" s="58">
        <v>0</v>
      </c>
      <c r="M3491" s="58">
        <v>0</v>
      </c>
      <c r="N3491" s="58">
        <v>0</v>
      </c>
      <c r="O3491" s="58">
        <v>0</v>
      </c>
      <c r="P3491" s="53">
        <v>0</v>
      </c>
      <c r="Q3491" s="65">
        <v>19376.549999999996</v>
      </c>
      <c r="R3491" s="65">
        <v>0</v>
      </c>
      <c r="S3491" s="65">
        <v>0</v>
      </c>
      <c r="T3491" s="65">
        <v>0</v>
      </c>
      <c r="U3491" s="58">
        <v>0</v>
      </c>
      <c r="V3491" s="65">
        <v>0</v>
      </c>
      <c r="W3491" s="65">
        <v>0</v>
      </c>
      <c r="X3491" s="65">
        <v>0</v>
      </c>
      <c r="Y3491" s="65">
        <v>0</v>
      </c>
      <c r="Z3491" s="51">
        <v>19376.549999999996</v>
      </c>
      <c r="AA3491" s="51">
        <v>0</v>
      </c>
      <c r="AB3491" s="102">
        <v>0</v>
      </c>
      <c r="AC3491" s="81">
        <f t="shared" si="166"/>
        <v>181.29202369469485</v>
      </c>
      <c r="AD3491" s="82">
        <f t="shared" si="167"/>
        <v>68.128571428571433</v>
      </c>
      <c r="AE3491" s="218">
        <v>0</v>
      </c>
      <c r="AF3491">
        <v>0</v>
      </c>
      <c r="AH3491" t="str">
        <f t="shared" si="165"/>
        <v>Musrigharari</v>
      </c>
      <c r="AJ3491" s="72">
        <v>0</v>
      </c>
      <c r="AK3491" s="72"/>
      <c r="AL3491" s="72"/>
      <c r="AM3491" s="72"/>
    </row>
    <row r="3492" spans="1:39" x14ac:dyDescent="0.25">
      <c r="A3492" s="37" t="s">
        <v>62</v>
      </c>
      <c r="B3492" s="66" t="s">
        <v>1676</v>
      </c>
      <c r="C3492" s="4">
        <v>1013</v>
      </c>
      <c r="D3492" s="41" t="s">
        <v>343</v>
      </c>
      <c r="E3492" s="41">
        <v>10130073</v>
      </c>
      <c r="F3492" s="85" t="s">
        <v>1602</v>
      </c>
      <c r="G3492" s="39" t="s">
        <v>92</v>
      </c>
      <c r="H3492" s="52" t="s">
        <v>93</v>
      </c>
      <c r="I3492" s="52">
        <v>940.59999999999991</v>
      </c>
      <c r="J3492" s="49">
        <v>36088.959999999999</v>
      </c>
      <c r="K3492" s="58">
        <v>384.24000000000007</v>
      </c>
      <c r="L3492" s="58">
        <v>14143.539999999997</v>
      </c>
      <c r="M3492" s="58">
        <v>550.32000000000005</v>
      </c>
      <c r="N3492" s="58">
        <v>21924.859999999997</v>
      </c>
      <c r="O3492" s="58">
        <v>934.56000000000017</v>
      </c>
      <c r="P3492" s="53">
        <v>36068.399999999994</v>
      </c>
      <c r="Q3492" s="65">
        <v>36068.399999999994</v>
      </c>
      <c r="R3492" s="65">
        <v>0</v>
      </c>
      <c r="S3492" s="65">
        <v>111.78999999999999</v>
      </c>
      <c r="T3492" s="65">
        <v>0</v>
      </c>
      <c r="U3492" s="58">
        <v>0</v>
      </c>
      <c r="V3492" s="65">
        <v>0</v>
      </c>
      <c r="W3492" s="65">
        <v>0</v>
      </c>
      <c r="X3492" s="65">
        <v>14144</v>
      </c>
      <c r="Y3492" s="65">
        <v>21815</v>
      </c>
      <c r="Z3492" s="51">
        <v>0</v>
      </c>
      <c r="AA3492" s="51">
        <v>18</v>
      </c>
      <c r="AB3492" s="102">
        <v>0</v>
      </c>
      <c r="AC3492" s="81">
        <f t="shared" si="166"/>
        <v>0</v>
      </c>
      <c r="AD3492" s="82">
        <f t="shared" si="167"/>
        <v>0</v>
      </c>
      <c r="AE3492" s="218">
        <v>5.6970331092957372E-4</v>
      </c>
      <c r="AF3492">
        <v>22</v>
      </c>
      <c r="AH3492" t="str">
        <f t="shared" si="165"/>
        <v>Musrigharari</v>
      </c>
      <c r="AJ3492" s="72">
        <v>0</v>
      </c>
      <c r="AK3492" s="72"/>
      <c r="AL3492" s="72"/>
      <c r="AM3492" s="72"/>
    </row>
    <row r="3493" spans="1:39" x14ac:dyDescent="0.25">
      <c r="A3493" s="37" t="s">
        <v>62</v>
      </c>
      <c r="B3493" s="66" t="s">
        <v>1676</v>
      </c>
      <c r="C3493" s="4">
        <v>1013</v>
      </c>
      <c r="D3493" s="41" t="s">
        <v>343</v>
      </c>
      <c r="E3493" s="41">
        <v>10130074</v>
      </c>
      <c r="F3493" s="85" t="s">
        <v>452</v>
      </c>
      <c r="G3493" s="39" t="s">
        <v>92</v>
      </c>
      <c r="H3493" s="52" t="s">
        <v>93</v>
      </c>
      <c r="I3493" s="52">
        <v>221.60000000000002</v>
      </c>
      <c r="J3493" s="49">
        <v>8217.89</v>
      </c>
      <c r="K3493" s="58">
        <v>92.009999999999991</v>
      </c>
      <c r="L3493" s="58">
        <v>3632.6399999999994</v>
      </c>
      <c r="M3493" s="58">
        <v>126.71</v>
      </c>
      <c r="N3493" s="58">
        <v>4567.6799999999994</v>
      </c>
      <c r="O3493" s="58">
        <v>218.71999999999997</v>
      </c>
      <c r="P3493" s="53">
        <v>8200.32</v>
      </c>
      <c r="Q3493" s="65">
        <v>8200.32</v>
      </c>
      <c r="R3493" s="65">
        <v>0</v>
      </c>
      <c r="S3493" s="65">
        <v>208.79</v>
      </c>
      <c r="T3493" s="65">
        <v>0</v>
      </c>
      <c r="U3493" s="58">
        <v>0</v>
      </c>
      <c r="V3493" s="65">
        <v>0</v>
      </c>
      <c r="W3493" s="65">
        <v>0</v>
      </c>
      <c r="X3493" s="65">
        <v>3633</v>
      </c>
      <c r="Y3493" s="65">
        <v>4359</v>
      </c>
      <c r="Z3493" s="51">
        <v>0</v>
      </c>
      <c r="AA3493" s="51">
        <v>17</v>
      </c>
      <c r="AB3493" s="102">
        <v>0</v>
      </c>
      <c r="AC3493" s="81">
        <f t="shared" si="166"/>
        <v>354.82297617328516</v>
      </c>
      <c r="AD3493" s="82">
        <f t="shared" si="167"/>
        <v>31.657142857142862</v>
      </c>
      <c r="AE3493" s="218">
        <v>2.1380183964496615E-3</v>
      </c>
      <c r="AF3493">
        <v>11</v>
      </c>
      <c r="AH3493" t="str">
        <f t="shared" si="165"/>
        <v>Musrigharari</v>
      </c>
      <c r="AJ3493" s="72">
        <v>0</v>
      </c>
      <c r="AK3493" s="72"/>
      <c r="AL3493" s="72"/>
      <c r="AM3493" s="72"/>
    </row>
    <row r="3494" spans="1:39" x14ac:dyDescent="0.25">
      <c r="A3494" s="37" t="s">
        <v>62</v>
      </c>
      <c r="B3494" s="66" t="s">
        <v>1676</v>
      </c>
      <c r="C3494" s="4">
        <v>1013</v>
      </c>
      <c r="D3494" s="41" t="s">
        <v>343</v>
      </c>
      <c r="E3494" s="41">
        <v>10130077</v>
      </c>
      <c r="F3494" s="85" t="s">
        <v>479</v>
      </c>
      <c r="G3494" s="39" t="s">
        <v>92</v>
      </c>
      <c r="H3494" s="52" t="s">
        <v>93</v>
      </c>
      <c r="I3494" s="52">
        <v>336.00000000000006</v>
      </c>
      <c r="J3494" s="49">
        <v>12209.580000000002</v>
      </c>
      <c r="K3494" s="58">
        <v>261.89999999999998</v>
      </c>
      <c r="L3494" s="58">
        <v>9106.9</v>
      </c>
      <c r="M3494" s="58">
        <v>77.179999999999993</v>
      </c>
      <c r="N3494" s="58">
        <v>3093.2699999999995</v>
      </c>
      <c r="O3494" s="58">
        <v>339.08</v>
      </c>
      <c r="P3494" s="53">
        <v>12200.169999999998</v>
      </c>
      <c r="Q3494" s="65">
        <v>12200.169999999998</v>
      </c>
      <c r="R3494" s="65">
        <v>0</v>
      </c>
      <c r="S3494" s="65">
        <v>60.52</v>
      </c>
      <c r="T3494" s="65">
        <v>0</v>
      </c>
      <c r="U3494" s="58">
        <v>2950</v>
      </c>
      <c r="V3494" s="65">
        <v>500</v>
      </c>
      <c r="W3494" s="65">
        <v>0</v>
      </c>
      <c r="X3494" s="65">
        <v>5657</v>
      </c>
      <c r="Y3494" s="65">
        <v>3033</v>
      </c>
      <c r="Z3494" s="51">
        <v>0</v>
      </c>
      <c r="AA3494" s="51">
        <v>9</v>
      </c>
      <c r="AB3494" s="102">
        <v>0</v>
      </c>
      <c r="AC3494" s="81">
        <f t="shared" si="166"/>
        <v>264.54089999999997</v>
      </c>
      <c r="AD3494" s="82">
        <f t="shared" si="167"/>
        <v>48.000000000000007</v>
      </c>
      <c r="AE3494" s="218">
        <v>7.7070628146123704E-4</v>
      </c>
      <c r="AF3494">
        <v>9</v>
      </c>
      <c r="AH3494" t="str">
        <f t="shared" si="165"/>
        <v>Musrigharari</v>
      </c>
      <c r="AJ3494" s="72">
        <v>500</v>
      </c>
      <c r="AK3494" s="72"/>
      <c r="AL3494" s="72"/>
      <c r="AM3494" s="72"/>
    </row>
    <row r="3495" spans="1:39" x14ac:dyDescent="0.25">
      <c r="A3495" s="37" t="s">
        <v>62</v>
      </c>
      <c r="B3495" s="66" t="s">
        <v>1676</v>
      </c>
      <c r="C3495" s="4">
        <v>1013</v>
      </c>
      <c r="D3495" s="41" t="s">
        <v>343</v>
      </c>
      <c r="E3495" s="41">
        <v>10130080</v>
      </c>
      <c r="F3495" s="85" t="s">
        <v>481</v>
      </c>
      <c r="G3495" s="39" t="s">
        <v>1610</v>
      </c>
      <c r="H3495" s="52" t="s">
        <v>98</v>
      </c>
      <c r="I3495" s="52">
        <v>30.6</v>
      </c>
      <c r="J3495" s="49">
        <v>1379.0499999999997</v>
      </c>
      <c r="K3495" s="58">
        <v>0</v>
      </c>
      <c r="L3495" s="58">
        <v>0</v>
      </c>
      <c r="M3495" s="58">
        <v>0</v>
      </c>
      <c r="N3495" s="58">
        <v>0</v>
      </c>
      <c r="O3495" s="58">
        <v>0</v>
      </c>
      <c r="P3495" s="53">
        <v>0</v>
      </c>
      <c r="Q3495" s="65">
        <v>1379.0499999999997</v>
      </c>
      <c r="R3495" s="65">
        <v>0</v>
      </c>
      <c r="S3495" s="65">
        <v>0</v>
      </c>
      <c r="T3495" s="65">
        <v>0</v>
      </c>
      <c r="U3495" s="58">
        <v>0</v>
      </c>
      <c r="V3495" s="65">
        <v>0</v>
      </c>
      <c r="W3495" s="65">
        <v>0</v>
      </c>
      <c r="X3495" s="65">
        <v>0</v>
      </c>
      <c r="Y3495" s="65">
        <v>0</v>
      </c>
      <c r="Z3495" s="51">
        <v>1379.0499999999997</v>
      </c>
      <c r="AA3495" s="51">
        <v>0</v>
      </c>
      <c r="AB3495" s="102">
        <v>0</v>
      </c>
      <c r="AC3495" s="81">
        <f t="shared" si="166"/>
        <v>603.35690849673199</v>
      </c>
      <c r="AD3495" s="82">
        <f t="shared" si="167"/>
        <v>4.3714285714285719</v>
      </c>
      <c r="AE3495" s="218">
        <v>0</v>
      </c>
      <c r="AF3495">
        <v>0</v>
      </c>
      <c r="AH3495" t="str">
        <f t="shared" si="165"/>
        <v>Musrigharari</v>
      </c>
      <c r="AJ3495" s="72">
        <v>0</v>
      </c>
      <c r="AK3495" s="72"/>
      <c r="AL3495" s="72"/>
      <c r="AM3495" s="72"/>
    </row>
    <row r="3496" spans="1:39" x14ac:dyDescent="0.25">
      <c r="A3496" s="37" t="s">
        <v>62</v>
      </c>
      <c r="B3496" s="66" t="s">
        <v>1676</v>
      </c>
      <c r="C3496" s="4">
        <v>1013</v>
      </c>
      <c r="D3496" s="41" t="s">
        <v>343</v>
      </c>
      <c r="E3496" s="41">
        <v>10130081</v>
      </c>
      <c r="F3496" s="85" t="s">
        <v>1235</v>
      </c>
      <c r="G3496" s="39" t="s">
        <v>1610</v>
      </c>
      <c r="H3496" s="52" t="s">
        <v>98</v>
      </c>
      <c r="I3496" s="52">
        <v>166.00000000000003</v>
      </c>
      <c r="J3496" s="49">
        <v>5308.14</v>
      </c>
      <c r="K3496" s="58">
        <v>0</v>
      </c>
      <c r="L3496" s="58">
        <v>0</v>
      </c>
      <c r="M3496" s="58">
        <v>0</v>
      </c>
      <c r="N3496" s="58">
        <v>0</v>
      </c>
      <c r="O3496" s="58">
        <v>0</v>
      </c>
      <c r="P3496" s="53">
        <v>0</v>
      </c>
      <c r="Q3496" s="65">
        <v>5308.14</v>
      </c>
      <c r="R3496" s="65">
        <v>0</v>
      </c>
      <c r="S3496" s="65">
        <v>0</v>
      </c>
      <c r="T3496" s="65">
        <v>0</v>
      </c>
      <c r="U3496" s="58">
        <v>217</v>
      </c>
      <c r="V3496" s="65">
        <v>0</v>
      </c>
      <c r="W3496" s="65">
        <v>0</v>
      </c>
      <c r="X3496" s="65">
        <v>0</v>
      </c>
      <c r="Y3496" s="65">
        <v>0</v>
      </c>
      <c r="Z3496" s="51">
        <v>5091.1400000000003</v>
      </c>
      <c r="AA3496" s="51">
        <v>0</v>
      </c>
      <c r="AB3496" s="102">
        <v>0</v>
      </c>
      <c r="AC3496" s="81">
        <f t="shared" si="166"/>
        <v>341.51165783132529</v>
      </c>
      <c r="AD3496" s="82">
        <f t="shared" si="167"/>
        <v>23.714285714285719</v>
      </c>
      <c r="AE3496" s="218">
        <v>0</v>
      </c>
      <c r="AF3496">
        <v>0</v>
      </c>
      <c r="AH3496" t="str">
        <f t="shared" si="165"/>
        <v>Musrigharari</v>
      </c>
      <c r="AJ3496" s="72">
        <v>0</v>
      </c>
      <c r="AK3496" s="72"/>
      <c r="AL3496" s="72"/>
      <c r="AM3496" s="72"/>
    </row>
    <row r="3497" spans="1:39" x14ac:dyDescent="0.25">
      <c r="A3497" s="37" t="s">
        <v>62</v>
      </c>
      <c r="B3497" s="66" t="s">
        <v>1676</v>
      </c>
      <c r="C3497" s="4">
        <v>1013</v>
      </c>
      <c r="D3497" s="41" t="s">
        <v>343</v>
      </c>
      <c r="E3497" s="41">
        <v>10130083</v>
      </c>
      <c r="F3497" s="85" t="s">
        <v>488</v>
      </c>
      <c r="G3497" s="39" t="s">
        <v>1610</v>
      </c>
      <c r="H3497" s="52" t="s">
        <v>98</v>
      </c>
      <c r="I3497" s="52">
        <v>959.6</v>
      </c>
      <c r="J3497" s="49">
        <v>30092.880000000005</v>
      </c>
      <c r="K3497" s="58">
        <v>0</v>
      </c>
      <c r="L3497" s="58">
        <v>0</v>
      </c>
      <c r="M3497" s="58">
        <v>0</v>
      </c>
      <c r="N3497" s="58">
        <v>0</v>
      </c>
      <c r="O3497" s="58">
        <v>0</v>
      </c>
      <c r="P3497" s="53">
        <v>0</v>
      </c>
      <c r="Q3497" s="65">
        <v>30092.880000000005</v>
      </c>
      <c r="R3497" s="65">
        <v>0</v>
      </c>
      <c r="S3497" s="65">
        <v>0</v>
      </c>
      <c r="T3497" s="65">
        <v>0</v>
      </c>
      <c r="U3497" s="58">
        <v>0</v>
      </c>
      <c r="V3497" s="65">
        <v>0</v>
      </c>
      <c r="W3497" s="65">
        <v>0</v>
      </c>
      <c r="X3497" s="65">
        <v>0</v>
      </c>
      <c r="Y3497" s="65">
        <v>0</v>
      </c>
      <c r="Z3497" s="51">
        <v>30092.880000000005</v>
      </c>
      <c r="AA3497" s="51">
        <v>0</v>
      </c>
      <c r="AB3497" s="102">
        <v>0</v>
      </c>
      <c r="AC3497" s="81">
        <f t="shared" si="166"/>
        <v>0</v>
      </c>
      <c r="AD3497" s="82">
        <f t="shared" si="167"/>
        <v>0</v>
      </c>
      <c r="AE3497" s="218">
        <v>0</v>
      </c>
      <c r="AF3497">
        <v>0</v>
      </c>
      <c r="AH3497" t="str">
        <f t="shared" si="165"/>
        <v>Musrigharari</v>
      </c>
      <c r="AJ3497" s="72">
        <v>0</v>
      </c>
      <c r="AK3497" s="72"/>
      <c r="AL3497" s="72"/>
      <c r="AM3497" s="72"/>
    </row>
    <row r="3498" spans="1:39" x14ac:dyDescent="0.25">
      <c r="A3498" s="37" t="s">
        <v>62</v>
      </c>
      <c r="B3498" s="66" t="s">
        <v>1676</v>
      </c>
      <c r="C3498" s="4">
        <v>1013</v>
      </c>
      <c r="D3498" s="41" t="s">
        <v>343</v>
      </c>
      <c r="E3498" s="41">
        <v>10130088</v>
      </c>
      <c r="F3498" s="85" t="s">
        <v>1251</v>
      </c>
      <c r="G3498" s="39" t="s">
        <v>1610</v>
      </c>
      <c r="H3498" s="52" t="s">
        <v>98</v>
      </c>
      <c r="I3498" s="52">
        <v>311.59999999999997</v>
      </c>
      <c r="J3498" s="49">
        <v>11421.07</v>
      </c>
      <c r="K3498" s="58">
        <v>0</v>
      </c>
      <c r="L3498" s="58">
        <v>0</v>
      </c>
      <c r="M3498" s="58">
        <v>0</v>
      </c>
      <c r="N3498" s="58">
        <v>0</v>
      </c>
      <c r="O3498" s="58">
        <v>0</v>
      </c>
      <c r="P3498" s="53">
        <v>0</v>
      </c>
      <c r="Q3498" s="65">
        <v>11421.07</v>
      </c>
      <c r="R3498" s="65">
        <v>0</v>
      </c>
      <c r="S3498" s="65">
        <v>0</v>
      </c>
      <c r="T3498" s="65">
        <v>0</v>
      </c>
      <c r="U3498" s="58">
        <v>0</v>
      </c>
      <c r="V3498" s="65">
        <v>0</v>
      </c>
      <c r="W3498" s="65">
        <v>0</v>
      </c>
      <c r="X3498" s="65">
        <v>0</v>
      </c>
      <c r="Y3498" s="65">
        <v>0</v>
      </c>
      <c r="Z3498" s="51">
        <v>11421.07</v>
      </c>
      <c r="AA3498" s="51">
        <v>0</v>
      </c>
      <c r="AB3498" s="102">
        <v>0</v>
      </c>
      <c r="AC3498" s="81">
        <f t="shared" si="166"/>
        <v>284.72038433889605</v>
      </c>
      <c r="AD3498" s="82">
        <f t="shared" si="167"/>
        <v>44.514285714285712</v>
      </c>
      <c r="AE3498" s="218">
        <v>0</v>
      </c>
      <c r="AF3498">
        <v>0</v>
      </c>
      <c r="AH3498" t="str">
        <f t="shared" si="165"/>
        <v>Musrigharari</v>
      </c>
      <c r="AJ3498" s="72">
        <v>0</v>
      </c>
      <c r="AK3498" s="72"/>
      <c r="AL3498" s="72"/>
      <c r="AM3498" s="72"/>
    </row>
    <row r="3499" spans="1:39" x14ac:dyDescent="0.25">
      <c r="A3499" s="37" t="s">
        <v>62</v>
      </c>
      <c r="B3499" s="66" t="s">
        <v>1676</v>
      </c>
      <c r="C3499" s="4">
        <v>1013</v>
      </c>
      <c r="D3499" s="41" t="s">
        <v>343</v>
      </c>
      <c r="E3499" s="41">
        <v>10130090</v>
      </c>
      <c r="F3499" s="85" t="s">
        <v>1560</v>
      </c>
      <c r="G3499" s="39" t="s">
        <v>92</v>
      </c>
      <c r="H3499" s="52" t="s">
        <v>93</v>
      </c>
      <c r="I3499" s="52">
        <v>31.7</v>
      </c>
      <c r="J3499" s="49">
        <v>1034.1199999999999</v>
      </c>
      <c r="K3499" s="58">
        <v>31</v>
      </c>
      <c r="L3499" s="58">
        <v>1010.3199999999999</v>
      </c>
      <c r="M3499" s="58">
        <v>0</v>
      </c>
      <c r="N3499" s="58">
        <v>0</v>
      </c>
      <c r="O3499" s="58">
        <v>31</v>
      </c>
      <c r="P3499" s="53">
        <v>1010.3199999999999</v>
      </c>
      <c r="Q3499" s="65">
        <v>1010.3199999999999</v>
      </c>
      <c r="R3499" s="65">
        <v>0</v>
      </c>
      <c r="S3499" s="65">
        <v>0</v>
      </c>
      <c r="T3499" s="65">
        <v>0</v>
      </c>
      <c r="U3499" s="58">
        <v>0</v>
      </c>
      <c r="V3499" s="65">
        <v>0</v>
      </c>
      <c r="W3499" s="65">
        <v>0</v>
      </c>
      <c r="X3499" s="65">
        <v>1010</v>
      </c>
      <c r="Y3499" s="65">
        <v>0</v>
      </c>
      <c r="Z3499" s="51">
        <v>0</v>
      </c>
      <c r="AA3499" s="51">
        <v>24</v>
      </c>
      <c r="AB3499" s="102">
        <v>0</v>
      </c>
      <c r="AC3499" s="81">
        <f t="shared" si="166"/>
        <v>436.02674826498429</v>
      </c>
      <c r="AD3499" s="82">
        <f t="shared" si="167"/>
        <v>4.5285714285714285</v>
      </c>
      <c r="AE3499" s="218">
        <v>2.301473716783348E-2</v>
      </c>
      <c r="AF3499">
        <v>1</v>
      </c>
      <c r="AH3499" t="str">
        <f t="shared" si="165"/>
        <v>Musrigharari</v>
      </c>
      <c r="AJ3499" s="72">
        <v>0</v>
      </c>
      <c r="AK3499" s="72"/>
      <c r="AL3499" s="72"/>
      <c r="AM3499" s="72"/>
    </row>
    <row r="3500" spans="1:39" x14ac:dyDescent="0.25">
      <c r="A3500" s="37" t="s">
        <v>62</v>
      </c>
      <c r="B3500" s="66" t="s">
        <v>1676</v>
      </c>
      <c r="C3500" s="4">
        <v>1013</v>
      </c>
      <c r="D3500" s="41" t="s">
        <v>343</v>
      </c>
      <c r="E3500" s="41">
        <v>10130093</v>
      </c>
      <c r="F3500" s="85" t="s">
        <v>561</v>
      </c>
      <c r="G3500" s="39" t="s">
        <v>92</v>
      </c>
      <c r="H3500" s="52" t="s">
        <v>93</v>
      </c>
      <c r="I3500" s="52">
        <v>263.90000000000003</v>
      </c>
      <c r="J3500" s="49">
        <v>11626.739999999998</v>
      </c>
      <c r="K3500" s="58">
        <v>180.79000000000002</v>
      </c>
      <c r="L3500" s="58">
        <v>7500.7400000000007</v>
      </c>
      <c r="M3500" s="58">
        <v>79.69</v>
      </c>
      <c r="N3500" s="58">
        <v>4127.96</v>
      </c>
      <c r="O3500" s="58">
        <v>260.48</v>
      </c>
      <c r="P3500" s="53">
        <v>11628.7</v>
      </c>
      <c r="Q3500" s="65">
        <v>11626.739999999998</v>
      </c>
      <c r="R3500" s="65">
        <v>0</v>
      </c>
      <c r="S3500" s="65">
        <v>0</v>
      </c>
      <c r="T3500" s="65">
        <v>1.9600000000027649</v>
      </c>
      <c r="U3500" s="58">
        <v>0</v>
      </c>
      <c r="V3500" s="65">
        <v>0</v>
      </c>
      <c r="W3500" s="65">
        <v>0</v>
      </c>
      <c r="X3500" s="65">
        <v>7499</v>
      </c>
      <c r="Y3500" s="65">
        <v>4128</v>
      </c>
      <c r="Z3500" s="51">
        <v>0</v>
      </c>
      <c r="AA3500" s="51">
        <v>0</v>
      </c>
      <c r="AB3500" s="102">
        <v>0</v>
      </c>
      <c r="AC3500" s="81">
        <f t="shared" si="166"/>
        <v>384.2683830238725</v>
      </c>
      <c r="AD3500" s="82">
        <f t="shared" si="167"/>
        <v>37.700000000000003</v>
      </c>
      <c r="AE3500" s="218">
        <v>-1.6857691837976639E-4</v>
      </c>
      <c r="AF3500">
        <v>6</v>
      </c>
      <c r="AH3500" t="str">
        <f t="shared" si="165"/>
        <v>Musrigharari</v>
      </c>
      <c r="AJ3500" s="72">
        <v>0</v>
      </c>
      <c r="AK3500" s="72"/>
      <c r="AL3500" s="72"/>
      <c r="AM3500" s="72"/>
    </row>
    <row r="3501" spans="1:39" x14ac:dyDescent="0.25">
      <c r="A3501" s="37" t="s">
        <v>62</v>
      </c>
      <c r="B3501" s="66" t="s">
        <v>1676</v>
      </c>
      <c r="C3501" s="4">
        <v>1013</v>
      </c>
      <c r="D3501" s="41" t="s">
        <v>343</v>
      </c>
      <c r="E3501" s="41">
        <v>10130097</v>
      </c>
      <c r="F3501" s="85" t="s">
        <v>813</v>
      </c>
      <c r="G3501" s="39" t="s">
        <v>92</v>
      </c>
      <c r="H3501" s="52" t="s">
        <v>93</v>
      </c>
      <c r="I3501" s="52">
        <v>86.5</v>
      </c>
      <c r="J3501" s="49">
        <v>2838.03</v>
      </c>
      <c r="K3501" s="58">
        <v>85.699999999999989</v>
      </c>
      <c r="L3501" s="58">
        <v>2851.72</v>
      </c>
      <c r="M3501" s="58">
        <v>0</v>
      </c>
      <c r="N3501" s="58">
        <v>0</v>
      </c>
      <c r="O3501" s="58">
        <v>85.699999999999989</v>
      </c>
      <c r="P3501" s="53">
        <v>2851.72</v>
      </c>
      <c r="Q3501" s="65">
        <v>2838.03</v>
      </c>
      <c r="R3501" s="65">
        <v>0</v>
      </c>
      <c r="S3501" s="65">
        <v>0</v>
      </c>
      <c r="T3501" s="65">
        <v>13.6899999999996</v>
      </c>
      <c r="U3501" s="58">
        <v>0</v>
      </c>
      <c r="V3501" s="65">
        <v>500</v>
      </c>
      <c r="W3501" s="65">
        <v>0</v>
      </c>
      <c r="X3501" s="65">
        <v>2338</v>
      </c>
      <c r="Y3501" s="65">
        <v>0</v>
      </c>
      <c r="Z3501" s="51">
        <v>0</v>
      </c>
      <c r="AA3501" s="51">
        <v>0</v>
      </c>
      <c r="AB3501" s="102">
        <v>0</v>
      </c>
      <c r="AC3501" s="81">
        <f t="shared" si="166"/>
        <v>402.57373526011565</v>
      </c>
      <c r="AD3501" s="82">
        <f t="shared" si="167"/>
        <v>12.357142857142858</v>
      </c>
      <c r="AE3501" s="218">
        <v>-4.8237686000498934E-3</v>
      </c>
      <c r="AF3501">
        <v>1</v>
      </c>
      <c r="AH3501" t="str">
        <f t="shared" si="165"/>
        <v>Musrigharari</v>
      </c>
      <c r="AJ3501" s="72">
        <v>500</v>
      </c>
      <c r="AK3501" s="72"/>
      <c r="AL3501" s="72"/>
      <c r="AM3501" s="72"/>
    </row>
    <row r="3502" spans="1:39" x14ac:dyDescent="0.25">
      <c r="A3502" s="37" t="s">
        <v>62</v>
      </c>
      <c r="B3502" s="66" t="s">
        <v>1676</v>
      </c>
      <c r="C3502" s="4">
        <v>1013</v>
      </c>
      <c r="D3502" s="41" t="s">
        <v>343</v>
      </c>
      <c r="E3502" s="41">
        <v>10130098</v>
      </c>
      <c r="F3502" s="85" t="s">
        <v>627</v>
      </c>
      <c r="G3502" s="39" t="s">
        <v>92</v>
      </c>
      <c r="H3502" s="52" t="s">
        <v>93</v>
      </c>
      <c r="I3502" s="52">
        <v>262.2</v>
      </c>
      <c r="J3502" s="49">
        <v>12913.18</v>
      </c>
      <c r="K3502" s="58">
        <v>265.09000000000003</v>
      </c>
      <c r="L3502" s="58">
        <v>12895.58</v>
      </c>
      <c r="M3502" s="58">
        <v>0</v>
      </c>
      <c r="N3502" s="58">
        <v>0</v>
      </c>
      <c r="O3502" s="58">
        <v>265.09000000000003</v>
      </c>
      <c r="P3502" s="53">
        <v>12895.58</v>
      </c>
      <c r="Q3502" s="65">
        <v>12895.58</v>
      </c>
      <c r="R3502" s="65">
        <v>0</v>
      </c>
      <c r="S3502" s="65">
        <v>0</v>
      </c>
      <c r="T3502" s="65">
        <v>0</v>
      </c>
      <c r="U3502" s="58">
        <v>0</v>
      </c>
      <c r="V3502" s="65">
        <v>0</v>
      </c>
      <c r="W3502" s="65">
        <v>0</v>
      </c>
      <c r="X3502" s="65">
        <v>12896</v>
      </c>
      <c r="Y3502" s="65">
        <v>0</v>
      </c>
      <c r="Z3502" s="51">
        <v>0</v>
      </c>
      <c r="AA3502" s="51">
        <v>17</v>
      </c>
      <c r="AB3502" s="102">
        <v>0</v>
      </c>
      <c r="AC3502" s="81">
        <f t="shared" si="166"/>
        <v>431.22732295957286</v>
      </c>
      <c r="AD3502" s="82">
        <f t="shared" si="167"/>
        <v>37.457142857142856</v>
      </c>
      <c r="AE3502" s="218">
        <v>1.3629485533385552E-3</v>
      </c>
      <c r="AF3502">
        <v>6</v>
      </c>
      <c r="AH3502" t="str">
        <f t="shared" si="165"/>
        <v>Musrigharari</v>
      </c>
      <c r="AJ3502" s="72">
        <v>0</v>
      </c>
      <c r="AK3502" s="72"/>
      <c r="AL3502" s="72"/>
      <c r="AM3502" s="72"/>
    </row>
    <row r="3503" spans="1:39" x14ac:dyDescent="0.25">
      <c r="A3503" s="37" t="s">
        <v>62</v>
      </c>
      <c r="B3503" s="66" t="s">
        <v>1676</v>
      </c>
      <c r="C3503" s="4">
        <v>1013</v>
      </c>
      <c r="D3503" s="41" t="s">
        <v>343</v>
      </c>
      <c r="E3503" s="41">
        <v>10130100</v>
      </c>
      <c r="F3503" s="85" t="s">
        <v>676</v>
      </c>
      <c r="G3503" s="39" t="s">
        <v>92</v>
      </c>
      <c r="H3503" s="52" t="s">
        <v>93</v>
      </c>
      <c r="I3503" s="52">
        <v>93.700000000000017</v>
      </c>
      <c r="J3503" s="49">
        <v>3806.2800000000007</v>
      </c>
      <c r="K3503" s="58">
        <v>92.32</v>
      </c>
      <c r="L3503" s="58">
        <v>3795.24</v>
      </c>
      <c r="M3503" s="58">
        <v>0</v>
      </c>
      <c r="N3503" s="58">
        <v>0</v>
      </c>
      <c r="O3503" s="58">
        <v>92.32</v>
      </c>
      <c r="P3503" s="53">
        <v>3795.24</v>
      </c>
      <c r="Q3503" s="65">
        <v>3795.24</v>
      </c>
      <c r="R3503" s="65">
        <v>0</v>
      </c>
      <c r="S3503" s="65">
        <v>0</v>
      </c>
      <c r="T3503" s="65">
        <v>0</v>
      </c>
      <c r="U3503" s="58">
        <v>0</v>
      </c>
      <c r="V3503" s="65">
        <v>500</v>
      </c>
      <c r="W3503" s="65">
        <v>0</v>
      </c>
      <c r="X3503" s="65">
        <v>3296</v>
      </c>
      <c r="Y3503" s="65">
        <v>0</v>
      </c>
      <c r="Z3503" s="51">
        <v>0</v>
      </c>
      <c r="AA3503" s="51">
        <v>10</v>
      </c>
      <c r="AB3503" s="102">
        <v>0</v>
      </c>
      <c r="AC3503" s="81">
        <f t="shared" si="166"/>
        <v>492.58219082177158</v>
      </c>
      <c r="AD3503" s="82">
        <f t="shared" si="167"/>
        <v>13.385714285714288</v>
      </c>
      <c r="AE3503" s="218">
        <v>2.900469749992347E-3</v>
      </c>
      <c r="AF3503">
        <v>3</v>
      </c>
      <c r="AH3503" t="str">
        <f t="shared" si="165"/>
        <v>Musrigharari</v>
      </c>
      <c r="AJ3503" s="72">
        <v>500</v>
      </c>
      <c r="AK3503" s="72"/>
      <c r="AL3503" s="72"/>
      <c r="AM3503" s="72"/>
    </row>
    <row r="3504" spans="1:39" x14ac:dyDescent="0.25">
      <c r="A3504" s="37" t="s">
        <v>62</v>
      </c>
      <c r="B3504" s="66" t="s">
        <v>1676</v>
      </c>
      <c r="C3504" s="4">
        <v>1061</v>
      </c>
      <c r="D3504" s="41" t="s">
        <v>1388</v>
      </c>
      <c r="E3504" s="41">
        <v>10130101</v>
      </c>
      <c r="F3504" s="85" t="s">
        <v>1389</v>
      </c>
      <c r="G3504" s="39" t="s">
        <v>1610</v>
      </c>
      <c r="H3504" s="52" t="s">
        <v>98</v>
      </c>
      <c r="I3504" s="52">
        <v>800.10000000000014</v>
      </c>
      <c r="J3504" s="49">
        <v>33060.35</v>
      </c>
      <c r="K3504" s="58">
        <v>0</v>
      </c>
      <c r="L3504" s="58">
        <v>0</v>
      </c>
      <c r="M3504" s="58">
        <v>0</v>
      </c>
      <c r="N3504" s="58">
        <v>0</v>
      </c>
      <c r="O3504" s="58">
        <v>0</v>
      </c>
      <c r="P3504" s="53">
        <v>0</v>
      </c>
      <c r="Q3504" s="65">
        <v>33060.35</v>
      </c>
      <c r="R3504" s="65">
        <v>0</v>
      </c>
      <c r="S3504" s="65">
        <v>0</v>
      </c>
      <c r="T3504" s="65">
        <v>0</v>
      </c>
      <c r="U3504" s="58">
        <v>0</v>
      </c>
      <c r="V3504" s="65">
        <v>0</v>
      </c>
      <c r="W3504" s="65">
        <v>0</v>
      </c>
      <c r="X3504" s="65">
        <v>0</v>
      </c>
      <c r="Y3504" s="65">
        <v>0</v>
      </c>
      <c r="Z3504" s="51">
        <v>33060.35</v>
      </c>
      <c r="AA3504" s="51">
        <v>0</v>
      </c>
      <c r="AB3504" s="102">
        <v>0</v>
      </c>
      <c r="AC3504" s="81">
        <f t="shared" si="166"/>
        <v>0</v>
      </c>
      <c r="AD3504" s="82">
        <f t="shared" si="167"/>
        <v>0</v>
      </c>
      <c r="AE3504" s="218">
        <v>0</v>
      </c>
      <c r="AF3504">
        <v>0</v>
      </c>
      <c r="AH3504" t="str">
        <f t="shared" si="165"/>
        <v>Mahua BMC</v>
      </c>
      <c r="AJ3504" s="72">
        <v>0</v>
      </c>
      <c r="AK3504" s="72"/>
      <c r="AL3504" s="72"/>
      <c r="AM3504" s="72"/>
    </row>
    <row r="3505" spans="1:39" x14ac:dyDescent="0.25">
      <c r="A3505" s="37" t="s">
        <v>62</v>
      </c>
      <c r="B3505" s="66" t="s">
        <v>1676</v>
      </c>
      <c r="C3505" s="4">
        <v>1013</v>
      </c>
      <c r="D3505" s="41" t="s">
        <v>343</v>
      </c>
      <c r="E3505" s="41">
        <v>10130102</v>
      </c>
      <c r="F3505" s="85" t="s">
        <v>677</v>
      </c>
      <c r="G3505" s="39" t="s">
        <v>1610</v>
      </c>
      <c r="H3505" s="52" t="s">
        <v>98</v>
      </c>
      <c r="I3505" s="52">
        <v>50.4</v>
      </c>
      <c r="J3505" s="49">
        <v>1809.16</v>
      </c>
      <c r="K3505" s="58">
        <v>0</v>
      </c>
      <c r="L3505" s="58">
        <v>0</v>
      </c>
      <c r="M3505" s="58">
        <v>0</v>
      </c>
      <c r="N3505" s="58">
        <v>0</v>
      </c>
      <c r="O3505" s="58">
        <v>0</v>
      </c>
      <c r="P3505" s="53">
        <v>0</v>
      </c>
      <c r="Q3505" s="65">
        <v>1809.16</v>
      </c>
      <c r="R3505" s="65">
        <v>0</v>
      </c>
      <c r="S3505" s="65">
        <v>0</v>
      </c>
      <c r="T3505" s="65">
        <v>0</v>
      </c>
      <c r="U3505" s="58">
        <v>0</v>
      </c>
      <c r="V3505" s="65">
        <v>0</v>
      </c>
      <c r="W3505" s="65">
        <v>0</v>
      </c>
      <c r="X3505" s="65">
        <v>0</v>
      </c>
      <c r="Y3505" s="65">
        <v>0</v>
      </c>
      <c r="Z3505" s="51">
        <v>1809.16</v>
      </c>
      <c r="AA3505" s="51">
        <v>0</v>
      </c>
      <c r="AB3505" s="102">
        <v>0</v>
      </c>
      <c r="AC3505" s="81">
        <f t="shared" si="166"/>
        <v>466.36124444444448</v>
      </c>
      <c r="AD3505" s="82">
        <f t="shared" si="167"/>
        <v>7.2</v>
      </c>
      <c r="AE3505" s="218">
        <v>0</v>
      </c>
      <c r="AF3505">
        <v>0</v>
      </c>
      <c r="AH3505" t="str">
        <f t="shared" si="165"/>
        <v>Musrigharari</v>
      </c>
      <c r="AJ3505" s="72">
        <v>0</v>
      </c>
      <c r="AK3505" s="72"/>
      <c r="AL3505" s="72"/>
      <c r="AM3505" s="72"/>
    </row>
    <row r="3506" spans="1:39" x14ac:dyDescent="0.25">
      <c r="A3506" s="37" t="s">
        <v>62</v>
      </c>
      <c r="B3506" s="66" t="s">
        <v>1676</v>
      </c>
      <c r="C3506" s="4">
        <v>1013</v>
      </c>
      <c r="D3506" s="41" t="s">
        <v>343</v>
      </c>
      <c r="E3506" s="41">
        <v>10130103</v>
      </c>
      <c r="F3506" s="85" t="s">
        <v>1645</v>
      </c>
      <c r="G3506" s="39" t="s">
        <v>1610</v>
      </c>
      <c r="H3506" s="52" t="s">
        <v>98</v>
      </c>
      <c r="I3506" s="52">
        <v>100.10000000000001</v>
      </c>
      <c r="J3506" s="49">
        <v>3596.0099999999993</v>
      </c>
      <c r="K3506" s="58">
        <v>0</v>
      </c>
      <c r="L3506" s="58">
        <v>0</v>
      </c>
      <c r="M3506" s="58">
        <v>0</v>
      </c>
      <c r="N3506" s="58">
        <v>0</v>
      </c>
      <c r="O3506" s="58">
        <v>0</v>
      </c>
      <c r="P3506" s="53">
        <v>0</v>
      </c>
      <c r="Q3506" s="65">
        <v>3596.0099999999993</v>
      </c>
      <c r="R3506" s="65">
        <v>0</v>
      </c>
      <c r="S3506" s="65">
        <v>0</v>
      </c>
      <c r="T3506" s="65">
        <v>0</v>
      </c>
      <c r="U3506" s="58">
        <v>0</v>
      </c>
      <c r="V3506" s="65">
        <v>0</v>
      </c>
      <c r="W3506" s="65">
        <v>0</v>
      </c>
      <c r="X3506" s="65">
        <v>0</v>
      </c>
      <c r="Y3506" s="65">
        <v>0</v>
      </c>
      <c r="Z3506" s="51">
        <v>3596.0099999999993</v>
      </c>
      <c r="AA3506" s="51">
        <v>0</v>
      </c>
      <c r="AB3506" s="102">
        <v>0</v>
      </c>
      <c r="AC3506" s="81">
        <f t="shared" si="166"/>
        <v>431.01826153846139</v>
      </c>
      <c r="AD3506" s="82">
        <f t="shared" si="167"/>
        <v>14.3</v>
      </c>
      <c r="AE3506" s="218">
        <v>0</v>
      </c>
      <c r="AF3506">
        <v>0</v>
      </c>
      <c r="AH3506" t="str">
        <f t="shared" si="165"/>
        <v>Musrigharari</v>
      </c>
      <c r="AJ3506" s="72">
        <v>0</v>
      </c>
      <c r="AK3506" s="72"/>
      <c r="AL3506" s="72"/>
      <c r="AM3506" s="72"/>
    </row>
    <row r="3507" spans="1:39" x14ac:dyDescent="0.25">
      <c r="A3507" s="37" t="s">
        <v>62</v>
      </c>
      <c r="B3507" s="66" t="s">
        <v>1676</v>
      </c>
      <c r="C3507" s="4">
        <v>1013</v>
      </c>
      <c r="D3507" s="41" t="s">
        <v>343</v>
      </c>
      <c r="E3507" s="41">
        <v>10130107</v>
      </c>
      <c r="F3507" s="85" t="s">
        <v>510</v>
      </c>
      <c r="G3507" s="39" t="s">
        <v>1610</v>
      </c>
      <c r="H3507" s="52" t="s">
        <v>98</v>
      </c>
      <c r="I3507" s="52">
        <v>384</v>
      </c>
      <c r="J3507" s="49">
        <v>16296.78</v>
      </c>
      <c r="K3507" s="58">
        <v>0</v>
      </c>
      <c r="L3507" s="58">
        <v>0</v>
      </c>
      <c r="M3507" s="58">
        <v>0</v>
      </c>
      <c r="N3507" s="58">
        <v>0</v>
      </c>
      <c r="O3507" s="58">
        <v>0</v>
      </c>
      <c r="P3507" s="53">
        <v>0</v>
      </c>
      <c r="Q3507" s="65">
        <v>16296.78</v>
      </c>
      <c r="R3507" s="65">
        <v>0</v>
      </c>
      <c r="S3507" s="65">
        <v>0</v>
      </c>
      <c r="T3507" s="65">
        <v>0</v>
      </c>
      <c r="U3507" s="58">
        <v>0</v>
      </c>
      <c r="V3507" s="65">
        <v>0</v>
      </c>
      <c r="W3507" s="65">
        <v>0</v>
      </c>
      <c r="X3507" s="65">
        <v>0</v>
      </c>
      <c r="Y3507" s="65">
        <v>0</v>
      </c>
      <c r="Z3507" s="51">
        <v>16296.78</v>
      </c>
      <c r="AA3507" s="51">
        <v>0</v>
      </c>
      <c r="AB3507" s="102">
        <v>0</v>
      </c>
      <c r="AC3507" s="81">
        <f t="shared" si="166"/>
        <v>268.21783750000003</v>
      </c>
      <c r="AD3507" s="82">
        <f t="shared" si="167"/>
        <v>54.857142857142854</v>
      </c>
      <c r="AE3507" s="218">
        <v>0</v>
      </c>
      <c r="AF3507">
        <v>0</v>
      </c>
      <c r="AH3507" t="str">
        <f t="shared" si="165"/>
        <v>Musrigharari</v>
      </c>
      <c r="AJ3507" s="72">
        <v>0</v>
      </c>
      <c r="AK3507" s="72"/>
      <c r="AL3507" s="72"/>
      <c r="AM3507" s="72"/>
    </row>
    <row r="3508" spans="1:39" x14ac:dyDescent="0.25">
      <c r="A3508" s="37" t="s">
        <v>62</v>
      </c>
      <c r="B3508" s="66" t="s">
        <v>1676</v>
      </c>
      <c r="C3508" s="4">
        <v>1013</v>
      </c>
      <c r="D3508" s="41" t="s">
        <v>343</v>
      </c>
      <c r="E3508" s="41">
        <v>10130111</v>
      </c>
      <c r="F3508" s="85" t="s">
        <v>1236</v>
      </c>
      <c r="G3508" s="39" t="s">
        <v>1610</v>
      </c>
      <c r="H3508" s="52" t="s">
        <v>98</v>
      </c>
      <c r="I3508" s="52">
        <v>1120.4000000000001</v>
      </c>
      <c r="J3508" s="49">
        <v>38117.65</v>
      </c>
      <c r="K3508" s="58">
        <v>0</v>
      </c>
      <c r="L3508" s="58">
        <v>0</v>
      </c>
      <c r="M3508" s="58">
        <v>0</v>
      </c>
      <c r="N3508" s="58">
        <v>0</v>
      </c>
      <c r="O3508" s="58">
        <v>0</v>
      </c>
      <c r="P3508" s="53">
        <v>0</v>
      </c>
      <c r="Q3508" s="65">
        <v>38117.65</v>
      </c>
      <c r="R3508" s="65">
        <v>0</v>
      </c>
      <c r="S3508" s="65">
        <v>0</v>
      </c>
      <c r="T3508" s="65">
        <v>0</v>
      </c>
      <c r="U3508" s="58">
        <v>0</v>
      </c>
      <c r="V3508" s="65">
        <v>0</v>
      </c>
      <c r="W3508" s="65">
        <v>0</v>
      </c>
      <c r="X3508" s="65">
        <v>0</v>
      </c>
      <c r="Y3508" s="65">
        <v>0</v>
      </c>
      <c r="Z3508" s="51">
        <v>38117.65</v>
      </c>
      <c r="AA3508" s="51">
        <v>0</v>
      </c>
      <c r="AB3508" s="102">
        <v>0</v>
      </c>
      <c r="AC3508" s="81">
        <f t="shared" si="166"/>
        <v>0</v>
      </c>
      <c r="AD3508" s="82">
        <f t="shared" si="167"/>
        <v>0</v>
      </c>
      <c r="AE3508" s="218">
        <v>0</v>
      </c>
      <c r="AF3508">
        <v>0</v>
      </c>
      <c r="AH3508" t="str">
        <f t="shared" si="165"/>
        <v>Musrigharari</v>
      </c>
      <c r="AJ3508" s="72">
        <v>0</v>
      </c>
      <c r="AK3508" s="72"/>
      <c r="AL3508" s="72"/>
      <c r="AM3508" s="72"/>
    </row>
    <row r="3509" spans="1:39" x14ac:dyDescent="0.25">
      <c r="A3509" s="37" t="s">
        <v>62</v>
      </c>
      <c r="B3509" s="66" t="s">
        <v>1676</v>
      </c>
      <c r="C3509" s="4">
        <v>1013</v>
      </c>
      <c r="D3509" s="41" t="s">
        <v>343</v>
      </c>
      <c r="E3509" s="41">
        <v>10130113</v>
      </c>
      <c r="F3509" s="85" t="s">
        <v>1264</v>
      </c>
      <c r="G3509" s="39" t="s">
        <v>1610</v>
      </c>
      <c r="H3509" s="52" t="s">
        <v>98</v>
      </c>
      <c r="I3509" s="52">
        <v>1182.5</v>
      </c>
      <c r="J3509" s="49">
        <v>48349.06</v>
      </c>
      <c r="K3509" s="58">
        <v>0</v>
      </c>
      <c r="L3509" s="58">
        <v>0</v>
      </c>
      <c r="M3509" s="58">
        <v>0</v>
      </c>
      <c r="N3509" s="58">
        <v>0</v>
      </c>
      <c r="O3509" s="58">
        <v>0</v>
      </c>
      <c r="P3509" s="53">
        <v>0</v>
      </c>
      <c r="Q3509" s="65">
        <v>48349.06</v>
      </c>
      <c r="R3509" s="65">
        <v>0</v>
      </c>
      <c r="S3509" s="65">
        <v>0</v>
      </c>
      <c r="T3509" s="65">
        <v>0</v>
      </c>
      <c r="U3509" s="58">
        <v>0</v>
      </c>
      <c r="V3509" s="65">
        <v>0</v>
      </c>
      <c r="W3509" s="65">
        <v>0</v>
      </c>
      <c r="X3509" s="65">
        <v>0</v>
      </c>
      <c r="Y3509" s="65">
        <v>0</v>
      </c>
      <c r="Z3509" s="51">
        <v>48349.06</v>
      </c>
      <c r="AA3509" s="51">
        <v>0</v>
      </c>
      <c r="AB3509" s="102">
        <v>0</v>
      </c>
      <c r="AC3509" s="81">
        <f t="shared" si="166"/>
        <v>0</v>
      </c>
      <c r="AD3509" s="82">
        <f t="shared" si="167"/>
        <v>0</v>
      </c>
      <c r="AE3509" s="218">
        <v>0</v>
      </c>
      <c r="AF3509">
        <v>0</v>
      </c>
      <c r="AH3509" t="str">
        <f t="shared" ref="AH3509:AH3572" si="168">TEXT(D3509,"0000")</f>
        <v>Musrigharari</v>
      </c>
      <c r="AJ3509" s="72">
        <v>0</v>
      </c>
      <c r="AK3509" s="72"/>
      <c r="AL3509" s="72"/>
      <c r="AM3509" s="72"/>
    </row>
    <row r="3510" spans="1:39" x14ac:dyDescent="0.25">
      <c r="A3510" s="37" t="s">
        <v>62</v>
      </c>
      <c r="B3510" s="66" t="s">
        <v>1676</v>
      </c>
      <c r="C3510" s="4">
        <v>1013</v>
      </c>
      <c r="D3510" s="41" t="s">
        <v>343</v>
      </c>
      <c r="E3510" s="41">
        <v>10130114</v>
      </c>
      <c r="F3510" s="85" t="s">
        <v>1281</v>
      </c>
      <c r="G3510" s="39" t="s">
        <v>1610</v>
      </c>
      <c r="H3510" s="52" t="s">
        <v>98</v>
      </c>
      <c r="I3510" s="52">
        <v>289.59999999999997</v>
      </c>
      <c r="J3510" s="49">
        <v>11320.949999999999</v>
      </c>
      <c r="K3510" s="58">
        <v>0</v>
      </c>
      <c r="L3510" s="58">
        <v>0</v>
      </c>
      <c r="M3510" s="58">
        <v>0</v>
      </c>
      <c r="N3510" s="58">
        <v>0</v>
      </c>
      <c r="O3510" s="58">
        <v>0</v>
      </c>
      <c r="P3510" s="53">
        <v>0</v>
      </c>
      <c r="Q3510" s="65">
        <v>11320.949999999999</v>
      </c>
      <c r="R3510" s="65">
        <v>0</v>
      </c>
      <c r="S3510" s="65">
        <v>0</v>
      </c>
      <c r="T3510" s="65">
        <v>0</v>
      </c>
      <c r="U3510" s="58">
        <v>0</v>
      </c>
      <c r="V3510" s="65">
        <v>0</v>
      </c>
      <c r="W3510" s="65">
        <v>0</v>
      </c>
      <c r="X3510" s="65">
        <v>0</v>
      </c>
      <c r="Y3510" s="65">
        <v>0</v>
      </c>
      <c r="Z3510" s="51">
        <v>11320.949999999999</v>
      </c>
      <c r="AA3510" s="51">
        <v>0</v>
      </c>
      <c r="AB3510" s="102">
        <v>0</v>
      </c>
      <c r="AC3510" s="81">
        <f t="shared" si="166"/>
        <v>320.86449447513814</v>
      </c>
      <c r="AD3510" s="82">
        <f t="shared" si="167"/>
        <v>41.371428571428567</v>
      </c>
      <c r="AE3510" s="218">
        <v>0</v>
      </c>
      <c r="AF3510">
        <v>0</v>
      </c>
      <c r="AH3510" t="str">
        <f t="shared" si="168"/>
        <v>Musrigharari</v>
      </c>
      <c r="AJ3510" s="72">
        <v>0</v>
      </c>
      <c r="AK3510" s="72"/>
      <c r="AL3510" s="72"/>
      <c r="AM3510" s="72"/>
    </row>
    <row r="3511" spans="1:39" x14ac:dyDescent="0.25">
      <c r="A3511" s="37" t="s">
        <v>62</v>
      </c>
      <c r="B3511" s="66" t="s">
        <v>1676</v>
      </c>
      <c r="C3511" s="4">
        <v>1013</v>
      </c>
      <c r="D3511" s="41" t="s">
        <v>343</v>
      </c>
      <c r="E3511" s="41">
        <v>10130115</v>
      </c>
      <c r="F3511" s="85" t="s">
        <v>1319</v>
      </c>
      <c r="G3511" s="39" t="s">
        <v>92</v>
      </c>
      <c r="H3511" s="52" t="s">
        <v>93</v>
      </c>
      <c r="I3511" s="52">
        <v>497.09999999999997</v>
      </c>
      <c r="J3511" s="49">
        <v>23029.239999999998</v>
      </c>
      <c r="K3511" s="58">
        <v>463.69999999999993</v>
      </c>
      <c r="L3511" s="58">
        <v>22600.44</v>
      </c>
      <c r="M3511" s="58">
        <v>11</v>
      </c>
      <c r="N3511" s="58">
        <v>424.8</v>
      </c>
      <c r="O3511" s="58">
        <v>474.69999999999993</v>
      </c>
      <c r="P3511" s="53">
        <v>23025.239999999998</v>
      </c>
      <c r="Q3511" s="65">
        <v>23025.239999999998</v>
      </c>
      <c r="R3511" s="65">
        <v>0</v>
      </c>
      <c r="S3511" s="65">
        <v>0</v>
      </c>
      <c r="T3511" s="65">
        <v>0</v>
      </c>
      <c r="U3511" s="58">
        <v>1400</v>
      </c>
      <c r="V3511" s="65">
        <v>0</v>
      </c>
      <c r="W3511" s="65">
        <v>0</v>
      </c>
      <c r="X3511" s="65">
        <v>21200</v>
      </c>
      <c r="Y3511" s="65">
        <v>426</v>
      </c>
      <c r="Z3511" s="51">
        <v>0</v>
      </c>
      <c r="AA3511" s="51">
        <v>3</v>
      </c>
      <c r="AB3511" s="102">
        <v>0</v>
      </c>
      <c r="AC3511" s="81">
        <f t="shared" si="166"/>
        <v>187.99568682357679</v>
      </c>
      <c r="AD3511" s="82">
        <f t="shared" si="167"/>
        <v>71.014285714285705</v>
      </c>
      <c r="AE3511" s="218">
        <v>1.7369222779388294E-4</v>
      </c>
      <c r="AF3511">
        <v>7</v>
      </c>
      <c r="AH3511" t="str">
        <f t="shared" si="168"/>
        <v>Musrigharari</v>
      </c>
      <c r="AJ3511" s="72">
        <v>0</v>
      </c>
      <c r="AK3511" s="72"/>
      <c r="AL3511" s="72"/>
      <c r="AM3511" s="72"/>
    </row>
    <row r="3512" spans="1:39" x14ac:dyDescent="0.25">
      <c r="A3512" s="37" t="s">
        <v>62</v>
      </c>
      <c r="B3512" s="66" t="s">
        <v>1676</v>
      </c>
      <c r="C3512" s="4">
        <v>1013</v>
      </c>
      <c r="D3512" s="41" t="s">
        <v>343</v>
      </c>
      <c r="E3512" s="41">
        <v>10130117</v>
      </c>
      <c r="F3512" s="85" t="s">
        <v>1339</v>
      </c>
      <c r="G3512" s="39" t="s">
        <v>1610</v>
      </c>
      <c r="H3512" s="52" t="s">
        <v>93</v>
      </c>
      <c r="I3512" s="52">
        <v>293.8</v>
      </c>
      <c r="J3512" s="49">
        <v>9073.35</v>
      </c>
      <c r="K3512" s="58">
        <v>293.2</v>
      </c>
      <c r="L3512" s="58">
        <v>9054.9699999999993</v>
      </c>
      <c r="M3512" s="58">
        <v>0</v>
      </c>
      <c r="N3512" s="58">
        <v>0</v>
      </c>
      <c r="O3512" s="58">
        <v>293.2</v>
      </c>
      <c r="P3512" s="53">
        <v>9054.9699999999993</v>
      </c>
      <c r="Q3512" s="65">
        <v>9054.9699999999993</v>
      </c>
      <c r="R3512" s="65">
        <v>0</v>
      </c>
      <c r="S3512" s="65">
        <v>0</v>
      </c>
      <c r="T3512" s="65">
        <v>0</v>
      </c>
      <c r="U3512" s="58">
        <v>4350</v>
      </c>
      <c r="V3512" s="65">
        <v>0</v>
      </c>
      <c r="W3512" s="65">
        <v>0</v>
      </c>
      <c r="X3512" s="65">
        <v>4705</v>
      </c>
      <c r="Y3512" s="65">
        <v>0</v>
      </c>
      <c r="Z3512" s="51">
        <v>0</v>
      </c>
      <c r="AA3512" s="51">
        <v>18</v>
      </c>
      <c r="AB3512" s="102" t="s">
        <v>68</v>
      </c>
      <c r="AC3512" s="81">
        <f t="shared" si="166"/>
        <v>250.89140707964603</v>
      </c>
      <c r="AD3512" s="82">
        <f t="shared" si="167"/>
        <v>41.971428571428575</v>
      </c>
      <c r="AE3512" s="218">
        <v>2.0257126640106484E-3</v>
      </c>
      <c r="AF3512">
        <v>1</v>
      </c>
      <c r="AH3512" t="str">
        <f t="shared" si="168"/>
        <v>Musrigharari</v>
      </c>
      <c r="AJ3512" s="72">
        <v>0</v>
      </c>
      <c r="AK3512" s="72"/>
      <c r="AL3512" s="72"/>
      <c r="AM3512" s="72"/>
    </row>
    <row r="3513" spans="1:39" x14ac:dyDescent="0.25">
      <c r="A3513" s="37" t="s">
        <v>62</v>
      </c>
      <c r="B3513" s="66" t="s">
        <v>1676</v>
      </c>
      <c r="C3513" s="4">
        <v>1013</v>
      </c>
      <c r="D3513" s="41" t="s">
        <v>343</v>
      </c>
      <c r="E3513" s="41">
        <v>10130118</v>
      </c>
      <c r="F3513" s="85" t="s">
        <v>1351</v>
      </c>
      <c r="G3513" s="39" t="s">
        <v>1610</v>
      </c>
      <c r="H3513" s="52" t="s">
        <v>98</v>
      </c>
      <c r="I3513" s="52">
        <v>8022</v>
      </c>
      <c r="J3513" s="49">
        <v>308629.66000000003</v>
      </c>
      <c r="K3513" s="58">
        <v>0</v>
      </c>
      <c r="L3513" s="58">
        <v>0</v>
      </c>
      <c r="M3513" s="58">
        <v>0</v>
      </c>
      <c r="N3513" s="58">
        <v>0</v>
      </c>
      <c r="O3513" s="58">
        <v>0</v>
      </c>
      <c r="P3513" s="53">
        <v>0</v>
      </c>
      <c r="Q3513" s="65">
        <v>308629.66000000003</v>
      </c>
      <c r="R3513" s="65">
        <v>0</v>
      </c>
      <c r="S3513" s="65">
        <v>0</v>
      </c>
      <c r="T3513" s="65">
        <v>0</v>
      </c>
      <c r="U3513" s="58">
        <v>0</v>
      </c>
      <c r="V3513" s="65">
        <v>0</v>
      </c>
      <c r="W3513" s="65">
        <v>0</v>
      </c>
      <c r="X3513" s="65">
        <v>0</v>
      </c>
      <c r="Y3513" s="65">
        <v>0</v>
      </c>
      <c r="Z3513" s="51">
        <v>308629.66000000003</v>
      </c>
      <c r="AA3513" s="51">
        <v>0</v>
      </c>
      <c r="AB3513" s="102">
        <v>0</v>
      </c>
      <c r="AC3513" s="81">
        <f t="shared" si="166"/>
        <v>0</v>
      </c>
      <c r="AD3513" s="82">
        <f t="shared" si="167"/>
        <v>0</v>
      </c>
      <c r="AE3513" s="218">
        <v>0</v>
      </c>
      <c r="AF3513">
        <v>0</v>
      </c>
      <c r="AH3513" t="str">
        <f t="shared" si="168"/>
        <v>Musrigharari</v>
      </c>
      <c r="AJ3513" s="72">
        <v>0</v>
      </c>
      <c r="AK3513" s="72"/>
      <c r="AL3513" s="72"/>
      <c r="AM3513" s="72"/>
    </row>
    <row r="3514" spans="1:39" x14ac:dyDescent="0.25">
      <c r="A3514" s="37" t="s">
        <v>62</v>
      </c>
      <c r="B3514" s="66" t="s">
        <v>1676</v>
      </c>
      <c r="C3514" s="4">
        <v>1013</v>
      </c>
      <c r="D3514" s="41" t="s">
        <v>343</v>
      </c>
      <c r="E3514" s="41">
        <v>10130119</v>
      </c>
      <c r="F3514" s="85" t="s">
        <v>1452</v>
      </c>
      <c r="G3514" s="39" t="s">
        <v>1610</v>
      </c>
      <c r="H3514" s="52" t="s">
        <v>98</v>
      </c>
      <c r="I3514" s="52">
        <v>40</v>
      </c>
      <c r="J3514" s="49">
        <v>1747.85</v>
      </c>
      <c r="K3514" s="58">
        <v>0</v>
      </c>
      <c r="L3514" s="58">
        <v>0</v>
      </c>
      <c r="M3514" s="58">
        <v>0</v>
      </c>
      <c r="N3514" s="58">
        <v>0</v>
      </c>
      <c r="O3514" s="58">
        <v>0</v>
      </c>
      <c r="P3514" s="53">
        <v>0</v>
      </c>
      <c r="Q3514" s="65">
        <v>1747.85</v>
      </c>
      <c r="R3514" s="65">
        <v>0</v>
      </c>
      <c r="S3514" s="65">
        <v>0</v>
      </c>
      <c r="T3514" s="65">
        <v>0</v>
      </c>
      <c r="U3514" s="58">
        <v>0</v>
      </c>
      <c r="V3514" s="65">
        <v>0</v>
      </c>
      <c r="W3514" s="65">
        <v>0</v>
      </c>
      <c r="X3514" s="65">
        <v>0</v>
      </c>
      <c r="Y3514" s="65">
        <v>0</v>
      </c>
      <c r="Z3514" s="51">
        <v>1747.85</v>
      </c>
      <c r="AA3514" s="51">
        <v>0</v>
      </c>
      <c r="AB3514" s="102">
        <v>0</v>
      </c>
      <c r="AC3514" s="81">
        <f t="shared" si="166"/>
        <v>576.79049999999995</v>
      </c>
      <c r="AD3514" s="82">
        <f t="shared" si="167"/>
        <v>5.7142857142857144</v>
      </c>
      <c r="AE3514" s="218">
        <v>0</v>
      </c>
      <c r="AF3514">
        <v>0</v>
      </c>
      <c r="AH3514" t="str">
        <f t="shared" si="168"/>
        <v>Musrigharari</v>
      </c>
      <c r="AJ3514" s="72">
        <v>0</v>
      </c>
      <c r="AK3514" s="72"/>
      <c r="AL3514" s="72"/>
      <c r="AM3514" s="72"/>
    </row>
    <row r="3515" spans="1:39" x14ac:dyDescent="0.25">
      <c r="A3515" s="37" t="s">
        <v>62</v>
      </c>
      <c r="B3515" s="66" t="s">
        <v>1676</v>
      </c>
      <c r="C3515" s="4">
        <v>1013</v>
      </c>
      <c r="D3515" s="41" t="s">
        <v>343</v>
      </c>
      <c r="E3515" s="41">
        <v>10130120</v>
      </c>
      <c r="F3515" s="85" t="s">
        <v>1500</v>
      </c>
      <c r="G3515" s="39" t="s">
        <v>92</v>
      </c>
      <c r="H3515" s="52" t="s">
        <v>93</v>
      </c>
      <c r="I3515" s="52">
        <v>586.6</v>
      </c>
      <c r="J3515" s="49">
        <v>24219.600000000002</v>
      </c>
      <c r="K3515" s="58">
        <v>562.66999999999996</v>
      </c>
      <c r="L3515" s="58">
        <v>23348.12</v>
      </c>
      <c r="M3515" s="58">
        <v>20.82</v>
      </c>
      <c r="N3515" s="58">
        <v>831.46000000000015</v>
      </c>
      <c r="O3515" s="58">
        <v>583.49</v>
      </c>
      <c r="P3515" s="53">
        <v>24179.579999999998</v>
      </c>
      <c r="Q3515" s="65">
        <v>24179.579999999998</v>
      </c>
      <c r="R3515" s="65">
        <v>0</v>
      </c>
      <c r="S3515" s="65">
        <v>309.45000000000005</v>
      </c>
      <c r="T3515" s="65">
        <v>0</v>
      </c>
      <c r="U3515" s="58">
        <v>0</v>
      </c>
      <c r="V3515" s="65">
        <v>0</v>
      </c>
      <c r="W3515" s="65">
        <v>0</v>
      </c>
      <c r="X3515" s="65">
        <v>23347</v>
      </c>
      <c r="Y3515" s="65">
        <v>523</v>
      </c>
      <c r="Z3515" s="51">
        <v>0</v>
      </c>
      <c r="AA3515" s="51">
        <v>40</v>
      </c>
      <c r="AB3515" s="102">
        <v>0</v>
      </c>
      <c r="AC3515" s="81">
        <f t="shared" ref="AC3515:AC3578" si="169">((IF(AD3515=0,0,100-AD3515))*7*(J3515/I3515))*2%</f>
        <v>93.641412887828196</v>
      </c>
      <c r="AD3515" s="82">
        <f t="shared" ref="AD3515:AD3578" si="170">IF((I3515/7)&gt;100,0,(I3515/7))</f>
        <v>83.8</v>
      </c>
      <c r="AE3515" s="218">
        <v>1.6523807164447006E-3</v>
      </c>
      <c r="AF3515">
        <v>11</v>
      </c>
      <c r="AH3515" t="str">
        <f t="shared" si="168"/>
        <v>Musrigharari</v>
      </c>
      <c r="AJ3515" s="72">
        <v>0</v>
      </c>
      <c r="AK3515" s="72"/>
      <c r="AL3515" s="72"/>
      <c r="AM3515" s="72"/>
    </row>
    <row r="3516" spans="1:39" x14ac:dyDescent="0.25">
      <c r="A3516" s="37" t="s">
        <v>62</v>
      </c>
      <c r="B3516" s="66" t="s">
        <v>1676</v>
      </c>
      <c r="C3516" s="4">
        <v>1013</v>
      </c>
      <c r="D3516" s="41" t="s">
        <v>343</v>
      </c>
      <c r="E3516" s="41">
        <v>10130122</v>
      </c>
      <c r="F3516" s="85" t="s">
        <v>1547</v>
      </c>
      <c r="G3516" s="39" t="s">
        <v>1610</v>
      </c>
      <c r="H3516" s="52" t="s">
        <v>98</v>
      </c>
      <c r="I3516" s="52">
        <v>472.10000000000008</v>
      </c>
      <c r="J3516" s="49">
        <v>16169.08</v>
      </c>
      <c r="K3516" s="58">
        <v>0</v>
      </c>
      <c r="L3516" s="58">
        <v>0</v>
      </c>
      <c r="M3516" s="58">
        <v>0</v>
      </c>
      <c r="N3516" s="58">
        <v>0</v>
      </c>
      <c r="O3516" s="58">
        <v>0</v>
      </c>
      <c r="P3516" s="53">
        <v>0</v>
      </c>
      <c r="Q3516" s="65">
        <v>16169.08</v>
      </c>
      <c r="R3516" s="65">
        <v>0</v>
      </c>
      <c r="S3516" s="65">
        <v>0</v>
      </c>
      <c r="T3516" s="65">
        <v>0</v>
      </c>
      <c r="U3516" s="58">
        <v>0</v>
      </c>
      <c r="V3516" s="65">
        <v>0</v>
      </c>
      <c r="W3516" s="65">
        <v>0</v>
      </c>
      <c r="X3516" s="65">
        <v>0</v>
      </c>
      <c r="Y3516" s="65">
        <v>0</v>
      </c>
      <c r="Z3516" s="51">
        <v>16169.08</v>
      </c>
      <c r="AA3516" s="51">
        <v>0</v>
      </c>
      <c r="AB3516" s="102">
        <v>0</v>
      </c>
      <c r="AC3516" s="81">
        <f t="shared" si="169"/>
        <v>156.1081691167125</v>
      </c>
      <c r="AD3516" s="82">
        <f t="shared" si="170"/>
        <v>67.44285714285715</v>
      </c>
      <c r="AE3516" s="218">
        <v>0</v>
      </c>
      <c r="AF3516">
        <v>0</v>
      </c>
      <c r="AH3516" t="str">
        <f t="shared" si="168"/>
        <v>Musrigharari</v>
      </c>
      <c r="AJ3516" s="72">
        <v>0</v>
      </c>
      <c r="AK3516" s="72"/>
      <c r="AL3516" s="72"/>
      <c r="AM3516" s="72"/>
    </row>
    <row r="3517" spans="1:39" x14ac:dyDescent="0.25">
      <c r="A3517" s="37" t="s">
        <v>62</v>
      </c>
      <c r="B3517" s="66" t="s">
        <v>1676</v>
      </c>
      <c r="C3517" s="4">
        <v>1014</v>
      </c>
      <c r="D3517" s="41" t="s">
        <v>368</v>
      </c>
      <c r="E3517" s="41">
        <v>10140001</v>
      </c>
      <c r="F3517" s="85" t="s">
        <v>438</v>
      </c>
      <c r="G3517" s="39" t="s">
        <v>92</v>
      </c>
      <c r="H3517" s="52" t="s">
        <v>93</v>
      </c>
      <c r="I3517" s="52">
        <v>597.9</v>
      </c>
      <c r="J3517" s="49">
        <v>19780.729999999996</v>
      </c>
      <c r="K3517" s="58">
        <v>403.9</v>
      </c>
      <c r="L3517" s="58">
        <v>19742.920000000002</v>
      </c>
      <c r="M3517" s="58">
        <v>0</v>
      </c>
      <c r="N3517" s="58">
        <v>0</v>
      </c>
      <c r="O3517" s="58">
        <v>403.9</v>
      </c>
      <c r="P3517" s="53">
        <v>19742.920000000002</v>
      </c>
      <c r="Q3517" s="65">
        <v>19742.920000000002</v>
      </c>
      <c r="R3517" s="65">
        <v>0</v>
      </c>
      <c r="S3517" s="65">
        <v>0</v>
      </c>
      <c r="T3517" s="65">
        <v>0</v>
      </c>
      <c r="U3517" s="58">
        <v>13300</v>
      </c>
      <c r="V3517" s="65">
        <v>0</v>
      </c>
      <c r="W3517" s="65">
        <v>0</v>
      </c>
      <c r="X3517" s="65">
        <v>6442</v>
      </c>
      <c r="Y3517" s="65">
        <v>0</v>
      </c>
      <c r="Z3517" s="51">
        <v>0</v>
      </c>
      <c r="AA3517" s="51">
        <v>39</v>
      </c>
      <c r="AB3517" s="102" t="s">
        <v>68</v>
      </c>
      <c r="AC3517" s="81">
        <f t="shared" si="169"/>
        <v>67.556866800468313</v>
      </c>
      <c r="AD3517" s="82">
        <f t="shared" si="170"/>
        <v>85.414285714285711</v>
      </c>
      <c r="AE3517" s="218">
        <v>1.9114562506031901E-3</v>
      </c>
      <c r="AF3517">
        <v>4</v>
      </c>
      <c r="AH3517" t="str">
        <f t="shared" si="168"/>
        <v>Dumraon</v>
      </c>
      <c r="AJ3517" s="72">
        <v>0</v>
      </c>
      <c r="AK3517" s="72"/>
      <c r="AL3517" s="72"/>
      <c r="AM3517" s="72"/>
    </row>
    <row r="3518" spans="1:39" x14ac:dyDescent="0.25">
      <c r="A3518" s="37" t="s">
        <v>62</v>
      </c>
      <c r="B3518" s="66" t="s">
        <v>1676</v>
      </c>
      <c r="C3518" s="4">
        <v>1014</v>
      </c>
      <c r="D3518" s="41" t="s">
        <v>368</v>
      </c>
      <c r="E3518" s="41">
        <v>10140002</v>
      </c>
      <c r="F3518" s="85" t="s">
        <v>369</v>
      </c>
      <c r="G3518" s="39" t="s">
        <v>92</v>
      </c>
      <c r="H3518" s="52" t="s">
        <v>93</v>
      </c>
      <c r="I3518" s="52">
        <v>619.30000000000007</v>
      </c>
      <c r="J3518" s="49">
        <v>24284.670000000002</v>
      </c>
      <c r="K3518" s="58">
        <v>661.49</v>
      </c>
      <c r="L3518" s="58">
        <v>25621.350000000006</v>
      </c>
      <c r="M3518" s="58">
        <v>0</v>
      </c>
      <c r="N3518" s="58">
        <v>0</v>
      </c>
      <c r="O3518" s="58">
        <v>661.49</v>
      </c>
      <c r="P3518" s="53">
        <v>25621.350000000006</v>
      </c>
      <c r="Q3518" s="65">
        <v>24284.670000000002</v>
      </c>
      <c r="R3518" s="65">
        <v>0</v>
      </c>
      <c r="S3518" s="65">
        <v>0</v>
      </c>
      <c r="T3518" s="65">
        <v>1336.6800000000039</v>
      </c>
      <c r="U3518" s="58">
        <v>0</v>
      </c>
      <c r="V3518" s="65">
        <v>0</v>
      </c>
      <c r="W3518" s="65">
        <v>0</v>
      </c>
      <c r="X3518" s="65">
        <v>24285</v>
      </c>
      <c r="Y3518" s="65">
        <v>0</v>
      </c>
      <c r="Z3518" s="51">
        <v>0</v>
      </c>
      <c r="AA3518" s="51">
        <v>0</v>
      </c>
      <c r="AB3518" s="102">
        <v>0</v>
      </c>
      <c r="AC3518" s="81">
        <f t="shared" si="169"/>
        <v>63.289936024543813</v>
      </c>
      <c r="AD3518" s="82">
        <f t="shared" si="170"/>
        <v>88.471428571428575</v>
      </c>
      <c r="AE3518" s="218">
        <v>-5.5042131517537764E-2</v>
      </c>
      <c r="AF3518">
        <v>13</v>
      </c>
      <c r="AH3518" t="str">
        <f t="shared" si="168"/>
        <v>Dumraon</v>
      </c>
      <c r="AJ3518" s="72">
        <v>0</v>
      </c>
      <c r="AK3518" s="72"/>
      <c r="AL3518" s="72"/>
      <c r="AM3518" s="72"/>
    </row>
    <row r="3519" spans="1:39" x14ac:dyDescent="0.25">
      <c r="A3519" s="37" t="s">
        <v>62</v>
      </c>
      <c r="B3519" s="66" t="s">
        <v>1676</v>
      </c>
      <c r="C3519" s="4">
        <v>1014</v>
      </c>
      <c r="D3519" s="41" t="s">
        <v>368</v>
      </c>
      <c r="E3519" s="41">
        <v>10140003</v>
      </c>
      <c r="F3519" s="85" t="s">
        <v>370</v>
      </c>
      <c r="G3519" s="39" t="s">
        <v>92</v>
      </c>
      <c r="H3519" s="52" t="s">
        <v>93</v>
      </c>
      <c r="I3519" s="52">
        <v>1044.1999999999998</v>
      </c>
      <c r="J3519" s="49">
        <v>43286.21</v>
      </c>
      <c r="K3519" s="58">
        <v>966.89999999999986</v>
      </c>
      <c r="L3519" s="58">
        <v>41985.689999999995</v>
      </c>
      <c r="M3519" s="58">
        <v>34.799999999999997</v>
      </c>
      <c r="N3519" s="58">
        <v>1415.56</v>
      </c>
      <c r="O3519" s="58">
        <v>1001.6999999999998</v>
      </c>
      <c r="P3519" s="53">
        <v>43401.249999999993</v>
      </c>
      <c r="Q3519" s="65">
        <v>43286.21</v>
      </c>
      <c r="R3519" s="65">
        <v>0</v>
      </c>
      <c r="S3519" s="65">
        <v>1415.56</v>
      </c>
      <c r="T3519" s="65">
        <v>115.0399999999936</v>
      </c>
      <c r="U3519" s="58">
        <v>0</v>
      </c>
      <c r="V3519" s="65">
        <v>0</v>
      </c>
      <c r="W3519" s="65">
        <v>0</v>
      </c>
      <c r="X3519" s="65">
        <v>41870</v>
      </c>
      <c r="Y3519" s="65">
        <v>0</v>
      </c>
      <c r="Z3519" s="51">
        <v>0</v>
      </c>
      <c r="AA3519" s="51">
        <v>1</v>
      </c>
      <c r="AB3519" s="102">
        <v>0</v>
      </c>
      <c r="AC3519" s="81">
        <f t="shared" si="169"/>
        <v>0</v>
      </c>
      <c r="AD3519" s="82">
        <f t="shared" si="170"/>
        <v>0</v>
      </c>
      <c r="AE3519" s="218">
        <v>-2.6576593330761367E-3</v>
      </c>
      <c r="AF3519">
        <v>24</v>
      </c>
      <c r="AH3519" t="str">
        <f t="shared" si="168"/>
        <v>Dumraon</v>
      </c>
      <c r="AJ3519" s="72">
        <v>0</v>
      </c>
      <c r="AK3519" s="72"/>
      <c r="AL3519" s="72"/>
      <c r="AM3519" s="72"/>
    </row>
    <row r="3520" spans="1:39" x14ac:dyDescent="0.25">
      <c r="A3520" s="37" t="s">
        <v>62</v>
      </c>
      <c r="B3520" s="66" t="s">
        <v>1676</v>
      </c>
      <c r="C3520" s="4">
        <v>1014</v>
      </c>
      <c r="D3520" s="41" t="s">
        <v>368</v>
      </c>
      <c r="E3520" s="41">
        <v>10140007</v>
      </c>
      <c r="F3520" s="85" t="s">
        <v>371</v>
      </c>
      <c r="G3520" s="39" t="s">
        <v>92</v>
      </c>
      <c r="H3520" s="52" t="s">
        <v>93</v>
      </c>
      <c r="I3520" s="52">
        <v>703.5</v>
      </c>
      <c r="J3520" s="49">
        <v>26419.88</v>
      </c>
      <c r="K3520" s="58">
        <v>691.21</v>
      </c>
      <c r="L3520" s="58">
        <v>27892.29</v>
      </c>
      <c r="M3520" s="58">
        <v>28.88</v>
      </c>
      <c r="N3520" s="58">
        <v>1406.79</v>
      </c>
      <c r="O3520" s="58">
        <v>720.09</v>
      </c>
      <c r="P3520" s="53">
        <v>29299.08</v>
      </c>
      <c r="Q3520" s="65">
        <v>26419.88</v>
      </c>
      <c r="R3520" s="65">
        <v>0</v>
      </c>
      <c r="S3520" s="65">
        <v>1406.79</v>
      </c>
      <c r="T3520" s="65">
        <v>2879.2000000000007</v>
      </c>
      <c r="U3520" s="58">
        <v>0</v>
      </c>
      <c r="V3520" s="65">
        <v>0</v>
      </c>
      <c r="W3520" s="65">
        <v>0</v>
      </c>
      <c r="X3520" s="65">
        <v>27890</v>
      </c>
      <c r="Y3520" s="65">
        <v>0</v>
      </c>
      <c r="Z3520" s="51">
        <v>0</v>
      </c>
      <c r="AA3520" s="51">
        <v>-2877</v>
      </c>
      <c r="AB3520" s="102" t="s">
        <v>66</v>
      </c>
      <c r="AC3520" s="81">
        <f t="shared" si="169"/>
        <v>0</v>
      </c>
      <c r="AD3520" s="82">
        <f t="shared" si="170"/>
        <v>0</v>
      </c>
      <c r="AE3520" s="218">
        <v>-0.10897854191616316</v>
      </c>
      <c r="AF3520">
        <v>13</v>
      </c>
      <c r="AH3520" t="str">
        <f t="shared" si="168"/>
        <v>Dumraon</v>
      </c>
      <c r="AJ3520" s="72">
        <v>0</v>
      </c>
      <c r="AK3520" s="72"/>
      <c r="AL3520" s="72"/>
      <c r="AM3520" s="72"/>
    </row>
    <row r="3521" spans="1:39" x14ac:dyDescent="0.25">
      <c r="A3521" s="37" t="s">
        <v>62</v>
      </c>
      <c r="B3521" s="66" t="s">
        <v>1676</v>
      </c>
      <c r="C3521" s="4">
        <v>1014</v>
      </c>
      <c r="D3521" s="41" t="s">
        <v>368</v>
      </c>
      <c r="E3521" s="41">
        <v>10140008</v>
      </c>
      <c r="F3521" s="85" t="s">
        <v>372</v>
      </c>
      <c r="G3521" s="39" t="s">
        <v>92</v>
      </c>
      <c r="H3521" s="52" t="s">
        <v>93</v>
      </c>
      <c r="I3521" s="52">
        <v>461.6</v>
      </c>
      <c r="J3521" s="49">
        <v>17822.53</v>
      </c>
      <c r="K3521" s="58">
        <v>466.27</v>
      </c>
      <c r="L3521" s="58">
        <v>17822.089999999997</v>
      </c>
      <c r="M3521" s="58">
        <v>0</v>
      </c>
      <c r="N3521" s="58">
        <v>0</v>
      </c>
      <c r="O3521" s="58">
        <v>466.27</v>
      </c>
      <c r="P3521" s="53">
        <v>17822.089999999997</v>
      </c>
      <c r="Q3521" s="65">
        <v>17822.089999999997</v>
      </c>
      <c r="R3521" s="65">
        <v>0</v>
      </c>
      <c r="S3521" s="65">
        <v>0</v>
      </c>
      <c r="T3521" s="65">
        <v>0</v>
      </c>
      <c r="U3521" s="58">
        <v>0</v>
      </c>
      <c r="V3521" s="65">
        <v>0</v>
      </c>
      <c r="W3521" s="65">
        <v>0</v>
      </c>
      <c r="X3521" s="65">
        <v>17823</v>
      </c>
      <c r="Y3521" s="65">
        <v>0</v>
      </c>
      <c r="Z3521" s="51">
        <v>0</v>
      </c>
      <c r="AA3521" s="51">
        <v>0</v>
      </c>
      <c r="AB3521" s="102">
        <v>0</v>
      </c>
      <c r="AC3521" s="81">
        <f t="shared" si="169"/>
        <v>184.09407071057188</v>
      </c>
      <c r="AD3521" s="82">
        <f t="shared" si="170"/>
        <v>65.94285714285715</v>
      </c>
      <c r="AE3521" s="218">
        <v>2.4687852959278416E-5</v>
      </c>
      <c r="AF3521">
        <v>12</v>
      </c>
      <c r="AH3521" t="str">
        <f t="shared" si="168"/>
        <v>Dumraon</v>
      </c>
      <c r="AJ3521" s="72">
        <v>0</v>
      </c>
      <c r="AK3521" s="72"/>
      <c r="AL3521" s="72"/>
      <c r="AM3521" s="72"/>
    </row>
    <row r="3522" spans="1:39" x14ac:dyDescent="0.25">
      <c r="A3522" s="37" t="s">
        <v>62</v>
      </c>
      <c r="B3522" s="66" t="s">
        <v>1676</v>
      </c>
      <c r="C3522" s="4">
        <v>1014</v>
      </c>
      <c r="D3522" s="41" t="s">
        <v>368</v>
      </c>
      <c r="E3522" s="41">
        <v>10140009</v>
      </c>
      <c r="F3522" s="85" t="s">
        <v>373</v>
      </c>
      <c r="G3522" s="39" t="s">
        <v>92</v>
      </c>
      <c r="H3522" s="52" t="s">
        <v>93</v>
      </c>
      <c r="I3522" s="52">
        <v>1229.1000000000004</v>
      </c>
      <c r="J3522" s="49">
        <v>52481.650000000009</v>
      </c>
      <c r="K3522" s="58">
        <v>1228.8899999999999</v>
      </c>
      <c r="L3522" s="58">
        <v>55322.25</v>
      </c>
      <c r="M3522" s="58">
        <v>0</v>
      </c>
      <c r="N3522" s="58">
        <v>0</v>
      </c>
      <c r="O3522" s="58">
        <v>1228.8899999999999</v>
      </c>
      <c r="P3522" s="53">
        <v>55322.25</v>
      </c>
      <c r="Q3522" s="65">
        <v>52481.650000000009</v>
      </c>
      <c r="R3522" s="65">
        <v>0</v>
      </c>
      <c r="S3522" s="65">
        <v>0</v>
      </c>
      <c r="T3522" s="65">
        <v>2840.5999999999913</v>
      </c>
      <c r="U3522" s="58">
        <v>0</v>
      </c>
      <c r="V3522" s="65">
        <v>0</v>
      </c>
      <c r="W3522" s="65">
        <v>0</v>
      </c>
      <c r="X3522" s="65">
        <v>52482</v>
      </c>
      <c r="Y3522" s="65">
        <v>0</v>
      </c>
      <c r="Z3522" s="51">
        <v>0</v>
      </c>
      <c r="AA3522" s="51">
        <v>0</v>
      </c>
      <c r="AB3522" s="102">
        <v>0</v>
      </c>
      <c r="AC3522" s="81">
        <f t="shared" si="169"/>
        <v>0</v>
      </c>
      <c r="AD3522" s="82">
        <f t="shared" si="170"/>
        <v>0</v>
      </c>
      <c r="AE3522" s="218">
        <v>-5.4125584847275018E-2</v>
      </c>
      <c r="AF3522">
        <v>6</v>
      </c>
      <c r="AH3522" t="str">
        <f t="shared" si="168"/>
        <v>Dumraon</v>
      </c>
      <c r="AJ3522" s="72">
        <v>0</v>
      </c>
      <c r="AK3522" s="72"/>
      <c r="AL3522" s="72"/>
      <c r="AM3522" s="72"/>
    </row>
    <row r="3523" spans="1:39" x14ac:dyDescent="0.25">
      <c r="A3523" s="37" t="s">
        <v>62</v>
      </c>
      <c r="B3523" s="66" t="s">
        <v>1676</v>
      </c>
      <c r="C3523" s="4">
        <v>1014</v>
      </c>
      <c r="D3523" s="41" t="s">
        <v>368</v>
      </c>
      <c r="E3523" s="41">
        <v>10140011</v>
      </c>
      <c r="F3523" s="85" t="s">
        <v>374</v>
      </c>
      <c r="G3523" s="39" t="s">
        <v>92</v>
      </c>
      <c r="H3523" s="52" t="s">
        <v>93</v>
      </c>
      <c r="I3523" s="52">
        <v>210.1</v>
      </c>
      <c r="J3523" s="49">
        <v>6637.1899999999987</v>
      </c>
      <c r="K3523" s="58">
        <v>210</v>
      </c>
      <c r="L3523" s="58">
        <v>6636</v>
      </c>
      <c r="M3523" s="58">
        <v>0</v>
      </c>
      <c r="N3523" s="58">
        <v>0</v>
      </c>
      <c r="O3523" s="58">
        <v>210</v>
      </c>
      <c r="P3523" s="53">
        <v>6636</v>
      </c>
      <c r="Q3523" s="65">
        <v>6636</v>
      </c>
      <c r="R3523" s="65">
        <v>0</v>
      </c>
      <c r="S3523" s="65">
        <v>0</v>
      </c>
      <c r="T3523" s="65">
        <v>0</v>
      </c>
      <c r="U3523" s="58">
        <v>30</v>
      </c>
      <c r="V3523" s="65">
        <v>0</v>
      </c>
      <c r="W3523" s="65">
        <v>0</v>
      </c>
      <c r="X3523" s="65">
        <v>6606</v>
      </c>
      <c r="Y3523" s="65">
        <v>0</v>
      </c>
      <c r="Z3523" s="51">
        <v>0</v>
      </c>
      <c r="AA3523" s="51">
        <v>1</v>
      </c>
      <c r="AB3523" s="102" t="s">
        <v>68</v>
      </c>
      <c r="AC3523" s="81">
        <f t="shared" si="169"/>
        <v>309.52492917658259</v>
      </c>
      <c r="AD3523" s="82">
        <f t="shared" si="170"/>
        <v>30.014285714285712</v>
      </c>
      <c r="AE3523" s="218">
        <v>1.7929274286236955E-4</v>
      </c>
      <c r="AF3523">
        <v>1</v>
      </c>
      <c r="AH3523" t="str">
        <f t="shared" si="168"/>
        <v>Dumraon</v>
      </c>
      <c r="AJ3523" s="72">
        <v>0</v>
      </c>
      <c r="AK3523" s="72"/>
      <c r="AL3523" s="72"/>
      <c r="AM3523" s="72"/>
    </row>
    <row r="3524" spans="1:39" x14ac:dyDescent="0.25">
      <c r="A3524" s="37" t="s">
        <v>62</v>
      </c>
      <c r="B3524" s="66" t="s">
        <v>1676</v>
      </c>
      <c r="C3524" s="4">
        <v>1014</v>
      </c>
      <c r="D3524" s="41" t="s">
        <v>368</v>
      </c>
      <c r="E3524" s="41">
        <v>10140012</v>
      </c>
      <c r="F3524" s="85" t="s">
        <v>375</v>
      </c>
      <c r="G3524" s="39" t="s">
        <v>92</v>
      </c>
      <c r="H3524" s="52" t="s">
        <v>93</v>
      </c>
      <c r="I3524" s="52">
        <v>1527.6999999999998</v>
      </c>
      <c r="J3524" s="49">
        <v>71371.080000000016</v>
      </c>
      <c r="K3524" s="58">
        <v>1499.71</v>
      </c>
      <c r="L3524" s="58">
        <v>71734.44</v>
      </c>
      <c r="M3524" s="58">
        <v>8.9599999999999991</v>
      </c>
      <c r="N3524" s="58">
        <v>339.92</v>
      </c>
      <c r="O3524" s="58">
        <v>1508.67</v>
      </c>
      <c r="P3524" s="53">
        <v>72074.36</v>
      </c>
      <c r="Q3524" s="65">
        <v>71371.080000000016</v>
      </c>
      <c r="R3524" s="65">
        <v>0</v>
      </c>
      <c r="S3524" s="65">
        <v>339.92</v>
      </c>
      <c r="T3524" s="65">
        <v>703.27999999998428</v>
      </c>
      <c r="U3524" s="58">
        <v>0</v>
      </c>
      <c r="V3524" s="65">
        <v>0</v>
      </c>
      <c r="W3524" s="65">
        <v>0</v>
      </c>
      <c r="X3524" s="65">
        <v>71031</v>
      </c>
      <c r="Y3524" s="65">
        <v>0</v>
      </c>
      <c r="Z3524" s="51">
        <v>0</v>
      </c>
      <c r="AA3524" s="51">
        <v>0</v>
      </c>
      <c r="AB3524" s="102">
        <v>0</v>
      </c>
      <c r="AC3524" s="81">
        <f t="shared" si="169"/>
        <v>0</v>
      </c>
      <c r="AD3524" s="82">
        <f t="shared" si="170"/>
        <v>0</v>
      </c>
      <c r="AE3524" s="218">
        <v>-9.8538511677276584E-3</v>
      </c>
      <c r="AF3524">
        <v>22</v>
      </c>
      <c r="AH3524" t="str">
        <f t="shared" si="168"/>
        <v>Dumraon</v>
      </c>
      <c r="AJ3524" s="72">
        <v>0</v>
      </c>
      <c r="AK3524" s="72"/>
      <c r="AL3524" s="72"/>
      <c r="AM3524" s="72"/>
    </row>
    <row r="3525" spans="1:39" x14ac:dyDescent="0.25">
      <c r="A3525" s="37" t="s">
        <v>62</v>
      </c>
      <c r="B3525" s="66" t="s">
        <v>1676</v>
      </c>
      <c r="C3525" s="4">
        <v>1014</v>
      </c>
      <c r="D3525" s="41" t="s">
        <v>368</v>
      </c>
      <c r="E3525" s="41">
        <v>10140013</v>
      </c>
      <c r="F3525" s="85" t="s">
        <v>376</v>
      </c>
      <c r="G3525" s="39" t="s">
        <v>92</v>
      </c>
      <c r="H3525" s="52" t="s">
        <v>93</v>
      </c>
      <c r="I3525" s="52">
        <v>2035.1</v>
      </c>
      <c r="J3525" s="49">
        <v>84224.949999999983</v>
      </c>
      <c r="K3525" s="58">
        <v>2345.1999999999998</v>
      </c>
      <c r="L3525" s="58">
        <v>84034.6</v>
      </c>
      <c r="M3525" s="58">
        <v>4</v>
      </c>
      <c r="N3525" s="58">
        <v>136.24</v>
      </c>
      <c r="O3525" s="58">
        <v>2349.1999999999998</v>
      </c>
      <c r="P3525" s="53">
        <v>84170.840000000011</v>
      </c>
      <c r="Q3525" s="65">
        <v>84170.840000000011</v>
      </c>
      <c r="R3525" s="65">
        <v>0</v>
      </c>
      <c r="S3525" s="65">
        <v>136.24</v>
      </c>
      <c r="T3525" s="65">
        <v>0</v>
      </c>
      <c r="U3525" s="58">
        <v>0</v>
      </c>
      <c r="V3525" s="65">
        <v>0</v>
      </c>
      <c r="W3525" s="65">
        <v>0</v>
      </c>
      <c r="X3525" s="65">
        <v>84034</v>
      </c>
      <c r="Y3525" s="65">
        <v>0</v>
      </c>
      <c r="Z3525" s="51">
        <v>0</v>
      </c>
      <c r="AA3525" s="51">
        <v>55</v>
      </c>
      <c r="AB3525" s="102">
        <v>0</v>
      </c>
      <c r="AC3525" s="81">
        <f t="shared" si="169"/>
        <v>0</v>
      </c>
      <c r="AD3525" s="82">
        <f t="shared" si="170"/>
        <v>0</v>
      </c>
      <c r="AE3525" s="218">
        <v>6.4244621100958195E-4</v>
      </c>
      <c r="AF3525">
        <v>6</v>
      </c>
      <c r="AH3525" t="str">
        <f t="shared" si="168"/>
        <v>Dumraon</v>
      </c>
      <c r="AJ3525" s="72">
        <v>0</v>
      </c>
      <c r="AK3525" s="72"/>
      <c r="AL3525" s="72"/>
      <c r="AM3525" s="72"/>
    </row>
    <row r="3526" spans="1:39" x14ac:dyDescent="0.25">
      <c r="A3526" s="37" t="s">
        <v>62</v>
      </c>
      <c r="B3526" s="66" t="s">
        <v>1676</v>
      </c>
      <c r="C3526" s="4">
        <v>1014</v>
      </c>
      <c r="D3526" s="41" t="s">
        <v>368</v>
      </c>
      <c r="E3526" s="41">
        <v>10140018</v>
      </c>
      <c r="F3526" s="85" t="s">
        <v>1119</v>
      </c>
      <c r="G3526" s="39" t="s">
        <v>92</v>
      </c>
      <c r="H3526" s="52" t="s">
        <v>93</v>
      </c>
      <c r="I3526" s="52">
        <v>234.1</v>
      </c>
      <c r="J3526" s="49">
        <v>12558.23</v>
      </c>
      <c r="K3526" s="58">
        <v>234</v>
      </c>
      <c r="L3526" s="58">
        <v>12556.44</v>
      </c>
      <c r="M3526" s="58">
        <v>0</v>
      </c>
      <c r="N3526" s="58">
        <v>0</v>
      </c>
      <c r="O3526" s="58">
        <v>234</v>
      </c>
      <c r="P3526" s="53">
        <v>12556.44</v>
      </c>
      <c r="Q3526" s="65">
        <v>12556.44</v>
      </c>
      <c r="R3526" s="65">
        <v>0</v>
      </c>
      <c r="S3526" s="65">
        <v>0</v>
      </c>
      <c r="T3526" s="65">
        <v>0</v>
      </c>
      <c r="U3526" s="58">
        <v>0</v>
      </c>
      <c r="V3526" s="65">
        <v>0</v>
      </c>
      <c r="W3526" s="65">
        <v>0</v>
      </c>
      <c r="X3526" s="65">
        <v>12556</v>
      </c>
      <c r="Y3526" s="65">
        <v>0</v>
      </c>
      <c r="Z3526" s="51">
        <v>0</v>
      </c>
      <c r="AA3526" s="51">
        <v>2</v>
      </c>
      <c r="AB3526" s="102">
        <v>0</v>
      </c>
      <c r="AC3526" s="81">
        <f t="shared" si="169"/>
        <v>499.8615426740709</v>
      </c>
      <c r="AD3526" s="82">
        <f t="shared" si="170"/>
        <v>33.442857142857143</v>
      </c>
      <c r="AE3526" s="218">
        <v>1.4253601024977677E-4</v>
      </c>
      <c r="AF3526">
        <v>1</v>
      </c>
      <c r="AH3526" t="str">
        <f t="shared" si="168"/>
        <v>Dumraon</v>
      </c>
      <c r="AJ3526" s="72">
        <v>0</v>
      </c>
      <c r="AK3526" s="72"/>
      <c r="AL3526" s="72"/>
      <c r="AM3526" s="72"/>
    </row>
    <row r="3527" spans="1:39" x14ac:dyDescent="0.25">
      <c r="A3527" s="37" t="s">
        <v>62</v>
      </c>
      <c r="B3527" s="66" t="s">
        <v>1676</v>
      </c>
      <c r="C3527" s="4">
        <v>1014</v>
      </c>
      <c r="D3527" s="41" t="s">
        <v>368</v>
      </c>
      <c r="E3527" s="41">
        <v>10140022</v>
      </c>
      <c r="F3527" s="85" t="s">
        <v>377</v>
      </c>
      <c r="G3527" s="39" t="s">
        <v>92</v>
      </c>
      <c r="H3527" s="52" t="s">
        <v>93</v>
      </c>
      <c r="I3527" s="52">
        <v>502.09999999999997</v>
      </c>
      <c r="J3527" s="49">
        <v>18764.47</v>
      </c>
      <c r="K3527" s="58">
        <v>506.87999999999994</v>
      </c>
      <c r="L3527" s="58">
        <v>19657.559999999998</v>
      </c>
      <c r="M3527" s="58">
        <v>0</v>
      </c>
      <c r="N3527" s="58">
        <v>0</v>
      </c>
      <c r="O3527" s="58">
        <v>506.87999999999994</v>
      </c>
      <c r="P3527" s="53">
        <v>19657.559999999998</v>
      </c>
      <c r="Q3527" s="65">
        <v>18764.47</v>
      </c>
      <c r="R3527" s="65">
        <v>0</v>
      </c>
      <c r="S3527" s="65">
        <v>0</v>
      </c>
      <c r="T3527" s="65">
        <v>893.08999999999651</v>
      </c>
      <c r="U3527" s="58">
        <v>0</v>
      </c>
      <c r="V3527" s="65">
        <v>0</v>
      </c>
      <c r="W3527" s="65">
        <v>0</v>
      </c>
      <c r="X3527" s="65">
        <v>18764</v>
      </c>
      <c r="Y3527" s="65">
        <v>0</v>
      </c>
      <c r="Z3527" s="51">
        <v>0</v>
      </c>
      <c r="AA3527" s="51">
        <v>0</v>
      </c>
      <c r="AB3527" s="102">
        <v>0</v>
      </c>
      <c r="AC3527" s="81">
        <f t="shared" si="169"/>
        <v>147.91828771161127</v>
      </c>
      <c r="AD3527" s="82">
        <f t="shared" si="170"/>
        <v>71.728571428571428</v>
      </c>
      <c r="AE3527" s="218">
        <v>-4.7594736222232571E-2</v>
      </c>
      <c r="AF3527">
        <v>3</v>
      </c>
      <c r="AH3527" t="str">
        <f t="shared" si="168"/>
        <v>Dumraon</v>
      </c>
      <c r="AJ3527" s="72">
        <v>0</v>
      </c>
      <c r="AK3527" s="72"/>
      <c r="AL3527" s="72"/>
      <c r="AM3527" s="72"/>
    </row>
    <row r="3528" spans="1:39" x14ac:dyDescent="0.25">
      <c r="A3528" s="37" t="s">
        <v>62</v>
      </c>
      <c r="B3528" s="66" t="s">
        <v>1676</v>
      </c>
      <c r="C3528" s="4">
        <v>1014</v>
      </c>
      <c r="D3528" s="41" t="s">
        <v>368</v>
      </c>
      <c r="E3528" s="41">
        <v>10140032</v>
      </c>
      <c r="F3528" s="85" t="s">
        <v>378</v>
      </c>
      <c r="G3528" s="39" t="s">
        <v>92</v>
      </c>
      <c r="H3528" s="52" t="s">
        <v>93</v>
      </c>
      <c r="I3528" s="52">
        <v>80.900000000000006</v>
      </c>
      <c r="J3528" s="49">
        <v>2695.95</v>
      </c>
      <c r="K3528" s="58">
        <v>91</v>
      </c>
      <c r="L3528" s="58">
        <v>2989.35</v>
      </c>
      <c r="M3528" s="58">
        <v>0</v>
      </c>
      <c r="N3528" s="58">
        <v>0</v>
      </c>
      <c r="O3528" s="58">
        <v>91</v>
      </c>
      <c r="P3528" s="53">
        <v>2989.35</v>
      </c>
      <c r="Q3528" s="65">
        <v>2695.95</v>
      </c>
      <c r="R3528" s="65">
        <v>0</v>
      </c>
      <c r="S3528" s="65">
        <v>0</v>
      </c>
      <c r="T3528" s="65">
        <v>293.40000000000009</v>
      </c>
      <c r="U3528" s="58">
        <v>0</v>
      </c>
      <c r="V3528" s="65">
        <v>500</v>
      </c>
      <c r="W3528" s="65">
        <v>0</v>
      </c>
      <c r="X3528" s="65">
        <v>2196</v>
      </c>
      <c r="Y3528" s="65">
        <v>0</v>
      </c>
      <c r="Z3528" s="51">
        <v>0</v>
      </c>
      <c r="AA3528" s="51">
        <v>0</v>
      </c>
      <c r="AB3528" s="102">
        <v>0</v>
      </c>
      <c r="AC3528" s="81">
        <f t="shared" si="169"/>
        <v>412.62364524103816</v>
      </c>
      <c r="AD3528" s="82">
        <f t="shared" si="170"/>
        <v>11.557142857142859</v>
      </c>
      <c r="AE3528" s="218">
        <v>-0.10882991153396766</v>
      </c>
      <c r="AF3528">
        <v>2</v>
      </c>
      <c r="AH3528" t="str">
        <f t="shared" si="168"/>
        <v>Dumraon</v>
      </c>
      <c r="AJ3528" s="72">
        <v>500</v>
      </c>
      <c r="AK3528" s="72"/>
      <c r="AL3528" s="72"/>
      <c r="AM3528" s="72"/>
    </row>
    <row r="3529" spans="1:39" x14ac:dyDescent="0.25">
      <c r="A3529" s="37" t="s">
        <v>62</v>
      </c>
      <c r="B3529" s="66" t="s">
        <v>1676</v>
      </c>
      <c r="C3529" s="4">
        <v>1014</v>
      </c>
      <c r="D3529" s="41" t="s">
        <v>368</v>
      </c>
      <c r="E3529" s="41">
        <v>10140033</v>
      </c>
      <c r="F3529" s="85" t="s">
        <v>379</v>
      </c>
      <c r="G3529" s="39" t="s">
        <v>92</v>
      </c>
      <c r="H3529" s="52" t="s">
        <v>93</v>
      </c>
      <c r="I3529" s="52">
        <v>55.3</v>
      </c>
      <c r="J3529" s="49">
        <v>1896.09</v>
      </c>
      <c r="K3529" s="58">
        <v>55.4</v>
      </c>
      <c r="L3529" s="58">
        <v>1865.87</v>
      </c>
      <c r="M3529" s="58">
        <v>0</v>
      </c>
      <c r="N3529" s="58">
        <v>0</v>
      </c>
      <c r="O3529" s="58">
        <v>55.4</v>
      </c>
      <c r="P3529" s="53">
        <v>1865.87</v>
      </c>
      <c r="Q3529" s="65">
        <v>1865.87</v>
      </c>
      <c r="R3529" s="65">
        <v>0</v>
      </c>
      <c r="S3529" s="65">
        <v>0</v>
      </c>
      <c r="T3529" s="65">
        <v>0</v>
      </c>
      <c r="U3529" s="58">
        <v>0</v>
      </c>
      <c r="V3529" s="65">
        <v>0</v>
      </c>
      <c r="W3529" s="65">
        <v>0</v>
      </c>
      <c r="X3529" s="65">
        <v>1866</v>
      </c>
      <c r="Y3529" s="65">
        <v>0</v>
      </c>
      <c r="Z3529" s="51">
        <v>0</v>
      </c>
      <c r="AA3529" s="51">
        <v>30</v>
      </c>
      <c r="AB3529" s="102">
        <v>0</v>
      </c>
      <c r="AC3529" s="81">
        <f t="shared" si="169"/>
        <v>442.10098481012653</v>
      </c>
      <c r="AD3529" s="82">
        <f t="shared" si="170"/>
        <v>7.8999999999999995</v>
      </c>
      <c r="AE3529" s="218">
        <v>1.593806201182435E-2</v>
      </c>
      <c r="AF3529">
        <v>1</v>
      </c>
      <c r="AH3529" t="str">
        <f t="shared" si="168"/>
        <v>Dumraon</v>
      </c>
      <c r="AJ3529" s="72">
        <v>0</v>
      </c>
      <c r="AK3529" s="72"/>
      <c r="AL3529" s="72"/>
      <c r="AM3529" s="72"/>
    </row>
    <row r="3530" spans="1:39" x14ac:dyDescent="0.25">
      <c r="A3530" s="37" t="s">
        <v>62</v>
      </c>
      <c r="B3530" s="66" t="s">
        <v>1676</v>
      </c>
      <c r="C3530" s="4">
        <v>1014</v>
      </c>
      <c r="D3530" s="41" t="s">
        <v>368</v>
      </c>
      <c r="E3530" s="41">
        <v>10140034</v>
      </c>
      <c r="F3530" s="85" t="s">
        <v>380</v>
      </c>
      <c r="G3530" s="39" t="s">
        <v>92</v>
      </c>
      <c r="H3530" s="52" t="s">
        <v>93</v>
      </c>
      <c r="I3530" s="52">
        <v>442.29999999999995</v>
      </c>
      <c r="J3530" s="49">
        <v>16220.840000000002</v>
      </c>
      <c r="K3530" s="58">
        <v>444.4</v>
      </c>
      <c r="L3530" s="58">
        <v>17859.22</v>
      </c>
      <c r="M3530" s="58">
        <v>2.5</v>
      </c>
      <c r="N3530" s="58">
        <v>107.94</v>
      </c>
      <c r="O3530" s="58">
        <v>446.9</v>
      </c>
      <c r="P3530" s="53">
        <v>17967.16</v>
      </c>
      <c r="Q3530" s="65">
        <v>16220.840000000002</v>
      </c>
      <c r="R3530" s="65">
        <v>0</v>
      </c>
      <c r="S3530" s="65">
        <v>107.94</v>
      </c>
      <c r="T3530" s="65">
        <v>1746.3199999999979</v>
      </c>
      <c r="U3530" s="58">
        <v>0</v>
      </c>
      <c r="V3530" s="65">
        <v>0</v>
      </c>
      <c r="W3530" s="65">
        <v>0</v>
      </c>
      <c r="X3530" s="65">
        <v>16113</v>
      </c>
      <c r="Y3530" s="65">
        <v>0</v>
      </c>
      <c r="Z3530" s="51">
        <v>0</v>
      </c>
      <c r="AA3530" s="51">
        <v>0</v>
      </c>
      <c r="AB3530" s="102">
        <v>0</v>
      </c>
      <c r="AC3530" s="81">
        <f t="shared" si="169"/>
        <v>189.01697797874752</v>
      </c>
      <c r="AD3530" s="82">
        <f t="shared" si="170"/>
        <v>63.185714285714276</v>
      </c>
      <c r="AE3530" s="218">
        <v>-0.10765903615349129</v>
      </c>
      <c r="AF3530">
        <v>5</v>
      </c>
      <c r="AH3530" t="str">
        <f t="shared" si="168"/>
        <v>Dumraon</v>
      </c>
      <c r="AJ3530" s="72">
        <v>0</v>
      </c>
      <c r="AK3530" s="72"/>
      <c r="AL3530" s="72"/>
      <c r="AM3530" s="72"/>
    </row>
    <row r="3531" spans="1:39" x14ac:dyDescent="0.25">
      <c r="A3531" s="37" t="s">
        <v>62</v>
      </c>
      <c r="B3531" s="66" t="s">
        <v>1676</v>
      </c>
      <c r="C3531" s="4">
        <v>1014</v>
      </c>
      <c r="D3531" s="41" t="s">
        <v>368</v>
      </c>
      <c r="E3531" s="41">
        <v>10140039</v>
      </c>
      <c r="F3531" s="85" t="s">
        <v>381</v>
      </c>
      <c r="G3531" s="39" t="s">
        <v>92</v>
      </c>
      <c r="H3531" s="52" t="s">
        <v>93</v>
      </c>
      <c r="I3531" s="52">
        <v>217.30000000000004</v>
      </c>
      <c r="J3531" s="49">
        <v>8408.23</v>
      </c>
      <c r="K3531" s="58">
        <v>218</v>
      </c>
      <c r="L3531" s="58">
        <v>8268.7599999999984</v>
      </c>
      <c r="M3531" s="58">
        <v>3.5999999999999996</v>
      </c>
      <c r="N3531" s="58">
        <v>127.01000000000002</v>
      </c>
      <c r="O3531" s="58">
        <v>221.6</v>
      </c>
      <c r="P3531" s="53">
        <v>8395.7699999999986</v>
      </c>
      <c r="Q3531" s="65">
        <v>8395.7699999999986</v>
      </c>
      <c r="R3531" s="65">
        <v>0</v>
      </c>
      <c r="S3531" s="65">
        <v>127.01000000000002</v>
      </c>
      <c r="T3531" s="65">
        <v>0</v>
      </c>
      <c r="U3531" s="58">
        <v>0</v>
      </c>
      <c r="V3531" s="65">
        <v>0</v>
      </c>
      <c r="W3531" s="65">
        <v>0</v>
      </c>
      <c r="X3531" s="65">
        <v>8269</v>
      </c>
      <c r="Y3531" s="65">
        <v>0</v>
      </c>
      <c r="Z3531" s="51">
        <v>0</v>
      </c>
      <c r="AA3531" s="51">
        <v>12</v>
      </c>
      <c r="AB3531" s="102">
        <v>0</v>
      </c>
      <c r="AC3531" s="81">
        <f t="shared" si="169"/>
        <v>373.5529333640128</v>
      </c>
      <c r="AD3531" s="82">
        <f t="shared" si="170"/>
        <v>31.042857142857148</v>
      </c>
      <c r="AE3531" s="218">
        <v>1.4818814423488589E-3</v>
      </c>
      <c r="AF3531">
        <v>9</v>
      </c>
      <c r="AH3531" t="str">
        <f t="shared" si="168"/>
        <v>Dumraon</v>
      </c>
      <c r="AJ3531" s="72">
        <v>0</v>
      </c>
      <c r="AK3531" s="72"/>
      <c r="AL3531" s="72"/>
      <c r="AM3531" s="72"/>
    </row>
    <row r="3532" spans="1:39" x14ac:dyDescent="0.25">
      <c r="A3532" s="37" t="s">
        <v>62</v>
      </c>
      <c r="B3532" s="66" t="s">
        <v>1676</v>
      </c>
      <c r="C3532" s="4">
        <v>1014</v>
      </c>
      <c r="D3532" s="41" t="s">
        <v>368</v>
      </c>
      <c r="E3532" s="41">
        <v>10140041</v>
      </c>
      <c r="F3532" s="85" t="s">
        <v>1561</v>
      </c>
      <c r="G3532" s="39" t="s">
        <v>92</v>
      </c>
      <c r="H3532" s="52" t="s">
        <v>93</v>
      </c>
      <c r="I3532" s="52">
        <v>506.40000000000009</v>
      </c>
      <c r="J3532" s="49">
        <v>18274.95</v>
      </c>
      <c r="K3532" s="58">
        <v>510.6</v>
      </c>
      <c r="L3532" s="58">
        <v>18264.16</v>
      </c>
      <c r="M3532" s="58">
        <v>0</v>
      </c>
      <c r="N3532" s="58">
        <v>0</v>
      </c>
      <c r="O3532" s="58">
        <v>510.6</v>
      </c>
      <c r="P3532" s="53">
        <v>18264.16</v>
      </c>
      <c r="Q3532" s="65">
        <v>18264.16</v>
      </c>
      <c r="R3532" s="65">
        <v>0</v>
      </c>
      <c r="S3532" s="65">
        <v>0</v>
      </c>
      <c r="T3532" s="65">
        <v>0</v>
      </c>
      <c r="U3532" s="58">
        <v>0</v>
      </c>
      <c r="V3532" s="65">
        <v>500</v>
      </c>
      <c r="W3532" s="65">
        <v>0</v>
      </c>
      <c r="X3532" s="65">
        <v>17764</v>
      </c>
      <c r="Y3532" s="65">
        <v>0</v>
      </c>
      <c r="Z3532" s="51">
        <v>0</v>
      </c>
      <c r="AA3532" s="51">
        <v>11</v>
      </c>
      <c r="AB3532" s="102">
        <v>0</v>
      </c>
      <c r="AC3532" s="81">
        <f t="shared" si="169"/>
        <v>139.73263507108999</v>
      </c>
      <c r="AD3532" s="82">
        <f t="shared" si="170"/>
        <v>72.342857142857156</v>
      </c>
      <c r="AE3532" s="218">
        <v>5.9042569199920512E-4</v>
      </c>
      <c r="AF3532">
        <v>1</v>
      </c>
      <c r="AH3532" t="str">
        <f t="shared" si="168"/>
        <v>Dumraon</v>
      </c>
      <c r="AJ3532" s="72">
        <v>500</v>
      </c>
      <c r="AK3532" s="72"/>
      <c r="AL3532" s="72"/>
      <c r="AM3532" s="72"/>
    </row>
    <row r="3533" spans="1:39" x14ac:dyDescent="0.25">
      <c r="A3533" s="37" t="s">
        <v>62</v>
      </c>
      <c r="B3533" s="66" t="s">
        <v>1676</v>
      </c>
      <c r="C3533" s="4">
        <v>1014</v>
      </c>
      <c r="D3533" s="41" t="s">
        <v>368</v>
      </c>
      <c r="E3533" s="41">
        <v>10140043</v>
      </c>
      <c r="F3533" s="85" t="s">
        <v>382</v>
      </c>
      <c r="G3533" s="39" t="s">
        <v>92</v>
      </c>
      <c r="H3533" s="52" t="s">
        <v>93</v>
      </c>
      <c r="I3533" s="52">
        <v>216.9</v>
      </c>
      <c r="J3533" s="49">
        <v>9180.4599999999991</v>
      </c>
      <c r="K3533" s="58">
        <v>216.5</v>
      </c>
      <c r="L3533" s="58">
        <v>9179.6</v>
      </c>
      <c r="M3533" s="58">
        <v>0</v>
      </c>
      <c r="N3533" s="58">
        <v>0</v>
      </c>
      <c r="O3533" s="58">
        <v>216.5</v>
      </c>
      <c r="P3533" s="53">
        <v>9179.6</v>
      </c>
      <c r="Q3533" s="65">
        <v>9179.6</v>
      </c>
      <c r="R3533" s="65">
        <v>0</v>
      </c>
      <c r="S3533" s="65">
        <v>0</v>
      </c>
      <c r="T3533" s="65">
        <v>0</v>
      </c>
      <c r="U3533" s="58">
        <v>0</v>
      </c>
      <c r="V3533" s="65">
        <v>500</v>
      </c>
      <c r="W3533" s="65">
        <v>0</v>
      </c>
      <c r="X3533" s="65">
        <v>8680</v>
      </c>
      <c r="Y3533" s="65">
        <v>0</v>
      </c>
      <c r="Z3533" s="51">
        <v>0</v>
      </c>
      <c r="AA3533" s="51">
        <v>0</v>
      </c>
      <c r="AB3533" s="102">
        <v>0</v>
      </c>
      <c r="AC3533" s="81">
        <f t="shared" si="169"/>
        <v>408.95161143384036</v>
      </c>
      <c r="AD3533" s="82">
        <f t="shared" si="170"/>
        <v>30.985714285714288</v>
      </c>
      <c r="AE3533" s="218">
        <v>9.3677223145546425E-5</v>
      </c>
      <c r="AF3533">
        <v>2</v>
      </c>
      <c r="AH3533" t="str">
        <f t="shared" si="168"/>
        <v>Dumraon</v>
      </c>
      <c r="AJ3533" s="72">
        <v>500</v>
      </c>
      <c r="AK3533" s="72"/>
      <c r="AL3533" s="72"/>
      <c r="AM3533" s="72"/>
    </row>
    <row r="3534" spans="1:39" x14ac:dyDescent="0.25">
      <c r="A3534" s="37" t="s">
        <v>62</v>
      </c>
      <c r="B3534" s="66" t="s">
        <v>1676</v>
      </c>
      <c r="C3534" s="4">
        <v>1014</v>
      </c>
      <c r="D3534" s="41" t="s">
        <v>368</v>
      </c>
      <c r="E3534" s="41">
        <v>10140045</v>
      </c>
      <c r="F3534" s="85" t="s">
        <v>383</v>
      </c>
      <c r="G3534" s="39" t="s">
        <v>92</v>
      </c>
      <c r="H3534" s="52" t="s">
        <v>93</v>
      </c>
      <c r="I3534" s="52">
        <v>145.9</v>
      </c>
      <c r="J3534" s="49">
        <v>5929.19</v>
      </c>
      <c r="K3534" s="58">
        <v>145</v>
      </c>
      <c r="L3534" s="58">
        <v>5905.8499999999995</v>
      </c>
      <c r="M3534" s="58">
        <v>0</v>
      </c>
      <c r="N3534" s="58">
        <v>0</v>
      </c>
      <c r="O3534" s="58">
        <v>145</v>
      </c>
      <c r="P3534" s="53">
        <v>5905.8499999999995</v>
      </c>
      <c r="Q3534" s="65">
        <v>5905.8499999999995</v>
      </c>
      <c r="R3534" s="65">
        <v>0</v>
      </c>
      <c r="S3534" s="65">
        <v>0</v>
      </c>
      <c r="T3534" s="65">
        <v>0</v>
      </c>
      <c r="U3534" s="58">
        <v>0</v>
      </c>
      <c r="V3534" s="65">
        <v>0</v>
      </c>
      <c r="W3534" s="65">
        <v>0</v>
      </c>
      <c r="X3534" s="65">
        <v>5906</v>
      </c>
      <c r="Y3534" s="65">
        <v>0</v>
      </c>
      <c r="Z3534" s="51">
        <v>0</v>
      </c>
      <c r="AA3534" s="51">
        <v>23</v>
      </c>
      <c r="AB3534" s="102">
        <v>0</v>
      </c>
      <c r="AC3534" s="81">
        <f t="shared" si="169"/>
        <v>450.35835215901295</v>
      </c>
      <c r="AD3534" s="82">
        <f t="shared" si="170"/>
        <v>20.842857142857145</v>
      </c>
      <c r="AE3534" s="218">
        <v>3.9364567504161863E-3</v>
      </c>
      <c r="AF3534">
        <v>2</v>
      </c>
      <c r="AH3534" t="str">
        <f t="shared" si="168"/>
        <v>Dumraon</v>
      </c>
      <c r="AJ3534" s="72">
        <v>0</v>
      </c>
      <c r="AK3534" s="72"/>
      <c r="AL3534" s="72"/>
      <c r="AM3534" s="72"/>
    </row>
    <row r="3535" spans="1:39" x14ac:dyDescent="0.25">
      <c r="A3535" s="37" t="s">
        <v>62</v>
      </c>
      <c r="B3535" s="66" t="s">
        <v>1676</v>
      </c>
      <c r="C3535" s="4">
        <v>1014</v>
      </c>
      <c r="D3535" s="41" t="s">
        <v>368</v>
      </c>
      <c r="E3535" s="41">
        <v>10140047</v>
      </c>
      <c r="F3535" s="85" t="s">
        <v>384</v>
      </c>
      <c r="G3535" s="39" t="s">
        <v>92</v>
      </c>
      <c r="H3535" s="52" t="s">
        <v>93</v>
      </c>
      <c r="I3535" s="52">
        <v>402.4</v>
      </c>
      <c r="J3535" s="49">
        <v>19971.79</v>
      </c>
      <c r="K3535" s="58">
        <v>404.28999999999996</v>
      </c>
      <c r="L3535" s="58">
        <v>19962.53</v>
      </c>
      <c r="M3535" s="58">
        <v>1.5699999999999998</v>
      </c>
      <c r="N3535" s="58">
        <v>62.75</v>
      </c>
      <c r="O3535" s="58">
        <v>405.85999999999996</v>
      </c>
      <c r="P3535" s="53">
        <v>20025.28</v>
      </c>
      <c r="Q3535" s="65">
        <v>19971.79</v>
      </c>
      <c r="R3535" s="65">
        <v>0</v>
      </c>
      <c r="S3535" s="65">
        <v>62.75</v>
      </c>
      <c r="T3535" s="65">
        <v>53.489999999997963</v>
      </c>
      <c r="U3535" s="58">
        <v>0</v>
      </c>
      <c r="V3535" s="65">
        <v>0</v>
      </c>
      <c r="W3535" s="65">
        <v>0</v>
      </c>
      <c r="X3535" s="65">
        <v>19909</v>
      </c>
      <c r="Y3535" s="65">
        <v>0</v>
      </c>
      <c r="Z3535" s="51">
        <v>0</v>
      </c>
      <c r="AA3535" s="51">
        <v>0</v>
      </c>
      <c r="AB3535" s="102">
        <v>0</v>
      </c>
      <c r="AC3535" s="81">
        <f t="shared" si="169"/>
        <v>295.40778846918494</v>
      </c>
      <c r="AD3535" s="82">
        <f t="shared" si="170"/>
        <v>57.48571428571428</v>
      </c>
      <c r="AE3535" s="218">
        <v>-2.6782777107108558E-3</v>
      </c>
      <c r="AF3535">
        <v>4</v>
      </c>
      <c r="AH3535" t="str">
        <f t="shared" si="168"/>
        <v>Dumraon</v>
      </c>
      <c r="AJ3535" s="72">
        <v>0</v>
      </c>
      <c r="AK3535" s="72"/>
      <c r="AL3535" s="72"/>
      <c r="AM3535" s="72"/>
    </row>
    <row r="3536" spans="1:39" x14ac:dyDescent="0.25">
      <c r="A3536" s="37" t="s">
        <v>62</v>
      </c>
      <c r="B3536" s="66" t="s">
        <v>1676</v>
      </c>
      <c r="C3536" s="4">
        <v>1014</v>
      </c>
      <c r="D3536" s="41" t="s">
        <v>368</v>
      </c>
      <c r="E3536" s="41">
        <v>10140048</v>
      </c>
      <c r="F3536" s="85" t="s">
        <v>385</v>
      </c>
      <c r="G3536" s="39" t="s">
        <v>92</v>
      </c>
      <c r="H3536" s="52" t="s">
        <v>93</v>
      </c>
      <c r="I3536" s="52">
        <v>318.8</v>
      </c>
      <c r="J3536" s="49">
        <v>12784.090000000002</v>
      </c>
      <c r="K3536" s="58">
        <v>317.35999999999996</v>
      </c>
      <c r="L3536" s="58">
        <v>12697.329999999998</v>
      </c>
      <c r="M3536" s="58">
        <v>0</v>
      </c>
      <c r="N3536" s="58">
        <v>0</v>
      </c>
      <c r="O3536" s="58">
        <v>317.35999999999996</v>
      </c>
      <c r="P3536" s="53">
        <v>12697.329999999998</v>
      </c>
      <c r="Q3536" s="65">
        <v>12697.329999999998</v>
      </c>
      <c r="R3536" s="65">
        <v>0</v>
      </c>
      <c r="S3536" s="65">
        <v>0</v>
      </c>
      <c r="T3536" s="65">
        <v>0</v>
      </c>
      <c r="U3536" s="58">
        <v>0</v>
      </c>
      <c r="V3536" s="65">
        <v>0</v>
      </c>
      <c r="W3536" s="65">
        <v>0</v>
      </c>
      <c r="X3536" s="65">
        <v>12697</v>
      </c>
      <c r="Y3536" s="65">
        <v>0</v>
      </c>
      <c r="Z3536" s="51">
        <v>0</v>
      </c>
      <c r="AA3536" s="51">
        <v>87</v>
      </c>
      <c r="AB3536" s="102">
        <v>0</v>
      </c>
      <c r="AC3536" s="81">
        <f t="shared" si="169"/>
        <v>305.72742208281056</v>
      </c>
      <c r="AD3536" s="82">
        <f t="shared" si="170"/>
        <v>45.542857142857144</v>
      </c>
      <c r="AE3536" s="218">
        <v>6.7865604826001574E-3</v>
      </c>
      <c r="AF3536">
        <v>3</v>
      </c>
      <c r="AH3536" t="str">
        <f t="shared" si="168"/>
        <v>Dumraon</v>
      </c>
      <c r="AJ3536" s="72">
        <v>0</v>
      </c>
      <c r="AK3536" s="72"/>
      <c r="AL3536" s="72"/>
      <c r="AM3536" s="72"/>
    </row>
    <row r="3537" spans="1:39" x14ac:dyDescent="0.25">
      <c r="A3537" s="37" t="s">
        <v>62</v>
      </c>
      <c r="B3537" s="66" t="s">
        <v>1676</v>
      </c>
      <c r="C3537" s="4">
        <v>1014</v>
      </c>
      <c r="D3537" s="41" t="s">
        <v>368</v>
      </c>
      <c r="E3537" s="41">
        <v>10140054</v>
      </c>
      <c r="F3537" s="85" t="s">
        <v>386</v>
      </c>
      <c r="G3537" s="39" t="s">
        <v>92</v>
      </c>
      <c r="H3537" s="52" t="s">
        <v>93</v>
      </c>
      <c r="I3537" s="52">
        <v>90.000000000000014</v>
      </c>
      <c r="J3537" s="49">
        <v>4334.3900000000003</v>
      </c>
      <c r="K3537" s="58">
        <v>110.94999999999999</v>
      </c>
      <c r="L3537" s="58">
        <v>4554.32</v>
      </c>
      <c r="M3537" s="58">
        <v>1.53</v>
      </c>
      <c r="N3537" s="58">
        <v>59.08</v>
      </c>
      <c r="O3537" s="58">
        <v>112.47999999999999</v>
      </c>
      <c r="P3537" s="53">
        <v>4613.3999999999996</v>
      </c>
      <c r="Q3537" s="65">
        <v>4334.3900000000003</v>
      </c>
      <c r="R3537" s="65">
        <v>0</v>
      </c>
      <c r="S3537" s="65">
        <v>59.08</v>
      </c>
      <c r="T3537" s="65">
        <v>279.00999999999931</v>
      </c>
      <c r="U3537" s="58">
        <v>0</v>
      </c>
      <c r="V3537" s="65">
        <v>0</v>
      </c>
      <c r="W3537" s="65">
        <v>0</v>
      </c>
      <c r="X3537" s="65">
        <v>4275</v>
      </c>
      <c r="Y3537" s="65">
        <v>0</v>
      </c>
      <c r="Z3537" s="51">
        <v>0</v>
      </c>
      <c r="AA3537" s="51">
        <v>0</v>
      </c>
      <c r="AB3537" s="102">
        <v>0</v>
      </c>
      <c r="AC3537" s="81">
        <f t="shared" si="169"/>
        <v>587.5506444444444</v>
      </c>
      <c r="AD3537" s="82">
        <f t="shared" si="170"/>
        <v>12.857142857142859</v>
      </c>
      <c r="AE3537" s="218">
        <v>-6.4371226400946682E-2</v>
      </c>
      <c r="AF3537">
        <v>7</v>
      </c>
      <c r="AH3537" t="str">
        <f t="shared" si="168"/>
        <v>Dumraon</v>
      </c>
      <c r="AJ3537" s="72">
        <v>0</v>
      </c>
      <c r="AK3537" s="72"/>
      <c r="AL3537" s="72"/>
      <c r="AM3537" s="72"/>
    </row>
    <row r="3538" spans="1:39" x14ac:dyDescent="0.25">
      <c r="A3538" s="37" t="s">
        <v>62</v>
      </c>
      <c r="B3538" s="66" t="s">
        <v>1676</v>
      </c>
      <c r="C3538" s="4">
        <v>1014</v>
      </c>
      <c r="D3538" s="41" t="s">
        <v>368</v>
      </c>
      <c r="E3538" s="41">
        <v>10140055</v>
      </c>
      <c r="F3538" s="85" t="s">
        <v>387</v>
      </c>
      <c r="G3538" s="39" t="s">
        <v>92</v>
      </c>
      <c r="H3538" s="52" t="s">
        <v>93</v>
      </c>
      <c r="I3538" s="52">
        <v>220.7</v>
      </c>
      <c r="J3538" s="49">
        <v>8513.17</v>
      </c>
      <c r="K3538" s="58">
        <v>221</v>
      </c>
      <c r="L3538" s="58">
        <v>8508.5</v>
      </c>
      <c r="M3538" s="58">
        <v>0</v>
      </c>
      <c r="N3538" s="58">
        <v>0</v>
      </c>
      <c r="O3538" s="58">
        <v>221</v>
      </c>
      <c r="P3538" s="53">
        <v>8508.5</v>
      </c>
      <c r="Q3538" s="65">
        <v>8508.5</v>
      </c>
      <c r="R3538" s="65">
        <v>0</v>
      </c>
      <c r="S3538" s="65">
        <v>0</v>
      </c>
      <c r="T3538" s="65">
        <v>0</v>
      </c>
      <c r="U3538" s="58">
        <v>2660</v>
      </c>
      <c r="V3538" s="65">
        <v>0</v>
      </c>
      <c r="W3538" s="65">
        <v>0</v>
      </c>
      <c r="X3538" s="65">
        <v>5849</v>
      </c>
      <c r="Y3538" s="65">
        <v>0</v>
      </c>
      <c r="Z3538" s="51">
        <v>0</v>
      </c>
      <c r="AA3538" s="51">
        <v>4</v>
      </c>
      <c r="AB3538" s="102">
        <v>0</v>
      </c>
      <c r="AC3538" s="81">
        <f t="shared" si="169"/>
        <v>369.76550801993659</v>
      </c>
      <c r="AD3538" s="82">
        <f t="shared" si="170"/>
        <v>31.528571428571428</v>
      </c>
      <c r="AE3538" s="218">
        <v>5.4856181657362332E-4</v>
      </c>
      <c r="AF3538">
        <v>2</v>
      </c>
      <c r="AH3538" t="str">
        <f t="shared" si="168"/>
        <v>Dumraon</v>
      </c>
      <c r="AJ3538" s="72">
        <v>0</v>
      </c>
      <c r="AK3538" s="72"/>
      <c r="AL3538" s="72"/>
      <c r="AM3538" s="72"/>
    </row>
    <row r="3539" spans="1:39" x14ac:dyDescent="0.25">
      <c r="A3539" s="37" t="s">
        <v>62</v>
      </c>
      <c r="B3539" s="66" t="s">
        <v>1676</v>
      </c>
      <c r="C3539" s="4">
        <v>1014</v>
      </c>
      <c r="D3539" s="41" t="s">
        <v>368</v>
      </c>
      <c r="E3539" s="41">
        <v>10140058</v>
      </c>
      <c r="F3539" s="85" t="s">
        <v>1646</v>
      </c>
      <c r="G3539" s="39" t="s">
        <v>92</v>
      </c>
      <c r="H3539" s="52" t="s">
        <v>93</v>
      </c>
      <c r="I3539" s="52">
        <v>102.10000000000001</v>
      </c>
      <c r="J3539" s="49">
        <v>3932.92</v>
      </c>
      <c r="K3539" s="58">
        <v>102</v>
      </c>
      <c r="L3539" s="58">
        <v>3917.98</v>
      </c>
      <c r="M3539" s="58">
        <v>0</v>
      </c>
      <c r="N3539" s="58">
        <v>0</v>
      </c>
      <c r="O3539" s="58">
        <v>102</v>
      </c>
      <c r="P3539" s="53">
        <v>3917.98</v>
      </c>
      <c r="Q3539" s="65">
        <v>3917.98</v>
      </c>
      <c r="R3539" s="65">
        <v>0</v>
      </c>
      <c r="S3539" s="65">
        <v>0</v>
      </c>
      <c r="T3539" s="65">
        <v>0</v>
      </c>
      <c r="U3539" s="58">
        <v>0</v>
      </c>
      <c r="V3539" s="65">
        <v>0</v>
      </c>
      <c r="W3539" s="65">
        <v>0</v>
      </c>
      <c r="X3539" s="65">
        <v>3918</v>
      </c>
      <c r="Y3539" s="65">
        <v>0</v>
      </c>
      <c r="Z3539" s="51">
        <v>0</v>
      </c>
      <c r="AA3539" s="51">
        <v>15</v>
      </c>
      <c r="AB3539" s="102">
        <v>0</v>
      </c>
      <c r="AC3539" s="81">
        <f t="shared" si="169"/>
        <v>460.62543937316354</v>
      </c>
      <c r="AD3539" s="82">
        <f t="shared" si="170"/>
        <v>14.585714285714287</v>
      </c>
      <c r="AE3539" s="218">
        <v>3.7987042706182821E-3</v>
      </c>
      <c r="AF3539">
        <v>2</v>
      </c>
      <c r="AH3539" t="str">
        <f t="shared" si="168"/>
        <v>Dumraon</v>
      </c>
      <c r="AJ3539" s="72">
        <v>0</v>
      </c>
      <c r="AK3539" s="72"/>
      <c r="AL3539" s="72"/>
      <c r="AM3539" s="72"/>
    </row>
    <row r="3540" spans="1:39" x14ac:dyDescent="0.25">
      <c r="A3540" s="37" t="s">
        <v>62</v>
      </c>
      <c r="B3540" s="66" t="s">
        <v>1676</v>
      </c>
      <c r="C3540" s="4">
        <v>1014</v>
      </c>
      <c r="D3540" s="41" t="s">
        <v>368</v>
      </c>
      <c r="E3540" s="41">
        <v>10140066</v>
      </c>
      <c r="F3540" s="85" t="s">
        <v>388</v>
      </c>
      <c r="G3540" s="39" t="s">
        <v>92</v>
      </c>
      <c r="H3540" s="52" t="s">
        <v>93</v>
      </c>
      <c r="I3540" s="52">
        <v>44</v>
      </c>
      <c r="J3540" s="49">
        <v>2474.92</v>
      </c>
      <c r="K3540" s="58">
        <v>65</v>
      </c>
      <c r="L3540" s="58">
        <v>4151.62</v>
      </c>
      <c r="M3540" s="58">
        <v>0.2</v>
      </c>
      <c r="N3540" s="58">
        <v>14.35</v>
      </c>
      <c r="O3540" s="58">
        <v>65.2</v>
      </c>
      <c r="P3540" s="53">
        <v>4165.97</v>
      </c>
      <c r="Q3540" s="65">
        <v>2474.92</v>
      </c>
      <c r="R3540" s="65">
        <v>0</v>
      </c>
      <c r="S3540" s="65">
        <v>14.35</v>
      </c>
      <c r="T3540" s="65">
        <v>1691.0500000000002</v>
      </c>
      <c r="U3540" s="58">
        <v>0</v>
      </c>
      <c r="V3540" s="65">
        <v>500</v>
      </c>
      <c r="W3540" s="65">
        <v>0</v>
      </c>
      <c r="X3540" s="65">
        <v>1961</v>
      </c>
      <c r="Y3540" s="65">
        <v>0</v>
      </c>
      <c r="Z3540" s="51">
        <v>0</v>
      </c>
      <c r="AA3540" s="51">
        <v>0</v>
      </c>
      <c r="AB3540" s="102">
        <v>0</v>
      </c>
      <c r="AC3540" s="81">
        <f t="shared" si="169"/>
        <v>737.97614545454553</v>
      </c>
      <c r="AD3540" s="82">
        <f t="shared" si="170"/>
        <v>6.2857142857142856</v>
      </c>
      <c r="AE3540" s="218">
        <v>-0.68327461089651387</v>
      </c>
      <c r="AF3540">
        <v>3</v>
      </c>
      <c r="AH3540" t="str">
        <f t="shared" si="168"/>
        <v>Dumraon</v>
      </c>
      <c r="AJ3540" s="72">
        <v>500</v>
      </c>
      <c r="AK3540" s="72"/>
      <c r="AL3540" s="72"/>
      <c r="AM3540" s="72"/>
    </row>
    <row r="3541" spans="1:39" x14ac:dyDescent="0.25">
      <c r="A3541" s="37" t="s">
        <v>62</v>
      </c>
      <c r="B3541" s="66" t="s">
        <v>1676</v>
      </c>
      <c r="C3541" s="4">
        <v>1014</v>
      </c>
      <c r="D3541" s="41" t="s">
        <v>368</v>
      </c>
      <c r="E3541" s="41">
        <v>10140068</v>
      </c>
      <c r="F3541" s="85" t="s">
        <v>389</v>
      </c>
      <c r="G3541" s="39" t="s">
        <v>92</v>
      </c>
      <c r="H3541" s="52" t="s">
        <v>93</v>
      </c>
      <c r="I3541" s="52">
        <v>348.1</v>
      </c>
      <c r="J3541" s="49">
        <v>13166.76</v>
      </c>
      <c r="K3541" s="58">
        <v>347.14</v>
      </c>
      <c r="L3541" s="58">
        <v>13423.580000000002</v>
      </c>
      <c r="M3541" s="58">
        <v>0</v>
      </c>
      <c r="N3541" s="58">
        <v>0</v>
      </c>
      <c r="O3541" s="58">
        <v>347.14</v>
      </c>
      <c r="P3541" s="53">
        <v>13423.580000000002</v>
      </c>
      <c r="Q3541" s="65">
        <v>13166.76</v>
      </c>
      <c r="R3541" s="65">
        <v>0</v>
      </c>
      <c r="S3541" s="65">
        <v>0</v>
      </c>
      <c r="T3541" s="65">
        <v>256.82000000000153</v>
      </c>
      <c r="U3541" s="58">
        <v>0</v>
      </c>
      <c r="V3541" s="65">
        <v>0</v>
      </c>
      <c r="W3541" s="65">
        <v>0</v>
      </c>
      <c r="X3541" s="65">
        <v>13167</v>
      </c>
      <c r="Y3541" s="65">
        <v>0</v>
      </c>
      <c r="Z3541" s="51">
        <v>0</v>
      </c>
      <c r="AA3541" s="51">
        <v>0</v>
      </c>
      <c r="AB3541" s="102">
        <v>0</v>
      </c>
      <c r="AC3541" s="81">
        <f t="shared" si="169"/>
        <v>266.20987325481178</v>
      </c>
      <c r="AD3541" s="82">
        <f t="shared" si="170"/>
        <v>49.728571428571435</v>
      </c>
      <c r="AE3541" s="218">
        <v>-1.9505178191142052E-2</v>
      </c>
      <c r="AF3541">
        <v>2</v>
      </c>
      <c r="AH3541" t="str">
        <f t="shared" si="168"/>
        <v>Dumraon</v>
      </c>
      <c r="AJ3541" s="72">
        <v>0</v>
      </c>
      <c r="AK3541" s="72"/>
      <c r="AL3541" s="72"/>
      <c r="AM3541" s="72"/>
    </row>
    <row r="3542" spans="1:39" x14ac:dyDescent="0.25">
      <c r="A3542" s="37" t="s">
        <v>62</v>
      </c>
      <c r="B3542" s="66" t="s">
        <v>1676</v>
      </c>
      <c r="C3542" s="4">
        <v>1014</v>
      </c>
      <c r="D3542" s="41" t="s">
        <v>368</v>
      </c>
      <c r="E3542" s="41">
        <v>10140069</v>
      </c>
      <c r="F3542" s="85" t="s">
        <v>288</v>
      </c>
      <c r="G3542" s="39" t="s">
        <v>92</v>
      </c>
      <c r="H3542" s="52" t="s">
        <v>93</v>
      </c>
      <c r="I3542" s="52">
        <v>283.60000000000002</v>
      </c>
      <c r="J3542" s="49">
        <v>11521.970000000001</v>
      </c>
      <c r="K3542" s="58">
        <v>291.3</v>
      </c>
      <c r="L3542" s="58">
        <v>11515.2</v>
      </c>
      <c r="M3542" s="58">
        <v>0</v>
      </c>
      <c r="N3542" s="58">
        <v>0</v>
      </c>
      <c r="O3542" s="58">
        <v>291.3</v>
      </c>
      <c r="P3542" s="53">
        <v>11515.2</v>
      </c>
      <c r="Q3542" s="65">
        <v>11515.2</v>
      </c>
      <c r="R3542" s="65">
        <v>0</v>
      </c>
      <c r="S3542" s="65">
        <v>0</v>
      </c>
      <c r="T3542" s="65">
        <v>0</v>
      </c>
      <c r="U3542" s="58">
        <v>0</v>
      </c>
      <c r="V3542" s="65">
        <v>0</v>
      </c>
      <c r="W3542" s="65">
        <v>0</v>
      </c>
      <c r="X3542" s="65">
        <v>11515</v>
      </c>
      <c r="Y3542" s="65">
        <v>0</v>
      </c>
      <c r="Z3542" s="51">
        <v>0</v>
      </c>
      <c r="AA3542" s="51">
        <v>7</v>
      </c>
      <c r="AB3542" s="102">
        <v>0</v>
      </c>
      <c r="AC3542" s="81">
        <f t="shared" si="169"/>
        <v>338.34614301833574</v>
      </c>
      <c r="AD3542" s="82">
        <f t="shared" si="170"/>
        <v>40.51428571428572</v>
      </c>
      <c r="AE3542" s="218">
        <v>5.8757313202520368E-4</v>
      </c>
      <c r="AF3542">
        <v>4</v>
      </c>
      <c r="AH3542" t="str">
        <f t="shared" si="168"/>
        <v>Dumraon</v>
      </c>
      <c r="AJ3542" s="72">
        <v>0</v>
      </c>
      <c r="AK3542" s="72"/>
      <c r="AL3542" s="72"/>
      <c r="AM3542" s="72"/>
    </row>
    <row r="3543" spans="1:39" x14ac:dyDescent="0.25">
      <c r="A3543" s="37" t="s">
        <v>62</v>
      </c>
      <c r="B3543" s="66" t="s">
        <v>1676</v>
      </c>
      <c r="C3543" s="4">
        <v>1014</v>
      </c>
      <c r="D3543" s="41" t="s">
        <v>368</v>
      </c>
      <c r="E3543" s="41">
        <v>10140071</v>
      </c>
      <c r="F3543" s="85" t="s">
        <v>390</v>
      </c>
      <c r="G3543" s="39" t="s">
        <v>1610</v>
      </c>
      <c r="H3543" s="52" t="s">
        <v>98</v>
      </c>
      <c r="I3543" s="52">
        <v>209.6</v>
      </c>
      <c r="J3543" s="49">
        <v>7864.04</v>
      </c>
      <c r="K3543" s="58">
        <v>0</v>
      </c>
      <c r="L3543" s="58">
        <v>0</v>
      </c>
      <c r="M3543" s="58">
        <v>0</v>
      </c>
      <c r="N3543" s="58">
        <v>0</v>
      </c>
      <c r="O3543" s="58">
        <v>0</v>
      </c>
      <c r="P3543" s="53">
        <v>0</v>
      </c>
      <c r="Q3543" s="65">
        <v>7864.04</v>
      </c>
      <c r="R3543" s="65">
        <v>0</v>
      </c>
      <c r="S3543" s="65">
        <v>0</v>
      </c>
      <c r="T3543" s="65">
        <v>0</v>
      </c>
      <c r="U3543" s="58">
        <v>0</v>
      </c>
      <c r="V3543" s="65">
        <v>0</v>
      </c>
      <c r="W3543" s="65">
        <v>0</v>
      </c>
      <c r="X3543" s="65">
        <v>0</v>
      </c>
      <c r="Y3543" s="65">
        <v>0</v>
      </c>
      <c r="Z3543" s="51">
        <v>7864.04</v>
      </c>
      <c r="AA3543" s="51">
        <v>0</v>
      </c>
      <c r="AB3543" s="102">
        <v>0</v>
      </c>
      <c r="AC3543" s="81">
        <f t="shared" si="169"/>
        <v>367.98904732824428</v>
      </c>
      <c r="AD3543" s="82">
        <f t="shared" si="170"/>
        <v>29.942857142857143</v>
      </c>
      <c r="AE3543" s="218">
        <v>0</v>
      </c>
      <c r="AF3543">
        <v>0</v>
      </c>
      <c r="AH3543" t="str">
        <f t="shared" si="168"/>
        <v>Dumraon</v>
      </c>
      <c r="AJ3543" s="72">
        <v>0</v>
      </c>
      <c r="AK3543" s="72"/>
      <c r="AL3543" s="72"/>
      <c r="AM3543" s="72"/>
    </row>
    <row r="3544" spans="1:39" x14ac:dyDescent="0.25">
      <c r="A3544" s="37" t="s">
        <v>62</v>
      </c>
      <c r="B3544" s="66" t="s">
        <v>1676</v>
      </c>
      <c r="C3544" s="4">
        <v>1014</v>
      </c>
      <c r="D3544" s="41" t="s">
        <v>368</v>
      </c>
      <c r="E3544" s="41">
        <v>10140083</v>
      </c>
      <c r="F3544" s="85" t="s">
        <v>391</v>
      </c>
      <c r="G3544" s="39" t="s">
        <v>92</v>
      </c>
      <c r="H3544" s="52" t="s">
        <v>93</v>
      </c>
      <c r="I3544" s="52">
        <v>721.50000000000011</v>
      </c>
      <c r="J3544" s="49">
        <v>29699.03000000001</v>
      </c>
      <c r="K3544" s="58">
        <v>527.5</v>
      </c>
      <c r="L3544" s="58">
        <v>21805.530000000006</v>
      </c>
      <c r="M3544" s="58">
        <v>373.2</v>
      </c>
      <c r="N3544" s="58">
        <v>17661.829999999998</v>
      </c>
      <c r="O3544" s="58">
        <v>900.7</v>
      </c>
      <c r="P3544" s="53">
        <v>39467.360000000001</v>
      </c>
      <c r="Q3544" s="65">
        <v>29699.03000000001</v>
      </c>
      <c r="R3544" s="65">
        <v>0</v>
      </c>
      <c r="S3544" s="65">
        <v>225.36</v>
      </c>
      <c r="T3544" s="65">
        <v>9768.3299999999908</v>
      </c>
      <c r="U3544" s="58">
        <v>0</v>
      </c>
      <c r="V3544" s="65">
        <v>0</v>
      </c>
      <c r="W3544" s="65">
        <v>0</v>
      </c>
      <c r="X3544" s="65">
        <v>12036</v>
      </c>
      <c r="Y3544" s="65">
        <v>17438</v>
      </c>
      <c r="Z3544" s="51">
        <v>0</v>
      </c>
      <c r="AA3544" s="51">
        <v>0</v>
      </c>
      <c r="AB3544" s="102">
        <v>0</v>
      </c>
      <c r="AC3544" s="81">
        <f t="shared" si="169"/>
        <v>0</v>
      </c>
      <c r="AD3544" s="82">
        <f t="shared" si="170"/>
        <v>0</v>
      </c>
      <c r="AE3544" s="218">
        <v>-0.32891074220269106</v>
      </c>
      <c r="AF3544">
        <v>13</v>
      </c>
      <c r="AH3544" t="str">
        <f t="shared" si="168"/>
        <v>Dumraon</v>
      </c>
      <c r="AJ3544" s="72">
        <v>0</v>
      </c>
      <c r="AK3544" s="72"/>
      <c r="AL3544" s="72"/>
      <c r="AM3544" s="72"/>
    </row>
    <row r="3545" spans="1:39" x14ac:dyDescent="0.25">
      <c r="A3545" s="37" t="s">
        <v>62</v>
      </c>
      <c r="B3545" s="66" t="s">
        <v>1676</v>
      </c>
      <c r="C3545" s="4">
        <v>1014</v>
      </c>
      <c r="D3545" s="41" t="s">
        <v>368</v>
      </c>
      <c r="E3545" s="41">
        <v>10140087</v>
      </c>
      <c r="F3545" s="85" t="s">
        <v>392</v>
      </c>
      <c r="G3545" s="39" t="s">
        <v>92</v>
      </c>
      <c r="H3545" s="52" t="s">
        <v>93</v>
      </c>
      <c r="I3545" s="52">
        <v>197.3</v>
      </c>
      <c r="J3545" s="49">
        <v>8338.26</v>
      </c>
      <c r="K3545" s="58">
        <v>171.88000000000002</v>
      </c>
      <c r="L3545" s="58">
        <v>8325.1899999999987</v>
      </c>
      <c r="M3545" s="58">
        <v>0</v>
      </c>
      <c r="N3545" s="58">
        <v>0</v>
      </c>
      <c r="O3545" s="58">
        <v>171.88000000000002</v>
      </c>
      <c r="P3545" s="53">
        <v>8325.1899999999987</v>
      </c>
      <c r="Q3545" s="65">
        <v>8325.1899999999987</v>
      </c>
      <c r="R3545" s="65">
        <v>0</v>
      </c>
      <c r="S3545" s="65">
        <v>0</v>
      </c>
      <c r="T3545" s="65">
        <v>0</v>
      </c>
      <c r="U3545" s="58">
        <v>0</v>
      </c>
      <c r="V3545" s="65">
        <v>0</v>
      </c>
      <c r="W3545" s="65">
        <v>0</v>
      </c>
      <c r="X3545" s="65">
        <v>8325</v>
      </c>
      <c r="Y3545" s="65">
        <v>0</v>
      </c>
      <c r="Z3545" s="51">
        <v>0</v>
      </c>
      <c r="AA3545" s="51">
        <v>13</v>
      </c>
      <c r="AB3545" s="102">
        <v>0</v>
      </c>
      <c r="AC3545" s="81">
        <f t="shared" si="169"/>
        <v>424.90048677141408</v>
      </c>
      <c r="AD3545" s="82">
        <f t="shared" si="170"/>
        <v>28.185714285714287</v>
      </c>
      <c r="AE3545" s="218">
        <v>1.5674733097794417E-3</v>
      </c>
      <c r="AF3545">
        <v>3</v>
      </c>
      <c r="AH3545" t="str">
        <f t="shared" si="168"/>
        <v>Dumraon</v>
      </c>
      <c r="AJ3545" s="72">
        <v>0</v>
      </c>
      <c r="AK3545" s="72"/>
      <c r="AL3545" s="72"/>
      <c r="AM3545" s="72"/>
    </row>
    <row r="3546" spans="1:39" x14ac:dyDescent="0.25">
      <c r="A3546" s="37" t="s">
        <v>62</v>
      </c>
      <c r="B3546" s="66" t="s">
        <v>1676</v>
      </c>
      <c r="C3546" s="4">
        <v>1014</v>
      </c>
      <c r="D3546" s="41" t="s">
        <v>368</v>
      </c>
      <c r="E3546" s="41">
        <v>10140095</v>
      </c>
      <c r="F3546" s="85" t="s">
        <v>609</v>
      </c>
      <c r="G3546" s="39" t="s">
        <v>92</v>
      </c>
      <c r="H3546" s="52" t="s">
        <v>93</v>
      </c>
      <c r="I3546" s="52">
        <v>22.6</v>
      </c>
      <c r="J3546" s="49">
        <v>838.73</v>
      </c>
      <c r="K3546" s="58">
        <v>23</v>
      </c>
      <c r="L3546" s="58">
        <v>837.66</v>
      </c>
      <c r="M3546" s="58">
        <v>0</v>
      </c>
      <c r="N3546" s="58">
        <v>0</v>
      </c>
      <c r="O3546" s="58">
        <v>23</v>
      </c>
      <c r="P3546" s="53">
        <v>837.66</v>
      </c>
      <c r="Q3546" s="65">
        <v>837.66</v>
      </c>
      <c r="R3546" s="65">
        <v>0</v>
      </c>
      <c r="S3546" s="65">
        <v>0</v>
      </c>
      <c r="T3546" s="65">
        <v>0</v>
      </c>
      <c r="U3546" s="58">
        <v>0</v>
      </c>
      <c r="V3546" s="65">
        <v>500</v>
      </c>
      <c r="W3546" s="65">
        <v>0</v>
      </c>
      <c r="X3546" s="65">
        <v>338</v>
      </c>
      <c r="Y3546" s="65">
        <v>0</v>
      </c>
      <c r="Z3546" s="51">
        <v>0</v>
      </c>
      <c r="AA3546" s="51">
        <v>1</v>
      </c>
      <c r="AB3546" s="102">
        <v>0</v>
      </c>
      <c r="AC3546" s="81">
        <f t="shared" si="169"/>
        <v>502.79265663716814</v>
      </c>
      <c r="AD3546" s="82">
        <f t="shared" si="170"/>
        <v>3.2285714285714286</v>
      </c>
      <c r="AE3546" s="218">
        <v>1.2757383186484924E-3</v>
      </c>
      <c r="AF3546">
        <v>1</v>
      </c>
      <c r="AH3546" t="str">
        <f t="shared" si="168"/>
        <v>Dumraon</v>
      </c>
      <c r="AJ3546" s="72">
        <v>500</v>
      </c>
      <c r="AK3546" s="72"/>
      <c r="AL3546" s="72"/>
      <c r="AM3546" s="72"/>
    </row>
    <row r="3547" spans="1:39" x14ac:dyDescent="0.25">
      <c r="A3547" s="37" t="s">
        <v>62</v>
      </c>
      <c r="B3547" s="66" t="s">
        <v>1676</v>
      </c>
      <c r="C3547" s="4">
        <v>1014</v>
      </c>
      <c r="D3547" s="41" t="s">
        <v>368</v>
      </c>
      <c r="E3547" s="41">
        <v>10140098</v>
      </c>
      <c r="F3547" s="85" t="s">
        <v>418</v>
      </c>
      <c r="G3547" s="39" t="s">
        <v>92</v>
      </c>
      <c r="H3547" s="52" t="s">
        <v>93</v>
      </c>
      <c r="I3547" s="52">
        <v>789.80000000000007</v>
      </c>
      <c r="J3547" s="49">
        <v>32545.820000000007</v>
      </c>
      <c r="K3547" s="58">
        <v>776.61999999999989</v>
      </c>
      <c r="L3547" s="58">
        <v>32004.959999999999</v>
      </c>
      <c r="M3547" s="58">
        <v>13.15</v>
      </c>
      <c r="N3547" s="58">
        <v>537.2700000000001</v>
      </c>
      <c r="O3547" s="58">
        <v>789.76999999999987</v>
      </c>
      <c r="P3547" s="53">
        <v>32542.23</v>
      </c>
      <c r="Q3547" s="65">
        <v>32542.23</v>
      </c>
      <c r="R3547" s="65">
        <v>0</v>
      </c>
      <c r="S3547" s="65">
        <v>537.2700000000001</v>
      </c>
      <c r="T3547" s="65">
        <v>0</v>
      </c>
      <c r="U3547" s="58">
        <v>13300</v>
      </c>
      <c r="V3547" s="65">
        <v>0</v>
      </c>
      <c r="W3547" s="65">
        <v>0</v>
      </c>
      <c r="X3547" s="65">
        <v>18704</v>
      </c>
      <c r="Y3547" s="65">
        <v>0</v>
      </c>
      <c r="Z3547" s="51">
        <v>0</v>
      </c>
      <c r="AA3547" s="51">
        <v>5</v>
      </c>
      <c r="AB3547" s="102">
        <v>0</v>
      </c>
      <c r="AC3547" s="81">
        <f t="shared" si="169"/>
        <v>0</v>
      </c>
      <c r="AD3547" s="82">
        <f t="shared" si="170"/>
        <v>0</v>
      </c>
      <c r="AE3547" s="218">
        <v>1.103060239381715E-4</v>
      </c>
      <c r="AF3547">
        <v>4</v>
      </c>
      <c r="AH3547" t="str">
        <f t="shared" si="168"/>
        <v>Dumraon</v>
      </c>
      <c r="AJ3547" s="72">
        <v>0</v>
      </c>
      <c r="AK3547" s="72"/>
      <c r="AL3547" s="72"/>
      <c r="AM3547" s="72"/>
    </row>
    <row r="3548" spans="1:39" x14ac:dyDescent="0.25">
      <c r="A3548" s="37" t="s">
        <v>62</v>
      </c>
      <c r="B3548" s="66" t="s">
        <v>1676</v>
      </c>
      <c r="C3548" s="4">
        <v>1014</v>
      </c>
      <c r="D3548" s="41" t="s">
        <v>368</v>
      </c>
      <c r="E3548" s="41">
        <v>10140099</v>
      </c>
      <c r="F3548" s="85" t="s">
        <v>393</v>
      </c>
      <c r="G3548" s="39" t="s">
        <v>92</v>
      </c>
      <c r="H3548" s="52" t="s">
        <v>93</v>
      </c>
      <c r="I3548" s="52">
        <v>118.69999999999999</v>
      </c>
      <c r="J3548" s="49">
        <v>4709.0199999999995</v>
      </c>
      <c r="K3548" s="58">
        <v>123.73</v>
      </c>
      <c r="L3548" s="58">
        <v>4443.59</v>
      </c>
      <c r="M3548" s="58">
        <v>0</v>
      </c>
      <c r="N3548" s="58">
        <v>0</v>
      </c>
      <c r="O3548" s="58">
        <v>123.73</v>
      </c>
      <c r="P3548" s="53">
        <v>4443.59</v>
      </c>
      <c r="Q3548" s="65">
        <v>4443.59</v>
      </c>
      <c r="R3548" s="65">
        <v>0</v>
      </c>
      <c r="S3548" s="65">
        <v>0</v>
      </c>
      <c r="T3548" s="65">
        <v>0</v>
      </c>
      <c r="U3548" s="58">
        <v>0</v>
      </c>
      <c r="V3548" s="65">
        <v>0</v>
      </c>
      <c r="W3548" s="65">
        <v>0</v>
      </c>
      <c r="X3548" s="65">
        <v>4444</v>
      </c>
      <c r="Y3548" s="65">
        <v>0</v>
      </c>
      <c r="Z3548" s="51">
        <v>0</v>
      </c>
      <c r="AA3548" s="51">
        <v>265</v>
      </c>
      <c r="AB3548" s="102">
        <v>0</v>
      </c>
      <c r="AC3548" s="81">
        <f t="shared" si="169"/>
        <v>461.22212737994948</v>
      </c>
      <c r="AD3548" s="82">
        <f t="shared" si="170"/>
        <v>16.957142857142856</v>
      </c>
      <c r="AE3548" s="218">
        <v>5.6366292774292615E-2</v>
      </c>
      <c r="AF3548">
        <v>5</v>
      </c>
      <c r="AH3548" t="str">
        <f t="shared" si="168"/>
        <v>Dumraon</v>
      </c>
      <c r="AJ3548" s="72">
        <v>0</v>
      </c>
      <c r="AK3548" s="72"/>
      <c r="AL3548" s="72"/>
      <c r="AM3548" s="72"/>
    </row>
    <row r="3549" spans="1:39" x14ac:dyDescent="0.25">
      <c r="A3549" s="37" t="s">
        <v>62</v>
      </c>
      <c r="B3549" s="66" t="s">
        <v>1676</v>
      </c>
      <c r="C3549" s="4">
        <v>1014</v>
      </c>
      <c r="D3549" s="41" t="s">
        <v>368</v>
      </c>
      <c r="E3549" s="41">
        <v>10140109</v>
      </c>
      <c r="F3549" s="85" t="s">
        <v>415</v>
      </c>
      <c r="G3549" s="39" t="s">
        <v>1610</v>
      </c>
      <c r="H3549" s="52" t="s">
        <v>98</v>
      </c>
      <c r="I3549" s="52">
        <v>591.79999999999995</v>
      </c>
      <c r="J3549" s="49">
        <v>21614.969999999998</v>
      </c>
      <c r="K3549" s="58">
        <v>0</v>
      </c>
      <c r="L3549" s="58">
        <v>0</v>
      </c>
      <c r="M3549" s="58">
        <v>0</v>
      </c>
      <c r="N3549" s="58">
        <v>0</v>
      </c>
      <c r="O3549" s="58">
        <v>0</v>
      </c>
      <c r="P3549" s="53">
        <v>0</v>
      </c>
      <c r="Q3549" s="65">
        <v>21614.969999999998</v>
      </c>
      <c r="R3549" s="65">
        <v>0</v>
      </c>
      <c r="S3549" s="65">
        <v>0</v>
      </c>
      <c r="T3549" s="65">
        <v>0</v>
      </c>
      <c r="U3549" s="58">
        <v>0</v>
      </c>
      <c r="V3549" s="65">
        <v>0</v>
      </c>
      <c r="W3549" s="65">
        <v>0</v>
      </c>
      <c r="X3549" s="65">
        <v>0</v>
      </c>
      <c r="Y3549" s="65">
        <v>0</v>
      </c>
      <c r="Z3549" s="51">
        <v>21614.969999999998</v>
      </c>
      <c r="AA3549" s="51">
        <v>0</v>
      </c>
      <c r="AB3549" s="102">
        <v>0</v>
      </c>
      <c r="AC3549" s="81">
        <f t="shared" si="169"/>
        <v>79.038180263602626</v>
      </c>
      <c r="AD3549" s="82">
        <f t="shared" si="170"/>
        <v>84.54285714285713</v>
      </c>
      <c r="AE3549" s="218">
        <v>0</v>
      </c>
      <c r="AF3549">
        <v>0</v>
      </c>
      <c r="AH3549" t="str">
        <f t="shared" si="168"/>
        <v>Dumraon</v>
      </c>
      <c r="AJ3549" s="72">
        <v>0</v>
      </c>
      <c r="AK3549" s="72"/>
      <c r="AL3549" s="72"/>
      <c r="AM3549" s="72"/>
    </row>
    <row r="3550" spans="1:39" x14ac:dyDescent="0.25">
      <c r="A3550" s="37" t="s">
        <v>62</v>
      </c>
      <c r="B3550" s="66" t="s">
        <v>1676</v>
      </c>
      <c r="C3550" s="4">
        <v>1014</v>
      </c>
      <c r="D3550" s="41" t="s">
        <v>368</v>
      </c>
      <c r="E3550" s="41">
        <v>10140120</v>
      </c>
      <c r="F3550" s="85" t="s">
        <v>610</v>
      </c>
      <c r="G3550" s="39" t="s">
        <v>92</v>
      </c>
      <c r="H3550" s="52" t="s">
        <v>93</v>
      </c>
      <c r="I3550" s="52">
        <v>578.4</v>
      </c>
      <c r="J3550" s="49">
        <v>23803.499999999996</v>
      </c>
      <c r="K3550" s="58">
        <v>570.45000000000005</v>
      </c>
      <c r="L3550" s="58">
        <v>23867.439999999999</v>
      </c>
      <c r="M3550" s="58">
        <v>9.77</v>
      </c>
      <c r="N3550" s="58">
        <v>384.53000000000003</v>
      </c>
      <c r="O3550" s="58">
        <v>580.22</v>
      </c>
      <c r="P3550" s="53">
        <v>24251.969999999998</v>
      </c>
      <c r="Q3550" s="65">
        <v>23803.499999999996</v>
      </c>
      <c r="R3550" s="65">
        <v>0</v>
      </c>
      <c r="S3550" s="65">
        <v>384.53000000000003</v>
      </c>
      <c r="T3550" s="65">
        <v>448.47000000000116</v>
      </c>
      <c r="U3550" s="58">
        <v>6650</v>
      </c>
      <c r="V3550" s="65">
        <v>0</v>
      </c>
      <c r="W3550" s="65">
        <v>0</v>
      </c>
      <c r="X3550" s="65">
        <v>16768</v>
      </c>
      <c r="Y3550" s="65">
        <v>0</v>
      </c>
      <c r="Z3550" s="51">
        <v>0</v>
      </c>
      <c r="AA3550" s="51">
        <v>1</v>
      </c>
      <c r="AB3550" s="102">
        <v>0</v>
      </c>
      <c r="AC3550" s="81">
        <f t="shared" si="169"/>
        <v>100.08663900414942</v>
      </c>
      <c r="AD3550" s="82">
        <f t="shared" si="170"/>
        <v>82.628571428571419</v>
      </c>
      <c r="AE3550" s="218">
        <v>-1.8840506648182043E-2</v>
      </c>
      <c r="AF3550">
        <v>2</v>
      </c>
      <c r="AH3550" t="str">
        <f t="shared" si="168"/>
        <v>Dumraon</v>
      </c>
      <c r="AJ3550" s="72">
        <v>0</v>
      </c>
      <c r="AK3550" s="72"/>
      <c r="AL3550" s="72"/>
      <c r="AM3550" s="72"/>
    </row>
    <row r="3551" spans="1:39" x14ac:dyDescent="0.25">
      <c r="A3551" s="37" t="s">
        <v>62</v>
      </c>
      <c r="B3551" s="66" t="s">
        <v>1676</v>
      </c>
      <c r="C3551" s="4">
        <v>1014</v>
      </c>
      <c r="D3551" s="41" t="s">
        <v>368</v>
      </c>
      <c r="E3551" s="41">
        <v>10140126</v>
      </c>
      <c r="F3551" s="85" t="s">
        <v>457</v>
      </c>
      <c r="G3551" s="39" t="s">
        <v>92</v>
      </c>
      <c r="H3551" s="52" t="s">
        <v>93</v>
      </c>
      <c r="I3551" s="52">
        <v>155.5</v>
      </c>
      <c r="J3551" s="49">
        <v>5670.4699999999993</v>
      </c>
      <c r="K3551" s="58">
        <v>151.69999999999999</v>
      </c>
      <c r="L3551" s="58">
        <v>5595.9400000000005</v>
      </c>
      <c r="M3551" s="58">
        <v>1.5999999999999999</v>
      </c>
      <c r="N3551" s="58">
        <v>65.070000000000007</v>
      </c>
      <c r="O3551" s="58">
        <v>153.29999999999998</v>
      </c>
      <c r="P3551" s="53">
        <v>5661.01</v>
      </c>
      <c r="Q3551" s="65">
        <v>5661.01</v>
      </c>
      <c r="R3551" s="65">
        <v>0</v>
      </c>
      <c r="S3551" s="65">
        <v>65.070000000000007</v>
      </c>
      <c r="T3551" s="65">
        <v>0</v>
      </c>
      <c r="U3551" s="58">
        <v>0</v>
      </c>
      <c r="V3551" s="65">
        <v>0</v>
      </c>
      <c r="W3551" s="65">
        <v>0</v>
      </c>
      <c r="X3551" s="65">
        <v>5596</v>
      </c>
      <c r="Y3551" s="65">
        <v>0</v>
      </c>
      <c r="Z3551" s="51">
        <v>0</v>
      </c>
      <c r="AA3551" s="51">
        <v>9</v>
      </c>
      <c r="AB3551" s="102">
        <v>0</v>
      </c>
      <c r="AC3551" s="81">
        <f t="shared" si="169"/>
        <v>397.11523022508038</v>
      </c>
      <c r="AD3551" s="82">
        <f t="shared" si="170"/>
        <v>22.214285714285715</v>
      </c>
      <c r="AE3551" s="218">
        <v>1.6682920463381569E-3</v>
      </c>
      <c r="AF3551">
        <v>5</v>
      </c>
      <c r="AH3551" t="str">
        <f t="shared" si="168"/>
        <v>Dumraon</v>
      </c>
      <c r="AJ3551" s="72">
        <v>0</v>
      </c>
      <c r="AK3551" s="72"/>
      <c r="AL3551" s="72"/>
      <c r="AM3551" s="72"/>
    </row>
    <row r="3552" spans="1:39" x14ac:dyDescent="0.25">
      <c r="A3552" s="37" t="s">
        <v>62</v>
      </c>
      <c r="B3552" s="66" t="s">
        <v>1676</v>
      </c>
      <c r="C3552" s="4">
        <v>1014</v>
      </c>
      <c r="D3552" s="41" t="s">
        <v>368</v>
      </c>
      <c r="E3552" s="41">
        <v>10140129</v>
      </c>
      <c r="F3552" s="85" t="s">
        <v>456</v>
      </c>
      <c r="G3552" s="39" t="s">
        <v>92</v>
      </c>
      <c r="H3552" s="52" t="s">
        <v>93</v>
      </c>
      <c r="I3552" s="52">
        <v>90.6</v>
      </c>
      <c r="J3552" s="49">
        <v>3302.6099999999997</v>
      </c>
      <c r="K3552" s="58">
        <v>91</v>
      </c>
      <c r="L3552" s="58">
        <v>3302.39</v>
      </c>
      <c r="M3552" s="58">
        <v>0</v>
      </c>
      <c r="N3552" s="58">
        <v>0</v>
      </c>
      <c r="O3552" s="58">
        <v>91</v>
      </c>
      <c r="P3552" s="53">
        <v>3302.39</v>
      </c>
      <c r="Q3552" s="65">
        <v>3302.39</v>
      </c>
      <c r="R3552" s="65">
        <v>0</v>
      </c>
      <c r="S3552" s="65">
        <v>0</v>
      </c>
      <c r="T3552" s="65">
        <v>0</v>
      </c>
      <c r="U3552" s="58">
        <v>0</v>
      </c>
      <c r="V3552" s="65">
        <v>500</v>
      </c>
      <c r="W3552" s="65">
        <v>0</v>
      </c>
      <c r="X3552" s="65">
        <v>2802</v>
      </c>
      <c r="Y3552" s="65">
        <v>0</v>
      </c>
      <c r="Z3552" s="51">
        <v>0</v>
      </c>
      <c r="AA3552" s="51">
        <v>1</v>
      </c>
      <c r="AB3552" s="102">
        <v>0</v>
      </c>
      <c r="AC3552" s="81">
        <f t="shared" si="169"/>
        <v>444.28488609271534</v>
      </c>
      <c r="AD3552" s="82">
        <f t="shared" si="170"/>
        <v>12.942857142857141</v>
      </c>
      <c r="AE3552" s="218">
        <v>6.6613981063401356E-5</v>
      </c>
      <c r="AF3552">
        <v>2</v>
      </c>
      <c r="AH3552" t="str">
        <f t="shared" si="168"/>
        <v>Dumraon</v>
      </c>
      <c r="AJ3552" s="72">
        <v>500</v>
      </c>
      <c r="AK3552" s="72"/>
      <c r="AL3552" s="72"/>
      <c r="AM3552" s="72"/>
    </row>
    <row r="3553" spans="1:39" x14ac:dyDescent="0.25">
      <c r="A3553" s="37" t="s">
        <v>62</v>
      </c>
      <c r="B3553" s="66" t="s">
        <v>1676</v>
      </c>
      <c r="C3553" s="4">
        <v>1014</v>
      </c>
      <c r="D3553" s="41" t="s">
        <v>368</v>
      </c>
      <c r="E3553" s="41">
        <v>10140131</v>
      </c>
      <c r="F3553" s="85" t="s">
        <v>455</v>
      </c>
      <c r="G3553" s="39" t="s">
        <v>92</v>
      </c>
      <c r="H3553" s="52" t="s">
        <v>93</v>
      </c>
      <c r="I3553" s="52">
        <v>74.800000000000011</v>
      </c>
      <c r="J3553" s="49">
        <v>2680.87</v>
      </c>
      <c r="K3553" s="58">
        <v>75.399999999999991</v>
      </c>
      <c r="L3553" s="58">
        <v>2678.07</v>
      </c>
      <c r="M3553" s="58">
        <v>0</v>
      </c>
      <c r="N3553" s="58">
        <v>0</v>
      </c>
      <c r="O3553" s="58">
        <v>75.399999999999991</v>
      </c>
      <c r="P3553" s="53">
        <v>2678.07</v>
      </c>
      <c r="Q3553" s="65">
        <v>2678.07</v>
      </c>
      <c r="R3553" s="65">
        <v>0</v>
      </c>
      <c r="S3553" s="65">
        <v>0</v>
      </c>
      <c r="T3553" s="65">
        <v>0</v>
      </c>
      <c r="U3553" s="58">
        <v>0</v>
      </c>
      <c r="V3553" s="65">
        <v>0</v>
      </c>
      <c r="W3553" s="65">
        <v>0</v>
      </c>
      <c r="X3553" s="65">
        <v>2678</v>
      </c>
      <c r="Y3553" s="65">
        <v>0</v>
      </c>
      <c r="Z3553" s="51">
        <v>0</v>
      </c>
      <c r="AA3553" s="51">
        <v>3</v>
      </c>
      <c r="AB3553" s="102">
        <v>0</v>
      </c>
      <c r="AC3553" s="81">
        <f t="shared" si="169"/>
        <v>448.14971229946525</v>
      </c>
      <c r="AD3553" s="82">
        <f t="shared" si="170"/>
        <v>10.685714285714287</v>
      </c>
      <c r="AE3553" s="218">
        <v>1.0444370670714086E-3</v>
      </c>
      <c r="AF3553">
        <v>1</v>
      </c>
      <c r="AH3553" t="str">
        <f t="shared" si="168"/>
        <v>Dumraon</v>
      </c>
      <c r="AJ3553" s="72">
        <v>0</v>
      </c>
      <c r="AK3553" s="72"/>
      <c r="AL3553" s="72"/>
      <c r="AM3553" s="72"/>
    </row>
    <row r="3554" spans="1:39" x14ac:dyDescent="0.25">
      <c r="A3554" s="37" t="s">
        <v>62</v>
      </c>
      <c r="B3554" s="66" t="s">
        <v>1676</v>
      </c>
      <c r="C3554" s="4">
        <v>1014</v>
      </c>
      <c r="D3554" s="41" t="s">
        <v>368</v>
      </c>
      <c r="E3554" s="41">
        <v>10140132</v>
      </c>
      <c r="F3554" s="85" t="s">
        <v>454</v>
      </c>
      <c r="G3554" s="39" t="s">
        <v>92</v>
      </c>
      <c r="H3554" s="52" t="s">
        <v>93</v>
      </c>
      <c r="I3554" s="52">
        <v>369.1</v>
      </c>
      <c r="J3554" s="49">
        <v>13162.3</v>
      </c>
      <c r="K3554" s="58">
        <v>367.5</v>
      </c>
      <c r="L3554" s="58">
        <v>12932.45</v>
      </c>
      <c r="M3554" s="58">
        <v>5.6000000000000005</v>
      </c>
      <c r="N3554" s="58">
        <v>194.48999999999998</v>
      </c>
      <c r="O3554" s="58">
        <v>373.1</v>
      </c>
      <c r="P3554" s="53">
        <v>13126.94</v>
      </c>
      <c r="Q3554" s="65">
        <v>13126.94</v>
      </c>
      <c r="R3554" s="65">
        <v>0</v>
      </c>
      <c r="S3554" s="65">
        <v>194.48999999999998</v>
      </c>
      <c r="T3554" s="65">
        <v>0</v>
      </c>
      <c r="U3554" s="58">
        <v>5320</v>
      </c>
      <c r="V3554" s="65">
        <v>0</v>
      </c>
      <c r="W3554" s="65">
        <v>0</v>
      </c>
      <c r="X3554" s="65">
        <v>7612</v>
      </c>
      <c r="Y3554" s="65">
        <v>0</v>
      </c>
      <c r="Z3554" s="51">
        <v>0</v>
      </c>
      <c r="AA3554" s="51">
        <v>36</v>
      </c>
      <c r="AB3554" s="102">
        <v>0</v>
      </c>
      <c r="AC3554" s="81">
        <f t="shared" si="169"/>
        <v>236.00135843944724</v>
      </c>
      <c r="AD3554" s="82">
        <f t="shared" si="170"/>
        <v>52.728571428571435</v>
      </c>
      <c r="AE3554" s="218">
        <v>2.6864605730000657E-3</v>
      </c>
      <c r="AF3554">
        <v>8</v>
      </c>
      <c r="AH3554" t="str">
        <f t="shared" si="168"/>
        <v>Dumraon</v>
      </c>
      <c r="AJ3554" s="72">
        <v>0</v>
      </c>
      <c r="AK3554" s="72"/>
      <c r="AL3554" s="72"/>
      <c r="AM3554" s="72"/>
    </row>
    <row r="3555" spans="1:39" x14ac:dyDescent="0.25">
      <c r="A3555" s="37" t="s">
        <v>62</v>
      </c>
      <c r="B3555" s="66" t="s">
        <v>1676</v>
      </c>
      <c r="C3555" s="4">
        <v>1014</v>
      </c>
      <c r="D3555" s="41" t="s">
        <v>368</v>
      </c>
      <c r="E3555" s="41">
        <v>10140135</v>
      </c>
      <c r="F3555" s="85" t="s">
        <v>462</v>
      </c>
      <c r="G3555" s="39" t="s">
        <v>92</v>
      </c>
      <c r="H3555" s="52" t="s">
        <v>93</v>
      </c>
      <c r="I3555" s="52">
        <v>410.6</v>
      </c>
      <c r="J3555" s="49">
        <v>16412.34</v>
      </c>
      <c r="K3555" s="58">
        <v>410.03</v>
      </c>
      <c r="L3555" s="58">
        <v>16410.36</v>
      </c>
      <c r="M3555" s="58">
        <v>0</v>
      </c>
      <c r="N3555" s="58">
        <v>0</v>
      </c>
      <c r="O3555" s="58">
        <v>410.03</v>
      </c>
      <c r="P3555" s="53">
        <v>16410.36</v>
      </c>
      <c r="Q3555" s="65">
        <v>16410.36</v>
      </c>
      <c r="R3555" s="65">
        <v>0</v>
      </c>
      <c r="S3555" s="65">
        <v>0</v>
      </c>
      <c r="T3555" s="65">
        <v>0</v>
      </c>
      <c r="U3555" s="58">
        <v>0</v>
      </c>
      <c r="V3555" s="65">
        <v>0</v>
      </c>
      <c r="W3555" s="65">
        <v>0</v>
      </c>
      <c r="X3555" s="65">
        <v>16411</v>
      </c>
      <c r="Y3555" s="65">
        <v>0</v>
      </c>
      <c r="Z3555" s="51">
        <v>0</v>
      </c>
      <c r="AA3555" s="51">
        <v>1</v>
      </c>
      <c r="AB3555" s="102">
        <v>0</v>
      </c>
      <c r="AC3555" s="81">
        <f t="shared" si="169"/>
        <v>231.35563546030198</v>
      </c>
      <c r="AD3555" s="82">
        <f t="shared" si="170"/>
        <v>58.657142857142858</v>
      </c>
      <c r="AE3555" s="218">
        <v>1.2064093237159133E-4</v>
      </c>
      <c r="AF3555">
        <v>3</v>
      </c>
      <c r="AH3555" t="str">
        <f t="shared" si="168"/>
        <v>Dumraon</v>
      </c>
      <c r="AJ3555" s="72">
        <v>0</v>
      </c>
      <c r="AK3555" s="72"/>
      <c r="AL3555" s="72"/>
      <c r="AM3555" s="72"/>
    </row>
    <row r="3556" spans="1:39" x14ac:dyDescent="0.25">
      <c r="A3556" s="37" t="s">
        <v>62</v>
      </c>
      <c r="B3556" s="66" t="s">
        <v>1676</v>
      </c>
      <c r="C3556" s="4">
        <v>1014</v>
      </c>
      <c r="D3556" s="41" t="s">
        <v>368</v>
      </c>
      <c r="E3556" s="41">
        <v>10140137</v>
      </c>
      <c r="F3556" s="85" t="s">
        <v>465</v>
      </c>
      <c r="G3556" s="39" t="s">
        <v>92</v>
      </c>
      <c r="H3556" s="52" t="s">
        <v>93</v>
      </c>
      <c r="I3556" s="52">
        <v>307.40000000000003</v>
      </c>
      <c r="J3556" s="49">
        <v>13132.63</v>
      </c>
      <c r="K3556" s="58">
        <v>427.20000000000005</v>
      </c>
      <c r="L3556" s="58">
        <v>17302.84</v>
      </c>
      <c r="M3556" s="58">
        <v>0</v>
      </c>
      <c r="N3556" s="58">
        <v>0</v>
      </c>
      <c r="O3556" s="58">
        <v>427.20000000000005</v>
      </c>
      <c r="P3556" s="53">
        <v>17302.84</v>
      </c>
      <c r="Q3556" s="65">
        <v>13132.63</v>
      </c>
      <c r="R3556" s="65">
        <v>0</v>
      </c>
      <c r="S3556" s="65">
        <v>0</v>
      </c>
      <c r="T3556" s="65">
        <v>4170.2100000000009</v>
      </c>
      <c r="U3556" s="58">
        <v>0</v>
      </c>
      <c r="V3556" s="65">
        <v>0</v>
      </c>
      <c r="W3556" s="65">
        <v>0</v>
      </c>
      <c r="X3556" s="65">
        <v>13133</v>
      </c>
      <c r="Y3556" s="65">
        <v>0</v>
      </c>
      <c r="Z3556" s="51">
        <v>0</v>
      </c>
      <c r="AA3556" s="51">
        <v>0</v>
      </c>
      <c r="AB3556" s="102">
        <v>0</v>
      </c>
      <c r="AC3556" s="81">
        <f t="shared" si="169"/>
        <v>335.45026271958346</v>
      </c>
      <c r="AD3556" s="82">
        <f t="shared" si="170"/>
        <v>43.914285714285718</v>
      </c>
      <c r="AE3556" s="218">
        <v>-0.31754568582226111</v>
      </c>
      <c r="AF3556">
        <v>3</v>
      </c>
      <c r="AH3556" t="str">
        <f t="shared" si="168"/>
        <v>Dumraon</v>
      </c>
      <c r="AJ3556" s="72">
        <v>0</v>
      </c>
      <c r="AK3556" s="72"/>
      <c r="AL3556" s="72"/>
      <c r="AM3556" s="72"/>
    </row>
    <row r="3557" spans="1:39" x14ac:dyDescent="0.25">
      <c r="A3557" s="37" t="s">
        <v>62</v>
      </c>
      <c r="B3557" s="66" t="s">
        <v>1676</v>
      </c>
      <c r="C3557" s="4">
        <v>1014</v>
      </c>
      <c r="D3557" s="41" t="s">
        <v>368</v>
      </c>
      <c r="E3557" s="41">
        <v>10140139</v>
      </c>
      <c r="F3557" s="85" t="s">
        <v>482</v>
      </c>
      <c r="G3557" s="39" t="s">
        <v>92</v>
      </c>
      <c r="H3557" s="52" t="s">
        <v>93</v>
      </c>
      <c r="I3557" s="52">
        <v>342.1</v>
      </c>
      <c r="J3557" s="49">
        <v>9445.9699999999993</v>
      </c>
      <c r="K3557" s="58">
        <v>358.4</v>
      </c>
      <c r="L3557" s="58">
        <v>9987.93</v>
      </c>
      <c r="M3557" s="58">
        <v>0</v>
      </c>
      <c r="N3557" s="58">
        <v>0</v>
      </c>
      <c r="O3557" s="58">
        <v>358.4</v>
      </c>
      <c r="P3557" s="53">
        <v>9987.93</v>
      </c>
      <c r="Q3557" s="65">
        <v>9445.9699999999993</v>
      </c>
      <c r="R3557" s="65">
        <v>0</v>
      </c>
      <c r="S3557" s="65">
        <v>0</v>
      </c>
      <c r="T3557" s="65">
        <v>541.96000000000095</v>
      </c>
      <c r="U3557" s="58">
        <v>0</v>
      </c>
      <c r="V3557" s="65">
        <v>500</v>
      </c>
      <c r="W3557" s="65">
        <v>0</v>
      </c>
      <c r="X3557" s="65">
        <v>8946</v>
      </c>
      <c r="Y3557" s="65">
        <v>0</v>
      </c>
      <c r="Z3557" s="51">
        <v>0</v>
      </c>
      <c r="AA3557" s="51">
        <v>0</v>
      </c>
      <c r="AB3557" s="102">
        <v>0</v>
      </c>
      <c r="AC3557" s="81">
        <f t="shared" si="169"/>
        <v>197.64470406313941</v>
      </c>
      <c r="AD3557" s="82">
        <f t="shared" si="170"/>
        <v>48.871428571428574</v>
      </c>
      <c r="AE3557" s="218">
        <v>-5.7374732293242622E-2</v>
      </c>
      <c r="AF3557">
        <v>2</v>
      </c>
      <c r="AH3557" t="str">
        <f t="shared" si="168"/>
        <v>Dumraon</v>
      </c>
      <c r="AJ3557" s="72">
        <v>500</v>
      </c>
      <c r="AK3557" s="72"/>
      <c r="AL3557" s="72"/>
      <c r="AM3557" s="72"/>
    </row>
    <row r="3558" spans="1:39" x14ac:dyDescent="0.25">
      <c r="A3558" s="37" t="s">
        <v>62</v>
      </c>
      <c r="B3558" s="66" t="s">
        <v>1676</v>
      </c>
      <c r="C3558" s="4">
        <v>1014</v>
      </c>
      <c r="D3558" s="41" t="s">
        <v>368</v>
      </c>
      <c r="E3558" s="41">
        <v>10140147</v>
      </c>
      <c r="F3558" s="85" t="s">
        <v>1282</v>
      </c>
      <c r="G3558" s="39" t="s">
        <v>1610</v>
      </c>
      <c r="H3558" s="52" t="s">
        <v>98</v>
      </c>
      <c r="I3558" s="52">
        <v>326.80000000000007</v>
      </c>
      <c r="J3558" s="49">
        <v>14244.600000000002</v>
      </c>
      <c r="K3558" s="58">
        <v>0</v>
      </c>
      <c r="L3558" s="58">
        <v>0</v>
      </c>
      <c r="M3558" s="58">
        <v>0</v>
      </c>
      <c r="N3558" s="58">
        <v>0</v>
      </c>
      <c r="O3558" s="58">
        <v>0</v>
      </c>
      <c r="P3558" s="53">
        <v>0</v>
      </c>
      <c r="Q3558" s="65">
        <v>14244.600000000002</v>
      </c>
      <c r="R3558" s="65">
        <v>0</v>
      </c>
      <c r="S3558" s="65">
        <v>0</v>
      </c>
      <c r="T3558" s="65">
        <v>0</v>
      </c>
      <c r="U3558" s="58">
        <v>0</v>
      </c>
      <c r="V3558" s="65">
        <v>0</v>
      </c>
      <c r="W3558" s="65">
        <v>0</v>
      </c>
      <c r="X3558" s="65">
        <v>0</v>
      </c>
      <c r="Y3558" s="65">
        <v>0</v>
      </c>
      <c r="Z3558" s="51">
        <v>14244.600000000002</v>
      </c>
      <c r="AA3558" s="51">
        <v>0</v>
      </c>
      <c r="AB3558" s="102">
        <v>0</v>
      </c>
      <c r="AC3558" s="81">
        <f t="shared" si="169"/>
        <v>325.34178212974291</v>
      </c>
      <c r="AD3558" s="82">
        <f t="shared" si="170"/>
        <v>46.685714285714297</v>
      </c>
      <c r="AE3558" s="218">
        <v>0</v>
      </c>
      <c r="AF3558">
        <v>0</v>
      </c>
      <c r="AH3558" t="str">
        <f t="shared" si="168"/>
        <v>Dumraon</v>
      </c>
      <c r="AJ3558" s="72">
        <v>0</v>
      </c>
      <c r="AK3558" s="72"/>
      <c r="AL3558" s="72"/>
      <c r="AM3558" s="72"/>
    </row>
    <row r="3559" spans="1:39" x14ac:dyDescent="0.25">
      <c r="A3559" s="37" t="s">
        <v>62</v>
      </c>
      <c r="B3559" s="66" t="s">
        <v>1676</v>
      </c>
      <c r="C3559" s="4">
        <v>1014</v>
      </c>
      <c r="D3559" s="41" t="s">
        <v>368</v>
      </c>
      <c r="E3559" s="41">
        <v>10140153</v>
      </c>
      <c r="F3559" s="85" t="s">
        <v>511</v>
      </c>
      <c r="G3559" s="39" t="s">
        <v>92</v>
      </c>
      <c r="H3559" s="52" t="s">
        <v>93</v>
      </c>
      <c r="I3559" s="52">
        <v>43.9</v>
      </c>
      <c r="J3559" s="49">
        <v>1665.93</v>
      </c>
      <c r="K3559" s="58">
        <v>63.56</v>
      </c>
      <c r="L3559" s="58">
        <v>3227.9799999999996</v>
      </c>
      <c r="M3559" s="58">
        <v>0</v>
      </c>
      <c r="N3559" s="58">
        <v>0</v>
      </c>
      <c r="O3559" s="58">
        <v>63.56</v>
      </c>
      <c r="P3559" s="53">
        <v>3227.9799999999996</v>
      </c>
      <c r="Q3559" s="65">
        <v>1665.93</v>
      </c>
      <c r="R3559" s="65">
        <v>0</v>
      </c>
      <c r="S3559" s="65">
        <v>0</v>
      </c>
      <c r="T3559" s="65">
        <v>1562.0499999999995</v>
      </c>
      <c r="U3559" s="58">
        <v>0</v>
      </c>
      <c r="V3559" s="65">
        <v>500</v>
      </c>
      <c r="W3559" s="65">
        <v>0</v>
      </c>
      <c r="X3559" s="65">
        <v>1166</v>
      </c>
      <c r="Y3559" s="65">
        <v>0</v>
      </c>
      <c r="Z3559" s="51">
        <v>0</v>
      </c>
      <c r="AA3559" s="51">
        <v>0</v>
      </c>
      <c r="AB3559" s="102">
        <v>0</v>
      </c>
      <c r="AC3559" s="81">
        <f t="shared" si="169"/>
        <v>497.95748200455586</v>
      </c>
      <c r="AD3559" s="82">
        <f t="shared" si="170"/>
        <v>6.2714285714285714</v>
      </c>
      <c r="AE3559" s="218">
        <v>-0.9376444388419678</v>
      </c>
      <c r="AF3559">
        <v>2</v>
      </c>
      <c r="AH3559" t="str">
        <f t="shared" si="168"/>
        <v>Dumraon</v>
      </c>
      <c r="AJ3559" s="72">
        <v>500</v>
      </c>
      <c r="AK3559" s="72"/>
      <c r="AL3559" s="72"/>
      <c r="AM3559" s="72"/>
    </row>
    <row r="3560" spans="1:39" x14ac:dyDescent="0.25">
      <c r="A3560" s="37" t="s">
        <v>62</v>
      </c>
      <c r="B3560" s="66" t="s">
        <v>1676</v>
      </c>
      <c r="C3560" s="4">
        <v>1014</v>
      </c>
      <c r="D3560" s="41" t="s">
        <v>368</v>
      </c>
      <c r="E3560" s="41">
        <v>10140156</v>
      </c>
      <c r="F3560" s="85" t="s">
        <v>515</v>
      </c>
      <c r="G3560" s="39" t="s">
        <v>92</v>
      </c>
      <c r="H3560" s="52" t="s">
        <v>93</v>
      </c>
      <c r="I3560" s="52">
        <v>374.49999999999994</v>
      </c>
      <c r="J3560" s="49">
        <v>13649.039999999999</v>
      </c>
      <c r="K3560" s="58">
        <v>417.83999999999992</v>
      </c>
      <c r="L3560" s="58">
        <v>15683.07</v>
      </c>
      <c r="M3560" s="58">
        <v>24.469999999999995</v>
      </c>
      <c r="N3560" s="58">
        <v>1074.5899999999999</v>
      </c>
      <c r="O3560" s="58">
        <v>442.30999999999989</v>
      </c>
      <c r="P3560" s="53">
        <v>16757.66</v>
      </c>
      <c r="Q3560" s="65">
        <v>13649.039999999999</v>
      </c>
      <c r="R3560" s="65">
        <v>0</v>
      </c>
      <c r="S3560" s="65">
        <v>969.37999999999988</v>
      </c>
      <c r="T3560" s="65">
        <v>3108.6200000000008</v>
      </c>
      <c r="U3560" s="58">
        <v>0</v>
      </c>
      <c r="V3560" s="65">
        <v>0</v>
      </c>
      <c r="W3560" s="65">
        <v>0</v>
      </c>
      <c r="X3560" s="65">
        <v>12575</v>
      </c>
      <c r="Y3560" s="65">
        <v>105</v>
      </c>
      <c r="Z3560" s="51">
        <v>0</v>
      </c>
      <c r="AA3560" s="51">
        <v>0</v>
      </c>
      <c r="AB3560" s="102">
        <v>0</v>
      </c>
      <c r="AC3560" s="81">
        <f t="shared" si="169"/>
        <v>237.2636859813085</v>
      </c>
      <c r="AD3560" s="82">
        <f t="shared" si="170"/>
        <v>53.499999999999993</v>
      </c>
      <c r="AE3560" s="218">
        <v>-0.22775374678365665</v>
      </c>
      <c r="AF3560">
        <v>3</v>
      </c>
      <c r="AH3560" t="str">
        <f t="shared" si="168"/>
        <v>Dumraon</v>
      </c>
      <c r="AJ3560" s="72">
        <v>0</v>
      </c>
      <c r="AK3560" s="72"/>
      <c r="AL3560" s="72"/>
      <c r="AM3560" s="72"/>
    </row>
    <row r="3561" spans="1:39" x14ac:dyDescent="0.25">
      <c r="A3561" s="37" t="s">
        <v>62</v>
      </c>
      <c r="B3561" s="66" t="s">
        <v>1676</v>
      </c>
      <c r="C3561" s="4">
        <v>1014</v>
      </c>
      <c r="D3561" s="41" t="s">
        <v>368</v>
      </c>
      <c r="E3561" s="41">
        <v>10140157</v>
      </c>
      <c r="F3561" s="85" t="s">
        <v>1252</v>
      </c>
      <c r="G3561" s="39" t="s">
        <v>1610</v>
      </c>
      <c r="H3561" s="52" t="s">
        <v>98</v>
      </c>
      <c r="I3561" s="52">
        <v>3</v>
      </c>
      <c r="J3561" s="49">
        <v>81.900000000000006</v>
      </c>
      <c r="K3561" s="58">
        <v>0</v>
      </c>
      <c r="L3561" s="58">
        <v>0</v>
      </c>
      <c r="M3561" s="58">
        <v>0</v>
      </c>
      <c r="N3561" s="58">
        <v>0</v>
      </c>
      <c r="O3561" s="58">
        <v>0</v>
      </c>
      <c r="P3561" s="53">
        <v>0</v>
      </c>
      <c r="Q3561" s="65">
        <v>81.900000000000006</v>
      </c>
      <c r="R3561" s="65">
        <v>0</v>
      </c>
      <c r="S3561" s="65">
        <v>0</v>
      </c>
      <c r="T3561" s="65">
        <v>0</v>
      </c>
      <c r="U3561" s="58">
        <v>0</v>
      </c>
      <c r="V3561" s="65">
        <v>0</v>
      </c>
      <c r="W3561" s="65">
        <v>0</v>
      </c>
      <c r="X3561" s="65">
        <v>0</v>
      </c>
      <c r="Y3561" s="65">
        <v>0</v>
      </c>
      <c r="Z3561" s="51">
        <v>81.900000000000006</v>
      </c>
      <c r="AA3561" s="51">
        <v>0</v>
      </c>
      <c r="AB3561" s="102">
        <v>0</v>
      </c>
      <c r="AC3561" s="81">
        <f t="shared" si="169"/>
        <v>380.56200000000007</v>
      </c>
      <c r="AD3561" s="82">
        <f t="shared" si="170"/>
        <v>0.42857142857142855</v>
      </c>
      <c r="AE3561" s="218">
        <v>0</v>
      </c>
      <c r="AF3561">
        <v>0</v>
      </c>
      <c r="AH3561" t="str">
        <f t="shared" si="168"/>
        <v>Dumraon</v>
      </c>
      <c r="AJ3561" s="72">
        <v>0</v>
      </c>
      <c r="AK3561" s="72"/>
      <c r="AL3561" s="72"/>
      <c r="AM3561" s="72"/>
    </row>
    <row r="3562" spans="1:39" x14ac:dyDescent="0.25">
      <c r="A3562" s="37" t="s">
        <v>62</v>
      </c>
      <c r="B3562" s="66" t="s">
        <v>1676</v>
      </c>
      <c r="C3562" s="4">
        <v>1014</v>
      </c>
      <c r="D3562" s="41" t="s">
        <v>368</v>
      </c>
      <c r="E3562" s="41">
        <v>10140166</v>
      </c>
      <c r="F3562" s="85" t="s">
        <v>582</v>
      </c>
      <c r="G3562" s="39" t="s">
        <v>92</v>
      </c>
      <c r="H3562" s="52" t="s">
        <v>93</v>
      </c>
      <c r="I3562" s="52">
        <v>240.7</v>
      </c>
      <c r="J3562" s="49">
        <v>12808.62</v>
      </c>
      <c r="K3562" s="58">
        <v>242.3</v>
      </c>
      <c r="L3562" s="58">
        <v>12805.56</v>
      </c>
      <c r="M3562" s="58">
        <v>0</v>
      </c>
      <c r="N3562" s="58">
        <v>0</v>
      </c>
      <c r="O3562" s="58">
        <v>242.3</v>
      </c>
      <c r="P3562" s="53">
        <v>12805.56</v>
      </c>
      <c r="Q3562" s="65">
        <v>12805.56</v>
      </c>
      <c r="R3562" s="65">
        <v>0</v>
      </c>
      <c r="S3562" s="65">
        <v>0</v>
      </c>
      <c r="T3562" s="65">
        <v>0</v>
      </c>
      <c r="U3562" s="58">
        <v>0</v>
      </c>
      <c r="V3562" s="65">
        <v>0</v>
      </c>
      <c r="W3562" s="65">
        <v>0</v>
      </c>
      <c r="X3562" s="65">
        <v>12806</v>
      </c>
      <c r="Y3562" s="65">
        <v>0</v>
      </c>
      <c r="Z3562" s="51">
        <v>0</v>
      </c>
      <c r="AA3562" s="51">
        <v>3</v>
      </c>
      <c r="AB3562" s="102">
        <v>0</v>
      </c>
      <c r="AC3562" s="81">
        <f t="shared" si="169"/>
        <v>488.82419326963037</v>
      </c>
      <c r="AD3562" s="82">
        <f t="shared" si="170"/>
        <v>34.385714285714286</v>
      </c>
      <c r="AE3562" s="218">
        <v>2.3890161469395684E-4</v>
      </c>
      <c r="AF3562">
        <v>1</v>
      </c>
      <c r="AH3562" t="str">
        <f t="shared" si="168"/>
        <v>Dumraon</v>
      </c>
      <c r="AJ3562" s="72">
        <v>0</v>
      </c>
      <c r="AK3562" s="72"/>
      <c r="AL3562" s="72"/>
      <c r="AM3562" s="72"/>
    </row>
    <row r="3563" spans="1:39" x14ac:dyDescent="0.25">
      <c r="A3563" s="37" t="s">
        <v>62</v>
      </c>
      <c r="B3563" s="66" t="s">
        <v>1676</v>
      </c>
      <c r="C3563" s="4">
        <v>1014</v>
      </c>
      <c r="D3563" s="41" t="s">
        <v>368</v>
      </c>
      <c r="E3563" s="41">
        <v>10140167</v>
      </c>
      <c r="F3563" s="85" t="s">
        <v>1153</v>
      </c>
      <c r="G3563" s="39" t="s">
        <v>1610</v>
      </c>
      <c r="H3563" s="52" t="s">
        <v>98</v>
      </c>
      <c r="I3563" s="52">
        <v>1835.1000000000001</v>
      </c>
      <c r="J3563" s="49">
        <v>70059.81</v>
      </c>
      <c r="K3563" s="58">
        <v>0</v>
      </c>
      <c r="L3563" s="58">
        <v>0</v>
      </c>
      <c r="M3563" s="58">
        <v>0</v>
      </c>
      <c r="N3563" s="58">
        <v>0</v>
      </c>
      <c r="O3563" s="58">
        <v>0</v>
      </c>
      <c r="P3563" s="53">
        <v>0</v>
      </c>
      <c r="Q3563" s="65">
        <v>70059.81</v>
      </c>
      <c r="R3563" s="65">
        <v>0</v>
      </c>
      <c r="S3563" s="65">
        <v>0</v>
      </c>
      <c r="T3563" s="65">
        <v>0</v>
      </c>
      <c r="U3563" s="58">
        <v>0</v>
      </c>
      <c r="V3563" s="65">
        <v>0</v>
      </c>
      <c r="W3563" s="65">
        <v>0</v>
      </c>
      <c r="X3563" s="65">
        <v>0</v>
      </c>
      <c r="Y3563" s="65">
        <v>0</v>
      </c>
      <c r="Z3563" s="51">
        <v>70059.81</v>
      </c>
      <c r="AA3563" s="51">
        <v>0</v>
      </c>
      <c r="AB3563" s="102">
        <v>0</v>
      </c>
      <c r="AC3563" s="81">
        <f t="shared" si="169"/>
        <v>0</v>
      </c>
      <c r="AD3563" s="82">
        <f t="shared" si="170"/>
        <v>0</v>
      </c>
      <c r="AE3563" s="218">
        <v>0</v>
      </c>
      <c r="AF3563">
        <v>0</v>
      </c>
      <c r="AH3563" t="str">
        <f t="shared" si="168"/>
        <v>Dumraon</v>
      </c>
      <c r="AJ3563" s="72">
        <v>0</v>
      </c>
      <c r="AK3563" s="72"/>
      <c r="AL3563" s="72"/>
      <c r="AM3563" s="72"/>
    </row>
    <row r="3564" spans="1:39" x14ac:dyDescent="0.25">
      <c r="A3564" s="37" t="s">
        <v>62</v>
      </c>
      <c r="B3564" s="66" t="s">
        <v>1676</v>
      </c>
      <c r="C3564" s="4">
        <v>1014</v>
      </c>
      <c r="D3564" s="41" t="s">
        <v>368</v>
      </c>
      <c r="E3564" s="41">
        <v>10140170</v>
      </c>
      <c r="F3564" s="85" t="s">
        <v>620</v>
      </c>
      <c r="G3564" s="39" t="s">
        <v>92</v>
      </c>
      <c r="H3564" s="52" t="s">
        <v>93</v>
      </c>
      <c r="I3564" s="52">
        <v>293</v>
      </c>
      <c r="J3564" s="49">
        <v>13623.800000000001</v>
      </c>
      <c r="K3564" s="58">
        <v>299.5</v>
      </c>
      <c r="L3564" s="58">
        <v>13699.3</v>
      </c>
      <c r="M3564" s="58">
        <v>0</v>
      </c>
      <c r="N3564" s="58">
        <v>0</v>
      </c>
      <c r="O3564" s="58">
        <v>299.5</v>
      </c>
      <c r="P3564" s="53">
        <v>13699.3</v>
      </c>
      <c r="Q3564" s="65">
        <v>13623.800000000001</v>
      </c>
      <c r="R3564" s="65">
        <v>0</v>
      </c>
      <c r="S3564" s="65">
        <v>0</v>
      </c>
      <c r="T3564" s="65">
        <v>75.499999999998181</v>
      </c>
      <c r="U3564" s="58">
        <v>0</v>
      </c>
      <c r="V3564" s="65">
        <v>0</v>
      </c>
      <c r="W3564" s="65">
        <v>0</v>
      </c>
      <c r="X3564" s="65">
        <v>13624</v>
      </c>
      <c r="Y3564" s="65">
        <v>0</v>
      </c>
      <c r="Z3564" s="51">
        <v>0</v>
      </c>
      <c r="AA3564" s="51">
        <v>0</v>
      </c>
      <c r="AB3564" s="102">
        <v>0</v>
      </c>
      <c r="AC3564" s="81">
        <f t="shared" si="169"/>
        <v>378.49055290102393</v>
      </c>
      <c r="AD3564" s="82">
        <f t="shared" si="170"/>
        <v>41.857142857142854</v>
      </c>
      <c r="AE3564" s="218">
        <v>-5.5417724863839881E-3</v>
      </c>
      <c r="AF3564">
        <v>2</v>
      </c>
      <c r="AH3564" t="str">
        <f t="shared" si="168"/>
        <v>Dumraon</v>
      </c>
      <c r="AJ3564" s="72">
        <v>0</v>
      </c>
      <c r="AK3564" s="72"/>
      <c r="AL3564" s="72"/>
      <c r="AM3564" s="72"/>
    </row>
    <row r="3565" spans="1:39" x14ac:dyDescent="0.25">
      <c r="A3565" s="37" t="s">
        <v>62</v>
      </c>
      <c r="B3565" s="66" t="s">
        <v>1676</v>
      </c>
      <c r="C3565" s="4">
        <v>1014</v>
      </c>
      <c r="D3565" s="41" t="s">
        <v>368</v>
      </c>
      <c r="E3565" s="41">
        <v>10140173</v>
      </c>
      <c r="F3565" s="85" t="s">
        <v>633</v>
      </c>
      <c r="G3565" s="39" t="s">
        <v>92</v>
      </c>
      <c r="H3565" s="52" t="s">
        <v>93</v>
      </c>
      <c r="I3565" s="52">
        <v>814.9</v>
      </c>
      <c r="J3565" s="49">
        <v>30227.059999999994</v>
      </c>
      <c r="K3565" s="58">
        <v>823.12</v>
      </c>
      <c r="L3565" s="58">
        <v>35762.559999999998</v>
      </c>
      <c r="M3565" s="58">
        <v>0</v>
      </c>
      <c r="N3565" s="58">
        <v>0</v>
      </c>
      <c r="O3565" s="58">
        <v>823.12</v>
      </c>
      <c r="P3565" s="53">
        <v>35762.559999999998</v>
      </c>
      <c r="Q3565" s="65">
        <v>30227.059999999994</v>
      </c>
      <c r="R3565" s="65">
        <v>0</v>
      </c>
      <c r="S3565" s="65">
        <v>0</v>
      </c>
      <c r="T3565" s="65">
        <v>5535.5000000000036</v>
      </c>
      <c r="U3565" s="58">
        <v>2660</v>
      </c>
      <c r="V3565" s="65">
        <v>0</v>
      </c>
      <c r="W3565" s="65">
        <v>0</v>
      </c>
      <c r="X3565" s="65">
        <v>27567</v>
      </c>
      <c r="Y3565" s="65">
        <v>0</v>
      </c>
      <c r="Z3565" s="51">
        <v>0</v>
      </c>
      <c r="AA3565" s="51">
        <v>0</v>
      </c>
      <c r="AB3565" s="102">
        <v>0</v>
      </c>
      <c r="AC3565" s="81">
        <f t="shared" si="169"/>
        <v>0</v>
      </c>
      <c r="AD3565" s="82">
        <f t="shared" si="170"/>
        <v>0</v>
      </c>
      <c r="AE3565" s="218">
        <v>-0.18313061210716505</v>
      </c>
      <c r="AF3565">
        <v>2</v>
      </c>
      <c r="AH3565" t="str">
        <f t="shared" si="168"/>
        <v>Dumraon</v>
      </c>
      <c r="AJ3565" s="72">
        <v>0</v>
      </c>
      <c r="AK3565" s="72"/>
      <c r="AL3565" s="72"/>
      <c r="AM3565" s="72"/>
    </row>
    <row r="3566" spans="1:39" x14ac:dyDescent="0.25">
      <c r="A3566" s="37" t="s">
        <v>62</v>
      </c>
      <c r="B3566" s="66" t="s">
        <v>1676</v>
      </c>
      <c r="C3566" s="4">
        <v>1014</v>
      </c>
      <c r="D3566" s="41" t="s">
        <v>368</v>
      </c>
      <c r="E3566" s="41">
        <v>10140176</v>
      </c>
      <c r="F3566" s="85" t="s">
        <v>644</v>
      </c>
      <c r="G3566" s="39" t="s">
        <v>1610</v>
      </c>
      <c r="H3566" s="52" t="s">
        <v>98</v>
      </c>
      <c r="I3566" s="52">
        <v>104.2</v>
      </c>
      <c r="J3566" s="49">
        <v>4028.5699999999997</v>
      </c>
      <c r="K3566" s="58">
        <v>0</v>
      </c>
      <c r="L3566" s="58">
        <v>0</v>
      </c>
      <c r="M3566" s="58">
        <v>0</v>
      </c>
      <c r="N3566" s="58">
        <v>0</v>
      </c>
      <c r="O3566" s="58">
        <v>0</v>
      </c>
      <c r="P3566" s="53">
        <v>0</v>
      </c>
      <c r="Q3566" s="65">
        <v>4028.5699999999997</v>
      </c>
      <c r="R3566" s="65">
        <v>0</v>
      </c>
      <c r="S3566" s="65">
        <v>0</v>
      </c>
      <c r="T3566" s="65">
        <v>0</v>
      </c>
      <c r="U3566" s="58">
        <v>0</v>
      </c>
      <c r="V3566" s="65">
        <v>0</v>
      </c>
      <c r="W3566" s="65">
        <v>0</v>
      </c>
      <c r="X3566" s="65">
        <v>0</v>
      </c>
      <c r="Y3566" s="65">
        <v>0</v>
      </c>
      <c r="Z3566" s="51">
        <v>4028.5699999999997</v>
      </c>
      <c r="AA3566" s="51">
        <v>0</v>
      </c>
      <c r="AB3566" s="102">
        <v>0</v>
      </c>
      <c r="AC3566" s="81">
        <f t="shared" si="169"/>
        <v>460.69520268714007</v>
      </c>
      <c r="AD3566" s="82">
        <f t="shared" si="170"/>
        <v>14.885714285714286</v>
      </c>
      <c r="AE3566" s="218">
        <v>0</v>
      </c>
      <c r="AF3566">
        <v>0</v>
      </c>
      <c r="AH3566" t="str">
        <f t="shared" si="168"/>
        <v>Dumraon</v>
      </c>
      <c r="AJ3566" s="72">
        <v>0</v>
      </c>
      <c r="AK3566" s="72"/>
      <c r="AL3566" s="72"/>
      <c r="AM3566" s="72"/>
    </row>
    <row r="3567" spans="1:39" x14ac:dyDescent="0.25">
      <c r="A3567" s="37" t="s">
        <v>62</v>
      </c>
      <c r="B3567" s="66" t="s">
        <v>1676</v>
      </c>
      <c r="C3567" s="4">
        <v>1014</v>
      </c>
      <c r="D3567" s="41" t="s">
        <v>368</v>
      </c>
      <c r="E3567" s="41">
        <v>10140179</v>
      </c>
      <c r="F3567" s="85" t="s">
        <v>653</v>
      </c>
      <c r="G3567" s="39" t="s">
        <v>92</v>
      </c>
      <c r="H3567" s="52" t="s">
        <v>93</v>
      </c>
      <c r="I3567" s="52">
        <v>870.30000000000018</v>
      </c>
      <c r="J3567" s="49">
        <v>36793.39</v>
      </c>
      <c r="K3567" s="58">
        <v>932.18000000000018</v>
      </c>
      <c r="L3567" s="58">
        <v>40118.300000000003</v>
      </c>
      <c r="M3567" s="58">
        <v>10.290000000000001</v>
      </c>
      <c r="N3567" s="58">
        <v>434.73</v>
      </c>
      <c r="O3567" s="58">
        <v>942.47000000000014</v>
      </c>
      <c r="P3567" s="53">
        <v>40553.030000000006</v>
      </c>
      <c r="Q3567" s="65">
        <v>36793.39</v>
      </c>
      <c r="R3567" s="65">
        <v>0</v>
      </c>
      <c r="S3567" s="65">
        <v>434.73</v>
      </c>
      <c r="T3567" s="65">
        <v>3759.6400000000067</v>
      </c>
      <c r="U3567" s="58">
        <v>0</v>
      </c>
      <c r="V3567" s="65">
        <v>0</v>
      </c>
      <c r="W3567" s="65">
        <v>0</v>
      </c>
      <c r="X3567" s="65">
        <v>0</v>
      </c>
      <c r="Y3567" s="65">
        <v>0</v>
      </c>
      <c r="Z3567" s="51">
        <v>0</v>
      </c>
      <c r="AA3567" s="51">
        <v>36359</v>
      </c>
      <c r="AB3567" s="102" t="s">
        <v>65</v>
      </c>
      <c r="AC3567" s="81">
        <f t="shared" si="169"/>
        <v>0</v>
      </c>
      <c r="AD3567" s="82">
        <f t="shared" si="170"/>
        <v>0</v>
      </c>
      <c r="AE3567" s="218">
        <v>-0.10218248440820503</v>
      </c>
      <c r="AF3567">
        <v>43</v>
      </c>
      <c r="AH3567" t="str">
        <f t="shared" si="168"/>
        <v>Dumraon</v>
      </c>
      <c r="AJ3567" s="72">
        <v>0</v>
      </c>
      <c r="AK3567" s="72"/>
      <c r="AL3567" s="72"/>
      <c r="AM3567" s="72"/>
    </row>
    <row r="3568" spans="1:39" x14ac:dyDescent="0.25">
      <c r="A3568" s="37" t="s">
        <v>62</v>
      </c>
      <c r="B3568" s="66" t="s">
        <v>1676</v>
      </c>
      <c r="C3568" s="4">
        <v>1014</v>
      </c>
      <c r="D3568" s="41" t="s">
        <v>368</v>
      </c>
      <c r="E3568" s="41">
        <v>10140180</v>
      </c>
      <c r="F3568" s="85" t="s">
        <v>673</v>
      </c>
      <c r="G3568" s="39" t="s">
        <v>92</v>
      </c>
      <c r="H3568" s="52" t="s">
        <v>93</v>
      </c>
      <c r="I3568" s="52">
        <v>186.70000000000002</v>
      </c>
      <c r="J3568" s="49">
        <v>7725.61</v>
      </c>
      <c r="K3568" s="58">
        <v>190.4</v>
      </c>
      <c r="L3568" s="58">
        <v>7654.93</v>
      </c>
      <c r="M3568" s="58">
        <v>2.6999999999999997</v>
      </c>
      <c r="N3568" s="58">
        <v>113</v>
      </c>
      <c r="O3568" s="58">
        <v>193.1</v>
      </c>
      <c r="P3568" s="53">
        <v>7767.93</v>
      </c>
      <c r="Q3568" s="65">
        <v>7725.61</v>
      </c>
      <c r="R3568" s="65">
        <v>0</v>
      </c>
      <c r="S3568" s="65">
        <v>113</v>
      </c>
      <c r="T3568" s="65">
        <v>42.320000000000618</v>
      </c>
      <c r="U3568" s="58">
        <v>1330</v>
      </c>
      <c r="V3568" s="65">
        <v>0</v>
      </c>
      <c r="W3568" s="65">
        <v>0</v>
      </c>
      <c r="X3568" s="65">
        <v>6283</v>
      </c>
      <c r="Y3568" s="65">
        <v>0</v>
      </c>
      <c r="Z3568" s="51">
        <v>0</v>
      </c>
      <c r="AA3568" s="51">
        <v>0</v>
      </c>
      <c r="AB3568" s="102">
        <v>0</v>
      </c>
      <c r="AC3568" s="81">
        <f t="shared" si="169"/>
        <v>424.80510048205667</v>
      </c>
      <c r="AD3568" s="82">
        <f t="shared" si="170"/>
        <v>26.671428571428574</v>
      </c>
      <c r="AE3568" s="218">
        <v>-5.4778845942262963E-3</v>
      </c>
      <c r="AF3568">
        <v>6</v>
      </c>
      <c r="AH3568" t="str">
        <f t="shared" si="168"/>
        <v>Dumraon</v>
      </c>
      <c r="AJ3568" s="72">
        <v>0</v>
      </c>
      <c r="AK3568" s="72"/>
      <c r="AL3568" s="72"/>
      <c r="AM3568" s="72"/>
    </row>
    <row r="3569" spans="1:39" x14ac:dyDescent="0.25">
      <c r="A3569" s="37" t="s">
        <v>62</v>
      </c>
      <c r="B3569" s="66" t="s">
        <v>1676</v>
      </c>
      <c r="C3569" s="4">
        <v>1014</v>
      </c>
      <c r="D3569" s="41" t="s">
        <v>368</v>
      </c>
      <c r="E3569" s="41">
        <v>10140185</v>
      </c>
      <c r="F3569" s="85" t="s">
        <v>1134</v>
      </c>
      <c r="G3569" s="39" t="s">
        <v>92</v>
      </c>
      <c r="H3569" s="52" t="s">
        <v>93</v>
      </c>
      <c r="I3569" s="52">
        <v>318.10000000000002</v>
      </c>
      <c r="J3569" s="49">
        <v>10478.209999999999</v>
      </c>
      <c r="K3569" s="58">
        <v>317.8</v>
      </c>
      <c r="L3569" s="58">
        <v>10474.69</v>
      </c>
      <c r="M3569" s="58">
        <v>0</v>
      </c>
      <c r="N3569" s="58">
        <v>0</v>
      </c>
      <c r="O3569" s="58">
        <v>317.8</v>
      </c>
      <c r="P3569" s="53">
        <v>10474.69</v>
      </c>
      <c r="Q3569" s="65">
        <v>10474.69</v>
      </c>
      <c r="R3569" s="65">
        <v>0</v>
      </c>
      <c r="S3569" s="65">
        <v>0</v>
      </c>
      <c r="T3569" s="65">
        <v>0</v>
      </c>
      <c r="U3569" s="58">
        <v>3990</v>
      </c>
      <c r="V3569" s="65">
        <v>0</v>
      </c>
      <c r="W3569" s="65">
        <v>0</v>
      </c>
      <c r="X3569" s="65">
        <v>6485</v>
      </c>
      <c r="Y3569" s="65">
        <v>0</v>
      </c>
      <c r="Z3569" s="51">
        <v>0</v>
      </c>
      <c r="AA3569" s="51">
        <v>3</v>
      </c>
      <c r="AB3569" s="102">
        <v>0</v>
      </c>
      <c r="AC3569" s="81">
        <f t="shared" si="169"/>
        <v>251.59562395473117</v>
      </c>
      <c r="AD3569" s="82">
        <f t="shared" si="170"/>
        <v>45.442857142857143</v>
      </c>
      <c r="AE3569" s="218">
        <v>3.3593524084730292E-4</v>
      </c>
      <c r="AF3569">
        <v>1</v>
      </c>
      <c r="AH3569" t="str">
        <f t="shared" si="168"/>
        <v>Dumraon</v>
      </c>
      <c r="AJ3569" s="72">
        <v>0</v>
      </c>
      <c r="AK3569" s="72"/>
      <c r="AL3569" s="72"/>
      <c r="AM3569" s="72"/>
    </row>
    <row r="3570" spans="1:39" x14ac:dyDescent="0.25">
      <c r="A3570" s="37" t="s">
        <v>62</v>
      </c>
      <c r="B3570" s="66" t="s">
        <v>1676</v>
      </c>
      <c r="C3570" s="4">
        <v>1014</v>
      </c>
      <c r="D3570" s="41" t="s">
        <v>368</v>
      </c>
      <c r="E3570" s="41">
        <v>10140191</v>
      </c>
      <c r="F3570" s="85" t="s">
        <v>1531</v>
      </c>
      <c r="G3570" s="39" t="s">
        <v>1610</v>
      </c>
      <c r="H3570" s="52" t="s">
        <v>98</v>
      </c>
      <c r="I3570" s="52">
        <v>442.60000000000008</v>
      </c>
      <c r="J3570" s="49">
        <v>17503.57</v>
      </c>
      <c r="K3570" s="58">
        <v>0</v>
      </c>
      <c r="L3570" s="58">
        <v>0</v>
      </c>
      <c r="M3570" s="58">
        <v>0</v>
      </c>
      <c r="N3570" s="58">
        <v>0</v>
      </c>
      <c r="O3570" s="58">
        <v>0</v>
      </c>
      <c r="P3570" s="53">
        <v>0</v>
      </c>
      <c r="Q3570" s="65">
        <v>17503.57</v>
      </c>
      <c r="R3570" s="65">
        <v>0</v>
      </c>
      <c r="S3570" s="65">
        <v>0</v>
      </c>
      <c r="T3570" s="65">
        <v>0</v>
      </c>
      <c r="U3570" s="58">
        <v>0</v>
      </c>
      <c r="V3570" s="65">
        <v>0</v>
      </c>
      <c r="W3570" s="65">
        <v>0</v>
      </c>
      <c r="X3570" s="65">
        <v>0</v>
      </c>
      <c r="Y3570" s="65">
        <v>0</v>
      </c>
      <c r="Z3570" s="51">
        <v>17503.57</v>
      </c>
      <c r="AA3570" s="51">
        <v>0</v>
      </c>
      <c r="AB3570" s="102">
        <v>0</v>
      </c>
      <c r="AC3570" s="81">
        <f t="shared" si="169"/>
        <v>203.58874460009025</v>
      </c>
      <c r="AD3570" s="82">
        <f t="shared" si="170"/>
        <v>63.228571428571442</v>
      </c>
      <c r="AE3570" s="218">
        <v>0</v>
      </c>
      <c r="AF3570">
        <v>0</v>
      </c>
      <c r="AH3570" t="str">
        <f t="shared" si="168"/>
        <v>Dumraon</v>
      </c>
      <c r="AJ3570" s="72">
        <v>0</v>
      </c>
      <c r="AK3570" s="72"/>
      <c r="AL3570" s="72"/>
      <c r="AM3570" s="72"/>
    </row>
    <row r="3571" spans="1:39" x14ac:dyDescent="0.25">
      <c r="A3571" s="37" t="s">
        <v>62</v>
      </c>
      <c r="B3571" s="66" t="s">
        <v>1676</v>
      </c>
      <c r="C3571" s="4">
        <v>1014</v>
      </c>
      <c r="D3571" s="41" t="s">
        <v>368</v>
      </c>
      <c r="E3571" s="41">
        <v>10140194</v>
      </c>
      <c r="F3571" s="85" t="s">
        <v>1272</v>
      </c>
      <c r="G3571" s="39" t="s">
        <v>92</v>
      </c>
      <c r="H3571" s="52" t="s">
        <v>93</v>
      </c>
      <c r="I3571" s="52">
        <v>349.8</v>
      </c>
      <c r="J3571" s="49">
        <v>13904.449999999997</v>
      </c>
      <c r="K3571" s="58">
        <v>358.61</v>
      </c>
      <c r="L3571" s="58">
        <v>14054.42</v>
      </c>
      <c r="M3571" s="58">
        <v>0</v>
      </c>
      <c r="N3571" s="58">
        <v>0</v>
      </c>
      <c r="O3571" s="58">
        <v>358.61</v>
      </c>
      <c r="P3571" s="53">
        <v>14054.42</v>
      </c>
      <c r="Q3571" s="65">
        <v>13904.449999999997</v>
      </c>
      <c r="R3571" s="65">
        <v>0</v>
      </c>
      <c r="S3571" s="65">
        <v>0</v>
      </c>
      <c r="T3571" s="65">
        <v>149.97000000000298</v>
      </c>
      <c r="U3571" s="58">
        <v>0</v>
      </c>
      <c r="V3571" s="65">
        <v>0</v>
      </c>
      <c r="W3571" s="65">
        <v>0</v>
      </c>
      <c r="X3571" s="65">
        <v>13904</v>
      </c>
      <c r="Y3571" s="65">
        <v>0</v>
      </c>
      <c r="Z3571" s="51">
        <v>0</v>
      </c>
      <c r="AA3571" s="51">
        <v>0</v>
      </c>
      <c r="AB3571" s="102">
        <v>0</v>
      </c>
      <c r="AC3571" s="81">
        <f t="shared" si="169"/>
        <v>278.40699771297875</v>
      </c>
      <c r="AD3571" s="82">
        <f t="shared" si="170"/>
        <v>49.971428571428575</v>
      </c>
      <c r="AE3571" s="218">
        <v>-1.0785755639381854E-2</v>
      </c>
      <c r="AF3571">
        <v>1</v>
      </c>
      <c r="AH3571" t="str">
        <f t="shared" si="168"/>
        <v>Dumraon</v>
      </c>
      <c r="AJ3571" s="72">
        <v>0</v>
      </c>
      <c r="AK3571" s="72"/>
      <c r="AL3571" s="72"/>
      <c r="AM3571" s="72"/>
    </row>
    <row r="3572" spans="1:39" x14ac:dyDescent="0.25">
      <c r="A3572" s="37" t="s">
        <v>62</v>
      </c>
      <c r="B3572" s="66" t="s">
        <v>1676</v>
      </c>
      <c r="C3572" s="4">
        <v>1014</v>
      </c>
      <c r="D3572" s="41" t="s">
        <v>368</v>
      </c>
      <c r="E3572" s="41">
        <v>10140196</v>
      </c>
      <c r="F3572" s="85" t="s">
        <v>1265</v>
      </c>
      <c r="G3572" s="39" t="s">
        <v>1610</v>
      </c>
      <c r="H3572" s="52" t="s">
        <v>98</v>
      </c>
      <c r="I3572" s="52">
        <v>386.09999999999997</v>
      </c>
      <c r="J3572" s="49">
        <v>15171.209999999997</v>
      </c>
      <c r="K3572" s="58">
        <v>0</v>
      </c>
      <c r="L3572" s="58">
        <v>0</v>
      </c>
      <c r="M3572" s="58">
        <v>0</v>
      </c>
      <c r="N3572" s="58">
        <v>0</v>
      </c>
      <c r="O3572" s="58">
        <v>0</v>
      </c>
      <c r="P3572" s="53">
        <v>0</v>
      </c>
      <c r="Q3572" s="65">
        <v>15171.209999999997</v>
      </c>
      <c r="R3572" s="65">
        <v>0</v>
      </c>
      <c r="S3572" s="65">
        <v>0</v>
      </c>
      <c r="T3572" s="65">
        <v>0</v>
      </c>
      <c r="U3572" s="58">
        <v>0</v>
      </c>
      <c r="V3572" s="65">
        <v>0</v>
      </c>
      <c r="W3572" s="65">
        <v>0</v>
      </c>
      <c r="X3572" s="65">
        <v>0</v>
      </c>
      <c r="Y3572" s="65">
        <v>0</v>
      </c>
      <c r="Z3572" s="51">
        <v>15171.209999999997</v>
      </c>
      <c r="AA3572" s="51">
        <v>0</v>
      </c>
      <c r="AB3572" s="102">
        <v>0</v>
      </c>
      <c r="AC3572" s="81">
        <f t="shared" si="169"/>
        <v>246.68442470862473</v>
      </c>
      <c r="AD3572" s="82">
        <f t="shared" si="170"/>
        <v>55.157142857142851</v>
      </c>
      <c r="AE3572" s="218">
        <v>0</v>
      </c>
      <c r="AF3572">
        <v>0</v>
      </c>
      <c r="AH3572" t="str">
        <f t="shared" si="168"/>
        <v>Dumraon</v>
      </c>
      <c r="AJ3572" s="72">
        <v>0</v>
      </c>
      <c r="AK3572" s="72"/>
      <c r="AL3572" s="72"/>
      <c r="AM3572" s="72"/>
    </row>
    <row r="3573" spans="1:39" x14ac:dyDescent="0.25">
      <c r="A3573" s="37" t="s">
        <v>62</v>
      </c>
      <c r="B3573" s="66" t="s">
        <v>1676</v>
      </c>
      <c r="C3573" s="4">
        <v>1014</v>
      </c>
      <c r="D3573" s="41" t="s">
        <v>368</v>
      </c>
      <c r="E3573" s="41">
        <v>10140197</v>
      </c>
      <c r="F3573" s="85" t="s">
        <v>1273</v>
      </c>
      <c r="G3573" s="39" t="s">
        <v>92</v>
      </c>
      <c r="H3573" s="52" t="s">
        <v>93</v>
      </c>
      <c r="I3573" s="52">
        <v>110.60000000000001</v>
      </c>
      <c r="J3573" s="49">
        <v>4812.9399999999996</v>
      </c>
      <c r="K3573" s="58">
        <v>112.4</v>
      </c>
      <c r="L3573" s="58">
        <v>4811.84</v>
      </c>
      <c r="M3573" s="58">
        <v>0</v>
      </c>
      <c r="N3573" s="58">
        <v>0</v>
      </c>
      <c r="O3573" s="58">
        <v>112.4</v>
      </c>
      <c r="P3573" s="53">
        <v>4811.84</v>
      </c>
      <c r="Q3573" s="65">
        <v>4811.84</v>
      </c>
      <c r="R3573" s="65">
        <v>0</v>
      </c>
      <c r="S3573" s="65">
        <v>0</v>
      </c>
      <c r="T3573" s="65">
        <v>0</v>
      </c>
      <c r="U3573" s="58">
        <v>1330</v>
      </c>
      <c r="V3573" s="65">
        <v>0</v>
      </c>
      <c r="W3573" s="65">
        <v>0</v>
      </c>
      <c r="X3573" s="65">
        <v>3482</v>
      </c>
      <c r="Y3573" s="65">
        <v>0</v>
      </c>
      <c r="Z3573" s="51">
        <v>0</v>
      </c>
      <c r="AA3573" s="51">
        <v>1</v>
      </c>
      <c r="AB3573" s="102">
        <v>0</v>
      </c>
      <c r="AC3573" s="81">
        <f t="shared" si="169"/>
        <v>512.97411139240501</v>
      </c>
      <c r="AD3573" s="82">
        <f t="shared" si="170"/>
        <v>15.8</v>
      </c>
      <c r="AE3573" s="218">
        <v>2.2855053252262742E-4</v>
      </c>
      <c r="AF3573">
        <v>1</v>
      </c>
      <c r="AH3573" t="str">
        <f t="shared" ref="AH3573:AH3636" si="171">TEXT(D3573,"0000")</f>
        <v>Dumraon</v>
      </c>
      <c r="AJ3573" s="72">
        <v>0</v>
      </c>
      <c r="AK3573" s="72"/>
      <c r="AL3573" s="72"/>
      <c r="AM3573" s="72"/>
    </row>
    <row r="3574" spans="1:39" x14ac:dyDescent="0.25">
      <c r="A3574" s="37" t="s">
        <v>62</v>
      </c>
      <c r="B3574" s="66" t="s">
        <v>1676</v>
      </c>
      <c r="C3574" s="4">
        <v>1014</v>
      </c>
      <c r="D3574" s="41" t="s">
        <v>368</v>
      </c>
      <c r="E3574" s="41">
        <v>10140198</v>
      </c>
      <c r="F3574" s="85" t="s">
        <v>1274</v>
      </c>
      <c r="G3574" s="39" t="s">
        <v>1610</v>
      </c>
      <c r="H3574" s="52" t="s">
        <v>98</v>
      </c>
      <c r="I3574" s="52">
        <v>571.6</v>
      </c>
      <c r="J3574" s="49">
        <v>24556.33</v>
      </c>
      <c r="K3574" s="58">
        <v>0</v>
      </c>
      <c r="L3574" s="58">
        <v>0</v>
      </c>
      <c r="M3574" s="58">
        <v>0</v>
      </c>
      <c r="N3574" s="58">
        <v>0</v>
      </c>
      <c r="O3574" s="58">
        <v>0</v>
      </c>
      <c r="P3574" s="53">
        <v>0</v>
      </c>
      <c r="Q3574" s="65">
        <v>24556.33</v>
      </c>
      <c r="R3574" s="65">
        <v>0</v>
      </c>
      <c r="S3574" s="65">
        <v>0</v>
      </c>
      <c r="T3574" s="65">
        <v>0</v>
      </c>
      <c r="U3574" s="58">
        <v>0</v>
      </c>
      <c r="V3574" s="65">
        <v>0</v>
      </c>
      <c r="W3574" s="65">
        <v>0</v>
      </c>
      <c r="X3574" s="65">
        <v>0</v>
      </c>
      <c r="Y3574" s="65">
        <v>0</v>
      </c>
      <c r="Z3574" s="51">
        <v>24556.33</v>
      </c>
      <c r="AA3574" s="51">
        <v>0</v>
      </c>
      <c r="AB3574" s="102">
        <v>0</v>
      </c>
      <c r="AC3574" s="81">
        <f t="shared" si="169"/>
        <v>110.32305010496849</v>
      </c>
      <c r="AD3574" s="82">
        <f t="shared" si="170"/>
        <v>81.657142857142858</v>
      </c>
      <c r="AE3574" s="218">
        <v>0</v>
      </c>
      <c r="AF3574">
        <v>0</v>
      </c>
      <c r="AH3574" t="str">
        <f t="shared" si="171"/>
        <v>Dumraon</v>
      </c>
      <c r="AJ3574" s="72">
        <v>0</v>
      </c>
      <c r="AK3574" s="72"/>
      <c r="AL3574" s="72"/>
      <c r="AM3574" s="72"/>
    </row>
    <row r="3575" spans="1:39" x14ac:dyDescent="0.25">
      <c r="A3575" s="37" t="s">
        <v>62</v>
      </c>
      <c r="B3575" s="66" t="s">
        <v>1676</v>
      </c>
      <c r="C3575" s="4">
        <v>1014</v>
      </c>
      <c r="D3575" s="41" t="s">
        <v>368</v>
      </c>
      <c r="E3575" s="41">
        <v>10140201</v>
      </c>
      <c r="F3575" s="85" t="s">
        <v>1303</v>
      </c>
      <c r="G3575" s="39" t="s">
        <v>1610</v>
      </c>
      <c r="H3575" s="52" t="s">
        <v>98</v>
      </c>
      <c r="I3575" s="52">
        <v>119.1</v>
      </c>
      <c r="J3575" s="49">
        <v>4607.88</v>
      </c>
      <c r="K3575" s="58">
        <v>0</v>
      </c>
      <c r="L3575" s="58">
        <v>0</v>
      </c>
      <c r="M3575" s="58">
        <v>0</v>
      </c>
      <c r="N3575" s="58">
        <v>0</v>
      </c>
      <c r="O3575" s="58">
        <v>0</v>
      </c>
      <c r="P3575" s="53">
        <v>0</v>
      </c>
      <c r="Q3575" s="65">
        <v>4607.88</v>
      </c>
      <c r="R3575" s="65">
        <v>0</v>
      </c>
      <c r="S3575" s="65">
        <v>0</v>
      </c>
      <c r="T3575" s="65">
        <v>0</v>
      </c>
      <c r="U3575" s="58">
        <v>0</v>
      </c>
      <c r="V3575" s="65">
        <v>0</v>
      </c>
      <c r="W3575" s="65">
        <v>0</v>
      </c>
      <c r="X3575" s="65">
        <v>0</v>
      </c>
      <c r="Y3575" s="65">
        <v>0</v>
      </c>
      <c r="Z3575" s="51">
        <v>4607.88</v>
      </c>
      <c r="AA3575" s="51">
        <v>0</v>
      </c>
      <c r="AB3575" s="102">
        <v>0</v>
      </c>
      <c r="AC3575" s="81">
        <f t="shared" si="169"/>
        <v>449.49076272040315</v>
      </c>
      <c r="AD3575" s="82">
        <f t="shared" si="170"/>
        <v>17.014285714285712</v>
      </c>
      <c r="AE3575" s="218">
        <v>0</v>
      </c>
      <c r="AF3575">
        <v>0</v>
      </c>
      <c r="AH3575" t="str">
        <f t="shared" si="171"/>
        <v>Dumraon</v>
      </c>
      <c r="AJ3575" s="72">
        <v>0</v>
      </c>
      <c r="AK3575" s="72"/>
      <c r="AL3575" s="72"/>
      <c r="AM3575" s="72"/>
    </row>
    <row r="3576" spans="1:39" x14ac:dyDescent="0.25">
      <c r="A3576" s="37" t="s">
        <v>62</v>
      </c>
      <c r="B3576" s="66" t="s">
        <v>1676</v>
      </c>
      <c r="C3576" s="4">
        <v>1014</v>
      </c>
      <c r="D3576" s="41" t="s">
        <v>368</v>
      </c>
      <c r="E3576" s="41">
        <v>10140203</v>
      </c>
      <c r="F3576" s="85" t="s">
        <v>1334</v>
      </c>
      <c r="G3576" s="39" t="s">
        <v>1610</v>
      </c>
      <c r="H3576" s="52" t="s">
        <v>98</v>
      </c>
      <c r="I3576" s="52">
        <v>1519</v>
      </c>
      <c r="J3576" s="49">
        <v>56750.39</v>
      </c>
      <c r="K3576" s="58">
        <v>0</v>
      </c>
      <c r="L3576" s="58">
        <v>0</v>
      </c>
      <c r="M3576" s="58">
        <v>0</v>
      </c>
      <c r="N3576" s="58">
        <v>0</v>
      </c>
      <c r="O3576" s="58">
        <v>0</v>
      </c>
      <c r="P3576" s="53">
        <v>0</v>
      </c>
      <c r="Q3576" s="65">
        <v>56750.39</v>
      </c>
      <c r="R3576" s="65">
        <v>0</v>
      </c>
      <c r="S3576" s="65">
        <v>0</v>
      </c>
      <c r="T3576" s="65">
        <v>0</v>
      </c>
      <c r="U3576" s="58">
        <v>0</v>
      </c>
      <c r="V3576" s="65">
        <v>0</v>
      </c>
      <c r="W3576" s="65">
        <v>0</v>
      </c>
      <c r="X3576" s="65">
        <v>0</v>
      </c>
      <c r="Y3576" s="65">
        <v>0</v>
      </c>
      <c r="Z3576" s="51">
        <v>56750.39</v>
      </c>
      <c r="AA3576" s="51">
        <v>0</v>
      </c>
      <c r="AB3576" s="102">
        <v>0</v>
      </c>
      <c r="AC3576" s="81">
        <f t="shared" si="169"/>
        <v>0</v>
      </c>
      <c r="AD3576" s="82">
        <f t="shared" si="170"/>
        <v>0</v>
      </c>
      <c r="AE3576" s="218">
        <v>0</v>
      </c>
      <c r="AF3576">
        <v>0</v>
      </c>
      <c r="AH3576" t="str">
        <f t="shared" si="171"/>
        <v>Dumraon</v>
      </c>
      <c r="AJ3576" s="72">
        <v>0</v>
      </c>
      <c r="AK3576" s="72"/>
      <c r="AL3576" s="72"/>
      <c r="AM3576" s="72"/>
    </row>
    <row r="3577" spans="1:39" x14ac:dyDescent="0.25">
      <c r="A3577" s="37" t="s">
        <v>62</v>
      </c>
      <c r="B3577" s="66" t="s">
        <v>1676</v>
      </c>
      <c r="C3577" s="4">
        <v>1014</v>
      </c>
      <c r="D3577" s="41" t="s">
        <v>368</v>
      </c>
      <c r="E3577" s="41">
        <v>10140204</v>
      </c>
      <c r="F3577" s="85" t="s">
        <v>1464</v>
      </c>
      <c r="G3577" s="39" t="s">
        <v>1610</v>
      </c>
      <c r="H3577" s="52" t="s">
        <v>98</v>
      </c>
      <c r="I3577" s="52">
        <v>11.899999999999999</v>
      </c>
      <c r="J3577" s="49">
        <v>484.07</v>
      </c>
      <c r="K3577" s="58">
        <v>0</v>
      </c>
      <c r="L3577" s="58">
        <v>0</v>
      </c>
      <c r="M3577" s="58">
        <v>0</v>
      </c>
      <c r="N3577" s="58">
        <v>0</v>
      </c>
      <c r="O3577" s="58">
        <v>0</v>
      </c>
      <c r="P3577" s="53">
        <v>0</v>
      </c>
      <c r="Q3577" s="65">
        <v>484.07</v>
      </c>
      <c r="R3577" s="65">
        <v>0</v>
      </c>
      <c r="S3577" s="65">
        <v>0</v>
      </c>
      <c r="T3577" s="65">
        <v>0</v>
      </c>
      <c r="U3577" s="58">
        <v>0</v>
      </c>
      <c r="V3577" s="65">
        <v>0</v>
      </c>
      <c r="W3577" s="65">
        <v>0</v>
      </c>
      <c r="X3577" s="65">
        <v>0</v>
      </c>
      <c r="Y3577" s="65">
        <v>0</v>
      </c>
      <c r="Z3577" s="51">
        <v>484.07</v>
      </c>
      <c r="AA3577" s="51">
        <v>0</v>
      </c>
      <c r="AB3577" s="102">
        <v>0</v>
      </c>
      <c r="AC3577" s="81">
        <f t="shared" si="169"/>
        <v>559.812717647059</v>
      </c>
      <c r="AD3577" s="82">
        <f t="shared" si="170"/>
        <v>1.6999999999999997</v>
      </c>
      <c r="AE3577" s="218">
        <v>0</v>
      </c>
      <c r="AF3577">
        <v>0</v>
      </c>
      <c r="AH3577" t="str">
        <f t="shared" si="171"/>
        <v>Dumraon</v>
      </c>
      <c r="AJ3577" s="72">
        <v>0</v>
      </c>
      <c r="AK3577" s="72"/>
      <c r="AL3577" s="72"/>
      <c r="AM3577" s="72"/>
    </row>
    <row r="3578" spans="1:39" x14ac:dyDescent="0.25">
      <c r="A3578" s="37" t="s">
        <v>62</v>
      </c>
      <c r="B3578" s="66" t="s">
        <v>1676</v>
      </c>
      <c r="C3578" s="4">
        <v>1014</v>
      </c>
      <c r="D3578" s="41" t="s">
        <v>368</v>
      </c>
      <c r="E3578" s="41">
        <v>10140207</v>
      </c>
      <c r="F3578" s="85" t="s">
        <v>1539</v>
      </c>
      <c r="G3578" s="39" t="s">
        <v>1610</v>
      </c>
      <c r="H3578" s="52" t="s">
        <v>98</v>
      </c>
      <c r="I3578" s="52">
        <v>424.8</v>
      </c>
      <c r="J3578" s="49">
        <v>15436.56</v>
      </c>
      <c r="K3578" s="58">
        <v>0</v>
      </c>
      <c r="L3578" s="58">
        <v>0</v>
      </c>
      <c r="M3578" s="58">
        <v>0</v>
      </c>
      <c r="N3578" s="58">
        <v>0</v>
      </c>
      <c r="O3578" s="58">
        <v>0</v>
      </c>
      <c r="P3578" s="53">
        <v>0</v>
      </c>
      <c r="Q3578" s="65">
        <v>15436.56</v>
      </c>
      <c r="R3578" s="65">
        <v>0</v>
      </c>
      <c r="S3578" s="65">
        <v>0</v>
      </c>
      <c r="T3578" s="65">
        <v>0</v>
      </c>
      <c r="U3578" s="58">
        <v>0</v>
      </c>
      <c r="V3578" s="65">
        <v>0</v>
      </c>
      <c r="W3578" s="65">
        <v>0</v>
      </c>
      <c r="X3578" s="65">
        <v>0</v>
      </c>
      <c r="Y3578" s="65">
        <v>0</v>
      </c>
      <c r="Z3578" s="51">
        <v>15436.56</v>
      </c>
      <c r="AA3578" s="51">
        <v>0</v>
      </c>
      <c r="AB3578" s="102">
        <v>0</v>
      </c>
      <c r="AC3578" s="81">
        <f t="shared" si="169"/>
        <v>200.00665310734462</v>
      </c>
      <c r="AD3578" s="82">
        <f t="shared" si="170"/>
        <v>60.68571428571429</v>
      </c>
      <c r="AE3578" s="218">
        <v>0</v>
      </c>
      <c r="AF3578">
        <v>0</v>
      </c>
      <c r="AH3578" t="str">
        <f t="shared" si="171"/>
        <v>Dumraon</v>
      </c>
      <c r="AJ3578" s="72">
        <v>0</v>
      </c>
      <c r="AK3578" s="72"/>
      <c r="AL3578" s="72"/>
      <c r="AM3578" s="72"/>
    </row>
    <row r="3579" spans="1:39" x14ac:dyDescent="0.25">
      <c r="A3579" s="37" t="s">
        <v>62</v>
      </c>
      <c r="B3579" s="66" t="s">
        <v>1676</v>
      </c>
      <c r="C3579" s="4">
        <v>1014</v>
      </c>
      <c r="D3579" s="41" t="s">
        <v>368</v>
      </c>
      <c r="E3579" s="41">
        <v>10140208</v>
      </c>
      <c r="F3579" s="85" t="s">
        <v>1562</v>
      </c>
      <c r="G3579" s="39" t="s">
        <v>92</v>
      </c>
      <c r="H3579" s="52" t="s">
        <v>93</v>
      </c>
      <c r="I3579" s="52">
        <v>843.19999999999982</v>
      </c>
      <c r="J3579" s="49">
        <v>34556.06</v>
      </c>
      <c r="K3579" s="58">
        <v>844.45</v>
      </c>
      <c r="L3579" s="58">
        <v>34994.910000000003</v>
      </c>
      <c r="M3579" s="58">
        <v>0</v>
      </c>
      <c r="N3579" s="58">
        <v>0</v>
      </c>
      <c r="O3579" s="58">
        <v>844.45</v>
      </c>
      <c r="P3579" s="53">
        <v>34994.910000000003</v>
      </c>
      <c r="Q3579" s="65">
        <v>34556.06</v>
      </c>
      <c r="R3579" s="65">
        <v>0</v>
      </c>
      <c r="S3579" s="65">
        <v>0</v>
      </c>
      <c r="T3579" s="65">
        <v>438.85000000000582</v>
      </c>
      <c r="U3579" s="58">
        <v>0</v>
      </c>
      <c r="V3579" s="65">
        <v>0</v>
      </c>
      <c r="W3579" s="65">
        <v>0</v>
      </c>
      <c r="X3579" s="65">
        <v>34556</v>
      </c>
      <c r="Y3579" s="65">
        <v>0</v>
      </c>
      <c r="Z3579" s="51">
        <v>0</v>
      </c>
      <c r="AA3579" s="51">
        <v>0</v>
      </c>
      <c r="AB3579" s="102">
        <v>0</v>
      </c>
      <c r="AC3579" s="81">
        <f t="shared" ref="AC3579:AC3642" si="172">((IF(AD3579=0,0,100-AD3579))*7*(J3579/I3579))*2%</f>
        <v>0</v>
      </c>
      <c r="AD3579" s="82">
        <f t="shared" ref="AD3579:AD3642" si="173">IF((I3579/7)&gt;100,0,(I3579/7))</f>
        <v>0</v>
      </c>
      <c r="AE3579" s="218">
        <v>-1.2699653837850896E-2</v>
      </c>
      <c r="AF3579">
        <v>2</v>
      </c>
      <c r="AH3579" t="str">
        <f t="shared" si="171"/>
        <v>Dumraon</v>
      </c>
      <c r="AJ3579" s="72">
        <v>0</v>
      </c>
      <c r="AK3579" s="72"/>
      <c r="AL3579" s="72"/>
      <c r="AM3579" s="72"/>
    </row>
    <row r="3580" spans="1:39" x14ac:dyDescent="0.25">
      <c r="A3580" s="37" t="s">
        <v>62</v>
      </c>
      <c r="B3580" s="66" t="s">
        <v>1676</v>
      </c>
      <c r="C3580" s="4">
        <v>1002</v>
      </c>
      <c r="D3580" s="41" t="s">
        <v>103</v>
      </c>
      <c r="E3580" s="41">
        <v>10180001</v>
      </c>
      <c r="F3580" s="85" t="s">
        <v>611</v>
      </c>
      <c r="G3580" s="39" t="s">
        <v>92</v>
      </c>
      <c r="H3580" s="52" t="s">
        <v>98</v>
      </c>
      <c r="I3580" s="52">
        <v>641.29999999999995</v>
      </c>
      <c r="J3580" s="49">
        <v>26622.949999999997</v>
      </c>
      <c r="K3580" s="58">
        <v>0</v>
      </c>
      <c r="L3580" s="58">
        <v>0</v>
      </c>
      <c r="M3580" s="58">
        <v>0</v>
      </c>
      <c r="N3580" s="58">
        <v>0</v>
      </c>
      <c r="O3580" s="58">
        <v>0</v>
      </c>
      <c r="P3580" s="53">
        <v>0</v>
      </c>
      <c r="Q3580" s="65">
        <v>26622.949999999997</v>
      </c>
      <c r="R3580" s="65">
        <v>0</v>
      </c>
      <c r="S3580" s="65">
        <v>0</v>
      </c>
      <c r="T3580" s="65">
        <v>0</v>
      </c>
      <c r="U3580" s="58">
        <v>0</v>
      </c>
      <c r="V3580" s="65">
        <v>0</v>
      </c>
      <c r="W3580" s="65">
        <v>0</v>
      </c>
      <c r="X3580" s="65">
        <v>0</v>
      </c>
      <c r="Y3580" s="65">
        <v>0</v>
      </c>
      <c r="Z3580" s="51">
        <v>26622.949999999997</v>
      </c>
      <c r="AA3580" s="51">
        <v>0</v>
      </c>
      <c r="AB3580" s="102">
        <v>0</v>
      </c>
      <c r="AC3580" s="81">
        <f t="shared" si="172"/>
        <v>48.737475908311247</v>
      </c>
      <c r="AD3580" s="82">
        <f t="shared" si="173"/>
        <v>91.614285714285714</v>
      </c>
      <c r="AE3580" s="218">
        <v>0</v>
      </c>
      <c r="AF3580">
        <v>0</v>
      </c>
      <c r="AH3580" t="str">
        <f t="shared" si="171"/>
        <v>Laldiyara</v>
      </c>
      <c r="AJ3580" s="72">
        <v>0</v>
      </c>
      <c r="AK3580" s="72"/>
      <c r="AL3580" s="72"/>
      <c r="AM3580" s="72"/>
    </row>
    <row r="3581" spans="1:39" x14ac:dyDescent="0.25">
      <c r="A3581" s="37" t="s">
        <v>62</v>
      </c>
      <c r="B3581" s="66" t="s">
        <v>1676</v>
      </c>
      <c r="C3581" s="4">
        <v>1002</v>
      </c>
      <c r="D3581" s="41" t="s">
        <v>103</v>
      </c>
      <c r="E3581" s="41">
        <v>10200001</v>
      </c>
      <c r="F3581" s="85" t="s">
        <v>1525</v>
      </c>
      <c r="G3581" s="39" t="s">
        <v>92</v>
      </c>
      <c r="H3581" s="52" t="s">
        <v>93</v>
      </c>
      <c r="I3581" s="52">
        <v>631.20000000000005</v>
      </c>
      <c r="J3581" s="49">
        <v>23777.3</v>
      </c>
      <c r="K3581" s="58">
        <v>634</v>
      </c>
      <c r="L3581" s="58">
        <v>23882.78</v>
      </c>
      <c r="M3581" s="58">
        <v>0</v>
      </c>
      <c r="N3581" s="58">
        <v>0</v>
      </c>
      <c r="O3581" s="58">
        <v>634</v>
      </c>
      <c r="P3581" s="53">
        <v>23882.78</v>
      </c>
      <c r="Q3581" s="65">
        <v>23777.3</v>
      </c>
      <c r="R3581" s="65">
        <v>0</v>
      </c>
      <c r="S3581" s="65">
        <v>0</v>
      </c>
      <c r="T3581" s="65">
        <v>105.47999999999956</v>
      </c>
      <c r="U3581" s="58">
        <v>0</v>
      </c>
      <c r="V3581" s="65">
        <v>0</v>
      </c>
      <c r="W3581" s="65">
        <v>0</v>
      </c>
      <c r="X3581" s="65">
        <v>23777</v>
      </c>
      <c r="Y3581" s="65">
        <v>0</v>
      </c>
      <c r="Z3581" s="51">
        <v>0</v>
      </c>
      <c r="AA3581" s="51">
        <v>0</v>
      </c>
      <c r="AB3581" s="102">
        <v>0</v>
      </c>
      <c r="AC3581" s="81">
        <f t="shared" si="172"/>
        <v>51.833911280101347</v>
      </c>
      <c r="AD3581" s="82">
        <f t="shared" si="173"/>
        <v>90.171428571428578</v>
      </c>
      <c r="AE3581" s="218">
        <v>-4.4361639042279641E-3</v>
      </c>
      <c r="AF3581">
        <v>1</v>
      </c>
      <c r="AH3581" t="str">
        <f t="shared" si="171"/>
        <v>Laldiyara</v>
      </c>
      <c r="AJ3581" s="72">
        <v>0</v>
      </c>
      <c r="AK3581" s="72"/>
      <c r="AL3581" s="72"/>
      <c r="AM3581" s="72"/>
    </row>
    <row r="3582" spans="1:39" x14ac:dyDescent="0.25">
      <c r="A3582" s="37" t="s">
        <v>62</v>
      </c>
      <c r="B3582" s="66" t="s">
        <v>1676</v>
      </c>
      <c r="C3582" s="4">
        <v>1003</v>
      </c>
      <c r="D3582" s="41" t="s">
        <v>137</v>
      </c>
      <c r="E3582" s="41">
        <v>10240001</v>
      </c>
      <c r="F3582" s="85" t="s">
        <v>394</v>
      </c>
      <c r="G3582" s="39" t="s">
        <v>92</v>
      </c>
      <c r="H3582" s="52" t="s">
        <v>93</v>
      </c>
      <c r="I3582" s="52">
        <v>2143.4</v>
      </c>
      <c r="J3582" s="49">
        <v>80357.290000000008</v>
      </c>
      <c r="K3582" s="58">
        <v>2186.3999999999992</v>
      </c>
      <c r="L3582" s="58">
        <v>79039.599999999991</v>
      </c>
      <c r="M3582" s="58">
        <v>25.899999999999995</v>
      </c>
      <c r="N3582" s="58">
        <v>1307.1899999999998</v>
      </c>
      <c r="O3582" s="58">
        <v>2212.2999999999993</v>
      </c>
      <c r="P3582" s="53">
        <v>80346.789999999994</v>
      </c>
      <c r="Q3582" s="65">
        <v>80346.789999999994</v>
      </c>
      <c r="R3582" s="65">
        <v>0</v>
      </c>
      <c r="S3582" s="65">
        <v>1307.1899999999998</v>
      </c>
      <c r="T3582" s="65">
        <v>0</v>
      </c>
      <c r="U3582" s="58">
        <v>0</v>
      </c>
      <c r="V3582" s="65">
        <v>0</v>
      </c>
      <c r="W3582" s="65">
        <v>0</v>
      </c>
      <c r="X3582" s="65">
        <v>79042</v>
      </c>
      <c r="Y3582" s="65">
        <v>0</v>
      </c>
      <c r="Z3582" s="51">
        <v>0</v>
      </c>
      <c r="AA3582" s="51">
        <v>8</v>
      </c>
      <c r="AB3582" s="102">
        <v>0</v>
      </c>
      <c r="AC3582" s="81">
        <f t="shared" si="172"/>
        <v>0</v>
      </c>
      <c r="AD3582" s="82">
        <f t="shared" si="173"/>
        <v>0</v>
      </c>
      <c r="AE3582" s="218">
        <v>1.3066642740210068E-4</v>
      </c>
      <c r="AF3582">
        <v>70</v>
      </c>
      <c r="AH3582" t="str">
        <f t="shared" si="171"/>
        <v>Asarganj</v>
      </c>
      <c r="AJ3582" s="72">
        <v>0</v>
      </c>
      <c r="AK3582" s="72"/>
      <c r="AL3582" s="72"/>
      <c r="AM3582" s="72"/>
    </row>
    <row r="3583" spans="1:39" x14ac:dyDescent="0.25">
      <c r="A3583" s="37" t="s">
        <v>62</v>
      </c>
      <c r="B3583" s="66" t="s">
        <v>1676</v>
      </c>
      <c r="C3583" s="4">
        <v>1003</v>
      </c>
      <c r="D3583" s="41" t="s">
        <v>137</v>
      </c>
      <c r="E3583" s="41">
        <v>10250001</v>
      </c>
      <c r="F3583" s="85" t="s">
        <v>395</v>
      </c>
      <c r="G3583" s="39" t="s">
        <v>92</v>
      </c>
      <c r="H3583" s="52" t="s">
        <v>93</v>
      </c>
      <c r="I3583" s="52">
        <v>2094.1</v>
      </c>
      <c r="J3583" s="49">
        <v>91848.29</v>
      </c>
      <c r="K3583" s="58">
        <v>2089.9</v>
      </c>
      <c r="L3583" s="58">
        <v>91750.16</v>
      </c>
      <c r="M3583" s="58">
        <v>13.399999999999999</v>
      </c>
      <c r="N3583" s="58">
        <v>589.6</v>
      </c>
      <c r="O3583" s="58">
        <v>2103.3000000000002</v>
      </c>
      <c r="P3583" s="53">
        <v>92339.760000000009</v>
      </c>
      <c r="Q3583" s="65">
        <v>91848.29</v>
      </c>
      <c r="R3583" s="65">
        <v>0</v>
      </c>
      <c r="S3583" s="65">
        <v>589.6</v>
      </c>
      <c r="T3583" s="65">
        <v>491.47000000001572</v>
      </c>
      <c r="U3583" s="58">
        <v>3651</v>
      </c>
      <c r="V3583" s="65">
        <v>0</v>
      </c>
      <c r="W3583" s="65">
        <v>0</v>
      </c>
      <c r="X3583" s="65">
        <v>87607</v>
      </c>
      <c r="Y3583" s="65">
        <v>0</v>
      </c>
      <c r="Z3583" s="51">
        <v>0</v>
      </c>
      <c r="AA3583" s="51">
        <v>1</v>
      </c>
      <c r="AB3583" s="102" t="s">
        <v>68</v>
      </c>
      <c r="AC3583" s="81">
        <f t="shared" si="172"/>
        <v>0</v>
      </c>
      <c r="AD3583" s="82">
        <f t="shared" si="173"/>
        <v>0</v>
      </c>
      <c r="AE3583" s="218">
        <v>-5.3508889495930273E-3</v>
      </c>
      <c r="AF3583">
        <v>16</v>
      </c>
      <c r="AH3583" t="str">
        <f t="shared" si="171"/>
        <v>Asarganj</v>
      </c>
      <c r="AJ3583" s="72">
        <v>0</v>
      </c>
      <c r="AK3583" s="72"/>
      <c r="AL3583" s="72"/>
      <c r="AM3583" s="72"/>
    </row>
    <row r="3584" spans="1:39" x14ac:dyDescent="0.25">
      <c r="A3584" s="37" t="s">
        <v>62</v>
      </c>
      <c r="B3584" s="66" t="s">
        <v>1676</v>
      </c>
      <c r="C3584" s="4">
        <v>1003</v>
      </c>
      <c r="D3584" s="41" t="s">
        <v>137</v>
      </c>
      <c r="E3584" s="41">
        <v>10260001</v>
      </c>
      <c r="F3584" s="85" t="s">
        <v>396</v>
      </c>
      <c r="G3584" s="39" t="s">
        <v>92</v>
      </c>
      <c r="H3584" s="52" t="s">
        <v>93</v>
      </c>
      <c r="I3584" s="52">
        <v>1415.3</v>
      </c>
      <c r="J3584" s="49">
        <v>54000.88</v>
      </c>
      <c r="K3584" s="58">
        <v>1527.8999999999999</v>
      </c>
      <c r="L3584" s="58">
        <v>66993.319999999992</v>
      </c>
      <c r="M3584" s="58">
        <v>6.8000000000000007</v>
      </c>
      <c r="N3584" s="58">
        <v>295.92</v>
      </c>
      <c r="O3584" s="58">
        <v>1534.6999999999998</v>
      </c>
      <c r="P3584" s="53">
        <v>67289.239999999991</v>
      </c>
      <c r="Q3584" s="65">
        <v>54000.88</v>
      </c>
      <c r="R3584" s="65">
        <v>0</v>
      </c>
      <c r="S3584" s="65">
        <v>295.92</v>
      </c>
      <c r="T3584" s="65">
        <v>13288.359999999993</v>
      </c>
      <c r="U3584" s="58">
        <v>0</v>
      </c>
      <c r="V3584" s="65">
        <v>0</v>
      </c>
      <c r="W3584" s="65">
        <v>0</v>
      </c>
      <c r="X3584" s="65">
        <v>53705</v>
      </c>
      <c r="Y3584" s="65">
        <v>0</v>
      </c>
      <c r="Z3584" s="51">
        <v>0</v>
      </c>
      <c r="AA3584" s="51">
        <v>0</v>
      </c>
      <c r="AB3584" s="102" t="s">
        <v>66</v>
      </c>
      <c r="AC3584" s="81">
        <f t="shared" si="172"/>
        <v>0</v>
      </c>
      <c r="AD3584" s="82">
        <f t="shared" si="173"/>
        <v>0</v>
      </c>
      <c r="AE3584" s="218">
        <v>-0.24607673060142712</v>
      </c>
      <c r="AF3584">
        <v>15</v>
      </c>
      <c r="AH3584" t="str">
        <f t="shared" si="171"/>
        <v>Asarganj</v>
      </c>
      <c r="AJ3584" s="72">
        <v>0</v>
      </c>
      <c r="AK3584" s="72"/>
      <c r="AL3584" s="72"/>
      <c r="AM3584" s="72"/>
    </row>
    <row r="3585" spans="1:39" x14ac:dyDescent="0.25">
      <c r="A3585" s="37" t="s">
        <v>62</v>
      </c>
      <c r="B3585" s="66" t="s">
        <v>1676</v>
      </c>
      <c r="C3585" s="4">
        <v>1006</v>
      </c>
      <c r="D3585" s="41" t="s">
        <v>179</v>
      </c>
      <c r="E3585" s="41">
        <v>10290001</v>
      </c>
      <c r="F3585" s="85" t="s">
        <v>397</v>
      </c>
      <c r="G3585" s="39" t="s">
        <v>92</v>
      </c>
      <c r="H3585" s="52" t="s">
        <v>93</v>
      </c>
      <c r="I3585" s="52">
        <v>1634.9</v>
      </c>
      <c r="J3585" s="49">
        <v>61460.619999999995</v>
      </c>
      <c r="K3585" s="58">
        <v>374.2</v>
      </c>
      <c r="L3585" s="58">
        <v>14197.890000000003</v>
      </c>
      <c r="M3585" s="58">
        <v>1384.3</v>
      </c>
      <c r="N3585" s="58">
        <v>51892.12999999999</v>
      </c>
      <c r="O3585" s="58">
        <v>1758.5</v>
      </c>
      <c r="P3585" s="53">
        <v>66090.01999999999</v>
      </c>
      <c r="Q3585" s="65">
        <v>61460.619999999995</v>
      </c>
      <c r="R3585" s="65">
        <v>0</v>
      </c>
      <c r="S3585" s="65">
        <v>284.19000000000005</v>
      </c>
      <c r="T3585" s="65">
        <v>4629.3999999999942</v>
      </c>
      <c r="U3585" s="58">
        <v>0</v>
      </c>
      <c r="V3585" s="65">
        <v>0</v>
      </c>
      <c r="W3585" s="65">
        <v>0</v>
      </c>
      <c r="X3585" s="65">
        <v>9569</v>
      </c>
      <c r="Y3585" s="65">
        <v>51607</v>
      </c>
      <c r="Z3585" s="51">
        <v>0</v>
      </c>
      <c r="AA3585" s="51">
        <v>0</v>
      </c>
      <c r="AB3585" s="102">
        <v>0</v>
      </c>
      <c r="AC3585" s="81">
        <f t="shared" si="172"/>
        <v>0</v>
      </c>
      <c r="AD3585" s="82">
        <f t="shared" si="173"/>
        <v>0</v>
      </c>
      <c r="AE3585" s="218">
        <v>-7.5323027981168994E-2</v>
      </c>
      <c r="AF3585">
        <v>13</v>
      </c>
      <c r="AH3585" t="str">
        <f t="shared" si="171"/>
        <v>Sonvarsha</v>
      </c>
      <c r="AJ3585" s="72">
        <v>0</v>
      </c>
      <c r="AK3585" s="72"/>
      <c r="AL3585" s="72"/>
      <c r="AM3585" s="72"/>
    </row>
    <row r="3586" spans="1:39" x14ac:dyDescent="0.25">
      <c r="A3586" s="37" t="s">
        <v>62</v>
      </c>
      <c r="B3586" s="66" t="s">
        <v>1676</v>
      </c>
      <c r="C3586" s="4">
        <v>1006</v>
      </c>
      <c r="D3586" s="41" t="s">
        <v>179</v>
      </c>
      <c r="E3586" s="41">
        <v>10300001</v>
      </c>
      <c r="F3586" s="85" t="s">
        <v>1120</v>
      </c>
      <c r="G3586" s="39" t="s">
        <v>92</v>
      </c>
      <c r="H3586" s="52" t="s">
        <v>98</v>
      </c>
      <c r="I3586" s="52">
        <v>1453.2000000000003</v>
      </c>
      <c r="J3586" s="49">
        <v>61510.38</v>
      </c>
      <c r="K3586" s="58">
        <v>0</v>
      </c>
      <c r="L3586" s="58">
        <v>0</v>
      </c>
      <c r="M3586" s="58">
        <v>0</v>
      </c>
      <c r="N3586" s="58">
        <v>0</v>
      </c>
      <c r="O3586" s="58">
        <v>0</v>
      </c>
      <c r="P3586" s="53">
        <v>0</v>
      </c>
      <c r="Q3586" s="65">
        <v>61510.38</v>
      </c>
      <c r="R3586" s="65">
        <v>0</v>
      </c>
      <c r="S3586" s="65">
        <v>0</v>
      </c>
      <c r="T3586" s="65">
        <v>0</v>
      </c>
      <c r="U3586" s="58">
        <v>0</v>
      </c>
      <c r="V3586" s="65">
        <v>0</v>
      </c>
      <c r="W3586" s="65">
        <v>0</v>
      </c>
      <c r="X3586" s="65">
        <v>0</v>
      </c>
      <c r="Y3586" s="65">
        <v>0</v>
      </c>
      <c r="Z3586" s="51">
        <v>61510.38</v>
      </c>
      <c r="AA3586" s="51">
        <v>0</v>
      </c>
      <c r="AB3586" s="102">
        <v>0</v>
      </c>
      <c r="AC3586" s="81">
        <f t="shared" si="172"/>
        <v>0</v>
      </c>
      <c r="AD3586" s="82">
        <f t="shared" si="173"/>
        <v>0</v>
      </c>
      <c r="AE3586" s="218">
        <v>0</v>
      </c>
      <c r="AF3586">
        <v>0</v>
      </c>
      <c r="AH3586" t="str">
        <f t="shared" si="171"/>
        <v>Sonvarsha</v>
      </c>
      <c r="AJ3586" s="72">
        <v>0</v>
      </c>
      <c r="AK3586" s="72"/>
      <c r="AL3586" s="72"/>
      <c r="AM3586" s="72"/>
    </row>
    <row r="3587" spans="1:39" x14ac:dyDescent="0.25">
      <c r="A3587" s="37" t="s">
        <v>62</v>
      </c>
      <c r="B3587" s="66" t="s">
        <v>1676</v>
      </c>
      <c r="C3587" s="4">
        <v>1006</v>
      </c>
      <c r="D3587" s="41" t="s">
        <v>179</v>
      </c>
      <c r="E3587" s="41">
        <v>10310001</v>
      </c>
      <c r="F3587" s="85" t="s">
        <v>398</v>
      </c>
      <c r="G3587" s="39" t="s">
        <v>92</v>
      </c>
      <c r="H3587" s="52" t="s">
        <v>93</v>
      </c>
      <c r="I3587" s="52">
        <v>848.70000000000016</v>
      </c>
      <c r="J3587" s="49">
        <v>35405.78</v>
      </c>
      <c r="K3587" s="58">
        <v>124.3</v>
      </c>
      <c r="L3587" s="58">
        <v>5240.5600000000004</v>
      </c>
      <c r="M3587" s="58">
        <v>725</v>
      </c>
      <c r="N3587" s="58">
        <v>30190.440000000002</v>
      </c>
      <c r="O3587" s="58">
        <v>849.3</v>
      </c>
      <c r="P3587" s="53">
        <v>35431</v>
      </c>
      <c r="Q3587" s="65">
        <v>35405.78</v>
      </c>
      <c r="R3587" s="65">
        <v>0</v>
      </c>
      <c r="S3587" s="65">
        <v>208.38</v>
      </c>
      <c r="T3587" s="65">
        <v>25.220000000001164</v>
      </c>
      <c r="U3587" s="58">
        <v>0</v>
      </c>
      <c r="V3587" s="65">
        <v>0</v>
      </c>
      <c r="W3587" s="65">
        <v>0</v>
      </c>
      <c r="X3587" s="65">
        <v>5217</v>
      </c>
      <c r="Y3587" s="65">
        <v>29980</v>
      </c>
      <c r="Z3587" s="51">
        <v>0</v>
      </c>
      <c r="AA3587" s="51">
        <v>0</v>
      </c>
      <c r="AB3587" s="102">
        <v>0</v>
      </c>
      <c r="AC3587" s="81">
        <f t="shared" si="172"/>
        <v>0</v>
      </c>
      <c r="AD3587" s="82">
        <f t="shared" si="173"/>
        <v>0</v>
      </c>
      <c r="AE3587" s="218">
        <v>-7.1231307430597956E-4</v>
      </c>
      <c r="AF3587">
        <v>10</v>
      </c>
      <c r="AH3587" t="str">
        <f t="shared" si="171"/>
        <v>Sonvarsha</v>
      </c>
      <c r="AJ3587" s="72">
        <v>0</v>
      </c>
      <c r="AK3587" s="72"/>
      <c r="AL3587" s="72"/>
      <c r="AM3587" s="72"/>
    </row>
    <row r="3588" spans="1:39" x14ac:dyDescent="0.25">
      <c r="A3588" s="37" t="s">
        <v>62</v>
      </c>
      <c r="B3588" s="66" t="s">
        <v>1676</v>
      </c>
      <c r="C3588" s="4">
        <v>1006</v>
      </c>
      <c r="D3588" s="41" t="s">
        <v>179</v>
      </c>
      <c r="E3588" s="41">
        <v>10320001</v>
      </c>
      <c r="F3588" s="85" t="s">
        <v>399</v>
      </c>
      <c r="G3588" s="39" t="s">
        <v>92</v>
      </c>
      <c r="H3588" s="52" t="s">
        <v>98</v>
      </c>
      <c r="I3588" s="52">
        <v>1219.5</v>
      </c>
      <c r="J3588" s="49">
        <v>48672.530000000006</v>
      </c>
      <c r="K3588" s="58">
        <v>0</v>
      </c>
      <c r="L3588" s="58">
        <v>0</v>
      </c>
      <c r="M3588" s="58">
        <v>0</v>
      </c>
      <c r="N3588" s="58">
        <v>0</v>
      </c>
      <c r="O3588" s="58">
        <v>0</v>
      </c>
      <c r="P3588" s="53">
        <v>0</v>
      </c>
      <c r="Q3588" s="65">
        <v>48672.530000000006</v>
      </c>
      <c r="R3588" s="65">
        <v>0</v>
      </c>
      <c r="S3588" s="65">
        <v>0</v>
      </c>
      <c r="T3588" s="65">
        <v>0</v>
      </c>
      <c r="U3588" s="58">
        <v>0</v>
      </c>
      <c r="V3588" s="65">
        <v>0</v>
      </c>
      <c r="W3588" s="65">
        <v>0</v>
      </c>
      <c r="X3588" s="65">
        <v>0</v>
      </c>
      <c r="Y3588" s="65">
        <v>0</v>
      </c>
      <c r="Z3588" s="51">
        <v>48672.530000000006</v>
      </c>
      <c r="AA3588" s="51">
        <v>0</v>
      </c>
      <c r="AB3588" s="102">
        <v>0</v>
      </c>
      <c r="AC3588" s="81">
        <f t="shared" si="172"/>
        <v>0</v>
      </c>
      <c r="AD3588" s="82">
        <f t="shared" si="173"/>
        <v>0</v>
      </c>
      <c r="AE3588" s="218">
        <v>0</v>
      </c>
      <c r="AF3588">
        <v>0</v>
      </c>
      <c r="AH3588" t="str">
        <f t="shared" si="171"/>
        <v>Sonvarsha</v>
      </c>
      <c r="AJ3588" s="72">
        <v>0</v>
      </c>
      <c r="AK3588" s="72"/>
      <c r="AL3588" s="72"/>
      <c r="AM3588" s="72"/>
    </row>
    <row r="3589" spans="1:39" x14ac:dyDescent="0.25">
      <c r="A3589" s="37" t="s">
        <v>62</v>
      </c>
      <c r="B3589" s="66" t="s">
        <v>1676</v>
      </c>
      <c r="C3589" s="4">
        <v>1006</v>
      </c>
      <c r="D3589" s="41" t="s">
        <v>179</v>
      </c>
      <c r="E3589" s="41">
        <v>10330001</v>
      </c>
      <c r="F3589" s="85" t="s">
        <v>1180</v>
      </c>
      <c r="G3589" s="39" t="s">
        <v>92</v>
      </c>
      <c r="H3589" s="52" t="s">
        <v>98</v>
      </c>
      <c r="I3589" s="52">
        <v>2707.9</v>
      </c>
      <c r="J3589" s="49">
        <v>109188.67000000001</v>
      </c>
      <c r="K3589" s="58">
        <v>0</v>
      </c>
      <c r="L3589" s="58">
        <v>0</v>
      </c>
      <c r="M3589" s="58">
        <v>0</v>
      </c>
      <c r="N3589" s="58">
        <v>0</v>
      </c>
      <c r="O3589" s="58">
        <v>0</v>
      </c>
      <c r="P3589" s="53">
        <v>0</v>
      </c>
      <c r="Q3589" s="65">
        <v>109188.67000000001</v>
      </c>
      <c r="R3589" s="65">
        <v>0</v>
      </c>
      <c r="S3589" s="65">
        <v>0</v>
      </c>
      <c r="T3589" s="65">
        <v>0</v>
      </c>
      <c r="U3589" s="58">
        <v>0</v>
      </c>
      <c r="V3589" s="65">
        <v>0</v>
      </c>
      <c r="W3589" s="65">
        <v>0</v>
      </c>
      <c r="X3589" s="65">
        <v>0</v>
      </c>
      <c r="Y3589" s="65">
        <v>0</v>
      </c>
      <c r="Z3589" s="51">
        <v>109188.67000000001</v>
      </c>
      <c r="AA3589" s="51">
        <v>0</v>
      </c>
      <c r="AB3589" s="102">
        <v>0</v>
      </c>
      <c r="AC3589" s="81">
        <f t="shared" si="172"/>
        <v>0</v>
      </c>
      <c r="AD3589" s="82">
        <f t="shared" si="173"/>
        <v>0</v>
      </c>
      <c r="AE3589" s="218">
        <v>0</v>
      </c>
      <c r="AF3589">
        <v>0</v>
      </c>
      <c r="AH3589" t="str">
        <f t="shared" si="171"/>
        <v>Sonvarsha</v>
      </c>
      <c r="AJ3589" s="72">
        <v>0</v>
      </c>
      <c r="AK3589" s="72"/>
      <c r="AL3589" s="72"/>
      <c r="AM3589" s="72"/>
    </row>
    <row r="3590" spans="1:39" x14ac:dyDescent="0.25">
      <c r="A3590" s="37" t="s">
        <v>62</v>
      </c>
      <c r="B3590" s="66" t="s">
        <v>1676</v>
      </c>
      <c r="C3590" s="4">
        <v>1006</v>
      </c>
      <c r="D3590" s="41" t="s">
        <v>179</v>
      </c>
      <c r="E3590" s="41">
        <v>10340001</v>
      </c>
      <c r="F3590" s="85" t="s">
        <v>400</v>
      </c>
      <c r="G3590" s="39" t="s">
        <v>92</v>
      </c>
      <c r="H3590" s="52" t="s">
        <v>98</v>
      </c>
      <c r="I3590" s="52">
        <v>1384.1</v>
      </c>
      <c r="J3590" s="49">
        <v>53089.090000000004</v>
      </c>
      <c r="K3590" s="58">
        <v>0</v>
      </c>
      <c r="L3590" s="58">
        <v>0</v>
      </c>
      <c r="M3590" s="58">
        <v>0</v>
      </c>
      <c r="N3590" s="58">
        <v>0</v>
      </c>
      <c r="O3590" s="58">
        <v>0</v>
      </c>
      <c r="P3590" s="53">
        <v>0</v>
      </c>
      <c r="Q3590" s="65">
        <v>53089.090000000004</v>
      </c>
      <c r="R3590" s="65">
        <v>0</v>
      </c>
      <c r="S3590" s="65">
        <v>0</v>
      </c>
      <c r="T3590" s="65">
        <v>0</v>
      </c>
      <c r="U3590" s="58">
        <v>0</v>
      </c>
      <c r="V3590" s="65">
        <v>0</v>
      </c>
      <c r="W3590" s="65">
        <v>0</v>
      </c>
      <c r="X3590" s="65">
        <v>0</v>
      </c>
      <c r="Y3590" s="65">
        <v>0</v>
      </c>
      <c r="Z3590" s="51">
        <v>53089.090000000004</v>
      </c>
      <c r="AA3590" s="51">
        <v>0</v>
      </c>
      <c r="AB3590" s="102">
        <v>0</v>
      </c>
      <c r="AC3590" s="81">
        <f t="shared" si="172"/>
        <v>0</v>
      </c>
      <c r="AD3590" s="82">
        <f t="shared" si="173"/>
        <v>0</v>
      </c>
      <c r="AE3590" s="218">
        <v>0</v>
      </c>
      <c r="AF3590">
        <v>0</v>
      </c>
      <c r="AH3590" t="str">
        <f t="shared" si="171"/>
        <v>Sonvarsha</v>
      </c>
      <c r="AJ3590" s="72">
        <v>0</v>
      </c>
      <c r="AK3590" s="72"/>
      <c r="AL3590" s="72"/>
      <c r="AM3590" s="72"/>
    </row>
    <row r="3591" spans="1:39" x14ac:dyDescent="0.25">
      <c r="A3591" s="37" t="s">
        <v>62</v>
      </c>
      <c r="B3591" s="66" t="s">
        <v>1676</v>
      </c>
      <c r="C3591" s="4">
        <v>1006</v>
      </c>
      <c r="D3591" s="41" t="s">
        <v>179</v>
      </c>
      <c r="E3591" s="41">
        <v>10350001</v>
      </c>
      <c r="F3591" s="85" t="s">
        <v>401</v>
      </c>
      <c r="G3591" s="39" t="s">
        <v>92</v>
      </c>
      <c r="H3591" s="52" t="s">
        <v>93</v>
      </c>
      <c r="I3591" s="52">
        <v>1395.1</v>
      </c>
      <c r="J3591" s="49">
        <v>63005.36</v>
      </c>
      <c r="K3591" s="58">
        <v>1671.2000000000005</v>
      </c>
      <c r="L3591" s="58">
        <v>64599.520000000004</v>
      </c>
      <c r="M3591" s="58">
        <v>14.7</v>
      </c>
      <c r="N3591" s="58">
        <v>662.09</v>
      </c>
      <c r="O3591" s="58">
        <v>1685.9000000000005</v>
      </c>
      <c r="P3591" s="53">
        <v>65261.61</v>
      </c>
      <c r="Q3591" s="65">
        <v>63005.36</v>
      </c>
      <c r="R3591" s="65">
        <v>0</v>
      </c>
      <c r="S3591" s="65">
        <v>662.09</v>
      </c>
      <c r="T3591" s="65">
        <v>2256.25</v>
      </c>
      <c r="U3591" s="58">
        <v>0</v>
      </c>
      <c r="V3591" s="65">
        <v>0</v>
      </c>
      <c r="W3591" s="65">
        <v>0</v>
      </c>
      <c r="X3591" s="65">
        <v>62343</v>
      </c>
      <c r="Y3591" s="65">
        <v>0</v>
      </c>
      <c r="Z3591" s="51">
        <v>0</v>
      </c>
      <c r="AA3591" s="51">
        <v>0</v>
      </c>
      <c r="AB3591" s="102">
        <v>0</v>
      </c>
      <c r="AC3591" s="81">
        <f t="shared" si="172"/>
        <v>0</v>
      </c>
      <c r="AD3591" s="82">
        <f t="shared" si="173"/>
        <v>0</v>
      </c>
      <c r="AE3591" s="218">
        <v>-3.581044533353988E-2</v>
      </c>
      <c r="AF3591">
        <v>15</v>
      </c>
      <c r="AH3591" t="str">
        <f t="shared" si="171"/>
        <v>Sonvarsha</v>
      </c>
      <c r="AJ3591" s="72">
        <v>0</v>
      </c>
      <c r="AK3591" s="72"/>
      <c r="AL3591" s="72"/>
      <c r="AM3591" s="72"/>
    </row>
    <row r="3592" spans="1:39" x14ac:dyDescent="0.25">
      <c r="A3592" s="37" t="s">
        <v>62</v>
      </c>
      <c r="B3592" s="66" t="s">
        <v>1676</v>
      </c>
      <c r="C3592" s="4">
        <v>1036</v>
      </c>
      <c r="D3592" s="41" t="s">
        <v>402</v>
      </c>
      <c r="E3592" s="41">
        <v>10360001</v>
      </c>
      <c r="F3592" s="85" t="s">
        <v>402</v>
      </c>
      <c r="G3592" s="39" t="s">
        <v>92</v>
      </c>
      <c r="H3592" s="52" t="s">
        <v>93</v>
      </c>
      <c r="I3592" s="52">
        <v>1942.1999999999998</v>
      </c>
      <c r="J3592" s="49">
        <v>75707.62999999999</v>
      </c>
      <c r="K3592" s="58">
        <v>1894.3</v>
      </c>
      <c r="L3592" s="58">
        <v>73880.33</v>
      </c>
      <c r="M3592" s="58">
        <v>47.9</v>
      </c>
      <c r="N3592" s="58">
        <v>1827.3</v>
      </c>
      <c r="O3592" s="58">
        <v>1942.2</v>
      </c>
      <c r="P3592" s="53">
        <v>75707.63</v>
      </c>
      <c r="Q3592" s="65">
        <v>75707.62999999999</v>
      </c>
      <c r="R3592" s="65">
        <v>0</v>
      </c>
      <c r="S3592" s="65">
        <v>1827.3</v>
      </c>
      <c r="T3592" s="65">
        <v>0</v>
      </c>
      <c r="U3592" s="58">
        <v>0</v>
      </c>
      <c r="V3592" s="65">
        <v>0</v>
      </c>
      <c r="W3592" s="65">
        <v>0</v>
      </c>
      <c r="X3592" s="65">
        <v>73879</v>
      </c>
      <c r="Y3592" s="65">
        <v>0</v>
      </c>
      <c r="Z3592" s="51">
        <v>0</v>
      </c>
      <c r="AA3592" s="51">
        <v>1</v>
      </c>
      <c r="AB3592" s="102">
        <v>0</v>
      </c>
      <c r="AC3592" s="81">
        <f t="shared" si="172"/>
        <v>0</v>
      </c>
      <c r="AD3592" s="82">
        <f t="shared" si="173"/>
        <v>0</v>
      </c>
      <c r="AE3592" s="218">
        <v>-1.9221200331283457E-16</v>
      </c>
      <c r="AF3592">
        <v>11</v>
      </c>
      <c r="AH3592" t="str">
        <f t="shared" si="171"/>
        <v>MAHADAT PUR 2</v>
      </c>
      <c r="AJ3592" s="72">
        <v>0</v>
      </c>
      <c r="AK3592" s="72"/>
      <c r="AL3592" s="72"/>
      <c r="AM3592" s="72"/>
    </row>
    <row r="3593" spans="1:39" x14ac:dyDescent="0.25">
      <c r="A3593" s="37" t="s">
        <v>62</v>
      </c>
      <c r="B3593" s="66" t="s">
        <v>1676</v>
      </c>
      <c r="C3593" s="4">
        <v>1007</v>
      </c>
      <c r="D3593" s="41" t="s">
        <v>203</v>
      </c>
      <c r="E3593" s="41">
        <v>10380001</v>
      </c>
      <c r="F3593" s="85" t="s">
        <v>403</v>
      </c>
      <c r="G3593" s="39" t="s">
        <v>92</v>
      </c>
      <c r="H3593" s="52" t="s">
        <v>93</v>
      </c>
      <c r="I3593" s="52">
        <v>1080</v>
      </c>
      <c r="J3593" s="49">
        <v>38596.28</v>
      </c>
      <c r="K3593" s="58">
        <v>701</v>
      </c>
      <c r="L3593" s="58">
        <v>25056.42</v>
      </c>
      <c r="M3593" s="58">
        <v>377</v>
      </c>
      <c r="N3593" s="58">
        <v>13467.86</v>
      </c>
      <c r="O3593" s="58">
        <v>1078</v>
      </c>
      <c r="P3593" s="53">
        <v>38524.28</v>
      </c>
      <c r="Q3593" s="65">
        <v>38524.28</v>
      </c>
      <c r="R3593" s="65">
        <v>0</v>
      </c>
      <c r="S3593" s="65">
        <v>179.18</v>
      </c>
      <c r="T3593" s="65">
        <v>0</v>
      </c>
      <c r="U3593" s="58">
        <v>0</v>
      </c>
      <c r="V3593" s="65">
        <v>0</v>
      </c>
      <c r="W3593" s="65">
        <v>0</v>
      </c>
      <c r="X3593" s="65">
        <v>25055</v>
      </c>
      <c r="Y3593" s="65">
        <v>13288</v>
      </c>
      <c r="Z3593" s="51">
        <v>0</v>
      </c>
      <c r="AA3593" s="51">
        <v>74</v>
      </c>
      <c r="AB3593" s="102">
        <v>0</v>
      </c>
      <c r="AC3593" s="81">
        <f t="shared" si="172"/>
        <v>0</v>
      </c>
      <c r="AD3593" s="82">
        <f t="shared" si="173"/>
        <v>0</v>
      </c>
      <c r="AE3593" s="218">
        <v>1.8654647546343845E-3</v>
      </c>
      <c r="AF3593">
        <v>12</v>
      </c>
      <c r="AH3593" t="str">
        <f t="shared" si="171"/>
        <v>Araria</v>
      </c>
      <c r="AJ3593" s="72">
        <v>0</v>
      </c>
      <c r="AK3593" s="72"/>
      <c r="AL3593" s="72"/>
      <c r="AM3593" s="72"/>
    </row>
    <row r="3594" spans="1:39" x14ac:dyDescent="0.25">
      <c r="A3594" s="37" t="s">
        <v>62</v>
      </c>
      <c r="B3594" s="66" t="s">
        <v>1676</v>
      </c>
      <c r="C3594" s="4">
        <v>1007</v>
      </c>
      <c r="D3594" s="41" t="s">
        <v>203</v>
      </c>
      <c r="E3594" s="41">
        <v>10390001</v>
      </c>
      <c r="F3594" s="85" t="s">
        <v>489</v>
      </c>
      <c r="G3594" s="39" t="s">
        <v>1610</v>
      </c>
      <c r="H3594" s="52" t="s">
        <v>98</v>
      </c>
      <c r="I3594" s="52">
        <v>412</v>
      </c>
      <c r="J3594" s="49">
        <v>15005.04</v>
      </c>
      <c r="K3594" s="58">
        <v>305</v>
      </c>
      <c r="L3594" s="58">
        <v>11108.099999999999</v>
      </c>
      <c r="M3594" s="58">
        <v>0</v>
      </c>
      <c r="N3594" s="58">
        <v>0</v>
      </c>
      <c r="O3594" s="58">
        <v>305</v>
      </c>
      <c r="P3594" s="53">
        <v>11108.099999999999</v>
      </c>
      <c r="Q3594" s="65">
        <v>15005.04</v>
      </c>
      <c r="R3594" s="65">
        <v>0</v>
      </c>
      <c r="S3594" s="65">
        <v>94.69</v>
      </c>
      <c r="T3594" s="65">
        <v>0</v>
      </c>
      <c r="U3594" s="58">
        <v>0</v>
      </c>
      <c r="V3594" s="65">
        <v>0</v>
      </c>
      <c r="W3594" s="65">
        <v>0</v>
      </c>
      <c r="X3594" s="65">
        <v>0</v>
      </c>
      <c r="Y3594" s="65">
        <v>0</v>
      </c>
      <c r="Z3594" s="51">
        <v>14910.35</v>
      </c>
      <c r="AA3594" s="51">
        <v>0</v>
      </c>
      <c r="AB3594" s="102">
        <v>0</v>
      </c>
      <c r="AC3594" s="81">
        <f t="shared" si="172"/>
        <v>209.77920000000003</v>
      </c>
      <c r="AD3594" s="82">
        <f t="shared" si="173"/>
        <v>58.857142857142854</v>
      </c>
      <c r="AE3594" s="218">
        <v>0</v>
      </c>
      <c r="AF3594">
        <v>15</v>
      </c>
      <c r="AH3594" t="str">
        <f t="shared" si="171"/>
        <v>Araria</v>
      </c>
      <c r="AJ3594" s="72">
        <v>0</v>
      </c>
      <c r="AK3594" s="72"/>
      <c r="AL3594" s="72"/>
      <c r="AM3594" s="72"/>
    </row>
    <row r="3595" spans="1:39" x14ac:dyDescent="0.25">
      <c r="A3595" s="37" t="s">
        <v>62</v>
      </c>
      <c r="B3595" s="66" t="s">
        <v>1676</v>
      </c>
      <c r="C3595" s="4">
        <v>1007</v>
      </c>
      <c r="D3595" s="41" t="s">
        <v>203</v>
      </c>
      <c r="E3595" s="41">
        <v>10400001</v>
      </c>
      <c r="F3595" s="85" t="s">
        <v>404</v>
      </c>
      <c r="G3595" s="39" t="s">
        <v>92</v>
      </c>
      <c r="H3595" s="52" t="s">
        <v>93</v>
      </c>
      <c r="I3595" s="52">
        <v>2447</v>
      </c>
      <c r="J3595" s="49">
        <v>88647.17</v>
      </c>
      <c r="K3595" s="58">
        <v>1903</v>
      </c>
      <c r="L3595" s="58">
        <v>69036.27</v>
      </c>
      <c r="M3595" s="58">
        <v>544</v>
      </c>
      <c r="N3595" s="58">
        <v>19802.260000000002</v>
      </c>
      <c r="O3595" s="58">
        <v>2447</v>
      </c>
      <c r="P3595" s="53">
        <v>88838.53</v>
      </c>
      <c r="Q3595" s="65">
        <v>88647.17</v>
      </c>
      <c r="R3595" s="65">
        <v>0</v>
      </c>
      <c r="S3595" s="65">
        <v>292.22000000000003</v>
      </c>
      <c r="T3595" s="65">
        <v>191.36000000000058</v>
      </c>
      <c r="U3595" s="58">
        <v>0</v>
      </c>
      <c r="V3595" s="65">
        <v>0</v>
      </c>
      <c r="W3595" s="65">
        <v>0</v>
      </c>
      <c r="X3595" s="65">
        <v>68845</v>
      </c>
      <c r="Y3595" s="65">
        <v>19510</v>
      </c>
      <c r="Z3595" s="51">
        <v>0</v>
      </c>
      <c r="AA3595" s="51">
        <v>0</v>
      </c>
      <c r="AB3595" s="102">
        <v>0</v>
      </c>
      <c r="AC3595" s="81">
        <f t="shared" si="172"/>
        <v>0</v>
      </c>
      <c r="AD3595" s="82">
        <f t="shared" si="173"/>
        <v>0</v>
      </c>
      <c r="AE3595" s="218">
        <v>-2.1586701526963644E-3</v>
      </c>
      <c r="AF3595">
        <v>16</v>
      </c>
      <c r="AH3595" t="str">
        <f t="shared" si="171"/>
        <v>Araria</v>
      </c>
      <c r="AJ3595" s="72">
        <v>0</v>
      </c>
      <c r="AK3595" s="72"/>
      <c r="AL3595" s="72"/>
      <c r="AM3595" s="72"/>
    </row>
    <row r="3596" spans="1:39" x14ac:dyDescent="0.25">
      <c r="A3596" s="37" t="s">
        <v>62</v>
      </c>
      <c r="B3596" s="66" t="s">
        <v>1676</v>
      </c>
      <c r="C3596" s="4">
        <v>1007</v>
      </c>
      <c r="D3596" s="41" t="s">
        <v>203</v>
      </c>
      <c r="E3596" s="41">
        <v>10410001</v>
      </c>
      <c r="F3596" s="85" t="s">
        <v>405</v>
      </c>
      <c r="G3596" s="39" t="s">
        <v>92</v>
      </c>
      <c r="H3596" s="52" t="s">
        <v>93</v>
      </c>
      <c r="I3596" s="52">
        <v>3134</v>
      </c>
      <c r="J3596" s="49">
        <v>110460.5</v>
      </c>
      <c r="K3596" s="58">
        <v>900</v>
      </c>
      <c r="L3596" s="58">
        <v>31653</v>
      </c>
      <c r="M3596" s="58">
        <v>2238</v>
      </c>
      <c r="N3596" s="58">
        <v>78949.02</v>
      </c>
      <c r="O3596" s="58">
        <v>3138</v>
      </c>
      <c r="P3596" s="53">
        <v>110602.02</v>
      </c>
      <c r="Q3596" s="65">
        <v>110460.5</v>
      </c>
      <c r="R3596" s="65">
        <v>0</v>
      </c>
      <c r="S3596" s="65">
        <v>211.02</v>
      </c>
      <c r="T3596" s="65">
        <v>141.52000000000407</v>
      </c>
      <c r="U3596" s="58">
        <v>0</v>
      </c>
      <c r="V3596" s="65">
        <v>0</v>
      </c>
      <c r="W3596" s="65">
        <v>0</v>
      </c>
      <c r="X3596" s="65">
        <v>31510</v>
      </c>
      <c r="Y3596" s="65">
        <v>78739</v>
      </c>
      <c r="Z3596" s="51">
        <v>0</v>
      </c>
      <c r="AA3596" s="51">
        <v>0</v>
      </c>
      <c r="AB3596" s="102">
        <v>0</v>
      </c>
      <c r="AC3596" s="81">
        <f t="shared" si="172"/>
        <v>0</v>
      </c>
      <c r="AD3596" s="82">
        <f t="shared" si="173"/>
        <v>0</v>
      </c>
      <c r="AE3596" s="218">
        <v>-1.2811819609725111E-3</v>
      </c>
      <c r="AF3596">
        <v>15</v>
      </c>
      <c r="AH3596" t="str">
        <f t="shared" si="171"/>
        <v>Araria</v>
      </c>
      <c r="AJ3596" s="72">
        <v>0</v>
      </c>
      <c r="AK3596" s="72"/>
      <c r="AL3596" s="72"/>
      <c r="AM3596" s="72"/>
    </row>
    <row r="3597" spans="1:39" x14ac:dyDescent="0.25">
      <c r="A3597" s="37" t="s">
        <v>62</v>
      </c>
      <c r="B3597" s="66" t="s">
        <v>1676</v>
      </c>
      <c r="C3597" s="4">
        <v>1011</v>
      </c>
      <c r="D3597" s="41" t="s">
        <v>281</v>
      </c>
      <c r="E3597" s="41">
        <v>10430001</v>
      </c>
      <c r="F3597" s="85" t="s">
        <v>1238</v>
      </c>
      <c r="G3597" s="39" t="s">
        <v>92</v>
      </c>
      <c r="H3597" s="52" t="s">
        <v>93</v>
      </c>
      <c r="I3597" s="52">
        <v>331.9</v>
      </c>
      <c r="J3597" s="49">
        <v>12918.59</v>
      </c>
      <c r="K3597" s="58">
        <v>341.6</v>
      </c>
      <c r="L3597" s="58">
        <v>13295.07</v>
      </c>
      <c r="M3597" s="58">
        <v>0</v>
      </c>
      <c r="N3597" s="58">
        <v>0</v>
      </c>
      <c r="O3597" s="58">
        <v>341.6</v>
      </c>
      <c r="P3597" s="53">
        <v>13295.07</v>
      </c>
      <c r="Q3597" s="65">
        <v>12918.59</v>
      </c>
      <c r="R3597" s="65">
        <v>0</v>
      </c>
      <c r="S3597" s="65">
        <v>0</v>
      </c>
      <c r="T3597" s="65">
        <v>376.47999999999956</v>
      </c>
      <c r="U3597" s="58">
        <v>0</v>
      </c>
      <c r="V3597" s="65">
        <v>0</v>
      </c>
      <c r="W3597" s="65">
        <v>0</v>
      </c>
      <c r="X3597" s="65">
        <v>12919</v>
      </c>
      <c r="Y3597" s="65">
        <v>0</v>
      </c>
      <c r="Z3597" s="51">
        <v>0</v>
      </c>
      <c r="AA3597" s="51">
        <v>0</v>
      </c>
      <c r="AB3597" s="102">
        <v>0</v>
      </c>
      <c r="AC3597" s="81">
        <f t="shared" si="172"/>
        <v>286.55215299789097</v>
      </c>
      <c r="AD3597" s="82">
        <f t="shared" si="173"/>
        <v>47.414285714285711</v>
      </c>
      <c r="AE3597" s="218">
        <v>-2.9142499297523921E-2</v>
      </c>
      <c r="AF3597">
        <v>1</v>
      </c>
      <c r="AH3597" t="str">
        <f t="shared" si="171"/>
        <v>Sahibpur Kamal</v>
      </c>
      <c r="AJ3597" s="72">
        <v>0</v>
      </c>
      <c r="AK3597" s="72"/>
      <c r="AL3597" s="72"/>
      <c r="AM3597" s="72"/>
    </row>
    <row r="3598" spans="1:39" x14ac:dyDescent="0.25">
      <c r="A3598" s="37" t="s">
        <v>62</v>
      </c>
      <c r="B3598" s="66" t="s">
        <v>1676</v>
      </c>
      <c r="C3598" s="4">
        <v>1011</v>
      </c>
      <c r="D3598" s="41" t="s">
        <v>281</v>
      </c>
      <c r="E3598" s="41">
        <v>10440001</v>
      </c>
      <c r="F3598" s="85" t="s">
        <v>406</v>
      </c>
      <c r="G3598" s="39" t="s">
        <v>92</v>
      </c>
      <c r="H3598" s="52" t="s">
        <v>93</v>
      </c>
      <c r="I3598" s="52">
        <v>53</v>
      </c>
      <c r="J3598" s="49">
        <v>1933.89</v>
      </c>
      <c r="K3598" s="58">
        <v>53.000000000000007</v>
      </c>
      <c r="L3598" s="58">
        <v>1999.5</v>
      </c>
      <c r="M3598" s="58">
        <v>0</v>
      </c>
      <c r="N3598" s="58">
        <v>0</v>
      </c>
      <c r="O3598" s="58">
        <v>53.000000000000007</v>
      </c>
      <c r="P3598" s="53">
        <v>1999.5</v>
      </c>
      <c r="Q3598" s="65">
        <v>1933.89</v>
      </c>
      <c r="R3598" s="65">
        <v>0</v>
      </c>
      <c r="S3598" s="65">
        <v>0</v>
      </c>
      <c r="T3598" s="65">
        <v>65.6099999999999</v>
      </c>
      <c r="U3598" s="58">
        <v>0</v>
      </c>
      <c r="V3598" s="65">
        <v>0</v>
      </c>
      <c r="W3598" s="65">
        <v>0</v>
      </c>
      <c r="X3598" s="65">
        <v>2000</v>
      </c>
      <c r="Y3598" s="65">
        <v>0</v>
      </c>
      <c r="Z3598" s="51">
        <v>0</v>
      </c>
      <c r="AA3598" s="51">
        <v>-66</v>
      </c>
      <c r="AB3598" s="102" t="s">
        <v>68</v>
      </c>
      <c r="AC3598" s="81">
        <f t="shared" si="172"/>
        <v>472.16106792452831</v>
      </c>
      <c r="AD3598" s="82">
        <f t="shared" si="173"/>
        <v>7.5714285714285712</v>
      </c>
      <c r="AE3598" s="218">
        <v>-3.3926438422040496E-2</v>
      </c>
      <c r="AF3598">
        <v>1</v>
      </c>
      <c r="AH3598" t="str">
        <f t="shared" si="171"/>
        <v>Sahibpur Kamal</v>
      </c>
      <c r="AJ3598" s="72">
        <v>0</v>
      </c>
      <c r="AK3598" s="72"/>
      <c r="AL3598" s="72"/>
      <c r="AM3598" s="72"/>
    </row>
    <row r="3599" spans="1:39" x14ac:dyDescent="0.25">
      <c r="A3599" s="37" t="s">
        <v>62</v>
      </c>
      <c r="B3599" s="66" t="s">
        <v>1676</v>
      </c>
      <c r="C3599" s="4">
        <v>1003</v>
      </c>
      <c r="D3599" s="41" t="s">
        <v>137</v>
      </c>
      <c r="E3599" s="41">
        <v>10460001</v>
      </c>
      <c r="F3599" s="85" t="s">
        <v>407</v>
      </c>
      <c r="G3599" s="39" t="s">
        <v>92</v>
      </c>
      <c r="H3599" s="52" t="s">
        <v>93</v>
      </c>
      <c r="I3599" s="52">
        <v>540.9</v>
      </c>
      <c r="J3599" s="49">
        <v>19172.71</v>
      </c>
      <c r="K3599" s="58">
        <v>572.69999999999993</v>
      </c>
      <c r="L3599" s="58">
        <v>21397.570000000003</v>
      </c>
      <c r="M3599" s="58">
        <v>2.2999999999999998</v>
      </c>
      <c r="N3599" s="58">
        <v>87.899999999999991</v>
      </c>
      <c r="O3599" s="58">
        <v>574.99999999999989</v>
      </c>
      <c r="P3599" s="53">
        <v>21485.470000000005</v>
      </c>
      <c r="Q3599" s="65">
        <v>19172.71</v>
      </c>
      <c r="R3599" s="65">
        <v>0</v>
      </c>
      <c r="S3599" s="65">
        <v>87.899999999999991</v>
      </c>
      <c r="T3599" s="65">
        <v>2312.7600000000057</v>
      </c>
      <c r="U3599" s="58">
        <v>0</v>
      </c>
      <c r="V3599" s="65">
        <v>0</v>
      </c>
      <c r="W3599" s="65">
        <v>0</v>
      </c>
      <c r="X3599" s="65">
        <v>19085</v>
      </c>
      <c r="Y3599" s="65">
        <v>0</v>
      </c>
      <c r="Z3599" s="51">
        <v>0</v>
      </c>
      <c r="AA3599" s="51">
        <v>0</v>
      </c>
      <c r="AB3599" s="102">
        <v>0</v>
      </c>
      <c r="AC3599" s="81">
        <f t="shared" si="172"/>
        <v>112.7889872804585</v>
      </c>
      <c r="AD3599" s="82">
        <f t="shared" si="173"/>
        <v>77.271428571428572</v>
      </c>
      <c r="AE3599" s="218">
        <v>-0.12062770469067784</v>
      </c>
      <c r="AF3599">
        <v>8</v>
      </c>
      <c r="AH3599" t="str">
        <f t="shared" si="171"/>
        <v>Asarganj</v>
      </c>
      <c r="AJ3599" s="72">
        <v>0</v>
      </c>
      <c r="AK3599" s="72"/>
      <c r="AL3599" s="72"/>
      <c r="AM3599" s="72"/>
    </row>
    <row r="3600" spans="1:39" x14ac:dyDescent="0.25">
      <c r="A3600" s="37" t="s">
        <v>62</v>
      </c>
      <c r="B3600" s="66" t="s">
        <v>1676</v>
      </c>
      <c r="C3600" s="4">
        <v>1003</v>
      </c>
      <c r="D3600" s="41" t="s">
        <v>137</v>
      </c>
      <c r="E3600" s="41">
        <v>10460002</v>
      </c>
      <c r="F3600" s="85" t="s">
        <v>408</v>
      </c>
      <c r="G3600" s="39" t="s">
        <v>92</v>
      </c>
      <c r="H3600" s="52" t="s">
        <v>93</v>
      </c>
      <c r="I3600" s="52">
        <v>689.15</v>
      </c>
      <c r="J3600" s="49">
        <v>21872.57</v>
      </c>
      <c r="K3600" s="58">
        <v>675.1</v>
      </c>
      <c r="L3600" s="58">
        <v>22280.639999999996</v>
      </c>
      <c r="M3600" s="58">
        <v>7.3000000000000007</v>
      </c>
      <c r="N3600" s="58">
        <v>211.68</v>
      </c>
      <c r="O3600" s="58">
        <v>682.4</v>
      </c>
      <c r="P3600" s="53">
        <v>22492.319999999996</v>
      </c>
      <c r="Q3600" s="65">
        <v>21872.57</v>
      </c>
      <c r="R3600" s="65">
        <v>0</v>
      </c>
      <c r="S3600" s="65">
        <v>30.18</v>
      </c>
      <c r="T3600" s="65">
        <v>619.74999999999636</v>
      </c>
      <c r="U3600" s="58">
        <v>0</v>
      </c>
      <c r="V3600" s="65">
        <v>0</v>
      </c>
      <c r="W3600" s="65">
        <v>0</v>
      </c>
      <c r="X3600" s="65">
        <v>21660</v>
      </c>
      <c r="Y3600" s="65">
        <v>182</v>
      </c>
      <c r="Z3600" s="51">
        <v>0</v>
      </c>
      <c r="AA3600" s="51">
        <v>0</v>
      </c>
      <c r="AB3600" s="102">
        <v>0</v>
      </c>
      <c r="AC3600" s="81">
        <f t="shared" si="172"/>
        <v>6.8872490604367584</v>
      </c>
      <c r="AD3600" s="82">
        <f t="shared" si="173"/>
        <v>98.45</v>
      </c>
      <c r="AE3600" s="218">
        <v>-2.8334576138057684E-2</v>
      </c>
      <c r="AF3600">
        <v>5</v>
      </c>
      <c r="AH3600" t="str">
        <f t="shared" si="171"/>
        <v>Asarganj</v>
      </c>
      <c r="AJ3600" s="72">
        <v>0</v>
      </c>
      <c r="AK3600" s="72"/>
      <c r="AL3600" s="72"/>
      <c r="AM3600" s="72"/>
    </row>
    <row r="3601" spans="1:39" x14ac:dyDescent="0.25">
      <c r="A3601" s="37" t="s">
        <v>62</v>
      </c>
      <c r="B3601" s="66" t="s">
        <v>1676</v>
      </c>
      <c r="C3601" s="4">
        <v>1036</v>
      </c>
      <c r="D3601" s="41" t="s">
        <v>402</v>
      </c>
      <c r="E3601" s="41">
        <v>10480001</v>
      </c>
      <c r="F3601" s="85" t="s">
        <v>409</v>
      </c>
      <c r="G3601" s="39" t="s">
        <v>92</v>
      </c>
      <c r="H3601" s="52" t="s">
        <v>93</v>
      </c>
      <c r="I3601" s="52">
        <v>367.3</v>
      </c>
      <c r="J3601" s="49">
        <v>14675.940000000002</v>
      </c>
      <c r="K3601" s="58">
        <v>363.6</v>
      </c>
      <c r="L3601" s="58">
        <v>14639.3</v>
      </c>
      <c r="M3601" s="58">
        <v>3.1000000000000005</v>
      </c>
      <c r="N3601" s="58">
        <v>124.57000000000002</v>
      </c>
      <c r="O3601" s="58">
        <v>366.70000000000005</v>
      </c>
      <c r="P3601" s="53">
        <v>14763.869999999999</v>
      </c>
      <c r="Q3601" s="65">
        <v>14675.940000000002</v>
      </c>
      <c r="R3601" s="65">
        <v>0</v>
      </c>
      <c r="S3601" s="65">
        <v>124.57000000000002</v>
      </c>
      <c r="T3601" s="65">
        <v>87.929999999996653</v>
      </c>
      <c r="U3601" s="58">
        <v>0</v>
      </c>
      <c r="V3601" s="65">
        <v>0</v>
      </c>
      <c r="W3601" s="65">
        <v>0</v>
      </c>
      <c r="X3601" s="65">
        <v>14551</v>
      </c>
      <c r="Y3601" s="65">
        <v>0</v>
      </c>
      <c r="Z3601" s="51">
        <v>0</v>
      </c>
      <c r="AA3601" s="51">
        <v>0</v>
      </c>
      <c r="AB3601" s="102">
        <v>0</v>
      </c>
      <c r="AC3601" s="81">
        <f t="shared" si="172"/>
        <v>265.86905733732647</v>
      </c>
      <c r="AD3601" s="82">
        <f t="shared" si="173"/>
        <v>52.471428571428575</v>
      </c>
      <c r="AE3601" s="218">
        <v>-5.9914390492191057E-3</v>
      </c>
      <c r="AF3601">
        <v>3</v>
      </c>
      <c r="AH3601" t="str">
        <f t="shared" si="171"/>
        <v>MAHADAT PUR 2</v>
      </c>
      <c r="AJ3601" s="72">
        <v>0</v>
      </c>
      <c r="AK3601" s="72"/>
      <c r="AL3601" s="72"/>
      <c r="AM3601" s="72"/>
    </row>
    <row r="3602" spans="1:39" x14ac:dyDescent="0.25">
      <c r="A3602" s="37" t="s">
        <v>62</v>
      </c>
      <c r="B3602" s="66" t="s">
        <v>1676</v>
      </c>
      <c r="C3602" s="4">
        <v>1036</v>
      </c>
      <c r="D3602" s="41" t="s">
        <v>402</v>
      </c>
      <c r="E3602" s="41">
        <v>10480002</v>
      </c>
      <c r="F3602" s="85" t="s">
        <v>410</v>
      </c>
      <c r="G3602" s="39" t="s">
        <v>92</v>
      </c>
      <c r="H3602" s="52" t="s">
        <v>98</v>
      </c>
      <c r="I3602" s="52">
        <v>285.40000000000003</v>
      </c>
      <c r="J3602" s="49">
        <v>10366.31</v>
      </c>
      <c r="K3602" s="58">
        <v>285.40000000000003</v>
      </c>
      <c r="L3602" s="58">
        <v>10529.82</v>
      </c>
      <c r="M3602" s="58">
        <v>0</v>
      </c>
      <c r="N3602" s="58">
        <v>0</v>
      </c>
      <c r="O3602" s="58">
        <v>285.40000000000003</v>
      </c>
      <c r="P3602" s="53">
        <v>10529.82</v>
      </c>
      <c r="Q3602" s="65">
        <v>10366.31</v>
      </c>
      <c r="R3602" s="65">
        <v>0</v>
      </c>
      <c r="S3602" s="65">
        <v>0</v>
      </c>
      <c r="T3602" s="65">
        <v>163.51000000000022</v>
      </c>
      <c r="U3602" s="58">
        <v>0</v>
      </c>
      <c r="V3602" s="65">
        <v>0</v>
      </c>
      <c r="W3602" s="65">
        <v>0</v>
      </c>
      <c r="X3602" s="65">
        <v>0</v>
      </c>
      <c r="Y3602" s="65">
        <v>0</v>
      </c>
      <c r="Z3602" s="51">
        <v>10366.31</v>
      </c>
      <c r="AA3602" s="51">
        <v>0</v>
      </c>
      <c r="AB3602" s="102">
        <v>0</v>
      </c>
      <c r="AC3602" s="81">
        <f t="shared" si="172"/>
        <v>301.18234940434473</v>
      </c>
      <c r="AD3602" s="82">
        <f t="shared" si="173"/>
        <v>40.771428571428579</v>
      </c>
      <c r="AE3602" s="218">
        <v>0</v>
      </c>
      <c r="AF3602">
        <v>1</v>
      </c>
      <c r="AH3602" t="str">
        <f t="shared" si="171"/>
        <v>MAHADAT PUR 2</v>
      </c>
      <c r="AJ3602" s="72">
        <v>0</v>
      </c>
      <c r="AK3602" s="72"/>
      <c r="AL3602" s="72"/>
      <c r="AM3602" s="72"/>
    </row>
    <row r="3603" spans="1:39" x14ac:dyDescent="0.25">
      <c r="A3603" s="37" t="s">
        <v>62</v>
      </c>
      <c r="B3603" s="66" t="s">
        <v>1676</v>
      </c>
      <c r="C3603" s="4">
        <v>1007</v>
      </c>
      <c r="D3603" s="41" t="s">
        <v>203</v>
      </c>
      <c r="E3603" s="41">
        <v>10480003</v>
      </c>
      <c r="F3603" s="85" t="s">
        <v>612</v>
      </c>
      <c r="G3603" s="39" t="s">
        <v>92</v>
      </c>
      <c r="H3603" s="52" t="s">
        <v>98</v>
      </c>
      <c r="I3603" s="52">
        <v>1437</v>
      </c>
      <c r="J3603" s="49">
        <v>48177.64</v>
      </c>
      <c r="K3603" s="58">
        <v>0</v>
      </c>
      <c r="L3603" s="58">
        <v>0</v>
      </c>
      <c r="M3603" s="58">
        <v>0</v>
      </c>
      <c r="N3603" s="58">
        <v>0</v>
      </c>
      <c r="O3603" s="58">
        <v>0</v>
      </c>
      <c r="P3603" s="53">
        <v>0</v>
      </c>
      <c r="Q3603" s="65">
        <v>48177.64</v>
      </c>
      <c r="R3603" s="65">
        <v>0</v>
      </c>
      <c r="S3603" s="65">
        <v>0</v>
      </c>
      <c r="T3603" s="65">
        <v>0</v>
      </c>
      <c r="U3603" s="58">
        <v>0</v>
      </c>
      <c r="V3603" s="65">
        <v>0</v>
      </c>
      <c r="W3603" s="65">
        <v>0</v>
      </c>
      <c r="X3603" s="65">
        <v>0</v>
      </c>
      <c r="Y3603" s="65">
        <v>0</v>
      </c>
      <c r="Z3603" s="51">
        <v>48177.64</v>
      </c>
      <c r="AA3603" s="51">
        <v>0</v>
      </c>
      <c r="AB3603" s="102">
        <v>0</v>
      </c>
      <c r="AC3603" s="81">
        <f t="shared" si="172"/>
        <v>0</v>
      </c>
      <c r="AD3603" s="82">
        <f t="shared" si="173"/>
        <v>0</v>
      </c>
      <c r="AE3603" s="218">
        <v>0</v>
      </c>
      <c r="AF3603">
        <v>0</v>
      </c>
      <c r="AH3603" t="str">
        <f t="shared" si="171"/>
        <v>Araria</v>
      </c>
      <c r="AJ3603" s="72">
        <v>0</v>
      </c>
      <c r="AK3603" s="72"/>
      <c r="AL3603" s="72"/>
      <c r="AM3603" s="72"/>
    </row>
    <row r="3604" spans="1:39" x14ac:dyDescent="0.25">
      <c r="A3604" s="37" t="s">
        <v>62</v>
      </c>
      <c r="B3604" s="66" t="s">
        <v>1676</v>
      </c>
      <c r="C3604" s="4">
        <v>1036</v>
      </c>
      <c r="D3604" s="41" t="s">
        <v>402</v>
      </c>
      <c r="E3604" s="41">
        <v>10480005</v>
      </c>
      <c r="F3604" s="85" t="s">
        <v>613</v>
      </c>
      <c r="G3604" s="39" t="s">
        <v>92</v>
      </c>
      <c r="H3604" s="52" t="s">
        <v>93</v>
      </c>
      <c r="I3604" s="52">
        <v>315</v>
      </c>
      <c r="J3604" s="49">
        <v>13289.79</v>
      </c>
      <c r="K3604" s="58">
        <v>337.1</v>
      </c>
      <c r="L3604" s="58">
        <v>14482.429999999998</v>
      </c>
      <c r="M3604" s="58">
        <v>1.4000000000000001</v>
      </c>
      <c r="N3604" s="58">
        <v>60.050000000000004</v>
      </c>
      <c r="O3604" s="58">
        <v>338.5</v>
      </c>
      <c r="P3604" s="53">
        <v>14542.479999999998</v>
      </c>
      <c r="Q3604" s="65">
        <v>13289.79</v>
      </c>
      <c r="R3604" s="65">
        <v>0</v>
      </c>
      <c r="S3604" s="65">
        <v>60.050000000000004</v>
      </c>
      <c r="T3604" s="65">
        <v>1252.6899999999969</v>
      </c>
      <c r="U3604" s="58">
        <v>0</v>
      </c>
      <c r="V3604" s="65">
        <v>0</v>
      </c>
      <c r="W3604" s="65">
        <v>0</v>
      </c>
      <c r="X3604" s="65">
        <v>13230</v>
      </c>
      <c r="Y3604" s="65">
        <v>0</v>
      </c>
      <c r="Z3604" s="51">
        <v>0</v>
      </c>
      <c r="AA3604" s="51">
        <v>0</v>
      </c>
      <c r="AB3604" s="102">
        <v>0</v>
      </c>
      <c r="AC3604" s="81">
        <f t="shared" si="172"/>
        <v>324.8615333333334</v>
      </c>
      <c r="AD3604" s="82">
        <f t="shared" si="173"/>
        <v>45</v>
      </c>
      <c r="AE3604" s="218">
        <v>-9.4259578217563769E-2</v>
      </c>
      <c r="AF3604">
        <v>5</v>
      </c>
      <c r="AH3604" t="str">
        <f t="shared" si="171"/>
        <v>MAHADAT PUR 2</v>
      </c>
      <c r="AJ3604" s="72">
        <v>0</v>
      </c>
      <c r="AK3604" s="72"/>
      <c r="AL3604" s="72"/>
      <c r="AM3604" s="72"/>
    </row>
    <row r="3605" spans="1:39" x14ac:dyDescent="0.25">
      <c r="A3605" s="37" t="s">
        <v>62</v>
      </c>
      <c r="B3605" s="66" t="s">
        <v>1676</v>
      </c>
      <c r="C3605" s="4">
        <v>1036</v>
      </c>
      <c r="D3605" s="41" t="s">
        <v>402</v>
      </c>
      <c r="E3605" s="41">
        <v>10480008</v>
      </c>
      <c r="F3605" s="85" t="s">
        <v>614</v>
      </c>
      <c r="G3605" s="39" t="s">
        <v>92</v>
      </c>
      <c r="H3605" s="52" t="s">
        <v>93</v>
      </c>
      <c r="I3605" s="52">
        <v>470.40000000000003</v>
      </c>
      <c r="J3605" s="49">
        <v>19480.869999999995</v>
      </c>
      <c r="K3605" s="58">
        <v>223.07</v>
      </c>
      <c r="L3605" s="58">
        <v>9758.64</v>
      </c>
      <c r="M3605" s="58">
        <v>263.93</v>
      </c>
      <c r="N3605" s="58">
        <v>11634.039999999999</v>
      </c>
      <c r="O3605" s="58">
        <v>487</v>
      </c>
      <c r="P3605" s="53">
        <v>21392.68</v>
      </c>
      <c r="Q3605" s="65">
        <v>19480.869999999995</v>
      </c>
      <c r="R3605" s="65">
        <v>0</v>
      </c>
      <c r="S3605" s="65">
        <v>132.22999999999999</v>
      </c>
      <c r="T3605" s="65">
        <v>1911.8100000000049</v>
      </c>
      <c r="U3605" s="58">
        <v>0</v>
      </c>
      <c r="V3605" s="65">
        <v>0</v>
      </c>
      <c r="W3605" s="65">
        <v>0</v>
      </c>
      <c r="X3605" s="65">
        <v>7846</v>
      </c>
      <c r="Y3605" s="65">
        <v>11503</v>
      </c>
      <c r="Z3605" s="51">
        <v>0</v>
      </c>
      <c r="AA3605" s="51">
        <v>0</v>
      </c>
      <c r="AB3605" s="102">
        <v>0</v>
      </c>
      <c r="AC3605" s="81">
        <f t="shared" si="172"/>
        <v>190.17039761904755</v>
      </c>
      <c r="AD3605" s="82">
        <f t="shared" si="173"/>
        <v>67.2</v>
      </c>
      <c r="AE3605" s="218">
        <v>-9.8137814173597251E-2</v>
      </c>
      <c r="AF3605">
        <v>11</v>
      </c>
      <c r="AH3605" t="str">
        <f t="shared" si="171"/>
        <v>MAHADAT PUR 2</v>
      </c>
      <c r="AJ3605" s="72">
        <v>0</v>
      </c>
      <c r="AK3605" s="72"/>
      <c r="AL3605" s="72"/>
      <c r="AM3605" s="72"/>
    </row>
    <row r="3606" spans="1:39" x14ac:dyDescent="0.25">
      <c r="A3606" s="37" t="s">
        <v>62</v>
      </c>
      <c r="B3606" s="66" t="s">
        <v>1676</v>
      </c>
      <c r="C3606" s="4">
        <v>1036</v>
      </c>
      <c r="D3606" s="41" t="s">
        <v>402</v>
      </c>
      <c r="E3606" s="41">
        <v>10480022</v>
      </c>
      <c r="F3606" s="85" t="s">
        <v>615</v>
      </c>
      <c r="G3606" s="39" t="s">
        <v>92</v>
      </c>
      <c r="H3606" s="52" t="s">
        <v>93</v>
      </c>
      <c r="I3606" s="52">
        <v>380.50000000000006</v>
      </c>
      <c r="J3606" s="49">
        <v>14793.33</v>
      </c>
      <c r="K3606" s="58">
        <v>226.7</v>
      </c>
      <c r="L3606" s="58">
        <v>9870.7100000000009</v>
      </c>
      <c r="M3606" s="58">
        <v>207.60000000000002</v>
      </c>
      <c r="N3606" s="58">
        <v>9061.8100000000031</v>
      </c>
      <c r="O3606" s="58">
        <v>434.3</v>
      </c>
      <c r="P3606" s="53">
        <v>18932.520000000004</v>
      </c>
      <c r="Q3606" s="65">
        <v>14793.33</v>
      </c>
      <c r="R3606" s="65">
        <v>0</v>
      </c>
      <c r="S3606" s="65">
        <v>52.439999999999991</v>
      </c>
      <c r="T3606" s="65">
        <v>4139.1900000000041</v>
      </c>
      <c r="U3606" s="58">
        <v>0</v>
      </c>
      <c r="V3606" s="65">
        <v>0</v>
      </c>
      <c r="W3606" s="65">
        <v>0</v>
      </c>
      <c r="X3606" s="65">
        <v>5732</v>
      </c>
      <c r="Y3606" s="65">
        <v>9009</v>
      </c>
      <c r="Z3606" s="51">
        <v>0</v>
      </c>
      <c r="AA3606" s="51">
        <v>0</v>
      </c>
      <c r="AB3606" s="102">
        <v>0</v>
      </c>
      <c r="AC3606" s="81">
        <f t="shared" si="172"/>
        <v>248.43463521681988</v>
      </c>
      <c r="AD3606" s="82">
        <f t="shared" si="173"/>
        <v>54.357142857142868</v>
      </c>
      <c r="AE3606" s="218">
        <v>-0.27980109954959459</v>
      </c>
      <c r="AF3606">
        <v>3</v>
      </c>
      <c r="AH3606" t="str">
        <f t="shared" si="171"/>
        <v>MAHADAT PUR 2</v>
      </c>
      <c r="AJ3606" s="72">
        <v>0</v>
      </c>
      <c r="AK3606" s="72"/>
      <c r="AL3606" s="72"/>
      <c r="AM3606" s="72"/>
    </row>
    <row r="3607" spans="1:39" x14ac:dyDescent="0.25">
      <c r="A3607" s="37" t="s">
        <v>62</v>
      </c>
      <c r="B3607" s="66" t="s">
        <v>1676</v>
      </c>
      <c r="C3607" s="4">
        <v>1036</v>
      </c>
      <c r="D3607" s="41" t="s">
        <v>402</v>
      </c>
      <c r="E3607" s="41">
        <v>10480023</v>
      </c>
      <c r="F3607" s="85" t="s">
        <v>616</v>
      </c>
      <c r="G3607" s="39" t="s">
        <v>92</v>
      </c>
      <c r="H3607" s="52" t="s">
        <v>93</v>
      </c>
      <c r="I3607" s="52">
        <v>1761.7</v>
      </c>
      <c r="J3607" s="49">
        <v>71227.23000000001</v>
      </c>
      <c r="K3607" s="58">
        <v>1421</v>
      </c>
      <c r="L3607" s="58">
        <v>57751.19</v>
      </c>
      <c r="M3607" s="58">
        <v>346.64</v>
      </c>
      <c r="N3607" s="58">
        <v>14094.69</v>
      </c>
      <c r="O3607" s="58">
        <v>1767.6399999999999</v>
      </c>
      <c r="P3607" s="53">
        <v>71845.88</v>
      </c>
      <c r="Q3607" s="65">
        <v>71227.23000000001</v>
      </c>
      <c r="R3607" s="65">
        <v>0</v>
      </c>
      <c r="S3607" s="65">
        <v>3026.5699999999997</v>
      </c>
      <c r="T3607" s="65">
        <v>618.64999999999418</v>
      </c>
      <c r="U3607" s="58">
        <v>0</v>
      </c>
      <c r="V3607" s="65">
        <v>0</v>
      </c>
      <c r="W3607" s="65">
        <v>0</v>
      </c>
      <c r="X3607" s="65">
        <v>57132</v>
      </c>
      <c r="Y3607" s="65">
        <v>11068</v>
      </c>
      <c r="Z3607" s="51">
        <v>0</v>
      </c>
      <c r="AA3607" s="51">
        <v>1</v>
      </c>
      <c r="AB3607" s="102">
        <v>0</v>
      </c>
      <c r="AC3607" s="81">
        <f t="shared" si="172"/>
        <v>0</v>
      </c>
      <c r="AD3607" s="82">
        <f t="shared" si="173"/>
        <v>0</v>
      </c>
      <c r="AE3607" s="218">
        <v>-8.6855827469353233E-3</v>
      </c>
      <c r="AF3607">
        <v>13</v>
      </c>
      <c r="AH3607" t="str">
        <f t="shared" si="171"/>
        <v>MAHADAT PUR 2</v>
      </c>
      <c r="AJ3607" s="72">
        <v>0</v>
      </c>
      <c r="AK3607" s="72"/>
      <c r="AL3607" s="72"/>
      <c r="AM3607" s="72"/>
    </row>
    <row r="3608" spans="1:39" x14ac:dyDescent="0.25">
      <c r="A3608" s="37" t="s">
        <v>62</v>
      </c>
      <c r="B3608" s="66" t="s">
        <v>1676</v>
      </c>
      <c r="C3608" s="4">
        <v>1036</v>
      </c>
      <c r="D3608" s="41" t="s">
        <v>402</v>
      </c>
      <c r="E3608" s="41">
        <v>10480028</v>
      </c>
      <c r="F3608" s="85" t="s">
        <v>526</v>
      </c>
      <c r="G3608" s="39" t="s">
        <v>1610</v>
      </c>
      <c r="H3608" s="52" t="s">
        <v>98</v>
      </c>
      <c r="I3608" s="52">
        <v>227.4</v>
      </c>
      <c r="J3608" s="49">
        <v>8883.98</v>
      </c>
      <c r="K3608" s="58">
        <v>0</v>
      </c>
      <c r="L3608" s="58">
        <v>0</v>
      </c>
      <c r="M3608" s="58">
        <v>0</v>
      </c>
      <c r="N3608" s="58">
        <v>0</v>
      </c>
      <c r="O3608" s="58">
        <v>0</v>
      </c>
      <c r="P3608" s="53">
        <v>0</v>
      </c>
      <c r="Q3608" s="65">
        <v>8883.98</v>
      </c>
      <c r="R3608" s="65">
        <v>0</v>
      </c>
      <c r="S3608" s="65">
        <v>0</v>
      </c>
      <c r="T3608" s="65">
        <v>0</v>
      </c>
      <c r="U3608" s="58">
        <v>0</v>
      </c>
      <c r="V3608" s="65">
        <v>0</v>
      </c>
      <c r="W3608" s="65">
        <v>0</v>
      </c>
      <c r="X3608" s="65">
        <v>0</v>
      </c>
      <c r="Y3608" s="65">
        <v>0</v>
      </c>
      <c r="Z3608" s="51">
        <v>8883.98</v>
      </c>
      <c r="AA3608" s="51">
        <v>0</v>
      </c>
      <c r="AB3608" s="102">
        <v>0</v>
      </c>
      <c r="AC3608" s="81">
        <f t="shared" si="172"/>
        <v>369.2672777484608</v>
      </c>
      <c r="AD3608" s="82">
        <f t="shared" si="173"/>
        <v>32.485714285714288</v>
      </c>
      <c r="AE3608" s="218">
        <v>0</v>
      </c>
      <c r="AF3608">
        <v>0</v>
      </c>
      <c r="AH3608" t="str">
        <f t="shared" si="171"/>
        <v>MAHADAT PUR 2</v>
      </c>
      <c r="AJ3608" s="72">
        <v>0</v>
      </c>
      <c r="AK3608" s="72"/>
      <c r="AL3608" s="72"/>
      <c r="AM3608" s="72"/>
    </row>
    <row r="3609" spans="1:39" x14ac:dyDescent="0.25">
      <c r="A3609" s="37" t="s">
        <v>62</v>
      </c>
      <c r="B3609" s="66" t="s">
        <v>1676</v>
      </c>
      <c r="C3609" s="4">
        <v>1036</v>
      </c>
      <c r="D3609" s="41" t="s">
        <v>402</v>
      </c>
      <c r="E3609" s="41">
        <v>10480033</v>
      </c>
      <c r="F3609" s="85" t="s">
        <v>1223</v>
      </c>
      <c r="G3609" s="39" t="s">
        <v>1610</v>
      </c>
      <c r="H3609" s="52" t="s">
        <v>98</v>
      </c>
      <c r="I3609" s="52">
        <v>130.89999999999998</v>
      </c>
      <c r="J3609" s="49">
        <v>4750.42</v>
      </c>
      <c r="K3609" s="58">
        <v>0</v>
      </c>
      <c r="L3609" s="58">
        <v>0</v>
      </c>
      <c r="M3609" s="58">
        <v>0</v>
      </c>
      <c r="N3609" s="58">
        <v>0</v>
      </c>
      <c r="O3609" s="58">
        <v>0</v>
      </c>
      <c r="P3609" s="53">
        <v>0</v>
      </c>
      <c r="Q3609" s="65">
        <v>4750.42</v>
      </c>
      <c r="R3609" s="65">
        <v>0</v>
      </c>
      <c r="S3609" s="65">
        <v>0</v>
      </c>
      <c r="T3609" s="65">
        <v>0</v>
      </c>
      <c r="U3609" s="58">
        <v>0</v>
      </c>
      <c r="V3609" s="65">
        <v>0</v>
      </c>
      <c r="W3609" s="65">
        <v>0</v>
      </c>
      <c r="X3609" s="65">
        <v>0</v>
      </c>
      <c r="Y3609" s="65">
        <v>0</v>
      </c>
      <c r="Z3609" s="51">
        <v>4750.42</v>
      </c>
      <c r="AA3609" s="51">
        <v>0</v>
      </c>
      <c r="AB3609" s="102">
        <v>0</v>
      </c>
      <c r="AC3609" s="81">
        <f t="shared" si="172"/>
        <v>413.05791016042792</v>
      </c>
      <c r="AD3609" s="82">
        <f t="shared" si="173"/>
        <v>18.699999999999996</v>
      </c>
      <c r="AE3609" s="218">
        <v>0</v>
      </c>
      <c r="AF3609">
        <v>0</v>
      </c>
      <c r="AH3609" t="str">
        <f t="shared" si="171"/>
        <v>MAHADAT PUR 2</v>
      </c>
      <c r="AJ3609" s="72">
        <v>0</v>
      </c>
      <c r="AK3609" s="72"/>
      <c r="AL3609" s="72"/>
      <c r="AM3609" s="72"/>
    </row>
    <row r="3610" spans="1:39" x14ac:dyDescent="0.25">
      <c r="A3610" s="37" t="s">
        <v>62</v>
      </c>
      <c r="B3610" s="66" t="s">
        <v>1676</v>
      </c>
      <c r="C3610" s="4">
        <v>1036</v>
      </c>
      <c r="D3610" s="41" t="s">
        <v>402</v>
      </c>
      <c r="E3610" s="41">
        <v>10480034</v>
      </c>
      <c r="F3610" s="85" t="s">
        <v>1135</v>
      </c>
      <c r="G3610" s="39" t="s">
        <v>1610</v>
      </c>
      <c r="H3610" s="52" t="s">
        <v>98</v>
      </c>
      <c r="I3610" s="52">
        <v>242.5</v>
      </c>
      <c r="J3610" s="49">
        <v>10081.17</v>
      </c>
      <c r="K3610" s="58">
        <v>0</v>
      </c>
      <c r="L3610" s="58">
        <v>0</v>
      </c>
      <c r="M3610" s="58">
        <v>0</v>
      </c>
      <c r="N3610" s="58">
        <v>0</v>
      </c>
      <c r="O3610" s="58">
        <v>0</v>
      </c>
      <c r="P3610" s="53">
        <v>0</v>
      </c>
      <c r="Q3610" s="65">
        <v>10081.17</v>
      </c>
      <c r="R3610" s="65">
        <v>0</v>
      </c>
      <c r="S3610" s="65">
        <v>0</v>
      </c>
      <c r="T3610" s="65">
        <v>0</v>
      </c>
      <c r="U3610" s="58">
        <v>0</v>
      </c>
      <c r="V3610" s="65">
        <v>0</v>
      </c>
      <c r="W3610" s="65">
        <v>0</v>
      </c>
      <c r="X3610" s="65">
        <v>0</v>
      </c>
      <c r="Y3610" s="65">
        <v>0</v>
      </c>
      <c r="Z3610" s="51">
        <v>10081.17</v>
      </c>
      <c r="AA3610" s="51">
        <v>0</v>
      </c>
      <c r="AB3610" s="102">
        <v>0</v>
      </c>
      <c r="AC3610" s="81">
        <f t="shared" si="172"/>
        <v>380.3822907216495</v>
      </c>
      <c r="AD3610" s="82">
        <f t="shared" si="173"/>
        <v>34.642857142857146</v>
      </c>
      <c r="AE3610" s="218">
        <v>0</v>
      </c>
      <c r="AF3610">
        <v>0</v>
      </c>
      <c r="AH3610" t="str">
        <f t="shared" si="171"/>
        <v>MAHADAT PUR 2</v>
      </c>
      <c r="AJ3610" s="72">
        <v>0</v>
      </c>
      <c r="AK3610" s="72"/>
      <c r="AL3610" s="72"/>
      <c r="AM3610" s="72"/>
    </row>
    <row r="3611" spans="1:39" x14ac:dyDescent="0.25">
      <c r="A3611" s="37" t="s">
        <v>62</v>
      </c>
      <c r="B3611" s="66" t="s">
        <v>1676</v>
      </c>
      <c r="C3611" s="4">
        <v>1003</v>
      </c>
      <c r="D3611" s="41" t="s">
        <v>137</v>
      </c>
      <c r="E3611" s="41">
        <v>10500001</v>
      </c>
      <c r="F3611" s="85" t="s">
        <v>411</v>
      </c>
      <c r="G3611" s="39" t="s">
        <v>92</v>
      </c>
      <c r="H3611" s="52" t="s">
        <v>93</v>
      </c>
      <c r="I3611" s="52">
        <v>883.3</v>
      </c>
      <c r="J3611" s="49">
        <v>33644.9</v>
      </c>
      <c r="K3611" s="58">
        <v>979.09999999999991</v>
      </c>
      <c r="L3611" s="58">
        <v>38831.31</v>
      </c>
      <c r="M3611" s="58">
        <v>12.700000000000001</v>
      </c>
      <c r="N3611" s="58">
        <v>466.04</v>
      </c>
      <c r="O3611" s="58">
        <v>991.8</v>
      </c>
      <c r="P3611" s="53">
        <v>39297.35</v>
      </c>
      <c r="Q3611" s="65">
        <v>33644.9</v>
      </c>
      <c r="R3611" s="65">
        <v>0</v>
      </c>
      <c r="S3611" s="65">
        <v>466.04</v>
      </c>
      <c r="T3611" s="65">
        <v>5652.4499999999971</v>
      </c>
      <c r="U3611" s="58">
        <v>0</v>
      </c>
      <c r="V3611" s="65">
        <v>0</v>
      </c>
      <c r="W3611" s="65">
        <v>0</v>
      </c>
      <c r="X3611" s="65">
        <v>33179</v>
      </c>
      <c r="Y3611" s="65">
        <v>0</v>
      </c>
      <c r="Z3611" s="51">
        <v>0</v>
      </c>
      <c r="AA3611" s="51">
        <v>0</v>
      </c>
      <c r="AB3611" s="102" t="s">
        <v>66</v>
      </c>
      <c r="AC3611" s="81">
        <f t="shared" si="172"/>
        <v>0</v>
      </c>
      <c r="AD3611" s="82">
        <f t="shared" si="173"/>
        <v>0</v>
      </c>
      <c r="AE3611" s="218">
        <v>-0.16800317432954168</v>
      </c>
      <c r="AF3611">
        <v>10</v>
      </c>
      <c r="AH3611" t="str">
        <f t="shared" si="171"/>
        <v>Asarganj</v>
      </c>
      <c r="AJ3611" s="72">
        <v>0</v>
      </c>
      <c r="AK3611" s="72"/>
      <c r="AL3611" s="72"/>
      <c r="AM3611" s="72"/>
    </row>
    <row r="3612" spans="1:39" x14ac:dyDescent="0.25">
      <c r="A3612" s="37" t="s">
        <v>62</v>
      </c>
      <c r="B3612" s="66" t="s">
        <v>1676</v>
      </c>
      <c r="C3612" s="4">
        <v>1014</v>
      </c>
      <c r="D3612" s="41" t="s">
        <v>368</v>
      </c>
      <c r="E3612" s="41">
        <v>10510001</v>
      </c>
      <c r="F3612" s="85" t="s">
        <v>412</v>
      </c>
      <c r="G3612" s="39" t="s">
        <v>92</v>
      </c>
      <c r="H3612" s="52" t="s">
        <v>93</v>
      </c>
      <c r="I3612" s="52">
        <v>2126.2999999999997</v>
      </c>
      <c r="J3612" s="49">
        <v>80586.85000000002</v>
      </c>
      <c r="K3612" s="58">
        <v>2091.2999999999997</v>
      </c>
      <c r="L3612" s="58">
        <v>80946.510000000009</v>
      </c>
      <c r="M3612" s="58">
        <v>14.8</v>
      </c>
      <c r="N3612" s="58">
        <v>706.43999999999994</v>
      </c>
      <c r="O3612" s="58">
        <v>2106.1</v>
      </c>
      <c r="P3612" s="53">
        <v>81652.950000000012</v>
      </c>
      <c r="Q3612" s="65">
        <v>80586.85000000002</v>
      </c>
      <c r="R3612" s="65">
        <v>0</v>
      </c>
      <c r="S3612" s="65">
        <v>706.43999999999994</v>
      </c>
      <c r="T3612" s="65">
        <v>1066.0999999999913</v>
      </c>
      <c r="U3612" s="58">
        <v>0</v>
      </c>
      <c r="V3612" s="65">
        <v>0</v>
      </c>
      <c r="W3612" s="65">
        <v>0</v>
      </c>
      <c r="X3612" s="65">
        <v>79880</v>
      </c>
      <c r="Y3612" s="65">
        <v>0</v>
      </c>
      <c r="Z3612" s="51">
        <v>0</v>
      </c>
      <c r="AA3612" s="51">
        <v>0</v>
      </c>
      <c r="AB3612" s="102">
        <v>0</v>
      </c>
      <c r="AC3612" s="81">
        <f t="shared" si="172"/>
        <v>0</v>
      </c>
      <c r="AD3612" s="82">
        <f t="shared" si="173"/>
        <v>0</v>
      </c>
      <c r="AE3612" s="218">
        <v>-1.3229205509335469E-2</v>
      </c>
      <c r="AF3612">
        <v>36</v>
      </c>
      <c r="AH3612" t="str">
        <f t="shared" si="171"/>
        <v>Dumraon</v>
      </c>
      <c r="AJ3612" s="72">
        <v>0</v>
      </c>
      <c r="AK3612" s="72"/>
      <c r="AL3612" s="72"/>
      <c r="AM3612" s="72"/>
    </row>
    <row r="3613" spans="1:39" x14ac:dyDescent="0.25">
      <c r="A3613" s="37" t="s">
        <v>62</v>
      </c>
      <c r="B3613" s="66" t="s">
        <v>1676</v>
      </c>
      <c r="C3613" s="4">
        <v>1014</v>
      </c>
      <c r="D3613" s="41" t="s">
        <v>368</v>
      </c>
      <c r="E3613" s="41">
        <v>10510002</v>
      </c>
      <c r="F3613" s="85" t="s">
        <v>413</v>
      </c>
      <c r="G3613" s="39" t="s">
        <v>92</v>
      </c>
      <c r="H3613" s="52" t="s">
        <v>93</v>
      </c>
      <c r="I3613" s="52">
        <v>1154.7</v>
      </c>
      <c r="J3613" s="49">
        <v>48147.5</v>
      </c>
      <c r="K3613" s="58">
        <v>1143.7700000000002</v>
      </c>
      <c r="L3613" s="58">
        <v>47877.05</v>
      </c>
      <c r="M3613" s="58">
        <v>6.1500000000000012</v>
      </c>
      <c r="N3613" s="58">
        <v>257.79000000000002</v>
      </c>
      <c r="O3613" s="58">
        <v>1149.9200000000003</v>
      </c>
      <c r="P3613" s="53">
        <v>48134.840000000004</v>
      </c>
      <c r="Q3613" s="65">
        <v>48134.840000000004</v>
      </c>
      <c r="R3613" s="65">
        <v>0</v>
      </c>
      <c r="S3613" s="65">
        <v>257.79000000000002</v>
      </c>
      <c r="T3613" s="65">
        <v>0</v>
      </c>
      <c r="U3613" s="58">
        <v>6650</v>
      </c>
      <c r="V3613" s="65">
        <v>0</v>
      </c>
      <c r="W3613" s="65">
        <v>0</v>
      </c>
      <c r="X3613" s="65">
        <v>41227</v>
      </c>
      <c r="Y3613" s="65">
        <v>0</v>
      </c>
      <c r="Z3613" s="51">
        <v>0</v>
      </c>
      <c r="AA3613" s="51">
        <v>13</v>
      </c>
      <c r="AB3613" s="102">
        <v>0</v>
      </c>
      <c r="AC3613" s="81">
        <f t="shared" si="172"/>
        <v>0</v>
      </c>
      <c r="AD3613" s="82">
        <f t="shared" si="173"/>
        <v>0</v>
      </c>
      <c r="AE3613" s="218">
        <v>2.6294200114224451E-4</v>
      </c>
      <c r="AF3613">
        <v>6</v>
      </c>
      <c r="AH3613" t="str">
        <f t="shared" si="171"/>
        <v>Dumraon</v>
      </c>
      <c r="AJ3613" s="72">
        <v>0</v>
      </c>
      <c r="AK3613" s="72"/>
      <c r="AL3613" s="72"/>
      <c r="AM3613" s="72"/>
    </row>
    <row r="3614" spans="1:39" x14ac:dyDescent="0.25">
      <c r="A3614" s="37" t="s">
        <v>62</v>
      </c>
      <c r="B3614" s="66" t="s">
        <v>1676</v>
      </c>
      <c r="C3614" s="4">
        <v>1014</v>
      </c>
      <c r="D3614" s="41" t="s">
        <v>368</v>
      </c>
      <c r="E3614" s="41">
        <v>10510004</v>
      </c>
      <c r="F3614" s="85" t="s">
        <v>414</v>
      </c>
      <c r="G3614" s="39" t="s">
        <v>92</v>
      </c>
      <c r="H3614" s="52" t="s">
        <v>93</v>
      </c>
      <c r="I3614" s="52">
        <v>2044.6000000000001</v>
      </c>
      <c r="J3614" s="49">
        <v>80147.69</v>
      </c>
      <c r="K3614" s="58">
        <v>2376.1999999999998</v>
      </c>
      <c r="L3614" s="58">
        <v>105045.34999999999</v>
      </c>
      <c r="M3614" s="58">
        <v>23.799999999999994</v>
      </c>
      <c r="N3614" s="58">
        <v>1290.0299999999997</v>
      </c>
      <c r="O3614" s="58">
        <v>2400</v>
      </c>
      <c r="P3614" s="53">
        <v>106335.37999999999</v>
      </c>
      <c r="Q3614" s="65">
        <v>80147.69</v>
      </c>
      <c r="R3614" s="65">
        <v>0</v>
      </c>
      <c r="S3614" s="65">
        <v>1290.0299999999997</v>
      </c>
      <c r="T3614" s="65">
        <v>26187.689999999988</v>
      </c>
      <c r="U3614" s="58">
        <v>0</v>
      </c>
      <c r="V3614" s="65">
        <v>0</v>
      </c>
      <c r="W3614" s="65">
        <v>0</v>
      </c>
      <c r="X3614" s="65">
        <v>78858</v>
      </c>
      <c r="Y3614" s="65">
        <v>0</v>
      </c>
      <c r="Z3614" s="51">
        <v>0</v>
      </c>
      <c r="AA3614" s="51">
        <v>0</v>
      </c>
      <c r="AB3614" s="102">
        <v>0</v>
      </c>
      <c r="AC3614" s="81">
        <f t="shared" si="172"/>
        <v>0</v>
      </c>
      <c r="AD3614" s="82">
        <f t="shared" si="173"/>
        <v>0</v>
      </c>
      <c r="AE3614" s="218">
        <v>-0.32674291673284639</v>
      </c>
      <c r="AF3614">
        <v>5</v>
      </c>
      <c r="AH3614" t="str">
        <f t="shared" si="171"/>
        <v>Dumraon</v>
      </c>
      <c r="AJ3614" s="72">
        <v>0</v>
      </c>
      <c r="AK3614" s="72"/>
      <c r="AL3614" s="72"/>
      <c r="AM3614" s="72"/>
    </row>
    <row r="3615" spans="1:39" x14ac:dyDescent="0.25">
      <c r="A3615" s="37" t="s">
        <v>62</v>
      </c>
      <c r="B3615" s="66" t="s">
        <v>1676</v>
      </c>
      <c r="C3615" s="4">
        <v>1012</v>
      </c>
      <c r="D3615" s="41" t="s">
        <v>306</v>
      </c>
      <c r="E3615" s="41">
        <v>10520006</v>
      </c>
      <c r="F3615" s="85" t="s">
        <v>1154</v>
      </c>
      <c r="G3615" s="39" t="s">
        <v>1610</v>
      </c>
      <c r="H3615" s="52" t="s">
        <v>98</v>
      </c>
      <c r="I3615" s="52">
        <v>31160</v>
      </c>
      <c r="J3615" s="49">
        <v>1181901.3999999999</v>
      </c>
      <c r="K3615" s="58">
        <v>0</v>
      </c>
      <c r="L3615" s="58">
        <v>0</v>
      </c>
      <c r="M3615" s="58">
        <v>0</v>
      </c>
      <c r="N3615" s="58">
        <v>0</v>
      </c>
      <c r="O3615" s="58">
        <v>0</v>
      </c>
      <c r="P3615" s="53">
        <v>0</v>
      </c>
      <c r="Q3615" s="65">
        <v>1181901.3999999999</v>
      </c>
      <c r="R3615" s="65">
        <v>0</v>
      </c>
      <c r="S3615" s="65">
        <v>0</v>
      </c>
      <c r="T3615" s="65">
        <v>0</v>
      </c>
      <c r="U3615" s="58">
        <v>0</v>
      </c>
      <c r="V3615" s="65">
        <v>0</v>
      </c>
      <c r="W3615" s="65">
        <v>0</v>
      </c>
      <c r="X3615" s="65">
        <v>0</v>
      </c>
      <c r="Y3615" s="65">
        <v>0</v>
      </c>
      <c r="Z3615" s="51">
        <v>1181901.3999999999</v>
      </c>
      <c r="AA3615" s="51">
        <v>0</v>
      </c>
      <c r="AB3615" s="102">
        <v>0</v>
      </c>
      <c r="AC3615" s="81">
        <f t="shared" si="172"/>
        <v>0</v>
      </c>
      <c r="AD3615" s="82">
        <f t="shared" si="173"/>
        <v>0</v>
      </c>
      <c r="AE3615" s="218">
        <v>0</v>
      </c>
      <c r="AF3615">
        <v>0</v>
      </c>
      <c r="AH3615" t="str">
        <f t="shared" si="171"/>
        <v>DalsinghSarai</v>
      </c>
      <c r="AJ3615" s="72">
        <v>0</v>
      </c>
      <c r="AK3615" s="72"/>
      <c r="AL3615" s="72"/>
      <c r="AM3615" s="72"/>
    </row>
    <row r="3616" spans="1:39" x14ac:dyDescent="0.25">
      <c r="A3616" s="37" t="s">
        <v>62</v>
      </c>
      <c r="B3616" s="66" t="s">
        <v>1676</v>
      </c>
      <c r="C3616" s="4">
        <v>1053</v>
      </c>
      <c r="D3616" s="41" t="s">
        <v>527</v>
      </c>
      <c r="E3616" s="41">
        <v>10520010</v>
      </c>
      <c r="F3616" s="85" t="s">
        <v>1283</v>
      </c>
      <c r="G3616" s="39" t="s">
        <v>1610</v>
      </c>
      <c r="H3616" s="52" t="s">
        <v>98</v>
      </c>
      <c r="I3616" s="52">
        <v>5005</v>
      </c>
      <c r="J3616" s="49">
        <v>203853.65000000002</v>
      </c>
      <c r="K3616" s="58">
        <v>0</v>
      </c>
      <c r="L3616" s="58">
        <v>0</v>
      </c>
      <c r="M3616" s="58">
        <v>0</v>
      </c>
      <c r="N3616" s="58">
        <v>0</v>
      </c>
      <c r="O3616" s="58">
        <v>0</v>
      </c>
      <c r="P3616" s="53">
        <v>0</v>
      </c>
      <c r="Q3616" s="65">
        <v>203853.65000000002</v>
      </c>
      <c r="R3616" s="65">
        <v>0</v>
      </c>
      <c r="S3616" s="65">
        <v>0</v>
      </c>
      <c r="T3616" s="65">
        <v>0</v>
      </c>
      <c r="U3616" s="58">
        <v>0</v>
      </c>
      <c r="V3616" s="65">
        <v>0</v>
      </c>
      <c r="W3616" s="65">
        <v>0</v>
      </c>
      <c r="X3616" s="65">
        <v>0</v>
      </c>
      <c r="Y3616" s="65">
        <v>0</v>
      </c>
      <c r="Z3616" s="51">
        <v>203853.65000000002</v>
      </c>
      <c r="AA3616" s="51">
        <v>0</v>
      </c>
      <c r="AB3616" s="102">
        <v>0</v>
      </c>
      <c r="AC3616" s="81">
        <f t="shared" si="172"/>
        <v>0</v>
      </c>
      <c r="AD3616" s="82">
        <f t="shared" si="173"/>
        <v>0</v>
      </c>
      <c r="AE3616" s="218">
        <v>0</v>
      </c>
      <c r="AF3616">
        <v>0</v>
      </c>
      <c r="AH3616" t="str">
        <f t="shared" si="171"/>
        <v>Kalyanpur</v>
      </c>
      <c r="AJ3616" s="72">
        <v>0</v>
      </c>
      <c r="AK3616" s="72"/>
      <c r="AL3616" s="72"/>
      <c r="AM3616" s="72"/>
    </row>
    <row r="3617" spans="1:39" x14ac:dyDescent="0.25">
      <c r="A3617" s="37" t="s">
        <v>62</v>
      </c>
      <c r="B3617" s="66" t="s">
        <v>1676</v>
      </c>
      <c r="C3617" s="4">
        <v>1052</v>
      </c>
      <c r="D3617" s="41" t="s">
        <v>1647</v>
      </c>
      <c r="E3617" s="41">
        <v>10520011</v>
      </c>
      <c r="F3617" s="85" t="s">
        <v>1465</v>
      </c>
      <c r="G3617" s="39" t="s">
        <v>92</v>
      </c>
      <c r="H3617" s="52" t="s">
        <v>98</v>
      </c>
      <c r="I3617" s="52">
        <v>10737</v>
      </c>
      <c r="J3617" s="49">
        <v>410333.24</v>
      </c>
      <c r="K3617" s="58">
        <v>0</v>
      </c>
      <c r="L3617" s="58">
        <v>0</v>
      </c>
      <c r="M3617" s="58">
        <v>0</v>
      </c>
      <c r="N3617" s="58">
        <v>0</v>
      </c>
      <c r="O3617" s="58">
        <v>0</v>
      </c>
      <c r="P3617" s="53">
        <v>0</v>
      </c>
      <c r="Q3617" s="65">
        <v>410333.24</v>
      </c>
      <c r="R3617" s="65">
        <v>0</v>
      </c>
      <c r="S3617" s="65">
        <v>0</v>
      </c>
      <c r="T3617" s="65">
        <v>0</v>
      </c>
      <c r="U3617" s="58">
        <v>0</v>
      </c>
      <c r="V3617" s="65">
        <v>0</v>
      </c>
      <c r="W3617" s="65">
        <v>0</v>
      </c>
      <c r="X3617" s="65">
        <v>0</v>
      </c>
      <c r="Y3617" s="65">
        <v>0</v>
      </c>
      <c r="Z3617" s="51">
        <v>410333.24</v>
      </c>
      <c r="AA3617" s="51">
        <v>0</v>
      </c>
      <c r="AB3617" s="102">
        <v>0</v>
      </c>
      <c r="AC3617" s="81">
        <f t="shared" si="172"/>
        <v>0</v>
      </c>
      <c r="AD3617" s="82">
        <f t="shared" si="173"/>
        <v>0</v>
      </c>
      <c r="AE3617" s="218">
        <v>0</v>
      </c>
      <c r="AF3617">
        <v>0</v>
      </c>
      <c r="AH3617" t="str">
        <f t="shared" si="171"/>
        <v>3P Network</v>
      </c>
      <c r="AJ3617" s="72">
        <v>0</v>
      </c>
      <c r="AK3617" s="72"/>
      <c r="AL3617" s="72"/>
      <c r="AM3617" s="72"/>
    </row>
    <row r="3618" spans="1:39" x14ac:dyDescent="0.25">
      <c r="A3618" s="37" t="s">
        <v>62</v>
      </c>
      <c r="B3618" s="66" t="s">
        <v>1676</v>
      </c>
      <c r="C3618" s="4">
        <v>1053</v>
      </c>
      <c r="D3618" s="41" t="s">
        <v>527</v>
      </c>
      <c r="E3618" s="41">
        <v>10530001</v>
      </c>
      <c r="F3618" s="85" t="s">
        <v>528</v>
      </c>
      <c r="G3618" s="39" t="s">
        <v>92</v>
      </c>
      <c r="H3618" s="52" t="s">
        <v>93</v>
      </c>
      <c r="I3618" s="52">
        <v>1437.25</v>
      </c>
      <c r="J3618" s="49">
        <v>61595.41</v>
      </c>
      <c r="K3618" s="58">
        <v>1431.0200000000002</v>
      </c>
      <c r="L3618" s="58">
        <v>60914.470000000008</v>
      </c>
      <c r="M3618" s="58">
        <v>14.940000000000001</v>
      </c>
      <c r="N3618" s="58">
        <v>651.85</v>
      </c>
      <c r="O3618" s="58">
        <v>1445.9600000000003</v>
      </c>
      <c r="P3618" s="53">
        <v>61566.320000000007</v>
      </c>
      <c r="Q3618" s="65">
        <v>61566.320000000007</v>
      </c>
      <c r="R3618" s="65">
        <v>0</v>
      </c>
      <c r="S3618" s="65">
        <v>651.85</v>
      </c>
      <c r="T3618" s="65">
        <v>0</v>
      </c>
      <c r="U3618" s="58">
        <v>0</v>
      </c>
      <c r="V3618" s="65">
        <v>0</v>
      </c>
      <c r="W3618" s="65">
        <v>0</v>
      </c>
      <c r="X3618" s="65">
        <v>60916</v>
      </c>
      <c r="Y3618" s="65">
        <v>0</v>
      </c>
      <c r="Z3618" s="51">
        <v>0</v>
      </c>
      <c r="AA3618" s="51">
        <v>28</v>
      </c>
      <c r="AB3618" s="102">
        <v>0</v>
      </c>
      <c r="AC3618" s="81">
        <f t="shared" si="172"/>
        <v>0</v>
      </c>
      <c r="AD3618" s="82">
        <f t="shared" si="173"/>
        <v>0</v>
      </c>
      <c r="AE3618" s="218">
        <v>4.7227545039470485E-4</v>
      </c>
      <c r="AF3618">
        <v>28</v>
      </c>
      <c r="AH3618" t="str">
        <f t="shared" si="171"/>
        <v>Kalyanpur</v>
      </c>
      <c r="AJ3618" s="72">
        <v>0</v>
      </c>
      <c r="AK3618" s="72"/>
      <c r="AL3618" s="72"/>
      <c r="AM3618" s="72"/>
    </row>
    <row r="3619" spans="1:39" x14ac:dyDescent="0.25">
      <c r="A3619" s="37" t="s">
        <v>62</v>
      </c>
      <c r="B3619" s="66" t="s">
        <v>1676</v>
      </c>
      <c r="C3619" s="4">
        <v>1053</v>
      </c>
      <c r="D3619" s="41" t="s">
        <v>527</v>
      </c>
      <c r="E3619" s="41">
        <v>10530002</v>
      </c>
      <c r="F3619" s="85" t="s">
        <v>529</v>
      </c>
      <c r="G3619" s="39" t="s">
        <v>92</v>
      </c>
      <c r="H3619" s="52" t="s">
        <v>93</v>
      </c>
      <c r="I3619" s="52">
        <v>2128.9500000000003</v>
      </c>
      <c r="J3619" s="49">
        <v>85163.639999999985</v>
      </c>
      <c r="K3619" s="58">
        <v>2153.63</v>
      </c>
      <c r="L3619" s="58">
        <v>84629.210000000021</v>
      </c>
      <c r="M3619" s="58">
        <v>13.27</v>
      </c>
      <c r="N3619" s="58">
        <v>530.59999999999991</v>
      </c>
      <c r="O3619" s="58">
        <v>2166.9</v>
      </c>
      <c r="P3619" s="53">
        <v>85159.810000000027</v>
      </c>
      <c r="Q3619" s="65">
        <v>85159.810000000027</v>
      </c>
      <c r="R3619" s="65">
        <v>0</v>
      </c>
      <c r="S3619" s="65">
        <v>530.59999999999991</v>
      </c>
      <c r="T3619" s="65">
        <v>0</v>
      </c>
      <c r="U3619" s="58">
        <v>8995</v>
      </c>
      <c r="V3619" s="65">
        <v>0</v>
      </c>
      <c r="W3619" s="65">
        <v>0</v>
      </c>
      <c r="X3619" s="65">
        <v>75638</v>
      </c>
      <c r="Y3619" s="65">
        <v>0</v>
      </c>
      <c r="Z3619" s="51">
        <v>0</v>
      </c>
      <c r="AA3619" s="51">
        <v>0</v>
      </c>
      <c r="AB3619" s="102">
        <v>0</v>
      </c>
      <c r="AC3619" s="81">
        <f t="shared" si="172"/>
        <v>0</v>
      </c>
      <c r="AD3619" s="82">
        <f t="shared" si="173"/>
        <v>0</v>
      </c>
      <c r="AE3619" s="218">
        <v>4.4972244022896286E-5</v>
      </c>
      <c r="AF3619">
        <v>39</v>
      </c>
      <c r="AH3619" t="str">
        <f t="shared" si="171"/>
        <v>Kalyanpur</v>
      </c>
      <c r="AJ3619" s="72">
        <v>0</v>
      </c>
      <c r="AK3619" s="72"/>
      <c r="AL3619" s="72"/>
      <c r="AM3619" s="72"/>
    </row>
    <row r="3620" spans="1:39" x14ac:dyDescent="0.25">
      <c r="A3620" s="37" t="s">
        <v>62</v>
      </c>
      <c r="B3620" s="66" t="s">
        <v>1676</v>
      </c>
      <c r="C3620" s="4">
        <v>1053</v>
      </c>
      <c r="D3620" s="41" t="s">
        <v>527</v>
      </c>
      <c r="E3620" s="41">
        <v>10530003</v>
      </c>
      <c r="F3620" s="85" t="s">
        <v>530</v>
      </c>
      <c r="G3620" s="39" t="s">
        <v>92</v>
      </c>
      <c r="H3620" s="52" t="s">
        <v>93</v>
      </c>
      <c r="I3620" s="52">
        <v>1269.1000000000001</v>
      </c>
      <c r="J3620" s="49">
        <v>56247.000000000015</v>
      </c>
      <c r="K3620" s="58">
        <v>1268.2199999999996</v>
      </c>
      <c r="L3620" s="58">
        <v>55704.76999999999</v>
      </c>
      <c r="M3620" s="58">
        <v>11.77</v>
      </c>
      <c r="N3620" s="58">
        <v>538.76</v>
      </c>
      <c r="O3620" s="58">
        <v>1279.9899999999996</v>
      </c>
      <c r="P3620" s="53">
        <v>56243.529999999992</v>
      </c>
      <c r="Q3620" s="65">
        <v>56243.529999999992</v>
      </c>
      <c r="R3620" s="65">
        <v>0</v>
      </c>
      <c r="S3620" s="65">
        <v>538.76</v>
      </c>
      <c r="T3620" s="65">
        <v>0</v>
      </c>
      <c r="U3620" s="58">
        <v>6700</v>
      </c>
      <c r="V3620" s="65">
        <v>0</v>
      </c>
      <c r="W3620" s="65">
        <v>0</v>
      </c>
      <c r="X3620" s="65">
        <v>49006</v>
      </c>
      <c r="Y3620" s="65">
        <v>0</v>
      </c>
      <c r="Z3620" s="51">
        <v>0</v>
      </c>
      <c r="AA3620" s="51">
        <v>2</v>
      </c>
      <c r="AB3620" s="102">
        <v>0</v>
      </c>
      <c r="AC3620" s="81">
        <f t="shared" si="172"/>
        <v>0</v>
      </c>
      <c r="AD3620" s="82">
        <f t="shared" si="173"/>
        <v>0</v>
      </c>
      <c r="AE3620" s="218">
        <v>6.1692179138851693E-5</v>
      </c>
      <c r="AF3620">
        <v>31</v>
      </c>
      <c r="AH3620" t="str">
        <f t="shared" si="171"/>
        <v>Kalyanpur</v>
      </c>
      <c r="AJ3620" s="72">
        <v>0</v>
      </c>
      <c r="AK3620" s="72"/>
      <c r="AL3620" s="72"/>
      <c r="AM3620" s="72"/>
    </row>
    <row r="3621" spans="1:39" x14ac:dyDescent="0.25">
      <c r="A3621" s="37" t="s">
        <v>62</v>
      </c>
      <c r="B3621" s="66" t="s">
        <v>1676</v>
      </c>
      <c r="C3621" s="4">
        <v>1053</v>
      </c>
      <c r="D3621" s="41" t="s">
        <v>527</v>
      </c>
      <c r="E3621" s="41">
        <v>10530005</v>
      </c>
      <c r="F3621" s="85" t="s">
        <v>531</v>
      </c>
      <c r="G3621" s="39" t="s">
        <v>92</v>
      </c>
      <c r="H3621" s="52" t="s">
        <v>93</v>
      </c>
      <c r="I3621" s="52">
        <v>691.95000000000016</v>
      </c>
      <c r="J3621" s="49">
        <v>33695.42</v>
      </c>
      <c r="K3621" s="58">
        <v>685.18</v>
      </c>
      <c r="L3621" s="58">
        <v>32669.589999999997</v>
      </c>
      <c r="M3621" s="58">
        <v>22.67</v>
      </c>
      <c r="N3621" s="58">
        <v>998.44000000000017</v>
      </c>
      <c r="O3621" s="58">
        <v>707.84999999999991</v>
      </c>
      <c r="P3621" s="53">
        <v>33668.03</v>
      </c>
      <c r="Q3621" s="65">
        <v>33668.03</v>
      </c>
      <c r="R3621" s="65">
        <v>0</v>
      </c>
      <c r="S3621" s="65">
        <v>998.44000000000017</v>
      </c>
      <c r="T3621" s="65">
        <v>0</v>
      </c>
      <c r="U3621" s="58">
        <v>2440</v>
      </c>
      <c r="V3621" s="65">
        <v>0</v>
      </c>
      <c r="W3621" s="65">
        <v>0</v>
      </c>
      <c r="X3621" s="65">
        <v>30231</v>
      </c>
      <c r="Y3621" s="65">
        <v>0</v>
      </c>
      <c r="Z3621" s="51">
        <v>0</v>
      </c>
      <c r="AA3621" s="51">
        <v>26</v>
      </c>
      <c r="AB3621" s="102">
        <v>0</v>
      </c>
      <c r="AC3621" s="81">
        <f t="shared" si="172"/>
        <v>7.8401078401617044</v>
      </c>
      <c r="AD3621" s="82">
        <f t="shared" si="173"/>
        <v>98.850000000000023</v>
      </c>
      <c r="AE3621" s="218">
        <v>8.1287011706633779E-4</v>
      </c>
      <c r="AF3621">
        <v>20</v>
      </c>
      <c r="AH3621" t="str">
        <f t="shared" si="171"/>
        <v>Kalyanpur</v>
      </c>
      <c r="AJ3621" s="72">
        <v>0</v>
      </c>
      <c r="AK3621" s="72"/>
      <c r="AL3621" s="72"/>
      <c r="AM3621" s="72"/>
    </row>
    <row r="3622" spans="1:39" x14ac:dyDescent="0.25">
      <c r="A3622" s="37" t="s">
        <v>62</v>
      </c>
      <c r="B3622" s="66" t="s">
        <v>1676</v>
      </c>
      <c r="C3622" s="4">
        <v>1053</v>
      </c>
      <c r="D3622" s="41" t="s">
        <v>527</v>
      </c>
      <c r="E3622" s="41">
        <v>10530006</v>
      </c>
      <c r="F3622" s="85" t="s">
        <v>532</v>
      </c>
      <c r="G3622" s="39" t="s">
        <v>92</v>
      </c>
      <c r="H3622" s="52" t="s">
        <v>93</v>
      </c>
      <c r="I3622" s="52">
        <v>1319.3000000000002</v>
      </c>
      <c r="J3622" s="49">
        <v>61965.419999999991</v>
      </c>
      <c r="K3622" s="58">
        <v>1309.3899999999996</v>
      </c>
      <c r="L3622" s="58">
        <v>59326.929999999978</v>
      </c>
      <c r="M3622" s="58">
        <v>65.12</v>
      </c>
      <c r="N3622" s="58">
        <v>4199.4100000000008</v>
      </c>
      <c r="O3622" s="58">
        <v>1374.5099999999998</v>
      </c>
      <c r="P3622" s="53">
        <v>63526.339999999982</v>
      </c>
      <c r="Q3622" s="65">
        <v>61965.419999999991</v>
      </c>
      <c r="R3622" s="65">
        <v>0</v>
      </c>
      <c r="S3622" s="65">
        <v>4199.4100000000008</v>
      </c>
      <c r="T3622" s="65">
        <v>1560.919999999991</v>
      </c>
      <c r="U3622" s="58">
        <v>0</v>
      </c>
      <c r="V3622" s="65">
        <v>0</v>
      </c>
      <c r="W3622" s="65">
        <v>0</v>
      </c>
      <c r="X3622" s="65">
        <v>57766</v>
      </c>
      <c r="Y3622" s="65">
        <v>0</v>
      </c>
      <c r="Z3622" s="51">
        <v>0</v>
      </c>
      <c r="AA3622" s="51">
        <v>0</v>
      </c>
      <c r="AB3622" s="102" t="s">
        <v>66</v>
      </c>
      <c r="AC3622" s="81">
        <f t="shared" si="172"/>
        <v>0</v>
      </c>
      <c r="AD3622" s="82">
        <f t="shared" si="173"/>
        <v>0</v>
      </c>
      <c r="AE3622" s="218">
        <v>-2.5190178651254058E-2</v>
      </c>
      <c r="AF3622">
        <v>65</v>
      </c>
      <c r="AH3622" t="str">
        <f t="shared" si="171"/>
        <v>Kalyanpur</v>
      </c>
      <c r="AJ3622" s="72">
        <v>0</v>
      </c>
      <c r="AK3622" s="72"/>
      <c r="AL3622" s="72"/>
      <c r="AM3622" s="72"/>
    </row>
    <row r="3623" spans="1:39" x14ac:dyDescent="0.25">
      <c r="A3623" s="37" t="s">
        <v>62</v>
      </c>
      <c r="B3623" s="66" t="s">
        <v>1676</v>
      </c>
      <c r="C3623" s="4">
        <v>1053</v>
      </c>
      <c r="D3623" s="41" t="s">
        <v>527</v>
      </c>
      <c r="E3623" s="41">
        <v>10530007</v>
      </c>
      <c r="F3623" s="85" t="s">
        <v>533</v>
      </c>
      <c r="G3623" s="39" t="s">
        <v>92</v>
      </c>
      <c r="H3623" s="52" t="s">
        <v>93</v>
      </c>
      <c r="I3623" s="52">
        <v>552.79999999999984</v>
      </c>
      <c r="J3623" s="49">
        <v>25313.15</v>
      </c>
      <c r="K3623" s="58">
        <v>544.33999999999992</v>
      </c>
      <c r="L3623" s="58">
        <v>25290.850000000002</v>
      </c>
      <c r="M3623" s="58">
        <v>0.57000000000000006</v>
      </c>
      <c r="N3623" s="58">
        <v>19.670000000000002</v>
      </c>
      <c r="O3623" s="58">
        <v>544.91</v>
      </c>
      <c r="P3623" s="53">
        <v>25310.52</v>
      </c>
      <c r="Q3623" s="65">
        <v>25310.52</v>
      </c>
      <c r="R3623" s="65">
        <v>0</v>
      </c>
      <c r="S3623" s="65">
        <v>19.670000000000002</v>
      </c>
      <c r="T3623" s="65">
        <v>0</v>
      </c>
      <c r="U3623" s="58">
        <v>0</v>
      </c>
      <c r="V3623" s="65">
        <v>0</v>
      </c>
      <c r="W3623" s="65">
        <v>0</v>
      </c>
      <c r="X3623" s="65">
        <v>25289</v>
      </c>
      <c r="Y3623" s="65">
        <v>0</v>
      </c>
      <c r="Z3623" s="51">
        <v>0</v>
      </c>
      <c r="AA3623" s="51">
        <v>4</v>
      </c>
      <c r="AB3623" s="102">
        <v>0</v>
      </c>
      <c r="AC3623" s="81">
        <f t="shared" si="172"/>
        <v>134.8080926193924</v>
      </c>
      <c r="AD3623" s="82">
        <f t="shared" si="173"/>
        <v>78.971428571428547</v>
      </c>
      <c r="AE3623" s="218">
        <v>1.038985665553682E-4</v>
      </c>
      <c r="AF3623">
        <v>14</v>
      </c>
      <c r="AH3623" t="str">
        <f t="shared" si="171"/>
        <v>Kalyanpur</v>
      </c>
      <c r="AJ3623" s="72">
        <v>0</v>
      </c>
      <c r="AK3623" s="72"/>
      <c r="AL3623" s="72"/>
      <c r="AM3623" s="72"/>
    </row>
    <row r="3624" spans="1:39" x14ac:dyDescent="0.25">
      <c r="A3624" s="37" t="s">
        <v>62</v>
      </c>
      <c r="B3624" s="66" t="s">
        <v>1676</v>
      </c>
      <c r="C3624" s="4">
        <v>1053</v>
      </c>
      <c r="D3624" s="41" t="s">
        <v>527</v>
      </c>
      <c r="E3624" s="41">
        <v>10530008</v>
      </c>
      <c r="F3624" s="85" t="s">
        <v>534</v>
      </c>
      <c r="G3624" s="39" t="s">
        <v>92</v>
      </c>
      <c r="H3624" s="52" t="s">
        <v>93</v>
      </c>
      <c r="I3624" s="52">
        <v>352.35</v>
      </c>
      <c r="J3624" s="49">
        <v>16473.62</v>
      </c>
      <c r="K3624" s="58">
        <v>349.27</v>
      </c>
      <c r="L3624" s="58">
        <v>16409.55</v>
      </c>
      <c r="M3624" s="58">
        <v>1.5300000000000002</v>
      </c>
      <c r="N3624" s="58">
        <v>61.65</v>
      </c>
      <c r="O3624" s="58">
        <v>350.79999999999995</v>
      </c>
      <c r="P3624" s="53">
        <v>16471.2</v>
      </c>
      <c r="Q3624" s="65">
        <v>16471.2</v>
      </c>
      <c r="R3624" s="65">
        <v>0</v>
      </c>
      <c r="S3624" s="65">
        <v>61.65</v>
      </c>
      <c r="T3624" s="65">
        <v>0</v>
      </c>
      <c r="U3624" s="58">
        <v>9991</v>
      </c>
      <c r="V3624" s="65">
        <v>0</v>
      </c>
      <c r="W3624" s="65">
        <v>0</v>
      </c>
      <c r="X3624" s="65">
        <v>6419</v>
      </c>
      <c r="Y3624" s="65">
        <v>0</v>
      </c>
      <c r="Z3624" s="51">
        <v>0</v>
      </c>
      <c r="AA3624" s="51">
        <v>2</v>
      </c>
      <c r="AB3624" s="102">
        <v>0</v>
      </c>
      <c r="AC3624" s="81">
        <f t="shared" si="172"/>
        <v>325.07756452391084</v>
      </c>
      <c r="AD3624" s="82">
        <f t="shared" si="173"/>
        <v>50.335714285714289</v>
      </c>
      <c r="AE3624" s="218">
        <v>1.4690153105378502E-4</v>
      </c>
      <c r="AF3624">
        <v>6</v>
      </c>
      <c r="AH3624" t="str">
        <f t="shared" si="171"/>
        <v>Kalyanpur</v>
      </c>
      <c r="AJ3624" s="72">
        <v>0</v>
      </c>
      <c r="AK3624" s="72"/>
      <c r="AL3624" s="72"/>
      <c r="AM3624" s="72"/>
    </row>
    <row r="3625" spans="1:39" x14ac:dyDescent="0.25">
      <c r="A3625" s="37" t="s">
        <v>62</v>
      </c>
      <c r="B3625" s="66" t="s">
        <v>1676</v>
      </c>
      <c r="C3625" s="4">
        <v>1053</v>
      </c>
      <c r="D3625" s="41" t="s">
        <v>527</v>
      </c>
      <c r="E3625" s="41">
        <v>10530009</v>
      </c>
      <c r="F3625" s="85" t="s">
        <v>535</v>
      </c>
      <c r="G3625" s="39" t="s">
        <v>1610</v>
      </c>
      <c r="H3625" s="52" t="s">
        <v>98</v>
      </c>
      <c r="I3625" s="52">
        <v>6230.1</v>
      </c>
      <c r="J3625" s="49">
        <v>259423.24</v>
      </c>
      <c r="K3625" s="58">
        <v>0</v>
      </c>
      <c r="L3625" s="58">
        <v>0</v>
      </c>
      <c r="M3625" s="58">
        <v>0</v>
      </c>
      <c r="N3625" s="58">
        <v>0</v>
      </c>
      <c r="O3625" s="58">
        <v>0</v>
      </c>
      <c r="P3625" s="53">
        <v>0</v>
      </c>
      <c r="Q3625" s="65">
        <v>259423.24</v>
      </c>
      <c r="R3625" s="65">
        <v>0</v>
      </c>
      <c r="S3625" s="65">
        <v>0</v>
      </c>
      <c r="T3625" s="65">
        <v>0</v>
      </c>
      <c r="U3625" s="58">
        <v>0</v>
      </c>
      <c r="V3625" s="65">
        <v>0</v>
      </c>
      <c r="W3625" s="65">
        <v>0</v>
      </c>
      <c r="X3625" s="65">
        <v>0</v>
      </c>
      <c r="Y3625" s="65">
        <v>0</v>
      </c>
      <c r="Z3625" s="51">
        <v>259423.24</v>
      </c>
      <c r="AA3625" s="51">
        <v>0</v>
      </c>
      <c r="AB3625" s="102">
        <v>0</v>
      </c>
      <c r="AC3625" s="81">
        <f t="shared" si="172"/>
        <v>0</v>
      </c>
      <c r="AD3625" s="82">
        <f t="shared" si="173"/>
        <v>0</v>
      </c>
      <c r="AE3625" s="218">
        <v>0</v>
      </c>
      <c r="AF3625">
        <v>0</v>
      </c>
      <c r="AH3625" t="str">
        <f t="shared" si="171"/>
        <v>Kalyanpur</v>
      </c>
      <c r="AJ3625" s="72">
        <v>0</v>
      </c>
      <c r="AK3625" s="72"/>
      <c r="AL3625" s="72"/>
      <c r="AM3625" s="72"/>
    </row>
    <row r="3626" spans="1:39" x14ac:dyDescent="0.25">
      <c r="A3626" s="37" t="s">
        <v>62</v>
      </c>
      <c r="B3626" s="66" t="s">
        <v>1676</v>
      </c>
      <c r="C3626" s="4">
        <v>1053</v>
      </c>
      <c r="D3626" s="41" t="s">
        <v>527</v>
      </c>
      <c r="E3626" s="41">
        <v>10530010</v>
      </c>
      <c r="F3626" s="85" t="s">
        <v>536</v>
      </c>
      <c r="G3626" s="39" t="s">
        <v>1610</v>
      </c>
      <c r="H3626" s="52" t="s">
        <v>98</v>
      </c>
      <c r="I3626" s="52">
        <v>3134.4500000000003</v>
      </c>
      <c r="J3626" s="49">
        <v>136904.46000000002</v>
      </c>
      <c r="K3626" s="58">
        <v>0</v>
      </c>
      <c r="L3626" s="58">
        <v>0</v>
      </c>
      <c r="M3626" s="58">
        <v>0</v>
      </c>
      <c r="N3626" s="58">
        <v>0</v>
      </c>
      <c r="O3626" s="58">
        <v>0</v>
      </c>
      <c r="P3626" s="53">
        <v>0</v>
      </c>
      <c r="Q3626" s="65">
        <v>136904.46000000002</v>
      </c>
      <c r="R3626" s="65">
        <v>0</v>
      </c>
      <c r="S3626" s="65">
        <v>0</v>
      </c>
      <c r="T3626" s="65">
        <v>0</v>
      </c>
      <c r="U3626" s="58">
        <v>0</v>
      </c>
      <c r="V3626" s="65">
        <v>0</v>
      </c>
      <c r="W3626" s="65">
        <v>0</v>
      </c>
      <c r="X3626" s="65">
        <v>0</v>
      </c>
      <c r="Y3626" s="65">
        <v>0</v>
      </c>
      <c r="Z3626" s="51">
        <v>136904.46000000002</v>
      </c>
      <c r="AA3626" s="51">
        <v>0</v>
      </c>
      <c r="AB3626" s="102">
        <v>0</v>
      </c>
      <c r="AC3626" s="81">
        <f t="shared" si="172"/>
        <v>0</v>
      </c>
      <c r="AD3626" s="82">
        <f t="shared" si="173"/>
        <v>0</v>
      </c>
      <c r="AE3626" s="218">
        <v>0</v>
      </c>
      <c r="AF3626">
        <v>0</v>
      </c>
      <c r="AH3626" t="str">
        <f t="shared" si="171"/>
        <v>Kalyanpur</v>
      </c>
      <c r="AJ3626" s="72">
        <v>0</v>
      </c>
      <c r="AK3626" s="72"/>
      <c r="AL3626" s="72"/>
      <c r="AM3626" s="72"/>
    </row>
    <row r="3627" spans="1:39" x14ac:dyDescent="0.25">
      <c r="A3627" s="37" t="s">
        <v>62</v>
      </c>
      <c r="B3627" s="66" t="s">
        <v>1676</v>
      </c>
      <c r="C3627" s="4">
        <v>1053</v>
      </c>
      <c r="D3627" s="41" t="s">
        <v>527</v>
      </c>
      <c r="E3627" s="41">
        <v>10530014</v>
      </c>
      <c r="F3627" s="85" t="s">
        <v>537</v>
      </c>
      <c r="G3627" s="39" t="s">
        <v>1610</v>
      </c>
      <c r="H3627" s="52" t="s">
        <v>98</v>
      </c>
      <c r="I3627" s="52">
        <v>2375.6999999999998</v>
      </c>
      <c r="J3627" s="49">
        <v>93195.589999999982</v>
      </c>
      <c r="K3627" s="58">
        <v>0</v>
      </c>
      <c r="L3627" s="58">
        <v>0</v>
      </c>
      <c r="M3627" s="58">
        <v>0</v>
      </c>
      <c r="N3627" s="58">
        <v>0</v>
      </c>
      <c r="O3627" s="58">
        <v>0</v>
      </c>
      <c r="P3627" s="53">
        <v>0</v>
      </c>
      <c r="Q3627" s="65">
        <v>93195.589999999982</v>
      </c>
      <c r="R3627" s="65">
        <v>0</v>
      </c>
      <c r="S3627" s="65">
        <v>0</v>
      </c>
      <c r="T3627" s="65">
        <v>0</v>
      </c>
      <c r="U3627" s="58">
        <v>0</v>
      </c>
      <c r="V3627" s="65">
        <v>0</v>
      </c>
      <c r="W3627" s="65">
        <v>0</v>
      </c>
      <c r="X3627" s="65">
        <v>0</v>
      </c>
      <c r="Y3627" s="65">
        <v>0</v>
      </c>
      <c r="Z3627" s="51">
        <v>93195.589999999982</v>
      </c>
      <c r="AA3627" s="51">
        <v>0</v>
      </c>
      <c r="AB3627" s="102">
        <v>0</v>
      </c>
      <c r="AC3627" s="81">
        <f t="shared" si="172"/>
        <v>0</v>
      </c>
      <c r="AD3627" s="82">
        <f t="shared" si="173"/>
        <v>0</v>
      </c>
      <c r="AE3627" s="218">
        <v>0</v>
      </c>
      <c r="AF3627">
        <v>0</v>
      </c>
      <c r="AH3627" t="str">
        <f t="shared" si="171"/>
        <v>Kalyanpur</v>
      </c>
      <c r="AJ3627" s="72">
        <v>0</v>
      </c>
      <c r="AK3627" s="72"/>
      <c r="AL3627" s="72"/>
      <c r="AM3627" s="72"/>
    </row>
    <row r="3628" spans="1:39" x14ac:dyDescent="0.25">
      <c r="A3628" s="37" t="s">
        <v>62</v>
      </c>
      <c r="B3628" s="66" t="s">
        <v>1676</v>
      </c>
      <c r="C3628" s="4">
        <v>1053</v>
      </c>
      <c r="D3628" s="41" t="s">
        <v>527</v>
      </c>
      <c r="E3628" s="41">
        <v>10530015</v>
      </c>
      <c r="F3628" s="85" t="s">
        <v>538</v>
      </c>
      <c r="G3628" s="39" t="s">
        <v>1610</v>
      </c>
      <c r="H3628" s="52" t="s">
        <v>98</v>
      </c>
      <c r="I3628" s="52">
        <v>651.15000000000009</v>
      </c>
      <c r="J3628" s="49">
        <v>28462.239999999998</v>
      </c>
      <c r="K3628" s="58">
        <v>0</v>
      </c>
      <c r="L3628" s="58">
        <v>0</v>
      </c>
      <c r="M3628" s="58">
        <v>0</v>
      </c>
      <c r="N3628" s="58">
        <v>0</v>
      </c>
      <c r="O3628" s="58">
        <v>0</v>
      </c>
      <c r="P3628" s="53">
        <v>0</v>
      </c>
      <c r="Q3628" s="65">
        <v>28462.239999999998</v>
      </c>
      <c r="R3628" s="65">
        <v>0</v>
      </c>
      <c r="S3628" s="65">
        <v>0</v>
      </c>
      <c r="T3628" s="65">
        <v>0</v>
      </c>
      <c r="U3628" s="58">
        <v>0</v>
      </c>
      <c r="V3628" s="65">
        <v>0</v>
      </c>
      <c r="W3628" s="65">
        <v>0</v>
      </c>
      <c r="X3628" s="65">
        <v>0</v>
      </c>
      <c r="Y3628" s="65">
        <v>0</v>
      </c>
      <c r="Z3628" s="51">
        <v>28462.239999999998</v>
      </c>
      <c r="AA3628" s="51">
        <v>0</v>
      </c>
      <c r="AB3628" s="102">
        <v>0</v>
      </c>
      <c r="AC3628" s="81">
        <f t="shared" si="172"/>
        <v>42.705380449973021</v>
      </c>
      <c r="AD3628" s="82">
        <f t="shared" si="173"/>
        <v>93.021428571428586</v>
      </c>
      <c r="AE3628" s="218">
        <v>0</v>
      </c>
      <c r="AF3628">
        <v>0</v>
      </c>
      <c r="AH3628" t="str">
        <f t="shared" si="171"/>
        <v>Kalyanpur</v>
      </c>
      <c r="AJ3628" s="72">
        <v>0</v>
      </c>
      <c r="AK3628" s="72"/>
      <c r="AL3628" s="72"/>
      <c r="AM3628" s="72"/>
    </row>
    <row r="3629" spans="1:39" x14ac:dyDescent="0.25">
      <c r="A3629" s="37" t="s">
        <v>62</v>
      </c>
      <c r="B3629" s="66" t="s">
        <v>1676</v>
      </c>
      <c r="C3629" s="4">
        <v>1053</v>
      </c>
      <c r="D3629" s="41" t="s">
        <v>527</v>
      </c>
      <c r="E3629" s="41">
        <v>10530016</v>
      </c>
      <c r="F3629" s="85" t="s">
        <v>539</v>
      </c>
      <c r="G3629" s="39" t="s">
        <v>1610</v>
      </c>
      <c r="H3629" s="52" t="s">
        <v>98</v>
      </c>
      <c r="I3629" s="52">
        <v>867.15</v>
      </c>
      <c r="J3629" s="49">
        <v>36287.81</v>
      </c>
      <c r="K3629" s="58">
        <v>0</v>
      </c>
      <c r="L3629" s="58">
        <v>0</v>
      </c>
      <c r="M3629" s="58">
        <v>0</v>
      </c>
      <c r="N3629" s="58">
        <v>0</v>
      </c>
      <c r="O3629" s="58">
        <v>0</v>
      </c>
      <c r="P3629" s="53">
        <v>0</v>
      </c>
      <c r="Q3629" s="65">
        <v>36287.81</v>
      </c>
      <c r="R3629" s="65">
        <v>0</v>
      </c>
      <c r="S3629" s="65">
        <v>0</v>
      </c>
      <c r="T3629" s="65">
        <v>0</v>
      </c>
      <c r="U3629" s="58">
        <v>0</v>
      </c>
      <c r="V3629" s="65">
        <v>0</v>
      </c>
      <c r="W3629" s="65">
        <v>0</v>
      </c>
      <c r="X3629" s="65">
        <v>0</v>
      </c>
      <c r="Y3629" s="65">
        <v>0</v>
      </c>
      <c r="Z3629" s="51">
        <v>36287.81</v>
      </c>
      <c r="AA3629" s="51">
        <v>0</v>
      </c>
      <c r="AB3629" s="102">
        <v>0</v>
      </c>
      <c r="AC3629" s="81">
        <f t="shared" si="172"/>
        <v>0</v>
      </c>
      <c r="AD3629" s="82">
        <f t="shared" si="173"/>
        <v>0</v>
      </c>
      <c r="AE3629" s="218">
        <v>0</v>
      </c>
      <c r="AF3629">
        <v>0</v>
      </c>
      <c r="AH3629" t="str">
        <f t="shared" si="171"/>
        <v>Kalyanpur</v>
      </c>
      <c r="AJ3629" s="72">
        <v>0</v>
      </c>
      <c r="AK3629" s="72"/>
      <c r="AL3629" s="72"/>
      <c r="AM3629" s="72"/>
    </row>
    <row r="3630" spans="1:39" x14ac:dyDescent="0.25">
      <c r="A3630" s="37" t="s">
        <v>62</v>
      </c>
      <c r="B3630" s="66" t="s">
        <v>1676</v>
      </c>
      <c r="C3630" s="4">
        <v>1053</v>
      </c>
      <c r="D3630" s="41" t="s">
        <v>527</v>
      </c>
      <c r="E3630" s="41">
        <v>10530017</v>
      </c>
      <c r="F3630" s="85" t="s">
        <v>540</v>
      </c>
      <c r="G3630" s="39" t="s">
        <v>1610</v>
      </c>
      <c r="H3630" s="52" t="s">
        <v>98</v>
      </c>
      <c r="I3630" s="52">
        <v>2743.7499999999995</v>
      </c>
      <c r="J3630" s="49">
        <v>124055.01000000001</v>
      </c>
      <c r="K3630" s="58">
        <v>0</v>
      </c>
      <c r="L3630" s="58">
        <v>0</v>
      </c>
      <c r="M3630" s="58">
        <v>0</v>
      </c>
      <c r="N3630" s="58">
        <v>0</v>
      </c>
      <c r="O3630" s="58">
        <v>0</v>
      </c>
      <c r="P3630" s="53">
        <v>0</v>
      </c>
      <c r="Q3630" s="65">
        <v>124055.01000000001</v>
      </c>
      <c r="R3630" s="65">
        <v>0</v>
      </c>
      <c r="S3630" s="65">
        <v>0</v>
      </c>
      <c r="T3630" s="65">
        <v>0</v>
      </c>
      <c r="U3630" s="58">
        <v>7750</v>
      </c>
      <c r="V3630" s="65">
        <v>0</v>
      </c>
      <c r="W3630" s="65">
        <v>0</v>
      </c>
      <c r="X3630" s="65">
        <v>0</v>
      </c>
      <c r="Y3630" s="65">
        <v>0</v>
      </c>
      <c r="Z3630" s="51">
        <v>116305.01000000001</v>
      </c>
      <c r="AA3630" s="51">
        <v>0</v>
      </c>
      <c r="AB3630" s="102">
        <v>0</v>
      </c>
      <c r="AC3630" s="81">
        <f t="shared" si="172"/>
        <v>0</v>
      </c>
      <c r="AD3630" s="82">
        <f t="shared" si="173"/>
        <v>0</v>
      </c>
      <c r="AE3630" s="218">
        <v>0</v>
      </c>
      <c r="AF3630">
        <v>0</v>
      </c>
      <c r="AH3630" t="str">
        <f t="shared" si="171"/>
        <v>Kalyanpur</v>
      </c>
      <c r="AJ3630" s="72">
        <v>0</v>
      </c>
      <c r="AK3630" s="72"/>
      <c r="AL3630" s="72"/>
      <c r="AM3630" s="72"/>
    </row>
    <row r="3631" spans="1:39" x14ac:dyDescent="0.25">
      <c r="A3631" s="37" t="s">
        <v>62</v>
      </c>
      <c r="B3631" s="66" t="s">
        <v>1676</v>
      </c>
      <c r="C3631" s="4">
        <v>1053</v>
      </c>
      <c r="D3631" s="41" t="s">
        <v>527</v>
      </c>
      <c r="E3631" s="41">
        <v>10530018</v>
      </c>
      <c r="F3631" s="85" t="s">
        <v>541</v>
      </c>
      <c r="G3631" s="39" t="s">
        <v>1610</v>
      </c>
      <c r="H3631" s="52" t="s">
        <v>98</v>
      </c>
      <c r="I3631" s="52">
        <v>1139.4000000000001</v>
      </c>
      <c r="J3631" s="49">
        <v>47587.78</v>
      </c>
      <c r="K3631" s="58">
        <v>0</v>
      </c>
      <c r="L3631" s="58">
        <v>0</v>
      </c>
      <c r="M3631" s="58">
        <v>0</v>
      </c>
      <c r="N3631" s="58">
        <v>0</v>
      </c>
      <c r="O3631" s="58">
        <v>0</v>
      </c>
      <c r="P3631" s="53">
        <v>0</v>
      </c>
      <c r="Q3631" s="65">
        <v>47587.78</v>
      </c>
      <c r="R3631" s="65">
        <v>0</v>
      </c>
      <c r="S3631" s="65">
        <v>0</v>
      </c>
      <c r="T3631" s="65">
        <v>0</v>
      </c>
      <c r="U3631" s="58">
        <v>1400</v>
      </c>
      <c r="V3631" s="65">
        <v>0</v>
      </c>
      <c r="W3631" s="65">
        <v>0</v>
      </c>
      <c r="X3631" s="65">
        <v>0</v>
      </c>
      <c r="Y3631" s="65">
        <v>0</v>
      </c>
      <c r="Z3631" s="51">
        <v>46187.78</v>
      </c>
      <c r="AA3631" s="51">
        <v>0</v>
      </c>
      <c r="AB3631" s="102">
        <v>0</v>
      </c>
      <c r="AC3631" s="81">
        <f t="shared" si="172"/>
        <v>0</v>
      </c>
      <c r="AD3631" s="82">
        <f t="shared" si="173"/>
        <v>0</v>
      </c>
      <c r="AE3631" s="218">
        <v>0</v>
      </c>
      <c r="AF3631">
        <v>0</v>
      </c>
      <c r="AH3631" t="str">
        <f t="shared" si="171"/>
        <v>Kalyanpur</v>
      </c>
      <c r="AJ3631" s="72">
        <v>0</v>
      </c>
      <c r="AK3631" s="72"/>
      <c r="AL3631" s="72"/>
      <c r="AM3631" s="72"/>
    </row>
    <row r="3632" spans="1:39" x14ac:dyDescent="0.25">
      <c r="A3632" s="37" t="s">
        <v>62</v>
      </c>
      <c r="B3632" s="66" t="s">
        <v>1676</v>
      </c>
      <c r="C3632" s="4">
        <v>1053</v>
      </c>
      <c r="D3632" s="41" t="s">
        <v>527</v>
      </c>
      <c r="E3632" s="41">
        <v>10530019</v>
      </c>
      <c r="F3632" s="85" t="s">
        <v>542</v>
      </c>
      <c r="G3632" s="39" t="s">
        <v>1610</v>
      </c>
      <c r="H3632" s="52" t="s">
        <v>98</v>
      </c>
      <c r="I3632" s="52">
        <v>987.10000000000014</v>
      </c>
      <c r="J3632" s="49">
        <v>41107.409999999996</v>
      </c>
      <c r="K3632" s="58">
        <v>0</v>
      </c>
      <c r="L3632" s="58">
        <v>0</v>
      </c>
      <c r="M3632" s="58">
        <v>0</v>
      </c>
      <c r="N3632" s="58">
        <v>0</v>
      </c>
      <c r="O3632" s="58">
        <v>0</v>
      </c>
      <c r="P3632" s="53">
        <v>0</v>
      </c>
      <c r="Q3632" s="65">
        <v>41107.409999999996</v>
      </c>
      <c r="R3632" s="65">
        <v>0</v>
      </c>
      <c r="S3632" s="65">
        <v>0</v>
      </c>
      <c r="T3632" s="65">
        <v>0</v>
      </c>
      <c r="U3632" s="58">
        <v>0</v>
      </c>
      <c r="V3632" s="65">
        <v>0</v>
      </c>
      <c r="W3632" s="65">
        <v>0</v>
      </c>
      <c r="X3632" s="65">
        <v>0</v>
      </c>
      <c r="Y3632" s="65">
        <v>0</v>
      </c>
      <c r="Z3632" s="51">
        <v>41107.409999999996</v>
      </c>
      <c r="AA3632" s="51">
        <v>0</v>
      </c>
      <c r="AB3632" s="102">
        <v>0</v>
      </c>
      <c r="AC3632" s="81">
        <f t="shared" si="172"/>
        <v>0</v>
      </c>
      <c r="AD3632" s="82">
        <f t="shared" si="173"/>
        <v>0</v>
      </c>
      <c r="AE3632" s="218">
        <v>0</v>
      </c>
      <c r="AF3632">
        <v>0</v>
      </c>
      <c r="AH3632" t="str">
        <f t="shared" si="171"/>
        <v>Kalyanpur</v>
      </c>
      <c r="AJ3632" s="72">
        <v>0</v>
      </c>
      <c r="AK3632" s="72"/>
      <c r="AL3632" s="72"/>
      <c r="AM3632" s="72"/>
    </row>
    <row r="3633" spans="1:39" x14ac:dyDescent="0.25">
      <c r="A3633" s="37" t="s">
        <v>62</v>
      </c>
      <c r="B3633" s="66" t="s">
        <v>1676</v>
      </c>
      <c r="C3633" s="4">
        <v>1053</v>
      </c>
      <c r="D3633" s="41" t="s">
        <v>527</v>
      </c>
      <c r="E3633" s="41">
        <v>10530025</v>
      </c>
      <c r="F3633" s="85" t="s">
        <v>544</v>
      </c>
      <c r="G3633" s="39" t="s">
        <v>1610</v>
      </c>
      <c r="H3633" s="52" t="s">
        <v>98</v>
      </c>
      <c r="I3633" s="52">
        <v>519.85</v>
      </c>
      <c r="J3633" s="49">
        <v>23768.83</v>
      </c>
      <c r="K3633" s="58">
        <v>0</v>
      </c>
      <c r="L3633" s="58">
        <v>0</v>
      </c>
      <c r="M3633" s="58">
        <v>0</v>
      </c>
      <c r="N3633" s="58">
        <v>0</v>
      </c>
      <c r="O3633" s="58">
        <v>0</v>
      </c>
      <c r="P3633" s="53">
        <v>0</v>
      </c>
      <c r="Q3633" s="65">
        <v>23768.83</v>
      </c>
      <c r="R3633" s="65">
        <v>0</v>
      </c>
      <c r="S3633" s="65">
        <v>0</v>
      </c>
      <c r="T3633" s="65">
        <v>0</v>
      </c>
      <c r="U3633" s="58">
        <v>0</v>
      </c>
      <c r="V3633" s="65">
        <v>0</v>
      </c>
      <c r="W3633" s="65">
        <v>0</v>
      </c>
      <c r="X3633" s="65">
        <v>0</v>
      </c>
      <c r="Y3633" s="65">
        <v>0</v>
      </c>
      <c r="Z3633" s="51">
        <v>23768.83</v>
      </c>
      <c r="AA3633" s="51">
        <v>0</v>
      </c>
      <c r="AB3633" s="102">
        <v>0</v>
      </c>
      <c r="AC3633" s="81">
        <f t="shared" si="172"/>
        <v>164.7380869289218</v>
      </c>
      <c r="AD3633" s="82">
        <f t="shared" si="173"/>
        <v>74.26428571428572</v>
      </c>
      <c r="AE3633" s="218">
        <v>0</v>
      </c>
      <c r="AF3633">
        <v>0</v>
      </c>
      <c r="AH3633" t="str">
        <f t="shared" si="171"/>
        <v>Kalyanpur</v>
      </c>
      <c r="AJ3633" s="72">
        <v>0</v>
      </c>
      <c r="AK3633" s="72"/>
      <c r="AL3633" s="72"/>
      <c r="AM3633" s="72"/>
    </row>
    <row r="3634" spans="1:39" x14ac:dyDescent="0.25">
      <c r="A3634" s="37" t="s">
        <v>62</v>
      </c>
      <c r="B3634" s="66" t="s">
        <v>1676</v>
      </c>
      <c r="C3634" s="4">
        <v>1053</v>
      </c>
      <c r="D3634" s="41" t="s">
        <v>527</v>
      </c>
      <c r="E3634" s="41">
        <v>10530029</v>
      </c>
      <c r="F3634" s="85" t="s">
        <v>550</v>
      </c>
      <c r="G3634" s="39" t="s">
        <v>1610</v>
      </c>
      <c r="H3634" s="52" t="s">
        <v>98</v>
      </c>
      <c r="I3634" s="52">
        <v>653.35000000000014</v>
      </c>
      <c r="J3634" s="49">
        <v>31232.849999999991</v>
      </c>
      <c r="K3634" s="58">
        <v>0</v>
      </c>
      <c r="L3634" s="58">
        <v>0</v>
      </c>
      <c r="M3634" s="58">
        <v>0</v>
      </c>
      <c r="N3634" s="58">
        <v>0</v>
      </c>
      <c r="O3634" s="58">
        <v>0</v>
      </c>
      <c r="P3634" s="53">
        <v>0</v>
      </c>
      <c r="Q3634" s="65">
        <v>31232.849999999991</v>
      </c>
      <c r="R3634" s="65">
        <v>0</v>
      </c>
      <c r="S3634" s="65">
        <v>0</v>
      </c>
      <c r="T3634" s="65">
        <v>0</v>
      </c>
      <c r="U3634" s="58">
        <v>0</v>
      </c>
      <c r="V3634" s="65">
        <v>0</v>
      </c>
      <c r="W3634" s="65">
        <v>0</v>
      </c>
      <c r="X3634" s="65">
        <v>0</v>
      </c>
      <c r="Y3634" s="65">
        <v>0</v>
      </c>
      <c r="Z3634" s="51">
        <v>31232.849999999991</v>
      </c>
      <c r="AA3634" s="51">
        <v>0</v>
      </c>
      <c r="AB3634" s="102">
        <v>0</v>
      </c>
      <c r="AC3634" s="81">
        <f t="shared" si="172"/>
        <v>44.601284227443038</v>
      </c>
      <c r="AD3634" s="82">
        <f t="shared" si="173"/>
        <v>93.335714285714303</v>
      </c>
      <c r="AE3634" s="218">
        <v>0</v>
      </c>
      <c r="AF3634">
        <v>0</v>
      </c>
      <c r="AH3634" t="str">
        <f t="shared" si="171"/>
        <v>Kalyanpur</v>
      </c>
      <c r="AJ3634" s="72">
        <v>0</v>
      </c>
      <c r="AK3634" s="72"/>
      <c r="AL3634" s="72"/>
      <c r="AM3634" s="72"/>
    </row>
    <row r="3635" spans="1:39" x14ac:dyDescent="0.25">
      <c r="A3635" s="37" t="s">
        <v>62</v>
      </c>
      <c r="B3635" s="66" t="s">
        <v>1676</v>
      </c>
      <c r="C3635" s="4">
        <v>1053</v>
      </c>
      <c r="D3635" s="41" t="s">
        <v>527</v>
      </c>
      <c r="E3635" s="41">
        <v>10530030</v>
      </c>
      <c r="F3635" s="85" t="s">
        <v>551</v>
      </c>
      <c r="G3635" s="39" t="s">
        <v>1610</v>
      </c>
      <c r="H3635" s="52" t="s">
        <v>98</v>
      </c>
      <c r="I3635" s="52">
        <v>335.6</v>
      </c>
      <c r="J3635" s="49">
        <v>13641.040000000003</v>
      </c>
      <c r="K3635" s="58">
        <v>0</v>
      </c>
      <c r="L3635" s="58">
        <v>0</v>
      </c>
      <c r="M3635" s="58">
        <v>0</v>
      </c>
      <c r="N3635" s="58">
        <v>0</v>
      </c>
      <c r="O3635" s="58">
        <v>0</v>
      </c>
      <c r="P3635" s="53">
        <v>0</v>
      </c>
      <c r="Q3635" s="65">
        <v>13641.040000000003</v>
      </c>
      <c r="R3635" s="65">
        <v>0</v>
      </c>
      <c r="S3635" s="65">
        <v>0</v>
      </c>
      <c r="T3635" s="65">
        <v>0</v>
      </c>
      <c r="U3635" s="58">
        <v>0</v>
      </c>
      <c r="V3635" s="65">
        <v>0</v>
      </c>
      <c r="W3635" s="65">
        <v>0</v>
      </c>
      <c r="X3635" s="65">
        <v>0</v>
      </c>
      <c r="Y3635" s="65">
        <v>0</v>
      </c>
      <c r="Z3635" s="51">
        <v>13641.040000000003</v>
      </c>
      <c r="AA3635" s="51">
        <v>0</v>
      </c>
      <c r="AB3635" s="102">
        <v>0</v>
      </c>
      <c r="AC3635" s="81">
        <f t="shared" si="172"/>
        <v>296.2333120381407</v>
      </c>
      <c r="AD3635" s="82">
        <f t="shared" si="173"/>
        <v>47.942857142857143</v>
      </c>
      <c r="AE3635" s="218">
        <v>0</v>
      </c>
      <c r="AF3635">
        <v>0</v>
      </c>
      <c r="AH3635" t="str">
        <f t="shared" si="171"/>
        <v>Kalyanpur</v>
      </c>
      <c r="AJ3635" s="72">
        <v>0</v>
      </c>
      <c r="AK3635" s="72"/>
      <c r="AL3635" s="72"/>
      <c r="AM3635" s="72"/>
    </row>
    <row r="3636" spans="1:39" x14ac:dyDescent="0.25">
      <c r="A3636" s="37" t="s">
        <v>62</v>
      </c>
      <c r="B3636" s="66" t="s">
        <v>1676</v>
      </c>
      <c r="C3636" s="4">
        <v>1053</v>
      </c>
      <c r="D3636" s="41" t="s">
        <v>527</v>
      </c>
      <c r="E3636" s="41">
        <v>10530031</v>
      </c>
      <c r="F3636" s="85" t="s">
        <v>425</v>
      </c>
      <c r="G3636" s="39" t="s">
        <v>1610</v>
      </c>
      <c r="H3636" s="52" t="s">
        <v>98</v>
      </c>
      <c r="I3636" s="52">
        <v>3441.7000000000003</v>
      </c>
      <c r="J3636" s="49">
        <v>145874.81000000003</v>
      </c>
      <c r="K3636" s="58">
        <v>0</v>
      </c>
      <c r="L3636" s="58">
        <v>0</v>
      </c>
      <c r="M3636" s="58">
        <v>0</v>
      </c>
      <c r="N3636" s="58">
        <v>0</v>
      </c>
      <c r="O3636" s="58">
        <v>0</v>
      </c>
      <c r="P3636" s="53">
        <v>0</v>
      </c>
      <c r="Q3636" s="65">
        <v>145874.81000000003</v>
      </c>
      <c r="R3636" s="65">
        <v>0</v>
      </c>
      <c r="S3636" s="65">
        <v>0</v>
      </c>
      <c r="T3636" s="65">
        <v>0</v>
      </c>
      <c r="U3636" s="58">
        <v>0</v>
      </c>
      <c r="V3636" s="65">
        <v>0</v>
      </c>
      <c r="W3636" s="65">
        <v>0</v>
      </c>
      <c r="X3636" s="65">
        <v>0</v>
      </c>
      <c r="Y3636" s="65">
        <v>0</v>
      </c>
      <c r="Z3636" s="51">
        <v>145874.81000000003</v>
      </c>
      <c r="AA3636" s="51">
        <v>0</v>
      </c>
      <c r="AB3636" s="102">
        <v>0</v>
      </c>
      <c r="AC3636" s="81">
        <f t="shared" si="172"/>
        <v>0</v>
      </c>
      <c r="AD3636" s="82">
        <f t="shared" si="173"/>
        <v>0</v>
      </c>
      <c r="AE3636" s="218">
        <v>0</v>
      </c>
      <c r="AF3636">
        <v>0</v>
      </c>
      <c r="AH3636" t="str">
        <f t="shared" si="171"/>
        <v>Kalyanpur</v>
      </c>
      <c r="AJ3636" s="72">
        <v>0</v>
      </c>
      <c r="AK3636" s="72"/>
      <c r="AL3636" s="72"/>
      <c r="AM3636" s="72"/>
    </row>
    <row r="3637" spans="1:39" x14ac:dyDescent="0.25">
      <c r="A3637" s="37" t="s">
        <v>62</v>
      </c>
      <c r="B3637" s="66" t="s">
        <v>1676</v>
      </c>
      <c r="C3637" s="4">
        <v>1053</v>
      </c>
      <c r="D3637" s="41" t="s">
        <v>527</v>
      </c>
      <c r="E3637" s="41">
        <v>10530032</v>
      </c>
      <c r="F3637" s="85" t="s">
        <v>565</v>
      </c>
      <c r="G3637" s="39" t="s">
        <v>92</v>
      </c>
      <c r="H3637" s="52" t="s">
        <v>93</v>
      </c>
      <c r="I3637" s="52">
        <v>815.99999999999989</v>
      </c>
      <c r="J3637" s="49">
        <v>41269.83</v>
      </c>
      <c r="K3637" s="58">
        <v>819.76</v>
      </c>
      <c r="L3637" s="58">
        <v>40169.339999999989</v>
      </c>
      <c r="M3637" s="58">
        <v>20.88</v>
      </c>
      <c r="N3637" s="58">
        <v>1071.6199999999999</v>
      </c>
      <c r="O3637" s="58">
        <v>840.64</v>
      </c>
      <c r="P3637" s="53">
        <v>41240.959999999992</v>
      </c>
      <c r="Q3637" s="65">
        <v>41240.959999999992</v>
      </c>
      <c r="R3637" s="65">
        <v>0</v>
      </c>
      <c r="S3637" s="65">
        <v>1071.6199999999999</v>
      </c>
      <c r="T3637" s="65">
        <v>0</v>
      </c>
      <c r="U3637" s="58">
        <v>1442</v>
      </c>
      <c r="V3637" s="65">
        <v>0</v>
      </c>
      <c r="W3637" s="65">
        <v>0</v>
      </c>
      <c r="X3637" s="65">
        <v>38726</v>
      </c>
      <c r="Y3637" s="65">
        <v>0</v>
      </c>
      <c r="Z3637" s="51">
        <v>0</v>
      </c>
      <c r="AA3637" s="51">
        <v>30</v>
      </c>
      <c r="AB3637" s="102">
        <v>0</v>
      </c>
      <c r="AC3637" s="81">
        <f t="shared" si="172"/>
        <v>0</v>
      </c>
      <c r="AD3637" s="82">
        <f t="shared" si="173"/>
        <v>0</v>
      </c>
      <c r="AE3637" s="218">
        <v>6.9954249872146055E-4</v>
      </c>
      <c r="AF3637">
        <v>28</v>
      </c>
      <c r="AH3637" t="str">
        <f t="shared" ref="AH3637:AH3700" si="174">TEXT(D3637,"0000")</f>
        <v>Kalyanpur</v>
      </c>
      <c r="AJ3637" s="72">
        <v>0</v>
      </c>
      <c r="AK3637" s="72"/>
      <c r="AL3637" s="72"/>
      <c r="AM3637" s="72"/>
    </row>
    <row r="3638" spans="1:39" x14ac:dyDescent="0.25">
      <c r="A3638" s="37" t="s">
        <v>62</v>
      </c>
      <c r="B3638" s="66" t="s">
        <v>1676</v>
      </c>
      <c r="C3638" s="4">
        <v>1053</v>
      </c>
      <c r="D3638" s="41" t="s">
        <v>527</v>
      </c>
      <c r="E3638" s="41">
        <v>10530033</v>
      </c>
      <c r="F3638" s="85" t="s">
        <v>585</v>
      </c>
      <c r="G3638" s="39" t="s">
        <v>92</v>
      </c>
      <c r="H3638" s="52" t="s">
        <v>93</v>
      </c>
      <c r="I3638" s="52">
        <v>792.50000000000011</v>
      </c>
      <c r="J3638" s="49">
        <v>36489.619999999995</v>
      </c>
      <c r="K3638" s="58">
        <v>787.00000000000011</v>
      </c>
      <c r="L3638" s="58">
        <v>35661.879999999997</v>
      </c>
      <c r="M3638" s="58">
        <v>13.44</v>
      </c>
      <c r="N3638" s="58">
        <v>592.94000000000005</v>
      </c>
      <c r="O3638" s="58">
        <v>800.44000000000017</v>
      </c>
      <c r="P3638" s="53">
        <v>36254.82</v>
      </c>
      <c r="Q3638" s="65">
        <v>36254.82</v>
      </c>
      <c r="R3638" s="65">
        <v>0</v>
      </c>
      <c r="S3638" s="65">
        <v>592.94000000000005</v>
      </c>
      <c r="T3638" s="65">
        <v>0</v>
      </c>
      <c r="U3638" s="58">
        <v>3108</v>
      </c>
      <c r="V3638" s="65">
        <v>0</v>
      </c>
      <c r="W3638" s="65">
        <v>0</v>
      </c>
      <c r="X3638" s="65">
        <v>32554</v>
      </c>
      <c r="Y3638" s="65">
        <v>0</v>
      </c>
      <c r="Z3638" s="51">
        <v>0</v>
      </c>
      <c r="AA3638" s="51">
        <v>235</v>
      </c>
      <c r="AB3638" s="102">
        <v>0</v>
      </c>
      <c r="AC3638" s="81">
        <f t="shared" si="172"/>
        <v>0</v>
      </c>
      <c r="AD3638" s="82">
        <f t="shared" si="173"/>
        <v>0</v>
      </c>
      <c r="AE3638" s="218">
        <v>6.4347066371202456E-3</v>
      </c>
      <c r="AF3638">
        <v>23</v>
      </c>
      <c r="AH3638" t="str">
        <f t="shared" si="174"/>
        <v>Kalyanpur</v>
      </c>
      <c r="AJ3638" s="72">
        <v>0</v>
      </c>
      <c r="AK3638" s="72"/>
      <c r="AL3638" s="72"/>
      <c r="AM3638" s="72"/>
    </row>
    <row r="3639" spans="1:39" x14ac:dyDescent="0.25">
      <c r="A3639" s="37" t="s">
        <v>62</v>
      </c>
      <c r="B3639" s="66" t="s">
        <v>1676</v>
      </c>
      <c r="C3639" s="4">
        <v>1053</v>
      </c>
      <c r="D3639" s="41" t="s">
        <v>527</v>
      </c>
      <c r="E3639" s="41">
        <v>10530034</v>
      </c>
      <c r="F3639" s="85" t="s">
        <v>586</v>
      </c>
      <c r="G3639" s="39" t="s">
        <v>92</v>
      </c>
      <c r="H3639" s="52" t="s">
        <v>93</v>
      </c>
      <c r="I3639" s="52">
        <v>2120.2000000000003</v>
      </c>
      <c r="J3639" s="49">
        <v>110865.69</v>
      </c>
      <c r="K3639" s="58">
        <v>2122.2000000000007</v>
      </c>
      <c r="L3639" s="58">
        <v>110861.68999999997</v>
      </c>
      <c r="M3639" s="58">
        <v>0</v>
      </c>
      <c r="N3639" s="58">
        <v>0</v>
      </c>
      <c r="O3639" s="58">
        <v>2122.2000000000007</v>
      </c>
      <c r="P3639" s="53">
        <v>110861.68999999997</v>
      </c>
      <c r="Q3639" s="65">
        <v>110861.68999999997</v>
      </c>
      <c r="R3639" s="65">
        <v>0</v>
      </c>
      <c r="S3639" s="65">
        <v>0</v>
      </c>
      <c r="T3639" s="65">
        <v>0</v>
      </c>
      <c r="U3639" s="58">
        <v>0</v>
      </c>
      <c r="V3639" s="65">
        <v>0</v>
      </c>
      <c r="W3639" s="65">
        <v>0</v>
      </c>
      <c r="X3639" s="65">
        <v>110860</v>
      </c>
      <c r="Y3639" s="65">
        <v>0</v>
      </c>
      <c r="Z3639" s="51">
        <v>0</v>
      </c>
      <c r="AA3639" s="51">
        <v>6</v>
      </c>
      <c r="AB3639" s="102">
        <v>0</v>
      </c>
      <c r="AC3639" s="81">
        <f t="shared" si="172"/>
        <v>0</v>
      </c>
      <c r="AD3639" s="82">
        <f t="shared" si="173"/>
        <v>0</v>
      </c>
      <c r="AE3639" s="218">
        <v>3.6079692464179887E-5</v>
      </c>
      <c r="AF3639">
        <v>52</v>
      </c>
      <c r="AH3639" t="str">
        <f t="shared" si="174"/>
        <v>Kalyanpur</v>
      </c>
      <c r="AJ3639" s="72">
        <v>0</v>
      </c>
      <c r="AK3639" s="72"/>
      <c r="AL3639" s="72"/>
      <c r="AM3639" s="72"/>
    </row>
    <row r="3640" spans="1:39" x14ac:dyDescent="0.25">
      <c r="A3640" s="37" t="s">
        <v>62</v>
      </c>
      <c r="B3640" s="66" t="s">
        <v>1676</v>
      </c>
      <c r="C3640" s="4">
        <v>1053</v>
      </c>
      <c r="D3640" s="41" t="s">
        <v>527</v>
      </c>
      <c r="E3640" s="41">
        <v>10530035</v>
      </c>
      <c r="F3640" s="85" t="s">
        <v>587</v>
      </c>
      <c r="G3640" s="39" t="s">
        <v>92</v>
      </c>
      <c r="H3640" s="52" t="s">
        <v>93</v>
      </c>
      <c r="I3640" s="52">
        <v>820.60000000000014</v>
      </c>
      <c r="J3640" s="49">
        <v>41022.590000000011</v>
      </c>
      <c r="K3640" s="58">
        <v>829.34999999999991</v>
      </c>
      <c r="L3640" s="58">
        <v>39305.859999999993</v>
      </c>
      <c r="M3640" s="58">
        <v>36.910000000000011</v>
      </c>
      <c r="N3640" s="58">
        <v>1664.6899999999996</v>
      </c>
      <c r="O3640" s="58">
        <v>866.25999999999988</v>
      </c>
      <c r="P3640" s="53">
        <v>40970.549999999996</v>
      </c>
      <c r="Q3640" s="65">
        <v>40970.549999999996</v>
      </c>
      <c r="R3640" s="65">
        <v>0</v>
      </c>
      <c r="S3640" s="65">
        <v>1664.6899999999996</v>
      </c>
      <c r="T3640" s="65">
        <v>0</v>
      </c>
      <c r="U3640" s="58">
        <v>0</v>
      </c>
      <c r="V3640" s="65">
        <v>0</v>
      </c>
      <c r="W3640" s="65">
        <v>0</v>
      </c>
      <c r="X3640" s="65">
        <v>39305</v>
      </c>
      <c r="Y3640" s="65">
        <v>0</v>
      </c>
      <c r="Z3640" s="51">
        <v>0</v>
      </c>
      <c r="AA3640" s="51">
        <v>53</v>
      </c>
      <c r="AB3640" s="102">
        <v>0</v>
      </c>
      <c r="AC3640" s="81">
        <f t="shared" si="172"/>
        <v>0</v>
      </c>
      <c r="AD3640" s="82">
        <f t="shared" si="173"/>
        <v>0</v>
      </c>
      <c r="AE3640" s="218">
        <v>1.2685693419166224E-3</v>
      </c>
      <c r="AF3640">
        <v>21</v>
      </c>
      <c r="AH3640" t="str">
        <f t="shared" si="174"/>
        <v>Kalyanpur</v>
      </c>
      <c r="AJ3640" s="72">
        <v>0</v>
      </c>
      <c r="AK3640" s="72"/>
      <c r="AL3640" s="72"/>
      <c r="AM3640" s="72"/>
    </row>
    <row r="3641" spans="1:39" x14ac:dyDescent="0.25">
      <c r="A3641" s="37" t="s">
        <v>62</v>
      </c>
      <c r="B3641" s="66" t="s">
        <v>1676</v>
      </c>
      <c r="C3641" s="4">
        <v>1053</v>
      </c>
      <c r="D3641" s="41" t="s">
        <v>527</v>
      </c>
      <c r="E3641" s="41">
        <v>10530038</v>
      </c>
      <c r="F3641" s="85" t="s">
        <v>588</v>
      </c>
      <c r="G3641" s="39" t="s">
        <v>1610</v>
      </c>
      <c r="H3641" s="52" t="s">
        <v>98</v>
      </c>
      <c r="I3641" s="52">
        <v>512.94999999999993</v>
      </c>
      <c r="J3641" s="49">
        <v>23804.95</v>
      </c>
      <c r="K3641" s="58">
        <v>0</v>
      </c>
      <c r="L3641" s="58">
        <v>0</v>
      </c>
      <c r="M3641" s="58">
        <v>0</v>
      </c>
      <c r="N3641" s="58">
        <v>0</v>
      </c>
      <c r="O3641" s="58">
        <v>0</v>
      </c>
      <c r="P3641" s="53">
        <v>0</v>
      </c>
      <c r="Q3641" s="65">
        <v>23804.95</v>
      </c>
      <c r="R3641" s="65">
        <v>0</v>
      </c>
      <c r="S3641" s="65">
        <v>0</v>
      </c>
      <c r="T3641" s="65">
        <v>0</v>
      </c>
      <c r="U3641" s="58">
        <v>0</v>
      </c>
      <c r="V3641" s="65">
        <v>0</v>
      </c>
      <c r="W3641" s="65">
        <v>0</v>
      </c>
      <c r="X3641" s="65">
        <v>0</v>
      </c>
      <c r="Y3641" s="65">
        <v>0</v>
      </c>
      <c r="Z3641" s="51">
        <v>23804.95</v>
      </c>
      <c r="AA3641" s="51">
        <v>0</v>
      </c>
      <c r="AB3641" s="102">
        <v>0</v>
      </c>
      <c r="AC3641" s="81">
        <f t="shared" si="172"/>
        <v>173.61208295155478</v>
      </c>
      <c r="AD3641" s="82">
        <f t="shared" si="173"/>
        <v>73.278571428571425</v>
      </c>
      <c r="AE3641" s="218">
        <v>0</v>
      </c>
      <c r="AF3641">
        <v>0</v>
      </c>
      <c r="AH3641" t="str">
        <f t="shared" si="174"/>
        <v>Kalyanpur</v>
      </c>
      <c r="AJ3641" s="72">
        <v>0</v>
      </c>
      <c r="AK3641" s="72"/>
      <c r="AL3641" s="72"/>
      <c r="AM3641" s="72"/>
    </row>
    <row r="3642" spans="1:39" x14ac:dyDescent="0.25">
      <c r="A3642" s="37" t="s">
        <v>62</v>
      </c>
      <c r="B3642" s="66" t="s">
        <v>1676</v>
      </c>
      <c r="C3642" s="4">
        <v>1053</v>
      </c>
      <c r="D3642" s="41" t="s">
        <v>527</v>
      </c>
      <c r="E3642" s="41">
        <v>10530040</v>
      </c>
      <c r="F3642" s="85" t="s">
        <v>589</v>
      </c>
      <c r="G3642" s="39" t="s">
        <v>92</v>
      </c>
      <c r="H3642" s="52" t="s">
        <v>93</v>
      </c>
      <c r="I3642" s="52">
        <v>512.85</v>
      </c>
      <c r="J3642" s="49">
        <v>25516.100000000002</v>
      </c>
      <c r="K3642" s="58">
        <v>505.61</v>
      </c>
      <c r="L3642" s="58">
        <v>24316.889999999996</v>
      </c>
      <c r="M3642" s="58">
        <v>25.29</v>
      </c>
      <c r="N3642" s="58">
        <v>1171.8400000000001</v>
      </c>
      <c r="O3642" s="58">
        <v>530.9</v>
      </c>
      <c r="P3642" s="53">
        <v>25488.729999999996</v>
      </c>
      <c r="Q3642" s="65">
        <v>25488.729999999996</v>
      </c>
      <c r="R3642" s="65">
        <v>0</v>
      </c>
      <c r="S3642" s="65">
        <v>1171.8400000000001</v>
      </c>
      <c r="T3642" s="65">
        <v>0</v>
      </c>
      <c r="U3642" s="58">
        <v>0</v>
      </c>
      <c r="V3642" s="65">
        <v>0</v>
      </c>
      <c r="W3642" s="65">
        <v>0</v>
      </c>
      <c r="X3642" s="65">
        <v>24315</v>
      </c>
      <c r="Y3642" s="65">
        <v>0</v>
      </c>
      <c r="Z3642" s="51">
        <v>0</v>
      </c>
      <c r="AA3642" s="51">
        <v>29</v>
      </c>
      <c r="AB3642" s="102">
        <v>0</v>
      </c>
      <c r="AC3642" s="81">
        <f t="shared" si="172"/>
        <v>186.2274784049917</v>
      </c>
      <c r="AD3642" s="82">
        <f t="shared" si="173"/>
        <v>73.26428571428572</v>
      </c>
      <c r="AE3642" s="218">
        <v>1.0726560877252502E-3</v>
      </c>
      <c r="AF3642">
        <v>22</v>
      </c>
      <c r="AH3642" t="str">
        <f t="shared" si="174"/>
        <v>Kalyanpur</v>
      </c>
      <c r="AJ3642" s="72">
        <v>0</v>
      </c>
      <c r="AK3642" s="72"/>
      <c r="AL3642" s="72"/>
      <c r="AM3642" s="72"/>
    </row>
    <row r="3643" spans="1:39" x14ac:dyDescent="0.25">
      <c r="A3643" s="37" t="s">
        <v>62</v>
      </c>
      <c r="B3643" s="66" t="s">
        <v>1676</v>
      </c>
      <c r="C3643" s="4">
        <v>1053</v>
      </c>
      <c r="D3643" s="41" t="s">
        <v>527</v>
      </c>
      <c r="E3643" s="41">
        <v>10530044</v>
      </c>
      <c r="F3643" s="85" t="s">
        <v>590</v>
      </c>
      <c r="G3643" s="39" t="s">
        <v>92</v>
      </c>
      <c r="H3643" s="52" t="s">
        <v>93</v>
      </c>
      <c r="I3643" s="52">
        <v>1375.0500000000002</v>
      </c>
      <c r="J3643" s="49">
        <v>64961.67</v>
      </c>
      <c r="K3643" s="58">
        <v>1365.4899999999996</v>
      </c>
      <c r="L3643" s="58">
        <v>63680.829999999987</v>
      </c>
      <c r="M3643" s="58">
        <v>15.959999999999999</v>
      </c>
      <c r="N3643" s="58">
        <v>744.14999999999986</v>
      </c>
      <c r="O3643" s="58">
        <v>1381.4499999999996</v>
      </c>
      <c r="P3643" s="53">
        <v>64424.979999999989</v>
      </c>
      <c r="Q3643" s="65">
        <v>64424.979999999989</v>
      </c>
      <c r="R3643" s="65">
        <v>0</v>
      </c>
      <c r="S3643" s="65">
        <v>744.14999999999986</v>
      </c>
      <c r="T3643" s="65">
        <v>0</v>
      </c>
      <c r="U3643" s="58">
        <v>0</v>
      </c>
      <c r="V3643" s="65">
        <v>0</v>
      </c>
      <c r="W3643" s="65">
        <v>0</v>
      </c>
      <c r="X3643" s="65">
        <v>63679</v>
      </c>
      <c r="Y3643" s="65">
        <v>0</v>
      </c>
      <c r="Z3643" s="51">
        <v>0</v>
      </c>
      <c r="AA3643" s="51">
        <v>539</v>
      </c>
      <c r="AB3643" s="102">
        <v>0</v>
      </c>
      <c r="AC3643" s="81">
        <f t="shared" ref="AC3643:AC3706" si="175">((IF(AD3643=0,0,100-AD3643))*7*(J3643/I3643))*2%</f>
        <v>0</v>
      </c>
      <c r="AD3643" s="82">
        <f t="shared" ref="AD3643:AD3706" si="176">IF((I3643/7)&gt;100,0,(I3643/7))</f>
        <v>0</v>
      </c>
      <c r="AE3643" s="218">
        <v>8.2616410569495771E-3</v>
      </c>
      <c r="AF3643">
        <v>28</v>
      </c>
      <c r="AH3643" t="str">
        <f t="shared" si="174"/>
        <v>Kalyanpur</v>
      </c>
      <c r="AJ3643" s="72">
        <v>0</v>
      </c>
      <c r="AK3643" s="72"/>
      <c r="AL3643" s="72"/>
      <c r="AM3643" s="72"/>
    </row>
    <row r="3644" spans="1:39" x14ac:dyDescent="0.25">
      <c r="A3644" s="37" t="s">
        <v>62</v>
      </c>
      <c r="B3644" s="66" t="s">
        <v>1676</v>
      </c>
      <c r="C3644" s="4">
        <v>1053</v>
      </c>
      <c r="D3644" s="41" t="s">
        <v>527</v>
      </c>
      <c r="E3644" s="41">
        <v>10530046</v>
      </c>
      <c r="F3644" s="85" t="s">
        <v>621</v>
      </c>
      <c r="G3644" s="39" t="s">
        <v>92</v>
      </c>
      <c r="H3644" s="52" t="s">
        <v>93</v>
      </c>
      <c r="I3644" s="52">
        <v>351.95</v>
      </c>
      <c r="J3644" s="49">
        <v>16942.009999999998</v>
      </c>
      <c r="K3644" s="58">
        <v>329.95</v>
      </c>
      <c r="L3644" s="58">
        <v>16937.050000000003</v>
      </c>
      <c r="M3644" s="58">
        <v>0</v>
      </c>
      <c r="N3644" s="58">
        <v>0</v>
      </c>
      <c r="O3644" s="58">
        <v>329.95</v>
      </c>
      <c r="P3644" s="53">
        <v>16937.050000000003</v>
      </c>
      <c r="Q3644" s="65">
        <v>16937.050000000003</v>
      </c>
      <c r="R3644" s="65">
        <v>0</v>
      </c>
      <c r="S3644" s="65">
        <v>0</v>
      </c>
      <c r="T3644" s="65">
        <v>0</v>
      </c>
      <c r="U3644" s="58">
        <v>0</v>
      </c>
      <c r="V3644" s="65">
        <v>0</v>
      </c>
      <c r="W3644" s="65">
        <v>0</v>
      </c>
      <c r="X3644" s="65">
        <v>16935</v>
      </c>
      <c r="Y3644" s="65">
        <v>0</v>
      </c>
      <c r="Z3644" s="51">
        <v>0</v>
      </c>
      <c r="AA3644" s="51">
        <v>7</v>
      </c>
      <c r="AB3644" s="102">
        <v>0</v>
      </c>
      <c r="AC3644" s="81">
        <f t="shared" si="175"/>
        <v>335.08547126012212</v>
      </c>
      <c r="AD3644" s="82">
        <f t="shared" si="176"/>
        <v>50.278571428571425</v>
      </c>
      <c r="AE3644" s="218">
        <v>2.9276337341292382E-4</v>
      </c>
      <c r="AF3644">
        <v>13</v>
      </c>
      <c r="AH3644" t="str">
        <f t="shared" si="174"/>
        <v>Kalyanpur</v>
      </c>
      <c r="AJ3644" s="72">
        <v>0</v>
      </c>
      <c r="AK3644" s="72"/>
      <c r="AL3644" s="72"/>
      <c r="AM3644" s="72"/>
    </row>
    <row r="3645" spans="1:39" x14ac:dyDescent="0.25">
      <c r="A3645" s="37" t="s">
        <v>62</v>
      </c>
      <c r="B3645" s="66" t="s">
        <v>1676</v>
      </c>
      <c r="C3645" s="4">
        <v>1053</v>
      </c>
      <c r="D3645" s="41" t="s">
        <v>527</v>
      </c>
      <c r="E3645" s="41">
        <v>10530047</v>
      </c>
      <c r="F3645" s="85" t="s">
        <v>591</v>
      </c>
      <c r="G3645" s="39" t="s">
        <v>92</v>
      </c>
      <c r="H3645" s="52" t="s">
        <v>93</v>
      </c>
      <c r="I3645" s="52">
        <v>305.54999999999995</v>
      </c>
      <c r="J3645" s="49">
        <v>11250.630000000001</v>
      </c>
      <c r="K3645" s="58">
        <v>293.10000000000008</v>
      </c>
      <c r="L3645" s="58">
        <v>10952.75</v>
      </c>
      <c r="M3645" s="58">
        <v>7.51</v>
      </c>
      <c r="N3645" s="58">
        <v>294.51</v>
      </c>
      <c r="O3645" s="58">
        <v>300.61000000000007</v>
      </c>
      <c r="P3645" s="53">
        <v>11247.26</v>
      </c>
      <c r="Q3645" s="65">
        <v>11247.26</v>
      </c>
      <c r="R3645" s="65">
        <v>0</v>
      </c>
      <c r="S3645" s="65">
        <v>294.51</v>
      </c>
      <c r="T3645" s="65">
        <v>0</v>
      </c>
      <c r="U3645" s="58">
        <v>0</v>
      </c>
      <c r="V3645" s="65">
        <v>0</v>
      </c>
      <c r="W3645" s="65">
        <v>0</v>
      </c>
      <c r="X3645" s="65">
        <v>10952</v>
      </c>
      <c r="Y3645" s="65">
        <v>0</v>
      </c>
      <c r="Z3645" s="51">
        <v>0</v>
      </c>
      <c r="AA3645" s="51">
        <v>4</v>
      </c>
      <c r="AB3645" s="102">
        <v>0</v>
      </c>
      <c r="AC3645" s="81">
        <f t="shared" si="175"/>
        <v>290.48018350515474</v>
      </c>
      <c r="AD3645" s="82">
        <f t="shared" si="176"/>
        <v>43.649999999999991</v>
      </c>
      <c r="AE3645" s="218">
        <v>2.9953878138386919E-4</v>
      </c>
      <c r="AF3645">
        <v>5</v>
      </c>
      <c r="AH3645" t="str">
        <f t="shared" si="174"/>
        <v>Kalyanpur</v>
      </c>
      <c r="AJ3645" s="72">
        <v>0</v>
      </c>
      <c r="AK3645" s="72"/>
      <c r="AL3645" s="72"/>
      <c r="AM3645" s="72"/>
    </row>
    <row r="3646" spans="1:39" x14ac:dyDescent="0.25">
      <c r="A3646" s="37" t="s">
        <v>62</v>
      </c>
      <c r="B3646" s="66" t="s">
        <v>1676</v>
      </c>
      <c r="C3646" s="4">
        <v>1053</v>
      </c>
      <c r="D3646" s="41" t="s">
        <v>527</v>
      </c>
      <c r="E3646" s="41">
        <v>10530048</v>
      </c>
      <c r="F3646" s="85" t="s">
        <v>622</v>
      </c>
      <c r="G3646" s="39" t="s">
        <v>92</v>
      </c>
      <c r="H3646" s="52" t="s">
        <v>93</v>
      </c>
      <c r="I3646" s="52">
        <v>307.25000000000006</v>
      </c>
      <c r="J3646" s="49">
        <v>12970.649999999998</v>
      </c>
      <c r="K3646" s="58">
        <v>301.17</v>
      </c>
      <c r="L3646" s="58">
        <v>12501.829999999998</v>
      </c>
      <c r="M3646" s="58">
        <v>9.77</v>
      </c>
      <c r="N3646" s="58">
        <v>427.35999999999996</v>
      </c>
      <c r="O3646" s="58">
        <v>310.94</v>
      </c>
      <c r="P3646" s="53">
        <v>12929.189999999999</v>
      </c>
      <c r="Q3646" s="65">
        <v>12929.189999999999</v>
      </c>
      <c r="R3646" s="65">
        <v>0</v>
      </c>
      <c r="S3646" s="65">
        <v>427.35999999999996</v>
      </c>
      <c r="T3646" s="65">
        <v>0</v>
      </c>
      <c r="U3646" s="58">
        <v>1400</v>
      </c>
      <c r="V3646" s="65">
        <v>0</v>
      </c>
      <c r="W3646" s="65">
        <v>0</v>
      </c>
      <c r="X3646" s="65">
        <v>11101</v>
      </c>
      <c r="Y3646" s="65">
        <v>0</v>
      </c>
      <c r="Z3646" s="51">
        <v>0</v>
      </c>
      <c r="AA3646" s="51">
        <v>42</v>
      </c>
      <c r="AB3646" s="102">
        <v>0</v>
      </c>
      <c r="AC3646" s="81">
        <f t="shared" si="175"/>
        <v>331.60115785191192</v>
      </c>
      <c r="AD3646" s="82">
        <f t="shared" si="176"/>
        <v>43.892857142857153</v>
      </c>
      <c r="AE3646" s="218">
        <v>3.1964473638560237E-3</v>
      </c>
      <c r="AF3646">
        <v>11</v>
      </c>
      <c r="AH3646" t="str">
        <f t="shared" si="174"/>
        <v>Kalyanpur</v>
      </c>
      <c r="AJ3646" s="72">
        <v>0</v>
      </c>
      <c r="AK3646" s="72"/>
      <c r="AL3646" s="72"/>
      <c r="AM3646" s="72"/>
    </row>
    <row r="3647" spans="1:39" x14ac:dyDescent="0.25">
      <c r="A3647" s="37" t="s">
        <v>62</v>
      </c>
      <c r="B3647" s="66" t="s">
        <v>1676</v>
      </c>
      <c r="C3647" s="4">
        <v>1053</v>
      </c>
      <c r="D3647" s="41" t="s">
        <v>527</v>
      </c>
      <c r="E3647" s="41">
        <v>10530049</v>
      </c>
      <c r="F3647" s="85" t="s">
        <v>592</v>
      </c>
      <c r="G3647" s="39" t="s">
        <v>1610</v>
      </c>
      <c r="H3647" s="52" t="s">
        <v>98</v>
      </c>
      <c r="I3647" s="52">
        <v>2272.35</v>
      </c>
      <c r="J3647" s="49">
        <v>91109.059999999983</v>
      </c>
      <c r="K3647" s="58">
        <v>0</v>
      </c>
      <c r="L3647" s="58">
        <v>0</v>
      </c>
      <c r="M3647" s="58">
        <v>0</v>
      </c>
      <c r="N3647" s="58">
        <v>0</v>
      </c>
      <c r="O3647" s="58">
        <v>0</v>
      </c>
      <c r="P3647" s="53">
        <v>0</v>
      </c>
      <c r="Q3647" s="65">
        <v>91109.059999999983</v>
      </c>
      <c r="R3647" s="65">
        <v>0</v>
      </c>
      <c r="S3647" s="65">
        <v>0</v>
      </c>
      <c r="T3647" s="65">
        <v>0</v>
      </c>
      <c r="U3647" s="58">
        <v>0</v>
      </c>
      <c r="V3647" s="65">
        <v>0</v>
      </c>
      <c r="W3647" s="65">
        <v>0</v>
      </c>
      <c r="X3647" s="65">
        <v>0</v>
      </c>
      <c r="Y3647" s="65">
        <v>0</v>
      </c>
      <c r="Z3647" s="51">
        <v>91109.059999999983</v>
      </c>
      <c r="AA3647" s="51">
        <v>0</v>
      </c>
      <c r="AB3647" s="102">
        <v>0</v>
      </c>
      <c r="AC3647" s="81">
        <f t="shared" si="175"/>
        <v>0</v>
      </c>
      <c r="AD3647" s="82">
        <f t="shared" si="176"/>
        <v>0</v>
      </c>
      <c r="AE3647" s="218">
        <v>0</v>
      </c>
      <c r="AF3647">
        <v>0</v>
      </c>
      <c r="AH3647" t="str">
        <f t="shared" si="174"/>
        <v>Kalyanpur</v>
      </c>
      <c r="AJ3647" s="72">
        <v>0</v>
      </c>
      <c r="AK3647" s="72"/>
      <c r="AL3647" s="72"/>
      <c r="AM3647" s="72"/>
    </row>
    <row r="3648" spans="1:39" x14ac:dyDescent="0.25">
      <c r="A3648" s="37" t="s">
        <v>62</v>
      </c>
      <c r="B3648" s="66" t="s">
        <v>1676</v>
      </c>
      <c r="C3648" s="4">
        <v>1053</v>
      </c>
      <c r="D3648" s="41" t="s">
        <v>527</v>
      </c>
      <c r="E3648" s="41">
        <v>10530050</v>
      </c>
      <c r="F3648" s="85" t="s">
        <v>543</v>
      </c>
      <c r="G3648" s="39" t="s">
        <v>1610</v>
      </c>
      <c r="H3648" s="52" t="s">
        <v>98</v>
      </c>
      <c r="I3648" s="52">
        <v>270.5</v>
      </c>
      <c r="J3648" s="49">
        <v>14548.98</v>
      </c>
      <c r="K3648" s="58">
        <v>0</v>
      </c>
      <c r="L3648" s="58">
        <v>0</v>
      </c>
      <c r="M3648" s="58">
        <v>0</v>
      </c>
      <c r="N3648" s="58">
        <v>0</v>
      </c>
      <c r="O3648" s="58">
        <v>0</v>
      </c>
      <c r="P3648" s="53">
        <v>0</v>
      </c>
      <c r="Q3648" s="65">
        <v>14548.98</v>
      </c>
      <c r="R3648" s="65">
        <v>0</v>
      </c>
      <c r="S3648" s="65">
        <v>0</v>
      </c>
      <c r="T3648" s="65">
        <v>0</v>
      </c>
      <c r="U3648" s="58">
        <v>0</v>
      </c>
      <c r="V3648" s="65">
        <v>0</v>
      </c>
      <c r="W3648" s="65">
        <v>0</v>
      </c>
      <c r="X3648" s="65">
        <v>0</v>
      </c>
      <c r="Y3648" s="65">
        <v>0</v>
      </c>
      <c r="Z3648" s="51">
        <v>14548.98</v>
      </c>
      <c r="AA3648" s="51">
        <v>0</v>
      </c>
      <c r="AB3648" s="102">
        <v>0</v>
      </c>
      <c r="AC3648" s="81">
        <f t="shared" si="175"/>
        <v>462.01751645101666</v>
      </c>
      <c r="AD3648" s="82">
        <f t="shared" si="176"/>
        <v>38.642857142857146</v>
      </c>
      <c r="AE3648" s="218">
        <v>0</v>
      </c>
      <c r="AF3648">
        <v>0</v>
      </c>
      <c r="AH3648" t="str">
        <f t="shared" si="174"/>
        <v>Kalyanpur</v>
      </c>
      <c r="AJ3648" s="72">
        <v>0</v>
      </c>
      <c r="AK3648" s="72"/>
      <c r="AL3648" s="72"/>
      <c r="AM3648" s="72"/>
    </row>
    <row r="3649" spans="1:39" x14ac:dyDescent="0.25">
      <c r="A3649" s="37" t="s">
        <v>62</v>
      </c>
      <c r="B3649" s="66" t="s">
        <v>1676</v>
      </c>
      <c r="C3649" s="4">
        <v>1066</v>
      </c>
      <c r="D3649" s="41" t="s">
        <v>1501</v>
      </c>
      <c r="E3649" s="41">
        <v>10530054</v>
      </c>
      <c r="F3649" s="85" t="s">
        <v>1619</v>
      </c>
      <c r="G3649" s="39" t="s">
        <v>1610</v>
      </c>
      <c r="H3649" s="52" t="s">
        <v>98</v>
      </c>
      <c r="I3649" s="52">
        <v>3066.2000000000003</v>
      </c>
      <c r="J3649" s="49">
        <v>123882.29999999999</v>
      </c>
      <c r="K3649" s="58">
        <v>0</v>
      </c>
      <c r="L3649" s="58">
        <v>0</v>
      </c>
      <c r="M3649" s="58">
        <v>0</v>
      </c>
      <c r="N3649" s="58">
        <v>0</v>
      </c>
      <c r="O3649" s="58">
        <v>0</v>
      </c>
      <c r="P3649" s="53">
        <v>0</v>
      </c>
      <c r="Q3649" s="65">
        <v>123882.29999999999</v>
      </c>
      <c r="R3649" s="65">
        <v>0</v>
      </c>
      <c r="S3649" s="65">
        <v>0</v>
      </c>
      <c r="T3649" s="65">
        <v>0</v>
      </c>
      <c r="U3649" s="58">
        <v>0</v>
      </c>
      <c r="V3649" s="65">
        <v>0</v>
      </c>
      <c r="W3649" s="65">
        <v>0</v>
      </c>
      <c r="X3649" s="65">
        <v>0</v>
      </c>
      <c r="Y3649" s="65">
        <v>0</v>
      </c>
      <c r="Z3649" s="51">
        <v>123882.29999999999</v>
      </c>
      <c r="AA3649" s="51">
        <v>0</v>
      </c>
      <c r="AB3649" s="102">
        <v>0</v>
      </c>
      <c r="AC3649" s="81">
        <f t="shared" si="175"/>
        <v>0</v>
      </c>
      <c r="AD3649" s="82">
        <f t="shared" si="176"/>
        <v>0</v>
      </c>
      <c r="AE3649" s="218">
        <v>0</v>
      </c>
      <c r="AF3649">
        <v>0</v>
      </c>
      <c r="AH3649" t="str">
        <f t="shared" si="174"/>
        <v>Gaighat</v>
      </c>
      <c r="AJ3649" s="72">
        <v>0</v>
      </c>
      <c r="AK3649" s="72"/>
      <c r="AL3649" s="72"/>
      <c r="AM3649" s="72"/>
    </row>
    <row r="3650" spans="1:39" x14ac:dyDescent="0.25">
      <c r="A3650" s="37" t="s">
        <v>62</v>
      </c>
      <c r="B3650" s="66" t="s">
        <v>1676</v>
      </c>
      <c r="C3650" s="4">
        <v>1053</v>
      </c>
      <c r="D3650" s="41" t="s">
        <v>527</v>
      </c>
      <c r="E3650" s="41">
        <v>10530055</v>
      </c>
      <c r="F3650" s="85" t="s">
        <v>635</v>
      </c>
      <c r="G3650" s="39" t="s">
        <v>92</v>
      </c>
      <c r="H3650" s="52" t="s">
        <v>93</v>
      </c>
      <c r="I3650" s="52">
        <v>1712.3500000000001</v>
      </c>
      <c r="J3650" s="49">
        <v>72801.03</v>
      </c>
      <c r="K3650" s="58">
        <v>1697.5400000000002</v>
      </c>
      <c r="L3650" s="58">
        <v>71154.689999999988</v>
      </c>
      <c r="M3650" s="58">
        <v>24.78</v>
      </c>
      <c r="N3650" s="58">
        <v>1050.45</v>
      </c>
      <c r="O3650" s="58">
        <v>1722.3200000000002</v>
      </c>
      <c r="P3650" s="53">
        <v>72205.139999999985</v>
      </c>
      <c r="Q3650" s="65">
        <v>72205.139999999985</v>
      </c>
      <c r="R3650" s="65">
        <v>0</v>
      </c>
      <c r="S3650" s="65">
        <v>1050.45</v>
      </c>
      <c r="T3650" s="65">
        <v>0</v>
      </c>
      <c r="U3650" s="58">
        <v>5276</v>
      </c>
      <c r="V3650" s="65">
        <v>0</v>
      </c>
      <c r="W3650" s="65">
        <v>0</v>
      </c>
      <c r="X3650" s="65">
        <v>65877</v>
      </c>
      <c r="Y3650" s="65">
        <v>0</v>
      </c>
      <c r="Z3650" s="51">
        <v>0</v>
      </c>
      <c r="AA3650" s="51">
        <v>598</v>
      </c>
      <c r="AB3650" s="102">
        <v>0</v>
      </c>
      <c r="AC3650" s="81">
        <f t="shared" si="175"/>
        <v>0</v>
      </c>
      <c r="AD3650" s="82">
        <f t="shared" si="176"/>
        <v>0</v>
      </c>
      <c r="AE3650" s="218">
        <v>8.1851863909070243E-3</v>
      </c>
      <c r="AF3650">
        <v>49</v>
      </c>
      <c r="AH3650" t="str">
        <f t="shared" si="174"/>
        <v>Kalyanpur</v>
      </c>
      <c r="AJ3650" s="72">
        <v>0</v>
      </c>
      <c r="AK3650" s="72"/>
      <c r="AL3650" s="72"/>
      <c r="AM3650" s="72"/>
    </row>
    <row r="3651" spans="1:39" x14ac:dyDescent="0.25">
      <c r="A3651" s="37" t="s">
        <v>62</v>
      </c>
      <c r="B3651" s="66" t="s">
        <v>1676</v>
      </c>
      <c r="C3651" s="4">
        <v>1053</v>
      </c>
      <c r="D3651" s="41" t="s">
        <v>527</v>
      </c>
      <c r="E3651" s="41">
        <v>10530057</v>
      </c>
      <c r="F3651" s="85" t="s">
        <v>636</v>
      </c>
      <c r="G3651" s="39" t="s">
        <v>1610</v>
      </c>
      <c r="H3651" s="52" t="s">
        <v>98</v>
      </c>
      <c r="I3651" s="52">
        <v>76.2</v>
      </c>
      <c r="J3651" s="49">
        <v>3260.38</v>
      </c>
      <c r="K3651" s="58">
        <v>0</v>
      </c>
      <c r="L3651" s="58">
        <v>0</v>
      </c>
      <c r="M3651" s="58">
        <v>0</v>
      </c>
      <c r="N3651" s="58">
        <v>0</v>
      </c>
      <c r="O3651" s="58">
        <v>0</v>
      </c>
      <c r="P3651" s="53">
        <v>0</v>
      </c>
      <c r="Q3651" s="65">
        <v>3260.38</v>
      </c>
      <c r="R3651" s="65">
        <v>0</v>
      </c>
      <c r="S3651" s="65">
        <v>0</v>
      </c>
      <c r="T3651" s="65">
        <v>0</v>
      </c>
      <c r="U3651" s="58">
        <v>0</v>
      </c>
      <c r="V3651" s="65">
        <v>0</v>
      </c>
      <c r="W3651" s="65">
        <v>0</v>
      </c>
      <c r="X3651" s="65">
        <v>0</v>
      </c>
      <c r="Y3651" s="65">
        <v>0</v>
      </c>
      <c r="Z3651" s="51">
        <v>3260.38</v>
      </c>
      <c r="AA3651" s="51">
        <v>0</v>
      </c>
      <c r="AB3651" s="102">
        <v>0</v>
      </c>
      <c r="AC3651" s="81">
        <f t="shared" si="175"/>
        <v>533.81234750656176</v>
      </c>
      <c r="AD3651" s="82">
        <f t="shared" si="176"/>
        <v>10.885714285714286</v>
      </c>
      <c r="AE3651" s="218">
        <v>0</v>
      </c>
      <c r="AF3651">
        <v>0</v>
      </c>
      <c r="AH3651" t="str">
        <f t="shared" si="174"/>
        <v>Kalyanpur</v>
      </c>
      <c r="AJ3651" s="72">
        <v>0</v>
      </c>
      <c r="AK3651" s="72"/>
      <c r="AL3651" s="72"/>
      <c r="AM3651" s="72"/>
    </row>
    <row r="3652" spans="1:39" x14ac:dyDescent="0.25">
      <c r="A3652" s="37" t="s">
        <v>62</v>
      </c>
      <c r="B3652" s="66" t="s">
        <v>1676</v>
      </c>
      <c r="C3652" s="4">
        <v>1053</v>
      </c>
      <c r="D3652" s="41" t="s">
        <v>527</v>
      </c>
      <c r="E3652" s="41">
        <v>10530058</v>
      </c>
      <c r="F3652" s="85" t="s">
        <v>654</v>
      </c>
      <c r="G3652" s="39" t="s">
        <v>92</v>
      </c>
      <c r="H3652" s="52" t="s">
        <v>93</v>
      </c>
      <c r="I3652" s="52">
        <v>112.15</v>
      </c>
      <c r="J3652" s="49">
        <v>4150.0599999999995</v>
      </c>
      <c r="K3652" s="58">
        <v>109.62</v>
      </c>
      <c r="L3652" s="58">
        <v>4147.3</v>
      </c>
      <c r="M3652" s="58">
        <v>0</v>
      </c>
      <c r="N3652" s="58">
        <v>0</v>
      </c>
      <c r="O3652" s="58">
        <v>109.62</v>
      </c>
      <c r="P3652" s="53">
        <v>4147.3</v>
      </c>
      <c r="Q3652" s="65">
        <v>4147.3</v>
      </c>
      <c r="R3652" s="65">
        <v>0</v>
      </c>
      <c r="S3652" s="65">
        <v>0</v>
      </c>
      <c r="T3652" s="65">
        <v>0</v>
      </c>
      <c r="U3652" s="58">
        <v>0</v>
      </c>
      <c r="V3652" s="65">
        <v>500</v>
      </c>
      <c r="W3652" s="65">
        <v>0</v>
      </c>
      <c r="X3652" s="65">
        <v>3647</v>
      </c>
      <c r="Y3652" s="65">
        <v>0</v>
      </c>
      <c r="Z3652" s="51">
        <v>0</v>
      </c>
      <c r="AA3652" s="51">
        <v>3</v>
      </c>
      <c r="AB3652" s="102" t="s">
        <v>66</v>
      </c>
      <c r="AC3652" s="81">
        <f t="shared" si="175"/>
        <v>435.06246473473027</v>
      </c>
      <c r="AD3652" s="82">
        <f t="shared" si="176"/>
        <v>16.021428571428572</v>
      </c>
      <c r="AE3652" s="218">
        <v>6.6505062577391872E-4</v>
      </c>
      <c r="AF3652">
        <v>5</v>
      </c>
      <c r="AH3652" t="str">
        <f t="shared" si="174"/>
        <v>Kalyanpur</v>
      </c>
      <c r="AJ3652" s="72">
        <v>500</v>
      </c>
      <c r="AK3652" s="72"/>
      <c r="AL3652" s="72"/>
      <c r="AM3652" s="72"/>
    </row>
    <row r="3653" spans="1:39" x14ac:dyDescent="0.25">
      <c r="A3653" s="37" t="s">
        <v>62</v>
      </c>
      <c r="B3653" s="66" t="s">
        <v>1676</v>
      </c>
      <c r="C3653" s="4">
        <v>1053</v>
      </c>
      <c r="D3653" s="41" t="s">
        <v>527</v>
      </c>
      <c r="E3653" s="41">
        <v>10530059</v>
      </c>
      <c r="F3653" s="85" t="s">
        <v>637</v>
      </c>
      <c r="G3653" s="39" t="s">
        <v>1610</v>
      </c>
      <c r="H3653" s="52" t="s">
        <v>98</v>
      </c>
      <c r="I3653" s="52">
        <v>1683.1999999999998</v>
      </c>
      <c r="J3653" s="49">
        <v>76244.559999999983</v>
      </c>
      <c r="K3653" s="58">
        <v>0</v>
      </c>
      <c r="L3653" s="58">
        <v>0</v>
      </c>
      <c r="M3653" s="58">
        <v>0</v>
      </c>
      <c r="N3653" s="58">
        <v>0</v>
      </c>
      <c r="O3653" s="58">
        <v>0</v>
      </c>
      <c r="P3653" s="53">
        <v>0</v>
      </c>
      <c r="Q3653" s="65">
        <v>76244.559999999983</v>
      </c>
      <c r="R3653" s="65">
        <v>0</v>
      </c>
      <c r="S3653" s="65">
        <v>0</v>
      </c>
      <c r="T3653" s="65">
        <v>0</v>
      </c>
      <c r="U3653" s="58">
        <v>0</v>
      </c>
      <c r="V3653" s="65">
        <v>0</v>
      </c>
      <c r="W3653" s="65">
        <v>0</v>
      </c>
      <c r="X3653" s="65">
        <v>0</v>
      </c>
      <c r="Y3653" s="65">
        <v>0</v>
      </c>
      <c r="Z3653" s="51">
        <v>76244.559999999983</v>
      </c>
      <c r="AA3653" s="51">
        <v>0</v>
      </c>
      <c r="AB3653" s="102">
        <v>0</v>
      </c>
      <c r="AC3653" s="81">
        <f t="shared" si="175"/>
        <v>0</v>
      </c>
      <c r="AD3653" s="82">
        <f t="shared" si="176"/>
        <v>0</v>
      </c>
      <c r="AE3653" s="218">
        <v>0</v>
      </c>
      <c r="AF3653">
        <v>0</v>
      </c>
      <c r="AH3653" t="str">
        <f t="shared" si="174"/>
        <v>Kalyanpur</v>
      </c>
      <c r="AJ3653" s="72">
        <v>0</v>
      </c>
      <c r="AK3653" s="72"/>
      <c r="AL3653" s="72"/>
      <c r="AM3653" s="72"/>
    </row>
    <row r="3654" spans="1:39" x14ac:dyDescent="0.25">
      <c r="A3654" s="37" t="s">
        <v>62</v>
      </c>
      <c r="B3654" s="66" t="s">
        <v>1676</v>
      </c>
      <c r="C3654" s="4">
        <v>1053</v>
      </c>
      <c r="D3654" s="41" t="s">
        <v>527</v>
      </c>
      <c r="E3654" s="41">
        <v>10530060</v>
      </c>
      <c r="F3654" s="85" t="s">
        <v>655</v>
      </c>
      <c r="G3654" s="39" t="s">
        <v>1610</v>
      </c>
      <c r="H3654" s="52" t="s">
        <v>98</v>
      </c>
      <c r="I3654" s="52">
        <v>2242.2999999999997</v>
      </c>
      <c r="J3654" s="49">
        <v>95147.26999999999</v>
      </c>
      <c r="K3654" s="58">
        <v>0</v>
      </c>
      <c r="L3654" s="58">
        <v>0</v>
      </c>
      <c r="M3654" s="58">
        <v>0</v>
      </c>
      <c r="N3654" s="58">
        <v>0</v>
      </c>
      <c r="O3654" s="58">
        <v>0</v>
      </c>
      <c r="P3654" s="53">
        <v>0</v>
      </c>
      <c r="Q3654" s="65">
        <v>95147.26999999999</v>
      </c>
      <c r="R3654" s="65">
        <v>0</v>
      </c>
      <c r="S3654" s="65">
        <v>0</v>
      </c>
      <c r="T3654" s="65">
        <v>0</v>
      </c>
      <c r="U3654" s="58">
        <v>0</v>
      </c>
      <c r="V3654" s="65">
        <v>0</v>
      </c>
      <c r="W3654" s="65">
        <v>0</v>
      </c>
      <c r="X3654" s="65">
        <v>0</v>
      </c>
      <c r="Y3654" s="65">
        <v>0</v>
      </c>
      <c r="Z3654" s="51">
        <v>95147.26999999999</v>
      </c>
      <c r="AA3654" s="51">
        <v>0</v>
      </c>
      <c r="AB3654" s="102">
        <v>0</v>
      </c>
      <c r="AC3654" s="81">
        <f t="shared" si="175"/>
        <v>0</v>
      </c>
      <c r="AD3654" s="82">
        <f t="shared" si="176"/>
        <v>0</v>
      </c>
      <c r="AE3654" s="218">
        <v>0</v>
      </c>
      <c r="AF3654">
        <v>0</v>
      </c>
      <c r="AH3654" t="str">
        <f t="shared" si="174"/>
        <v>Kalyanpur</v>
      </c>
      <c r="AJ3654" s="72">
        <v>0</v>
      </c>
      <c r="AK3654" s="72"/>
      <c r="AL3654" s="72"/>
      <c r="AM3654" s="72"/>
    </row>
    <row r="3655" spans="1:39" x14ac:dyDescent="0.25">
      <c r="A3655" s="37" t="s">
        <v>62</v>
      </c>
      <c r="B3655" s="66" t="s">
        <v>1676</v>
      </c>
      <c r="C3655" s="4">
        <v>1053</v>
      </c>
      <c r="D3655" s="41" t="s">
        <v>527</v>
      </c>
      <c r="E3655" s="41">
        <v>10530062</v>
      </c>
      <c r="F3655" s="85" t="s">
        <v>661</v>
      </c>
      <c r="G3655" s="39" t="s">
        <v>92</v>
      </c>
      <c r="H3655" s="52" t="s">
        <v>93</v>
      </c>
      <c r="I3655" s="52">
        <v>1229.6499999999999</v>
      </c>
      <c r="J3655" s="49">
        <v>54345.520000000004</v>
      </c>
      <c r="K3655" s="58">
        <v>1228.5600000000002</v>
      </c>
      <c r="L3655" s="58">
        <v>53739.360000000008</v>
      </c>
      <c r="M3655" s="58">
        <v>5.9600000000000009</v>
      </c>
      <c r="N3655" s="58">
        <v>291.69</v>
      </c>
      <c r="O3655" s="58">
        <v>1234.5200000000002</v>
      </c>
      <c r="P3655" s="53">
        <v>54031.05000000001</v>
      </c>
      <c r="Q3655" s="65">
        <v>54031.05000000001</v>
      </c>
      <c r="R3655" s="65">
        <v>0</v>
      </c>
      <c r="S3655" s="65">
        <v>291.69</v>
      </c>
      <c r="T3655" s="65">
        <v>0</v>
      </c>
      <c r="U3655" s="58">
        <v>0</v>
      </c>
      <c r="V3655" s="65">
        <v>0</v>
      </c>
      <c r="W3655" s="65">
        <v>0</v>
      </c>
      <c r="X3655" s="65">
        <v>53740</v>
      </c>
      <c r="Y3655" s="65">
        <v>0</v>
      </c>
      <c r="Z3655" s="51">
        <v>0</v>
      </c>
      <c r="AA3655" s="51">
        <v>314</v>
      </c>
      <c r="AB3655" s="102">
        <v>0</v>
      </c>
      <c r="AC3655" s="81">
        <f t="shared" si="175"/>
        <v>0</v>
      </c>
      <c r="AD3655" s="82">
        <f t="shared" si="176"/>
        <v>0</v>
      </c>
      <c r="AE3655" s="218">
        <v>5.7864935324934575E-3</v>
      </c>
      <c r="AF3655">
        <v>9</v>
      </c>
      <c r="AH3655" t="str">
        <f t="shared" si="174"/>
        <v>Kalyanpur</v>
      </c>
      <c r="AJ3655" s="72">
        <v>0</v>
      </c>
      <c r="AK3655" s="72"/>
      <c r="AL3655" s="72"/>
      <c r="AM3655" s="72"/>
    </row>
    <row r="3656" spans="1:39" x14ac:dyDescent="0.25">
      <c r="A3656" s="37" t="s">
        <v>62</v>
      </c>
      <c r="B3656" s="66" t="s">
        <v>1676</v>
      </c>
      <c r="C3656" s="4">
        <v>1053</v>
      </c>
      <c r="D3656" s="41" t="s">
        <v>527</v>
      </c>
      <c r="E3656" s="41">
        <v>10530063</v>
      </c>
      <c r="F3656" s="85" t="s">
        <v>662</v>
      </c>
      <c r="G3656" s="39" t="s">
        <v>1610</v>
      </c>
      <c r="H3656" s="52" t="s">
        <v>98</v>
      </c>
      <c r="I3656" s="52">
        <v>247.85</v>
      </c>
      <c r="J3656" s="49">
        <v>12029.869999999999</v>
      </c>
      <c r="K3656" s="58">
        <v>0</v>
      </c>
      <c r="L3656" s="58">
        <v>0</v>
      </c>
      <c r="M3656" s="58">
        <v>0</v>
      </c>
      <c r="N3656" s="58">
        <v>0</v>
      </c>
      <c r="O3656" s="58">
        <v>0</v>
      </c>
      <c r="P3656" s="53">
        <v>0</v>
      </c>
      <c r="Q3656" s="65">
        <v>12029.869999999999</v>
      </c>
      <c r="R3656" s="65">
        <v>0</v>
      </c>
      <c r="S3656" s="65">
        <v>0</v>
      </c>
      <c r="T3656" s="65">
        <v>0</v>
      </c>
      <c r="U3656" s="58">
        <v>1650</v>
      </c>
      <c r="V3656" s="65">
        <v>0</v>
      </c>
      <c r="W3656" s="65">
        <v>0</v>
      </c>
      <c r="X3656" s="65">
        <v>0</v>
      </c>
      <c r="Y3656" s="65">
        <v>0</v>
      </c>
      <c r="Z3656" s="51">
        <v>10379.869999999999</v>
      </c>
      <c r="AA3656" s="51">
        <v>0</v>
      </c>
      <c r="AB3656" s="102">
        <v>0</v>
      </c>
      <c r="AC3656" s="81">
        <f t="shared" si="175"/>
        <v>438.91916243695778</v>
      </c>
      <c r="AD3656" s="82">
        <f t="shared" si="176"/>
        <v>35.407142857142858</v>
      </c>
      <c r="AE3656" s="218">
        <v>0</v>
      </c>
      <c r="AF3656">
        <v>0</v>
      </c>
      <c r="AH3656" t="str">
        <f t="shared" si="174"/>
        <v>Kalyanpur</v>
      </c>
      <c r="AJ3656" s="72">
        <v>0</v>
      </c>
      <c r="AK3656" s="72"/>
      <c r="AL3656" s="72"/>
      <c r="AM3656" s="72"/>
    </row>
    <row r="3657" spans="1:39" x14ac:dyDescent="0.25">
      <c r="A3657" s="37" t="s">
        <v>62</v>
      </c>
      <c r="B3657" s="66" t="s">
        <v>1676</v>
      </c>
      <c r="C3657" s="4">
        <v>1053</v>
      </c>
      <c r="D3657" s="41" t="s">
        <v>527</v>
      </c>
      <c r="E3657" s="41">
        <v>10530064</v>
      </c>
      <c r="F3657" s="85" t="s">
        <v>809</v>
      </c>
      <c r="G3657" s="39" t="s">
        <v>92</v>
      </c>
      <c r="H3657" s="52" t="s">
        <v>93</v>
      </c>
      <c r="I3657" s="52">
        <v>1066.3</v>
      </c>
      <c r="J3657" s="49">
        <v>47363.14</v>
      </c>
      <c r="K3657" s="58">
        <v>1069.6400000000003</v>
      </c>
      <c r="L3657" s="58">
        <v>45699.17</v>
      </c>
      <c r="M3657" s="58">
        <v>34.540000000000006</v>
      </c>
      <c r="N3657" s="58">
        <v>1547.08</v>
      </c>
      <c r="O3657" s="58">
        <v>1104.1800000000003</v>
      </c>
      <c r="P3657" s="53">
        <v>47246.25</v>
      </c>
      <c r="Q3657" s="65">
        <v>47246.25</v>
      </c>
      <c r="R3657" s="65">
        <v>0</v>
      </c>
      <c r="S3657" s="65">
        <v>1547.08</v>
      </c>
      <c r="T3657" s="65">
        <v>0</v>
      </c>
      <c r="U3657" s="58">
        <v>4611.5</v>
      </c>
      <c r="V3657" s="65">
        <v>0</v>
      </c>
      <c r="W3657" s="65">
        <v>0</v>
      </c>
      <c r="X3657" s="65">
        <v>41088</v>
      </c>
      <c r="Y3657" s="65">
        <v>0</v>
      </c>
      <c r="Z3657" s="51">
        <v>0</v>
      </c>
      <c r="AA3657" s="51">
        <v>117</v>
      </c>
      <c r="AB3657" s="102">
        <v>0</v>
      </c>
      <c r="AC3657" s="81">
        <f t="shared" si="175"/>
        <v>0</v>
      </c>
      <c r="AD3657" s="82">
        <f t="shared" si="176"/>
        <v>0</v>
      </c>
      <c r="AE3657" s="218">
        <v>2.4679529271074388E-3</v>
      </c>
      <c r="AF3657">
        <v>33</v>
      </c>
      <c r="AH3657" t="str">
        <f t="shared" si="174"/>
        <v>Kalyanpur</v>
      </c>
      <c r="AJ3657" s="72">
        <v>0</v>
      </c>
      <c r="AK3657" s="72"/>
      <c r="AL3657" s="72"/>
      <c r="AM3657" s="72"/>
    </row>
    <row r="3658" spans="1:39" x14ac:dyDescent="0.25">
      <c r="A3658" s="37" t="s">
        <v>62</v>
      </c>
      <c r="B3658" s="66" t="s">
        <v>1676</v>
      </c>
      <c r="C3658" s="4">
        <v>1053</v>
      </c>
      <c r="D3658" s="41" t="s">
        <v>527</v>
      </c>
      <c r="E3658" s="41">
        <v>10530065</v>
      </c>
      <c r="F3658" s="85" t="s">
        <v>811</v>
      </c>
      <c r="G3658" s="39" t="s">
        <v>92</v>
      </c>
      <c r="H3658" s="52" t="s">
        <v>93</v>
      </c>
      <c r="I3658" s="52">
        <v>909.75</v>
      </c>
      <c r="J3658" s="49">
        <v>36645.42</v>
      </c>
      <c r="K3658" s="58">
        <v>902.19999999999993</v>
      </c>
      <c r="L3658" s="58">
        <v>36092.29</v>
      </c>
      <c r="M3658" s="58">
        <v>9.85</v>
      </c>
      <c r="N3658" s="58">
        <v>413.48000000000008</v>
      </c>
      <c r="O3658" s="58">
        <v>912.05</v>
      </c>
      <c r="P3658" s="53">
        <v>36505.770000000004</v>
      </c>
      <c r="Q3658" s="65">
        <v>36505.770000000004</v>
      </c>
      <c r="R3658" s="65">
        <v>748</v>
      </c>
      <c r="S3658" s="65">
        <v>413.48000000000008</v>
      </c>
      <c r="T3658" s="65">
        <v>0</v>
      </c>
      <c r="U3658" s="58">
        <v>9996.7999999999993</v>
      </c>
      <c r="V3658" s="65">
        <v>0</v>
      </c>
      <c r="W3658" s="65">
        <v>0</v>
      </c>
      <c r="X3658" s="65">
        <v>25346</v>
      </c>
      <c r="Y3658" s="65">
        <v>0</v>
      </c>
      <c r="Z3658" s="51">
        <v>0</v>
      </c>
      <c r="AA3658" s="51">
        <v>141</v>
      </c>
      <c r="AB3658" s="102">
        <v>0</v>
      </c>
      <c r="AC3658" s="81">
        <f t="shared" si="175"/>
        <v>0</v>
      </c>
      <c r="AD3658" s="82">
        <f t="shared" si="176"/>
        <v>0</v>
      </c>
      <c r="AE3658" s="218">
        <v>3.8108445748471212E-3</v>
      </c>
      <c r="AF3658">
        <v>9</v>
      </c>
      <c r="AH3658" t="str">
        <f t="shared" si="174"/>
        <v>Kalyanpur</v>
      </c>
      <c r="AJ3658" s="72">
        <v>0</v>
      </c>
      <c r="AK3658" s="72"/>
      <c r="AL3658" s="72"/>
      <c r="AM3658" s="72"/>
    </row>
    <row r="3659" spans="1:39" x14ac:dyDescent="0.25">
      <c r="A3659" s="37" t="s">
        <v>62</v>
      </c>
      <c r="B3659" s="66" t="s">
        <v>1676</v>
      </c>
      <c r="C3659" s="4">
        <v>1053</v>
      </c>
      <c r="D3659" s="41" t="s">
        <v>527</v>
      </c>
      <c r="E3659" s="41">
        <v>10530067</v>
      </c>
      <c r="F3659" s="85" t="s">
        <v>818</v>
      </c>
      <c r="G3659" s="39" t="s">
        <v>92</v>
      </c>
      <c r="H3659" s="52" t="s">
        <v>93</v>
      </c>
      <c r="I3659" s="52">
        <v>477.34999999999997</v>
      </c>
      <c r="J3659" s="49">
        <v>22086.91</v>
      </c>
      <c r="K3659" s="58">
        <v>495.01</v>
      </c>
      <c r="L3659" s="58">
        <v>21482.969999999998</v>
      </c>
      <c r="M3659" s="58">
        <v>13.55</v>
      </c>
      <c r="N3659" s="58">
        <v>593.17000000000007</v>
      </c>
      <c r="O3659" s="58">
        <v>508.56</v>
      </c>
      <c r="P3659" s="53">
        <v>22076.14</v>
      </c>
      <c r="Q3659" s="65">
        <v>22076.14</v>
      </c>
      <c r="R3659" s="65">
        <v>0</v>
      </c>
      <c r="S3659" s="65">
        <v>593.17000000000007</v>
      </c>
      <c r="T3659" s="65">
        <v>0</v>
      </c>
      <c r="U3659" s="58">
        <v>1550</v>
      </c>
      <c r="V3659" s="65">
        <v>0</v>
      </c>
      <c r="W3659" s="65">
        <v>0</v>
      </c>
      <c r="X3659" s="65">
        <v>19933</v>
      </c>
      <c r="Y3659" s="65">
        <v>0</v>
      </c>
      <c r="Z3659" s="51">
        <v>0</v>
      </c>
      <c r="AA3659" s="51">
        <v>11</v>
      </c>
      <c r="AB3659" s="102">
        <v>0</v>
      </c>
      <c r="AC3659" s="81">
        <f t="shared" si="175"/>
        <v>206.03961502042532</v>
      </c>
      <c r="AD3659" s="82">
        <f t="shared" si="176"/>
        <v>68.192857142857136</v>
      </c>
      <c r="AE3659" s="218">
        <v>4.876191373080452E-4</v>
      </c>
      <c r="AF3659">
        <v>20</v>
      </c>
      <c r="AH3659" t="str">
        <f t="shared" si="174"/>
        <v>Kalyanpur</v>
      </c>
      <c r="AJ3659" s="72">
        <v>0</v>
      </c>
      <c r="AK3659" s="72"/>
      <c r="AL3659" s="72"/>
      <c r="AM3659" s="72"/>
    </row>
    <row r="3660" spans="1:39" x14ac:dyDescent="0.25">
      <c r="A3660" s="37" t="s">
        <v>62</v>
      </c>
      <c r="B3660" s="66" t="s">
        <v>1676</v>
      </c>
      <c r="C3660" s="4">
        <v>1066</v>
      </c>
      <c r="D3660" s="41" t="s">
        <v>1501</v>
      </c>
      <c r="E3660" s="41">
        <v>10530069</v>
      </c>
      <c r="F3660" s="85" t="s">
        <v>1603</v>
      </c>
      <c r="G3660" s="39" t="s">
        <v>1610</v>
      </c>
      <c r="H3660" s="52" t="s">
        <v>98</v>
      </c>
      <c r="I3660" s="52">
        <v>786.40000000000009</v>
      </c>
      <c r="J3660" s="49">
        <v>33246.730000000003</v>
      </c>
      <c r="K3660" s="58">
        <v>0</v>
      </c>
      <c r="L3660" s="58">
        <v>0</v>
      </c>
      <c r="M3660" s="58">
        <v>0</v>
      </c>
      <c r="N3660" s="58">
        <v>0</v>
      </c>
      <c r="O3660" s="58">
        <v>0</v>
      </c>
      <c r="P3660" s="53">
        <v>0</v>
      </c>
      <c r="Q3660" s="65">
        <v>33246.730000000003</v>
      </c>
      <c r="R3660" s="65">
        <v>0</v>
      </c>
      <c r="S3660" s="65">
        <v>0</v>
      </c>
      <c r="T3660" s="65">
        <v>0</v>
      </c>
      <c r="U3660" s="58">
        <v>1400</v>
      </c>
      <c r="V3660" s="65">
        <v>0</v>
      </c>
      <c r="W3660" s="65">
        <v>0</v>
      </c>
      <c r="X3660" s="65">
        <v>0</v>
      </c>
      <c r="Y3660" s="65">
        <v>0</v>
      </c>
      <c r="Z3660" s="51">
        <v>31846.730000000003</v>
      </c>
      <c r="AA3660" s="51">
        <v>0</v>
      </c>
      <c r="AB3660" s="102">
        <v>0</v>
      </c>
      <c r="AC3660" s="81">
        <f t="shared" si="175"/>
        <v>0</v>
      </c>
      <c r="AD3660" s="82">
        <f t="shared" si="176"/>
        <v>0</v>
      </c>
      <c r="AE3660" s="218">
        <v>0</v>
      </c>
      <c r="AF3660">
        <v>0</v>
      </c>
      <c r="AH3660" t="str">
        <f t="shared" si="174"/>
        <v>Gaighat</v>
      </c>
      <c r="AJ3660" s="72">
        <v>0</v>
      </c>
      <c r="AK3660" s="72"/>
      <c r="AL3660" s="72"/>
      <c r="AM3660" s="72"/>
    </row>
    <row r="3661" spans="1:39" x14ac:dyDescent="0.25">
      <c r="A3661" s="37" t="s">
        <v>62</v>
      </c>
      <c r="B3661" s="66" t="s">
        <v>1676</v>
      </c>
      <c r="C3661" s="4">
        <v>1053</v>
      </c>
      <c r="D3661" s="41" t="s">
        <v>527</v>
      </c>
      <c r="E3661" s="41">
        <v>10530070</v>
      </c>
      <c r="F3661" s="85" t="s">
        <v>828</v>
      </c>
      <c r="G3661" s="39" t="s">
        <v>92</v>
      </c>
      <c r="H3661" s="52" t="s">
        <v>93</v>
      </c>
      <c r="I3661" s="52">
        <v>353.40000000000003</v>
      </c>
      <c r="J3661" s="49">
        <v>17647.36</v>
      </c>
      <c r="K3661" s="58">
        <v>357.85999999999996</v>
      </c>
      <c r="L3661" s="58">
        <v>17306.66</v>
      </c>
      <c r="M3661" s="58">
        <v>6.7999999999999989</v>
      </c>
      <c r="N3661" s="58">
        <v>338.35000000000008</v>
      </c>
      <c r="O3661" s="58">
        <v>364.65999999999997</v>
      </c>
      <c r="P3661" s="53">
        <v>17645.009999999998</v>
      </c>
      <c r="Q3661" s="65">
        <v>17645.009999999998</v>
      </c>
      <c r="R3661" s="65">
        <v>0</v>
      </c>
      <c r="S3661" s="65">
        <v>338.35000000000008</v>
      </c>
      <c r="T3661" s="65">
        <v>0</v>
      </c>
      <c r="U3661" s="58">
        <v>1293</v>
      </c>
      <c r="V3661" s="65">
        <v>500</v>
      </c>
      <c r="W3661" s="65">
        <v>0</v>
      </c>
      <c r="X3661" s="65">
        <v>15516</v>
      </c>
      <c r="Y3661" s="65">
        <v>0</v>
      </c>
      <c r="Z3661" s="51">
        <v>0</v>
      </c>
      <c r="AA3661" s="51">
        <v>0</v>
      </c>
      <c r="AB3661" s="102">
        <v>0</v>
      </c>
      <c r="AC3661" s="81">
        <f t="shared" si="175"/>
        <v>346.15591262026027</v>
      </c>
      <c r="AD3661" s="82">
        <f t="shared" si="176"/>
        <v>50.485714285714288</v>
      </c>
      <c r="AE3661" s="218">
        <v>1.3316439399446619E-4</v>
      </c>
      <c r="AF3661">
        <v>15</v>
      </c>
      <c r="AH3661" t="str">
        <f t="shared" si="174"/>
        <v>Kalyanpur</v>
      </c>
      <c r="AJ3661" s="72">
        <v>500</v>
      </c>
      <c r="AK3661" s="72"/>
      <c r="AL3661" s="72"/>
      <c r="AM3661" s="72"/>
    </row>
    <row r="3662" spans="1:39" x14ac:dyDescent="0.25">
      <c r="A3662" s="37" t="s">
        <v>62</v>
      </c>
      <c r="B3662" s="66" t="s">
        <v>1676</v>
      </c>
      <c r="C3662" s="4">
        <v>1053</v>
      </c>
      <c r="D3662" s="41" t="s">
        <v>527</v>
      </c>
      <c r="E3662" s="41">
        <v>10530071</v>
      </c>
      <c r="F3662" s="85" t="s">
        <v>829</v>
      </c>
      <c r="G3662" s="39" t="s">
        <v>92</v>
      </c>
      <c r="H3662" s="52" t="s">
        <v>93</v>
      </c>
      <c r="I3662" s="52">
        <v>453.25</v>
      </c>
      <c r="J3662" s="49">
        <v>22379.960000000003</v>
      </c>
      <c r="K3662" s="58">
        <v>458.4799999999999</v>
      </c>
      <c r="L3662" s="58">
        <v>22296.080000000002</v>
      </c>
      <c r="M3662" s="58">
        <v>0</v>
      </c>
      <c r="N3662" s="58">
        <v>0</v>
      </c>
      <c r="O3662" s="58">
        <v>458.4799999999999</v>
      </c>
      <c r="P3662" s="53">
        <v>22296.080000000002</v>
      </c>
      <c r="Q3662" s="65">
        <v>22296.080000000002</v>
      </c>
      <c r="R3662" s="65">
        <v>0</v>
      </c>
      <c r="S3662" s="65">
        <v>0</v>
      </c>
      <c r="T3662" s="65">
        <v>0</v>
      </c>
      <c r="U3662" s="58">
        <v>0</v>
      </c>
      <c r="V3662" s="65">
        <v>0</v>
      </c>
      <c r="W3662" s="65">
        <v>0</v>
      </c>
      <c r="X3662" s="65">
        <v>22294</v>
      </c>
      <c r="Y3662" s="65">
        <v>0</v>
      </c>
      <c r="Z3662" s="51">
        <v>0</v>
      </c>
      <c r="AA3662" s="51">
        <v>86</v>
      </c>
      <c r="AB3662" s="102">
        <v>0</v>
      </c>
      <c r="AC3662" s="81">
        <f t="shared" si="175"/>
        <v>243.67369575289581</v>
      </c>
      <c r="AD3662" s="82">
        <f t="shared" si="176"/>
        <v>64.75</v>
      </c>
      <c r="AE3662" s="218">
        <v>3.7479959749705098E-3</v>
      </c>
      <c r="AF3662">
        <v>10</v>
      </c>
      <c r="AH3662" t="str">
        <f t="shared" si="174"/>
        <v>Kalyanpur</v>
      </c>
      <c r="AJ3662" s="72">
        <v>0</v>
      </c>
      <c r="AK3662" s="72"/>
      <c r="AL3662" s="72"/>
      <c r="AM3662" s="72"/>
    </row>
    <row r="3663" spans="1:39" x14ac:dyDescent="0.25">
      <c r="A3663" s="37" t="s">
        <v>62</v>
      </c>
      <c r="B3663" s="66" t="s">
        <v>1676</v>
      </c>
      <c r="C3663" s="4">
        <v>1053</v>
      </c>
      <c r="D3663" s="41" t="s">
        <v>527</v>
      </c>
      <c r="E3663" s="41">
        <v>10530072</v>
      </c>
      <c r="F3663" s="85" t="s">
        <v>819</v>
      </c>
      <c r="G3663" s="39" t="s">
        <v>1610</v>
      </c>
      <c r="H3663" s="52" t="s">
        <v>98</v>
      </c>
      <c r="I3663" s="52">
        <v>793.19999999999993</v>
      </c>
      <c r="J3663" s="49">
        <v>47734.21</v>
      </c>
      <c r="K3663" s="58">
        <v>0</v>
      </c>
      <c r="L3663" s="58">
        <v>0</v>
      </c>
      <c r="M3663" s="58">
        <v>0</v>
      </c>
      <c r="N3663" s="58">
        <v>0</v>
      </c>
      <c r="O3663" s="58">
        <v>0</v>
      </c>
      <c r="P3663" s="53">
        <v>0</v>
      </c>
      <c r="Q3663" s="65">
        <v>47734.21</v>
      </c>
      <c r="R3663" s="65">
        <v>0</v>
      </c>
      <c r="S3663" s="65">
        <v>0</v>
      </c>
      <c r="T3663" s="65">
        <v>0</v>
      </c>
      <c r="U3663" s="58">
        <v>0</v>
      </c>
      <c r="V3663" s="65">
        <v>0</v>
      </c>
      <c r="W3663" s="65">
        <v>0</v>
      </c>
      <c r="X3663" s="65">
        <v>0</v>
      </c>
      <c r="Y3663" s="65">
        <v>0</v>
      </c>
      <c r="Z3663" s="51">
        <v>47734.21</v>
      </c>
      <c r="AA3663" s="51">
        <v>0</v>
      </c>
      <c r="AB3663" s="102">
        <v>0</v>
      </c>
      <c r="AC3663" s="81">
        <f t="shared" si="175"/>
        <v>0</v>
      </c>
      <c r="AD3663" s="82">
        <f t="shared" si="176"/>
        <v>0</v>
      </c>
      <c r="AE3663" s="218">
        <v>0</v>
      </c>
      <c r="AF3663">
        <v>0</v>
      </c>
      <c r="AH3663" t="str">
        <f t="shared" si="174"/>
        <v>Kalyanpur</v>
      </c>
      <c r="AJ3663" s="72">
        <v>0</v>
      </c>
      <c r="AK3663" s="72"/>
      <c r="AL3663" s="72"/>
      <c r="AM3663" s="72"/>
    </row>
    <row r="3664" spans="1:39" x14ac:dyDescent="0.25">
      <c r="A3664" s="37" t="s">
        <v>62</v>
      </c>
      <c r="B3664" s="66" t="s">
        <v>1676</v>
      </c>
      <c r="C3664" s="4">
        <v>1053</v>
      </c>
      <c r="D3664" s="41" t="s">
        <v>527</v>
      </c>
      <c r="E3664" s="41">
        <v>10530074</v>
      </c>
      <c r="F3664" s="85" t="s">
        <v>1100</v>
      </c>
      <c r="G3664" s="39" t="s">
        <v>92</v>
      </c>
      <c r="H3664" s="52" t="s">
        <v>93</v>
      </c>
      <c r="I3664" s="52">
        <v>845.25</v>
      </c>
      <c r="J3664" s="49">
        <v>35629.370000000003</v>
      </c>
      <c r="K3664" s="58">
        <v>832.27</v>
      </c>
      <c r="L3664" s="58">
        <v>35013.93</v>
      </c>
      <c r="M3664" s="58">
        <v>14.740000000000004</v>
      </c>
      <c r="N3664" s="58">
        <v>611.97</v>
      </c>
      <c r="O3664" s="58">
        <v>847.01</v>
      </c>
      <c r="P3664" s="53">
        <v>35625.9</v>
      </c>
      <c r="Q3664" s="65">
        <v>35625.9</v>
      </c>
      <c r="R3664" s="65">
        <v>0</v>
      </c>
      <c r="S3664" s="65">
        <v>611.97</v>
      </c>
      <c r="T3664" s="65">
        <v>0</v>
      </c>
      <c r="U3664" s="58">
        <v>0</v>
      </c>
      <c r="V3664" s="65">
        <v>0</v>
      </c>
      <c r="W3664" s="65">
        <v>0</v>
      </c>
      <c r="X3664" s="65">
        <v>35014</v>
      </c>
      <c r="Y3664" s="65">
        <v>0</v>
      </c>
      <c r="Z3664" s="51">
        <v>0</v>
      </c>
      <c r="AA3664" s="51">
        <v>3</v>
      </c>
      <c r="AB3664" s="102">
        <v>0</v>
      </c>
      <c r="AC3664" s="81">
        <f t="shared" si="175"/>
        <v>0</v>
      </c>
      <c r="AD3664" s="82">
        <f t="shared" si="176"/>
        <v>0</v>
      </c>
      <c r="AE3664" s="218">
        <v>9.7391562073681452E-5</v>
      </c>
      <c r="AF3664">
        <v>23</v>
      </c>
      <c r="AH3664" t="str">
        <f t="shared" si="174"/>
        <v>Kalyanpur</v>
      </c>
      <c r="AJ3664" s="72">
        <v>0</v>
      </c>
      <c r="AK3664" s="72"/>
      <c r="AL3664" s="72"/>
      <c r="AM3664" s="72"/>
    </row>
    <row r="3665" spans="1:39" x14ac:dyDescent="0.25">
      <c r="A3665" s="37" t="s">
        <v>62</v>
      </c>
      <c r="B3665" s="66" t="s">
        <v>1676</v>
      </c>
      <c r="C3665" s="4">
        <v>1053</v>
      </c>
      <c r="D3665" s="41" t="s">
        <v>527</v>
      </c>
      <c r="E3665" s="41">
        <v>10530076</v>
      </c>
      <c r="F3665" s="85" t="s">
        <v>1136</v>
      </c>
      <c r="G3665" s="39" t="s">
        <v>92</v>
      </c>
      <c r="H3665" s="52" t="s">
        <v>93</v>
      </c>
      <c r="I3665" s="52">
        <v>2505.9499999999998</v>
      </c>
      <c r="J3665" s="49">
        <v>122228.6</v>
      </c>
      <c r="K3665" s="58">
        <v>2512.7700000000004</v>
      </c>
      <c r="L3665" s="58">
        <v>120480.32000000002</v>
      </c>
      <c r="M3665" s="58">
        <v>30.26</v>
      </c>
      <c r="N3665" s="58">
        <v>1377.2700000000002</v>
      </c>
      <c r="O3665" s="58">
        <v>2543.0300000000007</v>
      </c>
      <c r="P3665" s="53">
        <v>121857.59000000003</v>
      </c>
      <c r="Q3665" s="65">
        <v>121857.59000000003</v>
      </c>
      <c r="R3665" s="65">
        <v>0</v>
      </c>
      <c r="S3665" s="65">
        <v>1377.2700000000002</v>
      </c>
      <c r="T3665" s="65">
        <v>0</v>
      </c>
      <c r="U3665" s="58">
        <v>9400</v>
      </c>
      <c r="V3665" s="65">
        <v>0</v>
      </c>
      <c r="W3665" s="65">
        <v>0</v>
      </c>
      <c r="X3665" s="65">
        <v>111077</v>
      </c>
      <c r="Y3665" s="65">
        <v>0</v>
      </c>
      <c r="Z3665" s="51">
        <v>0</v>
      </c>
      <c r="AA3665" s="51">
        <v>374</v>
      </c>
      <c r="AB3665" s="102">
        <v>0</v>
      </c>
      <c r="AC3665" s="81">
        <f t="shared" si="175"/>
        <v>0</v>
      </c>
      <c r="AD3665" s="82">
        <f t="shared" si="176"/>
        <v>0</v>
      </c>
      <c r="AE3665" s="218">
        <v>3.0353779720947486E-3</v>
      </c>
      <c r="AF3665">
        <v>50</v>
      </c>
      <c r="AH3665" t="str">
        <f t="shared" si="174"/>
        <v>Kalyanpur</v>
      </c>
      <c r="AJ3665" s="72">
        <v>0</v>
      </c>
      <c r="AK3665" s="72"/>
      <c r="AL3665" s="72"/>
      <c r="AM3665" s="72"/>
    </row>
    <row r="3666" spans="1:39" x14ac:dyDescent="0.25">
      <c r="A3666" s="37" t="s">
        <v>62</v>
      </c>
      <c r="B3666" s="66" t="s">
        <v>1676</v>
      </c>
      <c r="C3666" s="4">
        <v>1053</v>
      </c>
      <c r="D3666" s="41" t="s">
        <v>527</v>
      </c>
      <c r="E3666" s="41">
        <v>10530077</v>
      </c>
      <c r="F3666" s="85" t="s">
        <v>1266</v>
      </c>
      <c r="G3666" s="39" t="s">
        <v>1610</v>
      </c>
      <c r="H3666" s="52" t="s">
        <v>98</v>
      </c>
      <c r="I3666" s="52">
        <v>935.90000000000009</v>
      </c>
      <c r="J3666" s="49">
        <v>38358.1</v>
      </c>
      <c r="K3666" s="58">
        <v>0</v>
      </c>
      <c r="L3666" s="58">
        <v>0</v>
      </c>
      <c r="M3666" s="58">
        <v>0</v>
      </c>
      <c r="N3666" s="58">
        <v>0</v>
      </c>
      <c r="O3666" s="58">
        <v>0</v>
      </c>
      <c r="P3666" s="53">
        <v>0</v>
      </c>
      <c r="Q3666" s="65">
        <v>38358.1</v>
      </c>
      <c r="R3666" s="65">
        <v>0</v>
      </c>
      <c r="S3666" s="65">
        <v>0</v>
      </c>
      <c r="T3666" s="65">
        <v>0</v>
      </c>
      <c r="U3666" s="58">
        <v>0</v>
      </c>
      <c r="V3666" s="65">
        <v>0</v>
      </c>
      <c r="W3666" s="65">
        <v>0</v>
      </c>
      <c r="X3666" s="65">
        <v>0</v>
      </c>
      <c r="Y3666" s="65">
        <v>0</v>
      </c>
      <c r="Z3666" s="51">
        <v>38358.1</v>
      </c>
      <c r="AA3666" s="51">
        <v>0</v>
      </c>
      <c r="AB3666" s="102">
        <v>0</v>
      </c>
      <c r="AC3666" s="81">
        <f t="shared" si="175"/>
        <v>0</v>
      </c>
      <c r="AD3666" s="82">
        <f t="shared" si="176"/>
        <v>0</v>
      </c>
      <c r="AE3666" s="218">
        <v>0</v>
      </c>
      <c r="AF3666">
        <v>0</v>
      </c>
      <c r="AH3666" t="str">
        <f t="shared" si="174"/>
        <v>Kalyanpur</v>
      </c>
      <c r="AJ3666" s="72">
        <v>0</v>
      </c>
      <c r="AK3666" s="72"/>
      <c r="AL3666" s="72"/>
      <c r="AM3666" s="72"/>
    </row>
    <row r="3667" spans="1:39" x14ac:dyDescent="0.25">
      <c r="A3667" s="37" t="s">
        <v>62</v>
      </c>
      <c r="B3667" s="66" t="s">
        <v>1676</v>
      </c>
      <c r="C3667" s="4">
        <v>1053</v>
      </c>
      <c r="D3667" s="41" t="s">
        <v>527</v>
      </c>
      <c r="E3667" s="41">
        <v>10530078</v>
      </c>
      <c r="F3667" s="85" t="s">
        <v>1164</v>
      </c>
      <c r="G3667" s="39" t="s">
        <v>92</v>
      </c>
      <c r="H3667" s="52" t="s">
        <v>93</v>
      </c>
      <c r="I3667" s="52">
        <v>954.65</v>
      </c>
      <c r="J3667" s="49">
        <v>41139.81</v>
      </c>
      <c r="K3667" s="58">
        <v>943.79999999999973</v>
      </c>
      <c r="L3667" s="58">
        <v>39900.189999999995</v>
      </c>
      <c r="M3667" s="58">
        <v>26.860000000000003</v>
      </c>
      <c r="N3667" s="58">
        <v>1203.32</v>
      </c>
      <c r="O3667" s="58">
        <v>970.65999999999974</v>
      </c>
      <c r="P3667" s="53">
        <v>41103.509999999995</v>
      </c>
      <c r="Q3667" s="65">
        <v>41103.509999999995</v>
      </c>
      <c r="R3667" s="65">
        <v>0</v>
      </c>
      <c r="S3667" s="65">
        <v>1203.32</v>
      </c>
      <c r="T3667" s="65">
        <v>0</v>
      </c>
      <c r="U3667" s="58">
        <v>853</v>
      </c>
      <c r="V3667" s="65">
        <v>0</v>
      </c>
      <c r="W3667" s="65">
        <v>0</v>
      </c>
      <c r="X3667" s="65">
        <v>39051</v>
      </c>
      <c r="Y3667" s="65">
        <v>0</v>
      </c>
      <c r="Z3667" s="51">
        <v>0</v>
      </c>
      <c r="AA3667" s="51">
        <v>32</v>
      </c>
      <c r="AB3667" s="102">
        <v>0</v>
      </c>
      <c r="AC3667" s="81">
        <f t="shared" si="175"/>
        <v>0</v>
      </c>
      <c r="AD3667" s="82">
        <f t="shared" si="176"/>
        <v>0</v>
      </c>
      <c r="AE3667" s="218">
        <v>8.8235701623325222E-4</v>
      </c>
      <c r="AF3667">
        <v>19</v>
      </c>
      <c r="AH3667" t="str">
        <f t="shared" si="174"/>
        <v>Kalyanpur</v>
      </c>
      <c r="AJ3667" s="72">
        <v>0</v>
      </c>
      <c r="AK3667" s="72"/>
      <c r="AL3667" s="72"/>
      <c r="AM3667" s="72"/>
    </row>
    <row r="3668" spans="1:39" x14ac:dyDescent="0.25">
      <c r="A3668" s="37" t="s">
        <v>62</v>
      </c>
      <c r="B3668" s="66" t="s">
        <v>1676</v>
      </c>
      <c r="C3668" s="4">
        <v>1053</v>
      </c>
      <c r="D3668" s="41" t="s">
        <v>527</v>
      </c>
      <c r="E3668" s="41">
        <v>10530079</v>
      </c>
      <c r="F3668" s="85" t="s">
        <v>1155</v>
      </c>
      <c r="G3668" s="39" t="s">
        <v>1610</v>
      </c>
      <c r="H3668" s="52" t="s">
        <v>98</v>
      </c>
      <c r="I3668" s="52">
        <v>109.50000000000001</v>
      </c>
      <c r="J3668" s="49">
        <v>5481.41</v>
      </c>
      <c r="K3668" s="58">
        <v>0</v>
      </c>
      <c r="L3668" s="58">
        <v>0</v>
      </c>
      <c r="M3668" s="58">
        <v>0</v>
      </c>
      <c r="N3668" s="58">
        <v>0</v>
      </c>
      <c r="O3668" s="58">
        <v>0</v>
      </c>
      <c r="P3668" s="53">
        <v>0</v>
      </c>
      <c r="Q3668" s="65">
        <v>5481.41</v>
      </c>
      <c r="R3668" s="65">
        <v>0</v>
      </c>
      <c r="S3668" s="65">
        <v>0</v>
      </c>
      <c r="T3668" s="65">
        <v>0</v>
      </c>
      <c r="U3668" s="58">
        <v>0</v>
      </c>
      <c r="V3668" s="65">
        <v>0</v>
      </c>
      <c r="W3668" s="65">
        <v>0</v>
      </c>
      <c r="X3668" s="65">
        <v>0</v>
      </c>
      <c r="Y3668" s="65">
        <v>0</v>
      </c>
      <c r="Z3668" s="51">
        <v>5481.41</v>
      </c>
      <c r="AA3668" s="51">
        <v>0</v>
      </c>
      <c r="AB3668" s="102">
        <v>0</v>
      </c>
      <c r="AC3668" s="81">
        <f t="shared" si="175"/>
        <v>591.19134337899527</v>
      </c>
      <c r="AD3668" s="82">
        <f t="shared" si="176"/>
        <v>15.642857142857144</v>
      </c>
      <c r="AE3668" s="218">
        <v>0</v>
      </c>
      <c r="AF3668">
        <v>0</v>
      </c>
      <c r="AH3668" t="str">
        <f t="shared" si="174"/>
        <v>Kalyanpur</v>
      </c>
      <c r="AJ3668" s="72">
        <v>0</v>
      </c>
      <c r="AK3668" s="72"/>
      <c r="AL3668" s="72"/>
      <c r="AM3668" s="72"/>
    </row>
    <row r="3669" spans="1:39" x14ac:dyDescent="0.25">
      <c r="A3669" s="37" t="s">
        <v>62</v>
      </c>
      <c r="B3669" s="66" t="s">
        <v>1676</v>
      </c>
      <c r="C3669" s="4">
        <v>1053</v>
      </c>
      <c r="D3669" s="41" t="s">
        <v>527</v>
      </c>
      <c r="E3669" s="41">
        <v>10530080</v>
      </c>
      <c r="F3669" s="85" t="s">
        <v>1165</v>
      </c>
      <c r="G3669" s="39" t="s">
        <v>1610</v>
      </c>
      <c r="H3669" s="52" t="s">
        <v>98</v>
      </c>
      <c r="I3669" s="52">
        <v>124.25000000000001</v>
      </c>
      <c r="J3669" s="49">
        <v>4311.99</v>
      </c>
      <c r="K3669" s="58">
        <v>0</v>
      </c>
      <c r="L3669" s="58">
        <v>0</v>
      </c>
      <c r="M3669" s="58">
        <v>0</v>
      </c>
      <c r="N3669" s="58">
        <v>0</v>
      </c>
      <c r="O3669" s="58">
        <v>0</v>
      </c>
      <c r="P3669" s="53">
        <v>0</v>
      </c>
      <c r="Q3669" s="65">
        <v>4311.99</v>
      </c>
      <c r="R3669" s="65">
        <v>0</v>
      </c>
      <c r="S3669" s="65">
        <v>0</v>
      </c>
      <c r="T3669" s="65">
        <v>0</v>
      </c>
      <c r="U3669" s="58">
        <v>0</v>
      </c>
      <c r="V3669" s="65">
        <v>0</v>
      </c>
      <c r="W3669" s="65">
        <v>0</v>
      </c>
      <c r="X3669" s="65">
        <v>0</v>
      </c>
      <c r="Y3669" s="65">
        <v>0</v>
      </c>
      <c r="Z3669" s="51">
        <v>4311.99</v>
      </c>
      <c r="AA3669" s="51">
        <v>0</v>
      </c>
      <c r="AB3669" s="102">
        <v>0</v>
      </c>
      <c r="AC3669" s="81">
        <f t="shared" si="175"/>
        <v>399.61822816901395</v>
      </c>
      <c r="AD3669" s="82">
        <f t="shared" si="176"/>
        <v>17.750000000000004</v>
      </c>
      <c r="AE3669" s="218">
        <v>0</v>
      </c>
      <c r="AF3669">
        <v>0</v>
      </c>
      <c r="AH3669" t="str">
        <f t="shared" si="174"/>
        <v>Kalyanpur</v>
      </c>
      <c r="AJ3669" s="72">
        <v>0</v>
      </c>
      <c r="AK3669" s="72"/>
      <c r="AL3669" s="72"/>
      <c r="AM3669" s="72"/>
    </row>
    <row r="3670" spans="1:39" x14ac:dyDescent="0.25">
      <c r="A3670" s="37" t="s">
        <v>62</v>
      </c>
      <c r="B3670" s="66" t="s">
        <v>1676</v>
      </c>
      <c r="C3670" s="4">
        <v>1053</v>
      </c>
      <c r="D3670" s="41" t="s">
        <v>527</v>
      </c>
      <c r="E3670" s="41">
        <v>10530081</v>
      </c>
      <c r="F3670" s="85" t="s">
        <v>1156</v>
      </c>
      <c r="G3670" s="39" t="s">
        <v>92</v>
      </c>
      <c r="H3670" s="52" t="s">
        <v>93</v>
      </c>
      <c r="I3670" s="52">
        <v>1507.7499999999995</v>
      </c>
      <c r="J3670" s="49">
        <v>66378.049999999988</v>
      </c>
      <c r="K3670" s="58">
        <v>1518.75</v>
      </c>
      <c r="L3670" s="58">
        <v>64803.459999999985</v>
      </c>
      <c r="M3670" s="58">
        <v>20.329999999999998</v>
      </c>
      <c r="N3670" s="58">
        <v>898.48</v>
      </c>
      <c r="O3670" s="58">
        <v>1539.08</v>
      </c>
      <c r="P3670" s="53">
        <v>65701.939999999988</v>
      </c>
      <c r="Q3670" s="65">
        <v>65701.939999999988</v>
      </c>
      <c r="R3670" s="65">
        <v>0</v>
      </c>
      <c r="S3670" s="65">
        <v>898.48</v>
      </c>
      <c r="T3670" s="65">
        <v>0</v>
      </c>
      <c r="U3670" s="58">
        <v>0</v>
      </c>
      <c r="V3670" s="65">
        <v>0</v>
      </c>
      <c r="W3670" s="65">
        <v>0</v>
      </c>
      <c r="X3670" s="65">
        <v>64805</v>
      </c>
      <c r="Y3670" s="65">
        <v>0</v>
      </c>
      <c r="Z3670" s="51">
        <v>0</v>
      </c>
      <c r="AA3670" s="51">
        <v>675</v>
      </c>
      <c r="AB3670" s="102">
        <v>0</v>
      </c>
      <c r="AC3670" s="81">
        <f t="shared" si="175"/>
        <v>0</v>
      </c>
      <c r="AD3670" s="82">
        <f t="shared" si="176"/>
        <v>0</v>
      </c>
      <c r="AE3670" s="218">
        <v>1.0185746643657062E-2</v>
      </c>
      <c r="AF3670">
        <v>40</v>
      </c>
      <c r="AH3670" t="str">
        <f t="shared" si="174"/>
        <v>Kalyanpur</v>
      </c>
      <c r="AJ3670" s="72">
        <v>0</v>
      </c>
      <c r="AK3670" s="72"/>
      <c r="AL3670" s="72"/>
      <c r="AM3670" s="72"/>
    </row>
    <row r="3671" spans="1:39" x14ac:dyDescent="0.25">
      <c r="A3671" s="37" t="s">
        <v>62</v>
      </c>
      <c r="B3671" s="66" t="s">
        <v>1676</v>
      </c>
      <c r="C3671" s="4">
        <v>1053</v>
      </c>
      <c r="D3671" s="41" t="s">
        <v>527</v>
      </c>
      <c r="E3671" s="41">
        <v>10530082</v>
      </c>
      <c r="F3671" s="85" t="s">
        <v>1157</v>
      </c>
      <c r="G3671" s="39" t="s">
        <v>92</v>
      </c>
      <c r="H3671" s="52" t="s">
        <v>93</v>
      </c>
      <c r="I3671" s="52">
        <v>1157.7000000000003</v>
      </c>
      <c r="J3671" s="49">
        <v>47968.830000000009</v>
      </c>
      <c r="K3671" s="58">
        <v>1130.8899999999999</v>
      </c>
      <c r="L3671" s="58">
        <v>47686.819999999985</v>
      </c>
      <c r="M3671" s="58">
        <v>6.4899999999999993</v>
      </c>
      <c r="N3671" s="58">
        <v>279</v>
      </c>
      <c r="O3671" s="58">
        <v>1137.3799999999999</v>
      </c>
      <c r="P3671" s="53">
        <v>47965.819999999985</v>
      </c>
      <c r="Q3671" s="65">
        <v>47965.819999999985</v>
      </c>
      <c r="R3671" s="65">
        <v>0</v>
      </c>
      <c r="S3671" s="65">
        <v>182.82</v>
      </c>
      <c r="T3671" s="65">
        <v>0</v>
      </c>
      <c r="U3671" s="58">
        <v>4204</v>
      </c>
      <c r="V3671" s="65">
        <v>0</v>
      </c>
      <c r="W3671" s="65">
        <v>0</v>
      </c>
      <c r="X3671" s="65">
        <v>43484</v>
      </c>
      <c r="Y3671" s="65">
        <v>96</v>
      </c>
      <c r="Z3671" s="51">
        <v>0</v>
      </c>
      <c r="AA3671" s="51">
        <v>2</v>
      </c>
      <c r="AB3671" s="102">
        <v>0</v>
      </c>
      <c r="AC3671" s="81">
        <f t="shared" si="175"/>
        <v>0</v>
      </c>
      <c r="AD3671" s="82">
        <f t="shared" si="176"/>
        <v>0</v>
      </c>
      <c r="AE3671" s="218">
        <v>6.2749081018316776E-5</v>
      </c>
      <c r="AF3671">
        <v>30</v>
      </c>
      <c r="AH3671" t="str">
        <f t="shared" si="174"/>
        <v>Kalyanpur</v>
      </c>
      <c r="AJ3671" s="72">
        <v>0</v>
      </c>
      <c r="AK3671" s="72"/>
      <c r="AL3671" s="72"/>
      <c r="AM3671" s="72"/>
    </row>
    <row r="3672" spans="1:39" x14ac:dyDescent="0.25">
      <c r="A3672" s="37" t="s">
        <v>62</v>
      </c>
      <c r="B3672" s="66" t="s">
        <v>1676</v>
      </c>
      <c r="C3672" s="4">
        <v>1053</v>
      </c>
      <c r="D3672" s="41" t="s">
        <v>527</v>
      </c>
      <c r="E3672" s="41">
        <v>10530084</v>
      </c>
      <c r="F3672" s="85" t="s">
        <v>1228</v>
      </c>
      <c r="G3672" s="39" t="s">
        <v>92</v>
      </c>
      <c r="H3672" s="52" t="s">
        <v>93</v>
      </c>
      <c r="I3672" s="52">
        <v>2415</v>
      </c>
      <c r="J3672" s="49">
        <v>100089.66000000003</v>
      </c>
      <c r="K3672" s="58">
        <v>2419.6800000000007</v>
      </c>
      <c r="L3672" s="58">
        <v>98249.49000000002</v>
      </c>
      <c r="M3672" s="58">
        <v>43.449999999999996</v>
      </c>
      <c r="N3672" s="58">
        <v>1797.7800000000002</v>
      </c>
      <c r="O3672" s="58">
        <v>2463.1300000000006</v>
      </c>
      <c r="P3672" s="53">
        <v>100047.27000000002</v>
      </c>
      <c r="Q3672" s="65">
        <v>100047.27000000002</v>
      </c>
      <c r="R3672" s="65">
        <v>0</v>
      </c>
      <c r="S3672" s="65">
        <v>1797.7800000000002</v>
      </c>
      <c r="T3672" s="65">
        <v>0</v>
      </c>
      <c r="U3672" s="58">
        <v>3910</v>
      </c>
      <c r="V3672" s="65">
        <v>0</v>
      </c>
      <c r="W3672" s="65">
        <v>0</v>
      </c>
      <c r="X3672" s="65">
        <v>94344</v>
      </c>
      <c r="Y3672" s="65">
        <v>0</v>
      </c>
      <c r="Z3672" s="51">
        <v>0</v>
      </c>
      <c r="AA3672" s="51">
        <v>38</v>
      </c>
      <c r="AB3672" s="102">
        <v>0</v>
      </c>
      <c r="AC3672" s="81">
        <f t="shared" si="175"/>
        <v>0</v>
      </c>
      <c r="AD3672" s="82">
        <f t="shared" si="176"/>
        <v>0</v>
      </c>
      <c r="AE3672" s="218">
        <v>4.2352027172451136E-4</v>
      </c>
      <c r="AF3672">
        <v>49</v>
      </c>
      <c r="AH3672" t="str">
        <f t="shared" si="174"/>
        <v>Kalyanpur</v>
      </c>
      <c r="AJ3672" s="72">
        <v>0</v>
      </c>
      <c r="AK3672" s="72"/>
      <c r="AL3672" s="72"/>
      <c r="AM3672" s="72"/>
    </row>
    <row r="3673" spans="1:39" x14ac:dyDescent="0.25">
      <c r="A3673" s="37" t="s">
        <v>62</v>
      </c>
      <c r="B3673" s="66" t="s">
        <v>1676</v>
      </c>
      <c r="C3673" s="4">
        <v>1053</v>
      </c>
      <c r="D3673" s="41" t="s">
        <v>527</v>
      </c>
      <c r="E3673" s="41">
        <v>10530085</v>
      </c>
      <c r="F3673" s="85" t="s">
        <v>1181</v>
      </c>
      <c r="G3673" s="39" t="s">
        <v>92</v>
      </c>
      <c r="H3673" s="52" t="s">
        <v>93</v>
      </c>
      <c r="I3673" s="52">
        <v>597.20000000000005</v>
      </c>
      <c r="J3673" s="49">
        <v>28066.549999999996</v>
      </c>
      <c r="K3673" s="58">
        <v>608.92000000000007</v>
      </c>
      <c r="L3673" s="58">
        <v>27413.99</v>
      </c>
      <c r="M3673" s="58">
        <v>12</v>
      </c>
      <c r="N3673" s="58">
        <v>638.04</v>
      </c>
      <c r="O3673" s="58">
        <v>620.92000000000007</v>
      </c>
      <c r="P3673" s="53">
        <v>28052.030000000002</v>
      </c>
      <c r="Q3673" s="65">
        <v>28052.030000000002</v>
      </c>
      <c r="R3673" s="65">
        <v>0</v>
      </c>
      <c r="S3673" s="65">
        <v>638.04</v>
      </c>
      <c r="T3673" s="65">
        <v>0</v>
      </c>
      <c r="U3673" s="58">
        <v>725</v>
      </c>
      <c r="V3673" s="65">
        <v>0</v>
      </c>
      <c r="W3673" s="65">
        <v>0</v>
      </c>
      <c r="X3673" s="65">
        <v>26692</v>
      </c>
      <c r="Y3673" s="65">
        <v>0</v>
      </c>
      <c r="Z3673" s="51">
        <v>0</v>
      </c>
      <c r="AA3673" s="51">
        <v>12</v>
      </c>
      <c r="AB3673" s="102">
        <v>0</v>
      </c>
      <c r="AC3673" s="81">
        <f t="shared" si="175"/>
        <v>96.625630944407206</v>
      </c>
      <c r="AD3673" s="82">
        <f t="shared" si="176"/>
        <v>85.314285714285717</v>
      </c>
      <c r="AE3673" s="218">
        <v>5.173418179289283E-4</v>
      </c>
      <c r="AF3673">
        <v>17</v>
      </c>
      <c r="AH3673" t="str">
        <f t="shared" si="174"/>
        <v>Kalyanpur</v>
      </c>
      <c r="AJ3673" s="72">
        <v>0</v>
      </c>
      <c r="AK3673" s="72"/>
      <c r="AL3673" s="72"/>
      <c r="AM3673" s="72"/>
    </row>
    <row r="3674" spans="1:39" x14ac:dyDescent="0.25">
      <c r="A3674" s="37" t="s">
        <v>62</v>
      </c>
      <c r="B3674" s="66" t="s">
        <v>1676</v>
      </c>
      <c r="C3674" s="4">
        <v>1012</v>
      </c>
      <c r="D3674" s="41" t="s">
        <v>306</v>
      </c>
      <c r="E3674" s="41">
        <v>10530090</v>
      </c>
      <c r="F3674" s="85" t="s">
        <v>1173</v>
      </c>
      <c r="G3674" s="39" t="s">
        <v>1610</v>
      </c>
      <c r="H3674" s="52" t="s">
        <v>98</v>
      </c>
      <c r="I3674" s="52">
        <v>448.59999999999991</v>
      </c>
      <c r="J3674" s="49">
        <v>14422.87</v>
      </c>
      <c r="K3674" s="58">
        <v>0</v>
      </c>
      <c r="L3674" s="58">
        <v>0</v>
      </c>
      <c r="M3674" s="58">
        <v>0</v>
      </c>
      <c r="N3674" s="58">
        <v>0</v>
      </c>
      <c r="O3674" s="58">
        <v>0</v>
      </c>
      <c r="P3674" s="53">
        <v>0</v>
      </c>
      <c r="Q3674" s="65">
        <v>14422.87</v>
      </c>
      <c r="R3674" s="65">
        <v>0</v>
      </c>
      <c r="S3674" s="65">
        <v>0</v>
      </c>
      <c r="T3674" s="65">
        <v>0</v>
      </c>
      <c r="U3674" s="58">
        <v>0</v>
      </c>
      <c r="V3674" s="65">
        <v>0</v>
      </c>
      <c r="W3674" s="65">
        <v>0</v>
      </c>
      <c r="X3674" s="65">
        <v>0</v>
      </c>
      <c r="Y3674" s="65">
        <v>0</v>
      </c>
      <c r="Z3674" s="51">
        <v>14422.87</v>
      </c>
      <c r="AA3674" s="51">
        <v>0</v>
      </c>
      <c r="AB3674" s="102">
        <v>0</v>
      </c>
      <c r="AC3674" s="81">
        <f t="shared" si="175"/>
        <v>161.65445911725379</v>
      </c>
      <c r="AD3674" s="82">
        <f t="shared" si="176"/>
        <v>64.085714285714275</v>
      </c>
      <c r="AE3674" s="218">
        <v>0</v>
      </c>
      <c r="AF3674">
        <v>0</v>
      </c>
      <c r="AH3674" t="str">
        <f t="shared" si="174"/>
        <v>DalsinghSarai</v>
      </c>
      <c r="AJ3674" s="72">
        <v>0</v>
      </c>
      <c r="AK3674" s="72"/>
      <c r="AL3674" s="72"/>
      <c r="AM3674" s="72"/>
    </row>
    <row r="3675" spans="1:39" x14ac:dyDescent="0.25">
      <c r="A3675" s="37" t="s">
        <v>62</v>
      </c>
      <c r="B3675" s="66" t="s">
        <v>1676</v>
      </c>
      <c r="C3675" s="4">
        <v>1053</v>
      </c>
      <c r="D3675" s="41" t="s">
        <v>527</v>
      </c>
      <c r="E3675" s="41">
        <v>10530091</v>
      </c>
      <c r="F3675" s="85" t="s">
        <v>1198</v>
      </c>
      <c r="G3675" s="39" t="s">
        <v>92</v>
      </c>
      <c r="H3675" s="52" t="s">
        <v>93</v>
      </c>
      <c r="I3675" s="52">
        <v>59.5</v>
      </c>
      <c r="J3675" s="49">
        <v>2641.3099999999995</v>
      </c>
      <c r="K3675" s="58">
        <v>58.600000000000009</v>
      </c>
      <c r="L3675" s="58">
        <v>2560.27</v>
      </c>
      <c r="M3675" s="58">
        <v>0</v>
      </c>
      <c r="N3675" s="58">
        <v>0</v>
      </c>
      <c r="O3675" s="58">
        <v>58.600000000000009</v>
      </c>
      <c r="P3675" s="53">
        <v>2560.27</v>
      </c>
      <c r="Q3675" s="65">
        <v>2560.27</v>
      </c>
      <c r="R3675" s="65">
        <v>0</v>
      </c>
      <c r="S3675" s="65">
        <v>0</v>
      </c>
      <c r="T3675" s="65">
        <v>0</v>
      </c>
      <c r="U3675" s="58">
        <v>0</v>
      </c>
      <c r="V3675" s="65">
        <v>0</v>
      </c>
      <c r="W3675" s="65">
        <v>0</v>
      </c>
      <c r="X3675" s="65">
        <v>2560</v>
      </c>
      <c r="Y3675" s="65">
        <v>0</v>
      </c>
      <c r="Z3675" s="51">
        <v>0</v>
      </c>
      <c r="AA3675" s="51">
        <v>81</v>
      </c>
      <c r="AB3675" s="102">
        <v>0</v>
      </c>
      <c r="AC3675" s="81">
        <f t="shared" si="175"/>
        <v>568.65850588235287</v>
      </c>
      <c r="AD3675" s="82">
        <f t="shared" si="176"/>
        <v>8.5</v>
      </c>
      <c r="AE3675" s="218">
        <v>3.0681745043179151E-2</v>
      </c>
      <c r="AF3675">
        <v>6</v>
      </c>
      <c r="AH3675" t="str">
        <f t="shared" si="174"/>
        <v>Kalyanpur</v>
      </c>
      <c r="AJ3675" s="72">
        <v>0</v>
      </c>
      <c r="AK3675" s="72"/>
      <c r="AL3675" s="72"/>
      <c r="AM3675" s="72"/>
    </row>
    <row r="3676" spans="1:39" x14ac:dyDescent="0.25">
      <c r="A3676" s="37" t="s">
        <v>62</v>
      </c>
      <c r="B3676" s="66" t="s">
        <v>1676</v>
      </c>
      <c r="C3676" s="4">
        <v>1053</v>
      </c>
      <c r="D3676" s="41" t="s">
        <v>527</v>
      </c>
      <c r="E3676" s="41">
        <v>10530092</v>
      </c>
      <c r="F3676" s="85" t="s">
        <v>1193</v>
      </c>
      <c r="G3676" s="39" t="s">
        <v>92</v>
      </c>
      <c r="H3676" s="52" t="s">
        <v>93</v>
      </c>
      <c r="I3676" s="52">
        <v>1051.1000000000001</v>
      </c>
      <c r="J3676" s="49">
        <v>44067</v>
      </c>
      <c r="K3676" s="58">
        <v>848.76999999999987</v>
      </c>
      <c r="L3676" s="58">
        <v>34680.969999999994</v>
      </c>
      <c r="M3676" s="58">
        <v>200.2</v>
      </c>
      <c r="N3676" s="58">
        <v>9768.11</v>
      </c>
      <c r="O3676" s="58">
        <v>1048.9699999999998</v>
      </c>
      <c r="P3676" s="53">
        <v>44449.079999999994</v>
      </c>
      <c r="Q3676" s="65">
        <v>44067</v>
      </c>
      <c r="R3676" s="65">
        <v>0</v>
      </c>
      <c r="S3676" s="65">
        <v>0</v>
      </c>
      <c r="T3676" s="65">
        <v>382.07999999999447</v>
      </c>
      <c r="U3676" s="58">
        <v>0</v>
      </c>
      <c r="V3676" s="65">
        <v>0</v>
      </c>
      <c r="W3676" s="65">
        <v>0</v>
      </c>
      <c r="X3676" s="65">
        <v>34300</v>
      </c>
      <c r="Y3676" s="65">
        <v>9767</v>
      </c>
      <c r="Z3676" s="51">
        <v>0</v>
      </c>
      <c r="AA3676" s="51">
        <v>0</v>
      </c>
      <c r="AB3676" s="102">
        <v>0</v>
      </c>
      <c r="AC3676" s="81">
        <f t="shared" si="175"/>
        <v>0</v>
      </c>
      <c r="AD3676" s="82">
        <f t="shared" si="176"/>
        <v>0</v>
      </c>
      <c r="AE3676" s="218">
        <v>-8.6704336578390731E-3</v>
      </c>
      <c r="AF3676">
        <v>18</v>
      </c>
      <c r="AH3676" t="str">
        <f t="shared" si="174"/>
        <v>Kalyanpur</v>
      </c>
      <c r="AJ3676" s="72">
        <v>0</v>
      </c>
      <c r="AK3676" s="72"/>
      <c r="AL3676" s="72"/>
      <c r="AM3676" s="72"/>
    </row>
    <row r="3677" spans="1:39" x14ac:dyDescent="0.25">
      <c r="A3677" s="37" t="s">
        <v>62</v>
      </c>
      <c r="B3677" s="66" t="s">
        <v>1676</v>
      </c>
      <c r="C3677" s="4">
        <v>1053</v>
      </c>
      <c r="D3677" s="41" t="s">
        <v>527</v>
      </c>
      <c r="E3677" s="41">
        <v>10530093</v>
      </c>
      <c r="F3677" s="85" t="s">
        <v>1194</v>
      </c>
      <c r="G3677" s="39" t="s">
        <v>92</v>
      </c>
      <c r="H3677" s="52" t="s">
        <v>93</v>
      </c>
      <c r="I3677" s="52">
        <v>1299.7499999999993</v>
      </c>
      <c r="J3677" s="49">
        <v>60103.819999999992</v>
      </c>
      <c r="K3677" s="58">
        <v>1279.3000000000002</v>
      </c>
      <c r="L3677" s="58">
        <v>58284.499999999993</v>
      </c>
      <c r="M3677" s="58">
        <v>40.900000000000006</v>
      </c>
      <c r="N3677" s="58">
        <v>1806.5200000000002</v>
      </c>
      <c r="O3677" s="58">
        <v>1320.2000000000003</v>
      </c>
      <c r="P3677" s="53">
        <v>60091.01999999999</v>
      </c>
      <c r="Q3677" s="65">
        <v>60091.01999999999</v>
      </c>
      <c r="R3677" s="65">
        <v>0</v>
      </c>
      <c r="S3677" s="65">
        <v>1806.5200000000002</v>
      </c>
      <c r="T3677" s="65">
        <v>0</v>
      </c>
      <c r="U3677" s="58">
        <v>7256</v>
      </c>
      <c r="V3677" s="65">
        <v>0</v>
      </c>
      <c r="W3677" s="65">
        <v>0</v>
      </c>
      <c r="X3677" s="65">
        <v>51031</v>
      </c>
      <c r="Y3677" s="65">
        <v>0</v>
      </c>
      <c r="Z3677" s="51">
        <v>0</v>
      </c>
      <c r="AA3677" s="51">
        <v>10</v>
      </c>
      <c r="AB3677" s="102">
        <v>0</v>
      </c>
      <c r="AC3677" s="81">
        <f t="shared" si="175"/>
        <v>0</v>
      </c>
      <c r="AD3677" s="82">
        <f t="shared" si="176"/>
        <v>0</v>
      </c>
      <c r="AE3677" s="218">
        <v>2.1296483318369636E-4</v>
      </c>
      <c r="AF3677">
        <v>39</v>
      </c>
      <c r="AH3677" t="str">
        <f t="shared" si="174"/>
        <v>Kalyanpur</v>
      </c>
      <c r="AJ3677" s="72">
        <v>0</v>
      </c>
      <c r="AK3677" s="72"/>
      <c r="AL3677" s="72"/>
      <c r="AM3677" s="72"/>
    </row>
    <row r="3678" spans="1:39" x14ac:dyDescent="0.25">
      <c r="A3678" s="37" t="s">
        <v>62</v>
      </c>
      <c r="B3678" s="66" t="s">
        <v>1676</v>
      </c>
      <c r="C3678" s="4">
        <v>1066</v>
      </c>
      <c r="D3678" s="41" t="s">
        <v>1501</v>
      </c>
      <c r="E3678" s="41">
        <v>10530094</v>
      </c>
      <c r="F3678" s="85" t="s">
        <v>1563</v>
      </c>
      <c r="G3678" s="39" t="s">
        <v>1610</v>
      </c>
      <c r="H3678" s="52" t="s">
        <v>98</v>
      </c>
      <c r="I3678" s="52">
        <v>346.00000000000006</v>
      </c>
      <c r="J3678" s="49">
        <v>13243.05</v>
      </c>
      <c r="K3678" s="58">
        <v>0</v>
      </c>
      <c r="L3678" s="58">
        <v>0</v>
      </c>
      <c r="M3678" s="58">
        <v>0</v>
      </c>
      <c r="N3678" s="58">
        <v>0</v>
      </c>
      <c r="O3678" s="58">
        <v>0</v>
      </c>
      <c r="P3678" s="53">
        <v>0</v>
      </c>
      <c r="Q3678" s="65">
        <v>13243.05</v>
      </c>
      <c r="R3678" s="65">
        <v>0</v>
      </c>
      <c r="S3678" s="65">
        <v>0</v>
      </c>
      <c r="T3678" s="65">
        <v>0</v>
      </c>
      <c r="U3678" s="58">
        <v>2950</v>
      </c>
      <c r="V3678" s="65">
        <v>0</v>
      </c>
      <c r="W3678" s="65">
        <v>0</v>
      </c>
      <c r="X3678" s="65">
        <v>0</v>
      </c>
      <c r="Y3678" s="65">
        <v>0</v>
      </c>
      <c r="Z3678" s="51">
        <v>10293.049999999999</v>
      </c>
      <c r="AA3678" s="51">
        <v>0</v>
      </c>
      <c r="AB3678" s="102">
        <v>0</v>
      </c>
      <c r="AC3678" s="81">
        <f t="shared" si="175"/>
        <v>270.98495375722536</v>
      </c>
      <c r="AD3678" s="82">
        <f t="shared" si="176"/>
        <v>49.428571428571438</v>
      </c>
      <c r="AE3678" s="218">
        <v>0</v>
      </c>
      <c r="AF3678">
        <v>0</v>
      </c>
      <c r="AH3678" t="str">
        <f t="shared" si="174"/>
        <v>Gaighat</v>
      </c>
      <c r="AJ3678" s="72">
        <v>0</v>
      </c>
      <c r="AK3678" s="72"/>
      <c r="AL3678" s="72"/>
      <c r="AM3678" s="72"/>
    </row>
    <row r="3679" spans="1:39" x14ac:dyDescent="0.25">
      <c r="A3679" s="37" t="s">
        <v>62</v>
      </c>
      <c r="B3679" s="66" t="s">
        <v>1676</v>
      </c>
      <c r="C3679" s="4">
        <v>1053</v>
      </c>
      <c r="D3679" s="41" t="s">
        <v>527</v>
      </c>
      <c r="E3679" s="41">
        <v>10530096</v>
      </c>
      <c r="F3679" s="85" t="s">
        <v>1239</v>
      </c>
      <c r="G3679" s="39" t="s">
        <v>92</v>
      </c>
      <c r="H3679" s="52" t="s">
        <v>93</v>
      </c>
      <c r="I3679" s="52">
        <v>2636.55</v>
      </c>
      <c r="J3679" s="49">
        <v>132559.16</v>
      </c>
      <c r="K3679" s="58">
        <v>2642.9</v>
      </c>
      <c r="L3679" s="58">
        <v>129257.27999999996</v>
      </c>
      <c r="M3679" s="58">
        <v>72.5</v>
      </c>
      <c r="N3679" s="58">
        <v>3250.47</v>
      </c>
      <c r="O3679" s="58">
        <v>2715.4</v>
      </c>
      <c r="P3679" s="53">
        <v>132507.74999999994</v>
      </c>
      <c r="Q3679" s="65">
        <v>132507.74999999994</v>
      </c>
      <c r="R3679" s="65">
        <v>0</v>
      </c>
      <c r="S3679" s="65">
        <v>425.36</v>
      </c>
      <c r="T3679" s="65">
        <v>0</v>
      </c>
      <c r="U3679" s="58">
        <v>26020</v>
      </c>
      <c r="V3679" s="65">
        <v>0</v>
      </c>
      <c r="W3679" s="65">
        <v>0</v>
      </c>
      <c r="X3679" s="65">
        <v>103241</v>
      </c>
      <c r="Y3679" s="65">
        <v>2826</v>
      </c>
      <c r="Z3679" s="51">
        <v>0</v>
      </c>
      <c r="AA3679" s="51">
        <v>47</v>
      </c>
      <c r="AB3679" s="102">
        <v>0</v>
      </c>
      <c r="AC3679" s="81">
        <f t="shared" si="175"/>
        <v>0</v>
      </c>
      <c r="AD3679" s="82">
        <f t="shared" si="176"/>
        <v>0</v>
      </c>
      <c r="AE3679" s="218">
        <v>3.8782683897560678E-4</v>
      </c>
      <c r="AF3679">
        <v>16</v>
      </c>
      <c r="AH3679" t="str">
        <f t="shared" si="174"/>
        <v>Kalyanpur</v>
      </c>
      <c r="AJ3679" s="72">
        <v>0</v>
      </c>
      <c r="AK3679" s="72"/>
      <c r="AL3679" s="72"/>
      <c r="AM3679" s="72"/>
    </row>
    <row r="3680" spans="1:39" x14ac:dyDescent="0.25">
      <c r="A3680" s="37" t="s">
        <v>62</v>
      </c>
      <c r="B3680" s="66" t="s">
        <v>1676</v>
      </c>
      <c r="C3680" s="4">
        <v>1053</v>
      </c>
      <c r="D3680" s="41" t="s">
        <v>527</v>
      </c>
      <c r="E3680" s="41">
        <v>10530097</v>
      </c>
      <c r="F3680" s="85" t="s">
        <v>1240</v>
      </c>
      <c r="G3680" s="39" t="s">
        <v>92</v>
      </c>
      <c r="H3680" s="52" t="s">
        <v>93</v>
      </c>
      <c r="I3680" s="52">
        <v>750.6</v>
      </c>
      <c r="J3680" s="49">
        <v>30946.589999999997</v>
      </c>
      <c r="K3680" s="58">
        <v>749.5</v>
      </c>
      <c r="L3680" s="58">
        <v>30439.05999999999</v>
      </c>
      <c r="M3680" s="58">
        <v>9.5999999999999979</v>
      </c>
      <c r="N3680" s="58">
        <v>383.61000000000007</v>
      </c>
      <c r="O3680" s="58">
        <v>759.1</v>
      </c>
      <c r="P3680" s="53">
        <v>30822.669999999991</v>
      </c>
      <c r="Q3680" s="65">
        <v>30822.669999999991</v>
      </c>
      <c r="R3680" s="65">
        <v>0</v>
      </c>
      <c r="S3680" s="65">
        <v>383.61000000000007</v>
      </c>
      <c r="T3680" s="65">
        <v>0</v>
      </c>
      <c r="U3680" s="58">
        <v>2079</v>
      </c>
      <c r="V3680" s="65">
        <v>0</v>
      </c>
      <c r="W3680" s="65">
        <v>0</v>
      </c>
      <c r="X3680" s="65">
        <v>28357</v>
      </c>
      <c r="Y3680" s="65">
        <v>0</v>
      </c>
      <c r="Z3680" s="51">
        <v>0</v>
      </c>
      <c r="AA3680" s="51">
        <v>127</v>
      </c>
      <c r="AB3680" s="102">
        <v>0</v>
      </c>
      <c r="AC3680" s="81">
        <f t="shared" si="175"/>
        <v>0</v>
      </c>
      <c r="AD3680" s="82">
        <f t="shared" si="176"/>
        <v>0</v>
      </c>
      <c r="AE3680" s="218">
        <v>4.0043184079410861E-3</v>
      </c>
      <c r="AF3680">
        <v>19</v>
      </c>
      <c r="AH3680" t="str">
        <f t="shared" si="174"/>
        <v>Kalyanpur</v>
      </c>
      <c r="AJ3680" s="72">
        <v>0</v>
      </c>
      <c r="AK3680" s="72"/>
      <c r="AL3680" s="72"/>
      <c r="AM3680" s="72"/>
    </row>
    <row r="3681" spans="1:39" x14ac:dyDescent="0.25">
      <c r="A3681" s="37" t="s">
        <v>62</v>
      </c>
      <c r="B3681" s="66" t="s">
        <v>1676</v>
      </c>
      <c r="C3681" s="4">
        <v>1053</v>
      </c>
      <c r="D3681" s="41" t="s">
        <v>527</v>
      </c>
      <c r="E3681" s="41">
        <v>10530100</v>
      </c>
      <c r="F3681" s="85" t="s">
        <v>1304</v>
      </c>
      <c r="G3681" s="39" t="s">
        <v>92</v>
      </c>
      <c r="H3681" s="52" t="s">
        <v>93</v>
      </c>
      <c r="I3681" s="52">
        <v>143.40000000000003</v>
      </c>
      <c r="J3681" s="49">
        <v>6458.119999999999</v>
      </c>
      <c r="K3681" s="58">
        <v>150.94999999999999</v>
      </c>
      <c r="L3681" s="58">
        <v>6406</v>
      </c>
      <c r="M3681" s="58">
        <v>1.2</v>
      </c>
      <c r="N3681" s="58">
        <v>47.36999999999999</v>
      </c>
      <c r="O3681" s="58">
        <v>152.14999999999998</v>
      </c>
      <c r="P3681" s="53">
        <v>6453.37</v>
      </c>
      <c r="Q3681" s="65">
        <v>6453.37</v>
      </c>
      <c r="R3681" s="65">
        <v>0</v>
      </c>
      <c r="S3681" s="65">
        <v>47.36999999999999</v>
      </c>
      <c r="T3681" s="65">
        <v>0</v>
      </c>
      <c r="U3681" s="58">
        <v>0</v>
      </c>
      <c r="V3681" s="65">
        <v>0</v>
      </c>
      <c r="W3681" s="65">
        <v>0</v>
      </c>
      <c r="X3681" s="65">
        <v>6406</v>
      </c>
      <c r="Y3681" s="65">
        <v>0</v>
      </c>
      <c r="Z3681" s="51">
        <v>0</v>
      </c>
      <c r="AA3681" s="51">
        <v>5</v>
      </c>
      <c r="AB3681" s="102">
        <v>0</v>
      </c>
      <c r="AC3681" s="81">
        <f t="shared" si="175"/>
        <v>501.33746052998578</v>
      </c>
      <c r="AD3681" s="82">
        <f t="shared" si="176"/>
        <v>20.485714285714291</v>
      </c>
      <c r="AE3681" s="218">
        <v>7.3550816646316439E-4</v>
      </c>
      <c r="AF3681">
        <v>6</v>
      </c>
      <c r="AH3681" t="str">
        <f t="shared" si="174"/>
        <v>Kalyanpur</v>
      </c>
      <c r="AJ3681" s="72">
        <v>0</v>
      </c>
      <c r="AK3681" s="72"/>
      <c r="AL3681" s="72"/>
      <c r="AM3681" s="72"/>
    </row>
    <row r="3682" spans="1:39" x14ac:dyDescent="0.25">
      <c r="A3682" s="37" t="s">
        <v>62</v>
      </c>
      <c r="B3682" s="66" t="s">
        <v>1676</v>
      </c>
      <c r="C3682" s="4">
        <v>1053</v>
      </c>
      <c r="D3682" s="41" t="s">
        <v>527</v>
      </c>
      <c r="E3682" s="41">
        <v>10530101</v>
      </c>
      <c r="F3682" s="85" t="s">
        <v>1289</v>
      </c>
      <c r="G3682" s="39" t="s">
        <v>92</v>
      </c>
      <c r="H3682" s="52" t="s">
        <v>93</v>
      </c>
      <c r="I3682" s="52">
        <v>400.15</v>
      </c>
      <c r="J3682" s="49">
        <v>17685.59</v>
      </c>
      <c r="K3682" s="58">
        <v>423.4</v>
      </c>
      <c r="L3682" s="58">
        <v>17423.460000000003</v>
      </c>
      <c r="M3682" s="58">
        <v>0</v>
      </c>
      <c r="N3682" s="58">
        <v>0</v>
      </c>
      <c r="O3682" s="58">
        <v>423.4</v>
      </c>
      <c r="P3682" s="53">
        <v>17423.460000000003</v>
      </c>
      <c r="Q3682" s="65">
        <v>17423.460000000003</v>
      </c>
      <c r="R3682" s="65">
        <v>0</v>
      </c>
      <c r="S3682" s="65">
        <v>0</v>
      </c>
      <c r="T3682" s="65">
        <v>0</v>
      </c>
      <c r="U3682" s="58">
        <v>0</v>
      </c>
      <c r="V3682" s="65">
        <v>0</v>
      </c>
      <c r="W3682" s="65">
        <v>0</v>
      </c>
      <c r="X3682" s="65">
        <v>17425</v>
      </c>
      <c r="Y3682" s="65">
        <v>0</v>
      </c>
      <c r="Z3682" s="51">
        <v>0</v>
      </c>
      <c r="AA3682" s="51">
        <v>261</v>
      </c>
      <c r="AB3682" s="102">
        <v>0</v>
      </c>
      <c r="AC3682" s="81">
        <f t="shared" si="175"/>
        <v>265.05181364488317</v>
      </c>
      <c r="AD3682" s="82">
        <f t="shared" si="176"/>
        <v>57.164285714285711</v>
      </c>
      <c r="AE3682" s="218">
        <v>1.4821671202374214E-2</v>
      </c>
      <c r="AF3682">
        <v>15</v>
      </c>
      <c r="AH3682" t="str">
        <f t="shared" si="174"/>
        <v>Kalyanpur</v>
      </c>
      <c r="AJ3682" s="72">
        <v>0</v>
      </c>
      <c r="AK3682" s="72"/>
      <c r="AL3682" s="72"/>
      <c r="AM3682" s="72"/>
    </row>
    <row r="3683" spans="1:39" x14ac:dyDescent="0.25">
      <c r="A3683" s="37" t="s">
        <v>62</v>
      </c>
      <c r="B3683" s="66" t="s">
        <v>1676</v>
      </c>
      <c r="C3683" s="4">
        <v>1053</v>
      </c>
      <c r="D3683" s="41" t="s">
        <v>527</v>
      </c>
      <c r="E3683" s="41">
        <v>10530102</v>
      </c>
      <c r="F3683" s="85" t="s">
        <v>1305</v>
      </c>
      <c r="G3683" s="39" t="s">
        <v>92</v>
      </c>
      <c r="H3683" s="52" t="s">
        <v>93</v>
      </c>
      <c r="I3683" s="52">
        <v>92.000000000000014</v>
      </c>
      <c r="J3683" s="49">
        <v>4125.18</v>
      </c>
      <c r="K3683" s="58">
        <v>90.399999999999991</v>
      </c>
      <c r="L3683" s="58">
        <v>3834.9399999999996</v>
      </c>
      <c r="M3683" s="58">
        <v>1.3</v>
      </c>
      <c r="N3683" s="58">
        <v>55.860000000000007</v>
      </c>
      <c r="O3683" s="58">
        <v>91.699999999999989</v>
      </c>
      <c r="P3683" s="53">
        <v>3890.7999999999997</v>
      </c>
      <c r="Q3683" s="65">
        <v>3890.7999999999997</v>
      </c>
      <c r="R3683" s="65">
        <v>0</v>
      </c>
      <c r="S3683" s="65">
        <v>55.860000000000007</v>
      </c>
      <c r="T3683" s="65">
        <v>0</v>
      </c>
      <c r="U3683" s="58">
        <v>0</v>
      </c>
      <c r="V3683" s="65">
        <v>500</v>
      </c>
      <c r="W3683" s="65">
        <v>0</v>
      </c>
      <c r="X3683" s="65">
        <v>3335</v>
      </c>
      <c r="Y3683" s="65">
        <v>0</v>
      </c>
      <c r="Z3683" s="51">
        <v>0</v>
      </c>
      <c r="AA3683" s="51">
        <v>234</v>
      </c>
      <c r="AB3683" s="102">
        <v>0</v>
      </c>
      <c r="AC3683" s="81">
        <f t="shared" si="175"/>
        <v>545.24118260869557</v>
      </c>
      <c r="AD3683" s="82">
        <f t="shared" si="176"/>
        <v>13.142857142857144</v>
      </c>
      <c r="AE3683" s="218">
        <v>5.681691465584545E-2</v>
      </c>
      <c r="AF3683">
        <v>5</v>
      </c>
      <c r="AH3683" t="str">
        <f t="shared" si="174"/>
        <v>Kalyanpur</v>
      </c>
      <c r="AJ3683" s="72">
        <v>500</v>
      </c>
      <c r="AK3683" s="72"/>
      <c r="AL3683" s="72"/>
      <c r="AM3683" s="72"/>
    </row>
    <row r="3684" spans="1:39" x14ac:dyDescent="0.25">
      <c r="A3684" s="37" t="s">
        <v>62</v>
      </c>
      <c r="B3684" s="66" t="s">
        <v>1676</v>
      </c>
      <c r="C3684" s="4">
        <v>1053</v>
      </c>
      <c r="D3684" s="41" t="s">
        <v>527</v>
      </c>
      <c r="E3684" s="41">
        <v>10530103</v>
      </c>
      <c r="F3684" s="85" t="s">
        <v>1290</v>
      </c>
      <c r="G3684" s="39" t="s">
        <v>92</v>
      </c>
      <c r="H3684" s="52" t="s">
        <v>93</v>
      </c>
      <c r="I3684" s="52">
        <v>2763.1499999999987</v>
      </c>
      <c r="J3684" s="49">
        <v>122926.54000000001</v>
      </c>
      <c r="K3684" s="58">
        <v>2763.400000000001</v>
      </c>
      <c r="L3684" s="58">
        <v>119138.12999999999</v>
      </c>
      <c r="M3684" s="58">
        <v>82.7</v>
      </c>
      <c r="N3684" s="58">
        <v>3681.7100000000009</v>
      </c>
      <c r="O3684" s="58">
        <v>2846.1000000000008</v>
      </c>
      <c r="P3684" s="53">
        <v>122819.84</v>
      </c>
      <c r="Q3684" s="65">
        <v>122819.84</v>
      </c>
      <c r="R3684" s="65">
        <v>0</v>
      </c>
      <c r="S3684" s="65">
        <v>3681.7100000000009</v>
      </c>
      <c r="T3684" s="65">
        <v>0</v>
      </c>
      <c r="U3684" s="58">
        <v>14029</v>
      </c>
      <c r="V3684" s="65">
        <v>0</v>
      </c>
      <c r="W3684" s="65">
        <v>0</v>
      </c>
      <c r="X3684" s="65">
        <v>105110</v>
      </c>
      <c r="Y3684" s="65">
        <v>0</v>
      </c>
      <c r="Z3684" s="51">
        <v>0</v>
      </c>
      <c r="AA3684" s="51">
        <v>106</v>
      </c>
      <c r="AB3684" s="102">
        <v>0</v>
      </c>
      <c r="AC3684" s="81">
        <f t="shared" si="175"/>
        <v>0</v>
      </c>
      <c r="AD3684" s="82">
        <f t="shared" si="176"/>
        <v>0</v>
      </c>
      <c r="AE3684" s="218">
        <v>8.6799807429715039E-4</v>
      </c>
      <c r="AF3684">
        <v>28</v>
      </c>
      <c r="AH3684" t="str">
        <f t="shared" si="174"/>
        <v>Kalyanpur</v>
      </c>
      <c r="AJ3684" s="72">
        <v>0</v>
      </c>
      <c r="AK3684" s="72"/>
      <c r="AL3684" s="72"/>
      <c r="AM3684" s="72"/>
    </row>
    <row r="3685" spans="1:39" x14ac:dyDescent="0.25">
      <c r="A3685" s="37" t="s">
        <v>62</v>
      </c>
      <c r="B3685" s="66" t="s">
        <v>1676</v>
      </c>
      <c r="C3685" s="4">
        <v>1053</v>
      </c>
      <c r="D3685" s="41" t="s">
        <v>527</v>
      </c>
      <c r="E3685" s="41">
        <v>10530104</v>
      </c>
      <c r="F3685" s="85" t="s">
        <v>1581</v>
      </c>
      <c r="G3685" s="39" t="s">
        <v>1610</v>
      </c>
      <c r="H3685" s="52" t="s">
        <v>98</v>
      </c>
      <c r="I3685" s="52">
        <v>44.05</v>
      </c>
      <c r="J3685" s="49">
        <v>1870.91</v>
      </c>
      <c r="K3685" s="58">
        <v>0</v>
      </c>
      <c r="L3685" s="58">
        <v>0</v>
      </c>
      <c r="M3685" s="58">
        <v>0</v>
      </c>
      <c r="N3685" s="58">
        <v>0</v>
      </c>
      <c r="O3685" s="58">
        <v>0</v>
      </c>
      <c r="P3685" s="53">
        <v>0</v>
      </c>
      <c r="Q3685" s="65">
        <v>1870.91</v>
      </c>
      <c r="R3685" s="65">
        <v>0</v>
      </c>
      <c r="S3685" s="65">
        <v>0</v>
      </c>
      <c r="T3685" s="65">
        <v>0</v>
      </c>
      <c r="U3685" s="58">
        <v>0</v>
      </c>
      <c r="V3685" s="65">
        <v>0</v>
      </c>
      <c r="W3685" s="65">
        <v>0</v>
      </c>
      <c r="X3685" s="65">
        <v>0</v>
      </c>
      <c r="Y3685" s="65">
        <v>0</v>
      </c>
      <c r="Z3685" s="51">
        <v>1870.91</v>
      </c>
      <c r="AA3685" s="51">
        <v>0</v>
      </c>
      <c r="AB3685" s="102">
        <v>0</v>
      </c>
      <c r="AC3685" s="81">
        <f t="shared" si="175"/>
        <v>557.19564790011361</v>
      </c>
      <c r="AD3685" s="82">
        <f t="shared" si="176"/>
        <v>6.2928571428571427</v>
      </c>
      <c r="AE3685" s="218">
        <v>0</v>
      </c>
      <c r="AF3685">
        <v>0</v>
      </c>
      <c r="AH3685" t="str">
        <f t="shared" si="174"/>
        <v>Kalyanpur</v>
      </c>
      <c r="AJ3685" s="72">
        <v>0</v>
      </c>
      <c r="AK3685" s="72"/>
      <c r="AL3685" s="72"/>
      <c r="AM3685" s="72"/>
    </row>
    <row r="3686" spans="1:39" x14ac:dyDescent="0.25">
      <c r="A3686" s="37" t="s">
        <v>62</v>
      </c>
      <c r="B3686" s="66" t="s">
        <v>1676</v>
      </c>
      <c r="C3686" s="4">
        <v>1053</v>
      </c>
      <c r="D3686" s="41" t="s">
        <v>527</v>
      </c>
      <c r="E3686" s="41">
        <v>10530106</v>
      </c>
      <c r="F3686" s="85" t="s">
        <v>1375</v>
      </c>
      <c r="G3686" s="39" t="s">
        <v>92</v>
      </c>
      <c r="H3686" s="52" t="s">
        <v>93</v>
      </c>
      <c r="I3686" s="52">
        <v>653.8499999999998</v>
      </c>
      <c r="J3686" s="49">
        <v>29298.859999999997</v>
      </c>
      <c r="K3686" s="58">
        <v>548.01</v>
      </c>
      <c r="L3686" s="58">
        <v>23925.910000000003</v>
      </c>
      <c r="M3686" s="58">
        <v>132.96</v>
      </c>
      <c r="N3686" s="58">
        <v>5361.8600000000006</v>
      </c>
      <c r="O3686" s="58">
        <v>680.97</v>
      </c>
      <c r="P3686" s="53">
        <v>29287.770000000004</v>
      </c>
      <c r="Q3686" s="65">
        <v>29287.770000000004</v>
      </c>
      <c r="R3686" s="65">
        <v>0</v>
      </c>
      <c r="S3686" s="65">
        <v>1487.58</v>
      </c>
      <c r="T3686" s="65">
        <v>0</v>
      </c>
      <c r="U3686" s="58">
        <v>0</v>
      </c>
      <c r="V3686" s="65">
        <v>0</v>
      </c>
      <c r="W3686" s="65">
        <v>0</v>
      </c>
      <c r="X3686" s="65">
        <v>23926</v>
      </c>
      <c r="Y3686" s="65">
        <v>3874</v>
      </c>
      <c r="Z3686" s="51">
        <v>0</v>
      </c>
      <c r="AA3686" s="51">
        <v>11</v>
      </c>
      <c r="AB3686" s="102">
        <v>0</v>
      </c>
      <c r="AC3686" s="81">
        <f t="shared" si="175"/>
        <v>41.359406255257504</v>
      </c>
      <c r="AD3686" s="82">
        <f t="shared" si="176"/>
        <v>93.40714285714283</v>
      </c>
      <c r="AE3686" s="218">
        <v>3.7851302064288066E-4</v>
      </c>
      <c r="AF3686">
        <v>13</v>
      </c>
      <c r="AH3686" t="str">
        <f t="shared" si="174"/>
        <v>Kalyanpur</v>
      </c>
      <c r="AJ3686" s="72">
        <v>0</v>
      </c>
      <c r="AK3686" s="72"/>
      <c r="AL3686" s="72"/>
      <c r="AM3686" s="72"/>
    </row>
    <row r="3687" spans="1:39" x14ac:dyDescent="0.25">
      <c r="A3687" s="37" t="s">
        <v>62</v>
      </c>
      <c r="B3687" s="66" t="s">
        <v>1676</v>
      </c>
      <c r="C3687" s="4">
        <v>1053</v>
      </c>
      <c r="D3687" s="41" t="s">
        <v>527</v>
      </c>
      <c r="E3687" s="41">
        <v>10530107</v>
      </c>
      <c r="F3687" s="85" t="s">
        <v>1352</v>
      </c>
      <c r="G3687" s="39" t="s">
        <v>1610</v>
      </c>
      <c r="H3687" s="52" t="s">
        <v>98</v>
      </c>
      <c r="I3687" s="52">
        <v>288.04999999999995</v>
      </c>
      <c r="J3687" s="49">
        <v>17798.59</v>
      </c>
      <c r="K3687" s="58">
        <v>0</v>
      </c>
      <c r="L3687" s="58">
        <v>0</v>
      </c>
      <c r="M3687" s="58">
        <v>0</v>
      </c>
      <c r="N3687" s="58">
        <v>0</v>
      </c>
      <c r="O3687" s="58">
        <v>0</v>
      </c>
      <c r="P3687" s="53">
        <v>0</v>
      </c>
      <c r="Q3687" s="65">
        <v>17798.59</v>
      </c>
      <c r="R3687" s="65">
        <v>0</v>
      </c>
      <c r="S3687" s="65">
        <v>0</v>
      </c>
      <c r="T3687" s="65">
        <v>0</v>
      </c>
      <c r="U3687" s="58">
        <v>0</v>
      </c>
      <c r="V3687" s="65">
        <v>0</v>
      </c>
      <c r="W3687" s="65">
        <v>0</v>
      </c>
      <c r="X3687" s="65">
        <v>0</v>
      </c>
      <c r="Y3687" s="65">
        <v>0</v>
      </c>
      <c r="Z3687" s="51">
        <v>17798.59</v>
      </c>
      <c r="AA3687" s="51">
        <v>0</v>
      </c>
      <c r="AB3687" s="102">
        <v>0</v>
      </c>
      <c r="AC3687" s="81">
        <f t="shared" si="175"/>
        <v>509.08725224787378</v>
      </c>
      <c r="AD3687" s="82">
        <f t="shared" si="176"/>
        <v>41.149999999999991</v>
      </c>
      <c r="AE3687" s="218">
        <v>0</v>
      </c>
      <c r="AF3687">
        <v>0</v>
      </c>
      <c r="AH3687" t="str">
        <f t="shared" si="174"/>
        <v>Kalyanpur</v>
      </c>
      <c r="AJ3687" s="72">
        <v>0</v>
      </c>
      <c r="AK3687" s="72"/>
      <c r="AL3687" s="72"/>
      <c r="AM3687" s="72"/>
    </row>
    <row r="3688" spans="1:39" x14ac:dyDescent="0.25">
      <c r="A3688" s="37" t="s">
        <v>62</v>
      </c>
      <c r="B3688" s="66" t="s">
        <v>1676</v>
      </c>
      <c r="C3688" s="4">
        <v>1053</v>
      </c>
      <c r="D3688" s="41" t="s">
        <v>527</v>
      </c>
      <c r="E3688" s="41">
        <v>10530108</v>
      </c>
      <c r="F3688" s="85" t="s">
        <v>1376</v>
      </c>
      <c r="G3688" s="39" t="s">
        <v>92</v>
      </c>
      <c r="H3688" s="52" t="s">
        <v>93</v>
      </c>
      <c r="I3688" s="52">
        <v>517.19999999999993</v>
      </c>
      <c r="J3688" s="49">
        <v>21092.339999999997</v>
      </c>
      <c r="K3688" s="58">
        <v>504.32000000000005</v>
      </c>
      <c r="L3688" s="58">
        <v>20560.969999999994</v>
      </c>
      <c r="M3688" s="58">
        <v>8.6000000000000014</v>
      </c>
      <c r="N3688" s="58">
        <v>346.68999999999994</v>
      </c>
      <c r="O3688" s="58">
        <v>512.92000000000007</v>
      </c>
      <c r="P3688" s="53">
        <v>20907.659999999993</v>
      </c>
      <c r="Q3688" s="65">
        <v>20907.659999999993</v>
      </c>
      <c r="R3688" s="65">
        <v>0</v>
      </c>
      <c r="S3688" s="65">
        <v>346.68999999999994</v>
      </c>
      <c r="T3688" s="65">
        <v>0</v>
      </c>
      <c r="U3688" s="58">
        <v>0</v>
      </c>
      <c r="V3688" s="65">
        <v>0</v>
      </c>
      <c r="W3688" s="65">
        <v>0</v>
      </c>
      <c r="X3688" s="65">
        <v>20562</v>
      </c>
      <c r="Y3688" s="65">
        <v>0</v>
      </c>
      <c r="Z3688" s="51">
        <v>0</v>
      </c>
      <c r="AA3688" s="51">
        <v>184</v>
      </c>
      <c r="AB3688" s="102">
        <v>0</v>
      </c>
      <c r="AC3688" s="81">
        <f t="shared" si="175"/>
        <v>149.09821160092815</v>
      </c>
      <c r="AD3688" s="82">
        <f t="shared" si="176"/>
        <v>73.885714285714272</v>
      </c>
      <c r="AE3688" s="218">
        <v>8.7557852756026105E-3</v>
      </c>
      <c r="AF3688">
        <v>9</v>
      </c>
      <c r="AH3688" t="str">
        <f t="shared" si="174"/>
        <v>Kalyanpur</v>
      </c>
      <c r="AJ3688" s="72">
        <v>0</v>
      </c>
      <c r="AK3688" s="72"/>
      <c r="AL3688" s="72"/>
      <c r="AM3688" s="72"/>
    </row>
    <row r="3689" spans="1:39" x14ac:dyDescent="0.25">
      <c r="A3689" s="37" t="s">
        <v>62</v>
      </c>
      <c r="B3689" s="66" t="s">
        <v>1676</v>
      </c>
      <c r="C3689" s="4">
        <v>1053</v>
      </c>
      <c r="D3689" s="41" t="s">
        <v>527</v>
      </c>
      <c r="E3689" s="41">
        <v>10530109</v>
      </c>
      <c r="F3689" s="85" t="s">
        <v>1353</v>
      </c>
      <c r="G3689" s="39" t="s">
        <v>92</v>
      </c>
      <c r="H3689" s="52" t="s">
        <v>93</v>
      </c>
      <c r="I3689" s="52">
        <v>1709.8500000000001</v>
      </c>
      <c r="J3689" s="49">
        <v>77101.010000000024</v>
      </c>
      <c r="K3689" s="58">
        <v>1714.0100000000002</v>
      </c>
      <c r="L3689" s="58">
        <v>75825.919999999998</v>
      </c>
      <c r="M3689" s="58">
        <v>27.58</v>
      </c>
      <c r="N3689" s="58">
        <v>1254.76</v>
      </c>
      <c r="O3689" s="58">
        <v>1741.5900000000001</v>
      </c>
      <c r="P3689" s="53">
        <v>77080.679999999993</v>
      </c>
      <c r="Q3689" s="65">
        <v>77080.679999999993</v>
      </c>
      <c r="R3689" s="65">
        <v>0</v>
      </c>
      <c r="S3689" s="65">
        <v>1254.76</v>
      </c>
      <c r="T3689" s="65">
        <v>0</v>
      </c>
      <c r="U3689" s="58">
        <v>22896</v>
      </c>
      <c r="V3689" s="65">
        <v>0</v>
      </c>
      <c r="W3689" s="65">
        <v>0</v>
      </c>
      <c r="X3689" s="65">
        <v>52932</v>
      </c>
      <c r="Y3689" s="65">
        <v>0</v>
      </c>
      <c r="Z3689" s="51">
        <v>0</v>
      </c>
      <c r="AA3689" s="51">
        <v>18</v>
      </c>
      <c r="AB3689" s="102">
        <v>0</v>
      </c>
      <c r="AC3689" s="81">
        <f t="shared" si="175"/>
        <v>0</v>
      </c>
      <c r="AD3689" s="82">
        <f t="shared" si="176"/>
        <v>0</v>
      </c>
      <c r="AE3689" s="218">
        <v>2.6368007371149667E-4</v>
      </c>
      <c r="AF3689">
        <v>30</v>
      </c>
      <c r="AH3689" t="str">
        <f t="shared" si="174"/>
        <v>Kalyanpur</v>
      </c>
      <c r="AJ3689" s="72">
        <v>0</v>
      </c>
      <c r="AK3689" s="72"/>
      <c r="AL3689" s="72"/>
      <c r="AM3689" s="72"/>
    </row>
    <row r="3690" spans="1:39" x14ac:dyDescent="0.25">
      <c r="A3690" s="37" t="s">
        <v>62</v>
      </c>
      <c r="B3690" s="66" t="s">
        <v>1676</v>
      </c>
      <c r="C3690" s="4">
        <v>1053</v>
      </c>
      <c r="D3690" s="41" t="s">
        <v>527</v>
      </c>
      <c r="E3690" s="41">
        <v>10530110</v>
      </c>
      <c r="F3690" s="85" t="s">
        <v>1377</v>
      </c>
      <c r="G3690" s="39" t="s">
        <v>92</v>
      </c>
      <c r="H3690" s="52" t="s">
        <v>93</v>
      </c>
      <c r="I3690" s="52">
        <v>766.69999999999993</v>
      </c>
      <c r="J3690" s="49">
        <v>32552.89</v>
      </c>
      <c r="K3690" s="58">
        <v>747.49999999999989</v>
      </c>
      <c r="L3690" s="58">
        <v>30988.86</v>
      </c>
      <c r="M3690" s="58">
        <v>23.049999999999997</v>
      </c>
      <c r="N3690" s="58">
        <v>955.78999999999985</v>
      </c>
      <c r="O3690" s="58">
        <v>770.54999999999984</v>
      </c>
      <c r="P3690" s="53">
        <v>31944.65</v>
      </c>
      <c r="Q3690" s="65">
        <v>31944.65</v>
      </c>
      <c r="R3690" s="65">
        <v>0</v>
      </c>
      <c r="S3690" s="65">
        <v>955.78999999999985</v>
      </c>
      <c r="T3690" s="65">
        <v>0</v>
      </c>
      <c r="U3690" s="58">
        <v>0</v>
      </c>
      <c r="V3690" s="65">
        <v>0</v>
      </c>
      <c r="W3690" s="65">
        <v>0</v>
      </c>
      <c r="X3690" s="65">
        <v>30989</v>
      </c>
      <c r="Y3690" s="65">
        <v>0</v>
      </c>
      <c r="Z3690" s="51">
        <v>0</v>
      </c>
      <c r="AA3690" s="51">
        <v>608</v>
      </c>
      <c r="AB3690" s="102">
        <v>0</v>
      </c>
      <c r="AC3690" s="81">
        <f t="shared" si="175"/>
        <v>0</v>
      </c>
      <c r="AD3690" s="82">
        <f t="shared" si="176"/>
        <v>0</v>
      </c>
      <c r="AE3690" s="218">
        <v>1.8684669778935081E-2</v>
      </c>
      <c r="AF3690">
        <v>16</v>
      </c>
      <c r="AH3690" t="str">
        <f t="shared" si="174"/>
        <v>Kalyanpur</v>
      </c>
      <c r="AJ3690" s="72">
        <v>0</v>
      </c>
      <c r="AK3690" s="72"/>
      <c r="AL3690" s="72"/>
      <c r="AM3690" s="72"/>
    </row>
    <row r="3691" spans="1:39" x14ac:dyDescent="0.25">
      <c r="A3691" s="37" t="s">
        <v>62</v>
      </c>
      <c r="B3691" s="66" t="s">
        <v>1676</v>
      </c>
      <c r="C3691" s="4">
        <v>1053</v>
      </c>
      <c r="D3691" s="41" t="s">
        <v>527</v>
      </c>
      <c r="E3691" s="41">
        <v>10530111</v>
      </c>
      <c r="F3691" s="85" t="s">
        <v>1429</v>
      </c>
      <c r="G3691" s="39" t="s">
        <v>92</v>
      </c>
      <c r="H3691" s="52" t="s">
        <v>93</v>
      </c>
      <c r="I3691" s="52">
        <v>477.7</v>
      </c>
      <c r="J3691" s="49">
        <v>19684.719999999998</v>
      </c>
      <c r="K3691" s="58">
        <v>494.45000000000005</v>
      </c>
      <c r="L3691" s="58">
        <v>19053.690000000002</v>
      </c>
      <c r="M3691" s="58">
        <v>11.52</v>
      </c>
      <c r="N3691" s="58">
        <v>451.99</v>
      </c>
      <c r="O3691" s="58">
        <v>505.97</v>
      </c>
      <c r="P3691" s="53">
        <v>19505.680000000004</v>
      </c>
      <c r="Q3691" s="65">
        <v>19505.680000000004</v>
      </c>
      <c r="R3691" s="65">
        <v>0</v>
      </c>
      <c r="S3691" s="65">
        <v>451.99</v>
      </c>
      <c r="T3691" s="65">
        <v>0</v>
      </c>
      <c r="U3691" s="58">
        <v>0</v>
      </c>
      <c r="V3691" s="65">
        <v>0</v>
      </c>
      <c r="W3691" s="65">
        <v>0</v>
      </c>
      <c r="X3691" s="65">
        <v>19052</v>
      </c>
      <c r="Y3691" s="65">
        <v>0</v>
      </c>
      <c r="Z3691" s="51">
        <v>0</v>
      </c>
      <c r="AA3691" s="51">
        <v>181</v>
      </c>
      <c r="AB3691" s="102">
        <v>0</v>
      </c>
      <c r="AC3691" s="81">
        <f t="shared" si="175"/>
        <v>183.20758869583412</v>
      </c>
      <c r="AD3691" s="82">
        <f t="shared" si="176"/>
        <v>68.242857142857147</v>
      </c>
      <c r="AE3691" s="218">
        <v>9.0953795634377138E-3</v>
      </c>
      <c r="AF3691">
        <v>18</v>
      </c>
      <c r="AH3691" t="str">
        <f t="shared" si="174"/>
        <v>Kalyanpur</v>
      </c>
      <c r="AJ3691" s="72">
        <v>0</v>
      </c>
      <c r="AK3691" s="72"/>
      <c r="AL3691" s="72"/>
      <c r="AM3691" s="72"/>
    </row>
    <row r="3692" spans="1:39" x14ac:dyDescent="0.25">
      <c r="A3692" s="37" t="s">
        <v>62</v>
      </c>
      <c r="B3692" s="66" t="s">
        <v>1676</v>
      </c>
      <c r="C3692" s="4">
        <v>1053</v>
      </c>
      <c r="D3692" s="41" t="s">
        <v>527</v>
      </c>
      <c r="E3692" s="41">
        <v>10530112</v>
      </c>
      <c r="F3692" s="85" t="s">
        <v>1430</v>
      </c>
      <c r="G3692" s="39" t="s">
        <v>92</v>
      </c>
      <c r="H3692" s="52" t="s">
        <v>93</v>
      </c>
      <c r="I3692" s="52">
        <v>695</v>
      </c>
      <c r="J3692" s="49">
        <v>28429.75</v>
      </c>
      <c r="K3692" s="58">
        <v>696.18</v>
      </c>
      <c r="L3692" s="58">
        <v>27927.590000000004</v>
      </c>
      <c r="M3692" s="58">
        <v>11.8</v>
      </c>
      <c r="N3692" s="58">
        <v>483.28</v>
      </c>
      <c r="O3692" s="58">
        <v>707.9799999999999</v>
      </c>
      <c r="P3692" s="53">
        <v>28410.870000000003</v>
      </c>
      <c r="Q3692" s="65">
        <v>28410.870000000003</v>
      </c>
      <c r="R3692" s="65">
        <v>0</v>
      </c>
      <c r="S3692" s="65">
        <v>461.78</v>
      </c>
      <c r="T3692" s="65">
        <v>0</v>
      </c>
      <c r="U3692" s="58">
        <v>0</v>
      </c>
      <c r="V3692" s="65">
        <v>0</v>
      </c>
      <c r="W3692" s="65">
        <v>0</v>
      </c>
      <c r="X3692" s="65">
        <v>27929</v>
      </c>
      <c r="Y3692" s="65">
        <v>22</v>
      </c>
      <c r="Z3692" s="51">
        <v>0</v>
      </c>
      <c r="AA3692" s="51">
        <v>17</v>
      </c>
      <c r="AB3692" s="102">
        <v>0</v>
      </c>
      <c r="AC3692" s="81">
        <f t="shared" si="175"/>
        <v>4.0906115107913319</v>
      </c>
      <c r="AD3692" s="82">
        <f t="shared" si="176"/>
        <v>99.285714285714292</v>
      </c>
      <c r="AE3692" s="218">
        <v>6.6409307151829968E-4</v>
      </c>
      <c r="AF3692">
        <v>9</v>
      </c>
      <c r="AH3692" t="str">
        <f t="shared" si="174"/>
        <v>Kalyanpur</v>
      </c>
      <c r="AJ3692" s="72">
        <v>0</v>
      </c>
      <c r="AK3692" s="72"/>
      <c r="AL3692" s="72"/>
      <c r="AM3692" s="72"/>
    </row>
    <row r="3693" spans="1:39" x14ac:dyDescent="0.25">
      <c r="A3693" s="37" t="s">
        <v>62</v>
      </c>
      <c r="B3693" s="66" t="s">
        <v>1676</v>
      </c>
      <c r="C3693" s="4">
        <v>1053</v>
      </c>
      <c r="D3693" s="41" t="s">
        <v>527</v>
      </c>
      <c r="E3693" s="41">
        <v>10530113</v>
      </c>
      <c r="F3693" s="85" t="s">
        <v>1473</v>
      </c>
      <c r="G3693" s="39" t="s">
        <v>92</v>
      </c>
      <c r="H3693" s="52" t="s">
        <v>93</v>
      </c>
      <c r="I3693" s="52">
        <v>497.59999999999997</v>
      </c>
      <c r="J3693" s="49">
        <v>20324.759999999995</v>
      </c>
      <c r="K3693" s="58">
        <v>453.4</v>
      </c>
      <c r="L3693" s="58">
        <v>17917.499999999996</v>
      </c>
      <c r="M3693" s="58">
        <v>56.800000000000004</v>
      </c>
      <c r="N3693" s="58">
        <v>2381.4999999999995</v>
      </c>
      <c r="O3693" s="58">
        <v>510.2</v>
      </c>
      <c r="P3693" s="53">
        <v>20298.999999999996</v>
      </c>
      <c r="Q3693" s="65">
        <v>20298.999999999996</v>
      </c>
      <c r="R3693" s="65">
        <v>0</v>
      </c>
      <c r="S3693" s="65">
        <v>213.26999999999995</v>
      </c>
      <c r="T3693" s="65">
        <v>0</v>
      </c>
      <c r="U3693" s="58">
        <v>4650</v>
      </c>
      <c r="V3693" s="65">
        <v>0</v>
      </c>
      <c r="W3693" s="65">
        <v>0</v>
      </c>
      <c r="X3693" s="65">
        <v>13267</v>
      </c>
      <c r="Y3693" s="65">
        <v>2168</v>
      </c>
      <c r="Z3693" s="51">
        <v>0</v>
      </c>
      <c r="AA3693" s="51">
        <v>26</v>
      </c>
      <c r="AB3693" s="102">
        <v>0</v>
      </c>
      <c r="AC3693" s="81">
        <f t="shared" si="175"/>
        <v>165.34290289389071</v>
      </c>
      <c r="AD3693" s="82">
        <f t="shared" si="176"/>
        <v>71.085714285714275</v>
      </c>
      <c r="AE3693" s="218">
        <v>1.2674196398874283E-3</v>
      </c>
      <c r="AF3693">
        <v>10</v>
      </c>
      <c r="AH3693" t="str">
        <f t="shared" si="174"/>
        <v>Kalyanpur</v>
      </c>
      <c r="AJ3693" s="72">
        <v>0</v>
      </c>
      <c r="AK3693" s="72"/>
      <c r="AL3693" s="72"/>
      <c r="AM3693" s="72"/>
    </row>
    <row r="3694" spans="1:39" x14ac:dyDescent="0.25">
      <c r="A3694" s="37" t="s">
        <v>62</v>
      </c>
      <c r="B3694" s="66" t="s">
        <v>1676</v>
      </c>
      <c r="C3694" s="4">
        <v>1053</v>
      </c>
      <c r="D3694" s="41" t="s">
        <v>527</v>
      </c>
      <c r="E3694" s="41">
        <v>10530114</v>
      </c>
      <c r="F3694" s="85" t="s">
        <v>1504</v>
      </c>
      <c r="G3694" s="39" t="s">
        <v>92</v>
      </c>
      <c r="H3694" s="52" t="s">
        <v>93</v>
      </c>
      <c r="I3694" s="52">
        <v>506.55000000000007</v>
      </c>
      <c r="J3694" s="49">
        <v>22826.799999999999</v>
      </c>
      <c r="K3694" s="58">
        <v>506.68000000000006</v>
      </c>
      <c r="L3694" s="58">
        <v>22052.449999999997</v>
      </c>
      <c r="M3694" s="58">
        <v>15.870000000000003</v>
      </c>
      <c r="N3694" s="58">
        <v>740.3599999999999</v>
      </c>
      <c r="O3694" s="58">
        <v>522.55000000000007</v>
      </c>
      <c r="P3694" s="53">
        <v>22792.809999999998</v>
      </c>
      <c r="Q3694" s="65">
        <v>22792.809999999998</v>
      </c>
      <c r="R3694" s="65">
        <v>0</v>
      </c>
      <c r="S3694" s="65">
        <v>740.3599999999999</v>
      </c>
      <c r="T3694" s="65">
        <v>0</v>
      </c>
      <c r="U3694" s="58">
        <v>0</v>
      </c>
      <c r="V3694" s="65">
        <v>0</v>
      </c>
      <c r="W3694" s="65">
        <v>0</v>
      </c>
      <c r="X3694" s="65">
        <v>22053</v>
      </c>
      <c r="Y3694" s="65">
        <v>0</v>
      </c>
      <c r="Z3694" s="51">
        <v>0</v>
      </c>
      <c r="AA3694" s="51">
        <v>33</v>
      </c>
      <c r="AB3694" s="102">
        <v>0</v>
      </c>
      <c r="AC3694" s="81">
        <f t="shared" si="175"/>
        <v>174.34979607146371</v>
      </c>
      <c r="AD3694" s="82">
        <f t="shared" si="176"/>
        <v>72.364285714285728</v>
      </c>
      <c r="AE3694" s="218">
        <v>1.4890391995374559E-3</v>
      </c>
      <c r="AF3694">
        <v>19</v>
      </c>
      <c r="AH3694" t="str">
        <f t="shared" si="174"/>
        <v>Kalyanpur</v>
      </c>
      <c r="AJ3694" s="72">
        <v>0</v>
      </c>
      <c r="AK3694" s="72"/>
      <c r="AL3694" s="72"/>
      <c r="AM3694" s="72"/>
    </row>
    <row r="3695" spans="1:39" x14ac:dyDescent="0.25">
      <c r="A3695" s="37" t="s">
        <v>62</v>
      </c>
      <c r="B3695" s="66" t="s">
        <v>1676</v>
      </c>
      <c r="C3695" s="4">
        <v>1053</v>
      </c>
      <c r="D3695" s="41" t="s">
        <v>527</v>
      </c>
      <c r="E3695" s="41">
        <v>10530116</v>
      </c>
      <c r="F3695" s="85" t="s">
        <v>1549</v>
      </c>
      <c r="G3695" s="39" t="s">
        <v>1610</v>
      </c>
      <c r="H3695" s="52" t="s">
        <v>98</v>
      </c>
      <c r="I3695" s="52">
        <v>1232.8999999999999</v>
      </c>
      <c r="J3695" s="49">
        <v>51125.42</v>
      </c>
      <c r="K3695" s="58">
        <v>0</v>
      </c>
      <c r="L3695" s="58">
        <v>0</v>
      </c>
      <c r="M3695" s="58">
        <v>0</v>
      </c>
      <c r="N3695" s="58">
        <v>0</v>
      </c>
      <c r="O3695" s="58">
        <v>0</v>
      </c>
      <c r="P3695" s="53">
        <v>0</v>
      </c>
      <c r="Q3695" s="65">
        <v>51125.42</v>
      </c>
      <c r="R3695" s="65">
        <v>0</v>
      </c>
      <c r="S3695" s="65">
        <v>0</v>
      </c>
      <c r="T3695" s="65">
        <v>0</v>
      </c>
      <c r="U3695" s="58">
        <v>0</v>
      </c>
      <c r="V3695" s="65">
        <v>0</v>
      </c>
      <c r="W3695" s="65">
        <v>0</v>
      </c>
      <c r="X3695" s="65">
        <v>0</v>
      </c>
      <c r="Y3695" s="65">
        <v>0</v>
      </c>
      <c r="Z3695" s="51">
        <v>51125.42</v>
      </c>
      <c r="AA3695" s="51">
        <v>0</v>
      </c>
      <c r="AB3695" s="102">
        <v>0</v>
      </c>
      <c r="AC3695" s="81">
        <f t="shared" si="175"/>
        <v>0</v>
      </c>
      <c r="AD3695" s="82">
        <f t="shared" si="176"/>
        <v>0</v>
      </c>
      <c r="AE3695" s="218">
        <v>0</v>
      </c>
      <c r="AF3695">
        <v>0</v>
      </c>
      <c r="AH3695" t="str">
        <f t="shared" si="174"/>
        <v>Kalyanpur</v>
      </c>
      <c r="AJ3695" s="72">
        <v>0</v>
      </c>
      <c r="AK3695" s="72"/>
      <c r="AL3695" s="72"/>
      <c r="AM3695" s="72"/>
    </row>
    <row r="3696" spans="1:39" x14ac:dyDescent="0.25">
      <c r="A3696" s="37" t="s">
        <v>62</v>
      </c>
      <c r="B3696" s="66" t="s">
        <v>1676</v>
      </c>
      <c r="C3696" s="4">
        <v>1053</v>
      </c>
      <c r="D3696" s="41" t="s">
        <v>527</v>
      </c>
      <c r="E3696" s="41">
        <v>10530117</v>
      </c>
      <c r="F3696" s="85" t="s">
        <v>1620</v>
      </c>
      <c r="G3696" s="39" t="s">
        <v>1610</v>
      </c>
      <c r="H3696" s="52" t="s">
        <v>98</v>
      </c>
      <c r="I3696" s="52">
        <v>1486.3000000000002</v>
      </c>
      <c r="J3696" s="49">
        <v>58619.979999999996</v>
      </c>
      <c r="K3696" s="58">
        <v>0</v>
      </c>
      <c r="L3696" s="58">
        <v>0</v>
      </c>
      <c r="M3696" s="58">
        <v>0</v>
      </c>
      <c r="N3696" s="58">
        <v>0</v>
      </c>
      <c r="O3696" s="58">
        <v>0</v>
      </c>
      <c r="P3696" s="53">
        <v>0</v>
      </c>
      <c r="Q3696" s="65">
        <v>58619.979999999996</v>
      </c>
      <c r="R3696" s="65">
        <v>0</v>
      </c>
      <c r="S3696" s="65">
        <v>0</v>
      </c>
      <c r="T3696" s="65">
        <v>0</v>
      </c>
      <c r="U3696" s="58">
        <v>23250</v>
      </c>
      <c r="V3696" s="65">
        <v>0</v>
      </c>
      <c r="W3696" s="65">
        <v>0</v>
      </c>
      <c r="X3696" s="65">
        <v>0</v>
      </c>
      <c r="Y3696" s="65">
        <v>0</v>
      </c>
      <c r="Z3696" s="51">
        <v>35369.979999999996</v>
      </c>
      <c r="AA3696" s="51">
        <v>0</v>
      </c>
      <c r="AB3696" s="102">
        <v>0</v>
      </c>
      <c r="AC3696" s="81">
        <f t="shared" si="175"/>
        <v>0</v>
      </c>
      <c r="AD3696" s="82">
        <f t="shared" si="176"/>
        <v>0</v>
      </c>
      <c r="AE3696" s="218">
        <v>0</v>
      </c>
      <c r="AF3696">
        <v>0</v>
      </c>
      <c r="AH3696" t="str">
        <f t="shared" si="174"/>
        <v>Kalyanpur</v>
      </c>
      <c r="AJ3696" s="72">
        <v>0</v>
      </c>
      <c r="AK3696" s="72"/>
      <c r="AL3696" s="72"/>
      <c r="AM3696" s="72"/>
    </row>
    <row r="3697" spans="1:39" x14ac:dyDescent="0.25">
      <c r="A3697" s="37" t="s">
        <v>62</v>
      </c>
      <c r="B3697" s="66" t="s">
        <v>1676</v>
      </c>
      <c r="C3697" s="4">
        <v>1054</v>
      </c>
      <c r="D3697" s="41" t="s">
        <v>808</v>
      </c>
      <c r="E3697" s="41">
        <v>10540003</v>
      </c>
      <c r="F3697" s="85" t="s">
        <v>663</v>
      </c>
      <c r="G3697" s="39" t="s">
        <v>92</v>
      </c>
      <c r="H3697" s="52" t="s">
        <v>93</v>
      </c>
      <c r="I3697" s="52">
        <v>3542.7000000000003</v>
      </c>
      <c r="J3697" s="49">
        <v>146338.76999999999</v>
      </c>
      <c r="K3697" s="58">
        <v>2003.3</v>
      </c>
      <c r="L3697" s="58">
        <v>83012.39</v>
      </c>
      <c r="M3697" s="58">
        <v>1568.7000000000003</v>
      </c>
      <c r="N3697" s="58">
        <v>64487.259999999987</v>
      </c>
      <c r="O3697" s="58">
        <v>3572</v>
      </c>
      <c r="P3697" s="53">
        <v>147499.65</v>
      </c>
      <c r="Q3697" s="65">
        <v>146338.76999999999</v>
      </c>
      <c r="R3697" s="65">
        <v>0</v>
      </c>
      <c r="S3697" s="65">
        <v>0</v>
      </c>
      <c r="T3697" s="65">
        <v>1160.8800000000047</v>
      </c>
      <c r="U3697" s="58">
        <v>0</v>
      </c>
      <c r="V3697" s="65">
        <v>0</v>
      </c>
      <c r="W3697" s="65">
        <v>0</v>
      </c>
      <c r="X3697" s="65">
        <v>81851</v>
      </c>
      <c r="Y3697" s="65">
        <v>64488</v>
      </c>
      <c r="Z3697" s="51">
        <v>0</v>
      </c>
      <c r="AA3697" s="51">
        <v>0</v>
      </c>
      <c r="AB3697" s="102">
        <v>0</v>
      </c>
      <c r="AC3697" s="81">
        <f t="shared" si="175"/>
        <v>0</v>
      </c>
      <c r="AD3697" s="82">
        <f t="shared" si="176"/>
        <v>0</v>
      </c>
      <c r="AE3697" s="218">
        <v>-7.9328260036626297E-3</v>
      </c>
      <c r="AF3697">
        <v>22</v>
      </c>
      <c r="AH3697" t="str">
        <f t="shared" si="174"/>
        <v xml:space="preserve">Alauli </v>
      </c>
      <c r="AJ3697" s="72">
        <v>0</v>
      </c>
      <c r="AK3697" s="72"/>
      <c r="AL3697" s="72"/>
      <c r="AM3697" s="72"/>
    </row>
    <row r="3698" spans="1:39" x14ac:dyDescent="0.25">
      <c r="A3698" s="37" t="s">
        <v>62</v>
      </c>
      <c r="B3698" s="66" t="s">
        <v>1676</v>
      </c>
      <c r="C3698" s="4">
        <v>1054</v>
      </c>
      <c r="D3698" s="41" t="s">
        <v>808</v>
      </c>
      <c r="E3698" s="41">
        <v>10540005</v>
      </c>
      <c r="F3698" s="85" t="s">
        <v>665</v>
      </c>
      <c r="G3698" s="39" t="s">
        <v>92</v>
      </c>
      <c r="H3698" s="52" t="s">
        <v>93</v>
      </c>
      <c r="I3698" s="52">
        <v>361.6</v>
      </c>
      <c r="J3698" s="49">
        <v>15720.399999999998</v>
      </c>
      <c r="K3698" s="58">
        <v>398.33</v>
      </c>
      <c r="L3698" s="58">
        <v>17625.939999999999</v>
      </c>
      <c r="M3698" s="58">
        <v>0</v>
      </c>
      <c r="N3698" s="58">
        <v>0</v>
      </c>
      <c r="O3698" s="58">
        <v>398.33</v>
      </c>
      <c r="P3698" s="53">
        <v>17625.939999999999</v>
      </c>
      <c r="Q3698" s="65">
        <v>15720.399999999998</v>
      </c>
      <c r="R3698" s="65">
        <v>0</v>
      </c>
      <c r="S3698" s="65">
        <v>0</v>
      </c>
      <c r="T3698" s="65">
        <v>1905.5400000000009</v>
      </c>
      <c r="U3698" s="58">
        <v>0</v>
      </c>
      <c r="V3698" s="65">
        <v>0</v>
      </c>
      <c r="W3698" s="65">
        <v>0</v>
      </c>
      <c r="X3698" s="65">
        <v>15720</v>
      </c>
      <c r="Y3698" s="65">
        <v>0</v>
      </c>
      <c r="Z3698" s="51">
        <v>0</v>
      </c>
      <c r="AA3698" s="51">
        <v>0</v>
      </c>
      <c r="AB3698" s="102" t="s">
        <v>66</v>
      </c>
      <c r="AC3698" s="81">
        <f t="shared" si="175"/>
        <v>294.23580530973447</v>
      </c>
      <c r="AD3698" s="82">
        <f t="shared" si="176"/>
        <v>51.657142857142858</v>
      </c>
      <c r="AE3698" s="218">
        <v>-0.12121447291417528</v>
      </c>
      <c r="AF3698">
        <v>15</v>
      </c>
      <c r="AH3698" t="str">
        <f t="shared" si="174"/>
        <v xml:space="preserve">Alauli </v>
      </c>
      <c r="AJ3698" s="72">
        <v>0</v>
      </c>
      <c r="AK3698" s="72"/>
      <c r="AL3698" s="72"/>
      <c r="AM3698" s="72"/>
    </row>
    <row r="3699" spans="1:39" x14ac:dyDescent="0.25">
      <c r="A3699" s="37" t="s">
        <v>62</v>
      </c>
      <c r="B3699" s="66" t="s">
        <v>1676</v>
      </c>
      <c r="C3699" s="4">
        <v>1054</v>
      </c>
      <c r="D3699" s="41" t="s">
        <v>808</v>
      </c>
      <c r="E3699" s="41">
        <v>10540007</v>
      </c>
      <c r="F3699" s="85" t="s">
        <v>1621</v>
      </c>
      <c r="G3699" s="39" t="s">
        <v>92</v>
      </c>
      <c r="H3699" s="52" t="s">
        <v>93</v>
      </c>
      <c r="I3699" s="52">
        <v>418.59999999999997</v>
      </c>
      <c r="J3699" s="49">
        <v>18508.09</v>
      </c>
      <c r="K3699" s="58">
        <v>491.18000000000006</v>
      </c>
      <c r="L3699" s="58">
        <v>22493.59</v>
      </c>
      <c r="M3699" s="58">
        <v>2.97</v>
      </c>
      <c r="N3699" s="58">
        <v>113.54</v>
      </c>
      <c r="O3699" s="58">
        <v>494.15000000000009</v>
      </c>
      <c r="P3699" s="53">
        <v>22607.13</v>
      </c>
      <c r="Q3699" s="65">
        <v>18508.09</v>
      </c>
      <c r="R3699" s="65">
        <v>0</v>
      </c>
      <c r="S3699" s="65">
        <v>113.54</v>
      </c>
      <c r="T3699" s="65">
        <v>4099.0400000000009</v>
      </c>
      <c r="U3699" s="58">
        <v>0</v>
      </c>
      <c r="V3699" s="65">
        <v>0</v>
      </c>
      <c r="W3699" s="65">
        <v>0</v>
      </c>
      <c r="X3699" s="65">
        <v>18394</v>
      </c>
      <c r="Y3699" s="65">
        <v>0</v>
      </c>
      <c r="Z3699" s="51">
        <v>0</v>
      </c>
      <c r="AA3699" s="51">
        <v>1</v>
      </c>
      <c r="AB3699" s="102">
        <v>0</v>
      </c>
      <c r="AC3699" s="81">
        <f t="shared" si="175"/>
        <v>248.83786555183954</v>
      </c>
      <c r="AD3699" s="82">
        <f t="shared" si="176"/>
        <v>59.8</v>
      </c>
      <c r="AE3699" s="218">
        <v>-0.22147288023777714</v>
      </c>
      <c r="AF3699">
        <v>3</v>
      </c>
      <c r="AH3699" t="str">
        <f t="shared" si="174"/>
        <v xml:space="preserve">Alauli </v>
      </c>
      <c r="AJ3699" s="72">
        <v>0</v>
      </c>
      <c r="AK3699" s="72"/>
      <c r="AL3699" s="72"/>
      <c r="AM3699" s="72"/>
    </row>
    <row r="3700" spans="1:39" x14ac:dyDescent="0.25">
      <c r="A3700" s="37" t="s">
        <v>62</v>
      </c>
      <c r="B3700" s="66" t="s">
        <v>1676</v>
      </c>
      <c r="C3700" s="4">
        <v>1054</v>
      </c>
      <c r="D3700" s="41" t="s">
        <v>808</v>
      </c>
      <c r="E3700" s="41">
        <v>10540008</v>
      </c>
      <c r="F3700" s="85" t="s">
        <v>1123</v>
      </c>
      <c r="G3700" s="39" t="s">
        <v>92</v>
      </c>
      <c r="H3700" s="52" t="s">
        <v>93</v>
      </c>
      <c r="I3700" s="52">
        <v>81.599999999999994</v>
      </c>
      <c r="J3700" s="49">
        <v>3784.97</v>
      </c>
      <c r="K3700" s="58">
        <v>86.81</v>
      </c>
      <c r="L3700" s="58">
        <v>4121.5200000000004</v>
      </c>
      <c r="M3700" s="58">
        <v>0</v>
      </c>
      <c r="N3700" s="58">
        <v>0</v>
      </c>
      <c r="O3700" s="58">
        <v>86.81</v>
      </c>
      <c r="P3700" s="53">
        <v>4121.5200000000004</v>
      </c>
      <c r="Q3700" s="65">
        <v>3784.97</v>
      </c>
      <c r="R3700" s="65">
        <v>0</v>
      </c>
      <c r="S3700" s="65">
        <v>0</v>
      </c>
      <c r="T3700" s="65">
        <v>336.55000000000064</v>
      </c>
      <c r="U3700" s="58">
        <v>1511</v>
      </c>
      <c r="V3700" s="65">
        <v>0</v>
      </c>
      <c r="W3700" s="65">
        <v>0</v>
      </c>
      <c r="X3700" s="65">
        <v>0</v>
      </c>
      <c r="Y3700" s="65">
        <v>0</v>
      </c>
      <c r="Z3700" s="51">
        <v>0</v>
      </c>
      <c r="AA3700" s="51">
        <v>2274</v>
      </c>
      <c r="AB3700" s="102" t="s">
        <v>65</v>
      </c>
      <c r="AC3700" s="81">
        <f t="shared" si="175"/>
        <v>573.68270784313722</v>
      </c>
      <c r="AD3700" s="82">
        <f t="shared" si="176"/>
        <v>11.657142857142857</v>
      </c>
      <c r="AE3700" s="218">
        <v>-8.8917481512403182E-2</v>
      </c>
      <c r="AF3700">
        <v>7</v>
      </c>
      <c r="AH3700" t="str">
        <f t="shared" si="174"/>
        <v xml:space="preserve">Alauli </v>
      </c>
      <c r="AJ3700" s="72">
        <v>0</v>
      </c>
      <c r="AK3700" s="72"/>
      <c r="AL3700" s="72"/>
      <c r="AM3700" s="72"/>
    </row>
    <row r="3701" spans="1:39" x14ac:dyDescent="0.25">
      <c r="A3701" s="37" t="s">
        <v>62</v>
      </c>
      <c r="B3701" s="66" t="s">
        <v>1676</v>
      </c>
      <c r="C3701" s="4">
        <v>1054</v>
      </c>
      <c r="D3701" s="41" t="s">
        <v>808</v>
      </c>
      <c r="E3701" s="41">
        <v>10540009</v>
      </c>
      <c r="F3701" s="85" t="s">
        <v>830</v>
      </c>
      <c r="G3701" s="39" t="s">
        <v>92</v>
      </c>
      <c r="H3701" s="52" t="s">
        <v>93</v>
      </c>
      <c r="I3701" s="52">
        <v>1213.6000000000001</v>
      </c>
      <c r="J3701" s="49">
        <v>52986.98</v>
      </c>
      <c r="K3701" s="58">
        <v>1252.1499999999996</v>
      </c>
      <c r="L3701" s="58">
        <v>57299.319999999992</v>
      </c>
      <c r="M3701" s="58">
        <v>0</v>
      </c>
      <c r="N3701" s="58">
        <v>0</v>
      </c>
      <c r="O3701" s="58">
        <v>1252.1499999999996</v>
      </c>
      <c r="P3701" s="53">
        <v>57299.319999999992</v>
      </c>
      <c r="Q3701" s="65">
        <v>52986.98</v>
      </c>
      <c r="R3701" s="65">
        <v>0</v>
      </c>
      <c r="S3701" s="65">
        <v>0</v>
      </c>
      <c r="T3701" s="65">
        <v>4312.3399999999892</v>
      </c>
      <c r="U3701" s="58">
        <v>2029</v>
      </c>
      <c r="V3701" s="65">
        <v>0</v>
      </c>
      <c r="W3701" s="65">
        <v>0</v>
      </c>
      <c r="X3701" s="65">
        <v>50958</v>
      </c>
      <c r="Y3701" s="65">
        <v>0</v>
      </c>
      <c r="Z3701" s="51">
        <v>0</v>
      </c>
      <c r="AA3701" s="51">
        <v>0</v>
      </c>
      <c r="AB3701" s="102" t="s">
        <v>66</v>
      </c>
      <c r="AC3701" s="81">
        <f t="shared" si="175"/>
        <v>0</v>
      </c>
      <c r="AD3701" s="82">
        <f t="shared" si="176"/>
        <v>0</v>
      </c>
      <c r="AE3701" s="218">
        <v>-8.1384898705304382E-2</v>
      </c>
      <c r="AF3701">
        <v>32</v>
      </c>
      <c r="AH3701" t="str">
        <f t="shared" ref="AH3701:AH3764" si="177">TEXT(D3701,"0000")</f>
        <v xml:space="preserve">Alauli </v>
      </c>
      <c r="AJ3701" s="72">
        <v>0</v>
      </c>
      <c r="AK3701" s="72"/>
      <c r="AL3701" s="72"/>
      <c r="AM3701" s="72"/>
    </row>
    <row r="3702" spans="1:39" x14ac:dyDescent="0.25">
      <c r="A3702" s="37" t="s">
        <v>62</v>
      </c>
      <c r="B3702" s="66" t="s">
        <v>1676</v>
      </c>
      <c r="C3702" s="4">
        <v>1054</v>
      </c>
      <c r="D3702" s="41" t="s">
        <v>808</v>
      </c>
      <c r="E3702" s="41">
        <v>10540010</v>
      </c>
      <c r="F3702" s="85" t="s">
        <v>597</v>
      </c>
      <c r="G3702" s="39" t="s">
        <v>1610</v>
      </c>
      <c r="H3702" s="52" t="s">
        <v>98</v>
      </c>
      <c r="I3702" s="52">
        <v>1740.8</v>
      </c>
      <c r="J3702" s="49">
        <v>73027.53</v>
      </c>
      <c r="K3702" s="58">
        <v>0</v>
      </c>
      <c r="L3702" s="58">
        <v>0</v>
      </c>
      <c r="M3702" s="58">
        <v>0</v>
      </c>
      <c r="N3702" s="58">
        <v>0</v>
      </c>
      <c r="O3702" s="58">
        <v>0</v>
      </c>
      <c r="P3702" s="53">
        <v>0</v>
      </c>
      <c r="Q3702" s="65">
        <v>73027.53</v>
      </c>
      <c r="R3702" s="65">
        <v>0</v>
      </c>
      <c r="S3702" s="65">
        <v>0</v>
      </c>
      <c r="T3702" s="65">
        <v>0</v>
      </c>
      <c r="U3702" s="58">
        <v>0</v>
      </c>
      <c r="V3702" s="65">
        <v>0</v>
      </c>
      <c r="W3702" s="65">
        <v>0</v>
      </c>
      <c r="X3702" s="65">
        <v>0</v>
      </c>
      <c r="Y3702" s="65">
        <v>0</v>
      </c>
      <c r="Z3702" s="51">
        <v>73027.53</v>
      </c>
      <c r="AA3702" s="51">
        <v>0</v>
      </c>
      <c r="AB3702" s="102">
        <v>0</v>
      </c>
      <c r="AC3702" s="81">
        <f t="shared" si="175"/>
        <v>0</v>
      </c>
      <c r="AD3702" s="82">
        <f t="shared" si="176"/>
        <v>0</v>
      </c>
      <c r="AE3702" s="218">
        <v>0</v>
      </c>
      <c r="AF3702">
        <v>0</v>
      </c>
      <c r="AH3702" t="str">
        <f t="shared" si="177"/>
        <v xml:space="preserve">Alauli </v>
      </c>
      <c r="AJ3702" s="72">
        <v>0</v>
      </c>
      <c r="AK3702" s="72"/>
      <c r="AL3702" s="72"/>
      <c r="AM3702" s="72"/>
    </row>
    <row r="3703" spans="1:39" x14ac:dyDescent="0.25">
      <c r="A3703" s="37" t="s">
        <v>62</v>
      </c>
      <c r="B3703" s="66" t="s">
        <v>1676</v>
      </c>
      <c r="C3703" s="4">
        <v>1054</v>
      </c>
      <c r="D3703" s="41" t="s">
        <v>808</v>
      </c>
      <c r="E3703" s="41">
        <v>10540012</v>
      </c>
      <c r="F3703" s="85" t="s">
        <v>821</v>
      </c>
      <c r="G3703" s="39" t="s">
        <v>1610</v>
      </c>
      <c r="H3703" s="52" t="s">
        <v>98</v>
      </c>
      <c r="I3703" s="52">
        <v>363.49999999999994</v>
      </c>
      <c r="J3703" s="49">
        <v>12749.45</v>
      </c>
      <c r="K3703" s="58">
        <v>0</v>
      </c>
      <c r="L3703" s="58">
        <v>0</v>
      </c>
      <c r="M3703" s="58">
        <v>0</v>
      </c>
      <c r="N3703" s="58">
        <v>0</v>
      </c>
      <c r="O3703" s="58">
        <v>0</v>
      </c>
      <c r="P3703" s="53">
        <v>0</v>
      </c>
      <c r="Q3703" s="65">
        <v>12749.45</v>
      </c>
      <c r="R3703" s="65">
        <v>0</v>
      </c>
      <c r="S3703" s="65">
        <v>0</v>
      </c>
      <c r="T3703" s="65">
        <v>0</v>
      </c>
      <c r="U3703" s="58">
        <v>0</v>
      </c>
      <c r="V3703" s="65">
        <v>0</v>
      </c>
      <c r="W3703" s="65">
        <v>0</v>
      </c>
      <c r="X3703" s="65">
        <v>0</v>
      </c>
      <c r="Y3703" s="65">
        <v>0</v>
      </c>
      <c r="Z3703" s="51">
        <v>12749.45</v>
      </c>
      <c r="AA3703" s="51">
        <v>0</v>
      </c>
      <c r="AB3703" s="102">
        <v>0</v>
      </c>
      <c r="AC3703" s="81">
        <f t="shared" si="175"/>
        <v>236.0489642365888</v>
      </c>
      <c r="AD3703" s="82">
        <f t="shared" si="176"/>
        <v>51.928571428571423</v>
      </c>
      <c r="AE3703" s="218">
        <v>0</v>
      </c>
      <c r="AF3703">
        <v>0</v>
      </c>
      <c r="AH3703" t="str">
        <f t="shared" si="177"/>
        <v xml:space="preserve">Alauli </v>
      </c>
      <c r="AJ3703" s="72">
        <v>0</v>
      </c>
      <c r="AK3703" s="72"/>
      <c r="AL3703" s="72"/>
      <c r="AM3703" s="72"/>
    </row>
    <row r="3704" spans="1:39" x14ac:dyDescent="0.25">
      <c r="A3704" s="37" t="s">
        <v>62</v>
      </c>
      <c r="B3704" s="66" t="s">
        <v>1676</v>
      </c>
      <c r="C3704" s="4">
        <v>1054</v>
      </c>
      <c r="D3704" s="41" t="s">
        <v>808</v>
      </c>
      <c r="E3704" s="41">
        <v>10540014</v>
      </c>
      <c r="F3704" s="85" t="s">
        <v>1124</v>
      </c>
      <c r="G3704" s="39" t="s">
        <v>1610</v>
      </c>
      <c r="H3704" s="52" t="s">
        <v>98</v>
      </c>
      <c r="I3704" s="52">
        <v>51.4</v>
      </c>
      <c r="J3704" s="49">
        <v>2970.29</v>
      </c>
      <c r="K3704" s="58">
        <v>0</v>
      </c>
      <c r="L3704" s="58">
        <v>0</v>
      </c>
      <c r="M3704" s="58">
        <v>0</v>
      </c>
      <c r="N3704" s="58">
        <v>0</v>
      </c>
      <c r="O3704" s="58">
        <v>0</v>
      </c>
      <c r="P3704" s="53">
        <v>0</v>
      </c>
      <c r="Q3704" s="65">
        <v>2970.29</v>
      </c>
      <c r="R3704" s="65">
        <v>0</v>
      </c>
      <c r="S3704" s="65">
        <v>0</v>
      </c>
      <c r="T3704" s="65">
        <v>0</v>
      </c>
      <c r="U3704" s="58">
        <v>0</v>
      </c>
      <c r="V3704" s="65">
        <v>0</v>
      </c>
      <c r="W3704" s="65">
        <v>0</v>
      </c>
      <c r="X3704" s="65">
        <v>0</v>
      </c>
      <c r="Y3704" s="65">
        <v>0</v>
      </c>
      <c r="Z3704" s="51">
        <v>2970.29</v>
      </c>
      <c r="AA3704" s="51">
        <v>0</v>
      </c>
      <c r="AB3704" s="102">
        <v>0</v>
      </c>
      <c r="AC3704" s="81">
        <f t="shared" si="175"/>
        <v>749.6226046692608</v>
      </c>
      <c r="AD3704" s="82">
        <f t="shared" si="176"/>
        <v>7.3428571428571425</v>
      </c>
      <c r="AE3704" s="218">
        <v>0</v>
      </c>
      <c r="AF3704">
        <v>0</v>
      </c>
      <c r="AH3704" t="str">
        <f t="shared" si="177"/>
        <v xml:space="preserve">Alauli </v>
      </c>
      <c r="AJ3704" s="72">
        <v>0</v>
      </c>
      <c r="AK3704" s="72"/>
      <c r="AL3704" s="72"/>
      <c r="AM3704" s="72"/>
    </row>
    <row r="3705" spans="1:39" x14ac:dyDescent="0.25">
      <c r="A3705" s="37" t="s">
        <v>62</v>
      </c>
      <c r="B3705" s="66" t="s">
        <v>1676</v>
      </c>
      <c r="C3705" s="4">
        <v>1054</v>
      </c>
      <c r="D3705" s="41" t="s">
        <v>808</v>
      </c>
      <c r="E3705" s="41">
        <v>10540016</v>
      </c>
      <c r="F3705" s="85" t="s">
        <v>1137</v>
      </c>
      <c r="G3705" s="39" t="s">
        <v>92</v>
      </c>
      <c r="H3705" s="52" t="s">
        <v>93</v>
      </c>
      <c r="I3705" s="52">
        <v>493.9</v>
      </c>
      <c r="J3705" s="49">
        <v>26327.230000000003</v>
      </c>
      <c r="K3705" s="58">
        <v>400.7</v>
      </c>
      <c r="L3705" s="58">
        <v>21307.469999999998</v>
      </c>
      <c r="M3705" s="58">
        <v>116.35999999999999</v>
      </c>
      <c r="N3705" s="58">
        <v>6204.8499999999985</v>
      </c>
      <c r="O3705" s="58">
        <v>517.05999999999995</v>
      </c>
      <c r="P3705" s="53">
        <v>27512.319999999996</v>
      </c>
      <c r="Q3705" s="65">
        <v>26327.230000000003</v>
      </c>
      <c r="R3705" s="65">
        <v>0</v>
      </c>
      <c r="S3705" s="65">
        <v>47.36</v>
      </c>
      <c r="T3705" s="65">
        <v>1185.0899999999929</v>
      </c>
      <c r="U3705" s="58">
        <v>0</v>
      </c>
      <c r="V3705" s="65">
        <v>0</v>
      </c>
      <c r="W3705" s="65">
        <v>0</v>
      </c>
      <c r="X3705" s="65">
        <v>20122</v>
      </c>
      <c r="Y3705" s="65">
        <v>6158</v>
      </c>
      <c r="Z3705" s="51">
        <v>0</v>
      </c>
      <c r="AA3705" s="51">
        <v>0</v>
      </c>
      <c r="AB3705" s="102">
        <v>0</v>
      </c>
      <c r="AC3705" s="81">
        <f t="shared" si="175"/>
        <v>219.72229613282047</v>
      </c>
      <c r="AD3705" s="82">
        <f t="shared" si="176"/>
        <v>70.55714285714285</v>
      </c>
      <c r="AE3705" s="218">
        <v>-4.5013850678555727E-2</v>
      </c>
      <c r="AF3705">
        <v>12</v>
      </c>
      <c r="AH3705" t="str">
        <f t="shared" si="177"/>
        <v xml:space="preserve">Alauli </v>
      </c>
      <c r="AJ3705" s="72">
        <v>0</v>
      </c>
      <c r="AK3705" s="72"/>
      <c r="AL3705" s="72"/>
      <c r="AM3705" s="72"/>
    </row>
    <row r="3706" spans="1:39" x14ac:dyDescent="0.25">
      <c r="A3706" s="37" t="s">
        <v>62</v>
      </c>
      <c r="B3706" s="66" t="s">
        <v>1676</v>
      </c>
      <c r="C3706" s="4">
        <v>1054</v>
      </c>
      <c r="D3706" s="41" t="s">
        <v>808</v>
      </c>
      <c r="E3706" s="41">
        <v>10540017</v>
      </c>
      <c r="F3706" s="85" t="s">
        <v>1138</v>
      </c>
      <c r="G3706" s="39" t="s">
        <v>92</v>
      </c>
      <c r="H3706" s="52" t="s">
        <v>93</v>
      </c>
      <c r="I3706" s="52">
        <v>721.20000000000016</v>
      </c>
      <c r="J3706" s="49">
        <v>27455.119999999999</v>
      </c>
      <c r="K3706" s="58">
        <v>721</v>
      </c>
      <c r="L3706" s="58">
        <v>28162.26</v>
      </c>
      <c r="M3706" s="58">
        <v>0</v>
      </c>
      <c r="N3706" s="58">
        <v>0</v>
      </c>
      <c r="O3706" s="58">
        <v>721</v>
      </c>
      <c r="P3706" s="53">
        <v>28162.26</v>
      </c>
      <c r="Q3706" s="65">
        <v>27455.119999999999</v>
      </c>
      <c r="R3706" s="65">
        <v>0</v>
      </c>
      <c r="S3706" s="65">
        <v>0</v>
      </c>
      <c r="T3706" s="65">
        <v>707.13999999999942</v>
      </c>
      <c r="U3706" s="58">
        <v>27455</v>
      </c>
      <c r="V3706" s="65">
        <v>0</v>
      </c>
      <c r="W3706" s="65">
        <v>0</v>
      </c>
      <c r="X3706" s="65">
        <v>0</v>
      </c>
      <c r="Y3706" s="65">
        <v>0</v>
      </c>
      <c r="Z3706" s="51">
        <v>0</v>
      </c>
      <c r="AA3706" s="51">
        <v>0</v>
      </c>
      <c r="AB3706" s="102">
        <v>0</v>
      </c>
      <c r="AC3706" s="81">
        <f t="shared" si="175"/>
        <v>0</v>
      </c>
      <c r="AD3706" s="82">
        <f t="shared" si="176"/>
        <v>0</v>
      </c>
      <c r="AE3706" s="218">
        <v>-2.5756215962632816E-2</v>
      </c>
      <c r="AF3706">
        <v>1</v>
      </c>
      <c r="AH3706" t="str">
        <f t="shared" si="177"/>
        <v xml:space="preserve">Alauli </v>
      </c>
      <c r="AJ3706" s="72">
        <v>0</v>
      </c>
      <c r="AK3706" s="72"/>
      <c r="AL3706" s="72"/>
      <c r="AM3706" s="72"/>
    </row>
    <row r="3707" spans="1:39" x14ac:dyDescent="0.25">
      <c r="A3707" s="37" t="s">
        <v>62</v>
      </c>
      <c r="B3707" s="66" t="s">
        <v>1676</v>
      </c>
      <c r="C3707" s="4">
        <v>1054</v>
      </c>
      <c r="D3707" s="41" t="s">
        <v>808</v>
      </c>
      <c r="E3707" s="41">
        <v>10540018</v>
      </c>
      <c r="F3707" s="85" t="s">
        <v>1139</v>
      </c>
      <c r="G3707" s="39" t="s">
        <v>92</v>
      </c>
      <c r="H3707" s="52" t="s">
        <v>93</v>
      </c>
      <c r="I3707" s="52">
        <v>385.7</v>
      </c>
      <c r="J3707" s="49">
        <v>17971.72</v>
      </c>
      <c r="K3707" s="58">
        <v>400.36</v>
      </c>
      <c r="L3707" s="58">
        <v>18443.18</v>
      </c>
      <c r="M3707" s="58">
        <v>0</v>
      </c>
      <c r="N3707" s="58">
        <v>0</v>
      </c>
      <c r="O3707" s="58">
        <v>400.36</v>
      </c>
      <c r="P3707" s="53">
        <v>18443.18</v>
      </c>
      <c r="Q3707" s="65">
        <v>17971.72</v>
      </c>
      <c r="R3707" s="65">
        <v>0</v>
      </c>
      <c r="S3707" s="65">
        <v>0</v>
      </c>
      <c r="T3707" s="65">
        <v>471.45999999999913</v>
      </c>
      <c r="U3707" s="58">
        <v>0</v>
      </c>
      <c r="V3707" s="65">
        <v>500</v>
      </c>
      <c r="W3707" s="65">
        <v>0</v>
      </c>
      <c r="X3707" s="65">
        <v>17472</v>
      </c>
      <c r="Y3707" s="65">
        <v>0</v>
      </c>
      <c r="Z3707" s="51">
        <v>0</v>
      </c>
      <c r="AA3707" s="51">
        <v>0</v>
      </c>
      <c r="AB3707" s="102">
        <v>0</v>
      </c>
      <c r="AC3707" s="81">
        <f t="shared" ref="AC3707:AC3770" si="178">((IF(AD3707=0,0,100-AD3707))*7*(J3707/I3707))*2%</f>
        <v>292.89663448275866</v>
      </c>
      <c r="AD3707" s="82">
        <f t="shared" ref="AD3707:AD3770" si="179">IF((I3707/7)&gt;100,0,(I3707/7))</f>
        <v>55.1</v>
      </c>
      <c r="AE3707" s="218">
        <v>-2.6233437867939136E-2</v>
      </c>
      <c r="AF3707">
        <v>8</v>
      </c>
      <c r="AH3707" t="str">
        <f t="shared" si="177"/>
        <v xml:space="preserve">Alauli </v>
      </c>
      <c r="AJ3707" s="72">
        <v>500</v>
      </c>
      <c r="AK3707" s="72"/>
      <c r="AL3707" s="72"/>
      <c r="AM3707" s="72"/>
    </row>
    <row r="3708" spans="1:39" x14ac:dyDescent="0.25">
      <c r="A3708" s="37" t="s">
        <v>62</v>
      </c>
      <c r="B3708" s="66" t="s">
        <v>1676</v>
      </c>
      <c r="C3708" s="4">
        <v>1054</v>
      </c>
      <c r="D3708" s="41" t="s">
        <v>808</v>
      </c>
      <c r="E3708" s="41">
        <v>10540019</v>
      </c>
      <c r="F3708" s="85" t="s">
        <v>1166</v>
      </c>
      <c r="G3708" s="39" t="s">
        <v>92</v>
      </c>
      <c r="H3708" s="52" t="s">
        <v>93</v>
      </c>
      <c r="I3708" s="52">
        <v>142.39999999999998</v>
      </c>
      <c r="J3708" s="49">
        <v>4800.18</v>
      </c>
      <c r="K3708" s="58">
        <v>142.07</v>
      </c>
      <c r="L3708" s="58">
        <v>6081.26</v>
      </c>
      <c r="M3708" s="58">
        <v>0</v>
      </c>
      <c r="N3708" s="58">
        <v>0</v>
      </c>
      <c r="O3708" s="58">
        <v>142.07</v>
      </c>
      <c r="P3708" s="53">
        <v>6081.26</v>
      </c>
      <c r="Q3708" s="65">
        <v>4800.18</v>
      </c>
      <c r="R3708" s="65">
        <v>0</v>
      </c>
      <c r="S3708" s="65">
        <v>0</v>
      </c>
      <c r="T3708" s="65">
        <v>1281.08</v>
      </c>
      <c r="U3708" s="58">
        <v>0</v>
      </c>
      <c r="V3708" s="65">
        <v>500</v>
      </c>
      <c r="W3708" s="65">
        <v>0</v>
      </c>
      <c r="X3708" s="65">
        <v>4300</v>
      </c>
      <c r="Y3708" s="65">
        <v>0</v>
      </c>
      <c r="Z3708" s="51">
        <v>0</v>
      </c>
      <c r="AA3708" s="51">
        <v>0</v>
      </c>
      <c r="AB3708" s="102">
        <v>0</v>
      </c>
      <c r="AC3708" s="81">
        <f t="shared" si="178"/>
        <v>375.92420898876418</v>
      </c>
      <c r="AD3708" s="82">
        <f t="shared" si="179"/>
        <v>20.342857142857138</v>
      </c>
      <c r="AE3708" s="218">
        <v>-0.26688165860446894</v>
      </c>
      <c r="AF3708">
        <v>2</v>
      </c>
      <c r="AH3708" t="str">
        <f t="shared" si="177"/>
        <v xml:space="preserve">Alauli </v>
      </c>
      <c r="AJ3708" s="72">
        <v>500</v>
      </c>
      <c r="AK3708" s="72"/>
      <c r="AL3708" s="72"/>
      <c r="AM3708" s="72"/>
    </row>
    <row r="3709" spans="1:39" x14ac:dyDescent="0.25">
      <c r="A3709" s="37" t="s">
        <v>62</v>
      </c>
      <c r="B3709" s="66" t="s">
        <v>1676</v>
      </c>
      <c r="C3709" s="4">
        <v>1054</v>
      </c>
      <c r="D3709" s="41" t="s">
        <v>808</v>
      </c>
      <c r="E3709" s="41">
        <v>10540020</v>
      </c>
      <c r="F3709" s="85" t="s">
        <v>1140</v>
      </c>
      <c r="G3709" s="39" t="s">
        <v>92</v>
      </c>
      <c r="H3709" s="52" t="s">
        <v>93</v>
      </c>
      <c r="I3709" s="52">
        <v>123.60000000000001</v>
      </c>
      <c r="J3709" s="49">
        <v>4855.9500000000007</v>
      </c>
      <c r="K3709" s="58">
        <v>135.34</v>
      </c>
      <c r="L3709" s="58">
        <v>5449.66</v>
      </c>
      <c r="M3709" s="58">
        <v>0</v>
      </c>
      <c r="N3709" s="58">
        <v>0</v>
      </c>
      <c r="O3709" s="58">
        <v>135.34</v>
      </c>
      <c r="P3709" s="53">
        <v>5449.66</v>
      </c>
      <c r="Q3709" s="65">
        <v>4855.9500000000007</v>
      </c>
      <c r="R3709" s="65">
        <v>0</v>
      </c>
      <c r="S3709" s="65">
        <v>0</v>
      </c>
      <c r="T3709" s="65">
        <v>593.70999999999913</v>
      </c>
      <c r="U3709" s="58">
        <v>0</v>
      </c>
      <c r="V3709" s="65">
        <v>0</v>
      </c>
      <c r="W3709" s="65">
        <v>0</v>
      </c>
      <c r="X3709" s="65">
        <v>0</v>
      </c>
      <c r="Y3709" s="65">
        <v>0</v>
      </c>
      <c r="Z3709" s="51">
        <v>0</v>
      </c>
      <c r="AA3709" s="51">
        <v>4856</v>
      </c>
      <c r="AB3709" s="102" t="s">
        <v>65</v>
      </c>
      <c r="AC3709" s="81">
        <f t="shared" si="178"/>
        <v>452.90769902912626</v>
      </c>
      <c r="AD3709" s="82">
        <f t="shared" si="179"/>
        <v>17.657142857142858</v>
      </c>
      <c r="AE3709" s="218">
        <v>-0.12226443847238934</v>
      </c>
      <c r="AF3709">
        <v>7</v>
      </c>
      <c r="AH3709" t="str">
        <f t="shared" si="177"/>
        <v xml:space="preserve">Alauli </v>
      </c>
      <c r="AJ3709" s="72">
        <v>0</v>
      </c>
      <c r="AK3709" s="72"/>
      <c r="AL3709" s="72"/>
      <c r="AM3709" s="72"/>
    </row>
    <row r="3710" spans="1:39" x14ac:dyDescent="0.25">
      <c r="A3710" s="37" t="s">
        <v>62</v>
      </c>
      <c r="B3710" s="66" t="s">
        <v>1676</v>
      </c>
      <c r="C3710" s="4">
        <v>1054</v>
      </c>
      <c r="D3710" s="41" t="s">
        <v>808</v>
      </c>
      <c r="E3710" s="41">
        <v>10540021</v>
      </c>
      <c r="F3710" s="85" t="s">
        <v>1141</v>
      </c>
      <c r="G3710" s="39" t="s">
        <v>1610</v>
      </c>
      <c r="H3710" s="52" t="s">
        <v>98</v>
      </c>
      <c r="I3710" s="52">
        <v>689.2</v>
      </c>
      <c r="J3710" s="49">
        <v>23969.270000000004</v>
      </c>
      <c r="K3710" s="58">
        <v>0</v>
      </c>
      <c r="L3710" s="58">
        <v>0</v>
      </c>
      <c r="M3710" s="58">
        <v>0</v>
      </c>
      <c r="N3710" s="58">
        <v>0</v>
      </c>
      <c r="O3710" s="58">
        <v>0</v>
      </c>
      <c r="P3710" s="53">
        <v>0</v>
      </c>
      <c r="Q3710" s="65">
        <v>23969.270000000004</v>
      </c>
      <c r="R3710" s="65">
        <v>0</v>
      </c>
      <c r="S3710" s="65">
        <v>0</v>
      </c>
      <c r="T3710" s="65">
        <v>0</v>
      </c>
      <c r="U3710" s="58">
        <v>0</v>
      </c>
      <c r="V3710" s="65">
        <v>0</v>
      </c>
      <c r="W3710" s="65">
        <v>0</v>
      </c>
      <c r="X3710" s="65">
        <v>0</v>
      </c>
      <c r="Y3710" s="65">
        <v>0</v>
      </c>
      <c r="Z3710" s="51">
        <v>23969.270000000004</v>
      </c>
      <c r="AA3710" s="51">
        <v>0</v>
      </c>
      <c r="AB3710" s="102">
        <v>0</v>
      </c>
      <c r="AC3710" s="81">
        <f t="shared" si="178"/>
        <v>7.5121333720254757</v>
      </c>
      <c r="AD3710" s="82">
        <f t="shared" si="179"/>
        <v>98.45714285714287</v>
      </c>
      <c r="AE3710" s="218">
        <v>0</v>
      </c>
      <c r="AF3710">
        <v>0</v>
      </c>
      <c r="AH3710" t="str">
        <f t="shared" si="177"/>
        <v xml:space="preserve">Alauli </v>
      </c>
      <c r="AJ3710" s="72">
        <v>0</v>
      </c>
      <c r="AK3710" s="72"/>
      <c r="AL3710" s="72"/>
      <c r="AM3710" s="72"/>
    </row>
    <row r="3711" spans="1:39" x14ac:dyDescent="0.25">
      <c r="A3711" s="37" t="s">
        <v>62</v>
      </c>
      <c r="B3711" s="66" t="s">
        <v>1676</v>
      </c>
      <c r="C3711" s="4">
        <v>1054</v>
      </c>
      <c r="D3711" s="41" t="s">
        <v>808</v>
      </c>
      <c r="E3711" s="41">
        <v>10540026</v>
      </c>
      <c r="F3711" s="85" t="s">
        <v>1241</v>
      </c>
      <c r="G3711" s="39" t="s">
        <v>92</v>
      </c>
      <c r="H3711" s="52" t="s">
        <v>93</v>
      </c>
      <c r="I3711" s="52">
        <v>475.5</v>
      </c>
      <c r="J3711" s="49">
        <v>18481.32</v>
      </c>
      <c r="K3711" s="58">
        <v>13.98</v>
      </c>
      <c r="L3711" s="58">
        <v>554.92000000000007</v>
      </c>
      <c r="M3711" s="58">
        <v>445.71999999999997</v>
      </c>
      <c r="N3711" s="58">
        <v>18103.23</v>
      </c>
      <c r="O3711" s="58">
        <v>459.7</v>
      </c>
      <c r="P3711" s="53">
        <v>18658.150000000001</v>
      </c>
      <c r="Q3711" s="65">
        <v>18481.32</v>
      </c>
      <c r="R3711" s="65">
        <v>0</v>
      </c>
      <c r="S3711" s="65">
        <v>0</v>
      </c>
      <c r="T3711" s="65">
        <v>176.83000000000175</v>
      </c>
      <c r="U3711" s="58">
        <v>0</v>
      </c>
      <c r="V3711" s="65">
        <v>0</v>
      </c>
      <c r="W3711" s="65">
        <v>0</v>
      </c>
      <c r="X3711" s="65">
        <v>380</v>
      </c>
      <c r="Y3711" s="65">
        <v>18101</v>
      </c>
      <c r="Z3711" s="51">
        <v>0</v>
      </c>
      <c r="AA3711" s="51">
        <v>0</v>
      </c>
      <c r="AB3711" s="102">
        <v>0</v>
      </c>
      <c r="AC3711" s="81">
        <f t="shared" si="178"/>
        <v>174.51341072555206</v>
      </c>
      <c r="AD3711" s="82">
        <f t="shared" si="179"/>
        <v>67.928571428571431</v>
      </c>
      <c r="AE3711" s="218">
        <v>-9.5680395123293009E-3</v>
      </c>
      <c r="AF3711">
        <v>12</v>
      </c>
      <c r="AH3711" t="str">
        <f t="shared" si="177"/>
        <v xml:space="preserve">Alauli </v>
      </c>
      <c r="AJ3711" s="72">
        <v>0</v>
      </c>
      <c r="AK3711" s="72"/>
      <c r="AL3711" s="72"/>
      <c r="AM3711" s="72"/>
    </row>
    <row r="3712" spans="1:39" x14ac:dyDescent="0.25">
      <c r="A3712" s="37" t="s">
        <v>62</v>
      </c>
      <c r="B3712" s="66" t="s">
        <v>1676</v>
      </c>
      <c r="C3712" s="4">
        <v>1054</v>
      </c>
      <c r="D3712" s="41" t="s">
        <v>808</v>
      </c>
      <c r="E3712" s="41">
        <v>10540027</v>
      </c>
      <c r="F3712" s="85" t="s">
        <v>1253</v>
      </c>
      <c r="G3712" s="39" t="s">
        <v>1610</v>
      </c>
      <c r="H3712" s="52" t="s">
        <v>98</v>
      </c>
      <c r="I3712" s="52">
        <v>881</v>
      </c>
      <c r="J3712" s="49">
        <v>33092.97</v>
      </c>
      <c r="K3712" s="58">
        <v>0</v>
      </c>
      <c r="L3712" s="58">
        <v>0</v>
      </c>
      <c r="M3712" s="58">
        <v>0</v>
      </c>
      <c r="N3712" s="58">
        <v>0</v>
      </c>
      <c r="O3712" s="58">
        <v>0</v>
      </c>
      <c r="P3712" s="53">
        <v>0</v>
      </c>
      <c r="Q3712" s="65">
        <v>33092.97</v>
      </c>
      <c r="R3712" s="65">
        <v>0</v>
      </c>
      <c r="S3712" s="65">
        <v>0</v>
      </c>
      <c r="T3712" s="65">
        <v>0</v>
      </c>
      <c r="U3712" s="58">
        <v>0</v>
      </c>
      <c r="V3712" s="65">
        <v>0</v>
      </c>
      <c r="W3712" s="65">
        <v>0</v>
      </c>
      <c r="X3712" s="65">
        <v>0</v>
      </c>
      <c r="Y3712" s="65">
        <v>0</v>
      </c>
      <c r="Z3712" s="51">
        <v>33092.97</v>
      </c>
      <c r="AA3712" s="51">
        <v>0</v>
      </c>
      <c r="AB3712" s="102">
        <v>0</v>
      </c>
      <c r="AC3712" s="81">
        <f t="shared" si="178"/>
        <v>0</v>
      </c>
      <c r="AD3712" s="82">
        <f t="shared" si="179"/>
        <v>0</v>
      </c>
      <c r="AE3712" s="218">
        <v>0</v>
      </c>
      <c r="AF3712">
        <v>0</v>
      </c>
      <c r="AH3712" t="str">
        <f t="shared" si="177"/>
        <v xml:space="preserve">Alauli </v>
      </c>
      <c r="AJ3712" s="72">
        <v>0</v>
      </c>
      <c r="AK3712" s="72"/>
      <c r="AL3712" s="72"/>
      <c r="AM3712" s="72"/>
    </row>
    <row r="3713" spans="1:39" x14ac:dyDescent="0.25">
      <c r="A3713" s="37" t="s">
        <v>62</v>
      </c>
      <c r="B3713" s="66" t="s">
        <v>1676</v>
      </c>
      <c r="C3713" s="4">
        <v>1054</v>
      </c>
      <c r="D3713" s="41" t="s">
        <v>808</v>
      </c>
      <c r="E3713" s="41">
        <v>10540032</v>
      </c>
      <c r="F3713" s="85" t="s">
        <v>1195</v>
      </c>
      <c r="G3713" s="39" t="s">
        <v>92</v>
      </c>
      <c r="H3713" s="52" t="s">
        <v>93</v>
      </c>
      <c r="I3713" s="52">
        <v>192.4</v>
      </c>
      <c r="J3713" s="49">
        <v>7411.69</v>
      </c>
      <c r="K3713" s="58">
        <v>192.8</v>
      </c>
      <c r="L3713" s="58">
        <v>8415.7199999999993</v>
      </c>
      <c r="M3713" s="58">
        <v>0</v>
      </c>
      <c r="N3713" s="58">
        <v>0</v>
      </c>
      <c r="O3713" s="58">
        <v>192.8</v>
      </c>
      <c r="P3713" s="53">
        <v>8415.7199999999993</v>
      </c>
      <c r="Q3713" s="65">
        <v>7411.69</v>
      </c>
      <c r="R3713" s="65">
        <v>0</v>
      </c>
      <c r="S3713" s="65">
        <v>0</v>
      </c>
      <c r="T3713" s="65">
        <v>1004.0299999999997</v>
      </c>
      <c r="U3713" s="58">
        <v>0</v>
      </c>
      <c r="V3713" s="65">
        <v>500</v>
      </c>
      <c r="W3713" s="65">
        <v>0</v>
      </c>
      <c r="X3713" s="65">
        <v>6912</v>
      </c>
      <c r="Y3713" s="65">
        <v>0</v>
      </c>
      <c r="Z3713" s="51">
        <v>0</v>
      </c>
      <c r="AA3713" s="51">
        <v>0</v>
      </c>
      <c r="AB3713" s="102">
        <v>0</v>
      </c>
      <c r="AC3713" s="81">
        <f t="shared" si="178"/>
        <v>391.07836216216202</v>
      </c>
      <c r="AD3713" s="82">
        <f t="shared" si="179"/>
        <v>27.485714285714288</v>
      </c>
      <c r="AE3713" s="218">
        <v>-0.13546573048791838</v>
      </c>
      <c r="AF3713">
        <v>1</v>
      </c>
      <c r="AH3713" t="str">
        <f t="shared" si="177"/>
        <v xml:space="preserve">Alauli </v>
      </c>
      <c r="AJ3713" s="72">
        <v>500</v>
      </c>
      <c r="AK3713" s="72"/>
      <c r="AL3713" s="72"/>
      <c r="AM3713" s="72"/>
    </row>
    <row r="3714" spans="1:39" x14ac:dyDescent="0.25">
      <c r="A3714" s="37" t="s">
        <v>62</v>
      </c>
      <c r="B3714" s="66" t="s">
        <v>1676</v>
      </c>
      <c r="C3714" s="4">
        <v>1054</v>
      </c>
      <c r="D3714" s="41" t="s">
        <v>808</v>
      </c>
      <c r="E3714" s="41">
        <v>10540039</v>
      </c>
      <c r="F3714" s="85" t="s">
        <v>1256</v>
      </c>
      <c r="G3714" s="39" t="s">
        <v>1610</v>
      </c>
      <c r="H3714" s="52" t="s">
        <v>98</v>
      </c>
      <c r="I3714" s="52">
        <v>435.2</v>
      </c>
      <c r="J3714" s="49">
        <v>14600.730000000001</v>
      </c>
      <c r="K3714" s="58">
        <v>0</v>
      </c>
      <c r="L3714" s="58">
        <v>0</v>
      </c>
      <c r="M3714" s="58">
        <v>0</v>
      </c>
      <c r="N3714" s="58">
        <v>0</v>
      </c>
      <c r="O3714" s="58">
        <v>0</v>
      </c>
      <c r="P3714" s="53">
        <v>0</v>
      </c>
      <c r="Q3714" s="65">
        <v>14600.730000000001</v>
      </c>
      <c r="R3714" s="65">
        <v>0</v>
      </c>
      <c r="S3714" s="65">
        <v>0</v>
      </c>
      <c r="T3714" s="65">
        <v>0</v>
      </c>
      <c r="U3714" s="58">
        <v>0</v>
      </c>
      <c r="V3714" s="65">
        <v>0</v>
      </c>
      <c r="W3714" s="65">
        <v>0</v>
      </c>
      <c r="X3714" s="65">
        <v>0</v>
      </c>
      <c r="Y3714" s="65">
        <v>0</v>
      </c>
      <c r="Z3714" s="51">
        <v>14600.730000000001</v>
      </c>
      <c r="AA3714" s="51">
        <v>0</v>
      </c>
      <c r="AB3714" s="102">
        <v>0</v>
      </c>
      <c r="AC3714" s="81">
        <f t="shared" si="178"/>
        <v>177.67800110294124</v>
      </c>
      <c r="AD3714" s="82">
        <f t="shared" si="179"/>
        <v>62.171428571428571</v>
      </c>
      <c r="AE3714" s="218">
        <v>0</v>
      </c>
      <c r="AF3714">
        <v>0</v>
      </c>
      <c r="AH3714" t="str">
        <f t="shared" si="177"/>
        <v xml:space="preserve">Alauli </v>
      </c>
      <c r="AJ3714" s="72">
        <v>0</v>
      </c>
      <c r="AK3714" s="72"/>
      <c r="AL3714" s="72"/>
      <c r="AM3714" s="72"/>
    </row>
    <row r="3715" spans="1:39" x14ac:dyDescent="0.25">
      <c r="A3715" s="37" t="s">
        <v>62</v>
      </c>
      <c r="B3715" s="66" t="s">
        <v>1676</v>
      </c>
      <c r="C3715" s="4">
        <v>1054</v>
      </c>
      <c r="D3715" s="41" t="s">
        <v>808</v>
      </c>
      <c r="E3715" s="41">
        <v>10540041</v>
      </c>
      <c r="F3715" s="85" t="s">
        <v>1284</v>
      </c>
      <c r="G3715" s="39" t="s">
        <v>1610</v>
      </c>
      <c r="H3715" s="52" t="s">
        <v>98</v>
      </c>
      <c r="I3715" s="52">
        <v>108</v>
      </c>
      <c r="J3715" s="49">
        <v>4229.5200000000004</v>
      </c>
      <c r="K3715" s="58">
        <v>0</v>
      </c>
      <c r="L3715" s="58">
        <v>0</v>
      </c>
      <c r="M3715" s="58">
        <v>0</v>
      </c>
      <c r="N3715" s="58">
        <v>0</v>
      </c>
      <c r="O3715" s="58">
        <v>0</v>
      </c>
      <c r="P3715" s="53">
        <v>0</v>
      </c>
      <c r="Q3715" s="65">
        <v>4229.5200000000004</v>
      </c>
      <c r="R3715" s="65">
        <v>0</v>
      </c>
      <c r="S3715" s="65">
        <v>0</v>
      </c>
      <c r="T3715" s="65">
        <v>0</v>
      </c>
      <c r="U3715" s="58">
        <v>0</v>
      </c>
      <c r="V3715" s="65">
        <v>0</v>
      </c>
      <c r="W3715" s="65">
        <v>0</v>
      </c>
      <c r="X3715" s="65">
        <v>0</v>
      </c>
      <c r="Y3715" s="65">
        <v>0</v>
      </c>
      <c r="Z3715" s="51">
        <v>4229.5200000000004</v>
      </c>
      <c r="AA3715" s="51">
        <v>0</v>
      </c>
      <c r="AB3715" s="102">
        <v>0</v>
      </c>
      <c r="AC3715" s="81">
        <f t="shared" si="178"/>
        <v>463.68071111111118</v>
      </c>
      <c r="AD3715" s="82">
        <f t="shared" si="179"/>
        <v>15.428571428571429</v>
      </c>
      <c r="AE3715" s="218">
        <v>0</v>
      </c>
      <c r="AF3715">
        <v>0</v>
      </c>
      <c r="AH3715" t="str">
        <f t="shared" si="177"/>
        <v xml:space="preserve">Alauli </v>
      </c>
      <c r="AJ3715" s="72">
        <v>0</v>
      </c>
      <c r="AK3715" s="72"/>
      <c r="AL3715" s="72"/>
      <c r="AM3715" s="72"/>
    </row>
    <row r="3716" spans="1:39" x14ac:dyDescent="0.25">
      <c r="A3716" s="37" t="s">
        <v>62</v>
      </c>
      <c r="B3716" s="66" t="s">
        <v>1676</v>
      </c>
      <c r="C3716" s="4">
        <v>1054</v>
      </c>
      <c r="D3716" s="41" t="s">
        <v>808</v>
      </c>
      <c r="E3716" s="41">
        <v>10540042</v>
      </c>
      <c r="F3716" s="85" t="s">
        <v>1315</v>
      </c>
      <c r="G3716" s="39" t="s">
        <v>92</v>
      </c>
      <c r="H3716" s="52" t="s">
        <v>93</v>
      </c>
      <c r="I3716" s="52">
        <v>1820.5</v>
      </c>
      <c r="J3716" s="49">
        <v>97543.07</v>
      </c>
      <c r="K3716" s="58">
        <v>505.27</v>
      </c>
      <c r="L3716" s="58">
        <v>32046.329999999998</v>
      </c>
      <c r="M3716" s="58">
        <v>1315</v>
      </c>
      <c r="N3716" s="58">
        <v>68800.800000000003</v>
      </c>
      <c r="O3716" s="58">
        <v>1820.27</v>
      </c>
      <c r="P3716" s="53">
        <v>100847.13</v>
      </c>
      <c r="Q3716" s="65">
        <v>97543.07</v>
      </c>
      <c r="R3716" s="65">
        <v>0</v>
      </c>
      <c r="S3716" s="65">
        <v>0</v>
      </c>
      <c r="T3716" s="65">
        <v>3304.0599999999977</v>
      </c>
      <c r="U3716" s="58">
        <v>0</v>
      </c>
      <c r="V3716" s="65">
        <v>0</v>
      </c>
      <c r="W3716" s="65">
        <v>0</v>
      </c>
      <c r="X3716" s="65">
        <v>28741</v>
      </c>
      <c r="Y3716" s="65">
        <v>68802</v>
      </c>
      <c r="Z3716" s="51">
        <v>0</v>
      </c>
      <c r="AA3716" s="51">
        <v>0</v>
      </c>
      <c r="AB3716" s="102">
        <v>0</v>
      </c>
      <c r="AC3716" s="81">
        <f t="shared" si="178"/>
        <v>0</v>
      </c>
      <c r="AD3716" s="82">
        <f t="shared" si="179"/>
        <v>0</v>
      </c>
      <c r="AE3716" s="218">
        <v>-3.3872831765495971E-2</v>
      </c>
      <c r="AF3716">
        <v>10</v>
      </c>
      <c r="AH3716" t="str">
        <f t="shared" si="177"/>
        <v xml:space="preserve">Alauli </v>
      </c>
      <c r="AJ3716" s="72">
        <v>0</v>
      </c>
      <c r="AK3716" s="72"/>
      <c r="AL3716" s="72"/>
      <c r="AM3716" s="72"/>
    </row>
    <row r="3717" spans="1:39" x14ac:dyDescent="0.25">
      <c r="A3717" s="37" t="s">
        <v>62</v>
      </c>
      <c r="B3717" s="66" t="s">
        <v>1676</v>
      </c>
      <c r="C3717" s="4">
        <v>1054</v>
      </c>
      <c r="D3717" s="41" t="s">
        <v>808</v>
      </c>
      <c r="E3717" s="41">
        <v>10540043</v>
      </c>
      <c r="F3717" s="85" t="s">
        <v>1604</v>
      </c>
      <c r="G3717" s="39" t="s">
        <v>1610</v>
      </c>
      <c r="H3717" s="52" t="s">
        <v>93</v>
      </c>
      <c r="I3717" s="52">
        <v>303.59999999999997</v>
      </c>
      <c r="J3717" s="49">
        <v>13978.119999999999</v>
      </c>
      <c r="K3717" s="58">
        <v>296.54000000000002</v>
      </c>
      <c r="L3717" s="58">
        <v>14241.690000000002</v>
      </c>
      <c r="M3717" s="58">
        <v>0</v>
      </c>
      <c r="N3717" s="58">
        <v>0</v>
      </c>
      <c r="O3717" s="58">
        <v>296.54000000000002</v>
      </c>
      <c r="P3717" s="53">
        <v>14241.690000000002</v>
      </c>
      <c r="Q3717" s="65">
        <v>13978.119999999999</v>
      </c>
      <c r="R3717" s="65">
        <v>0</v>
      </c>
      <c r="S3717" s="65">
        <v>0</v>
      </c>
      <c r="T3717" s="65">
        <v>263.57000000000335</v>
      </c>
      <c r="U3717" s="58">
        <v>5827</v>
      </c>
      <c r="V3717" s="65">
        <v>0</v>
      </c>
      <c r="W3717" s="65">
        <v>0</v>
      </c>
      <c r="X3717" s="65">
        <v>8151</v>
      </c>
      <c r="Y3717" s="65">
        <v>0</v>
      </c>
      <c r="Z3717" s="51">
        <v>0</v>
      </c>
      <c r="AA3717" s="51">
        <v>0</v>
      </c>
      <c r="AB3717" s="102">
        <v>0</v>
      </c>
      <c r="AC3717" s="81">
        <f t="shared" si="178"/>
        <v>365.01493860342561</v>
      </c>
      <c r="AD3717" s="82">
        <f t="shared" si="179"/>
        <v>43.371428571428567</v>
      </c>
      <c r="AE3717" s="218">
        <v>-1.8855897645749454E-2</v>
      </c>
      <c r="AF3717">
        <v>6</v>
      </c>
      <c r="AH3717" t="str">
        <f t="shared" si="177"/>
        <v xml:space="preserve">Alauli </v>
      </c>
      <c r="AJ3717" s="72">
        <v>0</v>
      </c>
      <c r="AK3717" s="72"/>
      <c r="AL3717" s="72"/>
      <c r="AM3717" s="72"/>
    </row>
    <row r="3718" spans="1:39" x14ac:dyDescent="0.25">
      <c r="A3718" s="37" t="s">
        <v>62</v>
      </c>
      <c r="B3718" s="66" t="s">
        <v>1676</v>
      </c>
      <c r="C3718" s="4">
        <v>1054</v>
      </c>
      <c r="D3718" s="41" t="s">
        <v>808</v>
      </c>
      <c r="E3718" s="41">
        <v>10540044</v>
      </c>
      <c r="F3718" s="85" t="s">
        <v>1320</v>
      </c>
      <c r="G3718" s="39" t="s">
        <v>92</v>
      </c>
      <c r="H3718" s="52" t="s">
        <v>93</v>
      </c>
      <c r="I3718" s="52">
        <v>180.20000000000005</v>
      </c>
      <c r="J3718" s="49">
        <v>7395.57</v>
      </c>
      <c r="K3718" s="58">
        <v>185</v>
      </c>
      <c r="L3718" s="58">
        <v>8075.25</v>
      </c>
      <c r="M3718" s="58">
        <v>0</v>
      </c>
      <c r="N3718" s="58">
        <v>0</v>
      </c>
      <c r="O3718" s="58">
        <v>185</v>
      </c>
      <c r="P3718" s="53">
        <v>8075.25</v>
      </c>
      <c r="Q3718" s="65">
        <v>7395.57</v>
      </c>
      <c r="R3718" s="65">
        <v>0</v>
      </c>
      <c r="S3718" s="65">
        <v>0</v>
      </c>
      <c r="T3718" s="65">
        <v>679.68000000000029</v>
      </c>
      <c r="U3718" s="58">
        <v>0</v>
      </c>
      <c r="V3718" s="65">
        <v>0</v>
      </c>
      <c r="W3718" s="65">
        <v>0</v>
      </c>
      <c r="X3718" s="65">
        <v>7396</v>
      </c>
      <c r="Y3718" s="65">
        <v>0</v>
      </c>
      <c r="Z3718" s="51">
        <v>0</v>
      </c>
      <c r="AA3718" s="51">
        <v>0</v>
      </c>
      <c r="AB3718" s="102">
        <v>0</v>
      </c>
      <c r="AC3718" s="81">
        <f t="shared" si="178"/>
        <v>426.66118601553814</v>
      </c>
      <c r="AD3718" s="82">
        <f t="shared" si="179"/>
        <v>25.742857142857151</v>
      </c>
      <c r="AE3718" s="218">
        <v>-9.1903666654497257E-2</v>
      </c>
      <c r="AF3718">
        <v>1</v>
      </c>
      <c r="AH3718" t="str">
        <f t="shared" si="177"/>
        <v xml:space="preserve">Alauli </v>
      </c>
      <c r="AJ3718" s="72">
        <v>0</v>
      </c>
      <c r="AK3718" s="72"/>
      <c r="AL3718" s="72"/>
      <c r="AM3718" s="72"/>
    </row>
    <row r="3719" spans="1:39" x14ac:dyDescent="0.25">
      <c r="A3719" s="37" t="s">
        <v>62</v>
      </c>
      <c r="B3719" s="66" t="s">
        <v>1676</v>
      </c>
      <c r="C3719" s="4">
        <v>1054</v>
      </c>
      <c r="D3719" s="41" t="s">
        <v>808</v>
      </c>
      <c r="E3719" s="41">
        <v>10540045</v>
      </c>
      <c r="F3719" s="85" t="s">
        <v>1340</v>
      </c>
      <c r="G3719" s="39" t="s">
        <v>1610</v>
      </c>
      <c r="H3719" s="52" t="s">
        <v>98</v>
      </c>
      <c r="I3719" s="52">
        <v>775.2</v>
      </c>
      <c r="J3719" s="49">
        <v>32944.590000000004</v>
      </c>
      <c r="K3719" s="58">
        <v>0</v>
      </c>
      <c r="L3719" s="58">
        <v>0</v>
      </c>
      <c r="M3719" s="58">
        <v>0</v>
      </c>
      <c r="N3719" s="58">
        <v>0</v>
      </c>
      <c r="O3719" s="58">
        <v>0</v>
      </c>
      <c r="P3719" s="53">
        <v>0</v>
      </c>
      <c r="Q3719" s="65">
        <v>32944.590000000004</v>
      </c>
      <c r="R3719" s="65">
        <v>0</v>
      </c>
      <c r="S3719" s="65">
        <v>0</v>
      </c>
      <c r="T3719" s="65">
        <v>0</v>
      </c>
      <c r="U3719" s="58">
        <v>8400</v>
      </c>
      <c r="V3719" s="65">
        <v>0</v>
      </c>
      <c r="W3719" s="65">
        <v>0</v>
      </c>
      <c r="X3719" s="65">
        <v>0</v>
      </c>
      <c r="Y3719" s="65">
        <v>0</v>
      </c>
      <c r="Z3719" s="51">
        <v>24544.590000000004</v>
      </c>
      <c r="AA3719" s="51">
        <v>0</v>
      </c>
      <c r="AB3719" s="102">
        <v>0</v>
      </c>
      <c r="AC3719" s="81">
        <f t="shared" si="178"/>
        <v>0</v>
      </c>
      <c r="AD3719" s="82">
        <f t="shared" si="179"/>
        <v>0</v>
      </c>
      <c r="AE3719" s="218">
        <v>0</v>
      </c>
      <c r="AF3719">
        <v>0</v>
      </c>
      <c r="AH3719" t="str">
        <f t="shared" si="177"/>
        <v xml:space="preserve">Alauli </v>
      </c>
      <c r="AJ3719" s="72">
        <v>0</v>
      </c>
      <c r="AK3719" s="72"/>
      <c r="AL3719" s="72"/>
      <c r="AM3719" s="72"/>
    </row>
    <row r="3720" spans="1:39" x14ac:dyDescent="0.25">
      <c r="A3720" s="37" t="s">
        <v>62</v>
      </c>
      <c r="B3720" s="66" t="s">
        <v>1676</v>
      </c>
      <c r="C3720" s="4">
        <v>1054</v>
      </c>
      <c r="D3720" s="41" t="s">
        <v>808</v>
      </c>
      <c r="E3720" s="41">
        <v>10540046</v>
      </c>
      <c r="F3720" s="85" t="s">
        <v>1411</v>
      </c>
      <c r="G3720" s="39" t="s">
        <v>92</v>
      </c>
      <c r="H3720" s="52" t="s">
        <v>93</v>
      </c>
      <c r="I3720" s="52">
        <v>530.20000000000005</v>
      </c>
      <c r="J3720" s="49">
        <v>22130</v>
      </c>
      <c r="K3720" s="58">
        <v>594.75</v>
      </c>
      <c r="L3720" s="58">
        <v>28755.07</v>
      </c>
      <c r="M3720" s="58">
        <v>0</v>
      </c>
      <c r="N3720" s="58">
        <v>0</v>
      </c>
      <c r="O3720" s="58">
        <v>594.75</v>
      </c>
      <c r="P3720" s="53">
        <v>28755.07</v>
      </c>
      <c r="Q3720" s="65">
        <v>22130</v>
      </c>
      <c r="R3720" s="65">
        <v>0</v>
      </c>
      <c r="S3720" s="65">
        <v>0</v>
      </c>
      <c r="T3720" s="65">
        <v>6625.07</v>
      </c>
      <c r="U3720" s="58">
        <v>0</v>
      </c>
      <c r="V3720" s="65">
        <v>0</v>
      </c>
      <c r="W3720" s="65">
        <v>0</v>
      </c>
      <c r="X3720" s="65">
        <v>22130</v>
      </c>
      <c r="Y3720" s="65">
        <v>0</v>
      </c>
      <c r="Z3720" s="51">
        <v>0</v>
      </c>
      <c r="AA3720" s="51">
        <v>0</v>
      </c>
      <c r="AB3720" s="102">
        <v>0</v>
      </c>
      <c r="AC3720" s="81">
        <f t="shared" si="178"/>
        <v>141.74552998868347</v>
      </c>
      <c r="AD3720" s="82">
        <f t="shared" si="179"/>
        <v>75.742857142857147</v>
      </c>
      <c r="AE3720" s="218">
        <v>-0.29937053773158606</v>
      </c>
      <c r="AF3720">
        <v>2</v>
      </c>
      <c r="AH3720" t="str">
        <f t="shared" si="177"/>
        <v xml:space="preserve">Alauli </v>
      </c>
      <c r="AJ3720" s="72">
        <v>0</v>
      </c>
      <c r="AK3720" s="72"/>
      <c r="AL3720" s="72"/>
      <c r="AM3720" s="72"/>
    </row>
    <row r="3721" spans="1:39" x14ac:dyDescent="0.25">
      <c r="A3721" s="37" t="s">
        <v>62</v>
      </c>
      <c r="B3721" s="66" t="s">
        <v>1676</v>
      </c>
      <c r="C3721" s="4">
        <v>1054</v>
      </c>
      <c r="D3721" s="41" t="s">
        <v>808</v>
      </c>
      <c r="E3721" s="41">
        <v>10540047</v>
      </c>
      <c r="F3721" s="85" t="s">
        <v>1540</v>
      </c>
      <c r="G3721" s="39" t="s">
        <v>92</v>
      </c>
      <c r="H3721" s="52" t="s">
        <v>93</v>
      </c>
      <c r="I3721" s="52">
        <v>100.89999999999999</v>
      </c>
      <c r="J3721" s="49">
        <v>3453.2399999999993</v>
      </c>
      <c r="K3721" s="58">
        <v>100</v>
      </c>
      <c r="L3721" s="58">
        <v>4365</v>
      </c>
      <c r="M3721" s="58">
        <v>0</v>
      </c>
      <c r="N3721" s="58">
        <v>0</v>
      </c>
      <c r="O3721" s="58">
        <v>100</v>
      </c>
      <c r="P3721" s="53">
        <v>4365</v>
      </c>
      <c r="Q3721" s="65">
        <v>3453.2399999999993</v>
      </c>
      <c r="R3721" s="65">
        <v>0</v>
      </c>
      <c r="S3721" s="65">
        <v>0</v>
      </c>
      <c r="T3721" s="65">
        <v>911.76000000000067</v>
      </c>
      <c r="U3721" s="58">
        <v>1400</v>
      </c>
      <c r="V3721" s="65">
        <v>0</v>
      </c>
      <c r="W3721" s="65">
        <v>0</v>
      </c>
      <c r="X3721" s="65">
        <v>2053</v>
      </c>
      <c r="Y3721" s="65">
        <v>0</v>
      </c>
      <c r="Z3721" s="51">
        <v>0</v>
      </c>
      <c r="AA3721" s="51">
        <v>0</v>
      </c>
      <c r="AB3721" s="102">
        <v>0</v>
      </c>
      <c r="AC3721" s="81">
        <f t="shared" si="178"/>
        <v>410.0765280475718</v>
      </c>
      <c r="AD3721" s="82">
        <f t="shared" si="179"/>
        <v>14.414285714285713</v>
      </c>
      <c r="AE3721" s="218">
        <v>-0.26403030197727378</v>
      </c>
      <c r="AF3721">
        <v>1</v>
      </c>
      <c r="AH3721" t="str">
        <f t="shared" si="177"/>
        <v xml:space="preserve">Alauli </v>
      </c>
      <c r="AJ3721" s="72">
        <v>0</v>
      </c>
      <c r="AK3721" s="72"/>
      <c r="AL3721" s="72"/>
      <c r="AM3721" s="72"/>
    </row>
    <row r="3722" spans="1:39" x14ac:dyDescent="0.25">
      <c r="A3722" s="37" t="s">
        <v>62</v>
      </c>
      <c r="B3722" s="66" t="s">
        <v>1676</v>
      </c>
      <c r="C3722" s="4">
        <v>1054</v>
      </c>
      <c r="D3722" s="41" t="s">
        <v>808</v>
      </c>
      <c r="E3722" s="41">
        <v>10540048</v>
      </c>
      <c r="F3722" s="85" t="s">
        <v>1431</v>
      </c>
      <c r="G3722" s="39" t="s">
        <v>1610</v>
      </c>
      <c r="H3722" s="52" t="s">
        <v>98</v>
      </c>
      <c r="I3722" s="52">
        <v>2008.3000000000004</v>
      </c>
      <c r="J3722" s="49">
        <v>87785.250000000015</v>
      </c>
      <c r="K3722" s="58">
        <v>0</v>
      </c>
      <c r="L3722" s="58">
        <v>0</v>
      </c>
      <c r="M3722" s="58">
        <v>0</v>
      </c>
      <c r="N3722" s="58">
        <v>0</v>
      </c>
      <c r="O3722" s="58">
        <v>0</v>
      </c>
      <c r="P3722" s="53">
        <v>0</v>
      </c>
      <c r="Q3722" s="65">
        <v>87785.250000000015</v>
      </c>
      <c r="R3722" s="65">
        <v>0</v>
      </c>
      <c r="S3722" s="65">
        <v>0</v>
      </c>
      <c r="T3722" s="65">
        <v>0</v>
      </c>
      <c r="U3722" s="58">
        <v>0</v>
      </c>
      <c r="V3722" s="65">
        <v>0</v>
      </c>
      <c r="W3722" s="65">
        <v>0</v>
      </c>
      <c r="X3722" s="65">
        <v>0</v>
      </c>
      <c r="Y3722" s="65">
        <v>0</v>
      </c>
      <c r="Z3722" s="51">
        <v>87785.250000000015</v>
      </c>
      <c r="AA3722" s="51">
        <v>0</v>
      </c>
      <c r="AB3722" s="102">
        <v>0</v>
      </c>
      <c r="AC3722" s="81">
        <f t="shared" si="178"/>
        <v>0</v>
      </c>
      <c r="AD3722" s="82">
        <f t="shared" si="179"/>
        <v>0</v>
      </c>
      <c r="AE3722" s="218">
        <v>0</v>
      </c>
      <c r="AF3722">
        <v>0</v>
      </c>
      <c r="AH3722" t="str">
        <f t="shared" si="177"/>
        <v xml:space="preserve">Alauli </v>
      </c>
      <c r="AJ3722" s="72">
        <v>0</v>
      </c>
      <c r="AK3722" s="72"/>
      <c r="AL3722" s="72"/>
      <c r="AM3722" s="72"/>
    </row>
    <row r="3723" spans="1:39" x14ac:dyDescent="0.25">
      <c r="A3723" s="37" t="s">
        <v>62</v>
      </c>
      <c r="B3723" s="66" t="s">
        <v>1676</v>
      </c>
      <c r="C3723" s="4">
        <v>1054</v>
      </c>
      <c r="D3723" s="41" t="s">
        <v>808</v>
      </c>
      <c r="E3723" s="41">
        <v>10540049</v>
      </c>
      <c r="F3723" s="85" t="s">
        <v>1432</v>
      </c>
      <c r="G3723" s="39" t="s">
        <v>1610</v>
      </c>
      <c r="H3723" s="52" t="s">
        <v>98</v>
      </c>
      <c r="I3723" s="52">
        <v>644.80000000000007</v>
      </c>
      <c r="J3723" s="49">
        <v>24845.170000000002</v>
      </c>
      <c r="K3723" s="58">
        <v>0</v>
      </c>
      <c r="L3723" s="58">
        <v>0</v>
      </c>
      <c r="M3723" s="58">
        <v>0</v>
      </c>
      <c r="N3723" s="58">
        <v>0</v>
      </c>
      <c r="O3723" s="58">
        <v>0</v>
      </c>
      <c r="P3723" s="53">
        <v>0</v>
      </c>
      <c r="Q3723" s="65">
        <v>24845.170000000002</v>
      </c>
      <c r="R3723" s="65">
        <v>0</v>
      </c>
      <c r="S3723" s="65">
        <v>0</v>
      </c>
      <c r="T3723" s="65">
        <v>0</v>
      </c>
      <c r="U3723" s="58">
        <v>24845</v>
      </c>
      <c r="V3723" s="65">
        <v>0</v>
      </c>
      <c r="W3723" s="65">
        <v>0</v>
      </c>
      <c r="X3723" s="65">
        <v>0</v>
      </c>
      <c r="Y3723" s="65">
        <v>0</v>
      </c>
      <c r="Z3723" s="51">
        <v>0.17000000000189175</v>
      </c>
      <c r="AA3723" s="51">
        <v>0</v>
      </c>
      <c r="AB3723" s="102">
        <v>0</v>
      </c>
      <c r="AC3723" s="81">
        <f t="shared" si="178"/>
        <v>42.538876674937882</v>
      </c>
      <c r="AD3723" s="82">
        <f t="shared" si="179"/>
        <v>92.114285714285728</v>
      </c>
      <c r="AE3723" s="218">
        <v>0</v>
      </c>
      <c r="AF3723">
        <v>0</v>
      </c>
      <c r="AH3723" t="str">
        <f t="shared" si="177"/>
        <v xml:space="preserve">Alauli </v>
      </c>
      <c r="AJ3723" s="72">
        <v>0</v>
      </c>
      <c r="AK3723" s="72"/>
      <c r="AL3723" s="72"/>
      <c r="AM3723" s="72"/>
    </row>
    <row r="3724" spans="1:39" x14ac:dyDescent="0.25">
      <c r="A3724" s="37" t="s">
        <v>62</v>
      </c>
      <c r="B3724" s="66" t="s">
        <v>1676</v>
      </c>
      <c r="C3724" s="4">
        <v>1054</v>
      </c>
      <c r="D3724" s="41" t="s">
        <v>808</v>
      </c>
      <c r="E3724" s="41">
        <v>10540050</v>
      </c>
      <c r="F3724" s="85" t="s">
        <v>1582</v>
      </c>
      <c r="G3724" s="39" t="s">
        <v>92</v>
      </c>
      <c r="H3724" s="52" t="s">
        <v>93</v>
      </c>
      <c r="I3724" s="52">
        <v>359.60000000000008</v>
      </c>
      <c r="J3724" s="49">
        <v>13003.699999999997</v>
      </c>
      <c r="K3724" s="58">
        <v>112.76</v>
      </c>
      <c r="L3724" s="58">
        <v>3985.67</v>
      </c>
      <c r="M3724" s="58">
        <v>278.48</v>
      </c>
      <c r="N3724" s="58">
        <v>9067.9800000000014</v>
      </c>
      <c r="O3724" s="58">
        <v>391.24</v>
      </c>
      <c r="P3724" s="53">
        <v>13053.650000000001</v>
      </c>
      <c r="Q3724" s="65">
        <v>13003.699999999997</v>
      </c>
      <c r="R3724" s="65">
        <v>0</v>
      </c>
      <c r="S3724" s="65">
        <v>0</v>
      </c>
      <c r="T3724" s="65">
        <v>49.950000000004366</v>
      </c>
      <c r="U3724" s="58">
        <v>3936</v>
      </c>
      <c r="V3724" s="65">
        <v>0</v>
      </c>
      <c r="W3724" s="65">
        <v>0</v>
      </c>
      <c r="X3724" s="65">
        <v>0</v>
      </c>
      <c r="Y3724" s="65">
        <v>9068</v>
      </c>
      <c r="Z3724" s="51">
        <v>0</v>
      </c>
      <c r="AA3724" s="51">
        <v>0</v>
      </c>
      <c r="AB3724" s="102" t="s">
        <v>66</v>
      </c>
      <c r="AC3724" s="81">
        <f t="shared" si="178"/>
        <v>246.18795773081186</v>
      </c>
      <c r="AD3724" s="82">
        <f t="shared" si="179"/>
        <v>51.371428571428581</v>
      </c>
      <c r="AE3724" s="218">
        <v>-3.8412144235874693E-3</v>
      </c>
      <c r="AF3724">
        <v>2</v>
      </c>
      <c r="AH3724" t="str">
        <f t="shared" si="177"/>
        <v xml:space="preserve">Alauli </v>
      </c>
      <c r="AJ3724" s="72">
        <v>0</v>
      </c>
      <c r="AK3724" s="72"/>
      <c r="AL3724" s="72"/>
      <c r="AM3724" s="72"/>
    </row>
    <row r="3725" spans="1:39" x14ac:dyDescent="0.25">
      <c r="A3725" s="37" t="s">
        <v>62</v>
      </c>
      <c r="B3725" s="66" t="s">
        <v>1676</v>
      </c>
      <c r="C3725" s="4">
        <v>1054</v>
      </c>
      <c r="D3725" s="41" t="s">
        <v>808</v>
      </c>
      <c r="E3725" s="41">
        <v>10540051</v>
      </c>
      <c r="F3725" s="85" t="s">
        <v>1569</v>
      </c>
      <c r="G3725" s="39" t="s">
        <v>1610</v>
      </c>
      <c r="H3725" s="52" t="s">
        <v>98</v>
      </c>
      <c r="I3725" s="52">
        <v>238.9</v>
      </c>
      <c r="J3725" s="49">
        <v>8296.9699999999993</v>
      </c>
      <c r="K3725" s="58">
        <v>0</v>
      </c>
      <c r="L3725" s="58">
        <v>0</v>
      </c>
      <c r="M3725" s="58">
        <v>0</v>
      </c>
      <c r="N3725" s="58">
        <v>0</v>
      </c>
      <c r="O3725" s="58">
        <v>0</v>
      </c>
      <c r="P3725" s="53">
        <v>0</v>
      </c>
      <c r="Q3725" s="65">
        <v>8296.9699999999993</v>
      </c>
      <c r="R3725" s="65">
        <v>0</v>
      </c>
      <c r="S3725" s="65">
        <v>0</v>
      </c>
      <c r="T3725" s="65">
        <v>0</v>
      </c>
      <c r="U3725" s="58">
        <v>0</v>
      </c>
      <c r="V3725" s="65">
        <v>0</v>
      </c>
      <c r="W3725" s="65">
        <v>0</v>
      </c>
      <c r="X3725" s="65">
        <v>0</v>
      </c>
      <c r="Y3725" s="65">
        <v>0</v>
      </c>
      <c r="Z3725" s="51">
        <v>8296.9699999999993</v>
      </c>
      <c r="AA3725" s="51">
        <v>0</v>
      </c>
      <c r="AB3725" s="102">
        <v>0</v>
      </c>
      <c r="AC3725" s="81">
        <f t="shared" si="178"/>
        <v>320.27901774801171</v>
      </c>
      <c r="AD3725" s="82">
        <f t="shared" si="179"/>
        <v>34.128571428571426</v>
      </c>
      <c r="AE3725" s="218">
        <v>0</v>
      </c>
      <c r="AF3725">
        <v>0</v>
      </c>
      <c r="AH3725" t="str">
        <f t="shared" si="177"/>
        <v xml:space="preserve">Alauli </v>
      </c>
      <c r="AJ3725" s="72">
        <v>0</v>
      </c>
      <c r="AK3725" s="72"/>
      <c r="AL3725" s="72"/>
      <c r="AM3725" s="72"/>
    </row>
    <row r="3726" spans="1:39" x14ac:dyDescent="0.25">
      <c r="A3726" s="37" t="s">
        <v>62</v>
      </c>
      <c r="B3726" s="66" t="s">
        <v>1676</v>
      </c>
      <c r="C3726" s="4">
        <v>1054</v>
      </c>
      <c r="D3726" s="41" t="s">
        <v>808</v>
      </c>
      <c r="E3726" s="41">
        <v>10540060</v>
      </c>
      <c r="F3726" s="85" t="s">
        <v>1663</v>
      </c>
      <c r="G3726" s="39" t="s">
        <v>1610</v>
      </c>
      <c r="H3726" s="52" t="s">
        <v>98</v>
      </c>
      <c r="I3726" s="52">
        <v>207.29999999999998</v>
      </c>
      <c r="J3726" s="49">
        <v>6932.25</v>
      </c>
      <c r="K3726" s="58">
        <v>0</v>
      </c>
      <c r="L3726" s="58">
        <v>0</v>
      </c>
      <c r="M3726" s="58">
        <v>0</v>
      </c>
      <c r="N3726" s="58">
        <v>0</v>
      </c>
      <c r="O3726" s="58">
        <v>0</v>
      </c>
      <c r="P3726" s="53">
        <v>0</v>
      </c>
      <c r="Q3726" s="65">
        <v>6932.25</v>
      </c>
      <c r="R3726" s="65">
        <v>0</v>
      </c>
      <c r="S3726" s="65">
        <v>0</v>
      </c>
      <c r="T3726" s="65">
        <v>0</v>
      </c>
      <c r="U3726" s="58">
        <v>0</v>
      </c>
      <c r="V3726" s="65">
        <v>0</v>
      </c>
      <c r="W3726" s="65">
        <v>0</v>
      </c>
      <c r="X3726" s="65">
        <v>0</v>
      </c>
      <c r="Y3726" s="65">
        <v>0</v>
      </c>
      <c r="Z3726" s="51">
        <v>6932.25</v>
      </c>
      <c r="AA3726" s="51">
        <v>0</v>
      </c>
      <c r="AB3726" s="102">
        <v>0</v>
      </c>
      <c r="AC3726" s="81">
        <f t="shared" si="178"/>
        <v>329.52431982633868</v>
      </c>
      <c r="AD3726" s="82">
        <f t="shared" si="179"/>
        <v>29.61428571428571</v>
      </c>
      <c r="AE3726" s="218">
        <v>0</v>
      </c>
      <c r="AF3726">
        <v>0</v>
      </c>
      <c r="AH3726" t="str">
        <f t="shared" si="177"/>
        <v xml:space="preserve">Alauli </v>
      </c>
      <c r="AJ3726" s="72">
        <v>0</v>
      </c>
      <c r="AK3726" s="72"/>
      <c r="AL3726" s="72"/>
      <c r="AM3726" s="72"/>
    </row>
    <row r="3727" spans="1:39" x14ac:dyDescent="0.25">
      <c r="A3727" s="37" t="s">
        <v>62</v>
      </c>
      <c r="B3727" s="66" t="s">
        <v>1676</v>
      </c>
      <c r="C3727" s="4">
        <v>1055</v>
      </c>
      <c r="D3727" s="41" t="s">
        <v>1125</v>
      </c>
      <c r="E3727" s="41">
        <v>10550001</v>
      </c>
      <c r="F3727" s="85" t="s">
        <v>1168</v>
      </c>
      <c r="G3727" s="39" t="s">
        <v>1610</v>
      </c>
      <c r="H3727" s="52" t="s">
        <v>98</v>
      </c>
      <c r="I3727" s="52">
        <v>26118.2</v>
      </c>
      <c r="J3727" s="49">
        <v>998373.24</v>
      </c>
      <c r="K3727" s="58">
        <v>0</v>
      </c>
      <c r="L3727" s="58">
        <v>0</v>
      </c>
      <c r="M3727" s="58">
        <v>0</v>
      </c>
      <c r="N3727" s="58">
        <v>0</v>
      </c>
      <c r="O3727" s="58">
        <v>0</v>
      </c>
      <c r="P3727" s="53">
        <v>0</v>
      </c>
      <c r="Q3727" s="65">
        <v>998373.24</v>
      </c>
      <c r="R3727" s="65">
        <v>0</v>
      </c>
      <c r="S3727" s="65">
        <v>0</v>
      </c>
      <c r="T3727" s="65">
        <v>0</v>
      </c>
      <c r="U3727" s="58">
        <v>0</v>
      </c>
      <c r="V3727" s="65">
        <v>0</v>
      </c>
      <c r="W3727" s="65">
        <v>0</v>
      </c>
      <c r="X3727" s="65">
        <v>0</v>
      </c>
      <c r="Y3727" s="65">
        <v>0</v>
      </c>
      <c r="Z3727" s="51">
        <v>998373.24</v>
      </c>
      <c r="AA3727" s="51">
        <v>0</v>
      </c>
      <c r="AB3727" s="102">
        <v>0</v>
      </c>
      <c r="AC3727" s="81">
        <f t="shared" si="178"/>
        <v>0</v>
      </c>
      <c r="AD3727" s="82">
        <f t="shared" si="179"/>
        <v>0</v>
      </c>
      <c r="AE3727" s="218">
        <v>0</v>
      </c>
      <c r="AF3727">
        <v>0</v>
      </c>
      <c r="AH3727" t="str">
        <f t="shared" si="177"/>
        <v>Matihani</v>
      </c>
      <c r="AJ3727" s="72">
        <v>0</v>
      </c>
      <c r="AK3727" s="72"/>
      <c r="AL3727" s="72"/>
      <c r="AM3727" s="72"/>
    </row>
    <row r="3728" spans="1:39" x14ac:dyDescent="0.25">
      <c r="A3728" s="37" t="s">
        <v>62</v>
      </c>
      <c r="B3728" s="66" t="s">
        <v>1676</v>
      </c>
      <c r="C3728" s="4">
        <v>1055</v>
      </c>
      <c r="D3728" s="41" t="s">
        <v>1125</v>
      </c>
      <c r="E3728" s="41">
        <v>10550002</v>
      </c>
      <c r="F3728" s="85" t="s">
        <v>1188</v>
      </c>
      <c r="G3728" s="39" t="s">
        <v>1610</v>
      </c>
      <c r="H3728" s="52" t="s">
        <v>98</v>
      </c>
      <c r="I3728" s="52">
        <v>143.5</v>
      </c>
      <c r="J3728" s="49">
        <v>5572.7200000000012</v>
      </c>
      <c r="K3728" s="58">
        <v>0</v>
      </c>
      <c r="L3728" s="58">
        <v>0</v>
      </c>
      <c r="M3728" s="58">
        <v>0</v>
      </c>
      <c r="N3728" s="58">
        <v>0</v>
      </c>
      <c r="O3728" s="58">
        <v>0</v>
      </c>
      <c r="P3728" s="53">
        <v>0</v>
      </c>
      <c r="Q3728" s="65">
        <v>5572.7200000000012</v>
      </c>
      <c r="R3728" s="65">
        <v>0</v>
      </c>
      <c r="S3728" s="65">
        <v>0</v>
      </c>
      <c r="T3728" s="65">
        <v>0</v>
      </c>
      <c r="U3728" s="58">
        <v>0</v>
      </c>
      <c r="V3728" s="65">
        <v>0</v>
      </c>
      <c r="W3728" s="65">
        <v>0</v>
      </c>
      <c r="X3728" s="65">
        <v>0</v>
      </c>
      <c r="Y3728" s="65">
        <v>0</v>
      </c>
      <c r="Z3728" s="51">
        <v>5572.7200000000012</v>
      </c>
      <c r="AA3728" s="51">
        <v>0</v>
      </c>
      <c r="AB3728" s="102">
        <v>0</v>
      </c>
      <c r="AC3728" s="81">
        <f t="shared" si="178"/>
        <v>432.22560000000004</v>
      </c>
      <c r="AD3728" s="82">
        <f t="shared" si="179"/>
        <v>20.5</v>
      </c>
      <c r="AE3728" s="218">
        <v>0</v>
      </c>
      <c r="AF3728">
        <v>0</v>
      </c>
      <c r="AH3728" t="str">
        <f t="shared" si="177"/>
        <v>Matihani</v>
      </c>
      <c r="AJ3728" s="72">
        <v>0</v>
      </c>
      <c r="AK3728" s="72"/>
      <c r="AL3728" s="72"/>
      <c r="AM3728" s="72"/>
    </row>
    <row r="3729" spans="1:39" x14ac:dyDescent="0.25">
      <c r="A3729" s="37" t="s">
        <v>62</v>
      </c>
      <c r="B3729" s="66" t="s">
        <v>1676</v>
      </c>
      <c r="C3729" s="4">
        <v>1055</v>
      </c>
      <c r="D3729" s="41" t="s">
        <v>1125</v>
      </c>
      <c r="E3729" s="41">
        <v>10550005</v>
      </c>
      <c r="F3729" s="85" t="s">
        <v>1367</v>
      </c>
      <c r="G3729" s="39" t="s">
        <v>92</v>
      </c>
      <c r="H3729" s="52" t="s">
        <v>93</v>
      </c>
      <c r="I3729" s="52">
        <v>130</v>
      </c>
      <c r="J3729" s="49">
        <v>5365.58</v>
      </c>
      <c r="K3729" s="58">
        <v>122.7</v>
      </c>
      <c r="L3729" s="58">
        <v>5204.9400000000005</v>
      </c>
      <c r="M3729" s="58">
        <v>4.5999999999999996</v>
      </c>
      <c r="N3729" s="58">
        <v>183.49</v>
      </c>
      <c r="O3729" s="58">
        <v>127.3</v>
      </c>
      <c r="P3729" s="53">
        <v>5388.43</v>
      </c>
      <c r="Q3729" s="65">
        <v>5365.58</v>
      </c>
      <c r="R3729" s="65">
        <v>0</v>
      </c>
      <c r="S3729" s="65">
        <v>183.49</v>
      </c>
      <c r="T3729" s="65">
        <v>22.850000000000364</v>
      </c>
      <c r="U3729" s="58">
        <v>0</v>
      </c>
      <c r="V3729" s="65">
        <v>0</v>
      </c>
      <c r="W3729" s="65">
        <v>0</v>
      </c>
      <c r="X3729" s="65">
        <v>5182</v>
      </c>
      <c r="Y3729" s="65">
        <v>0</v>
      </c>
      <c r="Z3729" s="51">
        <v>0</v>
      </c>
      <c r="AA3729" s="51">
        <v>0</v>
      </c>
      <c r="AB3729" s="102">
        <v>0</v>
      </c>
      <c r="AC3729" s="81">
        <f t="shared" si="178"/>
        <v>470.52009230769232</v>
      </c>
      <c r="AD3729" s="82">
        <f t="shared" si="179"/>
        <v>18.571428571428573</v>
      </c>
      <c r="AE3729" s="218">
        <v>-4.2586262808494823E-3</v>
      </c>
      <c r="AF3729">
        <v>3</v>
      </c>
      <c r="AH3729" t="str">
        <f t="shared" si="177"/>
        <v>Matihani</v>
      </c>
      <c r="AJ3729" s="72">
        <v>0</v>
      </c>
      <c r="AK3729" s="72"/>
      <c r="AL3729" s="72"/>
      <c r="AM3729" s="72"/>
    </row>
    <row r="3730" spans="1:39" x14ac:dyDescent="0.25">
      <c r="A3730" s="37" t="s">
        <v>62</v>
      </c>
      <c r="B3730" s="66" t="s">
        <v>1676</v>
      </c>
      <c r="C3730" s="4">
        <v>1055</v>
      </c>
      <c r="D3730" s="41" t="s">
        <v>1125</v>
      </c>
      <c r="E3730" s="41">
        <v>10550007</v>
      </c>
      <c r="F3730" s="85" t="s">
        <v>1368</v>
      </c>
      <c r="G3730" s="39" t="s">
        <v>1610</v>
      </c>
      <c r="H3730" s="52" t="s">
        <v>98</v>
      </c>
      <c r="I3730" s="52">
        <v>1649.3999999999999</v>
      </c>
      <c r="J3730" s="49">
        <v>60430.979999999996</v>
      </c>
      <c r="K3730" s="58">
        <v>0</v>
      </c>
      <c r="L3730" s="58">
        <v>0</v>
      </c>
      <c r="M3730" s="58">
        <v>0</v>
      </c>
      <c r="N3730" s="58">
        <v>0</v>
      </c>
      <c r="O3730" s="58">
        <v>0</v>
      </c>
      <c r="P3730" s="53">
        <v>0</v>
      </c>
      <c r="Q3730" s="65">
        <v>60430.979999999996</v>
      </c>
      <c r="R3730" s="65">
        <v>0</v>
      </c>
      <c r="S3730" s="65">
        <v>0</v>
      </c>
      <c r="T3730" s="65">
        <v>0</v>
      </c>
      <c r="U3730" s="58">
        <v>0</v>
      </c>
      <c r="V3730" s="65">
        <v>0</v>
      </c>
      <c r="W3730" s="65">
        <v>0</v>
      </c>
      <c r="X3730" s="65">
        <v>0</v>
      </c>
      <c r="Y3730" s="65">
        <v>0</v>
      </c>
      <c r="Z3730" s="51">
        <v>60430.979999999996</v>
      </c>
      <c r="AA3730" s="51">
        <v>0</v>
      </c>
      <c r="AB3730" s="102">
        <v>0</v>
      </c>
      <c r="AC3730" s="81">
        <f t="shared" si="178"/>
        <v>0</v>
      </c>
      <c r="AD3730" s="82">
        <f t="shared" si="179"/>
        <v>0</v>
      </c>
      <c r="AE3730" s="218">
        <v>0</v>
      </c>
      <c r="AF3730">
        <v>0</v>
      </c>
      <c r="AH3730" t="str">
        <f t="shared" si="177"/>
        <v>Matihani</v>
      </c>
      <c r="AJ3730" s="72">
        <v>0</v>
      </c>
      <c r="AK3730" s="72"/>
      <c r="AL3730" s="72"/>
      <c r="AM3730" s="72"/>
    </row>
    <row r="3731" spans="1:39" x14ac:dyDescent="0.25">
      <c r="A3731" s="37" t="s">
        <v>62</v>
      </c>
      <c r="B3731" s="66" t="s">
        <v>1676</v>
      </c>
      <c r="C3731" s="4">
        <v>1055</v>
      </c>
      <c r="D3731" s="41" t="s">
        <v>1125</v>
      </c>
      <c r="E3731" s="41">
        <v>10550008</v>
      </c>
      <c r="F3731" s="85" t="s">
        <v>1412</v>
      </c>
      <c r="G3731" s="39" t="s">
        <v>1610</v>
      </c>
      <c r="H3731" s="52" t="s">
        <v>98</v>
      </c>
      <c r="I3731" s="52">
        <v>302.2</v>
      </c>
      <c r="J3731" s="49">
        <v>11088.320000000002</v>
      </c>
      <c r="K3731" s="58">
        <v>0</v>
      </c>
      <c r="L3731" s="58">
        <v>0</v>
      </c>
      <c r="M3731" s="58">
        <v>0</v>
      </c>
      <c r="N3731" s="58">
        <v>0</v>
      </c>
      <c r="O3731" s="58">
        <v>0</v>
      </c>
      <c r="P3731" s="53">
        <v>0</v>
      </c>
      <c r="Q3731" s="65">
        <v>11088.320000000002</v>
      </c>
      <c r="R3731" s="65">
        <v>0</v>
      </c>
      <c r="S3731" s="65">
        <v>0</v>
      </c>
      <c r="T3731" s="65">
        <v>0</v>
      </c>
      <c r="U3731" s="58">
        <v>0</v>
      </c>
      <c r="V3731" s="65">
        <v>0</v>
      </c>
      <c r="W3731" s="65">
        <v>0</v>
      </c>
      <c r="X3731" s="65">
        <v>0</v>
      </c>
      <c r="Y3731" s="65">
        <v>0</v>
      </c>
      <c r="Z3731" s="51">
        <v>11088.320000000002</v>
      </c>
      <c r="AA3731" s="51">
        <v>0</v>
      </c>
      <c r="AB3731" s="102">
        <v>0</v>
      </c>
      <c r="AC3731" s="81">
        <f t="shared" si="178"/>
        <v>291.92148881535417</v>
      </c>
      <c r="AD3731" s="82">
        <f t="shared" si="179"/>
        <v>43.171428571428571</v>
      </c>
      <c r="AE3731" s="218">
        <v>0</v>
      </c>
      <c r="AF3731">
        <v>0</v>
      </c>
      <c r="AH3731" t="str">
        <f t="shared" si="177"/>
        <v>Matihani</v>
      </c>
      <c r="AJ3731" s="72">
        <v>0</v>
      </c>
      <c r="AK3731" s="72"/>
      <c r="AL3731" s="72"/>
      <c r="AM3731" s="72"/>
    </row>
    <row r="3732" spans="1:39" x14ac:dyDescent="0.25">
      <c r="A3732" s="37" t="s">
        <v>62</v>
      </c>
      <c r="B3732" s="66" t="s">
        <v>1676</v>
      </c>
      <c r="C3732" s="4">
        <v>1055</v>
      </c>
      <c r="D3732" s="41" t="s">
        <v>1125</v>
      </c>
      <c r="E3732" s="41">
        <v>10550009</v>
      </c>
      <c r="F3732" s="85" t="s">
        <v>1466</v>
      </c>
      <c r="G3732" s="39" t="s">
        <v>1610</v>
      </c>
      <c r="H3732" s="52" t="s">
        <v>98</v>
      </c>
      <c r="I3732" s="52">
        <v>1242.0999999999999</v>
      </c>
      <c r="J3732" s="49">
        <v>47829.09</v>
      </c>
      <c r="K3732" s="58">
        <v>0</v>
      </c>
      <c r="L3732" s="58">
        <v>0</v>
      </c>
      <c r="M3732" s="58">
        <v>0</v>
      </c>
      <c r="N3732" s="58">
        <v>0</v>
      </c>
      <c r="O3732" s="58">
        <v>0</v>
      </c>
      <c r="P3732" s="53">
        <v>0</v>
      </c>
      <c r="Q3732" s="65">
        <v>47829.09</v>
      </c>
      <c r="R3732" s="65">
        <v>0</v>
      </c>
      <c r="S3732" s="65">
        <v>0</v>
      </c>
      <c r="T3732" s="65">
        <v>0</v>
      </c>
      <c r="U3732" s="58">
        <v>0</v>
      </c>
      <c r="V3732" s="65">
        <v>0</v>
      </c>
      <c r="W3732" s="65">
        <v>0</v>
      </c>
      <c r="X3732" s="65">
        <v>0</v>
      </c>
      <c r="Y3732" s="65">
        <v>0</v>
      </c>
      <c r="Z3732" s="51">
        <v>47829.09</v>
      </c>
      <c r="AA3732" s="51">
        <v>0</v>
      </c>
      <c r="AB3732" s="102">
        <v>0</v>
      </c>
      <c r="AC3732" s="81">
        <f t="shared" si="178"/>
        <v>0</v>
      </c>
      <c r="AD3732" s="82">
        <f t="shared" si="179"/>
        <v>0</v>
      </c>
      <c r="AE3732" s="218">
        <v>0</v>
      </c>
      <c r="AF3732">
        <v>0</v>
      </c>
      <c r="AH3732" t="str">
        <f t="shared" si="177"/>
        <v>Matihani</v>
      </c>
      <c r="AJ3732" s="72">
        <v>0</v>
      </c>
      <c r="AK3732" s="72"/>
      <c r="AL3732" s="72"/>
      <c r="AM3732" s="72"/>
    </row>
    <row r="3733" spans="1:39" x14ac:dyDescent="0.25">
      <c r="A3733" s="37" t="s">
        <v>62</v>
      </c>
      <c r="B3733" s="66" t="s">
        <v>1676</v>
      </c>
      <c r="C3733" s="4">
        <v>1055</v>
      </c>
      <c r="D3733" s="41" t="s">
        <v>1125</v>
      </c>
      <c r="E3733" s="41">
        <v>10550010</v>
      </c>
      <c r="F3733" s="85" t="s">
        <v>1564</v>
      </c>
      <c r="G3733" s="39" t="s">
        <v>92</v>
      </c>
      <c r="H3733" s="52" t="s">
        <v>93</v>
      </c>
      <c r="I3733" s="52">
        <v>272.09999999999997</v>
      </c>
      <c r="J3733" s="49">
        <v>11552.77</v>
      </c>
      <c r="K3733" s="58">
        <v>271.26000000000005</v>
      </c>
      <c r="L3733" s="58">
        <v>11386.2</v>
      </c>
      <c r="M3733" s="58">
        <v>3.0900000000000003</v>
      </c>
      <c r="N3733" s="58">
        <v>135.51</v>
      </c>
      <c r="O3733" s="58">
        <v>274.35000000000002</v>
      </c>
      <c r="P3733" s="53">
        <v>11521.710000000001</v>
      </c>
      <c r="Q3733" s="65">
        <v>11521.710000000001</v>
      </c>
      <c r="R3733" s="65">
        <v>0</v>
      </c>
      <c r="S3733" s="65">
        <v>135.51</v>
      </c>
      <c r="T3733" s="65">
        <v>0</v>
      </c>
      <c r="U3733" s="58">
        <v>0</v>
      </c>
      <c r="V3733" s="65">
        <v>0</v>
      </c>
      <c r="W3733" s="65">
        <v>0</v>
      </c>
      <c r="X3733" s="65">
        <v>11386</v>
      </c>
      <c r="Y3733" s="65">
        <v>0</v>
      </c>
      <c r="Z3733" s="51">
        <v>0</v>
      </c>
      <c r="AA3733" s="51">
        <v>31</v>
      </c>
      <c r="AB3733" s="102">
        <v>0</v>
      </c>
      <c r="AC3733" s="81">
        <f t="shared" si="178"/>
        <v>363.35393480338121</v>
      </c>
      <c r="AD3733" s="82">
        <f t="shared" si="179"/>
        <v>38.871428571428567</v>
      </c>
      <c r="AE3733" s="218">
        <v>2.688532706874584E-3</v>
      </c>
      <c r="AF3733">
        <v>7</v>
      </c>
      <c r="AH3733" t="str">
        <f t="shared" si="177"/>
        <v>Matihani</v>
      </c>
      <c r="AJ3733" s="72">
        <v>0</v>
      </c>
      <c r="AK3733" s="72"/>
      <c r="AL3733" s="72"/>
      <c r="AM3733" s="72"/>
    </row>
    <row r="3734" spans="1:39" x14ac:dyDescent="0.25">
      <c r="A3734" s="37" t="s">
        <v>62</v>
      </c>
      <c r="B3734" s="66" t="s">
        <v>1676</v>
      </c>
      <c r="C3734" s="4">
        <v>1055</v>
      </c>
      <c r="D3734" s="41" t="s">
        <v>1125</v>
      </c>
      <c r="E3734" s="41">
        <v>10550011</v>
      </c>
      <c r="F3734" s="85" t="s">
        <v>1551</v>
      </c>
      <c r="G3734" s="39" t="s">
        <v>92</v>
      </c>
      <c r="H3734" s="52" t="s">
        <v>93</v>
      </c>
      <c r="I3734" s="52">
        <v>279.90000000000003</v>
      </c>
      <c r="J3734" s="49">
        <v>11182.480000000001</v>
      </c>
      <c r="K3734" s="58">
        <v>265.98</v>
      </c>
      <c r="L3734" s="58">
        <v>11005.7</v>
      </c>
      <c r="M3734" s="58">
        <v>2.8699999999999997</v>
      </c>
      <c r="N3734" s="58">
        <v>116.41000000000001</v>
      </c>
      <c r="O3734" s="58">
        <v>268.85000000000002</v>
      </c>
      <c r="P3734" s="53">
        <v>11122.11</v>
      </c>
      <c r="Q3734" s="65">
        <v>11122.11</v>
      </c>
      <c r="R3734" s="65">
        <v>0</v>
      </c>
      <c r="S3734" s="65">
        <v>116.41000000000001</v>
      </c>
      <c r="T3734" s="65">
        <v>0</v>
      </c>
      <c r="U3734" s="58">
        <v>0</v>
      </c>
      <c r="V3734" s="65">
        <v>0</v>
      </c>
      <c r="W3734" s="65">
        <v>0</v>
      </c>
      <c r="X3734" s="65">
        <v>11006</v>
      </c>
      <c r="Y3734" s="65">
        <v>0</v>
      </c>
      <c r="Z3734" s="51">
        <v>0</v>
      </c>
      <c r="AA3734" s="51">
        <v>60</v>
      </c>
      <c r="AB3734" s="102">
        <v>0</v>
      </c>
      <c r="AC3734" s="81">
        <f t="shared" si="178"/>
        <v>335.67415848517328</v>
      </c>
      <c r="AD3734" s="82">
        <f t="shared" si="179"/>
        <v>39.985714285714288</v>
      </c>
      <c r="AE3734" s="218">
        <v>5.3986235611421431E-3</v>
      </c>
      <c r="AF3734">
        <v>6</v>
      </c>
      <c r="AH3734" t="str">
        <f t="shared" si="177"/>
        <v>Matihani</v>
      </c>
      <c r="AJ3734" s="72">
        <v>0</v>
      </c>
      <c r="AK3734" s="72"/>
      <c r="AL3734" s="72"/>
      <c r="AM3734" s="72"/>
    </row>
    <row r="3735" spans="1:39" x14ac:dyDescent="0.25">
      <c r="A3735" s="37" t="s">
        <v>62</v>
      </c>
      <c r="B3735" s="66" t="s">
        <v>1676</v>
      </c>
      <c r="C3735" s="4">
        <v>1055</v>
      </c>
      <c r="D3735" s="41" t="s">
        <v>1125</v>
      </c>
      <c r="E3735" s="41">
        <v>10550012</v>
      </c>
      <c r="F3735" s="85" t="s">
        <v>1664</v>
      </c>
      <c r="G3735" s="39" t="s">
        <v>92</v>
      </c>
      <c r="H3735" s="52" t="s">
        <v>93</v>
      </c>
      <c r="I3735" s="52">
        <v>46.4</v>
      </c>
      <c r="J3735" s="49">
        <v>1899.6100000000001</v>
      </c>
      <c r="K3735" s="58">
        <v>46.399999999999991</v>
      </c>
      <c r="L3735" s="58">
        <v>1869.68</v>
      </c>
      <c r="M3735" s="58">
        <v>0.2</v>
      </c>
      <c r="N3735" s="58">
        <v>7.7</v>
      </c>
      <c r="O3735" s="58">
        <v>46.599999999999994</v>
      </c>
      <c r="P3735" s="53">
        <v>1877.38</v>
      </c>
      <c r="Q3735" s="65">
        <v>1877.38</v>
      </c>
      <c r="R3735" s="65">
        <v>0</v>
      </c>
      <c r="S3735" s="65">
        <v>7.7</v>
      </c>
      <c r="T3735" s="65">
        <v>0</v>
      </c>
      <c r="U3735" s="58">
        <v>0</v>
      </c>
      <c r="V3735" s="65">
        <v>0</v>
      </c>
      <c r="W3735" s="65">
        <v>0</v>
      </c>
      <c r="X3735" s="65">
        <v>1870</v>
      </c>
      <c r="Y3735" s="65">
        <v>0</v>
      </c>
      <c r="Z3735" s="51">
        <v>0</v>
      </c>
      <c r="AA3735" s="51">
        <v>22</v>
      </c>
      <c r="AB3735" s="102">
        <v>0</v>
      </c>
      <c r="AC3735" s="81">
        <f t="shared" si="178"/>
        <v>535.16598965517244</v>
      </c>
      <c r="AD3735" s="82">
        <f t="shared" si="179"/>
        <v>6.6285714285714281</v>
      </c>
      <c r="AE3735" s="218">
        <v>1.1702402072004263E-2</v>
      </c>
      <c r="AF3735">
        <v>3</v>
      </c>
      <c r="AH3735" t="str">
        <f t="shared" si="177"/>
        <v>Matihani</v>
      </c>
      <c r="AJ3735" s="72">
        <v>0</v>
      </c>
      <c r="AK3735" s="72"/>
      <c r="AL3735" s="72"/>
      <c r="AM3735" s="72"/>
    </row>
    <row r="3736" spans="1:39" x14ac:dyDescent="0.25">
      <c r="A3736" s="37" t="s">
        <v>62</v>
      </c>
      <c r="B3736" s="66" t="s">
        <v>1676</v>
      </c>
      <c r="C3736" s="4">
        <v>1056</v>
      </c>
      <c r="D3736" s="41" t="s">
        <v>816</v>
      </c>
      <c r="E3736" s="41">
        <v>10560001</v>
      </c>
      <c r="F3736" s="85" t="s">
        <v>822</v>
      </c>
      <c r="G3736" s="39" t="s">
        <v>92</v>
      </c>
      <c r="H3736" s="52" t="s">
        <v>98</v>
      </c>
      <c r="I3736" s="52">
        <v>2656.06</v>
      </c>
      <c r="J3736" s="49">
        <v>104162.86</v>
      </c>
      <c r="K3736" s="58">
        <v>0</v>
      </c>
      <c r="L3736" s="58">
        <v>0</v>
      </c>
      <c r="M3736" s="58">
        <v>0</v>
      </c>
      <c r="N3736" s="58">
        <v>0</v>
      </c>
      <c r="O3736" s="58">
        <v>0</v>
      </c>
      <c r="P3736" s="53">
        <v>0</v>
      </c>
      <c r="Q3736" s="65">
        <v>104162.86</v>
      </c>
      <c r="R3736" s="65">
        <v>0</v>
      </c>
      <c r="S3736" s="65">
        <v>0</v>
      </c>
      <c r="T3736" s="65">
        <v>0</v>
      </c>
      <c r="U3736" s="58">
        <v>0</v>
      </c>
      <c r="V3736" s="65">
        <v>0</v>
      </c>
      <c r="W3736" s="65">
        <v>0</v>
      </c>
      <c r="X3736" s="65">
        <v>0</v>
      </c>
      <c r="Y3736" s="65">
        <v>0</v>
      </c>
      <c r="Z3736" s="51">
        <v>104162.86</v>
      </c>
      <c r="AA3736" s="51">
        <v>0</v>
      </c>
      <c r="AB3736" s="102">
        <v>0</v>
      </c>
      <c r="AC3736" s="81">
        <f t="shared" si="178"/>
        <v>0</v>
      </c>
      <c r="AD3736" s="82">
        <f t="shared" si="179"/>
        <v>0</v>
      </c>
      <c r="AE3736" s="218">
        <v>0</v>
      </c>
      <c r="AF3736">
        <v>0</v>
      </c>
      <c r="AH3736" t="str">
        <f t="shared" si="177"/>
        <v>Chautham</v>
      </c>
      <c r="AJ3736" s="72">
        <v>0</v>
      </c>
      <c r="AK3736" s="72"/>
      <c r="AL3736" s="72"/>
      <c r="AM3736" s="72"/>
    </row>
    <row r="3737" spans="1:39" x14ac:dyDescent="0.25">
      <c r="A3737" s="37" t="s">
        <v>62</v>
      </c>
      <c r="B3737" s="66" t="s">
        <v>1676</v>
      </c>
      <c r="C3737" s="4">
        <v>1056</v>
      </c>
      <c r="D3737" s="41" t="s">
        <v>816</v>
      </c>
      <c r="E3737" s="41">
        <v>10560002</v>
      </c>
      <c r="F3737" s="85" t="s">
        <v>1142</v>
      </c>
      <c r="G3737" s="39" t="s">
        <v>1610</v>
      </c>
      <c r="H3737" s="52" t="s">
        <v>98</v>
      </c>
      <c r="I3737" s="52">
        <v>313.18000000000006</v>
      </c>
      <c r="J3737" s="49">
        <v>11731.36</v>
      </c>
      <c r="K3737" s="58">
        <v>0</v>
      </c>
      <c r="L3737" s="58">
        <v>0</v>
      </c>
      <c r="M3737" s="58">
        <v>0</v>
      </c>
      <c r="N3737" s="58">
        <v>0</v>
      </c>
      <c r="O3737" s="58">
        <v>0</v>
      </c>
      <c r="P3737" s="53">
        <v>0</v>
      </c>
      <c r="Q3737" s="65">
        <v>11731.36</v>
      </c>
      <c r="R3737" s="65">
        <v>0</v>
      </c>
      <c r="S3737" s="65">
        <v>0</v>
      </c>
      <c r="T3737" s="65">
        <v>0</v>
      </c>
      <c r="U3737" s="58">
        <v>0</v>
      </c>
      <c r="V3737" s="65">
        <v>0</v>
      </c>
      <c r="W3737" s="65">
        <v>0</v>
      </c>
      <c r="X3737" s="65">
        <v>0</v>
      </c>
      <c r="Y3737" s="65">
        <v>0</v>
      </c>
      <c r="Z3737" s="51">
        <v>11731.36</v>
      </c>
      <c r="AA3737" s="51">
        <v>0</v>
      </c>
      <c r="AB3737" s="102">
        <v>0</v>
      </c>
      <c r="AC3737" s="81">
        <f t="shared" si="178"/>
        <v>289.7965818506928</v>
      </c>
      <c r="AD3737" s="82">
        <f t="shared" si="179"/>
        <v>44.740000000000009</v>
      </c>
      <c r="AE3737" s="218">
        <v>0</v>
      </c>
      <c r="AF3737">
        <v>0</v>
      </c>
      <c r="AH3737" t="str">
        <f t="shared" si="177"/>
        <v>Chautham</v>
      </c>
      <c r="AJ3737" s="72">
        <v>0</v>
      </c>
      <c r="AK3737" s="72"/>
      <c r="AL3737" s="72"/>
      <c r="AM3737" s="72"/>
    </row>
    <row r="3738" spans="1:39" x14ac:dyDescent="0.25">
      <c r="A3738" s="37" t="s">
        <v>62</v>
      </c>
      <c r="B3738" s="66" t="s">
        <v>1676</v>
      </c>
      <c r="C3738" s="4">
        <v>1056</v>
      </c>
      <c r="D3738" s="41" t="s">
        <v>816</v>
      </c>
      <c r="E3738" s="41">
        <v>10560004</v>
      </c>
      <c r="F3738" s="85" t="s">
        <v>1158</v>
      </c>
      <c r="G3738" s="39" t="s">
        <v>92</v>
      </c>
      <c r="H3738" s="52" t="s">
        <v>93</v>
      </c>
      <c r="I3738" s="52">
        <v>979.12</v>
      </c>
      <c r="J3738" s="49">
        <v>35846.219999999994</v>
      </c>
      <c r="K3738" s="58">
        <v>1043.52</v>
      </c>
      <c r="L3738" s="58">
        <v>38642.330000000009</v>
      </c>
      <c r="M3738" s="58">
        <v>0</v>
      </c>
      <c r="N3738" s="58">
        <v>0</v>
      </c>
      <c r="O3738" s="58">
        <v>1043.52</v>
      </c>
      <c r="P3738" s="53">
        <v>38642.330000000009</v>
      </c>
      <c r="Q3738" s="65">
        <v>35846.219999999994</v>
      </c>
      <c r="R3738" s="65">
        <v>0</v>
      </c>
      <c r="S3738" s="65">
        <v>0</v>
      </c>
      <c r="T3738" s="65">
        <v>2796.1100000000151</v>
      </c>
      <c r="U3738" s="58">
        <v>0</v>
      </c>
      <c r="V3738" s="65">
        <v>0</v>
      </c>
      <c r="W3738" s="65">
        <v>0</v>
      </c>
      <c r="X3738" s="65">
        <v>35846</v>
      </c>
      <c r="Y3738" s="65">
        <v>0</v>
      </c>
      <c r="Z3738" s="51">
        <v>0</v>
      </c>
      <c r="AA3738" s="51">
        <v>0</v>
      </c>
      <c r="AB3738" s="102">
        <v>0</v>
      </c>
      <c r="AC3738" s="81">
        <f t="shared" si="178"/>
        <v>0</v>
      </c>
      <c r="AD3738" s="82">
        <f t="shared" si="179"/>
        <v>0</v>
      </c>
      <c r="AE3738" s="218">
        <v>-7.8002924715632929E-2</v>
      </c>
      <c r="AF3738">
        <v>1</v>
      </c>
      <c r="AH3738" t="str">
        <f t="shared" si="177"/>
        <v>Chautham</v>
      </c>
      <c r="AJ3738" s="72">
        <v>0</v>
      </c>
      <c r="AK3738" s="72"/>
      <c r="AL3738" s="72"/>
      <c r="AM3738" s="72"/>
    </row>
    <row r="3739" spans="1:39" x14ac:dyDescent="0.25">
      <c r="A3739" s="37" t="s">
        <v>62</v>
      </c>
      <c r="B3739" s="66" t="s">
        <v>1676</v>
      </c>
      <c r="C3739" s="4">
        <v>1056</v>
      </c>
      <c r="D3739" s="41" t="s">
        <v>816</v>
      </c>
      <c r="E3739" s="41">
        <v>10560005</v>
      </c>
      <c r="F3739" s="85" t="s">
        <v>1159</v>
      </c>
      <c r="G3739" s="39" t="s">
        <v>92</v>
      </c>
      <c r="H3739" s="52" t="s">
        <v>93</v>
      </c>
      <c r="I3739" s="52">
        <v>1527.6999999999998</v>
      </c>
      <c r="J3739" s="49">
        <v>65262.98</v>
      </c>
      <c r="K3739" s="58">
        <v>22.34</v>
      </c>
      <c r="L3739" s="58">
        <v>957.12000000000012</v>
      </c>
      <c r="M3739" s="58">
        <v>1505</v>
      </c>
      <c r="N3739" s="58">
        <v>64345.55000000001</v>
      </c>
      <c r="O3739" s="58">
        <v>1527.34</v>
      </c>
      <c r="P3739" s="53">
        <v>65302.670000000013</v>
      </c>
      <c r="Q3739" s="65">
        <v>65262.98</v>
      </c>
      <c r="R3739" s="65">
        <v>0</v>
      </c>
      <c r="S3739" s="65">
        <v>0</v>
      </c>
      <c r="T3739" s="65">
        <v>39.690000000009604</v>
      </c>
      <c r="U3739" s="58">
        <v>0</v>
      </c>
      <c r="V3739" s="65">
        <v>0</v>
      </c>
      <c r="W3739" s="65">
        <v>0</v>
      </c>
      <c r="X3739" s="65">
        <v>917</v>
      </c>
      <c r="Y3739" s="65">
        <v>64346</v>
      </c>
      <c r="Z3739" s="51">
        <v>0</v>
      </c>
      <c r="AA3739" s="51">
        <v>0</v>
      </c>
      <c r="AB3739" s="102">
        <v>0</v>
      </c>
      <c r="AC3739" s="81">
        <f t="shared" si="178"/>
        <v>0</v>
      </c>
      <c r="AD3739" s="82">
        <f t="shared" si="179"/>
        <v>0</v>
      </c>
      <c r="AE3739" s="218">
        <v>-6.0815488351910387E-4</v>
      </c>
      <c r="AF3739">
        <v>3</v>
      </c>
      <c r="AH3739" t="str">
        <f t="shared" si="177"/>
        <v>Chautham</v>
      </c>
      <c r="AJ3739" s="72">
        <v>0</v>
      </c>
      <c r="AK3739" s="72"/>
      <c r="AL3739" s="72"/>
      <c r="AM3739" s="72"/>
    </row>
    <row r="3740" spans="1:39" x14ac:dyDescent="0.25">
      <c r="A3740" s="37" t="s">
        <v>62</v>
      </c>
      <c r="B3740" s="66" t="s">
        <v>1676</v>
      </c>
      <c r="C3740" s="4">
        <v>1056</v>
      </c>
      <c r="D3740" s="41" t="s">
        <v>816</v>
      </c>
      <c r="E3740" s="41">
        <v>10560007</v>
      </c>
      <c r="F3740" s="85" t="s">
        <v>1160</v>
      </c>
      <c r="G3740" s="39" t="s">
        <v>92</v>
      </c>
      <c r="H3740" s="52" t="s">
        <v>93</v>
      </c>
      <c r="I3740" s="52">
        <v>262.38000000000005</v>
      </c>
      <c r="J3740" s="49">
        <v>10397.17</v>
      </c>
      <c r="K3740" s="58">
        <v>336.53</v>
      </c>
      <c r="L3740" s="58">
        <v>13988.240000000002</v>
      </c>
      <c r="M3740" s="58">
        <v>0</v>
      </c>
      <c r="N3740" s="58">
        <v>0</v>
      </c>
      <c r="O3740" s="58">
        <v>336.53</v>
      </c>
      <c r="P3740" s="53">
        <v>13988.240000000002</v>
      </c>
      <c r="Q3740" s="65">
        <v>10397.17</v>
      </c>
      <c r="R3740" s="65">
        <v>0</v>
      </c>
      <c r="S3740" s="65">
        <v>0</v>
      </c>
      <c r="T3740" s="65">
        <v>3591.0700000000015</v>
      </c>
      <c r="U3740" s="58">
        <v>0</v>
      </c>
      <c r="V3740" s="65">
        <v>500</v>
      </c>
      <c r="W3740" s="65">
        <v>0</v>
      </c>
      <c r="X3740" s="65">
        <v>9897</v>
      </c>
      <c r="Y3740" s="65">
        <v>0</v>
      </c>
      <c r="Z3740" s="51">
        <v>0</v>
      </c>
      <c r="AA3740" s="51">
        <v>0</v>
      </c>
      <c r="AB3740" s="102">
        <v>0</v>
      </c>
      <c r="AC3740" s="81">
        <f t="shared" si="178"/>
        <v>346.82594217547063</v>
      </c>
      <c r="AD3740" s="82">
        <f t="shared" si="179"/>
        <v>37.482857142857149</v>
      </c>
      <c r="AE3740" s="218">
        <v>-0.34538917801671049</v>
      </c>
      <c r="AF3740">
        <v>1</v>
      </c>
      <c r="AH3740" t="str">
        <f t="shared" si="177"/>
        <v>Chautham</v>
      </c>
      <c r="AJ3740" s="72">
        <v>500</v>
      </c>
      <c r="AK3740" s="72"/>
      <c r="AL3740" s="72"/>
      <c r="AM3740" s="72"/>
    </row>
    <row r="3741" spans="1:39" x14ac:dyDescent="0.25">
      <c r="A3741" s="37" t="s">
        <v>62</v>
      </c>
      <c r="B3741" s="66" t="s">
        <v>1676</v>
      </c>
      <c r="C3741" s="4">
        <v>1056</v>
      </c>
      <c r="D3741" s="41" t="s">
        <v>816</v>
      </c>
      <c r="E3741" s="41">
        <v>10560011</v>
      </c>
      <c r="F3741" s="85" t="s">
        <v>1242</v>
      </c>
      <c r="G3741" s="39" t="s">
        <v>92</v>
      </c>
      <c r="H3741" s="52" t="s">
        <v>93</v>
      </c>
      <c r="I3741" s="52">
        <v>2017</v>
      </c>
      <c r="J3741" s="49">
        <v>83184.12999999999</v>
      </c>
      <c r="K3741" s="58">
        <v>2017.0599999999995</v>
      </c>
      <c r="L3741" s="58">
        <v>87324.169999999984</v>
      </c>
      <c r="M3741" s="58">
        <v>0</v>
      </c>
      <c r="N3741" s="58">
        <v>0</v>
      </c>
      <c r="O3741" s="58">
        <v>2017.0599999999995</v>
      </c>
      <c r="P3741" s="53">
        <v>87324.169999999984</v>
      </c>
      <c r="Q3741" s="65">
        <v>83184.12999999999</v>
      </c>
      <c r="R3741" s="65">
        <v>0</v>
      </c>
      <c r="S3741" s="65">
        <v>0</v>
      </c>
      <c r="T3741" s="65">
        <v>4140.0399999999936</v>
      </c>
      <c r="U3741" s="58">
        <v>0</v>
      </c>
      <c r="V3741" s="65">
        <v>0</v>
      </c>
      <c r="W3741" s="65">
        <v>0</v>
      </c>
      <c r="X3741" s="65">
        <v>83362</v>
      </c>
      <c r="Y3741" s="65">
        <v>0</v>
      </c>
      <c r="Z3741" s="51">
        <v>0</v>
      </c>
      <c r="AA3741" s="51">
        <v>-178</v>
      </c>
      <c r="AB3741" s="102" t="s">
        <v>66</v>
      </c>
      <c r="AC3741" s="81">
        <f t="shared" si="178"/>
        <v>0</v>
      </c>
      <c r="AD3741" s="82">
        <f t="shared" si="179"/>
        <v>0</v>
      </c>
      <c r="AE3741" s="218">
        <v>-4.9769589463759423E-2</v>
      </c>
      <c r="AF3741">
        <v>12</v>
      </c>
      <c r="AH3741" t="str">
        <f t="shared" si="177"/>
        <v>Chautham</v>
      </c>
      <c r="AJ3741" s="72">
        <v>0</v>
      </c>
      <c r="AK3741" s="72"/>
      <c r="AL3741" s="72"/>
      <c r="AM3741" s="72"/>
    </row>
    <row r="3742" spans="1:39" x14ac:dyDescent="0.25">
      <c r="A3742" s="37" t="s">
        <v>62</v>
      </c>
      <c r="B3742" s="66" t="s">
        <v>1676</v>
      </c>
      <c r="C3742" s="4">
        <v>1056</v>
      </c>
      <c r="D3742" s="41" t="s">
        <v>816</v>
      </c>
      <c r="E3742" s="41">
        <v>10560012</v>
      </c>
      <c r="F3742" s="85" t="s">
        <v>1243</v>
      </c>
      <c r="G3742" s="39" t="s">
        <v>92</v>
      </c>
      <c r="H3742" s="52" t="s">
        <v>93</v>
      </c>
      <c r="I3742" s="52">
        <v>1369.28</v>
      </c>
      <c r="J3742" s="49">
        <v>56916.359999999986</v>
      </c>
      <c r="K3742" s="58">
        <v>1373.2299999999998</v>
      </c>
      <c r="L3742" s="58">
        <v>58117.79</v>
      </c>
      <c r="M3742" s="58">
        <v>0</v>
      </c>
      <c r="N3742" s="58">
        <v>0</v>
      </c>
      <c r="O3742" s="58">
        <v>1373.2299999999998</v>
      </c>
      <c r="P3742" s="53">
        <v>58117.79</v>
      </c>
      <c r="Q3742" s="65">
        <v>56916.359999999986</v>
      </c>
      <c r="R3742" s="65">
        <v>0</v>
      </c>
      <c r="S3742" s="65">
        <v>0</v>
      </c>
      <c r="T3742" s="65">
        <v>1201.4300000000148</v>
      </c>
      <c r="U3742" s="58">
        <v>0</v>
      </c>
      <c r="V3742" s="65">
        <v>0</v>
      </c>
      <c r="W3742" s="65">
        <v>0</v>
      </c>
      <c r="X3742" s="65">
        <v>56916</v>
      </c>
      <c r="Y3742" s="65">
        <v>0</v>
      </c>
      <c r="Z3742" s="51">
        <v>0</v>
      </c>
      <c r="AA3742" s="51">
        <v>0</v>
      </c>
      <c r="AB3742" s="102">
        <v>0</v>
      </c>
      <c r="AC3742" s="81">
        <f t="shared" si="178"/>
        <v>0</v>
      </c>
      <c r="AD3742" s="82">
        <f t="shared" si="179"/>
        <v>0</v>
      </c>
      <c r="AE3742" s="218">
        <v>-2.1108693528539335E-2</v>
      </c>
      <c r="AF3742">
        <v>5</v>
      </c>
      <c r="AH3742" t="str">
        <f t="shared" si="177"/>
        <v>Chautham</v>
      </c>
      <c r="AJ3742" s="72">
        <v>0</v>
      </c>
      <c r="AK3742" s="72"/>
      <c r="AL3742" s="72"/>
      <c r="AM3742" s="72"/>
    </row>
    <row r="3743" spans="1:39" x14ac:dyDescent="0.25">
      <c r="A3743" s="37" t="s">
        <v>62</v>
      </c>
      <c r="B3743" s="66" t="s">
        <v>1676</v>
      </c>
      <c r="C3743" s="4">
        <v>1056</v>
      </c>
      <c r="D3743" s="41" t="s">
        <v>816</v>
      </c>
      <c r="E3743" s="41">
        <v>10560015</v>
      </c>
      <c r="F3743" s="85" t="s">
        <v>1204</v>
      </c>
      <c r="G3743" s="39" t="s">
        <v>1610</v>
      </c>
      <c r="H3743" s="52" t="s">
        <v>98</v>
      </c>
      <c r="I3743" s="52">
        <v>152.56</v>
      </c>
      <c r="J3743" s="49">
        <v>5870.4699999999993</v>
      </c>
      <c r="K3743" s="58">
        <v>0</v>
      </c>
      <c r="L3743" s="58">
        <v>0</v>
      </c>
      <c r="M3743" s="58">
        <v>0</v>
      </c>
      <c r="N3743" s="58">
        <v>0</v>
      </c>
      <c r="O3743" s="58">
        <v>0</v>
      </c>
      <c r="P3743" s="53">
        <v>0</v>
      </c>
      <c r="Q3743" s="65">
        <v>5870.4699999999993</v>
      </c>
      <c r="R3743" s="65">
        <v>0</v>
      </c>
      <c r="S3743" s="65">
        <v>0</v>
      </c>
      <c r="T3743" s="65">
        <v>0</v>
      </c>
      <c r="U3743" s="58">
        <v>0</v>
      </c>
      <c r="V3743" s="65">
        <v>0</v>
      </c>
      <c r="W3743" s="65">
        <v>0</v>
      </c>
      <c r="X3743" s="65">
        <v>0</v>
      </c>
      <c r="Y3743" s="65">
        <v>0</v>
      </c>
      <c r="Z3743" s="51">
        <v>5870.4699999999993</v>
      </c>
      <c r="AA3743" s="51">
        <v>0</v>
      </c>
      <c r="AB3743" s="102">
        <v>0</v>
      </c>
      <c r="AC3743" s="81">
        <f t="shared" si="178"/>
        <v>421.30703943366552</v>
      </c>
      <c r="AD3743" s="82">
        <f t="shared" si="179"/>
        <v>21.794285714285714</v>
      </c>
      <c r="AE3743" s="218">
        <v>0</v>
      </c>
      <c r="AF3743">
        <v>0</v>
      </c>
      <c r="AH3743" t="str">
        <f t="shared" si="177"/>
        <v>Chautham</v>
      </c>
      <c r="AJ3743" s="72">
        <v>0</v>
      </c>
      <c r="AK3743" s="72"/>
      <c r="AL3743" s="72"/>
      <c r="AM3743" s="72"/>
    </row>
    <row r="3744" spans="1:39" x14ac:dyDescent="0.25">
      <c r="A3744" s="37" t="s">
        <v>62</v>
      </c>
      <c r="B3744" s="66" t="s">
        <v>1676</v>
      </c>
      <c r="C3744" s="4">
        <v>1056</v>
      </c>
      <c r="D3744" s="41" t="s">
        <v>816</v>
      </c>
      <c r="E3744" s="41">
        <v>10560016</v>
      </c>
      <c r="F3744" s="85" t="s">
        <v>1378</v>
      </c>
      <c r="G3744" s="39" t="s">
        <v>92</v>
      </c>
      <c r="H3744" s="52" t="s">
        <v>93</v>
      </c>
      <c r="I3744" s="52">
        <v>954.78</v>
      </c>
      <c r="J3744" s="49">
        <v>34763.769999999997</v>
      </c>
      <c r="K3744" s="58">
        <v>1134.4599999999998</v>
      </c>
      <c r="L3744" s="58">
        <v>41326.1</v>
      </c>
      <c r="M3744" s="58">
        <v>0</v>
      </c>
      <c r="N3744" s="58">
        <v>0</v>
      </c>
      <c r="O3744" s="58">
        <v>1134.4599999999998</v>
      </c>
      <c r="P3744" s="53">
        <v>41326.1</v>
      </c>
      <c r="Q3744" s="65">
        <v>34763.769999999997</v>
      </c>
      <c r="R3744" s="65">
        <v>0</v>
      </c>
      <c r="S3744" s="65">
        <v>0</v>
      </c>
      <c r="T3744" s="65">
        <v>6562.3300000000017</v>
      </c>
      <c r="U3744" s="58">
        <v>0</v>
      </c>
      <c r="V3744" s="65">
        <v>0</v>
      </c>
      <c r="W3744" s="65">
        <v>0</v>
      </c>
      <c r="X3744" s="65">
        <v>34764</v>
      </c>
      <c r="Y3744" s="65">
        <v>0</v>
      </c>
      <c r="Z3744" s="51">
        <v>0</v>
      </c>
      <c r="AA3744" s="51">
        <v>0</v>
      </c>
      <c r="AB3744" s="102">
        <v>0</v>
      </c>
      <c r="AC3744" s="81">
        <f t="shared" si="178"/>
        <v>0</v>
      </c>
      <c r="AD3744" s="82">
        <f t="shared" si="179"/>
        <v>0</v>
      </c>
      <c r="AE3744" s="218">
        <v>-0.18876922727310652</v>
      </c>
      <c r="AF3744">
        <v>1</v>
      </c>
      <c r="AH3744" t="str">
        <f t="shared" si="177"/>
        <v>Chautham</v>
      </c>
      <c r="AJ3744" s="72">
        <v>0</v>
      </c>
      <c r="AK3744" s="72"/>
      <c r="AL3744" s="72"/>
      <c r="AM3744" s="72"/>
    </row>
    <row r="3745" spans="1:39" x14ac:dyDescent="0.25">
      <c r="A3745" s="37" t="s">
        <v>62</v>
      </c>
      <c r="B3745" s="66" t="s">
        <v>1676</v>
      </c>
      <c r="C3745" s="4">
        <v>1056</v>
      </c>
      <c r="D3745" s="41" t="s">
        <v>816</v>
      </c>
      <c r="E3745" s="41">
        <v>10560017</v>
      </c>
      <c r="F3745" s="85" t="s">
        <v>1208</v>
      </c>
      <c r="G3745" s="39" t="s">
        <v>92</v>
      </c>
      <c r="H3745" s="52" t="s">
        <v>93</v>
      </c>
      <c r="I3745" s="52">
        <v>718.86</v>
      </c>
      <c r="J3745" s="49">
        <v>29582.969999999998</v>
      </c>
      <c r="K3745" s="58">
        <v>718.05000000000007</v>
      </c>
      <c r="L3745" s="58">
        <v>28714.59</v>
      </c>
      <c r="M3745" s="58">
        <v>0</v>
      </c>
      <c r="N3745" s="58">
        <v>0</v>
      </c>
      <c r="O3745" s="58">
        <v>718.05000000000007</v>
      </c>
      <c r="P3745" s="53">
        <v>28714.59</v>
      </c>
      <c r="Q3745" s="65">
        <v>28714.59</v>
      </c>
      <c r="R3745" s="65">
        <v>0</v>
      </c>
      <c r="S3745" s="65">
        <v>0</v>
      </c>
      <c r="T3745" s="65">
        <v>0</v>
      </c>
      <c r="U3745" s="58">
        <v>0</v>
      </c>
      <c r="V3745" s="65">
        <v>0</v>
      </c>
      <c r="W3745" s="65">
        <v>0</v>
      </c>
      <c r="X3745" s="65">
        <v>28716</v>
      </c>
      <c r="Y3745" s="65">
        <v>0</v>
      </c>
      <c r="Z3745" s="51">
        <v>0</v>
      </c>
      <c r="AA3745" s="51">
        <v>867</v>
      </c>
      <c r="AB3745" s="102" t="s">
        <v>66</v>
      </c>
      <c r="AC3745" s="81">
        <f t="shared" si="178"/>
        <v>0</v>
      </c>
      <c r="AD3745" s="82">
        <f t="shared" si="179"/>
        <v>0</v>
      </c>
      <c r="AE3745" s="218">
        <v>2.9354050658199547E-2</v>
      </c>
      <c r="AF3745">
        <v>14</v>
      </c>
      <c r="AH3745" t="str">
        <f t="shared" si="177"/>
        <v>Chautham</v>
      </c>
      <c r="AJ3745" s="72">
        <v>0</v>
      </c>
      <c r="AK3745" s="72"/>
      <c r="AL3745" s="72"/>
      <c r="AM3745" s="72"/>
    </row>
    <row r="3746" spans="1:39" x14ac:dyDescent="0.25">
      <c r="A3746" s="37" t="s">
        <v>62</v>
      </c>
      <c r="B3746" s="66" t="s">
        <v>1676</v>
      </c>
      <c r="C3746" s="4">
        <v>1056</v>
      </c>
      <c r="D3746" s="41" t="s">
        <v>816</v>
      </c>
      <c r="E3746" s="41">
        <v>10560019</v>
      </c>
      <c r="F3746" s="85" t="s">
        <v>1209</v>
      </c>
      <c r="G3746" s="39" t="s">
        <v>1610</v>
      </c>
      <c r="H3746" s="52" t="s">
        <v>98</v>
      </c>
      <c r="I3746" s="52">
        <v>1152.3799999999999</v>
      </c>
      <c r="J3746" s="49">
        <v>43007.98</v>
      </c>
      <c r="K3746" s="58">
        <v>0</v>
      </c>
      <c r="L3746" s="58">
        <v>0</v>
      </c>
      <c r="M3746" s="58">
        <v>0</v>
      </c>
      <c r="N3746" s="58">
        <v>0</v>
      </c>
      <c r="O3746" s="58">
        <v>0</v>
      </c>
      <c r="P3746" s="53">
        <v>0</v>
      </c>
      <c r="Q3746" s="65">
        <v>43007.98</v>
      </c>
      <c r="R3746" s="65">
        <v>0</v>
      </c>
      <c r="S3746" s="65">
        <v>0</v>
      </c>
      <c r="T3746" s="65">
        <v>0</v>
      </c>
      <c r="U3746" s="58">
        <v>5400</v>
      </c>
      <c r="V3746" s="65">
        <v>0</v>
      </c>
      <c r="W3746" s="65">
        <v>0</v>
      </c>
      <c r="X3746" s="65">
        <v>0</v>
      </c>
      <c r="Y3746" s="65">
        <v>0</v>
      </c>
      <c r="Z3746" s="51">
        <v>37607.980000000003</v>
      </c>
      <c r="AA3746" s="51">
        <v>0</v>
      </c>
      <c r="AB3746" s="102">
        <v>0</v>
      </c>
      <c r="AC3746" s="81">
        <f t="shared" si="178"/>
        <v>0</v>
      </c>
      <c r="AD3746" s="82">
        <f t="shared" si="179"/>
        <v>0</v>
      </c>
      <c r="AE3746" s="218">
        <v>0</v>
      </c>
      <c r="AF3746">
        <v>0</v>
      </c>
      <c r="AH3746" t="str">
        <f t="shared" si="177"/>
        <v>Chautham</v>
      </c>
      <c r="AJ3746" s="72">
        <v>0</v>
      </c>
      <c r="AK3746" s="72"/>
      <c r="AL3746" s="72"/>
      <c r="AM3746" s="72"/>
    </row>
    <row r="3747" spans="1:39" x14ac:dyDescent="0.25">
      <c r="A3747" s="37" t="s">
        <v>62</v>
      </c>
      <c r="B3747" s="66" t="s">
        <v>1676</v>
      </c>
      <c r="C3747" s="4">
        <v>1056</v>
      </c>
      <c r="D3747" s="41" t="s">
        <v>816</v>
      </c>
      <c r="E3747" s="41">
        <v>10560022</v>
      </c>
      <c r="F3747" s="85" t="s">
        <v>1291</v>
      </c>
      <c r="G3747" s="39" t="s">
        <v>92</v>
      </c>
      <c r="H3747" s="52" t="s">
        <v>93</v>
      </c>
      <c r="I3747" s="52">
        <v>2196.48</v>
      </c>
      <c r="J3747" s="49">
        <v>95020.349999999977</v>
      </c>
      <c r="K3747" s="58">
        <v>2197.08</v>
      </c>
      <c r="L3747" s="58">
        <v>95045.62000000001</v>
      </c>
      <c r="M3747" s="58">
        <v>0</v>
      </c>
      <c r="N3747" s="58">
        <v>0</v>
      </c>
      <c r="O3747" s="58">
        <v>2197.08</v>
      </c>
      <c r="P3747" s="53">
        <v>95045.62000000001</v>
      </c>
      <c r="Q3747" s="65">
        <v>95020.349999999977</v>
      </c>
      <c r="R3747" s="65">
        <v>0</v>
      </c>
      <c r="S3747" s="65">
        <v>0</v>
      </c>
      <c r="T3747" s="65">
        <v>25.270000000033178</v>
      </c>
      <c r="U3747" s="58">
        <v>0</v>
      </c>
      <c r="V3747" s="65">
        <v>0</v>
      </c>
      <c r="W3747" s="65">
        <v>0</v>
      </c>
      <c r="X3747" s="65">
        <v>95020</v>
      </c>
      <c r="Y3747" s="65">
        <v>0</v>
      </c>
      <c r="Z3747" s="51">
        <v>0</v>
      </c>
      <c r="AA3747" s="51">
        <v>0</v>
      </c>
      <c r="AB3747" s="102">
        <v>0</v>
      </c>
      <c r="AC3747" s="81">
        <f t="shared" si="178"/>
        <v>0</v>
      </c>
      <c r="AD3747" s="82">
        <f t="shared" si="179"/>
        <v>0</v>
      </c>
      <c r="AE3747" s="218">
        <v>-2.6594303220345099E-4</v>
      </c>
      <c r="AF3747">
        <v>1</v>
      </c>
      <c r="AH3747" t="str">
        <f t="shared" si="177"/>
        <v>Chautham</v>
      </c>
      <c r="AJ3747" s="72">
        <v>0</v>
      </c>
      <c r="AK3747" s="72"/>
      <c r="AL3747" s="72"/>
      <c r="AM3747" s="72"/>
    </row>
    <row r="3748" spans="1:39" x14ac:dyDescent="0.25">
      <c r="A3748" s="37" t="s">
        <v>62</v>
      </c>
      <c r="B3748" s="66" t="s">
        <v>1676</v>
      </c>
      <c r="C3748" s="4">
        <v>1056</v>
      </c>
      <c r="D3748" s="41" t="s">
        <v>816</v>
      </c>
      <c r="E3748" s="41">
        <v>10560025</v>
      </c>
      <c r="F3748" s="85" t="s">
        <v>1275</v>
      </c>
      <c r="G3748" s="39" t="s">
        <v>1610</v>
      </c>
      <c r="H3748" s="52" t="s">
        <v>98</v>
      </c>
      <c r="I3748" s="52">
        <v>82.48</v>
      </c>
      <c r="J3748" s="49">
        <v>3628.2799999999997</v>
      </c>
      <c r="K3748" s="58">
        <v>0</v>
      </c>
      <c r="L3748" s="58">
        <v>0</v>
      </c>
      <c r="M3748" s="58">
        <v>0</v>
      </c>
      <c r="N3748" s="58">
        <v>0</v>
      </c>
      <c r="O3748" s="58">
        <v>0</v>
      </c>
      <c r="P3748" s="53">
        <v>0</v>
      </c>
      <c r="Q3748" s="65">
        <v>3628.2799999999997</v>
      </c>
      <c r="R3748" s="65">
        <v>0</v>
      </c>
      <c r="S3748" s="65">
        <v>0</v>
      </c>
      <c r="T3748" s="65">
        <v>0</v>
      </c>
      <c r="U3748" s="58">
        <v>1350</v>
      </c>
      <c r="V3748" s="65">
        <v>0</v>
      </c>
      <c r="W3748" s="65">
        <v>0</v>
      </c>
      <c r="X3748" s="65">
        <v>0</v>
      </c>
      <c r="Y3748" s="65">
        <v>0</v>
      </c>
      <c r="Z3748" s="51">
        <v>2278.2799999999997</v>
      </c>
      <c r="AA3748" s="51">
        <v>0</v>
      </c>
      <c r="AB3748" s="102">
        <v>0</v>
      </c>
      <c r="AC3748" s="81">
        <f t="shared" si="178"/>
        <v>543.29181998060119</v>
      </c>
      <c r="AD3748" s="82">
        <f t="shared" si="179"/>
        <v>11.782857142857143</v>
      </c>
      <c r="AE3748" s="218">
        <v>0</v>
      </c>
      <c r="AF3748">
        <v>0</v>
      </c>
      <c r="AH3748" t="str">
        <f t="shared" si="177"/>
        <v>Chautham</v>
      </c>
      <c r="AJ3748" s="72">
        <v>0</v>
      </c>
      <c r="AK3748" s="72"/>
      <c r="AL3748" s="72"/>
      <c r="AM3748" s="72"/>
    </row>
    <row r="3749" spans="1:39" x14ac:dyDescent="0.25">
      <c r="A3749" s="37" t="s">
        <v>62</v>
      </c>
      <c r="B3749" s="66" t="s">
        <v>1676</v>
      </c>
      <c r="C3749" s="4">
        <v>1056</v>
      </c>
      <c r="D3749" s="41" t="s">
        <v>816</v>
      </c>
      <c r="E3749" s="41">
        <v>10560026</v>
      </c>
      <c r="F3749" s="85" t="s">
        <v>1292</v>
      </c>
      <c r="G3749" s="39" t="s">
        <v>92</v>
      </c>
      <c r="H3749" s="52" t="s">
        <v>93</v>
      </c>
      <c r="I3749" s="52">
        <v>1016.68</v>
      </c>
      <c r="J3749" s="49">
        <v>40450.94</v>
      </c>
      <c r="K3749" s="58">
        <v>1016.78</v>
      </c>
      <c r="L3749" s="58">
        <v>40855.229999999996</v>
      </c>
      <c r="M3749" s="58">
        <v>0</v>
      </c>
      <c r="N3749" s="58">
        <v>0</v>
      </c>
      <c r="O3749" s="58">
        <v>1016.78</v>
      </c>
      <c r="P3749" s="53">
        <v>40855.229999999996</v>
      </c>
      <c r="Q3749" s="65">
        <v>40450.94</v>
      </c>
      <c r="R3749" s="65">
        <v>0</v>
      </c>
      <c r="S3749" s="65">
        <v>0</v>
      </c>
      <c r="T3749" s="65">
        <v>404.2899999999936</v>
      </c>
      <c r="U3749" s="58">
        <v>0</v>
      </c>
      <c r="V3749" s="65">
        <v>0</v>
      </c>
      <c r="W3749" s="65">
        <v>0</v>
      </c>
      <c r="X3749" s="65">
        <v>40451</v>
      </c>
      <c r="Y3749" s="65">
        <v>0</v>
      </c>
      <c r="Z3749" s="51">
        <v>0</v>
      </c>
      <c r="AA3749" s="51">
        <v>0</v>
      </c>
      <c r="AB3749" s="102">
        <v>0</v>
      </c>
      <c r="AC3749" s="81">
        <f t="shared" si="178"/>
        <v>0</v>
      </c>
      <c r="AD3749" s="82">
        <f t="shared" si="179"/>
        <v>0</v>
      </c>
      <c r="AE3749" s="218">
        <v>-9.9945761458199375E-3</v>
      </c>
      <c r="AF3749">
        <v>17</v>
      </c>
      <c r="AH3749" t="str">
        <f t="shared" si="177"/>
        <v>Chautham</v>
      </c>
      <c r="AJ3749" s="72">
        <v>0</v>
      </c>
      <c r="AK3749" s="72"/>
      <c r="AL3749" s="72"/>
      <c r="AM3749" s="72"/>
    </row>
    <row r="3750" spans="1:39" x14ac:dyDescent="0.25">
      <c r="A3750" s="37" t="s">
        <v>62</v>
      </c>
      <c r="B3750" s="66" t="s">
        <v>1676</v>
      </c>
      <c r="C3750" s="4">
        <v>1056</v>
      </c>
      <c r="D3750" s="41" t="s">
        <v>816</v>
      </c>
      <c r="E3750" s="41">
        <v>10560028</v>
      </c>
      <c r="F3750" s="85" t="s">
        <v>1390</v>
      </c>
      <c r="G3750" s="39" t="s">
        <v>1610</v>
      </c>
      <c r="H3750" s="52" t="s">
        <v>93</v>
      </c>
      <c r="I3750" s="52">
        <v>257.53999999999996</v>
      </c>
      <c r="J3750" s="49">
        <v>12399.029999999999</v>
      </c>
      <c r="K3750" s="58">
        <v>262.71999999999997</v>
      </c>
      <c r="L3750" s="58">
        <v>12638.189999999999</v>
      </c>
      <c r="M3750" s="58">
        <v>0</v>
      </c>
      <c r="N3750" s="58">
        <v>0</v>
      </c>
      <c r="O3750" s="58">
        <v>262.71999999999997</v>
      </c>
      <c r="P3750" s="53">
        <v>12638.189999999999</v>
      </c>
      <c r="Q3750" s="65">
        <v>12399.029999999999</v>
      </c>
      <c r="R3750" s="65">
        <v>0</v>
      </c>
      <c r="S3750" s="65">
        <v>0</v>
      </c>
      <c r="T3750" s="65">
        <v>239.15999999999985</v>
      </c>
      <c r="U3750" s="58">
        <v>12399</v>
      </c>
      <c r="V3750" s="65">
        <v>0</v>
      </c>
      <c r="W3750" s="65">
        <v>0</v>
      </c>
      <c r="X3750" s="65">
        <v>0</v>
      </c>
      <c r="Y3750" s="65">
        <v>0</v>
      </c>
      <c r="Z3750" s="51">
        <v>0</v>
      </c>
      <c r="AA3750" s="51">
        <v>0</v>
      </c>
      <c r="AB3750" s="102" t="s">
        <v>68</v>
      </c>
      <c r="AC3750" s="81">
        <f t="shared" si="178"/>
        <v>426.03671769822171</v>
      </c>
      <c r="AD3750" s="82">
        <f t="shared" si="179"/>
        <v>36.791428571428568</v>
      </c>
      <c r="AE3750" s="218">
        <v>-1.9288605640925126E-2</v>
      </c>
      <c r="AF3750">
        <v>1</v>
      </c>
      <c r="AH3750" t="str">
        <f t="shared" si="177"/>
        <v>Chautham</v>
      </c>
      <c r="AJ3750" s="72">
        <v>0</v>
      </c>
      <c r="AK3750" s="72"/>
      <c r="AL3750" s="72"/>
      <c r="AM3750" s="72"/>
    </row>
    <row r="3751" spans="1:39" x14ac:dyDescent="0.25">
      <c r="A3751" s="37" t="s">
        <v>62</v>
      </c>
      <c r="B3751" s="66" t="s">
        <v>1676</v>
      </c>
      <c r="C3751" s="4">
        <v>1056</v>
      </c>
      <c r="D3751" s="41" t="s">
        <v>816</v>
      </c>
      <c r="E3751" s="41">
        <v>10560031</v>
      </c>
      <c r="F3751" s="85" t="s">
        <v>1391</v>
      </c>
      <c r="G3751" s="39" t="s">
        <v>1610</v>
      </c>
      <c r="H3751" s="52" t="s">
        <v>93</v>
      </c>
      <c r="I3751" s="52">
        <v>511.05999999999995</v>
      </c>
      <c r="J3751" s="49">
        <v>20448.160000000003</v>
      </c>
      <c r="K3751" s="58">
        <v>508.06</v>
      </c>
      <c r="L3751" s="58">
        <v>20338.509999999995</v>
      </c>
      <c r="M3751" s="58">
        <v>0</v>
      </c>
      <c r="N3751" s="58">
        <v>0</v>
      </c>
      <c r="O3751" s="58">
        <v>508.06</v>
      </c>
      <c r="P3751" s="53">
        <v>20338.509999999995</v>
      </c>
      <c r="Q3751" s="65">
        <v>20338.509999999995</v>
      </c>
      <c r="R3751" s="65">
        <v>0</v>
      </c>
      <c r="S3751" s="65">
        <v>0</v>
      </c>
      <c r="T3751" s="65">
        <v>0</v>
      </c>
      <c r="U3751" s="58">
        <v>0</v>
      </c>
      <c r="V3751" s="65">
        <v>0</v>
      </c>
      <c r="W3751" s="65">
        <v>0</v>
      </c>
      <c r="X3751" s="65">
        <v>20339</v>
      </c>
      <c r="Y3751" s="65">
        <v>0</v>
      </c>
      <c r="Z3751" s="51">
        <v>0</v>
      </c>
      <c r="AA3751" s="51">
        <v>109</v>
      </c>
      <c r="AB3751" s="102">
        <v>0</v>
      </c>
      <c r="AC3751" s="81">
        <f t="shared" si="178"/>
        <v>151.19458969201281</v>
      </c>
      <c r="AD3751" s="82">
        <f t="shared" si="179"/>
        <v>73.008571428571415</v>
      </c>
      <c r="AE3751" s="218">
        <v>5.3623406702612226E-3</v>
      </c>
      <c r="AF3751">
        <v>1</v>
      </c>
      <c r="AH3751" t="str">
        <f t="shared" si="177"/>
        <v>Chautham</v>
      </c>
      <c r="AJ3751" s="72">
        <v>0</v>
      </c>
      <c r="AK3751" s="72"/>
      <c r="AL3751" s="72"/>
      <c r="AM3751" s="72"/>
    </row>
    <row r="3752" spans="1:39" x14ac:dyDescent="0.25">
      <c r="A3752" s="37" t="s">
        <v>62</v>
      </c>
      <c r="B3752" s="66" t="s">
        <v>1676</v>
      </c>
      <c r="C3752" s="4">
        <v>1056</v>
      </c>
      <c r="D3752" s="41" t="s">
        <v>816</v>
      </c>
      <c r="E3752" s="41">
        <v>10560033</v>
      </c>
      <c r="F3752" s="85" t="s">
        <v>1433</v>
      </c>
      <c r="G3752" s="39" t="s">
        <v>92</v>
      </c>
      <c r="H3752" s="52" t="s">
        <v>98</v>
      </c>
      <c r="I3752" s="52">
        <v>323.49999999999994</v>
      </c>
      <c r="J3752" s="49">
        <v>13199.640000000001</v>
      </c>
      <c r="K3752" s="58">
        <v>323.5</v>
      </c>
      <c r="L3752" s="58">
        <v>13130.87</v>
      </c>
      <c r="M3752" s="58">
        <v>0</v>
      </c>
      <c r="N3752" s="58">
        <v>0</v>
      </c>
      <c r="O3752" s="58">
        <v>323.5</v>
      </c>
      <c r="P3752" s="53">
        <v>13130.87</v>
      </c>
      <c r="Q3752" s="65">
        <v>13199.640000000001</v>
      </c>
      <c r="R3752" s="65">
        <v>0</v>
      </c>
      <c r="S3752" s="65">
        <v>0</v>
      </c>
      <c r="T3752" s="65">
        <v>0</v>
      </c>
      <c r="U3752" s="58">
        <v>0</v>
      </c>
      <c r="V3752" s="65">
        <v>0</v>
      </c>
      <c r="W3752" s="65">
        <v>0</v>
      </c>
      <c r="X3752" s="65">
        <v>0</v>
      </c>
      <c r="Y3752" s="65">
        <v>0</v>
      </c>
      <c r="Z3752" s="51">
        <v>13199.640000000001</v>
      </c>
      <c r="AA3752" s="51">
        <v>0</v>
      </c>
      <c r="AB3752" s="102">
        <v>0</v>
      </c>
      <c r="AC3752" s="81">
        <f t="shared" si="178"/>
        <v>307.24355239567251</v>
      </c>
      <c r="AD3752" s="82">
        <f t="shared" si="179"/>
        <v>46.214285714285708</v>
      </c>
      <c r="AE3752" s="218">
        <v>0</v>
      </c>
      <c r="AF3752">
        <v>1</v>
      </c>
      <c r="AH3752" t="str">
        <f t="shared" si="177"/>
        <v>Chautham</v>
      </c>
      <c r="AJ3752" s="72">
        <v>0</v>
      </c>
      <c r="AK3752" s="72"/>
      <c r="AL3752" s="72"/>
      <c r="AM3752" s="72"/>
    </row>
    <row r="3753" spans="1:39" x14ac:dyDescent="0.25">
      <c r="A3753" s="37" t="s">
        <v>62</v>
      </c>
      <c r="B3753" s="66" t="s">
        <v>1676</v>
      </c>
      <c r="C3753" s="4">
        <v>1056</v>
      </c>
      <c r="D3753" s="41" t="s">
        <v>816</v>
      </c>
      <c r="E3753" s="41">
        <v>10560034</v>
      </c>
      <c r="F3753" s="85" t="s">
        <v>1341</v>
      </c>
      <c r="G3753" s="39" t="s">
        <v>1610</v>
      </c>
      <c r="H3753" s="52" t="s">
        <v>98</v>
      </c>
      <c r="I3753" s="52">
        <v>20.58</v>
      </c>
      <c r="J3753" s="49">
        <v>733.01</v>
      </c>
      <c r="K3753" s="58">
        <v>0</v>
      </c>
      <c r="L3753" s="58">
        <v>0</v>
      </c>
      <c r="M3753" s="58">
        <v>0</v>
      </c>
      <c r="N3753" s="58">
        <v>0</v>
      </c>
      <c r="O3753" s="58">
        <v>0</v>
      </c>
      <c r="P3753" s="53">
        <v>0</v>
      </c>
      <c r="Q3753" s="65">
        <v>733.01</v>
      </c>
      <c r="R3753" s="65">
        <v>0</v>
      </c>
      <c r="S3753" s="65">
        <v>0</v>
      </c>
      <c r="T3753" s="65">
        <v>0</v>
      </c>
      <c r="U3753" s="58">
        <v>733</v>
      </c>
      <c r="V3753" s="65">
        <v>0</v>
      </c>
      <c r="W3753" s="65">
        <v>0</v>
      </c>
      <c r="X3753" s="65">
        <v>0</v>
      </c>
      <c r="Y3753" s="65">
        <v>0</v>
      </c>
      <c r="Z3753" s="51">
        <v>9.9999999999909051E-3</v>
      </c>
      <c r="AA3753" s="51">
        <v>0</v>
      </c>
      <c r="AB3753" s="102">
        <v>0</v>
      </c>
      <c r="AC3753" s="81">
        <f t="shared" si="178"/>
        <v>483.98605850340152</v>
      </c>
      <c r="AD3753" s="82">
        <f t="shared" si="179"/>
        <v>2.94</v>
      </c>
      <c r="AE3753" s="218">
        <v>0</v>
      </c>
      <c r="AF3753">
        <v>0</v>
      </c>
      <c r="AH3753" t="str">
        <f t="shared" si="177"/>
        <v>Chautham</v>
      </c>
      <c r="AJ3753" s="72">
        <v>0</v>
      </c>
      <c r="AK3753" s="72"/>
      <c r="AL3753" s="72"/>
      <c r="AM3753" s="72"/>
    </row>
    <row r="3754" spans="1:39" x14ac:dyDescent="0.25">
      <c r="A3754" s="37" t="s">
        <v>62</v>
      </c>
      <c r="B3754" s="66" t="s">
        <v>1676</v>
      </c>
      <c r="C3754" s="4">
        <v>1056</v>
      </c>
      <c r="D3754" s="41" t="s">
        <v>816</v>
      </c>
      <c r="E3754" s="41">
        <v>10560035</v>
      </c>
      <c r="F3754" s="85" t="s">
        <v>1457</v>
      </c>
      <c r="G3754" s="39" t="s">
        <v>92</v>
      </c>
      <c r="H3754" s="52" t="s">
        <v>93</v>
      </c>
      <c r="I3754" s="52">
        <v>485.90000000000003</v>
      </c>
      <c r="J3754" s="49">
        <v>18568.509999999998</v>
      </c>
      <c r="K3754" s="58">
        <v>493.82000000000005</v>
      </c>
      <c r="L3754" s="58">
        <v>17886.150000000001</v>
      </c>
      <c r="M3754" s="58">
        <v>0</v>
      </c>
      <c r="N3754" s="58">
        <v>0</v>
      </c>
      <c r="O3754" s="58">
        <v>493.82000000000005</v>
      </c>
      <c r="P3754" s="53">
        <v>17886.150000000001</v>
      </c>
      <c r="Q3754" s="65">
        <v>17886.150000000001</v>
      </c>
      <c r="R3754" s="65">
        <v>0</v>
      </c>
      <c r="S3754" s="65">
        <v>0</v>
      </c>
      <c r="T3754" s="65">
        <v>0</v>
      </c>
      <c r="U3754" s="58">
        <v>0</v>
      </c>
      <c r="V3754" s="65">
        <v>0</v>
      </c>
      <c r="W3754" s="65">
        <v>0</v>
      </c>
      <c r="X3754" s="65">
        <v>17886</v>
      </c>
      <c r="Y3754" s="65">
        <v>0</v>
      </c>
      <c r="Z3754" s="51">
        <v>0</v>
      </c>
      <c r="AA3754" s="51">
        <v>683</v>
      </c>
      <c r="AB3754" s="102">
        <v>0</v>
      </c>
      <c r="AC3754" s="81">
        <f t="shared" si="178"/>
        <v>163.63523321671116</v>
      </c>
      <c r="AD3754" s="82">
        <f t="shared" si="179"/>
        <v>69.414285714285725</v>
      </c>
      <c r="AE3754" s="218">
        <v>3.6748236665192682E-2</v>
      </c>
      <c r="AF3754">
        <v>2</v>
      </c>
      <c r="AH3754" t="str">
        <f t="shared" si="177"/>
        <v>Chautham</v>
      </c>
      <c r="AJ3754" s="72">
        <v>0</v>
      </c>
      <c r="AK3754" s="72"/>
      <c r="AL3754" s="72"/>
      <c r="AM3754" s="72"/>
    </row>
    <row r="3755" spans="1:39" x14ac:dyDescent="0.25">
      <c r="A3755" s="37" t="s">
        <v>62</v>
      </c>
      <c r="B3755" s="66" t="s">
        <v>1676</v>
      </c>
      <c r="C3755" s="4">
        <v>1056</v>
      </c>
      <c r="D3755" s="41" t="s">
        <v>816</v>
      </c>
      <c r="E3755" s="41">
        <v>10560036</v>
      </c>
      <c r="F3755" s="85" t="s">
        <v>1434</v>
      </c>
      <c r="G3755" s="39" t="s">
        <v>92</v>
      </c>
      <c r="H3755" s="52" t="s">
        <v>93</v>
      </c>
      <c r="I3755" s="52">
        <v>525.57999999999993</v>
      </c>
      <c r="J3755" s="49">
        <v>24289.23</v>
      </c>
      <c r="K3755" s="58">
        <v>568.88</v>
      </c>
      <c r="L3755" s="58">
        <v>25647.549999999996</v>
      </c>
      <c r="M3755" s="58">
        <v>0</v>
      </c>
      <c r="N3755" s="58">
        <v>0</v>
      </c>
      <c r="O3755" s="58">
        <v>568.88</v>
      </c>
      <c r="P3755" s="53">
        <v>25647.549999999996</v>
      </c>
      <c r="Q3755" s="65">
        <v>24289.23</v>
      </c>
      <c r="R3755" s="65">
        <v>0</v>
      </c>
      <c r="S3755" s="65">
        <v>0</v>
      </c>
      <c r="T3755" s="65">
        <v>1358.3199999999961</v>
      </c>
      <c r="U3755" s="58">
        <v>0</v>
      </c>
      <c r="V3755" s="65">
        <v>0</v>
      </c>
      <c r="W3755" s="65">
        <v>0</v>
      </c>
      <c r="X3755" s="65">
        <v>24289</v>
      </c>
      <c r="Y3755" s="65">
        <v>0</v>
      </c>
      <c r="Z3755" s="51">
        <v>0</v>
      </c>
      <c r="AA3755" s="51">
        <v>0</v>
      </c>
      <c r="AB3755" s="102">
        <v>0</v>
      </c>
      <c r="AC3755" s="81">
        <f t="shared" si="178"/>
        <v>161.21342123368478</v>
      </c>
      <c r="AD3755" s="82">
        <f t="shared" si="179"/>
        <v>75.082857142857137</v>
      </c>
      <c r="AE3755" s="218">
        <v>-5.592272789215616E-2</v>
      </c>
      <c r="AF3755">
        <v>1</v>
      </c>
      <c r="AH3755" t="str">
        <f t="shared" si="177"/>
        <v>Chautham</v>
      </c>
      <c r="AJ3755" s="72">
        <v>0</v>
      </c>
      <c r="AK3755" s="72"/>
      <c r="AL3755" s="72"/>
      <c r="AM3755" s="72"/>
    </row>
    <row r="3756" spans="1:39" x14ac:dyDescent="0.25">
      <c r="A3756" s="37" t="s">
        <v>62</v>
      </c>
      <c r="B3756" s="66" t="s">
        <v>1676</v>
      </c>
      <c r="C3756" s="4">
        <v>1056</v>
      </c>
      <c r="D3756" s="41" t="s">
        <v>816</v>
      </c>
      <c r="E3756" s="41">
        <v>10560037</v>
      </c>
      <c r="F3756" s="85" t="s">
        <v>1435</v>
      </c>
      <c r="G3756" s="39" t="s">
        <v>92</v>
      </c>
      <c r="H3756" s="52" t="s">
        <v>93</v>
      </c>
      <c r="I3756" s="52">
        <v>149.30000000000001</v>
      </c>
      <c r="J3756" s="49">
        <v>5910.79</v>
      </c>
      <c r="K3756" s="58">
        <v>92.170000000000016</v>
      </c>
      <c r="L3756" s="58">
        <v>3596.3199999999997</v>
      </c>
      <c r="M3756" s="58">
        <v>57.78</v>
      </c>
      <c r="N3756" s="58">
        <v>2219.92</v>
      </c>
      <c r="O3756" s="58">
        <v>149.95000000000002</v>
      </c>
      <c r="P3756" s="53">
        <v>5816.24</v>
      </c>
      <c r="Q3756" s="65">
        <v>5816.24</v>
      </c>
      <c r="R3756" s="65">
        <v>0</v>
      </c>
      <c r="S3756" s="65">
        <v>0</v>
      </c>
      <c r="T3756" s="65">
        <v>0</v>
      </c>
      <c r="U3756" s="58">
        <v>0</v>
      </c>
      <c r="V3756" s="65">
        <v>0</v>
      </c>
      <c r="W3756" s="65">
        <v>0</v>
      </c>
      <c r="X3756" s="65">
        <v>3596</v>
      </c>
      <c r="Y3756" s="65">
        <v>2219</v>
      </c>
      <c r="Z3756" s="51">
        <v>0</v>
      </c>
      <c r="AA3756" s="51">
        <v>96</v>
      </c>
      <c r="AB3756" s="102">
        <v>0</v>
      </c>
      <c r="AC3756" s="81">
        <f t="shared" si="178"/>
        <v>436.04448131279298</v>
      </c>
      <c r="AD3756" s="82">
        <f t="shared" si="179"/>
        <v>21.328571428571429</v>
      </c>
      <c r="AE3756" s="218">
        <v>1.5996169716738402E-2</v>
      </c>
      <c r="AF3756">
        <v>5</v>
      </c>
      <c r="AH3756" t="str">
        <f t="shared" si="177"/>
        <v>Chautham</v>
      </c>
      <c r="AJ3756" s="72">
        <v>0</v>
      </c>
      <c r="AK3756" s="72"/>
      <c r="AL3756" s="72"/>
      <c r="AM3756" s="72"/>
    </row>
    <row r="3757" spans="1:39" x14ac:dyDescent="0.25">
      <c r="A3757" s="37" t="s">
        <v>62</v>
      </c>
      <c r="B3757" s="66" t="s">
        <v>1676</v>
      </c>
      <c r="C3757" s="4">
        <v>1056</v>
      </c>
      <c r="D3757" s="41" t="s">
        <v>816</v>
      </c>
      <c r="E3757" s="41">
        <v>10560039</v>
      </c>
      <c r="F3757" s="85" t="s">
        <v>1552</v>
      </c>
      <c r="G3757" s="39" t="s">
        <v>1610</v>
      </c>
      <c r="H3757" s="52" t="s">
        <v>98</v>
      </c>
      <c r="I3757" s="52">
        <v>23.08</v>
      </c>
      <c r="J3757" s="49">
        <v>818.42</v>
      </c>
      <c r="K3757" s="58">
        <v>0</v>
      </c>
      <c r="L3757" s="58">
        <v>0</v>
      </c>
      <c r="M3757" s="58">
        <v>0</v>
      </c>
      <c r="N3757" s="58">
        <v>0</v>
      </c>
      <c r="O3757" s="58">
        <v>0</v>
      </c>
      <c r="P3757" s="53">
        <v>0</v>
      </c>
      <c r="Q3757" s="65">
        <v>818.42</v>
      </c>
      <c r="R3757" s="65">
        <v>0</v>
      </c>
      <c r="S3757" s="65">
        <v>0</v>
      </c>
      <c r="T3757" s="65">
        <v>0</v>
      </c>
      <c r="U3757" s="58">
        <v>0</v>
      </c>
      <c r="V3757" s="65">
        <v>0</v>
      </c>
      <c r="W3757" s="65">
        <v>0</v>
      </c>
      <c r="X3757" s="65">
        <v>0</v>
      </c>
      <c r="Y3757" s="65">
        <v>0</v>
      </c>
      <c r="Z3757" s="51">
        <v>818.42</v>
      </c>
      <c r="AA3757" s="51">
        <v>0</v>
      </c>
      <c r="AB3757" s="102">
        <v>0</v>
      </c>
      <c r="AC3757" s="81">
        <f t="shared" si="178"/>
        <v>480.07354107452329</v>
      </c>
      <c r="AD3757" s="82">
        <f t="shared" si="179"/>
        <v>3.2971428571428567</v>
      </c>
      <c r="AE3757" s="218">
        <v>0</v>
      </c>
      <c r="AF3757">
        <v>0</v>
      </c>
      <c r="AH3757" t="str">
        <f t="shared" si="177"/>
        <v>Chautham</v>
      </c>
      <c r="AJ3757" s="72">
        <v>0</v>
      </c>
      <c r="AK3757" s="72"/>
      <c r="AL3757" s="72"/>
      <c r="AM3757" s="72"/>
    </row>
    <row r="3758" spans="1:39" x14ac:dyDescent="0.25">
      <c r="A3758" s="37" t="s">
        <v>62</v>
      </c>
      <c r="B3758" s="66" t="s">
        <v>1676</v>
      </c>
      <c r="C3758" s="4">
        <v>1056</v>
      </c>
      <c r="D3758" s="41" t="s">
        <v>816</v>
      </c>
      <c r="E3758" s="41">
        <v>10560040</v>
      </c>
      <c r="F3758" s="85" t="s">
        <v>1553</v>
      </c>
      <c r="G3758" s="39" t="s">
        <v>1610</v>
      </c>
      <c r="H3758" s="52" t="s">
        <v>98</v>
      </c>
      <c r="I3758" s="52">
        <v>129.52000000000001</v>
      </c>
      <c r="J3758" s="49">
        <v>5118.32</v>
      </c>
      <c r="K3758" s="58">
        <v>0</v>
      </c>
      <c r="L3758" s="58">
        <v>0</v>
      </c>
      <c r="M3758" s="58">
        <v>0</v>
      </c>
      <c r="N3758" s="58">
        <v>0</v>
      </c>
      <c r="O3758" s="58">
        <v>0</v>
      </c>
      <c r="P3758" s="53">
        <v>0</v>
      </c>
      <c r="Q3758" s="65">
        <v>5118.32</v>
      </c>
      <c r="R3758" s="65">
        <v>0</v>
      </c>
      <c r="S3758" s="65">
        <v>0</v>
      </c>
      <c r="T3758" s="65">
        <v>0</v>
      </c>
      <c r="U3758" s="58">
        <v>0</v>
      </c>
      <c r="V3758" s="65">
        <v>0</v>
      </c>
      <c r="W3758" s="65">
        <v>0</v>
      </c>
      <c r="X3758" s="65">
        <v>0</v>
      </c>
      <c r="Y3758" s="65">
        <v>0</v>
      </c>
      <c r="Z3758" s="51">
        <v>5118.32</v>
      </c>
      <c r="AA3758" s="51">
        <v>0</v>
      </c>
      <c r="AB3758" s="102">
        <v>0</v>
      </c>
      <c r="AC3758" s="81">
        <f t="shared" si="178"/>
        <v>450.8800484249536</v>
      </c>
      <c r="AD3758" s="82">
        <f t="shared" si="179"/>
        <v>18.502857142857145</v>
      </c>
      <c r="AE3758" s="218">
        <v>0</v>
      </c>
      <c r="AF3758">
        <v>0</v>
      </c>
      <c r="AH3758" t="str">
        <f t="shared" si="177"/>
        <v>Chautham</v>
      </c>
      <c r="AJ3758" s="72">
        <v>0</v>
      </c>
      <c r="AK3758" s="72"/>
      <c r="AL3758" s="72"/>
      <c r="AM3758" s="72"/>
    </row>
    <row r="3759" spans="1:39" x14ac:dyDescent="0.25">
      <c r="A3759" s="37" t="s">
        <v>62</v>
      </c>
      <c r="B3759" s="66" t="s">
        <v>1676</v>
      </c>
      <c r="C3759" s="4">
        <v>1056</v>
      </c>
      <c r="D3759" s="41" t="s">
        <v>816</v>
      </c>
      <c r="E3759" s="41">
        <v>10560041</v>
      </c>
      <c r="F3759" s="85" t="s">
        <v>1541</v>
      </c>
      <c r="G3759" s="39" t="s">
        <v>1610</v>
      </c>
      <c r="H3759" s="52" t="s">
        <v>98</v>
      </c>
      <c r="I3759" s="52">
        <v>324.14</v>
      </c>
      <c r="J3759" s="49">
        <v>11941.32</v>
      </c>
      <c r="K3759" s="58">
        <v>0</v>
      </c>
      <c r="L3759" s="58">
        <v>0</v>
      </c>
      <c r="M3759" s="58">
        <v>0</v>
      </c>
      <c r="N3759" s="58">
        <v>0</v>
      </c>
      <c r="O3759" s="58">
        <v>0</v>
      </c>
      <c r="P3759" s="53">
        <v>0</v>
      </c>
      <c r="Q3759" s="65">
        <v>11941.32</v>
      </c>
      <c r="R3759" s="65">
        <v>0</v>
      </c>
      <c r="S3759" s="65">
        <v>0</v>
      </c>
      <c r="T3759" s="65">
        <v>0</v>
      </c>
      <c r="U3759" s="58">
        <v>0</v>
      </c>
      <c r="V3759" s="65">
        <v>0</v>
      </c>
      <c r="W3759" s="65">
        <v>0</v>
      </c>
      <c r="X3759" s="65">
        <v>0</v>
      </c>
      <c r="Y3759" s="65">
        <v>0</v>
      </c>
      <c r="Z3759" s="51">
        <v>11941.32</v>
      </c>
      <c r="AA3759" s="51">
        <v>0</v>
      </c>
      <c r="AB3759" s="102">
        <v>0</v>
      </c>
      <c r="AC3759" s="81">
        <f t="shared" si="178"/>
        <v>276.9337036589128</v>
      </c>
      <c r="AD3759" s="82">
        <f t="shared" si="179"/>
        <v>46.305714285714281</v>
      </c>
      <c r="AE3759" s="218">
        <v>0</v>
      </c>
      <c r="AF3759">
        <v>0</v>
      </c>
      <c r="AH3759" t="str">
        <f t="shared" si="177"/>
        <v>Chautham</v>
      </c>
      <c r="AJ3759" s="72">
        <v>0</v>
      </c>
      <c r="AK3759" s="72"/>
      <c r="AL3759" s="72"/>
      <c r="AM3759" s="72"/>
    </row>
    <row r="3760" spans="1:39" x14ac:dyDescent="0.25">
      <c r="A3760" s="37" t="s">
        <v>62</v>
      </c>
      <c r="B3760" s="66" t="s">
        <v>1676</v>
      </c>
      <c r="C3760" s="4">
        <v>1056</v>
      </c>
      <c r="D3760" s="41" t="s">
        <v>816</v>
      </c>
      <c r="E3760" s="41">
        <v>10560042</v>
      </c>
      <c r="F3760" s="85" t="s">
        <v>1665</v>
      </c>
      <c r="G3760" s="39" t="s">
        <v>1610</v>
      </c>
      <c r="H3760" s="52" t="s">
        <v>93</v>
      </c>
      <c r="I3760" s="52">
        <v>97.5</v>
      </c>
      <c r="J3760" s="49">
        <v>4168.74</v>
      </c>
      <c r="K3760" s="58">
        <v>96.170000000000016</v>
      </c>
      <c r="L3760" s="58">
        <v>4477.45</v>
      </c>
      <c r="M3760" s="58">
        <v>0</v>
      </c>
      <c r="N3760" s="58">
        <v>0</v>
      </c>
      <c r="O3760" s="58">
        <v>96.170000000000016</v>
      </c>
      <c r="P3760" s="53">
        <v>4477.45</v>
      </c>
      <c r="Q3760" s="65">
        <v>4168.74</v>
      </c>
      <c r="R3760" s="65">
        <v>0</v>
      </c>
      <c r="S3760" s="65">
        <v>0</v>
      </c>
      <c r="T3760" s="65">
        <v>308.71000000000004</v>
      </c>
      <c r="U3760" s="58">
        <v>0</v>
      </c>
      <c r="V3760" s="65">
        <v>0</v>
      </c>
      <c r="W3760" s="65">
        <v>0</v>
      </c>
      <c r="X3760" s="65">
        <v>4477</v>
      </c>
      <c r="Y3760" s="65">
        <v>0</v>
      </c>
      <c r="Z3760" s="51">
        <v>0</v>
      </c>
      <c r="AA3760" s="51">
        <v>-308</v>
      </c>
      <c r="AB3760" s="102" t="s">
        <v>66</v>
      </c>
      <c r="AC3760" s="81">
        <f t="shared" si="178"/>
        <v>515.21350769230764</v>
      </c>
      <c r="AD3760" s="82">
        <f t="shared" si="179"/>
        <v>13.928571428571429</v>
      </c>
      <c r="AE3760" s="218">
        <v>-7.4053550953045777E-2</v>
      </c>
      <c r="AF3760">
        <v>3</v>
      </c>
      <c r="AH3760" t="str">
        <f t="shared" si="177"/>
        <v>Chautham</v>
      </c>
      <c r="AJ3760" s="72">
        <v>0</v>
      </c>
      <c r="AK3760" s="72"/>
      <c r="AL3760" s="72"/>
      <c r="AM3760" s="72"/>
    </row>
    <row r="3761" spans="1:39" x14ac:dyDescent="0.25">
      <c r="A3761" s="37" t="s">
        <v>62</v>
      </c>
      <c r="B3761" s="66" t="s">
        <v>1676</v>
      </c>
      <c r="C3761" s="4">
        <v>1056</v>
      </c>
      <c r="D3761" s="41" t="s">
        <v>816</v>
      </c>
      <c r="E3761" s="41">
        <v>10560043</v>
      </c>
      <c r="F3761" s="85" t="s">
        <v>1666</v>
      </c>
      <c r="G3761" s="39" t="s">
        <v>1610</v>
      </c>
      <c r="H3761" s="52" t="s">
        <v>98</v>
      </c>
      <c r="I3761" s="52">
        <v>523.29999999999995</v>
      </c>
      <c r="J3761" s="49">
        <v>22311.02</v>
      </c>
      <c r="K3761" s="58">
        <v>0</v>
      </c>
      <c r="L3761" s="58">
        <v>0</v>
      </c>
      <c r="M3761" s="58">
        <v>0</v>
      </c>
      <c r="N3761" s="58">
        <v>0</v>
      </c>
      <c r="O3761" s="58">
        <v>0</v>
      </c>
      <c r="P3761" s="53">
        <v>0</v>
      </c>
      <c r="Q3761" s="65">
        <v>22311.02</v>
      </c>
      <c r="R3761" s="65">
        <v>0</v>
      </c>
      <c r="S3761" s="65">
        <v>0</v>
      </c>
      <c r="T3761" s="65">
        <v>0</v>
      </c>
      <c r="U3761" s="58">
        <v>0</v>
      </c>
      <c r="V3761" s="65">
        <v>0</v>
      </c>
      <c r="W3761" s="65">
        <v>0</v>
      </c>
      <c r="X3761" s="65">
        <v>0</v>
      </c>
      <c r="Y3761" s="65">
        <v>0</v>
      </c>
      <c r="Z3761" s="51">
        <v>22311.02</v>
      </c>
      <c r="AA3761" s="51">
        <v>0</v>
      </c>
      <c r="AB3761" s="102">
        <v>0</v>
      </c>
      <c r="AC3761" s="81">
        <f t="shared" si="178"/>
        <v>150.67293078540041</v>
      </c>
      <c r="AD3761" s="82">
        <f t="shared" si="179"/>
        <v>74.757142857142853</v>
      </c>
      <c r="AE3761" s="218">
        <v>0</v>
      </c>
      <c r="AF3761">
        <v>0</v>
      </c>
      <c r="AH3761" t="str">
        <f t="shared" si="177"/>
        <v>Chautham</v>
      </c>
      <c r="AJ3761" s="72">
        <v>0</v>
      </c>
      <c r="AK3761" s="72"/>
      <c r="AL3761" s="72"/>
      <c r="AM3761" s="72"/>
    </row>
    <row r="3762" spans="1:39" x14ac:dyDescent="0.25">
      <c r="A3762" s="37" t="s">
        <v>62</v>
      </c>
      <c r="B3762" s="66" t="s">
        <v>1676</v>
      </c>
      <c r="C3762" s="4">
        <v>1056</v>
      </c>
      <c r="D3762" s="41" t="s">
        <v>816</v>
      </c>
      <c r="E3762" s="41">
        <v>10560044</v>
      </c>
      <c r="F3762" s="85" t="s">
        <v>1667</v>
      </c>
      <c r="G3762" s="39" t="s">
        <v>1610</v>
      </c>
      <c r="H3762" s="52" t="s">
        <v>98</v>
      </c>
      <c r="I3762" s="52">
        <v>39.340000000000003</v>
      </c>
      <c r="J3762" s="49">
        <v>1427.65</v>
      </c>
      <c r="K3762" s="58">
        <v>0</v>
      </c>
      <c r="L3762" s="58">
        <v>0</v>
      </c>
      <c r="M3762" s="58">
        <v>0</v>
      </c>
      <c r="N3762" s="58">
        <v>0</v>
      </c>
      <c r="O3762" s="58">
        <v>0</v>
      </c>
      <c r="P3762" s="53">
        <v>0</v>
      </c>
      <c r="Q3762" s="65">
        <v>1427.65</v>
      </c>
      <c r="R3762" s="65">
        <v>0</v>
      </c>
      <c r="S3762" s="65">
        <v>0</v>
      </c>
      <c r="T3762" s="65">
        <v>0</v>
      </c>
      <c r="U3762" s="58">
        <v>0</v>
      </c>
      <c r="V3762" s="65">
        <v>0</v>
      </c>
      <c r="W3762" s="65">
        <v>0</v>
      </c>
      <c r="X3762" s="65">
        <v>0</v>
      </c>
      <c r="Y3762" s="65">
        <v>0</v>
      </c>
      <c r="Z3762" s="51">
        <v>1427.65</v>
      </c>
      <c r="AA3762" s="51">
        <v>0</v>
      </c>
      <c r="AB3762" s="102">
        <v>0</v>
      </c>
      <c r="AC3762" s="81">
        <f t="shared" si="178"/>
        <v>479.50749822064057</v>
      </c>
      <c r="AD3762" s="82">
        <f t="shared" si="179"/>
        <v>5.62</v>
      </c>
      <c r="AE3762" s="218">
        <v>0</v>
      </c>
      <c r="AF3762">
        <v>0</v>
      </c>
      <c r="AH3762" t="str">
        <f t="shared" si="177"/>
        <v>Chautham</v>
      </c>
      <c r="AJ3762" s="72">
        <v>0</v>
      </c>
      <c r="AK3762" s="72"/>
      <c r="AL3762" s="72"/>
      <c r="AM3762" s="72"/>
    </row>
    <row r="3763" spans="1:39" x14ac:dyDescent="0.25">
      <c r="A3763" s="37" t="s">
        <v>62</v>
      </c>
      <c r="B3763" s="66" t="s">
        <v>1676</v>
      </c>
      <c r="C3763" s="4">
        <v>1063</v>
      </c>
      <c r="D3763" s="41" t="s">
        <v>1565</v>
      </c>
      <c r="E3763" s="41">
        <v>10570001</v>
      </c>
      <c r="F3763" s="85" t="s">
        <v>1175</v>
      </c>
      <c r="G3763" s="39" t="s">
        <v>92</v>
      </c>
      <c r="H3763" s="52" t="s">
        <v>93</v>
      </c>
      <c r="I3763" s="52">
        <v>67.199999999999989</v>
      </c>
      <c r="J3763" s="49">
        <v>2765.7400000000002</v>
      </c>
      <c r="K3763" s="58">
        <v>65.199999999999989</v>
      </c>
      <c r="L3763" s="58">
        <v>2673.5800000000004</v>
      </c>
      <c r="M3763" s="58">
        <v>2</v>
      </c>
      <c r="N3763" s="58">
        <v>89.8</v>
      </c>
      <c r="O3763" s="58">
        <v>67.199999999999989</v>
      </c>
      <c r="P3763" s="53">
        <v>2763.3800000000006</v>
      </c>
      <c r="Q3763" s="65">
        <v>2763.3800000000006</v>
      </c>
      <c r="R3763" s="65">
        <v>0</v>
      </c>
      <c r="S3763" s="65">
        <v>8.98</v>
      </c>
      <c r="T3763" s="65">
        <v>0</v>
      </c>
      <c r="U3763" s="58">
        <v>0</v>
      </c>
      <c r="V3763" s="65">
        <v>500</v>
      </c>
      <c r="W3763" s="65">
        <v>0</v>
      </c>
      <c r="X3763" s="65">
        <v>2174</v>
      </c>
      <c r="Y3763" s="65">
        <v>79</v>
      </c>
      <c r="Z3763" s="51">
        <v>0</v>
      </c>
      <c r="AA3763" s="51">
        <v>4</v>
      </c>
      <c r="AB3763" s="102">
        <v>0</v>
      </c>
      <c r="AC3763" s="81">
        <f t="shared" si="178"/>
        <v>520.88103333333356</v>
      </c>
      <c r="AD3763" s="82">
        <f t="shared" si="179"/>
        <v>9.5999999999999979</v>
      </c>
      <c r="AE3763" s="218">
        <v>8.5329785156944336E-4</v>
      </c>
      <c r="AF3763">
        <v>7</v>
      </c>
      <c r="AH3763" t="str">
        <f t="shared" si="177"/>
        <v>Rosera</v>
      </c>
      <c r="AJ3763" s="72">
        <v>500</v>
      </c>
      <c r="AK3763" s="72"/>
      <c r="AL3763" s="72"/>
      <c r="AM3763" s="72"/>
    </row>
    <row r="3764" spans="1:39" x14ac:dyDescent="0.25">
      <c r="A3764" s="37" t="s">
        <v>62</v>
      </c>
      <c r="B3764" s="66" t="s">
        <v>1676</v>
      </c>
      <c r="C3764" s="4">
        <v>1057</v>
      </c>
      <c r="D3764" s="41" t="s">
        <v>1174</v>
      </c>
      <c r="E3764" s="41">
        <v>10570003</v>
      </c>
      <c r="F3764" s="85" t="s">
        <v>1176</v>
      </c>
      <c r="G3764" s="39" t="s">
        <v>92</v>
      </c>
      <c r="H3764" s="52" t="s">
        <v>93</v>
      </c>
      <c r="I3764" s="52">
        <v>291.5</v>
      </c>
      <c r="J3764" s="49">
        <v>11617.7</v>
      </c>
      <c r="K3764" s="58">
        <v>39.6</v>
      </c>
      <c r="L3764" s="58">
        <v>1572.1599999999999</v>
      </c>
      <c r="M3764" s="58">
        <v>249.8</v>
      </c>
      <c r="N3764" s="58">
        <v>9984.75</v>
      </c>
      <c r="O3764" s="58">
        <v>289.40000000000003</v>
      </c>
      <c r="P3764" s="53">
        <v>11556.91</v>
      </c>
      <c r="Q3764" s="65">
        <v>11556.91</v>
      </c>
      <c r="R3764" s="65">
        <v>0</v>
      </c>
      <c r="S3764" s="65">
        <v>227.03</v>
      </c>
      <c r="T3764" s="65">
        <v>0</v>
      </c>
      <c r="U3764" s="58">
        <v>0</v>
      </c>
      <c r="V3764" s="65">
        <v>500</v>
      </c>
      <c r="W3764" s="65">
        <v>0</v>
      </c>
      <c r="X3764" s="65">
        <v>1072</v>
      </c>
      <c r="Y3764" s="65">
        <v>9759</v>
      </c>
      <c r="Z3764" s="51">
        <v>0</v>
      </c>
      <c r="AA3764" s="51">
        <v>60</v>
      </c>
      <c r="AB3764" s="102">
        <v>0</v>
      </c>
      <c r="AC3764" s="81">
        <f t="shared" si="178"/>
        <v>325.61443910806179</v>
      </c>
      <c r="AD3764" s="82">
        <f t="shared" si="179"/>
        <v>41.642857142857146</v>
      </c>
      <c r="AE3764" s="218">
        <v>5.2325331175706782E-3</v>
      </c>
      <c r="AF3764">
        <v>14</v>
      </c>
      <c r="AH3764" t="str">
        <f t="shared" si="177"/>
        <v>Warisnagar</v>
      </c>
      <c r="AJ3764" s="72">
        <v>500</v>
      </c>
      <c r="AK3764" s="72"/>
      <c r="AL3764" s="72"/>
      <c r="AM3764" s="72"/>
    </row>
    <row r="3765" spans="1:39" x14ac:dyDescent="0.25">
      <c r="A3765" s="37" t="s">
        <v>62</v>
      </c>
      <c r="B3765" s="66" t="s">
        <v>1676</v>
      </c>
      <c r="C3765" s="4">
        <v>1057</v>
      </c>
      <c r="D3765" s="41" t="s">
        <v>1174</v>
      </c>
      <c r="E3765" s="41">
        <v>10570007</v>
      </c>
      <c r="F3765" s="85" t="s">
        <v>1182</v>
      </c>
      <c r="G3765" s="39" t="s">
        <v>92</v>
      </c>
      <c r="H3765" s="52" t="s">
        <v>98</v>
      </c>
      <c r="I3765" s="52">
        <v>946.9</v>
      </c>
      <c r="J3765" s="49">
        <v>41276.420000000006</v>
      </c>
      <c r="K3765" s="58">
        <v>0</v>
      </c>
      <c r="L3765" s="58">
        <v>0</v>
      </c>
      <c r="M3765" s="58">
        <v>0</v>
      </c>
      <c r="N3765" s="58">
        <v>0</v>
      </c>
      <c r="O3765" s="58">
        <v>0</v>
      </c>
      <c r="P3765" s="53">
        <v>0</v>
      </c>
      <c r="Q3765" s="65">
        <v>41276.420000000006</v>
      </c>
      <c r="R3765" s="65">
        <v>0</v>
      </c>
      <c r="S3765" s="65">
        <v>0</v>
      </c>
      <c r="T3765" s="65">
        <v>0</v>
      </c>
      <c r="U3765" s="58">
        <v>0</v>
      </c>
      <c r="V3765" s="65">
        <v>0</v>
      </c>
      <c r="W3765" s="65">
        <v>0</v>
      </c>
      <c r="X3765" s="65">
        <v>0</v>
      </c>
      <c r="Y3765" s="65">
        <v>0</v>
      </c>
      <c r="Z3765" s="51">
        <v>41276.420000000006</v>
      </c>
      <c r="AA3765" s="51">
        <v>0</v>
      </c>
      <c r="AB3765" s="102" t="s">
        <v>68</v>
      </c>
      <c r="AC3765" s="81">
        <f t="shared" si="178"/>
        <v>0</v>
      </c>
      <c r="AD3765" s="82">
        <f t="shared" si="179"/>
        <v>0</v>
      </c>
      <c r="AE3765" s="218">
        <v>0</v>
      </c>
      <c r="AF3765">
        <v>0</v>
      </c>
      <c r="AH3765" t="str">
        <f t="shared" ref="AH3765:AH3828" si="180">TEXT(D3765,"0000")</f>
        <v>Warisnagar</v>
      </c>
      <c r="AJ3765" s="72">
        <v>0</v>
      </c>
      <c r="AK3765" s="72"/>
      <c r="AL3765" s="72"/>
      <c r="AM3765" s="72"/>
    </row>
    <row r="3766" spans="1:39" x14ac:dyDescent="0.25">
      <c r="A3766" s="37" t="s">
        <v>62</v>
      </c>
      <c r="B3766" s="66" t="s">
        <v>1676</v>
      </c>
      <c r="C3766" s="4">
        <v>1057</v>
      </c>
      <c r="D3766" s="41" t="s">
        <v>1174</v>
      </c>
      <c r="E3766" s="41">
        <v>10570008</v>
      </c>
      <c r="F3766" s="85" t="s">
        <v>1177</v>
      </c>
      <c r="G3766" s="39" t="s">
        <v>92</v>
      </c>
      <c r="H3766" s="52" t="s">
        <v>93</v>
      </c>
      <c r="I3766" s="52">
        <v>1074.8</v>
      </c>
      <c r="J3766" s="49">
        <v>42897.42</v>
      </c>
      <c r="K3766" s="58">
        <v>50.31</v>
      </c>
      <c r="L3766" s="58">
        <v>2020.7200000000003</v>
      </c>
      <c r="M3766" s="58">
        <v>1022.1000000000001</v>
      </c>
      <c r="N3766" s="58">
        <v>40864.220000000008</v>
      </c>
      <c r="O3766" s="58">
        <v>1072.4100000000001</v>
      </c>
      <c r="P3766" s="53">
        <v>42884.94000000001</v>
      </c>
      <c r="Q3766" s="65">
        <v>42884.94000000001</v>
      </c>
      <c r="R3766" s="65">
        <v>0</v>
      </c>
      <c r="S3766" s="65">
        <v>752.76</v>
      </c>
      <c r="T3766" s="65">
        <v>0</v>
      </c>
      <c r="U3766" s="58">
        <v>0</v>
      </c>
      <c r="V3766" s="65">
        <v>0</v>
      </c>
      <c r="W3766" s="65">
        <v>0</v>
      </c>
      <c r="X3766" s="65">
        <v>2021</v>
      </c>
      <c r="Y3766" s="65">
        <v>40114</v>
      </c>
      <c r="Z3766" s="51">
        <v>0</v>
      </c>
      <c r="AA3766" s="51">
        <v>10</v>
      </c>
      <c r="AB3766" s="102">
        <v>0</v>
      </c>
      <c r="AC3766" s="81">
        <f t="shared" si="178"/>
        <v>0</v>
      </c>
      <c r="AD3766" s="82">
        <f t="shared" si="179"/>
        <v>0</v>
      </c>
      <c r="AE3766" s="218">
        <v>2.9092658719309108E-4</v>
      </c>
      <c r="AF3766">
        <v>20</v>
      </c>
      <c r="AH3766" t="str">
        <f t="shared" si="180"/>
        <v>Warisnagar</v>
      </c>
      <c r="AJ3766" s="72">
        <v>0</v>
      </c>
      <c r="AK3766" s="72"/>
      <c r="AL3766" s="72"/>
      <c r="AM3766" s="72"/>
    </row>
    <row r="3767" spans="1:39" x14ac:dyDescent="0.25">
      <c r="A3767" s="37" t="s">
        <v>62</v>
      </c>
      <c r="B3767" s="66" t="s">
        <v>1676</v>
      </c>
      <c r="C3767" s="4">
        <v>1057</v>
      </c>
      <c r="D3767" s="41" t="s">
        <v>1174</v>
      </c>
      <c r="E3767" s="41">
        <v>10570009</v>
      </c>
      <c r="F3767" s="85" t="s">
        <v>1178</v>
      </c>
      <c r="G3767" s="39" t="s">
        <v>92</v>
      </c>
      <c r="H3767" s="52" t="s">
        <v>93</v>
      </c>
      <c r="I3767" s="52">
        <v>1230.7</v>
      </c>
      <c r="J3767" s="49">
        <v>48476.76</v>
      </c>
      <c r="K3767" s="58">
        <v>308.39999999999998</v>
      </c>
      <c r="L3767" s="58">
        <v>12534.309999999998</v>
      </c>
      <c r="M3767" s="58">
        <v>922</v>
      </c>
      <c r="N3767" s="58">
        <v>35902.1</v>
      </c>
      <c r="O3767" s="58">
        <v>1230.4000000000001</v>
      </c>
      <c r="P3767" s="53">
        <v>48436.409999999996</v>
      </c>
      <c r="Q3767" s="65">
        <v>48436.409999999996</v>
      </c>
      <c r="R3767" s="65">
        <v>0</v>
      </c>
      <c r="S3767" s="65">
        <v>596.49</v>
      </c>
      <c r="T3767" s="65">
        <v>0</v>
      </c>
      <c r="U3767" s="58">
        <v>0</v>
      </c>
      <c r="V3767" s="65">
        <v>0</v>
      </c>
      <c r="W3767" s="65">
        <v>0</v>
      </c>
      <c r="X3767" s="65">
        <v>12534</v>
      </c>
      <c r="Y3767" s="65">
        <v>35306</v>
      </c>
      <c r="Z3767" s="51">
        <v>0</v>
      </c>
      <c r="AA3767" s="51">
        <v>40</v>
      </c>
      <c r="AB3767" s="102">
        <v>0</v>
      </c>
      <c r="AC3767" s="81">
        <f t="shared" si="178"/>
        <v>0</v>
      </c>
      <c r="AD3767" s="82">
        <f t="shared" si="179"/>
        <v>0</v>
      </c>
      <c r="AE3767" s="218">
        <v>8.3235760805808428E-4</v>
      </c>
      <c r="AF3767">
        <v>7</v>
      </c>
      <c r="AH3767" t="str">
        <f t="shared" si="180"/>
        <v>Warisnagar</v>
      </c>
      <c r="AJ3767" s="72">
        <v>0</v>
      </c>
      <c r="AK3767" s="72"/>
      <c r="AL3767" s="72"/>
      <c r="AM3767" s="72"/>
    </row>
    <row r="3768" spans="1:39" x14ac:dyDescent="0.25">
      <c r="A3768" s="37" t="s">
        <v>62</v>
      </c>
      <c r="B3768" s="66" t="s">
        <v>1676</v>
      </c>
      <c r="C3768" s="4">
        <v>1057</v>
      </c>
      <c r="D3768" s="41" t="s">
        <v>1174</v>
      </c>
      <c r="E3768" s="41">
        <v>10570010</v>
      </c>
      <c r="F3768" s="85" t="s">
        <v>1179</v>
      </c>
      <c r="G3768" s="39" t="s">
        <v>1610</v>
      </c>
      <c r="H3768" s="52" t="s">
        <v>98</v>
      </c>
      <c r="I3768" s="52">
        <v>110.79999999999998</v>
      </c>
      <c r="J3768" s="49">
        <v>4098</v>
      </c>
      <c r="K3768" s="58">
        <v>0</v>
      </c>
      <c r="L3768" s="58">
        <v>0</v>
      </c>
      <c r="M3768" s="58">
        <v>0</v>
      </c>
      <c r="N3768" s="58">
        <v>0</v>
      </c>
      <c r="O3768" s="58">
        <v>0</v>
      </c>
      <c r="P3768" s="53">
        <v>0</v>
      </c>
      <c r="Q3768" s="65">
        <v>4098</v>
      </c>
      <c r="R3768" s="65">
        <v>0</v>
      </c>
      <c r="S3768" s="65">
        <v>0</v>
      </c>
      <c r="T3768" s="65">
        <v>0</v>
      </c>
      <c r="U3768" s="58">
        <v>0</v>
      </c>
      <c r="V3768" s="65">
        <v>0</v>
      </c>
      <c r="W3768" s="65">
        <v>0</v>
      </c>
      <c r="X3768" s="65">
        <v>0</v>
      </c>
      <c r="Y3768" s="65">
        <v>0</v>
      </c>
      <c r="Z3768" s="51">
        <v>4098</v>
      </c>
      <c r="AA3768" s="51">
        <v>0</v>
      </c>
      <c r="AB3768" s="102">
        <v>0</v>
      </c>
      <c r="AC3768" s="81">
        <f t="shared" si="178"/>
        <v>435.83783393501812</v>
      </c>
      <c r="AD3768" s="82">
        <f t="shared" si="179"/>
        <v>15.828571428571426</v>
      </c>
      <c r="AE3768" s="218">
        <v>0</v>
      </c>
      <c r="AF3768">
        <v>0</v>
      </c>
      <c r="AH3768" t="str">
        <f t="shared" si="180"/>
        <v>Warisnagar</v>
      </c>
      <c r="AJ3768" s="72">
        <v>0</v>
      </c>
      <c r="AK3768" s="72"/>
      <c r="AL3768" s="72"/>
      <c r="AM3768" s="72"/>
    </row>
    <row r="3769" spans="1:39" x14ac:dyDescent="0.25">
      <c r="A3769" s="37" t="s">
        <v>62</v>
      </c>
      <c r="B3769" s="66" t="s">
        <v>1676</v>
      </c>
      <c r="C3769" s="4">
        <v>1057</v>
      </c>
      <c r="D3769" s="41" t="s">
        <v>1174</v>
      </c>
      <c r="E3769" s="41">
        <v>10570013</v>
      </c>
      <c r="F3769" s="85" t="s">
        <v>1189</v>
      </c>
      <c r="G3769" s="39" t="s">
        <v>1610</v>
      </c>
      <c r="H3769" s="52" t="s">
        <v>98</v>
      </c>
      <c r="I3769" s="52">
        <v>1385.9999999999998</v>
      </c>
      <c r="J3769" s="49">
        <v>52559.479999999996</v>
      </c>
      <c r="K3769" s="58">
        <v>0</v>
      </c>
      <c r="L3769" s="58">
        <v>0</v>
      </c>
      <c r="M3769" s="58">
        <v>0</v>
      </c>
      <c r="N3769" s="58">
        <v>0</v>
      </c>
      <c r="O3769" s="58">
        <v>0</v>
      </c>
      <c r="P3769" s="53">
        <v>0</v>
      </c>
      <c r="Q3769" s="65">
        <v>52559.479999999996</v>
      </c>
      <c r="R3769" s="65">
        <v>0</v>
      </c>
      <c r="S3769" s="65">
        <v>0</v>
      </c>
      <c r="T3769" s="65">
        <v>0</v>
      </c>
      <c r="U3769" s="58">
        <v>0</v>
      </c>
      <c r="V3769" s="65">
        <v>0</v>
      </c>
      <c r="W3769" s="65">
        <v>0</v>
      </c>
      <c r="X3769" s="65">
        <v>0</v>
      </c>
      <c r="Y3769" s="65">
        <v>0</v>
      </c>
      <c r="Z3769" s="51">
        <v>52559.479999999996</v>
      </c>
      <c r="AA3769" s="51">
        <v>0</v>
      </c>
      <c r="AB3769" s="102">
        <v>0</v>
      </c>
      <c r="AC3769" s="81">
        <f t="shared" si="178"/>
        <v>0</v>
      </c>
      <c r="AD3769" s="82">
        <f t="shared" si="179"/>
        <v>0</v>
      </c>
      <c r="AE3769" s="218">
        <v>0</v>
      </c>
      <c r="AF3769">
        <v>0</v>
      </c>
      <c r="AH3769" t="str">
        <f t="shared" si="180"/>
        <v>Warisnagar</v>
      </c>
      <c r="AJ3769" s="72">
        <v>0</v>
      </c>
      <c r="AK3769" s="72"/>
      <c r="AL3769" s="72"/>
      <c r="AM3769" s="72"/>
    </row>
    <row r="3770" spans="1:39" x14ac:dyDescent="0.25">
      <c r="A3770" s="37" t="s">
        <v>62</v>
      </c>
      <c r="B3770" s="66" t="s">
        <v>1676</v>
      </c>
      <c r="C3770" s="4">
        <v>1063</v>
      </c>
      <c r="D3770" s="41" t="s">
        <v>1565</v>
      </c>
      <c r="E3770" s="41">
        <v>10570017</v>
      </c>
      <c r="F3770" s="85" t="s">
        <v>1244</v>
      </c>
      <c r="G3770" s="39" t="s">
        <v>92</v>
      </c>
      <c r="H3770" s="52" t="s">
        <v>93</v>
      </c>
      <c r="I3770" s="52">
        <v>256.7</v>
      </c>
      <c r="J3770" s="49">
        <v>12043.819999999998</v>
      </c>
      <c r="K3770" s="58">
        <v>184.79999999999995</v>
      </c>
      <c r="L3770" s="58">
        <v>8898.1600000000017</v>
      </c>
      <c r="M3770" s="58">
        <v>71.100000000000009</v>
      </c>
      <c r="N3770" s="58">
        <v>3115.5</v>
      </c>
      <c r="O3770" s="58">
        <v>255.89999999999998</v>
      </c>
      <c r="P3770" s="53">
        <v>12013.660000000002</v>
      </c>
      <c r="Q3770" s="65">
        <v>12013.660000000002</v>
      </c>
      <c r="R3770" s="65">
        <v>0</v>
      </c>
      <c r="S3770" s="65">
        <v>240.78</v>
      </c>
      <c r="T3770" s="65">
        <v>0</v>
      </c>
      <c r="U3770" s="58">
        <v>0</v>
      </c>
      <c r="V3770" s="65">
        <v>500</v>
      </c>
      <c r="W3770" s="65">
        <v>0</v>
      </c>
      <c r="X3770" s="65">
        <v>8398</v>
      </c>
      <c r="Y3770" s="65">
        <v>2874</v>
      </c>
      <c r="Z3770" s="51">
        <v>0</v>
      </c>
      <c r="AA3770" s="51">
        <v>31</v>
      </c>
      <c r="AB3770" s="102">
        <v>0</v>
      </c>
      <c r="AC3770" s="81">
        <f t="shared" si="178"/>
        <v>415.97393112582773</v>
      </c>
      <c r="AD3770" s="82">
        <f t="shared" si="179"/>
        <v>36.671428571428571</v>
      </c>
      <c r="AE3770" s="218">
        <v>2.504188870308276E-3</v>
      </c>
      <c r="AF3770">
        <v>12</v>
      </c>
      <c r="AH3770" t="str">
        <f t="shared" si="180"/>
        <v>Rosera</v>
      </c>
      <c r="AJ3770" s="72">
        <v>500</v>
      </c>
      <c r="AK3770" s="72"/>
      <c r="AL3770" s="72"/>
      <c r="AM3770" s="72"/>
    </row>
    <row r="3771" spans="1:39" x14ac:dyDescent="0.25">
      <c r="A3771" s="37" t="s">
        <v>62</v>
      </c>
      <c r="B3771" s="66" t="s">
        <v>1676</v>
      </c>
      <c r="C3771" s="4">
        <v>1057</v>
      </c>
      <c r="D3771" s="41" t="s">
        <v>1174</v>
      </c>
      <c r="E3771" s="41">
        <v>10570019</v>
      </c>
      <c r="F3771" s="85" t="s">
        <v>1211</v>
      </c>
      <c r="G3771" s="39" t="s">
        <v>92</v>
      </c>
      <c r="H3771" s="52" t="s">
        <v>93</v>
      </c>
      <c r="I3771" s="52">
        <v>676.1</v>
      </c>
      <c r="J3771" s="49">
        <v>30951.350000000002</v>
      </c>
      <c r="K3771" s="58">
        <v>173.5</v>
      </c>
      <c r="L3771" s="58">
        <v>7418.4599999999991</v>
      </c>
      <c r="M3771" s="58">
        <v>501.7</v>
      </c>
      <c r="N3771" s="58">
        <v>23405.280000000002</v>
      </c>
      <c r="O3771" s="58">
        <v>675.2</v>
      </c>
      <c r="P3771" s="53">
        <v>30823.74</v>
      </c>
      <c r="Q3771" s="65">
        <v>30823.74</v>
      </c>
      <c r="R3771" s="65">
        <v>0</v>
      </c>
      <c r="S3771" s="65">
        <v>153.57999999999998</v>
      </c>
      <c r="T3771" s="65">
        <v>0</v>
      </c>
      <c r="U3771" s="58">
        <v>0</v>
      </c>
      <c r="V3771" s="65">
        <v>0</v>
      </c>
      <c r="W3771" s="65">
        <v>0</v>
      </c>
      <c r="X3771" s="65">
        <v>7419</v>
      </c>
      <c r="Y3771" s="65">
        <v>23253</v>
      </c>
      <c r="Z3771" s="51">
        <v>0</v>
      </c>
      <c r="AA3771" s="51">
        <v>126</v>
      </c>
      <c r="AB3771" s="102">
        <v>0</v>
      </c>
      <c r="AC3771" s="81">
        <f t="shared" ref="AC3771:AC3834" si="181">((IF(AD3771=0,0,100-AD3771))*7*(J3771/I3771))*2%</f>
        <v>21.882480846028674</v>
      </c>
      <c r="AD3771" s="82">
        <f t="shared" ref="AD3771:AD3834" si="182">IF((I3771/7)&gt;100,0,(I3771/7))</f>
        <v>96.585714285714289</v>
      </c>
      <c r="AE3771" s="218">
        <v>4.1229219404000338E-3</v>
      </c>
      <c r="AF3771">
        <v>19</v>
      </c>
      <c r="AH3771" t="str">
        <f t="shared" si="180"/>
        <v>Warisnagar</v>
      </c>
      <c r="AJ3771" s="72">
        <v>0</v>
      </c>
      <c r="AK3771" s="72"/>
      <c r="AL3771" s="72"/>
      <c r="AM3771" s="72"/>
    </row>
    <row r="3772" spans="1:39" x14ac:dyDescent="0.25">
      <c r="A3772" s="37" t="s">
        <v>62</v>
      </c>
      <c r="B3772" s="66" t="s">
        <v>1676</v>
      </c>
      <c r="C3772" s="4">
        <v>1057</v>
      </c>
      <c r="D3772" s="41" t="s">
        <v>1174</v>
      </c>
      <c r="E3772" s="41">
        <v>10570020</v>
      </c>
      <c r="F3772" s="85" t="s">
        <v>1212</v>
      </c>
      <c r="G3772" s="39" t="s">
        <v>92</v>
      </c>
      <c r="H3772" s="52" t="s">
        <v>93</v>
      </c>
      <c r="I3772" s="52">
        <v>680.3</v>
      </c>
      <c r="J3772" s="49">
        <v>30713.949999999997</v>
      </c>
      <c r="K3772" s="58">
        <v>680.3</v>
      </c>
      <c r="L3772" s="58">
        <v>30703.040000000001</v>
      </c>
      <c r="M3772" s="58">
        <v>0</v>
      </c>
      <c r="N3772" s="58">
        <v>0</v>
      </c>
      <c r="O3772" s="58">
        <v>680.3</v>
      </c>
      <c r="P3772" s="53">
        <v>30703.040000000001</v>
      </c>
      <c r="Q3772" s="65">
        <v>30703.040000000001</v>
      </c>
      <c r="R3772" s="65">
        <v>0</v>
      </c>
      <c r="S3772" s="65">
        <v>0</v>
      </c>
      <c r="T3772" s="65">
        <v>0</v>
      </c>
      <c r="U3772" s="58">
        <v>0</v>
      </c>
      <c r="V3772" s="65">
        <v>0</v>
      </c>
      <c r="W3772" s="65">
        <v>0</v>
      </c>
      <c r="X3772" s="65">
        <v>30703</v>
      </c>
      <c r="Y3772" s="65">
        <v>0</v>
      </c>
      <c r="Z3772" s="51">
        <v>0</v>
      </c>
      <c r="AA3772" s="51">
        <v>11</v>
      </c>
      <c r="AB3772" s="102">
        <v>0</v>
      </c>
      <c r="AC3772" s="81">
        <f t="shared" si="181"/>
        <v>17.788176245773936</v>
      </c>
      <c r="AD3772" s="82">
        <f t="shared" si="182"/>
        <v>97.185714285714283</v>
      </c>
      <c r="AE3772" s="218">
        <v>3.5521318488817677E-4</v>
      </c>
      <c r="AF3772">
        <v>1</v>
      </c>
      <c r="AH3772" t="str">
        <f t="shared" si="180"/>
        <v>Warisnagar</v>
      </c>
      <c r="AJ3772" s="72">
        <v>0</v>
      </c>
      <c r="AK3772" s="72"/>
      <c r="AL3772" s="72"/>
      <c r="AM3772" s="72"/>
    </row>
    <row r="3773" spans="1:39" x14ac:dyDescent="0.25">
      <c r="A3773" s="37" t="s">
        <v>62</v>
      </c>
      <c r="B3773" s="66" t="s">
        <v>1676</v>
      </c>
      <c r="C3773" s="4">
        <v>1057</v>
      </c>
      <c r="D3773" s="41" t="s">
        <v>1174</v>
      </c>
      <c r="E3773" s="41">
        <v>10570021</v>
      </c>
      <c r="F3773" s="85" t="s">
        <v>1213</v>
      </c>
      <c r="G3773" s="39" t="s">
        <v>92</v>
      </c>
      <c r="H3773" s="52" t="s">
        <v>93</v>
      </c>
      <c r="I3773" s="52">
        <v>471.29999999999995</v>
      </c>
      <c r="J3773" s="49">
        <v>17635.489999999998</v>
      </c>
      <c r="K3773" s="58">
        <v>426.09999999999997</v>
      </c>
      <c r="L3773" s="58">
        <v>16149.460000000001</v>
      </c>
      <c r="M3773" s="58">
        <v>39.900000000000006</v>
      </c>
      <c r="N3773" s="58">
        <v>1473.27</v>
      </c>
      <c r="O3773" s="58">
        <v>466</v>
      </c>
      <c r="P3773" s="53">
        <v>17622.73</v>
      </c>
      <c r="Q3773" s="65">
        <v>17622.73</v>
      </c>
      <c r="R3773" s="65">
        <v>0</v>
      </c>
      <c r="S3773" s="65">
        <v>0</v>
      </c>
      <c r="T3773" s="65">
        <v>0</v>
      </c>
      <c r="U3773" s="58">
        <v>0</v>
      </c>
      <c r="V3773" s="65">
        <v>0</v>
      </c>
      <c r="W3773" s="65">
        <v>0</v>
      </c>
      <c r="X3773" s="65">
        <v>16150</v>
      </c>
      <c r="Y3773" s="65">
        <v>1473</v>
      </c>
      <c r="Z3773" s="51">
        <v>0</v>
      </c>
      <c r="AA3773" s="51">
        <v>12</v>
      </c>
      <c r="AB3773" s="102">
        <v>0</v>
      </c>
      <c r="AC3773" s="81">
        <f t="shared" si="181"/>
        <v>171.15368398047954</v>
      </c>
      <c r="AD3773" s="82">
        <f t="shared" si="182"/>
        <v>67.328571428571422</v>
      </c>
      <c r="AE3773" s="218">
        <v>7.2354099602553717E-4</v>
      </c>
      <c r="AF3773">
        <v>8</v>
      </c>
      <c r="AH3773" t="str">
        <f t="shared" si="180"/>
        <v>Warisnagar</v>
      </c>
      <c r="AJ3773" s="72">
        <v>0</v>
      </c>
      <c r="AK3773" s="72"/>
      <c r="AL3773" s="72"/>
      <c r="AM3773" s="72"/>
    </row>
    <row r="3774" spans="1:39" x14ac:dyDescent="0.25">
      <c r="A3774" s="37" t="s">
        <v>62</v>
      </c>
      <c r="B3774" s="66" t="s">
        <v>1676</v>
      </c>
      <c r="C3774" s="4">
        <v>1057</v>
      </c>
      <c r="D3774" s="41" t="s">
        <v>1174</v>
      </c>
      <c r="E3774" s="41">
        <v>10570022</v>
      </c>
      <c r="F3774" s="85" t="s">
        <v>1214</v>
      </c>
      <c r="G3774" s="39" t="s">
        <v>1610</v>
      </c>
      <c r="H3774" s="52" t="s">
        <v>98</v>
      </c>
      <c r="I3774" s="52">
        <v>203</v>
      </c>
      <c r="J3774" s="49">
        <v>9908.44</v>
      </c>
      <c r="K3774" s="58">
        <v>0</v>
      </c>
      <c r="L3774" s="58">
        <v>0</v>
      </c>
      <c r="M3774" s="58">
        <v>0</v>
      </c>
      <c r="N3774" s="58">
        <v>0</v>
      </c>
      <c r="O3774" s="58">
        <v>0</v>
      </c>
      <c r="P3774" s="53">
        <v>0</v>
      </c>
      <c r="Q3774" s="65">
        <v>9908.44</v>
      </c>
      <c r="R3774" s="65">
        <v>0</v>
      </c>
      <c r="S3774" s="65">
        <v>0</v>
      </c>
      <c r="T3774" s="65">
        <v>0</v>
      </c>
      <c r="U3774" s="58">
        <v>0</v>
      </c>
      <c r="V3774" s="65">
        <v>0</v>
      </c>
      <c r="W3774" s="65">
        <v>0</v>
      </c>
      <c r="X3774" s="65">
        <v>0</v>
      </c>
      <c r="Y3774" s="65">
        <v>0</v>
      </c>
      <c r="Z3774" s="51">
        <v>9908.44</v>
      </c>
      <c r="AA3774" s="51">
        <v>0</v>
      </c>
      <c r="AB3774" s="102">
        <v>0</v>
      </c>
      <c r="AC3774" s="81">
        <f t="shared" si="181"/>
        <v>485.17188965517244</v>
      </c>
      <c r="AD3774" s="82">
        <f t="shared" si="182"/>
        <v>29</v>
      </c>
      <c r="AE3774" s="218">
        <v>0</v>
      </c>
      <c r="AF3774">
        <v>0</v>
      </c>
      <c r="AH3774" t="str">
        <f t="shared" si="180"/>
        <v>Warisnagar</v>
      </c>
      <c r="AJ3774" s="72">
        <v>0</v>
      </c>
      <c r="AK3774" s="72"/>
      <c r="AL3774" s="72"/>
      <c r="AM3774" s="72"/>
    </row>
    <row r="3775" spans="1:39" x14ac:dyDescent="0.25">
      <c r="A3775" s="37" t="s">
        <v>62</v>
      </c>
      <c r="B3775" s="66" t="s">
        <v>1676</v>
      </c>
      <c r="C3775" s="4">
        <v>1057</v>
      </c>
      <c r="D3775" s="41" t="s">
        <v>1174</v>
      </c>
      <c r="E3775" s="41">
        <v>10570023</v>
      </c>
      <c r="F3775" s="85" t="s">
        <v>1668</v>
      </c>
      <c r="G3775" s="39" t="s">
        <v>1610</v>
      </c>
      <c r="H3775" s="52" t="s">
        <v>98</v>
      </c>
      <c r="I3775" s="52">
        <v>122.8</v>
      </c>
      <c r="J3775" s="49">
        <v>5138.6200000000008</v>
      </c>
      <c r="K3775" s="58">
        <v>0</v>
      </c>
      <c r="L3775" s="58">
        <v>0</v>
      </c>
      <c r="M3775" s="58">
        <v>0</v>
      </c>
      <c r="N3775" s="58">
        <v>0</v>
      </c>
      <c r="O3775" s="58">
        <v>0</v>
      </c>
      <c r="P3775" s="53">
        <v>0</v>
      </c>
      <c r="Q3775" s="65">
        <v>5138.6200000000008</v>
      </c>
      <c r="R3775" s="65">
        <v>0</v>
      </c>
      <c r="S3775" s="65">
        <v>0</v>
      </c>
      <c r="T3775" s="65">
        <v>0</v>
      </c>
      <c r="U3775" s="58">
        <v>0</v>
      </c>
      <c r="V3775" s="65">
        <v>0</v>
      </c>
      <c r="W3775" s="65">
        <v>0</v>
      </c>
      <c r="X3775" s="65">
        <v>0</v>
      </c>
      <c r="Y3775" s="65">
        <v>0</v>
      </c>
      <c r="Z3775" s="51">
        <v>5138.6200000000008</v>
      </c>
      <c r="AA3775" s="51">
        <v>0</v>
      </c>
      <c r="AB3775" s="102">
        <v>0</v>
      </c>
      <c r="AC3775" s="81">
        <f t="shared" si="181"/>
        <v>483.0637563517916</v>
      </c>
      <c r="AD3775" s="82">
        <f t="shared" si="182"/>
        <v>17.542857142857141</v>
      </c>
      <c r="AE3775" s="218">
        <v>0</v>
      </c>
      <c r="AF3775">
        <v>0</v>
      </c>
      <c r="AH3775" t="str">
        <f t="shared" si="180"/>
        <v>Warisnagar</v>
      </c>
      <c r="AJ3775" s="72">
        <v>0</v>
      </c>
      <c r="AK3775" s="72"/>
      <c r="AL3775" s="72"/>
      <c r="AM3775" s="72"/>
    </row>
    <row r="3776" spans="1:39" x14ac:dyDescent="0.25">
      <c r="A3776" s="37" t="s">
        <v>62</v>
      </c>
      <c r="B3776" s="66" t="s">
        <v>1676</v>
      </c>
      <c r="C3776" s="4">
        <v>1057</v>
      </c>
      <c r="D3776" s="41" t="s">
        <v>1174</v>
      </c>
      <c r="E3776" s="41">
        <v>10570024</v>
      </c>
      <c r="F3776" s="85" t="s">
        <v>1215</v>
      </c>
      <c r="G3776" s="39" t="s">
        <v>1610</v>
      </c>
      <c r="H3776" s="52" t="s">
        <v>98</v>
      </c>
      <c r="I3776" s="52">
        <v>1036.7</v>
      </c>
      <c r="J3776" s="49">
        <v>39462.109999999993</v>
      </c>
      <c r="K3776" s="58">
        <v>0</v>
      </c>
      <c r="L3776" s="58">
        <v>0</v>
      </c>
      <c r="M3776" s="58">
        <v>0</v>
      </c>
      <c r="N3776" s="58">
        <v>0</v>
      </c>
      <c r="O3776" s="58">
        <v>0</v>
      </c>
      <c r="P3776" s="53">
        <v>0</v>
      </c>
      <c r="Q3776" s="65">
        <v>39462.109999999993</v>
      </c>
      <c r="R3776" s="65">
        <v>0</v>
      </c>
      <c r="S3776" s="65">
        <v>0</v>
      </c>
      <c r="T3776" s="65">
        <v>0</v>
      </c>
      <c r="U3776" s="58">
        <v>0</v>
      </c>
      <c r="V3776" s="65">
        <v>0</v>
      </c>
      <c r="W3776" s="65">
        <v>0</v>
      </c>
      <c r="X3776" s="65">
        <v>0</v>
      </c>
      <c r="Y3776" s="65">
        <v>0</v>
      </c>
      <c r="Z3776" s="51">
        <v>39462.109999999993</v>
      </c>
      <c r="AA3776" s="51">
        <v>0</v>
      </c>
      <c r="AB3776" s="102">
        <v>0</v>
      </c>
      <c r="AC3776" s="81">
        <f t="shared" si="181"/>
        <v>0</v>
      </c>
      <c r="AD3776" s="82">
        <f t="shared" si="182"/>
        <v>0</v>
      </c>
      <c r="AE3776" s="218">
        <v>0</v>
      </c>
      <c r="AF3776">
        <v>0</v>
      </c>
      <c r="AH3776" t="str">
        <f t="shared" si="180"/>
        <v>Warisnagar</v>
      </c>
      <c r="AJ3776" s="72">
        <v>0</v>
      </c>
      <c r="AK3776" s="72"/>
      <c r="AL3776" s="72"/>
      <c r="AM3776" s="72"/>
    </row>
    <row r="3777" spans="1:39" x14ac:dyDescent="0.25">
      <c r="A3777" s="37" t="s">
        <v>62</v>
      </c>
      <c r="B3777" s="66" t="s">
        <v>1676</v>
      </c>
      <c r="C3777" s="4">
        <v>1057</v>
      </c>
      <c r="D3777" s="41" t="s">
        <v>1174</v>
      </c>
      <c r="E3777" s="41">
        <v>10570025</v>
      </c>
      <c r="F3777" s="85" t="s">
        <v>1224</v>
      </c>
      <c r="G3777" s="39" t="s">
        <v>1610</v>
      </c>
      <c r="H3777" s="52" t="s">
        <v>98</v>
      </c>
      <c r="I3777" s="52">
        <v>1050.1000000000001</v>
      </c>
      <c r="J3777" s="49">
        <v>40474.950000000004</v>
      </c>
      <c r="K3777" s="58">
        <v>0</v>
      </c>
      <c r="L3777" s="58">
        <v>0</v>
      </c>
      <c r="M3777" s="58">
        <v>0</v>
      </c>
      <c r="N3777" s="58">
        <v>0</v>
      </c>
      <c r="O3777" s="58">
        <v>0</v>
      </c>
      <c r="P3777" s="53">
        <v>0</v>
      </c>
      <c r="Q3777" s="65">
        <v>40474.950000000004</v>
      </c>
      <c r="R3777" s="65">
        <v>0</v>
      </c>
      <c r="S3777" s="65">
        <v>0</v>
      </c>
      <c r="T3777" s="65">
        <v>0</v>
      </c>
      <c r="U3777" s="58">
        <v>0</v>
      </c>
      <c r="V3777" s="65">
        <v>0</v>
      </c>
      <c r="W3777" s="65">
        <v>0</v>
      </c>
      <c r="X3777" s="65">
        <v>0</v>
      </c>
      <c r="Y3777" s="65">
        <v>0</v>
      </c>
      <c r="Z3777" s="51">
        <v>40474.950000000004</v>
      </c>
      <c r="AA3777" s="51">
        <v>0</v>
      </c>
      <c r="AB3777" s="102">
        <v>0</v>
      </c>
      <c r="AC3777" s="81">
        <f t="shared" si="181"/>
        <v>0</v>
      </c>
      <c r="AD3777" s="82">
        <f t="shared" si="182"/>
        <v>0</v>
      </c>
      <c r="AE3777" s="218">
        <v>0</v>
      </c>
      <c r="AF3777">
        <v>0</v>
      </c>
      <c r="AH3777" t="str">
        <f t="shared" si="180"/>
        <v>Warisnagar</v>
      </c>
      <c r="AJ3777" s="72">
        <v>0</v>
      </c>
      <c r="AK3777" s="72"/>
      <c r="AL3777" s="72"/>
      <c r="AM3777" s="72"/>
    </row>
    <row r="3778" spans="1:39" x14ac:dyDescent="0.25">
      <c r="A3778" s="37" t="s">
        <v>62</v>
      </c>
      <c r="B3778" s="66" t="s">
        <v>1676</v>
      </c>
      <c r="C3778" s="4">
        <v>1057</v>
      </c>
      <c r="D3778" s="41" t="s">
        <v>1174</v>
      </c>
      <c r="E3778" s="41">
        <v>10570028</v>
      </c>
      <c r="F3778" s="85" t="s">
        <v>1258</v>
      </c>
      <c r="G3778" s="39" t="s">
        <v>92</v>
      </c>
      <c r="H3778" s="52" t="s">
        <v>93</v>
      </c>
      <c r="I3778" s="52">
        <v>335.99999999999994</v>
      </c>
      <c r="J3778" s="49">
        <v>12500.36</v>
      </c>
      <c r="K3778" s="58">
        <v>47.8</v>
      </c>
      <c r="L3778" s="58">
        <v>1775.89</v>
      </c>
      <c r="M3778" s="58">
        <v>290.09999999999991</v>
      </c>
      <c r="N3778" s="58">
        <v>10734.120000000003</v>
      </c>
      <c r="O3778" s="58">
        <v>337.89999999999992</v>
      </c>
      <c r="P3778" s="53">
        <v>12510.010000000002</v>
      </c>
      <c r="Q3778" s="65">
        <v>12500.36</v>
      </c>
      <c r="R3778" s="65">
        <v>0</v>
      </c>
      <c r="S3778" s="65">
        <v>155.25</v>
      </c>
      <c r="T3778" s="65">
        <v>9.6500000000014552</v>
      </c>
      <c r="U3778" s="58">
        <v>0</v>
      </c>
      <c r="V3778" s="65">
        <v>0</v>
      </c>
      <c r="W3778" s="65">
        <v>0</v>
      </c>
      <c r="X3778" s="65">
        <v>1770</v>
      </c>
      <c r="Y3778" s="65">
        <v>10575</v>
      </c>
      <c r="Z3778" s="51">
        <v>0</v>
      </c>
      <c r="AA3778" s="51">
        <v>0</v>
      </c>
      <c r="AB3778" s="102">
        <v>0</v>
      </c>
      <c r="AC3778" s="81">
        <f t="shared" si="181"/>
        <v>270.84113333333346</v>
      </c>
      <c r="AD3778" s="82">
        <f t="shared" si="182"/>
        <v>47.999999999999993</v>
      </c>
      <c r="AE3778" s="218">
        <v>-7.7197776704042561E-4</v>
      </c>
      <c r="AF3778">
        <v>15</v>
      </c>
      <c r="AH3778" t="str">
        <f t="shared" si="180"/>
        <v>Warisnagar</v>
      </c>
      <c r="AJ3778" s="72">
        <v>0</v>
      </c>
      <c r="AK3778" s="72"/>
      <c r="AL3778" s="72"/>
      <c r="AM3778" s="72"/>
    </row>
    <row r="3779" spans="1:39" x14ac:dyDescent="0.25">
      <c r="A3779" s="37" t="s">
        <v>62</v>
      </c>
      <c r="B3779" s="66" t="s">
        <v>1676</v>
      </c>
      <c r="C3779" s="4">
        <v>1057</v>
      </c>
      <c r="D3779" s="41" t="s">
        <v>1174</v>
      </c>
      <c r="E3779" s="41">
        <v>10570029</v>
      </c>
      <c r="F3779" s="85" t="s">
        <v>1259</v>
      </c>
      <c r="G3779" s="39" t="s">
        <v>92</v>
      </c>
      <c r="H3779" s="52" t="s">
        <v>93</v>
      </c>
      <c r="I3779" s="52">
        <v>160.50000000000003</v>
      </c>
      <c r="J3779" s="49">
        <v>6948.6900000000005</v>
      </c>
      <c r="K3779" s="58">
        <v>23</v>
      </c>
      <c r="L3779" s="58">
        <v>955.88</v>
      </c>
      <c r="M3779" s="58">
        <v>139.6</v>
      </c>
      <c r="N3779" s="58">
        <v>5896.45</v>
      </c>
      <c r="O3779" s="58">
        <v>162.6</v>
      </c>
      <c r="P3779" s="53">
        <v>6852.33</v>
      </c>
      <c r="Q3779" s="65">
        <v>6852.33</v>
      </c>
      <c r="R3779" s="65">
        <v>0</v>
      </c>
      <c r="S3779" s="65">
        <v>110.94</v>
      </c>
      <c r="T3779" s="65">
        <v>0</v>
      </c>
      <c r="U3779" s="58">
        <v>0</v>
      </c>
      <c r="V3779" s="65">
        <v>0</v>
      </c>
      <c r="W3779" s="65">
        <v>0</v>
      </c>
      <c r="X3779" s="65">
        <v>0</v>
      </c>
      <c r="Y3779" s="65">
        <v>0</v>
      </c>
      <c r="Z3779" s="51">
        <v>0</v>
      </c>
      <c r="AA3779" s="51">
        <v>6838</v>
      </c>
      <c r="AB3779" s="102" t="s">
        <v>65</v>
      </c>
      <c r="AC3779" s="81">
        <f t="shared" si="181"/>
        <v>467.14246168224292</v>
      </c>
      <c r="AD3779" s="82">
        <f t="shared" si="182"/>
        <v>22.928571428571434</v>
      </c>
      <c r="AE3779" s="218">
        <v>1.3867362049537478E-2</v>
      </c>
      <c r="AF3779">
        <v>10</v>
      </c>
      <c r="AH3779" t="str">
        <f t="shared" si="180"/>
        <v>Warisnagar</v>
      </c>
      <c r="AJ3779" s="72">
        <v>0</v>
      </c>
      <c r="AK3779" s="72"/>
      <c r="AL3779" s="72"/>
      <c r="AM3779" s="72"/>
    </row>
    <row r="3780" spans="1:39" x14ac:dyDescent="0.25">
      <c r="A3780" s="37" t="s">
        <v>62</v>
      </c>
      <c r="B3780" s="66" t="s">
        <v>1676</v>
      </c>
      <c r="C3780" s="4">
        <v>1057</v>
      </c>
      <c r="D3780" s="41" t="s">
        <v>1174</v>
      </c>
      <c r="E3780" s="41">
        <v>10570030</v>
      </c>
      <c r="F3780" s="85" t="s">
        <v>1260</v>
      </c>
      <c r="G3780" s="39" t="s">
        <v>92</v>
      </c>
      <c r="H3780" s="52" t="s">
        <v>93</v>
      </c>
      <c r="I3780" s="52">
        <v>419.8</v>
      </c>
      <c r="J3780" s="49">
        <v>16046.46</v>
      </c>
      <c r="K3780" s="58">
        <v>128</v>
      </c>
      <c r="L3780" s="58">
        <v>4790.7199999999993</v>
      </c>
      <c r="M3780" s="58">
        <v>292.29999999999995</v>
      </c>
      <c r="N3780" s="58">
        <v>11240.949999999999</v>
      </c>
      <c r="O3780" s="58">
        <v>420.29999999999995</v>
      </c>
      <c r="P3780" s="53">
        <v>16031.669999999998</v>
      </c>
      <c r="Q3780" s="65">
        <v>16031.669999999998</v>
      </c>
      <c r="R3780" s="65">
        <v>0</v>
      </c>
      <c r="S3780" s="65">
        <v>426.22999999999996</v>
      </c>
      <c r="T3780" s="65">
        <v>0</v>
      </c>
      <c r="U3780" s="58">
        <v>0</v>
      </c>
      <c r="V3780" s="65">
        <v>0</v>
      </c>
      <c r="W3780" s="65">
        <v>0</v>
      </c>
      <c r="X3780" s="65">
        <v>4791</v>
      </c>
      <c r="Y3780" s="65">
        <v>10816</v>
      </c>
      <c r="Z3780" s="51">
        <v>0</v>
      </c>
      <c r="AA3780" s="51">
        <v>13</v>
      </c>
      <c r="AB3780" s="102">
        <v>0</v>
      </c>
      <c r="AC3780" s="81">
        <f t="shared" si="181"/>
        <v>214.20762706050496</v>
      </c>
      <c r="AD3780" s="82">
        <f t="shared" si="182"/>
        <v>59.971428571428575</v>
      </c>
      <c r="AE3780" s="218">
        <v>9.2169861763908515E-4</v>
      </c>
      <c r="AF3780">
        <v>7</v>
      </c>
      <c r="AH3780" t="str">
        <f t="shared" si="180"/>
        <v>Warisnagar</v>
      </c>
      <c r="AJ3780" s="72">
        <v>0</v>
      </c>
      <c r="AK3780" s="72"/>
      <c r="AL3780" s="72"/>
      <c r="AM3780" s="72"/>
    </row>
    <row r="3781" spans="1:39" x14ac:dyDescent="0.25">
      <c r="A3781" s="37" t="s">
        <v>62</v>
      </c>
      <c r="B3781" s="66" t="s">
        <v>1676</v>
      </c>
      <c r="C3781" s="4">
        <v>1057</v>
      </c>
      <c r="D3781" s="41" t="s">
        <v>1174</v>
      </c>
      <c r="E3781" s="41">
        <v>10570032</v>
      </c>
      <c r="F3781" s="85" t="s">
        <v>1526</v>
      </c>
      <c r="G3781" s="39" t="s">
        <v>1610</v>
      </c>
      <c r="H3781" s="52" t="s">
        <v>98</v>
      </c>
      <c r="I3781" s="52">
        <v>720.09999999999991</v>
      </c>
      <c r="J3781" s="49">
        <v>30846.44</v>
      </c>
      <c r="K3781" s="58">
        <v>0</v>
      </c>
      <c r="L3781" s="58">
        <v>0</v>
      </c>
      <c r="M3781" s="58">
        <v>0</v>
      </c>
      <c r="N3781" s="58">
        <v>0</v>
      </c>
      <c r="O3781" s="58">
        <v>0</v>
      </c>
      <c r="P3781" s="53">
        <v>0</v>
      </c>
      <c r="Q3781" s="65">
        <v>30846.44</v>
      </c>
      <c r="R3781" s="65">
        <v>0</v>
      </c>
      <c r="S3781" s="65">
        <v>0</v>
      </c>
      <c r="T3781" s="65">
        <v>0</v>
      </c>
      <c r="U3781" s="58">
        <v>0</v>
      </c>
      <c r="V3781" s="65">
        <v>0</v>
      </c>
      <c r="W3781" s="65">
        <v>0</v>
      </c>
      <c r="X3781" s="65">
        <v>0</v>
      </c>
      <c r="Y3781" s="65">
        <v>0</v>
      </c>
      <c r="Z3781" s="51">
        <v>30846.44</v>
      </c>
      <c r="AA3781" s="51">
        <v>0</v>
      </c>
      <c r="AB3781" s="102">
        <v>0</v>
      </c>
      <c r="AC3781" s="81">
        <f t="shared" si="181"/>
        <v>0</v>
      </c>
      <c r="AD3781" s="82">
        <f t="shared" si="182"/>
        <v>0</v>
      </c>
      <c r="AE3781" s="218">
        <v>0</v>
      </c>
      <c r="AF3781">
        <v>0</v>
      </c>
      <c r="AH3781" t="str">
        <f t="shared" si="180"/>
        <v>Warisnagar</v>
      </c>
      <c r="AJ3781" s="72">
        <v>0</v>
      </c>
      <c r="AK3781" s="72"/>
      <c r="AL3781" s="72"/>
      <c r="AM3781" s="72"/>
    </row>
    <row r="3782" spans="1:39" x14ac:dyDescent="0.25">
      <c r="A3782" s="37" t="s">
        <v>62</v>
      </c>
      <c r="B3782" s="66" t="s">
        <v>1676</v>
      </c>
      <c r="C3782" s="4">
        <v>1057</v>
      </c>
      <c r="D3782" s="41" t="s">
        <v>1174</v>
      </c>
      <c r="E3782" s="41">
        <v>10570036</v>
      </c>
      <c r="F3782" s="85" t="s">
        <v>1321</v>
      </c>
      <c r="G3782" s="39" t="s">
        <v>92</v>
      </c>
      <c r="H3782" s="52" t="s">
        <v>93</v>
      </c>
      <c r="I3782" s="52">
        <v>330</v>
      </c>
      <c r="J3782" s="49">
        <v>14726.96</v>
      </c>
      <c r="K3782" s="58">
        <v>326.29999999999995</v>
      </c>
      <c r="L3782" s="58">
        <v>14537.899999999998</v>
      </c>
      <c r="M3782" s="58">
        <v>6.1</v>
      </c>
      <c r="N3782" s="58">
        <v>171.97</v>
      </c>
      <c r="O3782" s="58">
        <v>332.4</v>
      </c>
      <c r="P3782" s="53">
        <v>14709.869999999997</v>
      </c>
      <c r="Q3782" s="65">
        <v>14709.869999999997</v>
      </c>
      <c r="R3782" s="65">
        <v>0</v>
      </c>
      <c r="S3782" s="65">
        <v>26.88</v>
      </c>
      <c r="T3782" s="65">
        <v>0</v>
      </c>
      <c r="U3782" s="58">
        <v>100</v>
      </c>
      <c r="V3782" s="65">
        <v>0</v>
      </c>
      <c r="W3782" s="65">
        <v>0</v>
      </c>
      <c r="X3782" s="65">
        <v>14438</v>
      </c>
      <c r="Y3782" s="65">
        <v>145</v>
      </c>
      <c r="Z3782" s="51">
        <v>0</v>
      </c>
      <c r="AA3782" s="51">
        <v>17</v>
      </c>
      <c r="AB3782" s="102">
        <v>0</v>
      </c>
      <c r="AC3782" s="81">
        <f t="shared" si="181"/>
        <v>330.24092121212118</v>
      </c>
      <c r="AD3782" s="82">
        <f t="shared" si="182"/>
        <v>47.142857142857146</v>
      </c>
      <c r="AE3782" s="218">
        <v>1.1604567405630196E-3</v>
      </c>
      <c r="AF3782">
        <v>11</v>
      </c>
      <c r="AH3782" t="str">
        <f t="shared" si="180"/>
        <v>Warisnagar</v>
      </c>
      <c r="AJ3782" s="72">
        <v>0</v>
      </c>
      <c r="AK3782" s="72"/>
      <c r="AL3782" s="72"/>
      <c r="AM3782" s="72"/>
    </row>
    <row r="3783" spans="1:39" x14ac:dyDescent="0.25">
      <c r="A3783" s="37" t="s">
        <v>62</v>
      </c>
      <c r="B3783" s="66" t="s">
        <v>1676</v>
      </c>
      <c r="C3783" s="4">
        <v>1057</v>
      </c>
      <c r="D3783" s="41" t="s">
        <v>1174</v>
      </c>
      <c r="E3783" s="41">
        <v>10570037</v>
      </c>
      <c r="F3783" s="85" t="s">
        <v>1276</v>
      </c>
      <c r="G3783" s="39" t="s">
        <v>1610</v>
      </c>
      <c r="H3783" s="52" t="s">
        <v>98</v>
      </c>
      <c r="I3783" s="52">
        <v>189.59999999999997</v>
      </c>
      <c r="J3783" s="49">
        <v>7343.04</v>
      </c>
      <c r="K3783" s="58">
        <v>0</v>
      </c>
      <c r="L3783" s="58">
        <v>0</v>
      </c>
      <c r="M3783" s="58">
        <v>0</v>
      </c>
      <c r="N3783" s="58">
        <v>0</v>
      </c>
      <c r="O3783" s="58">
        <v>0</v>
      </c>
      <c r="P3783" s="53">
        <v>0</v>
      </c>
      <c r="Q3783" s="65">
        <v>7343.04</v>
      </c>
      <c r="R3783" s="65">
        <v>0</v>
      </c>
      <c r="S3783" s="65">
        <v>0</v>
      </c>
      <c r="T3783" s="65">
        <v>0</v>
      </c>
      <c r="U3783" s="58">
        <v>0</v>
      </c>
      <c r="V3783" s="65">
        <v>0</v>
      </c>
      <c r="W3783" s="65">
        <v>0</v>
      </c>
      <c r="X3783" s="65">
        <v>0</v>
      </c>
      <c r="Y3783" s="65">
        <v>0</v>
      </c>
      <c r="Z3783" s="51">
        <v>7343.04</v>
      </c>
      <c r="AA3783" s="51">
        <v>0</v>
      </c>
      <c r="AB3783" s="102">
        <v>0</v>
      </c>
      <c r="AC3783" s="81">
        <f t="shared" si="181"/>
        <v>395.34679493670893</v>
      </c>
      <c r="AD3783" s="82">
        <f t="shared" si="182"/>
        <v>27.085714285714282</v>
      </c>
      <c r="AE3783" s="218">
        <v>0</v>
      </c>
      <c r="AF3783">
        <v>0</v>
      </c>
      <c r="AH3783" t="str">
        <f t="shared" si="180"/>
        <v>Warisnagar</v>
      </c>
      <c r="AJ3783" s="72">
        <v>0</v>
      </c>
      <c r="AK3783" s="72"/>
      <c r="AL3783" s="72"/>
      <c r="AM3783" s="72"/>
    </row>
    <row r="3784" spans="1:39" x14ac:dyDescent="0.25">
      <c r="A3784" s="37" t="s">
        <v>62</v>
      </c>
      <c r="B3784" s="66" t="s">
        <v>1676</v>
      </c>
      <c r="C3784" s="4">
        <v>1057</v>
      </c>
      <c r="D3784" s="41" t="s">
        <v>1174</v>
      </c>
      <c r="E3784" s="41">
        <v>10570038</v>
      </c>
      <c r="F3784" s="85" t="s">
        <v>1277</v>
      </c>
      <c r="G3784" s="39" t="s">
        <v>1610</v>
      </c>
      <c r="H3784" s="52" t="s">
        <v>98</v>
      </c>
      <c r="I3784" s="52">
        <v>118.9</v>
      </c>
      <c r="J3784" s="49">
        <v>4581.46</v>
      </c>
      <c r="K3784" s="58">
        <v>0</v>
      </c>
      <c r="L3784" s="58">
        <v>0</v>
      </c>
      <c r="M3784" s="58">
        <v>0</v>
      </c>
      <c r="N3784" s="58">
        <v>0</v>
      </c>
      <c r="O3784" s="58">
        <v>0</v>
      </c>
      <c r="P3784" s="53">
        <v>0</v>
      </c>
      <c r="Q3784" s="65">
        <v>4581.46</v>
      </c>
      <c r="R3784" s="65">
        <v>0</v>
      </c>
      <c r="S3784" s="65">
        <v>0</v>
      </c>
      <c r="T3784" s="65">
        <v>0</v>
      </c>
      <c r="U3784" s="58">
        <v>0</v>
      </c>
      <c r="V3784" s="65">
        <v>0</v>
      </c>
      <c r="W3784" s="65">
        <v>0</v>
      </c>
      <c r="X3784" s="65">
        <v>0</v>
      </c>
      <c r="Y3784" s="65">
        <v>0</v>
      </c>
      <c r="Z3784" s="51">
        <v>4581.46</v>
      </c>
      <c r="AA3784" s="51">
        <v>0</v>
      </c>
      <c r="AB3784" s="102">
        <v>0</v>
      </c>
      <c r="AC3784" s="81">
        <f t="shared" si="181"/>
        <v>447.81941227922607</v>
      </c>
      <c r="AD3784" s="82">
        <f t="shared" si="182"/>
        <v>16.985714285714288</v>
      </c>
      <c r="AE3784" s="218">
        <v>0</v>
      </c>
      <c r="AF3784">
        <v>0</v>
      </c>
      <c r="AH3784" t="str">
        <f t="shared" si="180"/>
        <v>Warisnagar</v>
      </c>
      <c r="AJ3784" s="72">
        <v>0</v>
      </c>
      <c r="AK3784" s="72"/>
      <c r="AL3784" s="72"/>
      <c r="AM3784" s="72"/>
    </row>
    <row r="3785" spans="1:39" x14ac:dyDescent="0.25">
      <c r="A3785" s="37" t="s">
        <v>62</v>
      </c>
      <c r="B3785" s="66" t="s">
        <v>1676</v>
      </c>
      <c r="C3785" s="4">
        <v>1057</v>
      </c>
      <c r="D3785" s="41" t="s">
        <v>1174</v>
      </c>
      <c r="E3785" s="41">
        <v>10570042</v>
      </c>
      <c r="F3785" s="85" t="s">
        <v>1458</v>
      </c>
      <c r="G3785" s="39" t="s">
        <v>92</v>
      </c>
      <c r="H3785" s="52" t="s">
        <v>93</v>
      </c>
      <c r="I3785" s="52">
        <v>171.49999999999997</v>
      </c>
      <c r="J3785" s="49">
        <v>7353.2100000000019</v>
      </c>
      <c r="K3785" s="58">
        <v>43.8</v>
      </c>
      <c r="L3785" s="58">
        <v>1857.12</v>
      </c>
      <c r="M3785" s="58">
        <v>123.4</v>
      </c>
      <c r="N3785" s="58">
        <v>5436.98</v>
      </c>
      <c r="O3785" s="58">
        <v>167.2</v>
      </c>
      <c r="P3785" s="53">
        <v>7294.0999999999995</v>
      </c>
      <c r="Q3785" s="65">
        <v>7294.0999999999995</v>
      </c>
      <c r="R3785" s="65">
        <v>0</v>
      </c>
      <c r="S3785" s="65">
        <v>61.68</v>
      </c>
      <c r="T3785" s="65">
        <v>0</v>
      </c>
      <c r="U3785" s="58">
        <v>0</v>
      </c>
      <c r="V3785" s="65">
        <v>0</v>
      </c>
      <c r="W3785" s="65">
        <v>0</v>
      </c>
      <c r="X3785" s="65">
        <v>1857</v>
      </c>
      <c r="Y3785" s="65">
        <v>5375</v>
      </c>
      <c r="Z3785" s="51">
        <v>0</v>
      </c>
      <c r="AA3785" s="51">
        <v>60</v>
      </c>
      <c r="AB3785" s="102">
        <v>0</v>
      </c>
      <c r="AC3785" s="81">
        <f t="shared" si="181"/>
        <v>453.19784081632673</v>
      </c>
      <c r="AD3785" s="82">
        <f t="shared" si="182"/>
        <v>24.499999999999996</v>
      </c>
      <c r="AE3785" s="218">
        <v>8.0386661063674755E-3</v>
      </c>
      <c r="AF3785">
        <v>7</v>
      </c>
      <c r="AH3785" t="str">
        <f t="shared" si="180"/>
        <v>Warisnagar</v>
      </c>
      <c r="AJ3785" s="72">
        <v>0</v>
      </c>
      <c r="AK3785" s="72"/>
      <c r="AL3785" s="72"/>
      <c r="AM3785" s="72"/>
    </row>
    <row r="3786" spans="1:39" x14ac:dyDescent="0.25">
      <c r="A3786" s="37" t="s">
        <v>62</v>
      </c>
      <c r="B3786" s="66" t="s">
        <v>1676</v>
      </c>
      <c r="C3786" s="4">
        <v>1057</v>
      </c>
      <c r="D3786" s="41" t="s">
        <v>1174</v>
      </c>
      <c r="E3786" s="41">
        <v>10570044</v>
      </c>
      <c r="F3786" s="85" t="s">
        <v>1392</v>
      </c>
      <c r="G3786" s="39" t="s">
        <v>92</v>
      </c>
      <c r="H3786" s="52" t="s">
        <v>93</v>
      </c>
      <c r="I3786" s="52">
        <v>141.10000000000002</v>
      </c>
      <c r="J3786" s="49">
        <v>6564.9900000000007</v>
      </c>
      <c r="K3786" s="58">
        <v>17.7</v>
      </c>
      <c r="L3786" s="58">
        <v>838.98</v>
      </c>
      <c r="M3786" s="58">
        <v>120.00000000000001</v>
      </c>
      <c r="N3786" s="58">
        <v>5688</v>
      </c>
      <c r="O3786" s="58">
        <v>137.70000000000002</v>
      </c>
      <c r="P3786" s="53">
        <v>6526.98</v>
      </c>
      <c r="Q3786" s="65">
        <v>6526.98</v>
      </c>
      <c r="R3786" s="65">
        <v>0</v>
      </c>
      <c r="S3786" s="65">
        <v>142.19999999999999</v>
      </c>
      <c r="T3786" s="65">
        <v>0</v>
      </c>
      <c r="U3786" s="58">
        <v>0</v>
      </c>
      <c r="V3786" s="65">
        <v>0</v>
      </c>
      <c r="W3786" s="65">
        <v>0</v>
      </c>
      <c r="X3786" s="65">
        <v>839</v>
      </c>
      <c r="Y3786" s="65">
        <v>5550</v>
      </c>
      <c r="Z3786" s="51">
        <v>0</v>
      </c>
      <c r="AA3786" s="51">
        <v>34</v>
      </c>
      <c r="AB3786" s="102">
        <v>0</v>
      </c>
      <c r="AC3786" s="81">
        <f t="shared" si="181"/>
        <v>520.08120637845491</v>
      </c>
      <c r="AD3786" s="82">
        <f t="shared" si="182"/>
        <v>20.157142857142862</v>
      </c>
      <c r="AE3786" s="218">
        <v>5.7898031832494985E-3</v>
      </c>
      <c r="AF3786">
        <v>12</v>
      </c>
      <c r="AH3786" t="str">
        <f t="shared" si="180"/>
        <v>Warisnagar</v>
      </c>
      <c r="AJ3786" s="72">
        <v>0</v>
      </c>
      <c r="AK3786" s="72"/>
      <c r="AL3786" s="72"/>
      <c r="AM3786" s="72"/>
    </row>
    <row r="3787" spans="1:39" x14ac:dyDescent="0.25">
      <c r="A3787" s="37" t="s">
        <v>62</v>
      </c>
      <c r="B3787" s="66" t="s">
        <v>1676</v>
      </c>
      <c r="C3787" s="4">
        <v>1057</v>
      </c>
      <c r="D3787" s="41" t="s">
        <v>1174</v>
      </c>
      <c r="E3787" s="41">
        <v>10570045</v>
      </c>
      <c r="F3787" s="85" t="s">
        <v>1342</v>
      </c>
      <c r="G3787" s="39" t="s">
        <v>92</v>
      </c>
      <c r="H3787" s="52" t="s">
        <v>93</v>
      </c>
      <c r="I3787" s="52">
        <v>1008.8000000000001</v>
      </c>
      <c r="J3787" s="49">
        <v>40829.9</v>
      </c>
      <c r="K3787" s="58">
        <v>1005.6999999999996</v>
      </c>
      <c r="L3787" s="58">
        <v>40593.680000000008</v>
      </c>
      <c r="M3787" s="58">
        <v>2.5</v>
      </c>
      <c r="N3787" s="58">
        <v>97.45</v>
      </c>
      <c r="O3787" s="58">
        <v>1008.1999999999996</v>
      </c>
      <c r="P3787" s="53">
        <v>40691.130000000005</v>
      </c>
      <c r="Q3787" s="65">
        <v>40691.130000000005</v>
      </c>
      <c r="R3787" s="65">
        <v>0</v>
      </c>
      <c r="S3787" s="65">
        <v>97.45</v>
      </c>
      <c r="T3787" s="65">
        <v>0</v>
      </c>
      <c r="U3787" s="58">
        <v>0</v>
      </c>
      <c r="V3787" s="65">
        <v>0</v>
      </c>
      <c r="W3787" s="65">
        <v>0</v>
      </c>
      <c r="X3787" s="65">
        <v>40596</v>
      </c>
      <c r="Y3787" s="65">
        <v>0</v>
      </c>
      <c r="Z3787" s="51">
        <v>0</v>
      </c>
      <c r="AA3787" s="51">
        <v>136</v>
      </c>
      <c r="AB3787" s="102">
        <v>0</v>
      </c>
      <c r="AC3787" s="81">
        <f t="shared" si="181"/>
        <v>0</v>
      </c>
      <c r="AD3787" s="82">
        <f t="shared" si="182"/>
        <v>0</v>
      </c>
      <c r="AE3787" s="218">
        <v>3.3987347507585565E-3</v>
      </c>
      <c r="AF3787">
        <v>19</v>
      </c>
      <c r="AH3787" t="str">
        <f t="shared" si="180"/>
        <v>Warisnagar</v>
      </c>
      <c r="AJ3787" s="72">
        <v>0</v>
      </c>
      <c r="AK3787" s="72"/>
      <c r="AL3787" s="72"/>
      <c r="AM3787" s="72"/>
    </row>
    <row r="3788" spans="1:39" x14ac:dyDescent="0.25">
      <c r="A3788" s="37" t="s">
        <v>62</v>
      </c>
      <c r="B3788" s="66" t="s">
        <v>1676</v>
      </c>
      <c r="C3788" s="4">
        <v>1057</v>
      </c>
      <c r="D3788" s="41" t="s">
        <v>1174</v>
      </c>
      <c r="E3788" s="41">
        <v>10570046</v>
      </c>
      <c r="F3788" s="85" t="s">
        <v>1343</v>
      </c>
      <c r="G3788" s="39" t="s">
        <v>1610</v>
      </c>
      <c r="H3788" s="52" t="s">
        <v>98</v>
      </c>
      <c r="I3788" s="52">
        <v>415.79999999999995</v>
      </c>
      <c r="J3788" s="49">
        <v>15179.439999999999</v>
      </c>
      <c r="K3788" s="58">
        <v>0</v>
      </c>
      <c r="L3788" s="58">
        <v>0</v>
      </c>
      <c r="M3788" s="58">
        <v>0</v>
      </c>
      <c r="N3788" s="58">
        <v>0</v>
      </c>
      <c r="O3788" s="58">
        <v>0</v>
      </c>
      <c r="P3788" s="53">
        <v>0</v>
      </c>
      <c r="Q3788" s="65">
        <v>15179.439999999999</v>
      </c>
      <c r="R3788" s="65">
        <v>0</v>
      </c>
      <c r="S3788" s="65">
        <v>0</v>
      </c>
      <c r="T3788" s="65">
        <v>0</v>
      </c>
      <c r="U3788" s="58">
        <v>0</v>
      </c>
      <c r="V3788" s="65">
        <v>0</v>
      </c>
      <c r="W3788" s="65">
        <v>0</v>
      </c>
      <c r="X3788" s="65">
        <v>0</v>
      </c>
      <c r="Y3788" s="65">
        <v>0</v>
      </c>
      <c r="Z3788" s="51">
        <v>15179.439999999999</v>
      </c>
      <c r="AA3788" s="51">
        <v>0</v>
      </c>
      <c r="AB3788" s="102">
        <v>0</v>
      </c>
      <c r="AC3788" s="81">
        <f t="shared" si="181"/>
        <v>207.50345589225591</v>
      </c>
      <c r="AD3788" s="82">
        <f t="shared" si="182"/>
        <v>59.399999999999991</v>
      </c>
      <c r="AE3788" s="218">
        <v>0</v>
      </c>
      <c r="AF3788">
        <v>0</v>
      </c>
      <c r="AH3788" t="str">
        <f t="shared" si="180"/>
        <v>Warisnagar</v>
      </c>
      <c r="AJ3788" s="72">
        <v>0</v>
      </c>
      <c r="AK3788" s="72"/>
      <c r="AL3788" s="72"/>
      <c r="AM3788" s="72"/>
    </row>
    <row r="3789" spans="1:39" x14ac:dyDescent="0.25">
      <c r="A3789" s="37" t="s">
        <v>62</v>
      </c>
      <c r="B3789" s="66" t="s">
        <v>1676</v>
      </c>
      <c r="C3789" s="4">
        <v>1057</v>
      </c>
      <c r="D3789" s="41" t="s">
        <v>1174</v>
      </c>
      <c r="E3789" s="41">
        <v>10570047</v>
      </c>
      <c r="F3789" s="85" t="s">
        <v>1379</v>
      </c>
      <c r="G3789" s="39" t="s">
        <v>92</v>
      </c>
      <c r="H3789" s="52" t="s">
        <v>93</v>
      </c>
      <c r="I3789" s="52">
        <v>355.7</v>
      </c>
      <c r="J3789" s="49">
        <v>15447.7</v>
      </c>
      <c r="K3789" s="58">
        <v>281.39999999999998</v>
      </c>
      <c r="L3789" s="58">
        <v>11174.64</v>
      </c>
      <c r="M3789" s="58">
        <v>74.599999999999994</v>
      </c>
      <c r="N3789" s="58">
        <v>4265.1000000000004</v>
      </c>
      <c r="O3789" s="58">
        <v>356</v>
      </c>
      <c r="P3789" s="53">
        <v>15439.74</v>
      </c>
      <c r="Q3789" s="65">
        <v>15439.74</v>
      </c>
      <c r="R3789" s="65">
        <v>0</v>
      </c>
      <c r="S3789" s="65">
        <v>177.39000000000001</v>
      </c>
      <c r="T3789" s="65">
        <v>0</v>
      </c>
      <c r="U3789" s="58">
        <v>0</v>
      </c>
      <c r="V3789" s="65">
        <v>0</v>
      </c>
      <c r="W3789" s="65">
        <v>0</v>
      </c>
      <c r="X3789" s="65">
        <v>11175</v>
      </c>
      <c r="Y3789" s="65">
        <v>4088</v>
      </c>
      <c r="Z3789" s="51">
        <v>0</v>
      </c>
      <c r="AA3789" s="51">
        <v>7</v>
      </c>
      <c r="AB3789" s="102">
        <v>0</v>
      </c>
      <c r="AC3789" s="81">
        <f t="shared" si="181"/>
        <v>299.05218498734888</v>
      </c>
      <c r="AD3789" s="82">
        <f t="shared" si="182"/>
        <v>50.81428571428571</v>
      </c>
      <c r="AE3789" s="218">
        <v>5.1528706538843622E-4</v>
      </c>
      <c r="AF3789">
        <v>15</v>
      </c>
      <c r="AH3789" t="str">
        <f t="shared" si="180"/>
        <v>Warisnagar</v>
      </c>
      <c r="AJ3789" s="72">
        <v>0</v>
      </c>
      <c r="AK3789" s="72"/>
      <c r="AL3789" s="72"/>
      <c r="AM3789" s="72"/>
    </row>
    <row r="3790" spans="1:39" x14ac:dyDescent="0.25">
      <c r="A3790" s="37" t="s">
        <v>62</v>
      </c>
      <c r="B3790" s="66" t="s">
        <v>1676</v>
      </c>
      <c r="C3790" s="4">
        <v>1057</v>
      </c>
      <c r="D3790" s="41" t="s">
        <v>1174</v>
      </c>
      <c r="E3790" s="41">
        <v>10570049</v>
      </c>
      <c r="F3790" s="85" t="s">
        <v>1393</v>
      </c>
      <c r="G3790" s="39" t="s">
        <v>92</v>
      </c>
      <c r="H3790" s="52" t="s">
        <v>93</v>
      </c>
      <c r="I3790" s="52">
        <v>468.9</v>
      </c>
      <c r="J3790" s="49">
        <v>20229.05</v>
      </c>
      <c r="K3790" s="58">
        <v>69.90000000000002</v>
      </c>
      <c r="L3790" s="58">
        <v>2872.8799999999997</v>
      </c>
      <c r="M3790" s="58">
        <v>400.8</v>
      </c>
      <c r="N3790" s="58">
        <v>17343.059999999998</v>
      </c>
      <c r="O3790" s="58">
        <v>470.70000000000005</v>
      </c>
      <c r="P3790" s="53">
        <v>20215.939999999999</v>
      </c>
      <c r="Q3790" s="65">
        <v>20215.939999999999</v>
      </c>
      <c r="R3790" s="65">
        <v>0</v>
      </c>
      <c r="S3790" s="65">
        <v>67.55</v>
      </c>
      <c r="T3790" s="65">
        <v>0</v>
      </c>
      <c r="U3790" s="58">
        <v>0</v>
      </c>
      <c r="V3790" s="65">
        <v>0</v>
      </c>
      <c r="W3790" s="65">
        <v>0</v>
      </c>
      <c r="X3790" s="65">
        <v>2873</v>
      </c>
      <c r="Y3790" s="65">
        <v>17276</v>
      </c>
      <c r="Z3790" s="51">
        <v>0</v>
      </c>
      <c r="AA3790" s="51">
        <v>13</v>
      </c>
      <c r="AB3790" s="102">
        <v>0</v>
      </c>
      <c r="AC3790" s="81">
        <f t="shared" si="181"/>
        <v>199.40001940712307</v>
      </c>
      <c r="AD3790" s="82">
        <f t="shared" si="182"/>
        <v>66.98571428571428</v>
      </c>
      <c r="AE3790" s="218">
        <v>6.4807788798784834E-4</v>
      </c>
      <c r="AF3790">
        <v>11</v>
      </c>
      <c r="AH3790" t="str">
        <f t="shared" si="180"/>
        <v>Warisnagar</v>
      </c>
      <c r="AJ3790" s="72">
        <v>0</v>
      </c>
      <c r="AK3790" s="72"/>
      <c r="AL3790" s="72"/>
      <c r="AM3790" s="72"/>
    </row>
    <row r="3791" spans="1:39" x14ac:dyDescent="0.25">
      <c r="A3791" s="37" t="s">
        <v>62</v>
      </c>
      <c r="B3791" s="66" t="s">
        <v>1676</v>
      </c>
      <c r="C3791" s="4">
        <v>1057</v>
      </c>
      <c r="D3791" s="41" t="s">
        <v>1174</v>
      </c>
      <c r="E3791" s="41">
        <v>10570051</v>
      </c>
      <c r="F3791" s="85" t="s">
        <v>1542</v>
      </c>
      <c r="G3791" s="39" t="s">
        <v>92</v>
      </c>
      <c r="H3791" s="52" t="s">
        <v>93</v>
      </c>
      <c r="I3791" s="52">
        <v>121.19999999999997</v>
      </c>
      <c r="J3791" s="49">
        <v>4451.5</v>
      </c>
      <c r="K3791" s="58">
        <v>120.99999999999999</v>
      </c>
      <c r="L3791" s="58">
        <v>4205.670000000001</v>
      </c>
      <c r="M3791" s="58">
        <v>6.2</v>
      </c>
      <c r="N3791" s="58">
        <v>224.07000000000002</v>
      </c>
      <c r="O3791" s="58">
        <v>127.19999999999999</v>
      </c>
      <c r="P3791" s="53">
        <v>4429.7400000000007</v>
      </c>
      <c r="Q3791" s="65">
        <v>4429.7400000000007</v>
      </c>
      <c r="R3791" s="65">
        <v>0</v>
      </c>
      <c r="S3791" s="65">
        <v>0</v>
      </c>
      <c r="T3791" s="65">
        <v>0</v>
      </c>
      <c r="U3791" s="58">
        <v>0</v>
      </c>
      <c r="V3791" s="65">
        <v>0</v>
      </c>
      <c r="W3791" s="65">
        <v>0</v>
      </c>
      <c r="X3791" s="65">
        <v>4206</v>
      </c>
      <c r="Y3791" s="65">
        <v>224</v>
      </c>
      <c r="Z3791" s="51">
        <v>0</v>
      </c>
      <c r="AA3791" s="51">
        <v>22</v>
      </c>
      <c r="AB3791" s="102">
        <v>0</v>
      </c>
      <c r="AC3791" s="81">
        <f t="shared" si="181"/>
        <v>425.16966996699682</v>
      </c>
      <c r="AD3791" s="82">
        <f t="shared" si="182"/>
        <v>17.31428571428571</v>
      </c>
      <c r="AE3791" s="218">
        <v>4.8882399191282283E-3</v>
      </c>
      <c r="AF3791">
        <v>5</v>
      </c>
      <c r="AH3791" t="str">
        <f t="shared" si="180"/>
        <v>Warisnagar</v>
      </c>
      <c r="AJ3791" s="72">
        <v>0</v>
      </c>
      <c r="AK3791" s="72"/>
      <c r="AL3791" s="72"/>
      <c r="AM3791" s="72"/>
    </row>
    <row r="3792" spans="1:39" x14ac:dyDescent="0.25">
      <c r="A3792" s="37" t="s">
        <v>62</v>
      </c>
      <c r="B3792" s="66" t="s">
        <v>1676</v>
      </c>
      <c r="C3792" s="4">
        <v>1057</v>
      </c>
      <c r="D3792" s="41" t="s">
        <v>1174</v>
      </c>
      <c r="E3792" s="41">
        <v>10570053</v>
      </c>
      <c r="F3792" s="85" t="s">
        <v>1413</v>
      </c>
      <c r="G3792" s="39" t="s">
        <v>1610</v>
      </c>
      <c r="H3792" s="52" t="s">
        <v>98</v>
      </c>
      <c r="I3792" s="52">
        <v>207.8</v>
      </c>
      <c r="J3792" s="49">
        <v>7706.2800000000007</v>
      </c>
      <c r="K3792" s="58">
        <v>0</v>
      </c>
      <c r="L3792" s="58">
        <v>0</v>
      </c>
      <c r="M3792" s="58">
        <v>0</v>
      </c>
      <c r="N3792" s="58">
        <v>0</v>
      </c>
      <c r="O3792" s="58">
        <v>0</v>
      </c>
      <c r="P3792" s="53">
        <v>0</v>
      </c>
      <c r="Q3792" s="65">
        <v>7706.2800000000007</v>
      </c>
      <c r="R3792" s="65">
        <v>0</v>
      </c>
      <c r="S3792" s="65">
        <v>0</v>
      </c>
      <c r="T3792" s="65">
        <v>0</v>
      </c>
      <c r="U3792" s="58">
        <v>0</v>
      </c>
      <c r="V3792" s="65">
        <v>0</v>
      </c>
      <c r="W3792" s="65">
        <v>0</v>
      </c>
      <c r="X3792" s="65">
        <v>0</v>
      </c>
      <c r="Y3792" s="65">
        <v>0</v>
      </c>
      <c r="Z3792" s="51">
        <v>7706.2800000000007</v>
      </c>
      <c r="AA3792" s="51">
        <v>0</v>
      </c>
      <c r="AB3792" s="102">
        <v>0</v>
      </c>
      <c r="AC3792" s="81">
        <f t="shared" si="181"/>
        <v>365.06554533205008</v>
      </c>
      <c r="AD3792" s="82">
        <f t="shared" si="182"/>
        <v>29.685714285714287</v>
      </c>
      <c r="AE3792" s="218">
        <v>0</v>
      </c>
      <c r="AF3792">
        <v>0</v>
      </c>
      <c r="AH3792" t="str">
        <f t="shared" si="180"/>
        <v>Warisnagar</v>
      </c>
      <c r="AJ3792" s="72">
        <v>0</v>
      </c>
      <c r="AK3792" s="72"/>
      <c r="AL3792" s="72"/>
      <c r="AM3792" s="72"/>
    </row>
    <row r="3793" spans="1:39" x14ac:dyDescent="0.25">
      <c r="A3793" s="37" t="s">
        <v>62</v>
      </c>
      <c r="B3793" s="66" t="s">
        <v>1676</v>
      </c>
      <c r="C3793" s="4">
        <v>1057</v>
      </c>
      <c r="D3793" s="41" t="s">
        <v>1174</v>
      </c>
      <c r="E3793" s="41">
        <v>10570055</v>
      </c>
      <c r="F3793" s="85" t="s">
        <v>1436</v>
      </c>
      <c r="G3793" s="39" t="s">
        <v>92</v>
      </c>
      <c r="H3793" s="52" t="s">
        <v>93</v>
      </c>
      <c r="I3793" s="52">
        <v>708.19999999999993</v>
      </c>
      <c r="J3793" s="49">
        <v>27968</v>
      </c>
      <c r="K3793" s="58">
        <v>33.9</v>
      </c>
      <c r="L3793" s="58">
        <v>1500.7499999999998</v>
      </c>
      <c r="M3793" s="58">
        <v>674.30000000000018</v>
      </c>
      <c r="N3793" s="58">
        <v>26338.989999999998</v>
      </c>
      <c r="O3793" s="58">
        <v>708.20000000000016</v>
      </c>
      <c r="P3793" s="53">
        <v>27839.739999999998</v>
      </c>
      <c r="Q3793" s="65">
        <v>27839.739999999998</v>
      </c>
      <c r="R3793" s="65">
        <v>0</v>
      </c>
      <c r="S3793" s="65">
        <v>98.05</v>
      </c>
      <c r="T3793" s="65">
        <v>0</v>
      </c>
      <c r="U3793" s="58">
        <v>0</v>
      </c>
      <c r="V3793" s="65">
        <v>0</v>
      </c>
      <c r="W3793" s="65">
        <v>0</v>
      </c>
      <c r="X3793" s="65">
        <v>1501</v>
      </c>
      <c r="Y3793" s="65">
        <v>26240</v>
      </c>
      <c r="Z3793" s="51">
        <v>0</v>
      </c>
      <c r="AA3793" s="51">
        <v>129</v>
      </c>
      <c r="AB3793" s="102">
        <v>0</v>
      </c>
      <c r="AC3793" s="81">
        <f t="shared" si="181"/>
        <v>0</v>
      </c>
      <c r="AD3793" s="82">
        <f t="shared" si="182"/>
        <v>0</v>
      </c>
      <c r="AE3793" s="218">
        <v>4.5859553775744431E-3</v>
      </c>
      <c r="AF3793">
        <v>10</v>
      </c>
      <c r="AH3793" t="str">
        <f t="shared" si="180"/>
        <v>Warisnagar</v>
      </c>
      <c r="AJ3793" s="72">
        <v>0</v>
      </c>
      <c r="AK3793" s="72"/>
      <c r="AL3793" s="72"/>
      <c r="AM3793" s="72"/>
    </row>
    <row r="3794" spans="1:39" x14ac:dyDescent="0.25">
      <c r="A3794" s="37" t="s">
        <v>62</v>
      </c>
      <c r="B3794" s="66" t="s">
        <v>1676</v>
      </c>
      <c r="C3794" s="4">
        <v>1057</v>
      </c>
      <c r="D3794" s="41" t="s">
        <v>1174</v>
      </c>
      <c r="E3794" s="41">
        <v>10570058</v>
      </c>
      <c r="F3794" s="85" t="s">
        <v>1467</v>
      </c>
      <c r="G3794" s="39" t="s">
        <v>1610</v>
      </c>
      <c r="H3794" s="52" t="s">
        <v>98</v>
      </c>
      <c r="I3794" s="52">
        <v>1350.6999999999998</v>
      </c>
      <c r="J3794" s="49">
        <v>51272.790000000008</v>
      </c>
      <c r="K3794" s="58">
        <v>0</v>
      </c>
      <c r="L3794" s="58">
        <v>0</v>
      </c>
      <c r="M3794" s="58">
        <v>0</v>
      </c>
      <c r="N3794" s="58">
        <v>0</v>
      </c>
      <c r="O3794" s="58">
        <v>0</v>
      </c>
      <c r="P3794" s="53">
        <v>0</v>
      </c>
      <c r="Q3794" s="65">
        <v>51272.790000000008</v>
      </c>
      <c r="R3794" s="65">
        <v>0</v>
      </c>
      <c r="S3794" s="65">
        <v>0</v>
      </c>
      <c r="T3794" s="65">
        <v>0</v>
      </c>
      <c r="U3794" s="58">
        <v>0</v>
      </c>
      <c r="V3794" s="65">
        <v>0</v>
      </c>
      <c r="W3794" s="65">
        <v>0</v>
      </c>
      <c r="X3794" s="65">
        <v>0</v>
      </c>
      <c r="Y3794" s="65">
        <v>0</v>
      </c>
      <c r="Z3794" s="51">
        <v>51272.790000000008</v>
      </c>
      <c r="AA3794" s="51">
        <v>0</v>
      </c>
      <c r="AB3794" s="102">
        <v>0</v>
      </c>
      <c r="AC3794" s="81">
        <f t="shared" si="181"/>
        <v>0</v>
      </c>
      <c r="AD3794" s="82">
        <f t="shared" si="182"/>
        <v>0</v>
      </c>
      <c r="AE3794" s="218">
        <v>0</v>
      </c>
      <c r="AF3794">
        <v>0</v>
      </c>
      <c r="AH3794" t="str">
        <f t="shared" si="180"/>
        <v>Warisnagar</v>
      </c>
      <c r="AJ3794" s="72">
        <v>0</v>
      </c>
      <c r="AK3794" s="72"/>
      <c r="AL3794" s="72"/>
      <c r="AM3794" s="72"/>
    </row>
    <row r="3795" spans="1:39" x14ac:dyDescent="0.25">
      <c r="A3795" s="37" t="s">
        <v>62</v>
      </c>
      <c r="B3795" s="66" t="s">
        <v>1676</v>
      </c>
      <c r="C3795" s="4">
        <v>1057</v>
      </c>
      <c r="D3795" s="41" t="s">
        <v>1174</v>
      </c>
      <c r="E3795" s="41">
        <v>10570059</v>
      </c>
      <c r="F3795" s="85" t="s">
        <v>1468</v>
      </c>
      <c r="G3795" s="39" t="s">
        <v>1610</v>
      </c>
      <c r="H3795" s="52" t="s">
        <v>98</v>
      </c>
      <c r="I3795" s="52">
        <v>1497.5000000000002</v>
      </c>
      <c r="J3795" s="49">
        <v>65704.25</v>
      </c>
      <c r="K3795" s="58">
        <v>0</v>
      </c>
      <c r="L3795" s="58">
        <v>0</v>
      </c>
      <c r="M3795" s="58">
        <v>0</v>
      </c>
      <c r="N3795" s="58">
        <v>0</v>
      </c>
      <c r="O3795" s="58">
        <v>0</v>
      </c>
      <c r="P3795" s="53">
        <v>0</v>
      </c>
      <c r="Q3795" s="65">
        <v>65704.25</v>
      </c>
      <c r="R3795" s="65">
        <v>0</v>
      </c>
      <c r="S3795" s="65">
        <v>0</v>
      </c>
      <c r="T3795" s="65">
        <v>0</v>
      </c>
      <c r="U3795" s="58">
        <v>0</v>
      </c>
      <c r="V3795" s="65">
        <v>0</v>
      </c>
      <c r="W3795" s="65">
        <v>0</v>
      </c>
      <c r="X3795" s="65">
        <v>0</v>
      </c>
      <c r="Y3795" s="65">
        <v>0</v>
      </c>
      <c r="Z3795" s="51">
        <v>65704.25</v>
      </c>
      <c r="AA3795" s="51">
        <v>0</v>
      </c>
      <c r="AB3795" s="102">
        <v>0</v>
      </c>
      <c r="AC3795" s="81">
        <f t="shared" si="181"/>
        <v>0</v>
      </c>
      <c r="AD3795" s="82">
        <f t="shared" si="182"/>
        <v>0</v>
      </c>
      <c r="AE3795" s="218">
        <v>0</v>
      </c>
      <c r="AF3795">
        <v>0</v>
      </c>
      <c r="AH3795" t="str">
        <f t="shared" si="180"/>
        <v>Warisnagar</v>
      </c>
      <c r="AJ3795" s="72">
        <v>0</v>
      </c>
      <c r="AK3795" s="72"/>
      <c r="AL3795" s="72"/>
      <c r="AM3795" s="72"/>
    </row>
    <row r="3796" spans="1:39" x14ac:dyDescent="0.25">
      <c r="A3796" s="37" t="s">
        <v>62</v>
      </c>
      <c r="B3796" s="66" t="s">
        <v>1676</v>
      </c>
      <c r="C3796" s="4">
        <v>1057</v>
      </c>
      <c r="D3796" s="41" t="s">
        <v>1174</v>
      </c>
      <c r="E3796" s="41">
        <v>10570060</v>
      </c>
      <c r="F3796" s="85" t="s">
        <v>1469</v>
      </c>
      <c r="G3796" s="39" t="s">
        <v>1610</v>
      </c>
      <c r="H3796" s="52" t="s">
        <v>98</v>
      </c>
      <c r="I3796" s="52">
        <v>47</v>
      </c>
      <c r="J3796" s="49">
        <v>1979.64</v>
      </c>
      <c r="K3796" s="58">
        <v>0</v>
      </c>
      <c r="L3796" s="58">
        <v>0</v>
      </c>
      <c r="M3796" s="58">
        <v>0</v>
      </c>
      <c r="N3796" s="58">
        <v>0</v>
      </c>
      <c r="O3796" s="58">
        <v>0</v>
      </c>
      <c r="P3796" s="53">
        <v>0</v>
      </c>
      <c r="Q3796" s="65">
        <v>1979.64</v>
      </c>
      <c r="R3796" s="65">
        <v>0</v>
      </c>
      <c r="S3796" s="65">
        <v>0</v>
      </c>
      <c r="T3796" s="65">
        <v>0</v>
      </c>
      <c r="U3796" s="58">
        <v>0</v>
      </c>
      <c r="V3796" s="65">
        <v>0</v>
      </c>
      <c r="W3796" s="65">
        <v>0</v>
      </c>
      <c r="X3796" s="65">
        <v>0</v>
      </c>
      <c r="Y3796" s="65">
        <v>0</v>
      </c>
      <c r="Z3796" s="51">
        <v>1979.64</v>
      </c>
      <c r="AA3796" s="51">
        <v>0</v>
      </c>
      <c r="AB3796" s="102">
        <v>0</v>
      </c>
      <c r="AC3796" s="81">
        <f t="shared" si="181"/>
        <v>550.08720000000005</v>
      </c>
      <c r="AD3796" s="82">
        <f t="shared" si="182"/>
        <v>6.7142857142857144</v>
      </c>
      <c r="AE3796" s="218">
        <v>0</v>
      </c>
      <c r="AF3796">
        <v>0</v>
      </c>
      <c r="AH3796" t="str">
        <f t="shared" si="180"/>
        <v>Warisnagar</v>
      </c>
      <c r="AJ3796" s="72">
        <v>0</v>
      </c>
      <c r="AK3796" s="72"/>
      <c r="AL3796" s="72"/>
      <c r="AM3796" s="72"/>
    </row>
    <row r="3797" spans="1:39" x14ac:dyDescent="0.25">
      <c r="A3797" s="37" t="s">
        <v>62</v>
      </c>
      <c r="B3797" s="66" t="s">
        <v>1676</v>
      </c>
      <c r="C3797" s="4">
        <v>1057</v>
      </c>
      <c r="D3797" s="41" t="s">
        <v>1174</v>
      </c>
      <c r="E3797" s="41">
        <v>10570062</v>
      </c>
      <c r="F3797" s="85" t="s">
        <v>1494</v>
      </c>
      <c r="G3797" s="39" t="s">
        <v>1610</v>
      </c>
      <c r="H3797" s="52" t="s">
        <v>98</v>
      </c>
      <c r="I3797" s="52">
        <v>3066.0000000000005</v>
      </c>
      <c r="J3797" s="49">
        <v>115825.53000000001</v>
      </c>
      <c r="K3797" s="58">
        <v>0</v>
      </c>
      <c r="L3797" s="58">
        <v>0</v>
      </c>
      <c r="M3797" s="58">
        <v>0</v>
      </c>
      <c r="N3797" s="58">
        <v>0</v>
      </c>
      <c r="O3797" s="58">
        <v>0</v>
      </c>
      <c r="P3797" s="53">
        <v>0</v>
      </c>
      <c r="Q3797" s="65">
        <v>115825.53000000001</v>
      </c>
      <c r="R3797" s="65">
        <v>0</v>
      </c>
      <c r="S3797" s="65">
        <v>0</v>
      </c>
      <c r="T3797" s="65">
        <v>0</v>
      </c>
      <c r="U3797" s="58">
        <v>0</v>
      </c>
      <c r="V3797" s="65">
        <v>0</v>
      </c>
      <c r="W3797" s="65">
        <v>0</v>
      </c>
      <c r="X3797" s="65">
        <v>0</v>
      </c>
      <c r="Y3797" s="65">
        <v>0</v>
      </c>
      <c r="Z3797" s="51">
        <v>115825.53000000001</v>
      </c>
      <c r="AA3797" s="51">
        <v>0</v>
      </c>
      <c r="AB3797" s="102">
        <v>0</v>
      </c>
      <c r="AC3797" s="81">
        <f t="shared" si="181"/>
        <v>0</v>
      </c>
      <c r="AD3797" s="82">
        <f t="shared" si="182"/>
        <v>0</v>
      </c>
      <c r="AE3797" s="218">
        <v>0</v>
      </c>
      <c r="AF3797">
        <v>0</v>
      </c>
      <c r="AH3797" t="str">
        <f t="shared" si="180"/>
        <v>Warisnagar</v>
      </c>
      <c r="AJ3797" s="72">
        <v>0</v>
      </c>
      <c r="AK3797" s="72"/>
      <c r="AL3797" s="72"/>
      <c r="AM3797" s="72"/>
    </row>
    <row r="3798" spans="1:39" x14ac:dyDescent="0.25">
      <c r="A3798" s="37" t="s">
        <v>62</v>
      </c>
      <c r="B3798" s="66" t="s">
        <v>1676</v>
      </c>
      <c r="C3798" s="4">
        <v>1057</v>
      </c>
      <c r="D3798" s="41" t="s">
        <v>1174</v>
      </c>
      <c r="E3798" s="41">
        <v>10570065</v>
      </c>
      <c r="F3798" s="85" t="s">
        <v>1554</v>
      </c>
      <c r="G3798" s="39" t="s">
        <v>1610</v>
      </c>
      <c r="H3798" s="52" t="s">
        <v>98</v>
      </c>
      <c r="I3798" s="52">
        <v>166.20000000000002</v>
      </c>
      <c r="J3798" s="49">
        <v>6168.07</v>
      </c>
      <c r="K3798" s="58">
        <v>0</v>
      </c>
      <c r="L3798" s="58">
        <v>0</v>
      </c>
      <c r="M3798" s="58">
        <v>0</v>
      </c>
      <c r="N3798" s="58">
        <v>0</v>
      </c>
      <c r="O3798" s="58">
        <v>0</v>
      </c>
      <c r="P3798" s="53">
        <v>0</v>
      </c>
      <c r="Q3798" s="65">
        <v>6168.07</v>
      </c>
      <c r="R3798" s="65">
        <v>0</v>
      </c>
      <c r="S3798" s="65">
        <v>0</v>
      </c>
      <c r="T3798" s="65">
        <v>0</v>
      </c>
      <c r="U3798" s="58">
        <v>0</v>
      </c>
      <c r="V3798" s="65">
        <v>0</v>
      </c>
      <c r="W3798" s="65">
        <v>0</v>
      </c>
      <c r="X3798" s="65">
        <v>0</v>
      </c>
      <c r="Y3798" s="65">
        <v>0</v>
      </c>
      <c r="Z3798" s="51">
        <v>6168.07</v>
      </c>
      <c r="AA3798" s="51">
        <v>0</v>
      </c>
      <c r="AB3798" s="102">
        <v>0</v>
      </c>
      <c r="AC3798" s="81">
        <f t="shared" si="181"/>
        <v>396.21128351383868</v>
      </c>
      <c r="AD3798" s="82">
        <f t="shared" si="182"/>
        <v>23.742857142857144</v>
      </c>
      <c r="AE3798" s="218">
        <v>0</v>
      </c>
      <c r="AF3798">
        <v>0</v>
      </c>
      <c r="AH3798" t="str">
        <f t="shared" si="180"/>
        <v>Warisnagar</v>
      </c>
      <c r="AJ3798" s="72">
        <v>0</v>
      </c>
      <c r="AK3798" s="72"/>
      <c r="AL3798" s="72"/>
      <c r="AM3798" s="72"/>
    </row>
    <row r="3799" spans="1:39" x14ac:dyDescent="0.25">
      <c r="A3799" s="37" t="s">
        <v>62</v>
      </c>
      <c r="B3799" s="66" t="s">
        <v>1676</v>
      </c>
      <c r="C3799" s="4">
        <v>1057</v>
      </c>
      <c r="D3799" s="41" t="s">
        <v>1174</v>
      </c>
      <c r="E3799" s="41">
        <v>10570066</v>
      </c>
      <c r="F3799" s="85" t="s">
        <v>1555</v>
      </c>
      <c r="G3799" s="39" t="s">
        <v>1610</v>
      </c>
      <c r="H3799" s="52" t="s">
        <v>98</v>
      </c>
      <c r="I3799" s="52">
        <v>128.4</v>
      </c>
      <c r="J3799" s="49">
        <v>4557.37</v>
      </c>
      <c r="K3799" s="58">
        <v>0</v>
      </c>
      <c r="L3799" s="58">
        <v>0</v>
      </c>
      <c r="M3799" s="58">
        <v>0</v>
      </c>
      <c r="N3799" s="58">
        <v>0</v>
      </c>
      <c r="O3799" s="58">
        <v>0</v>
      </c>
      <c r="P3799" s="53">
        <v>0</v>
      </c>
      <c r="Q3799" s="65">
        <v>4557.37</v>
      </c>
      <c r="R3799" s="65">
        <v>0</v>
      </c>
      <c r="S3799" s="65">
        <v>0</v>
      </c>
      <c r="T3799" s="65">
        <v>0</v>
      </c>
      <c r="U3799" s="58">
        <v>0</v>
      </c>
      <c r="V3799" s="65">
        <v>0</v>
      </c>
      <c r="W3799" s="65">
        <v>0</v>
      </c>
      <c r="X3799" s="65">
        <v>0</v>
      </c>
      <c r="Y3799" s="65">
        <v>0</v>
      </c>
      <c r="Z3799" s="51">
        <v>4557.37</v>
      </c>
      <c r="AA3799" s="51">
        <v>0</v>
      </c>
      <c r="AB3799" s="102">
        <v>0</v>
      </c>
      <c r="AC3799" s="81">
        <f t="shared" si="181"/>
        <v>405.76210155763238</v>
      </c>
      <c r="AD3799" s="82">
        <f t="shared" si="182"/>
        <v>18.342857142857145</v>
      </c>
      <c r="AE3799" s="218">
        <v>0</v>
      </c>
      <c r="AF3799">
        <v>0</v>
      </c>
      <c r="AH3799" t="str">
        <f t="shared" si="180"/>
        <v>Warisnagar</v>
      </c>
      <c r="AJ3799" s="72">
        <v>0</v>
      </c>
      <c r="AK3799" s="72"/>
      <c r="AL3799" s="72"/>
      <c r="AM3799" s="72"/>
    </row>
    <row r="3800" spans="1:39" x14ac:dyDescent="0.25">
      <c r="A3800" s="37" t="s">
        <v>62</v>
      </c>
      <c r="B3800" s="66" t="s">
        <v>1676</v>
      </c>
      <c r="C3800" s="4">
        <v>1057</v>
      </c>
      <c r="D3800" s="41" t="s">
        <v>1174</v>
      </c>
      <c r="E3800" s="41">
        <v>10570067</v>
      </c>
      <c r="F3800" s="85" t="s">
        <v>1583</v>
      </c>
      <c r="G3800" s="39" t="s">
        <v>1610</v>
      </c>
      <c r="H3800" s="52" t="s">
        <v>98</v>
      </c>
      <c r="I3800" s="52">
        <v>272.5</v>
      </c>
      <c r="J3800" s="49">
        <v>10112.18</v>
      </c>
      <c r="K3800" s="58">
        <v>0</v>
      </c>
      <c r="L3800" s="58">
        <v>0</v>
      </c>
      <c r="M3800" s="58">
        <v>0</v>
      </c>
      <c r="N3800" s="58">
        <v>0</v>
      </c>
      <c r="O3800" s="58">
        <v>0</v>
      </c>
      <c r="P3800" s="53">
        <v>0</v>
      </c>
      <c r="Q3800" s="65">
        <v>10112.18</v>
      </c>
      <c r="R3800" s="65">
        <v>0</v>
      </c>
      <c r="S3800" s="65">
        <v>0</v>
      </c>
      <c r="T3800" s="65">
        <v>0</v>
      </c>
      <c r="U3800" s="58">
        <v>0</v>
      </c>
      <c r="V3800" s="65">
        <v>0</v>
      </c>
      <c r="W3800" s="65">
        <v>0</v>
      </c>
      <c r="X3800" s="65">
        <v>0</v>
      </c>
      <c r="Y3800" s="65">
        <v>0</v>
      </c>
      <c r="Z3800" s="51">
        <v>10112.18</v>
      </c>
      <c r="AA3800" s="51">
        <v>0</v>
      </c>
      <c r="AB3800" s="102">
        <v>0</v>
      </c>
      <c r="AC3800" s="81">
        <f t="shared" si="181"/>
        <v>317.28124403669727</v>
      </c>
      <c r="AD3800" s="82">
        <f t="shared" si="182"/>
        <v>38.928571428571431</v>
      </c>
      <c r="AE3800" s="218">
        <v>0</v>
      </c>
      <c r="AF3800">
        <v>0</v>
      </c>
      <c r="AH3800" t="str">
        <f t="shared" si="180"/>
        <v>Warisnagar</v>
      </c>
      <c r="AJ3800" s="72">
        <v>0</v>
      </c>
      <c r="AK3800" s="72"/>
      <c r="AL3800" s="72"/>
      <c r="AM3800" s="72"/>
    </row>
    <row r="3801" spans="1:39" x14ac:dyDescent="0.25">
      <c r="A3801" s="37" t="s">
        <v>62</v>
      </c>
      <c r="B3801" s="66" t="s">
        <v>1676</v>
      </c>
      <c r="C3801" s="4">
        <v>1057</v>
      </c>
      <c r="D3801" s="41" t="s">
        <v>1174</v>
      </c>
      <c r="E3801" s="41">
        <v>10570068</v>
      </c>
      <c r="F3801" s="85" t="s">
        <v>1584</v>
      </c>
      <c r="G3801" s="39" t="s">
        <v>1610</v>
      </c>
      <c r="H3801" s="52" t="s">
        <v>98</v>
      </c>
      <c r="I3801" s="52">
        <v>1066.1999999999998</v>
      </c>
      <c r="J3801" s="49">
        <v>44879.57</v>
      </c>
      <c r="K3801" s="58">
        <v>0</v>
      </c>
      <c r="L3801" s="58">
        <v>0</v>
      </c>
      <c r="M3801" s="58">
        <v>0</v>
      </c>
      <c r="N3801" s="58">
        <v>0</v>
      </c>
      <c r="O3801" s="58">
        <v>0</v>
      </c>
      <c r="P3801" s="53">
        <v>0</v>
      </c>
      <c r="Q3801" s="65">
        <v>44879.57</v>
      </c>
      <c r="R3801" s="65">
        <v>0</v>
      </c>
      <c r="S3801" s="65">
        <v>0</v>
      </c>
      <c r="T3801" s="65">
        <v>0</v>
      </c>
      <c r="U3801" s="58">
        <v>0</v>
      </c>
      <c r="V3801" s="65">
        <v>0</v>
      </c>
      <c r="W3801" s="65">
        <v>0</v>
      </c>
      <c r="X3801" s="65">
        <v>0</v>
      </c>
      <c r="Y3801" s="65">
        <v>0</v>
      </c>
      <c r="Z3801" s="51">
        <v>44879.57</v>
      </c>
      <c r="AA3801" s="51">
        <v>0</v>
      </c>
      <c r="AB3801" s="102">
        <v>0</v>
      </c>
      <c r="AC3801" s="81">
        <f t="shared" si="181"/>
        <v>0</v>
      </c>
      <c r="AD3801" s="82">
        <f t="shared" si="182"/>
        <v>0</v>
      </c>
      <c r="AE3801" s="218">
        <v>0</v>
      </c>
      <c r="AF3801">
        <v>0</v>
      </c>
      <c r="AH3801" t="str">
        <f t="shared" si="180"/>
        <v>Warisnagar</v>
      </c>
      <c r="AJ3801" s="72">
        <v>0</v>
      </c>
      <c r="AK3801" s="72"/>
      <c r="AL3801" s="72"/>
      <c r="AM3801" s="72"/>
    </row>
    <row r="3802" spans="1:39" x14ac:dyDescent="0.25">
      <c r="A3802" s="37" t="s">
        <v>62</v>
      </c>
      <c r="B3802" s="66" t="s">
        <v>1676</v>
      </c>
      <c r="C3802" s="4">
        <v>1057</v>
      </c>
      <c r="D3802" s="41" t="s">
        <v>1174</v>
      </c>
      <c r="E3802" s="41">
        <v>10570069</v>
      </c>
      <c r="F3802" s="85" t="s">
        <v>1605</v>
      </c>
      <c r="G3802" s="39" t="s">
        <v>1610</v>
      </c>
      <c r="H3802" s="52" t="s">
        <v>98</v>
      </c>
      <c r="I3802" s="52">
        <v>1264.9000000000001</v>
      </c>
      <c r="J3802" s="49">
        <v>49851.159999999996</v>
      </c>
      <c r="K3802" s="58">
        <v>0</v>
      </c>
      <c r="L3802" s="58">
        <v>0</v>
      </c>
      <c r="M3802" s="58">
        <v>0</v>
      </c>
      <c r="N3802" s="58">
        <v>0</v>
      </c>
      <c r="O3802" s="58">
        <v>0</v>
      </c>
      <c r="P3802" s="53">
        <v>0</v>
      </c>
      <c r="Q3802" s="65">
        <v>49851.159999999996</v>
      </c>
      <c r="R3802" s="65">
        <v>0</v>
      </c>
      <c r="S3802" s="65">
        <v>0</v>
      </c>
      <c r="T3802" s="65">
        <v>0</v>
      </c>
      <c r="U3802" s="58">
        <v>0</v>
      </c>
      <c r="V3802" s="65">
        <v>0</v>
      </c>
      <c r="W3802" s="65">
        <v>0</v>
      </c>
      <c r="X3802" s="65">
        <v>0</v>
      </c>
      <c r="Y3802" s="65">
        <v>0</v>
      </c>
      <c r="Z3802" s="51">
        <v>49851.159999999996</v>
      </c>
      <c r="AA3802" s="51">
        <v>0</v>
      </c>
      <c r="AB3802" s="102">
        <v>0</v>
      </c>
      <c r="AC3802" s="81">
        <f t="shared" si="181"/>
        <v>0</v>
      </c>
      <c r="AD3802" s="82">
        <f t="shared" si="182"/>
        <v>0</v>
      </c>
      <c r="AE3802" s="218">
        <v>0</v>
      </c>
      <c r="AF3802">
        <v>0</v>
      </c>
      <c r="AH3802" t="str">
        <f t="shared" si="180"/>
        <v>Warisnagar</v>
      </c>
      <c r="AJ3802" s="72">
        <v>0</v>
      </c>
      <c r="AK3802" s="72"/>
      <c r="AL3802" s="72"/>
      <c r="AM3802" s="72"/>
    </row>
    <row r="3803" spans="1:39" x14ac:dyDescent="0.25">
      <c r="A3803" s="37" t="s">
        <v>62</v>
      </c>
      <c r="B3803" s="66" t="s">
        <v>1676</v>
      </c>
      <c r="C3803" s="4">
        <v>1057</v>
      </c>
      <c r="D3803" s="41" t="s">
        <v>1174</v>
      </c>
      <c r="E3803" s="41">
        <v>10570070</v>
      </c>
      <c r="F3803" s="85" t="s">
        <v>1585</v>
      </c>
      <c r="G3803" s="39" t="s">
        <v>1610</v>
      </c>
      <c r="H3803" s="52" t="s">
        <v>98</v>
      </c>
      <c r="I3803" s="52">
        <v>71</v>
      </c>
      <c r="J3803" s="49">
        <v>2691.24</v>
      </c>
      <c r="K3803" s="58">
        <v>0</v>
      </c>
      <c r="L3803" s="58">
        <v>0</v>
      </c>
      <c r="M3803" s="58">
        <v>0</v>
      </c>
      <c r="N3803" s="58">
        <v>0</v>
      </c>
      <c r="O3803" s="58">
        <v>0</v>
      </c>
      <c r="P3803" s="53">
        <v>0</v>
      </c>
      <c r="Q3803" s="65">
        <v>2691.24</v>
      </c>
      <c r="R3803" s="65">
        <v>0</v>
      </c>
      <c r="S3803" s="65">
        <v>0</v>
      </c>
      <c r="T3803" s="65">
        <v>0</v>
      </c>
      <c r="U3803" s="58">
        <v>0</v>
      </c>
      <c r="V3803" s="65">
        <v>0</v>
      </c>
      <c r="W3803" s="65">
        <v>0</v>
      </c>
      <c r="X3803" s="65">
        <v>0</v>
      </c>
      <c r="Y3803" s="65">
        <v>0</v>
      </c>
      <c r="Z3803" s="51">
        <v>2691.24</v>
      </c>
      <c r="AA3803" s="51">
        <v>0</v>
      </c>
      <c r="AB3803" s="102">
        <v>0</v>
      </c>
      <c r="AC3803" s="81">
        <f t="shared" si="181"/>
        <v>476.84224225352114</v>
      </c>
      <c r="AD3803" s="82">
        <f t="shared" si="182"/>
        <v>10.142857142857142</v>
      </c>
      <c r="AE3803" s="218">
        <v>0</v>
      </c>
      <c r="AF3803">
        <v>0</v>
      </c>
      <c r="AH3803" t="str">
        <f t="shared" si="180"/>
        <v>Warisnagar</v>
      </c>
      <c r="AJ3803" s="72">
        <v>0</v>
      </c>
      <c r="AK3803" s="72"/>
      <c r="AL3803" s="72"/>
      <c r="AM3803" s="72"/>
    </row>
    <row r="3804" spans="1:39" x14ac:dyDescent="0.25">
      <c r="A3804" s="37" t="s">
        <v>62</v>
      </c>
      <c r="B3804" s="66" t="s">
        <v>1676</v>
      </c>
      <c r="C3804" s="4">
        <v>1057</v>
      </c>
      <c r="D3804" s="41" t="s">
        <v>1174</v>
      </c>
      <c r="E3804" s="41">
        <v>10570071</v>
      </c>
      <c r="F3804" s="85" t="s">
        <v>1586</v>
      </c>
      <c r="G3804" s="39" t="s">
        <v>1610</v>
      </c>
      <c r="H3804" s="52" t="s">
        <v>98</v>
      </c>
      <c r="I3804" s="52">
        <v>185.70000000000002</v>
      </c>
      <c r="J3804" s="49">
        <v>6801.1099999999988</v>
      </c>
      <c r="K3804" s="58">
        <v>0</v>
      </c>
      <c r="L3804" s="58">
        <v>0</v>
      </c>
      <c r="M3804" s="58">
        <v>0</v>
      </c>
      <c r="N3804" s="58">
        <v>0</v>
      </c>
      <c r="O3804" s="58">
        <v>0</v>
      </c>
      <c r="P3804" s="53">
        <v>0</v>
      </c>
      <c r="Q3804" s="65">
        <v>6801.1099999999988</v>
      </c>
      <c r="R3804" s="65">
        <v>0</v>
      </c>
      <c r="S3804" s="65">
        <v>0</v>
      </c>
      <c r="T3804" s="65">
        <v>0</v>
      </c>
      <c r="U3804" s="58">
        <v>0</v>
      </c>
      <c r="V3804" s="65">
        <v>0</v>
      </c>
      <c r="W3804" s="65">
        <v>0</v>
      </c>
      <c r="X3804" s="65">
        <v>0</v>
      </c>
      <c r="Y3804" s="65">
        <v>0</v>
      </c>
      <c r="Z3804" s="51">
        <v>6801.1099999999988</v>
      </c>
      <c r="AA3804" s="51">
        <v>0</v>
      </c>
      <c r="AB3804" s="102">
        <v>0</v>
      </c>
      <c r="AC3804" s="81">
        <f t="shared" si="181"/>
        <v>376.71630296176613</v>
      </c>
      <c r="AD3804" s="82">
        <f t="shared" si="182"/>
        <v>26.528571428571432</v>
      </c>
      <c r="AE3804" s="218">
        <v>0</v>
      </c>
      <c r="AF3804">
        <v>0</v>
      </c>
      <c r="AH3804" t="str">
        <f t="shared" si="180"/>
        <v>Warisnagar</v>
      </c>
      <c r="AJ3804" s="72">
        <v>0</v>
      </c>
      <c r="AK3804" s="72"/>
      <c r="AL3804" s="72"/>
      <c r="AM3804" s="72"/>
    </row>
    <row r="3805" spans="1:39" x14ac:dyDescent="0.25">
      <c r="A3805" s="37" t="s">
        <v>62</v>
      </c>
      <c r="B3805" s="66" t="s">
        <v>1676</v>
      </c>
      <c r="C3805" s="4">
        <v>1057</v>
      </c>
      <c r="D3805" s="41" t="s">
        <v>1174</v>
      </c>
      <c r="E3805" s="41">
        <v>10570073</v>
      </c>
      <c r="F3805" s="85" t="s">
        <v>1669</v>
      </c>
      <c r="G3805" s="39" t="s">
        <v>92</v>
      </c>
      <c r="H3805" s="52" t="s">
        <v>93</v>
      </c>
      <c r="I3805" s="52">
        <v>19.600000000000001</v>
      </c>
      <c r="J3805" s="49">
        <v>836.33</v>
      </c>
      <c r="K3805" s="58">
        <v>18.77</v>
      </c>
      <c r="L3805" s="58">
        <v>728.74999999999989</v>
      </c>
      <c r="M3805" s="58">
        <v>1</v>
      </c>
      <c r="N3805" s="58">
        <v>26.88</v>
      </c>
      <c r="O3805" s="58">
        <v>19.77</v>
      </c>
      <c r="P3805" s="53">
        <v>755.62999999999988</v>
      </c>
      <c r="Q3805" s="65">
        <v>755.62999999999988</v>
      </c>
      <c r="R3805" s="65">
        <v>0</v>
      </c>
      <c r="S3805" s="65">
        <v>0</v>
      </c>
      <c r="T3805" s="65">
        <v>0</v>
      </c>
      <c r="U3805" s="58">
        <v>0</v>
      </c>
      <c r="V3805" s="65">
        <v>0</v>
      </c>
      <c r="W3805" s="65">
        <v>0</v>
      </c>
      <c r="X3805" s="65">
        <v>729</v>
      </c>
      <c r="Y3805" s="65">
        <v>27</v>
      </c>
      <c r="Z3805" s="51">
        <v>0</v>
      </c>
      <c r="AA3805" s="51">
        <v>80</v>
      </c>
      <c r="AB3805" s="102">
        <v>0</v>
      </c>
      <c r="AC3805" s="81">
        <f t="shared" si="181"/>
        <v>580.65197142857141</v>
      </c>
      <c r="AD3805" s="82">
        <f t="shared" si="182"/>
        <v>2.8000000000000003</v>
      </c>
      <c r="AE3805" s="218">
        <v>9.6493011131969619E-2</v>
      </c>
      <c r="AF3805">
        <v>10</v>
      </c>
      <c r="AH3805" t="str">
        <f t="shared" si="180"/>
        <v>Warisnagar</v>
      </c>
      <c r="AJ3805" s="72">
        <v>0</v>
      </c>
      <c r="AK3805" s="72"/>
      <c r="AL3805" s="72"/>
      <c r="AM3805" s="72"/>
    </row>
    <row r="3806" spans="1:39" x14ac:dyDescent="0.25">
      <c r="A3806" s="37" t="s">
        <v>62</v>
      </c>
      <c r="B3806" s="66" t="s">
        <v>1676</v>
      </c>
      <c r="C3806" s="4">
        <v>1057</v>
      </c>
      <c r="D3806" s="41" t="s">
        <v>1174</v>
      </c>
      <c r="E3806" s="41">
        <v>10570074</v>
      </c>
      <c r="F3806" s="85" t="s">
        <v>1670</v>
      </c>
      <c r="G3806" s="39" t="s">
        <v>1610</v>
      </c>
      <c r="H3806" s="52" t="s">
        <v>98</v>
      </c>
      <c r="I3806" s="52">
        <v>103.69999999999999</v>
      </c>
      <c r="J3806" s="49">
        <v>4325.57</v>
      </c>
      <c r="K3806" s="58">
        <v>0</v>
      </c>
      <c r="L3806" s="58">
        <v>0</v>
      </c>
      <c r="M3806" s="58">
        <v>0</v>
      </c>
      <c r="N3806" s="58">
        <v>0</v>
      </c>
      <c r="O3806" s="58">
        <v>0</v>
      </c>
      <c r="P3806" s="53">
        <v>0</v>
      </c>
      <c r="Q3806" s="65">
        <v>4325.57</v>
      </c>
      <c r="R3806" s="65">
        <v>0</v>
      </c>
      <c r="S3806" s="65">
        <v>0</v>
      </c>
      <c r="T3806" s="65">
        <v>0</v>
      </c>
      <c r="U3806" s="58">
        <v>0</v>
      </c>
      <c r="V3806" s="65">
        <v>0</v>
      </c>
      <c r="W3806" s="65">
        <v>0</v>
      </c>
      <c r="X3806" s="65">
        <v>0</v>
      </c>
      <c r="Y3806" s="65">
        <v>0</v>
      </c>
      <c r="Z3806" s="51">
        <v>4325.57</v>
      </c>
      <c r="AA3806" s="51">
        <v>0</v>
      </c>
      <c r="AB3806" s="102">
        <v>0</v>
      </c>
      <c r="AC3806" s="81">
        <f t="shared" si="181"/>
        <v>497.461406171649</v>
      </c>
      <c r="AD3806" s="82">
        <f t="shared" si="182"/>
        <v>14.814285714285713</v>
      </c>
      <c r="AE3806" s="218">
        <v>0</v>
      </c>
      <c r="AF3806">
        <v>0</v>
      </c>
      <c r="AH3806" t="str">
        <f t="shared" si="180"/>
        <v>Warisnagar</v>
      </c>
      <c r="AJ3806" s="72">
        <v>0</v>
      </c>
      <c r="AK3806" s="72"/>
      <c r="AL3806" s="72"/>
      <c r="AM3806" s="72"/>
    </row>
    <row r="3807" spans="1:39" x14ac:dyDescent="0.25">
      <c r="A3807" s="37" t="s">
        <v>62</v>
      </c>
      <c r="B3807" s="66" t="s">
        <v>1676</v>
      </c>
      <c r="C3807" s="4">
        <v>1058</v>
      </c>
      <c r="D3807" s="41" t="s">
        <v>1296</v>
      </c>
      <c r="E3807" s="41">
        <v>10580001</v>
      </c>
      <c r="F3807" s="85" t="s">
        <v>1196</v>
      </c>
      <c r="G3807" s="39" t="s">
        <v>92</v>
      </c>
      <c r="H3807" s="52" t="s">
        <v>93</v>
      </c>
      <c r="I3807" s="52">
        <v>488.09999999999991</v>
      </c>
      <c r="J3807" s="49">
        <v>21626.280000000002</v>
      </c>
      <c r="K3807" s="58">
        <v>487.4</v>
      </c>
      <c r="L3807" s="58">
        <v>21362.07</v>
      </c>
      <c r="M3807" s="58">
        <v>8.9999999999999982</v>
      </c>
      <c r="N3807" s="58">
        <v>396.26</v>
      </c>
      <c r="O3807" s="58">
        <v>496.4</v>
      </c>
      <c r="P3807" s="53">
        <v>21758.329999999998</v>
      </c>
      <c r="Q3807" s="65">
        <v>21626.280000000002</v>
      </c>
      <c r="R3807" s="65">
        <v>0</v>
      </c>
      <c r="S3807" s="65">
        <v>396.26</v>
      </c>
      <c r="T3807" s="65">
        <v>132.04999999999563</v>
      </c>
      <c r="U3807" s="58">
        <v>0</v>
      </c>
      <c r="V3807" s="65">
        <v>0</v>
      </c>
      <c r="W3807" s="65">
        <v>0</v>
      </c>
      <c r="X3807" s="65">
        <v>21230</v>
      </c>
      <c r="Y3807" s="65">
        <v>0</v>
      </c>
      <c r="Z3807" s="51">
        <v>0</v>
      </c>
      <c r="AA3807" s="51">
        <v>0</v>
      </c>
      <c r="AB3807" s="102">
        <v>0</v>
      </c>
      <c r="AC3807" s="81">
        <f t="shared" si="181"/>
        <v>187.77335513214518</v>
      </c>
      <c r="AD3807" s="82">
        <f t="shared" si="182"/>
        <v>69.728571428571414</v>
      </c>
      <c r="AE3807" s="218">
        <v>-6.1059969629541286E-3</v>
      </c>
      <c r="AF3807">
        <v>17</v>
      </c>
      <c r="AH3807" t="str">
        <f t="shared" si="180"/>
        <v>Hasanpur</v>
      </c>
      <c r="AJ3807" s="72">
        <v>0</v>
      </c>
      <c r="AK3807" s="72"/>
      <c r="AL3807" s="72"/>
      <c r="AM3807" s="72"/>
    </row>
    <row r="3808" spans="1:39" x14ac:dyDescent="0.25">
      <c r="A3808" s="37" t="s">
        <v>62</v>
      </c>
      <c r="B3808" s="66" t="s">
        <v>1676</v>
      </c>
      <c r="C3808" s="4">
        <v>1058</v>
      </c>
      <c r="D3808" s="41" t="s">
        <v>1296</v>
      </c>
      <c r="E3808" s="41">
        <v>10580002</v>
      </c>
      <c r="F3808" s="85" t="s">
        <v>1216</v>
      </c>
      <c r="G3808" s="39" t="s">
        <v>92</v>
      </c>
      <c r="H3808" s="52" t="s">
        <v>93</v>
      </c>
      <c r="I3808" s="52">
        <v>437.17999999999995</v>
      </c>
      <c r="J3808" s="49">
        <v>19029.5</v>
      </c>
      <c r="K3808" s="58">
        <v>444.1</v>
      </c>
      <c r="L3808" s="58">
        <v>19693.240000000002</v>
      </c>
      <c r="M3808" s="58">
        <v>3.2</v>
      </c>
      <c r="N3808" s="58">
        <v>132.69</v>
      </c>
      <c r="O3808" s="58">
        <v>447.3</v>
      </c>
      <c r="P3808" s="53">
        <v>19825.93</v>
      </c>
      <c r="Q3808" s="65">
        <v>19029.5</v>
      </c>
      <c r="R3808" s="65">
        <v>0</v>
      </c>
      <c r="S3808" s="65">
        <v>132.69</v>
      </c>
      <c r="T3808" s="65">
        <v>796.43000000000029</v>
      </c>
      <c r="U3808" s="58">
        <v>0</v>
      </c>
      <c r="V3808" s="65">
        <v>0</v>
      </c>
      <c r="W3808" s="65">
        <v>0</v>
      </c>
      <c r="X3808" s="65">
        <v>18896</v>
      </c>
      <c r="Y3808" s="65">
        <v>0</v>
      </c>
      <c r="Z3808" s="51">
        <v>0</v>
      </c>
      <c r="AA3808" s="51">
        <v>1</v>
      </c>
      <c r="AB3808" s="102">
        <v>0</v>
      </c>
      <c r="AC3808" s="81">
        <f t="shared" si="181"/>
        <v>228.79972505604107</v>
      </c>
      <c r="AD3808" s="82">
        <f t="shared" si="182"/>
        <v>62.45428571428571</v>
      </c>
      <c r="AE3808" s="218">
        <v>-4.1852387083212921E-2</v>
      </c>
      <c r="AF3808">
        <v>7</v>
      </c>
      <c r="AH3808" t="str">
        <f t="shared" si="180"/>
        <v>Hasanpur</v>
      </c>
      <c r="AJ3808" s="72">
        <v>0</v>
      </c>
      <c r="AK3808" s="72"/>
      <c r="AL3808" s="72"/>
      <c r="AM3808" s="72"/>
    </row>
    <row r="3809" spans="1:39" x14ac:dyDescent="0.25">
      <c r="A3809" s="37" t="s">
        <v>62</v>
      </c>
      <c r="B3809" s="66" t="s">
        <v>1676</v>
      </c>
      <c r="C3809" s="4">
        <v>1058</v>
      </c>
      <c r="D3809" s="41" t="s">
        <v>1296</v>
      </c>
      <c r="E3809" s="41">
        <v>10580004</v>
      </c>
      <c r="F3809" s="85" t="s">
        <v>1205</v>
      </c>
      <c r="G3809" s="39" t="s">
        <v>92</v>
      </c>
      <c r="H3809" s="52" t="s">
        <v>93</v>
      </c>
      <c r="I3809" s="52">
        <v>255.16999999999996</v>
      </c>
      <c r="J3809" s="49">
        <v>10751.14</v>
      </c>
      <c r="K3809" s="58">
        <v>258.39999999999998</v>
      </c>
      <c r="L3809" s="58">
        <v>10664.659999999998</v>
      </c>
      <c r="M3809" s="58">
        <v>1.4000000000000001</v>
      </c>
      <c r="N3809" s="58">
        <v>60.94</v>
      </c>
      <c r="O3809" s="58">
        <v>259.79999999999995</v>
      </c>
      <c r="P3809" s="53">
        <v>10725.599999999999</v>
      </c>
      <c r="Q3809" s="65">
        <v>10725.599999999999</v>
      </c>
      <c r="R3809" s="65">
        <v>0</v>
      </c>
      <c r="S3809" s="65">
        <v>60.94</v>
      </c>
      <c r="T3809" s="65">
        <v>0</v>
      </c>
      <c r="U3809" s="58">
        <v>0</v>
      </c>
      <c r="V3809" s="65">
        <v>0</v>
      </c>
      <c r="W3809" s="65">
        <v>0</v>
      </c>
      <c r="X3809" s="65">
        <v>10665</v>
      </c>
      <c r="Y3809" s="65">
        <v>0</v>
      </c>
      <c r="Z3809" s="51">
        <v>0</v>
      </c>
      <c r="AA3809" s="51">
        <v>25</v>
      </c>
      <c r="AB3809" s="102">
        <v>0</v>
      </c>
      <c r="AC3809" s="81">
        <f t="shared" si="181"/>
        <v>374.84262305129926</v>
      </c>
      <c r="AD3809" s="82">
        <f t="shared" si="182"/>
        <v>36.452857142857134</v>
      </c>
      <c r="AE3809" s="218">
        <v>2.3755620334216534E-3</v>
      </c>
      <c r="AF3809">
        <v>3</v>
      </c>
      <c r="AH3809" t="str">
        <f t="shared" si="180"/>
        <v>Hasanpur</v>
      </c>
      <c r="AJ3809" s="72">
        <v>0</v>
      </c>
      <c r="AK3809" s="72"/>
      <c r="AL3809" s="72"/>
      <c r="AM3809" s="72"/>
    </row>
    <row r="3810" spans="1:39" x14ac:dyDescent="0.25">
      <c r="A3810" s="37" t="s">
        <v>62</v>
      </c>
      <c r="B3810" s="66" t="s">
        <v>1676</v>
      </c>
      <c r="C3810" s="4">
        <v>1058</v>
      </c>
      <c r="D3810" s="41" t="s">
        <v>1296</v>
      </c>
      <c r="E3810" s="41">
        <v>10580005</v>
      </c>
      <c r="F3810" s="85" t="s">
        <v>1245</v>
      </c>
      <c r="G3810" s="39" t="s">
        <v>92</v>
      </c>
      <c r="H3810" s="52" t="s">
        <v>93</v>
      </c>
      <c r="I3810" s="52">
        <v>562.95000000000005</v>
      </c>
      <c r="J3810" s="49">
        <v>24255.17</v>
      </c>
      <c r="K3810" s="58">
        <v>543</v>
      </c>
      <c r="L3810" s="58">
        <v>23826.95</v>
      </c>
      <c r="M3810" s="58">
        <v>9.1999999999999993</v>
      </c>
      <c r="N3810" s="58">
        <v>382.05999999999995</v>
      </c>
      <c r="O3810" s="58">
        <v>552.20000000000005</v>
      </c>
      <c r="P3810" s="53">
        <v>24209.010000000002</v>
      </c>
      <c r="Q3810" s="65">
        <v>24209.010000000002</v>
      </c>
      <c r="R3810" s="65">
        <v>0</v>
      </c>
      <c r="S3810" s="65">
        <v>382.05999999999995</v>
      </c>
      <c r="T3810" s="65">
        <v>0</v>
      </c>
      <c r="U3810" s="58">
        <v>0</v>
      </c>
      <c r="V3810" s="65">
        <v>0</v>
      </c>
      <c r="W3810" s="65">
        <v>0</v>
      </c>
      <c r="X3810" s="65">
        <v>23827</v>
      </c>
      <c r="Y3810" s="65">
        <v>0</v>
      </c>
      <c r="Z3810" s="51">
        <v>0</v>
      </c>
      <c r="AA3810" s="51">
        <v>46</v>
      </c>
      <c r="AB3810" s="102">
        <v>0</v>
      </c>
      <c r="AC3810" s="81">
        <f t="shared" si="181"/>
        <v>118.09826977529082</v>
      </c>
      <c r="AD3810" s="82">
        <f t="shared" si="182"/>
        <v>80.421428571428578</v>
      </c>
      <c r="AE3810" s="218">
        <v>1.9030994216901478E-3</v>
      </c>
      <c r="AF3810">
        <v>11</v>
      </c>
      <c r="AH3810" t="str">
        <f t="shared" si="180"/>
        <v>Hasanpur</v>
      </c>
      <c r="AJ3810" s="72">
        <v>0</v>
      </c>
      <c r="AK3810" s="72"/>
      <c r="AL3810" s="72"/>
      <c r="AM3810" s="72"/>
    </row>
    <row r="3811" spans="1:39" x14ac:dyDescent="0.25">
      <c r="A3811" s="37" t="s">
        <v>62</v>
      </c>
      <c r="B3811" s="66" t="s">
        <v>1676</v>
      </c>
      <c r="C3811" s="4">
        <v>1058</v>
      </c>
      <c r="D3811" s="41" t="s">
        <v>1296</v>
      </c>
      <c r="E3811" s="41">
        <v>10580010</v>
      </c>
      <c r="F3811" s="85" t="s">
        <v>1306</v>
      </c>
      <c r="G3811" s="39" t="s">
        <v>92</v>
      </c>
      <c r="H3811" s="52" t="s">
        <v>93</v>
      </c>
      <c r="I3811" s="52">
        <v>550.53</v>
      </c>
      <c r="J3811" s="49">
        <v>25042.050000000003</v>
      </c>
      <c r="K3811" s="58">
        <v>578.6</v>
      </c>
      <c r="L3811" s="58">
        <v>30043.369999999995</v>
      </c>
      <c r="M3811" s="58">
        <v>0</v>
      </c>
      <c r="N3811" s="58">
        <v>0</v>
      </c>
      <c r="O3811" s="58">
        <v>578.6</v>
      </c>
      <c r="P3811" s="53">
        <v>30043.369999999995</v>
      </c>
      <c r="Q3811" s="65">
        <v>25042.050000000003</v>
      </c>
      <c r="R3811" s="65">
        <v>0</v>
      </c>
      <c r="S3811" s="65">
        <v>0</v>
      </c>
      <c r="T3811" s="65">
        <v>5001.3199999999924</v>
      </c>
      <c r="U3811" s="58">
        <v>0</v>
      </c>
      <c r="V3811" s="65">
        <v>0</v>
      </c>
      <c r="W3811" s="65">
        <v>0</v>
      </c>
      <c r="X3811" s="65">
        <v>25042</v>
      </c>
      <c r="Y3811" s="65">
        <v>0</v>
      </c>
      <c r="Z3811" s="51">
        <v>0</v>
      </c>
      <c r="AA3811" s="51">
        <v>0</v>
      </c>
      <c r="AB3811" s="102">
        <v>0</v>
      </c>
      <c r="AC3811" s="81">
        <f t="shared" si="181"/>
        <v>135.9793367663888</v>
      </c>
      <c r="AD3811" s="82">
        <f t="shared" si="182"/>
        <v>78.647142857142853</v>
      </c>
      <c r="AE3811" s="218">
        <v>-0.19971687621420739</v>
      </c>
      <c r="AF3811">
        <v>6</v>
      </c>
      <c r="AH3811" t="str">
        <f t="shared" si="180"/>
        <v>Hasanpur</v>
      </c>
      <c r="AJ3811" s="72">
        <v>0</v>
      </c>
      <c r="AK3811" s="72"/>
      <c r="AL3811" s="72"/>
      <c r="AM3811" s="72"/>
    </row>
    <row r="3812" spans="1:39" x14ac:dyDescent="0.25">
      <c r="A3812" s="37" t="s">
        <v>62</v>
      </c>
      <c r="B3812" s="66" t="s">
        <v>1676</v>
      </c>
      <c r="C3812" s="4">
        <v>1058</v>
      </c>
      <c r="D3812" s="41" t="s">
        <v>1296</v>
      </c>
      <c r="E3812" s="41">
        <v>10580012</v>
      </c>
      <c r="F3812" s="85" t="s">
        <v>1307</v>
      </c>
      <c r="G3812" s="39" t="s">
        <v>92</v>
      </c>
      <c r="H3812" s="52" t="s">
        <v>93</v>
      </c>
      <c r="I3812" s="52">
        <v>558.73</v>
      </c>
      <c r="J3812" s="49">
        <v>22175.010000000002</v>
      </c>
      <c r="K3812" s="58">
        <v>567.64</v>
      </c>
      <c r="L3812" s="58">
        <v>22985.18</v>
      </c>
      <c r="M3812" s="58">
        <v>0</v>
      </c>
      <c r="N3812" s="58">
        <v>0</v>
      </c>
      <c r="O3812" s="58">
        <v>567.64</v>
      </c>
      <c r="P3812" s="53">
        <v>22985.18</v>
      </c>
      <c r="Q3812" s="65">
        <v>22175.010000000002</v>
      </c>
      <c r="R3812" s="65">
        <v>0</v>
      </c>
      <c r="S3812" s="65">
        <v>0</v>
      </c>
      <c r="T3812" s="65">
        <v>810.16999999999825</v>
      </c>
      <c r="U3812" s="58">
        <v>0</v>
      </c>
      <c r="V3812" s="65">
        <v>500</v>
      </c>
      <c r="W3812" s="65">
        <v>0</v>
      </c>
      <c r="X3812" s="65">
        <v>21675</v>
      </c>
      <c r="Y3812" s="65">
        <v>0</v>
      </c>
      <c r="Z3812" s="51">
        <v>0</v>
      </c>
      <c r="AA3812" s="51">
        <v>0</v>
      </c>
      <c r="AB3812" s="102">
        <v>0</v>
      </c>
      <c r="AC3812" s="81">
        <f t="shared" si="181"/>
        <v>112.13515160095216</v>
      </c>
      <c r="AD3812" s="82">
        <f t="shared" si="182"/>
        <v>79.818571428571431</v>
      </c>
      <c r="AE3812" s="218">
        <v>-3.6535271010024267E-2</v>
      </c>
      <c r="AF3812">
        <v>3</v>
      </c>
      <c r="AH3812" t="str">
        <f t="shared" si="180"/>
        <v>Hasanpur</v>
      </c>
      <c r="AJ3812" s="72">
        <v>500</v>
      </c>
      <c r="AK3812" s="72"/>
      <c r="AL3812" s="72"/>
      <c r="AM3812" s="72"/>
    </row>
    <row r="3813" spans="1:39" x14ac:dyDescent="0.25">
      <c r="A3813" s="37" t="s">
        <v>62</v>
      </c>
      <c r="B3813" s="66" t="s">
        <v>1676</v>
      </c>
      <c r="C3813" s="4">
        <v>1058</v>
      </c>
      <c r="D3813" s="41" t="s">
        <v>1296</v>
      </c>
      <c r="E3813" s="41">
        <v>10580013</v>
      </c>
      <c r="F3813" s="85" t="s">
        <v>1495</v>
      </c>
      <c r="G3813" s="39" t="s">
        <v>1610</v>
      </c>
      <c r="H3813" s="52" t="s">
        <v>98</v>
      </c>
      <c r="I3813" s="52">
        <v>160.57999999999996</v>
      </c>
      <c r="J3813" s="49">
        <v>5784.4900000000007</v>
      </c>
      <c r="K3813" s="58">
        <v>0</v>
      </c>
      <c r="L3813" s="58">
        <v>0</v>
      </c>
      <c r="M3813" s="58">
        <v>0</v>
      </c>
      <c r="N3813" s="58">
        <v>0</v>
      </c>
      <c r="O3813" s="58">
        <v>0</v>
      </c>
      <c r="P3813" s="53">
        <v>0</v>
      </c>
      <c r="Q3813" s="65">
        <v>5784.4900000000007</v>
      </c>
      <c r="R3813" s="65">
        <v>0</v>
      </c>
      <c r="S3813" s="65">
        <v>0</v>
      </c>
      <c r="T3813" s="65">
        <v>0</v>
      </c>
      <c r="U3813" s="58">
        <v>0</v>
      </c>
      <c r="V3813" s="65">
        <v>0</v>
      </c>
      <c r="W3813" s="65">
        <v>0</v>
      </c>
      <c r="X3813" s="65">
        <v>0</v>
      </c>
      <c r="Y3813" s="65">
        <v>0</v>
      </c>
      <c r="Z3813" s="51">
        <v>5784.4900000000007</v>
      </c>
      <c r="AA3813" s="51">
        <v>0</v>
      </c>
      <c r="AB3813" s="102">
        <v>0</v>
      </c>
      <c r="AC3813" s="81">
        <f t="shared" si="181"/>
        <v>388.62493408892783</v>
      </c>
      <c r="AD3813" s="82">
        <f t="shared" si="182"/>
        <v>22.939999999999994</v>
      </c>
      <c r="AE3813" s="218">
        <v>0</v>
      </c>
      <c r="AF3813">
        <v>0</v>
      </c>
      <c r="AH3813" t="str">
        <f t="shared" si="180"/>
        <v>Hasanpur</v>
      </c>
      <c r="AJ3813" s="72">
        <v>0</v>
      </c>
      <c r="AK3813" s="72"/>
      <c r="AL3813" s="72"/>
      <c r="AM3813" s="72"/>
    </row>
    <row r="3814" spans="1:39" x14ac:dyDescent="0.25">
      <c r="A3814" s="37" t="s">
        <v>62</v>
      </c>
      <c r="B3814" s="66" t="s">
        <v>1676</v>
      </c>
      <c r="C3814" s="4">
        <v>1058</v>
      </c>
      <c r="D3814" s="41" t="s">
        <v>1296</v>
      </c>
      <c r="E3814" s="41">
        <v>10580015</v>
      </c>
      <c r="F3814" s="85" t="s">
        <v>1308</v>
      </c>
      <c r="G3814" s="39" t="s">
        <v>92</v>
      </c>
      <c r="H3814" s="52" t="s">
        <v>93</v>
      </c>
      <c r="I3814" s="52">
        <v>427.08000000000004</v>
      </c>
      <c r="J3814" s="49">
        <v>16946.98</v>
      </c>
      <c r="K3814" s="58">
        <v>438.77</v>
      </c>
      <c r="L3814" s="58">
        <v>17948.45</v>
      </c>
      <c r="M3814" s="58">
        <v>0</v>
      </c>
      <c r="N3814" s="58">
        <v>0</v>
      </c>
      <c r="O3814" s="58">
        <v>438.77</v>
      </c>
      <c r="P3814" s="53">
        <v>17948.45</v>
      </c>
      <c r="Q3814" s="65">
        <v>16946.98</v>
      </c>
      <c r="R3814" s="65">
        <v>0</v>
      </c>
      <c r="S3814" s="65">
        <v>0</v>
      </c>
      <c r="T3814" s="65">
        <v>1001.4700000000012</v>
      </c>
      <c r="U3814" s="58">
        <v>0</v>
      </c>
      <c r="V3814" s="65">
        <v>0</v>
      </c>
      <c r="W3814" s="65">
        <v>0</v>
      </c>
      <c r="X3814" s="65">
        <v>16947</v>
      </c>
      <c r="Y3814" s="65">
        <v>0</v>
      </c>
      <c r="Z3814" s="51">
        <v>0</v>
      </c>
      <c r="AA3814" s="51">
        <v>0</v>
      </c>
      <c r="AB3814" s="102">
        <v>0</v>
      </c>
      <c r="AC3814" s="81">
        <f t="shared" si="181"/>
        <v>216.59500709937242</v>
      </c>
      <c r="AD3814" s="82">
        <f t="shared" si="182"/>
        <v>61.011428571428574</v>
      </c>
      <c r="AE3814" s="218">
        <v>-5.9094304707977538E-2</v>
      </c>
      <c r="AF3814">
        <v>6</v>
      </c>
      <c r="AH3814" t="str">
        <f t="shared" si="180"/>
        <v>Hasanpur</v>
      </c>
      <c r="AJ3814" s="72">
        <v>0</v>
      </c>
      <c r="AK3814" s="72"/>
      <c r="AL3814" s="72"/>
      <c r="AM3814" s="72"/>
    </row>
    <row r="3815" spans="1:39" x14ac:dyDescent="0.25">
      <c r="A3815" s="37" t="s">
        <v>62</v>
      </c>
      <c r="B3815" s="66" t="s">
        <v>1676</v>
      </c>
      <c r="C3815" s="4">
        <v>1058</v>
      </c>
      <c r="D3815" s="41" t="s">
        <v>1296</v>
      </c>
      <c r="E3815" s="41">
        <v>10580017</v>
      </c>
      <c r="F3815" s="85" t="s">
        <v>1309</v>
      </c>
      <c r="G3815" s="39" t="s">
        <v>92</v>
      </c>
      <c r="H3815" s="52" t="s">
        <v>93</v>
      </c>
      <c r="I3815" s="52">
        <v>927.34999999999991</v>
      </c>
      <c r="J3815" s="49">
        <v>38692.68</v>
      </c>
      <c r="K3815" s="58">
        <v>645.80000000000007</v>
      </c>
      <c r="L3815" s="58">
        <v>27343.87</v>
      </c>
      <c r="M3815" s="58">
        <v>260.2</v>
      </c>
      <c r="N3815" s="58">
        <v>10073.370000000001</v>
      </c>
      <c r="O3815" s="58">
        <v>906</v>
      </c>
      <c r="P3815" s="53">
        <v>37417.24</v>
      </c>
      <c r="Q3815" s="65">
        <v>37417.24</v>
      </c>
      <c r="R3815" s="65">
        <v>0</v>
      </c>
      <c r="S3815" s="65">
        <v>243.25</v>
      </c>
      <c r="T3815" s="65">
        <v>0</v>
      </c>
      <c r="U3815" s="58">
        <v>0</v>
      </c>
      <c r="V3815" s="65">
        <v>0</v>
      </c>
      <c r="W3815" s="65">
        <v>0</v>
      </c>
      <c r="X3815" s="65">
        <v>27344</v>
      </c>
      <c r="Y3815" s="65">
        <v>9830</v>
      </c>
      <c r="Z3815" s="51">
        <v>0</v>
      </c>
      <c r="AA3815" s="51">
        <v>1275</v>
      </c>
      <c r="AB3815" s="102">
        <v>0</v>
      </c>
      <c r="AC3815" s="81">
        <f t="shared" si="181"/>
        <v>0</v>
      </c>
      <c r="AD3815" s="82">
        <f t="shared" si="182"/>
        <v>0</v>
      </c>
      <c r="AE3815" s="218">
        <v>3.2963340869642588E-2</v>
      </c>
      <c r="AF3815">
        <v>6</v>
      </c>
      <c r="AH3815" t="str">
        <f t="shared" si="180"/>
        <v>Hasanpur</v>
      </c>
      <c r="AJ3815" s="72">
        <v>0</v>
      </c>
      <c r="AK3815" s="72"/>
      <c r="AL3815" s="72"/>
      <c r="AM3815" s="72"/>
    </row>
    <row r="3816" spans="1:39" x14ac:dyDescent="0.25">
      <c r="A3816" s="37" t="s">
        <v>62</v>
      </c>
      <c r="B3816" s="66" t="s">
        <v>1676</v>
      </c>
      <c r="C3816" s="4">
        <v>1058</v>
      </c>
      <c r="D3816" s="41" t="s">
        <v>1296</v>
      </c>
      <c r="E3816" s="41">
        <v>10580018</v>
      </c>
      <c r="F3816" s="85" t="s">
        <v>1316</v>
      </c>
      <c r="G3816" s="39" t="s">
        <v>92</v>
      </c>
      <c r="H3816" s="52" t="s">
        <v>93</v>
      </c>
      <c r="I3816" s="52">
        <v>389.25</v>
      </c>
      <c r="J3816" s="49">
        <v>15837.500000000002</v>
      </c>
      <c r="K3816" s="58">
        <v>382.34000000000003</v>
      </c>
      <c r="L3816" s="58">
        <v>15686.560000000001</v>
      </c>
      <c r="M3816" s="58">
        <v>3.0100000000000007</v>
      </c>
      <c r="N3816" s="58">
        <v>122.85000000000001</v>
      </c>
      <c r="O3816" s="58">
        <v>385.35</v>
      </c>
      <c r="P3816" s="53">
        <v>15809.410000000002</v>
      </c>
      <c r="Q3816" s="65">
        <v>15809.410000000002</v>
      </c>
      <c r="R3816" s="65">
        <v>0</v>
      </c>
      <c r="S3816" s="65">
        <v>122.85000000000001</v>
      </c>
      <c r="T3816" s="65">
        <v>0</v>
      </c>
      <c r="U3816" s="58">
        <v>0</v>
      </c>
      <c r="V3816" s="65">
        <v>0</v>
      </c>
      <c r="W3816" s="65">
        <v>0</v>
      </c>
      <c r="X3816" s="65">
        <v>0</v>
      </c>
      <c r="Y3816" s="65">
        <v>0</v>
      </c>
      <c r="Z3816" s="51">
        <v>0</v>
      </c>
      <c r="AA3816" s="51">
        <v>15715</v>
      </c>
      <c r="AB3816" s="102" t="s">
        <v>65</v>
      </c>
      <c r="AC3816" s="81">
        <f t="shared" si="181"/>
        <v>252.87106615285811</v>
      </c>
      <c r="AD3816" s="82">
        <f t="shared" si="182"/>
        <v>55.607142857142854</v>
      </c>
      <c r="AE3816" s="218">
        <v>1.7736385161799615E-3</v>
      </c>
      <c r="AF3816">
        <v>13</v>
      </c>
      <c r="AH3816" t="str">
        <f t="shared" si="180"/>
        <v>Hasanpur</v>
      </c>
      <c r="AJ3816" s="72">
        <v>0</v>
      </c>
      <c r="AK3816" s="72"/>
      <c r="AL3816" s="72"/>
      <c r="AM3816" s="72"/>
    </row>
    <row r="3817" spans="1:39" x14ac:dyDescent="0.25">
      <c r="A3817" s="37" t="s">
        <v>62</v>
      </c>
      <c r="B3817" s="66" t="s">
        <v>1676</v>
      </c>
      <c r="C3817" s="4">
        <v>1058</v>
      </c>
      <c r="D3817" s="41" t="s">
        <v>1296</v>
      </c>
      <c r="E3817" s="41">
        <v>10580022</v>
      </c>
      <c r="F3817" s="85" t="s">
        <v>1344</v>
      </c>
      <c r="G3817" s="39" t="s">
        <v>92</v>
      </c>
      <c r="H3817" s="52" t="s">
        <v>93</v>
      </c>
      <c r="I3817" s="52">
        <v>519.27</v>
      </c>
      <c r="J3817" s="49">
        <v>20865.97</v>
      </c>
      <c r="K3817" s="58">
        <v>476.59999999999991</v>
      </c>
      <c r="L3817" s="58">
        <v>20810.820000000007</v>
      </c>
      <c r="M3817" s="58">
        <v>0</v>
      </c>
      <c r="N3817" s="58">
        <v>0</v>
      </c>
      <c r="O3817" s="58">
        <v>476.59999999999991</v>
      </c>
      <c r="P3817" s="53">
        <v>20810.820000000007</v>
      </c>
      <c r="Q3817" s="65">
        <v>20810.820000000007</v>
      </c>
      <c r="R3817" s="65">
        <v>0</v>
      </c>
      <c r="S3817" s="65">
        <v>0</v>
      </c>
      <c r="T3817" s="65">
        <v>0</v>
      </c>
      <c r="U3817" s="58">
        <v>0</v>
      </c>
      <c r="V3817" s="65">
        <v>0</v>
      </c>
      <c r="W3817" s="65">
        <v>0</v>
      </c>
      <c r="X3817" s="65">
        <v>20810</v>
      </c>
      <c r="Y3817" s="65">
        <v>0</v>
      </c>
      <c r="Z3817" s="51">
        <v>0</v>
      </c>
      <c r="AA3817" s="51">
        <v>56</v>
      </c>
      <c r="AB3817" s="102">
        <v>0</v>
      </c>
      <c r="AC3817" s="81">
        <f t="shared" si="181"/>
        <v>145.2464713193522</v>
      </c>
      <c r="AD3817" s="82">
        <f t="shared" si="182"/>
        <v>74.181428571428569</v>
      </c>
      <c r="AE3817" s="218">
        <v>2.6430594887270602E-3</v>
      </c>
      <c r="AF3817">
        <v>2</v>
      </c>
      <c r="AH3817" t="str">
        <f t="shared" si="180"/>
        <v>Hasanpur</v>
      </c>
      <c r="AJ3817" s="72">
        <v>0</v>
      </c>
      <c r="AK3817" s="72"/>
      <c r="AL3817" s="72"/>
      <c r="AM3817" s="72"/>
    </row>
    <row r="3818" spans="1:39" x14ac:dyDescent="0.25">
      <c r="A3818" s="37" t="s">
        <v>62</v>
      </c>
      <c r="B3818" s="66" t="s">
        <v>1676</v>
      </c>
      <c r="C3818" s="4">
        <v>1058</v>
      </c>
      <c r="D3818" s="41" t="s">
        <v>1296</v>
      </c>
      <c r="E3818" s="41">
        <v>10580023</v>
      </c>
      <c r="F3818" s="85" t="s">
        <v>1345</v>
      </c>
      <c r="G3818" s="39" t="s">
        <v>1610</v>
      </c>
      <c r="H3818" s="52" t="s">
        <v>98</v>
      </c>
      <c r="I3818" s="52">
        <v>757.78999999999985</v>
      </c>
      <c r="J3818" s="49">
        <v>31085.41</v>
      </c>
      <c r="K3818" s="58">
        <v>0</v>
      </c>
      <c r="L3818" s="58">
        <v>0</v>
      </c>
      <c r="M3818" s="58">
        <v>0</v>
      </c>
      <c r="N3818" s="58">
        <v>0</v>
      </c>
      <c r="O3818" s="58">
        <v>0</v>
      </c>
      <c r="P3818" s="53">
        <v>0</v>
      </c>
      <c r="Q3818" s="65">
        <v>31085.41</v>
      </c>
      <c r="R3818" s="65">
        <v>0</v>
      </c>
      <c r="S3818" s="65">
        <v>0</v>
      </c>
      <c r="T3818" s="65">
        <v>0</v>
      </c>
      <c r="U3818" s="58">
        <v>0</v>
      </c>
      <c r="V3818" s="65">
        <v>0</v>
      </c>
      <c r="W3818" s="65">
        <v>0</v>
      </c>
      <c r="X3818" s="65">
        <v>0</v>
      </c>
      <c r="Y3818" s="65">
        <v>0</v>
      </c>
      <c r="Z3818" s="51">
        <v>31085.41</v>
      </c>
      <c r="AA3818" s="51">
        <v>0</v>
      </c>
      <c r="AB3818" s="102">
        <v>0</v>
      </c>
      <c r="AC3818" s="81">
        <f t="shared" si="181"/>
        <v>0</v>
      </c>
      <c r="AD3818" s="82">
        <f t="shared" si="182"/>
        <v>0</v>
      </c>
      <c r="AE3818" s="218">
        <v>0</v>
      </c>
      <c r="AF3818">
        <v>0</v>
      </c>
      <c r="AH3818" t="str">
        <f t="shared" si="180"/>
        <v>Hasanpur</v>
      </c>
      <c r="AJ3818" s="72">
        <v>0</v>
      </c>
      <c r="AK3818" s="72"/>
      <c r="AL3818" s="72"/>
      <c r="AM3818" s="72"/>
    </row>
    <row r="3819" spans="1:39" x14ac:dyDescent="0.25">
      <c r="A3819" s="37" t="s">
        <v>62</v>
      </c>
      <c r="B3819" s="66" t="s">
        <v>1676</v>
      </c>
      <c r="C3819" s="4">
        <v>1058</v>
      </c>
      <c r="D3819" s="41" t="s">
        <v>1296</v>
      </c>
      <c r="E3819" s="41">
        <v>10580024</v>
      </c>
      <c r="F3819" s="85" t="s">
        <v>1437</v>
      </c>
      <c r="G3819" s="39" t="s">
        <v>92</v>
      </c>
      <c r="H3819" s="52" t="s">
        <v>93</v>
      </c>
      <c r="I3819" s="52">
        <v>597.01</v>
      </c>
      <c r="J3819" s="49">
        <v>23634.38</v>
      </c>
      <c r="K3819" s="58">
        <v>558</v>
      </c>
      <c r="L3819" s="58">
        <v>23587.859999999997</v>
      </c>
      <c r="M3819" s="58">
        <v>0</v>
      </c>
      <c r="N3819" s="58">
        <v>0</v>
      </c>
      <c r="O3819" s="58">
        <v>558</v>
      </c>
      <c r="P3819" s="53">
        <v>23587.859999999997</v>
      </c>
      <c r="Q3819" s="65">
        <v>23587.859999999997</v>
      </c>
      <c r="R3819" s="65">
        <v>0</v>
      </c>
      <c r="S3819" s="65">
        <v>0</v>
      </c>
      <c r="T3819" s="65">
        <v>0</v>
      </c>
      <c r="U3819" s="58">
        <v>0</v>
      </c>
      <c r="V3819" s="65">
        <v>0</v>
      </c>
      <c r="W3819" s="65">
        <v>0</v>
      </c>
      <c r="X3819" s="65">
        <v>23588</v>
      </c>
      <c r="Y3819" s="65">
        <v>0</v>
      </c>
      <c r="Z3819" s="51">
        <v>0</v>
      </c>
      <c r="AA3819" s="51">
        <v>46</v>
      </c>
      <c r="AB3819" s="102">
        <v>0</v>
      </c>
      <c r="AC3819" s="81">
        <f t="shared" si="181"/>
        <v>81.543183403963113</v>
      </c>
      <c r="AD3819" s="82">
        <f t="shared" si="182"/>
        <v>85.287142857142854</v>
      </c>
      <c r="AE3819" s="218">
        <v>1.9683190335436796E-3</v>
      </c>
      <c r="AF3819">
        <v>2</v>
      </c>
      <c r="AH3819" t="str">
        <f t="shared" si="180"/>
        <v>Hasanpur</v>
      </c>
      <c r="AJ3819" s="72">
        <v>0</v>
      </c>
      <c r="AK3819" s="72"/>
      <c r="AL3819" s="72"/>
      <c r="AM3819" s="72"/>
    </row>
    <row r="3820" spans="1:39" x14ac:dyDescent="0.25">
      <c r="A3820" s="37" t="s">
        <v>62</v>
      </c>
      <c r="B3820" s="66" t="s">
        <v>1676</v>
      </c>
      <c r="C3820" s="4">
        <v>1058</v>
      </c>
      <c r="D3820" s="41" t="s">
        <v>1296</v>
      </c>
      <c r="E3820" s="41">
        <v>10580025</v>
      </c>
      <c r="F3820" s="85" t="s">
        <v>1438</v>
      </c>
      <c r="G3820" s="39" t="s">
        <v>92</v>
      </c>
      <c r="H3820" s="52" t="s">
        <v>93</v>
      </c>
      <c r="I3820" s="52">
        <v>872.05000000000007</v>
      </c>
      <c r="J3820" s="49">
        <v>39299.11</v>
      </c>
      <c r="K3820" s="58">
        <v>879.40000000000009</v>
      </c>
      <c r="L3820" s="58">
        <v>40542.629999999997</v>
      </c>
      <c r="M3820" s="58">
        <v>0</v>
      </c>
      <c r="N3820" s="58">
        <v>0</v>
      </c>
      <c r="O3820" s="58">
        <v>879.40000000000009</v>
      </c>
      <c r="P3820" s="53">
        <v>40542.629999999997</v>
      </c>
      <c r="Q3820" s="65">
        <v>39299.11</v>
      </c>
      <c r="R3820" s="65">
        <v>0</v>
      </c>
      <c r="S3820" s="65">
        <v>0</v>
      </c>
      <c r="T3820" s="65">
        <v>1243.5199999999968</v>
      </c>
      <c r="U3820" s="58">
        <v>0</v>
      </c>
      <c r="V3820" s="65">
        <v>0</v>
      </c>
      <c r="W3820" s="65">
        <v>0</v>
      </c>
      <c r="X3820" s="65">
        <v>39299</v>
      </c>
      <c r="Y3820" s="65">
        <v>0</v>
      </c>
      <c r="Z3820" s="51">
        <v>0</v>
      </c>
      <c r="AA3820" s="51">
        <v>0</v>
      </c>
      <c r="AB3820" s="102">
        <v>0</v>
      </c>
      <c r="AC3820" s="81">
        <f t="shared" si="181"/>
        <v>0</v>
      </c>
      <c r="AD3820" s="82">
        <f t="shared" si="182"/>
        <v>0</v>
      </c>
      <c r="AE3820" s="218">
        <v>-3.1642446864572675E-2</v>
      </c>
      <c r="AF3820">
        <v>13</v>
      </c>
      <c r="AH3820" t="str">
        <f t="shared" si="180"/>
        <v>Hasanpur</v>
      </c>
      <c r="AJ3820" s="72">
        <v>0</v>
      </c>
      <c r="AK3820" s="72"/>
      <c r="AL3820" s="72"/>
      <c r="AM3820" s="72"/>
    </row>
    <row r="3821" spans="1:39" x14ac:dyDescent="0.25">
      <c r="A3821" s="37" t="s">
        <v>62</v>
      </c>
      <c r="B3821" s="66" t="s">
        <v>1676</v>
      </c>
      <c r="C3821" s="4">
        <v>1058</v>
      </c>
      <c r="D3821" s="41" t="s">
        <v>1296</v>
      </c>
      <c r="E3821" s="41">
        <v>10580026</v>
      </c>
      <c r="F3821" s="85" t="s">
        <v>1439</v>
      </c>
      <c r="G3821" s="39" t="s">
        <v>92</v>
      </c>
      <c r="H3821" s="52" t="s">
        <v>93</v>
      </c>
      <c r="I3821" s="52">
        <v>81.749999999999986</v>
      </c>
      <c r="J3821" s="49">
        <v>3630.6699999999996</v>
      </c>
      <c r="K3821" s="58">
        <v>82.7</v>
      </c>
      <c r="L3821" s="58">
        <v>3670.4100000000003</v>
      </c>
      <c r="M3821" s="58">
        <v>0</v>
      </c>
      <c r="N3821" s="58">
        <v>0</v>
      </c>
      <c r="O3821" s="58">
        <v>82.7</v>
      </c>
      <c r="P3821" s="53">
        <v>3670.4100000000003</v>
      </c>
      <c r="Q3821" s="65">
        <v>3630.6699999999996</v>
      </c>
      <c r="R3821" s="65">
        <v>0</v>
      </c>
      <c r="S3821" s="65">
        <v>0</v>
      </c>
      <c r="T3821" s="65">
        <v>39.740000000000691</v>
      </c>
      <c r="U3821" s="58">
        <v>0</v>
      </c>
      <c r="V3821" s="65">
        <v>0</v>
      </c>
      <c r="W3821" s="65">
        <v>0</v>
      </c>
      <c r="X3821" s="65">
        <v>3631</v>
      </c>
      <c r="Y3821" s="65">
        <v>0</v>
      </c>
      <c r="Z3821" s="51">
        <v>0</v>
      </c>
      <c r="AA3821" s="51">
        <v>0</v>
      </c>
      <c r="AB3821" s="102">
        <v>0</v>
      </c>
      <c r="AC3821" s="81">
        <f t="shared" si="181"/>
        <v>549.15271620795113</v>
      </c>
      <c r="AD3821" s="82">
        <f t="shared" si="182"/>
        <v>11.678571428571427</v>
      </c>
      <c r="AE3821" s="218">
        <v>-1.094563813290679E-2</v>
      </c>
      <c r="AF3821">
        <v>1</v>
      </c>
      <c r="AH3821" t="str">
        <f t="shared" si="180"/>
        <v>Hasanpur</v>
      </c>
      <c r="AJ3821" s="72">
        <v>0</v>
      </c>
      <c r="AK3821" s="72"/>
      <c r="AL3821" s="72"/>
      <c r="AM3821" s="72"/>
    </row>
    <row r="3822" spans="1:39" x14ac:dyDescent="0.25">
      <c r="A3822" s="37" t="s">
        <v>62</v>
      </c>
      <c r="B3822" s="66" t="s">
        <v>1676</v>
      </c>
      <c r="C3822" s="4">
        <v>1058</v>
      </c>
      <c r="D3822" s="41" t="s">
        <v>1296</v>
      </c>
      <c r="E3822" s="41">
        <v>10580027</v>
      </c>
      <c r="F3822" s="85" t="s">
        <v>1440</v>
      </c>
      <c r="G3822" s="39" t="s">
        <v>92</v>
      </c>
      <c r="H3822" s="52" t="s">
        <v>93</v>
      </c>
      <c r="I3822" s="52">
        <v>160.24</v>
      </c>
      <c r="J3822" s="49">
        <v>6512.25</v>
      </c>
      <c r="K3822" s="58">
        <v>167.92</v>
      </c>
      <c r="L3822" s="58">
        <v>6891.16</v>
      </c>
      <c r="M3822" s="58">
        <v>0</v>
      </c>
      <c r="N3822" s="58">
        <v>0</v>
      </c>
      <c r="O3822" s="58">
        <v>167.92</v>
      </c>
      <c r="P3822" s="53">
        <v>6891.16</v>
      </c>
      <c r="Q3822" s="65">
        <v>6512.25</v>
      </c>
      <c r="R3822" s="65">
        <v>0</v>
      </c>
      <c r="S3822" s="65">
        <v>0</v>
      </c>
      <c r="T3822" s="65">
        <v>378.90999999999985</v>
      </c>
      <c r="U3822" s="58">
        <v>0</v>
      </c>
      <c r="V3822" s="65">
        <v>0</v>
      </c>
      <c r="W3822" s="65">
        <v>0</v>
      </c>
      <c r="X3822" s="65">
        <v>6512</v>
      </c>
      <c r="Y3822" s="65">
        <v>0</v>
      </c>
      <c r="Z3822" s="51">
        <v>0</v>
      </c>
      <c r="AA3822" s="51">
        <v>0</v>
      </c>
      <c r="AB3822" s="102">
        <v>0</v>
      </c>
      <c r="AC3822" s="81">
        <f t="shared" si="181"/>
        <v>438.72342236645028</v>
      </c>
      <c r="AD3822" s="82">
        <f t="shared" si="182"/>
        <v>22.891428571428573</v>
      </c>
      <c r="AE3822" s="218">
        <v>-5.8184191331720966E-2</v>
      </c>
      <c r="AF3822">
        <v>1</v>
      </c>
      <c r="AH3822" t="str">
        <f t="shared" si="180"/>
        <v>Hasanpur</v>
      </c>
      <c r="AJ3822" s="72">
        <v>0</v>
      </c>
      <c r="AK3822" s="72"/>
      <c r="AL3822" s="72"/>
      <c r="AM3822" s="72"/>
    </row>
    <row r="3823" spans="1:39" x14ac:dyDescent="0.25">
      <c r="A3823" s="37" t="s">
        <v>62</v>
      </c>
      <c r="B3823" s="66" t="s">
        <v>1676</v>
      </c>
      <c r="C3823" s="4">
        <v>1058</v>
      </c>
      <c r="D3823" s="41" t="s">
        <v>1296</v>
      </c>
      <c r="E3823" s="41">
        <v>10580028</v>
      </c>
      <c r="F3823" s="85" t="s">
        <v>1441</v>
      </c>
      <c r="G3823" s="39" t="s">
        <v>92</v>
      </c>
      <c r="H3823" s="52" t="s">
        <v>93</v>
      </c>
      <c r="I3823" s="52">
        <v>402.17</v>
      </c>
      <c r="J3823" s="49">
        <v>16572.8</v>
      </c>
      <c r="K3823" s="58">
        <v>400.7</v>
      </c>
      <c r="L3823" s="58">
        <v>16496.699999999997</v>
      </c>
      <c r="M3823" s="58">
        <v>0</v>
      </c>
      <c r="N3823" s="58">
        <v>0</v>
      </c>
      <c r="O3823" s="58">
        <v>400.7</v>
      </c>
      <c r="P3823" s="53">
        <v>16496.699999999997</v>
      </c>
      <c r="Q3823" s="65">
        <v>16496.699999999997</v>
      </c>
      <c r="R3823" s="65">
        <v>0</v>
      </c>
      <c r="S3823" s="65">
        <v>0</v>
      </c>
      <c r="T3823" s="65">
        <v>0</v>
      </c>
      <c r="U3823" s="58">
        <v>0</v>
      </c>
      <c r="V3823" s="65">
        <v>0</v>
      </c>
      <c r="W3823" s="65">
        <v>0</v>
      </c>
      <c r="X3823" s="65">
        <v>16497</v>
      </c>
      <c r="Y3823" s="65">
        <v>0</v>
      </c>
      <c r="Z3823" s="51">
        <v>0</v>
      </c>
      <c r="AA3823" s="51">
        <v>76</v>
      </c>
      <c r="AB3823" s="102">
        <v>0</v>
      </c>
      <c r="AC3823" s="81">
        <f t="shared" si="181"/>
        <v>245.46221866374913</v>
      </c>
      <c r="AD3823" s="82">
        <f t="shared" si="182"/>
        <v>57.452857142857148</v>
      </c>
      <c r="AE3823" s="218">
        <v>4.5918613631976603E-3</v>
      </c>
      <c r="AF3823">
        <v>2</v>
      </c>
      <c r="AH3823" t="str">
        <f t="shared" si="180"/>
        <v>Hasanpur</v>
      </c>
      <c r="AJ3823" s="72">
        <v>0</v>
      </c>
      <c r="AK3823" s="72"/>
      <c r="AL3823" s="72"/>
      <c r="AM3823" s="72"/>
    </row>
    <row r="3824" spans="1:39" x14ac:dyDescent="0.25">
      <c r="A3824" s="37" t="s">
        <v>62</v>
      </c>
      <c r="B3824" s="66" t="s">
        <v>1676</v>
      </c>
      <c r="C3824" s="4">
        <v>1058</v>
      </c>
      <c r="D3824" s="41" t="s">
        <v>1296</v>
      </c>
      <c r="E3824" s="41">
        <v>10580029</v>
      </c>
      <c r="F3824" s="85" t="s">
        <v>1214</v>
      </c>
      <c r="G3824" s="39" t="s">
        <v>92</v>
      </c>
      <c r="H3824" s="52" t="s">
        <v>93</v>
      </c>
      <c r="I3824" s="52">
        <v>200.7</v>
      </c>
      <c r="J3824" s="49">
        <v>9270.91</v>
      </c>
      <c r="K3824" s="58">
        <v>210.39999999999995</v>
      </c>
      <c r="L3824" s="58">
        <v>9896.4700000000012</v>
      </c>
      <c r="M3824" s="58">
        <v>0</v>
      </c>
      <c r="N3824" s="58">
        <v>0</v>
      </c>
      <c r="O3824" s="58">
        <v>210.39999999999995</v>
      </c>
      <c r="P3824" s="53">
        <v>9896.4700000000012</v>
      </c>
      <c r="Q3824" s="65">
        <v>9270.91</v>
      </c>
      <c r="R3824" s="65">
        <v>0</v>
      </c>
      <c r="S3824" s="65">
        <v>0</v>
      </c>
      <c r="T3824" s="65">
        <v>625.56000000000131</v>
      </c>
      <c r="U3824" s="58">
        <v>0</v>
      </c>
      <c r="V3824" s="65">
        <v>0</v>
      </c>
      <c r="W3824" s="65">
        <v>0</v>
      </c>
      <c r="X3824" s="65">
        <v>0</v>
      </c>
      <c r="Y3824" s="65">
        <v>0</v>
      </c>
      <c r="Z3824" s="51">
        <v>0</v>
      </c>
      <c r="AA3824" s="51">
        <v>9271</v>
      </c>
      <c r="AB3824" s="102" t="s">
        <v>65</v>
      </c>
      <c r="AC3824" s="81">
        <f t="shared" si="181"/>
        <v>461.28204912805182</v>
      </c>
      <c r="AD3824" s="82">
        <f t="shared" si="182"/>
        <v>28.671428571428571</v>
      </c>
      <c r="AE3824" s="218">
        <v>-6.7475576831185005E-2</v>
      </c>
      <c r="AF3824">
        <v>11</v>
      </c>
      <c r="AH3824" t="str">
        <f t="shared" si="180"/>
        <v>Hasanpur</v>
      </c>
      <c r="AJ3824" s="72">
        <v>0</v>
      </c>
      <c r="AK3824" s="72"/>
      <c r="AL3824" s="72"/>
      <c r="AM3824" s="72"/>
    </row>
    <row r="3825" spans="1:39" x14ac:dyDescent="0.25">
      <c r="A3825" s="37" t="s">
        <v>62</v>
      </c>
      <c r="B3825" s="66" t="s">
        <v>1676</v>
      </c>
      <c r="C3825" s="4">
        <v>1058</v>
      </c>
      <c r="D3825" s="41" t="s">
        <v>1296</v>
      </c>
      <c r="E3825" s="41">
        <v>10580036</v>
      </c>
      <c r="F3825" s="85" t="s">
        <v>1671</v>
      </c>
      <c r="G3825" s="39" t="s">
        <v>92</v>
      </c>
      <c r="H3825" s="52" t="s">
        <v>93</v>
      </c>
      <c r="I3825" s="52">
        <v>323.18999999999994</v>
      </c>
      <c r="J3825" s="49">
        <v>14096.87</v>
      </c>
      <c r="K3825" s="58">
        <v>320.7</v>
      </c>
      <c r="L3825" s="58">
        <v>14030.400000000001</v>
      </c>
      <c r="M3825" s="58">
        <v>0</v>
      </c>
      <c r="N3825" s="58">
        <v>0</v>
      </c>
      <c r="O3825" s="58">
        <v>320.7</v>
      </c>
      <c r="P3825" s="53">
        <v>14030.400000000001</v>
      </c>
      <c r="Q3825" s="65">
        <v>14030.400000000001</v>
      </c>
      <c r="R3825" s="65">
        <v>0</v>
      </c>
      <c r="S3825" s="65">
        <v>0</v>
      </c>
      <c r="T3825" s="65">
        <v>0</v>
      </c>
      <c r="U3825" s="58">
        <v>0</v>
      </c>
      <c r="V3825" s="65">
        <v>0</v>
      </c>
      <c r="W3825" s="65">
        <v>0</v>
      </c>
      <c r="X3825" s="65">
        <v>14030</v>
      </c>
      <c r="Y3825" s="65">
        <v>0</v>
      </c>
      <c r="Z3825" s="51">
        <v>0</v>
      </c>
      <c r="AA3825" s="51">
        <v>67</v>
      </c>
      <c r="AB3825" s="102">
        <v>0</v>
      </c>
      <c r="AC3825" s="81">
        <f t="shared" si="181"/>
        <v>328.7132389430368</v>
      </c>
      <c r="AD3825" s="82">
        <f t="shared" si="182"/>
        <v>46.169999999999995</v>
      </c>
      <c r="AE3825" s="218">
        <v>4.7152311115871356E-3</v>
      </c>
      <c r="AF3825">
        <v>1</v>
      </c>
      <c r="AH3825" t="str">
        <f t="shared" si="180"/>
        <v>Hasanpur</v>
      </c>
      <c r="AJ3825" s="72">
        <v>0</v>
      </c>
      <c r="AK3825" s="72"/>
      <c r="AL3825" s="72"/>
      <c r="AM3825" s="72"/>
    </row>
    <row r="3826" spans="1:39" x14ac:dyDescent="0.25">
      <c r="A3826" s="37" t="s">
        <v>62</v>
      </c>
      <c r="B3826" s="66" t="s">
        <v>1676</v>
      </c>
      <c r="C3826" s="4">
        <v>1059</v>
      </c>
      <c r="D3826" s="41" t="s">
        <v>1299</v>
      </c>
      <c r="E3826" s="41">
        <v>10590001</v>
      </c>
      <c r="F3826" s="85" t="s">
        <v>1293</v>
      </c>
      <c r="G3826" s="39" t="s">
        <v>92</v>
      </c>
      <c r="H3826" s="52" t="s">
        <v>93</v>
      </c>
      <c r="I3826" s="52">
        <v>716.10000000000025</v>
      </c>
      <c r="J3826" s="49">
        <v>34132.89</v>
      </c>
      <c r="K3826" s="58">
        <v>834.14</v>
      </c>
      <c r="L3826" s="58">
        <v>41266.239999999991</v>
      </c>
      <c r="M3826" s="58">
        <v>0</v>
      </c>
      <c r="N3826" s="58">
        <v>0</v>
      </c>
      <c r="O3826" s="58">
        <v>834.14</v>
      </c>
      <c r="P3826" s="53">
        <v>41266.239999999991</v>
      </c>
      <c r="Q3826" s="65">
        <v>34132.89</v>
      </c>
      <c r="R3826" s="65">
        <v>0</v>
      </c>
      <c r="S3826" s="65">
        <v>0</v>
      </c>
      <c r="T3826" s="65">
        <v>7133.3499999999913</v>
      </c>
      <c r="U3826" s="58">
        <v>0</v>
      </c>
      <c r="V3826" s="65">
        <v>0</v>
      </c>
      <c r="W3826" s="65">
        <v>0</v>
      </c>
      <c r="X3826" s="65">
        <v>34133</v>
      </c>
      <c r="Y3826" s="65">
        <v>0</v>
      </c>
      <c r="Z3826" s="51">
        <v>0</v>
      </c>
      <c r="AA3826" s="51">
        <v>0</v>
      </c>
      <c r="AB3826" s="102">
        <v>0</v>
      </c>
      <c r="AC3826" s="81">
        <f t="shared" si="181"/>
        <v>0</v>
      </c>
      <c r="AD3826" s="82">
        <f t="shared" si="182"/>
        <v>0</v>
      </c>
      <c r="AE3826" s="218">
        <v>-0.20898757767068629</v>
      </c>
      <c r="AF3826">
        <v>2</v>
      </c>
      <c r="AH3826" t="str">
        <f t="shared" si="180"/>
        <v>Gopalpur Bmc</v>
      </c>
      <c r="AJ3826" s="72">
        <v>0</v>
      </c>
      <c r="AK3826" s="72"/>
      <c r="AL3826" s="72"/>
      <c r="AM3826" s="72"/>
    </row>
    <row r="3827" spans="1:39" x14ac:dyDescent="0.25">
      <c r="A3827" s="37" t="s">
        <v>62</v>
      </c>
      <c r="B3827" s="66" t="s">
        <v>1676</v>
      </c>
      <c r="C3827" s="4">
        <v>1059</v>
      </c>
      <c r="D3827" s="41" t="s">
        <v>1299</v>
      </c>
      <c r="E3827" s="41">
        <v>10590002</v>
      </c>
      <c r="F3827" s="85" t="s">
        <v>1294</v>
      </c>
      <c r="G3827" s="39" t="s">
        <v>92</v>
      </c>
      <c r="H3827" s="52" t="s">
        <v>93</v>
      </c>
      <c r="I3827" s="52">
        <v>60.1</v>
      </c>
      <c r="J3827" s="49">
        <v>3981.2</v>
      </c>
      <c r="K3827" s="58">
        <v>65.399999999999991</v>
      </c>
      <c r="L3827" s="58">
        <v>4019.65</v>
      </c>
      <c r="M3827" s="58">
        <v>0</v>
      </c>
      <c r="N3827" s="58">
        <v>0</v>
      </c>
      <c r="O3827" s="58">
        <v>65.399999999999991</v>
      </c>
      <c r="P3827" s="53">
        <v>4019.65</v>
      </c>
      <c r="Q3827" s="65">
        <v>3981.2</v>
      </c>
      <c r="R3827" s="65">
        <v>0</v>
      </c>
      <c r="S3827" s="65">
        <v>0</v>
      </c>
      <c r="T3827" s="65">
        <v>38.450000000000273</v>
      </c>
      <c r="U3827" s="58">
        <v>0</v>
      </c>
      <c r="V3827" s="65">
        <v>500</v>
      </c>
      <c r="W3827" s="65">
        <v>0</v>
      </c>
      <c r="X3827" s="65">
        <v>3481</v>
      </c>
      <c r="Y3827" s="65">
        <v>0</v>
      </c>
      <c r="Z3827" s="51">
        <v>0</v>
      </c>
      <c r="AA3827" s="51">
        <v>0</v>
      </c>
      <c r="AB3827" s="102">
        <v>0</v>
      </c>
      <c r="AC3827" s="81">
        <f t="shared" si="181"/>
        <v>847.77699833610654</v>
      </c>
      <c r="AD3827" s="82">
        <f t="shared" si="182"/>
        <v>8.5857142857142854</v>
      </c>
      <c r="AE3827" s="218">
        <v>-9.6578920928363995E-3</v>
      </c>
      <c r="AF3827">
        <v>1</v>
      </c>
      <c r="AH3827" t="str">
        <f t="shared" si="180"/>
        <v>Gopalpur Bmc</v>
      </c>
      <c r="AJ3827" s="72">
        <v>500</v>
      </c>
      <c r="AK3827" s="72"/>
      <c r="AL3827" s="72"/>
      <c r="AM3827" s="72"/>
    </row>
    <row r="3828" spans="1:39" x14ac:dyDescent="0.25">
      <c r="A3828" s="37" t="s">
        <v>62</v>
      </c>
      <c r="B3828" s="66" t="s">
        <v>1676</v>
      </c>
      <c r="C3828" s="4">
        <v>1059</v>
      </c>
      <c r="D3828" s="41" t="s">
        <v>1299</v>
      </c>
      <c r="E3828" s="41">
        <v>10590004</v>
      </c>
      <c r="F3828" s="85" t="s">
        <v>1295</v>
      </c>
      <c r="G3828" s="39" t="s">
        <v>92</v>
      </c>
      <c r="H3828" s="52" t="s">
        <v>93</v>
      </c>
      <c r="I3828" s="52">
        <v>931.7</v>
      </c>
      <c r="J3828" s="49">
        <v>36125.579999999994</v>
      </c>
      <c r="K3828" s="58">
        <v>934.7</v>
      </c>
      <c r="L3828" s="58">
        <v>36266.83</v>
      </c>
      <c r="M3828" s="58">
        <v>0</v>
      </c>
      <c r="N3828" s="58">
        <v>0</v>
      </c>
      <c r="O3828" s="58">
        <v>934.7</v>
      </c>
      <c r="P3828" s="53">
        <v>36266.83</v>
      </c>
      <c r="Q3828" s="65">
        <v>36125.579999999994</v>
      </c>
      <c r="R3828" s="65">
        <v>0</v>
      </c>
      <c r="S3828" s="65">
        <v>0</v>
      </c>
      <c r="T3828" s="65">
        <v>141.25000000000728</v>
      </c>
      <c r="U3828" s="58">
        <v>7714.75</v>
      </c>
      <c r="V3828" s="65">
        <v>0</v>
      </c>
      <c r="W3828" s="65">
        <v>0</v>
      </c>
      <c r="X3828" s="65">
        <v>28552</v>
      </c>
      <c r="Y3828" s="65">
        <v>0</v>
      </c>
      <c r="Z3828" s="51">
        <v>0</v>
      </c>
      <c r="AA3828" s="51">
        <v>-141</v>
      </c>
      <c r="AB3828" s="102" t="s">
        <v>66</v>
      </c>
      <c r="AC3828" s="81">
        <f t="shared" si="181"/>
        <v>0</v>
      </c>
      <c r="AD3828" s="82">
        <f t="shared" si="182"/>
        <v>0</v>
      </c>
      <c r="AE3828" s="218">
        <v>-3.9099718260580812E-3</v>
      </c>
      <c r="AF3828">
        <v>1</v>
      </c>
      <c r="AH3828" t="str">
        <f t="shared" si="180"/>
        <v>Gopalpur Bmc</v>
      </c>
      <c r="AJ3828" s="72">
        <v>0</v>
      </c>
      <c r="AK3828" s="72"/>
      <c r="AL3828" s="72"/>
      <c r="AM3828" s="72"/>
    </row>
    <row r="3829" spans="1:39" x14ac:dyDescent="0.25">
      <c r="A3829" s="37" t="s">
        <v>62</v>
      </c>
      <c r="B3829" s="66" t="s">
        <v>1676</v>
      </c>
      <c r="C3829" s="4">
        <v>1059</v>
      </c>
      <c r="D3829" s="41" t="s">
        <v>1299</v>
      </c>
      <c r="E3829" s="41">
        <v>10590006</v>
      </c>
      <c r="F3829" s="85" t="s">
        <v>1310</v>
      </c>
      <c r="G3829" s="39" t="s">
        <v>92</v>
      </c>
      <c r="H3829" s="52" t="s">
        <v>93</v>
      </c>
      <c r="I3829" s="52">
        <v>1288.4000000000001</v>
      </c>
      <c r="J3829" s="49">
        <v>59224.51</v>
      </c>
      <c r="K3829" s="58">
        <v>1351</v>
      </c>
      <c r="L3829" s="58">
        <v>59420.37999999999</v>
      </c>
      <c r="M3829" s="58">
        <v>0</v>
      </c>
      <c r="N3829" s="58">
        <v>0</v>
      </c>
      <c r="O3829" s="58">
        <v>1351</v>
      </c>
      <c r="P3829" s="53">
        <v>59420.37999999999</v>
      </c>
      <c r="Q3829" s="65">
        <v>59224.51</v>
      </c>
      <c r="R3829" s="65">
        <v>0</v>
      </c>
      <c r="S3829" s="65">
        <v>0</v>
      </c>
      <c r="T3829" s="65">
        <v>195.86999999998807</v>
      </c>
      <c r="U3829" s="58">
        <v>0</v>
      </c>
      <c r="V3829" s="65">
        <v>0</v>
      </c>
      <c r="W3829" s="65">
        <v>0</v>
      </c>
      <c r="X3829" s="65">
        <v>59225</v>
      </c>
      <c r="Y3829" s="65">
        <v>0</v>
      </c>
      <c r="Z3829" s="51">
        <v>0</v>
      </c>
      <c r="AA3829" s="51">
        <v>0</v>
      </c>
      <c r="AB3829" s="102">
        <v>0</v>
      </c>
      <c r="AC3829" s="81">
        <f t="shared" si="181"/>
        <v>0</v>
      </c>
      <c r="AD3829" s="82">
        <f t="shared" si="182"/>
        <v>0</v>
      </c>
      <c r="AE3829" s="218">
        <v>-3.3072455981482678E-3</v>
      </c>
      <c r="AF3829">
        <v>18</v>
      </c>
      <c r="AH3829" t="str">
        <f t="shared" ref="AH3829:AH3892" si="183">TEXT(D3829,"0000")</f>
        <v>Gopalpur Bmc</v>
      </c>
      <c r="AJ3829" s="72">
        <v>0</v>
      </c>
      <c r="AK3829" s="72"/>
      <c r="AL3829" s="72"/>
      <c r="AM3829" s="72"/>
    </row>
    <row r="3830" spans="1:39" x14ac:dyDescent="0.25">
      <c r="A3830" s="37" t="s">
        <v>62</v>
      </c>
      <c r="B3830" s="66" t="s">
        <v>1676</v>
      </c>
      <c r="C3830" s="4">
        <v>1059</v>
      </c>
      <c r="D3830" s="41" t="s">
        <v>1299</v>
      </c>
      <c r="E3830" s="41">
        <v>10590007</v>
      </c>
      <c r="F3830" s="85" t="s">
        <v>466</v>
      </c>
      <c r="G3830" s="39" t="s">
        <v>92</v>
      </c>
      <c r="H3830" s="52" t="s">
        <v>93</v>
      </c>
      <c r="I3830" s="52">
        <v>202.8</v>
      </c>
      <c r="J3830" s="49">
        <v>9163.4500000000007</v>
      </c>
      <c r="K3830" s="58">
        <v>202.79999999999998</v>
      </c>
      <c r="L3830" s="58">
        <v>8946.18</v>
      </c>
      <c r="M3830" s="58">
        <v>0</v>
      </c>
      <c r="N3830" s="58">
        <v>0</v>
      </c>
      <c r="O3830" s="58">
        <v>202.79999999999998</v>
      </c>
      <c r="P3830" s="53">
        <v>8946.18</v>
      </c>
      <c r="Q3830" s="65">
        <v>8946.18</v>
      </c>
      <c r="R3830" s="65">
        <v>0</v>
      </c>
      <c r="S3830" s="65">
        <v>0</v>
      </c>
      <c r="T3830" s="65">
        <v>0</v>
      </c>
      <c r="U3830" s="58">
        <v>0</v>
      </c>
      <c r="V3830" s="65">
        <v>0</v>
      </c>
      <c r="W3830" s="65">
        <v>0</v>
      </c>
      <c r="X3830" s="65">
        <v>8946</v>
      </c>
      <c r="Y3830" s="65">
        <v>0</v>
      </c>
      <c r="Z3830" s="51">
        <v>0</v>
      </c>
      <c r="AA3830" s="51">
        <v>217</v>
      </c>
      <c r="AB3830" s="102">
        <v>0</v>
      </c>
      <c r="AC3830" s="81">
        <f t="shared" si="181"/>
        <v>449.3163057199211</v>
      </c>
      <c r="AD3830" s="82">
        <f t="shared" si="182"/>
        <v>28.971428571428572</v>
      </c>
      <c r="AE3830" s="218">
        <v>2.3710502048900843E-2</v>
      </c>
      <c r="AF3830">
        <v>1</v>
      </c>
      <c r="AH3830" t="str">
        <f t="shared" si="183"/>
        <v>Gopalpur Bmc</v>
      </c>
      <c r="AJ3830" s="72">
        <v>0</v>
      </c>
      <c r="AK3830" s="72"/>
      <c r="AL3830" s="72"/>
      <c r="AM3830" s="72"/>
    </row>
    <row r="3831" spans="1:39" x14ac:dyDescent="0.25">
      <c r="A3831" s="37" t="s">
        <v>62</v>
      </c>
      <c r="B3831" s="66" t="s">
        <v>1676</v>
      </c>
      <c r="C3831" s="4">
        <v>1059</v>
      </c>
      <c r="D3831" s="41" t="s">
        <v>1299</v>
      </c>
      <c r="E3831" s="41">
        <v>10590008</v>
      </c>
      <c r="F3831" s="85" t="s">
        <v>1369</v>
      </c>
      <c r="G3831" s="39" t="s">
        <v>92</v>
      </c>
      <c r="H3831" s="52" t="s">
        <v>93</v>
      </c>
      <c r="I3831" s="52">
        <v>315.5</v>
      </c>
      <c r="J3831" s="49">
        <v>15201.209999999995</v>
      </c>
      <c r="K3831" s="58">
        <v>317</v>
      </c>
      <c r="L3831" s="58">
        <v>15306.5</v>
      </c>
      <c r="M3831" s="58">
        <v>0</v>
      </c>
      <c r="N3831" s="58">
        <v>0</v>
      </c>
      <c r="O3831" s="58">
        <v>317</v>
      </c>
      <c r="P3831" s="53">
        <v>15306.5</v>
      </c>
      <c r="Q3831" s="65">
        <v>15201.209999999995</v>
      </c>
      <c r="R3831" s="65">
        <v>0</v>
      </c>
      <c r="S3831" s="65">
        <v>0</v>
      </c>
      <c r="T3831" s="65">
        <v>105.29000000000451</v>
      </c>
      <c r="U3831" s="58">
        <v>675</v>
      </c>
      <c r="V3831" s="65">
        <v>0</v>
      </c>
      <c r="W3831" s="65">
        <v>0</v>
      </c>
      <c r="X3831" s="65">
        <v>14526</v>
      </c>
      <c r="Y3831" s="65">
        <v>0</v>
      </c>
      <c r="Z3831" s="51">
        <v>0</v>
      </c>
      <c r="AA3831" s="51">
        <v>0</v>
      </c>
      <c r="AB3831" s="102">
        <v>0</v>
      </c>
      <c r="AC3831" s="81">
        <f t="shared" si="181"/>
        <v>370.51443708399353</v>
      </c>
      <c r="AD3831" s="82">
        <f t="shared" si="182"/>
        <v>45.071428571428569</v>
      </c>
      <c r="AE3831" s="218">
        <v>-6.9264223045405297E-3</v>
      </c>
      <c r="AF3831">
        <v>1</v>
      </c>
      <c r="AH3831" t="str">
        <f t="shared" si="183"/>
        <v>Gopalpur Bmc</v>
      </c>
      <c r="AJ3831" s="72">
        <v>0</v>
      </c>
      <c r="AK3831" s="72"/>
      <c r="AL3831" s="72"/>
      <c r="AM3831" s="72"/>
    </row>
    <row r="3832" spans="1:39" x14ac:dyDescent="0.25">
      <c r="A3832" s="37" t="s">
        <v>62</v>
      </c>
      <c r="B3832" s="66" t="s">
        <v>1676</v>
      </c>
      <c r="C3832" s="4">
        <v>1059</v>
      </c>
      <c r="D3832" s="41" t="s">
        <v>1299</v>
      </c>
      <c r="E3832" s="41">
        <v>10590009</v>
      </c>
      <c r="F3832" s="85" t="s">
        <v>1672</v>
      </c>
      <c r="G3832" s="39" t="s">
        <v>92</v>
      </c>
      <c r="H3832" s="52" t="s">
        <v>93</v>
      </c>
      <c r="I3832" s="52">
        <v>722.10000000000014</v>
      </c>
      <c r="J3832" s="49">
        <v>39839.340000000004</v>
      </c>
      <c r="K3832" s="58">
        <v>724.09999999999991</v>
      </c>
      <c r="L3832" s="58">
        <v>39778.019999999997</v>
      </c>
      <c r="M3832" s="58">
        <v>0</v>
      </c>
      <c r="N3832" s="58">
        <v>0</v>
      </c>
      <c r="O3832" s="58">
        <v>724.09999999999991</v>
      </c>
      <c r="P3832" s="53">
        <v>39778.019999999997</v>
      </c>
      <c r="Q3832" s="65">
        <v>39778.019999999997</v>
      </c>
      <c r="R3832" s="65">
        <v>0</v>
      </c>
      <c r="S3832" s="65">
        <v>0</v>
      </c>
      <c r="T3832" s="65">
        <v>0</v>
      </c>
      <c r="U3832" s="58">
        <v>0</v>
      </c>
      <c r="V3832" s="65">
        <v>0</v>
      </c>
      <c r="W3832" s="65">
        <v>0</v>
      </c>
      <c r="X3832" s="65">
        <v>39778</v>
      </c>
      <c r="Y3832" s="65">
        <v>0</v>
      </c>
      <c r="Z3832" s="51">
        <v>0</v>
      </c>
      <c r="AA3832" s="51">
        <v>61</v>
      </c>
      <c r="AB3832" s="102">
        <v>0</v>
      </c>
      <c r="AC3832" s="81">
        <f t="shared" si="181"/>
        <v>0</v>
      </c>
      <c r="AD3832" s="82">
        <f t="shared" si="182"/>
        <v>0</v>
      </c>
      <c r="AE3832" s="218">
        <v>1.5391821250052581E-3</v>
      </c>
      <c r="AF3832">
        <v>1</v>
      </c>
      <c r="AH3832" t="str">
        <f t="shared" si="183"/>
        <v>Gopalpur Bmc</v>
      </c>
      <c r="AJ3832" s="72">
        <v>0</v>
      </c>
      <c r="AK3832" s="72"/>
      <c r="AL3832" s="72"/>
      <c r="AM3832" s="72"/>
    </row>
    <row r="3833" spans="1:39" x14ac:dyDescent="0.25">
      <c r="A3833" s="37" t="s">
        <v>62</v>
      </c>
      <c r="B3833" s="66" t="s">
        <v>1676</v>
      </c>
      <c r="C3833" s="4">
        <v>1059</v>
      </c>
      <c r="D3833" s="41" t="s">
        <v>1299</v>
      </c>
      <c r="E3833" s="41">
        <v>10590010</v>
      </c>
      <c r="F3833" s="85" t="s">
        <v>1370</v>
      </c>
      <c r="G3833" s="39" t="s">
        <v>92</v>
      </c>
      <c r="H3833" s="52" t="s">
        <v>93</v>
      </c>
      <c r="I3833" s="52">
        <v>1338.3999999999999</v>
      </c>
      <c r="J3833" s="49">
        <v>66709.45</v>
      </c>
      <c r="K3833" s="58">
        <v>1353.3999999999999</v>
      </c>
      <c r="L3833" s="58">
        <v>66706.880000000005</v>
      </c>
      <c r="M3833" s="58">
        <v>0</v>
      </c>
      <c r="N3833" s="58">
        <v>0</v>
      </c>
      <c r="O3833" s="58">
        <v>1353.3999999999999</v>
      </c>
      <c r="P3833" s="53">
        <v>66706.880000000005</v>
      </c>
      <c r="Q3833" s="65">
        <v>66706.880000000005</v>
      </c>
      <c r="R3833" s="65">
        <v>0</v>
      </c>
      <c r="S3833" s="65">
        <v>0</v>
      </c>
      <c r="T3833" s="65">
        <v>0</v>
      </c>
      <c r="U3833" s="58">
        <v>0</v>
      </c>
      <c r="V3833" s="65">
        <v>0</v>
      </c>
      <c r="W3833" s="65">
        <v>0</v>
      </c>
      <c r="X3833" s="65">
        <v>66707</v>
      </c>
      <c r="Y3833" s="65">
        <v>0</v>
      </c>
      <c r="Z3833" s="51">
        <v>0</v>
      </c>
      <c r="AA3833" s="51">
        <v>2</v>
      </c>
      <c r="AB3833" s="102">
        <v>0</v>
      </c>
      <c r="AC3833" s="81">
        <f t="shared" si="181"/>
        <v>0</v>
      </c>
      <c r="AD3833" s="82">
        <f t="shared" si="182"/>
        <v>0</v>
      </c>
      <c r="AE3833" s="218">
        <v>3.8525276403754385E-5</v>
      </c>
      <c r="AF3833">
        <v>3</v>
      </c>
      <c r="AH3833" t="str">
        <f t="shared" si="183"/>
        <v>Gopalpur Bmc</v>
      </c>
      <c r="AJ3833" s="72">
        <v>0</v>
      </c>
      <c r="AK3833" s="72"/>
      <c r="AL3833" s="72"/>
      <c r="AM3833" s="72"/>
    </row>
    <row r="3834" spans="1:39" x14ac:dyDescent="0.25">
      <c r="A3834" s="37" t="s">
        <v>62</v>
      </c>
      <c r="B3834" s="66" t="s">
        <v>1676</v>
      </c>
      <c r="C3834" s="4">
        <v>1059</v>
      </c>
      <c r="D3834" s="41" t="s">
        <v>1299</v>
      </c>
      <c r="E3834" s="41">
        <v>10590011</v>
      </c>
      <c r="F3834" s="85" t="s">
        <v>1371</v>
      </c>
      <c r="G3834" s="39" t="s">
        <v>92</v>
      </c>
      <c r="H3834" s="52" t="s">
        <v>93</v>
      </c>
      <c r="I3834" s="52">
        <v>405.50000000000011</v>
      </c>
      <c r="J3834" s="49">
        <v>16920.460000000003</v>
      </c>
      <c r="K3834" s="58">
        <v>395.24000000000007</v>
      </c>
      <c r="L3834" s="58">
        <v>17524.550000000003</v>
      </c>
      <c r="M3834" s="58">
        <v>0</v>
      </c>
      <c r="N3834" s="58">
        <v>0</v>
      </c>
      <c r="O3834" s="58">
        <v>395.24000000000007</v>
      </c>
      <c r="P3834" s="53">
        <v>17524.550000000003</v>
      </c>
      <c r="Q3834" s="65">
        <v>16920.460000000003</v>
      </c>
      <c r="R3834" s="65">
        <v>0</v>
      </c>
      <c r="S3834" s="65">
        <v>0</v>
      </c>
      <c r="T3834" s="65">
        <v>604.09000000000015</v>
      </c>
      <c r="U3834" s="58">
        <v>0</v>
      </c>
      <c r="V3834" s="65">
        <v>0</v>
      </c>
      <c r="W3834" s="65">
        <v>0</v>
      </c>
      <c r="X3834" s="65">
        <v>16920</v>
      </c>
      <c r="Y3834" s="65">
        <v>0</v>
      </c>
      <c r="Z3834" s="51">
        <v>0</v>
      </c>
      <c r="AA3834" s="51">
        <v>0</v>
      </c>
      <c r="AB3834" s="102">
        <v>0</v>
      </c>
      <c r="AC3834" s="81">
        <f t="shared" si="181"/>
        <v>245.77437583230568</v>
      </c>
      <c r="AD3834" s="82">
        <f t="shared" si="182"/>
        <v>57.928571428571445</v>
      </c>
      <c r="AE3834" s="218">
        <v>-3.5701748061222928E-2</v>
      </c>
      <c r="AF3834">
        <v>6</v>
      </c>
      <c r="AH3834" t="str">
        <f t="shared" si="183"/>
        <v>Gopalpur Bmc</v>
      </c>
      <c r="AJ3834" s="72">
        <v>0</v>
      </c>
      <c r="AK3834" s="72"/>
      <c r="AL3834" s="72"/>
      <c r="AM3834" s="72"/>
    </row>
    <row r="3835" spans="1:39" x14ac:dyDescent="0.25">
      <c r="A3835" s="37" t="s">
        <v>62</v>
      </c>
      <c r="B3835" s="66" t="s">
        <v>1676</v>
      </c>
      <c r="C3835" s="4">
        <v>1059</v>
      </c>
      <c r="D3835" s="41" t="s">
        <v>1299</v>
      </c>
      <c r="E3835" s="41">
        <v>10590012</v>
      </c>
      <c r="F3835" s="85" t="s">
        <v>1372</v>
      </c>
      <c r="G3835" s="39" t="s">
        <v>92</v>
      </c>
      <c r="H3835" s="52" t="s">
        <v>93</v>
      </c>
      <c r="I3835" s="52">
        <v>1254.3</v>
      </c>
      <c r="J3835" s="49">
        <v>53016.059999999983</v>
      </c>
      <c r="K3835" s="58">
        <v>1254.2</v>
      </c>
      <c r="L3835" s="58">
        <v>53012.099999999991</v>
      </c>
      <c r="M3835" s="58">
        <v>0</v>
      </c>
      <c r="N3835" s="58">
        <v>0</v>
      </c>
      <c r="O3835" s="58">
        <v>1254.2</v>
      </c>
      <c r="P3835" s="53">
        <v>53012.099999999991</v>
      </c>
      <c r="Q3835" s="65">
        <v>53012.099999999991</v>
      </c>
      <c r="R3835" s="65">
        <v>0</v>
      </c>
      <c r="S3835" s="65">
        <v>0</v>
      </c>
      <c r="T3835" s="65">
        <v>0</v>
      </c>
      <c r="U3835" s="58">
        <v>2001.5</v>
      </c>
      <c r="V3835" s="65">
        <v>0</v>
      </c>
      <c r="W3835" s="65">
        <v>0</v>
      </c>
      <c r="X3835" s="65">
        <v>51011</v>
      </c>
      <c r="Y3835" s="65">
        <v>0</v>
      </c>
      <c r="Z3835" s="51">
        <v>0</v>
      </c>
      <c r="AA3835" s="51">
        <v>4</v>
      </c>
      <c r="AB3835" s="102">
        <v>0</v>
      </c>
      <c r="AC3835" s="81">
        <f t="shared" ref="AC3835:AC3897" si="184">((IF(AD3835=0,0,100-AD3835))*7*(J3835/I3835))*2%</f>
        <v>0</v>
      </c>
      <c r="AD3835" s="82">
        <f t="shared" ref="AD3835:AD3897" si="185">IF((I3835/7)&gt;100,0,(I3835/7))</f>
        <v>0</v>
      </c>
      <c r="AE3835" s="218">
        <v>7.4694347335351819E-5</v>
      </c>
      <c r="AF3835">
        <v>1</v>
      </c>
      <c r="AH3835" t="str">
        <f t="shared" si="183"/>
        <v>Gopalpur Bmc</v>
      </c>
      <c r="AJ3835" s="72">
        <v>0</v>
      </c>
      <c r="AK3835" s="72"/>
      <c r="AL3835" s="72"/>
      <c r="AM3835" s="72"/>
    </row>
    <row r="3836" spans="1:39" x14ac:dyDescent="0.25">
      <c r="A3836" s="37" t="s">
        <v>62</v>
      </c>
      <c r="B3836" s="66" t="s">
        <v>1676</v>
      </c>
      <c r="C3836" s="4">
        <v>1059</v>
      </c>
      <c r="D3836" s="41" t="s">
        <v>1299</v>
      </c>
      <c r="E3836" s="41">
        <v>10590013</v>
      </c>
      <c r="F3836" s="85" t="s">
        <v>1347</v>
      </c>
      <c r="G3836" s="39" t="s">
        <v>92</v>
      </c>
      <c r="H3836" s="52" t="s">
        <v>93</v>
      </c>
      <c r="I3836" s="52">
        <v>542.80000000000007</v>
      </c>
      <c r="J3836" s="49">
        <v>26219.100000000002</v>
      </c>
      <c r="K3836" s="58">
        <v>542.90000000000009</v>
      </c>
      <c r="L3836" s="58">
        <v>25451.25</v>
      </c>
      <c r="M3836" s="58">
        <v>0</v>
      </c>
      <c r="N3836" s="58">
        <v>0</v>
      </c>
      <c r="O3836" s="58">
        <v>542.90000000000009</v>
      </c>
      <c r="P3836" s="53">
        <v>25451.25</v>
      </c>
      <c r="Q3836" s="65">
        <v>25451.25</v>
      </c>
      <c r="R3836" s="65">
        <v>0</v>
      </c>
      <c r="S3836" s="65">
        <v>0</v>
      </c>
      <c r="T3836" s="65">
        <v>0</v>
      </c>
      <c r="U3836" s="58">
        <v>0</v>
      </c>
      <c r="V3836" s="65">
        <v>0</v>
      </c>
      <c r="W3836" s="65">
        <v>0</v>
      </c>
      <c r="X3836" s="65">
        <v>25451</v>
      </c>
      <c r="Y3836" s="65">
        <v>0</v>
      </c>
      <c r="Z3836" s="51">
        <v>0</v>
      </c>
      <c r="AA3836" s="51">
        <v>768</v>
      </c>
      <c r="AB3836" s="102">
        <v>0</v>
      </c>
      <c r="AC3836" s="81">
        <f t="shared" si="184"/>
        <v>151.86597347089153</v>
      </c>
      <c r="AD3836" s="82">
        <f t="shared" si="185"/>
        <v>77.542857142857159</v>
      </c>
      <c r="AE3836" s="218">
        <v>2.9285902262091455E-2</v>
      </c>
      <c r="AF3836">
        <v>1</v>
      </c>
      <c r="AH3836" t="str">
        <f t="shared" si="183"/>
        <v>Gopalpur Bmc</v>
      </c>
      <c r="AJ3836" s="72">
        <v>0</v>
      </c>
      <c r="AK3836" s="72"/>
      <c r="AL3836" s="72"/>
      <c r="AM3836" s="72"/>
    </row>
    <row r="3837" spans="1:39" x14ac:dyDescent="0.25">
      <c r="A3837" s="37" t="s">
        <v>62</v>
      </c>
      <c r="B3837" s="66" t="s">
        <v>1676</v>
      </c>
      <c r="C3837" s="4">
        <v>1059</v>
      </c>
      <c r="D3837" s="41" t="s">
        <v>1299</v>
      </c>
      <c r="E3837" s="41">
        <v>10590014</v>
      </c>
      <c r="F3837" s="85" t="s">
        <v>1443</v>
      </c>
      <c r="G3837" s="39" t="s">
        <v>92</v>
      </c>
      <c r="H3837" s="52" t="s">
        <v>93</v>
      </c>
      <c r="I3837" s="52">
        <v>695.69999999999993</v>
      </c>
      <c r="J3837" s="49">
        <v>33153.160000000003</v>
      </c>
      <c r="K3837" s="58">
        <v>695.1</v>
      </c>
      <c r="L3837" s="58">
        <v>32808.020000000004</v>
      </c>
      <c r="M3837" s="58">
        <v>0</v>
      </c>
      <c r="N3837" s="58">
        <v>0</v>
      </c>
      <c r="O3837" s="58">
        <v>695.1</v>
      </c>
      <c r="P3837" s="53">
        <v>32808.020000000004</v>
      </c>
      <c r="Q3837" s="65">
        <v>32808.020000000004</v>
      </c>
      <c r="R3837" s="65">
        <v>0</v>
      </c>
      <c r="S3837" s="65">
        <v>0</v>
      </c>
      <c r="T3837" s="65">
        <v>0</v>
      </c>
      <c r="U3837" s="58">
        <v>0</v>
      </c>
      <c r="V3837" s="65">
        <v>0</v>
      </c>
      <c r="W3837" s="65">
        <v>0</v>
      </c>
      <c r="X3837" s="65">
        <v>32808</v>
      </c>
      <c r="Y3837" s="65">
        <v>0</v>
      </c>
      <c r="Z3837" s="51">
        <v>0</v>
      </c>
      <c r="AA3837" s="51">
        <v>345</v>
      </c>
      <c r="AB3837" s="102">
        <v>0</v>
      </c>
      <c r="AC3837" s="81">
        <f t="shared" si="184"/>
        <v>4.0982776484117647</v>
      </c>
      <c r="AD3837" s="82">
        <f t="shared" si="185"/>
        <v>99.385714285714272</v>
      </c>
      <c r="AE3837" s="218">
        <v>1.0410470676098429E-2</v>
      </c>
      <c r="AF3837">
        <v>1</v>
      </c>
      <c r="AH3837" t="str">
        <f t="shared" si="183"/>
        <v>Gopalpur Bmc</v>
      </c>
      <c r="AJ3837" s="72">
        <v>0</v>
      </c>
      <c r="AK3837" s="72"/>
      <c r="AL3837" s="72"/>
      <c r="AM3837" s="72"/>
    </row>
    <row r="3838" spans="1:39" x14ac:dyDescent="0.25">
      <c r="A3838" s="37" t="s">
        <v>62</v>
      </c>
      <c r="B3838" s="66" t="s">
        <v>1676</v>
      </c>
      <c r="C3838" s="4">
        <v>1059</v>
      </c>
      <c r="D3838" s="41" t="s">
        <v>1299</v>
      </c>
      <c r="E3838" s="41">
        <v>10590016</v>
      </c>
      <c r="F3838" s="85" t="s">
        <v>1470</v>
      </c>
      <c r="G3838" s="39" t="s">
        <v>1610</v>
      </c>
      <c r="H3838" s="52" t="s">
        <v>98</v>
      </c>
      <c r="I3838" s="52">
        <v>368.09999999999997</v>
      </c>
      <c r="J3838" s="49">
        <v>20052.710000000003</v>
      </c>
      <c r="K3838" s="58">
        <v>0</v>
      </c>
      <c r="L3838" s="58">
        <v>0</v>
      </c>
      <c r="M3838" s="58">
        <v>0</v>
      </c>
      <c r="N3838" s="58">
        <v>0</v>
      </c>
      <c r="O3838" s="58">
        <v>0</v>
      </c>
      <c r="P3838" s="53">
        <v>0</v>
      </c>
      <c r="Q3838" s="65">
        <v>20052.710000000003</v>
      </c>
      <c r="R3838" s="65">
        <v>0</v>
      </c>
      <c r="S3838" s="65">
        <v>0</v>
      </c>
      <c r="T3838" s="65">
        <v>0</v>
      </c>
      <c r="U3838" s="58">
        <v>0</v>
      </c>
      <c r="V3838" s="65">
        <v>0</v>
      </c>
      <c r="W3838" s="65">
        <v>0</v>
      </c>
      <c r="X3838" s="65">
        <v>0</v>
      </c>
      <c r="Y3838" s="65">
        <v>0</v>
      </c>
      <c r="Z3838" s="51">
        <v>20052.710000000003</v>
      </c>
      <c r="AA3838" s="51">
        <v>0</v>
      </c>
      <c r="AB3838" s="102">
        <v>0</v>
      </c>
      <c r="AC3838" s="81">
        <f t="shared" si="184"/>
        <v>361.61339032871513</v>
      </c>
      <c r="AD3838" s="82">
        <f t="shared" si="185"/>
        <v>52.585714285714282</v>
      </c>
      <c r="AE3838" s="218">
        <v>0</v>
      </c>
      <c r="AF3838">
        <v>0</v>
      </c>
      <c r="AH3838" t="str">
        <f t="shared" si="183"/>
        <v>Gopalpur Bmc</v>
      </c>
      <c r="AJ3838" s="72">
        <v>0</v>
      </c>
      <c r="AK3838" s="72"/>
      <c r="AL3838" s="72"/>
      <c r="AM3838" s="72"/>
    </row>
    <row r="3839" spans="1:39" x14ac:dyDescent="0.25">
      <c r="A3839" s="37" t="s">
        <v>62</v>
      </c>
      <c r="B3839" s="66" t="s">
        <v>1676</v>
      </c>
      <c r="C3839" s="4">
        <v>1014</v>
      </c>
      <c r="D3839" s="41" t="s">
        <v>368</v>
      </c>
      <c r="E3839" s="41">
        <v>10600001</v>
      </c>
      <c r="F3839" s="85" t="s">
        <v>1322</v>
      </c>
      <c r="G3839" s="39" t="s">
        <v>92</v>
      </c>
      <c r="H3839" s="52" t="s">
        <v>93</v>
      </c>
      <c r="I3839" s="52">
        <v>17</v>
      </c>
      <c r="J3839" s="49">
        <v>667.17000000000007</v>
      </c>
      <c r="K3839" s="58">
        <v>17.100000000000001</v>
      </c>
      <c r="L3839" s="58">
        <v>665.53</v>
      </c>
      <c r="M3839" s="58">
        <v>0</v>
      </c>
      <c r="N3839" s="58">
        <v>0</v>
      </c>
      <c r="O3839" s="58">
        <v>17.100000000000001</v>
      </c>
      <c r="P3839" s="53">
        <v>665.53</v>
      </c>
      <c r="Q3839" s="65">
        <v>665.53</v>
      </c>
      <c r="R3839" s="65">
        <v>0</v>
      </c>
      <c r="S3839" s="65">
        <v>0</v>
      </c>
      <c r="T3839" s="65">
        <v>0</v>
      </c>
      <c r="U3839" s="58">
        <v>0</v>
      </c>
      <c r="V3839" s="65">
        <v>0</v>
      </c>
      <c r="W3839" s="65">
        <v>0</v>
      </c>
      <c r="X3839" s="65">
        <v>666</v>
      </c>
      <c r="Y3839" s="65">
        <v>0</v>
      </c>
      <c r="Z3839" s="51">
        <v>0</v>
      </c>
      <c r="AA3839" s="51">
        <v>1</v>
      </c>
      <c r="AB3839" s="102">
        <v>0</v>
      </c>
      <c r="AC3839" s="81">
        <f t="shared" si="184"/>
        <v>536.09071764705891</v>
      </c>
      <c r="AD3839" s="82">
        <f t="shared" si="185"/>
        <v>2.4285714285714284</v>
      </c>
      <c r="AE3839" s="218">
        <v>2.4581441012037409E-3</v>
      </c>
      <c r="AF3839">
        <v>1</v>
      </c>
      <c r="AH3839" t="str">
        <f t="shared" si="183"/>
        <v>Dumraon</v>
      </c>
      <c r="AJ3839" s="72">
        <v>0</v>
      </c>
      <c r="AK3839" s="72"/>
      <c r="AL3839" s="72"/>
      <c r="AM3839" s="72"/>
    </row>
    <row r="3840" spans="1:39" x14ac:dyDescent="0.25">
      <c r="A3840" s="37" t="s">
        <v>62</v>
      </c>
      <c r="B3840" s="66" t="s">
        <v>1676</v>
      </c>
      <c r="C3840" s="4">
        <v>1014</v>
      </c>
      <c r="D3840" s="41" t="s">
        <v>368</v>
      </c>
      <c r="E3840" s="41">
        <v>10600002</v>
      </c>
      <c r="F3840" s="85" t="s">
        <v>1323</v>
      </c>
      <c r="G3840" s="39" t="s">
        <v>92</v>
      </c>
      <c r="H3840" s="52" t="s">
        <v>93</v>
      </c>
      <c r="I3840" s="52">
        <v>471.8</v>
      </c>
      <c r="J3840" s="49">
        <v>18487.670000000002</v>
      </c>
      <c r="K3840" s="58">
        <v>552.31000000000006</v>
      </c>
      <c r="L3840" s="58">
        <v>23103.239999999998</v>
      </c>
      <c r="M3840" s="58">
        <v>0</v>
      </c>
      <c r="N3840" s="58">
        <v>0</v>
      </c>
      <c r="O3840" s="58">
        <v>552.31000000000006</v>
      </c>
      <c r="P3840" s="53">
        <v>23103.239999999998</v>
      </c>
      <c r="Q3840" s="65">
        <v>18487.670000000002</v>
      </c>
      <c r="R3840" s="65">
        <v>0</v>
      </c>
      <c r="S3840" s="65">
        <v>0</v>
      </c>
      <c r="T3840" s="65">
        <v>4615.5699999999961</v>
      </c>
      <c r="U3840" s="58">
        <v>0</v>
      </c>
      <c r="V3840" s="65">
        <v>0</v>
      </c>
      <c r="W3840" s="65">
        <v>0</v>
      </c>
      <c r="X3840" s="65">
        <v>18488</v>
      </c>
      <c r="Y3840" s="65">
        <v>0</v>
      </c>
      <c r="Z3840" s="51">
        <v>0</v>
      </c>
      <c r="AA3840" s="51">
        <v>0</v>
      </c>
      <c r="AB3840" s="102">
        <v>0</v>
      </c>
      <c r="AC3840" s="81">
        <f t="shared" si="184"/>
        <v>178.84214896142433</v>
      </c>
      <c r="AD3840" s="82">
        <f t="shared" si="185"/>
        <v>67.400000000000006</v>
      </c>
      <c r="AE3840" s="218">
        <v>-0.24965666306246248</v>
      </c>
      <c r="AF3840">
        <v>1</v>
      </c>
      <c r="AH3840" t="str">
        <f t="shared" si="183"/>
        <v>Dumraon</v>
      </c>
      <c r="AJ3840" s="72">
        <v>0</v>
      </c>
      <c r="AK3840" s="72"/>
      <c r="AL3840" s="72"/>
      <c r="AM3840" s="72"/>
    </row>
    <row r="3841" spans="1:39" x14ac:dyDescent="0.25">
      <c r="A3841" s="37" t="s">
        <v>62</v>
      </c>
      <c r="B3841" s="66" t="s">
        <v>1676</v>
      </c>
      <c r="C3841" s="4">
        <v>1014</v>
      </c>
      <c r="D3841" s="41" t="s">
        <v>368</v>
      </c>
      <c r="E3841" s="41">
        <v>10600004</v>
      </c>
      <c r="F3841" s="85" t="s">
        <v>1324</v>
      </c>
      <c r="G3841" s="39" t="s">
        <v>92</v>
      </c>
      <c r="H3841" s="52" t="s">
        <v>93</v>
      </c>
      <c r="I3841" s="52">
        <v>114.7</v>
      </c>
      <c r="J3841" s="49">
        <v>4584.9799999999996</v>
      </c>
      <c r="K3841" s="58">
        <v>146.82000000000002</v>
      </c>
      <c r="L3841" s="58">
        <v>6406.92</v>
      </c>
      <c r="M3841" s="58">
        <v>0</v>
      </c>
      <c r="N3841" s="58">
        <v>0</v>
      </c>
      <c r="O3841" s="58">
        <v>146.82000000000002</v>
      </c>
      <c r="P3841" s="53">
        <v>6406.92</v>
      </c>
      <c r="Q3841" s="65">
        <v>4584.9799999999996</v>
      </c>
      <c r="R3841" s="65">
        <v>0</v>
      </c>
      <c r="S3841" s="65">
        <v>0</v>
      </c>
      <c r="T3841" s="65">
        <v>1821.9400000000005</v>
      </c>
      <c r="U3841" s="58">
        <v>0</v>
      </c>
      <c r="V3841" s="65">
        <v>0</v>
      </c>
      <c r="W3841" s="65">
        <v>0</v>
      </c>
      <c r="X3841" s="65">
        <v>4727</v>
      </c>
      <c r="Y3841" s="65">
        <v>0</v>
      </c>
      <c r="Z3841" s="51">
        <v>0</v>
      </c>
      <c r="AA3841" s="51">
        <v>-142</v>
      </c>
      <c r="AB3841" s="102" t="s">
        <v>68</v>
      </c>
      <c r="AC3841" s="81">
        <f t="shared" si="184"/>
        <v>467.93178622493451</v>
      </c>
      <c r="AD3841" s="82">
        <f t="shared" si="185"/>
        <v>16.385714285714286</v>
      </c>
      <c r="AE3841" s="218">
        <v>-0.39737141710541829</v>
      </c>
      <c r="AF3841">
        <v>2</v>
      </c>
      <c r="AH3841" t="str">
        <f t="shared" si="183"/>
        <v>Dumraon</v>
      </c>
      <c r="AJ3841" s="72">
        <v>0</v>
      </c>
      <c r="AK3841" s="72"/>
      <c r="AL3841" s="72"/>
      <c r="AM3841" s="72"/>
    </row>
    <row r="3842" spans="1:39" x14ac:dyDescent="0.25">
      <c r="A3842" s="37" t="s">
        <v>62</v>
      </c>
      <c r="B3842" s="66" t="s">
        <v>1676</v>
      </c>
      <c r="C3842" s="4">
        <v>1014</v>
      </c>
      <c r="D3842" s="41" t="s">
        <v>368</v>
      </c>
      <c r="E3842" s="41">
        <v>10600005</v>
      </c>
      <c r="F3842" s="85" t="s">
        <v>1335</v>
      </c>
      <c r="G3842" s="39" t="s">
        <v>92</v>
      </c>
      <c r="H3842" s="52" t="s">
        <v>93</v>
      </c>
      <c r="I3842" s="52">
        <v>75.2</v>
      </c>
      <c r="J3842" s="49">
        <v>2900.1800000000003</v>
      </c>
      <c r="K3842" s="58">
        <v>75.3</v>
      </c>
      <c r="L3842" s="58">
        <v>2899.05</v>
      </c>
      <c r="M3842" s="58">
        <v>0</v>
      </c>
      <c r="N3842" s="58">
        <v>0</v>
      </c>
      <c r="O3842" s="58">
        <v>75.3</v>
      </c>
      <c r="P3842" s="53">
        <v>2899.05</v>
      </c>
      <c r="Q3842" s="65">
        <v>2899.05</v>
      </c>
      <c r="R3842" s="65">
        <v>0</v>
      </c>
      <c r="S3842" s="65">
        <v>0</v>
      </c>
      <c r="T3842" s="65">
        <v>0</v>
      </c>
      <c r="U3842" s="58">
        <v>0</v>
      </c>
      <c r="V3842" s="65">
        <v>0</v>
      </c>
      <c r="W3842" s="65">
        <v>0</v>
      </c>
      <c r="X3842" s="65">
        <v>2899</v>
      </c>
      <c r="Y3842" s="65">
        <v>0</v>
      </c>
      <c r="Z3842" s="51">
        <v>0</v>
      </c>
      <c r="AA3842" s="51">
        <v>1</v>
      </c>
      <c r="AB3842" s="102">
        <v>0</v>
      </c>
      <c r="AC3842" s="81">
        <f t="shared" si="184"/>
        <v>481.9235276595744</v>
      </c>
      <c r="AD3842" s="82">
        <f t="shared" si="185"/>
        <v>10.742857142857144</v>
      </c>
      <c r="AE3842" s="218">
        <v>3.896309884214459E-4</v>
      </c>
      <c r="AF3842">
        <v>1</v>
      </c>
      <c r="AH3842" t="str">
        <f t="shared" si="183"/>
        <v>Dumraon</v>
      </c>
      <c r="AJ3842" s="72">
        <v>0</v>
      </c>
      <c r="AK3842" s="72"/>
      <c r="AL3842" s="72"/>
      <c r="AM3842" s="72"/>
    </row>
    <row r="3843" spans="1:39" x14ac:dyDescent="0.25">
      <c r="A3843" s="37" t="s">
        <v>62</v>
      </c>
      <c r="B3843" s="66" t="s">
        <v>1676</v>
      </c>
      <c r="C3843" s="4">
        <v>1014</v>
      </c>
      <c r="D3843" s="41" t="s">
        <v>368</v>
      </c>
      <c r="E3843" s="41">
        <v>10600006</v>
      </c>
      <c r="F3843" s="85" t="s">
        <v>1325</v>
      </c>
      <c r="G3843" s="39" t="s">
        <v>92</v>
      </c>
      <c r="H3843" s="52" t="s">
        <v>93</v>
      </c>
      <c r="I3843" s="52">
        <v>113.9</v>
      </c>
      <c r="J3843" s="49">
        <v>4827.7599999999993</v>
      </c>
      <c r="K3843" s="58">
        <v>140.20999999999998</v>
      </c>
      <c r="L3843" s="58">
        <v>5873.28</v>
      </c>
      <c r="M3843" s="58">
        <v>0</v>
      </c>
      <c r="N3843" s="58">
        <v>0</v>
      </c>
      <c r="O3843" s="58">
        <v>140.20999999999998</v>
      </c>
      <c r="P3843" s="53">
        <v>5873.28</v>
      </c>
      <c r="Q3843" s="65">
        <v>4827.7599999999993</v>
      </c>
      <c r="R3843" s="65">
        <v>0</v>
      </c>
      <c r="S3843" s="65">
        <v>0</v>
      </c>
      <c r="T3843" s="65">
        <v>1045.5200000000004</v>
      </c>
      <c r="U3843" s="58">
        <v>0</v>
      </c>
      <c r="V3843" s="65">
        <v>0</v>
      </c>
      <c r="W3843" s="65">
        <v>0</v>
      </c>
      <c r="X3843" s="65">
        <v>4828</v>
      </c>
      <c r="Y3843" s="65">
        <v>0</v>
      </c>
      <c r="Z3843" s="51">
        <v>0</v>
      </c>
      <c r="AA3843" s="51">
        <v>0</v>
      </c>
      <c r="AB3843" s="102">
        <v>0</v>
      </c>
      <c r="AC3843" s="81">
        <f t="shared" si="184"/>
        <v>496.84813625987698</v>
      </c>
      <c r="AD3843" s="82">
        <f t="shared" si="185"/>
        <v>16.271428571428572</v>
      </c>
      <c r="AE3843" s="218">
        <v>-0.21656420368866733</v>
      </c>
      <c r="AF3843">
        <v>1</v>
      </c>
      <c r="AH3843" t="str">
        <f t="shared" si="183"/>
        <v>Dumraon</v>
      </c>
      <c r="AJ3843" s="72">
        <v>0</v>
      </c>
      <c r="AK3843" s="72"/>
      <c r="AL3843" s="72"/>
      <c r="AM3843" s="72"/>
    </row>
    <row r="3844" spans="1:39" x14ac:dyDescent="0.25">
      <c r="A3844" s="37" t="s">
        <v>62</v>
      </c>
      <c r="B3844" s="66" t="s">
        <v>1676</v>
      </c>
      <c r="C3844" s="4">
        <v>1014</v>
      </c>
      <c r="D3844" s="41" t="s">
        <v>368</v>
      </c>
      <c r="E3844" s="41">
        <v>10600008</v>
      </c>
      <c r="F3844" s="85" t="s">
        <v>1326</v>
      </c>
      <c r="G3844" s="39" t="s">
        <v>92</v>
      </c>
      <c r="H3844" s="52" t="s">
        <v>93</v>
      </c>
      <c r="I3844" s="52">
        <v>62.4</v>
      </c>
      <c r="J3844" s="49">
        <v>2229.6000000000004</v>
      </c>
      <c r="K3844" s="58">
        <v>62.6</v>
      </c>
      <c r="L3844" s="58">
        <v>2229.19</v>
      </c>
      <c r="M3844" s="58">
        <v>0</v>
      </c>
      <c r="N3844" s="58">
        <v>0</v>
      </c>
      <c r="O3844" s="58">
        <v>62.6</v>
      </c>
      <c r="P3844" s="53">
        <v>2229.19</v>
      </c>
      <c r="Q3844" s="65">
        <v>2229.19</v>
      </c>
      <c r="R3844" s="65">
        <v>0</v>
      </c>
      <c r="S3844" s="65">
        <v>0</v>
      </c>
      <c r="T3844" s="65">
        <v>0</v>
      </c>
      <c r="U3844" s="58">
        <v>0</v>
      </c>
      <c r="V3844" s="65">
        <v>500</v>
      </c>
      <c r="W3844" s="65">
        <v>0</v>
      </c>
      <c r="X3844" s="65">
        <v>1729</v>
      </c>
      <c r="Y3844" s="65">
        <v>0</v>
      </c>
      <c r="Z3844" s="51">
        <v>0</v>
      </c>
      <c r="AA3844" s="51">
        <v>1</v>
      </c>
      <c r="AB3844" s="102">
        <v>0</v>
      </c>
      <c r="AC3844" s="81">
        <f t="shared" si="184"/>
        <v>455.63876923076941</v>
      </c>
      <c r="AD3844" s="82">
        <f t="shared" si="185"/>
        <v>8.9142857142857146</v>
      </c>
      <c r="AE3844" s="218">
        <v>1.8388948690361911E-4</v>
      </c>
      <c r="AF3844">
        <v>1</v>
      </c>
      <c r="AH3844" t="str">
        <f t="shared" si="183"/>
        <v>Dumraon</v>
      </c>
      <c r="AJ3844" s="72">
        <v>500</v>
      </c>
      <c r="AK3844" s="72"/>
      <c r="AL3844" s="72"/>
      <c r="AM3844" s="72"/>
    </row>
    <row r="3845" spans="1:39" x14ac:dyDescent="0.25">
      <c r="A3845" s="37" t="s">
        <v>62</v>
      </c>
      <c r="B3845" s="66" t="s">
        <v>1676</v>
      </c>
      <c r="C3845" s="4">
        <v>1014</v>
      </c>
      <c r="D3845" s="41" t="s">
        <v>368</v>
      </c>
      <c r="E3845" s="41">
        <v>10600009</v>
      </c>
      <c r="F3845" s="85" t="s">
        <v>1327</v>
      </c>
      <c r="G3845" s="39" t="s">
        <v>92</v>
      </c>
      <c r="H3845" s="52" t="s">
        <v>93</v>
      </c>
      <c r="I3845" s="52">
        <v>44.53</v>
      </c>
      <c r="J3845" s="49">
        <v>1761.73</v>
      </c>
      <c r="K3845" s="58">
        <v>42.13</v>
      </c>
      <c r="L3845" s="58">
        <v>1744.08</v>
      </c>
      <c r="M3845" s="58">
        <v>0</v>
      </c>
      <c r="N3845" s="58">
        <v>0</v>
      </c>
      <c r="O3845" s="58">
        <v>42.13</v>
      </c>
      <c r="P3845" s="53">
        <v>1744.08</v>
      </c>
      <c r="Q3845" s="65">
        <v>1744.08</v>
      </c>
      <c r="R3845" s="65">
        <v>0</v>
      </c>
      <c r="S3845" s="65">
        <v>0</v>
      </c>
      <c r="T3845" s="65">
        <v>0</v>
      </c>
      <c r="U3845" s="58">
        <v>0</v>
      </c>
      <c r="V3845" s="65">
        <v>0</v>
      </c>
      <c r="W3845" s="65">
        <v>0</v>
      </c>
      <c r="X3845" s="65">
        <v>1744</v>
      </c>
      <c r="Y3845" s="65">
        <v>0</v>
      </c>
      <c r="Z3845" s="51">
        <v>0</v>
      </c>
      <c r="AA3845" s="51">
        <v>18</v>
      </c>
      <c r="AB3845" s="102">
        <v>0</v>
      </c>
      <c r="AC3845" s="81">
        <f t="shared" si="184"/>
        <v>518.64413343813158</v>
      </c>
      <c r="AD3845" s="82">
        <f t="shared" si="185"/>
        <v>6.3614285714285712</v>
      </c>
      <c r="AE3845" s="218">
        <v>1.0018561300539863E-2</v>
      </c>
      <c r="AF3845">
        <v>1</v>
      </c>
      <c r="AH3845" t="str">
        <f t="shared" si="183"/>
        <v>Dumraon</v>
      </c>
      <c r="AJ3845" s="72">
        <v>0</v>
      </c>
      <c r="AK3845" s="72"/>
      <c r="AL3845" s="72"/>
      <c r="AM3845" s="72"/>
    </row>
    <row r="3846" spans="1:39" x14ac:dyDescent="0.25">
      <c r="A3846" s="37" t="s">
        <v>62</v>
      </c>
      <c r="B3846" s="66" t="s">
        <v>1676</v>
      </c>
      <c r="C3846" s="4">
        <v>1014</v>
      </c>
      <c r="D3846" s="41" t="s">
        <v>368</v>
      </c>
      <c r="E3846" s="41">
        <v>10600012</v>
      </c>
      <c r="F3846" s="85" t="s">
        <v>1394</v>
      </c>
      <c r="G3846" s="39" t="s">
        <v>92</v>
      </c>
      <c r="H3846" s="52" t="s">
        <v>93</v>
      </c>
      <c r="I3846" s="52">
        <v>182.7</v>
      </c>
      <c r="J3846" s="49">
        <v>7292.09</v>
      </c>
      <c r="K3846" s="58">
        <v>231.21000000000004</v>
      </c>
      <c r="L3846" s="58">
        <v>9308.0600000000013</v>
      </c>
      <c r="M3846" s="58">
        <v>0</v>
      </c>
      <c r="N3846" s="58">
        <v>0</v>
      </c>
      <c r="O3846" s="58">
        <v>231.21000000000004</v>
      </c>
      <c r="P3846" s="53">
        <v>9308.0600000000013</v>
      </c>
      <c r="Q3846" s="65">
        <v>7292.09</v>
      </c>
      <c r="R3846" s="65">
        <v>0</v>
      </c>
      <c r="S3846" s="65">
        <v>0</v>
      </c>
      <c r="T3846" s="65">
        <v>2015.9700000000012</v>
      </c>
      <c r="U3846" s="58">
        <v>0</v>
      </c>
      <c r="V3846" s="65">
        <v>0</v>
      </c>
      <c r="W3846" s="65">
        <v>0</v>
      </c>
      <c r="X3846" s="65">
        <v>7292</v>
      </c>
      <c r="Y3846" s="65">
        <v>0</v>
      </c>
      <c r="Z3846" s="51">
        <v>0</v>
      </c>
      <c r="AA3846" s="51">
        <v>0</v>
      </c>
      <c r="AB3846" s="102">
        <v>0</v>
      </c>
      <c r="AC3846" s="81">
        <f t="shared" si="184"/>
        <v>412.93904291187749</v>
      </c>
      <c r="AD3846" s="82">
        <f t="shared" si="185"/>
        <v>26.099999999999998</v>
      </c>
      <c r="AE3846" s="218">
        <v>-0.27645983524613671</v>
      </c>
      <c r="AF3846">
        <v>3</v>
      </c>
      <c r="AH3846" t="str">
        <f t="shared" si="183"/>
        <v>Dumraon</v>
      </c>
      <c r="AJ3846" s="72">
        <v>0</v>
      </c>
      <c r="AK3846" s="72"/>
      <c r="AL3846" s="72"/>
      <c r="AM3846" s="72"/>
    </row>
    <row r="3847" spans="1:39" x14ac:dyDescent="0.25">
      <c r="A3847" s="37" t="s">
        <v>62</v>
      </c>
      <c r="B3847" s="66" t="s">
        <v>1676</v>
      </c>
      <c r="C3847" s="4">
        <v>1061</v>
      </c>
      <c r="D3847" s="41" t="s">
        <v>1388</v>
      </c>
      <c r="E3847" s="41">
        <v>10610001</v>
      </c>
      <c r="F3847" s="85" t="s">
        <v>1395</v>
      </c>
      <c r="G3847" s="39" t="s">
        <v>92</v>
      </c>
      <c r="H3847" s="52" t="s">
        <v>93</v>
      </c>
      <c r="I3847" s="52">
        <v>679.59999999999991</v>
      </c>
      <c r="J3847" s="49">
        <v>32665.700000000004</v>
      </c>
      <c r="K3847" s="58">
        <v>690.19999999999993</v>
      </c>
      <c r="L3847" s="58">
        <v>32592.289999999994</v>
      </c>
      <c r="M3847" s="58">
        <v>0.5</v>
      </c>
      <c r="N3847" s="58">
        <v>27.41</v>
      </c>
      <c r="O3847" s="58">
        <v>690.69999999999993</v>
      </c>
      <c r="P3847" s="53">
        <v>32619.699999999993</v>
      </c>
      <c r="Q3847" s="65">
        <v>32619.699999999993</v>
      </c>
      <c r="R3847" s="65">
        <v>0</v>
      </c>
      <c r="S3847" s="65">
        <v>27.41</v>
      </c>
      <c r="T3847" s="65">
        <v>0</v>
      </c>
      <c r="U3847" s="58">
        <v>0</v>
      </c>
      <c r="V3847" s="65">
        <v>0</v>
      </c>
      <c r="W3847" s="65">
        <v>0</v>
      </c>
      <c r="X3847" s="65">
        <v>32590</v>
      </c>
      <c r="Y3847" s="65">
        <v>0</v>
      </c>
      <c r="Z3847" s="51">
        <v>0</v>
      </c>
      <c r="AA3847" s="51">
        <v>48</v>
      </c>
      <c r="AB3847" s="102">
        <v>0</v>
      </c>
      <c r="AC3847" s="81">
        <f t="shared" si="184"/>
        <v>19.610955856386187</v>
      </c>
      <c r="AD3847" s="82">
        <f t="shared" si="185"/>
        <v>97.085714285714275</v>
      </c>
      <c r="AE3847" s="218">
        <v>1.4082049366770314E-3</v>
      </c>
      <c r="AF3847">
        <v>9</v>
      </c>
      <c r="AH3847" t="str">
        <f t="shared" si="183"/>
        <v>Mahua BMC</v>
      </c>
      <c r="AJ3847" s="72">
        <v>0</v>
      </c>
      <c r="AK3847" s="72"/>
      <c r="AL3847" s="72"/>
      <c r="AM3847" s="72"/>
    </row>
    <row r="3848" spans="1:39" x14ac:dyDescent="0.25">
      <c r="A3848" s="37" t="s">
        <v>62</v>
      </c>
      <c r="B3848" s="66" t="s">
        <v>1676</v>
      </c>
      <c r="C3848" s="4">
        <v>1061</v>
      </c>
      <c r="D3848" s="41" t="s">
        <v>1388</v>
      </c>
      <c r="E3848" s="41">
        <v>10610002</v>
      </c>
      <c r="F3848" s="85" t="s">
        <v>1328</v>
      </c>
      <c r="G3848" s="39" t="s">
        <v>92</v>
      </c>
      <c r="H3848" s="52" t="s">
        <v>93</v>
      </c>
      <c r="I3848" s="52">
        <v>444.60000000000008</v>
      </c>
      <c r="J3848" s="49">
        <v>21556.46</v>
      </c>
      <c r="K3848" s="58">
        <v>445.00000000000006</v>
      </c>
      <c r="L3848" s="58">
        <v>22006.75</v>
      </c>
      <c r="M3848" s="58">
        <v>0</v>
      </c>
      <c r="N3848" s="58">
        <v>0</v>
      </c>
      <c r="O3848" s="58">
        <v>445.00000000000006</v>
      </c>
      <c r="P3848" s="53">
        <v>22006.75</v>
      </c>
      <c r="Q3848" s="65">
        <v>21556.46</v>
      </c>
      <c r="R3848" s="65">
        <v>0</v>
      </c>
      <c r="S3848" s="65">
        <v>0</v>
      </c>
      <c r="T3848" s="65">
        <v>450.29000000000087</v>
      </c>
      <c r="U3848" s="58">
        <v>0</v>
      </c>
      <c r="V3848" s="65">
        <v>0</v>
      </c>
      <c r="W3848" s="65">
        <v>0</v>
      </c>
      <c r="X3848" s="65">
        <v>21556</v>
      </c>
      <c r="Y3848" s="65">
        <v>0</v>
      </c>
      <c r="Z3848" s="51">
        <v>0</v>
      </c>
      <c r="AA3848" s="51">
        <v>0</v>
      </c>
      <c r="AB3848" s="102">
        <v>0</v>
      </c>
      <c r="AC3848" s="81">
        <f t="shared" si="184"/>
        <v>247.66171318038673</v>
      </c>
      <c r="AD3848" s="82">
        <f t="shared" si="185"/>
        <v>63.514285714285727</v>
      </c>
      <c r="AE3848" s="218">
        <v>-2.088886579707433E-2</v>
      </c>
      <c r="AF3848">
        <v>10</v>
      </c>
      <c r="AH3848" t="str">
        <f t="shared" si="183"/>
        <v>Mahua BMC</v>
      </c>
      <c r="AJ3848" s="72">
        <v>0</v>
      </c>
      <c r="AK3848" s="72"/>
      <c r="AL3848" s="72"/>
      <c r="AM3848" s="72"/>
    </row>
    <row r="3849" spans="1:39" x14ac:dyDescent="0.25">
      <c r="A3849" s="37" t="s">
        <v>62</v>
      </c>
      <c r="B3849" s="66" t="s">
        <v>1676</v>
      </c>
      <c r="C3849" s="4">
        <v>1061</v>
      </c>
      <c r="D3849" s="41" t="s">
        <v>1388</v>
      </c>
      <c r="E3849" s="41">
        <v>10610003</v>
      </c>
      <c r="F3849" s="85" t="s">
        <v>1396</v>
      </c>
      <c r="G3849" s="39" t="s">
        <v>92</v>
      </c>
      <c r="H3849" s="52" t="s">
        <v>93</v>
      </c>
      <c r="I3849" s="52">
        <v>251.4</v>
      </c>
      <c r="J3849" s="49">
        <v>9913.58</v>
      </c>
      <c r="K3849" s="58">
        <v>258.89999999999998</v>
      </c>
      <c r="L3849" s="58">
        <v>10186.140000000001</v>
      </c>
      <c r="M3849" s="58">
        <v>0</v>
      </c>
      <c r="N3849" s="58">
        <v>0</v>
      </c>
      <c r="O3849" s="58">
        <v>258.89999999999998</v>
      </c>
      <c r="P3849" s="53">
        <v>10186.140000000001</v>
      </c>
      <c r="Q3849" s="65">
        <v>9913.58</v>
      </c>
      <c r="R3849" s="65">
        <v>0</v>
      </c>
      <c r="S3849" s="65">
        <v>0</v>
      </c>
      <c r="T3849" s="65">
        <v>272.56000000000131</v>
      </c>
      <c r="U3849" s="58">
        <v>0</v>
      </c>
      <c r="V3849" s="65">
        <v>0</v>
      </c>
      <c r="W3849" s="65">
        <v>0</v>
      </c>
      <c r="X3849" s="65">
        <v>9914</v>
      </c>
      <c r="Y3849" s="65">
        <v>0</v>
      </c>
      <c r="Z3849" s="51">
        <v>0</v>
      </c>
      <c r="AA3849" s="51">
        <v>0</v>
      </c>
      <c r="AB3849" s="102">
        <v>0</v>
      </c>
      <c r="AC3849" s="81">
        <f t="shared" si="184"/>
        <v>353.79729419252197</v>
      </c>
      <c r="AD3849" s="82">
        <f t="shared" si="185"/>
        <v>35.914285714285718</v>
      </c>
      <c r="AE3849" s="218">
        <v>-2.749359968850822E-2</v>
      </c>
      <c r="AF3849">
        <v>3</v>
      </c>
      <c r="AH3849" t="str">
        <f t="shared" si="183"/>
        <v>Mahua BMC</v>
      </c>
      <c r="AJ3849" s="72">
        <v>0</v>
      </c>
      <c r="AK3849" s="72"/>
      <c r="AL3849" s="72"/>
      <c r="AM3849" s="72"/>
    </row>
    <row r="3850" spans="1:39" x14ac:dyDescent="0.25">
      <c r="A3850" s="37" t="s">
        <v>62</v>
      </c>
      <c r="B3850" s="66" t="s">
        <v>1676</v>
      </c>
      <c r="C3850" s="4">
        <v>1061</v>
      </c>
      <c r="D3850" s="41" t="s">
        <v>1388</v>
      </c>
      <c r="E3850" s="41">
        <v>10610004</v>
      </c>
      <c r="F3850" s="85" t="s">
        <v>1397</v>
      </c>
      <c r="G3850" s="39" t="s">
        <v>92</v>
      </c>
      <c r="H3850" s="52" t="s">
        <v>93</v>
      </c>
      <c r="I3850" s="52">
        <v>324.39999999999998</v>
      </c>
      <c r="J3850" s="49">
        <v>14876.62</v>
      </c>
      <c r="K3850" s="58">
        <v>318.3</v>
      </c>
      <c r="L3850" s="58">
        <v>14541.56</v>
      </c>
      <c r="M3850" s="58">
        <v>6.3000000000000007</v>
      </c>
      <c r="N3850" s="58">
        <v>275.7</v>
      </c>
      <c r="O3850" s="58">
        <v>324.60000000000002</v>
      </c>
      <c r="P3850" s="53">
        <v>14817.26</v>
      </c>
      <c r="Q3850" s="65">
        <v>14817.26</v>
      </c>
      <c r="R3850" s="65">
        <v>0</v>
      </c>
      <c r="S3850" s="65">
        <v>275.7</v>
      </c>
      <c r="T3850" s="65">
        <v>0</v>
      </c>
      <c r="U3850" s="58">
        <v>0</v>
      </c>
      <c r="V3850" s="65">
        <v>0</v>
      </c>
      <c r="W3850" s="65">
        <v>0</v>
      </c>
      <c r="X3850" s="65">
        <v>14542</v>
      </c>
      <c r="Y3850" s="65">
        <v>0</v>
      </c>
      <c r="Z3850" s="51">
        <v>0</v>
      </c>
      <c r="AA3850" s="51">
        <v>59</v>
      </c>
      <c r="AB3850" s="102" t="s">
        <v>68</v>
      </c>
      <c r="AC3850" s="81">
        <f t="shared" si="184"/>
        <v>344.49189099876708</v>
      </c>
      <c r="AD3850" s="82">
        <f t="shared" si="185"/>
        <v>46.342857142857142</v>
      </c>
      <c r="AE3850" s="218">
        <v>3.9901536773810573E-3</v>
      </c>
      <c r="AF3850">
        <v>9</v>
      </c>
      <c r="AH3850" t="str">
        <f t="shared" si="183"/>
        <v>Mahua BMC</v>
      </c>
      <c r="AJ3850" s="72">
        <v>0</v>
      </c>
      <c r="AK3850" s="72"/>
      <c r="AL3850" s="72"/>
      <c r="AM3850" s="72"/>
    </row>
    <row r="3851" spans="1:39" x14ac:dyDescent="0.25">
      <c r="A3851" s="37" t="s">
        <v>62</v>
      </c>
      <c r="B3851" s="66" t="s">
        <v>1676</v>
      </c>
      <c r="C3851" s="4">
        <v>1061</v>
      </c>
      <c r="D3851" s="41" t="s">
        <v>1388</v>
      </c>
      <c r="E3851" s="41">
        <v>10610005</v>
      </c>
      <c r="F3851" s="85" t="s">
        <v>456</v>
      </c>
      <c r="G3851" s="39" t="s">
        <v>92</v>
      </c>
      <c r="H3851" s="52" t="s">
        <v>93</v>
      </c>
      <c r="I3851" s="52">
        <v>1076.3</v>
      </c>
      <c r="J3851" s="49">
        <v>49071.96</v>
      </c>
      <c r="K3851" s="58">
        <v>1101.5999999999999</v>
      </c>
      <c r="L3851" s="58">
        <v>48515.4</v>
      </c>
      <c r="M3851" s="58">
        <v>0</v>
      </c>
      <c r="N3851" s="58">
        <v>0</v>
      </c>
      <c r="O3851" s="58">
        <v>1101.5999999999999</v>
      </c>
      <c r="P3851" s="53">
        <v>48515.4</v>
      </c>
      <c r="Q3851" s="65">
        <v>48515.4</v>
      </c>
      <c r="R3851" s="65">
        <v>0</v>
      </c>
      <c r="S3851" s="65">
        <v>0</v>
      </c>
      <c r="T3851" s="65">
        <v>0</v>
      </c>
      <c r="U3851" s="58">
        <v>0</v>
      </c>
      <c r="V3851" s="65">
        <v>0</v>
      </c>
      <c r="W3851" s="65">
        <v>0</v>
      </c>
      <c r="X3851" s="65">
        <v>48516</v>
      </c>
      <c r="Y3851" s="65">
        <v>0</v>
      </c>
      <c r="Z3851" s="51">
        <v>0</v>
      </c>
      <c r="AA3851" s="51">
        <v>556</v>
      </c>
      <c r="AB3851" s="102">
        <v>0</v>
      </c>
      <c r="AC3851" s="81">
        <f t="shared" si="184"/>
        <v>0</v>
      </c>
      <c r="AD3851" s="82">
        <f t="shared" si="185"/>
        <v>0</v>
      </c>
      <c r="AE3851" s="218">
        <v>1.134171123386956E-2</v>
      </c>
      <c r="AF3851">
        <v>7</v>
      </c>
      <c r="AH3851" t="str">
        <f t="shared" si="183"/>
        <v>Mahua BMC</v>
      </c>
      <c r="AJ3851" s="72">
        <v>0</v>
      </c>
      <c r="AK3851" s="72"/>
      <c r="AL3851" s="72"/>
      <c r="AM3851" s="72"/>
    </row>
    <row r="3852" spans="1:39" x14ac:dyDescent="0.25">
      <c r="A3852" s="37" t="s">
        <v>62</v>
      </c>
      <c r="B3852" s="66" t="s">
        <v>1676</v>
      </c>
      <c r="C3852" s="4">
        <v>1061</v>
      </c>
      <c r="D3852" s="41" t="s">
        <v>1388</v>
      </c>
      <c r="E3852" s="41">
        <v>10610006</v>
      </c>
      <c r="F3852" s="85" t="s">
        <v>1329</v>
      </c>
      <c r="G3852" s="39" t="s">
        <v>92</v>
      </c>
      <c r="H3852" s="52" t="s">
        <v>93</v>
      </c>
      <c r="I3852" s="52">
        <v>346.00000000000011</v>
      </c>
      <c r="J3852" s="49">
        <v>17376.760000000006</v>
      </c>
      <c r="K3852" s="58">
        <v>352.4</v>
      </c>
      <c r="L3852" s="58">
        <v>17766.580000000002</v>
      </c>
      <c r="M3852" s="58">
        <v>0</v>
      </c>
      <c r="N3852" s="58">
        <v>0</v>
      </c>
      <c r="O3852" s="58">
        <v>352.4</v>
      </c>
      <c r="P3852" s="53">
        <v>17766.580000000002</v>
      </c>
      <c r="Q3852" s="65">
        <v>17376.760000000006</v>
      </c>
      <c r="R3852" s="65">
        <v>0</v>
      </c>
      <c r="S3852" s="65">
        <v>0</v>
      </c>
      <c r="T3852" s="65">
        <v>389.81999999999607</v>
      </c>
      <c r="U3852" s="58">
        <v>0</v>
      </c>
      <c r="V3852" s="65">
        <v>0</v>
      </c>
      <c r="W3852" s="65">
        <v>0</v>
      </c>
      <c r="X3852" s="65">
        <v>17377</v>
      </c>
      <c r="Y3852" s="65">
        <v>0</v>
      </c>
      <c r="Z3852" s="51">
        <v>0</v>
      </c>
      <c r="AA3852" s="51">
        <v>0</v>
      </c>
      <c r="AB3852" s="102">
        <v>0</v>
      </c>
      <c r="AC3852" s="81">
        <f t="shared" si="184"/>
        <v>355.57069595375708</v>
      </c>
      <c r="AD3852" s="82">
        <f t="shared" si="185"/>
        <v>49.428571428571445</v>
      </c>
      <c r="AE3852" s="218">
        <v>-2.2433411061670641E-2</v>
      </c>
      <c r="AF3852">
        <v>10</v>
      </c>
      <c r="AH3852" t="str">
        <f t="shared" si="183"/>
        <v>Mahua BMC</v>
      </c>
      <c r="AJ3852" s="72">
        <v>0</v>
      </c>
      <c r="AK3852" s="72"/>
      <c r="AL3852" s="72"/>
      <c r="AM3852" s="72"/>
    </row>
    <row r="3853" spans="1:39" x14ac:dyDescent="0.25">
      <c r="A3853" s="37" t="s">
        <v>62</v>
      </c>
      <c r="B3853" s="66" t="s">
        <v>1676</v>
      </c>
      <c r="C3853" s="4">
        <v>1061</v>
      </c>
      <c r="D3853" s="41" t="s">
        <v>1388</v>
      </c>
      <c r="E3853" s="41">
        <v>10610008</v>
      </c>
      <c r="F3853" s="85" t="s">
        <v>1330</v>
      </c>
      <c r="G3853" s="39" t="s">
        <v>92</v>
      </c>
      <c r="H3853" s="52" t="s">
        <v>93</v>
      </c>
      <c r="I3853" s="52">
        <v>342.5</v>
      </c>
      <c r="J3853" s="49">
        <v>15455.479999999998</v>
      </c>
      <c r="K3853" s="58">
        <v>348.79999999999995</v>
      </c>
      <c r="L3853" s="58">
        <v>15608.869999999997</v>
      </c>
      <c r="M3853" s="58">
        <v>0</v>
      </c>
      <c r="N3853" s="58">
        <v>0</v>
      </c>
      <c r="O3853" s="58">
        <v>348.79999999999995</v>
      </c>
      <c r="P3853" s="53">
        <v>15608.869999999997</v>
      </c>
      <c r="Q3853" s="65">
        <v>15455.479999999998</v>
      </c>
      <c r="R3853" s="65">
        <v>0</v>
      </c>
      <c r="S3853" s="65">
        <v>0</v>
      </c>
      <c r="T3853" s="65">
        <v>153.38999999999942</v>
      </c>
      <c r="U3853" s="58">
        <v>0</v>
      </c>
      <c r="V3853" s="65">
        <v>0</v>
      </c>
      <c r="W3853" s="65">
        <v>0</v>
      </c>
      <c r="X3853" s="65">
        <v>15455</v>
      </c>
      <c r="Y3853" s="65">
        <v>0</v>
      </c>
      <c r="Z3853" s="51">
        <v>0</v>
      </c>
      <c r="AA3853" s="51">
        <v>0</v>
      </c>
      <c r="AB3853" s="102">
        <v>0</v>
      </c>
      <c r="AC3853" s="81">
        <f t="shared" si="184"/>
        <v>322.64724671532844</v>
      </c>
      <c r="AD3853" s="82">
        <f t="shared" si="185"/>
        <v>48.928571428571431</v>
      </c>
      <c r="AE3853" s="218">
        <v>-9.9246351455923362E-3</v>
      </c>
      <c r="AF3853">
        <v>3</v>
      </c>
      <c r="AH3853" t="str">
        <f t="shared" si="183"/>
        <v>Mahua BMC</v>
      </c>
      <c r="AJ3853" s="72">
        <v>0</v>
      </c>
      <c r="AK3853" s="72"/>
      <c r="AL3853" s="72"/>
      <c r="AM3853" s="72"/>
    </row>
    <row r="3854" spans="1:39" x14ac:dyDescent="0.25">
      <c r="A3854" s="37" t="s">
        <v>62</v>
      </c>
      <c r="B3854" s="66" t="s">
        <v>1676</v>
      </c>
      <c r="C3854" s="4">
        <v>1061</v>
      </c>
      <c r="D3854" s="41" t="s">
        <v>1388</v>
      </c>
      <c r="E3854" s="41">
        <v>10610009</v>
      </c>
      <c r="F3854" s="85" t="s">
        <v>1346</v>
      </c>
      <c r="G3854" s="39" t="s">
        <v>92</v>
      </c>
      <c r="H3854" s="52" t="s">
        <v>93</v>
      </c>
      <c r="I3854" s="52">
        <v>1272.3999999999999</v>
      </c>
      <c r="J3854" s="49">
        <v>61546.280000000013</v>
      </c>
      <c r="K3854" s="58">
        <v>1302.7000000000003</v>
      </c>
      <c r="L3854" s="58">
        <v>61725.329999999987</v>
      </c>
      <c r="M3854" s="58">
        <v>15.000000000000002</v>
      </c>
      <c r="N3854" s="58">
        <v>686.07999999999993</v>
      </c>
      <c r="O3854" s="58">
        <v>1317.7000000000003</v>
      </c>
      <c r="P3854" s="53">
        <v>62411.409999999989</v>
      </c>
      <c r="Q3854" s="65">
        <v>61546.280000000013</v>
      </c>
      <c r="R3854" s="65">
        <v>0</v>
      </c>
      <c r="S3854" s="65">
        <v>686.07999999999993</v>
      </c>
      <c r="T3854" s="65">
        <v>865.12999999997555</v>
      </c>
      <c r="U3854" s="58">
        <v>0</v>
      </c>
      <c r="V3854" s="65">
        <v>0</v>
      </c>
      <c r="W3854" s="65">
        <v>0</v>
      </c>
      <c r="X3854" s="65">
        <v>60860</v>
      </c>
      <c r="Y3854" s="65">
        <v>0</v>
      </c>
      <c r="Z3854" s="51">
        <v>0</v>
      </c>
      <c r="AA3854" s="51">
        <v>0</v>
      </c>
      <c r="AB3854" s="102" t="s">
        <v>68</v>
      </c>
      <c r="AC3854" s="81">
        <f t="shared" si="184"/>
        <v>0</v>
      </c>
      <c r="AD3854" s="82">
        <f t="shared" si="185"/>
        <v>0</v>
      </c>
      <c r="AE3854" s="218">
        <v>-1.4056576611941053E-2</v>
      </c>
      <c r="AF3854">
        <v>29</v>
      </c>
      <c r="AH3854" t="str">
        <f t="shared" si="183"/>
        <v>Mahua BMC</v>
      </c>
      <c r="AJ3854" s="72">
        <v>0</v>
      </c>
      <c r="AK3854" s="72"/>
      <c r="AL3854" s="72"/>
      <c r="AM3854" s="72"/>
    </row>
    <row r="3855" spans="1:39" x14ac:dyDescent="0.25">
      <c r="A3855" s="37" t="s">
        <v>62</v>
      </c>
      <c r="B3855" s="66" t="s">
        <v>1676</v>
      </c>
      <c r="C3855" s="4">
        <v>1061</v>
      </c>
      <c r="D3855" s="41" t="s">
        <v>1388</v>
      </c>
      <c r="E3855" s="41">
        <v>10610010</v>
      </c>
      <c r="F3855" s="85" t="s">
        <v>1331</v>
      </c>
      <c r="G3855" s="39" t="s">
        <v>92</v>
      </c>
      <c r="H3855" s="52" t="s">
        <v>93</v>
      </c>
      <c r="I3855" s="52">
        <v>438.3</v>
      </c>
      <c r="J3855" s="49">
        <v>21791.440000000002</v>
      </c>
      <c r="K3855" s="58">
        <v>473</v>
      </c>
      <c r="L3855" s="58">
        <v>21824.190000000002</v>
      </c>
      <c r="M3855" s="58">
        <v>0</v>
      </c>
      <c r="N3855" s="58">
        <v>0</v>
      </c>
      <c r="O3855" s="58">
        <v>473</v>
      </c>
      <c r="P3855" s="53">
        <v>21824.190000000002</v>
      </c>
      <c r="Q3855" s="65">
        <v>21791.440000000002</v>
      </c>
      <c r="R3855" s="65">
        <v>0</v>
      </c>
      <c r="S3855" s="65">
        <v>0</v>
      </c>
      <c r="T3855" s="65">
        <v>32.75</v>
      </c>
      <c r="U3855" s="58">
        <v>0</v>
      </c>
      <c r="V3855" s="65">
        <v>0</v>
      </c>
      <c r="W3855" s="65">
        <v>0</v>
      </c>
      <c r="X3855" s="65">
        <v>21791</v>
      </c>
      <c r="Y3855" s="65">
        <v>0</v>
      </c>
      <c r="Z3855" s="51">
        <v>0</v>
      </c>
      <c r="AA3855" s="51">
        <v>0</v>
      </c>
      <c r="AB3855" s="102">
        <v>0</v>
      </c>
      <c r="AC3855" s="81">
        <f t="shared" si="184"/>
        <v>260.22449682865619</v>
      </c>
      <c r="AD3855" s="82">
        <f t="shared" si="185"/>
        <v>62.614285714285714</v>
      </c>
      <c r="AE3855" s="218">
        <v>-1.5028837011230097E-3</v>
      </c>
      <c r="AF3855">
        <v>19</v>
      </c>
      <c r="AH3855" t="str">
        <f t="shared" si="183"/>
        <v>Mahua BMC</v>
      </c>
      <c r="AJ3855" s="72">
        <v>0</v>
      </c>
      <c r="AK3855" s="72"/>
      <c r="AL3855" s="72"/>
      <c r="AM3855" s="72"/>
    </row>
    <row r="3856" spans="1:39" x14ac:dyDescent="0.25">
      <c r="A3856" s="37" t="s">
        <v>62</v>
      </c>
      <c r="B3856" s="66" t="s">
        <v>1676</v>
      </c>
      <c r="C3856" s="4">
        <v>1061</v>
      </c>
      <c r="D3856" s="41" t="s">
        <v>1388</v>
      </c>
      <c r="E3856" s="41">
        <v>10610011</v>
      </c>
      <c r="F3856" s="85" t="s">
        <v>1398</v>
      </c>
      <c r="G3856" s="39" t="s">
        <v>1610</v>
      </c>
      <c r="H3856" s="52" t="s">
        <v>98</v>
      </c>
      <c r="I3856" s="52">
        <v>338.79999999999995</v>
      </c>
      <c r="J3856" s="49">
        <v>13495.039999999999</v>
      </c>
      <c r="K3856" s="58">
        <v>0</v>
      </c>
      <c r="L3856" s="58">
        <v>0</v>
      </c>
      <c r="M3856" s="58">
        <v>0</v>
      </c>
      <c r="N3856" s="58">
        <v>0</v>
      </c>
      <c r="O3856" s="58">
        <v>0</v>
      </c>
      <c r="P3856" s="53">
        <v>0</v>
      </c>
      <c r="Q3856" s="65">
        <v>13495.039999999999</v>
      </c>
      <c r="R3856" s="65">
        <v>0</v>
      </c>
      <c r="S3856" s="65">
        <v>0</v>
      </c>
      <c r="T3856" s="65">
        <v>0</v>
      </c>
      <c r="U3856" s="58">
        <v>0</v>
      </c>
      <c r="V3856" s="65">
        <v>0</v>
      </c>
      <c r="W3856" s="65">
        <v>0</v>
      </c>
      <c r="X3856" s="65">
        <v>0</v>
      </c>
      <c r="Y3856" s="65">
        <v>0</v>
      </c>
      <c r="Z3856" s="51">
        <v>13495.039999999999</v>
      </c>
      <c r="AA3856" s="51">
        <v>0</v>
      </c>
      <c r="AB3856" s="102">
        <v>0</v>
      </c>
      <c r="AC3856" s="81">
        <f t="shared" si="184"/>
        <v>287.74548099173563</v>
      </c>
      <c r="AD3856" s="82">
        <f t="shared" si="185"/>
        <v>48.399999999999991</v>
      </c>
      <c r="AE3856" s="218">
        <v>0</v>
      </c>
      <c r="AF3856">
        <v>0</v>
      </c>
      <c r="AH3856" t="str">
        <f t="shared" si="183"/>
        <v>Mahua BMC</v>
      </c>
      <c r="AJ3856" s="72">
        <v>0</v>
      </c>
      <c r="AK3856" s="72"/>
      <c r="AL3856" s="72"/>
      <c r="AM3856" s="72"/>
    </row>
    <row r="3857" spans="1:39" x14ac:dyDescent="0.25">
      <c r="A3857" s="37" t="s">
        <v>62</v>
      </c>
      <c r="B3857" s="66" t="s">
        <v>1676</v>
      </c>
      <c r="C3857" s="4">
        <v>1061</v>
      </c>
      <c r="D3857" s="41" t="s">
        <v>1388</v>
      </c>
      <c r="E3857" s="41">
        <v>10610013</v>
      </c>
      <c r="F3857" s="85" t="s">
        <v>1399</v>
      </c>
      <c r="G3857" s="39" t="s">
        <v>1610</v>
      </c>
      <c r="H3857" s="52" t="s">
        <v>98</v>
      </c>
      <c r="I3857" s="52">
        <v>107.80000000000001</v>
      </c>
      <c r="J3857" s="49">
        <v>3925.11</v>
      </c>
      <c r="K3857" s="58">
        <v>0</v>
      </c>
      <c r="L3857" s="58">
        <v>0</v>
      </c>
      <c r="M3857" s="58">
        <v>0</v>
      </c>
      <c r="N3857" s="58">
        <v>0</v>
      </c>
      <c r="O3857" s="58">
        <v>0</v>
      </c>
      <c r="P3857" s="53">
        <v>0</v>
      </c>
      <c r="Q3857" s="65">
        <v>3925.11</v>
      </c>
      <c r="R3857" s="65">
        <v>0</v>
      </c>
      <c r="S3857" s="65">
        <v>0</v>
      </c>
      <c r="T3857" s="65">
        <v>0</v>
      </c>
      <c r="U3857" s="58">
        <v>0</v>
      </c>
      <c r="V3857" s="65">
        <v>0</v>
      </c>
      <c r="W3857" s="65">
        <v>0</v>
      </c>
      <c r="X3857" s="65">
        <v>0</v>
      </c>
      <c r="Y3857" s="65">
        <v>0</v>
      </c>
      <c r="Z3857" s="51">
        <v>3925.11</v>
      </c>
      <c r="AA3857" s="51">
        <v>0</v>
      </c>
      <c r="AB3857" s="102">
        <v>0</v>
      </c>
      <c r="AC3857" s="81">
        <f t="shared" si="184"/>
        <v>431.25234545454543</v>
      </c>
      <c r="AD3857" s="82">
        <f t="shared" si="185"/>
        <v>15.400000000000002</v>
      </c>
      <c r="AE3857" s="218">
        <v>0</v>
      </c>
      <c r="AF3857">
        <v>0</v>
      </c>
      <c r="AH3857" t="str">
        <f t="shared" si="183"/>
        <v>Mahua BMC</v>
      </c>
      <c r="AJ3857" s="72">
        <v>0</v>
      </c>
      <c r="AK3857" s="72"/>
      <c r="AL3857" s="72"/>
      <c r="AM3857" s="72"/>
    </row>
    <row r="3858" spans="1:39" x14ac:dyDescent="0.25">
      <c r="A3858" s="37" t="s">
        <v>62</v>
      </c>
      <c r="B3858" s="66" t="s">
        <v>1676</v>
      </c>
      <c r="C3858" s="4">
        <v>1061</v>
      </c>
      <c r="D3858" s="41" t="s">
        <v>1388</v>
      </c>
      <c r="E3858" s="41">
        <v>10610017</v>
      </c>
      <c r="F3858" s="85" t="s">
        <v>1400</v>
      </c>
      <c r="G3858" s="39" t="s">
        <v>92</v>
      </c>
      <c r="H3858" s="52" t="s">
        <v>93</v>
      </c>
      <c r="I3858" s="52">
        <v>277.3</v>
      </c>
      <c r="J3858" s="49">
        <v>13085.089999999998</v>
      </c>
      <c r="K3858" s="58">
        <v>270.30000000000007</v>
      </c>
      <c r="L3858" s="58">
        <v>11740.370000000003</v>
      </c>
      <c r="M3858" s="58">
        <v>0</v>
      </c>
      <c r="N3858" s="58">
        <v>0</v>
      </c>
      <c r="O3858" s="58">
        <v>270.30000000000007</v>
      </c>
      <c r="P3858" s="53">
        <v>11740.370000000003</v>
      </c>
      <c r="Q3858" s="65">
        <v>11740.370000000003</v>
      </c>
      <c r="R3858" s="65">
        <v>0</v>
      </c>
      <c r="S3858" s="65">
        <v>0</v>
      </c>
      <c r="T3858" s="65">
        <v>0</v>
      </c>
      <c r="U3858" s="58">
        <v>0</v>
      </c>
      <c r="V3858" s="65">
        <v>0</v>
      </c>
      <c r="W3858" s="65">
        <v>0</v>
      </c>
      <c r="X3858" s="65">
        <v>11739</v>
      </c>
      <c r="Y3858" s="65">
        <v>0</v>
      </c>
      <c r="Z3858" s="51">
        <v>0</v>
      </c>
      <c r="AA3858" s="51">
        <v>1346</v>
      </c>
      <c r="AB3858" s="102">
        <v>0</v>
      </c>
      <c r="AC3858" s="81">
        <f t="shared" si="184"/>
        <v>398.92301067435983</v>
      </c>
      <c r="AD3858" s="82">
        <f t="shared" si="185"/>
        <v>39.614285714285714</v>
      </c>
      <c r="AE3858" s="218">
        <v>0.10276734818025676</v>
      </c>
      <c r="AF3858">
        <v>10</v>
      </c>
      <c r="AH3858" t="str">
        <f t="shared" si="183"/>
        <v>Mahua BMC</v>
      </c>
      <c r="AJ3858" s="72">
        <v>0</v>
      </c>
      <c r="AK3858" s="72"/>
      <c r="AL3858" s="72"/>
      <c r="AM3858" s="72"/>
    </row>
    <row r="3859" spans="1:39" x14ac:dyDescent="0.25">
      <c r="A3859" s="37" t="s">
        <v>62</v>
      </c>
      <c r="B3859" s="66" t="s">
        <v>1676</v>
      </c>
      <c r="C3859" s="4">
        <v>1061</v>
      </c>
      <c r="D3859" s="41" t="s">
        <v>1388</v>
      </c>
      <c r="E3859" s="41">
        <v>10610018</v>
      </c>
      <c r="F3859" s="85" t="s">
        <v>1401</v>
      </c>
      <c r="G3859" s="39" t="s">
        <v>92</v>
      </c>
      <c r="H3859" s="52" t="s">
        <v>93</v>
      </c>
      <c r="I3859" s="52">
        <v>485.3</v>
      </c>
      <c r="J3859" s="49">
        <v>22067.19</v>
      </c>
      <c r="K3859" s="58">
        <v>278.3</v>
      </c>
      <c r="L3859" s="58">
        <v>13469.97</v>
      </c>
      <c r="M3859" s="58">
        <v>212.79999999999995</v>
      </c>
      <c r="N3859" s="58">
        <v>8375.2499999999982</v>
      </c>
      <c r="O3859" s="58">
        <v>491.09999999999997</v>
      </c>
      <c r="P3859" s="53">
        <v>21845.219999999998</v>
      </c>
      <c r="Q3859" s="65">
        <v>21845.219999999998</v>
      </c>
      <c r="R3859" s="65">
        <v>0</v>
      </c>
      <c r="S3859" s="65">
        <v>0</v>
      </c>
      <c r="T3859" s="65">
        <v>0</v>
      </c>
      <c r="U3859" s="58">
        <v>1056</v>
      </c>
      <c r="V3859" s="65">
        <v>0</v>
      </c>
      <c r="W3859" s="65">
        <v>0</v>
      </c>
      <c r="X3859" s="65">
        <v>12414</v>
      </c>
      <c r="Y3859" s="65">
        <v>8375</v>
      </c>
      <c r="Z3859" s="51">
        <v>0</v>
      </c>
      <c r="AA3859" s="51">
        <v>222</v>
      </c>
      <c r="AB3859" s="102" t="s">
        <v>68</v>
      </c>
      <c r="AC3859" s="81">
        <f t="shared" si="184"/>
        <v>195.25348003296924</v>
      </c>
      <c r="AD3859" s="82">
        <f t="shared" si="185"/>
        <v>69.328571428571436</v>
      </c>
      <c r="AE3859" s="218">
        <v>1.0058824888896192E-2</v>
      </c>
      <c r="AF3859">
        <v>16</v>
      </c>
      <c r="AH3859" t="str">
        <f t="shared" si="183"/>
        <v>Mahua BMC</v>
      </c>
      <c r="AJ3859" s="72">
        <v>0</v>
      </c>
      <c r="AK3859" s="72"/>
      <c r="AL3859" s="72"/>
      <c r="AM3859" s="72"/>
    </row>
    <row r="3860" spans="1:39" x14ac:dyDescent="0.25">
      <c r="A3860" s="37" t="s">
        <v>62</v>
      </c>
      <c r="B3860" s="66" t="s">
        <v>1676</v>
      </c>
      <c r="C3860" s="4">
        <v>1061</v>
      </c>
      <c r="D3860" s="41" t="s">
        <v>1388</v>
      </c>
      <c r="E3860" s="41">
        <v>10610019</v>
      </c>
      <c r="F3860" s="85" t="s">
        <v>1414</v>
      </c>
      <c r="G3860" s="39" t="s">
        <v>92</v>
      </c>
      <c r="H3860" s="52" t="s">
        <v>93</v>
      </c>
      <c r="I3860" s="52">
        <v>46.2</v>
      </c>
      <c r="J3860" s="49">
        <v>2347.2199999999998</v>
      </c>
      <c r="K3860" s="58">
        <v>46.199999999999996</v>
      </c>
      <c r="L3860" s="58">
        <v>2365.38</v>
      </c>
      <c r="M3860" s="58">
        <v>0</v>
      </c>
      <c r="N3860" s="58">
        <v>0</v>
      </c>
      <c r="O3860" s="58">
        <v>46.199999999999996</v>
      </c>
      <c r="P3860" s="53">
        <v>2365.38</v>
      </c>
      <c r="Q3860" s="65">
        <v>2347.2199999999998</v>
      </c>
      <c r="R3860" s="65">
        <v>0</v>
      </c>
      <c r="S3860" s="65">
        <v>0</v>
      </c>
      <c r="T3860" s="65">
        <v>18.160000000000309</v>
      </c>
      <c r="U3860" s="58">
        <v>0</v>
      </c>
      <c r="V3860" s="65">
        <v>0</v>
      </c>
      <c r="W3860" s="65">
        <v>0</v>
      </c>
      <c r="X3860" s="65">
        <v>2347</v>
      </c>
      <c r="Y3860" s="65">
        <v>0</v>
      </c>
      <c r="Z3860" s="51">
        <v>0</v>
      </c>
      <c r="AA3860" s="51">
        <v>0</v>
      </c>
      <c r="AB3860" s="102">
        <v>0</v>
      </c>
      <c r="AC3860" s="81">
        <f t="shared" si="184"/>
        <v>664.33438787878788</v>
      </c>
      <c r="AD3860" s="82">
        <f t="shared" si="185"/>
        <v>6.6000000000000005</v>
      </c>
      <c r="AE3860" s="218">
        <v>-7.7368120585204246E-3</v>
      </c>
      <c r="AF3860">
        <v>1</v>
      </c>
      <c r="AH3860" t="str">
        <f t="shared" si="183"/>
        <v>Mahua BMC</v>
      </c>
      <c r="AJ3860" s="72">
        <v>0</v>
      </c>
      <c r="AK3860" s="72"/>
      <c r="AL3860" s="72"/>
      <c r="AM3860" s="72"/>
    </row>
    <row r="3861" spans="1:39" x14ac:dyDescent="0.25">
      <c r="A3861" s="37" t="s">
        <v>62</v>
      </c>
      <c r="B3861" s="66" t="s">
        <v>1676</v>
      </c>
      <c r="C3861" s="4">
        <v>1061</v>
      </c>
      <c r="D3861" s="41" t="s">
        <v>1388</v>
      </c>
      <c r="E3861" s="41">
        <v>10610020</v>
      </c>
      <c r="F3861" s="85" t="s">
        <v>1402</v>
      </c>
      <c r="G3861" s="39" t="s">
        <v>92</v>
      </c>
      <c r="H3861" s="52" t="s">
        <v>93</v>
      </c>
      <c r="I3861" s="52">
        <v>324.7</v>
      </c>
      <c r="J3861" s="49">
        <v>14404.029999999999</v>
      </c>
      <c r="K3861" s="58">
        <v>319.60000000000002</v>
      </c>
      <c r="L3861" s="58">
        <v>13936.54</v>
      </c>
      <c r="M3861" s="58">
        <v>6.2</v>
      </c>
      <c r="N3861" s="58">
        <v>278</v>
      </c>
      <c r="O3861" s="58">
        <v>325.8</v>
      </c>
      <c r="P3861" s="53">
        <v>14214.54</v>
      </c>
      <c r="Q3861" s="65">
        <v>14214.54</v>
      </c>
      <c r="R3861" s="65">
        <v>0</v>
      </c>
      <c r="S3861" s="65">
        <v>278</v>
      </c>
      <c r="T3861" s="65">
        <v>0</v>
      </c>
      <c r="U3861" s="58">
        <v>0</v>
      </c>
      <c r="V3861" s="65">
        <v>0</v>
      </c>
      <c r="W3861" s="65">
        <v>0</v>
      </c>
      <c r="X3861" s="65">
        <v>13935</v>
      </c>
      <c r="Y3861" s="65">
        <v>0</v>
      </c>
      <c r="Z3861" s="51">
        <v>0</v>
      </c>
      <c r="AA3861" s="51">
        <v>191</v>
      </c>
      <c r="AB3861" s="102">
        <v>0</v>
      </c>
      <c r="AC3861" s="81">
        <f t="shared" si="184"/>
        <v>332.97397345241757</v>
      </c>
      <c r="AD3861" s="82">
        <f t="shared" si="185"/>
        <v>46.385714285714286</v>
      </c>
      <c r="AE3861" s="218">
        <v>1.3155346107998801E-2</v>
      </c>
      <c r="AF3861">
        <v>11</v>
      </c>
      <c r="AH3861" t="str">
        <f t="shared" si="183"/>
        <v>Mahua BMC</v>
      </c>
      <c r="AJ3861" s="72">
        <v>0</v>
      </c>
      <c r="AK3861" s="72"/>
      <c r="AL3861" s="72"/>
      <c r="AM3861" s="72"/>
    </row>
    <row r="3862" spans="1:39" x14ac:dyDescent="0.25">
      <c r="A3862" s="37" t="s">
        <v>62</v>
      </c>
      <c r="B3862" s="66" t="s">
        <v>1676</v>
      </c>
      <c r="C3862" s="4">
        <v>1061</v>
      </c>
      <c r="D3862" s="41" t="s">
        <v>1388</v>
      </c>
      <c r="E3862" s="41">
        <v>10610022</v>
      </c>
      <c r="F3862" s="85" t="s">
        <v>1403</v>
      </c>
      <c r="G3862" s="39" t="s">
        <v>92</v>
      </c>
      <c r="H3862" s="52" t="s">
        <v>93</v>
      </c>
      <c r="I3862" s="52">
        <v>189</v>
      </c>
      <c r="J3862" s="49">
        <v>9501.4</v>
      </c>
      <c r="K3862" s="58">
        <v>187.9</v>
      </c>
      <c r="L3862" s="58">
        <v>9583.010000000002</v>
      </c>
      <c r="M3862" s="58">
        <v>0</v>
      </c>
      <c r="N3862" s="58">
        <v>0</v>
      </c>
      <c r="O3862" s="58">
        <v>187.9</v>
      </c>
      <c r="P3862" s="53">
        <v>9583.010000000002</v>
      </c>
      <c r="Q3862" s="65">
        <v>9501.4</v>
      </c>
      <c r="R3862" s="65">
        <v>0</v>
      </c>
      <c r="S3862" s="65">
        <v>0</v>
      </c>
      <c r="T3862" s="65">
        <v>81.610000000002401</v>
      </c>
      <c r="U3862" s="58">
        <v>0</v>
      </c>
      <c r="V3862" s="65">
        <v>0</v>
      </c>
      <c r="W3862" s="65">
        <v>0</v>
      </c>
      <c r="X3862" s="65">
        <v>9501</v>
      </c>
      <c r="Y3862" s="65">
        <v>0</v>
      </c>
      <c r="Z3862" s="51">
        <v>0</v>
      </c>
      <c r="AA3862" s="51">
        <v>0</v>
      </c>
      <c r="AB3862" s="102">
        <v>0</v>
      </c>
      <c r="AC3862" s="81">
        <f t="shared" si="184"/>
        <v>513.77940740740746</v>
      </c>
      <c r="AD3862" s="82">
        <f t="shared" si="185"/>
        <v>27</v>
      </c>
      <c r="AE3862" s="218">
        <v>-8.589260530027407E-3</v>
      </c>
      <c r="AF3862">
        <v>4</v>
      </c>
      <c r="AH3862" t="str">
        <f t="shared" si="183"/>
        <v>Mahua BMC</v>
      </c>
      <c r="AJ3862" s="72">
        <v>0</v>
      </c>
      <c r="AK3862" s="72"/>
      <c r="AL3862" s="72"/>
      <c r="AM3862" s="72"/>
    </row>
    <row r="3863" spans="1:39" x14ac:dyDescent="0.25">
      <c r="A3863" s="37" t="s">
        <v>62</v>
      </c>
      <c r="B3863" s="66" t="s">
        <v>1676</v>
      </c>
      <c r="C3863" s="4">
        <v>1061</v>
      </c>
      <c r="D3863" s="41" t="s">
        <v>1388</v>
      </c>
      <c r="E3863" s="41">
        <v>10610024</v>
      </c>
      <c r="F3863" s="85" t="s">
        <v>1415</v>
      </c>
      <c r="G3863" s="39" t="s">
        <v>92</v>
      </c>
      <c r="H3863" s="52" t="s">
        <v>93</v>
      </c>
      <c r="I3863" s="52">
        <v>226.4</v>
      </c>
      <c r="J3863" s="49">
        <v>9365.3499999999985</v>
      </c>
      <c r="K3863" s="58">
        <v>247.5</v>
      </c>
      <c r="L3863" s="58">
        <v>9693.630000000001</v>
      </c>
      <c r="M3863" s="58">
        <v>7.1000000000000014</v>
      </c>
      <c r="N3863" s="58">
        <v>260.42</v>
      </c>
      <c r="O3863" s="58">
        <v>254.6</v>
      </c>
      <c r="P3863" s="53">
        <v>9954.0500000000011</v>
      </c>
      <c r="Q3863" s="65">
        <v>9365.3499999999985</v>
      </c>
      <c r="R3863" s="65">
        <v>0</v>
      </c>
      <c r="S3863" s="65">
        <v>260.42</v>
      </c>
      <c r="T3863" s="65">
        <v>588.70000000000255</v>
      </c>
      <c r="U3863" s="58">
        <v>0</v>
      </c>
      <c r="V3863" s="65">
        <v>0</v>
      </c>
      <c r="W3863" s="65">
        <v>0</v>
      </c>
      <c r="X3863" s="65">
        <v>9447</v>
      </c>
      <c r="Y3863" s="65">
        <v>0</v>
      </c>
      <c r="Z3863" s="51">
        <v>0</v>
      </c>
      <c r="AA3863" s="51">
        <v>-342</v>
      </c>
      <c r="AB3863" s="102" t="s">
        <v>68</v>
      </c>
      <c r="AC3863" s="81">
        <f t="shared" si="184"/>
        <v>391.82241696113073</v>
      </c>
      <c r="AD3863" s="82">
        <f t="shared" si="185"/>
        <v>32.342857142857142</v>
      </c>
      <c r="AE3863" s="218">
        <v>-6.2859369911429111E-2</v>
      </c>
      <c r="AF3863">
        <v>10</v>
      </c>
      <c r="AH3863" t="str">
        <f t="shared" si="183"/>
        <v>Mahua BMC</v>
      </c>
      <c r="AJ3863" s="72">
        <v>0</v>
      </c>
      <c r="AK3863" s="72"/>
      <c r="AL3863" s="72"/>
      <c r="AM3863" s="72"/>
    </row>
    <row r="3864" spans="1:39" x14ac:dyDescent="0.25">
      <c r="A3864" s="37" t="s">
        <v>62</v>
      </c>
      <c r="B3864" s="66" t="s">
        <v>1676</v>
      </c>
      <c r="C3864" s="4">
        <v>1061</v>
      </c>
      <c r="D3864" s="41" t="s">
        <v>1388</v>
      </c>
      <c r="E3864" s="41">
        <v>10610026</v>
      </c>
      <c r="F3864" s="85" t="s">
        <v>1444</v>
      </c>
      <c r="G3864" s="39" t="s">
        <v>92</v>
      </c>
      <c r="H3864" s="52" t="s">
        <v>93</v>
      </c>
      <c r="I3864" s="52">
        <v>186.30000000000004</v>
      </c>
      <c r="J3864" s="49">
        <v>9916.17</v>
      </c>
      <c r="K3864" s="58">
        <v>181.00000000000003</v>
      </c>
      <c r="L3864" s="58">
        <v>9863.380000000001</v>
      </c>
      <c r="M3864" s="58">
        <v>0</v>
      </c>
      <c r="N3864" s="58">
        <v>0</v>
      </c>
      <c r="O3864" s="58">
        <v>181.00000000000003</v>
      </c>
      <c r="P3864" s="53">
        <v>9863.380000000001</v>
      </c>
      <c r="Q3864" s="65">
        <v>9863.380000000001</v>
      </c>
      <c r="R3864" s="65">
        <v>0</v>
      </c>
      <c r="S3864" s="65">
        <v>0</v>
      </c>
      <c r="T3864" s="65">
        <v>0</v>
      </c>
      <c r="U3864" s="58">
        <v>0</v>
      </c>
      <c r="V3864" s="65">
        <v>0</v>
      </c>
      <c r="W3864" s="65">
        <v>0</v>
      </c>
      <c r="X3864" s="65">
        <v>9862</v>
      </c>
      <c r="Y3864" s="65">
        <v>0</v>
      </c>
      <c r="Z3864" s="51">
        <v>0</v>
      </c>
      <c r="AA3864" s="51">
        <v>54</v>
      </c>
      <c r="AB3864" s="102">
        <v>0</v>
      </c>
      <c r="AC3864" s="81">
        <f t="shared" si="184"/>
        <v>546.85308953301114</v>
      </c>
      <c r="AD3864" s="82">
        <f t="shared" si="185"/>
        <v>26.614285714285721</v>
      </c>
      <c r="AE3864" s="218">
        <v>5.3236279733000803E-3</v>
      </c>
      <c r="AF3864">
        <v>7</v>
      </c>
      <c r="AH3864" t="str">
        <f t="shared" si="183"/>
        <v>Mahua BMC</v>
      </c>
      <c r="AJ3864" s="72">
        <v>0</v>
      </c>
      <c r="AK3864" s="72"/>
      <c r="AL3864" s="72"/>
      <c r="AM3864" s="72"/>
    </row>
    <row r="3865" spans="1:39" x14ac:dyDescent="0.25">
      <c r="A3865" s="37" t="s">
        <v>62</v>
      </c>
      <c r="B3865" s="66" t="s">
        <v>1676</v>
      </c>
      <c r="C3865" s="4">
        <v>1061</v>
      </c>
      <c r="D3865" s="41" t="s">
        <v>1388</v>
      </c>
      <c r="E3865" s="41">
        <v>10610027</v>
      </c>
      <c r="F3865" s="85" t="s">
        <v>1445</v>
      </c>
      <c r="G3865" s="39" t="s">
        <v>1610</v>
      </c>
      <c r="H3865" s="52" t="s">
        <v>98</v>
      </c>
      <c r="I3865" s="52">
        <v>1128.5</v>
      </c>
      <c r="J3865" s="49">
        <v>40915.380000000005</v>
      </c>
      <c r="K3865" s="58">
        <v>0</v>
      </c>
      <c r="L3865" s="58">
        <v>0</v>
      </c>
      <c r="M3865" s="58">
        <v>0</v>
      </c>
      <c r="N3865" s="58">
        <v>0</v>
      </c>
      <c r="O3865" s="58">
        <v>0</v>
      </c>
      <c r="P3865" s="53">
        <v>0</v>
      </c>
      <c r="Q3865" s="65">
        <v>40915.380000000005</v>
      </c>
      <c r="R3865" s="65">
        <v>0</v>
      </c>
      <c r="S3865" s="65">
        <v>0</v>
      </c>
      <c r="T3865" s="65">
        <v>0</v>
      </c>
      <c r="U3865" s="58">
        <v>0</v>
      </c>
      <c r="V3865" s="65">
        <v>0</v>
      </c>
      <c r="W3865" s="65">
        <v>0</v>
      </c>
      <c r="X3865" s="65">
        <v>0</v>
      </c>
      <c r="Y3865" s="65">
        <v>0</v>
      </c>
      <c r="Z3865" s="51">
        <v>40915.380000000005</v>
      </c>
      <c r="AA3865" s="51">
        <v>0</v>
      </c>
      <c r="AB3865" s="102">
        <v>0</v>
      </c>
      <c r="AC3865" s="81">
        <f t="shared" si="184"/>
        <v>0</v>
      </c>
      <c r="AD3865" s="82">
        <f t="shared" si="185"/>
        <v>0</v>
      </c>
      <c r="AE3865" s="218">
        <v>0</v>
      </c>
      <c r="AF3865">
        <v>0</v>
      </c>
      <c r="AH3865" t="str">
        <f t="shared" si="183"/>
        <v>Mahua BMC</v>
      </c>
      <c r="AJ3865" s="72">
        <v>0</v>
      </c>
      <c r="AK3865" s="72"/>
      <c r="AL3865" s="72"/>
      <c r="AM3865" s="72"/>
    </row>
    <row r="3866" spans="1:39" x14ac:dyDescent="0.25">
      <c r="A3866" s="37" t="s">
        <v>62</v>
      </c>
      <c r="B3866" s="66" t="s">
        <v>1676</v>
      </c>
      <c r="C3866" s="4">
        <v>1061</v>
      </c>
      <c r="D3866" s="41" t="s">
        <v>1388</v>
      </c>
      <c r="E3866" s="41">
        <v>10610028</v>
      </c>
      <c r="F3866" s="85" t="s">
        <v>1446</v>
      </c>
      <c r="G3866" s="39" t="s">
        <v>1610</v>
      </c>
      <c r="H3866" s="52" t="s">
        <v>98</v>
      </c>
      <c r="I3866" s="52">
        <v>199.1</v>
      </c>
      <c r="J3866" s="49">
        <v>7800.6400000000012</v>
      </c>
      <c r="K3866" s="58">
        <v>0</v>
      </c>
      <c r="L3866" s="58">
        <v>0</v>
      </c>
      <c r="M3866" s="58">
        <v>0</v>
      </c>
      <c r="N3866" s="58">
        <v>0</v>
      </c>
      <c r="O3866" s="58">
        <v>0</v>
      </c>
      <c r="P3866" s="53">
        <v>0</v>
      </c>
      <c r="Q3866" s="65">
        <v>7800.6400000000012</v>
      </c>
      <c r="R3866" s="65">
        <v>0</v>
      </c>
      <c r="S3866" s="65">
        <v>0</v>
      </c>
      <c r="T3866" s="65">
        <v>0</v>
      </c>
      <c r="U3866" s="58">
        <v>0</v>
      </c>
      <c r="V3866" s="65">
        <v>0</v>
      </c>
      <c r="W3866" s="65">
        <v>0</v>
      </c>
      <c r="X3866" s="65">
        <v>0</v>
      </c>
      <c r="Y3866" s="65">
        <v>0</v>
      </c>
      <c r="Z3866" s="51">
        <v>7800.6400000000012</v>
      </c>
      <c r="AA3866" s="51">
        <v>0</v>
      </c>
      <c r="AB3866" s="102">
        <v>0</v>
      </c>
      <c r="AC3866" s="81">
        <f t="shared" si="184"/>
        <v>392.50030899045714</v>
      </c>
      <c r="AD3866" s="82">
        <f t="shared" si="185"/>
        <v>28.442857142857143</v>
      </c>
      <c r="AE3866" s="218">
        <v>0</v>
      </c>
      <c r="AF3866">
        <v>0</v>
      </c>
      <c r="AH3866" t="str">
        <f t="shared" si="183"/>
        <v>Mahua BMC</v>
      </c>
      <c r="AJ3866" s="72">
        <v>0</v>
      </c>
      <c r="AK3866" s="72"/>
      <c r="AL3866" s="72"/>
      <c r="AM3866" s="72"/>
    </row>
    <row r="3867" spans="1:39" x14ac:dyDescent="0.25">
      <c r="A3867" s="37" t="s">
        <v>62</v>
      </c>
      <c r="B3867" s="66" t="s">
        <v>1676</v>
      </c>
      <c r="C3867" s="4">
        <v>1061</v>
      </c>
      <c r="D3867" s="41" t="s">
        <v>1388</v>
      </c>
      <c r="E3867" s="41">
        <v>10610031</v>
      </c>
      <c r="F3867" s="85" t="s">
        <v>1447</v>
      </c>
      <c r="G3867" s="39" t="s">
        <v>1610</v>
      </c>
      <c r="H3867" s="52" t="s">
        <v>98</v>
      </c>
      <c r="I3867" s="52">
        <v>422.70000000000005</v>
      </c>
      <c r="J3867" s="49">
        <v>16120.330000000002</v>
      </c>
      <c r="K3867" s="58">
        <v>0</v>
      </c>
      <c r="L3867" s="58">
        <v>0</v>
      </c>
      <c r="M3867" s="58">
        <v>0</v>
      </c>
      <c r="N3867" s="58">
        <v>0</v>
      </c>
      <c r="O3867" s="58">
        <v>0</v>
      </c>
      <c r="P3867" s="53">
        <v>0</v>
      </c>
      <c r="Q3867" s="65">
        <v>16120.330000000002</v>
      </c>
      <c r="R3867" s="65">
        <v>0</v>
      </c>
      <c r="S3867" s="65">
        <v>0</v>
      </c>
      <c r="T3867" s="65">
        <v>0</v>
      </c>
      <c r="U3867" s="58">
        <v>0</v>
      </c>
      <c r="V3867" s="65">
        <v>0</v>
      </c>
      <c r="W3867" s="65">
        <v>0</v>
      </c>
      <c r="X3867" s="65">
        <v>0</v>
      </c>
      <c r="Y3867" s="65">
        <v>0</v>
      </c>
      <c r="Z3867" s="51">
        <v>16120.330000000002</v>
      </c>
      <c r="AA3867" s="51">
        <v>0</v>
      </c>
      <c r="AB3867" s="102">
        <v>0</v>
      </c>
      <c r="AC3867" s="81">
        <f t="shared" si="184"/>
        <v>211.50544163709486</v>
      </c>
      <c r="AD3867" s="82">
        <f t="shared" si="185"/>
        <v>60.385714285714293</v>
      </c>
      <c r="AE3867" s="218">
        <v>0</v>
      </c>
      <c r="AF3867">
        <v>0</v>
      </c>
      <c r="AH3867" t="str">
        <f t="shared" si="183"/>
        <v>Mahua BMC</v>
      </c>
      <c r="AJ3867" s="72">
        <v>0</v>
      </c>
      <c r="AK3867" s="72"/>
      <c r="AL3867" s="72"/>
      <c r="AM3867" s="72"/>
    </row>
    <row r="3868" spans="1:39" x14ac:dyDescent="0.25">
      <c r="A3868" s="37" t="s">
        <v>62</v>
      </c>
      <c r="B3868" s="66" t="s">
        <v>1676</v>
      </c>
      <c r="C3868" s="4">
        <v>1061</v>
      </c>
      <c r="D3868" s="41" t="s">
        <v>1388</v>
      </c>
      <c r="E3868" s="41">
        <v>10610032</v>
      </c>
      <c r="F3868" s="85" t="s">
        <v>1622</v>
      </c>
      <c r="G3868" s="39" t="s">
        <v>1610</v>
      </c>
      <c r="H3868" s="52" t="s">
        <v>98</v>
      </c>
      <c r="I3868" s="52">
        <v>250.9</v>
      </c>
      <c r="J3868" s="49">
        <v>9746.7100000000009</v>
      </c>
      <c r="K3868" s="58">
        <v>0</v>
      </c>
      <c r="L3868" s="58">
        <v>0</v>
      </c>
      <c r="M3868" s="58">
        <v>0</v>
      </c>
      <c r="N3868" s="58">
        <v>0</v>
      </c>
      <c r="O3868" s="58">
        <v>0</v>
      </c>
      <c r="P3868" s="53">
        <v>0</v>
      </c>
      <c r="Q3868" s="65">
        <v>9746.7100000000009</v>
      </c>
      <c r="R3868" s="65">
        <v>0</v>
      </c>
      <c r="S3868" s="65">
        <v>0</v>
      </c>
      <c r="T3868" s="65">
        <v>0</v>
      </c>
      <c r="U3868" s="58">
        <v>0</v>
      </c>
      <c r="V3868" s="65">
        <v>0</v>
      </c>
      <c r="W3868" s="65">
        <v>0</v>
      </c>
      <c r="X3868" s="65">
        <v>0</v>
      </c>
      <c r="Y3868" s="65">
        <v>0</v>
      </c>
      <c r="Z3868" s="51">
        <v>9746.7100000000009</v>
      </c>
      <c r="AA3868" s="51">
        <v>0</v>
      </c>
      <c r="AB3868" s="102">
        <v>0</v>
      </c>
      <c r="AC3868" s="81">
        <f t="shared" si="184"/>
        <v>348.92367166201677</v>
      </c>
      <c r="AD3868" s="82">
        <f t="shared" si="185"/>
        <v>35.842857142857142</v>
      </c>
      <c r="AE3868" s="218">
        <v>0</v>
      </c>
      <c r="AF3868">
        <v>0</v>
      </c>
      <c r="AH3868" t="str">
        <f t="shared" si="183"/>
        <v>Mahua BMC</v>
      </c>
      <c r="AJ3868" s="72">
        <v>0</v>
      </c>
      <c r="AK3868" s="72"/>
      <c r="AL3868" s="72"/>
      <c r="AM3868" s="72"/>
    </row>
    <row r="3869" spans="1:39" x14ac:dyDescent="0.25">
      <c r="A3869" s="37" t="s">
        <v>62</v>
      </c>
      <c r="B3869" s="66" t="s">
        <v>1676</v>
      </c>
      <c r="C3869" s="4">
        <v>1061</v>
      </c>
      <c r="D3869" s="41" t="s">
        <v>1388</v>
      </c>
      <c r="E3869" s="41">
        <v>10610034</v>
      </c>
      <c r="F3869" s="85" t="s">
        <v>1448</v>
      </c>
      <c r="G3869" s="39" t="s">
        <v>1610</v>
      </c>
      <c r="H3869" s="52" t="s">
        <v>98</v>
      </c>
      <c r="I3869" s="52">
        <v>481.5</v>
      </c>
      <c r="J3869" s="49">
        <v>18723.740000000002</v>
      </c>
      <c r="K3869" s="58">
        <v>0</v>
      </c>
      <c r="L3869" s="58">
        <v>0</v>
      </c>
      <c r="M3869" s="58">
        <v>0</v>
      </c>
      <c r="N3869" s="58">
        <v>0</v>
      </c>
      <c r="O3869" s="58">
        <v>0</v>
      </c>
      <c r="P3869" s="53">
        <v>0</v>
      </c>
      <c r="Q3869" s="65">
        <v>18723.740000000002</v>
      </c>
      <c r="R3869" s="65">
        <v>0</v>
      </c>
      <c r="S3869" s="65">
        <v>0</v>
      </c>
      <c r="T3869" s="65">
        <v>0</v>
      </c>
      <c r="U3869" s="58">
        <v>0</v>
      </c>
      <c r="V3869" s="65">
        <v>0</v>
      </c>
      <c r="W3869" s="65">
        <v>0</v>
      </c>
      <c r="X3869" s="65">
        <v>0</v>
      </c>
      <c r="Y3869" s="65">
        <v>0</v>
      </c>
      <c r="Z3869" s="51">
        <v>18723.740000000002</v>
      </c>
      <c r="AA3869" s="51">
        <v>0</v>
      </c>
      <c r="AB3869" s="102">
        <v>0</v>
      </c>
      <c r="AC3869" s="81">
        <f t="shared" si="184"/>
        <v>169.93300893042573</v>
      </c>
      <c r="AD3869" s="82">
        <f t="shared" si="185"/>
        <v>68.785714285714292</v>
      </c>
      <c r="AE3869" s="218">
        <v>0</v>
      </c>
      <c r="AF3869">
        <v>0</v>
      </c>
      <c r="AH3869" t="str">
        <f t="shared" si="183"/>
        <v>Mahua BMC</v>
      </c>
      <c r="AJ3869" s="72">
        <v>0</v>
      </c>
      <c r="AK3869" s="72"/>
      <c r="AL3869" s="72"/>
      <c r="AM3869" s="72"/>
    </row>
    <row r="3870" spans="1:39" x14ac:dyDescent="0.25">
      <c r="A3870" s="37" t="s">
        <v>62</v>
      </c>
      <c r="B3870" s="66" t="s">
        <v>1676</v>
      </c>
      <c r="C3870" s="4">
        <v>1061</v>
      </c>
      <c r="D3870" s="41" t="s">
        <v>1388</v>
      </c>
      <c r="E3870" s="41">
        <v>10610035</v>
      </c>
      <c r="F3870" s="85" t="s">
        <v>1449</v>
      </c>
      <c r="G3870" s="39" t="s">
        <v>1610</v>
      </c>
      <c r="H3870" s="52" t="s">
        <v>98</v>
      </c>
      <c r="I3870" s="52">
        <v>248.80000000000004</v>
      </c>
      <c r="J3870" s="49">
        <v>8446.32</v>
      </c>
      <c r="K3870" s="58">
        <v>0</v>
      </c>
      <c r="L3870" s="58">
        <v>0</v>
      </c>
      <c r="M3870" s="58">
        <v>0</v>
      </c>
      <c r="N3870" s="58">
        <v>0</v>
      </c>
      <c r="O3870" s="58">
        <v>0</v>
      </c>
      <c r="P3870" s="53">
        <v>0</v>
      </c>
      <c r="Q3870" s="65">
        <v>8446.32</v>
      </c>
      <c r="R3870" s="65">
        <v>0</v>
      </c>
      <c r="S3870" s="65">
        <v>0</v>
      </c>
      <c r="T3870" s="65">
        <v>0</v>
      </c>
      <c r="U3870" s="58">
        <v>0</v>
      </c>
      <c r="V3870" s="65">
        <v>0</v>
      </c>
      <c r="W3870" s="65">
        <v>0</v>
      </c>
      <c r="X3870" s="65">
        <v>0</v>
      </c>
      <c r="Y3870" s="65">
        <v>0</v>
      </c>
      <c r="Z3870" s="51">
        <v>8446.32</v>
      </c>
      <c r="AA3870" s="51">
        <v>0</v>
      </c>
      <c r="AB3870" s="102">
        <v>0</v>
      </c>
      <c r="AC3870" s="81">
        <f t="shared" si="184"/>
        <v>306.34884115755625</v>
      </c>
      <c r="AD3870" s="82">
        <f t="shared" si="185"/>
        <v>35.542857142857152</v>
      </c>
      <c r="AE3870" s="218">
        <v>0</v>
      </c>
      <c r="AF3870">
        <v>0</v>
      </c>
      <c r="AH3870" t="str">
        <f t="shared" si="183"/>
        <v>Mahua BMC</v>
      </c>
      <c r="AJ3870" s="72">
        <v>0</v>
      </c>
      <c r="AK3870" s="72"/>
      <c r="AL3870" s="72"/>
      <c r="AM3870" s="72"/>
    </row>
    <row r="3871" spans="1:39" x14ac:dyDescent="0.25">
      <c r="A3871" s="37" t="s">
        <v>62</v>
      </c>
      <c r="B3871" s="66" t="s">
        <v>1676</v>
      </c>
      <c r="C3871" s="4">
        <v>1061</v>
      </c>
      <c r="D3871" s="41" t="s">
        <v>1388</v>
      </c>
      <c r="E3871" s="41">
        <v>10610036</v>
      </c>
      <c r="F3871" s="85" t="s">
        <v>1450</v>
      </c>
      <c r="G3871" s="39" t="s">
        <v>1610</v>
      </c>
      <c r="H3871" s="52" t="s">
        <v>98</v>
      </c>
      <c r="I3871" s="52">
        <v>376.79999999999995</v>
      </c>
      <c r="J3871" s="49">
        <v>13523.360000000002</v>
      </c>
      <c r="K3871" s="58">
        <v>0</v>
      </c>
      <c r="L3871" s="58">
        <v>0</v>
      </c>
      <c r="M3871" s="58">
        <v>0</v>
      </c>
      <c r="N3871" s="58">
        <v>0</v>
      </c>
      <c r="O3871" s="58">
        <v>0</v>
      </c>
      <c r="P3871" s="53">
        <v>0</v>
      </c>
      <c r="Q3871" s="65">
        <v>13523.360000000002</v>
      </c>
      <c r="R3871" s="65">
        <v>0</v>
      </c>
      <c r="S3871" s="65">
        <v>0</v>
      </c>
      <c r="T3871" s="65">
        <v>0</v>
      </c>
      <c r="U3871" s="58">
        <v>0</v>
      </c>
      <c r="V3871" s="65">
        <v>0</v>
      </c>
      <c r="W3871" s="65">
        <v>0</v>
      </c>
      <c r="X3871" s="65">
        <v>0</v>
      </c>
      <c r="Y3871" s="65">
        <v>0</v>
      </c>
      <c r="Z3871" s="51">
        <v>13523.360000000002</v>
      </c>
      <c r="AA3871" s="51">
        <v>0</v>
      </c>
      <c r="AB3871" s="102">
        <v>0</v>
      </c>
      <c r="AC3871" s="81">
        <f t="shared" si="184"/>
        <v>231.99309723991519</v>
      </c>
      <c r="AD3871" s="82">
        <f t="shared" si="185"/>
        <v>53.828571428571422</v>
      </c>
      <c r="AE3871" s="218">
        <v>0</v>
      </c>
      <c r="AF3871">
        <v>0</v>
      </c>
      <c r="AH3871" t="str">
        <f t="shared" si="183"/>
        <v>Mahua BMC</v>
      </c>
      <c r="AJ3871" s="72">
        <v>0</v>
      </c>
      <c r="AK3871" s="72"/>
      <c r="AL3871" s="72"/>
      <c r="AM3871" s="72"/>
    </row>
    <row r="3872" spans="1:39" x14ac:dyDescent="0.25">
      <c r="A3872" s="37" t="s">
        <v>62</v>
      </c>
      <c r="B3872" s="66" t="s">
        <v>1676</v>
      </c>
      <c r="C3872" s="4">
        <v>1061</v>
      </c>
      <c r="D3872" s="41" t="s">
        <v>1388</v>
      </c>
      <c r="E3872" s="41">
        <v>10610038</v>
      </c>
      <c r="F3872" s="85" t="s">
        <v>1451</v>
      </c>
      <c r="G3872" s="39" t="s">
        <v>1610</v>
      </c>
      <c r="H3872" s="52" t="s">
        <v>98</v>
      </c>
      <c r="I3872" s="52">
        <v>227.9</v>
      </c>
      <c r="J3872" s="49">
        <v>8007.83</v>
      </c>
      <c r="K3872" s="58">
        <v>0</v>
      </c>
      <c r="L3872" s="58">
        <v>0</v>
      </c>
      <c r="M3872" s="58">
        <v>0</v>
      </c>
      <c r="N3872" s="58">
        <v>0</v>
      </c>
      <c r="O3872" s="58">
        <v>0</v>
      </c>
      <c r="P3872" s="53">
        <v>0</v>
      </c>
      <c r="Q3872" s="65">
        <v>8007.83</v>
      </c>
      <c r="R3872" s="65">
        <v>0</v>
      </c>
      <c r="S3872" s="65">
        <v>0</v>
      </c>
      <c r="T3872" s="65">
        <v>0</v>
      </c>
      <c r="U3872" s="58">
        <v>0</v>
      </c>
      <c r="V3872" s="65">
        <v>0</v>
      </c>
      <c r="W3872" s="65">
        <v>0</v>
      </c>
      <c r="X3872" s="65">
        <v>0</v>
      </c>
      <c r="Y3872" s="65">
        <v>0</v>
      </c>
      <c r="Z3872" s="51">
        <v>8007.83</v>
      </c>
      <c r="AA3872" s="51">
        <v>0</v>
      </c>
      <c r="AB3872" s="102">
        <v>0</v>
      </c>
      <c r="AC3872" s="81">
        <f t="shared" si="184"/>
        <v>331.76801605967529</v>
      </c>
      <c r="AD3872" s="82">
        <f t="shared" si="185"/>
        <v>32.557142857142857</v>
      </c>
      <c r="AE3872" s="218">
        <v>0</v>
      </c>
      <c r="AF3872">
        <v>0</v>
      </c>
      <c r="AH3872" t="str">
        <f t="shared" si="183"/>
        <v>Mahua BMC</v>
      </c>
      <c r="AJ3872" s="72">
        <v>0</v>
      </c>
      <c r="AK3872" s="72"/>
      <c r="AL3872" s="72"/>
      <c r="AM3872" s="72"/>
    </row>
    <row r="3873" spans="1:39" x14ac:dyDescent="0.25">
      <c r="A3873" s="37" t="s">
        <v>62</v>
      </c>
      <c r="B3873" s="66" t="s">
        <v>1676</v>
      </c>
      <c r="C3873" s="4">
        <v>1061</v>
      </c>
      <c r="D3873" s="41" t="s">
        <v>1388</v>
      </c>
      <c r="E3873" s="41">
        <v>10610045</v>
      </c>
      <c r="F3873" s="85" t="s">
        <v>1459</v>
      </c>
      <c r="G3873" s="39" t="s">
        <v>1610</v>
      </c>
      <c r="H3873" s="52" t="s">
        <v>98</v>
      </c>
      <c r="I3873" s="52">
        <v>174.6</v>
      </c>
      <c r="J3873" s="49">
        <v>6654.82</v>
      </c>
      <c r="K3873" s="58">
        <v>0</v>
      </c>
      <c r="L3873" s="58">
        <v>0</v>
      </c>
      <c r="M3873" s="58">
        <v>0</v>
      </c>
      <c r="N3873" s="58">
        <v>0</v>
      </c>
      <c r="O3873" s="58">
        <v>0</v>
      </c>
      <c r="P3873" s="53">
        <v>0</v>
      </c>
      <c r="Q3873" s="65">
        <v>6654.82</v>
      </c>
      <c r="R3873" s="65">
        <v>0</v>
      </c>
      <c r="S3873" s="65">
        <v>0</v>
      </c>
      <c r="T3873" s="65">
        <v>0</v>
      </c>
      <c r="U3873" s="58">
        <v>0</v>
      </c>
      <c r="V3873" s="65">
        <v>0</v>
      </c>
      <c r="W3873" s="65">
        <v>0</v>
      </c>
      <c r="X3873" s="65">
        <v>0</v>
      </c>
      <c r="Y3873" s="65">
        <v>0</v>
      </c>
      <c r="Z3873" s="51">
        <v>6654.82</v>
      </c>
      <c r="AA3873" s="51">
        <v>0</v>
      </c>
      <c r="AB3873" s="102">
        <v>0</v>
      </c>
      <c r="AC3873" s="81">
        <f t="shared" si="184"/>
        <v>400.5088691867125</v>
      </c>
      <c r="AD3873" s="82">
        <f t="shared" si="185"/>
        <v>24.942857142857143</v>
      </c>
      <c r="AE3873" s="218">
        <v>0</v>
      </c>
      <c r="AF3873">
        <v>0</v>
      </c>
      <c r="AH3873" t="str">
        <f t="shared" si="183"/>
        <v>Mahua BMC</v>
      </c>
      <c r="AJ3873" s="72">
        <v>0</v>
      </c>
      <c r="AK3873" s="72"/>
      <c r="AL3873" s="72"/>
      <c r="AM3873" s="72"/>
    </row>
    <row r="3874" spans="1:39" x14ac:dyDescent="0.25">
      <c r="A3874" s="37" t="s">
        <v>62</v>
      </c>
      <c r="B3874" s="66" t="s">
        <v>1676</v>
      </c>
      <c r="C3874" s="4">
        <v>1061</v>
      </c>
      <c r="D3874" s="41" t="s">
        <v>1388</v>
      </c>
      <c r="E3874" s="41">
        <v>10610050</v>
      </c>
      <c r="F3874" s="85" t="s">
        <v>1474</v>
      </c>
      <c r="G3874" s="39" t="s">
        <v>1610</v>
      </c>
      <c r="H3874" s="52" t="s">
        <v>98</v>
      </c>
      <c r="I3874" s="52">
        <v>468.4</v>
      </c>
      <c r="J3874" s="49">
        <v>19015.010000000002</v>
      </c>
      <c r="K3874" s="58">
        <v>0</v>
      </c>
      <c r="L3874" s="58">
        <v>0</v>
      </c>
      <c r="M3874" s="58">
        <v>0</v>
      </c>
      <c r="N3874" s="58">
        <v>0</v>
      </c>
      <c r="O3874" s="58">
        <v>0</v>
      </c>
      <c r="P3874" s="53">
        <v>0</v>
      </c>
      <c r="Q3874" s="65">
        <v>19015.010000000002</v>
      </c>
      <c r="R3874" s="65">
        <v>0</v>
      </c>
      <c r="S3874" s="65">
        <v>0</v>
      </c>
      <c r="T3874" s="65">
        <v>0</v>
      </c>
      <c r="U3874" s="58">
        <v>0</v>
      </c>
      <c r="V3874" s="65">
        <v>0</v>
      </c>
      <c r="W3874" s="65">
        <v>0</v>
      </c>
      <c r="X3874" s="65">
        <v>0</v>
      </c>
      <c r="Y3874" s="65">
        <v>0</v>
      </c>
      <c r="Z3874" s="51">
        <v>19015.010000000002</v>
      </c>
      <c r="AA3874" s="51">
        <v>0</v>
      </c>
      <c r="AB3874" s="102">
        <v>0</v>
      </c>
      <c r="AC3874" s="81">
        <f t="shared" si="184"/>
        <v>188.03912536293771</v>
      </c>
      <c r="AD3874" s="82">
        <f t="shared" si="185"/>
        <v>66.914285714285711</v>
      </c>
      <c r="AE3874" s="218">
        <v>0</v>
      </c>
      <c r="AF3874">
        <v>0</v>
      </c>
      <c r="AH3874" t="str">
        <f t="shared" si="183"/>
        <v>Mahua BMC</v>
      </c>
      <c r="AJ3874" s="72">
        <v>0</v>
      </c>
      <c r="AK3874" s="72"/>
      <c r="AL3874" s="72"/>
      <c r="AM3874" s="72"/>
    </row>
    <row r="3875" spans="1:39" x14ac:dyDescent="0.25">
      <c r="A3875" s="37" t="s">
        <v>62</v>
      </c>
      <c r="B3875" s="66" t="s">
        <v>1676</v>
      </c>
      <c r="C3875" s="4">
        <v>1061</v>
      </c>
      <c r="D3875" s="41" t="s">
        <v>1388</v>
      </c>
      <c r="E3875" s="41">
        <v>10610051</v>
      </c>
      <c r="F3875" s="85" t="s">
        <v>1475</v>
      </c>
      <c r="G3875" s="39" t="s">
        <v>1610</v>
      </c>
      <c r="H3875" s="52" t="s">
        <v>98</v>
      </c>
      <c r="I3875" s="52">
        <v>310.5</v>
      </c>
      <c r="J3875" s="49">
        <v>11278.76</v>
      </c>
      <c r="K3875" s="58">
        <v>0</v>
      </c>
      <c r="L3875" s="58">
        <v>0</v>
      </c>
      <c r="M3875" s="58">
        <v>0</v>
      </c>
      <c r="N3875" s="58">
        <v>0</v>
      </c>
      <c r="O3875" s="58">
        <v>0</v>
      </c>
      <c r="P3875" s="53">
        <v>0</v>
      </c>
      <c r="Q3875" s="65">
        <v>11278.76</v>
      </c>
      <c r="R3875" s="65">
        <v>0</v>
      </c>
      <c r="S3875" s="65">
        <v>0</v>
      </c>
      <c r="T3875" s="65">
        <v>0</v>
      </c>
      <c r="U3875" s="58">
        <v>0</v>
      </c>
      <c r="V3875" s="65">
        <v>0</v>
      </c>
      <c r="W3875" s="65">
        <v>0</v>
      </c>
      <c r="X3875" s="65">
        <v>0</v>
      </c>
      <c r="Y3875" s="65">
        <v>0</v>
      </c>
      <c r="Z3875" s="51">
        <v>11278.76</v>
      </c>
      <c r="AA3875" s="51">
        <v>0</v>
      </c>
      <c r="AB3875" s="102">
        <v>0</v>
      </c>
      <c r="AC3875" s="81">
        <f t="shared" si="184"/>
        <v>282.96792399355877</v>
      </c>
      <c r="AD3875" s="82">
        <f t="shared" si="185"/>
        <v>44.357142857142854</v>
      </c>
      <c r="AE3875" s="218">
        <v>0</v>
      </c>
      <c r="AF3875">
        <v>0</v>
      </c>
      <c r="AH3875" t="str">
        <f t="shared" si="183"/>
        <v>Mahua BMC</v>
      </c>
      <c r="AJ3875" s="72">
        <v>0</v>
      </c>
      <c r="AK3875" s="72"/>
      <c r="AL3875" s="72"/>
      <c r="AM3875" s="72"/>
    </row>
    <row r="3876" spans="1:39" x14ac:dyDescent="0.25">
      <c r="A3876" s="37" t="s">
        <v>62</v>
      </c>
      <c r="B3876" s="66" t="s">
        <v>1676</v>
      </c>
      <c r="C3876" s="4">
        <v>1061</v>
      </c>
      <c r="D3876" s="41" t="s">
        <v>1388</v>
      </c>
      <c r="E3876" s="41">
        <v>10610052</v>
      </c>
      <c r="F3876" s="85" t="s">
        <v>1478</v>
      </c>
      <c r="G3876" s="39" t="s">
        <v>1610</v>
      </c>
      <c r="H3876" s="52" t="s">
        <v>98</v>
      </c>
      <c r="I3876" s="52">
        <v>648.00000000000011</v>
      </c>
      <c r="J3876" s="49">
        <v>25495.32</v>
      </c>
      <c r="K3876" s="58">
        <v>0</v>
      </c>
      <c r="L3876" s="58">
        <v>0</v>
      </c>
      <c r="M3876" s="58">
        <v>0</v>
      </c>
      <c r="N3876" s="58">
        <v>0</v>
      </c>
      <c r="O3876" s="58">
        <v>0</v>
      </c>
      <c r="P3876" s="53">
        <v>0</v>
      </c>
      <c r="Q3876" s="65">
        <v>25495.32</v>
      </c>
      <c r="R3876" s="65">
        <v>0</v>
      </c>
      <c r="S3876" s="65">
        <v>0</v>
      </c>
      <c r="T3876" s="65">
        <v>0</v>
      </c>
      <c r="U3876" s="58">
        <v>0</v>
      </c>
      <c r="V3876" s="65">
        <v>0</v>
      </c>
      <c r="W3876" s="65">
        <v>0</v>
      </c>
      <c r="X3876" s="65">
        <v>0</v>
      </c>
      <c r="Y3876" s="65">
        <v>0</v>
      </c>
      <c r="Z3876" s="51">
        <v>25495.32</v>
      </c>
      <c r="AA3876" s="51">
        <v>0</v>
      </c>
      <c r="AB3876" s="102">
        <v>0</v>
      </c>
      <c r="AC3876" s="81">
        <f t="shared" si="184"/>
        <v>40.918414814814746</v>
      </c>
      <c r="AD3876" s="82">
        <f t="shared" si="185"/>
        <v>92.571428571428584</v>
      </c>
      <c r="AE3876" s="218">
        <v>0</v>
      </c>
      <c r="AF3876">
        <v>0</v>
      </c>
      <c r="AH3876" t="str">
        <f t="shared" si="183"/>
        <v>Mahua BMC</v>
      </c>
      <c r="AJ3876" s="72">
        <v>0</v>
      </c>
      <c r="AK3876" s="72"/>
      <c r="AL3876" s="72"/>
      <c r="AM3876" s="72"/>
    </row>
    <row r="3877" spans="1:39" x14ac:dyDescent="0.25">
      <c r="A3877" s="37" t="s">
        <v>62</v>
      </c>
      <c r="B3877" s="66" t="s">
        <v>1676</v>
      </c>
      <c r="C3877" s="4">
        <v>1061</v>
      </c>
      <c r="D3877" s="41" t="s">
        <v>1388</v>
      </c>
      <c r="E3877" s="41">
        <v>10610054</v>
      </c>
      <c r="F3877" s="85" t="s">
        <v>1556</v>
      </c>
      <c r="G3877" s="39" t="s">
        <v>92</v>
      </c>
      <c r="H3877" s="52" t="s">
        <v>93</v>
      </c>
      <c r="I3877" s="52">
        <v>580.29999999999995</v>
      </c>
      <c r="J3877" s="49">
        <v>22330.46</v>
      </c>
      <c r="K3877" s="58">
        <v>617.19999999999993</v>
      </c>
      <c r="L3877" s="58">
        <v>23072.98</v>
      </c>
      <c r="M3877" s="58">
        <v>0</v>
      </c>
      <c r="N3877" s="58">
        <v>0</v>
      </c>
      <c r="O3877" s="58">
        <v>617.19999999999993</v>
      </c>
      <c r="P3877" s="53">
        <v>23072.98</v>
      </c>
      <c r="Q3877" s="65">
        <v>22330.46</v>
      </c>
      <c r="R3877" s="65">
        <v>0</v>
      </c>
      <c r="S3877" s="65">
        <v>0</v>
      </c>
      <c r="T3877" s="65">
        <v>742.52000000000044</v>
      </c>
      <c r="U3877" s="58">
        <v>0</v>
      </c>
      <c r="V3877" s="65">
        <v>0</v>
      </c>
      <c r="W3877" s="65">
        <v>0</v>
      </c>
      <c r="X3877" s="65">
        <v>22330</v>
      </c>
      <c r="Y3877" s="65">
        <v>0</v>
      </c>
      <c r="Z3877" s="51">
        <v>0</v>
      </c>
      <c r="AA3877" s="51">
        <v>0</v>
      </c>
      <c r="AB3877" s="102">
        <v>0</v>
      </c>
      <c r="AC3877" s="81">
        <f t="shared" si="184"/>
        <v>92.123248733413803</v>
      </c>
      <c r="AD3877" s="82">
        <f t="shared" si="185"/>
        <v>82.899999999999991</v>
      </c>
      <c r="AE3877" s="218">
        <v>-3.3251442200474171E-2</v>
      </c>
      <c r="AF3877">
        <v>4</v>
      </c>
      <c r="AH3877" t="str">
        <f t="shared" si="183"/>
        <v>Mahua BMC</v>
      </c>
      <c r="AJ3877" s="72">
        <v>0</v>
      </c>
      <c r="AK3877" s="72"/>
      <c r="AL3877" s="72"/>
      <c r="AM3877" s="72"/>
    </row>
    <row r="3878" spans="1:39" x14ac:dyDescent="0.25">
      <c r="A3878" s="37" t="s">
        <v>62</v>
      </c>
      <c r="B3878" s="66" t="s">
        <v>1676</v>
      </c>
      <c r="C3878" s="4">
        <v>1061</v>
      </c>
      <c r="D3878" s="41" t="s">
        <v>1388</v>
      </c>
      <c r="E3878" s="41">
        <v>10610055</v>
      </c>
      <c r="F3878" s="85" t="s">
        <v>1527</v>
      </c>
      <c r="G3878" s="39" t="s">
        <v>92</v>
      </c>
      <c r="H3878" s="52" t="s">
        <v>93</v>
      </c>
      <c r="I3878" s="52">
        <v>248.39999999999995</v>
      </c>
      <c r="J3878" s="49">
        <v>12380.439999999999</v>
      </c>
      <c r="K3878" s="58">
        <v>242.7</v>
      </c>
      <c r="L3878" s="58">
        <v>11370.25</v>
      </c>
      <c r="M3878" s="58">
        <v>15.6</v>
      </c>
      <c r="N3878" s="58">
        <v>962.31</v>
      </c>
      <c r="O3878" s="58">
        <v>258.3</v>
      </c>
      <c r="P3878" s="53">
        <v>12332.56</v>
      </c>
      <c r="Q3878" s="65">
        <v>12332.56</v>
      </c>
      <c r="R3878" s="65">
        <v>0</v>
      </c>
      <c r="S3878" s="65">
        <v>0</v>
      </c>
      <c r="T3878" s="65">
        <v>0</v>
      </c>
      <c r="U3878" s="58">
        <v>962</v>
      </c>
      <c r="V3878" s="65">
        <v>0</v>
      </c>
      <c r="W3878" s="65">
        <v>0</v>
      </c>
      <c r="X3878" s="65">
        <v>11371</v>
      </c>
      <c r="Y3878" s="65">
        <v>0</v>
      </c>
      <c r="Z3878" s="51">
        <v>0</v>
      </c>
      <c r="AA3878" s="51">
        <v>47</v>
      </c>
      <c r="AB3878" s="102">
        <v>0</v>
      </c>
      <c r="AC3878" s="81">
        <f t="shared" si="184"/>
        <v>450.1615703703705</v>
      </c>
      <c r="AD3878" s="82">
        <f t="shared" si="185"/>
        <v>35.48571428571428</v>
      </c>
      <c r="AE3878" s="218">
        <v>3.8673908197123207E-3</v>
      </c>
      <c r="AF3878">
        <v>12</v>
      </c>
      <c r="AH3878" t="str">
        <f t="shared" si="183"/>
        <v>Mahua BMC</v>
      </c>
      <c r="AJ3878" s="72">
        <v>0</v>
      </c>
      <c r="AK3878" s="72"/>
      <c r="AL3878" s="72"/>
      <c r="AM3878" s="72"/>
    </row>
    <row r="3879" spans="1:39" x14ac:dyDescent="0.25">
      <c r="A3879" s="37" t="s">
        <v>62</v>
      </c>
      <c r="B3879" s="66" t="s">
        <v>1676</v>
      </c>
      <c r="C3879" s="4">
        <v>1061</v>
      </c>
      <c r="D3879" s="41" t="s">
        <v>1388</v>
      </c>
      <c r="E3879" s="41">
        <v>10610056</v>
      </c>
      <c r="F3879" s="85" t="s">
        <v>1528</v>
      </c>
      <c r="G3879" s="39" t="s">
        <v>1610</v>
      </c>
      <c r="H3879" s="52" t="s">
        <v>98</v>
      </c>
      <c r="I3879" s="52">
        <v>620.49999999999989</v>
      </c>
      <c r="J3879" s="49">
        <v>25830.970000000005</v>
      </c>
      <c r="K3879" s="58">
        <v>0</v>
      </c>
      <c r="L3879" s="58">
        <v>0</v>
      </c>
      <c r="M3879" s="58">
        <v>0</v>
      </c>
      <c r="N3879" s="58">
        <v>0</v>
      </c>
      <c r="O3879" s="58">
        <v>0</v>
      </c>
      <c r="P3879" s="53">
        <v>0</v>
      </c>
      <c r="Q3879" s="65">
        <v>25830.970000000005</v>
      </c>
      <c r="R3879" s="65">
        <v>0</v>
      </c>
      <c r="S3879" s="65">
        <v>0</v>
      </c>
      <c r="T3879" s="65">
        <v>0</v>
      </c>
      <c r="U3879" s="58">
        <v>0</v>
      </c>
      <c r="V3879" s="65">
        <v>0</v>
      </c>
      <c r="W3879" s="65">
        <v>0</v>
      </c>
      <c r="X3879" s="65">
        <v>0</v>
      </c>
      <c r="Y3879" s="65">
        <v>0</v>
      </c>
      <c r="Z3879" s="51">
        <v>25830.970000000005</v>
      </c>
      <c r="AA3879" s="51">
        <v>0</v>
      </c>
      <c r="AB3879" s="102">
        <v>0</v>
      </c>
      <c r="AC3879" s="81">
        <f t="shared" si="184"/>
        <v>66.190559709911497</v>
      </c>
      <c r="AD3879" s="82">
        <f t="shared" si="185"/>
        <v>88.642857142857125</v>
      </c>
      <c r="AE3879" s="218">
        <v>0</v>
      </c>
      <c r="AF3879">
        <v>0</v>
      </c>
      <c r="AH3879" t="str">
        <f t="shared" si="183"/>
        <v>Mahua BMC</v>
      </c>
      <c r="AJ3879" s="72">
        <v>0</v>
      </c>
      <c r="AK3879" s="72"/>
      <c r="AL3879" s="72"/>
      <c r="AM3879" s="72"/>
    </row>
    <row r="3880" spans="1:39" x14ac:dyDescent="0.25">
      <c r="A3880" s="37" t="s">
        <v>62</v>
      </c>
      <c r="B3880" s="66" t="s">
        <v>1676</v>
      </c>
      <c r="C3880" s="4">
        <v>1061</v>
      </c>
      <c r="D3880" s="41" t="s">
        <v>1388</v>
      </c>
      <c r="E3880" s="41">
        <v>10610064</v>
      </c>
      <c r="F3880" s="85" t="s">
        <v>1589</v>
      </c>
      <c r="G3880" s="39" t="s">
        <v>1610</v>
      </c>
      <c r="H3880" s="52" t="s">
        <v>98</v>
      </c>
      <c r="I3880" s="52">
        <v>1251.3</v>
      </c>
      <c r="J3880" s="49">
        <v>52306.410000000011</v>
      </c>
      <c r="K3880" s="58">
        <v>0</v>
      </c>
      <c r="L3880" s="58">
        <v>0</v>
      </c>
      <c r="M3880" s="58">
        <v>0</v>
      </c>
      <c r="N3880" s="58">
        <v>0</v>
      </c>
      <c r="O3880" s="58">
        <v>0</v>
      </c>
      <c r="P3880" s="53">
        <v>0</v>
      </c>
      <c r="Q3880" s="65">
        <v>52306.410000000011</v>
      </c>
      <c r="R3880" s="65">
        <v>0</v>
      </c>
      <c r="S3880" s="65">
        <v>0</v>
      </c>
      <c r="T3880" s="65">
        <v>0</v>
      </c>
      <c r="U3880" s="58">
        <v>0</v>
      </c>
      <c r="V3880" s="65">
        <v>0</v>
      </c>
      <c r="W3880" s="65">
        <v>0</v>
      </c>
      <c r="X3880" s="65">
        <v>0</v>
      </c>
      <c r="Y3880" s="65">
        <v>0</v>
      </c>
      <c r="Z3880" s="51">
        <v>52306.410000000011</v>
      </c>
      <c r="AA3880" s="51">
        <v>0</v>
      </c>
      <c r="AB3880" s="102">
        <v>0</v>
      </c>
      <c r="AC3880" s="81">
        <f t="shared" si="184"/>
        <v>0</v>
      </c>
      <c r="AD3880" s="82">
        <f t="shared" si="185"/>
        <v>0</v>
      </c>
      <c r="AE3880" s="218">
        <v>0</v>
      </c>
      <c r="AF3880">
        <v>0</v>
      </c>
      <c r="AH3880" t="str">
        <f t="shared" si="183"/>
        <v>Mahua BMC</v>
      </c>
      <c r="AJ3880" s="72">
        <v>0</v>
      </c>
      <c r="AK3880" s="72"/>
      <c r="AL3880" s="72"/>
      <c r="AM3880" s="72"/>
    </row>
    <row r="3881" spans="1:39" x14ac:dyDescent="0.25">
      <c r="A3881" s="37" t="s">
        <v>62</v>
      </c>
      <c r="B3881" s="66" t="s">
        <v>1676</v>
      </c>
      <c r="C3881" s="4">
        <v>1061</v>
      </c>
      <c r="D3881" s="41" t="s">
        <v>1388</v>
      </c>
      <c r="E3881" s="41">
        <v>10610072</v>
      </c>
      <c r="F3881" s="85" t="s">
        <v>1625</v>
      </c>
      <c r="G3881" s="39" t="s">
        <v>1610</v>
      </c>
      <c r="H3881" s="52" t="s">
        <v>98</v>
      </c>
      <c r="I3881" s="52">
        <v>115.09999999999998</v>
      </c>
      <c r="J3881" s="49">
        <v>4460.57</v>
      </c>
      <c r="K3881" s="58">
        <v>0</v>
      </c>
      <c r="L3881" s="58">
        <v>0</v>
      </c>
      <c r="M3881" s="58">
        <v>0</v>
      </c>
      <c r="N3881" s="58">
        <v>0</v>
      </c>
      <c r="O3881" s="58">
        <v>0</v>
      </c>
      <c r="P3881" s="53">
        <v>0</v>
      </c>
      <c r="Q3881" s="65">
        <v>4460.57</v>
      </c>
      <c r="R3881" s="65">
        <v>0</v>
      </c>
      <c r="S3881" s="65">
        <v>0</v>
      </c>
      <c r="T3881" s="65">
        <v>0</v>
      </c>
      <c r="U3881" s="58">
        <v>0</v>
      </c>
      <c r="V3881" s="65">
        <v>0</v>
      </c>
      <c r="W3881" s="65">
        <v>0</v>
      </c>
      <c r="X3881" s="65">
        <v>0</v>
      </c>
      <c r="Y3881" s="65">
        <v>0</v>
      </c>
      <c r="Z3881" s="51">
        <v>4460.57</v>
      </c>
      <c r="AA3881" s="51">
        <v>0</v>
      </c>
      <c r="AB3881" s="102">
        <v>0</v>
      </c>
      <c r="AC3881" s="81">
        <f t="shared" si="184"/>
        <v>453.34272684622084</v>
      </c>
      <c r="AD3881" s="82">
        <f t="shared" si="185"/>
        <v>16.44285714285714</v>
      </c>
      <c r="AE3881" s="218">
        <v>0</v>
      </c>
      <c r="AF3881">
        <v>0</v>
      </c>
      <c r="AH3881" t="str">
        <f t="shared" si="183"/>
        <v>Mahua BMC</v>
      </c>
      <c r="AJ3881" s="72">
        <v>0</v>
      </c>
      <c r="AK3881" s="72"/>
      <c r="AL3881" s="72"/>
      <c r="AM3881" s="72"/>
    </row>
    <row r="3882" spans="1:39" x14ac:dyDescent="0.25">
      <c r="A3882" s="37" t="s">
        <v>62</v>
      </c>
      <c r="B3882" s="66" t="s">
        <v>1676</v>
      </c>
      <c r="C3882" s="4">
        <v>1061</v>
      </c>
      <c r="D3882" s="41" t="s">
        <v>1388</v>
      </c>
      <c r="E3882" s="41">
        <v>10610073</v>
      </c>
      <c r="F3882" s="85" t="s">
        <v>1626</v>
      </c>
      <c r="G3882" s="39" t="s">
        <v>1610</v>
      </c>
      <c r="H3882" s="52" t="s">
        <v>98</v>
      </c>
      <c r="I3882" s="52">
        <v>412.5</v>
      </c>
      <c r="J3882" s="49">
        <v>17194.86</v>
      </c>
      <c r="K3882" s="58">
        <v>0</v>
      </c>
      <c r="L3882" s="58">
        <v>0</v>
      </c>
      <c r="M3882" s="58">
        <v>0</v>
      </c>
      <c r="N3882" s="58">
        <v>0</v>
      </c>
      <c r="O3882" s="58">
        <v>0</v>
      </c>
      <c r="P3882" s="53">
        <v>0</v>
      </c>
      <c r="Q3882" s="65">
        <v>17194.86</v>
      </c>
      <c r="R3882" s="65">
        <v>0</v>
      </c>
      <c r="S3882" s="65">
        <v>0</v>
      </c>
      <c r="T3882" s="65">
        <v>0</v>
      </c>
      <c r="U3882" s="58">
        <v>0</v>
      </c>
      <c r="V3882" s="65">
        <v>0</v>
      </c>
      <c r="W3882" s="65">
        <v>0</v>
      </c>
      <c r="X3882" s="65">
        <v>0</v>
      </c>
      <c r="Y3882" s="65">
        <v>0</v>
      </c>
      <c r="Z3882" s="51">
        <v>17194.86</v>
      </c>
      <c r="AA3882" s="51">
        <v>0</v>
      </c>
      <c r="AB3882" s="102">
        <v>0</v>
      </c>
      <c r="AC3882" s="81">
        <f t="shared" si="184"/>
        <v>239.68592727272733</v>
      </c>
      <c r="AD3882" s="82">
        <f t="shared" si="185"/>
        <v>58.928571428571431</v>
      </c>
      <c r="AE3882" s="218">
        <v>0</v>
      </c>
      <c r="AF3882">
        <v>0</v>
      </c>
      <c r="AH3882" t="str">
        <f t="shared" si="183"/>
        <v>Mahua BMC</v>
      </c>
      <c r="AJ3882" s="72">
        <v>0</v>
      </c>
      <c r="AK3882" s="72"/>
      <c r="AL3882" s="72"/>
      <c r="AM3882" s="72"/>
    </row>
    <row r="3883" spans="1:39" x14ac:dyDescent="0.25">
      <c r="A3883" s="37" t="s">
        <v>62</v>
      </c>
      <c r="B3883" s="66" t="s">
        <v>1676</v>
      </c>
      <c r="C3883" s="4">
        <v>1061</v>
      </c>
      <c r="D3883" s="41" t="s">
        <v>1388</v>
      </c>
      <c r="E3883" s="41">
        <v>10610074</v>
      </c>
      <c r="F3883" s="85" t="s">
        <v>1627</v>
      </c>
      <c r="G3883" s="39" t="s">
        <v>1610</v>
      </c>
      <c r="H3883" s="52" t="s">
        <v>98</v>
      </c>
      <c r="I3883" s="52">
        <v>1057.0999999999999</v>
      </c>
      <c r="J3883" s="49">
        <v>44291.369999999995</v>
      </c>
      <c r="K3883" s="58">
        <v>0</v>
      </c>
      <c r="L3883" s="58">
        <v>0</v>
      </c>
      <c r="M3883" s="58">
        <v>0</v>
      </c>
      <c r="N3883" s="58">
        <v>0</v>
      </c>
      <c r="O3883" s="58">
        <v>0</v>
      </c>
      <c r="P3883" s="53">
        <v>0</v>
      </c>
      <c r="Q3883" s="65">
        <v>44291.369999999995</v>
      </c>
      <c r="R3883" s="65">
        <v>0</v>
      </c>
      <c r="S3883" s="65">
        <v>0</v>
      </c>
      <c r="T3883" s="65">
        <v>0</v>
      </c>
      <c r="U3883" s="58">
        <v>0</v>
      </c>
      <c r="V3883" s="65">
        <v>0</v>
      </c>
      <c r="W3883" s="65">
        <v>0</v>
      </c>
      <c r="X3883" s="65">
        <v>0</v>
      </c>
      <c r="Y3883" s="65">
        <v>0</v>
      </c>
      <c r="Z3883" s="51">
        <v>44291.369999999995</v>
      </c>
      <c r="AA3883" s="51">
        <v>0</v>
      </c>
      <c r="AB3883" s="102">
        <v>0</v>
      </c>
      <c r="AC3883" s="81">
        <f t="shared" si="184"/>
        <v>0</v>
      </c>
      <c r="AD3883" s="82">
        <f t="shared" si="185"/>
        <v>0</v>
      </c>
      <c r="AE3883" s="218">
        <v>0</v>
      </c>
      <c r="AF3883">
        <v>0</v>
      </c>
      <c r="AH3883" t="str">
        <f t="shared" si="183"/>
        <v>Mahua BMC</v>
      </c>
      <c r="AJ3883" s="72">
        <v>0</v>
      </c>
      <c r="AK3883" s="72"/>
      <c r="AL3883" s="72"/>
      <c r="AM3883" s="72"/>
    </row>
    <row r="3884" spans="1:39" x14ac:dyDescent="0.25">
      <c r="A3884" s="37" t="s">
        <v>62</v>
      </c>
      <c r="B3884" s="66" t="s">
        <v>1676</v>
      </c>
      <c r="C3884" s="4">
        <v>1061</v>
      </c>
      <c r="D3884" s="41" t="s">
        <v>1388</v>
      </c>
      <c r="E3884" s="41">
        <v>10610075</v>
      </c>
      <c r="F3884" s="85" t="s">
        <v>1673</v>
      </c>
      <c r="G3884" s="39" t="s">
        <v>1610</v>
      </c>
      <c r="H3884" s="52" t="s">
        <v>98</v>
      </c>
      <c r="I3884" s="52">
        <v>110.7</v>
      </c>
      <c r="J3884" s="49">
        <v>5263.869999999999</v>
      </c>
      <c r="K3884" s="58">
        <v>0</v>
      </c>
      <c r="L3884" s="58">
        <v>0</v>
      </c>
      <c r="M3884" s="58">
        <v>0</v>
      </c>
      <c r="N3884" s="58">
        <v>0</v>
      </c>
      <c r="O3884" s="58">
        <v>0</v>
      </c>
      <c r="P3884" s="53">
        <v>0</v>
      </c>
      <c r="Q3884" s="65">
        <v>5263.869999999999</v>
      </c>
      <c r="R3884" s="65">
        <v>0</v>
      </c>
      <c r="S3884" s="65">
        <v>0</v>
      </c>
      <c r="T3884" s="65">
        <v>0</v>
      </c>
      <c r="U3884" s="58">
        <v>0</v>
      </c>
      <c r="V3884" s="65">
        <v>0</v>
      </c>
      <c r="W3884" s="65">
        <v>0</v>
      </c>
      <c r="X3884" s="65">
        <v>0</v>
      </c>
      <c r="Y3884" s="65">
        <v>0</v>
      </c>
      <c r="Z3884" s="51">
        <v>5263.869999999999</v>
      </c>
      <c r="AA3884" s="51">
        <v>0</v>
      </c>
      <c r="AB3884" s="102">
        <v>0</v>
      </c>
      <c r="AC3884" s="81">
        <f t="shared" si="184"/>
        <v>560.4333497741643</v>
      </c>
      <c r="AD3884" s="82">
        <f t="shared" si="185"/>
        <v>15.814285714285715</v>
      </c>
      <c r="AE3884" s="218">
        <v>0</v>
      </c>
      <c r="AF3884">
        <v>0</v>
      </c>
      <c r="AH3884" t="str">
        <f t="shared" si="183"/>
        <v>Mahua BMC</v>
      </c>
      <c r="AJ3884" s="72">
        <v>0</v>
      </c>
      <c r="AK3884" s="72"/>
      <c r="AL3884" s="72"/>
      <c r="AM3884" s="72"/>
    </row>
    <row r="3885" spans="1:39" x14ac:dyDescent="0.25">
      <c r="A3885" s="37" t="s">
        <v>62</v>
      </c>
      <c r="B3885" s="66" t="s">
        <v>1676</v>
      </c>
      <c r="C3885" s="4">
        <v>1061</v>
      </c>
      <c r="D3885" s="41" t="s">
        <v>1388</v>
      </c>
      <c r="E3885" s="41">
        <v>10610076</v>
      </c>
      <c r="F3885" s="85" t="s">
        <v>1648</v>
      </c>
      <c r="G3885" s="39" t="s">
        <v>1610</v>
      </c>
      <c r="H3885" s="52" t="s">
        <v>98</v>
      </c>
      <c r="I3885" s="52">
        <v>253.60000000000002</v>
      </c>
      <c r="J3885" s="49">
        <v>10213.51</v>
      </c>
      <c r="K3885" s="58">
        <v>0</v>
      </c>
      <c r="L3885" s="58">
        <v>0</v>
      </c>
      <c r="M3885" s="58">
        <v>0</v>
      </c>
      <c r="N3885" s="58">
        <v>0</v>
      </c>
      <c r="O3885" s="58">
        <v>0</v>
      </c>
      <c r="P3885" s="53">
        <v>0</v>
      </c>
      <c r="Q3885" s="65">
        <v>10213.51</v>
      </c>
      <c r="R3885" s="65">
        <v>0</v>
      </c>
      <c r="S3885" s="65">
        <v>0</v>
      </c>
      <c r="T3885" s="65">
        <v>0</v>
      </c>
      <c r="U3885" s="58">
        <v>0</v>
      </c>
      <c r="V3885" s="65">
        <v>0</v>
      </c>
      <c r="W3885" s="65">
        <v>0</v>
      </c>
      <c r="X3885" s="65">
        <v>0</v>
      </c>
      <c r="Y3885" s="65">
        <v>0</v>
      </c>
      <c r="Z3885" s="51">
        <v>10213.51</v>
      </c>
      <c r="AA3885" s="51">
        <v>0</v>
      </c>
      <c r="AB3885" s="102">
        <v>0</v>
      </c>
      <c r="AC3885" s="81">
        <f t="shared" si="184"/>
        <v>359.56710283911661</v>
      </c>
      <c r="AD3885" s="82">
        <f t="shared" si="185"/>
        <v>36.228571428571435</v>
      </c>
      <c r="AE3885" s="218">
        <v>0</v>
      </c>
      <c r="AF3885">
        <v>0</v>
      </c>
      <c r="AH3885" t="str">
        <f t="shared" si="183"/>
        <v>Mahua BMC</v>
      </c>
      <c r="AJ3885" s="72">
        <v>0</v>
      </c>
      <c r="AK3885" s="72"/>
      <c r="AL3885" s="72"/>
      <c r="AM3885" s="72"/>
    </row>
    <row r="3886" spans="1:39" x14ac:dyDescent="0.25">
      <c r="A3886" s="37" t="s">
        <v>62</v>
      </c>
      <c r="B3886" s="66" t="s">
        <v>1676</v>
      </c>
      <c r="C3886" s="4">
        <v>1061</v>
      </c>
      <c r="D3886" s="41" t="s">
        <v>1388</v>
      </c>
      <c r="E3886" s="41">
        <v>10610077</v>
      </c>
      <c r="F3886" s="85" t="s">
        <v>1649</v>
      </c>
      <c r="G3886" s="39" t="s">
        <v>1610</v>
      </c>
      <c r="H3886" s="52" t="s">
        <v>98</v>
      </c>
      <c r="I3886" s="52">
        <v>170.2</v>
      </c>
      <c r="J3886" s="49">
        <v>7406.5399999999991</v>
      </c>
      <c r="K3886" s="58">
        <v>0</v>
      </c>
      <c r="L3886" s="58">
        <v>0</v>
      </c>
      <c r="M3886" s="58">
        <v>0</v>
      </c>
      <c r="N3886" s="58">
        <v>0</v>
      </c>
      <c r="O3886" s="58">
        <v>0</v>
      </c>
      <c r="P3886" s="53">
        <v>0</v>
      </c>
      <c r="Q3886" s="65">
        <v>7406.5399999999991</v>
      </c>
      <c r="R3886" s="65">
        <v>0</v>
      </c>
      <c r="S3886" s="65">
        <v>0</v>
      </c>
      <c r="T3886" s="65">
        <v>0</v>
      </c>
      <c r="U3886" s="58">
        <v>0</v>
      </c>
      <c r="V3886" s="65">
        <v>0</v>
      </c>
      <c r="W3886" s="65">
        <v>0</v>
      </c>
      <c r="X3886" s="65">
        <v>0</v>
      </c>
      <c r="Y3886" s="65">
        <v>0</v>
      </c>
      <c r="Z3886" s="51">
        <v>7406.5399999999991</v>
      </c>
      <c r="AA3886" s="51">
        <v>0</v>
      </c>
      <c r="AB3886" s="102">
        <v>0</v>
      </c>
      <c r="AC3886" s="81">
        <f t="shared" si="184"/>
        <v>461.10280752056394</v>
      </c>
      <c r="AD3886" s="82">
        <f t="shared" si="185"/>
        <v>24.314285714285713</v>
      </c>
      <c r="AE3886" s="218">
        <v>0</v>
      </c>
      <c r="AF3886">
        <v>0</v>
      </c>
      <c r="AH3886" t="str">
        <f t="shared" si="183"/>
        <v>Mahua BMC</v>
      </c>
      <c r="AJ3886" s="72">
        <v>0</v>
      </c>
      <c r="AK3886" s="72"/>
      <c r="AL3886" s="72"/>
      <c r="AM3886" s="72"/>
    </row>
    <row r="3887" spans="1:39" x14ac:dyDescent="0.25">
      <c r="A3887" s="37" t="s">
        <v>62</v>
      </c>
      <c r="B3887" s="66" t="s">
        <v>1676</v>
      </c>
      <c r="C3887" s="4">
        <v>1057</v>
      </c>
      <c r="D3887" s="41" t="s">
        <v>1174</v>
      </c>
      <c r="E3887" s="41">
        <v>10630002</v>
      </c>
      <c r="F3887" s="85" t="s">
        <v>1453</v>
      </c>
      <c r="G3887" s="39" t="s">
        <v>92</v>
      </c>
      <c r="H3887" s="52" t="s">
        <v>93</v>
      </c>
      <c r="I3887" s="52">
        <v>142.19999999999999</v>
      </c>
      <c r="J3887" s="49">
        <v>6157.03</v>
      </c>
      <c r="K3887" s="58">
        <v>3</v>
      </c>
      <c r="L3887" s="58">
        <v>165.84</v>
      </c>
      <c r="M3887" s="58">
        <v>130.22</v>
      </c>
      <c r="N3887" s="58">
        <v>6052.43</v>
      </c>
      <c r="O3887" s="58">
        <v>133.22</v>
      </c>
      <c r="P3887" s="53">
        <v>6218.27</v>
      </c>
      <c r="Q3887" s="65">
        <v>6157.03</v>
      </c>
      <c r="R3887" s="65">
        <v>0</v>
      </c>
      <c r="S3887" s="65">
        <v>41.56</v>
      </c>
      <c r="T3887" s="65">
        <v>61.240000000000691</v>
      </c>
      <c r="U3887" s="58">
        <v>0</v>
      </c>
      <c r="V3887" s="65">
        <v>0</v>
      </c>
      <c r="W3887" s="65">
        <v>0</v>
      </c>
      <c r="X3887" s="65">
        <v>102</v>
      </c>
      <c r="Y3887" s="65">
        <v>6013</v>
      </c>
      <c r="Z3887" s="51">
        <v>0</v>
      </c>
      <c r="AA3887" s="51">
        <v>0</v>
      </c>
      <c r="AB3887" s="102">
        <v>0</v>
      </c>
      <c r="AC3887" s="81">
        <f t="shared" si="184"/>
        <v>483.03675583684947</v>
      </c>
      <c r="AD3887" s="82">
        <f t="shared" si="185"/>
        <v>20.314285714285713</v>
      </c>
      <c r="AE3887" s="218">
        <v>-9.9463540050967261E-3</v>
      </c>
      <c r="AF3887">
        <v>12</v>
      </c>
      <c r="AH3887" t="str">
        <f t="shared" si="183"/>
        <v>Warisnagar</v>
      </c>
      <c r="AJ3887" s="72">
        <v>0</v>
      </c>
      <c r="AK3887" s="72"/>
      <c r="AL3887" s="72"/>
      <c r="AM3887" s="72"/>
    </row>
    <row r="3888" spans="1:39" x14ac:dyDescent="0.25">
      <c r="A3888" s="37" t="s">
        <v>62</v>
      </c>
      <c r="B3888" s="66" t="s">
        <v>1676</v>
      </c>
      <c r="C3888" s="4">
        <v>1063</v>
      </c>
      <c r="D3888" s="41" t="s">
        <v>1565</v>
      </c>
      <c r="E3888" s="41">
        <v>10630004</v>
      </c>
      <c r="F3888" s="85" t="s">
        <v>1380</v>
      </c>
      <c r="G3888" s="39" t="s">
        <v>92</v>
      </c>
      <c r="H3888" s="52" t="s">
        <v>93</v>
      </c>
      <c r="I3888" s="52">
        <v>326.5</v>
      </c>
      <c r="J3888" s="49">
        <v>13344.1</v>
      </c>
      <c r="K3888" s="58">
        <v>286.29999999999995</v>
      </c>
      <c r="L3888" s="58">
        <v>14225.199999999997</v>
      </c>
      <c r="M3888" s="58">
        <v>0.2</v>
      </c>
      <c r="N3888" s="58">
        <v>10.14</v>
      </c>
      <c r="O3888" s="58">
        <v>286.49999999999994</v>
      </c>
      <c r="P3888" s="53">
        <v>14235.339999999997</v>
      </c>
      <c r="Q3888" s="65">
        <v>13344.1</v>
      </c>
      <c r="R3888" s="65">
        <v>0</v>
      </c>
      <c r="S3888" s="65">
        <v>10.14</v>
      </c>
      <c r="T3888" s="65">
        <v>891.23999999999614</v>
      </c>
      <c r="U3888" s="58">
        <v>0</v>
      </c>
      <c r="V3888" s="65">
        <v>0</v>
      </c>
      <c r="W3888" s="65">
        <v>0</v>
      </c>
      <c r="X3888" s="65">
        <v>13334</v>
      </c>
      <c r="Y3888" s="65">
        <v>0</v>
      </c>
      <c r="Z3888" s="51">
        <v>0</v>
      </c>
      <c r="AA3888" s="51">
        <v>0</v>
      </c>
      <c r="AB3888" s="102">
        <v>0</v>
      </c>
      <c r="AC3888" s="81">
        <f t="shared" si="184"/>
        <v>305.29992955589586</v>
      </c>
      <c r="AD3888" s="82">
        <f t="shared" si="185"/>
        <v>46.642857142857146</v>
      </c>
      <c r="AE3888" s="218">
        <v>-6.6789067827728824E-2</v>
      </c>
      <c r="AF3888">
        <v>7</v>
      </c>
      <c r="AH3888" t="str">
        <f t="shared" si="183"/>
        <v>Rosera</v>
      </c>
      <c r="AJ3888" s="72">
        <v>0</v>
      </c>
      <c r="AK3888" s="72"/>
      <c r="AL3888" s="72"/>
      <c r="AM3888" s="72"/>
    </row>
    <row r="3889" spans="1:39" x14ac:dyDescent="0.25">
      <c r="A3889" s="37" t="s">
        <v>62</v>
      </c>
      <c r="B3889" s="66" t="s">
        <v>1676</v>
      </c>
      <c r="C3889" s="4">
        <v>1063</v>
      </c>
      <c r="D3889" s="41" t="s">
        <v>1565</v>
      </c>
      <c r="E3889" s="41">
        <v>10630009</v>
      </c>
      <c r="F3889" s="85" t="s">
        <v>1356</v>
      </c>
      <c r="G3889" s="39" t="s">
        <v>92</v>
      </c>
      <c r="H3889" s="52" t="s">
        <v>93</v>
      </c>
      <c r="I3889" s="52">
        <v>2041.2999999999997</v>
      </c>
      <c r="J3889" s="49">
        <v>78695.829999999973</v>
      </c>
      <c r="K3889" s="58">
        <v>1546.1</v>
      </c>
      <c r="L3889" s="58">
        <v>78370.889999999985</v>
      </c>
      <c r="M3889" s="58">
        <v>5</v>
      </c>
      <c r="N3889" s="58">
        <v>251.09000000000003</v>
      </c>
      <c r="O3889" s="58">
        <v>1551.1</v>
      </c>
      <c r="P3889" s="53">
        <v>78621.979999999981</v>
      </c>
      <c r="Q3889" s="65">
        <v>78621.979999999981</v>
      </c>
      <c r="R3889" s="65">
        <v>0</v>
      </c>
      <c r="S3889" s="65">
        <v>251.09000000000003</v>
      </c>
      <c r="T3889" s="65">
        <v>0</v>
      </c>
      <c r="U3889" s="58">
        <v>0</v>
      </c>
      <c r="V3889" s="65">
        <v>0</v>
      </c>
      <c r="W3889" s="65">
        <v>0</v>
      </c>
      <c r="X3889" s="65">
        <v>78371</v>
      </c>
      <c r="Y3889" s="65">
        <v>0</v>
      </c>
      <c r="Z3889" s="51">
        <v>0</v>
      </c>
      <c r="AA3889" s="51">
        <v>74</v>
      </c>
      <c r="AB3889" s="102">
        <v>0</v>
      </c>
      <c r="AC3889" s="81">
        <f t="shared" si="184"/>
        <v>0</v>
      </c>
      <c r="AD3889" s="82">
        <f t="shared" si="185"/>
        <v>0</v>
      </c>
      <c r="AE3889" s="218">
        <v>9.3842329383896572E-4</v>
      </c>
      <c r="AF3889">
        <v>5</v>
      </c>
      <c r="AH3889" t="str">
        <f t="shared" si="183"/>
        <v>Rosera</v>
      </c>
      <c r="AJ3889" s="72">
        <v>0</v>
      </c>
      <c r="AK3889" s="72"/>
      <c r="AL3889" s="72"/>
      <c r="AM3889" s="72"/>
    </row>
    <row r="3890" spans="1:39" x14ac:dyDescent="0.25">
      <c r="A3890" s="37" t="s">
        <v>62</v>
      </c>
      <c r="B3890" s="66" t="s">
        <v>1676</v>
      </c>
      <c r="C3890" s="4">
        <v>1063</v>
      </c>
      <c r="D3890" s="41" t="s">
        <v>1565</v>
      </c>
      <c r="E3890" s="41">
        <v>10630010</v>
      </c>
      <c r="F3890" s="85" t="s">
        <v>1357</v>
      </c>
      <c r="G3890" s="39" t="s">
        <v>1610</v>
      </c>
      <c r="H3890" s="52" t="s">
        <v>98</v>
      </c>
      <c r="I3890" s="52">
        <v>794.00000000000023</v>
      </c>
      <c r="J3890" s="49">
        <v>33817.120000000003</v>
      </c>
      <c r="K3890" s="58">
        <v>0</v>
      </c>
      <c r="L3890" s="58">
        <v>0</v>
      </c>
      <c r="M3890" s="58">
        <v>0</v>
      </c>
      <c r="N3890" s="58">
        <v>0</v>
      </c>
      <c r="O3890" s="58">
        <v>0</v>
      </c>
      <c r="P3890" s="53">
        <v>0</v>
      </c>
      <c r="Q3890" s="65">
        <v>33817.120000000003</v>
      </c>
      <c r="R3890" s="65">
        <v>0</v>
      </c>
      <c r="S3890" s="65">
        <v>0</v>
      </c>
      <c r="T3890" s="65">
        <v>0</v>
      </c>
      <c r="U3890" s="58">
        <v>0</v>
      </c>
      <c r="V3890" s="65">
        <v>0</v>
      </c>
      <c r="W3890" s="65">
        <v>0</v>
      </c>
      <c r="X3890" s="65">
        <v>0</v>
      </c>
      <c r="Y3890" s="65">
        <v>0</v>
      </c>
      <c r="Z3890" s="51">
        <v>33817.120000000003</v>
      </c>
      <c r="AA3890" s="51">
        <v>0</v>
      </c>
      <c r="AB3890" s="102">
        <v>0</v>
      </c>
      <c r="AC3890" s="81">
        <f t="shared" si="184"/>
        <v>0</v>
      </c>
      <c r="AD3890" s="82">
        <f t="shared" si="185"/>
        <v>0</v>
      </c>
      <c r="AE3890" s="218">
        <v>0</v>
      </c>
      <c r="AF3890">
        <v>0</v>
      </c>
      <c r="AH3890" t="str">
        <f t="shared" si="183"/>
        <v>Rosera</v>
      </c>
      <c r="AJ3890" s="72">
        <v>0</v>
      </c>
      <c r="AK3890" s="72"/>
      <c r="AL3890" s="72"/>
      <c r="AM3890" s="72"/>
    </row>
    <row r="3891" spans="1:39" x14ac:dyDescent="0.25">
      <c r="A3891" s="37" t="s">
        <v>62</v>
      </c>
      <c r="B3891" s="66" t="s">
        <v>1676</v>
      </c>
      <c r="C3891" s="4">
        <v>1063</v>
      </c>
      <c r="D3891" s="41" t="s">
        <v>1565</v>
      </c>
      <c r="E3891" s="41">
        <v>10630011</v>
      </c>
      <c r="F3891" s="85" t="s">
        <v>1358</v>
      </c>
      <c r="G3891" s="39" t="s">
        <v>1610</v>
      </c>
      <c r="H3891" s="52" t="s">
        <v>98</v>
      </c>
      <c r="I3891" s="52">
        <v>141</v>
      </c>
      <c r="J3891" s="49">
        <v>4475.46</v>
      </c>
      <c r="K3891" s="58">
        <v>0</v>
      </c>
      <c r="L3891" s="58">
        <v>0</v>
      </c>
      <c r="M3891" s="58">
        <v>0</v>
      </c>
      <c r="N3891" s="58">
        <v>0</v>
      </c>
      <c r="O3891" s="58">
        <v>0</v>
      </c>
      <c r="P3891" s="53">
        <v>0</v>
      </c>
      <c r="Q3891" s="65">
        <v>4475.46</v>
      </c>
      <c r="R3891" s="65">
        <v>0</v>
      </c>
      <c r="S3891" s="65">
        <v>0</v>
      </c>
      <c r="T3891" s="65">
        <v>0</v>
      </c>
      <c r="U3891" s="58">
        <v>0</v>
      </c>
      <c r="V3891" s="65">
        <v>0</v>
      </c>
      <c r="W3891" s="65">
        <v>0</v>
      </c>
      <c r="X3891" s="65">
        <v>0</v>
      </c>
      <c r="Y3891" s="65">
        <v>0</v>
      </c>
      <c r="Z3891" s="51">
        <v>4475.46</v>
      </c>
      <c r="AA3891" s="51">
        <v>0</v>
      </c>
      <c r="AB3891" s="102">
        <v>0</v>
      </c>
      <c r="AC3891" s="81">
        <f t="shared" si="184"/>
        <v>354.86271489361701</v>
      </c>
      <c r="AD3891" s="82">
        <f t="shared" si="185"/>
        <v>20.142857142857142</v>
      </c>
      <c r="AE3891" s="218">
        <v>0</v>
      </c>
      <c r="AF3891">
        <v>0</v>
      </c>
      <c r="AH3891" t="str">
        <f t="shared" si="183"/>
        <v>Rosera</v>
      </c>
      <c r="AJ3891" s="72">
        <v>0</v>
      </c>
      <c r="AK3891" s="72"/>
      <c r="AL3891" s="72"/>
      <c r="AM3891" s="72"/>
    </row>
    <row r="3892" spans="1:39" x14ac:dyDescent="0.25">
      <c r="A3892" s="37" t="s">
        <v>62</v>
      </c>
      <c r="B3892" s="66" t="s">
        <v>1676</v>
      </c>
      <c r="C3892" s="4">
        <v>1063</v>
      </c>
      <c r="D3892" s="41" t="s">
        <v>1565</v>
      </c>
      <c r="E3892" s="41">
        <v>10630014</v>
      </c>
      <c r="F3892" s="85" t="s">
        <v>1461</v>
      </c>
      <c r="G3892" s="39" t="s">
        <v>92</v>
      </c>
      <c r="H3892" s="52" t="s">
        <v>93</v>
      </c>
      <c r="I3892" s="52">
        <v>506.5</v>
      </c>
      <c r="J3892" s="49">
        <v>19624.86</v>
      </c>
      <c r="K3892" s="58">
        <v>492.90000000000003</v>
      </c>
      <c r="L3892" s="58">
        <v>19623.84</v>
      </c>
      <c r="M3892" s="58">
        <v>0</v>
      </c>
      <c r="N3892" s="58">
        <v>0</v>
      </c>
      <c r="O3892" s="58">
        <v>492.90000000000003</v>
      </c>
      <c r="P3892" s="53">
        <v>19623.84</v>
      </c>
      <c r="Q3892" s="65">
        <v>19623.84</v>
      </c>
      <c r="R3892" s="65">
        <v>0</v>
      </c>
      <c r="S3892" s="65">
        <v>0</v>
      </c>
      <c r="T3892" s="65">
        <v>0</v>
      </c>
      <c r="U3892" s="58">
        <v>0</v>
      </c>
      <c r="V3892" s="65">
        <v>0</v>
      </c>
      <c r="W3892" s="65">
        <v>0</v>
      </c>
      <c r="X3892" s="65">
        <v>19623</v>
      </c>
      <c r="Y3892" s="65">
        <v>0</v>
      </c>
      <c r="Z3892" s="51">
        <v>0</v>
      </c>
      <c r="AA3892" s="51">
        <v>2</v>
      </c>
      <c r="AB3892" s="102">
        <v>0</v>
      </c>
      <c r="AC3892" s="81">
        <f t="shared" si="184"/>
        <v>149.94710404738402</v>
      </c>
      <c r="AD3892" s="82">
        <f t="shared" si="185"/>
        <v>72.357142857142861</v>
      </c>
      <c r="AE3892" s="218">
        <v>5.1974893069323118E-5</v>
      </c>
      <c r="AF3892">
        <v>9</v>
      </c>
      <c r="AH3892" t="str">
        <f t="shared" si="183"/>
        <v>Rosera</v>
      </c>
      <c r="AJ3892" s="72">
        <v>0</v>
      </c>
      <c r="AK3892" s="72"/>
      <c r="AL3892" s="72"/>
      <c r="AM3892" s="72"/>
    </row>
    <row r="3893" spans="1:39" x14ac:dyDescent="0.25">
      <c r="A3893" s="37" t="s">
        <v>62</v>
      </c>
      <c r="B3893" s="66" t="s">
        <v>1676</v>
      </c>
      <c r="C3893" s="4">
        <v>1057</v>
      </c>
      <c r="D3893" s="41" t="s">
        <v>1174</v>
      </c>
      <c r="E3893" s="41">
        <v>10630016</v>
      </c>
      <c r="F3893" s="85" t="s">
        <v>1404</v>
      </c>
      <c r="G3893" s="39" t="s">
        <v>1610</v>
      </c>
      <c r="H3893" s="52" t="s">
        <v>98</v>
      </c>
      <c r="I3893" s="52">
        <v>339.2</v>
      </c>
      <c r="J3893" s="49">
        <v>13359.129999999997</v>
      </c>
      <c r="K3893" s="58">
        <v>0</v>
      </c>
      <c r="L3893" s="58">
        <v>0</v>
      </c>
      <c r="M3893" s="58">
        <v>0</v>
      </c>
      <c r="N3893" s="58">
        <v>0</v>
      </c>
      <c r="O3893" s="58">
        <v>0</v>
      </c>
      <c r="P3893" s="53">
        <v>0</v>
      </c>
      <c r="Q3893" s="65">
        <v>13359.129999999997</v>
      </c>
      <c r="R3893" s="65">
        <v>0</v>
      </c>
      <c r="S3893" s="65">
        <v>0</v>
      </c>
      <c r="T3893" s="65">
        <v>0</v>
      </c>
      <c r="U3893" s="58">
        <v>0</v>
      </c>
      <c r="V3893" s="65">
        <v>0</v>
      </c>
      <c r="W3893" s="65">
        <v>0</v>
      </c>
      <c r="X3893" s="65">
        <v>0</v>
      </c>
      <c r="Y3893" s="65">
        <v>0</v>
      </c>
      <c r="Z3893" s="51">
        <v>13359.129999999997</v>
      </c>
      <c r="AA3893" s="51">
        <v>0</v>
      </c>
      <c r="AB3893" s="102">
        <v>0</v>
      </c>
      <c r="AC3893" s="81">
        <f t="shared" si="184"/>
        <v>284.19658632075465</v>
      </c>
      <c r="AD3893" s="82">
        <f t="shared" si="185"/>
        <v>48.457142857142856</v>
      </c>
      <c r="AE3893" s="218">
        <v>0</v>
      </c>
      <c r="AF3893">
        <v>0</v>
      </c>
      <c r="AH3893" t="str">
        <f t="shared" ref="AH3893:AH3952" si="186">TEXT(D3893,"0000")</f>
        <v>Warisnagar</v>
      </c>
      <c r="AJ3893" s="72">
        <v>0</v>
      </c>
      <c r="AK3893" s="72"/>
      <c r="AL3893" s="72"/>
      <c r="AM3893" s="72"/>
    </row>
    <row r="3894" spans="1:39" x14ac:dyDescent="0.25">
      <c r="A3894" s="37" t="s">
        <v>62</v>
      </c>
      <c r="B3894" s="66" t="s">
        <v>1676</v>
      </c>
      <c r="C3894" s="4">
        <v>1063</v>
      </c>
      <c r="D3894" s="41" t="s">
        <v>1565</v>
      </c>
      <c r="E3894" s="41">
        <v>10630017</v>
      </c>
      <c r="F3894" s="85" t="s">
        <v>1405</v>
      </c>
      <c r="G3894" s="39" t="s">
        <v>1610</v>
      </c>
      <c r="H3894" s="52" t="s">
        <v>98</v>
      </c>
      <c r="I3894" s="52">
        <v>180.60000000000002</v>
      </c>
      <c r="J3894" s="49">
        <v>7830.02</v>
      </c>
      <c r="K3894" s="58">
        <v>0</v>
      </c>
      <c r="L3894" s="58">
        <v>0</v>
      </c>
      <c r="M3894" s="58">
        <v>0</v>
      </c>
      <c r="N3894" s="58">
        <v>0</v>
      </c>
      <c r="O3894" s="58">
        <v>0</v>
      </c>
      <c r="P3894" s="53">
        <v>0</v>
      </c>
      <c r="Q3894" s="65">
        <v>7830.02</v>
      </c>
      <c r="R3894" s="65">
        <v>0</v>
      </c>
      <c r="S3894" s="65">
        <v>0</v>
      </c>
      <c r="T3894" s="65">
        <v>0</v>
      </c>
      <c r="U3894" s="58">
        <v>0</v>
      </c>
      <c r="V3894" s="65">
        <v>0</v>
      </c>
      <c r="W3894" s="65">
        <v>0</v>
      </c>
      <c r="X3894" s="65">
        <v>0</v>
      </c>
      <c r="Y3894" s="65">
        <v>0</v>
      </c>
      <c r="Z3894" s="51">
        <v>7830.02</v>
      </c>
      <c r="AA3894" s="51">
        <v>0</v>
      </c>
      <c r="AB3894" s="102">
        <v>0</v>
      </c>
      <c r="AC3894" s="81">
        <f t="shared" si="184"/>
        <v>450.37789457364329</v>
      </c>
      <c r="AD3894" s="82">
        <f t="shared" si="185"/>
        <v>25.800000000000004</v>
      </c>
      <c r="AE3894" s="218">
        <v>0</v>
      </c>
      <c r="AF3894">
        <v>0</v>
      </c>
      <c r="AH3894" t="str">
        <f t="shared" si="186"/>
        <v>Rosera</v>
      </c>
      <c r="AJ3894" s="72">
        <v>0</v>
      </c>
      <c r="AK3894" s="72"/>
      <c r="AL3894" s="72"/>
      <c r="AM3894" s="72"/>
    </row>
    <row r="3895" spans="1:39" x14ac:dyDescent="0.25">
      <c r="A3895" s="37" t="s">
        <v>62</v>
      </c>
      <c r="B3895" s="66" t="s">
        <v>1676</v>
      </c>
      <c r="C3895" s="4">
        <v>1063</v>
      </c>
      <c r="D3895" s="41" t="s">
        <v>1565</v>
      </c>
      <c r="E3895" s="41">
        <v>10630018</v>
      </c>
      <c r="F3895" s="85" t="s">
        <v>1471</v>
      </c>
      <c r="G3895" s="39" t="s">
        <v>1610</v>
      </c>
      <c r="H3895" s="52" t="s">
        <v>98</v>
      </c>
      <c r="I3895" s="52">
        <v>875.39999999999986</v>
      </c>
      <c r="J3895" s="49">
        <v>34565.760000000002</v>
      </c>
      <c r="K3895" s="58">
        <v>0</v>
      </c>
      <c r="L3895" s="58">
        <v>0</v>
      </c>
      <c r="M3895" s="58">
        <v>0</v>
      </c>
      <c r="N3895" s="58">
        <v>0</v>
      </c>
      <c r="O3895" s="58">
        <v>0</v>
      </c>
      <c r="P3895" s="53">
        <v>0</v>
      </c>
      <c r="Q3895" s="65">
        <v>34565.760000000002</v>
      </c>
      <c r="R3895" s="65">
        <v>0</v>
      </c>
      <c r="S3895" s="65">
        <v>0</v>
      </c>
      <c r="T3895" s="65">
        <v>0</v>
      </c>
      <c r="U3895" s="58">
        <v>0</v>
      </c>
      <c r="V3895" s="65">
        <v>0</v>
      </c>
      <c r="W3895" s="65">
        <v>0</v>
      </c>
      <c r="X3895" s="65">
        <v>0</v>
      </c>
      <c r="Y3895" s="65">
        <v>0</v>
      </c>
      <c r="Z3895" s="51">
        <v>34565.760000000002</v>
      </c>
      <c r="AA3895" s="51">
        <v>0</v>
      </c>
      <c r="AB3895" s="102">
        <v>0</v>
      </c>
      <c r="AC3895" s="81">
        <f t="shared" si="184"/>
        <v>0</v>
      </c>
      <c r="AD3895" s="82">
        <f t="shared" si="185"/>
        <v>0</v>
      </c>
      <c r="AE3895" s="218">
        <v>0</v>
      </c>
      <c r="AF3895">
        <v>0</v>
      </c>
      <c r="AH3895" t="str">
        <f t="shared" si="186"/>
        <v>Rosera</v>
      </c>
      <c r="AJ3895" s="72">
        <v>0</v>
      </c>
      <c r="AK3895" s="72"/>
      <c r="AL3895" s="72"/>
      <c r="AM3895" s="72"/>
    </row>
    <row r="3896" spans="1:39" x14ac:dyDescent="0.25">
      <c r="A3896" s="37" t="s">
        <v>62</v>
      </c>
      <c r="B3896" s="66" t="s">
        <v>1676</v>
      </c>
      <c r="C3896" s="4">
        <v>1063</v>
      </c>
      <c r="D3896" s="41" t="s">
        <v>1565</v>
      </c>
      <c r="E3896" s="41">
        <v>10630019</v>
      </c>
      <c r="F3896" s="85" t="s">
        <v>1406</v>
      </c>
      <c r="G3896" s="39" t="s">
        <v>1610</v>
      </c>
      <c r="H3896" s="52" t="s">
        <v>98</v>
      </c>
      <c r="I3896" s="52">
        <v>1444.3999999999999</v>
      </c>
      <c r="J3896" s="49">
        <v>55128.52</v>
      </c>
      <c r="K3896" s="58">
        <v>0</v>
      </c>
      <c r="L3896" s="58">
        <v>0</v>
      </c>
      <c r="M3896" s="58">
        <v>0</v>
      </c>
      <c r="N3896" s="58">
        <v>0</v>
      </c>
      <c r="O3896" s="58">
        <v>0</v>
      </c>
      <c r="P3896" s="53">
        <v>0</v>
      </c>
      <c r="Q3896" s="65">
        <v>55128.52</v>
      </c>
      <c r="R3896" s="65">
        <v>0</v>
      </c>
      <c r="S3896" s="65">
        <v>0</v>
      </c>
      <c r="T3896" s="65">
        <v>0</v>
      </c>
      <c r="U3896" s="58">
        <v>0</v>
      </c>
      <c r="V3896" s="65">
        <v>0</v>
      </c>
      <c r="W3896" s="65">
        <v>0</v>
      </c>
      <c r="X3896" s="65">
        <v>0</v>
      </c>
      <c r="Y3896" s="65">
        <v>0</v>
      </c>
      <c r="Z3896" s="51">
        <v>55128.52</v>
      </c>
      <c r="AA3896" s="51">
        <v>0</v>
      </c>
      <c r="AB3896" s="102">
        <v>0</v>
      </c>
      <c r="AC3896" s="81">
        <f t="shared" si="184"/>
        <v>0</v>
      </c>
      <c r="AD3896" s="82">
        <f t="shared" si="185"/>
        <v>0</v>
      </c>
      <c r="AE3896" s="218">
        <v>0</v>
      </c>
      <c r="AF3896">
        <v>0</v>
      </c>
      <c r="AH3896" t="str">
        <f t="shared" si="186"/>
        <v>Rosera</v>
      </c>
      <c r="AJ3896" s="72">
        <v>0</v>
      </c>
      <c r="AK3896" s="72"/>
      <c r="AL3896" s="72"/>
      <c r="AM3896" s="72"/>
    </row>
    <row r="3897" spans="1:39" x14ac:dyDescent="0.25">
      <c r="A3897" s="37" t="s">
        <v>62</v>
      </c>
      <c r="B3897" s="66" t="s">
        <v>1676</v>
      </c>
      <c r="C3897" s="4">
        <v>1063</v>
      </c>
      <c r="D3897" s="41" t="s">
        <v>1565</v>
      </c>
      <c r="E3897" s="41">
        <v>10630022</v>
      </c>
      <c r="F3897" s="85" t="s">
        <v>1544</v>
      </c>
      <c r="G3897" s="39" t="s">
        <v>1610</v>
      </c>
      <c r="H3897" s="52" t="s">
        <v>98</v>
      </c>
      <c r="I3897" s="52">
        <v>280.60000000000002</v>
      </c>
      <c r="J3897" s="49">
        <v>10074.9</v>
      </c>
      <c r="K3897" s="58">
        <v>0</v>
      </c>
      <c r="L3897" s="58">
        <v>0</v>
      </c>
      <c r="M3897" s="58">
        <v>0</v>
      </c>
      <c r="N3897" s="58">
        <v>0</v>
      </c>
      <c r="O3897" s="58">
        <v>0</v>
      </c>
      <c r="P3897" s="53">
        <v>0</v>
      </c>
      <c r="Q3897" s="65">
        <v>10074.9</v>
      </c>
      <c r="R3897" s="65">
        <v>0</v>
      </c>
      <c r="S3897" s="65">
        <v>0</v>
      </c>
      <c r="T3897" s="65">
        <v>0</v>
      </c>
      <c r="U3897" s="58">
        <v>0</v>
      </c>
      <c r="V3897" s="65">
        <v>0</v>
      </c>
      <c r="W3897" s="65">
        <v>0</v>
      </c>
      <c r="X3897" s="65">
        <v>0</v>
      </c>
      <c r="Y3897" s="65">
        <v>0</v>
      </c>
      <c r="Z3897" s="51">
        <v>10074.9</v>
      </c>
      <c r="AA3897" s="51">
        <v>0</v>
      </c>
      <c r="AB3897" s="102">
        <v>0</v>
      </c>
      <c r="AC3897" s="81">
        <f t="shared" si="184"/>
        <v>301.16985459729148</v>
      </c>
      <c r="AD3897" s="82">
        <f t="shared" si="185"/>
        <v>40.085714285714289</v>
      </c>
      <c r="AE3897" s="218">
        <v>0</v>
      </c>
      <c r="AF3897">
        <v>0</v>
      </c>
      <c r="AH3897" t="str">
        <f t="shared" si="186"/>
        <v>Rosera</v>
      </c>
      <c r="AJ3897" s="72">
        <v>0</v>
      </c>
      <c r="AK3897" s="72"/>
      <c r="AL3897" s="72"/>
      <c r="AM3897" s="72"/>
    </row>
    <row r="3898" spans="1:39" x14ac:dyDescent="0.25">
      <c r="A3898" s="37" t="s">
        <v>62</v>
      </c>
      <c r="B3898" s="66" t="s">
        <v>1676</v>
      </c>
      <c r="C3898" s="4">
        <v>1063</v>
      </c>
      <c r="D3898" s="41" t="s">
        <v>1565</v>
      </c>
      <c r="E3898" s="41">
        <v>10630024</v>
      </c>
      <c r="F3898" s="85" t="s">
        <v>1570</v>
      </c>
      <c r="G3898" s="39" t="s">
        <v>1610</v>
      </c>
      <c r="H3898" s="52" t="s">
        <v>93</v>
      </c>
      <c r="I3898" s="52">
        <v>157.80000000000001</v>
      </c>
      <c r="J3898" s="49">
        <v>7520.98</v>
      </c>
      <c r="K3898" s="58">
        <v>148.35</v>
      </c>
      <c r="L3898" s="58">
        <v>7507.7899999999981</v>
      </c>
      <c r="M3898" s="58">
        <v>0</v>
      </c>
      <c r="N3898" s="58">
        <v>0</v>
      </c>
      <c r="O3898" s="58">
        <v>148.35</v>
      </c>
      <c r="P3898" s="53">
        <v>7507.7899999999981</v>
      </c>
      <c r="Q3898" s="65">
        <v>7507.7899999999981</v>
      </c>
      <c r="R3898" s="65">
        <v>0</v>
      </c>
      <c r="S3898" s="65">
        <v>0</v>
      </c>
      <c r="T3898" s="65">
        <v>0</v>
      </c>
      <c r="U3898" s="58">
        <v>0</v>
      </c>
      <c r="V3898" s="65">
        <v>0</v>
      </c>
      <c r="W3898" s="65">
        <v>0</v>
      </c>
      <c r="X3898" s="65">
        <v>7508</v>
      </c>
      <c r="Y3898" s="65">
        <v>0</v>
      </c>
      <c r="Z3898" s="51">
        <v>0</v>
      </c>
      <c r="AA3898" s="51">
        <v>13</v>
      </c>
      <c r="AB3898" s="102">
        <v>0</v>
      </c>
      <c r="AC3898" s="81">
        <f t="shared" ref="AC3898:AC3952" si="187">((IF(AD3898=0,0,100-AD3898))*7*(J3898/I3898))*2%</f>
        <v>516.84098301647657</v>
      </c>
      <c r="AD3898" s="82">
        <f t="shared" ref="AD3898:AD3952" si="188">IF((I3898/7)&gt;100,0,(I3898/7))</f>
        <v>22.542857142857144</v>
      </c>
      <c r="AE3898" s="218">
        <v>1.7537608130857175E-3</v>
      </c>
      <c r="AF3898">
        <v>1</v>
      </c>
      <c r="AH3898" t="str">
        <f t="shared" si="186"/>
        <v>Rosera</v>
      </c>
      <c r="AJ3898" s="72">
        <v>0</v>
      </c>
      <c r="AK3898" s="72"/>
      <c r="AL3898" s="72"/>
      <c r="AM3898" s="72"/>
    </row>
    <row r="3899" spans="1:39" x14ac:dyDescent="0.25">
      <c r="A3899" s="37" t="s">
        <v>62</v>
      </c>
      <c r="B3899" s="66" t="s">
        <v>1676</v>
      </c>
      <c r="C3899" s="4">
        <v>1063</v>
      </c>
      <c r="D3899" s="41" t="s">
        <v>1565</v>
      </c>
      <c r="E3899" s="41">
        <v>10630025</v>
      </c>
      <c r="F3899" s="85" t="s">
        <v>1607</v>
      </c>
      <c r="G3899" s="39" t="s">
        <v>1610</v>
      </c>
      <c r="H3899" s="52" t="s">
        <v>93</v>
      </c>
      <c r="I3899" s="52">
        <v>298.10000000000008</v>
      </c>
      <c r="J3899" s="49">
        <v>12319.980000000001</v>
      </c>
      <c r="K3899" s="58">
        <v>253.79999999999993</v>
      </c>
      <c r="L3899" s="58">
        <v>12319.73</v>
      </c>
      <c r="M3899" s="58">
        <v>0</v>
      </c>
      <c r="N3899" s="58">
        <v>0</v>
      </c>
      <c r="O3899" s="58">
        <v>253.79999999999993</v>
      </c>
      <c r="P3899" s="53">
        <v>12319.73</v>
      </c>
      <c r="Q3899" s="65">
        <v>12319.73</v>
      </c>
      <c r="R3899" s="65">
        <v>0</v>
      </c>
      <c r="S3899" s="65">
        <v>0</v>
      </c>
      <c r="T3899" s="65">
        <v>0</v>
      </c>
      <c r="U3899" s="58">
        <v>0</v>
      </c>
      <c r="V3899" s="65">
        <v>0</v>
      </c>
      <c r="W3899" s="65">
        <v>0</v>
      </c>
      <c r="X3899" s="65">
        <v>12319</v>
      </c>
      <c r="Y3899" s="65">
        <v>0</v>
      </c>
      <c r="Z3899" s="51">
        <v>0</v>
      </c>
      <c r="AA3899" s="51">
        <v>1</v>
      </c>
      <c r="AB3899" s="102">
        <v>0</v>
      </c>
      <c r="AC3899" s="81">
        <f t="shared" si="187"/>
        <v>332.19724669573958</v>
      </c>
      <c r="AD3899" s="82">
        <f t="shared" si="188"/>
        <v>42.585714285714296</v>
      </c>
      <c r="AE3899" s="218">
        <v>2.0292240734304678E-5</v>
      </c>
      <c r="AF3899">
        <v>5</v>
      </c>
      <c r="AH3899" t="str">
        <f t="shared" si="186"/>
        <v>Rosera</v>
      </c>
      <c r="AJ3899" s="72">
        <v>0</v>
      </c>
      <c r="AK3899" s="72"/>
      <c r="AL3899" s="72"/>
      <c r="AM3899" s="72"/>
    </row>
    <row r="3900" spans="1:39" x14ac:dyDescent="0.25">
      <c r="A3900" s="37" t="s">
        <v>62</v>
      </c>
      <c r="B3900" s="66" t="s">
        <v>1676</v>
      </c>
      <c r="C3900" s="4">
        <v>1063</v>
      </c>
      <c r="D3900" s="41" t="s">
        <v>1565</v>
      </c>
      <c r="E3900" s="41">
        <v>10630026</v>
      </c>
      <c r="F3900" s="85" t="s">
        <v>1608</v>
      </c>
      <c r="G3900" s="39" t="s">
        <v>1610</v>
      </c>
      <c r="H3900" s="52" t="s">
        <v>98</v>
      </c>
      <c r="I3900" s="52">
        <v>78.7</v>
      </c>
      <c r="J3900" s="49">
        <v>2617.56</v>
      </c>
      <c r="K3900" s="58">
        <v>0</v>
      </c>
      <c r="L3900" s="58">
        <v>0</v>
      </c>
      <c r="M3900" s="58">
        <v>0</v>
      </c>
      <c r="N3900" s="58">
        <v>0</v>
      </c>
      <c r="O3900" s="58">
        <v>0</v>
      </c>
      <c r="P3900" s="53">
        <v>0</v>
      </c>
      <c r="Q3900" s="65">
        <v>2617.56</v>
      </c>
      <c r="R3900" s="65">
        <v>0</v>
      </c>
      <c r="S3900" s="65">
        <v>0</v>
      </c>
      <c r="T3900" s="65">
        <v>0</v>
      </c>
      <c r="U3900" s="58">
        <v>0</v>
      </c>
      <c r="V3900" s="65">
        <v>0</v>
      </c>
      <c r="W3900" s="65">
        <v>0</v>
      </c>
      <c r="X3900" s="65">
        <v>0</v>
      </c>
      <c r="Y3900" s="65">
        <v>0</v>
      </c>
      <c r="Z3900" s="51">
        <v>2617.56</v>
      </c>
      <c r="AA3900" s="51">
        <v>0</v>
      </c>
      <c r="AB3900" s="102">
        <v>0</v>
      </c>
      <c r="AC3900" s="81">
        <f t="shared" si="187"/>
        <v>413.28844421855138</v>
      </c>
      <c r="AD3900" s="82">
        <f t="shared" si="188"/>
        <v>11.242857142857144</v>
      </c>
      <c r="AE3900" s="218">
        <v>0</v>
      </c>
      <c r="AF3900">
        <v>0</v>
      </c>
      <c r="AH3900" t="str">
        <f t="shared" si="186"/>
        <v>Rosera</v>
      </c>
      <c r="AJ3900" s="72">
        <v>0</v>
      </c>
      <c r="AK3900" s="72"/>
      <c r="AL3900" s="72"/>
      <c r="AM3900" s="72"/>
    </row>
    <row r="3901" spans="1:39" x14ac:dyDescent="0.25">
      <c r="A3901" s="37" t="s">
        <v>62</v>
      </c>
      <c r="B3901" s="66" t="s">
        <v>1676</v>
      </c>
      <c r="C3901" s="4">
        <v>1063</v>
      </c>
      <c r="D3901" s="41" t="s">
        <v>1565</v>
      </c>
      <c r="E3901" s="41">
        <v>10630032</v>
      </c>
      <c r="F3901" s="85" t="s">
        <v>1572</v>
      </c>
      <c r="G3901" s="39" t="s">
        <v>1610</v>
      </c>
      <c r="H3901" s="52" t="s">
        <v>98</v>
      </c>
      <c r="I3901" s="52">
        <v>135.1</v>
      </c>
      <c r="J3901" s="49">
        <v>5904.07</v>
      </c>
      <c r="K3901" s="58">
        <v>0</v>
      </c>
      <c r="L3901" s="58">
        <v>0</v>
      </c>
      <c r="M3901" s="58">
        <v>0</v>
      </c>
      <c r="N3901" s="58">
        <v>0</v>
      </c>
      <c r="O3901" s="58">
        <v>0</v>
      </c>
      <c r="P3901" s="53">
        <v>0</v>
      </c>
      <c r="Q3901" s="65">
        <v>5904.07</v>
      </c>
      <c r="R3901" s="65">
        <v>0</v>
      </c>
      <c r="S3901" s="65">
        <v>0</v>
      </c>
      <c r="T3901" s="65">
        <v>0</v>
      </c>
      <c r="U3901" s="58">
        <v>0</v>
      </c>
      <c r="V3901" s="65">
        <v>0</v>
      </c>
      <c r="W3901" s="65">
        <v>0</v>
      </c>
      <c r="X3901" s="65">
        <v>0</v>
      </c>
      <c r="Y3901" s="65">
        <v>0</v>
      </c>
      <c r="Z3901" s="51">
        <v>5904.07</v>
      </c>
      <c r="AA3901" s="51">
        <v>0</v>
      </c>
      <c r="AB3901" s="102">
        <v>0</v>
      </c>
      <c r="AC3901" s="81">
        <f t="shared" si="187"/>
        <v>493.739325388601</v>
      </c>
      <c r="AD3901" s="82">
        <f t="shared" si="188"/>
        <v>19.3</v>
      </c>
      <c r="AE3901" s="218">
        <v>0</v>
      </c>
      <c r="AF3901">
        <v>0</v>
      </c>
      <c r="AH3901" t="str">
        <f t="shared" si="186"/>
        <v>Rosera</v>
      </c>
      <c r="AJ3901" s="72">
        <v>0</v>
      </c>
      <c r="AK3901" s="72"/>
      <c r="AL3901" s="72"/>
      <c r="AM3901" s="72"/>
    </row>
    <row r="3902" spans="1:39" x14ac:dyDescent="0.25">
      <c r="A3902" s="37" t="s">
        <v>62</v>
      </c>
      <c r="B3902" s="66" t="s">
        <v>1676</v>
      </c>
      <c r="C3902" s="4">
        <v>1063</v>
      </c>
      <c r="D3902" s="41" t="s">
        <v>1565</v>
      </c>
      <c r="E3902" s="41">
        <v>10630033</v>
      </c>
      <c r="F3902" s="85" t="s">
        <v>1573</v>
      </c>
      <c r="G3902" s="39" t="s">
        <v>1610</v>
      </c>
      <c r="H3902" s="52" t="s">
        <v>98</v>
      </c>
      <c r="I3902" s="52">
        <v>140.1</v>
      </c>
      <c r="J3902" s="49">
        <v>5177.9900000000007</v>
      </c>
      <c r="K3902" s="58">
        <v>0</v>
      </c>
      <c r="L3902" s="58">
        <v>0</v>
      </c>
      <c r="M3902" s="58">
        <v>0</v>
      </c>
      <c r="N3902" s="58">
        <v>0</v>
      </c>
      <c r="O3902" s="58">
        <v>0</v>
      </c>
      <c r="P3902" s="53">
        <v>0</v>
      </c>
      <c r="Q3902" s="65">
        <v>5177.9900000000007</v>
      </c>
      <c r="R3902" s="65">
        <v>0</v>
      </c>
      <c r="S3902" s="65">
        <v>0</v>
      </c>
      <c r="T3902" s="65">
        <v>0</v>
      </c>
      <c r="U3902" s="58">
        <v>0</v>
      </c>
      <c r="V3902" s="65">
        <v>0</v>
      </c>
      <c r="W3902" s="65">
        <v>0</v>
      </c>
      <c r="X3902" s="65">
        <v>0</v>
      </c>
      <c r="Y3902" s="65">
        <v>0</v>
      </c>
      <c r="Z3902" s="51">
        <v>5177.9900000000007</v>
      </c>
      <c r="AA3902" s="51">
        <v>0</v>
      </c>
      <c r="AB3902" s="102">
        <v>0</v>
      </c>
      <c r="AC3902" s="81">
        <f t="shared" si="187"/>
        <v>413.86960756602446</v>
      </c>
      <c r="AD3902" s="82">
        <f t="shared" si="188"/>
        <v>20.014285714285712</v>
      </c>
      <c r="AE3902" s="218">
        <v>0</v>
      </c>
      <c r="AF3902">
        <v>0</v>
      </c>
      <c r="AH3902" t="str">
        <f t="shared" si="186"/>
        <v>Rosera</v>
      </c>
      <c r="AJ3902" s="72">
        <v>0</v>
      </c>
      <c r="AK3902" s="72"/>
      <c r="AL3902" s="72"/>
      <c r="AM3902" s="72"/>
    </row>
    <row r="3903" spans="1:39" x14ac:dyDescent="0.25">
      <c r="A3903" s="37" t="s">
        <v>62</v>
      </c>
      <c r="B3903" s="66" t="s">
        <v>1676</v>
      </c>
      <c r="C3903" s="4">
        <v>1063</v>
      </c>
      <c r="D3903" s="41" t="s">
        <v>1565</v>
      </c>
      <c r="E3903" s="41">
        <v>10630036</v>
      </c>
      <c r="F3903" s="85" t="s">
        <v>1591</v>
      </c>
      <c r="G3903" s="39" t="s">
        <v>1610</v>
      </c>
      <c r="H3903" s="52" t="s">
        <v>98</v>
      </c>
      <c r="I3903" s="52">
        <v>242.3</v>
      </c>
      <c r="J3903" s="49">
        <v>8380.8599999999988</v>
      </c>
      <c r="K3903" s="58">
        <v>0</v>
      </c>
      <c r="L3903" s="58">
        <v>0</v>
      </c>
      <c r="M3903" s="58">
        <v>0</v>
      </c>
      <c r="N3903" s="58">
        <v>0</v>
      </c>
      <c r="O3903" s="58">
        <v>0</v>
      </c>
      <c r="P3903" s="53">
        <v>0</v>
      </c>
      <c r="Q3903" s="65">
        <v>8380.8599999999988</v>
      </c>
      <c r="R3903" s="65">
        <v>0</v>
      </c>
      <c r="S3903" s="65">
        <v>0</v>
      </c>
      <c r="T3903" s="65">
        <v>0</v>
      </c>
      <c r="U3903" s="58">
        <v>0</v>
      </c>
      <c r="V3903" s="65">
        <v>0</v>
      </c>
      <c r="W3903" s="65">
        <v>0</v>
      </c>
      <c r="X3903" s="65">
        <v>0</v>
      </c>
      <c r="Y3903" s="65">
        <v>0</v>
      </c>
      <c r="Z3903" s="51">
        <v>8380.8599999999988</v>
      </c>
      <c r="AA3903" s="51">
        <v>0</v>
      </c>
      <c r="AB3903" s="102">
        <v>0</v>
      </c>
      <c r="AC3903" s="81">
        <f t="shared" si="187"/>
        <v>316.62563945522072</v>
      </c>
      <c r="AD3903" s="82">
        <f t="shared" si="188"/>
        <v>34.614285714285714</v>
      </c>
      <c r="AE3903" s="218">
        <v>0</v>
      </c>
      <c r="AF3903">
        <v>0</v>
      </c>
      <c r="AH3903" t="str">
        <f t="shared" si="186"/>
        <v>Rosera</v>
      </c>
      <c r="AJ3903" s="72">
        <v>0</v>
      </c>
      <c r="AK3903" s="72"/>
      <c r="AL3903" s="72"/>
      <c r="AM3903" s="72"/>
    </row>
    <row r="3904" spans="1:39" x14ac:dyDescent="0.25">
      <c r="A3904" s="37" t="s">
        <v>62</v>
      </c>
      <c r="B3904" s="66" t="s">
        <v>1676</v>
      </c>
      <c r="C3904" s="4">
        <v>1063</v>
      </c>
      <c r="D3904" s="41" t="s">
        <v>1565</v>
      </c>
      <c r="E3904" s="41">
        <v>10630037</v>
      </c>
      <c r="F3904" s="85" t="s">
        <v>1609</v>
      </c>
      <c r="G3904" s="39" t="s">
        <v>1610</v>
      </c>
      <c r="H3904" s="52" t="s">
        <v>98</v>
      </c>
      <c r="I3904" s="52">
        <v>15.1</v>
      </c>
      <c r="J3904" s="49">
        <v>440.77</v>
      </c>
      <c r="K3904" s="58">
        <v>0</v>
      </c>
      <c r="L3904" s="58">
        <v>0</v>
      </c>
      <c r="M3904" s="58">
        <v>0</v>
      </c>
      <c r="N3904" s="58">
        <v>0</v>
      </c>
      <c r="O3904" s="58">
        <v>0</v>
      </c>
      <c r="P3904" s="53">
        <v>0</v>
      </c>
      <c r="Q3904" s="65">
        <v>440.77</v>
      </c>
      <c r="R3904" s="65">
        <v>0</v>
      </c>
      <c r="S3904" s="65">
        <v>0</v>
      </c>
      <c r="T3904" s="65">
        <v>0</v>
      </c>
      <c r="U3904" s="58">
        <v>0</v>
      </c>
      <c r="V3904" s="65">
        <v>0</v>
      </c>
      <c r="W3904" s="65">
        <v>0</v>
      </c>
      <c r="X3904" s="65">
        <v>0</v>
      </c>
      <c r="Y3904" s="65">
        <v>0</v>
      </c>
      <c r="Z3904" s="51">
        <v>440.77</v>
      </c>
      <c r="AA3904" s="51">
        <v>0</v>
      </c>
      <c r="AB3904" s="102">
        <v>0</v>
      </c>
      <c r="AC3904" s="81">
        <f t="shared" si="187"/>
        <v>399.84552715231791</v>
      </c>
      <c r="AD3904" s="82">
        <f t="shared" si="188"/>
        <v>2.157142857142857</v>
      </c>
      <c r="AE3904" s="218">
        <v>0</v>
      </c>
      <c r="AF3904">
        <v>0</v>
      </c>
      <c r="AH3904" t="str">
        <f t="shared" si="186"/>
        <v>Rosera</v>
      </c>
      <c r="AJ3904" s="72">
        <v>0</v>
      </c>
      <c r="AK3904" s="72"/>
      <c r="AL3904" s="72"/>
      <c r="AM3904" s="72"/>
    </row>
    <row r="3905" spans="1:39" x14ac:dyDescent="0.25">
      <c r="A3905" s="37" t="s">
        <v>62</v>
      </c>
      <c r="B3905" s="66" t="s">
        <v>1676</v>
      </c>
      <c r="C3905" s="4">
        <v>1063</v>
      </c>
      <c r="D3905" s="41" t="s">
        <v>1565</v>
      </c>
      <c r="E3905" s="41">
        <v>10630038</v>
      </c>
      <c r="F3905" s="85" t="s">
        <v>1629</v>
      </c>
      <c r="G3905" s="39" t="s">
        <v>1610</v>
      </c>
      <c r="H3905" s="52" t="s">
        <v>98</v>
      </c>
      <c r="I3905" s="52">
        <v>456.4</v>
      </c>
      <c r="J3905" s="49">
        <v>15841.93</v>
      </c>
      <c r="K3905" s="58">
        <v>0</v>
      </c>
      <c r="L3905" s="58">
        <v>0</v>
      </c>
      <c r="M3905" s="58">
        <v>0</v>
      </c>
      <c r="N3905" s="58">
        <v>0</v>
      </c>
      <c r="O3905" s="58">
        <v>0</v>
      </c>
      <c r="P3905" s="53">
        <v>0</v>
      </c>
      <c r="Q3905" s="65">
        <v>15841.93</v>
      </c>
      <c r="R3905" s="65">
        <v>0</v>
      </c>
      <c r="S3905" s="65">
        <v>0</v>
      </c>
      <c r="T3905" s="65">
        <v>0</v>
      </c>
      <c r="U3905" s="58">
        <v>0</v>
      </c>
      <c r="V3905" s="65">
        <v>0</v>
      </c>
      <c r="W3905" s="65">
        <v>0</v>
      </c>
      <c r="X3905" s="65">
        <v>0</v>
      </c>
      <c r="Y3905" s="65">
        <v>0</v>
      </c>
      <c r="Z3905" s="51">
        <v>15841.93</v>
      </c>
      <c r="AA3905" s="51">
        <v>0</v>
      </c>
      <c r="AB3905" s="102">
        <v>0</v>
      </c>
      <c r="AC3905" s="81">
        <f t="shared" si="187"/>
        <v>169.11017300613494</v>
      </c>
      <c r="AD3905" s="82">
        <f t="shared" si="188"/>
        <v>65.2</v>
      </c>
      <c r="AE3905" s="218">
        <v>0</v>
      </c>
      <c r="AF3905">
        <v>0</v>
      </c>
      <c r="AH3905" t="str">
        <f t="shared" si="186"/>
        <v>Rosera</v>
      </c>
      <c r="AJ3905" s="72">
        <v>0</v>
      </c>
      <c r="AK3905" s="72"/>
      <c r="AL3905" s="72"/>
      <c r="AM3905" s="72"/>
    </row>
    <row r="3906" spans="1:39" x14ac:dyDescent="0.25">
      <c r="A3906" s="37" t="s">
        <v>62</v>
      </c>
      <c r="B3906" s="66" t="s">
        <v>1676</v>
      </c>
      <c r="C3906" s="4">
        <v>1063</v>
      </c>
      <c r="D3906" s="41" t="s">
        <v>1565</v>
      </c>
      <c r="E3906" s="41">
        <v>10630039</v>
      </c>
      <c r="F3906" s="85" t="s">
        <v>1630</v>
      </c>
      <c r="G3906" s="39" t="s">
        <v>1610</v>
      </c>
      <c r="H3906" s="52" t="s">
        <v>98</v>
      </c>
      <c r="I3906" s="52">
        <v>674.00000000000011</v>
      </c>
      <c r="J3906" s="49">
        <v>23553.690000000002</v>
      </c>
      <c r="K3906" s="58">
        <v>0</v>
      </c>
      <c r="L3906" s="58">
        <v>0</v>
      </c>
      <c r="M3906" s="58">
        <v>0</v>
      </c>
      <c r="N3906" s="58">
        <v>0</v>
      </c>
      <c r="O3906" s="58">
        <v>0</v>
      </c>
      <c r="P3906" s="53">
        <v>0</v>
      </c>
      <c r="Q3906" s="65">
        <v>23553.690000000002</v>
      </c>
      <c r="R3906" s="65">
        <v>0</v>
      </c>
      <c r="S3906" s="65">
        <v>0</v>
      </c>
      <c r="T3906" s="65">
        <v>0</v>
      </c>
      <c r="U3906" s="58">
        <v>0</v>
      </c>
      <c r="V3906" s="65">
        <v>0</v>
      </c>
      <c r="W3906" s="65">
        <v>0</v>
      </c>
      <c r="X3906" s="65">
        <v>0</v>
      </c>
      <c r="Y3906" s="65">
        <v>0</v>
      </c>
      <c r="Z3906" s="51">
        <v>23553.690000000002</v>
      </c>
      <c r="AA3906" s="51">
        <v>0</v>
      </c>
      <c r="AB3906" s="102">
        <v>0</v>
      </c>
      <c r="AC3906" s="81">
        <f t="shared" si="187"/>
        <v>18.17198635014827</v>
      </c>
      <c r="AD3906" s="82">
        <f t="shared" si="188"/>
        <v>96.285714285714306</v>
      </c>
      <c r="AE3906" s="218">
        <v>0</v>
      </c>
      <c r="AF3906">
        <v>0</v>
      </c>
      <c r="AH3906" t="str">
        <f t="shared" si="186"/>
        <v>Rosera</v>
      </c>
      <c r="AJ3906" s="72">
        <v>0</v>
      </c>
      <c r="AK3906" s="72"/>
      <c r="AL3906" s="72"/>
      <c r="AM3906" s="72"/>
    </row>
    <row r="3907" spans="1:39" x14ac:dyDescent="0.25">
      <c r="A3907" s="37" t="s">
        <v>62</v>
      </c>
      <c r="B3907" s="66" t="s">
        <v>1676</v>
      </c>
      <c r="C3907" s="4">
        <v>1063</v>
      </c>
      <c r="D3907" s="41" t="s">
        <v>1565</v>
      </c>
      <c r="E3907" s="41">
        <v>10630040</v>
      </c>
      <c r="F3907" s="85" t="s">
        <v>1631</v>
      </c>
      <c r="G3907" s="39" t="s">
        <v>1610</v>
      </c>
      <c r="H3907" s="52" t="s">
        <v>98</v>
      </c>
      <c r="I3907" s="52">
        <v>214</v>
      </c>
      <c r="J3907" s="49">
        <v>6381.2100000000009</v>
      </c>
      <c r="K3907" s="58">
        <v>0</v>
      </c>
      <c r="L3907" s="58">
        <v>0</v>
      </c>
      <c r="M3907" s="58">
        <v>0</v>
      </c>
      <c r="N3907" s="58">
        <v>0</v>
      </c>
      <c r="O3907" s="58">
        <v>0</v>
      </c>
      <c r="P3907" s="53">
        <v>0</v>
      </c>
      <c r="Q3907" s="65">
        <v>6381.2100000000009</v>
      </c>
      <c r="R3907" s="65">
        <v>0</v>
      </c>
      <c r="S3907" s="65">
        <v>0</v>
      </c>
      <c r="T3907" s="65">
        <v>0</v>
      </c>
      <c r="U3907" s="58">
        <v>0</v>
      </c>
      <c r="V3907" s="65">
        <v>0</v>
      </c>
      <c r="W3907" s="65">
        <v>0</v>
      </c>
      <c r="X3907" s="65">
        <v>0</v>
      </c>
      <c r="Y3907" s="65">
        <v>0</v>
      </c>
      <c r="Z3907" s="51">
        <v>6381.2100000000009</v>
      </c>
      <c r="AA3907" s="51">
        <v>0</v>
      </c>
      <c r="AB3907" s="102">
        <v>0</v>
      </c>
      <c r="AC3907" s="81">
        <f t="shared" si="187"/>
        <v>289.83813644859816</v>
      </c>
      <c r="AD3907" s="82">
        <f t="shared" si="188"/>
        <v>30.571428571428573</v>
      </c>
      <c r="AE3907" s="218">
        <v>0</v>
      </c>
      <c r="AF3907">
        <v>0</v>
      </c>
      <c r="AH3907" t="str">
        <f t="shared" si="186"/>
        <v>Rosera</v>
      </c>
      <c r="AJ3907" s="72">
        <v>0</v>
      </c>
      <c r="AK3907" s="72"/>
      <c r="AL3907" s="72"/>
      <c r="AM3907" s="72"/>
    </row>
    <row r="3908" spans="1:39" x14ac:dyDescent="0.25">
      <c r="A3908" s="37" t="s">
        <v>62</v>
      </c>
      <c r="B3908" s="66" t="s">
        <v>1676</v>
      </c>
      <c r="C3908" s="4">
        <v>1063</v>
      </c>
      <c r="D3908" s="41" t="s">
        <v>1565</v>
      </c>
      <c r="E3908" s="41">
        <v>10630042</v>
      </c>
      <c r="F3908" s="85" t="s">
        <v>1633</v>
      </c>
      <c r="G3908" s="39" t="s">
        <v>1610</v>
      </c>
      <c r="H3908" s="52" t="s">
        <v>98</v>
      </c>
      <c r="I3908" s="52">
        <v>129.79999999999998</v>
      </c>
      <c r="J3908" s="49">
        <v>4081.8599999999997</v>
      </c>
      <c r="K3908" s="58">
        <v>0</v>
      </c>
      <c r="L3908" s="58">
        <v>0</v>
      </c>
      <c r="M3908" s="58">
        <v>0</v>
      </c>
      <c r="N3908" s="58">
        <v>0</v>
      </c>
      <c r="O3908" s="58">
        <v>0</v>
      </c>
      <c r="P3908" s="53">
        <v>0</v>
      </c>
      <c r="Q3908" s="65">
        <v>4081.8599999999997</v>
      </c>
      <c r="R3908" s="65">
        <v>0</v>
      </c>
      <c r="S3908" s="65">
        <v>0</v>
      </c>
      <c r="T3908" s="65">
        <v>0</v>
      </c>
      <c r="U3908" s="58">
        <v>0</v>
      </c>
      <c r="V3908" s="65">
        <v>0</v>
      </c>
      <c r="W3908" s="65">
        <v>0</v>
      </c>
      <c r="X3908" s="65">
        <v>0</v>
      </c>
      <c r="Y3908" s="65">
        <v>0</v>
      </c>
      <c r="Z3908" s="51">
        <v>4081.8599999999997</v>
      </c>
      <c r="AA3908" s="51">
        <v>0</v>
      </c>
      <c r="AB3908" s="102">
        <v>0</v>
      </c>
      <c r="AC3908" s="81">
        <f t="shared" si="187"/>
        <v>358.62504961479203</v>
      </c>
      <c r="AD3908" s="82">
        <f t="shared" si="188"/>
        <v>18.542857142857141</v>
      </c>
      <c r="AE3908" s="218">
        <v>0</v>
      </c>
      <c r="AF3908">
        <v>0</v>
      </c>
      <c r="AH3908" t="str">
        <f t="shared" si="186"/>
        <v>Rosera</v>
      </c>
      <c r="AJ3908" s="72">
        <v>0</v>
      </c>
      <c r="AK3908" s="72"/>
      <c r="AL3908" s="72"/>
      <c r="AM3908" s="72"/>
    </row>
    <row r="3909" spans="1:39" x14ac:dyDescent="0.25">
      <c r="A3909" s="37" t="s">
        <v>62</v>
      </c>
      <c r="B3909" s="66" t="s">
        <v>1676</v>
      </c>
      <c r="C3909" s="4">
        <v>1063</v>
      </c>
      <c r="D3909" s="41" t="s">
        <v>1565</v>
      </c>
      <c r="E3909" s="41">
        <v>10630043</v>
      </c>
      <c r="F3909" s="85" t="s">
        <v>1634</v>
      </c>
      <c r="G3909" s="39" t="s">
        <v>1610</v>
      </c>
      <c r="H3909" s="52" t="s">
        <v>98</v>
      </c>
      <c r="I3909" s="52">
        <v>36.4</v>
      </c>
      <c r="J3909" s="49">
        <v>1213.1199999999999</v>
      </c>
      <c r="K3909" s="58">
        <v>0</v>
      </c>
      <c r="L3909" s="58">
        <v>0</v>
      </c>
      <c r="M3909" s="58">
        <v>0</v>
      </c>
      <c r="N3909" s="58">
        <v>0</v>
      </c>
      <c r="O3909" s="58">
        <v>0</v>
      </c>
      <c r="P3909" s="53">
        <v>0</v>
      </c>
      <c r="Q3909" s="65">
        <v>1213.1199999999999</v>
      </c>
      <c r="R3909" s="65">
        <v>0</v>
      </c>
      <c r="S3909" s="65">
        <v>0</v>
      </c>
      <c r="T3909" s="65">
        <v>0</v>
      </c>
      <c r="U3909" s="58">
        <v>0</v>
      </c>
      <c r="V3909" s="65">
        <v>0</v>
      </c>
      <c r="W3909" s="65">
        <v>0</v>
      </c>
      <c r="X3909" s="65">
        <v>0</v>
      </c>
      <c r="Y3909" s="65">
        <v>0</v>
      </c>
      <c r="Z3909" s="51">
        <v>1213.1199999999999</v>
      </c>
      <c r="AA3909" s="51">
        <v>0</v>
      </c>
      <c r="AB3909" s="102">
        <v>0</v>
      </c>
      <c r="AC3909" s="81">
        <f t="shared" si="187"/>
        <v>442.32221538461533</v>
      </c>
      <c r="AD3909" s="82">
        <f t="shared" si="188"/>
        <v>5.2</v>
      </c>
      <c r="AE3909" s="218">
        <v>0</v>
      </c>
      <c r="AF3909">
        <v>0</v>
      </c>
      <c r="AH3909" t="str">
        <f t="shared" si="186"/>
        <v>Rosera</v>
      </c>
      <c r="AJ3909" s="72">
        <v>0</v>
      </c>
      <c r="AK3909" s="72"/>
      <c r="AL3909" s="72"/>
      <c r="AM3909" s="72"/>
    </row>
    <row r="3910" spans="1:39" x14ac:dyDescent="0.25">
      <c r="A3910" s="37" t="s">
        <v>62</v>
      </c>
      <c r="B3910" s="66" t="s">
        <v>1676</v>
      </c>
      <c r="C3910" s="4">
        <v>1062</v>
      </c>
      <c r="D3910" s="41" t="s">
        <v>1381</v>
      </c>
      <c r="E3910" s="41">
        <v>10640001</v>
      </c>
      <c r="F3910" s="85" t="s">
        <v>1382</v>
      </c>
      <c r="G3910" s="39" t="s">
        <v>92</v>
      </c>
      <c r="H3910" s="52" t="s">
        <v>93</v>
      </c>
      <c r="I3910" s="52">
        <v>1218.9199999999998</v>
      </c>
      <c r="J3910" s="49">
        <v>48958.599999999991</v>
      </c>
      <c r="K3910" s="58">
        <v>1220</v>
      </c>
      <c r="L3910" s="58">
        <v>48623.489999999991</v>
      </c>
      <c r="M3910" s="58">
        <v>0</v>
      </c>
      <c r="N3910" s="58">
        <v>0</v>
      </c>
      <c r="O3910" s="58">
        <v>1220</v>
      </c>
      <c r="P3910" s="53">
        <v>48623.489999999991</v>
      </c>
      <c r="Q3910" s="65">
        <v>48623.489999999991</v>
      </c>
      <c r="R3910" s="65">
        <v>0</v>
      </c>
      <c r="S3910" s="65">
        <v>0</v>
      </c>
      <c r="T3910" s="65">
        <v>0</v>
      </c>
      <c r="U3910" s="58">
        <v>0</v>
      </c>
      <c r="V3910" s="65">
        <v>0</v>
      </c>
      <c r="W3910" s="65">
        <v>0</v>
      </c>
      <c r="X3910" s="65">
        <v>48624</v>
      </c>
      <c r="Y3910" s="65">
        <v>0</v>
      </c>
      <c r="Z3910" s="51">
        <v>0</v>
      </c>
      <c r="AA3910" s="51">
        <v>335</v>
      </c>
      <c r="AB3910" s="102">
        <v>0</v>
      </c>
      <c r="AC3910" s="81">
        <f t="shared" si="187"/>
        <v>0</v>
      </c>
      <c r="AD3910" s="82">
        <f t="shared" si="188"/>
        <v>0</v>
      </c>
      <c r="AE3910" s="218">
        <v>6.844762717888188E-3</v>
      </c>
      <c r="AF3910">
        <v>4</v>
      </c>
      <c r="AH3910" t="str">
        <f t="shared" si="186"/>
        <v>Singhia BMC</v>
      </c>
      <c r="AJ3910" s="72">
        <v>0</v>
      </c>
      <c r="AK3910" s="72"/>
      <c r="AL3910" s="72"/>
      <c r="AM3910" s="72"/>
    </row>
    <row r="3911" spans="1:39" x14ac:dyDescent="0.25">
      <c r="A3911" s="37" t="s">
        <v>62</v>
      </c>
      <c r="B3911" s="66" t="s">
        <v>1676</v>
      </c>
      <c r="C3911" s="4">
        <v>1062</v>
      </c>
      <c r="D3911" s="41" t="s">
        <v>1381</v>
      </c>
      <c r="E3911" s="41">
        <v>10640003</v>
      </c>
      <c r="F3911" s="85" t="s">
        <v>1383</v>
      </c>
      <c r="G3911" s="39" t="s">
        <v>92</v>
      </c>
      <c r="H3911" s="52" t="s">
        <v>93</v>
      </c>
      <c r="I3911" s="52">
        <v>2246</v>
      </c>
      <c r="J3911" s="49">
        <v>99780.36</v>
      </c>
      <c r="K3911" s="58">
        <v>2224.4000000000005</v>
      </c>
      <c r="L3911" s="58">
        <v>100318.24999999999</v>
      </c>
      <c r="M3911" s="58">
        <v>16.499999999999996</v>
      </c>
      <c r="N3911" s="58">
        <v>728.14999999999986</v>
      </c>
      <c r="O3911" s="58">
        <v>2240.9000000000005</v>
      </c>
      <c r="P3911" s="53">
        <v>101046.39999999998</v>
      </c>
      <c r="Q3911" s="65">
        <v>99780.36</v>
      </c>
      <c r="R3911" s="65">
        <v>0</v>
      </c>
      <c r="S3911" s="65">
        <v>728.14999999999986</v>
      </c>
      <c r="T3911" s="65">
        <v>1266.039999999979</v>
      </c>
      <c r="U3911" s="58">
        <v>0</v>
      </c>
      <c r="V3911" s="65">
        <v>0</v>
      </c>
      <c r="W3911" s="65">
        <v>0</v>
      </c>
      <c r="X3911" s="65">
        <v>99052</v>
      </c>
      <c r="Y3911" s="65">
        <v>0</v>
      </c>
      <c r="Z3911" s="51">
        <v>0</v>
      </c>
      <c r="AA3911" s="51">
        <v>0</v>
      </c>
      <c r="AB3911" s="102">
        <v>0</v>
      </c>
      <c r="AC3911" s="81">
        <f t="shared" si="187"/>
        <v>0</v>
      </c>
      <c r="AD3911" s="82">
        <f t="shared" si="188"/>
        <v>0</v>
      </c>
      <c r="AE3911" s="218">
        <v>-1.268826851296166E-2</v>
      </c>
      <c r="AF3911">
        <v>27</v>
      </c>
      <c r="AH3911" t="str">
        <f t="shared" si="186"/>
        <v>Singhia BMC</v>
      </c>
      <c r="AJ3911" s="72">
        <v>0</v>
      </c>
      <c r="AK3911" s="72"/>
      <c r="AL3911" s="72"/>
      <c r="AM3911" s="72"/>
    </row>
    <row r="3912" spans="1:39" x14ac:dyDescent="0.25">
      <c r="A3912" s="37" t="s">
        <v>62</v>
      </c>
      <c r="B3912" s="66" t="s">
        <v>1676</v>
      </c>
      <c r="C3912" s="4">
        <v>1062</v>
      </c>
      <c r="D3912" s="41" t="s">
        <v>1381</v>
      </c>
      <c r="E3912" s="41">
        <v>10640005</v>
      </c>
      <c r="F3912" s="85" t="s">
        <v>1384</v>
      </c>
      <c r="G3912" s="39" t="s">
        <v>92</v>
      </c>
      <c r="H3912" s="52" t="s">
        <v>93</v>
      </c>
      <c r="I3912" s="52">
        <v>247.39000000000001</v>
      </c>
      <c r="J3912" s="49">
        <v>9839.42</v>
      </c>
      <c r="K3912" s="58">
        <v>245.4</v>
      </c>
      <c r="L3912" s="58">
        <v>9761.1700000000019</v>
      </c>
      <c r="M3912" s="58">
        <v>1.4000000000000001</v>
      </c>
      <c r="N3912" s="58">
        <v>55.370000000000005</v>
      </c>
      <c r="O3912" s="58">
        <v>246.8</v>
      </c>
      <c r="P3912" s="53">
        <v>9816.5400000000027</v>
      </c>
      <c r="Q3912" s="65">
        <v>9816.5400000000027</v>
      </c>
      <c r="R3912" s="65">
        <v>0</v>
      </c>
      <c r="S3912" s="65">
        <v>55.370000000000005</v>
      </c>
      <c r="T3912" s="65">
        <v>0</v>
      </c>
      <c r="U3912" s="58">
        <v>0</v>
      </c>
      <c r="V3912" s="65">
        <v>0</v>
      </c>
      <c r="W3912" s="65">
        <v>0</v>
      </c>
      <c r="X3912" s="65">
        <v>9761</v>
      </c>
      <c r="Y3912" s="65">
        <v>0</v>
      </c>
      <c r="Z3912" s="51">
        <v>0</v>
      </c>
      <c r="AA3912" s="51">
        <v>23</v>
      </c>
      <c r="AB3912" s="102">
        <v>0</v>
      </c>
      <c r="AC3912" s="81">
        <f t="shared" si="187"/>
        <v>360.03232840454342</v>
      </c>
      <c r="AD3912" s="82">
        <f t="shared" si="188"/>
        <v>35.341428571428573</v>
      </c>
      <c r="AE3912" s="218">
        <v>2.3253403147743853E-3</v>
      </c>
      <c r="AF3912">
        <v>3</v>
      </c>
      <c r="AH3912" t="str">
        <f t="shared" si="186"/>
        <v>Singhia BMC</v>
      </c>
      <c r="AJ3912" s="72">
        <v>0</v>
      </c>
      <c r="AK3912" s="72"/>
      <c r="AL3912" s="72"/>
      <c r="AM3912" s="72"/>
    </row>
    <row r="3913" spans="1:39" x14ac:dyDescent="0.25">
      <c r="A3913" s="37" t="s">
        <v>62</v>
      </c>
      <c r="B3913" s="66" t="s">
        <v>1676</v>
      </c>
      <c r="C3913" s="4">
        <v>1062</v>
      </c>
      <c r="D3913" s="41" t="s">
        <v>1381</v>
      </c>
      <c r="E3913" s="41">
        <v>10640006</v>
      </c>
      <c r="F3913" s="85" t="s">
        <v>1385</v>
      </c>
      <c r="G3913" s="39" t="s">
        <v>92</v>
      </c>
      <c r="H3913" s="52" t="s">
        <v>93</v>
      </c>
      <c r="I3913" s="52">
        <v>415.17000000000007</v>
      </c>
      <c r="J3913" s="49">
        <v>19625.959999999995</v>
      </c>
      <c r="K3913" s="58">
        <v>404.2</v>
      </c>
      <c r="L3913" s="58">
        <v>21196.969999999998</v>
      </c>
      <c r="M3913" s="58">
        <v>10.4</v>
      </c>
      <c r="N3913" s="58">
        <v>499.26000000000005</v>
      </c>
      <c r="O3913" s="58">
        <v>414.59999999999997</v>
      </c>
      <c r="P3913" s="53">
        <v>21696.229999999996</v>
      </c>
      <c r="Q3913" s="65">
        <v>19625.959999999995</v>
      </c>
      <c r="R3913" s="65">
        <v>0</v>
      </c>
      <c r="S3913" s="65">
        <v>499.26000000000005</v>
      </c>
      <c r="T3913" s="65">
        <v>2070.2700000000004</v>
      </c>
      <c r="U3913" s="58">
        <v>0</v>
      </c>
      <c r="V3913" s="65">
        <v>0</v>
      </c>
      <c r="W3913" s="65">
        <v>0</v>
      </c>
      <c r="X3913" s="65">
        <v>19127</v>
      </c>
      <c r="Y3913" s="65">
        <v>0</v>
      </c>
      <c r="Z3913" s="51">
        <v>0</v>
      </c>
      <c r="AA3913" s="51">
        <v>0</v>
      </c>
      <c r="AB3913" s="102">
        <v>0</v>
      </c>
      <c r="AC3913" s="81">
        <f t="shared" si="187"/>
        <v>269.29027563648606</v>
      </c>
      <c r="AD3913" s="82">
        <f t="shared" si="188"/>
        <v>59.310000000000009</v>
      </c>
      <c r="AE3913" s="218">
        <v>-0.1054863048737489</v>
      </c>
      <c r="AF3913">
        <v>8</v>
      </c>
      <c r="AH3913" t="str">
        <f t="shared" si="186"/>
        <v>Singhia BMC</v>
      </c>
      <c r="AJ3913" s="72">
        <v>0</v>
      </c>
      <c r="AK3913" s="72"/>
      <c r="AL3913" s="72"/>
      <c r="AM3913" s="72"/>
    </row>
    <row r="3914" spans="1:39" x14ac:dyDescent="0.25">
      <c r="A3914" s="37" t="s">
        <v>62</v>
      </c>
      <c r="B3914" s="66" t="s">
        <v>1676</v>
      </c>
      <c r="C3914" s="4">
        <v>1062</v>
      </c>
      <c r="D3914" s="41" t="s">
        <v>1381</v>
      </c>
      <c r="E3914" s="41">
        <v>10640007</v>
      </c>
      <c r="F3914" s="85" t="s">
        <v>1386</v>
      </c>
      <c r="G3914" s="39" t="s">
        <v>1610</v>
      </c>
      <c r="H3914" s="52" t="s">
        <v>98</v>
      </c>
      <c r="I3914" s="52">
        <v>89.53</v>
      </c>
      <c r="J3914" s="49">
        <v>3856.29</v>
      </c>
      <c r="K3914" s="58">
        <v>0</v>
      </c>
      <c r="L3914" s="58">
        <v>0</v>
      </c>
      <c r="M3914" s="58">
        <v>0</v>
      </c>
      <c r="N3914" s="58">
        <v>0</v>
      </c>
      <c r="O3914" s="58">
        <v>0</v>
      </c>
      <c r="P3914" s="53">
        <v>0</v>
      </c>
      <c r="Q3914" s="65">
        <v>3856.29</v>
      </c>
      <c r="R3914" s="65">
        <v>0</v>
      </c>
      <c r="S3914" s="65">
        <v>0</v>
      </c>
      <c r="T3914" s="65">
        <v>0</v>
      </c>
      <c r="U3914" s="58">
        <v>0</v>
      </c>
      <c r="V3914" s="65">
        <v>0</v>
      </c>
      <c r="W3914" s="65">
        <v>0</v>
      </c>
      <c r="X3914" s="65">
        <v>0</v>
      </c>
      <c r="Y3914" s="65">
        <v>0</v>
      </c>
      <c r="Z3914" s="51">
        <v>3856.29</v>
      </c>
      <c r="AA3914" s="51">
        <v>0</v>
      </c>
      <c r="AB3914" s="102">
        <v>0</v>
      </c>
      <c r="AC3914" s="81">
        <f t="shared" si="187"/>
        <v>525.89061907740415</v>
      </c>
      <c r="AD3914" s="82">
        <f t="shared" si="188"/>
        <v>12.790000000000001</v>
      </c>
      <c r="AE3914" s="218">
        <v>0</v>
      </c>
      <c r="AF3914">
        <v>0</v>
      </c>
      <c r="AH3914" t="str">
        <f t="shared" si="186"/>
        <v>Singhia BMC</v>
      </c>
      <c r="AJ3914" s="72">
        <v>0</v>
      </c>
      <c r="AK3914" s="72"/>
      <c r="AL3914" s="72"/>
      <c r="AM3914" s="72"/>
    </row>
    <row r="3915" spans="1:39" x14ac:dyDescent="0.25">
      <c r="A3915" s="37" t="s">
        <v>62</v>
      </c>
      <c r="B3915" s="66" t="s">
        <v>1676</v>
      </c>
      <c r="C3915" s="4">
        <v>1062</v>
      </c>
      <c r="D3915" s="41" t="s">
        <v>1381</v>
      </c>
      <c r="E3915" s="41">
        <v>10640008</v>
      </c>
      <c r="F3915" s="85" t="s">
        <v>1496</v>
      </c>
      <c r="G3915" s="39" t="s">
        <v>1610</v>
      </c>
      <c r="H3915" s="52" t="s">
        <v>93</v>
      </c>
      <c r="I3915" s="52">
        <v>215.64</v>
      </c>
      <c r="J3915" s="49">
        <v>9482.1200000000026</v>
      </c>
      <c r="K3915" s="58">
        <v>214.89999999999998</v>
      </c>
      <c r="L3915" s="58">
        <v>9449.36</v>
      </c>
      <c r="M3915" s="58">
        <v>0</v>
      </c>
      <c r="N3915" s="58">
        <v>0</v>
      </c>
      <c r="O3915" s="58">
        <v>214.89999999999998</v>
      </c>
      <c r="P3915" s="53">
        <v>9449.36</v>
      </c>
      <c r="Q3915" s="65">
        <v>9449.36</v>
      </c>
      <c r="R3915" s="65">
        <v>0</v>
      </c>
      <c r="S3915" s="65">
        <v>0</v>
      </c>
      <c r="T3915" s="65">
        <v>0</v>
      </c>
      <c r="U3915" s="58">
        <v>0</v>
      </c>
      <c r="V3915" s="65">
        <v>0</v>
      </c>
      <c r="W3915" s="65">
        <v>0</v>
      </c>
      <c r="X3915" s="65">
        <v>9449</v>
      </c>
      <c r="Y3915" s="65">
        <v>0</v>
      </c>
      <c r="Z3915" s="51">
        <v>0</v>
      </c>
      <c r="AA3915" s="51">
        <v>33</v>
      </c>
      <c r="AB3915" s="102">
        <v>0</v>
      </c>
      <c r="AC3915" s="81">
        <f t="shared" si="187"/>
        <v>425.96546496011888</v>
      </c>
      <c r="AD3915" s="82">
        <f t="shared" si="188"/>
        <v>30.805714285714284</v>
      </c>
      <c r="AE3915" s="218">
        <v>3.4549235824902057E-3</v>
      </c>
      <c r="AF3915">
        <v>1</v>
      </c>
      <c r="AH3915" t="str">
        <f t="shared" si="186"/>
        <v>Singhia BMC</v>
      </c>
      <c r="AJ3915" s="72">
        <v>0</v>
      </c>
      <c r="AK3915" s="72"/>
      <c r="AL3915" s="72"/>
      <c r="AM3915" s="72"/>
    </row>
    <row r="3916" spans="1:39" x14ac:dyDescent="0.25">
      <c r="A3916" s="37" t="s">
        <v>62</v>
      </c>
      <c r="B3916" s="66" t="s">
        <v>1676</v>
      </c>
      <c r="C3916" s="4">
        <v>1062</v>
      </c>
      <c r="D3916" s="41" t="s">
        <v>1381</v>
      </c>
      <c r="E3916" s="41">
        <v>10640009</v>
      </c>
      <c r="F3916" s="85" t="s">
        <v>1454</v>
      </c>
      <c r="G3916" s="39" t="s">
        <v>92</v>
      </c>
      <c r="H3916" s="52" t="s">
        <v>93</v>
      </c>
      <c r="I3916" s="52">
        <v>344.64000000000004</v>
      </c>
      <c r="J3916" s="49">
        <v>15416.99</v>
      </c>
      <c r="K3916" s="58">
        <v>373.40000000000003</v>
      </c>
      <c r="L3916" s="58">
        <v>16746.75</v>
      </c>
      <c r="M3916" s="58">
        <v>0</v>
      </c>
      <c r="N3916" s="58">
        <v>0</v>
      </c>
      <c r="O3916" s="58">
        <v>373.40000000000003</v>
      </c>
      <c r="P3916" s="53">
        <v>16746.75</v>
      </c>
      <c r="Q3916" s="65">
        <v>15416.99</v>
      </c>
      <c r="R3916" s="65">
        <v>0</v>
      </c>
      <c r="S3916" s="65">
        <v>0</v>
      </c>
      <c r="T3916" s="65">
        <v>1329.7600000000002</v>
      </c>
      <c r="U3916" s="58">
        <v>0</v>
      </c>
      <c r="V3916" s="65">
        <v>0</v>
      </c>
      <c r="W3916" s="65">
        <v>0</v>
      </c>
      <c r="X3916" s="65">
        <v>15417</v>
      </c>
      <c r="Y3916" s="65">
        <v>0</v>
      </c>
      <c r="Z3916" s="51">
        <v>0</v>
      </c>
      <c r="AA3916" s="51">
        <v>0</v>
      </c>
      <c r="AB3916" s="102">
        <v>0</v>
      </c>
      <c r="AC3916" s="81">
        <f t="shared" si="187"/>
        <v>317.93068514391825</v>
      </c>
      <c r="AD3916" s="82">
        <f t="shared" si="188"/>
        <v>49.234285714285718</v>
      </c>
      <c r="AE3916" s="218">
        <v>-8.6252893723093818E-2</v>
      </c>
      <c r="AF3916">
        <v>2</v>
      </c>
      <c r="AH3916" t="str">
        <f t="shared" si="186"/>
        <v>Singhia BMC</v>
      </c>
      <c r="AJ3916" s="72">
        <v>0</v>
      </c>
      <c r="AK3916" s="72"/>
      <c r="AL3916" s="72"/>
      <c r="AM3916" s="72"/>
    </row>
    <row r="3917" spans="1:39" x14ac:dyDescent="0.25">
      <c r="A3917" s="37" t="s">
        <v>62</v>
      </c>
      <c r="B3917" s="66" t="s">
        <v>1676</v>
      </c>
      <c r="C3917" s="4">
        <v>1062</v>
      </c>
      <c r="D3917" s="41" t="s">
        <v>1381</v>
      </c>
      <c r="E3917" s="41">
        <v>10640010</v>
      </c>
      <c r="F3917" s="85" t="s">
        <v>1416</v>
      </c>
      <c r="G3917" s="39" t="s">
        <v>1610</v>
      </c>
      <c r="H3917" s="52" t="s">
        <v>98</v>
      </c>
      <c r="I3917" s="52">
        <v>219.77000000000004</v>
      </c>
      <c r="J3917" s="49">
        <v>7401.7799999999988</v>
      </c>
      <c r="K3917" s="58">
        <v>0</v>
      </c>
      <c r="L3917" s="58">
        <v>0</v>
      </c>
      <c r="M3917" s="58">
        <v>0</v>
      </c>
      <c r="N3917" s="58">
        <v>0</v>
      </c>
      <c r="O3917" s="58">
        <v>0</v>
      </c>
      <c r="P3917" s="53">
        <v>0</v>
      </c>
      <c r="Q3917" s="65">
        <v>7401.7799999999988</v>
      </c>
      <c r="R3917" s="65">
        <v>0</v>
      </c>
      <c r="S3917" s="65">
        <v>0</v>
      </c>
      <c r="T3917" s="65">
        <v>0</v>
      </c>
      <c r="U3917" s="58">
        <v>0</v>
      </c>
      <c r="V3917" s="65">
        <v>0</v>
      </c>
      <c r="W3917" s="65">
        <v>0</v>
      </c>
      <c r="X3917" s="65">
        <v>0</v>
      </c>
      <c r="Y3917" s="65">
        <v>0</v>
      </c>
      <c r="Z3917" s="51">
        <v>7401.7799999999988</v>
      </c>
      <c r="AA3917" s="51">
        <v>0</v>
      </c>
      <c r="AB3917" s="102">
        <v>0</v>
      </c>
      <c r="AC3917" s="81">
        <f t="shared" si="187"/>
        <v>323.47971146198284</v>
      </c>
      <c r="AD3917" s="82">
        <f t="shared" si="188"/>
        <v>31.395714285714291</v>
      </c>
      <c r="AE3917" s="218">
        <v>0</v>
      </c>
      <c r="AF3917">
        <v>0</v>
      </c>
      <c r="AH3917" t="str">
        <f t="shared" si="186"/>
        <v>Singhia BMC</v>
      </c>
      <c r="AJ3917" s="72">
        <v>0</v>
      </c>
      <c r="AK3917" s="72"/>
      <c r="AL3917" s="72"/>
      <c r="AM3917" s="72"/>
    </row>
    <row r="3918" spans="1:39" x14ac:dyDescent="0.25">
      <c r="A3918" s="37" t="s">
        <v>62</v>
      </c>
      <c r="B3918" s="66" t="s">
        <v>1676</v>
      </c>
      <c r="C3918" s="4">
        <v>1062</v>
      </c>
      <c r="D3918" s="41" t="s">
        <v>1381</v>
      </c>
      <c r="E3918" s="41">
        <v>10640011</v>
      </c>
      <c r="F3918" s="85" t="s">
        <v>1417</v>
      </c>
      <c r="G3918" s="39" t="s">
        <v>1610</v>
      </c>
      <c r="H3918" s="52" t="s">
        <v>98</v>
      </c>
      <c r="I3918" s="52">
        <v>184.54000000000002</v>
      </c>
      <c r="J3918" s="49">
        <v>8862.07</v>
      </c>
      <c r="K3918" s="58">
        <v>0</v>
      </c>
      <c r="L3918" s="58">
        <v>0</v>
      </c>
      <c r="M3918" s="58">
        <v>0</v>
      </c>
      <c r="N3918" s="58">
        <v>0</v>
      </c>
      <c r="O3918" s="58">
        <v>0</v>
      </c>
      <c r="P3918" s="53">
        <v>0</v>
      </c>
      <c r="Q3918" s="65">
        <v>8862.07</v>
      </c>
      <c r="R3918" s="65">
        <v>0</v>
      </c>
      <c r="S3918" s="65">
        <v>0</v>
      </c>
      <c r="T3918" s="65">
        <v>0</v>
      </c>
      <c r="U3918" s="58">
        <v>0</v>
      </c>
      <c r="V3918" s="65">
        <v>0</v>
      </c>
      <c r="W3918" s="65">
        <v>0</v>
      </c>
      <c r="X3918" s="65">
        <v>0</v>
      </c>
      <c r="Y3918" s="65">
        <v>0</v>
      </c>
      <c r="Z3918" s="51">
        <v>8862.07</v>
      </c>
      <c r="AA3918" s="51">
        <v>0</v>
      </c>
      <c r="AB3918" s="102">
        <v>0</v>
      </c>
      <c r="AC3918" s="81">
        <f t="shared" si="187"/>
        <v>495.07343689173075</v>
      </c>
      <c r="AD3918" s="82">
        <f t="shared" si="188"/>
        <v>26.362857142857145</v>
      </c>
      <c r="AE3918" s="218">
        <v>0</v>
      </c>
      <c r="AF3918">
        <v>0</v>
      </c>
      <c r="AH3918" t="str">
        <f t="shared" si="186"/>
        <v>Singhia BMC</v>
      </c>
      <c r="AJ3918" s="72">
        <v>0</v>
      </c>
      <c r="AK3918" s="72"/>
      <c r="AL3918" s="72"/>
      <c r="AM3918" s="72"/>
    </row>
    <row r="3919" spans="1:39" x14ac:dyDescent="0.25">
      <c r="A3919" s="37" t="s">
        <v>62</v>
      </c>
      <c r="B3919" s="66" t="s">
        <v>1676</v>
      </c>
      <c r="C3919" s="4">
        <v>1008</v>
      </c>
      <c r="D3919" s="41" t="s">
        <v>217</v>
      </c>
      <c r="E3919" s="41">
        <v>10650001</v>
      </c>
      <c r="F3919" s="85" t="s">
        <v>1408</v>
      </c>
      <c r="G3919" s="39" t="s">
        <v>92</v>
      </c>
      <c r="H3919" s="52" t="s">
        <v>93</v>
      </c>
      <c r="I3919" s="52">
        <v>321.95</v>
      </c>
      <c r="J3919" s="49">
        <v>12636.59</v>
      </c>
      <c r="K3919" s="58">
        <v>329.1</v>
      </c>
      <c r="L3919" s="58">
        <v>13280.109999999999</v>
      </c>
      <c r="M3919" s="58">
        <v>0</v>
      </c>
      <c r="N3919" s="58">
        <v>0</v>
      </c>
      <c r="O3919" s="58">
        <v>329.1</v>
      </c>
      <c r="P3919" s="53">
        <v>13280.109999999999</v>
      </c>
      <c r="Q3919" s="65">
        <v>12636.59</v>
      </c>
      <c r="R3919" s="65">
        <v>0</v>
      </c>
      <c r="S3919" s="65">
        <v>0</v>
      </c>
      <c r="T3919" s="65">
        <v>643.51999999999862</v>
      </c>
      <c r="U3919" s="58">
        <v>0</v>
      </c>
      <c r="V3919" s="65">
        <v>0</v>
      </c>
      <c r="W3919" s="65">
        <v>0</v>
      </c>
      <c r="X3919" s="65">
        <v>12637</v>
      </c>
      <c r="Y3919" s="65">
        <v>0</v>
      </c>
      <c r="Z3919" s="51">
        <v>0</v>
      </c>
      <c r="AA3919" s="51">
        <v>0</v>
      </c>
      <c r="AB3919" s="102">
        <v>0</v>
      </c>
      <c r="AC3919" s="81">
        <f t="shared" si="187"/>
        <v>296.77048296319305</v>
      </c>
      <c r="AD3919" s="82">
        <f t="shared" si="188"/>
        <v>45.99285714285714</v>
      </c>
      <c r="AE3919" s="218">
        <v>-5.0925130909525322E-2</v>
      </c>
      <c r="AF3919">
        <v>3</v>
      </c>
      <c r="AH3919" t="str">
        <f t="shared" si="186"/>
        <v>Teghra</v>
      </c>
      <c r="AJ3919" s="72">
        <v>0</v>
      </c>
      <c r="AK3919" s="72"/>
      <c r="AL3919" s="72"/>
      <c r="AM3919" s="72"/>
    </row>
    <row r="3920" spans="1:39" x14ac:dyDescent="0.25">
      <c r="A3920" s="37" t="s">
        <v>62</v>
      </c>
      <c r="B3920" s="66" t="s">
        <v>1676</v>
      </c>
      <c r="C3920" s="4">
        <v>1008</v>
      </c>
      <c r="D3920" s="41" t="s">
        <v>217</v>
      </c>
      <c r="E3920" s="41">
        <v>10650003</v>
      </c>
      <c r="F3920" s="85" t="s">
        <v>1409</v>
      </c>
      <c r="G3920" s="39" t="s">
        <v>92</v>
      </c>
      <c r="H3920" s="52" t="s">
        <v>93</v>
      </c>
      <c r="I3920" s="52">
        <v>1238.5999999999999</v>
      </c>
      <c r="J3920" s="49">
        <v>52545.500000000007</v>
      </c>
      <c r="K3920" s="58">
        <v>1260.3999999999999</v>
      </c>
      <c r="L3920" s="58">
        <v>53229.329999999994</v>
      </c>
      <c r="M3920" s="58">
        <v>0</v>
      </c>
      <c r="N3920" s="58">
        <v>0</v>
      </c>
      <c r="O3920" s="58">
        <v>1260.3999999999999</v>
      </c>
      <c r="P3920" s="53">
        <v>53229.329999999994</v>
      </c>
      <c r="Q3920" s="65">
        <v>52545.500000000007</v>
      </c>
      <c r="R3920" s="65">
        <v>0</v>
      </c>
      <c r="S3920" s="65">
        <v>0</v>
      </c>
      <c r="T3920" s="65">
        <v>683.82999999998719</v>
      </c>
      <c r="U3920" s="58">
        <v>0</v>
      </c>
      <c r="V3920" s="65">
        <v>0</v>
      </c>
      <c r="W3920" s="65">
        <v>0</v>
      </c>
      <c r="X3920" s="65">
        <v>52546</v>
      </c>
      <c r="Y3920" s="65">
        <v>0</v>
      </c>
      <c r="Z3920" s="51">
        <v>0</v>
      </c>
      <c r="AA3920" s="51">
        <v>0</v>
      </c>
      <c r="AB3920" s="102">
        <v>0</v>
      </c>
      <c r="AC3920" s="81">
        <f t="shared" si="187"/>
        <v>0</v>
      </c>
      <c r="AD3920" s="82">
        <f t="shared" si="188"/>
        <v>0</v>
      </c>
      <c r="AE3920" s="218">
        <v>-1.301405448611179E-2</v>
      </c>
      <c r="AF3920">
        <v>22</v>
      </c>
      <c r="AH3920" t="str">
        <f t="shared" si="186"/>
        <v>Teghra</v>
      </c>
      <c r="AJ3920" s="72">
        <v>0</v>
      </c>
      <c r="AK3920" s="72"/>
      <c r="AL3920" s="72"/>
      <c r="AM3920" s="72"/>
    </row>
    <row r="3921" spans="1:39" x14ac:dyDescent="0.25">
      <c r="A3921" s="37" t="s">
        <v>62</v>
      </c>
      <c r="B3921" s="66" t="s">
        <v>1676</v>
      </c>
      <c r="C3921" s="4">
        <v>1008</v>
      </c>
      <c r="D3921" s="41" t="s">
        <v>217</v>
      </c>
      <c r="E3921" s="41">
        <v>10650004</v>
      </c>
      <c r="F3921" s="85" t="s">
        <v>1455</v>
      </c>
      <c r="G3921" s="39" t="s">
        <v>92</v>
      </c>
      <c r="H3921" s="52" t="s">
        <v>93</v>
      </c>
      <c r="I3921" s="52">
        <v>556.54999999999995</v>
      </c>
      <c r="J3921" s="49">
        <v>21767.03</v>
      </c>
      <c r="K3921" s="58">
        <v>327.20000000000005</v>
      </c>
      <c r="L3921" s="58">
        <v>13490.439999999997</v>
      </c>
      <c r="M3921" s="58">
        <v>233.89999999999998</v>
      </c>
      <c r="N3921" s="58">
        <v>9510.26</v>
      </c>
      <c r="O3921" s="58">
        <v>561.1</v>
      </c>
      <c r="P3921" s="53">
        <v>23000.699999999997</v>
      </c>
      <c r="Q3921" s="65">
        <v>21767.03</v>
      </c>
      <c r="R3921" s="65">
        <v>0</v>
      </c>
      <c r="S3921" s="65">
        <v>0</v>
      </c>
      <c r="T3921" s="65">
        <v>1233.6699999999983</v>
      </c>
      <c r="U3921" s="58">
        <v>0</v>
      </c>
      <c r="V3921" s="65">
        <v>0</v>
      </c>
      <c r="W3921" s="65">
        <v>0</v>
      </c>
      <c r="X3921" s="65">
        <v>12257</v>
      </c>
      <c r="Y3921" s="65">
        <v>9510</v>
      </c>
      <c r="Z3921" s="51">
        <v>0</v>
      </c>
      <c r="AA3921" s="51">
        <v>0</v>
      </c>
      <c r="AB3921" s="102">
        <v>0</v>
      </c>
      <c r="AC3921" s="81">
        <f t="shared" si="187"/>
        <v>112.2084432126494</v>
      </c>
      <c r="AD3921" s="82">
        <f t="shared" si="188"/>
        <v>79.507142857142853</v>
      </c>
      <c r="AE3921" s="218">
        <v>-5.6676083048537093E-2</v>
      </c>
      <c r="AF3921">
        <v>6</v>
      </c>
      <c r="AH3921" t="str">
        <f t="shared" si="186"/>
        <v>Teghra</v>
      </c>
      <c r="AJ3921" s="72">
        <v>0</v>
      </c>
      <c r="AK3921" s="72"/>
      <c r="AL3921" s="72"/>
      <c r="AM3921" s="72"/>
    </row>
    <row r="3922" spans="1:39" x14ac:dyDescent="0.25">
      <c r="A3922" s="37" t="s">
        <v>62</v>
      </c>
      <c r="B3922" s="66" t="s">
        <v>1676</v>
      </c>
      <c r="C3922" s="4">
        <v>1008</v>
      </c>
      <c r="D3922" s="41" t="s">
        <v>217</v>
      </c>
      <c r="E3922" s="41">
        <v>10650011</v>
      </c>
      <c r="F3922" s="85" t="s">
        <v>1476</v>
      </c>
      <c r="G3922" s="39" t="s">
        <v>92</v>
      </c>
      <c r="H3922" s="52" t="s">
        <v>93</v>
      </c>
      <c r="I3922" s="52">
        <v>601.5</v>
      </c>
      <c r="J3922" s="49">
        <v>23819.629999999997</v>
      </c>
      <c r="K3922" s="58">
        <v>602.59999999999991</v>
      </c>
      <c r="L3922" s="58">
        <v>24864.649999999994</v>
      </c>
      <c r="M3922" s="58">
        <v>0</v>
      </c>
      <c r="N3922" s="58">
        <v>0</v>
      </c>
      <c r="O3922" s="58">
        <v>602.59999999999991</v>
      </c>
      <c r="P3922" s="53">
        <v>24864.649999999994</v>
      </c>
      <c r="Q3922" s="65">
        <v>23819.629999999997</v>
      </c>
      <c r="R3922" s="65">
        <v>0</v>
      </c>
      <c r="S3922" s="65">
        <v>0</v>
      </c>
      <c r="T3922" s="65">
        <v>1045.0199999999968</v>
      </c>
      <c r="U3922" s="58">
        <v>0</v>
      </c>
      <c r="V3922" s="65">
        <v>0</v>
      </c>
      <c r="W3922" s="65">
        <v>0</v>
      </c>
      <c r="X3922" s="65">
        <v>23820</v>
      </c>
      <c r="Y3922" s="65">
        <v>0</v>
      </c>
      <c r="Z3922" s="51">
        <v>0</v>
      </c>
      <c r="AA3922" s="51">
        <v>0</v>
      </c>
      <c r="AB3922" s="102">
        <v>0</v>
      </c>
      <c r="AC3922" s="81">
        <f t="shared" si="187"/>
        <v>78.012753283458011</v>
      </c>
      <c r="AD3922" s="82">
        <f t="shared" si="188"/>
        <v>85.928571428571431</v>
      </c>
      <c r="AE3922" s="218">
        <v>-4.3872217998348291E-2</v>
      </c>
      <c r="AF3922">
        <v>9</v>
      </c>
      <c r="AH3922" t="str">
        <f t="shared" si="186"/>
        <v>Teghra</v>
      </c>
      <c r="AJ3922" s="72">
        <v>0</v>
      </c>
      <c r="AK3922" s="72"/>
      <c r="AL3922" s="72"/>
      <c r="AM3922" s="72"/>
    </row>
    <row r="3923" spans="1:39" x14ac:dyDescent="0.25">
      <c r="A3923" s="37" t="s">
        <v>62</v>
      </c>
      <c r="B3923" s="66" t="s">
        <v>1676</v>
      </c>
      <c r="C3923" s="4">
        <v>1008</v>
      </c>
      <c r="D3923" s="41" t="s">
        <v>217</v>
      </c>
      <c r="E3923" s="41">
        <v>10650013</v>
      </c>
      <c r="F3923" s="85" t="s">
        <v>1576</v>
      </c>
      <c r="G3923" s="39" t="s">
        <v>92</v>
      </c>
      <c r="H3923" s="52" t="s">
        <v>93</v>
      </c>
      <c r="I3923" s="52">
        <v>295.84999999999997</v>
      </c>
      <c r="J3923" s="49">
        <v>11303.57</v>
      </c>
      <c r="K3923" s="58">
        <v>312.2</v>
      </c>
      <c r="L3923" s="58">
        <v>11291.05</v>
      </c>
      <c r="M3923" s="58">
        <v>0</v>
      </c>
      <c r="N3923" s="58">
        <v>0</v>
      </c>
      <c r="O3923" s="58">
        <v>312.2</v>
      </c>
      <c r="P3923" s="53">
        <v>11291.05</v>
      </c>
      <c r="Q3923" s="65">
        <v>11291.05</v>
      </c>
      <c r="R3923" s="65">
        <v>0</v>
      </c>
      <c r="S3923" s="65">
        <v>0</v>
      </c>
      <c r="T3923" s="65">
        <v>0</v>
      </c>
      <c r="U3923" s="58">
        <v>0</v>
      </c>
      <c r="V3923" s="65">
        <v>0</v>
      </c>
      <c r="W3923" s="65">
        <v>0</v>
      </c>
      <c r="X3923" s="65">
        <v>11292</v>
      </c>
      <c r="Y3923" s="65">
        <v>0</v>
      </c>
      <c r="Z3923" s="51">
        <v>0</v>
      </c>
      <c r="AA3923" s="51">
        <v>12</v>
      </c>
      <c r="AB3923" s="102">
        <v>0</v>
      </c>
      <c r="AC3923" s="81">
        <f t="shared" si="187"/>
        <v>308.82797468311651</v>
      </c>
      <c r="AD3923" s="82">
        <f t="shared" si="188"/>
        <v>42.264285714285712</v>
      </c>
      <c r="AE3923" s="218">
        <v>1.1076146739481807E-3</v>
      </c>
      <c r="AF3923">
        <v>3</v>
      </c>
      <c r="AH3923" t="str">
        <f t="shared" si="186"/>
        <v>Teghra</v>
      </c>
      <c r="AJ3923" s="72">
        <v>0</v>
      </c>
      <c r="AK3923" s="72"/>
      <c r="AL3923" s="72"/>
      <c r="AM3923" s="72"/>
    </row>
    <row r="3924" spans="1:39" x14ac:dyDescent="0.25">
      <c r="A3924" s="37" t="s">
        <v>62</v>
      </c>
      <c r="B3924" s="66" t="s">
        <v>1676</v>
      </c>
      <c r="C3924" s="4">
        <v>1008</v>
      </c>
      <c r="D3924" s="41" t="s">
        <v>217</v>
      </c>
      <c r="E3924" s="41">
        <v>10650014</v>
      </c>
      <c r="F3924" s="85" t="s">
        <v>1532</v>
      </c>
      <c r="G3924" s="39" t="s">
        <v>92</v>
      </c>
      <c r="H3924" s="52" t="s">
        <v>93</v>
      </c>
      <c r="I3924" s="52">
        <v>709.44999999999993</v>
      </c>
      <c r="J3924" s="49">
        <v>27686.460000000003</v>
      </c>
      <c r="K3924" s="58">
        <v>701.9000000000002</v>
      </c>
      <c r="L3924" s="58">
        <v>29051.350000000002</v>
      </c>
      <c r="M3924" s="58">
        <v>0</v>
      </c>
      <c r="N3924" s="58">
        <v>0</v>
      </c>
      <c r="O3924" s="58">
        <v>701.9000000000002</v>
      </c>
      <c r="P3924" s="53">
        <v>29051.350000000002</v>
      </c>
      <c r="Q3924" s="65">
        <v>27686.460000000003</v>
      </c>
      <c r="R3924" s="65">
        <v>0</v>
      </c>
      <c r="S3924" s="65">
        <v>0</v>
      </c>
      <c r="T3924" s="65">
        <v>1364.8899999999994</v>
      </c>
      <c r="U3924" s="58">
        <v>0</v>
      </c>
      <c r="V3924" s="65">
        <v>0</v>
      </c>
      <c r="W3924" s="65">
        <v>0</v>
      </c>
      <c r="X3924" s="65">
        <v>27686</v>
      </c>
      <c r="Y3924" s="65">
        <v>0</v>
      </c>
      <c r="Z3924" s="51">
        <v>0</v>
      </c>
      <c r="AA3924" s="51">
        <v>0</v>
      </c>
      <c r="AB3924" s="102">
        <v>0</v>
      </c>
      <c r="AC3924" s="81">
        <f t="shared" si="187"/>
        <v>0</v>
      </c>
      <c r="AD3924" s="82">
        <f t="shared" si="188"/>
        <v>0</v>
      </c>
      <c r="AE3924" s="218">
        <v>-4.9298104560857522E-2</v>
      </c>
      <c r="AF3924">
        <v>1</v>
      </c>
      <c r="AH3924" t="str">
        <f t="shared" si="186"/>
        <v>Teghra</v>
      </c>
      <c r="AJ3924" s="72">
        <v>0</v>
      </c>
      <c r="AK3924" s="72"/>
      <c r="AL3924" s="72"/>
      <c r="AM3924" s="72"/>
    </row>
    <row r="3925" spans="1:39" x14ac:dyDescent="0.25">
      <c r="A3925" s="37" t="s">
        <v>62</v>
      </c>
      <c r="B3925" s="66" t="s">
        <v>1676</v>
      </c>
      <c r="C3925" s="4">
        <v>1008</v>
      </c>
      <c r="D3925" s="41" t="s">
        <v>217</v>
      </c>
      <c r="E3925" s="41">
        <v>10650016</v>
      </c>
      <c r="F3925" s="85" t="s">
        <v>1533</v>
      </c>
      <c r="G3925" s="39" t="s">
        <v>92</v>
      </c>
      <c r="H3925" s="52" t="s">
        <v>93</v>
      </c>
      <c r="I3925" s="52">
        <v>385.6</v>
      </c>
      <c r="J3925" s="49">
        <v>13726.630000000001</v>
      </c>
      <c r="K3925" s="58">
        <v>266</v>
      </c>
      <c r="L3925" s="58">
        <v>9551.119999999999</v>
      </c>
      <c r="M3925" s="58">
        <v>126.30000000000001</v>
      </c>
      <c r="N3925" s="58">
        <v>4312.2299999999996</v>
      </c>
      <c r="O3925" s="58">
        <v>392.3</v>
      </c>
      <c r="P3925" s="53">
        <v>13863.349999999999</v>
      </c>
      <c r="Q3925" s="65">
        <v>13726.630000000001</v>
      </c>
      <c r="R3925" s="65">
        <v>0</v>
      </c>
      <c r="S3925" s="65">
        <v>0</v>
      </c>
      <c r="T3925" s="65">
        <v>136.71999999999753</v>
      </c>
      <c r="U3925" s="58">
        <v>0</v>
      </c>
      <c r="V3925" s="65">
        <v>0</v>
      </c>
      <c r="W3925" s="65">
        <v>0</v>
      </c>
      <c r="X3925" s="65">
        <v>9414</v>
      </c>
      <c r="Y3925" s="65">
        <v>4313</v>
      </c>
      <c r="Z3925" s="51">
        <v>0</v>
      </c>
      <c r="AA3925" s="51">
        <v>0</v>
      </c>
      <c r="AB3925" s="102">
        <v>0</v>
      </c>
      <c r="AC3925" s="81">
        <f t="shared" si="187"/>
        <v>223.84089585062242</v>
      </c>
      <c r="AD3925" s="82">
        <f t="shared" si="188"/>
        <v>55.085714285714289</v>
      </c>
      <c r="AE3925" s="218">
        <v>-9.9602014478424438E-3</v>
      </c>
      <c r="AF3925">
        <v>6</v>
      </c>
      <c r="AH3925" t="str">
        <f t="shared" si="186"/>
        <v>Teghra</v>
      </c>
      <c r="AJ3925" s="72">
        <v>0</v>
      </c>
      <c r="AK3925" s="72"/>
      <c r="AL3925" s="72"/>
      <c r="AM3925" s="72"/>
    </row>
    <row r="3926" spans="1:39" x14ac:dyDescent="0.25">
      <c r="A3926" s="37" t="s">
        <v>62</v>
      </c>
      <c r="B3926" s="66" t="s">
        <v>1676</v>
      </c>
      <c r="C3926" s="4">
        <v>1008</v>
      </c>
      <c r="D3926" s="41" t="s">
        <v>217</v>
      </c>
      <c r="E3926" s="41">
        <v>10650018</v>
      </c>
      <c r="F3926" s="85" t="s">
        <v>1545</v>
      </c>
      <c r="G3926" s="39" t="s">
        <v>1610</v>
      </c>
      <c r="H3926" s="52" t="s">
        <v>98</v>
      </c>
      <c r="I3926" s="52">
        <v>853.65000000000009</v>
      </c>
      <c r="J3926" s="49">
        <v>33987.449999999997</v>
      </c>
      <c r="K3926" s="58">
        <v>0</v>
      </c>
      <c r="L3926" s="58">
        <v>0</v>
      </c>
      <c r="M3926" s="58">
        <v>0</v>
      </c>
      <c r="N3926" s="58">
        <v>0</v>
      </c>
      <c r="O3926" s="58">
        <v>0</v>
      </c>
      <c r="P3926" s="53">
        <v>0</v>
      </c>
      <c r="Q3926" s="65">
        <v>33987.449999999997</v>
      </c>
      <c r="R3926" s="65">
        <v>0</v>
      </c>
      <c r="S3926" s="65">
        <v>0</v>
      </c>
      <c r="T3926" s="65">
        <v>0</v>
      </c>
      <c r="U3926" s="58">
        <v>0</v>
      </c>
      <c r="V3926" s="65">
        <v>0</v>
      </c>
      <c r="W3926" s="65">
        <v>0</v>
      </c>
      <c r="X3926" s="65">
        <v>0</v>
      </c>
      <c r="Y3926" s="65">
        <v>0</v>
      </c>
      <c r="Z3926" s="51">
        <v>33987.449999999997</v>
      </c>
      <c r="AA3926" s="51">
        <v>0</v>
      </c>
      <c r="AB3926" s="102">
        <v>0</v>
      </c>
      <c r="AC3926" s="81">
        <f t="shared" si="187"/>
        <v>0</v>
      </c>
      <c r="AD3926" s="82">
        <f t="shared" si="188"/>
        <v>0</v>
      </c>
      <c r="AE3926" s="218">
        <v>0</v>
      </c>
      <c r="AF3926">
        <v>0</v>
      </c>
      <c r="AH3926" t="str">
        <f t="shared" si="186"/>
        <v>Teghra</v>
      </c>
      <c r="AJ3926" s="72">
        <v>0</v>
      </c>
      <c r="AK3926" s="72"/>
      <c r="AL3926" s="72"/>
      <c r="AM3926" s="72"/>
    </row>
    <row r="3927" spans="1:39" x14ac:dyDescent="0.25">
      <c r="A3927" s="37" t="s">
        <v>62</v>
      </c>
      <c r="B3927" s="66" t="s">
        <v>1676</v>
      </c>
      <c r="C3927" s="4">
        <v>1008</v>
      </c>
      <c r="D3927" s="41" t="s">
        <v>217</v>
      </c>
      <c r="E3927" s="41">
        <v>10650029</v>
      </c>
      <c r="F3927" s="85" t="s">
        <v>1674</v>
      </c>
      <c r="G3927" s="39" t="s">
        <v>92</v>
      </c>
      <c r="H3927" s="52" t="s">
        <v>93</v>
      </c>
      <c r="I3927" s="52">
        <v>27.65</v>
      </c>
      <c r="J3927" s="49">
        <v>1109.96</v>
      </c>
      <c r="K3927" s="58">
        <v>43.02</v>
      </c>
      <c r="L3927" s="58">
        <v>1706.8199999999997</v>
      </c>
      <c r="M3927" s="58">
        <v>0</v>
      </c>
      <c r="N3927" s="58">
        <v>0</v>
      </c>
      <c r="O3927" s="58">
        <v>43.02</v>
      </c>
      <c r="P3927" s="53">
        <v>1706.8199999999997</v>
      </c>
      <c r="Q3927" s="65">
        <v>1109.96</v>
      </c>
      <c r="R3927" s="65">
        <v>0</v>
      </c>
      <c r="S3927" s="65">
        <v>0</v>
      </c>
      <c r="T3927" s="65">
        <v>596.85999999999967</v>
      </c>
      <c r="U3927" s="58">
        <v>0</v>
      </c>
      <c r="V3927" s="65">
        <v>0</v>
      </c>
      <c r="W3927" s="65">
        <v>0</v>
      </c>
      <c r="X3927" s="65">
        <v>1110</v>
      </c>
      <c r="Y3927" s="65">
        <v>0</v>
      </c>
      <c r="Z3927" s="51">
        <v>0</v>
      </c>
      <c r="AA3927" s="51">
        <v>0</v>
      </c>
      <c r="AB3927" s="102">
        <v>0</v>
      </c>
      <c r="AC3927" s="81">
        <f t="shared" si="187"/>
        <v>539.8058632911393</v>
      </c>
      <c r="AD3927" s="82">
        <f t="shared" si="188"/>
        <v>3.9499999999999997</v>
      </c>
      <c r="AE3927" s="218">
        <v>-0.53773108940862702</v>
      </c>
      <c r="AF3927">
        <v>1</v>
      </c>
      <c r="AH3927" t="str">
        <f t="shared" si="186"/>
        <v>Teghra</v>
      </c>
      <c r="AJ3927" s="72">
        <v>0</v>
      </c>
      <c r="AK3927" s="72"/>
      <c r="AL3927" s="72"/>
      <c r="AM3927" s="72"/>
    </row>
    <row r="3928" spans="1:39" x14ac:dyDescent="0.25">
      <c r="A3928" s="37" t="s">
        <v>62</v>
      </c>
      <c r="B3928" s="66" t="s">
        <v>1676</v>
      </c>
      <c r="C3928" s="4">
        <v>1066</v>
      </c>
      <c r="D3928" s="41" t="s">
        <v>1501</v>
      </c>
      <c r="E3928" s="41">
        <v>10660001</v>
      </c>
      <c r="F3928" s="85" t="s">
        <v>1506</v>
      </c>
      <c r="G3928" s="39" t="s">
        <v>92</v>
      </c>
      <c r="H3928" s="52" t="s">
        <v>93</v>
      </c>
      <c r="I3928" s="52">
        <v>1198.0999999999999</v>
      </c>
      <c r="J3928" s="49">
        <v>66461.149999999994</v>
      </c>
      <c r="K3928" s="58">
        <v>1183.2</v>
      </c>
      <c r="L3928" s="58">
        <v>66220.329999999987</v>
      </c>
      <c r="M3928" s="58">
        <v>5.4</v>
      </c>
      <c r="N3928" s="58">
        <v>265.93</v>
      </c>
      <c r="O3928" s="58">
        <v>1188.6000000000001</v>
      </c>
      <c r="P3928" s="53">
        <v>66486.25999999998</v>
      </c>
      <c r="Q3928" s="65">
        <v>66461.149999999994</v>
      </c>
      <c r="R3928" s="65">
        <v>0</v>
      </c>
      <c r="S3928" s="65">
        <v>265.93</v>
      </c>
      <c r="T3928" s="65">
        <v>25.10999999998603</v>
      </c>
      <c r="U3928" s="58">
        <v>0</v>
      </c>
      <c r="V3928" s="65">
        <v>0</v>
      </c>
      <c r="W3928" s="65">
        <v>0</v>
      </c>
      <c r="X3928" s="65">
        <v>66195</v>
      </c>
      <c r="Y3928" s="65">
        <v>0</v>
      </c>
      <c r="Z3928" s="51">
        <v>0</v>
      </c>
      <c r="AA3928" s="51">
        <v>0</v>
      </c>
      <c r="AB3928" s="102">
        <v>0</v>
      </c>
      <c r="AC3928" s="81">
        <f t="shared" si="187"/>
        <v>0</v>
      </c>
      <c r="AD3928" s="82">
        <f t="shared" si="188"/>
        <v>0</v>
      </c>
      <c r="AE3928" s="218">
        <v>-3.7781470829177698E-4</v>
      </c>
      <c r="AF3928">
        <v>10</v>
      </c>
      <c r="AH3928" t="str">
        <f t="shared" si="186"/>
        <v>Gaighat</v>
      </c>
      <c r="AJ3928" s="72">
        <v>0</v>
      </c>
      <c r="AK3928" s="72"/>
      <c r="AL3928" s="72"/>
      <c r="AM3928" s="72"/>
    </row>
    <row r="3929" spans="1:39" x14ac:dyDescent="0.25">
      <c r="A3929" s="37" t="s">
        <v>62</v>
      </c>
      <c r="B3929" s="66" t="s">
        <v>1676</v>
      </c>
      <c r="C3929" s="4">
        <v>1066</v>
      </c>
      <c r="D3929" s="41" t="s">
        <v>1501</v>
      </c>
      <c r="E3929" s="41">
        <v>10660002</v>
      </c>
      <c r="F3929" s="85" t="s">
        <v>1507</v>
      </c>
      <c r="G3929" s="39" t="s">
        <v>92</v>
      </c>
      <c r="H3929" s="52" t="s">
        <v>93</v>
      </c>
      <c r="I3929" s="52">
        <v>663.9</v>
      </c>
      <c r="J3929" s="49">
        <v>30147.800000000007</v>
      </c>
      <c r="K3929" s="58">
        <v>645.70000000000005</v>
      </c>
      <c r="L3929" s="58">
        <v>29910.750000000004</v>
      </c>
      <c r="M3929" s="58">
        <v>6</v>
      </c>
      <c r="N3929" s="58">
        <v>270.97000000000003</v>
      </c>
      <c r="O3929" s="58">
        <v>651.70000000000005</v>
      </c>
      <c r="P3929" s="53">
        <v>30181.720000000005</v>
      </c>
      <c r="Q3929" s="65">
        <v>30147.800000000007</v>
      </c>
      <c r="R3929" s="65">
        <v>0</v>
      </c>
      <c r="S3929" s="65">
        <v>270.97000000000003</v>
      </c>
      <c r="T3929" s="65">
        <v>33.919999999998254</v>
      </c>
      <c r="U3929" s="58">
        <v>0</v>
      </c>
      <c r="V3929" s="65">
        <v>0</v>
      </c>
      <c r="W3929" s="65">
        <v>0</v>
      </c>
      <c r="X3929" s="65">
        <v>29877</v>
      </c>
      <c r="Y3929" s="65">
        <v>0</v>
      </c>
      <c r="Z3929" s="51">
        <v>0</v>
      </c>
      <c r="AA3929" s="51">
        <v>0</v>
      </c>
      <c r="AB3929" s="102">
        <v>0</v>
      </c>
      <c r="AC3929" s="81">
        <f t="shared" si="187"/>
        <v>32.786129838831165</v>
      </c>
      <c r="AD3929" s="82">
        <f t="shared" si="188"/>
        <v>94.842857142857142</v>
      </c>
      <c r="AE3929" s="218">
        <v>-1.1251235579378344E-3</v>
      </c>
      <c r="AF3929">
        <v>9</v>
      </c>
      <c r="AH3929" t="str">
        <f t="shared" si="186"/>
        <v>Gaighat</v>
      </c>
      <c r="AJ3929" s="72">
        <v>0</v>
      </c>
      <c r="AK3929" s="72"/>
      <c r="AL3929" s="72"/>
      <c r="AM3929" s="72"/>
    </row>
    <row r="3930" spans="1:39" x14ac:dyDescent="0.25">
      <c r="A3930" s="37" t="s">
        <v>62</v>
      </c>
      <c r="B3930" s="66" t="s">
        <v>1676</v>
      </c>
      <c r="C3930" s="4">
        <v>1066</v>
      </c>
      <c r="D3930" s="41" t="s">
        <v>1501</v>
      </c>
      <c r="E3930" s="41">
        <v>10660004</v>
      </c>
      <c r="F3930" s="85" t="s">
        <v>1508</v>
      </c>
      <c r="G3930" s="39" t="s">
        <v>92</v>
      </c>
      <c r="H3930" s="52" t="s">
        <v>93</v>
      </c>
      <c r="I3930" s="52">
        <v>726.90000000000009</v>
      </c>
      <c r="J3930" s="49">
        <v>31451.85</v>
      </c>
      <c r="K3930" s="58">
        <v>704.8</v>
      </c>
      <c r="L3930" s="58">
        <v>31034.040000000005</v>
      </c>
      <c r="M3930" s="58">
        <v>16.2</v>
      </c>
      <c r="N3930" s="58">
        <v>717.13</v>
      </c>
      <c r="O3930" s="58">
        <v>721</v>
      </c>
      <c r="P3930" s="53">
        <v>31751.170000000006</v>
      </c>
      <c r="Q3930" s="65">
        <v>31451.85</v>
      </c>
      <c r="R3930" s="65">
        <v>0</v>
      </c>
      <c r="S3930" s="65">
        <v>717.13</v>
      </c>
      <c r="T3930" s="65">
        <v>299.32000000000698</v>
      </c>
      <c r="U3930" s="58">
        <v>1901</v>
      </c>
      <c r="V3930" s="65">
        <v>0</v>
      </c>
      <c r="W3930" s="65">
        <v>0</v>
      </c>
      <c r="X3930" s="65">
        <v>28834</v>
      </c>
      <c r="Y3930" s="65">
        <v>0</v>
      </c>
      <c r="Z3930" s="51">
        <v>0</v>
      </c>
      <c r="AA3930" s="51">
        <v>0</v>
      </c>
      <c r="AB3930" s="102">
        <v>0</v>
      </c>
      <c r="AC3930" s="81">
        <f t="shared" si="187"/>
        <v>0</v>
      </c>
      <c r="AD3930" s="82">
        <f t="shared" si="188"/>
        <v>0</v>
      </c>
      <c r="AE3930" s="218">
        <v>-9.5167692838420311E-3</v>
      </c>
      <c r="AF3930">
        <v>24</v>
      </c>
      <c r="AH3930" t="str">
        <f t="shared" si="186"/>
        <v>Gaighat</v>
      </c>
      <c r="AJ3930" s="72">
        <v>0</v>
      </c>
      <c r="AK3930" s="72"/>
      <c r="AL3930" s="72"/>
      <c r="AM3930" s="72"/>
    </row>
    <row r="3931" spans="1:39" x14ac:dyDescent="0.25">
      <c r="A3931" s="37" t="s">
        <v>62</v>
      </c>
      <c r="B3931" s="66" t="s">
        <v>1676</v>
      </c>
      <c r="C3931" s="4">
        <v>1066</v>
      </c>
      <c r="D3931" s="41" t="s">
        <v>1501</v>
      </c>
      <c r="E3931" s="41">
        <v>10660005</v>
      </c>
      <c r="F3931" s="85" t="s">
        <v>1509</v>
      </c>
      <c r="G3931" s="39" t="s">
        <v>92</v>
      </c>
      <c r="H3931" s="52" t="s">
        <v>93</v>
      </c>
      <c r="I3931" s="52">
        <v>681.49999999999989</v>
      </c>
      <c r="J3931" s="49">
        <v>32141.689999999995</v>
      </c>
      <c r="K3931" s="58">
        <v>663.39999999999986</v>
      </c>
      <c r="L3931" s="58">
        <v>32163.57</v>
      </c>
      <c r="M3931" s="58">
        <v>0.5</v>
      </c>
      <c r="N3931" s="58">
        <v>32.409999999999997</v>
      </c>
      <c r="O3931" s="58">
        <v>663.89999999999986</v>
      </c>
      <c r="P3931" s="53">
        <v>32195.98</v>
      </c>
      <c r="Q3931" s="65">
        <v>32141.689999999995</v>
      </c>
      <c r="R3931" s="65">
        <v>0</v>
      </c>
      <c r="S3931" s="65">
        <v>32.409999999999997</v>
      </c>
      <c r="T3931" s="65">
        <v>54.290000000004511</v>
      </c>
      <c r="U3931" s="58">
        <v>1550</v>
      </c>
      <c r="V3931" s="65">
        <v>0</v>
      </c>
      <c r="W3931" s="65">
        <v>0</v>
      </c>
      <c r="X3931" s="65">
        <v>30559</v>
      </c>
      <c r="Y3931" s="65">
        <v>0</v>
      </c>
      <c r="Z3931" s="51">
        <v>0</v>
      </c>
      <c r="AA3931" s="51">
        <v>0</v>
      </c>
      <c r="AB3931" s="102">
        <v>0</v>
      </c>
      <c r="AC3931" s="81">
        <f t="shared" si="187"/>
        <v>17.450367278063165</v>
      </c>
      <c r="AD3931" s="82">
        <f t="shared" si="188"/>
        <v>97.357142857142847</v>
      </c>
      <c r="AE3931" s="218">
        <v>-1.6890835547229944E-3</v>
      </c>
      <c r="AF3931">
        <v>22</v>
      </c>
      <c r="AH3931" t="str">
        <f t="shared" si="186"/>
        <v>Gaighat</v>
      </c>
      <c r="AJ3931" s="72">
        <v>0</v>
      </c>
      <c r="AK3931" s="72"/>
      <c r="AL3931" s="72"/>
      <c r="AM3931" s="72"/>
    </row>
    <row r="3932" spans="1:39" x14ac:dyDescent="0.25">
      <c r="A3932" s="37" t="s">
        <v>62</v>
      </c>
      <c r="B3932" s="66" t="s">
        <v>1676</v>
      </c>
      <c r="C3932" s="4">
        <v>1066</v>
      </c>
      <c r="D3932" s="41" t="s">
        <v>1501</v>
      </c>
      <c r="E3932" s="41">
        <v>10660006</v>
      </c>
      <c r="F3932" s="85" t="s">
        <v>1510</v>
      </c>
      <c r="G3932" s="39" t="s">
        <v>92</v>
      </c>
      <c r="H3932" s="52" t="s">
        <v>93</v>
      </c>
      <c r="I3932" s="52">
        <v>449.6</v>
      </c>
      <c r="J3932" s="49">
        <v>19193.820000000003</v>
      </c>
      <c r="K3932" s="58">
        <v>443.3</v>
      </c>
      <c r="L3932" s="58">
        <v>19017.259999999998</v>
      </c>
      <c r="M3932" s="58">
        <v>4</v>
      </c>
      <c r="N3932" s="58">
        <v>177.75</v>
      </c>
      <c r="O3932" s="58">
        <v>447.3</v>
      </c>
      <c r="P3932" s="53">
        <v>19195.009999999998</v>
      </c>
      <c r="Q3932" s="65">
        <v>19193.820000000003</v>
      </c>
      <c r="R3932" s="65">
        <v>0</v>
      </c>
      <c r="S3932" s="65">
        <v>177.75</v>
      </c>
      <c r="T3932" s="65">
        <v>1.1899999999950523</v>
      </c>
      <c r="U3932" s="58">
        <v>1550</v>
      </c>
      <c r="V3932" s="65">
        <v>0</v>
      </c>
      <c r="W3932" s="65">
        <v>0</v>
      </c>
      <c r="X3932" s="65">
        <v>17466</v>
      </c>
      <c r="Y3932" s="65">
        <v>0</v>
      </c>
      <c r="Z3932" s="51">
        <v>0</v>
      </c>
      <c r="AA3932" s="51">
        <v>0</v>
      </c>
      <c r="AB3932" s="102">
        <v>0</v>
      </c>
      <c r="AC3932" s="81">
        <f t="shared" si="187"/>
        <v>213.79593096085412</v>
      </c>
      <c r="AD3932" s="82">
        <f t="shared" si="188"/>
        <v>64.228571428571428</v>
      </c>
      <c r="AE3932" s="218">
        <v>-6.1999122634006791E-5</v>
      </c>
      <c r="AF3932">
        <v>13</v>
      </c>
      <c r="AH3932" t="str">
        <f t="shared" si="186"/>
        <v>Gaighat</v>
      </c>
      <c r="AJ3932" s="72">
        <v>0</v>
      </c>
      <c r="AK3932" s="72"/>
      <c r="AL3932" s="72"/>
      <c r="AM3932" s="72"/>
    </row>
    <row r="3933" spans="1:39" x14ac:dyDescent="0.25">
      <c r="A3933" s="37" t="s">
        <v>62</v>
      </c>
      <c r="B3933" s="66" t="s">
        <v>1676</v>
      </c>
      <c r="C3933" s="4">
        <v>1066</v>
      </c>
      <c r="D3933" s="41" t="s">
        <v>1501</v>
      </c>
      <c r="E3933" s="41">
        <v>10660007</v>
      </c>
      <c r="F3933" s="85" t="s">
        <v>1511</v>
      </c>
      <c r="G3933" s="39" t="s">
        <v>1610</v>
      </c>
      <c r="H3933" s="52" t="s">
        <v>98</v>
      </c>
      <c r="I3933" s="52">
        <v>211.89999999999998</v>
      </c>
      <c r="J3933" s="49">
        <v>8577.01</v>
      </c>
      <c r="K3933" s="58">
        <v>0</v>
      </c>
      <c r="L3933" s="58">
        <v>0</v>
      </c>
      <c r="M3933" s="58">
        <v>0</v>
      </c>
      <c r="N3933" s="58">
        <v>0</v>
      </c>
      <c r="O3933" s="58">
        <v>0</v>
      </c>
      <c r="P3933" s="53">
        <v>0</v>
      </c>
      <c r="Q3933" s="65">
        <v>8577.01</v>
      </c>
      <c r="R3933" s="65">
        <v>0</v>
      </c>
      <c r="S3933" s="65">
        <v>0</v>
      </c>
      <c r="T3933" s="65">
        <v>0</v>
      </c>
      <c r="U3933" s="58">
        <v>0</v>
      </c>
      <c r="V3933" s="65">
        <v>0</v>
      </c>
      <c r="W3933" s="65">
        <v>0</v>
      </c>
      <c r="X3933" s="65">
        <v>0</v>
      </c>
      <c r="Y3933" s="65">
        <v>0</v>
      </c>
      <c r="Z3933" s="51">
        <v>8577.01</v>
      </c>
      <c r="AA3933" s="51">
        <v>0</v>
      </c>
      <c r="AB3933" s="102">
        <v>0</v>
      </c>
      <c r="AC3933" s="81">
        <f t="shared" si="187"/>
        <v>395.13341963190192</v>
      </c>
      <c r="AD3933" s="82">
        <f t="shared" si="188"/>
        <v>30.271428571428569</v>
      </c>
      <c r="AE3933" s="218">
        <v>0</v>
      </c>
      <c r="AF3933">
        <v>0</v>
      </c>
      <c r="AH3933" t="str">
        <f t="shared" si="186"/>
        <v>Gaighat</v>
      </c>
      <c r="AJ3933" s="72">
        <v>0</v>
      </c>
      <c r="AK3933" s="72"/>
      <c r="AL3933" s="72"/>
      <c r="AM3933" s="72"/>
    </row>
    <row r="3934" spans="1:39" x14ac:dyDescent="0.25">
      <c r="A3934" s="37" t="s">
        <v>62</v>
      </c>
      <c r="B3934" s="66" t="s">
        <v>1676</v>
      </c>
      <c r="C3934" s="4">
        <v>1066</v>
      </c>
      <c r="D3934" s="41" t="s">
        <v>1501</v>
      </c>
      <c r="E3934" s="41">
        <v>10660010</v>
      </c>
      <c r="F3934" s="85" t="s">
        <v>1512</v>
      </c>
      <c r="G3934" s="39" t="s">
        <v>1610</v>
      </c>
      <c r="H3934" s="52" t="s">
        <v>98</v>
      </c>
      <c r="I3934" s="52">
        <v>2225.1000000000004</v>
      </c>
      <c r="J3934" s="49">
        <v>89921.58</v>
      </c>
      <c r="K3934" s="58">
        <v>0</v>
      </c>
      <c r="L3934" s="58">
        <v>0</v>
      </c>
      <c r="M3934" s="58">
        <v>0</v>
      </c>
      <c r="N3934" s="58">
        <v>0</v>
      </c>
      <c r="O3934" s="58">
        <v>0</v>
      </c>
      <c r="P3934" s="53">
        <v>0</v>
      </c>
      <c r="Q3934" s="65">
        <v>89921.58</v>
      </c>
      <c r="R3934" s="65">
        <v>0</v>
      </c>
      <c r="S3934" s="65">
        <v>0</v>
      </c>
      <c r="T3934" s="65">
        <v>0</v>
      </c>
      <c r="U3934" s="58">
        <v>0</v>
      </c>
      <c r="V3934" s="65">
        <v>0</v>
      </c>
      <c r="W3934" s="65">
        <v>0</v>
      </c>
      <c r="X3934" s="65">
        <v>0</v>
      </c>
      <c r="Y3934" s="65">
        <v>0</v>
      </c>
      <c r="Z3934" s="51">
        <v>89921.58</v>
      </c>
      <c r="AA3934" s="51">
        <v>0</v>
      </c>
      <c r="AB3934" s="102">
        <v>0</v>
      </c>
      <c r="AC3934" s="81">
        <f t="shared" si="187"/>
        <v>0</v>
      </c>
      <c r="AD3934" s="82">
        <f t="shared" si="188"/>
        <v>0</v>
      </c>
      <c r="AE3934" s="218">
        <v>0</v>
      </c>
      <c r="AF3934">
        <v>0</v>
      </c>
      <c r="AH3934" t="str">
        <f t="shared" si="186"/>
        <v>Gaighat</v>
      </c>
      <c r="AJ3934" s="72">
        <v>0</v>
      </c>
      <c r="AK3934" s="72"/>
      <c r="AL3934" s="72"/>
      <c r="AM3934" s="72"/>
    </row>
    <row r="3935" spans="1:39" x14ac:dyDescent="0.25">
      <c r="A3935" s="37" t="s">
        <v>62</v>
      </c>
      <c r="B3935" s="66" t="s">
        <v>1676</v>
      </c>
      <c r="C3935" s="4">
        <v>1066</v>
      </c>
      <c r="D3935" s="41" t="s">
        <v>1501</v>
      </c>
      <c r="E3935" s="41">
        <v>10660011</v>
      </c>
      <c r="F3935" s="85" t="s">
        <v>1513</v>
      </c>
      <c r="G3935" s="39" t="s">
        <v>1610</v>
      </c>
      <c r="H3935" s="52" t="s">
        <v>98</v>
      </c>
      <c r="I3935" s="52">
        <v>1246.5</v>
      </c>
      <c r="J3935" s="49">
        <v>51863.540000000008</v>
      </c>
      <c r="K3935" s="58">
        <v>0</v>
      </c>
      <c r="L3935" s="58">
        <v>0</v>
      </c>
      <c r="M3935" s="58">
        <v>0</v>
      </c>
      <c r="N3935" s="58">
        <v>0</v>
      </c>
      <c r="O3935" s="58">
        <v>0</v>
      </c>
      <c r="P3935" s="53">
        <v>0</v>
      </c>
      <c r="Q3935" s="65">
        <v>51863.540000000008</v>
      </c>
      <c r="R3935" s="65">
        <v>0</v>
      </c>
      <c r="S3935" s="65">
        <v>0</v>
      </c>
      <c r="T3935" s="65">
        <v>0</v>
      </c>
      <c r="U3935" s="58">
        <v>0</v>
      </c>
      <c r="V3935" s="65">
        <v>0</v>
      </c>
      <c r="W3935" s="65">
        <v>0</v>
      </c>
      <c r="X3935" s="65">
        <v>0</v>
      </c>
      <c r="Y3935" s="65">
        <v>0</v>
      </c>
      <c r="Z3935" s="51">
        <v>51863.540000000008</v>
      </c>
      <c r="AA3935" s="51">
        <v>0</v>
      </c>
      <c r="AB3935" s="102">
        <v>0</v>
      </c>
      <c r="AC3935" s="81">
        <f t="shared" si="187"/>
        <v>0</v>
      </c>
      <c r="AD3935" s="82">
        <f t="shared" si="188"/>
        <v>0</v>
      </c>
      <c r="AE3935" s="218">
        <v>0</v>
      </c>
      <c r="AF3935">
        <v>0</v>
      </c>
      <c r="AH3935" t="str">
        <f t="shared" si="186"/>
        <v>Gaighat</v>
      </c>
      <c r="AJ3935" s="72">
        <v>0</v>
      </c>
      <c r="AK3935" s="72"/>
      <c r="AL3935" s="72"/>
      <c r="AM3935" s="72"/>
    </row>
    <row r="3936" spans="1:39" x14ac:dyDescent="0.25">
      <c r="A3936" s="37" t="s">
        <v>62</v>
      </c>
      <c r="B3936" s="66" t="s">
        <v>1676</v>
      </c>
      <c r="C3936" s="4">
        <v>1066</v>
      </c>
      <c r="D3936" s="41" t="s">
        <v>1501</v>
      </c>
      <c r="E3936" s="41">
        <v>10660012</v>
      </c>
      <c r="F3936" s="85" t="s">
        <v>1529</v>
      </c>
      <c r="G3936" s="39" t="s">
        <v>1610</v>
      </c>
      <c r="H3936" s="52" t="s">
        <v>98</v>
      </c>
      <c r="I3936" s="52">
        <v>182.5</v>
      </c>
      <c r="J3936" s="49">
        <v>8570.9499999999989</v>
      </c>
      <c r="K3936" s="58">
        <v>0</v>
      </c>
      <c r="L3936" s="58">
        <v>0</v>
      </c>
      <c r="M3936" s="58">
        <v>0</v>
      </c>
      <c r="N3936" s="58">
        <v>0</v>
      </c>
      <c r="O3936" s="58">
        <v>0</v>
      </c>
      <c r="P3936" s="53">
        <v>0</v>
      </c>
      <c r="Q3936" s="65">
        <v>8570.9499999999989</v>
      </c>
      <c r="R3936" s="65">
        <v>0</v>
      </c>
      <c r="S3936" s="65">
        <v>0</v>
      </c>
      <c r="T3936" s="65">
        <v>0</v>
      </c>
      <c r="U3936" s="58">
        <v>0</v>
      </c>
      <c r="V3936" s="65">
        <v>0</v>
      </c>
      <c r="W3936" s="65">
        <v>0</v>
      </c>
      <c r="X3936" s="65">
        <v>0</v>
      </c>
      <c r="Y3936" s="65">
        <v>0</v>
      </c>
      <c r="Z3936" s="51">
        <v>8570.9499999999989</v>
      </c>
      <c r="AA3936" s="51">
        <v>0</v>
      </c>
      <c r="AB3936" s="102">
        <v>0</v>
      </c>
      <c r="AC3936" s="81">
        <f t="shared" si="187"/>
        <v>486.0785342465752</v>
      </c>
      <c r="AD3936" s="82">
        <f t="shared" si="188"/>
        <v>26.071428571428573</v>
      </c>
      <c r="AE3936" s="218">
        <v>0</v>
      </c>
      <c r="AF3936">
        <v>0</v>
      </c>
      <c r="AH3936" t="str">
        <f t="shared" si="186"/>
        <v>Gaighat</v>
      </c>
      <c r="AJ3936" s="72">
        <v>0</v>
      </c>
      <c r="AK3936" s="72"/>
      <c r="AL3936" s="72"/>
      <c r="AM3936" s="72"/>
    </row>
    <row r="3937" spans="1:39" x14ac:dyDescent="0.25">
      <c r="A3937" s="37" t="s">
        <v>62</v>
      </c>
      <c r="B3937" s="66" t="s">
        <v>1676</v>
      </c>
      <c r="C3937" s="4">
        <v>1066</v>
      </c>
      <c r="D3937" s="41" t="s">
        <v>1501</v>
      </c>
      <c r="E3937" s="41">
        <v>10660013</v>
      </c>
      <c r="F3937" s="85" t="s">
        <v>1514</v>
      </c>
      <c r="G3937" s="39" t="s">
        <v>92</v>
      </c>
      <c r="H3937" s="52" t="s">
        <v>93</v>
      </c>
      <c r="I3937" s="52">
        <v>671.9</v>
      </c>
      <c r="J3937" s="49">
        <v>27430.5</v>
      </c>
      <c r="K3937" s="58">
        <v>690.8</v>
      </c>
      <c r="L3937" s="58">
        <v>27112.22</v>
      </c>
      <c r="M3937" s="58">
        <v>0</v>
      </c>
      <c r="N3937" s="58">
        <v>0</v>
      </c>
      <c r="O3937" s="58">
        <v>690.8</v>
      </c>
      <c r="P3937" s="53">
        <v>27112.22</v>
      </c>
      <c r="Q3937" s="65">
        <v>27112.22</v>
      </c>
      <c r="R3937" s="65">
        <v>0</v>
      </c>
      <c r="S3937" s="65">
        <v>0</v>
      </c>
      <c r="T3937" s="65">
        <v>0</v>
      </c>
      <c r="U3937" s="58">
        <v>3100</v>
      </c>
      <c r="V3937" s="65">
        <v>0</v>
      </c>
      <c r="W3937" s="65">
        <v>0</v>
      </c>
      <c r="X3937" s="65">
        <v>24012</v>
      </c>
      <c r="Y3937" s="65">
        <v>0</v>
      </c>
      <c r="Z3937" s="51">
        <v>0</v>
      </c>
      <c r="AA3937" s="51">
        <v>319</v>
      </c>
      <c r="AB3937" s="102">
        <v>0</v>
      </c>
      <c r="AC3937" s="81">
        <f t="shared" si="187"/>
        <v>22.943802649203782</v>
      </c>
      <c r="AD3937" s="82">
        <f t="shared" si="188"/>
        <v>95.98571428571428</v>
      </c>
      <c r="AE3937" s="218">
        <v>1.1603142487377148E-2</v>
      </c>
      <c r="AF3937">
        <v>4</v>
      </c>
      <c r="AH3937" t="str">
        <f t="shared" si="186"/>
        <v>Gaighat</v>
      </c>
      <c r="AJ3937" s="72">
        <v>0</v>
      </c>
      <c r="AK3937" s="72"/>
      <c r="AL3937" s="72"/>
      <c r="AM3937" s="72"/>
    </row>
    <row r="3938" spans="1:39" x14ac:dyDescent="0.25">
      <c r="A3938" s="37" t="s">
        <v>62</v>
      </c>
      <c r="B3938" s="66" t="s">
        <v>1676</v>
      </c>
      <c r="C3938" s="4">
        <v>1066</v>
      </c>
      <c r="D3938" s="41" t="s">
        <v>1501</v>
      </c>
      <c r="E3938" s="41">
        <v>10660014</v>
      </c>
      <c r="F3938" s="85" t="s">
        <v>1650</v>
      </c>
      <c r="G3938" s="39" t="s">
        <v>1610</v>
      </c>
      <c r="H3938" s="52" t="s">
        <v>93</v>
      </c>
      <c r="I3938" s="52">
        <v>47.800000000000004</v>
      </c>
      <c r="J3938" s="49">
        <v>2072.67</v>
      </c>
      <c r="K3938" s="58">
        <v>45.7</v>
      </c>
      <c r="L3938" s="58">
        <v>1982.6100000000001</v>
      </c>
      <c r="M3938" s="58">
        <v>0</v>
      </c>
      <c r="N3938" s="58">
        <v>0</v>
      </c>
      <c r="O3938" s="58">
        <v>45.7</v>
      </c>
      <c r="P3938" s="53">
        <v>1982.6100000000001</v>
      </c>
      <c r="Q3938" s="65">
        <v>1982.6100000000001</v>
      </c>
      <c r="R3938" s="65">
        <v>0</v>
      </c>
      <c r="S3938" s="65">
        <v>0</v>
      </c>
      <c r="T3938" s="65">
        <v>0</v>
      </c>
      <c r="U3938" s="58">
        <v>0</v>
      </c>
      <c r="V3938" s="65">
        <v>0</v>
      </c>
      <c r="W3938" s="65">
        <v>0</v>
      </c>
      <c r="X3938" s="65">
        <v>1982</v>
      </c>
      <c r="Y3938" s="65">
        <v>0</v>
      </c>
      <c r="Z3938" s="51">
        <v>0</v>
      </c>
      <c r="AA3938" s="51">
        <v>91</v>
      </c>
      <c r="AB3938" s="102">
        <v>0</v>
      </c>
      <c r="AC3938" s="81">
        <f t="shared" si="187"/>
        <v>565.60475899581593</v>
      </c>
      <c r="AD3938" s="82">
        <f t="shared" si="188"/>
        <v>6.8285714285714292</v>
      </c>
      <c r="AE3938" s="218">
        <v>4.3451200625280406E-2</v>
      </c>
      <c r="AF3938">
        <v>4</v>
      </c>
      <c r="AH3938" t="str">
        <f t="shared" si="186"/>
        <v>Gaighat</v>
      </c>
      <c r="AJ3938" s="72">
        <v>0</v>
      </c>
      <c r="AK3938" s="72"/>
      <c r="AL3938" s="72"/>
      <c r="AM3938" s="72"/>
    </row>
    <row r="3939" spans="1:39" x14ac:dyDescent="0.25">
      <c r="A3939" s="37" t="s">
        <v>62</v>
      </c>
      <c r="B3939" s="66" t="s">
        <v>1676</v>
      </c>
      <c r="C3939" s="4">
        <v>1066</v>
      </c>
      <c r="D3939" s="41" t="s">
        <v>1501</v>
      </c>
      <c r="E3939" s="41">
        <v>10660015</v>
      </c>
      <c r="F3939" s="85" t="s">
        <v>1515</v>
      </c>
      <c r="G3939" s="39" t="s">
        <v>1610</v>
      </c>
      <c r="H3939" s="52" t="s">
        <v>98</v>
      </c>
      <c r="I3939" s="52">
        <v>1872.3000000000002</v>
      </c>
      <c r="J3939" s="49">
        <v>79802.03</v>
      </c>
      <c r="K3939" s="58">
        <v>0</v>
      </c>
      <c r="L3939" s="58">
        <v>0</v>
      </c>
      <c r="M3939" s="58">
        <v>0</v>
      </c>
      <c r="N3939" s="58">
        <v>0</v>
      </c>
      <c r="O3939" s="58">
        <v>0</v>
      </c>
      <c r="P3939" s="53">
        <v>0</v>
      </c>
      <c r="Q3939" s="65">
        <v>79802.03</v>
      </c>
      <c r="R3939" s="65">
        <v>0</v>
      </c>
      <c r="S3939" s="65">
        <v>0</v>
      </c>
      <c r="T3939" s="65">
        <v>0</v>
      </c>
      <c r="U3939" s="58">
        <v>0</v>
      </c>
      <c r="V3939" s="65">
        <v>0</v>
      </c>
      <c r="W3939" s="65">
        <v>0</v>
      </c>
      <c r="X3939" s="65">
        <v>0</v>
      </c>
      <c r="Y3939" s="65">
        <v>0</v>
      </c>
      <c r="Z3939" s="51">
        <v>79802.03</v>
      </c>
      <c r="AA3939" s="51">
        <v>0</v>
      </c>
      <c r="AB3939" s="102">
        <v>0</v>
      </c>
      <c r="AC3939" s="81">
        <f t="shared" si="187"/>
        <v>0</v>
      </c>
      <c r="AD3939" s="82">
        <f t="shared" si="188"/>
        <v>0</v>
      </c>
      <c r="AE3939" s="218">
        <v>0</v>
      </c>
      <c r="AF3939">
        <v>0</v>
      </c>
      <c r="AH3939" t="str">
        <f t="shared" si="186"/>
        <v>Gaighat</v>
      </c>
      <c r="AJ3939" s="72">
        <v>0</v>
      </c>
      <c r="AK3939" s="72"/>
      <c r="AL3939" s="72"/>
      <c r="AM3939" s="72"/>
    </row>
    <row r="3940" spans="1:39" x14ac:dyDescent="0.25">
      <c r="A3940" s="37" t="s">
        <v>62</v>
      </c>
      <c r="B3940" s="66" t="s">
        <v>1676</v>
      </c>
      <c r="C3940" s="4">
        <v>1066</v>
      </c>
      <c r="D3940" s="41" t="s">
        <v>1501</v>
      </c>
      <c r="E3940" s="41">
        <v>10660016</v>
      </c>
      <c r="F3940" s="85" t="s">
        <v>1516</v>
      </c>
      <c r="G3940" s="39" t="s">
        <v>1610</v>
      </c>
      <c r="H3940" s="52" t="s">
        <v>98</v>
      </c>
      <c r="I3940" s="52">
        <v>685.40000000000009</v>
      </c>
      <c r="J3940" s="49">
        <v>27920.460000000003</v>
      </c>
      <c r="K3940" s="58">
        <v>0</v>
      </c>
      <c r="L3940" s="58">
        <v>0</v>
      </c>
      <c r="M3940" s="58">
        <v>0</v>
      </c>
      <c r="N3940" s="58">
        <v>0</v>
      </c>
      <c r="O3940" s="58">
        <v>0</v>
      </c>
      <c r="P3940" s="53">
        <v>0</v>
      </c>
      <c r="Q3940" s="65">
        <v>27920.460000000003</v>
      </c>
      <c r="R3940" s="65">
        <v>0</v>
      </c>
      <c r="S3940" s="65">
        <v>0</v>
      </c>
      <c r="T3940" s="65">
        <v>0</v>
      </c>
      <c r="U3940" s="58">
        <v>0</v>
      </c>
      <c r="V3940" s="65">
        <v>0</v>
      </c>
      <c r="W3940" s="65">
        <v>0</v>
      </c>
      <c r="X3940" s="65">
        <v>0</v>
      </c>
      <c r="Y3940" s="65">
        <v>0</v>
      </c>
      <c r="Z3940" s="51">
        <v>27920.460000000003</v>
      </c>
      <c r="AA3940" s="51">
        <v>0</v>
      </c>
      <c r="AB3940" s="102">
        <v>0</v>
      </c>
      <c r="AC3940" s="81">
        <f t="shared" si="187"/>
        <v>11.894914385760078</v>
      </c>
      <c r="AD3940" s="82">
        <f t="shared" si="188"/>
        <v>97.914285714285725</v>
      </c>
      <c r="AE3940" s="218">
        <v>0</v>
      </c>
      <c r="AF3940">
        <v>0</v>
      </c>
      <c r="AH3940" t="str">
        <f t="shared" si="186"/>
        <v>Gaighat</v>
      </c>
      <c r="AJ3940" s="72">
        <v>0</v>
      </c>
      <c r="AK3940" s="72"/>
      <c r="AL3940" s="72"/>
      <c r="AM3940" s="72"/>
    </row>
    <row r="3941" spans="1:39" x14ac:dyDescent="0.25">
      <c r="A3941" s="37" t="s">
        <v>62</v>
      </c>
      <c r="B3941" s="66" t="s">
        <v>1676</v>
      </c>
      <c r="C3941" s="4">
        <v>1066</v>
      </c>
      <c r="D3941" s="41" t="s">
        <v>1501</v>
      </c>
      <c r="E3941" s="41">
        <v>10660017</v>
      </c>
      <c r="F3941" s="85" t="s">
        <v>1502</v>
      </c>
      <c r="G3941" s="39" t="s">
        <v>92</v>
      </c>
      <c r="H3941" s="52" t="s">
        <v>93</v>
      </c>
      <c r="I3941" s="52">
        <v>293.7</v>
      </c>
      <c r="J3941" s="49">
        <v>12597.080000000002</v>
      </c>
      <c r="K3941" s="58">
        <v>272</v>
      </c>
      <c r="L3941" s="58">
        <v>12508.36</v>
      </c>
      <c r="M3941" s="58">
        <v>2.9</v>
      </c>
      <c r="N3941" s="58">
        <v>123.21</v>
      </c>
      <c r="O3941" s="58">
        <v>274.89999999999998</v>
      </c>
      <c r="P3941" s="53">
        <v>12631.57</v>
      </c>
      <c r="Q3941" s="65">
        <v>12597.080000000002</v>
      </c>
      <c r="R3941" s="65">
        <v>0</v>
      </c>
      <c r="S3941" s="65">
        <v>123.21</v>
      </c>
      <c r="T3941" s="65">
        <v>34.489999999997963</v>
      </c>
      <c r="U3941" s="58">
        <v>3100</v>
      </c>
      <c r="V3941" s="65">
        <v>0</v>
      </c>
      <c r="W3941" s="65">
        <v>0</v>
      </c>
      <c r="X3941" s="65">
        <v>9374</v>
      </c>
      <c r="Y3941" s="65">
        <v>0</v>
      </c>
      <c r="Z3941" s="51">
        <v>0</v>
      </c>
      <c r="AA3941" s="51">
        <v>0</v>
      </c>
      <c r="AB3941" s="102">
        <v>0</v>
      </c>
      <c r="AC3941" s="81">
        <f t="shared" si="187"/>
        <v>348.53208062648969</v>
      </c>
      <c r="AD3941" s="82">
        <f t="shared" si="188"/>
        <v>41.957142857142856</v>
      </c>
      <c r="AE3941" s="218">
        <v>-2.7379360931261815E-3</v>
      </c>
      <c r="AF3941">
        <v>7</v>
      </c>
      <c r="AH3941" t="str">
        <f t="shared" si="186"/>
        <v>Gaighat</v>
      </c>
      <c r="AJ3941" s="72">
        <v>0</v>
      </c>
      <c r="AK3941" s="72"/>
      <c r="AL3941" s="72"/>
      <c r="AM3941" s="72"/>
    </row>
    <row r="3942" spans="1:39" x14ac:dyDescent="0.25">
      <c r="A3942" s="37" t="s">
        <v>62</v>
      </c>
      <c r="B3942" s="66" t="s">
        <v>1676</v>
      </c>
      <c r="C3942" s="4">
        <v>1066</v>
      </c>
      <c r="D3942" s="41" t="s">
        <v>1501</v>
      </c>
      <c r="E3942" s="41">
        <v>10660023</v>
      </c>
      <c r="F3942" s="85" t="s">
        <v>1520</v>
      </c>
      <c r="G3942" s="39" t="s">
        <v>1610</v>
      </c>
      <c r="H3942" s="52" t="s">
        <v>98</v>
      </c>
      <c r="I3942" s="52">
        <v>8695.9000000000015</v>
      </c>
      <c r="J3942" s="49">
        <v>354613.97</v>
      </c>
      <c r="K3942" s="58">
        <v>0</v>
      </c>
      <c r="L3942" s="58">
        <v>0</v>
      </c>
      <c r="M3942" s="58">
        <v>0</v>
      </c>
      <c r="N3942" s="58">
        <v>0</v>
      </c>
      <c r="O3942" s="58">
        <v>0</v>
      </c>
      <c r="P3942" s="53">
        <v>0</v>
      </c>
      <c r="Q3942" s="65">
        <v>354613.97</v>
      </c>
      <c r="R3942" s="65">
        <v>0</v>
      </c>
      <c r="S3942" s="65">
        <v>0</v>
      </c>
      <c r="T3942" s="65">
        <v>0</v>
      </c>
      <c r="U3942" s="58">
        <v>0</v>
      </c>
      <c r="V3942" s="65">
        <v>0</v>
      </c>
      <c r="W3942" s="65">
        <v>0</v>
      </c>
      <c r="X3942" s="65">
        <v>0</v>
      </c>
      <c r="Y3942" s="65">
        <v>0</v>
      </c>
      <c r="Z3942" s="51">
        <v>354613.97</v>
      </c>
      <c r="AA3942" s="51">
        <v>0</v>
      </c>
      <c r="AB3942" s="102">
        <v>0</v>
      </c>
      <c r="AC3942" s="81">
        <f t="shared" si="187"/>
        <v>0</v>
      </c>
      <c r="AD3942" s="82">
        <f t="shared" si="188"/>
        <v>0</v>
      </c>
      <c r="AE3942" s="218">
        <v>0</v>
      </c>
      <c r="AF3942">
        <v>0</v>
      </c>
      <c r="AH3942" t="str">
        <f t="shared" si="186"/>
        <v>Gaighat</v>
      </c>
      <c r="AJ3942" s="72">
        <v>0</v>
      </c>
      <c r="AK3942" s="72"/>
      <c r="AL3942" s="72"/>
      <c r="AM3942" s="72"/>
    </row>
    <row r="3943" spans="1:39" x14ac:dyDescent="0.25">
      <c r="A3943" s="37" t="s">
        <v>62</v>
      </c>
      <c r="B3943" s="66" t="s">
        <v>1676</v>
      </c>
      <c r="C3943" s="4">
        <v>1066</v>
      </c>
      <c r="D3943" s="41" t="s">
        <v>1501</v>
      </c>
      <c r="E3943" s="41">
        <v>10660025</v>
      </c>
      <c r="F3943" s="85" t="s">
        <v>1651</v>
      </c>
      <c r="G3943" s="39" t="s">
        <v>1610</v>
      </c>
      <c r="H3943" s="52" t="s">
        <v>98</v>
      </c>
      <c r="I3943" s="52">
        <v>133.4</v>
      </c>
      <c r="J3943" s="49">
        <v>5699.36</v>
      </c>
      <c r="K3943" s="58">
        <v>0</v>
      </c>
      <c r="L3943" s="58">
        <v>0</v>
      </c>
      <c r="M3943" s="58">
        <v>0</v>
      </c>
      <c r="N3943" s="58">
        <v>0</v>
      </c>
      <c r="O3943" s="58">
        <v>0</v>
      </c>
      <c r="P3943" s="53">
        <v>0</v>
      </c>
      <c r="Q3943" s="65">
        <v>5699.36</v>
      </c>
      <c r="R3943" s="65">
        <v>0</v>
      </c>
      <c r="S3943" s="65">
        <v>0</v>
      </c>
      <c r="T3943" s="65">
        <v>0</v>
      </c>
      <c r="U3943" s="58">
        <v>0</v>
      </c>
      <c r="V3943" s="65">
        <v>0</v>
      </c>
      <c r="W3943" s="65">
        <v>0</v>
      </c>
      <c r="X3943" s="65">
        <v>0</v>
      </c>
      <c r="Y3943" s="65">
        <v>0</v>
      </c>
      <c r="Z3943" s="51">
        <v>5699.36</v>
      </c>
      <c r="AA3943" s="51">
        <v>0</v>
      </c>
      <c r="AB3943" s="102">
        <v>0</v>
      </c>
      <c r="AC3943" s="81">
        <f t="shared" si="187"/>
        <v>484.14653313343325</v>
      </c>
      <c r="AD3943" s="82">
        <f t="shared" si="188"/>
        <v>19.057142857142857</v>
      </c>
      <c r="AE3943" s="218">
        <v>0</v>
      </c>
      <c r="AF3943">
        <v>0</v>
      </c>
      <c r="AH3943" t="str">
        <f t="shared" si="186"/>
        <v>Gaighat</v>
      </c>
      <c r="AJ3943" s="72">
        <v>0</v>
      </c>
      <c r="AK3943" s="72"/>
      <c r="AL3943" s="72"/>
      <c r="AM3943" s="72"/>
    </row>
    <row r="3944" spans="1:39" x14ac:dyDescent="0.25">
      <c r="A3944" s="37" t="s">
        <v>62</v>
      </c>
      <c r="B3944" s="66" t="s">
        <v>1676</v>
      </c>
      <c r="C3944" s="4">
        <v>1066</v>
      </c>
      <c r="D3944" s="41" t="s">
        <v>1501</v>
      </c>
      <c r="E3944" s="41">
        <v>10660026</v>
      </c>
      <c r="F3944" s="85" t="s">
        <v>1635</v>
      </c>
      <c r="G3944" s="39" t="s">
        <v>1610</v>
      </c>
      <c r="H3944" s="52" t="s">
        <v>93</v>
      </c>
      <c r="I3944" s="52">
        <v>206.79999999999998</v>
      </c>
      <c r="J3944" s="49">
        <v>9380.09</v>
      </c>
      <c r="K3944" s="58">
        <v>200.3</v>
      </c>
      <c r="L3944" s="58">
        <v>9523.0499999999993</v>
      </c>
      <c r="M3944" s="58">
        <v>0</v>
      </c>
      <c r="N3944" s="58">
        <v>0</v>
      </c>
      <c r="O3944" s="58">
        <v>200.3</v>
      </c>
      <c r="P3944" s="53">
        <v>9523.0499999999993</v>
      </c>
      <c r="Q3944" s="65">
        <v>9380.09</v>
      </c>
      <c r="R3944" s="65">
        <v>0</v>
      </c>
      <c r="S3944" s="65">
        <v>0</v>
      </c>
      <c r="T3944" s="65">
        <v>142.95999999999913</v>
      </c>
      <c r="U3944" s="58">
        <v>0</v>
      </c>
      <c r="V3944" s="65">
        <v>0</v>
      </c>
      <c r="W3944" s="65">
        <v>0</v>
      </c>
      <c r="X3944" s="65">
        <v>9380</v>
      </c>
      <c r="Y3944" s="65">
        <v>0</v>
      </c>
      <c r="Z3944" s="51">
        <v>0</v>
      </c>
      <c r="AA3944" s="51">
        <v>0</v>
      </c>
      <c r="AB3944" s="102">
        <v>0</v>
      </c>
      <c r="AC3944" s="81">
        <f t="shared" si="187"/>
        <v>447.41396402321089</v>
      </c>
      <c r="AD3944" s="82">
        <f t="shared" si="188"/>
        <v>29.542857142857141</v>
      </c>
      <c r="AE3944" s="218">
        <v>-1.5240791932699912E-2</v>
      </c>
      <c r="AF3944">
        <v>5</v>
      </c>
      <c r="AH3944" t="str">
        <f t="shared" si="186"/>
        <v>Gaighat</v>
      </c>
      <c r="AJ3944" s="72">
        <v>0</v>
      </c>
      <c r="AK3944" s="72"/>
      <c r="AL3944" s="72"/>
      <c r="AM3944" s="72"/>
    </row>
    <row r="3945" spans="1:39" x14ac:dyDescent="0.25">
      <c r="A3945" s="37" t="s">
        <v>62</v>
      </c>
      <c r="B3945" s="66" t="s">
        <v>1676</v>
      </c>
      <c r="C3945" s="4">
        <v>1066</v>
      </c>
      <c r="D3945" s="41" t="s">
        <v>1501</v>
      </c>
      <c r="E3945" s="41">
        <v>10660027</v>
      </c>
      <c r="F3945" s="85" t="s">
        <v>1636</v>
      </c>
      <c r="G3945" s="39" t="s">
        <v>1610</v>
      </c>
      <c r="H3945" s="52" t="s">
        <v>93</v>
      </c>
      <c r="I3945" s="52">
        <v>666.2</v>
      </c>
      <c r="J3945" s="49">
        <v>26461.699999999997</v>
      </c>
      <c r="K3945" s="58">
        <v>664.9</v>
      </c>
      <c r="L3945" s="58">
        <v>26455.120000000003</v>
      </c>
      <c r="M3945" s="58">
        <v>0</v>
      </c>
      <c r="N3945" s="58">
        <v>0</v>
      </c>
      <c r="O3945" s="58">
        <v>664.9</v>
      </c>
      <c r="P3945" s="53">
        <v>26455.120000000003</v>
      </c>
      <c r="Q3945" s="65">
        <v>26455.120000000003</v>
      </c>
      <c r="R3945" s="65">
        <v>0</v>
      </c>
      <c r="S3945" s="65">
        <v>0</v>
      </c>
      <c r="T3945" s="65">
        <v>0</v>
      </c>
      <c r="U3945" s="58">
        <v>0</v>
      </c>
      <c r="V3945" s="65">
        <v>0</v>
      </c>
      <c r="W3945" s="65">
        <v>0</v>
      </c>
      <c r="X3945" s="65">
        <v>26454</v>
      </c>
      <c r="Y3945" s="65">
        <v>0</v>
      </c>
      <c r="Z3945" s="51">
        <v>0</v>
      </c>
      <c r="AA3945" s="51">
        <v>8</v>
      </c>
      <c r="AB3945" s="102">
        <v>0</v>
      </c>
      <c r="AC3945" s="81">
        <f t="shared" si="187"/>
        <v>26.850959471630098</v>
      </c>
      <c r="AD3945" s="82">
        <f t="shared" si="188"/>
        <v>95.171428571428578</v>
      </c>
      <c r="AE3945" s="218">
        <v>2.4866127270713791E-4</v>
      </c>
      <c r="AF3945">
        <v>8</v>
      </c>
      <c r="AH3945" t="str">
        <f t="shared" si="186"/>
        <v>Gaighat</v>
      </c>
      <c r="AJ3945" s="72">
        <v>0</v>
      </c>
      <c r="AK3945" s="72"/>
      <c r="AL3945" s="72"/>
      <c r="AM3945" s="72"/>
    </row>
    <row r="3946" spans="1:39" x14ac:dyDescent="0.25">
      <c r="A3946" s="37" t="s">
        <v>62</v>
      </c>
      <c r="B3946" s="66" t="s">
        <v>1676</v>
      </c>
      <c r="C3946" s="4">
        <v>1066</v>
      </c>
      <c r="D3946" s="41" t="s">
        <v>1501</v>
      </c>
      <c r="E3946" s="41">
        <v>10660028</v>
      </c>
      <c r="F3946" s="85" t="s">
        <v>1592</v>
      </c>
      <c r="G3946" s="39" t="s">
        <v>1610</v>
      </c>
      <c r="H3946" s="52" t="s">
        <v>93</v>
      </c>
      <c r="I3946" s="52">
        <v>1350.8</v>
      </c>
      <c r="J3946" s="49">
        <v>68898.44</v>
      </c>
      <c r="K3946" s="58">
        <v>1337.2</v>
      </c>
      <c r="L3946" s="58">
        <v>69107.63</v>
      </c>
      <c r="M3946" s="58">
        <v>0</v>
      </c>
      <c r="N3946" s="58">
        <v>0</v>
      </c>
      <c r="O3946" s="58">
        <v>1337.2</v>
      </c>
      <c r="P3946" s="53">
        <v>69107.63</v>
      </c>
      <c r="Q3946" s="65">
        <v>68898.44</v>
      </c>
      <c r="R3946" s="65">
        <v>0</v>
      </c>
      <c r="S3946" s="65">
        <v>0</v>
      </c>
      <c r="T3946" s="65">
        <v>209.19000000000233</v>
      </c>
      <c r="U3946" s="58">
        <v>0</v>
      </c>
      <c r="V3946" s="65">
        <v>0</v>
      </c>
      <c r="W3946" s="65">
        <v>0</v>
      </c>
      <c r="X3946" s="65">
        <v>68898</v>
      </c>
      <c r="Y3946" s="65">
        <v>0</v>
      </c>
      <c r="Z3946" s="51">
        <v>0</v>
      </c>
      <c r="AA3946" s="51">
        <v>0</v>
      </c>
      <c r="AB3946" s="102">
        <v>0</v>
      </c>
      <c r="AC3946" s="81">
        <f t="shared" si="187"/>
        <v>0</v>
      </c>
      <c r="AD3946" s="82">
        <f t="shared" si="188"/>
        <v>0</v>
      </c>
      <c r="AE3946" s="218">
        <v>-3.0362080766995932E-3</v>
      </c>
      <c r="AF3946">
        <v>21</v>
      </c>
      <c r="AH3946" t="str">
        <f t="shared" si="186"/>
        <v>Gaighat</v>
      </c>
      <c r="AJ3946" s="72">
        <v>0</v>
      </c>
      <c r="AK3946" s="72"/>
      <c r="AL3946" s="72"/>
      <c r="AM3946" s="72"/>
    </row>
    <row r="3947" spans="1:39" x14ac:dyDescent="0.25">
      <c r="A3947" s="37" t="s">
        <v>62</v>
      </c>
      <c r="B3947" s="66" t="s">
        <v>1676</v>
      </c>
      <c r="C3947" s="4">
        <v>1066</v>
      </c>
      <c r="D3947" s="41" t="s">
        <v>1501</v>
      </c>
      <c r="E3947" s="41">
        <v>10660029</v>
      </c>
      <c r="F3947" s="85" t="s">
        <v>1637</v>
      </c>
      <c r="G3947" s="39" t="s">
        <v>1610</v>
      </c>
      <c r="H3947" s="52" t="s">
        <v>93</v>
      </c>
      <c r="I3947" s="52">
        <v>220.3</v>
      </c>
      <c r="J3947" s="49">
        <v>9605.14</v>
      </c>
      <c r="K3947" s="58">
        <v>220.49999999999997</v>
      </c>
      <c r="L3947" s="58">
        <v>9616.73</v>
      </c>
      <c r="M3947" s="58">
        <v>0</v>
      </c>
      <c r="N3947" s="58">
        <v>0</v>
      </c>
      <c r="O3947" s="58">
        <v>220.49999999999997</v>
      </c>
      <c r="P3947" s="53">
        <v>9616.73</v>
      </c>
      <c r="Q3947" s="65">
        <v>9605.14</v>
      </c>
      <c r="R3947" s="65">
        <v>0</v>
      </c>
      <c r="S3947" s="65">
        <v>0</v>
      </c>
      <c r="T3947" s="65">
        <v>11.590000000000146</v>
      </c>
      <c r="U3947" s="58">
        <v>0</v>
      </c>
      <c r="V3947" s="65">
        <v>0</v>
      </c>
      <c r="W3947" s="65">
        <v>0</v>
      </c>
      <c r="X3947" s="65">
        <v>9605</v>
      </c>
      <c r="Y3947" s="65">
        <v>0</v>
      </c>
      <c r="Z3947" s="51">
        <v>0</v>
      </c>
      <c r="AA3947" s="51">
        <v>0</v>
      </c>
      <c r="AB3947" s="102">
        <v>0</v>
      </c>
      <c r="AC3947" s="81">
        <f t="shared" si="187"/>
        <v>418.30101298229681</v>
      </c>
      <c r="AD3947" s="82">
        <f t="shared" si="188"/>
        <v>31.471428571428572</v>
      </c>
      <c r="AE3947" s="218">
        <v>-1.2066456084971324E-3</v>
      </c>
      <c r="AF3947">
        <v>3</v>
      </c>
      <c r="AH3947" t="str">
        <f t="shared" si="186"/>
        <v>Gaighat</v>
      </c>
      <c r="AJ3947" s="72">
        <v>0</v>
      </c>
      <c r="AK3947" s="72"/>
      <c r="AL3947" s="72"/>
      <c r="AM3947" s="72"/>
    </row>
    <row r="3948" spans="1:39" x14ac:dyDescent="0.25">
      <c r="A3948" s="37" t="s">
        <v>62</v>
      </c>
      <c r="B3948" s="66" t="s">
        <v>1676</v>
      </c>
      <c r="C3948" s="4">
        <v>1066</v>
      </c>
      <c r="D3948" s="41" t="s">
        <v>1501</v>
      </c>
      <c r="E3948" s="41">
        <v>10660030</v>
      </c>
      <c r="F3948" s="85" t="s">
        <v>543</v>
      </c>
      <c r="G3948" s="39" t="s">
        <v>1610</v>
      </c>
      <c r="H3948" s="52" t="s">
        <v>98</v>
      </c>
      <c r="I3948" s="52">
        <v>27.5</v>
      </c>
      <c r="J3948" s="49">
        <v>1246.3</v>
      </c>
      <c r="K3948" s="58">
        <v>0</v>
      </c>
      <c r="L3948" s="58">
        <v>0</v>
      </c>
      <c r="M3948" s="58">
        <v>0</v>
      </c>
      <c r="N3948" s="58">
        <v>0</v>
      </c>
      <c r="O3948" s="58">
        <v>0</v>
      </c>
      <c r="P3948" s="53">
        <v>0</v>
      </c>
      <c r="Q3948" s="65">
        <v>1246.3</v>
      </c>
      <c r="R3948" s="65">
        <v>0</v>
      </c>
      <c r="S3948" s="65">
        <v>0</v>
      </c>
      <c r="T3948" s="65">
        <v>0</v>
      </c>
      <c r="U3948" s="58">
        <v>0</v>
      </c>
      <c r="V3948" s="65">
        <v>0</v>
      </c>
      <c r="W3948" s="65">
        <v>0</v>
      </c>
      <c r="X3948" s="65">
        <v>0</v>
      </c>
      <c r="Y3948" s="65">
        <v>0</v>
      </c>
      <c r="Z3948" s="51">
        <v>1246.3</v>
      </c>
      <c r="AA3948" s="51">
        <v>0</v>
      </c>
      <c r="AB3948" s="102">
        <v>0</v>
      </c>
      <c r="AC3948" s="81">
        <f t="shared" si="187"/>
        <v>609.55399999999997</v>
      </c>
      <c r="AD3948" s="82">
        <f t="shared" si="188"/>
        <v>3.9285714285714284</v>
      </c>
      <c r="AE3948" s="218">
        <v>0</v>
      </c>
      <c r="AF3948">
        <v>0</v>
      </c>
      <c r="AH3948" t="str">
        <f t="shared" si="186"/>
        <v>Gaighat</v>
      </c>
      <c r="AJ3948" s="72">
        <v>0</v>
      </c>
      <c r="AK3948" s="72"/>
      <c r="AL3948" s="72"/>
      <c r="AM3948" s="72"/>
    </row>
    <row r="3949" spans="1:39" x14ac:dyDescent="0.25">
      <c r="A3949" s="37" t="s">
        <v>62</v>
      </c>
      <c r="B3949" s="66" t="s">
        <v>1676</v>
      </c>
      <c r="C3949" s="4">
        <v>1066</v>
      </c>
      <c r="D3949" s="41" t="s">
        <v>1501</v>
      </c>
      <c r="E3949" s="41">
        <v>10660032</v>
      </c>
      <c r="F3949" s="85" t="s">
        <v>1514</v>
      </c>
      <c r="G3949" s="39" t="s">
        <v>1610</v>
      </c>
      <c r="H3949" s="52" t="s">
        <v>98</v>
      </c>
      <c r="I3949" s="52">
        <v>81.5</v>
      </c>
      <c r="J3949" s="49">
        <v>3209.19</v>
      </c>
      <c r="K3949" s="58">
        <v>0</v>
      </c>
      <c r="L3949" s="58">
        <v>0</v>
      </c>
      <c r="M3949" s="58">
        <v>0</v>
      </c>
      <c r="N3949" s="58">
        <v>0</v>
      </c>
      <c r="O3949" s="58">
        <v>0</v>
      </c>
      <c r="P3949" s="53">
        <v>0</v>
      </c>
      <c r="Q3949" s="65">
        <v>3209.19</v>
      </c>
      <c r="R3949" s="65">
        <v>0</v>
      </c>
      <c r="S3949" s="65">
        <v>0</v>
      </c>
      <c r="T3949" s="65">
        <v>0</v>
      </c>
      <c r="U3949" s="58">
        <v>0</v>
      </c>
      <c r="V3949" s="65">
        <v>0</v>
      </c>
      <c r="W3949" s="65">
        <v>0</v>
      </c>
      <c r="X3949" s="65">
        <v>0</v>
      </c>
      <c r="Y3949" s="65">
        <v>0</v>
      </c>
      <c r="Z3949" s="51">
        <v>3209.19</v>
      </c>
      <c r="AA3949" s="51">
        <v>0</v>
      </c>
      <c r="AB3949" s="102">
        <v>0</v>
      </c>
      <c r="AC3949" s="81">
        <f t="shared" si="187"/>
        <v>487.08810184049088</v>
      </c>
      <c r="AD3949" s="82">
        <f t="shared" si="188"/>
        <v>11.642857142857142</v>
      </c>
      <c r="AE3949" s="218">
        <v>0</v>
      </c>
      <c r="AF3949">
        <v>0</v>
      </c>
      <c r="AH3949" t="str">
        <f t="shared" si="186"/>
        <v>Gaighat</v>
      </c>
      <c r="AJ3949" s="72">
        <v>0</v>
      </c>
      <c r="AK3949" s="72"/>
      <c r="AL3949" s="72"/>
      <c r="AM3949" s="72"/>
    </row>
    <row r="3950" spans="1:39" x14ac:dyDescent="0.25">
      <c r="A3950" s="37" t="s">
        <v>62</v>
      </c>
      <c r="B3950" s="66" t="s">
        <v>1676</v>
      </c>
      <c r="C3950" s="4">
        <v>1066</v>
      </c>
      <c r="D3950" s="41" t="s">
        <v>1501</v>
      </c>
      <c r="E3950" s="41">
        <v>10660034</v>
      </c>
      <c r="F3950" s="85" t="s">
        <v>1652</v>
      </c>
      <c r="G3950" s="39" t="s">
        <v>1610</v>
      </c>
      <c r="H3950" s="52" t="s">
        <v>93</v>
      </c>
      <c r="I3950" s="52">
        <v>145</v>
      </c>
      <c r="J3950" s="49">
        <v>8390.409999999998</v>
      </c>
      <c r="K3950" s="58">
        <v>142.6</v>
      </c>
      <c r="L3950" s="58">
        <v>8502.8600000000024</v>
      </c>
      <c r="M3950" s="58">
        <v>0</v>
      </c>
      <c r="N3950" s="58">
        <v>0</v>
      </c>
      <c r="O3950" s="58">
        <v>142.6</v>
      </c>
      <c r="P3950" s="53">
        <v>8502.8600000000024</v>
      </c>
      <c r="Q3950" s="65">
        <v>8390.409999999998</v>
      </c>
      <c r="R3950" s="65">
        <v>0</v>
      </c>
      <c r="S3950" s="65">
        <v>0</v>
      </c>
      <c r="T3950" s="65">
        <v>112.45000000000437</v>
      </c>
      <c r="U3950" s="58">
        <v>0</v>
      </c>
      <c r="V3950" s="65">
        <v>0</v>
      </c>
      <c r="W3950" s="65">
        <v>0</v>
      </c>
      <c r="X3950" s="65">
        <v>8390</v>
      </c>
      <c r="Y3950" s="65">
        <v>0</v>
      </c>
      <c r="Z3950" s="51">
        <v>0</v>
      </c>
      <c r="AA3950" s="51">
        <v>0</v>
      </c>
      <c r="AB3950" s="102">
        <v>0</v>
      </c>
      <c r="AC3950" s="81">
        <f t="shared" si="187"/>
        <v>642.30035172413773</v>
      </c>
      <c r="AD3950" s="82">
        <f t="shared" si="188"/>
        <v>20.714285714285715</v>
      </c>
      <c r="AE3950" s="218">
        <v>-1.3402205613313819E-2</v>
      </c>
      <c r="AF3950">
        <v>5</v>
      </c>
      <c r="AH3950" t="str">
        <f t="shared" si="186"/>
        <v>Gaighat</v>
      </c>
      <c r="AJ3950" s="72">
        <v>0</v>
      </c>
      <c r="AK3950" s="72"/>
      <c r="AL3950" s="72"/>
      <c r="AM3950" s="72"/>
    </row>
    <row r="3951" spans="1:39" x14ac:dyDescent="0.25">
      <c r="A3951" s="37" t="s">
        <v>62</v>
      </c>
      <c r="B3951" s="66" t="s">
        <v>1676</v>
      </c>
      <c r="C3951" s="4">
        <v>1066</v>
      </c>
      <c r="D3951" s="41" t="s">
        <v>1501</v>
      </c>
      <c r="E3951" s="41">
        <v>10660037</v>
      </c>
      <c r="F3951" s="85" t="s">
        <v>1675</v>
      </c>
      <c r="G3951" s="39" t="s">
        <v>1610</v>
      </c>
      <c r="H3951" s="52" t="s">
        <v>98</v>
      </c>
      <c r="I3951" s="52">
        <v>22</v>
      </c>
      <c r="J3951" s="49">
        <v>889.9</v>
      </c>
      <c r="K3951" s="58">
        <v>0</v>
      </c>
      <c r="L3951" s="58">
        <v>0</v>
      </c>
      <c r="M3951" s="58">
        <v>0</v>
      </c>
      <c r="N3951" s="58">
        <v>0</v>
      </c>
      <c r="O3951" s="58">
        <v>0</v>
      </c>
      <c r="P3951" s="53">
        <v>0</v>
      </c>
      <c r="Q3951" s="65">
        <v>889.9</v>
      </c>
      <c r="R3951" s="65">
        <v>0</v>
      </c>
      <c r="S3951" s="65">
        <v>0</v>
      </c>
      <c r="T3951" s="65">
        <v>0</v>
      </c>
      <c r="U3951" s="58">
        <v>0</v>
      </c>
      <c r="V3951" s="65">
        <v>0</v>
      </c>
      <c r="W3951" s="65">
        <v>0</v>
      </c>
      <c r="X3951" s="65">
        <v>0</v>
      </c>
      <c r="Y3951" s="65">
        <v>0</v>
      </c>
      <c r="Z3951" s="51">
        <v>889.9</v>
      </c>
      <c r="AA3951" s="51">
        <v>0</v>
      </c>
      <c r="AB3951" s="102">
        <v>0</v>
      </c>
      <c r="AC3951" s="81">
        <f t="shared" si="187"/>
        <v>548.50199999999995</v>
      </c>
      <c r="AD3951" s="82">
        <f t="shared" si="188"/>
        <v>3.1428571428571428</v>
      </c>
      <c r="AE3951" s="218">
        <v>0</v>
      </c>
      <c r="AF3951">
        <v>0</v>
      </c>
      <c r="AH3951" t="str">
        <f t="shared" si="186"/>
        <v>Gaighat</v>
      </c>
      <c r="AJ3951" s="72">
        <v>0</v>
      </c>
      <c r="AK3951" s="72"/>
      <c r="AL3951" s="72"/>
      <c r="AM3951" s="72"/>
    </row>
    <row r="3952" spans="1:39" x14ac:dyDescent="0.25">
      <c r="A3952" s="37" t="s">
        <v>62</v>
      </c>
      <c r="B3952" s="66" t="s">
        <v>1676</v>
      </c>
      <c r="C3952" s="4">
        <v>1066</v>
      </c>
      <c r="D3952" s="41" t="s">
        <v>1501</v>
      </c>
      <c r="E3952" s="41">
        <v>10660038</v>
      </c>
      <c r="F3952" s="85" t="s">
        <v>1653</v>
      </c>
      <c r="G3952" s="39" t="s">
        <v>1610</v>
      </c>
      <c r="H3952" s="52" t="s">
        <v>98</v>
      </c>
      <c r="I3952" s="52">
        <v>3017.2</v>
      </c>
      <c r="J3952" s="49">
        <v>122325.69</v>
      </c>
      <c r="K3952" s="58">
        <v>0</v>
      </c>
      <c r="L3952" s="58">
        <v>0</v>
      </c>
      <c r="M3952" s="58">
        <v>0</v>
      </c>
      <c r="N3952" s="58">
        <v>0</v>
      </c>
      <c r="O3952" s="58">
        <v>0</v>
      </c>
      <c r="P3952" s="53">
        <v>0</v>
      </c>
      <c r="Q3952" s="65">
        <v>122325.69</v>
      </c>
      <c r="R3952" s="65">
        <v>0</v>
      </c>
      <c r="S3952" s="65">
        <v>0</v>
      </c>
      <c r="T3952" s="65">
        <v>0</v>
      </c>
      <c r="U3952" s="58">
        <v>0</v>
      </c>
      <c r="V3952" s="65">
        <v>0</v>
      </c>
      <c r="W3952" s="65">
        <v>0</v>
      </c>
      <c r="X3952" s="65">
        <v>0</v>
      </c>
      <c r="Y3952" s="65">
        <v>0</v>
      </c>
      <c r="Z3952" s="51">
        <v>122325.69</v>
      </c>
      <c r="AA3952" s="51">
        <v>0</v>
      </c>
      <c r="AB3952" s="102">
        <v>0</v>
      </c>
      <c r="AC3952" s="81">
        <f t="shared" si="187"/>
        <v>0</v>
      </c>
      <c r="AD3952" s="82">
        <f t="shared" si="188"/>
        <v>0</v>
      </c>
      <c r="AE3952" s="218">
        <v>0</v>
      </c>
      <c r="AF3952">
        <v>0</v>
      </c>
      <c r="AH3952" t="str">
        <f t="shared" si="186"/>
        <v>Gaighat</v>
      </c>
      <c r="AJ3952" s="72">
        <v>0</v>
      </c>
      <c r="AK3952" s="72"/>
      <c r="AL3952" s="72"/>
      <c r="AM3952" s="72"/>
    </row>
    <row r="3953" spans="9:25" x14ac:dyDescent="0.25">
      <c r="I3953" s="11">
        <f>SUM(I3:I3952)</f>
        <v>4064088.6100000087</v>
      </c>
      <c r="J3953" s="11">
        <f>SUM(J3:J3952)</f>
        <v>166455017.78999984</v>
      </c>
    </row>
    <row r="3960" spans="9:25" x14ac:dyDescent="0.25">
      <c r="V3960" s="225"/>
      <c r="X3960" s="43"/>
      <c r="Y3960" s="222"/>
    </row>
    <row r="3961" spans="9:25" x14ac:dyDescent="0.25">
      <c r="V3961" s="225"/>
      <c r="Y3961" s="221"/>
    </row>
    <row r="3962" spans="9:25" x14ac:dyDescent="0.25">
      <c r="V3962" s="225"/>
      <c r="Y3962" s="221"/>
    </row>
    <row r="3963" spans="9:25" x14ac:dyDescent="0.25">
      <c r="V3963" s="225"/>
      <c r="X3963" s="223"/>
      <c r="Y3963" s="224"/>
    </row>
    <row r="3964" spans="9:25" x14ac:dyDescent="0.25">
      <c r="Y3964" s="221"/>
    </row>
    <row r="3965" spans="9:25" x14ac:dyDescent="0.25">
      <c r="Y3965" s="221"/>
    </row>
    <row r="3966" spans="9:25" x14ac:dyDescent="0.25">
      <c r="X3966" s="223"/>
      <c r="Y3966" s="224"/>
    </row>
    <row r="3972" spans="22:22" x14ac:dyDescent="0.25">
      <c r="V3972" s="225"/>
    </row>
    <row r="3973" spans="22:22" x14ac:dyDescent="0.25">
      <c r="V3973" s="225"/>
    </row>
    <row r="3974" spans="22:22" x14ac:dyDescent="0.25">
      <c r="V3974" s="225"/>
    </row>
    <row r="3975" spans="22:22" x14ac:dyDescent="0.25">
      <c r="V3975" s="225"/>
    </row>
    <row r="3984" spans="22:22" x14ac:dyDescent="0.25">
      <c r="V3984" s="225"/>
    </row>
  </sheetData>
  <autoFilter ref="A2:AM3953" xr:uid="{00000000-0009-0000-0000-000003000000}"/>
  <mergeCells count="4">
    <mergeCell ref="M1:N1"/>
    <mergeCell ref="O1:P1"/>
    <mergeCell ref="I1:J1"/>
    <mergeCell ref="K1:L1"/>
  </mergeCells>
  <conditionalFormatting sqref="D1">
    <cfRule type="duplicateValues" dxfId="98" priority="250" stopIfTrue="1"/>
  </conditionalFormatting>
  <conditionalFormatting sqref="E2">
    <cfRule type="duplicateValues" dxfId="97" priority="25" stopIfTrue="1"/>
  </conditionalFormatting>
  <conditionalFormatting sqref="E3 E5:E576">
    <cfRule type="duplicateValues" dxfId="96" priority="445"/>
  </conditionalFormatting>
  <conditionalFormatting sqref="E4">
    <cfRule type="duplicateValues" dxfId="95" priority="21"/>
  </conditionalFormatting>
  <conditionalFormatting sqref="E5:E576">
    <cfRule type="duplicateValues" dxfId="94" priority="448"/>
  </conditionalFormatting>
  <conditionalFormatting sqref="E1137 E1139:E1697">
    <cfRule type="duplicateValues" dxfId="93" priority="477"/>
  </conditionalFormatting>
  <conditionalFormatting sqref="E1138">
    <cfRule type="duplicateValues" dxfId="92" priority="7"/>
  </conditionalFormatting>
  <conditionalFormatting sqref="E1139:E1697">
    <cfRule type="duplicateValues" dxfId="91" priority="480"/>
  </conditionalFormatting>
  <conditionalFormatting sqref="G577:G1136 H1137:H1697 G1698:G3952">
    <cfRule type="containsText" dxfId="90" priority="2" operator="containsText" text="Indirect">
      <formula>NOT(ISERROR(SEARCH("Indirect",G577)))</formula>
    </cfRule>
  </conditionalFormatting>
  <conditionalFormatting sqref="H3:H576">
    <cfRule type="containsText" dxfId="89" priority="26" operator="containsText" text="Indirect">
      <formula>NOT(ISERROR(SEARCH("Indirect",H3)))</formula>
    </cfRule>
  </conditionalFormatting>
  <conditionalFormatting sqref="X3:Z1697">
    <cfRule type="cellIs" dxfId="88" priority="5" operator="lessThan">
      <formula>-1</formula>
    </cfRule>
  </conditionalFormatting>
  <conditionalFormatting sqref="AA3:AA3952 Z1698:Z3952">
    <cfRule type="cellIs" dxfId="87" priority="1" operator="less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807"/>
  <sheetViews>
    <sheetView zoomScale="80" zoomScaleNormal="80" workbookViewId="0">
      <pane ySplit="2" topLeftCell="A3" activePane="bottomLeft" state="frozen"/>
      <selection activeCell="W1" sqref="W1"/>
      <selection pane="bottomLeft" activeCell="Q3" sqref="Q3:U21"/>
    </sheetView>
  </sheetViews>
  <sheetFormatPr defaultRowHeight="15" x14ac:dyDescent="0.25"/>
  <cols>
    <col min="1" max="2" width="12.5703125" customWidth="1"/>
    <col min="3" max="3" width="9" customWidth="1"/>
    <col min="4" max="4" width="11.140625" customWidth="1"/>
    <col min="5" max="5" width="11.5703125" customWidth="1"/>
    <col min="6" max="6" width="20.85546875" customWidth="1"/>
    <col min="7" max="7" width="13" bestFit="1" customWidth="1"/>
    <col min="8" max="8" width="20.85546875" bestFit="1" customWidth="1"/>
    <col min="9" max="9" width="12.42578125" customWidth="1"/>
    <col min="10" max="10" width="18.5703125" customWidth="1"/>
    <col min="12" max="13" width="12.5703125" customWidth="1"/>
    <col min="14" max="14" width="15.42578125" customWidth="1"/>
    <col min="17" max="17" width="21" bestFit="1" customWidth="1"/>
    <col min="18" max="18" width="19.5703125" customWidth="1"/>
    <col min="19" max="19" width="15.140625" bestFit="1" customWidth="1"/>
    <col min="20" max="21" width="10.140625" bestFit="1" customWidth="1"/>
    <col min="23" max="23" width="9.85546875" bestFit="1" customWidth="1"/>
    <col min="29" max="29" width="10.7109375" bestFit="1" customWidth="1"/>
    <col min="30" max="30" width="30.5703125" bestFit="1" customWidth="1"/>
    <col min="31" max="31" width="15.5703125" bestFit="1" customWidth="1"/>
    <col min="32" max="32" width="8.42578125" bestFit="1" customWidth="1"/>
    <col min="33" max="33" width="7.7109375" bestFit="1" customWidth="1"/>
    <col min="34" max="34" width="8" bestFit="1" customWidth="1"/>
    <col min="35" max="35" width="10.85546875" bestFit="1" customWidth="1"/>
    <col min="36" max="36" width="9.85546875" bestFit="1" customWidth="1"/>
    <col min="37" max="37" width="8.7109375" bestFit="1" customWidth="1"/>
    <col min="40" max="40" width="10.7109375" bestFit="1" customWidth="1"/>
    <col min="41" max="41" width="30.5703125" bestFit="1" customWidth="1"/>
    <col min="42" max="42" width="13" bestFit="1" customWidth="1"/>
    <col min="43" max="43" width="7.7109375" bestFit="1" customWidth="1"/>
    <col min="44" max="44" width="8" bestFit="1" customWidth="1"/>
    <col min="45" max="45" width="10.85546875" bestFit="1" customWidth="1"/>
    <col min="46" max="46" width="10.28515625" bestFit="1" customWidth="1"/>
    <col min="47" max="47" width="5.85546875" bestFit="1" customWidth="1"/>
    <col min="48" max="48" width="7.140625" bestFit="1" customWidth="1"/>
    <col min="49" max="49" width="9.140625" bestFit="1" customWidth="1"/>
  </cols>
  <sheetData>
    <row r="1" spans="1:49" ht="15.75" thickBot="1" x14ac:dyDescent="0.3">
      <c r="A1" s="250" t="s">
        <v>64</v>
      </c>
      <c r="B1" s="250"/>
      <c r="E1" s="250" t="s">
        <v>54</v>
      </c>
      <c r="F1" s="250"/>
      <c r="I1" s="250" t="s">
        <v>55</v>
      </c>
      <c r="J1" s="250"/>
      <c r="L1" s="115" t="s">
        <v>56</v>
      </c>
      <c r="M1" s="115"/>
      <c r="N1" s="115"/>
      <c r="Q1" s="229" t="s">
        <v>1200</v>
      </c>
      <c r="R1" s="229"/>
      <c r="S1" s="229"/>
      <c r="AI1" t="s">
        <v>1113</v>
      </c>
      <c r="AK1" t="s">
        <v>1114</v>
      </c>
    </row>
    <row r="2" spans="1:49" ht="29.45" customHeight="1" x14ac:dyDescent="0.25">
      <c r="A2" s="45" t="s">
        <v>0</v>
      </c>
      <c r="B2" s="45" t="s">
        <v>28</v>
      </c>
      <c r="D2" s="69" t="s">
        <v>74</v>
      </c>
      <c r="E2" s="69" t="s">
        <v>419</v>
      </c>
      <c r="F2" s="70" t="s">
        <v>53</v>
      </c>
      <c r="G2" s="7"/>
      <c r="H2" s="69" t="s">
        <v>63</v>
      </c>
      <c r="I2" s="69" t="s">
        <v>73</v>
      </c>
      <c r="J2" s="70" t="s">
        <v>53</v>
      </c>
      <c r="K2" s="7"/>
      <c r="L2" s="67" t="s">
        <v>43</v>
      </c>
      <c r="M2" s="67" t="s">
        <v>73</v>
      </c>
      <c r="N2" s="67" t="s">
        <v>60</v>
      </c>
      <c r="Q2" s="232" t="s">
        <v>92</v>
      </c>
      <c r="R2" s="232" t="s">
        <v>73</v>
      </c>
      <c r="S2" s="232"/>
      <c r="T2" s="232" t="s">
        <v>1488</v>
      </c>
      <c r="U2" s="232" t="s">
        <v>1229</v>
      </c>
      <c r="W2" s="8" t="s">
        <v>0</v>
      </c>
      <c r="AC2" s="169" t="s">
        <v>667</v>
      </c>
      <c r="AD2" s="170" t="s">
        <v>668</v>
      </c>
      <c r="AE2" s="170" t="s">
        <v>1110</v>
      </c>
      <c r="AF2" s="170" t="s">
        <v>669</v>
      </c>
      <c r="AG2" s="171" t="s">
        <v>432</v>
      </c>
      <c r="AH2" s="171" t="s">
        <v>670</v>
      </c>
      <c r="AI2" s="171" t="s">
        <v>671</v>
      </c>
      <c r="AJ2" s="171" t="s">
        <v>441</v>
      </c>
      <c r="AK2" s="171" t="s">
        <v>638</v>
      </c>
      <c r="AL2" s="171" t="s">
        <v>1115</v>
      </c>
      <c r="AN2" s="169" t="s">
        <v>667</v>
      </c>
      <c r="AO2" s="170" t="s">
        <v>1110</v>
      </c>
      <c r="AP2" s="170" t="s">
        <v>669</v>
      </c>
      <c r="AQ2" s="171" t="s">
        <v>432</v>
      </c>
      <c r="AR2" s="171" t="s">
        <v>1161</v>
      </c>
      <c r="AS2" s="171" t="s">
        <v>671</v>
      </c>
      <c r="AT2" s="171" t="s">
        <v>441</v>
      </c>
      <c r="AU2" s="171" t="s">
        <v>1143</v>
      </c>
      <c r="AV2" s="171"/>
      <c r="AW2" s="171"/>
    </row>
    <row r="3" spans="1:49" ht="17.25" customHeight="1" x14ac:dyDescent="0.25">
      <c r="A3" s="4">
        <v>10520003</v>
      </c>
      <c r="B3" s="219">
        <v>20103.599999999999</v>
      </c>
      <c r="D3" s="201"/>
      <c r="E3" s="71">
        <v>10140135</v>
      </c>
      <c r="F3" s="42">
        <v>16000</v>
      </c>
      <c r="H3" s="199"/>
      <c r="I3" s="71">
        <v>10610009</v>
      </c>
      <c r="J3" s="68">
        <v>66048.807110200636</v>
      </c>
      <c r="L3" s="39"/>
      <c r="M3" s="4">
        <v>10130027</v>
      </c>
      <c r="N3" s="72">
        <v>640</v>
      </c>
      <c r="Q3" s="189"/>
      <c r="R3" s="189"/>
      <c r="S3" s="189"/>
      <c r="T3" s="189"/>
      <c r="U3" s="4"/>
      <c r="W3" s="41">
        <v>10010006</v>
      </c>
      <c r="X3">
        <v>500</v>
      </c>
      <c r="AC3" s="182" t="s">
        <v>831</v>
      </c>
      <c r="AD3" s="172" t="e">
        <v>#N/A</v>
      </c>
      <c r="AE3" s="172" t="s">
        <v>1111</v>
      </c>
      <c r="AF3" s="172" t="s">
        <v>672</v>
      </c>
      <c r="AG3" s="173">
        <v>64000</v>
      </c>
      <c r="AH3" s="174">
        <v>1567</v>
      </c>
      <c r="AI3" s="175">
        <v>62433</v>
      </c>
      <c r="AJ3" s="174">
        <v>1567</v>
      </c>
      <c r="AK3" s="176">
        <v>0</v>
      </c>
      <c r="AL3" s="184">
        <f>AG3-AH3</f>
        <v>62433</v>
      </c>
      <c r="AN3" s="172">
        <v>10560008</v>
      </c>
      <c r="AO3" s="172" t="s">
        <v>1112</v>
      </c>
      <c r="AP3" s="172" t="s">
        <v>672</v>
      </c>
      <c r="AQ3" s="173">
        <v>110000</v>
      </c>
      <c r="AR3" s="174">
        <v>0</v>
      </c>
      <c r="AS3" s="175">
        <v>100000</v>
      </c>
      <c r="AT3" s="174"/>
      <c r="AU3" s="174">
        <v>10000</v>
      </c>
      <c r="AV3" s="184">
        <f>20000-AU3-AR3</f>
        <v>10000</v>
      </c>
      <c r="AW3" s="187"/>
    </row>
    <row r="4" spans="1:49" ht="15.75" x14ac:dyDescent="0.25">
      <c r="A4" s="4">
        <v>1002</v>
      </c>
      <c r="B4" s="219">
        <v>26160.270000000011</v>
      </c>
      <c r="D4" s="201"/>
      <c r="E4" s="71">
        <v>10140100</v>
      </c>
      <c r="F4" s="42">
        <v>4810.2566398788467</v>
      </c>
      <c r="H4" s="199"/>
      <c r="I4" s="71">
        <v>10660034</v>
      </c>
      <c r="J4" s="68">
        <v>85000</v>
      </c>
      <c r="L4" s="39"/>
      <c r="M4" s="4">
        <v>10080017</v>
      </c>
      <c r="N4" s="72">
        <v>14200</v>
      </c>
      <c r="Q4" s="189"/>
      <c r="R4" s="189"/>
      <c r="S4" s="189"/>
      <c r="T4" s="189"/>
      <c r="U4" s="4"/>
      <c r="W4" s="41">
        <v>10010014</v>
      </c>
      <c r="X4">
        <v>500</v>
      </c>
      <c r="AC4" s="183" t="s">
        <v>831</v>
      </c>
      <c r="AD4" s="177" t="e">
        <v>#N/A</v>
      </c>
      <c r="AE4" s="177" t="s">
        <v>1111</v>
      </c>
      <c r="AF4" s="177" t="s">
        <v>672</v>
      </c>
      <c r="AG4" s="178">
        <v>64000</v>
      </c>
      <c r="AH4" s="179">
        <v>5896.4322000000002</v>
      </c>
      <c r="AI4" s="180">
        <v>58103.567799999997</v>
      </c>
      <c r="AJ4" s="179">
        <v>5896.4322000000002</v>
      </c>
      <c r="AK4" s="176">
        <v>0</v>
      </c>
      <c r="AL4" s="184">
        <f t="shared" ref="AL4:AL67" si="0">AG4-AH4</f>
        <v>58103.567799999997</v>
      </c>
      <c r="AN4" s="177">
        <v>10560009</v>
      </c>
      <c r="AO4" s="177" t="s">
        <v>1112</v>
      </c>
      <c r="AP4" s="177" t="s">
        <v>672</v>
      </c>
      <c r="AQ4" s="178">
        <v>110000</v>
      </c>
      <c r="AR4" s="179">
        <v>0</v>
      </c>
      <c r="AS4" s="180">
        <v>105000</v>
      </c>
      <c r="AT4" s="179"/>
      <c r="AU4" s="179">
        <v>5000</v>
      </c>
      <c r="AV4" s="184">
        <f t="shared" ref="AV4:AV67" si="1">20000-AU4-AR4</f>
        <v>15000</v>
      </c>
      <c r="AW4" s="188"/>
    </row>
    <row r="5" spans="1:49" ht="15.75" x14ac:dyDescent="0.25">
      <c r="A5" s="4">
        <v>1003</v>
      </c>
      <c r="B5" s="219">
        <v>5273.27</v>
      </c>
      <c r="D5" s="201"/>
      <c r="E5" s="71">
        <v>10110095</v>
      </c>
      <c r="F5" s="42">
        <v>6400</v>
      </c>
      <c r="H5" s="199"/>
      <c r="I5" s="71">
        <v>10660026</v>
      </c>
      <c r="J5" s="68">
        <v>65000</v>
      </c>
      <c r="L5" s="39"/>
      <c r="M5" s="4">
        <v>10110022</v>
      </c>
      <c r="N5" s="72">
        <v>1878</v>
      </c>
      <c r="Q5" s="189"/>
      <c r="R5" s="189"/>
      <c r="S5" s="189"/>
      <c r="T5" s="189"/>
      <c r="U5" s="4"/>
      <c r="W5" s="41">
        <v>10010017</v>
      </c>
      <c r="X5">
        <v>500</v>
      </c>
      <c r="AC5" s="182" t="s">
        <v>832</v>
      </c>
      <c r="AD5" s="172" t="s">
        <v>828</v>
      </c>
      <c r="AE5" s="172" t="s">
        <v>1111</v>
      </c>
      <c r="AF5" s="172" t="s">
        <v>672</v>
      </c>
      <c r="AG5" s="173">
        <v>110000</v>
      </c>
      <c r="AH5" s="174">
        <v>0</v>
      </c>
      <c r="AI5" s="175">
        <v>110000</v>
      </c>
      <c r="AJ5" s="174">
        <v>0</v>
      </c>
      <c r="AK5" s="176">
        <v>0</v>
      </c>
      <c r="AL5" s="184">
        <f t="shared" si="0"/>
        <v>110000</v>
      </c>
      <c r="AN5" s="172">
        <v>10120111</v>
      </c>
      <c r="AO5" s="172" t="s">
        <v>1111</v>
      </c>
      <c r="AP5" s="172" t="s">
        <v>672</v>
      </c>
      <c r="AQ5" s="173">
        <v>110000</v>
      </c>
      <c r="AR5" s="174">
        <v>0</v>
      </c>
      <c r="AS5" s="175">
        <v>110000</v>
      </c>
      <c r="AT5" s="174"/>
      <c r="AU5" s="174"/>
      <c r="AV5" s="184">
        <f t="shared" si="1"/>
        <v>20000</v>
      </c>
      <c r="AW5" s="187"/>
    </row>
    <row r="6" spans="1:49" ht="15.75" x14ac:dyDescent="0.25">
      <c r="A6" s="4">
        <v>1004</v>
      </c>
      <c r="B6" s="219">
        <v>1707.8100000000004</v>
      </c>
      <c r="D6" s="201"/>
      <c r="E6" s="71">
        <v>10100052</v>
      </c>
      <c r="F6" s="42">
        <v>6400</v>
      </c>
      <c r="H6" s="199"/>
      <c r="I6" s="71">
        <v>10070080</v>
      </c>
      <c r="J6" s="68">
        <v>75000</v>
      </c>
      <c r="L6" s="39"/>
      <c r="M6" s="4">
        <v>10100004</v>
      </c>
      <c r="N6" s="72">
        <v>5905</v>
      </c>
      <c r="Q6" s="189"/>
      <c r="R6" s="189"/>
      <c r="S6" s="189"/>
      <c r="T6" s="189"/>
      <c r="U6" s="4"/>
      <c r="W6" s="41">
        <v>10010021</v>
      </c>
      <c r="X6">
        <v>500</v>
      </c>
      <c r="AC6" s="183" t="s">
        <v>833</v>
      </c>
      <c r="AD6" s="177" t="s">
        <v>829</v>
      </c>
      <c r="AE6" s="177" t="s">
        <v>1111</v>
      </c>
      <c r="AF6" s="177" t="s">
        <v>672</v>
      </c>
      <c r="AG6" s="178">
        <v>110000</v>
      </c>
      <c r="AH6" s="179">
        <v>0</v>
      </c>
      <c r="AI6" s="180">
        <v>110000</v>
      </c>
      <c r="AJ6" s="179">
        <v>0</v>
      </c>
      <c r="AK6" s="176">
        <v>0</v>
      </c>
      <c r="AL6" s="184">
        <f t="shared" si="0"/>
        <v>110000</v>
      </c>
      <c r="AN6" s="177">
        <v>10020080</v>
      </c>
      <c r="AO6" s="177" t="s">
        <v>1112</v>
      </c>
      <c r="AP6" s="177" t="s">
        <v>672</v>
      </c>
      <c r="AQ6" s="178">
        <v>110000</v>
      </c>
      <c r="AR6" s="179">
        <v>0</v>
      </c>
      <c r="AS6" s="180">
        <v>100000</v>
      </c>
      <c r="AT6" s="179"/>
      <c r="AU6" s="179">
        <v>10000</v>
      </c>
      <c r="AV6" s="184">
        <f t="shared" si="1"/>
        <v>10000</v>
      </c>
      <c r="AW6" s="188"/>
    </row>
    <row r="7" spans="1:49" ht="15.75" x14ac:dyDescent="0.25">
      <c r="A7" s="4">
        <v>1006</v>
      </c>
      <c r="B7" s="219">
        <v>13448.320000000007</v>
      </c>
      <c r="D7" s="201"/>
      <c r="E7" s="71">
        <v>10100049</v>
      </c>
      <c r="F7" s="42">
        <v>11274</v>
      </c>
      <c r="H7" s="199"/>
      <c r="I7" s="71">
        <v>10650029</v>
      </c>
      <c r="J7" s="68">
        <v>80000</v>
      </c>
      <c r="L7" s="39"/>
      <c r="M7" s="4">
        <v>10030020</v>
      </c>
      <c r="N7" s="72">
        <v>14200</v>
      </c>
      <c r="Q7" s="189"/>
      <c r="R7" s="189"/>
      <c r="S7" s="189"/>
      <c r="T7" s="189"/>
      <c r="U7" s="4"/>
      <c r="W7" s="41">
        <v>10010028</v>
      </c>
      <c r="X7">
        <v>500</v>
      </c>
      <c r="AC7" s="182" t="s">
        <v>834</v>
      </c>
      <c r="AD7" s="172" t="s">
        <v>1099</v>
      </c>
      <c r="AE7" s="172" t="s">
        <v>1111</v>
      </c>
      <c r="AF7" s="172" t="s">
        <v>672</v>
      </c>
      <c r="AG7" s="173">
        <v>110000</v>
      </c>
      <c r="AH7" s="174">
        <v>0</v>
      </c>
      <c r="AI7" s="175">
        <v>110000</v>
      </c>
      <c r="AJ7" s="174">
        <v>0</v>
      </c>
      <c r="AK7" s="176">
        <v>0</v>
      </c>
      <c r="AL7" s="184">
        <f t="shared" si="0"/>
        <v>110000</v>
      </c>
      <c r="AN7" s="172">
        <v>10530081</v>
      </c>
      <c r="AO7" s="172" t="s">
        <v>1112</v>
      </c>
      <c r="AP7" s="172" t="s">
        <v>672</v>
      </c>
      <c r="AQ7" s="173">
        <v>110000</v>
      </c>
      <c r="AR7" s="174">
        <v>0</v>
      </c>
      <c r="AS7" s="175">
        <v>100000</v>
      </c>
      <c r="AT7" s="174"/>
      <c r="AU7" s="174">
        <v>10000</v>
      </c>
      <c r="AV7" s="184">
        <f t="shared" si="1"/>
        <v>10000</v>
      </c>
      <c r="AW7" s="187"/>
    </row>
    <row r="8" spans="1:49" ht="15.75" x14ac:dyDescent="0.25">
      <c r="A8" s="4">
        <v>1007</v>
      </c>
      <c r="B8" s="219">
        <v>19175.716265385767</v>
      </c>
      <c r="D8" s="201"/>
      <c r="E8" s="71">
        <v>10770045</v>
      </c>
      <c r="F8" s="42">
        <v>12800</v>
      </c>
      <c r="H8" s="199"/>
      <c r="I8" s="71">
        <v>10080129</v>
      </c>
      <c r="J8" s="68">
        <v>65000</v>
      </c>
      <c r="L8" s="39"/>
      <c r="M8" s="4">
        <v>10090023</v>
      </c>
      <c r="N8" s="72">
        <v>4000</v>
      </c>
      <c r="Q8" s="189"/>
      <c r="R8" s="189"/>
      <c r="S8" s="189"/>
      <c r="T8" s="189"/>
      <c r="U8" s="4"/>
      <c r="W8" s="41">
        <v>10010040</v>
      </c>
      <c r="X8">
        <v>500</v>
      </c>
      <c r="AC8" s="183" t="s">
        <v>835</v>
      </c>
      <c r="AD8" s="177" t="s">
        <v>818</v>
      </c>
      <c r="AE8" s="177" t="s">
        <v>1111</v>
      </c>
      <c r="AF8" s="177" t="s">
        <v>672</v>
      </c>
      <c r="AG8" s="178">
        <v>110000</v>
      </c>
      <c r="AH8" s="179">
        <v>0</v>
      </c>
      <c r="AI8" s="180">
        <v>110000</v>
      </c>
      <c r="AJ8" s="179">
        <v>0</v>
      </c>
      <c r="AK8" s="176">
        <v>0</v>
      </c>
      <c r="AL8" s="184">
        <f t="shared" si="0"/>
        <v>110000</v>
      </c>
      <c r="AN8" s="177">
        <v>10130067</v>
      </c>
      <c r="AO8" s="177" t="s">
        <v>1112</v>
      </c>
      <c r="AP8" s="177" t="s">
        <v>672</v>
      </c>
      <c r="AQ8" s="178">
        <v>110000</v>
      </c>
      <c r="AR8" s="179">
        <v>0</v>
      </c>
      <c r="AS8" s="180">
        <v>95000</v>
      </c>
      <c r="AT8" s="179"/>
      <c r="AU8" s="179">
        <v>15000</v>
      </c>
      <c r="AV8" s="184">
        <f t="shared" si="1"/>
        <v>5000</v>
      </c>
      <c r="AW8" s="188"/>
    </row>
    <row r="9" spans="1:49" ht="15.75" x14ac:dyDescent="0.25">
      <c r="A9" s="4">
        <v>1008</v>
      </c>
      <c r="B9" s="219">
        <v>8349.2000000000007</v>
      </c>
      <c r="D9" s="201"/>
      <c r="E9" s="71">
        <v>10100060</v>
      </c>
      <c r="F9" s="42">
        <v>16000</v>
      </c>
      <c r="H9" s="199"/>
      <c r="I9" s="71">
        <v>10640012</v>
      </c>
      <c r="J9" s="68">
        <v>75000</v>
      </c>
      <c r="L9" s="39"/>
      <c r="M9" s="4">
        <v>10120022</v>
      </c>
      <c r="N9" s="72">
        <v>4573</v>
      </c>
      <c r="Q9" s="189"/>
      <c r="R9" s="189"/>
      <c r="S9" s="189"/>
      <c r="T9" s="189"/>
      <c r="U9" s="4"/>
      <c r="W9" s="41">
        <v>10010044</v>
      </c>
      <c r="X9">
        <v>500</v>
      </c>
      <c r="AC9" s="182" t="s">
        <v>836</v>
      </c>
      <c r="AD9" s="172" t="s">
        <v>1100</v>
      </c>
      <c r="AE9" s="172" t="s">
        <v>1112</v>
      </c>
      <c r="AF9" s="172" t="s">
        <v>672</v>
      </c>
      <c r="AG9" s="173">
        <v>110000</v>
      </c>
      <c r="AH9" s="174">
        <v>10000</v>
      </c>
      <c r="AI9" s="175">
        <v>100000</v>
      </c>
      <c r="AJ9" s="174">
        <v>0</v>
      </c>
      <c r="AK9" s="176">
        <v>10000</v>
      </c>
      <c r="AL9" s="184">
        <f t="shared" si="0"/>
        <v>100000</v>
      </c>
      <c r="AN9" s="172">
        <v>10560006</v>
      </c>
      <c r="AO9" s="172" t="s">
        <v>1112</v>
      </c>
      <c r="AP9" s="172" t="s">
        <v>672</v>
      </c>
      <c r="AQ9" s="173">
        <v>110000</v>
      </c>
      <c r="AR9" s="174">
        <v>0</v>
      </c>
      <c r="AS9" s="175">
        <v>100000</v>
      </c>
      <c r="AT9" s="174"/>
      <c r="AU9" s="174">
        <v>10000</v>
      </c>
      <c r="AV9" s="184">
        <f t="shared" si="1"/>
        <v>10000</v>
      </c>
      <c r="AW9" s="187"/>
    </row>
    <row r="10" spans="1:49" ht="15.75" x14ac:dyDescent="0.25">
      <c r="A10" s="4">
        <v>1009</v>
      </c>
      <c r="B10" s="219">
        <v>18469.570000000003</v>
      </c>
      <c r="D10" s="201"/>
      <c r="E10" s="71">
        <v>10100051</v>
      </c>
      <c r="F10" s="42">
        <v>14430.109400000001</v>
      </c>
      <c r="H10" s="199"/>
      <c r="I10" s="71">
        <v>10640013</v>
      </c>
      <c r="J10" s="68">
        <v>80000</v>
      </c>
      <c r="L10" s="39"/>
      <c r="M10" s="4">
        <v>10480004</v>
      </c>
      <c r="N10" s="72">
        <v>6241</v>
      </c>
      <c r="Q10" s="189"/>
      <c r="R10" s="189"/>
      <c r="S10" s="189"/>
      <c r="T10" s="189"/>
      <c r="U10" s="4"/>
      <c r="W10" s="41">
        <v>10010055</v>
      </c>
      <c r="X10">
        <v>500</v>
      </c>
      <c r="AC10" s="183" t="s">
        <v>837</v>
      </c>
      <c r="AD10" s="177" t="s">
        <v>827</v>
      </c>
      <c r="AE10" s="177" t="s">
        <v>1112</v>
      </c>
      <c r="AF10" s="177" t="s">
        <v>672</v>
      </c>
      <c r="AG10" s="178">
        <v>110000</v>
      </c>
      <c r="AH10" s="179">
        <v>10000</v>
      </c>
      <c r="AI10" s="180">
        <v>100000</v>
      </c>
      <c r="AJ10" s="179">
        <v>0</v>
      </c>
      <c r="AK10" s="181">
        <v>10000</v>
      </c>
      <c r="AL10" s="184">
        <f t="shared" si="0"/>
        <v>100000</v>
      </c>
      <c r="AN10" s="177">
        <v>10060116</v>
      </c>
      <c r="AO10" s="177" t="s">
        <v>1112</v>
      </c>
      <c r="AP10" s="177" t="s">
        <v>672</v>
      </c>
      <c r="AQ10" s="178">
        <v>110000</v>
      </c>
      <c r="AR10" s="179">
        <v>0</v>
      </c>
      <c r="AS10" s="180">
        <v>100000</v>
      </c>
      <c r="AT10" s="179"/>
      <c r="AU10" s="179">
        <v>10000</v>
      </c>
      <c r="AV10" s="184">
        <f t="shared" si="1"/>
        <v>10000</v>
      </c>
      <c r="AW10" s="188"/>
    </row>
    <row r="11" spans="1:49" ht="15.75" x14ac:dyDescent="0.25">
      <c r="A11" s="4">
        <v>10010021</v>
      </c>
      <c r="B11" s="219">
        <v>990.49</v>
      </c>
      <c r="D11" s="201"/>
      <c r="E11" s="71">
        <v>10070047</v>
      </c>
      <c r="F11" s="42">
        <v>6400</v>
      </c>
      <c r="H11" s="199"/>
      <c r="I11" s="71">
        <v>10640014</v>
      </c>
      <c r="J11" s="68">
        <v>75000</v>
      </c>
      <c r="L11" s="39"/>
      <c r="M11" s="4">
        <v>10100036</v>
      </c>
      <c r="N11" s="72">
        <v>5000</v>
      </c>
      <c r="Q11" s="189"/>
      <c r="R11" s="189"/>
      <c r="S11" s="189"/>
      <c r="T11" s="189"/>
      <c r="U11" s="4"/>
      <c r="W11" s="41">
        <v>10010058</v>
      </c>
      <c r="X11">
        <v>500</v>
      </c>
      <c r="AC11" s="182" t="s">
        <v>838</v>
      </c>
      <c r="AD11" s="172" t="s">
        <v>814</v>
      </c>
      <c r="AE11" s="172" t="s">
        <v>1112</v>
      </c>
      <c r="AF11" s="172" t="s">
        <v>672</v>
      </c>
      <c r="AG11" s="173">
        <v>110000</v>
      </c>
      <c r="AH11" s="174">
        <v>8000</v>
      </c>
      <c r="AI11" s="175">
        <v>102000</v>
      </c>
      <c r="AJ11" s="174">
        <v>0</v>
      </c>
      <c r="AK11" s="176">
        <v>8000</v>
      </c>
      <c r="AL11" s="184">
        <f t="shared" si="0"/>
        <v>102000</v>
      </c>
      <c r="AN11" s="172">
        <v>10560003</v>
      </c>
      <c r="AO11" s="172" t="s">
        <v>1111</v>
      </c>
      <c r="AP11" s="172" t="s">
        <v>672</v>
      </c>
      <c r="AQ11" s="173">
        <v>110000</v>
      </c>
      <c r="AR11" s="174">
        <v>0</v>
      </c>
      <c r="AS11" s="175">
        <v>110000</v>
      </c>
      <c r="AT11" s="174"/>
      <c r="AU11" s="174"/>
      <c r="AV11" s="184">
        <f t="shared" si="1"/>
        <v>20000</v>
      </c>
      <c r="AW11" s="187"/>
    </row>
    <row r="12" spans="1:49" ht="15.75" x14ac:dyDescent="0.25">
      <c r="A12" s="4">
        <v>10010027</v>
      </c>
      <c r="B12" s="219">
        <v>52.489999999999995</v>
      </c>
      <c r="D12" s="201"/>
      <c r="E12" s="71">
        <v>10070052</v>
      </c>
      <c r="F12" s="42">
        <v>6400</v>
      </c>
      <c r="H12" s="199"/>
      <c r="I12" s="71">
        <v>10640015</v>
      </c>
      <c r="J12" s="68">
        <v>75000</v>
      </c>
      <c r="L12" s="39"/>
      <c r="M12" s="4">
        <v>10130045</v>
      </c>
      <c r="N12" s="72">
        <v>5000</v>
      </c>
      <c r="Q12" s="189"/>
      <c r="R12" s="189"/>
      <c r="S12" s="189"/>
      <c r="T12" s="189"/>
      <c r="U12" s="4"/>
      <c r="W12" s="41">
        <v>10010059</v>
      </c>
      <c r="X12">
        <v>500</v>
      </c>
      <c r="AC12" s="183" t="s">
        <v>839</v>
      </c>
      <c r="AD12" s="177" t="s">
        <v>652</v>
      </c>
      <c r="AE12" s="177" t="s">
        <v>1112</v>
      </c>
      <c r="AF12" s="177" t="s">
        <v>672</v>
      </c>
      <c r="AG12" s="178">
        <v>110000</v>
      </c>
      <c r="AH12" s="179">
        <v>10908</v>
      </c>
      <c r="AI12" s="180">
        <v>99092</v>
      </c>
      <c r="AJ12" s="179">
        <v>908</v>
      </c>
      <c r="AK12" s="181">
        <v>10000</v>
      </c>
      <c r="AL12" s="184">
        <f t="shared" si="0"/>
        <v>99092</v>
      </c>
      <c r="AN12" s="177">
        <v>10080106</v>
      </c>
      <c r="AO12" s="177" t="s">
        <v>1112</v>
      </c>
      <c r="AP12" s="177" t="s">
        <v>672</v>
      </c>
      <c r="AQ12" s="178">
        <v>110000</v>
      </c>
      <c r="AR12" s="179">
        <v>0</v>
      </c>
      <c r="AS12" s="180">
        <v>95000</v>
      </c>
      <c r="AT12" s="179"/>
      <c r="AU12" s="179">
        <v>15000</v>
      </c>
      <c r="AV12" s="184">
        <f t="shared" si="1"/>
        <v>5000</v>
      </c>
      <c r="AW12" s="188">
        <v>45875</v>
      </c>
    </row>
    <row r="13" spans="1:49" ht="15.75" x14ac:dyDescent="0.25">
      <c r="A13" s="4">
        <v>10010030</v>
      </c>
      <c r="B13" s="219">
        <v>52.489999999999995</v>
      </c>
      <c r="D13" s="201"/>
      <c r="E13" s="71">
        <v>10110105</v>
      </c>
      <c r="F13" s="42">
        <v>16000</v>
      </c>
      <c r="H13" s="199"/>
      <c r="I13" s="71">
        <v>10640016</v>
      </c>
      <c r="J13" s="68">
        <v>75000</v>
      </c>
      <c r="L13" s="39"/>
      <c r="M13" s="4">
        <v>10140020</v>
      </c>
      <c r="N13" s="72">
        <v>5000</v>
      </c>
      <c r="Q13" s="189"/>
      <c r="R13" s="189"/>
      <c r="S13" s="189"/>
      <c r="T13" s="189"/>
      <c r="U13" s="4"/>
      <c r="W13" s="41">
        <v>10010069</v>
      </c>
      <c r="X13">
        <v>500</v>
      </c>
      <c r="AC13" s="182" t="s">
        <v>840</v>
      </c>
      <c r="AD13" s="172" t="s">
        <v>653</v>
      </c>
      <c r="AE13" s="172" t="s">
        <v>1112</v>
      </c>
      <c r="AF13" s="172" t="s">
        <v>672</v>
      </c>
      <c r="AG13" s="173">
        <v>110000</v>
      </c>
      <c r="AH13" s="174">
        <v>10476</v>
      </c>
      <c r="AI13" s="175">
        <v>99524</v>
      </c>
      <c r="AJ13" s="174">
        <v>476</v>
      </c>
      <c r="AK13" s="176">
        <v>10000</v>
      </c>
      <c r="AL13" s="184">
        <f t="shared" si="0"/>
        <v>99524</v>
      </c>
      <c r="AN13" s="172">
        <v>10060115</v>
      </c>
      <c r="AO13" s="172" t="s">
        <v>1112</v>
      </c>
      <c r="AP13" s="172" t="s">
        <v>672</v>
      </c>
      <c r="AQ13" s="173">
        <v>110000</v>
      </c>
      <c r="AR13" s="174">
        <v>0</v>
      </c>
      <c r="AS13" s="175">
        <v>99984</v>
      </c>
      <c r="AT13" s="174"/>
      <c r="AU13" s="174">
        <v>10000</v>
      </c>
      <c r="AV13" s="184">
        <f t="shared" si="1"/>
        <v>10000</v>
      </c>
      <c r="AW13" s="187"/>
    </row>
    <row r="14" spans="1:49" ht="15.75" x14ac:dyDescent="0.25">
      <c r="A14" s="4">
        <v>10010040</v>
      </c>
      <c r="B14" s="219">
        <v>52.489999999999995</v>
      </c>
      <c r="D14" s="201"/>
      <c r="E14" s="71">
        <v>10140099</v>
      </c>
      <c r="F14" s="42">
        <v>2329.0893371431998</v>
      </c>
      <c r="H14" s="199"/>
      <c r="I14" s="71">
        <v>10560042</v>
      </c>
      <c r="J14" s="68">
        <v>65000</v>
      </c>
      <c r="L14" s="39"/>
      <c r="M14" s="4">
        <v>10100019</v>
      </c>
      <c r="N14" s="72">
        <v>5000</v>
      </c>
      <c r="Q14" s="233"/>
      <c r="R14" s="46"/>
      <c r="S14" s="46"/>
      <c r="T14" s="233"/>
      <c r="U14" s="4"/>
      <c r="W14" s="41">
        <v>10010071</v>
      </c>
      <c r="X14">
        <v>500</v>
      </c>
      <c r="AC14" s="183" t="s">
        <v>841</v>
      </c>
      <c r="AD14" s="177" t="s">
        <v>673</v>
      </c>
      <c r="AE14" s="177" t="s">
        <v>1112</v>
      </c>
      <c r="AF14" s="177" t="s">
        <v>672</v>
      </c>
      <c r="AG14" s="178">
        <v>110000</v>
      </c>
      <c r="AH14" s="179">
        <v>10000</v>
      </c>
      <c r="AI14" s="180">
        <v>100000</v>
      </c>
      <c r="AJ14" s="179">
        <v>0</v>
      </c>
      <c r="AK14" s="181">
        <v>10000</v>
      </c>
      <c r="AL14" s="184">
        <f t="shared" si="0"/>
        <v>100000</v>
      </c>
      <c r="AN14" s="177">
        <v>10010126</v>
      </c>
      <c r="AO14" s="177" t="s">
        <v>1112</v>
      </c>
      <c r="AP14" s="177" t="s">
        <v>672</v>
      </c>
      <c r="AQ14" s="178">
        <v>110000</v>
      </c>
      <c r="AR14" s="179">
        <v>0</v>
      </c>
      <c r="AS14" s="180">
        <v>99994</v>
      </c>
      <c r="AT14" s="179"/>
      <c r="AU14" s="179">
        <v>10000</v>
      </c>
      <c r="AV14" s="184">
        <f t="shared" si="1"/>
        <v>10000</v>
      </c>
      <c r="AW14" s="188"/>
    </row>
    <row r="15" spans="1:49" x14ac:dyDescent="0.25">
      <c r="A15" s="4">
        <v>10010069</v>
      </c>
      <c r="B15" s="219">
        <v>52.489999999999995</v>
      </c>
      <c r="D15" s="201"/>
      <c r="E15" s="71">
        <v>10140107</v>
      </c>
      <c r="F15" s="42">
        <v>13515</v>
      </c>
      <c r="H15" s="199"/>
      <c r="I15" s="71">
        <v>10580036</v>
      </c>
      <c r="J15" s="68">
        <v>65000</v>
      </c>
      <c r="L15" s="39"/>
      <c r="M15" s="4">
        <v>10060030</v>
      </c>
      <c r="N15" s="72">
        <v>44</v>
      </c>
      <c r="W15" s="41">
        <v>10010075</v>
      </c>
      <c r="X15">
        <v>500</v>
      </c>
      <c r="AC15" s="182" t="s">
        <v>842</v>
      </c>
      <c r="AD15" s="172" t="s">
        <v>674</v>
      </c>
      <c r="AE15" s="172" t="s">
        <v>1112</v>
      </c>
      <c r="AF15" s="172" t="s">
        <v>672</v>
      </c>
      <c r="AG15" s="173">
        <v>110000</v>
      </c>
      <c r="AH15" s="174">
        <v>10000</v>
      </c>
      <c r="AI15" s="175">
        <v>100000</v>
      </c>
      <c r="AJ15" s="174">
        <v>0</v>
      </c>
      <c r="AK15" s="176">
        <v>10000</v>
      </c>
      <c r="AL15" s="184">
        <f t="shared" si="0"/>
        <v>100000</v>
      </c>
      <c r="AN15" s="172">
        <v>10080105</v>
      </c>
      <c r="AO15" s="172" t="s">
        <v>1111</v>
      </c>
      <c r="AP15" s="172" t="s">
        <v>672</v>
      </c>
      <c r="AQ15" s="173">
        <v>110000</v>
      </c>
      <c r="AR15" s="174">
        <v>0</v>
      </c>
      <c r="AS15" s="175">
        <v>109981</v>
      </c>
      <c r="AT15" s="174"/>
      <c r="AU15" s="174"/>
      <c r="AV15" s="184">
        <f t="shared" si="1"/>
        <v>20000</v>
      </c>
      <c r="AW15" s="187"/>
    </row>
    <row r="16" spans="1:49" x14ac:dyDescent="0.25">
      <c r="A16" s="4">
        <v>10010080</v>
      </c>
      <c r="B16" s="219">
        <v>711.49</v>
      </c>
      <c r="D16" s="201"/>
      <c r="E16" s="71">
        <v>10140119</v>
      </c>
      <c r="F16" s="42">
        <v>2334.7411204358432</v>
      </c>
      <c r="H16" s="199"/>
      <c r="I16" s="71">
        <v>10580037</v>
      </c>
      <c r="J16" s="68">
        <v>65000</v>
      </c>
      <c r="L16" s="39"/>
      <c r="M16" s="4">
        <v>10120034</v>
      </c>
      <c r="N16" s="72">
        <v>1597</v>
      </c>
      <c r="W16" s="41">
        <v>10010080</v>
      </c>
      <c r="X16">
        <v>500</v>
      </c>
      <c r="AC16" s="183" t="s">
        <v>843</v>
      </c>
      <c r="AD16" s="177" t="s">
        <v>651</v>
      </c>
      <c r="AE16" s="177" t="s">
        <v>1112</v>
      </c>
      <c r="AF16" s="177" t="s">
        <v>672</v>
      </c>
      <c r="AG16" s="178">
        <v>110000</v>
      </c>
      <c r="AH16" s="179">
        <v>10076</v>
      </c>
      <c r="AI16" s="180">
        <v>99924</v>
      </c>
      <c r="AJ16" s="179">
        <v>76</v>
      </c>
      <c r="AK16" s="181">
        <v>10000</v>
      </c>
      <c r="AL16" s="184">
        <f t="shared" si="0"/>
        <v>99924</v>
      </c>
      <c r="AN16" s="177">
        <v>10540021</v>
      </c>
      <c r="AO16" s="177" t="s">
        <v>1112</v>
      </c>
      <c r="AP16" s="177" t="s">
        <v>672</v>
      </c>
      <c r="AQ16" s="178">
        <v>110000</v>
      </c>
      <c r="AR16" s="179">
        <v>0</v>
      </c>
      <c r="AS16" s="180">
        <v>99998</v>
      </c>
      <c r="AT16" s="179"/>
      <c r="AU16" s="179">
        <v>10000</v>
      </c>
      <c r="AV16" s="184">
        <f t="shared" si="1"/>
        <v>10000</v>
      </c>
      <c r="AW16" s="188"/>
    </row>
    <row r="17" spans="1:49" x14ac:dyDescent="0.25">
      <c r="A17" s="4">
        <v>10010081</v>
      </c>
      <c r="B17" s="219">
        <v>52.489999999999995</v>
      </c>
      <c r="D17" s="201"/>
      <c r="E17" s="71">
        <v>10140137</v>
      </c>
      <c r="F17" s="42">
        <v>6400</v>
      </c>
      <c r="H17" s="199"/>
      <c r="I17" s="71">
        <v>10570072</v>
      </c>
      <c r="J17" s="68">
        <v>85000</v>
      </c>
      <c r="L17" s="39"/>
      <c r="M17" s="4">
        <v>10140043</v>
      </c>
      <c r="N17" s="72">
        <v>3000</v>
      </c>
      <c r="W17" s="41">
        <v>10010081</v>
      </c>
      <c r="X17">
        <v>500</v>
      </c>
      <c r="AC17" s="182" t="s">
        <v>844</v>
      </c>
      <c r="AD17" s="172" t="s">
        <v>1101</v>
      </c>
      <c r="AE17" s="172" t="s">
        <v>1112</v>
      </c>
      <c r="AF17" s="172" t="s">
        <v>672</v>
      </c>
      <c r="AG17" s="173">
        <v>110000</v>
      </c>
      <c r="AH17" s="174">
        <v>10000</v>
      </c>
      <c r="AI17" s="175">
        <v>100000</v>
      </c>
      <c r="AJ17" s="174">
        <v>0</v>
      </c>
      <c r="AK17" s="176">
        <v>10000</v>
      </c>
      <c r="AL17" s="184">
        <f t="shared" si="0"/>
        <v>100000</v>
      </c>
      <c r="AN17" s="172">
        <v>10530070</v>
      </c>
      <c r="AO17" s="172" t="s">
        <v>1112</v>
      </c>
      <c r="AP17" s="172" t="s">
        <v>672</v>
      </c>
      <c r="AQ17" s="173">
        <v>110000</v>
      </c>
      <c r="AR17" s="174">
        <v>0</v>
      </c>
      <c r="AS17" s="175">
        <v>93913</v>
      </c>
      <c r="AT17" s="174"/>
      <c r="AU17" s="174">
        <v>14000</v>
      </c>
      <c r="AV17" s="184">
        <f t="shared" si="1"/>
        <v>6000</v>
      </c>
      <c r="AW17" s="187">
        <v>45834</v>
      </c>
    </row>
    <row r="18" spans="1:49" x14ac:dyDescent="0.25">
      <c r="A18" s="4">
        <v>10010088</v>
      </c>
      <c r="B18" s="219">
        <v>52.489999999999995</v>
      </c>
      <c r="D18" s="201"/>
      <c r="E18" s="71">
        <v>10140098</v>
      </c>
      <c r="F18" s="42">
        <v>16544</v>
      </c>
      <c r="H18" s="199"/>
      <c r="I18" s="71">
        <v>10570073</v>
      </c>
      <c r="J18" s="68">
        <v>85000</v>
      </c>
      <c r="L18" s="39"/>
      <c r="M18" s="4">
        <v>10130013</v>
      </c>
      <c r="N18" s="72">
        <v>913</v>
      </c>
      <c r="U18" s="11"/>
      <c r="W18" s="41">
        <v>10010082</v>
      </c>
      <c r="X18">
        <v>500</v>
      </c>
      <c r="AC18" s="183" t="s">
        <v>845</v>
      </c>
      <c r="AD18" s="177" t="s">
        <v>823</v>
      </c>
      <c r="AE18" s="177" t="s">
        <v>1112</v>
      </c>
      <c r="AF18" s="177" t="s">
        <v>672</v>
      </c>
      <c r="AG18" s="178">
        <v>110000</v>
      </c>
      <c r="AH18" s="179">
        <v>10000</v>
      </c>
      <c r="AI18" s="180">
        <v>100000</v>
      </c>
      <c r="AJ18" s="179">
        <v>0</v>
      </c>
      <c r="AK18" s="181">
        <v>10000</v>
      </c>
      <c r="AL18" s="184">
        <f t="shared" si="0"/>
        <v>100000</v>
      </c>
      <c r="AN18" s="177">
        <v>10020076</v>
      </c>
      <c r="AO18" s="177" t="s">
        <v>1112</v>
      </c>
      <c r="AP18" s="177" t="s">
        <v>672</v>
      </c>
      <c r="AQ18" s="178">
        <v>110000</v>
      </c>
      <c r="AR18" s="179">
        <v>0</v>
      </c>
      <c r="AS18" s="180">
        <v>99982</v>
      </c>
      <c r="AT18" s="179"/>
      <c r="AU18" s="179">
        <v>10000</v>
      </c>
      <c r="AV18" s="184">
        <f t="shared" si="1"/>
        <v>10000</v>
      </c>
      <c r="AW18" s="188">
        <v>45861</v>
      </c>
    </row>
    <row r="19" spans="1:49" x14ac:dyDescent="0.25">
      <c r="A19" s="4">
        <v>10010096</v>
      </c>
      <c r="B19" s="219">
        <v>1136.49</v>
      </c>
      <c r="D19" s="201"/>
      <c r="E19" s="71">
        <v>10140139</v>
      </c>
      <c r="F19" s="42">
        <v>6062.0788000000002</v>
      </c>
      <c r="H19" s="199"/>
      <c r="I19" s="71">
        <v>10580038</v>
      </c>
      <c r="J19" s="68">
        <v>65000</v>
      </c>
      <c r="L19" s="39"/>
      <c r="M19" s="4">
        <v>10090048</v>
      </c>
      <c r="N19" s="72">
        <v>3000</v>
      </c>
      <c r="W19" s="41">
        <v>10020027</v>
      </c>
      <c r="X19">
        <v>500</v>
      </c>
      <c r="AC19" s="182" t="s">
        <v>846</v>
      </c>
      <c r="AD19" s="172" t="s">
        <v>1102</v>
      </c>
      <c r="AE19" s="172" t="s">
        <v>1111</v>
      </c>
      <c r="AF19" s="172" t="s">
        <v>672</v>
      </c>
      <c r="AG19" s="173">
        <v>110000</v>
      </c>
      <c r="AH19" s="174">
        <v>0</v>
      </c>
      <c r="AI19" s="175">
        <v>110000</v>
      </c>
      <c r="AJ19" s="174">
        <v>0</v>
      </c>
      <c r="AK19" s="176">
        <v>0</v>
      </c>
      <c r="AL19" s="184">
        <f t="shared" si="0"/>
        <v>110000</v>
      </c>
      <c r="AN19" s="172">
        <v>10020077</v>
      </c>
      <c r="AO19" s="172" t="s">
        <v>1112</v>
      </c>
      <c r="AP19" s="172" t="s">
        <v>672</v>
      </c>
      <c r="AQ19" s="173">
        <v>110000</v>
      </c>
      <c r="AR19" s="174">
        <v>0</v>
      </c>
      <c r="AS19" s="175">
        <v>94982</v>
      </c>
      <c r="AT19" s="174"/>
      <c r="AU19" s="174">
        <v>15000</v>
      </c>
      <c r="AV19" s="184">
        <f t="shared" si="1"/>
        <v>5000</v>
      </c>
      <c r="AW19" s="187">
        <v>45861</v>
      </c>
    </row>
    <row r="20" spans="1:49" x14ac:dyDescent="0.25">
      <c r="A20" s="4">
        <v>10020025</v>
      </c>
      <c r="B20" s="219">
        <v>348.52</v>
      </c>
      <c r="D20" s="201"/>
      <c r="E20" s="71">
        <v>10140120</v>
      </c>
      <c r="F20" s="42">
        <v>3200</v>
      </c>
      <c r="H20" s="199"/>
      <c r="I20" s="71">
        <v>10630038</v>
      </c>
      <c r="J20" s="68">
        <v>85000</v>
      </c>
      <c r="L20" s="39"/>
      <c r="M20" s="4">
        <v>10130009</v>
      </c>
      <c r="N20" s="72">
        <v>3000</v>
      </c>
      <c r="W20" s="41">
        <v>10020028</v>
      </c>
      <c r="X20">
        <v>500</v>
      </c>
      <c r="AC20" s="183" t="s">
        <v>847</v>
      </c>
      <c r="AD20" s="177" t="s">
        <v>1103</v>
      </c>
      <c r="AE20" s="177" t="s">
        <v>1111</v>
      </c>
      <c r="AF20" s="177" t="s">
        <v>672</v>
      </c>
      <c r="AG20" s="178">
        <v>110000</v>
      </c>
      <c r="AH20" s="179">
        <v>0</v>
      </c>
      <c r="AI20" s="180">
        <v>110000</v>
      </c>
      <c r="AJ20" s="179">
        <v>0</v>
      </c>
      <c r="AK20" s="176">
        <v>0</v>
      </c>
      <c r="AL20" s="184">
        <f t="shared" si="0"/>
        <v>110000</v>
      </c>
      <c r="AN20" s="177">
        <v>10020078</v>
      </c>
      <c r="AO20" s="177" t="s">
        <v>1112</v>
      </c>
      <c r="AP20" s="177" t="s">
        <v>672</v>
      </c>
      <c r="AQ20" s="178">
        <v>110000</v>
      </c>
      <c r="AR20" s="179">
        <v>0</v>
      </c>
      <c r="AS20" s="180">
        <v>99982</v>
      </c>
      <c r="AT20" s="179"/>
      <c r="AU20" s="179">
        <v>10000</v>
      </c>
      <c r="AV20" s="184">
        <f t="shared" si="1"/>
        <v>10000</v>
      </c>
      <c r="AW20" s="188">
        <v>45861</v>
      </c>
    </row>
    <row r="21" spans="1:49" x14ac:dyDescent="0.25">
      <c r="A21" s="4">
        <v>10020026</v>
      </c>
      <c r="B21" s="219">
        <v>348.52</v>
      </c>
      <c r="D21" s="201"/>
      <c r="E21" s="71">
        <v>10140126</v>
      </c>
      <c r="F21" s="42">
        <v>9600</v>
      </c>
      <c r="H21" s="199"/>
      <c r="I21" s="71">
        <v>10060135</v>
      </c>
      <c r="J21" s="68">
        <v>75000</v>
      </c>
      <c r="L21" s="39"/>
      <c r="M21" s="4">
        <v>10480014</v>
      </c>
      <c r="N21" s="72">
        <v>3551</v>
      </c>
      <c r="W21" s="41">
        <v>10020037</v>
      </c>
      <c r="X21">
        <v>500</v>
      </c>
      <c r="AC21" s="182" t="s">
        <v>848</v>
      </c>
      <c r="AD21" s="172" t="s">
        <v>824</v>
      </c>
      <c r="AE21" s="172" t="s">
        <v>1112</v>
      </c>
      <c r="AF21" s="172" t="s">
        <v>672</v>
      </c>
      <c r="AG21" s="173">
        <v>110000</v>
      </c>
      <c r="AH21" s="174">
        <v>15000</v>
      </c>
      <c r="AI21" s="175">
        <v>95000</v>
      </c>
      <c r="AJ21" s="174">
        <v>0</v>
      </c>
      <c r="AK21" s="176">
        <v>15000</v>
      </c>
      <c r="AL21" s="184">
        <f t="shared" si="0"/>
        <v>95000</v>
      </c>
      <c r="AN21" s="172">
        <v>10020079</v>
      </c>
      <c r="AO21" s="172" t="s">
        <v>1112</v>
      </c>
      <c r="AP21" s="172" t="s">
        <v>672</v>
      </c>
      <c r="AQ21" s="173">
        <v>110000</v>
      </c>
      <c r="AR21" s="174">
        <v>0</v>
      </c>
      <c r="AS21" s="175">
        <v>99982</v>
      </c>
      <c r="AT21" s="174"/>
      <c r="AU21" s="174">
        <v>10000</v>
      </c>
      <c r="AV21" s="184">
        <f t="shared" si="1"/>
        <v>10000</v>
      </c>
      <c r="AW21" s="187">
        <v>45861</v>
      </c>
    </row>
    <row r="22" spans="1:49" x14ac:dyDescent="0.25">
      <c r="A22" s="4">
        <v>10020050</v>
      </c>
      <c r="B22" s="219">
        <v>980.24</v>
      </c>
      <c r="D22" s="201"/>
      <c r="E22" s="71">
        <v>10140131</v>
      </c>
      <c r="F22" s="42">
        <v>8288.0897999999997</v>
      </c>
      <c r="H22" s="199"/>
      <c r="I22" s="71">
        <v>10540053</v>
      </c>
      <c r="J22" s="68">
        <v>65000</v>
      </c>
      <c r="L22" s="39"/>
      <c r="M22" s="4">
        <v>10140001</v>
      </c>
      <c r="N22" s="72">
        <v>3000</v>
      </c>
      <c r="Q22" s="230" t="s">
        <v>1481</v>
      </c>
      <c r="R22" s="4"/>
      <c r="S22" s="4"/>
      <c r="T22" s="4"/>
      <c r="W22" s="41">
        <v>10020038</v>
      </c>
      <c r="X22">
        <v>500</v>
      </c>
      <c r="AC22" s="183" t="s">
        <v>849</v>
      </c>
      <c r="AD22" s="177" t="s">
        <v>675</v>
      </c>
      <c r="AE22" s="177" t="s">
        <v>1112</v>
      </c>
      <c r="AF22" s="177" t="s">
        <v>672</v>
      </c>
      <c r="AG22" s="178">
        <v>110000</v>
      </c>
      <c r="AH22" s="179">
        <v>5000</v>
      </c>
      <c r="AI22" s="180">
        <v>105000</v>
      </c>
      <c r="AJ22" s="179">
        <v>0</v>
      </c>
      <c r="AK22" s="181">
        <v>5000</v>
      </c>
      <c r="AL22" s="184">
        <f t="shared" si="0"/>
        <v>105000</v>
      </c>
      <c r="AN22" s="177">
        <v>10120108</v>
      </c>
      <c r="AO22" s="177" t="s">
        <v>1112</v>
      </c>
      <c r="AP22" s="177" t="s">
        <v>672</v>
      </c>
      <c r="AQ22" s="178">
        <v>110000</v>
      </c>
      <c r="AR22" s="179">
        <v>0</v>
      </c>
      <c r="AS22" s="180">
        <v>99933</v>
      </c>
      <c r="AT22" s="179"/>
      <c r="AU22" s="179">
        <v>10000</v>
      </c>
      <c r="AV22" s="184">
        <f t="shared" si="1"/>
        <v>10000</v>
      </c>
      <c r="AW22" s="188"/>
    </row>
    <row r="23" spans="1:49" x14ac:dyDescent="0.25">
      <c r="A23" s="4">
        <v>10020059</v>
      </c>
      <c r="B23" s="219">
        <v>1045.56</v>
      </c>
      <c r="D23" s="201"/>
      <c r="E23" s="71">
        <v>10140129</v>
      </c>
      <c r="F23" s="42">
        <v>5900</v>
      </c>
      <c r="H23" s="199"/>
      <c r="I23" s="71">
        <v>10540054</v>
      </c>
      <c r="J23" s="68">
        <v>65000</v>
      </c>
      <c r="L23" s="39"/>
      <c r="M23" s="4">
        <v>10090032</v>
      </c>
      <c r="N23" s="72">
        <v>3000</v>
      </c>
      <c r="Q23" s="4" t="s">
        <v>1482</v>
      </c>
      <c r="R23" s="67" t="s">
        <v>0</v>
      </c>
      <c r="S23" s="4" t="s">
        <v>1488</v>
      </c>
      <c r="T23" s="231" t="s">
        <v>1229</v>
      </c>
      <c r="W23" s="41">
        <v>10020039</v>
      </c>
      <c r="X23">
        <v>500</v>
      </c>
      <c r="AC23" s="182" t="s">
        <v>850</v>
      </c>
      <c r="AD23" s="172" t="s">
        <v>511</v>
      </c>
      <c r="AE23" s="172" t="s">
        <v>1112</v>
      </c>
      <c r="AF23" s="172" t="s">
        <v>672</v>
      </c>
      <c r="AG23" s="173">
        <v>110000</v>
      </c>
      <c r="AH23" s="174">
        <v>15583</v>
      </c>
      <c r="AI23" s="175">
        <v>94417</v>
      </c>
      <c r="AJ23" s="174">
        <v>5583</v>
      </c>
      <c r="AK23" s="176">
        <v>10000</v>
      </c>
      <c r="AL23" s="184">
        <f t="shared" si="0"/>
        <v>94417</v>
      </c>
      <c r="AN23" s="172">
        <v>10530074</v>
      </c>
      <c r="AO23" s="172" t="s">
        <v>1112</v>
      </c>
      <c r="AP23" s="172" t="s">
        <v>672</v>
      </c>
      <c r="AQ23" s="173">
        <v>110000</v>
      </c>
      <c r="AR23" s="174">
        <v>0</v>
      </c>
      <c r="AS23" s="175">
        <v>98139</v>
      </c>
      <c r="AT23" s="174"/>
      <c r="AU23" s="174">
        <v>10000</v>
      </c>
      <c r="AV23" s="184">
        <f t="shared" si="1"/>
        <v>10000</v>
      </c>
      <c r="AW23" s="187">
        <v>45834</v>
      </c>
    </row>
    <row r="24" spans="1:49" x14ac:dyDescent="0.25">
      <c r="A24" s="4">
        <v>10030067</v>
      </c>
      <c r="B24" s="219">
        <v>582.8599999999999</v>
      </c>
      <c r="D24" s="201"/>
      <c r="E24" s="71">
        <v>10140132</v>
      </c>
      <c r="F24" s="42">
        <v>6400</v>
      </c>
      <c r="H24" s="199"/>
      <c r="I24" s="71">
        <v>10540055</v>
      </c>
      <c r="J24" s="68">
        <v>65000</v>
      </c>
      <c r="L24" s="39"/>
      <c r="M24" s="4">
        <v>10140022</v>
      </c>
      <c r="N24" s="72">
        <v>3000</v>
      </c>
      <c r="Q24" s="4"/>
      <c r="R24" s="227"/>
      <c r="S24" s="228"/>
      <c r="T24" s="24"/>
      <c r="W24" s="41">
        <v>10020042</v>
      </c>
      <c r="X24">
        <v>500</v>
      </c>
      <c r="AC24" s="183" t="s">
        <v>851</v>
      </c>
      <c r="AD24" s="177" t="s">
        <v>627</v>
      </c>
      <c r="AE24" s="177" t="s">
        <v>1111</v>
      </c>
      <c r="AF24" s="177" t="s">
        <v>672</v>
      </c>
      <c r="AG24" s="178">
        <v>110000</v>
      </c>
      <c r="AH24" s="179">
        <v>1861</v>
      </c>
      <c r="AI24" s="180">
        <v>108139</v>
      </c>
      <c r="AJ24" s="179">
        <v>1861</v>
      </c>
      <c r="AK24" s="176">
        <v>0</v>
      </c>
      <c r="AL24" s="184">
        <f t="shared" si="0"/>
        <v>108139</v>
      </c>
      <c r="AN24" s="177">
        <v>10140183</v>
      </c>
      <c r="AO24" s="177" t="s">
        <v>1112</v>
      </c>
      <c r="AP24" s="177" t="s">
        <v>672</v>
      </c>
      <c r="AQ24" s="178">
        <v>110000</v>
      </c>
      <c r="AR24" s="179">
        <v>0</v>
      </c>
      <c r="AS24" s="180">
        <v>97343.210180472131</v>
      </c>
      <c r="AT24" s="179"/>
      <c r="AU24" s="179">
        <v>10000</v>
      </c>
      <c r="AV24" s="184">
        <f t="shared" si="1"/>
        <v>10000</v>
      </c>
      <c r="AW24" s="188"/>
    </row>
    <row r="25" spans="1:49" x14ac:dyDescent="0.25">
      <c r="A25" s="4">
        <v>10060030</v>
      </c>
      <c r="B25" s="219">
        <v>348.52</v>
      </c>
      <c r="D25" s="201"/>
      <c r="E25" s="71">
        <v>10140130</v>
      </c>
      <c r="F25" s="42">
        <v>9600</v>
      </c>
      <c r="H25" s="199"/>
      <c r="I25" s="71">
        <v>10540056</v>
      </c>
      <c r="J25" s="68">
        <v>75000</v>
      </c>
      <c r="L25" s="39"/>
      <c r="M25" s="4">
        <v>10140015</v>
      </c>
      <c r="N25" s="72">
        <v>3000</v>
      </c>
      <c r="Q25" s="4"/>
      <c r="R25" s="227"/>
      <c r="S25" s="228"/>
      <c r="T25" s="24"/>
      <c r="W25" s="41">
        <v>10020069</v>
      </c>
      <c r="X25">
        <v>500</v>
      </c>
      <c r="AC25" s="182" t="s">
        <v>852</v>
      </c>
      <c r="AD25" s="172" t="s">
        <v>649</v>
      </c>
      <c r="AE25" s="172" t="s">
        <v>1111</v>
      </c>
      <c r="AF25" s="172" t="s">
        <v>672</v>
      </c>
      <c r="AG25" s="173">
        <v>110000</v>
      </c>
      <c r="AH25" s="174">
        <v>282</v>
      </c>
      <c r="AI25" s="175">
        <v>109718</v>
      </c>
      <c r="AJ25" s="174">
        <v>282</v>
      </c>
      <c r="AK25" s="176">
        <v>0</v>
      </c>
      <c r="AL25" s="184">
        <f t="shared" si="0"/>
        <v>109718</v>
      </c>
      <c r="AN25" s="172">
        <v>10140182</v>
      </c>
      <c r="AO25" s="172" t="s">
        <v>1112</v>
      </c>
      <c r="AP25" s="172" t="s">
        <v>672</v>
      </c>
      <c r="AQ25" s="173">
        <v>110000</v>
      </c>
      <c r="AR25" s="174">
        <v>0</v>
      </c>
      <c r="AS25" s="175">
        <v>99884</v>
      </c>
      <c r="AT25" s="174"/>
      <c r="AU25" s="174">
        <v>8000</v>
      </c>
      <c r="AV25" s="184">
        <f t="shared" si="1"/>
        <v>12000</v>
      </c>
      <c r="AW25" s="187"/>
    </row>
    <row r="26" spans="1:49" x14ac:dyDescent="0.25">
      <c r="A26" s="4">
        <v>10060034</v>
      </c>
      <c r="B26" s="219">
        <v>594.02</v>
      </c>
      <c r="D26" s="201"/>
      <c r="E26" s="71">
        <v>10120039</v>
      </c>
      <c r="F26" s="42">
        <v>12800</v>
      </c>
      <c r="H26" s="199"/>
      <c r="I26" s="71">
        <v>10540057</v>
      </c>
      <c r="J26" s="68">
        <v>65000</v>
      </c>
      <c r="L26" s="39"/>
      <c r="M26" s="4">
        <v>10070033</v>
      </c>
      <c r="N26" s="72">
        <v>3000</v>
      </c>
      <c r="Q26" s="4"/>
      <c r="R26" s="227"/>
      <c r="S26" s="228"/>
      <c r="T26" s="24"/>
      <c r="W26" s="41">
        <v>10020070</v>
      </c>
      <c r="X26">
        <v>500</v>
      </c>
      <c r="AC26" s="183" t="s">
        <v>853</v>
      </c>
      <c r="AD26" s="177" t="s">
        <v>676</v>
      </c>
      <c r="AE26" s="177" t="s">
        <v>1111</v>
      </c>
      <c r="AF26" s="177" t="s">
        <v>672</v>
      </c>
      <c r="AG26" s="178">
        <v>110000</v>
      </c>
      <c r="AH26" s="179">
        <v>0</v>
      </c>
      <c r="AI26" s="180">
        <v>110000</v>
      </c>
      <c r="AJ26" s="179">
        <v>0</v>
      </c>
      <c r="AK26" s="176">
        <v>0</v>
      </c>
      <c r="AL26" s="184">
        <f t="shared" si="0"/>
        <v>110000</v>
      </c>
      <c r="AN26" s="177">
        <v>10140178</v>
      </c>
      <c r="AO26" s="177" t="s">
        <v>1112</v>
      </c>
      <c r="AP26" s="177" t="s">
        <v>672</v>
      </c>
      <c r="AQ26" s="178">
        <v>110000</v>
      </c>
      <c r="AR26" s="179">
        <v>0</v>
      </c>
      <c r="AS26" s="180">
        <v>95426</v>
      </c>
      <c r="AT26" s="179"/>
      <c r="AU26" s="179">
        <v>10000</v>
      </c>
      <c r="AV26" s="184">
        <f t="shared" si="1"/>
        <v>10000</v>
      </c>
      <c r="AW26" s="188">
        <v>45802</v>
      </c>
    </row>
    <row r="27" spans="1:49" x14ac:dyDescent="0.25">
      <c r="A27" s="4">
        <v>10060071</v>
      </c>
      <c r="B27" s="219">
        <v>3156.33</v>
      </c>
      <c r="D27" s="201"/>
      <c r="E27" s="71">
        <v>10130023</v>
      </c>
      <c r="F27" s="42">
        <v>6400</v>
      </c>
      <c r="H27" s="199"/>
      <c r="I27" s="71">
        <v>10540058</v>
      </c>
      <c r="J27" s="68">
        <v>65000</v>
      </c>
      <c r="L27" s="39"/>
      <c r="M27" s="4">
        <v>10100037</v>
      </c>
      <c r="N27" s="72">
        <v>3000</v>
      </c>
      <c r="Q27" s="4"/>
      <c r="R27" s="227"/>
      <c r="S27" s="228"/>
      <c r="T27" s="24"/>
      <c r="W27" s="41">
        <v>10030010</v>
      </c>
      <c r="X27">
        <v>500</v>
      </c>
      <c r="AC27" s="182" t="s">
        <v>854</v>
      </c>
      <c r="AD27" s="172" t="s">
        <v>677</v>
      </c>
      <c r="AE27" s="172" t="s">
        <v>1112</v>
      </c>
      <c r="AF27" s="172" t="s">
        <v>672</v>
      </c>
      <c r="AG27" s="173">
        <v>110000</v>
      </c>
      <c r="AH27" s="174">
        <v>10000</v>
      </c>
      <c r="AI27" s="175">
        <v>100000</v>
      </c>
      <c r="AJ27" s="174">
        <v>0</v>
      </c>
      <c r="AK27" s="176">
        <v>10000</v>
      </c>
      <c r="AL27" s="184">
        <f t="shared" si="0"/>
        <v>100000</v>
      </c>
      <c r="AN27" s="172">
        <v>10140179</v>
      </c>
      <c r="AO27" s="172" t="s">
        <v>1112</v>
      </c>
      <c r="AP27" s="172" t="s">
        <v>672</v>
      </c>
      <c r="AQ27" s="173">
        <v>110000</v>
      </c>
      <c r="AR27" s="174">
        <v>3407</v>
      </c>
      <c r="AS27" s="175">
        <v>92307.328981970408</v>
      </c>
      <c r="AT27" s="174"/>
      <c r="AU27" s="174">
        <v>10000</v>
      </c>
      <c r="AV27" s="184">
        <f t="shared" si="1"/>
        <v>6593</v>
      </c>
      <c r="AW27" s="187">
        <v>45802</v>
      </c>
    </row>
    <row r="28" spans="1:49" x14ac:dyDescent="0.25">
      <c r="A28" s="4">
        <v>10070013</v>
      </c>
      <c r="B28" s="219">
        <v>348.52</v>
      </c>
      <c r="D28" s="201"/>
      <c r="E28" s="71">
        <v>10130025</v>
      </c>
      <c r="F28" s="42">
        <v>4767.9447290074731</v>
      </c>
      <c r="H28" s="199"/>
      <c r="I28" s="71">
        <v>10540059</v>
      </c>
      <c r="J28" s="68">
        <v>65000</v>
      </c>
      <c r="L28" s="39"/>
      <c r="M28" s="4">
        <v>10070049</v>
      </c>
      <c r="N28" s="72">
        <v>2210</v>
      </c>
      <c r="Q28" s="4"/>
      <c r="R28" s="227"/>
      <c r="S28" s="228"/>
      <c r="T28" s="24"/>
      <c r="W28" s="41">
        <v>10030014</v>
      </c>
      <c r="X28">
        <v>500</v>
      </c>
      <c r="AC28" s="183" t="s">
        <v>855</v>
      </c>
      <c r="AD28" s="177" t="s">
        <v>661</v>
      </c>
      <c r="AE28" s="177" t="s">
        <v>1111</v>
      </c>
      <c r="AF28" s="177" t="s">
        <v>672</v>
      </c>
      <c r="AG28" s="178">
        <v>110000</v>
      </c>
      <c r="AH28" s="179">
        <v>195</v>
      </c>
      <c r="AI28" s="180">
        <v>109805</v>
      </c>
      <c r="AJ28" s="179">
        <v>195</v>
      </c>
      <c r="AK28" s="176">
        <v>0</v>
      </c>
      <c r="AL28" s="184">
        <f t="shared" si="0"/>
        <v>109805</v>
      </c>
      <c r="AN28" s="177">
        <v>10140180</v>
      </c>
      <c r="AO28" s="177" t="s">
        <v>1112</v>
      </c>
      <c r="AP28" s="177" t="s">
        <v>672</v>
      </c>
      <c r="AQ28" s="178">
        <v>110000</v>
      </c>
      <c r="AR28" s="179">
        <v>0</v>
      </c>
      <c r="AS28" s="180">
        <v>97021</v>
      </c>
      <c r="AT28" s="179"/>
      <c r="AU28" s="179">
        <v>10000</v>
      </c>
      <c r="AV28" s="184">
        <f t="shared" si="1"/>
        <v>10000</v>
      </c>
      <c r="AW28" s="188">
        <v>45802</v>
      </c>
    </row>
    <row r="29" spans="1:49" x14ac:dyDescent="0.25">
      <c r="A29" s="4">
        <v>10070033</v>
      </c>
      <c r="B29" s="219">
        <v>1868.64</v>
      </c>
      <c r="D29" s="201"/>
      <c r="E29" s="71">
        <v>10120040</v>
      </c>
      <c r="F29" s="42">
        <v>6400</v>
      </c>
      <c r="H29" s="199"/>
      <c r="I29" s="71">
        <v>10540063</v>
      </c>
      <c r="J29" s="68">
        <v>65000</v>
      </c>
      <c r="L29" s="39"/>
      <c r="M29" s="4">
        <v>10120083</v>
      </c>
      <c r="N29" s="72">
        <v>2630</v>
      </c>
      <c r="Q29" s="4"/>
      <c r="R29" s="227"/>
      <c r="S29" s="228"/>
      <c r="T29" s="24"/>
      <c r="W29" s="41">
        <v>10030015</v>
      </c>
      <c r="X29">
        <v>500</v>
      </c>
      <c r="AC29" s="182" t="s">
        <v>856</v>
      </c>
      <c r="AD29" s="172" t="s">
        <v>581</v>
      </c>
      <c r="AE29" s="172" t="s">
        <v>1112</v>
      </c>
      <c r="AF29" s="172" t="s">
        <v>672</v>
      </c>
      <c r="AG29" s="173">
        <v>64000</v>
      </c>
      <c r="AH29" s="174">
        <v>11861</v>
      </c>
      <c r="AI29" s="175">
        <v>52139</v>
      </c>
      <c r="AJ29" s="174">
        <v>1861</v>
      </c>
      <c r="AK29" s="176">
        <v>10000</v>
      </c>
      <c r="AL29" s="184">
        <f t="shared" si="0"/>
        <v>52139</v>
      </c>
      <c r="AN29" s="172">
        <v>10080098</v>
      </c>
      <c r="AO29" s="172" t="s">
        <v>1112</v>
      </c>
      <c r="AP29" s="172" t="s">
        <v>672</v>
      </c>
      <c r="AQ29" s="173">
        <v>110000</v>
      </c>
      <c r="AR29" s="174">
        <v>1086</v>
      </c>
      <c r="AS29" s="175">
        <v>95092.825976796012</v>
      </c>
      <c r="AT29" s="174"/>
      <c r="AU29" s="174">
        <v>10000</v>
      </c>
      <c r="AV29" s="184">
        <f t="shared" si="1"/>
        <v>8914</v>
      </c>
      <c r="AW29" s="187">
        <v>45803</v>
      </c>
    </row>
    <row r="30" spans="1:49" x14ac:dyDescent="0.25">
      <c r="A30" s="4">
        <v>10090002</v>
      </c>
      <c r="B30" s="219">
        <v>348.52</v>
      </c>
      <c r="D30" s="201"/>
      <c r="E30" s="71">
        <v>10120035</v>
      </c>
      <c r="F30" s="42">
        <v>2032</v>
      </c>
      <c r="H30" s="199"/>
      <c r="I30" s="71">
        <v>10610060</v>
      </c>
      <c r="J30" s="68">
        <v>70000</v>
      </c>
      <c r="L30" s="39"/>
      <c r="M30" s="4">
        <v>10020037</v>
      </c>
      <c r="N30" s="72">
        <v>3000</v>
      </c>
      <c r="Q30" s="4"/>
      <c r="R30" s="227"/>
      <c r="S30" s="228"/>
      <c r="T30" s="24"/>
      <c r="W30" s="41">
        <v>10030023</v>
      </c>
      <c r="X30">
        <v>500</v>
      </c>
      <c r="AC30" s="183" t="s">
        <v>857</v>
      </c>
      <c r="AD30" s="177" t="s">
        <v>562</v>
      </c>
      <c r="AE30" s="177" t="s">
        <v>1111</v>
      </c>
      <c r="AF30" s="177" t="s">
        <v>672</v>
      </c>
      <c r="AG30" s="178">
        <v>110000</v>
      </c>
      <c r="AH30" s="179">
        <v>1861</v>
      </c>
      <c r="AI30" s="180">
        <v>108139</v>
      </c>
      <c r="AJ30" s="179">
        <v>1861</v>
      </c>
      <c r="AK30" s="176">
        <v>0</v>
      </c>
      <c r="AL30" s="184">
        <f t="shared" si="0"/>
        <v>108139</v>
      </c>
      <c r="AN30" s="177">
        <v>10140177</v>
      </c>
      <c r="AO30" s="177" t="s">
        <v>1112</v>
      </c>
      <c r="AP30" s="177" t="s">
        <v>672</v>
      </c>
      <c r="AQ30" s="178">
        <v>110000</v>
      </c>
      <c r="AR30" s="179">
        <v>0</v>
      </c>
      <c r="AS30" s="180">
        <v>99692</v>
      </c>
      <c r="AT30" s="179"/>
      <c r="AU30" s="179">
        <v>10000</v>
      </c>
      <c r="AV30" s="184">
        <f t="shared" si="1"/>
        <v>10000</v>
      </c>
      <c r="AW30" s="188">
        <v>45802</v>
      </c>
    </row>
    <row r="31" spans="1:49" x14ac:dyDescent="0.25">
      <c r="A31" s="4">
        <v>10090009</v>
      </c>
      <c r="B31" s="219">
        <v>348.28999999999996</v>
      </c>
      <c r="D31" s="201"/>
      <c r="E31" s="71">
        <v>10120032</v>
      </c>
      <c r="F31" s="42">
        <v>9600</v>
      </c>
      <c r="H31" s="199"/>
      <c r="I31" s="71">
        <v>10550012</v>
      </c>
      <c r="J31" s="68">
        <v>65000</v>
      </c>
      <c r="L31" s="39"/>
      <c r="M31" s="4">
        <v>10120082</v>
      </c>
      <c r="N31" s="72">
        <v>3000</v>
      </c>
      <c r="Q31" s="4"/>
      <c r="R31" s="227"/>
      <c r="S31" s="228"/>
      <c r="T31" s="24"/>
      <c r="W31" s="41">
        <v>10030024</v>
      </c>
      <c r="X31">
        <v>500</v>
      </c>
      <c r="AC31" s="182" t="s">
        <v>858</v>
      </c>
      <c r="AD31" s="172" t="s">
        <v>678</v>
      </c>
      <c r="AE31" s="172" t="s">
        <v>1112</v>
      </c>
      <c r="AF31" s="172" t="s">
        <v>672</v>
      </c>
      <c r="AG31" s="173">
        <v>110000</v>
      </c>
      <c r="AH31" s="174">
        <v>10000</v>
      </c>
      <c r="AI31" s="175">
        <v>100000</v>
      </c>
      <c r="AJ31" s="174">
        <v>0</v>
      </c>
      <c r="AK31" s="176">
        <v>10000</v>
      </c>
      <c r="AL31" s="184">
        <f t="shared" si="0"/>
        <v>100000</v>
      </c>
      <c r="AN31" s="172">
        <v>10060109</v>
      </c>
      <c r="AO31" s="172" t="s">
        <v>1112</v>
      </c>
      <c r="AP31" s="172" t="s">
        <v>672</v>
      </c>
      <c r="AQ31" s="173">
        <v>110000</v>
      </c>
      <c r="AR31" s="174">
        <v>0</v>
      </c>
      <c r="AS31" s="175">
        <v>98139</v>
      </c>
      <c r="AT31" s="174"/>
      <c r="AU31" s="174">
        <v>10000</v>
      </c>
      <c r="AV31" s="184">
        <f t="shared" si="1"/>
        <v>10000</v>
      </c>
      <c r="AW31" s="187"/>
    </row>
    <row r="32" spans="1:49" x14ac:dyDescent="0.25">
      <c r="A32" s="4">
        <v>10090029</v>
      </c>
      <c r="B32" s="219">
        <v>460.56</v>
      </c>
      <c r="D32" s="201"/>
      <c r="E32" s="71">
        <v>10120034</v>
      </c>
      <c r="F32" s="42">
        <v>15208.8497711328</v>
      </c>
      <c r="H32" s="199"/>
      <c r="I32" s="71">
        <v>10610065</v>
      </c>
      <c r="J32" s="68">
        <v>80000</v>
      </c>
      <c r="L32" s="39"/>
      <c r="M32" s="4">
        <v>10090046</v>
      </c>
      <c r="N32" s="72">
        <v>2804</v>
      </c>
      <c r="Q32" s="4"/>
      <c r="R32" s="227"/>
      <c r="S32" s="228"/>
      <c r="T32" s="24"/>
      <c r="W32" s="41">
        <v>10030030</v>
      </c>
      <c r="X32">
        <v>500</v>
      </c>
      <c r="AC32" s="183" t="s">
        <v>859</v>
      </c>
      <c r="AD32" s="177" t="s">
        <v>561</v>
      </c>
      <c r="AE32" s="177" t="s">
        <v>1111</v>
      </c>
      <c r="AF32" s="177" t="s">
        <v>672</v>
      </c>
      <c r="AG32" s="178">
        <v>110000</v>
      </c>
      <c r="AH32" s="179">
        <v>1861</v>
      </c>
      <c r="AI32" s="180">
        <v>108139</v>
      </c>
      <c r="AJ32" s="179">
        <v>1861</v>
      </c>
      <c r="AK32" s="176">
        <v>0</v>
      </c>
      <c r="AL32" s="184">
        <f t="shared" si="0"/>
        <v>108139</v>
      </c>
      <c r="AN32" s="177">
        <v>10060110</v>
      </c>
      <c r="AO32" s="177" t="s">
        <v>1112</v>
      </c>
      <c r="AP32" s="177" t="s">
        <v>672</v>
      </c>
      <c r="AQ32" s="178">
        <v>110000</v>
      </c>
      <c r="AR32" s="179">
        <v>0</v>
      </c>
      <c r="AS32" s="180">
        <v>96740.972905661285</v>
      </c>
      <c r="AT32" s="179"/>
      <c r="AU32" s="179">
        <v>10000</v>
      </c>
      <c r="AV32" s="184">
        <f t="shared" si="1"/>
        <v>10000</v>
      </c>
      <c r="AW32" s="188"/>
    </row>
    <row r="33" spans="1:49" x14ac:dyDescent="0.25">
      <c r="A33" s="4">
        <v>10090030</v>
      </c>
      <c r="B33" s="219">
        <v>451.24</v>
      </c>
      <c r="D33" s="201"/>
      <c r="E33" s="71">
        <v>10130021</v>
      </c>
      <c r="F33" s="42">
        <v>6400</v>
      </c>
      <c r="H33" s="199"/>
      <c r="I33" s="71">
        <v>10610066</v>
      </c>
      <c r="J33" s="68">
        <v>75000</v>
      </c>
      <c r="L33" s="39"/>
      <c r="M33" s="4">
        <v>10090045</v>
      </c>
      <c r="N33" s="72">
        <v>3099</v>
      </c>
      <c r="Q33" s="4"/>
      <c r="R33" s="227"/>
      <c r="S33" s="228"/>
      <c r="T33" s="24"/>
      <c r="W33" s="41">
        <v>10030031</v>
      </c>
      <c r="X33">
        <v>500</v>
      </c>
      <c r="AC33" s="182" t="s">
        <v>860</v>
      </c>
      <c r="AD33" s="172" t="s">
        <v>679</v>
      </c>
      <c r="AE33" s="172" t="s">
        <v>1111</v>
      </c>
      <c r="AF33" s="172" t="s">
        <v>672</v>
      </c>
      <c r="AG33" s="173">
        <v>110000</v>
      </c>
      <c r="AH33" s="174">
        <v>0</v>
      </c>
      <c r="AI33" s="175">
        <v>110000</v>
      </c>
      <c r="AJ33" s="174">
        <v>0</v>
      </c>
      <c r="AK33" s="176">
        <v>0</v>
      </c>
      <c r="AL33" s="184">
        <f t="shared" si="0"/>
        <v>110000</v>
      </c>
      <c r="AN33" s="172">
        <v>10030072</v>
      </c>
      <c r="AO33" s="172" t="s">
        <v>1111</v>
      </c>
      <c r="AP33" s="172" t="s">
        <v>672</v>
      </c>
      <c r="AQ33" s="173">
        <v>110000</v>
      </c>
      <c r="AR33" s="174">
        <v>0</v>
      </c>
      <c r="AS33" s="175">
        <v>108139</v>
      </c>
      <c r="AT33" s="174"/>
      <c r="AU33" s="174"/>
      <c r="AV33" s="184">
        <f t="shared" si="1"/>
        <v>20000</v>
      </c>
      <c r="AW33" s="187">
        <v>45840</v>
      </c>
    </row>
    <row r="34" spans="1:49" x14ac:dyDescent="0.25">
      <c r="A34" s="4">
        <v>10090037</v>
      </c>
      <c r="B34" s="219">
        <v>348.53999999999996</v>
      </c>
      <c r="D34" s="201"/>
      <c r="E34" s="71">
        <v>10120037</v>
      </c>
      <c r="F34" s="42">
        <v>9600</v>
      </c>
      <c r="H34" s="199"/>
      <c r="I34" s="71">
        <v>10610067</v>
      </c>
      <c r="J34" s="68">
        <v>75000</v>
      </c>
      <c r="L34" s="39"/>
      <c r="M34" s="4">
        <v>10130026</v>
      </c>
      <c r="N34" s="72">
        <v>3000</v>
      </c>
      <c r="Q34" s="4"/>
      <c r="R34" s="227"/>
      <c r="S34" s="228"/>
      <c r="T34" s="24"/>
      <c r="W34" s="41">
        <v>10030035</v>
      </c>
      <c r="X34">
        <v>500</v>
      </c>
      <c r="AC34" s="183" t="s">
        <v>861</v>
      </c>
      <c r="AD34" s="177" t="s">
        <v>583</v>
      </c>
      <c r="AE34" s="177" t="s">
        <v>1111</v>
      </c>
      <c r="AF34" s="177" t="s">
        <v>672</v>
      </c>
      <c r="AG34" s="178">
        <v>110000</v>
      </c>
      <c r="AH34" s="179">
        <v>627</v>
      </c>
      <c r="AI34" s="180">
        <v>109373</v>
      </c>
      <c r="AJ34" s="179">
        <v>627</v>
      </c>
      <c r="AK34" s="176">
        <v>0</v>
      </c>
      <c r="AL34" s="184">
        <f t="shared" si="0"/>
        <v>109373</v>
      </c>
      <c r="AN34" s="177">
        <v>10030073</v>
      </c>
      <c r="AO34" s="177" t="s">
        <v>1111</v>
      </c>
      <c r="AP34" s="177" t="s">
        <v>672</v>
      </c>
      <c r="AQ34" s="178">
        <v>110000</v>
      </c>
      <c r="AR34" s="179">
        <v>0</v>
      </c>
      <c r="AS34" s="180">
        <v>109401</v>
      </c>
      <c r="AT34" s="179"/>
      <c r="AU34" s="179"/>
      <c r="AV34" s="184">
        <f t="shared" si="1"/>
        <v>20000</v>
      </c>
      <c r="AW34" s="188">
        <v>45840</v>
      </c>
    </row>
    <row r="35" spans="1:49" x14ac:dyDescent="0.25">
      <c r="A35" s="4">
        <v>10090047</v>
      </c>
      <c r="B35" s="219">
        <v>348.52</v>
      </c>
      <c r="D35" s="201"/>
      <c r="E35" s="71">
        <v>2048</v>
      </c>
      <c r="F35" s="42">
        <v>6400</v>
      </c>
      <c r="H35" s="199"/>
      <c r="I35" s="71">
        <v>10610068</v>
      </c>
      <c r="J35" s="68">
        <v>80000</v>
      </c>
      <c r="L35" s="39"/>
      <c r="M35" s="4">
        <v>10060069</v>
      </c>
      <c r="N35" s="72">
        <v>3000</v>
      </c>
      <c r="Q35" s="4"/>
      <c r="R35" s="227"/>
      <c r="S35" s="228"/>
      <c r="T35" s="24"/>
      <c r="W35" s="41">
        <v>10030036</v>
      </c>
      <c r="X35">
        <v>500</v>
      </c>
      <c r="AC35" s="182" t="s">
        <v>862</v>
      </c>
      <c r="AD35" s="172" t="s">
        <v>584</v>
      </c>
      <c r="AE35" s="172" t="s">
        <v>1111</v>
      </c>
      <c r="AF35" s="172" t="s">
        <v>672</v>
      </c>
      <c r="AG35" s="173">
        <v>110000</v>
      </c>
      <c r="AH35" s="174">
        <v>1040</v>
      </c>
      <c r="AI35" s="175">
        <v>108960</v>
      </c>
      <c r="AJ35" s="174">
        <v>1040</v>
      </c>
      <c r="AK35" s="176">
        <v>0</v>
      </c>
      <c r="AL35" s="184">
        <f t="shared" si="0"/>
        <v>108960</v>
      </c>
      <c r="AN35" s="172">
        <v>10060111</v>
      </c>
      <c r="AO35" s="172" t="s">
        <v>1112</v>
      </c>
      <c r="AP35" s="172" t="s">
        <v>672</v>
      </c>
      <c r="AQ35" s="173">
        <v>110000</v>
      </c>
      <c r="AR35" s="174">
        <v>0</v>
      </c>
      <c r="AS35" s="175">
        <v>92892</v>
      </c>
      <c r="AT35" s="174"/>
      <c r="AU35" s="174">
        <v>15000</v>
      </c>
      <c r="AV35" s="184">
        <f t="shared" si="1"/>
        <v>5000</v>
      </c>
      <c r="AW35" s="187"/>
    </row>
    <row r="36" spans="1:49" x14ac:dyDescent="0.25">
      <c r="A36" s="4">
        <v>10090049</v>
      </c>
      <c r="B36" s="219">
        <v>348.52</v>
      </c>
      <c r="D36" s="201"/>
      <c r="E36" s="71">
        <v>10120041</v>
      </c>
      <c r="F36" s="42">
        <v>4658.2507999999998</v>
      </c>
      <c r="H36" s="199"/>
      <c r="I36" s="71">
        <v>10610069</v>
      </c>
      <c r="J36" s="68">
        <v>75000</v>
      </c>
      <c r="L36" s="39"/>
      <c r="M36" s="4">
        <v>10070013</v>
      </c>
      <c r="N36" s="72">
        <v>3000</v>
      </c>
      <c r="Q36" s="4"/>
      <c r="R36" s="227"/>
      <c r="S36" s="228"/>
      <c r="T36" s="24"/>
      <c r="W36" s="41">
        <v>10030055</v>
      </c>
      <c r="X36">
        <v>500</v>
      </c>
      <c r="AC36" s="183" t="s">
        <v>863</v>
      </c>
      <c r="AD36" s="177" t="s">
        <v>515</v>
      </c>
      <c r="AE36" s="177" t="s">
        <v>1111</v>
      </c>
      <c r="AF36" s="177" t="s">
        <v>672</v>
      </c>
      <c r="AG36" s="178">
        <v>110000</v>
      </c>
      <c r="AH36" s="179">
        <v>3722</v>
      </c>
      <c r="AI36" s="180">
        <v>106278</v>
      </c>
      <c r="AJ36" s="179">
        <v>3722</v>
      </c>
      <c r="AK36" s="176">
        <v>0</v>
      </c>
      <c r="AL36" s="184">
        <f t="shared" si="0"/>
        <v>106278</v>
      </c>
      <c r="AN36" s="177">
        <v>10110103</v>
      </c>
      <c r="AO36" s="177" t="s">
        <v>1112</v>
      </c>
      <c r="AP36" s="177" t="s">
        <v>672</v>
      </c>
      <c r="AQ36" s="178">
        <v>110000</v>
      </c>
      <c r="AR36" s="179">
        <v>0</v>
      </c>
      <c r="AS36" s="180">
        <v>105000</v>
      </c>
      <c r="AT36" s="179"/>
      <c r="AU36" s="179">
        <v>5000</v>
      </c>
      <c r="AV36" s="184">
        <f t="shared" si="1"/>
        <v>15000</v>
      </c>
      <c r="AW36" s="188"/>
    </row>
    <row r="37" spans="1:49" x14ac:dyDescent="0.25">
      <c r="A37" s="4">
        <v>10090054</v>
      </c>
      <c r="B37" s="219">
        <v>128.25</v>
      </c>
      <c r="D37" s="201"/>
      <c r="E37" s="71">
        <v>10120042</v>
      </c>
      <c r="F37" s="42">
        <v>813.33140000000003</v>
      </c>
      <c r="H37" s="199"/>
      <c r="I37" s="71">
        <v>10660027</v>
      </c>
      <c r="J37" s="68">
        <v>75000</v>
      </c>
      <c r="L37" s="39"/>
      <c r="M37" s="4">
        <v>10100021</v>
      </c>
      <c r="N37" s="72">
        <v>1113</v>
      </c>
      <c r="Q37" s="4"/>
      <c r="R37" s="227"/>
      <c r="S37" s="228"/>
      <c r="T37" s="24"/>
      <c r="W37" s="41">
        <v>10030056</v>
      </c>
      <c r="X37">
        <v>500</v>
      </c>
      <c r="AC37" s="182" t="s">
        <v>864</v>
      </c>
      <c r="AD37" s="172" t="s">
        <v>680</v>
      </c>
      <c r="AE37" s="172" t="s">
        <v>1111</v>
      </c>
      <c r="AF37" s="172" t="s">
        <v>672</v>
      </c>
      <c r="AG37" s="173">
        <v>110000</v>
      </c>
      <c r="AH37" s="174">
        <v>0</v>
      </c>
      <c r="AI37" s="175">
        <v>110000</v>
      </c>
      <c r="AJ37" s="174">
        <v>0</v>
      </c>
      <c r="AK37" s="176">
        <v>0</v>
      </c>
      <c r="AL37" s="184">
        <f t="shared" si="0"/>
        <v>110000</v>
      </c>
      <c r="AN37" s="172">
        <v>10140153</v>
      </c>
      <c r="AO37" s="172" t="s">
        <v>1112</v>
      </c>
      <c r="AP37" s="172" t="s">
        <v>672</v>
      </c>
      <c r="AQ37" s="173">
        <v>110000</v>
      </c>
      <c r="AR37" s="174">
        <v>2186</v>
      </c>
      <c r="AS37" s="175">
        <v>88509</v>
      </c>
      <c r="AT37" s="174"/>
      <c r="AU37" s="174">
        <v>10000</v>
      </c>
      <c r="AV37" s="184">
        <f t="shared" si="1"/>
        <v>7814</v>
      </c>
      <c r="AW37" s="187">
        <v>45677</v>
      </c>
    </row>
    <row r="38" spans="1:49" x14ac:dyDescent="0.25">
      <c r="A38" s="4">
        <v>10090056</v>
      </c>
      <c r="B38" s="219">
        <v>404.53999999999996</v>
      </c>
      <c r="D38" s="201"/>
      <c r="E38" s="71">
        <v>10120031</v>
      </c>
      <c r="F38" s="42">
        <v>3164.9911117209958</v>
      </c>
      <c r="H38" s="199"/>
      <c r="I38" s="71">
        <v>10630023</v>
      </c>
      <c r="J38" s="68">
        <v>85000</v>
      </c>
      <c r="L38" s="39"/>
      <c r="M38" s="4">
        <v>10020041</v>
      </c>
      <c r="N38" s="72">
        <v>3000</v>
      </c>
      <c r="Q38" s="4"/>
      <c r="R38" s="227"/>
      <c r="S38" s="228"/>
      <c r="T38" s="24"/>
      <c r="W38" s="41">
        <v>10030063</v>
      </c>
      <c r="X38">
        <v>500</v>
      </c>
      <c r="AC38" s="183" t="s">
        <v>865</v>
      </c>
      <c r="AD38" s="177" t="s">
        <v>436</v>
      </c>
      <c r="AE38" s="177" t="s">
        <v>1111</v>
      </c>
      <c r="AF38" s="177" t="s">
        <v>672</v>
      </c>
      <c r="AG38" s="178">
        <v>110000</v>
      </c>
      <c r="AH38" s="179">
        <v>4625.5596826688179</v>
      </c>
      <c r="AI38" s="180">
        <v>105374.44031733119</v>
      </c>
      <c r="AJ38" s="179">
        <v>4625.5596826688179</v>
      </c>
      <c r="AK38" s="176">
        <v>0</v>
      </c>
      <c r="AL38" s="184">
        <f t="shared" si="0"/>
        <v>105374.44031733119</v>
      </c>
      <c r="AN38" s="177">
        <v>10130098</v>
      </c>
      <c r="AO38" s="177" t="s">
        <v>1112</v>
      </c>
      <c r="AP38" s="177" t="s">
        <v>672</v>
      </c>
      <c r="AQ38" s="178">
        <v>110000</v>
      </c>
      <c r="AR38" s="179">
        <v>6646</v>
      </c>
      <c r="AS38" s="180">
        <v>96998.739856266024</v>
      </c>
      <c r="AT38" s="179"/>
      <c r="AU38" s="179"/>
      <c r="AV38" s="184">
        <f t="shared" si="1"/>
        <v>13354</v>
      </c>
      <c r="AW38" s="188">
        <v>45749</v>
      </c>
    </row>
    <row r="39" spans="1:49" x14ac:dyDescent="0.25">
      <c r="A39" s="4">
        <v>10090064</v>
      </c>
      <c r="B39" s="219">
        <v>149.03999999999996</v>
      </c>
      <c r="D39" s="201"/>
      <c r="E39" s="71">
        <v>10130026</v>
      </c>
      <c r="F39" s="42">
        <v>6400</v>
      </c>
      <c r="H39" s="199"/>
      <c r="I39" s="71">
        <v>10660028</v>
      </c>
      <c r="J39" s="68">
        <v>75000</v>
      </c>
      <c r="L39" s="39"/>
      <c r="M39" s="4">
        <v>10090003</v>
      </c>
      <c r="N39" s="72">
        <v>3000</v>
      </c>
      <c r="Q39" s="4"/>
      <c r="R39" s="227"/>
      <c r="S39" s="228"/>
      <c r="T39" s="24"/>
      <c r="W39" s="41">
        <v>10060030</v>
      </c>
      <c r="X39">
        <v>500</v>
      </c>
      <c r="AC39" s="182" t="s">
        <v>866</v>
      </c>
      <c r="AD39" s="172" t="s">
        <v>632</v>
      </c>
      <c r="AE39" s="172" t="s">
        <v>1112</v>
      </c>
      <c r="AF39" s="172" t="s">
        <v>672</v>
      </c>
      <c r="AG39" s="173">
        <v>110000</v>
      </c>
      <c r="AH39" s="174">
        <v>10506</v>
      </c>
      <c r="AI39" s="175">
        <v>99494</v>
      </c>
      <c r="AJ39" s="174">
        <v>506</v>
      </c>
      <c r="AK39" s="176">
        <v>10000</v>
      </c>
      <c r="AL39" s="184">
        <f t="shared" si="0"/>
        <v>99494</v>
      </c>
      <c r="AN39" s="172">
        <v>10120107</v>
      </c>
      <c r="AO39" s="172" t="s">
        <v>1112</v>
      </c>
      <c r="AP39" s="172" t="s">
        <v>672</v>
      </c>
      <c r="AQ39" s="173">
        <v>110000</v>
      </c>
      <c r="AR39" s="174">
        <v>1685</v>
      </c>
      <c r="AS39" s="175">
        <v>94311</v>
      </c>
      <c r="AT39" s="174"/>
      <c r="AU39" s="174">
        <v>10000</v>
      </c>
      <c r="AV39" s="184">
        <f t="shared" si="1"/>
        <v>8315</v>
      </c>
      <c r="AW39" s="187"/>
    </row>
    <row r="40" spans="1:49" x14ac:dyDescent="0.25">
      <c r="A40" s="4">
        <v>10100015</v>
      </c>
      <c r="B40" s="219">
        <v>5.66</v>
      </c>
      <c r="D40" s="201"/>
      <c r="E40" s="71">
        <v>10130032</v>
      </c>
      <c r="F40" s="42">
        <v>6229</v>
      </c>
      <c r="H40" s="199"/>
      <c r="I40" s="71">
        <v>10660029</v>
      </c>
      <c r="J40" s="68">
        <v>75000</v>
      </c>
      <c r="L40" s="39"/>
      <c r="M40" s="4">
        <v>10090037</v>
      </c>
      <c r="N40" s="72">
        <v>400</v>
      </c>
      <c r="Q40" s="4"/>
      <c r="R40" s="227"/>
      <c r="S40" s="228"/>
      <c r="T40" s="24"/>
      <c r="W40" s="41">
        <v>10060031</v>
      </c>
      <c r="X40">
        <v>500</v>
      </c>
      <c r="AC40" s="183" t="s">
        <v>867</v>
      </c>
      <c r="AD40" s="177" t="s">
        <v>681</v>
      </c>
      <c r="AE40" s="177" t="s">
        <v>1112</v>
      </c>
      <c r="AF40" s="177" t="s">
        <v>672</v>
      </c>
      <c r="AG40" s="178">
        <v>110000</v>
      </c>
      <c r="AH40" s="179">
        <v>10000</v>
      </c>
      <c r="AI40" s="180">
        <v>100000</v>
      </c>
      <c r="AJ40" s="179">
        <v>0</v>
      </c>
      <c r="AK40" s="181">
        <v>10000</v>
      </c>
      <c r="AL40" s="184">
        <f t="shared" si="0"/>
        <v>100000</v>
      </c>
      <c r="AN40" s="177">
        <v>10130100</v>
      </c>
      <c r="AO40" s="177" t="s">
        <v>1111</v>
      </c>
      <c r="AP40" s="177" t="s">
        <v>672</v>
      </c>
      <c r="AQ40" s="178">
        <v>110000</v>
      </c>
      <c r="AR40" s="179">
        <v>0</v>
      </c>
      <c r="AS40" s="180">
        <v>108753</v>
      </c>
      <c r="AT40" s="179"/>
      <c r="AU40" s="179"/>
      <c r="AV40" s="184">
        <f t="shared" si="1"/>
        <v>20000</v>
      </c>
      <c r="AW40" s="188"/>
    </row>
    <row r="41" spans="1:49" x14ac:dyDescent="0.25">
      <c r="A41" s="4">
        <v>10100016</v>
      </c>
      <c r="B41" s="219">
        <v>5.660000000000025</v>
      </c>
      <c r="D41" s="201"/>
      <c r="E41" s="71">
        <v>10130033</v>
      </c>
      <c r="F41" s="42">
        <v>20729.479200000002</v>
      </c>
      <c r="H41" s="199"/>
      <c r="I41" s="71">
        <v>10650022</v>
      </c>
      <c r="J41" s="68">
        <v>80000</v>
      </c>
      <c r="L41" s="39"/>
      <c r="M41" s="4">
        <v>10010076</v>
      </c>
      <c r="N41" s="72">
        <v>3000</v>
      </c>
      <c r="Q41" s="4"/>
      <c r="R41" s="227"/>
      <c r="S41" s="228"/>
      <c r="T41" s="24"/>
      <c r="W41" s="41">
        <v>10060038</v>
      </c>
      <c r="X41">
        <v>500</v>
      </c>
      <c r="AC41" s="182" t="s">
        <v>868</v>
      </c>
      <c r="AD41" s="172" t="s">
        <v>682</v>
      </c>
      <c r="AE41" s="172" t="s">
        <v>1111</v>
      </c>
      <c r="AF41" s="172" t="s">
        <v>672</v>
      </c>
      <c r="AG41" s="173">
        <v>110000</v>
      </c>
      <c r="AH41" s="174">
        <v>0</v>
      </c>
      <c r="AI41" s="175">
        <v>110000</v>
      </c>
      <c r="AJ41" s="174">
        <v>0</v>
      </c>
      <c r="AK41" s="176">
        <v>0</v>
      </c>
      <c r="AL41" s="184">
        <f t="shared" si="0"/>
        <v>110000</v>
      </c>
      <c r="AN41" s="172">
        <v>10130102</v>
      </c>
      <c r="AO41" s="172" t="s">
        <v>1112</v>
      </c>
      <c r="AP41" s="172" t="s">
        <v>672</v>
      </c>
      <c r="AQ41" s="173">
        <v>110000</v>
      </c>
      <c r="AR41" s="174">
        <v>0</v>
      </c>
      <c r="AS41" s="175">
        <v>98936</v>
      </c>
      <c r="AT41" s="174"/>
      <c r="AU41" s="174">
        <v>10000</v>
      </c>
      <c r="AV41" s="184">
        <f t="shared" si="1"/>
        <v>10000</v>
      </c>
      <c r="AW41" s="187"/>
    </row>
    <row r="42" spans="1:49" x14ac:dyDescent="0.25">
      <c r="A42" s="4">
        <v>10100019</v>
      </c>
      <c r="B42" s="219">
        <v>2934.12</v>
      </c>
      <c r="D42" s="201"/>
      <c r="E42" s="71">
        <v>10130024</v>
      </c>
      <c r="F42" s="42">
        <v>12800</v>
      </c>
      <c r="H42" s="199"/>
      <c r="I42" s="71">
        <v>10630024</v>
      </c>
      <c r="J42" s="68">
        <v>85000</v>
      </c>
      <c r="L42" s="39"/>
      <c r="M42" s="4">
        <v>10130093</v>
      </c>
      <c r="N42" s="72">
        <v>3000</v>
      </c>
      <c r="Q42" s="4"/>
      <c r="R42" s="227"/>
      <c r="S42" s="228"/>
      <c r="T42" s="24"/>
      <c r="W42" s="41">
        <v>10060064</v>
      </c>
      <c r="X42">
        <v>500</v>
      </c>
      <c r="AC42" s="183" t="s">
        <v>869</v>
      </c>
      <c r="AD42" s="177" t="s">
        <v>683</v>
      </c>
      <c r="AE42" s="177" t="s">
        <v>1112</v>
      </c>
      <c r="AF42" s="177" t="s">
        <v>672</v>
      </c>
      <c r="AG42" s="178">
        <v>110000</v>
      </c>
      <c r="AH42" s="179">
        <v>11861</v>
      </c>
      <c r="AI42" s="180">
        <v>98139</v>
      </c>
      <c r="AJ42" s="179">
        <v>1861</v>
      </c>
      <c r="AK42" s="181">
        <v>10000</v>
      </c>
      <c r="AL42" s="184">
        <f t="shared" si="0"/>
        <v>98139</v>
      </c>
      <c r="AN42" s="177">
        <v>10120098</v>
      </c>
      <c r="AO42" s="177" t="s">
        <v>1112</v>
      </c>
      <c r="AP42" s="177" t="s">
        <v>672</v>
      </c>
      <c r="AQ42" s="178">
        <v>64000</v>
      </c>
      <c r="AR42" s="179">
        <v>5099</v>
      </c>
      <c r="AS42" s="180">
        <v>44089</v>
      </c>
      <c r="AT42" s="179"/>
      <c r="AU42" s="179">
        <v>10000</v>
      </c>
      <c r="AV42" s="184">
        <f t="shared" si="1"/>
        <v>4901</v>
      </c>
      <c r="AW42" s="188">
        <v>45708</v>
      </c>
    </row>
    <row r="43" spans="1:49" x14ac:dyDescent="0.25">
      <c r="A43" s="4">
        <v>10100021</v>
      </c>
      <c r="B43" s="219">
        <v>5.66</v>
      </c>
      <c r="D43" s="201"/>
      <c r="E43" s="71">
        <v>10370001</v>
      </c>
      <c r="F43" s="42">
        <v>3200</v>
      </c>
      <c r="H43" s="199"/>
      <c r="I43" s="71">
        <v>10630025</v>
      </c>
      <c r="J43" s="68">
        <v>85000</v>
      </c>
      <c r="L43" s="39"/>
      <c r="M43" s="4">
        <v>10130047</v>
      </c>
      <c r="N43" s="72">
        <v>3000</v>
      </c>
      <c r="T43" s="11">
        <f>SUM(T24:T42)</f>
        <v>0</v>
      </c>
      <c r="W43" s="41">
        <v>10070013</v>
      </c>
      <c r="X43">
        <v>500</v>
      </c>
      <c r="AC43" s="182" t="s">
        <v>870</v>
      </c>
      <c r="AD43" s="172" t="s">
        <v>628</v>
      </c>
      <c r="AE43" s="172" t="s">
        <v>1112</v>
      </c>
      <c r="AF43" s="172" t="s">
        <v>672</v>
      </c>
      <c r="AG43" s="173">
        <v>110000</v>
      </c>
      <c r="AH43" s="174">
        <v>10822</v>
      </c>
      <c r="AI43" s="175">
        <v>99178</v>
      </c>
      <c r="AJ43" s="174">
        <v>822</v>
      </c>
      <c r="AK43" s="176">
        <v>10000</v>
      </c>
      <c r="AL43" s="184">
        <f t="shared" si="0"/>
        <v>99178</v>
      </c>
      <c r="AN43" s="172">
        <v>10130095</v>
      </c>
      <c r="AO43" s="172" t="s">
        <v>1112</v>
      </c>
      <c r="AP43" s="172" t="s">
        <v>672</v>
      </c>
      <c r="AQ43" s="173">
        <v>110000</v>
      </c>
      <c r="AR43" s="174">
        <v>2961</v>
      </c>
      <c r="AS43" s="175">
        <v>103615</v>
      </c>
      <c r="AT43" s="174"/>
      <c r="AU43" s="174"/>
      <c r="AV43" s="184">
        <f t="shared" si="1"/>
        <v>17039</v>
      </c>
      <c r="AW43" s="187">
        <v>45721</v>
      </c>
    </row>
    <row r="44" spans="1:49" x14ac:dyDescent="0.25">
      <c r="A44" s="4">
        <v>10100035</v>
      </c>
      <c r="B44" s="219">
        <v>860.95999999999992</v>
      </c>
      <c r="D44" s="201"/>
      <c r="E44" s="71">
        <v>10100001</v>
      </c>
      <c r="F44" s="42">
        <v>7044.9295999999995</v>
      </c>
      <c r="H44" s="199"/>
      <c r="I44" s="71">
        <v>10630027</v>
      </c>
      <c r="J44" s="68">
        <v>85000</v>
      </c>
      <c r="L44" s="39"/>
      <c r="M44" s="4">
        <v>10140132</v>
      </c>
      <c r="N44" s="72">
        <v>3000</v>
      </c>
      <c r="W44" s="41">
        <v>10070014</v>
      </c>
      <c r="X44">
        <v>500</v>
      </c>
      <c r="AC44" s="183" t="s">
        <v>871</v>
      </c>
      <c r="AD44" s="177" t="s">
        <v>634</v>
      </c>
      <c r="AE44" s="177" t="s">
        <v>1112</v>
      </c>
      <c r="AF44" s="177" t="s">
        <v>672</v>
      </c>
      <c r="AG44" s="178">
        <v>110000</v>
      </c>
      <c r="AH44" s="179">
        <v>10781</v>
      </c>
      <c r="AI44" s="180">
        <v>99219</v>
      </c>
      <c r="AJ44" s="179">
        <v>781</v>
      </c>
      <c r="AK44" s="181">
        <v>10000</v>
      </c>
      <c r="AL44" s="184">
        <f t="shared" si="0"/>
        <v>99219</v>
      </c>
      <c r="AN44" s="177">
        <v>10060106</v>
      </c>
      <c r="AO44" s="177" t="s">
        <v>1112</v>
      </c>
      <c r="AP44" s="177" t="s">
        <v>672</v>
      </c>
      <c r="AQ44" s="178">
        <v>110000</v>
      </c>
      <c r="AR44" s="179">
        <v>0</v>
      </c>
      <c r="AS44" s="180">
        <v>100000</v>
      </c>
      <c r="AT44" s="179"/>
      <c r="AU44" s="179">
        <v>10000</v>
      </c>
      <c r="AV44" s="184">
        <f t="shared" si="1"/>
        <v>10000</v>
      </c>
      <c r="AW44" s="188"/>
    </row>
    <row r="45" spans="1:49" x14ac:dyDescent="0.25">
      <c r="A45" s="4">
        <v>10100054</v>
      </c>
      <c r="B45" s="219">
        <v>1442</v>
      </c>
      <c r="D45" s="202"/>
      <c r="E45" s="71">
        <v>9732</v>
      </c>
      <c r="F45" s="42">
        <v>3200</v>
      </c>
      <c r="H45" s="199"/>
      <c r="I45" s="71">
        <v>10650026</v>
      </c>
      <c r="J45" s="68">
        <v>80000</v>
      </c>
      <c r="L45" s="39"/>
      <c r="M45" s="4">
        <v>10140068</v>
      </c>
      <c r="N45" s="72">
        <v>3000</v>
      </c>
      <c r="W45" s="41">
        <v>10070015</v>
      </c>
      <c r="X45">
        <v>500</v>
      </c>
      <c r="AC45" s="182" t="s">
        <v>872</v>
      </c>
      <c r="AD45" s="172" t="s">
        <v>648</v>
      </c>
      <c r="AE45" s="172" t="s">
        <v>1112</v>
      </c>
      <c r="AF45" s="172" t="s">
        <v>672</v>
      </c>
      <c r="AG45" s="173">
        <v>110000</v>
      </c>
      <c r="AH45" s="174">
        <v>11861</v>
      </c>
      <c r="AI45" s="175">
        <v>98139</v>
      </c>
      <c r="AJ45" s="174">
        <v>1861</v>
      </c>
      <c r="AK45" s="176">
        <v>10000</v>
      </c>
      <c r="AL45" s="184">
        <f t="shared" si="0"/>
        <v>98139</v>
      </c>
      <c r="AN45" s="172">
        <v>10130093</v>
      </c>
      <c r="AO45" s="172" t="s">
        <v>1112</v>
      </c>
      <c r="AP45" s="172" t="s">
        <v>672</v>
      </c>
      <c r="AQ45" s="173">
        <v>110000</v>
      </c>
      <c r="AR45" s="174">
        <v>4653</v>
      </c>
      <c r="AS45" s="175">
        <v>99764</v>
      </c>
      <c r="AT45" s="174"/>
      <c r="AU45" s="174"/>
      <c r="AV45" s="184">
        <f t="shared" si="1"/>
        <v>15347</v>
      </c>
      <c r="AW45" s="187">
        <v>45708</v>
      </c>
    </row>
    <row r="46" spans="1:49" x14ac:dyDescent="0.25">
      <c r="A46" s="4">
        <v>10100060</v>
      </c>
      <c r="B46" s="219">
        <v>348.52</v>
      </c>
      <c r="D46" s="199"/>
      <c r="E46" s="71">
        <v>10120003</v>
      </c>
      <c r="F46" s="42">
        <v>1305.6643000000004</v>
      </c>
      <c r="H46" s="199"/>
      <c r="I46" s="71">
        <v>10650027</v>
      </c>
      <c r="J46" s="68">
        <v>80000</v>
      </c>
      <c r="L46" s="39"/>
      <c r="M46" s="4">
        <v>10110071</v>
      </c>
      <c r="N46" s="72">
        <v>3000</v>
      </c>
      <c r="W46" s="41">
        <v>10070016</v>
      </c>
      <c r="X46">
        <v>500</v>
      </c>
      <c r="AC46" s="183" t="s">
        <v>873</v>
      </c>
      <c r="AD46" s="177" t="s">
        <v>684</v>
      </c>
      <c r="AE46" s="177" t="s">
        <v>1112</v>
      </c>
      <c r="AF46" s="177" t="s">
        <v>672</v>
      </c>
      <c r="AG46" s="178">
        <v>110000</v>
      </c>
      <c r="AH46" s="179">
        <v>10000</v>
      </c>
      <c r="AI46" s="180">
        <v>100000</v>
      </c>
      <c r="AJ46" s="179">
        <v>0</v>
      </c>
      <c r="AK46" s="181">
        <v>10000</v>
      </c>
      <c r="AL46" s="184">
        <f t="shared" si="0"/>
        <v>100000</v>
      </c>
      <c r="AN46" s="177">
        <v>10110151</v>
      </c>
      <c r="AO46" s="177" t="s">
        <v>1111</v>
      </c>
      <c r="AP46" s="177" t="s">
        <v>672</v>
      </c>
      <c r="AQ46" s="178">
        <v>110000</v>
      </c>
      <c r="AR46" s="179">
        <v>0</v>
      </c>
      <c r="AS46" s="180">
        <v>110000</v>
      </c>
      <c r="AT46" s="179"/>
      <c r="AU46" s="179"/>
      <c r="AV46" s="184">
        <f t="shared" si="1"/>
        <v>20000</v>
      </c>
      <c r="AW46" s="188">
        <v>45803</v>
      </c>
    </row>
    <row r="47" spans="1:49" x14ac:dyDescent="0.25">
      <c r="A47" s="4">
        <v>10110097</v>
      </c>
      <c r="B47" s="219">
        <v>428.87999999999988</v>
      </c>
      <c r="D47" s="199"/>
      <c r="E47" s="71">
        <v>10130002</v>
      </c>
      <c r="F47" s="42">
        <v>13576.075400000002</v>
      </c>
      <c r="H47" s="199"/>
      <c r="I47" s="71">
        <v>10650028</v>
      </c>
      <c r="J47" s="68">
        <v>80000</v>
      </c>
      <c r="L47" s="39"/>
      <c r="M47" s="4">
        <v>10140033</v>
      </c>
      <c r="N47" s="72">
        <v>3000</v>
      </c>
      <c r="W47" s="41">
        <v>10070036</v>
      </c>
      <c r="X47">
        <v>500</v>
      </c>
      <c r="AC47" s="182" t="s">
        <v>874</v>
      </c>
      <c r="AD47" s="172" t="s">
        <v>685</v>
      </c>
      <c r="AE47" s="172" t="s">
        <v>1112</v>
      </c>
      <c r="AF47" s="172" t="s">
        <v>672</v>
      </c>
      <c r="AG47" s="173">
        <v>110000</v>
      </c>
      <c r="AH47" s="174">
        <v>13127</v>
      </c>
      <c r="AI47" s="175">
        <v>96873</v>
      </c>
      <c r="AJ47" s="174">
        <v>3127</v>
      </c>
      <c r="AK47" s="176">
        <v>10000</v>
      </c>
      <c r="AL47" s="184">
        <f t="shared" si="0"/>
        <v>96873</v>
      </c>
      <c r="AN47" s="172">
        <v>10140168</v>
      </c>
      <c r="AO47" s="172" t="s">
        <v>1112</v>
      </c>
      <c r="AP47" s="172" t="s">
        <v>672</v>
      </c>
      <c r="AQ47" s="173">
        <v>110000</v>
      </c>
      <c r="AR47" s="174">
        <v>625</v>
      </c>
      <c r="AS47" s="175">
        <v>106248</v>
      </c>
      <c r="AT47" s="174"/>
      <c r="AU47" s="174"/>
      <c r="AV47" s="184">
        <f t="shared" si="1"/>
        <v>19375</v>
      </c>
      <c r="AW47" s="187">
        <v>45749</v>
      </c>
    </row>
    <row r="48" spans="1:49" x14ac:dyDescent="0.25">
      <c r="A48" s="4">
        <v>10110098</v>
      </c>
      <c r="B48" s="219">
        <v>1119.6799999999998</v>
      </c>
      <c r="D48" s="199"/>
      <c r="E48" s="71">
        <v>10130035</v>
      </c>
      <c r="F48" s="42">
        <v>1766.1463999999996</v>
      </c>
      <c r="H48" s="199"/>
      <c r="I48" s="71">
        <v>10110189</v>
      </c>
      <c r="J48" s="68">
        <v>85000</v>
      </c>
      <c r="L48" s="39"/>
      <c r="M48" s="4">
        <v>10140058</v>
      </c>
      <c r="N48" s="72">
        <v>3000</v>
      </c>
      <c r="W48" s="41">
        <v>10080016</v>
      </c>
      <c r="X48">
        <v>500</v>
      </c>
      <c r="AC48" s="183" t="s">
        <v>875</v>
      </c>
      <c r="AD48" s="177" t="s">
        <v>631</v>
      </c>
      <c r="AE48" s="177" t="s">
        <v>1112</v>
      </c>
      <c r="AF48" s="177" t="s">
        <v>672</v>
      </c>
      <c r="AG48" s="178">
        <v>110000</v>
      </c>
      <c r="AH48" s="179">
        <v>10736</v>
      </c>
      <c r="AI48" s="180">
        <v>99264</v>
      </c>
      <c r="AJ48" s="179">
        <v>736</v>
      </c>
      <c r="AK48" s="181">
        <v>10000</v>
      </c>
      <c r="AL48" s="184">
        <f t="shared" si="0"/>
        <v>99264</v>
      </c>
      <c r="AN48" s="177">
        <v>10140169</v>
      </c>
      <c r="AO48" s="177" t="s">
        <v>1112</v>
      </c>
      <c r="AP48" s="177" t="s">
        <v>672</v>
      </c>
      <c r="AQ48" s="178">
        <v>110000</v>
      </c>
      <c r="AR48" s="179">
        <v>4340</v>
      </c>
      <c r="AS48" s="180">
        <v>101120</v>
      </c>
      <c r="AT48" s="179"/>
      <c r="AU48" s="179"/>
      <c r="AV48" s="184">
        <f t="shared" si="1"/>
        <v>15660</v>
      </c>
      <c r="AW48" s="188">
        <v>45692</v>
      </c>
    </row>
    <row r="49" spans="1:49" x14ac:dyDescent="0.25">
      <c r="A49" s="4">
        <v>10110100</v>
      </c>
      <c r="B49" s="219">
        <v>423.73543080156105</v>
      </c>
      <c r="D49" s="199"/>
      <c r="E49" s="71">
        <v>10130009</v>
      </c>
      <c r="F49" s="42">
        <v>3199.7384000000002</v>
      </c>
      <c r="H49" s="199"/>
      <c r="I49" s="71">
        <v>10020088</v>
      </c>
      <c r="J49" s="68">
        <v>85000</v>
      </c>
      <c r="L49" s="39"/>
      <c r="M49" s="4">
        <v>10140137</v>
      </c>
      <c r="N49" s="72">
        <v>3000</v>
      </c>
      <c r="W49" s="41">
        <v>10080022</v>
      </c>
      <c r="X49">
        <v>500</v>
      </c>
      <c r="AC49" s="182" t="s">
        <v>876</v>
      </c>
      <c r="AD49" s="172" t="s">
        <v>686</v>
      </c>
      <c r="AE49" s="172" t="s">
        <v>1112</v>
      </c>
      <c r="AF49" s="172" t="s">
        <v>672</v>
      </c>
      <c r="AG49" s="173">
        <v>110000</v>
      </c>
      <c r="AH49" s="174">
        <v>10000</v>
      </c>
      <c r="AI49" s="175">
        <v>100000</v>
      </c>
      <c r="AJ49" s="174">
        <v>0</v>
      </c>
      <c r="AK49" s="176">
        <v>10000</v>
      </c>
      <c r="AL49" s="184">
        <f t="shared" si="0"/>
        <v>100000</v>
      </c>
      <c r="AN49" s="172">
        <v>10140156</v>
      </c>
      <c r="AO49" s="172" t="s">
        <v>1112</v>
      </c>
      <c r="AP49" s="172" t="s">
        <v>672</v>
      </c>
      <c r="AQ49" s="173">
        <v>110000</v>
      </c>
      <c r="AR49" s="174">
        <v>15097</v>
      </c>
      <c r="AS49" s="175">
        <v>86821.055041713873</v>
      </c>
      <c r="AT49" s="174"/>
      <c r="AU49" s="174"/>
      <c r="AV49" s="184">
        <f t="shared" si="1"/>
        <v>4903</v>
      </c>
      <c r="AW49" s="187">
        <v>45685</v>
      </c>
    </row>
    <row r="50" spans="1:49" x14ac:dyDescent="0.25">
      <c r="A50" s="4">
        <v>10110109</v>
      </c>
      <c r="B50" s="219">
        <v>1303.775430801561</v>
      </c>
      <c r="D50" s="199"/>
      <c r="E50" s="71">
        <v>1725</v>
      </c>
      <c r="F50" s="42">
        <v>19200.028699999999</v>
      </c>
      <c r="H50" s="199"/>
      <c r="I50" s="71">
        <v>10540050</v>
      </c>
      <c r="J50" s="68">
        <v>65000</v>
      </c>
      <c r="L50" s="39"/>
      <c r="M50" s="4">
        <v>10090043</v>
      </c>
      <c r="N50" s="72">
        <v>3000</v>
      </c>
      <c r="W50" s="41">
        <v>10080023</v>
      </c>
      <c r="X50">
        <v>500</v>
      </c>
      <c r="AC50" s="183" t="s">
        <v>877</v>
      </c>
      <c r="AD50" s="177" t="s">
        <v>687</v>
      </c>
      <c r="AE50" s="177" t="s">
        <v>1112</v>
      </c>
      <c r="AF50" s="177" t="s">
        <v>672</v>
      </c>
      <c r="AG50" s="178">
        <v>110000</v>
      </c>
      <c r="AH50" s="179">
        <v>10000</v>
      </c>
      <c r="AI50" s="180">
        <v>100000</v>
      </c>
      <c r="AJ50" s="179">
        <v>0</v>
      </c>
      <c r="AK50" s="181">
        <v>10000</v>
      </c>
      <c r="AL50" s="184">
        <f t="shared" si="0"/>
        <v>100000</v>
      </c>
      <c r="AN50" s="177">
        <v>10120105</v>
      </c>
      <c r="AO50" s="177" t="s">
        <v>1112</v>
      </c>
      <c r="AP50" s="177" t="s">
        <v>672</v>
      </c>
      <c r="AQ50" s="178">
        <v>110000</v>
      </c>
      <c r="AR50" s="179">
        <v>0</v>
      </c>
      <c r="AS50" s="180">
        <v>97706</v>
      </c>
      <c r="AT50" s="179"/>
      <c r="AU50" s="179">
        <v>10000</v>
      </c>
      <c r="AV50" s="184">
        <f t="shared" si="1"/>
        <v>10000</v>
      </c>
      <c r="AW50" s="188">
        <v>45528</v>
      </c>
    </row>
    <row r="51" spans="1:49" x14ac:dyDescent="0.25">
      <c r="A51" s="4">
        <v>10110116</v>
      </c>
      <c r="B51" s="219">
        <v>423.73543080156105</v>
      </c>
      <c r="D51" s="201"/>
      <c r="E51" s="71">
        <v>10130010</v>
      </c>
      <c r="F51" s="42">
        <v>6020.7064000000009</v>
      </c>
      <c r="H51" s="199"/>
      <c r="I51" s="71">
        <v>10550010</v>
      </c>
      <c r="J51" s="68">
        <v>85000</v>
      </c>
      <c r="L51" s="39"/>
      <c r="M51" s="4">
        <v>10020070</v>
      </c>
      <c r="N51" s="72">
        <v>465</v>
      </c>
      <c r="W51" s="41">
        <v>10080027</v>
      </c>
      <c r="X51">
        <v>500</v>
      </c>
      <c r="AC51" s="182" t="s">
        <v>878</v>
      </c>
      <c r="AD51" s="172" t="s">
        <v>688</v>
      </c>
      <c r="AE51" s="172" t="s">
        <v>1112</v>
      </c>
      <c r="AF51" s="172" t="s">
        <v>672</v>
      </c>
      <c r="AG51" s="173">
        <v>110000</v>
      </c>
      <c r="AH51" s="174">
        <v>10000</v>
      </c>
      <c r="AI51" s="175">
        <v>100000</v>
      </c>
      <c r="AJ51" s="174">
        <v>0</v>
      </c>
      <c r="AK51" s="176">
        <v>10000</v>
      </c>
      <c r="AL51" s="184">
        <f t="shared" si="0"/>
        <v>100000</v>
      </c>
      <c r="AN51" s="172">
        <v>10080095</v>
      </c>
      <c r="AO51" s="172" t="s">
        <v>1112</v>
      </c>
      <c r="AP51" s="172" t="s">
        <v>672</v>
      </c>
      <c r="AQ51" s="173">
        <v>110000</v>
      </c>
      <c r="AR51" s="174">
        <v>0</v>
      </c>
      <c r="AS51" s="175">
        <v>99110</v>
      </c>
      <c r="AT51" s="174"/>
      <c r="AU51" s="174">
        <v>10000</v>
      </c>
      <c r="AV51" s="184">
        <f t="shared" si="1"/>
        <v>10000</v>
      </c>
      <c r="AW51" s="187">
        <v>45528</v>
      </c>
    </row>
    <row r="52" spans="1:49" x14ac:dyDescent="0.25">
      <c r="A52" s="4">
        <v>10110121</v>
      </c>
      <c r="B52" s="219">
        <v>423.73543080156105</v>
      </c>
      <c r="D52" s="199"/>
      <c r="E52" s="71">
        <v>10130001</v>
      </c>
      <c r="F52" s="42">
        <v>4162.4417999999987</v>
      </c>
      <c r="H52" s="199"/>
      <c r="I52" s="71">
        <v>10550011</v>
      </c>
      <c r="J52" s="68">
        <v>85000</v>
      </c>
      <c r="L52" s="39"/>
      <c r="M52" s="4">
        <v>10110043</v>
      </c>
      <c r="N52" s="72">
        <v>3000</v>
      </c>
      <c r="W52" s="41">
        <v>10080032</v>
      </c>
      <c r="X52">
        <v>500</v>
      </c>
      <c r="AC52" s="183" t="s">
        <v>879</v>
      </c>
      <c r="AD52" s="177" t="s">
        <v>689</v>
      </c>
      <c r="AE52" s="177" t="s">
        <v>1112</v>
      </c>
      <c r="AF52" s="177" t="s">
        <v>672</v>
      </c>
      <c r="AG52" s="178">
        <v>110000</v>
      </c>
      <c r="AH52" s="179">
        <v>10341</v>
      </c>
      <c r="AI52" s="180">
        <v>109659</v>
      </c>
      <c r="AJ52" s="179">
        <v>341</v>
      </c>
      <c r="AK52" s="181">
        <v>10000</v>
      </c>
      <c r="AL52" s="184">
        <f t="shared" si="0"/>
        <v>99659</v>
      </c>
      <c r="AN52" s="177">
        <v>10080096</v>
      </c>
      <c r="AO52" s="177" t="s">
        <v>1111</v>
      </c>
      <c r="AP52" s="177" t="s">
        <v>672</v>
      </c>
      <c r="AQ52" s="178">
        <v>110000</v>
      </c>
      <c r="AR52" s="179">
        <v>0</v>
      </c>
      <c r="AS52" s="180">
        <v>108384</v>
      </c>
      <c r="AT52" s="179"/>
      <c r="AU52" s="179"/>
      <c r="AV52" s="184">
        <f t="shared" si="1"/>
        <v>20000</v>
      </c>
      <c r="AW52" s="188"/>
    </row>
    <row r="53" spans="1:49" x14ac:dyDescent="0.25">
      <c r="A53" s="4">
        <v>10110132</v>
      </c>
      <c r="B53" s="219">
        <v>423.73543080156082</v>
      </c>
      <c r="D53" s="199"/>
      <c r="E53" s="71">
        <v>10130017</v>
      </c>
      <c r="F53" s="42">
        <v>4424.4603999999999</v>
      </c>
      <c r="H53" s="199"/>
      <c r="I53" s="71">
        <v>10650023</v>
      </c>
      <c r="J53" s="68">
        <v>85000</v>
      </c>
      <c r="L53" s="39"/>
      <c r="M53" s="4">
        <v>10120002</v>
      </c>
      <c r="N53" s="72">
        <v>3000</v>
      </c>
      <c r="W53" s="41">
        <v>10080047</v>
      </c>
      <c r="X53">
        <v>500</v>
      </c>
      <c r="AC53" s="182" t="s">
        <v>880</v>
      </c>
      <c r="AD53" s="172" t="s">
        <v>563</v>
      </c>
      <c r="AE53" s="172" t="s">
        <v>1112</v>
      </c>
      <c r="AF53" s="172" t="s">
        <v>672</v>
      </c>
      <c r="AG53" s="173">
        <v>110000</v>
      </c>
      <c r="AH53" s="174">
        <v>12504</v>
      </c>
      <c r="AI53" s="175">
        <v>107496</v>
      </c>
      <c r="AJ53" s="174">
        <v>2504</v>
      </c>
      <c r="AK53" s="176">
        <v>10000</v>
      </c>
      <c r="AL53" s="184">
        <f t="shared" si="0"/>
        <v>97496</v>
      </c>
      <c r="AN53" s="172">
        <v>10010108</v>
      </c>
      <c r="AO53" s="172" t="s">
        <v>1112</v>
      </c>
      <c r="AP53" s="172" t="s">
        <v>672</v>
      </c>
      <c r="AQ53" s="173">
        <v>110000</v>
      </c>
      <c r="AR53" s="174">
        <v>197</v>
      </c>
      <c r="AS53" s="175">
        <v>96242</v>
      </c>
      <c r="AT53" s="174"/>
      <c r="AU53" s="174">
        <v>10000</v>
      </c>
      <c r="AV53" s="184">
        <f t="shared" si="1"/>
        <v>9803</v>
      </c>
      <c r="AW53" s="187"/>
    </row>
    <row r="54" spans="1:49" x14ac:dyDescent="0.25">
      <c r="A54" s="4">
        <v>10110133</v>
      </c>
      <c r="B54" s="219">
        <v>753.06</v>
      </c>
      <c r="D54" s="199"/>
      <c r="E54" s="71">
        <v>10120020</v>
      </c>
      <c r="F54" s="42">
        <v>12799.650000000001</v>
      </c>
      <c r="H54" s="199"/>
      <c r="I54" s="71">
        <v>10530113</v>
      </c>
      <c r="J54" s="68">
        <v>65000</v>
      </c>
      <c r="L54" s="39"/>
      <c r="M54" s="4">
        <v>10120107</v>
      </c>
      <c r="N54" s="72">
        <v>3000</v>
      </c>
      <c r="W54" s="41">
        <v>10080048</v>
      </c>
      <c r="X54">
        <v>500</v>
      </c>
      <c r="AC54" s="183" t="s">
        <v>881</v>
      </c>
      <c r="AD54" s="177" t="s">
        <v>567</v>
      </c>
      <c r="AE54" s="177" t="s">
        <v>1112</v>
      </c>
      <c r="AF54" s="177" t="s">
        <v>672</v>
      </c>
      <c r="AG54" s="178">
        <v>110000</v>
      </c>
      <c r="AH54" s="179">
        <v>11869</v>
      </c>
      <c r="AI54" s="180">
        <v>98131</v>
      </c>
      <c r="AJ54" s="179">
        <v>1869</v>
      </c>
      <c r="AK54" s="181">
        <v>10000</v>
      </c>
      <c r="AL54" s="184">
        <f t="shared" si="0"/>
        <v>98131</v>
      </c>
      <c r="AN54" s="177">
        <v>10130099</v>
      </c>
      <c r="AO54" s="177" t="s">
        <v>1112</v>
      </c>
      <c r="AP54" s="177" t="s">
        <v>672</v>
      </c>
      <c r="AQ54" s="178">
        <v>110000</v>
      </c>
      <c r="AR54" s="179">
        <v>0</v>
      </c>
      <c r="AS54" s="180">
        <v>100000</v>
      </c>
      <c r="AT54" s="179"/>
      <c r="AU54" s="179">
        <v>10000</v>
      </c>
      <c r="AV54" s="184">
        <f t="shared" si="1"/>
        <v>10000</v>
      </c>
      <c r="AW54" s="188"/>
    </row>
    <row r="55" spans="1:49" x14ac:dyDescent="0.25">
      <c r="A55" s="4">
        <v>10110135</v>
      </c>
      <c r="B55" s="219">
        <v>423.73543080156105</v>
      </c>
      <c r="D55" s="199"/>
      <c r="E55" s="71">
        <v>10130011</v>
      </c>
      <c r="F55" s="42">
        <v>2060.0082000000002</v>
      </c>
      <c r="H55" s="199"/>
      <c r="I55" s="71">
        <v>10530114</v>
      </c>
      <c r="J55" s="68">
        <v>65000</v>
      </c>
      <c r="L55" s="39"/>
      <c r="M55" s="4">
        <v>10120080</v>
      </c>
      <c r="N55" s="72">
        <v>3000</v>
      </c>
      <c r="W55" s="41">
        <v>10080051</v>
      </c>
      <c r="X55">
        <v>500</v>
      </c>
      <c r="AC55" s="182" t="s">
        <v>882</v>
      </c>
      <c r="AD55" s="172" t="s">
        <v>690</v>
      </c>
      <c r="AE55" s="172" t="s">
        <v>1112</v>
      </c>
      <c r="AF55" s="172" t="s">
        <v>672</v>
      </c>
      <c r="AG55" s="173">
        <v>110000</v>
      </c>
      <c r="AH55" s="174">
        <v>10000</v>
      </c>
      <c r="AI55" s="175">
        <v>100000</v>
      </c>
      <c r="AJ55" s="174">
        <v>0</v>
      </c>
      <c r="AK55" s="176">
        <v>10000</v>
      </c>
      <c r="AL55" s="184">
        <f t="shared" si="0"/>
        <v>100000</v>
      </c>
      <c r="AN55" s="172">
        <v>10110109</v>
      </c>
      <c r="AO55" s="172" t="s">
        <v>1112</v>
      </c>
      <c r="AP55" s="172" t="s">
        <v>672</v>
      </c>
      <c r="AQ55" s="173">
        <v>110000</v>
      </c>
      <c r="AR55" s="174">
        <v>4761</v>
      </c>
      <c r="AS55" s="175">
        <v>88512</v>
      </c>
      <c r="AT55" s="174"/>
      <c r="AU55" s="174">
        <v>10000</v>
      </c>
      <c r="AV55" s="184">
        <f t="shared" si="1"/>
        <v>5239</v>
      </c>
      <c r="AW55" s="187">
        <v>44876</v>
      </c>
    </row>
    <row r="56" spans="1:49" x14ac:dyDescent="0.25">
      <c r="A56" s="4">
        <v>10110140</v>
      </c>
      <c r="B56" s="219">
        <v>1721.075430801561</v>
      </c>
      <c r="D56" s="199"/>
      <c r="E56" s="71">
        <v>10120018</v>
      </c>
      <c r="F56" s="42">
        <v>6349.0524198909334</v>
      </c>
      <c r="H56" s="199"/>
      <c r="I56" s="71">
        <v>10140208</v>
      </c>
      <c r="J56" s="68">
        <v>65000</v>
      </c>
      <c r="L56" s="39"/>
      <c r="M56" s="4">
        <v>10120035</v>
      </c>
      <c r="N56" s="72">
        <v>3000</v>
      </c>
      <c r="W56" s="41">
        <v>10080055</v>
      </c>
      <c r="X56">
        <v>500</v>
      </c>
      <c r="AC56" s="183" t="s">
        <v>883</v>
      </c>
      <c r="AD56" s="177" t="s">
        <v>691</v>
      </c>
      <c r="AE56" s="177" t="s">
        <v>1112</v>
      </c>
      <c r="AF56" s="177" t="s">
        <v>672</v>
      </c>
      <c r="AG56" s="178">
        <v>110000</v>
      </c>
      <c r="AH56" s="179">
        <v>5000</v>
      </c>
      <c r="AI56" s="180">
        <v>105000</v>
      </c>
      <c r="AJ56" s="179">
        <v>0</v>
      </c>
      <c r="AK56" s="181">
        <v>5000</v>
      </c>
      <c r="AL56" s="184">
        <f t="shared" si="0"/>
        <v>105000</v>
      </c>
      <c r="AN56" s="177">
        <v>10110132</v>
      </c>
      <c r="AO56" s="177" t="s">
        <v>1112</v>
      </c>
      <c r="AP56" s="177" t="s">
        <v>672</v>
      </c>
      <c r="AQ56" s="178">
        <v>110000</v>
      </c>
      <c r="AR56" s="179">
        <v>508</v>
      </c>
      <c r="AS56" s="180">
        <v>95868</v>
      </c>
      <c r="AT56" s="179"/>
      <c r="AU56" s="179">
        <v>10000</v>
      </c>
      <c r="AV56" s="184">
        <f t="shared" si="1"/>
        <v>9492</v>
      </c>
      <c r="AW56" s="188">
        <v>45775</v>
      </c>
    </row>
    <row r="57" spans="1:49" x14ac:dyDescent="0.25">
      <c r="A57" s="4">
        <v>10110141</v>
      </c>
      <c r="B57" s="219">
        <v>479.75543080156103</v>
      </c>
      <c r="D57" s="199"/>
      <c r="E57" s="71">
        <v>10060025</v>
      </c>
      <c r="F57" s="42">
        <v>2609.1486162001966</v>
      </c>
      <c r="H57" s="199"/>
      <c r="I57" s="71">
        <v>10600015</v>
      </c>
      <c r="J57" s="68">
        <v>85000</v>
      </c>
      <c r="L57" s="39"/>
      <c r="M57" s="4">
        <v>10130014</v>
      </c>
      <c r="N57" s="72">
        <v>3000</v>
      </c>
      <c r="W57" s="41">
        <v>10080056</v>
      </c>
      <c r="X57">
        <v>500</v>
      </c>
      <c r="AC57" s="182" t="s">
        <v>884</v>
      </c>
      <c r="AD57" s="172" t="s">
        <v>619</v>
      </c>
      <c r="AE57" s="172" t="s">
        <v>1112</v>
      </c>
      <c r="AF57" s="172" t="s">
        <v>672</v>
      </c>
      <c r="AG57" s="173">
        <v>110000</v>
      </c>
      <c r="AH57" s="174">
        <v>11482</v>
      </c>
      <c r="AI57" s="175">
        <v>98518</v>
      </c>
      <c r="AJ57" s="174">
        <v>1482</v>
      </c>
      <c r="AK57" s="176">
        <v>10000</v>
      </c>
      <c r="AL57" s="184">
        <f t="shared" si="0"/>
        <v>98518</v>
      </c>
      <c r="AN57" s="172">
        <v>10070070</v>
      </c>
      <c r="AO57" s="172" t="s">
        <v>1112</v>
      </c>
      <c r="AP57" s="172" t="s">
        <v>672</v>
      </c>
      <c r="AQ57" s="173">
        <v>110000</v>
      </c>
      <c r="AR57" s="174">
        <v>0</v>
      </c>
      <c r="AS57" s="175">
        <v>100000</v>
      </c>
      <c r="AT57" s="174"/>
      <c r="AU57" s="174">
        <v>10000</v>
      </c>
      <c r="AV57" s="184">
        <f t="shared" si="1"/>
        <v>10000</v>
      </c>
      <c r="AW57" s="187">
        <v>45483</v>
      </c>
    </row>
    <row r="58" spans="1:49" x14ac:dyDescent="0.25">
      <c r="A58" s="4">
        <v>10110144</v>
      </c>
      <c r="B58" s="219">
        <v>423.73543080156105</v>
      </c>
      <c r="D58" s="199"/>
      <c r="E58" s="71">
        <v>10060026</v>
      </c>
      <c r="F58" s="42">
        <v>1687.1475270378869</v>
      </c>
      <c r="H58" s="199"/>
      <c r="I58" s="71">
        <v>10600016</v>
      </c>
      <c r="J58" s="68">
        <v>85000</v>
      </c>
      <c r="L58" s="39"/>
      <c r="M58" s="4">
        <v>10130015</v>
      </c>
      <c r="N58" s="72">
        <v>3000</v>
      </c>
      <c r="W58" s="41">
        <v>10080057</v>
      </c>
      <c r="X58">
        <v>500</v>
      </c>
      <c r="AC58" s="183" t="s">
        <v>885</v>
      </c>
      <c r="AD58" s="177" t="s">
        <v>618</v>
      </c>
      <c r="AE58" s="177" t="s">
        <v>1112</v>
      </c>
      <c r="AF58" s="177" t="s">
        <v>672</v>
      </c>
      <c r="AG58" s="178">
        <v>110000</v>
      </c>
      <c r="AH58" s="179">
        <v>11861</v>
      </c>
      <c r="AI58" s="180">
        <v>98139</v>
      </c>
      <c r="AJ58" s="179">
        <v>1861</v>
      </c>
      <c r="AK58" s="181">
        <v>10000</v>
      </c>
      <c r="AL58" s="184">
        <f t="shared" si="0"/>
        <v>98139</v>
      </c>
      <c r="AN58" s="177">
        <v>10070071</v>
      </c>
      <c r="AO58" s="177" t="s">
        <v>1112</v>
      </c>
      <c r="AP58" s="177" t="s">
        <v>672</v>
      </c>
      <c r="AQ58" s="178">
        <v>110000</v>
      </c>
      <c r="AR58" s="179">
        <v>0</v>
      </c>
      <c r="AS58" s="180">
        <v>100000</v>
      </c>
      <c r="AT58" s="179"/>
      <c r="AU58" s="179">
        <v>10000</v>
      </c>
      <c r="AV58" s="184">
        <f t="shared" si="1"/>
        <v>10000</v>
      </c>
      <c r="AW58" s="188"/>
    </row>
    <row r="59" spans="1:49" x14ac:dyDescent="0.25">
      <c r="A59" s="4">
        <v>10110148</v>
      </c>
      <c r="B59" s="219">
        <v>1321.255430801561</v>
      </c>
      <c r="D59" s="199"/>
      <c r="E59" s="71">
        <v>10020027</v>
      </c>
      <c r="F59" s="42">
        <v>6400</v>
      </c>
      <c r="H59" s="199"/>
      <c r="I59" s="71">
        <v>10660017</v>
      </c>
      <c r="J59" s="68">
        <v>75000</v>
      </c>
      <c r="L59" s="39"/>
      <c r="M59" s="4">
        <v>10030053</v>
      </c>
      <c r="N59" s="72">
        <v>3000</v>
      </c>
      <c r="W59" s="41">
        <v>10080060</v>
      </c>
      <c r="X59">
        <v>500</v>
      </c>
      <c r="AC59" s="182" t="s">
        <v>886</v>
      </c>
      <c r="AD59" s="172" t="s">
        <v>564</v>
      </c>
      <c r="AE59" s="172" t="s">
        <v>1112</v>
      </c>
      <c r="AF59" s="172" t="s">
        <v>672</v>
      </c>
      <c r="AG59" s="173">
        <v>110000</v>
      </c>
      <c r="AH59" s="174">
        <v>10061</v>
      </c>
      <c r="AI59" s="175">
        <v>109939</v>
      </c>
      <c r="AJ59" s="174">
        <v>61</v>
      </c>
      <c r="AK59" s="176">
        <v>10000</v>
      </c>
      <c r="AL59" s="184">
        <f t="shared" si="0"/>
        <v>99939</v>
      </c>
      <c r="AN59" s="172">
        <v>10070072</v>
      </c>
      <c r="AO59" s="172" t="s">
        <v>1112</v>
      </c>
      <c r="AP59" s="172" t="s">
        <v>672</v>
      </c>
      <c r="AQ59" s="173">
        <v>110000</v>
      </c>
      <c r="AR59" s="174">
        <v>0</v>
      </c>
      <c r="AS59" s="175">
        <v>99752</v>
      </c>
      <c r="AT59" s="174"/>
      <c r="AU59" s="174">
        <v>10000</v>
      </c>
      <c r="AV59" s="184">
        <f t="shared" si="1"/>
        <v>10000</v>
      </c>
      <c r="AW59" s="187">
        <v>45703</v>
      </c>
    </row>
    <row r="60" spans="1:49" x14ac:dyDescent="0.25">
      <c r="A60" s="4">
        <v>10110149</v>
      </c>
      <c r="B60" s="219">
        <v>473.25543080156103</v>
      </c>
      <c r="D60" s="199"/>
      <c r="E60" s="71">
        <v>10020030</v>
      </c>
      <c r="F60" s="42">
        <v>6400</v>
      </c>
      <c r="H60" s="199"/>
      <c r="I60" s="71">
        <v>10650013</v>
      </c>
      <c r="J60" s="68">
        <v>80000</v>
      </c>
      <c r="L60" s="39"/>
      <c r="M60" s="4">
        <v>10110095</v>
      </c>
      <c r="N60" s="72">
        <v>3000</v>
      </c>
      <c r="W60" s="41">
        <v>10080061</v>
      </c>
      <c r="X60">
        <v>500</v>
      </c>
      <c r="AC60" s="183" t="s">
        <v>887</v>
      </c>
      <c r="AD60" s="177" t="s">
        <v>692</v>
      </c>
      <c r="AE60" s="177" t="s">
        <v>1112</v>
      </c>
      <c r="AF60" s="177" t="s">
        <v>672</v>
      </c>
      <c r="AG60" s="178">
        <v>110000</v>
      </c>
      <c r="AH60" s="179">
        <v>5035</v>
      </c>
      <c r="AI60" s="180">
        <v>104965</v>
      </c>
      <c r="AJ60" s="179">
        <v>35</v>
      </c>
      <c r="AK60" s="181">
        <v>5000</v>
      </c>
      <c r="AL60" s="184">
        <f t="shared" si="0"/>
        <v>104965</v>
      </c>
      <c r="AN60" s="177">
        <v>10070062</v>
      </c>
      <c r="AO60" s="177" t="s">
        <v>1112</v>
      </c>
      <c r="AP60" s="177" t="s">
        <v>672</v>
      </c>
      <c r="AQ60" s="178">
        <v>110000</v>
      </c>
      <c r="AR60" s="179">
        <v>3292</v>
      </c>
      <c r="AS60" s="180">
        <v>92978</v>
      </c>
      <c r="AT60" s="179"/>
      <c r="AU60" s="179">
        <v>10000</v>
      </c>
      <c r="AV60" s="184">
        <f t="shared" si="1"/>
        <v>6708</v>
      </c>
      <c r="AW60" s="188"/>
    </row>
    <row r="61" spans="1:49" x14ac:dyDescent="0.25">
      <c r="A61" s="4">
        <v>10140001</v>
      </c>
      <c r="B61" s="219">
        <v>2155.1000000000004</v>
      </c>
      <c r="D61" s="199"/>
      <c r="E61" s="71">
        <v>10020028</v>
      </c>
      <c r="F61" s="42">
        <v>6691.5034184192</v>
      </c>
      <c r="H61" s="199"/>
      <c r="I61" s="71">
        <v>10650014</v>
      </c>
      <c r="J61" s="68">
        <v>80000</v>
      </c>
      <c r="L61" s="39"/>
      <c r="M61" s="4">
        <v>10440001</v>
      </c>
      <c r="N61" s="72">
        <v>3000</v>
      </c>
      <c r="W61" s="41">
        <v>10080062</v>
      </c>
      <c r="X61">
        <v>500</v>
      </c>
      <c r="AC61" s="182" t="s">
        <v>888</v>
      </c>
      <c r="AD61" s="172" t="s">
        <v>582</v>
      </c>
      <c r="AE61" s="172" t="s">
        <v>1112</v>
      </c>
      <c r="AF61" s="172" t="s">
        <v>672</v>
      </c>
      <c r="AG61" s="173">
        <v>110000</v>
      </c>
      <c r="AH61" s="174">
        <v>12142</v>
      </c>
      <c r="AI61" s="175">
        <v>97858</v>
      </c>
      <c r="AJ61" s="174">
        <v>2142</v>
      </c>
      <c r="AK61" s="176">
        <v>10000</v>
      </c>
      <c r="AL61" s="184">
        <f t="shared" si="0"/>
        <v>97858</v>
      </c>
      <c r="AN61" s="172">
        <v>10110129</v>
      </c>
      <c r="AO61" s="172" t="s">
        <v>1112</v>
      </c>
      <c r="AP61" s="172" t="s">
        <v>672</v>
      </c>
      <c r="AQ61" s="173">
        <v>110000</v>
      </c>
      <c r="AR61" s="174">
        <v>0</v>
      </c>
      <c r="AS61" s="175">
        <v>95731.661792241604</v>
      </c>
      <c r="AT61" s="174"/>
      <c r="AU61" s="174">
        <v>10000</v>
      </c>
      <c r="AV61" s="184">
        <f t="shared" si="1"/>
        <v>10000</v>
      </c>
      <c r="AW61" s="187"/>
    </row>
    <row r="62" spans="1:49" x14ac:dyDescent="0.25">
      <c r="A62" s="4">
        <v>10140004</v>
      </c>
      <c r="B62" s="219">
        <v>612.23</v>
      </c>
      <c r="D62" s="199"/>
      <c r="E62" s="71">
        <v>10020031</v>
      </c>
      <c r="F62" s="42">
        <v>12800</v>
      </c>
      <c r="H62" s="199"/>
      <c r="I62" s="71">
        <v>10650016</v>
      </c>
      <c r="J62" s="68">
        <v>75000</v>
      </c>
      <c r="L62" s="39"/>
      <c r="M62" s="4">
        <v>10100001</v>
      </c>
      <c r="N62" s="72">
        <v>3000</v>
      </c>
      <c r="W62" s="41">
        <v>10080063</v>
      </c>
      <c r="X62">
        <v>500</v>
      </c>
      <c r="AC62" s="183" t="s">
        <v>889</v>
      </c>
      <c r="AD62" s="177" t="s">
        <v>693</v>
      </c>
      <c r="AE62" s="177" t="s">
        <v>1112</v>
      </c>
      <c r="AF62" s="177" t="s">
        <v>672</v>
      </c>
      <c r="AG62" s="178">
        <v>110000</v>
      </c>
      <c r="AH62" s="179">
        <v>10010</v>
      </c>
      <c r="AI62" s="180">
        <v>99990</v>
      </c>
      <c r="AJ62" s="179">
        <v>10</v>
      </c>
      <c r="AK62" s="181">
        <v>10000</v>
      </c>
      <c r="AL62" s="184">
        <f t="shared" si="0"/>
        <v>99990</v>
      </c>
      <c r="AN62" s="177">
        <v>10110130</v>
      </c>
      <c r="AO62" s="177" t="s">
        <v>1112</v>
      </c>
      <c r="AP62" s="177" t="s">
        <v>672</v>
      </c>
      <c r="AQ62" s="178">
        <v>110000</v>
      </c>
      <c r="AR62" s="179">
        <v>0</v>
      </c>
      <c r="AS62" s="180">
        <v>104937</v>
      </c>
      <c r="AT62" s="179"/>
      <c r="AU62" s="179">
        <v>5000</v>
      </c>
      <c r="AV62" s="184">
        <f t="shared" si="1"/>
        <v>15000</v>
      </c>
      <c r="AW62" s="188"/>
    </row>
    <row r="63" spans="1:49" x14ac:dyDescent="0.25">
      <c r="A63" s="4">
        <v>10140006</v>
      </c>
      <c r="B63" s="219">
        <v>348.52</v>
      </c>
      <c r="D63" s="199"/>
      <c r="E63" s="71">
        <v>10060068</v>
      </c>
      <c r="F63" s="42">
        <v>6400</v>
      </c>
      <c r="H63" s="199"/>
      <c r="I63" s="71">
        <v>10610054</v>
      </c>
      <c r="J63" s="68">
        <v>65000</v>
      </c>
      <c r="L63" s="39"/>
      <c r="M63" s="4">
        <v>10070043</v>
      </c>
      <c r="N63" s="72">
        <v>3000</v>
      </c>
      <c r="W63" s="41">
        <v>10080064</v>
      </c>
      <c r="X63">
        <v>500</v>
      </c>
      <c r="AC63" s="182" t="s">
        <v>890</v>
      </c>
      <c r="AD63" s="172" t="s">
        <v>566</v>
      </c>
      <c r="AE63" s="172" t="s">
        <v>1112</v>
      </c>
      <c r="AF63" s="172" t="s">
        <v>672</v>
      </c>
      <c r="AG63" s="173">
        <v>110000</v>
      </c>
      <c r="AH63" s="174">
        <v>11905</v>
      </c>
      <c r="AI63" s="175">
        <v>98095</v>
      </c>
      <c r="AJ63" s="174">
        <v>1905</v>
      </c>
      <c r="AK63" s="176">
        <v>10000</v>
      </c>
      <c r="AL63" s="184">
        <f t="shared" si="0"/>
        <v>98095</v>
      </c>
      <c r="AN63" s="172">
        <v>10060103</v>
      </c>
      <c r="AO63" s="172" t="s">
        <v>1112</v>
      </c>
      <c r="AP63" s="172" t="s">
        <v>672</v>
      </c>
      <c r="AQ63" s="173">
        <v>110000</v>
      </c>
      <c r="AR63" s="174">
        <v>944</v>
      </c>
      <c r="AS63" s="175">
        <v>96141</v>
      </c>
      <c r="AT63" s="174"/>
      <c r="AU63" s="174">
        <v>10000</v>
      </c>
      <c r="AV63" s="184">
        <f t="shared" si="1"/>
        <v>9056</v>
      </c>
      <c r="AW63" s="187"/>
    </row>
    <row r="64" spans="1:49" x14ac:dyDescent="0.25">
      <c r="A64" s="4">
        <v>10140010</v>
      </c>
      <c r="B64" s="219">
        <v>1283.0899999999999</v>
      </c>
      <c r="D64" s="199"/>
      <c r="E64" s="71">
        <v>10090037</v>
      </c>
      <c r="F64" s="42">
        <v>18377</v>
      </c>
      <c r="H64" s="199"/>
      <c r="I64" s="71">
        <v>10610055</v>
      </c>
      <c r="J64" s="68">
        <v>85000</v>
      </c>
      <c r="L64" s="39"/>
      <c r="M64" s="4">
        <v>10090056</v>
      </c>
      <c r="N64" s="72">
        <v>3000</v>
      </c>
      <c r="W64" s="41">
        <v>10080065</v>
      </c>
      <c r="X64">
        <v>500</v>
      </c>
      <c r="AC64" s="183" t="s">
        <v>891</v>
      </c>
      <c r="AD64" s="177" t="s">
        <v>559</v>
      </c>
      <c r="AE64" s="177" t="s">
        <v>1112</v>
      </c>
      <c r="AF64" s="177" t="s">
        <v>672</v>
      </c>
      <c r="AG64" s="178">
        <v>110000</v>
      </c>
      <c r="AH64" s="179">
        <v>11925</v>
      </c>
      <c r="AI64" s="180">
        <v>98075</v>
      </c>
      <c r="AJ64" s="179">
        <v>1925</v>
      </c>
      <c r="AK64" s="181">
        <v>10000</v>
      </c>
      <c r="AL64" s="184">
        <f t="shared" si="0"/>
        <v>98075</v>
      </c>
      <c r="AN64" s="177">
        <v>10110131</v>
      </c>
      <c r="AO64" s="177" t="s">
        <v>1112</v>
      </c>
      <c r="AP64" s="177" t="s">
        <v>672</v>
      </c>
      <c r="AQ64" s="178">
        <v>110000</v>
      </c>
      <c r="AR64" s="179">
        <v>2562</v>
      </c>
      <c r="AS64" s="180">
        <v>92970</v>
      </c>
      <c r="AT64" s="179"/>
      <c r="AU64" s="179">
        <v>10000</v>
      </c>
      <c r="AV64" s="184">
        <f t="shared" si="1"/>
        <v>7438</v>
      </c>
      <c r="AW64" s="188">
        <v>45746</v>
      </c>
    </row>
    <row r="65" spans="1:49" x14ac:dyDescent="0.25">
      <c r="A65" s="4">
        <v>10140011</v>
      </c>
      <c r="B65" s="219">
        <v>56.02</v>
      </c>
      <c r="D65" s="199"/>
      <c r="E65" s="71">
        <v>10090032</v>
      </c>
      <c r="F65" s="42">
        <v>9600</v>
      </c>
      <c r="H65" s="199"/>
      <c r="I65" s="71">
        <v>10140206</v>
      </c>
      <c r="J65" s="68">
        <v>62864.419273537816</v>
      </c>
      <c r="L65" s="39"/>
      <c r="M65" s="4">
        <v>10090049</v>
      </c>
      <c r="N65" s="72">
        <v>3000</v>
      </c>
      <c r="W65" s="41">
        <v>10080066</v>
      </c>
      <c r="X65">
        <v>500</v>
      </c>
      <c r="AC65" s="182" t="s">
        <v>892</v>
      </c>
      <c r="AD65" s="172" t="s">
        <v>645</v>
      </c>
      <c r="AE65" s="172" t="s">
        <v>1112</v>
      </c>
      <c r="AF65" s="172" t="s">
        <v>672</v>
      </c>
      <c r="AG65" s="173">
        <v>110000</v>
      </c>
      <c r="AH65" s="174">
        <v>11861</v>
      </c>
      <c r="AI65" s="175">
        <v>98139</v>
      </c>
      <c r="AJ65" s="174">
        <v>1861</v>
      </c>
      <c r="AK65" s="176">
        <v>10000</v>
      </c>
      <c r="AL65" s="184">
        <f t="shared" si="0"/>
        <v>98139</v>
      </c>
      <c r="AN65" s="172">
        <v>10140166</v>
      </c>
      <c r="AO65" s="172" t="s">
        <v>1112</v>
      </c>
      <c r="AP65" s="172" t="s">
        <v>672</v>
      </c>
      <c r="AQ65" s="173">
        <v>110000</v>
      </c>
      <c r="AR65" s="174">
        <v>3685</v>
      </c>
      <c r="AS65" s="175">
        <v>89993</v>
      </c>
      <c r="AT65" s="174"/>
      <c r="AU65" s="174">
        <v>10000</v>
      </c>
      <c r="AV65" s="184">
        <f t="shared" si="1"/>
        <v>6315</v>
      </c>
      <c r="AW65" s="187">
        <v>45751</v>
      </c>
    </row>
    <row r="66" spans="1:49" x14ac:dyDescent="0.25">
      <c r="A66" s="4">
        <v>10140019</v>
      </c>
      <c r="B66" s="219">
        <v>1011.54</v>
      </c>
      <c r="D66" s="199"/>
      <c r="E66" s="71">
        <v>10090031</v>
      </c>
      <c r="F66" s="42">
        <v>9600</v>
      </c>
      <c r="H66" s="199"/>
      <c r="I66" s="71">
        <v>10130120</v>
      </c>
      <c r="J66" s="68">
        <v>85000</v>
      </c>
      <c r="L66" s="39"/>
      <c r="M66" s="4">
        <v>10090007</v>
      </c>
      <c r="N66" s="72">
        <v>3000</v>
      </c>
      <c r="W66" s="41">
        <v>10080071</v>
      </c>
      <c r="X66">
        <v>500</v>
      </c>
      <c r="AC66" s="183" t="s">
        <v>893</v>
      </c>
      <c r="AD66" s="177" t="s">
        <v>149</v>
      </c>
      <c r="AE66" s="177" t="s">
        <v>1112</v>
      </c>
      <c r="AF66" s="177" t="s">
        <v>672</v>
      </c>
      <c r="AG66" s="178">
        <v>110000</v>
      </c>
      <c r="AH66" s="179">
        <v>17020.461802016704</v>
      </c>
      <c r="AI66" s="180">
        <v>92979.538197983289</v>
      </c>
      <c r="AJ66" s="179">
        <v>2020.4618020167045</v>
      </c>
      <c r="AK66" s="181">
        <v>15000</v>
      </c>
      <c r="AL66" s="184">
        <f t="shared" si="0"/>
        <v>92979.538197983289</v>
      </c>
      <c r="AN66" s="177">
        <v>10010105</v>
      </c>
      <c r="AO66" s="177" t="s">
        <v>1112</v>
      </c>
      <c r="AP66" s="177" t="s">
        <v>672</v>
      </c>
      <c r="AQ66" s="178">
        <v>110000</v>
      </c>
      <c r="AR66" s="179">
        <v>53</v>
      </c>
      <c r="AS66" s="180">
        <v>99937</v>
      </c>
      <c r="AT66" s="179"/>
      <c r="AU66" s="179">
        <v>10000</v>
      </c>
      <c r="AV66" s="184">
        <f t="shared" si="1"/>
        <v>9947</v>
      </c>
      <c r="AW66" s="188"/>
    </row>
    <row r="67" spans="1:49" x14ac:dyDescent="0.25">
      <c r="A67" s="4">
        <v>10140020</v>
      </c>
      <c r="B67" s="219">
        <v>1882.6</v>
      </c>
      <c r="D67" s="199"/>
      <c r="E67" s="71">
        <v>10090029</v>
      </c>
      <c r="F67" s="42">
        <v>1890.2656442360003</v>
      </c>
      <c r="H67" s="199"/>
      <c r="I67" s="71">
        <v>10570051</v>
      </c>
      <c r="J67" s="68">
        <v>85000</v>
      </c>
      <c r="L67" s="39"/>
      <c r="M67" s="4">
        <v>10500001</v>
      </c>
      <c r="N67" s="72">
        <v>2700</v>
      </c>
      <c r="W67" s="41">
        <v>10080072</v>
      </c>
      <c r="X67">
        <v>500</v>
      </c>
      <c r="AC67" s="182" t="s">
        <v>894</v>
      </c>
      <c r="AD67" s="172" t="s">
        <v>545</v>
      </c>
      <c r="AE67" s="172" t="s">
        <v>1112</v>
      </c>
      <c r="AF67" s="172" t="s">
        <v>672</v>
      </c>
      <c r="AG67" s="173">
        <v>110000</v>
      </c>
      <c r="AH67" s="174">
        <v>11861</v>
      </c>
      <c r="AI67" s="175">
        <v>98139</v>
      </c>
      <c r="AJ67" s="174">
        <v>1861</v>
      </c>
      <c r="AK67" s="176">
        <v>10000</v>
      </c>
      <c r="AL67" s="184">
        <f t="shared" si="0"/>
        <v>98139</v>
      </c>
      <c r="AN67" s="172">
        <v>10010102</v>
      </c>
      <c r="AO67" s="172" t="s">
        <v>1112</v>
      </c>
      <c r="AP67" s="172" t="s">
        <v>672</v>
      </c>
      <c r="AQ67" s="173">
        <v>110000</v>
      </c>
      <c r="AR67" s="174">
        <v>1640</v>
      </c>
      <c r="AS67" s="175">
        <v>93427</v>
      </c>
      <c r="AT67" s="174"/>
      <c r="AU67" s="174">
        <v>10000</v>
      </c>
      <c r="AV67" s="184">
        <f t="shared" si="1"/>
        <v>8360</v>
      </c>
      <c r="AW67" s="187">
        <v>45741</v>
      </c>
    </row>
    <row r="68" spans="1:49" x14ac:dyDescent="0.25">
      <c r="A68" s="4">
        <v>10140022</v>
      </c>
      <c r="B68" s="219">
        <v>1051.04</v>
      </c>
      <c r="D68" s="199"/>
      <c r="E68" s="71">
        <v>10090030</v>
      </c>
      <c r="F68" s="42">
        <v>6400</v>
      </c>
      <c r="H68" s="199"/>
      <c r="I68" s="71">
        <v>10570052</v>
      </c>
      <c r="J68" s="68">
        <v>85000</v>
      </c>
      <c r="L68" s="39"/>
      <c r="M68" s="4">
        <v>10030011</v>
      </c>
      <c r="N68" s="72">
        <v>2700</v>
      </c>
      <c r="W68" s="41">
        <v>10080074</v>
      </c>
      <c r="X68">
        <v>500</v>
      </c>
      <c r="AC68" s="183" t="s">
        <v>895</v>
      </c>
      <c r="AD68" s="177" t="s">
        <v>580</v>
      </c>
      <c r="AE68" s="177" t="s">
        <v>1112</v>
      </c>
      <c r="AF68" s="177" t="s">
        <v>672</v>
      </c>
      <c r="AG68" s="178">
        <v>110000</v>
      </c>
      <c r="AH68" s="179">
        <v>11896</v>
      </c>
      <c r="AI68" s="180">
        <v>98104</v>
      </c>
      <c r="AJ68" s="179">
        <v>1896</v>
      </c>
      <c r="AK68" s="181">
        <v>10000</v>
      </c>
      <c r="AL68" s="184">
        <f t="shared" ref="AL68:AL91" si="2">AG68-AH68</f>
        <v>98104</v>
      </c>
      <c r="AN68" s="177">
        <v>10120101</v>
      </c>
      <c r="AO68" s="177" t="s">
        <v>1112</v>
      </c>
      <c r="AP68" s="177" t="s">
        <v>672</v>
      </c>
      <c r="AQ68" s="178">
        <v>110000</v>
      </c>
      <c r="AR68" s="179">
        <v>1041</v>
      </c>
      <c r="AS68" s="180">
        <v>97034</v>
      </c>
      <c r="AT68" s="179"/>
      <c r="AU68" s="179">
        <v>10000</v>
      </c>
      <c r="AV68" s="184">
        <f t="shared" ref="AV68:AV131" si="3">20000-AU68-AR68</f>
        <v>8959</v>
      </c>
      <c r="AW68" s="188">
        <v>45740</v>
      </c>
    </row>
    <row r="69" spans="1:49" x14ac:dyDescent="0.25">
      <c r="A69" s="4">
        <v>10140027</v>
      </c>
      <c r="B69" s="219">
        <v>404.53999999999996</v>
      </c>
      <c r="D69" s="199"/>
      <c r="E69" s="71">
        <v>10060074</v>
      </c>
      <c r="F69" s="42">
        <v>7444.7697637394904</v>
      </c>
      <c r="H69" s="199"/>
      <c r="I69" s="71">
        <v>10600012</v>
      </c>
      <c r="J69" s="68">
        <v>73005.898958950595</v>
      </c>
      <c r="L69" s="39"/>
      <c r="M69" s="4">
        <v>10140012</v>
      </c>
      <c r="N69" s="72">
        <v>3000</v>
      </c>
      <c r="W69" s="41">
        <v>10080077</v>
      </c>
      <c r="X69">
        <v>500</v>
      </c>
      <c r="AC69" s="182" t="s">
        <v>896</v>
      </c>
      <c r="AD69" s="172" t="s">
        <v>694</v>
      </c>
      <c r="AE69" s="172" t="s">
        <v>1112</v>
      </c>
      <c r="AF69" s="172" t="s">
        <v>672</v>
      </c>
      <c r="AG69" s="173">
        <v>110000</v>
      </c>
      <c r="AH69" s="174">
        <v>10000</v>
      </c>
      <c r="AI69" s="175">
        <v>100000</v>
      </c>
      <c r="AJ69" s="174">
        <v>0</v>
      </c>
      <c r="AK69" s="176">
        <v>10000</v>
      </c>
      <c r="AL69" s="184">
        <f t="shared" si="2"/>
        <v>100000</v>
      </c>
      <c r="AN69" s="172">
        <v>10060098</v>
      </c>
      <c r="AO69" s="172" t="s">
        <v>1112</v>
      </c>
      <c r="AP69" s="172" t="s">
        <v>672</v>
      </c>
      <c r="AQ69" s="173">
        <v>110000</v>
      </c>
      <c r="AR69" s="174">
        <v>5115</v>
      </c>
      <c r="AS69" s="175">
        <v>83879.445640988823</v>
      </c>
      <c r="AT69" s="174"/>
      <c r="AU69" s="174">
        <v>10000</v>
      </c>
      <c r="AV69" s="184">
        <f t="shared" si="3"/>
        <v>4885</v>
      </c>
      <c r="AW69" s="187">
        <v>45746</v>
      </c>
    </row>
    <row r="70" spans="1:49" x14ac:dyDescent="0.25">
      <c r="A70" s="4">
        <v>10140030</v>
      </c>
      <c r="B70" s="219">
        <v>517.31999999999994</v>
      </c>
      <c r="D70" s="199"/>
      <c r="E70" s="71">
        <v>10060076</v>
      </c>
      <c r="F70" s="42">
        <v>2453.0201150835856</v>
      </c>
      <c r="H70" s="199"/>
      <c r="I70" s="71">
        <v>10650011</v>
      </c>
      <c r="J70" s="68">
        <v>75000</v>
      </c>
      <c r="L70" s="39"/>
      <c r="M70" s="4">
        <v>10130046</v>
      </c>
      <c r="N70" s="72">
        <v>3000</v>
      </c>
      <c r="W70" s="41">
        <v>10090031</v>
      </c>
      <c r="X70">
        <v>500</v>
      </c>
      <c r="AC70" s="183" t="s">
        <v>897</v>
      </c>
      <c r="AD70" s="177" t="s">
        <v>573</v>
      </c>
      <c r="AE70" s="177" t="s">
        <v>1112</v>
      </c>
      <c r="AF70" s="177" t="s">
        <v>672</v>
      </c>
      <c r="AG70" s="178">
        <v>110000</v>
      </c>
      <c r="AH70" s="179">
        <v>11882</v>
      </c>
      <c r="AI70" s="180">
        <v>98118</v>
      </c>
      <c r="AJ70" s="179">
        <v>1882</v>
      </c>
      <c r="AK70" s="181">
        <v>10000</v>
      </c>
      <c r="AL70" s="184">
        <f t="shared" si="2"/>
        <v>98118</v>
      </c>
      <c r="AN70" s="177">
        <v>10060093</v>
      </c>
      <c r="AO70" s="177" t="s">
        <v>1112</v>
      </c>
      <c r="AP70" s="177" t="s">
        <v>672</v>
      </c>
      <c r="AQ70" s="178">
        <v>110000</v>
      </c>
      <c r="AR70" s="179">
        <v>1228</v>
      </c>
      <c r="AS70" s="180">
        <v>95425</v>
      </c>
      <c r="AT70" s="179"/>
      <c r="AU70" s="179">
        <v>10000</v>
      </c>
      <c r="AV70" s="184">
        <f t="shared" si="3"/>
        <v>8772</v>
      </c>
      <c r="AW70" s="188"/>
    </row>
    <row r="71" spans="1:49" x14ac:dyDescent="0.25">
      <c r="A71" s="4">
        <v>10140033</v>
      </c>
      <c r="B71" s="219">
        <v>823.18999999999994</v>
      </c>
      <c r="D71" s="199"/>
      <c r="E71" s="71">
        <v>10060077</v>
      </c>
      <c r="F71" s="42">
        <v>16027.418399571568</v>
      </c>
      <c r="H71" s="199"/>
      <c r="I71" s="71">
        <v>10660013</v>
      </c>
      <c r="J71" s="68">
        <v>65000</v>
      </c>
      <c r="L71" s="39"/>
      <c r="M71" s="4">
        <v>10030055</v>
      </c>
      <c r="N71" s="72">
        <v>3000</v>
      </c>
      <c r="W71" s="41">
        <v>10090035</v>
      </c>
      <c r="X71">
        <v>500</v>
      </c>
      <c r="AC71" s="182" t="s">
        <v>898</v>
      </c>
      <c r="AD71" s="172" t="s">
        <v>574</v>
      </c>
      <c r="AE71" s="172" t="s">
        <v>1112</v>
      </c>
      <c r="AF71" s="172" t="s">
        <v>672</v>
      </c>
      <c r="AG71" s="173">
        <v>110000</v>
      </c>
      <c r="AH71" s="174">
        <v>11696</v>
      </c>
      <c r="AI71" s="175">
        <v>98304</v>
      </c>
      <c r="AJ71" s="174">
        <v>1696</v>
      </c>
      <c r="AK71" s="176">
        <v>10000</v>
      </c>
      <c r="AL71" s="184">
        <f t="shared" si="2"/>
        <v>98304</v>
      </c>
      <c r="AN71" s="172">
        <v>10110128</v>
      </c>
      <c r="AO71" s="172" t="s">
        <v>1112</v>
      </c>
      <c r="AP71" s="172" t="s">
        <v>672</v>
      </c>
      <c r="AQ71" s="173">
        <v>110000</v>
      </c>
      <c r="AR71" s="174">
        <v>3650</v>
      </c>
      <c r="AS71" s="175">
        <v>92142</v>
      </c>
      <c r="AT71" s="174"/>
      <c r="AU71" s="174">
        <v>10000</v>
      </c>
      <c r="AV71" s="184">
        <f t="shared" si="3"/>
        <v>6350</v>
      </c>
      <c r="AW71" s="187">
        <v>45741</v>
      </c>
    </row>
    <row r="72" spans="1:49" x14ac:dyDescent="0.25">
      <c r="A72" s="4">
        <v>10140035</v>
      </c>
      <c r="B72" s="219">
        <v>478.32</v>
      </c>
      <c r="D72" s="199"/>
      <c r="E72" s="71">
        <v>10020070</v>
      </c>
      <c r="F72" s="42">
        <v>6400</v>
      </c>
      <c r="H72" s="199"/>
      <c r="I72" s="71">
        <v>10660014</v>
      </c>
      <c r="J72" s="68">
        <v>65000</v>
      </c>
      <c r="L72" s="39"/>
      <c r="M72" s="4">
        <v>10030030</v>
      </c>
      <c r="N72" s="72">
        <v>2700</v>
      </c>
      <c r="W72" s="41">
        <v>10090043</v>
      </c>
      <c r="X72">
        <v>500</v>
      </c>
      <c r="AC72" s="183" t="s">
        <v>899</v>
      </c>
      <c r="AD72" s="177" t="s">
        <v>531</v>
      </c>
      <c r="AE72" s="177" t="s">
        <v>1112</v>
      </c>
      <c r="AF72" s="177" t="s">
        <v>672</v>
      </c>
      <c r="AG72" s="178">
        <v>110000</v>
      </c>
      <c r="AH72" s="179">
        <v>11924</v>
      </c>
      <c r="AI72" s="180">
        <v>98076</v>
      </c>
      <c r="AJ72" s="179">
        <v>1924</v>
      </c>
      <c r="AK72" s="181">
        <v>10000</v>
      </c>
      <c r="AL72" s="184">
        <f t="shared" si="2"/>
        <v>98076</v>
      </c>
      <c r="AN72" s="177">
        <v>10110112</v>
      </c>
      <c r="AO72" s="177" t="s">
        <v>1112</v>
      </c>
      <c r="AP72" s="177" t="s">
        <v>672</v>
      </c>
      <c r="AQ72" s="178">
        <v>110000</v>
      </c>
      <c r="AR72" s="179">
        <v>0</v>
      </c>
      <c r="AS72" s="180">
        <v>98457</v>
      </c>
      <c r="AT72" s="179"/>
      <c r="AU72" s="179">
        <v>10000</v>
      </c>
      <c r="AV72" s="184">
        <f t="shared" si="3"/>
        <v>10000</v>
      </c>
      <c r="AW72" s="188">
        <v>45741</v>
      </c>
    </row>
    <row r="73" spans="1:49" x14ac:dyDescent="0.25">
      <c r="A73" s="4">
        <v>10140041</v>
      </c>
      <c r="B73" s="219">
        <v>948.43999999999994</v>
      </c>
      <c r="D73" s="199"/>
      <c r="E73" s="71">
        <v>10020069</v>
      </c>
      <c r="F73" s="42">
        <v>9600</v>
      </c>
      <c r="H73" s="199"/>
      <c r="I73" s="71">
        <v>10660001</v>
      </c>
      <c r="J73" s="68">
        <v>65000</v>
      </c>
      <c r="L73" s="39"/>
      <c r="M73" s="4">
        <v>10020034</v>
      </c>
      <c r="N73" s="72">
        <v>3000</v>
      </c>
      <c r="W73" s="41">
        <v>10090044</v>
      </c>
      <c r="X73">
        <v>500</v>
      </c>
      <c r="AC73" s="182" t="s">
        <v>900</v>
      </c>
      <c r="AD73" s="172" t="s">
        <v>517</v>
      </c>
      <c r="AE73" s="172" t="s">
        <v>1112</v>
      </c>
      <c r="AF73" s="172" t="s">
        <v>672</v>
      </c>
      <c r="AG73" s="173">
        <v>110000</v>
      </c>
      <c r="AH73" s="174">
        <v>18524</v>
      </c>
      <c r="AI73" s="175">
        <v>91476</v>
      </c>
      <c r="AJ73" s="174">
        <v>3524</v>
      </c>
      <c r="AK73" s="176">
        <v>15000</v>
      </c>
      <c r="AL73" s="184">
        <f t="shared" si="2"/>
        <v>91476</v>
      </c>
      <c r="AN73" s="172">
        <v>10110114</v>
      </c>
      <c r="AO73" s="172" t="s">
        <v>1112</v>
      </c>
      <c r="AP73" s="172" t="s">
        <v>672</v>
      </c>
      <c r="AQ73" s="173">
        <v>110000</v>
      </c>
      <c r="AR73" s="174">
        <v>6808</v>
      </c>
      <c r="AS73" s="175">
        <v>88282</v>
      </c>
      <c r="AT73" s="174"/>
      <c r="AU73" s="174">
        <v>10000</v>
      </c>
      <c r="AV73" s="184">
        <f t="shared" si="3"/>
        <v>3192</v>
      </c>
      <c r="AW73" s="187">
        <v>45789</v>
      </c>
    </row>
    <row r="74" spans="1:49" x14ac:dyDescent="0.25">
      <c r="A74" s="4">
        <v>10140043</v>
      </c>
      <c r="B74" s="219">
        <v>2157.25</v>
      </c>
      <c r="D74" s="199"/>
      <c r="E74" s="71">
        <v>10030015</v>
      </c>
      <c r="F74" s="42">
        <v>6400</v>
      </c>
      <c r="H74" s="199"/>
      <c r="I74" s="71">
        <v>10660002</v>
      </c>
      <c r="J74" s="68">
        <v>65000</v>
      </c>
      <c r="L74" s="39"/>
      <c r="M74" s="4">
        <v>10090015</v>
      </c>
      <c r="N74" s="72">
        <v>3000</v>
      </c>
      <c r="W74" s="41">
        <v>10090045</v>
      </c>
      <c r="X74">
        <v>500</v>
      </c>
      <c r="AC74" s="183" t="s">
        <v>901</v>
      </c>
      <c r="AD74" s="177" t="s">
        <v>473</v>
      </c>
      <c r="AE74" s="177" t="s">
        <v>1112</v>
      </c>
      <c r="AF74" s="177" t="s">
        <v>672</v>
      </c>
      <c r="AG74" s="178">
        <v>110000</v>
      </c>
      <c r="AH74" s="179">
        <v>22600.345598794636</v>
      </c>
      <c r="AI74" s="180">
        <v>87399.654401205364</v>
      </c>
      <c r="AJ74" s="179">
        <v>7600.3455987946381</v>
      </c>
      <c r="AK74" s="181">
        <v>15000</v>
      </c>
      <c r="AL74" s="184">
        <f t="shared" si="2"/>
        <v>87399.654401205364</v>
      </c>
      <c r="AN74" s="177">
        <v>10110115</v>
      </c>
      <c r="AO74" s="177" t="s">
        <v>1112</v>
      </c>
      <c r="AP74" s="177" t="s">
        <v>672</v>
      </c>
      <c r="AQ74" s="178">
        <v>110000</v>
      </c>
      <c r="AR74" s="179">
        <v>1616</v>
      </c>
      <c r="AS74" s="180">
        <v>93654</v>
      </c>
      <c r="AT74" s="179"/>
      <c r="AU74" s="179">
        <v>10000</v>
      </c>
      <c r="AV74" s="184">
        <f t="shared" si="3"/>
        <v>8384</v>
      </c>
      <c r="AW74" s="188">
        <v>45713</v>
      </c>
    </row>
    <row r="75" spans="1:49" x14ac:dyDescent="0.25">
      <c r="A75" s="4">
        <v>10140047</v>
      </c>
      <c r="B75" s="219">
        <v>340.32</v>
      </c>
      <c r="D75" s="199"/>
      <c r="E75" s="71">
        <v>10030016</v>
      </c>
      <c r="F75" s="42">
        <v>22400</v>
      </c>
      <c r="H75" s="199"/>
      <c r="I75" s="71">
        <v>10660004</v>
      </c>
      <c r="J75" s="68">
        <v>65000</v>
      </c>
      <c r="L75" s="39"/>
      <c r="M75" s="4"/>
      <c r="N75" s="72"/>
      <c r="W75" s="41">
        <v>10090048</v>
      </c>
      <c r="X75">
        <v>500</v>
      </c>
      <c r="AC75" s="182" t="s">
        <v>902</v>
      </c>
      <c r="AD75" s="172" t="s">
        <v>493</v>
      </c>
      <c r="AE75" s="172" t="s">
        <v>1112</v>
      </c>
      <c r="AF75" s="172" t="s">
        <v>672</v>
      </c>
      <c r="AG75" s="173">
        <v>110000</v>
      </c>
      <c r="AH75" s="174">
        <v>18637</v>
      </c>
      <c r="AI75" s="175">
        <v>91363</v>
      </c>
      <c r="AJ75" s="174">
        <v>8637</v>
      </c>
      <c r="AK75" s="176">
        <v>10000</v>
      </c>
      <c r="AL75" s="184">
        <f t="shared" si="2"/>
        <v>91363</v>
      </c>
      <c r="AN75" s="172">
        <v>10110116</v>
      </c>
      <c r="AO75" s="172" t="s">
        <v>1112</v>
      </c>
      <c r="AP75" s="172" t="s">
        <v>672</v>
      </c>
      <c r="AQ75" s="173">
        <v>110000</v>
      </c>
      <c r="AR75" s="174">
        <v>3388</v>
      </c>
      <c r="AS75" s="175">
        <v>90966</v>
      </c>
      <c r="AT75" s="174"/>
      <c r="AU75" s="174">
        <v>10000</v>
      </c>
      <c r="AV75" s="184">
        <f t="shared" si="3"/>
        <v>6612</v>
      </c>
      <c r="AW75" s="187">
        <v>45738</v>
      </c>
    </row>
    <row r="76" spans="1:49" x14ac:dyDescent="0.25">
      <c r="A76" s="4">
        <v>10140048</v>
      </c>
      <c r="B76" s="219">
        <v>54.900000000000006</v>
      </c>
      <c r="D76" s="199"/>
      <c r="E76" s="71">
        <v>10060030</v>
      </c>
      <c r="F76" s="42">
        <v>12146.3856157634</v>
      </c>
      <c r="H76" s="199"/>
      <c r="I76" s="71">
        <v>10660005</v>
      </c>
      <c r="J76" s="68">
        <v>65000</v>
      </c>
      <c r="L76" s="39"/>
      <c r="M76" s="4"/>
      <c r="N76" s="72"/>
      <c r="W76" s="41">
        <v>10090051</v>
      </c>
      <c r="X76">
        <v>500</v>
      </c>
      <c r="AC76" s="183" t="s">
        <v>903</v>
      </c>
      <c r="AD76" s="177" t="s">
        <v>505</v>
      </c>
      <c r="AE76" s="177" t="s">
        <v>1112</v>
      </c>
      <c r="AF76" s="177" t="s">
        <v>672</v>
      </c>
      <c r="AG76" s="178">
        <v>110000</v>
      </c>
      <c r="AH76" s="179">
        <v>23684.609307794228</v>
      </c>
      <c r="AI76" s="180">
        <v>86315.390692205779</v>
      </c>
      <c r="AJ76" s="179">
        <v>11684.609307794228</v>
      </c>
      <c r="AK76" s="181">
        <v>12000</v>
      </c>
      <c r="AL76" s="184">
        <f t="shared" si="2"/>
        <v>86315.390692205779</v>
      </c>
      <c r="AN76" s="177">
        <v>10010095</v>
      </c>
      <c r="AO76" s="177" t="s">
        <v>1112</v>
      </c>
      <c r="AP76" s="177" t="s">
        <v>672</v>
      </c>
      <c r="AQ76" s="178">
        <v>110000</v>
      </c>
      <c r="AR76" s="179">
        <v>3245</v>
      </c>
      <c r="AS76" s="180">
        <v>87576</v>
      </c>
      <c r="AT76" s="179"/>
      <c r="AU76" s="179">
        <v>15000</v>
      </c>
      <c r="AV76" s="184">
        <f t="shared" si="3"/>
        <v>1755</v>
      </c>
      <c r="AW76" s="188"/>
    </row>
    <row r="77" spans="1:49" x14ac:dyDescent="0.25">
      <c r="A77" s="4">
        <v>10140051</v>
      </c>
      <c r="B77" s="219">
        <v>687.01</v>
      </c>
      <c r="D77" s="199"/>
      <c r="E77" s="71">
        <v>10030013</v>
      </c>
      <c r="F77" s="42">
        <v>3904.7687113240809</v>
      </c>
      <c r="H77" s="199"/>
      <c r="I77" s="71">
        <v>10660006</v>
      </c>
      <c r="J77" s="68">
        <v>65000</v>
      </c>
      <c r="L77" s="4"/>
      <c r="M77" s="4"/>
      <c r="N77" s="72"/>
      <c r="W77" s="41">
        <v>10090056</v>
      </c>
      <c r="X77">
        <v>500</v>
      </c>
      <c r="AC77" s="182" t="s">
        <v>904</v>
      </c>
      <c r="AD77" s="172" t="s">
        <v>494</v>
      </c>
      <c r="AE77" s="172" t="s">
        <v>1112</v>
      </c>
      <c r="AF77" s="172" t="s">
        <v>672</v>
      </c>
      <c r="AG77" s="173">
        <v>110000</v>
      </c>
      <c r="AH77" s="174">
        <v>33166.124297829083</v>
      </c>
      <c r="AI77" s="175">
        <v>76833.875702170917</v>
      </c>
      <c r="AJ77" s="174">
        <v>18166.124297829083</v>
      </c>
      <c r="AK77" s="176">
        <v>15000</v>
      </c>
      <c r="AL77" s="184">
        <f t="shared" si="2"/>
        <v>76833.875702170917</v>
      </c>
      <c r="AN77" s="172">
        <v>10060074</v>
      </c>
      <c r="AO77" s="172" t="s">
        <v>1112</v>
      </c>
      <c r="AP77" s="172" t="s">
        <v>672</v>
      </c>
      <c r="AQ77" s="173">
        <v>110000</v>
      </c>
      <c r="AR77" s="174">
        <v>904</v>
      </c>
      <c r="AS77" s="175">
        <v>83176.654401205364</v>
      </c>
      <c r="AT77" s="174"/>
      <c r="AU77" s="174">
        <v>15000</v>
      </c>
      <c r="AV77" s="184">
        <f t="shared" si="3"/>
        <v>4096</v>
      </c>
      <c r="AW77" s="187">
        <v>45716</v>
      </c>
    </row>
    <row r="78" spans="1:49" x14ac:dyDescent="0.25">
      <c r="A78" s="4">
        <v>10140053</v>
      </c>
      <c r="B78" s="219">
        <v>54.900000000000006</v>
      </c>
      <c r="D78" s="199"/>
      <c r="E78" s="71">
        <v>10030020</v>
      </c>
      <c r="F78" s="42">
        <v>6400</v>
      </c>
      <c r="H78" s="199"/>
      <c r="I78" s="71">
        <v>10080127</v>
      </c>
      <c r="J78" s="68">
        <v>85000</v>
      </c>
      <c r="M78" s="4"/>
      <c r="N78" s="72"/>
      <c r="W78" s="41">
        <v>10100004</v>
      </c>
      <c r="X78">
        <v>500</v>
      </c>
      <c r="AC78" s="183" t="s">
        <v>905</v>
      </c>
      <c r="AD78" s="177" t="s">
        <v>506</v>
      </c>
      <c r="AE78" s="177" t="s">
        <v>1112</v>
      </c>
      <c r="AF78" s="177" t="s">
        <v>672</v>
      </c>
      <c r="AG78" s="178">
        <v>110000</v>
      </c>
      <c r="AH78" s="179">
        <v>15583</v>
      </c>
      <c r="AI78" s="180">
        <v>94417</v>
      </c>
      <c r="AJ78" s="179">
        <v>5583</v>
      </c>
      <c r="AK78" s="181">
        <v>10000</v>
      </c>
      <c r="AL78" s="184">
        <f t="shared" si="2"/>
        <v>94417</v>
      </c>
      <c r="AN78" s="177">
        <v>10120089</v>
      </c>
      <c r="AO78" s="177" t="s">
        <v>1112</v>
      </c>
      <c r="AP78" s="177" t="s">
        <v>672</v>
      </c>
      <c r="AQ78" s="178">
        <v>110000</v>
      </c>
      <c r="AR78" s="179">
        <v>5523</v>
      </c>
      <c r="AS78" s="180">
        <v>83739</v>
      </c>
      <c r="AT78" s="179"/>
      <c r="AU78" s="179">
        <v>10000</v>
      </c>
      <c r="AV78" s="184">
        <f t="shared" si="3"/>
        <v>4477</v>
      </c>
      <c r="AW78" s="188"/>
    </row>
    <row r="79" spans="1:49" x14ac:dyDescent="0.25">
      <c r="A79" s="4">
        <v>10140054</v>
      </c>
      <c r="B79" s="219">
        <v>2050.02</v>
      </c>
      <c r="D79" s="201"/>
      <c r="E79" s="71">
        <v>10030021</v>
      </c>
      <c r="F79" s="42">
        <v>3431.3140426175414</v>
      </c>
      <c r="H79" s="199"/>
      <c r="I79" s="71">
        <v>10570047</v>
      </c>
      <c r="J79" s="68">
        <v>83642</v>
      </c>
      <c r="M79" s="4"/>
      <c r="N79" s="72"/>
      <c r="W79" s="41">
        <v>10100007</v>
      </c>
      <c r="X79">
        <v>500</v>
      </c>
      <c r="AC79" s="182" t="s">
        <v>906</v>
      </c>
      <c r="AD79" s="172" t="s">
        <v>518</v>
      </c>
      <c r="AE79" s="172" t="s">
        <v>1112</v>
      </c>
      <c r="AF79" s="172" t="s">
        <v>672</v>
      </c>
      <c r="AG79" s="173">
        <v>110000</v>
      </c>
      <c r="AH79" s="174">
        <v>13745.008723758132</v>
      </c>
      <c r="AI79" s="175">
        <v>96254.991276241868</v>
      </c>
      <c r="AJ79" s="174">
        <v>3745.008723758132</v>
      </c>
      <c r="AK79" s="176">
        <v>10000</v>
      </c>
      <c r="AL79" s="184">
        <f t="shared" si="2"/>
        <v>96254.991276241868</v>
      </c>
      <c r="AN79" s="172">
        <v>10120094</v>
      </c>
      <c r="AO79" s="172" t="s">
        <v>1112</v>
      </c>
      <c r="AP79" s="172" t="s">
        <v>672</v>
      </c>
      <c r="AQ79" s="173">
        <v>110000</v>
      </c>
      <c r="AR79" s="174">
        <v>7214</v>
      </c>
      <c r="AS79" s="175">
        <v>82244.346904002654</v>
      </c>
      <c r="AT79" s="174"/>
      <c r="AU79" s="174">
        <v>10000</v>
      </c>
      <c r="AV79" s="184">
        <f t="shared" si="3"/>
        <v>2786</v>
      </c>
      <c r="AW79" s="187">
        <v>45716</v>
      </c>
    </row>
    <row r="80" spans="1:49" x14ac:dyDescent="0.25">
      <c r="A80" s="4">
        <v>10140055</v>
      </c>
      <c r="B80" s="219">
        <v>1859.1399999999999</v>
      </c>
      <c r="D80" s="199"/>
      <c r="E80" s="71">
        <v>10030023</v>
      </c>
      <c r="F80" s="42">
        <v>3656.7740054142378</v>
      </c>
      <c r="H80" s="199"/>
      <c r="I80" s="71">
        <v>10570048</v>
      </c>
      <c r="J80" s="68">
        <v>85000</v>
      </c>
      <c r="M80" s="4"/>
      <c r="N80" s="72"/>
      <c r="W80" s="41">
        <v>10100008</v>
      </c>
      <c r="X80">
        <v>500</v>
      </c>
      <c r="AC80" s="183" t="s">
        <v>907</v>
      </c>
      <c r="AD80" s="177" t="s">
        <v>546</v>
      </c>
      <c r="AE80" s="177" t="s">
        <v>1112</v>
      </c>
      <c r="AF80" s="177" t="s">
        <v>672</v>
      </c>
      <c r="AG80" s="178">
        <v>110000</v>
      </c>
      <c r="AH80" s="179">
        <v>10769</v>
      </c>
      <c r="AI80" s="180">
        <v>99231</v>
      </c>
      <c r="AJ80" s="179">
        <v>769</v>
      </c>
      <c r="AK80" s="181">
        <v>10000</v>
      </c>
      <c r="AL80" s="184">
        <f t="shared" si="2"/>
        <v>99231</v>
      </c>
      <c r="AN80" s="177">
        <v>10130090</v>
      </c>
      <c r="AO80" s="177" t="s">
        <v>1112</v>
      </c>
      <c r="AP80" s="177" t="s">
        <v>672</v>
      </c>
      <c r="AQ80" s="178">
        <v>110000</v>
      </c>
      <c r="AR80" s="179">
        <v>0</v>
      </c>
      <c r="AS80" s="180">
        <v>94905</v>
      </c>
      <c r="AT80" s="179"/>
      <c r="AU80" s="179">
        <v>10000</v>
      </c>
      <c r="AV80" s="184">
        <f t="shared" si="3"/>
        <v>10000</v>
      </c>
      <c r="AW80" s="188">
        <v>45699</v>
      </c>
    </row>
    <row r="81" spans="1:49" x14ac:dyDescent="0.25">
      <c r="A81" s="4">
        <v>10140058</v>
      </c>
      <c r="B81" s="219">
        <v>112.04</v>
      </c>
      <c r="D81" s="199"/>
      <c r="E81" s="71">
        <v>10090035</v>
      </c>
      <c r="F81" s="42">
        <v>8845.2542468462289</v>
      </c>
      <c r="H81" s="199"/>
      <c r="I81" s="71">
        <v>10570049</v>
      </c>
      <c r="J81" s="68">
        <v>82874.036313076213</v>
      </c>
      <c r="W81" s="41">
        <v>10100016</v>
      </c>
      <c r="X81">
        <v>500</v>
      </c>
      <c r="AC81" s="182" t="s">
        <v>908</v>
      </c>
      <c r="AD81" s="172" t="s">
        <v>523</v>
      </c>
      <c r="AE81" s="172" t="s">
        <v>1112</v>
      </c>
      <c r="AF81" s="172" t="s">
        <v>672</v>
      </c>
      <c r="AG81" s="173">
        <v>110000</v>
      </c>
      <c r="AH81" s="174">
        <v>12334</v>
      </c>
      <c r="AI81" s="175">
        <v>97666</v>
      </c>
      <c r="AJ81" s="174">
        <v>2334</v>
      </c>
      <c r="AK81" s="176">
        <v>10000</v>
      </c>
      <c r="AL81" s="184">
        <f t="shared" si="2"/>
        <v>97666</v>
      </c>
      <c r="AN81" s="172">
        <v>10070052</v>
      </c>
      <c r="AO81" s="172" t="s">
        <v>1112</v>
      </c>
      <c r="AP81" s="172" t="s">
        <v>672</v>
      </c>
      <c r="AQ81" s="173">
        <v>110000</v>
      </c>
      <c r="AR81" s="174">
        <v>54</v>
      </c>
      <c r="AS81" s="175">
        <v>99177</v>
      </c>
      <c r="AT81" s="174"/>
      <c r="AU81" s="174">
        <v>10000</v>
      </c>
      <c r="AV81" s="184">
        <f t="shared" si="3"/>
        <v>9946</v>
      </c>
      <c r="AW81" s="187">
        <v>45626</v>
      </c>
    </row>
    <row r="82" spans="1:49" x14ac:dyDescent="0.25">
      <c r="A82" s="4">
        <v>10140066</v>
      </c>
      <c r="B82" s="219">
        <v>1816.2399999999998</v>
      </c>
      <c r="D82" s="199"/>
      <c r="E82" s="71">
        <v>10090036</v>
      </c>
      <c r="F82" s="42">
        <v>9524.5551999999989</v>
      </c>
      <c r="H82" s="199"/>
      <c r="I82" s="71">
        <v>10010143</v>
      </c>
      <c r="J82" s="68">
        <v>74734</v>
      </c>
      <c r="W82" s="41">
        <v>10100024</v>
      </c>
      <c r="X82">
        <v>500</v>
      </c>
      <c r="AC82" s="183" t="s">
        <v>909</v>
      </c>
      <c r="AD82" s="177" t="s">
        <v>509</v>
      </c>
      <c r="AE82" s="177" t="s">
        <v>1112</v>
      </c>
      <c r="AF82" s="177" t="s">
        <v>672</v>
      </c>
      <c r="AG82" s="178">
        <v>110000</v>
      </c>
      <c r="AH82" s="179">
        <v>13772</v>
      </c>
      <c r="AI82" s="180">
        <v>96228</v>
      </c>
      <c r="AJ82" s="179">
        <v>3772</v>
      </c>
      <c r="AK82" s="181">
        <v>10000</v>
      </c>
      <c r="AL82" s="184">
        <f t="shared" si="2"/>
        <v>96228</v>
      </c>
      <c r="AN82" s="177">
        <v>10120095</v>
      </c>
      <c r="AO82" s="177" t="s">
        <v>1112</v>
      </c>
      <c r="AP82" s="177" t="s">
        <v>672</v>
      </c>
      <c r="AQ82" s="178">
        <v>110000</v>
      </c>
      <c r="AR82" s="179">
        <v>2397</v>
      </c>
      <c r="AS82" s="180">
        <v>91448</v>
      </c>
      <c r="AT82" s="179"/>
      <c r="AU82" s="179">
        <v>10000</v>
      </c>
      <c r="AV82" s="184">
        <f t="shared" si="3"/>
        <v>7603</v>
      </c>
      <c r="AW82" s="188">
        <v>45647</v>
      </c>
    </row>
    <row r="83" spans="1:49" x14ac:dyDescent="0.25">
      <c r="A83" s="4">
        <v>10140068</v>
      </c>
      <c r="B83" s="219">
        <v>112.04</v>
      </c>
      <c r="D83" s="199"/>
      <c r="E83" s="71">
        <v>10060031</v>
      </c>
      <c r="F83" s="42">
        <v>4569</v>
      </c>
      <c r="H83" s="199"/>
      <c r="I83" s="71">
        <v>10010144</v>
      </c>
      <c r="J83" s="68">
        <v>75000</v>
      </c>
      <c r="W83" s="41">
        <v>10100033</v>
      </c>
      <c r="X83">
        <v>500</v>
      </c>
      <c r="AC83" s="182" t="s">
        <v>910</v>
      </c>
      <c r="AD83" s="172" t="s">
        <v>119</v>
      </c>
      <c r="AE83" s="172" t="s">
        <v>1112</v>
      </c>
      <c r="AF83" s="172" t="s">
        <v>672</v>
      </c>
      <c r="AG83" s="173">
        <v>110000</v>
      </c>
      <c r="AH83" s="174">
        <v>21503.79908135677</v>
      </c>
      <c r="AI83" s="175">
        <v>88496.200918643226</v>
      </c>
      <c r="AJ83" s="174">
        <v>11503.79908135677</v>
      </c>
      <c r="AK83" s="176">
        <v>10000</v>
      </c>
      <c r="AL83" s="184">
        <f t="shared" si="2"/>
        <v>88496.200918643226</v>
      </c>
      <c r="AN83" s="172">
        <v>10130084</v>
      </c>
      <c r="AO83" s="172" t="s">
        <v>1112</v>
      </c>
      <c r="AP83" s="172" t="s">
        <v>672</v>
      </c>
      <c r="AQ83" s="173">
        <v>110000</v>
      </c>
      <c r="AR83" s="174">
        <v>0</v>
      </c>
      <c r="AS83" s="175">
        <v>96228</v>
      </c>
      <c r="AT83" s="174"/>
      <c r="AU83" s="174">
        <v>10000</v>
      </c>
      <c r="AV83" s="184">
        <f t="shared" si="3"/>
        <v>10000</v>
      </c>
      <c r="AW83" s="187">
        <v>45667</v>
      </c>
    </row>
    <row r="84" spans="1:49" x14ac:dyDescent="0.25">
      <c r="A84" s="4">
        <v>10140087</v>
      </c>
      <c r="B84" s="219">
        <v>1673.08</v>
      </c>
      <c r="D84" s="199"/>
      <c r="E84" s="71">
        <v>10030014</v>
      </c>
      <c r="F84" s="42">
        <v>737.10819999999967</v>
      </c>
      <c r="H84" s="199"/>
      <c r="I84" s="71">
        <v>10010145</v>
      </c>
      <c r="J84" s="68">
        <v>74545</v>
      </c>
      <c r="W84" s="41">
        <v>10100036</v>
      </c>
      <c r="X84">
        <v>500</v>
      </c>
      <c r="AC84" s="183" t="s">
        <v>911</v>
      </c>
      <c r="AD84" s="177" t="s">
        <v>500</v>
      </c>
      <c r="AE84" s="177" t="s">
        <v>1112</v>
      </c>
      <c r="AF84" s="177" t="s">
        <v>672</v>
      </c>
      <c r="AG84" s="178">
        <v>110000</v>
      </c>
      <c r="AH84" s="179">
        <v>17537</v>
      </c>
      <c r="AI84" s="180">
        <v>92463</v>
      </c>
      <c r="AJ84" s="179">
        <v>7537</v>
      </c>
      <c r="AK84" s="181">
        <v>10000</v>
      </c>
      <c r="AL84" s="184">
        <f t="shared" si="2"/>
        <v>92463</v>
      </c>
      <c r="AN84" s="177">
        <v>10130085</v>
      </c>
      <c r="AO84" s="177" t="s">
        <v>1112</v>
      </c>
      <c r="AP84" s="177" t="s">
        <v>672</v>
      </c>
      <c r="AQ84" s="178">
        <v>110000</v>
      </c>
      <c r="AR84" s="179">
        <v>7232</v>
      </c>
      <c r="AS84" s="180">
        <v>78903.200918643226</v>
      </c>
      <c r="AT84" s="179"/>
      <c r="AU84" s="179">
        <v>10000</v>
      </c>
      <c r="AV84" s="184">
        <f t="shared" si="3"/>
        <v>2768</v>
      </c>
      <c r="AW84" s="188">
        <v>45698</v>
      </c>
    </row>
    <row r="85" spans="1:49" x14ac:dyDescent="0.25">
      <c r="A85" s="4">
        <v>10140099</v>
      </c>
      <c r="B85" s="219">
        <v>2278.8799999999997</v>
      </c>
      <c r="D85" s="201"/>
      <c r="E85" s="71">
        <v>10460003</v>
      </c>
      <c r="F85" s="42">
        <v>6400</v>
      </c>
      <c r="H85" s="199"/>
      <c r="I85" s="71">
        <v>10010146</v>
      </c>
      <c r="J85" s="68">
        <v>74727</v>
      </c>
      <c r="W85" s="41">
        <v>10100037</v>
      </c>
      <c r="X85">
        <v>500</v>
      </c>
      <c r="AC85" s="182" t="s">
        <v>912</v>
      </c>
      <c r="AD85" s="172" t="s">
        <v>478</v>
      </c>
      <c r="AE85" s="172" t="s">
        <v>1112</v>
      </c>
      <c r="AF85" s="172" t="s">
        <v>672</v>
      </c>
      <c r="AG85" s="173">
        <v>110000</v>
      </c>
      <c r="AH85" s="174">
        <v>18516</v>
      </c>
      <c r="AI85" s="175">
        <v>91484</v>
      </c>
      <c r="AJ85" s="174">
        <v>8516</v>
      </c>
      <c r="AK85" s="176">
        <v>10000</v>
      </c>
      <c r="AL85" s="184">
        <f t="shared" si="2"/>
        <v>91484</v>
      </c>
      <c r="AN85" s="172">
        <v>10140148</v>
      </c>
      <c r="AO85" s="172" t="s">
        <v>1112</v>
      </c>
      <c r="AP85" s="172" t="s">
        <v>672</v>
      </c>
      <c r="AQ85" s="173">
        <v>110000</v>
      </c>
      <c r="AR85" s="174">
        <v>1092</v>
      </c>
      <c r="AS85" s="175">
        <v>90371</v>
      </c>
      <c r="AT85" s="174"/>
      <c r="AU85" s="174">
        <v>10000</v>
      </c>
      <c r="AV85" s="184">
        <f t="shared" si="3"/>
        <v>8908</v>
      </c>
      <c r="AW85" s="187">
        <v>45698</v>
      </c>
    </row>
    <row r="86" spans="1:49" x14ac:dyDescent="0.25">
      <c r="A86" s="4">
        <v>10140100</v>
      </c>
      <c r="B86" s="219">
        <v>129.80000000000001</v>
      </c>
      <c r="D86" s="201"/>
      <c r="E86" s="71">
        <v>10460002</v>
      </c>
      <c r="F86" s="42">
        <v>8529.4035252083195</v>
      </c>
      <c r="H86" s="199"/>
      <c r="I86" s="71">
        <v>10010147</v>
      </c>
      <c r="J86" s="68">
        <v>85000</v>
      </c>
      <c r="W86" s="41">
        <v>10100044</v>
      </c>
      <c r="X86">
        <v>500</v>
      </c>
      <c r="AC86" s="183" t="s">
        <v>913</v>
      </c>
      <c r="AD86" s="177" t="s">
        <v>479</v>
      </c>
      <c r="AE86" s="177" t="s">
        <v>1112</v>
      </c>
      <c r="AF86" s="177" t="s">
        <v>672</v>
      </c>
      <c r="AG86" s="178">
        <v>110000</v>
      </c>
      <c r="AH86" s="179">
        <v>16032</v>
      </c>
      <c r="AI86" s="180">
        <v>93968</v>
      </c>
      <c r="AJ86" s="179">
        <v>6032</v>
      </c>
      <c r="AK86" s="181">
        <v>10000</v>
      </c>
      <c r="AL86" s="184">
        <f t="shared" si="2"/>
        <v>93968</v>
      </c>
      <c r="AN86" s="177">
        <v>10120090</v>
      </c>
      <c r="AO86" s="177" t="s">
        <v>1112</v>
      </c>
      <c r="AP86" s="177" t="s">
        <v>672</v>
      </c>
      <c r="AQ86" s="178">
        <v>110000</v>
      </c>
      <c r="AR86" s="179">
        <v>191</v>
      </c>
      <c r="AS86" s="180">
        <v>89834</v>
      </c>
      <c r="AT86" s="179"/>
      <c r="AU86" s="179">
        <v>10000</v>
      </c>
      <c r="AV86" s="184">
        <f t="shared" si="3"/>
        <v>9809</v>
      </c>
      <c r="AW86" s="188"/>
    </row>
    <row r="87" spans="1:49" x14ac:dyDescent="0.25">
      <c r="A87" s="4">
        <v>10140107</v>
      </c>
      <c r="B87" s="219">
        <v>1045.56</v>
      </c>
      <c r="D87" s="201"/>
      <c r="E87" s="71">
        <v>10030030</v>
      </c>
      <c r="F87" s="42">
        <v>5330</v>
      </c>
      <c r="H87" s="199"/>
      <c r="I87" s="71">
        <v>10010148</v>
      </c>
      <c r="J87" s="68">
        <v>63139</v>
      </c>
      <c r="W87" s="41">
        <v>10100048</v>
      </c>
      <c r="X87">
        <v>500</v>
      </c>
      <c r="AC87" s="182" t="s">
        <v>914</v>
      </c>
      <c r="AD87" s="172" t="s">
        <v>480</v>
      </c>
      <c r="AE87" s="172" t="s">
        <v>1112</v>
      </c>
      <c r="AF87" s="172" t="s">
        <v>672</v>
      </c>
      <c r="AG87" s="173">
        <v>110000</v>
      </c>
      <c r="AH87" s="174">
        <v>18484.199767946688</v>
      </c>
      <c r="AI87" s="175">
        <v>91515.800232053312</v>
      </c>
      <c r="AJ87" s="174">
        <v>8484.1997679466876</v>
      </c>
      <c r="AK87" s="176">
        <v>10000</v>
      </c>
      <c r="AL87" s="184">
        <f t="shared" si="2"/>
        <v>91515.800232053312</v>
      </c>
      <c r="AN87" s="172">
        <v>10130077</v>
      </c>
      <c r="AO87" s="172" t="s">
        <v>1112</v>
      </c>
      <c r="AP87" s="172" t="s">
        <v>672</v>
      </c>
      <c r="AQ87" s="173">
        <v>110000</v>
      </c>
      <c r="AR87" s="174">
        <v>0</v>
      </c>
      <c r="AS87" s="175">
        <v>91656</v>
      </c>
      <c r="AT87" s="174"/>
      <c r="AU87" s="174">
        <v>10000</v>
      </c>
      <c r="AV87" s="184">
        <f t="shared" si="3"/>
        <v>10000</v>
      </c>
      <c r="AW87" s="187">
        <v>45673</v>
      </c>
    </row>
    <row r="88" spans="1:49" x14ac:dyDescent="0.25">
      <c r="A88" s="4">
        <v>10140114</v>
      </c>
      <c r="B88" s="219">
        <v>817.04</v>
      </c>
      <c r="D88" s="201"/>
      <c r="E88" s="71">
        <v>10030033</v>
      </c>
      <c r="F88" s="42">
        <v>6400</v>
      </c>
      <c r="H88" s="199"/>
      <c r="I88" s="71">
        <v>10020087</v>
      </c>
      <c r="J88" s="68">
        <v>65000</v>
      </c>
      <c r="W88" s="41">
        <v>10100050</v>
      </c>
      <c r="X88">
        <v>500</v>
      </c>
      <c r="AC88" s="183" t="s">
        <v>915</v>
      </c>
      <c r="AD88" s="177" t="s">
        <v>474</v>
      </c>
      <c r="AE88" s="177" t="s">
        <v>1112</v>
      </c>
      <c r="AF88" s="177" t="s">
        <v>672</v>
      </c>
      <c r="AG88" s="178">
        <v>110000</v>
      </c>
      <c r="AH88" s="179">
        <v>18722</v>
      </c>
      <c r="AI88" s="180">
        <v>91278</v>
      </c>
      <c r="AJ88" s="179">
        <v>3722</v>
      </c>
      <c r="AK88" s="181">
        <v>15000</v>
      </c>
      <c r="AL88" s="184">
        <f t="shared" si="2"/>
        <v>91278</v>
      </c>
      <c r="AN88" s="177">
        <v>10130079</v>
      </c>
      <c r="AO88" s="177" t="s">
        <v>1112</v>
      </c>
      <c r="AP88" s="177" t="s">
        <v>672</v>
      </c>
      <c r="AQ88" s="178">
        <v>110000</v>
      </c>
      <c r="AR88" s="179">
        <v>4075</v>
      </c>
      <c r="AS88" s="180">
        <v>86009.800232053312</v>
      </c>
      <c r="AT88" s="179"/>
      <c r="AU88" s="179">
        <v>10000</v>
      </c>
      <c r="AV88" s="184">
        <f t="shared" si="3"/>
        <v>5925</v>
      </c>
      <c r="AW88" s="188">
        <v>45656</v>
      </c>
    </row>
    <row r="89" spans="1:49" x14ac:dyDescent="0.25">
      <c r="A89" s="4">
        <v>10140119</v>
      </c>
      <c r="B89" s="219">
        <v>1360.94</v>
      </c>
      <c r="D89" s="201"/>
      <c r="E89" s="71">
        <v>10030029</v>
      </c>
      <c r="F89" s="42">
        <v>6400</v>
      </c>
      <c r="H89" s="199"/>
      <c r="I89" s="71">
        <v>10030086</v>
      </c>
      <c r="J89" s="68">
        <v>75000</v>
      </c>
      <c r="W89" s="41">
        <v>10110011</v>
      </c>
      <c r="X89">
        <v>500</v>
      </c>
      <c r="AC89" s="182" t="s">
        <v>916</v>
      </c>
      <c r="AD89" s="172" t="s">
        <v>695</v>
      </c>
      <c r="AE89" s="172" t="s">
        <v>1112</v>
      </c>
      <c r="AF89" s="172" t="s">
        <v>672</v>
      </c>
      <c r="AG89" s="173">
        <v>110000</v>
      </c>
      <c r="AH89" s="174">
        <v>10864</v>
      </c>
      <c r="AI89" s="175">
        <v>99136</v>
      </c>
      <c r="AJ89" s="174">
        <v>864</v>
      </c>
      <c r="AK89" s="176">
        <v>10000</v>
      </c>
      <c r="AL89" s="184">
        <f t="shared" si="2"/>
        <v>99136</v>
      </c>
      <c r="AN89" s="172">
        <v>10080079</v>
      </c>
      <c r="AO89" s="172" t="s">
        <v>1112</v>
      </c>
      <c r="AP89" s="172" t="s">
        <v>672</v>
      </c>
      <c r="AQ89" s="173">
        <v>110000</v>
      </c>
      <c r="AR89" s="174">
        <v>0</v>
      </c>
      <c r="AS89" s="175">
        <v>87778</v>
      </c>
      <c r="AT89" s="174"/>
      <c r="AU89" s="174">
        <v>15000</v>
      </c>
      <c r="AV89" s="184">
        <f t="shared" si="3"/>
        <v>5000</v>
      </c>
      <c r="AW89" s="187">
        <v>45656</v>
      </c>
    </row>
    <row r="90" spans="1:49" x14ac:dyDescent="0.25">
      <c r="A90" s="4">
        <v>10140126</v>
      </c>
      <c r="B90" s="219">
        <v>654.81999999999994</v>
      </c>
      <c r="D90" s="201"/>
      <c r="E90" s="71">
        <v>10020045</v>
      </c>
      <c r="F90" s="42">
        <v>12800</v>
      </c>
      <c r="H90" s="199"/>
      <c r="I90" s="71">
        <v>10030087</v>
      </c>
      <c r="J90" s="68">
        <v>74310</v>
      </c>
      <c r="W90" s="41">
        <v>10110022</v>
      </c>
      <c r="X90">
        <v>500</v>
      </c>
      <c r="AC90" s="183" t="s">
        <v>917</v>
      </c>
      <c r="AD90" s="177" t="s">
        <v>501</v>
      </c>
      <c r="AE90" s="177" t="s">
        <v>1112</v>
      </c>
      <c r="AF90" s="177" t="s">
        <v>672</v>
      </c>
      <c r="AG90" s="178">
        <v>110000</v>
      </c>
      <c r="AH90" s="179">
        <v>17331</v>
      </c>
      <c r="AI90" s="180">
        <v>92669</v>
      </c>
      <c r="AJ90" s="179">
        <v>7331</v>
      </c>
      <c r="AK90" s="181">
        <v>10000</v>
      </c>
      <c r="AL90" s="184">
        <f t="shared" si="2"/>
        <v>92669</v>
      </c>
      <c r="AN90" s="177">
        <v>10140146</v>
      </c>
      <c r="AO90" s="177" t="s">
        <v>1112</v>
      </c>
      <c r="AP90" s="177" t="s">
        <v>672</v>
      </c>
      <c r="AQ90" s="178">
        <v>110000</v>
      </c>
      <c r="AR90" s="179">
        <v>0</v>
      </c>
      <c r="AS90" s="180">
        <v>99136</v>
      </c>
      <c r="AT90" s="179"/>
      <c r="AU90" s="179">
        <v>10000</v>
      </c>
      <c r="AV90" s="184">
        <f t="shared" si="3"/>
        <v>10000</v>
      </c>
      <c r="AW90" s="188">
        <v>45631</v>
      </c>
    </row>
    <row r="91" spans="1:49" x14ac:dyDescent="0.25">
      <c r="A91" s="4">
        <v>10140129</v>
      </c>
      <c r="B91" s="219">
        <v>570.36</v>
      </c>
      <c r="D91" s="201"/>
      <c r="E91" s="71">
        <v>10020037</v>
      </c>
      <c r="F91" s="42">
        <v>14097.274015576028</v>
      </c>
      <c r="H91" s="199"/>
      <c r="I91" s="71">
        <v>10030088</v>
      </c>
      <c r="J91" s="68">
        <v>72730.720260684553</v>
      </c>
      <c r="W91" s="41">
        <v>10110024</v>
      </c>
      <c r="X91">
        <v>500</v>
      </c>
      <c r="AC91" s="182" t="s">
        <v>918</v>
      </c>
      <c r="AD91" s="172" t="s">
        <v>492</v>
      </c>
      <c r="AE91" s="172" t="s">
        <v>1112</v>
      </c>
      <c r="AF91" s="172" t="s">
        <v>672</v>
      </c>
      <c r="AG91" s="173">
        <v>110000</v>
      </c>
      <c r="AH91" s="174">
        <v>19417.434969909122</v>
      </c>
      <c r="AI91" s="175">
        <v>90582.565030090875</v>
      </c>
      <c r="AJ91" s="174">
        <v>9417.4349699091217</v>
      </c>
      <c r="AK91" s="176">
        <v>10000</v>
      </c>
      <c r="AL91" s="184">
        <f t="shared" si="2"/>
        <v>90582.565030090875</v>
      </c>
      <c r="AN91" s="172">
        <v>10140152</v>
      </c>
      <c r="AO91" s="172" t="s">
        <v>1112</v>
      </c>
      <c r="AP91" s="172" t="s">
        <v>672</v>
      </c>
      <c r="AQ91" s="173">
        <v>110000</v>
      </c>
      <c r="AR91" s="174">
        <v>1294</v>
      </c>
      <c r="AS91" s="175">
        <v>90375</v>
      </c>
      <c r="AT91" s="174"/>
      <c r="AU91" s="174">
        <v>10000</v>
      </c>
      <c r="AV91" s="184">
        <f t="shared" si="3"/>
        <v>8706</v>
      </c>
      <c r="AW91" s="187">
        <v>45636</v>
      </c>
    </row>
    <row r="92" spans="1:49" x14ac:dyDescent="0.25">
      <c r="A92" s="4">
        <v>10140130</v>
      </c>
      <c r="B92" s="219">
        <v>107.73000000000002</v>
      </c>
      <c r="D92" s="201"/>
      <c r="E92" s="71">
        <v>10090040</v>
      </c>
      <c r="F92" s="42">
        <v>6400</v>
      </c>
      <c r="H92" s="199"/>
      <c r="I92" s="71">
        <v>10030089</v>
      </c>
      <c r="J92" s="68">
        <v>65864.066176220571</v>
      </c>
      <c r="W92" s="41">
        <v>10110032</v>
      </c>
      <c r="X92">
        <v>500</v>
      </c>
      <c r="AC92" s="183" t="s">
        <v>919</v>
      </c>
      <c r="AD92" s="177" t="s">
        <v>1104</v>
      </c>
      <c r="AE92" s="177" t="s">
        <v>1112</v>
      </c>
      <c r="AF92" s="177" t="s">
        <v>672</v>
      </c>
      <c r="AG92" s="178">
        <v>110000</v>
      </c>
      <c r="AH92" s="179">
        <v>18861</v>
      </c>
      <c r="AI92" s="180">
        <v>91139</v>
      </c>
      <c r="AJ92" s="179">
        <v>1861</v>
      </c>
      <c r="AK92" s="181">
        <v>17000</v>
      </c>
      <c r="AL92" s="184">
        <f t="shared" ref="AL92:AL117" si="4">AG92-AI92</f>
        <v>18861</v>
      </c>
      <c r="AN92" s="177">
        <v>10060090</v>
      </c>
      <c r="AO92" s="177" t="s">
        <v>1112</v>
      </c>
      <c r="AP92" s="177" t="s">
        <v>672</v>
      </c>
      <c r="AQ92" s="178">
        <v>110000</v>
      </c>
      <c r="AR92" s="179">
        <v>1721</v>
      </c>
      <c r="AS92" s="180">
        <v>85995</v>
      </c>
      <c r="AT92" s="179"/>
      <c r="AU92" s="179">
        <v>17000</v>
      </c>
      <c r="AV92" s="184">
        <f t="shared" si="3"/>
        <v>1279</v>
      </c>
      <c r="AW92" s="188">
        <v>45636</v>
      </c>
    </row>
    <row r="93" spans="1:49" x14ac:dyDescent="0.25">
      <c r="A93" s="4">
        <v>10140131</v>
      </c>
      <c r="B93" s="219">
        <v>1382.6599999999999</v>
      </c>
      <c r="D93" s="201"/>
      <c r="E93" s="71">
        <v>10090039</v>
      </c>
      <c r="F93" s="42">
        <v>14056.697964742982</v>
      </c>
      <c r="H93" s="199"/>
      <c r="I93" s="71">
        <v>10030090</v>
      </c>
      <c r="J93" s="68">
        <v>72763.07895318394</v>
      </c>
      <c r="W93" s="41">
        <v>10110033</v>
      </c>
      <c r="X93">
        <v>500</v>
      </c>
      <c r="AC93" s="182" t="s">
        <v>920</v>
      </c>
      <c r="AD93" s="172" t="s">
        <v>508</v>
      </c>
      <c r="AE93" s="172" t="s">
        <v>1112</v>
      </c>
      <c r="AF93" s="172" t="s">
        <v>672</v>
      </c>
      <c r="AG93" s="173">
        <v>110000</v>
      </c>
      <c r="AH93" s="174">
        <v>15583</v>
      </c>
      <c r="AI93" s="175">
        <v>94417</v>
      </c>
      <c r="AJ93" s="174">
        <v>5583</v>
      </c>
      <c r="AK93" s="176">
        <v>10000</v>
      </c>
      <c r="AL93" s="184">
        <f t="shared" ref="AL93:AL116" si="5">AG93-AH93</f>
        <v>94417</v>
      </c>
      <c r="AN93" s="172">
        <v>10110101</v>
      </c>
      <c r="AO93" s="172" t="s">
        <v>1112</v>
      </c>
      <c r="AP93" s="172" t="s">
        <v>672</v>
      </c>
      <c r="AQ93" s="173">
        <v>110000</v>
      </c>
      <c r="AR93" s="174">
        <v>5010</v>
      </c>
      <c r="AS93" s="175">
        <v>85685</v>
      </c>
      <c r="AT93" s="174"/>
      <c r="AU93" s="174">
        <v>10000</v>
      </c>
      <c r="AV93" s="184">
        <f t="shared" si="3"/>
        <v>4990</v>
      </c>
      <c r="AW93" s="187">
        <v>45633</v>
      </c>
    </row>
    <row r="94" spans="1:49" x14ac:dyDescent="0.25">
      <c r="A94" s="4">
        <v>10140137</v>
      </c>
      <c r="B94" s="219">
        <v>2562.64</v>
      </c>
      <c r="D94" s="201"/>
      <c r="E94" s="71">
        <v>10030036</v>
      </c>
      <c r="F94" s="42">
        <v>6400</v>
      </c>
      <c r="H94" s="199"/>
      <c r="I94" s="71">
        <v>10090079</v>
      </c>
      <c r="J94" s="68">
        <v>64466</v>
      </c>
      <c r="W94" s="41">
        <v>10110035</v>
      </c>
      <c r="X94">
        <v>500</v>
      </c>
      <c r="AC94" s="183" t="s">
        <v>921</v>
      </c>
      <c r="AD94" s="177" t="s">
        <v>463</v>
      </c>
      <c r="AE94" s="177" t="s">
        <v>1112</v>
      </c>
      <c r="AF94" s="177" t="s">
        <v>672</v>
      </c>
      <c r="AG94" s="178">
        <v>110000</v>
      </c>
      <c r="AH94" s="179">
        <v>28023.283283302415</v>
      </c>
      <c r="AI94" s="180">
        <v>81976.716716697585</v>
      </c>
      <c r="AJ94" s="179">
        <v>13023.283283302417</v>
      </c>
      <c r="AK94" s="181">
        <v>15000</v>
      </c>
      <c r="AL94" s="184">
        <f t="shared" si="5"/>
        <v>81976.716716697585</v>
      </c>
      <c r="AN94" s="177">
        <v>10140129</v>
      </c>
      <c r="AO94" s="177" t="s">
        <v>1112</v>
      </c>
      <c r="AP94" s="177" t="s">
        <v>672</v>
      </c>
      <c r="AQ94" s="178">
        <v>110000</v>
      </c>
      <c r="AR94" s="179">
        <v>8878</v>
      </c>
      <c r="AS94" s="180">
        <v>68678.401497262879</v>
      </c>
      <c r="AT94" s="179"/>
      <c r="AU94" s="179">
        <v>10000</v>
      </c>
      <c r="AV94" s="184">
        <f t="shared" si="3"/>
        <v>1122</v>
      </c>
      <c r="AW94" s="188"/>
    </row>
    <row r="95" spans="1:49" x14ac:dyDescent="0.25">
      <c r="A95" s="4">
        <v>10140145</v>
      </c>
      <c r="B95" s="219">
        <v>216.1</v>
      </c>
      <c r="D95" s="201"/>
      <c r="E95" s="71">
        <v>10090020</v>
      </c>
      <c r="F95" s="42">
        <v>12800</v>
      </c>
      <c r="H95" s="199"/>
      <c r="I95" s="71">
        <v>10090080</v>
      </c>
      <c r="J95" s="68">
        <v>62947</v>
      </c>
      <c r="W95" s="41">
        <v>10110043</v>
      </c>
      <c r="X95">
        <v>500</v>
      </c>
      <c r="AC95" s="182" t="s">
        <v>922</v>
      </c>
      <c r="AD95" s="172" t="s">
        <v>462</v>
      </c>
      <c r="AE95" s="172" t="s">
        <v>1112</v>
      </c>
      <c r="AF95" s="172" t="s">
        <v>672</v>
      </c>
      <c r="AG95" s="173">
        <v>110000</v>
      </c>
      <c r="AH95" s="174">
        <v>26050.119395528367</v>
      </c>
      <c r="AI95" s="175">
        <v>83949.880604471633</v>
      </c>
      <c r="AJ95" s="174">
        <v>16050.119395528369</v>
      </c>
      <c r="AK95" s="176">
        <v>10000</v>
      </c>
      <c r="AL95" s="184">
        <f t="shared" si="5"/>
        <v>83949.880604471633</v>
      </c>
      <c r="AN95" s="172">
        <v>10130022</v>
      </c>
      <c r="AO95" s="172" t="s">
        <v>1112</v>
      </c>
      <c r="AP95" s="172" t="s">
        <v>672</v>
      </c>
      <c r="AQ95" s="173">
        <v>110000</v>
      </c>
      <c r="AR95" s="174">
        <v>0</v>
      </c>
      <c r="AS95" s="175">
        <v>68975</v>
      </c>
      <c r="AT95" s="174"/>
      <c r="AU95" s="174">
        <v>10000</v>
      </c>
      <c r="AV95" s="184">
        <f t="shared" si="3"/>
        <v>10000</v>
      </c>
      <c r="AW95" s="187">
        <v>45659</v>
      </c>
    </row>
    <row r="96" spans="1:49" x14ac:dyDescent="0.25">
      <c r="A96" s="4">
        <v>10140148</v>
      </c>
      <c r="B96" s="219">
        <v>274.32</v>
      </c>
      <c r="D96" s="201"/>
      <c r="E96" s="71">
        <v>10020022</v>
      </c>
      <c r="F96" s="42">
        <v>14558.501723040001</v>
      </c>
      <c r="H96" s="199"/>
      <c r="I96" s="71">
        <v>10590014</v>
      </c>
      <c r="J96" s="68">
        <v>67166.162005173406</v>
      </c>
      <c r="W96" s="41">
        <v>10110044</v>
      </c>
      <c r="X96">
        <v>500</v>
      </c>
      <c r="AC96" s="183" t="s">
        <v>923</v>
      </c>
      <c r="AD96" s="177" t="s">
        <v>456</v>
      </c>
      <c r="AE96" s="177" t="s">
        <v>1112</v>
      </c>
      <c r="AF96" s="177" t="s">
        <v>672</v>
      </c>
      <c r="AG96" s="178">
        <v>110000</v>
      </c>
      <c r="AH96" s="179">
        <v>28638.459507444531</v>
      </c>
      <c r="AI96" s="180">
        <v>81361.540492555476</v>
      </c>
      <c r="AJ96" s="179">
        <v>18638.459507444531</v>
      </c>
      <c r="AK96" s="181">
        <v>10000</v>
      </c>
      <c r="AL96" s="184">
        <f t="shared" si="5"/>
        <v>81361.540492555476</v>
      </c>
      <c r="AN96" s="177">
        <v>10130025</v>
      </c>
      <c r="AO96" s="177" t="s">
        <v>1112</v>
      </c>
      <c r="AP96" s="177" t="s">
        <v>672</v>
      </c>
      <c r="AQ96" s="178">
        <v>64000</v>
      </c>
      <c r="AR96" s="179">
        <v>0</v>
      </c>
      <c r="AS96" s="180">
        <v>6120.0033114890248</v>
      </c>
      <c r="AT96" s="179"/>
      <c r="AU96" s="179">
        <v>10000</v>
      </c>
      <c r="AV96" s="184">
        <f t="shared" si="3"/>
        <v>10000</v>
      </c>
      <c r="AW96" s="188">
        <v>45687</v>
      </c>
    </row>
    <row r="97" spans="1:49" x14ac:dyDescent="0.25">
      <c r="A97" s="4">
        <v>10140151</v>
      </c>
      <c r="B97" s="219">
        <v>348.52</v>
      </c>
      <c r="D97" s="201"/>
      <c r="E97" s="71">
        <v>10090023</v>
      </c>
      <c r="F97" s="42">
        <v>9600</v>
      </c>
      <c r="H97" s="199"/>
      <c r="I97" s="71">
        <v>10590015</v>
      </c>
      <c r="J97" s="68">
        <v>65000</v>
      </c>
      <c r="W97" s="41">
        <v>10110048</v>
      </c>
      <c r="X97">
        <v>500</v>
      </c>
      <c r="AC97" s="182" t="s">
        <v>924</v>
      </c>
      <c r="AD97" s="172" t="s">
        <v>448</v>
      </c>
      <c r="AE97" s="172" t="s">
        <v>1111</v>
      </c>
      <c r="AF97" s="172" t="s">
        <v>672</v>
      </c>
      <c r="AG97" s="173">
        <v>110000</v>
      </c>
      <c r="AH97" s="174">
        <v>10368.39721395364</v>
      </c>
      <c r="AI97" s="175">
        <v>99631.602786046366</v>
      </c>
      <c r="AJ97" s="174">
        <v>10368.39721395364</v>
      </c>
      <c r="AK97" s="176">
        <v>0</v>
      </c>
      <c r="AL97" s="184">
        <f t="shared" si="5"/>
        <v>99631.602786046366</v>
      </c>
      <c r="AN97" s="172">
        <v>10130024</v>
      </c>
      <c r="AO97" s="172" t="s">
        <v>1112</v>
      </c>
      <c r="AP97" s="172" t="s">
        <v>672</v>
      </c>
      <c r="AQ97" s="173">
        <v>64000</v>
      </c>
      <c r="AR97" s="174">
        <v>0</v>
      </c>
      <c r="AS97" s="175">
        <v>21507.917400000006</v>
      </c>
      <c r="AT97" s="174"/>
      <c r="AU97" s="174">
        <v>10000</v>
      </c>
      <c r="AV97" s="184">
        <f t="shared" si="3"/>
        <v>10000</v>
      </c>
      <c r="AW97" s="187">
        <v>45640</v>
      </c>
    </row>
    <row r="98" spans="1:49" x14ac:dyDescent="0.25">
      <c r="A98" s="4">
        <v>10140153</v>
      </c>
      <c r="B98" s="219">
        <v>894.66</v>
      </c>
      <c r="D98" s="201"/>
      <c r="E98" s="71">
        <v>10140001</v>
      </c>
      <c r="F98" s="42">
        <v>1957.3475058402746</v>
      </c>
      <c r="H98" s="199"/>
      <c r="I98" s="71">
        <v>10570055</v>
      </c>
      <c r="J98" s="68">
        <v>84295</v>
      </c>
      <c r="W98" s="41">
        <v>10110052</v>
      </c>
      <c r="X98">
        <v>500</v>
      </c>
      <c r="AC98" s="183" t="s">
        <v>925</v>
      </c>
      <c r="AD98" s="177" t="s">
        <v>697</v>
      </c>
      <c r="AE98" s="177" t="s">
        <v>1112</v>
      </c>
      <c r="AF98" s="177" t="s">
        <v>672</v>
      </c>
      <c r="AG98" s="178">
        <v>110000</v>
      </c>
      <c r="AH98" s="179">
        <v>29013.288206056845</v>
      </c>
      <c r="AI98" s="180">
        <v>80986.711793943163</v>
      </c>
      <c r="AJ98" s="179">
        <v>14013.288206056845</v>
      </c>
      <c r="AK98" s="181">
        <v>15000</v>
      </c>
      <c r="AL98" s="184">
        <f t="shared" si="5"/>
        <v>80986.711793943163</v>
      </c>
      <c r="AN98" s="177">
        <v>10450001</v>
      </c>
      <c r="AO98" s="177" t="s">
        <v>1112</v>
      </c>
      <c r="AP98" s="177" t="s">
        <v>672</v>
      </c>
      <c r="AQ98" s="178">
        <v>110000</v>
      </c>
      <c r="AR98" s="179">
        <v>0</v>
      </c>
      <c r="AS98" s="180">
        <v>61038.064032984315</v>
      </c>
      <c r="AT98" s="179"/>
      <c r="AU98" s="179">
        <v>10000</v>
      </c>
      <c r="AV98" s="184">
        <f t="shared" si="3"/>
        <v>10000</v>
      </c>
      <c r="AW98" s="188">
        <v>45569</v>
      </c>
    </row>
    <row r="99" spans="1:49" x14ac:dyDescent="0.25">
      <c r="A99" s="4">
        <v>10140154</v>
      </c>
      <c r="B99" s="219">
        <v>859.3</v>
      </c>
      <c r="D99" s="201"/>
      <c r="E99" s="71">
        <v>10140002</v>
      </c>
      <c r="F99" s="42">
        <v>1258.0352145440011</v>
      </c>
      <c r="H99" s="199"/>
      <c r="I99" s="71">
        <v>10580024</v>
      </c>
      <c r="J99" s="68">
        <v>73139</v>
      </c>
      <c r="W99" s="41">
        <v>10110053</v>
      </c>
      <c r="X99">
        <v>500</v>
      </c>
      <c r="AC99" s="182" t="s">
        <v>926</v>
      </c>
      <c r="AD99" s="172" t="s">
        <v>699</v>
      </c>
      <c r="AE99" s="172" t="s">
        <v>1111</v>
      </c>
      <c r="AF99" s="172" t="s">
        <v>672</v>
      </c>
      <c r="AG99" s="173">
        <v>110000</v>
      </c>
      <c r="AH99" s="174">
        <v>52196.709600000002</v>
      </c>
      <c r="AI99" s="175">
        <v>57803.290399999998</v>
      </c>
      <c r="AJ99" s="174">
        <v>40565.709600000002</v>
      </c>
      <c r="AK99" s="176">
        <v>0</v>
      </c>
      <c r="AL99" s="184">
        <f t="shared" si="5"/>
        <v>57803.290399999998</v>
      </c>
      <c r="AN99" s="172">
        <v>10140016</v>
      </c>
      <c r="AO99" s="172" t="s">
        <v>1112</v>
      </c>
      <c r="AP99" s="172" t="s">
        <v>672</v>
      </c>
      <c r="AQ99" s="173">
        <v>110000</v>
      </c>
      <c r="AR99" s="174">
        <v>0</v>
      </c>
      <c r="AS99" s="175">
        <v>58701.772199999999</v>
      </c>
      <c r="AT99" s="174"/>
      <c r="AU99" s="174">
        <v>10000</v>
      </c>
      <c r="AV99" s="184">
        <f t="shared" si="3"/>
        <v>10000</v>
      </c>
      <c r="AW99" s="187">
        <v>45482</v>
      </c>
    </row>
    <row r="100" spans="1:49" x14ac:dyDescent="0.25">
      <c r="A100" s="4">
        <v>10140155</v>
      </c>
      <c r="B100" s="219">
        <v>302.95</v>
      </c>
      <c r="D100" s="201"/>
      <c r="E100" s="71">
        <v>10140004</v>
      </c>
      <c r="F100" s="42">
        <v>2613.9478243630037</v>
      </c>
      <c r="H100" s="199"/>
      <c r="I100" s="71">
        <v>10580025</v>
      </c>
      <c r="J100" s="68">
        <v>67879.986038985197</v>
      </c>
      <c r="W100" s="41">
        <v>10110063</v>
      </c>
      <c r="X100">
        <v>500</v>
      </c>
      <c r="AC100" s="183" t="s">
        <v>927</v>
      </c>
      <c r="AD100" s="177" t="s">
        <v>374</v>
      </c>
      <c r="AE100" s="177" t="s">
        <v>1112</v>
      </c>
      <c r="AF100" s="177" t="s">
        <v>672</v>
      </c>
      <c r="AG100" s="178">
        <v>110000</v>
      </c>
      <c r="AH100" s="179">
        <v>55615.820606054403</v>
      </c>
      <c r="AI100" s="180">
        <v>54384.179393945597</v>
      </c>
      <c r="AJ100" s="179">
        <v>45615.820606054403</v>
      </c>
      <c r="AK100" s="181">
        <v>10000</v>
      </c>
      <c r="AL100" s="184">
        <f t="shared" si="5"/>
        <v>54384.179393945597</v>
      </c>
      <c r="AN100" s="177">
        <v>10140097</v>
      </c>
      <c r="AO100" s="177" t="s">
        <v>1112</v>
      </c>
      <c r="AP100" s="177" t="s">
        <v>672</v>
      </c>
      <c r="AQ100" s="178">
        <v>110000</v>
      </c>
      <c r="AR100" s="179">
        <v>0</v>
      </c>
      <c r="AS100" s="180">
        <v>72082.237800000003</v>
      </c>
      <c r="AT100" s="179"/>
      <c r="AU100" s="179">
        <v>10000</v>
      </c>
      <c r="AV100" s="184">
        <f t="shared" si="3"/>
        <v>10000</v>
      </c>
      <c r="AW100" s="188">
        <v>45482</v>
      </c>
    </row>
    <row r="101" spans="1:49" x14ac:dyDescent="0.25">
      <c r="A101" s="4">
        <v>10140159</v>
      </c>
      <c r="B101" s="219">
        <v>109.80000000000001</v>
      </c>
      <c r="D101" s="201"/>
      <c r="E101" s="71">
        <v>10140006</v>
      </c>
      <c r="F101" s="42">
        <v>16000</v>
      </c>
      <c r="H101" s="199"/>
      <c r="I101" s="71">
        <v>10580026</v>
      </c>
      <c r="J101" s="68">
        <v>65000</v>
      </c>
      <c r="W101" s="41">
        <v>10110071</v>
      </c>
      <c r="X101">
        <v>500</v>
      </c>
      <c r="AC101" s="182" t="s">
        <v>928</v>
      </c>
      <c r="AD101" s="172" t="s">
        <v>640</v>
      </c>
      <c r="AE101" s="172" t="s">
        <v>1112</v>
      </c>
      <c r="AF101" s="172" t="s">
        <v>672</v>
      </c>
      <c r="AG101" s="173">
        <v>110000</v>
      </c>
      <c r="AH101" s="174">
        <v>90066.015340942977</v>
      </c>
      <c r="AI101" s="175">
        <v>19933.984659057023</v>
      </c>
      <c r="AJ101" s="174">
        <v>80066.015340942977</v>
      </c>
      <c r="AK101" s="176">
        <v>10000</v>
      </c>
      <c r="AL101" s="184">
        <f t="shared" si="5"/>
        <v>19933.984659057023</v>
      </c>
      <c r="AN101" s="172">
        <v>10030015</v>
      </c>
      <c r="AO101" s="172" t="s">
        <v>1112</v>
      </c>
      <c r="AP101" s="172" t="s">
        <v>672</v>
      </c>
      <c r="AQ101" s="173">
        <v>110000</v>
      </c>
      <c r="AR101" s="174">
        <v>0</v>
      </c>
      <c r="AS101" s="175">
        <v>56656.743452877156</v>
      </c>
      <c r="AT101" s="174"/>
      <c r="AU101" s="174">
        <v>10000</v>
      </c>
      <c r="AV101" s="184">
        <f t="shared" si="3"/>
        <v>10000</v>
      </c>
      <c r="AW101" s="187">
        <v>44777</v>
      </c>
    </row>
    <row r="102" spans="1:49" x14ac:dyDescent="0.25">
      <c r="A102" s="4">
        <v>10140164</v>
      </c>
      <c r="B102" s="219">
        <v>211.79000000000002</v>
      </c>
      <c r="D102" s="201"/>
      <c r="E102" s="71">
        <v>10140010</v>
      </c>
      <c r="F102" s="42">
        <v>22400</v>
      </c>
      <c r="H102" s="199"/>
      <c r="I102" s="71">
        <v>10580027</v>
      </c>
      <c r="J102" s="68">
        <v>65000</v>
      </c>
      <c r="W102" s="41">
        <v>10110073</v>
      </c>
      <c r="X102">
        <v>500</v>
      </c>
      <c r="AC102" s="183" t="s">
        <v>929</v>
      </c>
      <c r="AD102" s="177" t="s">
        <v>700</v>
      </c>
      <c r="AE102" s="177" t="s">
        <v>1111</v>
      </c>
      <c r="AF102" s="177" t="s">
        <v>672</v>
      </c>
      <c r="AG102" s="178">
        <v>110000</v>
      </c>
      <c r="AH102" s="179">
        <v>68979.548639349756</v>
      </c>
      <c r="AI102" s="180">
        <v>41020.451360650244</v>
      </c>
      <c r="AJ102" s="179">
        <v>43979.548639349763</v>
      </c>
      <c r="AK102" s="176">
        <v>0</v>
      </c>
      <c r="AL102" s="184">
        <f t="shared" si="5"/>
        <v>41020.451360650244</v>
      </c>
      <c r="AN102" s="177">
        <v>10140107</v>
      </c>
      <c r="AO102" s="177" t="s">
        <v>1112</v>
      </c>
      <c r="AP102" s="177" t="s">
        <v>672</v>
      </c>
      <c r="AQ102" s="178">
        <v>110000</v>
      </c>
      <c r="AR102" s="179">
        <v>0</v>
      </c>
      <c r="AS102" s="180">
        <v>62853.378761066648</v>
      </c>
      <c r="AT102" s="179"/>
      <c r="AU102" s="179">
        <v>10000</v>
      </c>
      <c r="AV102" s="184">
        <f t="shared" si="3"/>
        <v>10000</v>
      </c>
      <c r="AW102" s="188"/>
    </row>
    <row r="103" spans="1:49" x14ac:dyDescent="0.25">
      <c r="A103" s="4">
        <v>10140166</v>
      </c>
      <c r="B103" s="219">
        <v>358.73</v>
      </c>
      <c r="D103" s="201"/>
      <c r="E103" s="71">
        <v>10140011</v>
      </c>
      <c r="F103" s="42">
        <v>8298.3607058969592</v>
      </c>
      <c r="H103" s="199"/>
      <c r="I103" s="71">
        <v>10580028</v>
      </c>
      <c r="J103" s="68">
        <v>63139</v>
      </c>
      <c r="W103" s="41">
        <v>10110078</v>
      </c>
      <c r="X103">
        <v>500</v>
      </c>
      <c r="AC103" s="182" t="s">
        <v>930</v>
      </c>
      <c r="AD103" s="172" t="s">
        <v>701</v>
      </c>
      <c r="AE103" s="172" t="s">
        <v>1111</v>
      </c>
      <c r="AF103" s="172" t="s">
        <v>672</v>
      </c>
      <c r="AG103" s="173">
        <v>110000</v>
      </c>
      <c r="AH103" s="174">
        <v>74720</v>
      </c>
      <c r="AI103" s="175">
        <v>35280</v>
      </c>
      <c r="AJ103" s="174">
        <v>49720</v>
      </c>
      <c r="AK103" s="176">
        <v>0</v>
      </c>
      <c r="AL103" s="184">
        <f t="shared" si="5"/>
        <v>35280</v>
      </c>
      <c r="AN103" s="172">
        <v>10140055</v>
      </c>
      <c r="AO103" s="172" t="s">
        <v>1112</v>
      </c>
      <c r="AP103" s="172" t="s">
        <v>672</v>
      </c>
      <c r="AQ103" s="173">
        <v>110000</v>
      </c>
      <c r="AR103" s="174">
        <v>0</v>
      </c>
      <c r="AS103" s="175">
        <v>20769.097687097557</v>
      </c>
      <c r="AT103" s="174"/>
      <c r="AU103" s="174">
        <v>10000</v>
      </c>
      <c r="AV103" s="184">
        <f t="shared" si="3"/>
        <v>10000</v>
      </c>
      <c r="AW103" s="187">
        <v>44777</v>
      </c>
    </row>
    <row r="104" spans="1:49" x14ac:dyDescent="0.25">
      <c r="A104" s="4">
        <v>10140169</v>
      </c>
      <c r="B104" s="219">
        <v>1045.56</v>
      </c>
      <c r="D104" s="201"/>
      <c r="E104" s="71">
        <v>10140019</v>
      </c>
      <c r="F104" s="42">
        <v>16000</v>
      </c>
      <c r="H104" s="199"/>
      <c r="I104" s="71">
        <v>10580029</v>
      </c>
      <c r="J104" s="68">
        <v>75000</v>
      </c>
      <c r="W104" s="41">
        <v>10110079</v>
      </c>
      <c r="X104">
        <v>500</v>
      </c>
      <c r="AC104" s="183" t="s">
        <v>931</v>
      </c>
      <c r="AD104" s="177" t="s">
        <v>702</v>
      </c>
      <c r="AE104" s="177" t="s">
        <v>1112</v>
      </c>
      <c r="AF104" s="177" t="s">
        <v>672</v>
      </c>
      <c r="AG104" s="178">
        <v>110000</v>
      </c>
      <c r="AH104" s="179">
        <v>30259</v>
      </c>
      <c r="AI104" s="180">
        <v>79741</v>
      </c>
      <c r="AJ104" s="179">
        <v>20259</v>
      </c>
      <c r="AK104" s="181">
        <v>10000</v>
      </c>
      <c r="AL104" s="184">
        <f t="shared" si="5"/>
        <v>79741</v>
      </c>
      <c r="AN104" s="177">
        <v>10130026</v>
      </c>
      <c r="AO104" s="177" t="s">
        <v>1112</v>
      </c>
      <c r="AP104" s="177" t="s">
        <v>672</v>
      </c>
      <c r="AQ104" s="178">
        <v>64000</v>
      </c>
      <c r="AR104" s="179">
        <v>0</v>
      </c>
      <c r="AS104" s="180">
        <v>23611.452000000005</v>
      </c>
      <c r="AT104" s="179"/>
      <c r="AU104" s="179">
        <v>5000</v>
      </c>
      <c r="AV104" s="184">
        <f t="shared" si="3"/>
        <v>15000</v>
      </c>
      <c r="AW104" s="188">
        <v>44777</v>
      </c>
    </row>
    <row r="105" spans="1:49" x14ac:dyDescent="0.25">
      <c r="A105" s="4">
        <v>10140171</v>
      </c>
      <c r="B105" s="219">
        <v>1045.56</v>
      </c>
      <c r="D105" s="201"/>
      <c r="E105" s="71">
        <v>10140015</v>
      </c>
      <c r="F105" s="42">
        <v>12800</v>
      </c>
      <c r="H105" s="199"/>
      <c r="I105" s="71">
        <v>10580030</v>
      </c>
      <c r="J105" s="68">
        <v>63079.846397150199</v>
      </c>
      <c r="W105" s="41">
        <v>10110083</v>
      </c>
      <c r="X105">
        <v>500</v>
      </c>
      <c r="AC105" s="182" t="s">
        <v>932</v>
      </c>
      <c r="AD105" s="172" t="s">
        <v>341</v>
      </c>
      <c r="AE105" s="172" t="s">
        <v>1111</v>
      </c>
      <c r="AF105" s="172" t="s">
        <v>672</v>
      </c>
      <c r="AG105" s="173">
        <v>110000</v>
      </c>
      <c r="AH105" s="174">
        <v>21019</v>
      </c>
      <c r="AI105" s="175">
        <v>88981</v>
      </c>
      <c r="AJ105" s="174">
        <v>21019</v>
      </c>
      <c r="AK105" s="176">
        <v>0</v>
      </c>
      <c r="AL105" s="184">
        <f t="shared" si="5"/>
        <v>88981</v>
      </c>
      <c r="AN105" s="172">
        <v>10010021</v>
      </c>
      <c r="AO105" s="172" t="s">
        <v>1112</v>
      </c>
      <c r="AP105" s="172" t="s">
        <v>672</v>
      </c>
      <c r="AQ105" s="173">
        <v>110000</v>
      </c>
      <c r="AR105" s="174">
        <v>0</v>
      </c>
      <c r="AS105" s="175">
        <v>72931.141548879619</v>
      </c>
      <c r="AT105" s="174"/>
      <c r="AU105" s="174">
        <v>5000</v>
      </c>
      <c r="AV105" s="184">
        <f t="shared" si="3"/>
        <v>15000</v>
      </c>
      <c r="AW105" s="187">
        <v>45392</v>
      </c>
    </row>
    <row r="106" spans="1:49" x14ac:dyDescent="0.25">
      <c r="A106" s="4">
        <v>10140172</v>
      </c>
      <c r="B106" s="219">
        <v>113.89999999999999</v>
      </c>
      <c r="D106" s="201"/>
      <c r="E106" s="71">
        <v>10140016</v>
      </c>
      <c r="F106" s="42">
        <v>12800</v>
      </c>
      <c r="H106" s="199"/>
      <c r="I106" s="71">
        <v>10640008</v>
      </c>
      <c r="J106" s="68">
        <v>85000</v>
      </c>
      <c r="W106" s="41">
        <v>10110091</v>
      </c>
      <c r="X106">
        <v>500</v>
      </c>
      <c r="AC106" s="183" t="s">
        <v>933</v>
      </c>
      <c r="AD106" s="177" t="s">
        <v>342</v>
      </c>
      <c r="AE106" s="177" t="s">
        <v>1111</v>
      </c>
      <c r="AF106" s="177" t="s">
        <v>672</v>
      </c>
      <c r="AG106" s="178">
        <v>110000</v>
      </c>
      <c r="AH106" s="179">
        <v>25995</v>
      </c>
      <c r="AI106" s="180">
        <v>84005</v>
      </c>
      <c r="AJ106" s="179">
        <v>25995</v>
      </c>
      <c r="AK106" s="176">
        <v>0</v>
      </c>
      <c r="AL106" s="184">
        <f t="shared" si="5"/>
        <v>84005</v>
      </c>
      <c r="AN106" s="177">
        <v>10010019</v>
      </c>
      <c r="AO106" s="177" t="s">
        <v>1111</v>
      </c>
      <c r="AP106" s="177" t="s">
        <v>672</v>
      </c>
      <c r="AQ106" s="178">
        <v>110000</v>
      </c>
      <c r="AR106" s="179">
        <v>0</v>
      </c>
      <c r="AS106" s="180">
        <v>51713.541976223918</v>
      </c>
      <c r="AT106" s="179"/>
      <c r="AU106" s="179"/>
      <c r="AV106" s="184">
        <f t="shared" si="3"/>
        <v>20000</v>
      </c>
      <c r="AW106" s="188">
        <v>45225</v>
      </c>
    </row>
    <row r="107" spans="1:49" x14ac:dyDescent="0.25">
      <c r="A107" s="4">
        <v>10140174</v>
      </c>
      <c r="B107" s="219">
        <v>1643.8908616031222</v>
      </c>
      <c r="D107" s="201"/>
      <c r="E107" s="71">
        <v>10140022</v>
      </c>
      <c r="F107" s="42">
        <v>13022.026456633601</v>
      </c>
      <c r="H107" s="199"/>
      <c r="I107" s="71">
        <v>10640009</v>
      </c>
      <c r="J107" s="68">
        <v>83178</v>
      </c>
      <c r="W107" s="41">
        <v>10120003</v>
      </c>
      <c r="X107">
        <v>500</v>
      </c>
      <c r="AC107" s="182" t="s">
        <v>934</v>
      </c>
      <c r="AD107" s="172" t="s">
        <v>304</v>
      </c>
      <c r="AE107" s="172" t="s">
        <v>1111</v>
      </c>
      <c r="AF107" s="172" t="s">
        <v>672</v>
      </c>
      <c r="AG107" s="173">
        <v>110000</v>
      </c>
      <c r="AH107" s="174">
        <v>28064.832728798719</v>
      </c>
      <c r="AI107" s="175">
        <v>81935.167271201281</v>
      </c>
      <c r="AJ107" s="174">
        <v>28064.832728798719</v>
      </c>
      <c r="AK107" s="176">
        <v>0</v>
      </c>
      <c r="AL107" s="184">
        <f t="shared" si="5"/>
        <v>81935.167271201281</v>
      </c>
      <c r="AN107" s="172">
        <v>10140054</v>
      </c>
      <c r="AO107" s="172" t="s">
        <v>1112</v>
      </c>
      <c r="AP107" s="172" t="s">
        <v>672</v>
      </c>
      <c r="AQ107" s="173">
        <v>110000</v>
      </c>
      <c r="AR107" s="174">
        <v>0</v>
      </c>
      <c r="AS107" s="175">
        <v>43880.624251879621</v>
      </c>
      <c r="AT107" s="174"/>
      <c r="AU107" s="174">
        <v>10000</v>
      </c>
      <c r="AV107" s="184">
        <f t="shared" si="3"/>
        <v>10000</v>
      </c>
      <c r="AW107" s="187">
        <v>45225</v>
      </c>
    </row>
    <row r="108" spans="1:49" x14ac:dyDescent="0.25">
      <c r="A108" s="4">
        <v>10140183</v>
      </c>
      <c r="B108" s="219">
        <v>1090.04</v>
      </c>
      <c r="D108" s="201"/>
      <c r="E108" s="71">
        <v>10140020</v>
      </c>
      <c r="F108" s="42">
        <v>9600</v>
      </c>
      <c r="H108" s="199"/>
      <c r="I108" s="71">
        <v>10530111</v>
      </c>
      <c r="J108" s="68">
        <v>62412.324484158802</v>
      </c>
      <c r="W108" s="41">
        <v>10120016</v>
      </c>
      <c r="X108">
        <v>500</v>
      </c>
      <c r="AC108" s="183" t="s">
        <v>935</v>
      </c>
      <c r="AD108" s="177" t="s">
        <v>305</v>
      </c>
      <c r="AE108" s="177" t="s">
        <v>1111</v>
      </c>
      <c r="AF108" s="177" t="s">
        <v>672</v>
      </c>
      <c r="AG108" s="178">
        <v>110000</v>
      </c>
      <c r="AH108" s="179">
        <v>32707.422129921652</v>
      </c>
      <c r="AI108" s="180">
        <v>77292.577870078356</v>
      </c>
      <c r="AJ108" s="179">
        <v>32707.422129921652</v>
      </c>
      <c r="AK108" s="176">
        <v>0</v>
      </c>
      <c r="AL108" s="184">
        <f t="shared" si="5"/>
        <v>77292.577870078356</v>
      </c>
      <c r="AN108" s="177">
        <v>10130032</v>
      </c>
      <c r="AO108" s="177" t="s">
        <v>1112</v>
      </c>
      <c r="AP108" s="177" t="s">
        <v>672</v>
      </c>
      <c r="AQ108" s="178">
        <v>64000</v>
      </c>
      <c r="AR108" s="179">
        <v>0</v>
      </c>
      <c r="AS108" s="180">
        <v>28382</v>
      </c>
      <c r="AT108" s="179"/>
      <c r="AU108" s="179">
        <v>5000</v>
      </c>
      <c r="AV108" s="184">
        <f t="shared" si="3"/>
        <v>15000</v>
      </c>
      <c r="AW108" s="188">
        <v>45142</v>
      </c>
    </row>
    <row r="109" spans="1:49" x14ac:dyDescent="0.25">
      <c r="A109" s="4">
        <v>10230001</v>
      </c>
      <c r="B109" s="219">
        <v>457.8599999999999</v>
      </c>
      <c r="D109" s="201"/>
      <c r="E109" s="71">
        <v>10140005</v>
      </c>
      <c r="F109" s="42">
        <v>6090.711846906921</v>
      </c>
      <c r="H109" s="199"/>
      <c r="I109" s="71">
        <v>10530112</v>
      </c>
      <c r="J109" s="68">
        <v>73139</v>
      </c>
      <c r="W109" s="41">
        <v>10120019</v>
      </c>
      <c r="X109">
        <v>500</v>
      </c>
      <c r="AC109" s="182" t="s">
        <v>831</v>
      </c>
      <c r="AD109" s="172" t="s">
        <v>703</v>
      </c>
      <c r="AE109" s="172" t="s">
        <v>1112</v>
      </c>
      <c r="AF109" s="172" t="s">
        <v>672</v>
      </c>
      <c r="AG109" s="173">
        <v>64000</v>
      </c>
      <c r="AH109" s="174">
        <v>9852</v>
      </c>
      <c r="AI109" s="175">
        <v>54148</v>
      </c>
      <c r="AJ109" s="174">
        <v>4852</v>
      </c>
      <c r="AK109" s="176">
        <v>5000</v>
      </c>
      <c r="AL109" s="184">
        <f t="shared" si="5"/>
        <v>54148</v>
      </c>
      <c r="AN109" s="172">
        <v>10140053</v>
      </c>
      <c r="AO109" s="172" t="s">
        <v>1112</v>
      </c>
      <c r="AP109" s="172" t="s">
        <v>672</v>
      </c>
      <c r="AQ109" s="173">
        <v>110000</v>
      </c>
      <c r="AR109" s="174">
        <v>0</v>
      </c>
      <c r="AS109" s="175">
        <v>79425</v>
      </c>
      <c r="AT109" s="174"/>
      <c r="AU109" s="174">
        <v>5000</v>
      </c>
      <c r="AV109" s="184">
        <f t="shared" si="3"/>
        <v>15000</v>
      </c>
      <c r="AW109" s="187">
        <v>45339</v>
      </c>
    </row>
    <row r="110" spans="1:49" x14ac:dyDescent="0.25">
      <c r="A110" s="4">
        <v>10270001</v>
      </c>
      <c r="B110" s="219">
        <v>753.06</v>
      </c>
      <c r="D110" s="201"/>
      <c r="E110" s="71">
        <v>10080016</v>
      </c>
      <c r="F110" s="42">
        <v>130.66422891840011</v>
      </c>
      <c r="H110" s="199"/>
      <c r="I110" s="71">
        <v>10610024</v>
      </c>
      <c r="J110" s="68">
        <v>63485</v>
      </c>
      <c r="W110" s="41">
        <v>10120034</v>
      </c>
      <c r="X110">
        <v>500</v>
      </c>
      <c r="AC110" s="183" t="s">
        <v>936</v>
      </c>
      <c r="AD110" s="177" t="s">
        <v>704</v>
      </c>
      <c r="AE110" s="177" t="s">
        <v>1112</v>
      </c>
      <c r="AF110" s="177" t="s">
        <v>672</v>
      </c>
      <c r="AG110" s="178">
        <v>64000</v>
      </c>
      <c r="AH110" s="179">
        <v>31401.260821327403</v>
      </c>
      <c r="AI110" s="180">
        <v>32598.739178672597</v>
      </c>
      <c r="AJ110" s="179">
        <v>21401.260821327403</v>
      </c>
      <c r="AK110" s="181">
        <v>10000</v>
      </c>
      <c r="AL110" s="184">
        <f t="shared" si="5"/>
        <v>32598.739178672597</v>
      </c>
      <c r="AN110" s="177">
        <v>10140047</v>
      </c>
      <c r="AO110" s="177" t="s">
        <v>1112</v>
      </c>
      <c r="AP110" s="177" t="s">
        <v>672</v>
      </c>
      <c r="AQ110" s="178">
        <v>110000</v>
      </c>
      <c r="AR110" s="179">
        <v>0</v>
      </c>
      <c r="AS110" s="180">
        <v>7858.3455301270878</v>
      </c>
      <c r="AT110" s="179"/>
      <c r="AU110" s="179">
        <v>10000</v>
      </c>
      <c r="AV110" s="184">
        <f t="shared" si="3"/>
        <v>10000</v>
      </c>
      <c r="AW110" s="188">
        <v>44656</v>
      </c>
    </row>
    <row r="111" spans="1:49" x14ac:dyDescent="0.25">
      <c r="A111" s="4">
        <v>10480014</v>
      </c>
      <c r="B111" s="219">
        <v>469.41999999999996</v>
      </c>
      <c r="D111" s="201"/>
      <c r="E111" s="71">
        <v>10080017</v>
      </c>
      <c r="F111" s="42">
        <v>6400</v>
      </c>
      <c r="H111" s="199"/>
      <c r="I111" s="71">
        <v>10610026</v>
      </c>
      <c r="J111" s="68">
        <v>65000</v>
      </c>
      <c r="W111" s="41">
        <v>10120037</v>
      </c>
      <c r="X111">
        <v>500</v>
      </c>
      <c r="AC111" s="182" t="s">
        <v>831</v>
      </c>
      <c r="AD111" s="172" t="s">
        <v>705</v>
      </c>
      <c r="AE111" s="172" t="s">
        <v>1112</v>
      </c>
      <c r="AF111" s="172" t="s">
        <v>672</v>
      </c>
      <c r="AG111" s="173">
        <v>64000</v>
      </c>
      <c r="AH111" s="174">
        <v>10000</v>
      </c>
      <c r="AI111" s="175">
        <v>54000</v>
      </c>
      <c r="AJ111" s="174">
        <v>0</v>
      </c>
      <c r="AK111" s="176">
        <v>10000</v>
      </c>
      <c r="AL111" s="184">
        <f t="shared" si="5"/>
        <v>54000</v>
      </c>
      <c r="AN111" s="172">
        <v>10140036</v>
      </c>
      <c r="AO111" s="172" t="s">
        <v>1112</v>
      </c>
      <c r="AP111" s="172" t="s">
        <v>672</v>
      </c>
      <c r="AQ111" s="173">
        <v>110000</v>
      </c>
      <c r="AR111" s="174">
        <v>0</v>
      </c>
      <c r="AS111" s="175">
        <v>80035.811000000002</v>
      </c>
      <c r="AT111" s="174"/>
      <c r="AU111" s="174">
        <v>10000</v>
      </c>
      <c r="AV111" s="184">
        <f t="shared" si="3"/>
        <v>10000</v>
      </c>
      <c r="AW111" s="187">
        <v>45469</v>
      </c>
    </row>
    <row r="112" spans="1:49" x14ac:dyDescent="0.25">
      <c r="A112" s="4">
        <v>10510003</v>
      </c>
      <c r="B112" s="219">
        <v>643.02</v>
      </c>
      <c r="D112" s="201"/>
      <c r="E112" s="71">
        <v>10080018</v>
      </c>
      <c r="F112" s="42">
        <v>7186.369443996512</v>
      </c>
      <c r="H112" s="199"/>
      <c r="I112" s="71">
        <v>10600013</v>
      </c>
      <c r="J112" s="68">
        <v>75000</v>
      </c>
      <c r="W112" s="41">
        <v>10120042</v>
      </c>
      <c r="X112">
        <v>500</v>
      </c>
      <c r="AC112" s="183" t="s">
        <v>831</v>
      </c>
      <c r="AD112" s="177" t="s">
        <v>706</v>
      </c>
      <c r="AE112" s="177" t="s">
        <v>1111</v>
      </c>
      <c r="AF112" s="177" t="s">
        <v>672</v>
      </c>
      <c r="AG112" s="178">
        <v>110000</v>
      </c>
      <c r="AH112" s="179">
        <v>25000</v>
      </c>
      <c r="AI112" s="180">
        <v>85000</v>
      </c>
      <c r="AJ112" s="179">
        <v>0</v>
      </c>
      <c r="AK112" s="181">
        <v>0</v>
      </c>
      <c r="AL112" s="184">
        <f t="shared" si="5"/>
        <v>85000</v>
      </c>
      <c r="AN112" s="177">
        <v>10120034</v>
      </c>
      <c r="AO112" s="177" t="s">
        <v>1112</v>
      </c>
      <c r="AP112" s="177" t="s">
        <v>672</v>
      </c>
      <c r="AQ112" s="178">
        <v>64000</v>
      </c>
      <c r="AR112" s="179">
        <v>0</v>
      </c>
      <c r="AS112" s="180">
        <v>4974.9854515758052</v>
      </c>
      <c r="AT112" s="179"/>
      <c r="AU112" s="179">
        <v>10000</v>
      </c>
      <c r="AV112" s="184">
        <f t="shared" si="3"/>
        <v>10000</v>
      </c>
      <c r="AW112" s="188">
        <v>44731</v>
      </c>
    </row>
    <row r="113" spans="1:49" x14ac:dyDescent="0.25">
      <c r="A113" s="4">
        <v>10520008</v>
      </c>
      <c r="B113" s="219">
        <v>1810.8099999999995</v>
      </c>
      <c r="D113" s="201"/>
      <c r="E113" s="71">
        <v>10110074</v>
      </c>
      <c r="F113" s="42">
        <v>6400</v>
      </c>
      <c r="H113" s="199"/>
      <c r="I113" s="71">
        <v>10540046</v>
      </c>
      <c r="J113" s="68">
        <v>63139</v>
      </c>
      <c r="W113" s="41">
        <v>10120043</v>
      </c>
      <c r="X113">
        <v>500</v>
      </c>
      <c r="AC113" s="182" t="s">
        <v>937</v>
      </c>
      <c r="AD113" s="172" t="s">
        <v>422</v>
      </c>
      <c r="AE113" s="172" t="s">
        <v>1112</v>
      </c>
      <c r="AF113" s="172" t="s">
        <v>672</v>
      </c>
      <c r="AG113" s="173">
        <v>110000</v>
      </c>
      <c r="AH113" s="174">
        <v>39938.031323655312</v>
      </c>
      <c r="AI113" s="175">
        <v>70061.968676344695</v>
      </c>
      <c r="AJ113" s="174">
        <v>29938.031323655312</v>
      </c>
      <c r="AK113" s="176">
        <v>10000</v>
      </c>
      <c r="AL113" s="184">
        <f t="shared" si="5"/>
        <v>70061.968676344695</v>
      </c>
      <c r="AN113" s="172">
        <v>10010031</v>
      </c>
      <c r="AO113" s="172" t="s">
        <v>1111</v>
      </c>
      <c r="AP113" s="172" t="s">
        <v>672</v>
      </c>
      <c r="AQ113" s="173">
        <v>110000</v>
      </c>
      <c r="AR113" s="174">
        <v>0</v>
      </c>
      <c r="AS113" s="175">
        <v>103548</v>
      </c>
      <c r="AT113" s="174"/>
      <c r="AU113" s="174"/>
      <c r="AV113" s="184">
        <f t="shared" si="3"/>
        <v>20000</v>
      </c>
      <c r="AW113" s="187">
        <v>44824</v>
      </c>
    </row>
    <row r="114" spans="1:49" x14ac:dyDescent="0.25">
      <c r="A114" s="4">
        <v>10540005</v>
      </c>
      <c r="B114" s="219">
        <v>348.52</v>
      </c>
      <c r="D114" s="203"/>
      <c r="E114" s="71">
        <v>10110019</v>
      </c>
      <c r="F114" s="42">
        <v>32000</v>
      </c>
      <c r="H114" s="199"/>
      <c r="I114" s="71">
        <v>10540047</v>
      </c>
      <c r="J114" s="68">
        <v>65000</v>
      </c>
      <c r="W114" s="41">
        <v>10120066</v>
      </c>
      <c r="X114">
        <v>500</v>
      </c>
      <c r="AC114" s="183" t="s">
        <v>938</v>
      </c>
      <c r="AD114" s="177" t="s">
        <v>707</v>
      </c>
      <c r="AE114" s="177" t="s">
        <v>1112</v>
      </c>
      <c r="AF114" s="177" t="s">
        <v>672</v>
      </c>
      <c r="AG114" s="178">
        <v>110000</v>
      </c>
      <c r="AH114" s="179">
        <v>98039.484533465715</v>
      </c>
      <c r="AI114" s="180">
        <v>11960.515466534285</v>
      </c>
      <c r="AJ114" s="179">
        <v>88039.484533465715</v>
      </c>
      <c r="AK114" s="181">
        <v>10000</v>
      </c>
      <c r="AL114" s="184">
        <f t="shared" si="5"/>
        <v>11960.515466534285</v>
      </c>
      <c r="AN114" s="172">
        <v>10100037</v>
      </c>
      <c r="AO114" s="172" t="s">
        <v>1112</v>
      </c>
      <c r="AP114" s="172" t="s">
        <v>672</v>
      </c>
      <c r="AQ114" s="173">
        <v>110000</v>
      </c>
      <c r="AR114" s="174">
        <v>0</v>
      </c>
      <c r="AS114" s="175">
        <v>71695.471268697962</v>
      </c>
      <c r="AT114" s="174"/>
      <c r="AU114" s="174">
        <v>10000</v>
      </c>
      <c r="AV114" s="184">
        <f t="shared" si="3"/>
        <v>10000</v>
      </c>
      <c r="AW114" s="188"/>
    </row>
    <row r="115" spans="1:49" x14ac:dyDescent="0.25">
      <c r="A115" s="4">
        <v>10540007</v>
      </c>
      <c r="B115" s="219">
        <v>955.25543080156103</v>
      </c>
      <c r="D115" s="201"/>
      <c r="E115" s="71">
        <v>9748</v>
      </c>
      <c r="F115" s="42">
        <v>12800</v>
      </c>
      <c r="H115" s="199"/>
      <c r="I115" s="71">
        <v>10560035</v>
      </c>
      <c r="J115" s="68">
        <v>75000</v>
      </c>
      <c r="W115" s="41">
        <v>10120072</v>
      </c>
      <c r="X115">
        <v>500</v>
      </c>
      <c r="AC115" s="182" t="s">
        <v>939</v>
      </c>
      <c r="AD115" s="172" t="s">
        <v>708</v>
      </c>
      <c r="AE115" s="172" t="s">
        <v>1111</v>
      </c>
      <c r="AF115" s="172" t="s">
        <v>672</v>
      </c>
      <c r="AG115" s="173">
        <v>110000</v>
      </c>
      <c r="AH115" s="174">
        <v>83611.86045389717</v>
      </c>
      <c r="AI115" s="175">
        <v>26388.13954610283</v>
      </c>
      <c r="AJ115" s="174">
        <v>58611.86045389717</v>
      </c>
      <c r="AK115" s="176">
        <v>0</v>
      </c>
      <c r="AL115" s="184">
        <f t="shared" si="5"/>
        <v>26388.13954610283</v>
      </c>
      <c r="AN115" s="177">
        <v>10140057</v>
      </c>
      <c r="AO115" s="177" t="s">
        <v>1112</v>
      </c>
      <c r="AP115" s="177" t="s">
        <v>672</v>
      </c>
      <c r="AQ115" s="178">
        <v>110000</v>
      </c>
      <c r="AR115" s="179">
        <v>0</v>
      </c>
      <c r="AS115" s="180">
        <v>94223.418000000005</v>
      </c>
      <c r="AT115" s="179"/>
      <c r="AU115" s="179">
        <v>10000</v>
      </c>
      <c r="AV115" s="184">
        <f t="shared" si="3"/>
        <v>10000</v>
      </c>
      <c r="AW115" s="187"/>
    </row>
    <row r="116" spans="1:49" x14ac:dyDescent="0.25">
      <c r="A116" s="4">
        <v>10560001</v>
      </c>
      <c r="B116" s="219">
        <v>5180.9389331355478</v>
      </c>
      <c r="D116" s="203"/>
      <c r="E116" s="71">
        <v>10110021</v>
      </c>
      <c r="F116" s="42">
        <v>3012.7274878963653</v>
      </c>
      <c r="H116" s="199"/>
      <c r="I116" s="71">
        <v>10560036</v>
      </c>
      <c r="J116" s="68">
        <v>71756.90602834677</v>
      </c>
      <c r="W116" s="41">
        <v>10120087</v>
      </c>
      <c r="X116">
        <v>500</v>
      </c>
      <c r="AC116" s="183" t="s">
        <v>940</v>
      </c>
      <c r="AD116" s="177" t="s">
        <v>709</v>
      </c>
      <c r="AE116" s="177" t="s">
        <v>1112</v>
      </c>
      <c r="AF116" s="177" t="s">
        <v>672</v>
      </c>
      <c r="AG116" s="178">
        <v>110000</v>
      </c>
      <c r="AH116" s="179">
        <v>40525</v>
      </c>
      <c r="AI116" s="180">
        <v>69475</v>
      </c>
      <c r="AJ116" s="179">
        <v>30525</v>
      </c>
      <c r="AK116" s="181">
        <v>10000</v>
      </c>
      <c r="AL116" s="184">
        <f t="shared" si="5"/>
        <v>69475</v>
      </c>
      <c r="AN116" s="177">
        <v>10060053</v>
      </c>
      <c r="AO116" s="177" t="s">
        <v>1111</v>
      </c>
      <c r="AP116" s="177" t="s">
        <v>672</v>
      </c>
      <c r="AQ116" s="178">
        <v>110000</v>
      </c>
      <c r="AR116" s="179">
        <v>0</v>
      </c>
      <c r="AS116" s="180">
        <v>102664.6096</v>
      </c>
      <c r="AT116" s="179"/>
      <c r="AU116" s="179"/>
      <c r="AV116" s="184">
        <f t="shared" si="3"/>
        <v>20000</v>
      </c>
      <c r="AW116" s="188">
        <v>44569</v>
      </c>
    </row>
    <row r="117" spans="1:49" x14ac:dyDescent="0.25">
      <c r="A117" s="4">
        <v>10010005</v>
      </c>
      <c r="B117" s="219">
        <v>660</v>
      </c>
      <c r="D117" s="204"/>
      <c r="E117" s="71">
        <v>10110020</v>
      </c>
      <c r="F117" s="42">
        <v>35200</v>
      </c>
      <c r="H117" s="199"/>
      <c r="I117" s="71">
        <v>10560037</v>
      </c>
      <c r="J117" s="68">
        <v>73139</v>
      </c>
      <c r="W117" s="41">
        <v>10130022</v>
      </c>
      <c r="X117">
        <v>500</v>
      </c>
      <c r="AC117" s="182" t="s">
        <v>941</v>
      </c>
      <c r="AD117" s="172" t="s">
        <v>355</v>
      </c>
      <c r="AE117" s="172" t="s">
        <v>1112</v>
      </c>
      <c r="AF117" s="172" t="s">
        <v>672</v>
      </c>
      <c r="AG117" s="173">
        <v>64000</v>
      </c>
      <c r="AH117" s="174">
        <v>55010.996688510975</v>
      </c>
      <c r="AI117" s="175">
        <v>8989.0033114890248</v>
      </c>
      <c r="AJ117" s="174">
        <v>45010.996688510975</v>
      </c>
      <c r="AK117" s="176">
        <v>10000</v>
      </c>
      <c r="AL117" s="184">
        <f t="shared" si="4"/>
        <v>55010.996688510975</v>
      </c>
      <c r="AN117" s="172">
        <v>10480013</v>
      </c>
      <c r="AO117" s="172" t="s">
        <v>1111</v>
      </c>
      <c r="AP117" s="172" t="s">
        <v>672</v>
      </c>
      <c r="AQ117" s="173">
        <v>110000</v>
      </c>
      <c r="AR117" s="174">
        <v>0</v>
      </c>
      <c r="AS117" s="175">
        <v>108321.92</v>
      </c>
      <c r="AT117" s="174"/>
      <c r="AU117" s="174"/>
      <c r="AV117" s="184">
        <f t="shared" si="3"/>
        <v>20000</v>
      </c>
      <c r="AW117" s="187"/>
    </row>
    <row r="118" spans="1:49" x14ac:dyDescent="0.25">
      <c r="A118" s="4">
        <v>10010008</v>
      </c>
      <c r="B118" s="219">
        <v>192</v>
      </c>
      <c r="D118" s="204"/>
      <c r="E118" s="71">
        <v>10110018</v>
      </c>
      <c r="F118" s="42">
        <v>6400</v>
      </c>
      <c r="H118" s="199"/>
      <c r="I118" s="71">
        <v>10630013</v>
      </c>
      <c r="J118" s="68">
        <v>85000</v>
      </c>
      <c r="W118" s="41">
        <v>10130032</v>
      </c>
      <c r="X118">
        <v>500</v>
      </c>
      <c r="AC118" s="183" t="s">
        <v>942</v>
      </c>
      <c r="AD118" s="177" t="s">
        <v>327</v>
      </c>
      <c r="AE118" s="177" t="s">
        <v>1112</v>
      </c>
      <c r="AF118" s="177" t="s">
        <v>672</v>
      </c>
      <c r="AG118" s="178">
        <v>110000</v>
      </c>
      <c r="AH118" s="179">
        <v>61152.467621523334</v>
      </c>
      <c r="AI118" s="180">
        <v>48847.532378476666</v>
      </c>
      <c r="AJ118" s="179">
        <v>51152.467621523334</v>
      </c>
      <c r="AK118" s="181">
        <v>10000</v>
      </c>
      <c r="AL118" s="184">
        <f t="shared" ref="AL118:AL181" si="6">AG118-AH118</f>
        <v>48847.532378476666</v>
      </c>
      <c r="AN118" s="177">
        <v>10140095</v>
      </c>
      <c r="AO118" s="177" t="s">
        <v>1111</v>
      </c>
      <c r="AP118" s="177" t="s">
        <v>672</v>
      </c>
      <c r="AQ118" s="178">
        <v>110000</v>
      </c>
      <c r="AR118" s="179">
        <v>0</v>
      </c>
      <c r="AS118" s="180">
        <v>95189</v>
      </c>
      <c r="AT118" s="179"/>
      <c r="AU118" s="179"/>
      <c r="AV118" s="184">
        <f t="shared" si="3"/>
        <v>20000</v>
      </c>
      <c r="AW118" s="188">
        <v>44824</v>
      </c>
    </row>
    <row r="119" spans="1:49" x14ac:dyDescent="0.25">
      <c r="A119" s="4">
        <v>10010009</v>
      </c>
      <c r="B119" s="219">
        <v>408</v>
      </c>
      <c r="D119" s="204"/>
      <c r="E119" s="71">
        <v>10110017</v>
      </c>
      <c r="F119" s="42">
        <v>6400</v>
      </c>
      <c r="H119" s="199"/>
      <c r="I119" s="71">
        <v>10630014</v>
      </c>
      <c r="J119" s="68">
        <v>85000</v>
      </c>
      <c r="W119" s="41">
        <v>10130034</v>
      </c>
      <c r="X119">
        <v>500</v>
      </c>
      <c r="AC119" s="182" t="s">
        <v>943</v>
      </c>
      <c r="AD119" s="172" t="s">
        <v>710</v>
      </c>
      <c r="AE119" s="172" t="s">
        <v>1112</v>
      </c>
      <c r="AF119" s="172" t="s">
        <v>672</v>
      </c>
      <c r="AG119" s="173">
        <v>64000</v>
      </c>
      <c r="AH119" s="174">
        <v>42492.082599999994</v>
      </c>
      <c r="AI119" s="175">
        <v>21507.917400000006</v>
      </c>
      <c r="AJ119" s="174">
        <v>32492.082599999998</v>
      </c>
      <c r="AK119" s="176">
        <v>10000</v>
      </c>
      <c r="AL119" s="184">
        <f t="shared" si="6"/>
        <v>21507.917400000006</v>
      </c>
      <c r="AN119" s="172">
        <v>10140094</v>
      </c>
      <c r="AO119" s="172" t="s">
        <v>1112</v>
      </c>
      <c r="AP119" s="172" t="s">
        <v>672</v>
      </c>
      <c r="AQ119" s="173">
        <v>110000</v>
      </c>
      <c r="AR119" s="174">
        <v>0</v>
      </c>
      <c r="AS119" s="175">
        <v>98949</v>
      </c>
      <c r="AT119" s="174"/>
      <c r="AU119" s="174">
        <v>10000</v>
      </c>
      <c r="AV119" s="184">
        <f t="shared" si="3"/>
        <v>10000</v>
      </c>
      <c r="AW119" s="187">
        <v>45520</v>
      </c>
    </row>
    <row r="120" spans="1:49" x14ac:dyDescent="0.25">
      <c r="A120" s="4">
        <v>10010014</v>
      </c>
      <c r="B120" s="219">
        <v>408</v>
      </c>
      <c r="D120" s="204"/>
      <c r="E120" s="71">
        <v>10110022</v>
      </c>
      <c r="F120" s="42">
        <v>6400</v>
      </c>
      <c r="H120" s="199"/>
      <c r="I120" s="71">
        <v>10650001</v>
      </c>
      <c r="J120" s="68">
        <v>64095</v>
      </c>
      <c r="W120" s="41">
        <v>10130048</v>
      </c>
      <c r="X120">
        <v>500</v>
      </c>
      <c r="AC120" s="183" t="s">
        <v>831</v>
      </c>
      <c r="AD120" s="177" t="s">
        <v>711</v>
      </c>
      <c r="AE120" s="177" t="s">
        <v>1112</v>
      </c>
      <c r="AF120" s="177" t="s">
        <v>672</v>
      </c>
      <c r="AG120" s="178">
        <v>64000</v>
      </c>
      <c r="AH120" s="179">
        <v>11118</v>
      </c>
      <c r="AI120" s="180">
        <v>52882</v>
      </c>
      <c r="AJ120" s="179">
        <v>1118</v>
      </c>
      <c r="AK120" s="181">
        <v>10000</v>
      </c>
      <c r="AL120" s="184">
        <f t="shared" si="6"/>
        <v>52882</v>
      </c>
      <c r="AN120" s="177">
        <v>10140048</v>
      </c>
      <c r="AO120" s="177" t="s">
        <v>1111</v>
      </c>
      <c r="AP120" s="177" t="s">
        <v>672</v>
      </c>
      <c r="AQ120" s="178">
        <v>110000</v>
      </c>
      <c r="AR120" s="179">
        <v>0</v>
      </c>
      <c r="AS120" s="180">
        <v>83290.069022970609</v>
      </c>
      <c r="AT120" s="179"/>
      <c r="AU120" s="179"/>
      <c r="AV120" s="184">
        <f t="shared" si="3"/>
        <v>20000</v>
      </c>
      <c r="AW120" s="188">
        <v>45520</v>
      </c>
    </row>
    <row r="121" spans="1:49" x14ac:dyDescent="0.25">
      <c r="A121" s="4">
        <v>10010015</v>
      </c>
      <c r="B121" s="219">
        <v>408</v>
      </c>
      <c r="D121" s="205"/>
      <c r="E121" s="71">
        <v>10110046</v>
      </c>
      <c r="F121" s="42">
        <v>6400</v>
      </c>
      <c r="H121" s="199"/>
      <c r="I121" s="71">
        <v>10650003</v>
      </c>
      <c r="J121" s="68">
        <v>59893.270895980997</v>
      </c>
      <c r="W121" s="41">
        <v>10130053</v>
      </c>
      <c r="X121">
        <v>500</v>
      </c>
      <c r="AC121" s="182" t="s">
        <v>944</v>
      </c>
      <c r="AD121" s="172" t="s">
        <v>429</v>
      </c>
      <c r="AE121" s="172" t="s">
        <v>1112</v>
      </c>
      <c r="AF121" s="172" t="s">
        <v>672</v>
      </c>
      <c r="AG121" s="173">
        <v>110000</v>
      </c>
      <c r="AH121" s="174">
        <v>32394.793073517827</v>
      </c>
      <c r="AI121" s="175">
        <v>77605.206926482177</v>
      </c>
      <c r="AJ121" s="174">
        <v>22394.793073517827</v>
      </c>
      <c r="AK121" s="176">
        <v>10000</v>
      </c>
      <c r="AL121" s="184">
        <f t="shared" si="6"/>
        <v>77605.206926482177</v>
      </c>
      <c r="AN121" s="172">
        <v>10030016</v>
      </c>
      <c r="AO121" s="172" t="s">
        <v>1112</v>
      </c>
      <c r="AP121" s="172" t="s">
        <v>672</v>
      </c>
      <c r="AQ121" s="173">
        <v>110000</v>
      </c>
      <c r="AR121" s="174">
        <v>0</v>
      </c>
      <c r="AS121" s="175">
        <v>44173.003770421099</v>
      </c>
      <c r="AT121" s="174"/>
      <c r="AU121" s="174">
        <v>10000</v>
      </c>
      <c r="AV121" s="184">
        <f t="shared" si="3"/>
        <v>10000</v>
      </c>
      <c r="AW121" s="187">
        <v>44772</v>
      </c>
    </row>
    <row r="122" spans="1:49" x14ac:dyDescent="0.25">
      <c r="A122" s="4">
        <v>10010016</v>
      </c>
      <c r="B122" s="219">
        <v>250</v>
      </c>
      <c r="D122" s="205"/>
      <c r="E122" s="71">
        <v>10110023</v>
      </c>
      <c r="F122" s="42">
        <v>6400</v>
      </c>
      <c r="H122" s="199"/>
      <c r="I122" s="71">
        <v>10650004</v>
      </c>
      <c r="J122" s="68">
        <v>68104.783824751197</v>
      </c>
      <c r="W122" s="41">
        <v>10130055</v>
      </c>
      <c r="X122">
        <v>500</v>
      </c>
      <c r="AC122" s="183" t="s">
        <v>945</v>
      </c>
      <c r="AD122" s="177" t="s">
        <v>435</v>
      </c>
      <c r="AE122" s="177" t="s">
        <v>1112</v>
      </c>
      <c r="AF122" s="177" t="s">
        <v>672</v>
      </c>
      <c r="AG122" s="178">
        <v>110000</v>
      </c>
      <c r="AH122" s="179">
        <v>43955.765454453162</v>
      </c>
      <c r="AI122" s="180">
        <v>66044.234545546846</v>
      </c>
      <c r="AJ122" s="179">
        <v>33955.765454453162</v>
      </c>
      <c r="AK122" s="181">
        <v>10000</v>
      </c>
      <c r="AL122" s="184">
        <f t="shared" si="6"/>
        <v>66044.234545546846</v>
      </c>
      <c r="AN122" s="177">
        <v>10140078</v>
      </c>
      <c r="AO122" s="177" t="s">
        <v>1112</v>
      </c>
      <c r="AP122" s="177" t="s">
        <v>672</v>
      </c>
      <c r="AQ122" s="178">
        <v>110000</v>
      </c>
      <c r="AR122" s="179">
        <v>0</v>
      </c>
      <c r="AS122" s="180">
        <v>81785.638003422442</v>
      </c>
      <c r="AT122" s="179"/>
      <c r="AU122" s="179">
        <v>5000</v>
      </c>
      <c r="AV122" s="184">
        <f t="shared" si="3"/>
        <v>15000</v>
      </c>
      <c r="AW122" s="188">
        <v>44947</v>
      </c>
    </row>
    <row r="123" spans="1:49" x14ac:dyDescent="0.25">
      <c r="A123" s="4">
        <v>10010018</v>
      </c>
      <c r="B123" s="219">
        <v>408</v>
      </c>
      <c r="D123" s="205"/>
      <c r="E123" s="71">
        <v>10110024</v>
      </c>
      <c r="F123" s="42">
        <v>2657.8339727615999</v>
      </c>
      <c r="H123" s="199"/>
      <c r="I123" s="71">
        <v>10650005</v>
      </c>
      <c r="J123" s="68">
        <v>85000</v>
      </c>
      <c r="W123" s="41">
        <v>10140001</v>
      </c>
      <c r="X123">
        <v>500</v>
      </c>
      <c r="AC123" s="182" t="s">
        <v>831</v>
      </c>
      <c r="AD123" s="172" t="s">
        <v>712</v>
      </c>
      <c r="AE123" s="172" t="s">
        <v>1112</v>
      </c>
      <c r="AF123" s="172" t="s">
        <v>672</v>
      </c>
      <c r="AG123" s="173">
        <v>64000</v>
      </c>
      <c r="AH123" s="174">
        <v>13023</v>
      </c>
      <c r="AI123" s="175">
        <v>50977</v>
      </c>
      <c r="AJ123" s="174">
        <v>3023</v>
      </c>
      <c r="AK123" s="176">
        <v>10000</v>
      </c>
      <c r="AL123" s="184">
        <f t="shared" si="6"/>
        <v>50977</v>
      </c>
      <c r="AN123" s="172">
        <v>10100036</v>
      </c>
      <c r="AO123" s="172" t="s">
        <v>1111</v>
      </c>
      <c r="AP123" s="172" t="s">
        <v>672</v>
      </c>
      <c r="AQ123" s="173">
        <v>110000</v>
      </c>
      <c r="AR123" s="174">
        <v>0</v>
      </c>
      <c r="AS123" s="175">
        <v>97106.5702279088</v>
      </c>
      <c r="AT123" s="174"/>
      <c r="AU123" s="174"/>
      <c r="AV123" s="184">
        <f t="shared" si="3"/>
        <v>20000</v>
      </c>
      <c r="AW123" s="187"/>
    </row>
    <row r="124" spans="1:49" x14ac:dyDescent="0.25">
      <c r="A124" s="4">
        <v>10010029</v>
      </c>
      <c r="B124" s="219">
        <v>508</v>
      </c>
      <c r="D124" s="205"/>
      <c r="E124" s="71">
        <v>10480004</v>
      </c>
      <c r="F124" s="42">
        <v>6400</v>
      </c>
      <c r="H124" s="199"/>
      <c r="I124" s="71">
        <v>10640001</v>
      </c>
      <c r="J124" s="68">
        <v>61187.030706783116</v>
      </c>
      <c r="W124" s="41">
        <v>10140006</v>
      </c>
      <c r="X124">
        <v>500</v>
      </c>
      <c r="AC124" s="183" t="s">
        <v>946</v>
      </c>
      <c r="AD124" s="177" t="s">
        <v>284</v>
      </c>
      <c r="AE124" s="177" t="s">
        <v>1112</v>
      </c>
      <c r="AF124" s="177" t="s">
        <v>672</v>
      </c>
      <c r="AG124" s="178">
        <v>110000</v>
      </c>
      <c r="AH124" s="179">
        <v>87555.572207406731</v>
      </c>
      <c r="AI124" s="180">
        <v>22444.427792593269</v>
      </c>
      <c r="AJ124" s="179">
        <v>77555.572207406731</v>
      </c>
      <c r="AK124" s="181">
        <v>10000</v>
      </c>
      <c r="AL124" s="184">
        <f t="shared" si="6"/>
        <v>22444.427792593269</v>
      </c>
      <c r="AN124" s="172">
        <v>10080084</v>
      </c>
      <c r="AO124" s="172" t="s">
        <v>1112</v>
      </c>
      <c r="AP124" s="172" t="s">
        <v>672</v>
      </c>
      <c r="AQ124" s="173">
        <v>110000</v>
      </c>
      <c r="AR124" s="174">
        <v>0</v>
      </c>
      <c r="AS124" s="175">
        <v>92898.085376810355</v>
      </c>
      <c r="AT124" s="174"/>
      <c r="AU124" s="174">
        <v>15000</v>
      </c>
      <c r="AV124" s="184">
        <f t="shared" si="3"/>
        <v>5000</v>
      </c>
      <c r="AW124" s="188">
        <v>44631</v>
      </c>
    </row>
    <row r="125" spans="1:49" x14ac:dyDescent="0.25">
      <c r="A125" s="4">
        <v>10010033</v>
      </c>
      <c r="B125" s="219">
        <v>408</v>
      </c>
      <c r="D125" s="205"/>
      <c r="E125" s="71">
        <v>10480005</v>
      </c>
      <c r="F125" s="42">
        <v>6793.08712399872</v>
      </c>
      <c r="H125" s="199"/>
      <c r="I125" s="71">
        <v>10640002</v>
      </c>
      <c r="J125" s="68">
        <v>80000</v>
      </c>
      <c r="W125" s="41">
        <v>10140010</v>
      </c>
      <c r="X125">
        <v>500</v>
      </c>
      <c r="AC125" s="182" t="s">
        <v>947</v>
      </c>
      <c r="AD125" s="172" t="s">
        <v>114</v>
      </c>
      <c r="AE125" s="172" t="s">
        <v>1112</v>
      </c>
      <c r="AF125" s="172" t="s">
        <v>672</v>
      </c>
      <c r="AG125" s="173">
        <v>110000</v>
      </c>
      <c r="AH125" s="174">
        <v>48193.087281816799</v>
      </c>
      <c r="AI125" s="175">
        <v>61806.912718183201</v>
      </c>
      <c r="AJ125" s="174">
        <v>38193.087281816799</v>
      </c>
      <c r="AK125" s="176">
        <v>10000</v>
      </c>
      <c r="AL125" s="184">
        <f t="shared" si="6"/>
        <v>61806.912718183201</v>
      </c>
      <c r="AN125" s="177">
        <v>10130055</v>
      </c>
      <c r="AO125" s="177" t="s">
        <v>1112</v>
      </c>
      <c r="AP125" s="177" t="s">
        <v>672</v>
      </c>
      <c r="AQ125" s="178">
        <v>110000</v>
      </c>
      <c r="AR125" s="179">
        <v>0</v>
      </c>
      <c r="AS125" s="180">
        <v>83114</v>
      </c>
      <c r="AT125" s="179"/>
      <c r="AU125" s="179">
        <v>10000</v>
      </c>
      <c r="AV125" s="184">
        <f t="shared" si="3"/>
        <v>10000</v>
      </c>
      <c r="AW125" s="187">
        <v>44631</v>
      </c>
    </row>
    <row r="126" spans="1:49" x14ac:dyDescent="0.25">
      <c r="A126" s="4">
        <v>10010034</v>
      </c>
      <c r="B126" s="219">
        <v>460</v>
      </c>
      <c r="D126" s="205"/>
      <c r="E126" s="71">
        <v>10480006</v>
      </c>
      <c r="F126" s="42">
        <v>19200</v>
      </c>
      <c r="H126" s="199"/>
      <c r="I126" s="71">
        <v>10640003</v>
      </c>
      <c r="J126" s="68">
        <v>59994.321628631398</v>
      </c>
      <c r="W126" s="41">
        <v>10140020</v>
      </c>
      <c r="X126">
        <v>500</v>
      </c>
      <c r="AC126" s="183" t="s">
        <v>948</v>
      </c>
      <c r="AD126" s="177" t="s">
        <v>713</v>
      </c>
      <c r="AE126" s="177" t="s">
        <v>1112</v>
      </c>
      <c r="AF126" s="177" t="s">
        <v>672</v>
      </c>
      <c r="AG126" s="178">
        <v>110000</v>
      </c>
      <c r="AH126" s="179">
        <v>48961.935967015685</v>
      </c>
      <c r="AI126" s="180">
        <v>61038.064032984315</v>
      </c>
      <c r="AJ126" s="179">
        <v>38961.935967015685</v>
      </c>
      <c r="AK126" s="181">
        <v>10000</v>
      </c>
      <c r="AL126" s="184">
        <f t="shared" si="6"/>
        <v>61038.064032984315</v>
      </c>
      <c r="AN126" s="172">
        <v>10120042</v>
      </c>
      <c r="AO126" s="172" t="s">
        <v>1112</v>
      </c>
      <c r="AP126" s="172" t="s">
        <v>672</v>
      </c>
      <c r="AQ126" s="173">
        <v>110000</v>
      </c>
      <c r="AR126" s="174">
        <v>0</v>
      </c>
      <c r="AS126" s="175">
        <v>76384</v>
      </c>
      <c r="AT126" s="174"/>
      <c r="AU126" s="174">
        <v>5000</v>
      </c>
      <c r="AV126" s="184">
        <f t="shared" si="3"/>
        <v>15000</v>
      </c>
      <c r="AW126" s="188">
        <v>44631</v>
      </c>
    </row>
    <row r="127" spans="1:49" x14ac:dyDescent="0.25">
      <c r="A127" s="4">
        <v>10010035</v>
      </c>
      <c r="B127" s="219">
        <v>20</v>
      </c>
      <c r="D127" s="206"/>
      <c r="E127" s="71">
        <v>10480007</v>
      </c>
      <c r="F127" s="42">
        <v>6400</v>
      </c>
      <c r="H127" s="199"/>
      <c r="I127" s="71">
        <v>10640004</v>
      </c>
      <c r="J127" s="68">
        <v>75000</v>
      </c>
      <c r="W127" s="41">
        <v>10140022</v>
      </c>
      <c r="X127">
        <v>500</v>
      </c>
      <c r="AC127" s="182" t="s">
        <v>949</v>
      </c>
      <c r="AD127" s="172" t="s">
        <v>119</v>
      </c>
      <c r="AE127" s="172" t="s">
        <v>1112</v>
      </c>
      <c r="AF127" s="172" t="s">
        <v>672</v>
      </c>
      <c r="AG127" s="173">
        <v>110000</v>
      </c>
      <c r="AH127" s="174">
        <v>58520.673600000002</v>
      </c>
      <c r="AI127" s="175">
        <v>51479.326399999998</v>
      </c>
      <c r="AJ127" s="174">
        <v>48520.673600000002</v>
      </c>
      <c r="AK127" s="176">
        <v>10000</v>
      </c>
      <c r="AL127" s="184">
        <f t="shared" si="6"/>
        <v>51479.326399999998</v>
      </c>
      <c r="AN127" s="177">
        <v>10120043</v>
      </c>
      <c r="AO127" s="177" t="s">
        <v>1112</v>
      </c>
      <c r="AP127" s="177" t="s">
        <v>672</v>
      </c>
      <c r="AQ127" s="178">
        <v>110000</v>
      </c>
      <c r="AR127" s="179">
        <v>0</v>
      </c>
      <c r="AS127" s="180">
        <v>70975.160600000003</v>
      </c>
      <c r="AT127" s="179"/>
      <c r="AU127" s="179">
        <v>10000</v>
      </c>
      <c r="AV127" s="184">
        <f t="shared" si="3"/>
        <v>10000</v>
      </c>
      <c r="AW127" s="187">
        <v>44631</v>
      </c>
    </row>
    <row r="128" spans="1:49" x14ac:dyDescent="0.25">
      <c r="A128" s="4">
        <v>10010039</v>
      </c>
      <c r="B128" s="219">
        <v>608</v>
      </c>
      <c r="D128" s="206"/>
      <c r="E128" s="71">
        <v>10480008</v>
      </c>
      <c r="F128" s="42">
        <v>15638.113473057279</v>
      </c>
      <c r="H128" s="199"/>
      <c r="I128" s="71">
        <v>10640005</v>
      </c>
      <c r="J128" s="68">
        <v>80000</v>
      </c>
      <c r="W128" s="41">
        <v>10140027</v>
      </c>
      <c r="X128">
        <v>500</v>
      </c>
      <c r="AC128" s="183" t="s">
        <v>950</v>
      </c>
      <c r="AD128" s="177" t="s">
        <v>714</v>
      </c>
      <c r="AE128" s="177" t="s">
        <v>1111</v>
      </c>
      <c r="AF128" s="177" t="s">
        <v>672</v>
      </c>
      <c r="AG128" s="178">
        <v>110000</v>
      </c>
      <c r="AH128" s="179">
        <v>59472.98698197247</v>
      </c>
      <c r="AI128" s="180">
        <v>50527.01301802753</v>
      </c>
      <c r="AJ128" s="179">
        <v>59472.98698197247</v>
      </c>
      <c r="AK128" s="176">
        <v>0</v>
      </c>
      <c r="AL128" s="184">
        <f t="shared" si="6"/>
        <v>50527.01301802753</v>
      </c>
      <c r="AN128" s="172">
        <v>10120044</v>
      </c>
      <c r="AO128" s="172" t="s">
        <v>1112</v>
      </c>
      <c r="AP128" s="172" t="s">
        <v>672</v>
      </c>
      <c r="AQ128" s="173">
        <v>110000</v>
      </c>
      <c r="AR128" s="174">
        <v>0</v>
      </c>
      <c r="AS128" s="175">
        <v>90372.556400000001</v>
      </c>
      <c r="AT128" s="174"/>
      <c r="AU128" s="174">
        <v>10000</v>
      </c>
      <c r="AV128" s="184">
        <f t="shared" si="3"/>
        <v>10000</v>
      </c>
      <c r="AW128" s="188">
        <v>45007</v>
      </c>
    </row>
    <row r="129" spans="1:49" x14ac:dyDescent="0.25">
      <c r="A129" s="4">
        <v>10010043</v>
      </c>
      <c r="B129" s="219">
        <v>460</v>
      </c>
      <c r="D129" s="206"/>
      <c r="E129" s="71">
        <v>10110026</v>
      </c>
      <c r="F129" s="42">
        <v>6400</v>
      </c>
      <c r="H129" s="199"/>
      <c r="I129" s="71">
        <v>10640006</v>
      </c>
      <c r="J129" s="68">
        <v>79362</v>
      </c>
      <c r="W129" s="41">
        <v>10140030</v>
      </c>
      <c r="X129">
        <v>500</v>
      </c>
      <c r="AC129" s="182" t="s">
        <v>951</v>
      </c>
      <c r="AD129" s="172" t="s">
        <v>715</v>
      </c>
      <c r="AE129" s="172" t="s">
        <v>1112</v>
      </c>
      <c r="AF129" s="172" t="s">
        <v>672</v>
      </c>
      <c r="AG129" s="173">
        <v>110000</v>
      </c>
      <c r="AH129" s="174">
        <v>51298.227800000001</v>
      </c>
      <c r="AI129" s="175">
        <v>58701.772199999999</v>
      </c>
      <c r="AJ129" s="174">
        <v>41298.227800000001</v>
      </c>
      <c r="AK129" s="176">
        <v>10000</v>
      </c>
      <c r="AL129" s="184">
        <f t="shared" si="6"/>
        <v>58701.772199999999</v>
      </c>
      <c r="AN129" s="177">
        <v>10120045</v>
      </c>
      <c r="AO129" s="177" t="s">
        <v>1112</v>
      </c>
      <c r="AP129" s="177" t="s">
        <v>672</v>
      </c>
      <c r="AQ129" s="178">
        <v>110000</v>
      </c>
      <c r="AR129" s="179">
        <v>0</v>
      </c>
      <c r="AS129" s="180">
        <v>100000</v>
      </c>
      <c r="AT129" s="179"/>
      <c r="AU129" s="179">
        <v>10000</v>
      </c>
      <c r="AV129" s="184">
        <f t="shared" si="3"/>
        <v>10000</v>
      </c>
      <c r="AW129" s="187"/>
    </row>
    <row r="130" spans="1:49" x14ac:dyDescent="0.25">
      <c r="A130" s="4">
        <v>10010052</v>
      </c>
      <c r="B130" s="219">
        <v>508</v>
      </c>
      <c r="D130" s="206"/>
      <c r="E130" s="71">
        <v>10120028</v>
      </c>
      <c r="F130" s="42">
        <v>12758</v>
      </c>
      <c r="H130" s="199"/>
      <c r="I130" s="71">
        <v>10080126</v>
      </c>
      <c r="J130" s="68">
        <v>65000</v>
      </c>
      <c r="W130" s="41">
        <v>10140035</v>
      </c>
      <c r="X130">
        <v>500</v>
      </c>
      <c r="AC130" s="183" t="s">
        <v>952</v>
      </c>
      <c r="AD130" s="177" t="s">
        <v>716</v>
      </c>
      <c r="AE130" s="177" t="s">
        <v>1112</v>
      </c>
      <c r="AF130" s="177" t="s">
        <v>672</v>
      </c>
      <c r="AG130" s="178">
        <v>110000</v>
      </c>
      <c r="AH130" s="179">
        <v>37917.762199999997</v>
      </c>
      <c r="AI130" s="180">
        <v>72082.237800000003</v>
      </c>
      <c r="AJ130" s="179">
        <v>27917.762199999997</v>
      </c>
      <c r="AK130" s="181">
        <v>10000</v>
      </c>
      <c r="AL130" s="184">
        <f t="shared" si="6"/>
        <v>72082.237800000003</v>
      </c>
      <c r="AN130" s="177">
        <v>10060114</v>
      </c>
      <c r="AO130" s="177" t="s">
        <v>1112</v>
      </c>
      <c r="AP130" s="177" t="s">
        <v>672</v>
      </c>
      <c r="AQ130" s="178">
        <v>110000</v>
      </c>
      <c r="AR130" s="179">
        <v>0</v>
      </c>
      <c r="AS130" s="180">
        <v>94784</v>
      </c>
      <c r="AT130" s="179"/>
      <c r="AU130" s="179">
        <v>14000</v>
      </c>
      <c r="AV130" s="184">
        <f t="shared" si="3"/>
        <v>6000</v>
      </c>
      <c r="AW130" s="188"/>
    </row>
    <row r="131" spans="1:49" x14ac:dyDescent="0.25">
      <c r="A131" s="4">
        <v>10010054</v>
      </c>
      <c r="B131" s="219">
        <v>660</v>
      </c>
      <c r="D131" s="206"/>
      <c r="E131" s="71">
        <v>10120029</v>
      </c>
      <c r="F131" s="42">
        <v>8223.3894584422014</v>
      </c>
      <c r="H131" s="199"/>
      <c r="I131" s="71">
        <v>10010142</v>
      </c>
      <c r="J131" s="68">
        <v>65000</v>
      </c>
      <c r="W131" s="41">
        <v>10140037</v>
      </c>
      <c r="X131">
        <v>500</v>
      </c>
      <c r="AC131" s="182" t="s">
        <v>953</v>
      </c>
      <c r="AD131" s="172" t="s">
        <v>717</v>
      </c>
      <c r="AE131" s="172" t="s">
        <v>1111</v>
      </c>
      <c r="AF131" s="172" t="s">
        <v>672</v>
      </c>
      <c r="AG131" s="173">
        <v>110000</v>
      </c>
      <c r="AH131" s="174">
        <v>79460.976497996802</v>
      </c>
      <c r="AI131" s="175">
        <v>30539.023502003198</v>
      </c>
      <c r="AJ131" s="174">
        <v>54460.976497996802</v>
      </c>
      <c r="AK131" s="176">
        <v>0</v>
      </c>
      <c r="AL131" s="184">
        <f t="shared" si="6"/>
        <v>30539.023502003198</v>
      </c>
      <c r="AN131" s="172">
        <v>10090066</v>
      </c>
      <c r="AO131" s="172" t="s">
        <v>1112</v>
      </c>
      <c r="AP131" s="172" t="s">
        <v>672</v>
      </c>
      <c r="AQ131" s="173">
        <v>110000</v>
      </c>
      <c r="AR131" s="174">
        <v>0</v>
      </c>
      <c r="AS131" s="175">
        <v>100000</v>
      </c>
      <c r="AT131" s="174"/>
      <c r="AU131" s="174">
        <v>10000</v>
      </c>
      <c r="AV131" s="184">
        <f t="shared" si="3"/>
        <v>10000</v>
      </c>
      <c r="AW131" s="187">
        <v>44810</v>
      </c>
    </row>
    <row r="132" spans="1:49" x14ac:dyDescent="0.25">
      <c r="A132" s="4">
        <v>10010060</v>
      </c>
      <c r="B132" s="219">
        <v>408</v>
      </c>
      <c r="D132" s="206"/>
      <c r="E132" s="71">
        <v>10120030</v>
      </c>
      <c r="F132" s="42">
        <v>15002.6684822721</v>
      </c>
      <c r="H132" s="199"/>
      <c r="I132" s="71">
        <v>10580022</v>
      </c>
      <c r="J132" s="68">
        <v>83568</v>
      </c>
      <c r="W132" s="41">
        <v>10140038</v>
      </c>
      <c r="X132">
        <v>500</v>
      </c>
      <c r="AC132" s="183" t="s">
        <v>954</v>
      </c>
      <c r="AD132" s="177" t="s">
        <v>718</v>
      </c>
      <c r="AE132" s="177" t="s">
        <v>1112</v>
      </c>
      <c r="AF132" s="177" t="s">
        <v>672</v>
      </c>
      <c r="AG132" s="178">
        <v>110000</v>
      </c>
      <c r="AH132" s="179">
        <v>75482.336791268739</v>
      </c>
      <c r="AI132" s="180">
        <v>34517.663208731261</v>
      </c>
      <c r="AJ132" s="179">
        <v>65482.336791268739</v>
      </c>
      <c r="AK132" s="181">
        <v>10000</v>
      </c>
      <c r="AL132" s="184">
        <f t="shared" si="6"/>
        <v>34517.663208731261</v>
      </c>
      <c r="AN132" s="177">
        <v>10090067</v>
      </c>
      <c r="AO132" s="177" t="s">
        <v>1111</v>
      </c>
      <c r="AP132" s="177" t="s">
        <v>672</v>
      </c>
      <c r="AQ132" s="178">
        <v>110000</v>
      </c>
      <c r="AR132" s="179">
        <v>0</v>
      </c>
      <c r="AS132" s="180">
        <v>110000</v>
      </c>
      <c r="AT132" s="179"/>
      <c r="AU132" s="179"/>
      <c r="AV132" s="184">
        <f t="shared" ref="AV132:AV133" si="7">20000-AU132-AR132</f>
        <v>20000</v>
      </c>
      <c r="AW132" s="188"/>
    </row>
    <row r="133" spans="1:49" x14ac:dyDescent="0.25">
      <c r="A133" s="4">
        <v>10010061</v>
      </c>
      <c r="B133" s="219">
        <v>408</v>
      </c>
      <c r="D133" s="206"/>
      <c r="E133" s="71">
        <v>10130019</v>
      </c>
      <c r="F133" s="42">
        <v>16000</v>
      </c>
      <c r="H133" s="199"/>
      <c r="I133" s="71">
        <v>10590011</v>
      </c>
      <c r="J133" s="68">
        <v>62406.673399609062</v>
      </c>
      <c r="W133" s="41">
        <v>10140043</v>
      </c>
      <c r="X133">
        <v>500</v>
      </c>
      <c r="AC133" s="182" t="s">
        <v>955</v>
      </c>
      <c r="AD133" s="172" t="s">
        <v>719</v>
      </c>
      <c r="AE133" s="172" t="s">
        <v>1112</v>
      </c>
      <c r="AF133" s="172" t="s">
        <v>672</v>
      </c>
      <c r="AG133" s="173">
        <v>110000</v>
      </c>
      <c r="AH133" s="174">
        <v>48084.845638791303</v>
      </c>
      <c r="AI133" s="175">
        <v>61915.154361208697</v>
      </c>
      <c r="AJ133" s="174">
        <v>38084.845638791303</v>
      </c>
      <c r="AK133" s="176">
        <v>10000</v>
      </c>
      <c r="AL133" s="184">
        <f t="shared" si="6"/>
        <v>61915.154361208697</v>
      </c>
      <c r="AN133" s="172">
        <v>10100050</v>
      </c>
      <c r="AO133" s="172" t="s">
        <v>1111</v>
      </c>
      <c r="AP133" s="172" t="s">
        <v>672</v>
      </c>
      <c r="AQ133" s="173">
        <v>110000</v>
      </c>
      <c r="AR133" s="174">
        <v>0</v>
      </c>
      <c r="AS133" s="175">
        <v>102882</v>
      </c>
      <c r="AT133" s="174"/>
      <c r="AU133" s="174"/>
      <c r="AV133" s="184">
        <f t="shared" si="7"/>
        <v>20000</v>
      </c>
      <c r="AW133" s="187"/>
    </row>
    <row r="134" spans="1:49" x14ac:dyDescent="0.25">
      <c r="A134" s="4">
        <v>10010062</v>
      </c>
      <c r="B134" s="219">
        <v>408</v>
      </c>
      <c r="D134" s="206"/>
      <c r="E134" s="71">
        <v>10140023</v>
      </c>
      <c r="F134" s="42">
        <v>19200</v>
      </c>
      <c r="H134" s="199"/>
      <c r="I134" s="71">
        <v>10590012</v>
      </c>
      <c r="J134" s="68">
        <v>61463.815748380744</v>
      </c>
      <c r="W134" s="41">
        <v>10140050</v>
      </c>
      <c r="X134">
        <v>500</v>
      </c>
      <c r="AC134" s="183" t="s">
        <v>956</v>
      </c>
      <c r="AD134" s="177" t="s">
        <v>720</v>
      </c>
      <c r="AE134" s="177" t="s">
        <v>1112</v>
      </c>
      <c r="AF134" s="177" t="s">
        <v>672</v>
      </c>
      <c r="AG134" s="178">
        <v>110000</v>
      </c>
      <c r="AH134" s="179">
        <v>41805.37863421411</v>
      </c>
      <c r="AI134" s="180">
        <v>68194.62136578589</v>
      </c>
      <c r="AJ134" s="179">
        <v>31805.378634214114</v>
      </c>
      <c r="AK134" s="181">
        <v>10000</v>
      </c>
      <c r="AL134" s="184">
        <f t="shared" si="6"/>
        <v>68194.62136578589</v>
      </c>
      <c r="AN134" s="177"/>
      <c r="AO134" s="177"/>
      <c r="AP134" s="177"/>
      <c r="AQ134" s="178"/>
      <c r="AR134" s="179"/>
      <c r="AS134" s="180"/>
      <c r="AT134" s="179"/>
      <c r="AU134" s="179"/>
      <c r="AV134" s="184"/>
      <c r="AW134" s="188"/>
    </row>
    <row r="135" spans="1:49" x14ac:dyDescent="0.25">
      <c r="A135" s="4">
        <v>10010063</v>
      </c>
      <c r="B135" s="219">
        <v>408</v>
      </c>
      <c r="D135" s="206"/>
      <c r="E135" s="71">
        <v>10140024</v>
      </c>
      <c r="F135" s="42">
        <v>3714.904681280168</v>
      </c>
      <c r="H135" s="199"/>
      <c r="I135" s="71">
        <v>10590013</v>
      </c>
      <c r="J135" s="68">
        <v>66929.71393696779</v>
      </c>
      <c r="W135" s="41">
        <v>10140053</v>
      </c>
      <c r="X135">
        <v>500</v>
      </c>
      <c r="AC135" s="182" t="s">
        <v>957</v>
      </c>
      <c r="AD135" s="172" t="s">
        <v>378</v>
      </c>
      <c r="AE135" s="172" t="s">
        <v>1112</v>
      </c>
      <c r="AF135" s="172" t="s">
        <v>672</v>
      </c>
      <c r="AG135" s="173">
        <v>110000</v>
      </c>
      <c r="AH135" s="174">
        <v>79912.978433694254</v>
      </c>
      <c r="AI135" s="175">
        <v>30087.021566305746</v>
      </c>
      <c r="AJ135" s="174">
        <v>69912.978433694254</v>
      </c>
      <c r="AK135" s="176">
        <v>10000</v>
      </c>
      <c r="AL135" s="184">
        <f t="shared" si="6"/>
        <v>30087.021566305746</v>
      </c>
      <c r="AN135" s="172"/>
      <c r="AO135" s="172"/>
      <c r="AP135" s="172"/>
      <c r="AQ135" s="173"/>
      <c r="AR135" s="174"/>
      <c r="AS135" s="175"/>
      <c r="AT135" s="174"/>
      <c r="AU135" s="174"/>
      <c r="AV135" s="184"/>
      <c r="AW135" s="187">
        <v>44810</v>
      </c>
    </row>
    <row r="136" spans="1:49" x14ac:dyDescent="0.25">
      <c r="A136" s="4">
        <v>10010064</v>
      </c>
      <c r="B136" s="219">
        <v>560</v>
      </c>
      <c r="D136" s="206"/>
      <c r="E136" s="71">
        <v>10140029</v>
      </c>
      <c r="F136" s="42">
        <v>22400</v>
      </c>
      <c r="H136" s="199"/>
      <c r="I136" s="71">
        <v>10530110</v>
      </c>
      <c r="J136" s="68">
        <v>61848.103977706698</v>
      </c>
      <c r="W136" s="41">
        <v>10140058</v>
      </c>
      <c r="X136">
        <v>500</v>
      </c>
      <c r="AC136" s="183" t="s">
        <v>958</v>
      </c>
      <c r="AD136" s="177" t="s">
        <v>379</v>
      </c>
      <c r="AE136" s="177" t="s">
        <v>1112</v>
      </c>
      <c r="AF136" s="177" t="s">
        <v>672</v>
      </c>
      <c r="AG136" s="178">
        <v>110000</v>
      </c>
      <c r="AH136" s="179">
        <v>75230.785702375942</v>
      </c>
      <c r="AI136" s="180">
        <v>34769.214297624058</v>
      </c>
      <c r="AJ136" s="179">
        <v>65230.785702375942</v>
      </c>
      <c r="AK136" s="181">
        <v>10000</v>
      </c>
      <c r="AL136" s="184">
        <f t="shared" si="6"/>
        <v>34769.214297624058</v>
      </c>
      <c r="AN136" s="177"/>
      <c r="AO136" s="177"/>
      <c r="AP136" s="177"/>
      <c r="AQ136" s="178"/>
      <c r="AR136" s="179"/>
      <c r="AS136" s="180"/>
      <c r="AT136" s="179"/>
      <c r="AU136" s="179"/>
      <c r="AV136" s="184"/>
      <c r="AW136" s="188">
        <v>44810</v>
      </c>
    </row>
    <row r="137" spans="1:49" x14ac:dyDescent="0.25">
      <c r="A137" s="4">
        <v>10010068</v>
      </c>
      <c r="B137" s="219">
        <v>460</v>
      </c>
      <c r="D137" s="206"/>
      <c r="E137" s="71">
        <v>10140030</v>
      </c>
      <c r="F137" s="42">
        <v>16861.156137869642</v>
      </c>
      <c r="H137" s="199"/>
      <c r="I137" s="71">
        <v>10610022</v>
      </c>
      <c r="J137" s="68">
        <v>65000</v>
      </c>
      <c r="W137" s="41">
        <v>10140061</v>
      </c>
      <c r="X137">
        <v>500</v>
      </c>
      <c r="AC137" s="182" t="s">
        <v>959</v>
      </c>
      <c r="AD137" s="172" t="s">
        <v>721</v>
      </c>
      <c r="AE137" s="172" t="s">
        <v>1112</v>
      </c>
      <c r="AF137" s="172" t="s">
        <v>672</v>
      </c>
      <c r="AG137" s="173">
        <v>110000</v>
      </c>
      <c r="AH137" s="174">
        <v>62097</v>
      </c>
      <c r="AI137" s="175">
        <v>47903</v>
      </c>
      <c r="AJ137" s="174">
        <v>47097</v>
      </c>
      <c r="AK137" s="176">
        <v>15000</v>
      </c>
      <c r="AL137" s="184">
        <f t="shared" si="6"/>
        <v>47903</v>
      </c>
      <c r="AN137" s="172"/>
      <c r="AO137" s="172"/>
      <c r="AP137" s="172"/>
      <c r="AQ137" s="173"/>
      <c r="AR137" s="174"/>
      <c r="AS137" s="175"/>
      <c r="AT137" s="174"/>
      <c r="AU137" s="174"/>
      <c r="AV137" s="184"/>
      <c r="AW137" s="187">
        <v>44979</v>
      </c>
    </row>
    <row r="138" spans="1:49" x14ac:dyDescent="0.25">
      <c r="A138" s="4">
        <v>10020022</v>
      </c>
      <c r="B138" s="219">
        <v>2029.6399999999999</v>
      </c>
      <c r="D138" s="206"/>
      <c r="E138" s="71">
        <v>10140034</v>
      </c>
      <c r="F138" s="42">
        <v>12800</v>
      </c>
      <c r="H138" s="199"/>
      <c r="I138" s="71">
        <v>10140205</v>
      </c>
      <c r="J138" s="68">
        <v>65000</v>
      </c>
      <c r="W138" s="41">
        <v>10140067</v>
      </c>
      <c r="X138">
        <v>500</v>
      </c>
      <c r="AC138" s="183" t="s">
        <v>960</v>
      </c>
      <c r="AD138" s="177" t="s">
        <v>722</v>
      </c>
      <c r="AE138" s="177" t="s">
        <v>1112</v>
      </c>
      <c r="AF138" s="177" t="s">
        <v>672</v>
      </c>
      <c r="AG138" s="178">
        <v>110000</v>
      </c>
      <c r="AH138" s="179">
        <v>96700.751983312381</v>
      </c>
      <c r="AI138" s="180">
        <v>13299.248016687619</v>
      </c>
      <c r="AJ138" s="179">
        <v>81700.751983312381</v>
      </c>
      <c r="AK138" s="181">
        <v>15000</v>
      </c>
      <c r="AL138" s="184">
        <f t="shared" si="6"/>
        <v>13299.248016687619</v>
      </c>
      <c r="AN138" s="177"/>
      <c r="AO138" s="177"/>
      <c r="AP138" s="177"/>
      <c r="AQ138" s="178"/>
      <c r="AR138" s="179"/>
      <c r="AS138" s="180"/>
      <c r="AT138" s="179"/>
      <c r="AU138" s="179"/>
      <c r="AV138" s="184"/>
      <c r="AW138" s="188">
        <v>44979</v>
      </c>
    </row>
    <row r="139" spans="1:49" x14ac:dyDescent="0.25">
      <c r="A139" s="4">
        <v>10020027</v>
      </c>
      <c r="B139" s="219">
        <v>348.52</v>
      </c>
      <c r="D139" s="206"/>
      <c r="E139" s="71">
        <v>10140032</v>
      </c>
      <c r="F139" s="42">
        <v>22400</v>
      </c>
      <c r="H139" s="199"/>
      <c r="I139" s="71">
        <v>10080124</v>
      </c>
      <c r="J139" s="68">
        <v>64871</v>
      </c>
      <c r="W139" s="41">
        <v>10140086</v>
      </c>
      <c r="X139">
        <v>500</v>
      </c>
      <c r="AC139" s="182" t="s">
        <v>961</v>
      </c>
      <c r="AD139" s="172" t="s">
        <v>723</v>
      </c>
      <c r="AE139" s="172" t="s">
        <v>1112</v>
      </c>
      <c r="AF139" s="172" t="s">
        <v>672</v>
      </c>
      <c r="AG139" s="173">
        <v>110000</v>
      </c>
      <c r="AH139" s="174">
        <v>45749.527199999997</v>
      </c>
      <c r="AI139" s="175">
        <v>64250.472800000003</v>
      </c>
      <c r="AJ139" s="174">
        <v>35749.527199999997</v>
      </c>
      <c r="AK139" s="176">
        <v>10000</v>
      </c>
      <c r="AL139" s="184">
        <f t="shared" si="6"/>
        <v>64250.472800000003</v>
      </c>
      <c r="AN139" s="172"/>
      <c r="AO139" s="172"/>
      <c r="AP139" s="172"/>
      <c r="AQ139" s="173"/>
      <c r="AR139" s="174"/>
      <c r="AS139" s="175"/>
      <c r="AT139" s="174"/>
      <c r="AU139" s="174"/>
      <c r="AV139" s="184"/>
      <c r="AW139" s="187">
        <v>44970</v>
      </c>
    </row>
    <row r="140" spans="1:49" x14ac:dyDescent="0.25">
      <c r="A140" s="4">
        <v>10030036</v>
      </c>
      <c r="B140" s="219">
        <v>1276</v>
      </c>
      <c r="D140" s="206"/>
      <c r="E140" s="71">
        <v>10140033</v>
      </c>
      <c r="F140" s="42">
        <v>11222.663</v>
      </c>
      <c r="H140" s="199"/>
      <c r="I140" s="71">
        <v>10080125</v>
      </c>
      <c r="J140" s="68">
        <v>85000</v>
      </c>
      <c r="W140" s="41">
        <v>10140095</v>
      </c>
      <c r="X140">
        <v>500</v>
      </c>
      <c r="AC140" s="183" t="s">
        <v>962</v>
      </c>
      <c r="AD140" s="177" t="s">
        <v>724</v>
      </c>
      <c r="AE140" s="177" t="s">
        <v>1112</v>
      </c>
      <c r="AF140" s="177" t="s">
        <v>672</v>
      </c>
      <c r="AG140" s="178">
        <v>110000</v>
      </c>
      <c r="AH140" s="179">
        <v>6127</v>
      </c>
      <c r="AI140" s="180">
        <v>103873</v>
      </c>
      <c r="AJ140" s="179">
        <v>1127</v>
      </c>
      <c r="AK140" s="181">
        <v>5000</v>
      </c>
      <c r="AL140" s="184">
        <f t="shared" si="6"/>
        <v>103873</v>
      </c>
      <c r="AN140" s="177"/>
      <c r="AO140" s="177"/>
      <c r="AP140" s="177"/>
      <c r="AQ140" s="178"/>
      <c r="AR140" s="179"/>
      <c r="AS140" s="180"/>
      <c r="AT140" s="179"/>
      <c r="AU140" s="179"/>
      <c r="AV140" s="184"/>
      <c r="AW140" s="188"/>
    </row>
    <row r="141" spans="1:49" x14ac:dyDescent="0.25">
      <c r="A141" s="4">
        <v>10030052</v>
      </c>
      <c r="B141" s="219">
        <v>1276</v>
      </c>
      <c r="D141" s="206"/>
      <c r="E141" s="71">
        <v>10140036</v>
      </c>
      <c r="F141" s="42">
        <v>9600</v>
      </c>
      <c r="H141" s="199"/>
      <c r="I141" s="71">
        <v>10120123</v>
      </c>
      <c r="J141" s="68">
        <v>61704.0088886745</v>
      </c>
      <c r="W141" s="41">
        <v>10140099</v>
      </c>
      <c r="X141">
        <v>500</v>
      </c>
      <c r="AC141" s="182" t="s">
        <v>963</v>
      </c>
      <c r="AD141" s="172" t="s">
        <v>499</v>
      </c>
      <c r="AE141" s="172" t="s">
        <v>1112</v>
      </c>
      <c r="AF141" s="172" t="s">
        <v>672</v>
      </c>
      <c r="AG141" s="173">
        <v>110000</v>
      </c>
      <c r="AH141" s="174">
        <v>74149.018055871071</v>
      </c>
      <c r="AI141" s="175">
        <v>35850.981944128929</v>
      </c>
      <c r="AJ141" s="174">
        <v>69149.018055871071</v>
      </c>
      <c r="AK141" s="176">
        <v>5000</v>
      </c>
      <c r="AL141" s="184">
        <f t="shared" si="6"/>
        <v>35850.981944128929</v>
      </c>
      <c r="AN141" s="177"/>
      <c r="AO141" s="177"/>
      <c r="AP141" s="177"/>
      <c r="AQ141" s="178"/>
      <c r="AR141" s="179"/>
      <c r="AS141" s="180"/>
      <c r="AT141" s="179"/>
      <c r="AU141" s="179"/>
      <c r="AV141" s="184"/>
      <c r="AW141" s="187"/>
    </row>
    <row r="142" spans="1:49" x14ac:dyDescent="0.25">
      <c r="A142" s="4">
        <v>10060057</v>
      </c>
      <c r="B142" s="219">
        <v>2608</v>
      </c>
      <c r="D142" s="206"/>
      <c r="E142" s="71">
        <v>10120038</v>
      </c>
      <c r="F142" s="42">
        <v>6400</v>
      </c>
      <c r="H142" s="199"/>
      <c r="I142" s="71">
        <v>10530108</v>
      </c>
      <c r="J142" s="68">
        <v>63139</v>
      </c>
      <c r="W142" s="41">
        <v>10140100</v>
      </c>
      <c r="X142">
        <v>500</v>
      </c>
      <c r="AC142" s="183" t="s">
        <v>964</v>
      </c>
      <c r="AD142" s="177" t="s">
        <v>272</v>
      </c>
      <c r="AE142" s="177" t="s">
        <v>1112</v>
      </c>
      <c r="AF142" s="177" t="s">
        <v>672</v>
      </c>
      <c r="AG142" s="178">
        <v>110000</v>
      </c>
      <c r="AH142" s="179">
        <v>46811</v>
      </c>
      <c r="AI142" s="180">
        <v>63189</v>
      </c>
      <c r="AJ142" s="179">
        <v>41811</v>
      </c>
      <c r="AK142" s="181">
        <v>5000</v>
      </c>
      <c r="AL142" s="184">
        <f t="shared" si="6"/>
        <v>63189</v>
      </c>
      <c r="AN142" s="172"/>
      <c r="AO142" s="172"/>
      <c r="AP142" s="172"/>
      <c r="AQ142" s="173"/>
      <c r="AR142" s="174"/>
      <c r="AS142" s="175"/>
      <c r="AT142" s="174"/>
      <c r="AU142" s="174"/>
      <c r="AV142" s="184"/>
      <c r="AW142" s="188"/>
    </row>
    <row r="143" spans="1:49" x14ac:dyDescent="0.25">
      <c r="A143" s="4">
        <v>10060064</v>
      </c>
      <c r="B143" s="219">
        <v>981.28</v>
      </c>
      <c r="D143" s="206"/>
      <c r="E143" s="71">
        <v>10120036</v>
      </c>
      <c r="F143" s="42">
        <v>6400</v>
      </c>
      <c r="H143" s="199"/>
      <c r="I143" s="71">
        <v>10530109</v>
      </c>
      <c r="J143" s="68">
        <v>53194.15040829769</v>
      </c>
      <c r="W143" s="41">
        <v>10140132</v>
      </c>
      <c r="X143">
        <v>500</v>
      </c>
      <c r="AC143" s="182" t="s">
        <v>965</v>
      </c>
      <c r="AD143" s="172" t="s">
        <v>725</v>
      </c>
      <c r="AE143" s="172" t="s">
        <v>1111</v>
      </c>
      <c r="AF143" s="172" t="s">
        <v>672</v>
      </c>
      <c r="AG143" s="173">
        <v>110000</v>
      </c>
      <c r="AH143" s="174">
        <v>82511.522462010646</v>
      </c>
      <c r="AI143" s="175">
        <v>27488.477537989354</v>
      </c>
      <c r="AJ143" s="174">
        <v>57511.522462010653</v>
      </c>
      <c r="AK143" s="176">
        <v>0</v>
      </c>
      <c r="AL143" s="184">
        <f t="shared" si="6"/>
        <v>27488.477537989354</v>
      </c>
      <c r="AN143" s="172"/>
      <c r="AO143" s="172"/>
      <c r="AP143" s="172"/>
      <c r="AQ143" s="173"/>
      <c r="AR143" s="174"/>
      <c r="AS143" s="175"/>
      <c r="AT143" s="174"/>
      <c r="AU143" s="174"/>
      <c r="AV143" s="184"/>
      <c r="AW143" s="187"/>
    </row>
    <row r="144" spans="1:49" x14ac:dyDescent="0.25">
      <c r="A144" s="4">
        <v>10070014</v>
      </c>
      <c r="B144" s="219">
        <v>1108</v>
      </c>
      <c r="D144" s="206"/>
      <c r="E144" s="71">
        <v>10140038</v>
      </c>
      <c r="F144" s="42">
        <v>10695.531363288643</v>
      </c>
      <c r="H144" s="199"/>
      <c r="I144" s="71">
        <v>10610017</v>
      </c>
      <c r="J144" s="68">
        <v>65000</v>
      </c>
      <c r="W144" s="41">
        <v>10140135</v>
      </c>
      <c r="X144">
        <v>500</v>
      </c>
      <c r="AC144" s="183" t="s">
        <v>966</v>
      </c>
      <c r="AD144" s="177" t="s">
        <v>726</v>
      </c>
      <c r="AE144" s="177" t="s">
        <v>1112</v>
      </c>
      <c r="AF144" s="177" t="s">
        <v>672</v>
      </c>
      <c r="AG144" s="178">
        <v>110000</v>
      </c>
      <c r="AH144" s="179">
        <v>29015.642107588348</v>
      </c>
      <c r="AI144" s="180">
        <v>80984.357892411645</v>
      </c>
      <c r="AJ144" s="179">
        <v>24015.642107588348</v>
      </c>
      <c r="AK144" s="181">
        <v>5000</v>
      </c>
      <c r="AL144" s="184">
        <f t="shared" si="6"/>
        <v>80984.357892411645</v>
      </c>
      <c r="AN144" s="177"/>
      <c r="AO144" s="177"/>
      <c r="AP144" s="177"/>
      <c r="AQ144" s="178"/>
      <c r="AR144" s="179"/>
      <c r="AS144" s="180"/>
      <c r="AT144" s="179"/>
      <c r="AU144" s="179"/>
      <c r="AV144" s="184"/>
      <c r="AW144" s="188"/>
    </row>
    <row r="145" spans="1:49" x14ac:dyDescent="0.25">
      <c r="A145" s="4">
        <v>10070015</v>
      </c>
      <c r="B145" s="219">
        <v>3730</v>
      </c>
      <c r="D145" s="206"/>
      <c r="E145" s="71">
        <v>10140043</v>
      </c>
      <c r="F145" s="42">
        <v>22400</v>
      </c>
      <c r="H145" s="199"/>
      <c r="I145" s="71">
        <v>10610018</v>
      </c>
      <c r="J145" s="68">
        <v>72767.01974897139</v>
      </c>
      <c r="W145" s="41">
        <v>10140137</v>
      </c>
      <c r="X145">
        <v>500</v>
      </c>
      <c r="AC145" s="182" t="s">
        <v>967</v>
      </c>
      <c r="AD145" s="172" t="s">
        <v>227</v>
      </c>
      <c r="AE145" s="172" t="s">
        <v>1112</v>
      </c>
      <c r="AF145" s="172" t="s">
        <v>672</v>
      </c>
      <c r="AG145" s="173">
        <v>110000</v>
      </c>
      <c r="AH145" s="174">
        <v>40138.919071971104</v>
      </c>
      <c r="AI145" s="175">
        <v>69861.080928028896</v>
      </c>
      <c r="AJ145" s="174">
        <v>30138.919071971104</v>
      </c>
      <c r="AK145" s="176">
        <v>10000</v>
      </c>
      <c r="AL145" s="184">
        <f t="shared" si="6"/>
        <v>69861.080928028896</v>
      </c>
      <c r="AN145" s="172"/>
      <c r="AO145" s="172"/>
      <c r="AP145" s="172"/>
      <c r="AQ145" s="173"/>
      <c r="AR145" s="174"/>
      <c r="AS145" s="175"/>
      <c r="AT145" s="174"/>
      <c r="AU145" s="174"/>
      <c r="AV145" s="184"/>
      <c r="AW145" s="187"/>
    </row>
    <row r="146" spans="1:49" x14ac:dyDescent="0.25">
      <c r="A146" s="4">
        <v>10070028</v>
      </c>
      <c r="B146" s="219">
        <v>104</v>
      </c>
      <c r="D146" s="206"/>
      <c r="E146" s="71">
        <v>10140047</v>
      </c>
      <c r="F146" s="42">
        <v>25716.2213897123</v>
      </c>
      <c r="H146" s="199"/>
      <c r="I146" s="71">
        <v>10610019</v>
      </c>
      <c r="J146" s="68">
        <v>75000</v>
      </c>
      <c r="W146" s="41">
        <v>10460002</v>
      </c>
      <c r="X146">
        <v>500</v>
      </c>
      <c r="AC146" s="183" t="s">
        <v>968</v>
      </c>
      <c r="AD146" s="177" t="s">
        <v>727</v>
      </c>
      <c r="AE146" s="177" t="s">
        <v>1111</v>
      </c>
      <c r="AF146" s="177" t="s">
        <v>672</v>
      </c>
      <c r="AG146" s="178">
        <v>110000</v>
      </c>
      <c r="AH146" s="179">
        <v>50912.5046</v>
      </c>
      <c r="AI146" s="180">
        <v>59087.4954</v>
      </c>
      <c r="AJ146" s="179">
        <v>50912.5046</v>
      </c>
      <c r="AK146" s="176">
        <v>0</v>
      </c>
      <c r="AL146" s="184">
        <f t="shared" si="6"/>
        <v>59087.4954</v>
      </c>
      <c r="AN146" s="177"/>
      <c r="AO146" s="177"/>
      <c r="AP146" s="177"/>
      <c r="AQ146" s="178"/>
      <c r="AR146" s="179"/>
      <c r="AS146" s="180"/>
      <c r="AT146" s="179"/>
      <c r="AU146" s="179"/>
      <c r="AV146" s="184"/>
      <c r="AW146" s="188"/>
    </row>
    <row r="147" spans="1:49" x14ac:dyDescent="0.25">
      <c r="A147" s="4">
        <v>10070032</v>
      </c>
      <c r="B147" s="219">
        <v>2100</v>
      </c>
      <c r="D147" s="206"/>
      <c r="E147" s="71">
        <v>10140045</v>
      </c>
      <c r="F147" s="42">
        <v>8262.2341514371255</v>
      </c>
      <c r="H147" s="199"/>
      <c r="I147" s="71">
        <v>10610020</v>
      </c>
      <c r="J147" s="68">
        <v>63631</v>
      </c>
      <c r="W147" s="41">
        <v>10480001</v>
      </c>
      <c r="X147">
        <v>500</v>
      </c>
      <c r="AC147" s="182" t="s">
        <v>969</v>
      </c>
      <c r="AD147" s="172" t="s">
        <v>728</v>
      </c>
      <c r="AE147" s="172" t="s">
        <v>1112</v>
      </c>
      <c r="AF147" s="172" t="s">
        <v>672</v>
      </c>
      <c r="AG147" s="173">
        <v>110000</v>
      </c>
      <c r="AH147" s="174">
        <v>36464.525399999999</v>
      </c>
      <c r="AI147" s="175">
        <v>73535.474600000001</v>
      </c>
      <c r="AJ147" s="174">
        <v>21464.525399999999</v>
      </c>
      <c r="AK147" s="176">
        <v>15000</v>
      </c>
      <c r="AL147" s="184">
        <f t="shared" si="6"/>
        <v>73535.474600000001</v>
      </c>
      <c r="AN147" s="172"/>
      <c r="AO147" s="172"/>
      <c r="AP147" s="172"/>
      <c r="AQ147" s="173"/>
      <c r="AR147" s="174"/>
      <c r="AS147" s="175"/>
      <c r="AT147" s="174"/>
      <c r="AU147" s="174"/>
      <c r="AV147" s="184"/>
      <c r="AW147" s="187"/>
    </row>
    <row r="148" spans="1:49" x14ac:dyDescent="0.25">
      <c r="A148" s="4">
        <v>10070034</v>
      </c>
      <c r="B148" s="219">
        <v>104</v>
      </c>
      <c r="D148" s="206"/>
      <c r="E148" s="71">
        <v>10140051</v>
      </c>
      <c r="F148" s="42">
        <v>7163.3938357799052</v>
      </c>
      <c r="H148" s="199"/>
      <c r="I148" s="71">
        <v>10630001</v>
      </c>
      <c r="J148" s="68">
        <v>85000</v>
      </c>
      <c r="W148" s="41">
        <v>10480004</v>
      </c>
      <c r="X148">
        <v>500</v>
      </c>
      <c r="AC148" s="183" t="s">
        <v>970</v>
      </c>
      <c r="AD148" s="177" t="s">
        <v>729</v>
      </c>
      <c r="AE148" s="177" t="s">
        <v>1112</v>
      </c>
      <c r="AF148" s="177" t="s">
        <v>672</v>
      </c>
      <c r="AG148" s="178">
        <v>110000</v>
      </c>
      <c r="AH148" s="179">
        <v>69867.750294795362</v>
      </c>
      <c r="AI148" s="180">
        <v>40132.249705204638</v>
      </c>
      <c r="AJ148" s="179">
        <v>54867.750294795362</v>
      </c>
      <c r="AK148" s="181">
        <v>15000</v>
      </c>
      <c r="AL148" s="184">
        <f t="shared" si="6"/>
        <v>40132.249705204638</v>
      </c>
      <c r="AN148" s="177"/>
      <c r="AO148" s="177"/>
      <c r="AP148" s="177"/>
      <c r="AQ148" s="178"/>
      <c r="AR148" s="179"/>
      <c r="AS148" s="180"/>
      <c r="AT148" s="179"/>
      <c r="AU148" s="179"/>
      <c r="AV148" s="184"/>
      <c r="AW148" s="188"/>
    </row>
    <row r="149" spans="1:49" x14ac:dyDescent="0.25">
      <c r="A149" s="4">
        <v>10070036</v>
      </c>
      <c r="B149" s="219">
        <v>1295</v>
      </c>
      <c r="D149" s="206"/>
      <c r="E149" s="71">
        <v>10140053</v>
      </c>
      <c r="F149" s="42">
        <v>6400</v>
      </c>
      <c r="H149" s="199"/>
      <c r="I149" s="71">
        <v>10630002</v>
      </c>
      <c r="J149" s="68">
        <v>85000</v>
      </c>
      <c r="W149" s="41">
        <v>10480005</v>
      </c>
      <c r="X149">
        <v>500</v>
      </c>
      <c r="AC149" s="182" t="s">
        <v>971</v>
      </c>
      <c r="AD149" s="172" t="s">
        <v>229</v>
      </c>
      <c r="AE149" s="172" t="s">
        <v>1112</v>
      </c>
      <c r="AF149" s="172" t="s">
        <v>672</v>
      </c>
      <c r="AG149" s="173">
        <v>110000</v>
      </c>
      <c r="AH149" s="174">
        <v>47745.640459641138</v>
      </c>
      <c r="AI149" s="175">
        <v>62254.359540358862</v>
      </c>
      <c r="AJ149" s="174">
        <v>37745.640459641138</v>
      </c>
      <c r="AK149" s="176">
        <v>10000</v>
      </c>
      <c r="AL149" s="184">
        <f t="shared" si="6"/>
        <v>62254.359540358862</v>
      </c>
      <c r="AN149" s="172"/>
      <c r="AO149" s="172"/>
      <c r="AP149" s="172"/>
      <c r="AQ149" s="173"/>
      <c r="AR149" s="174"/>
      <c r="AS149" s="175"/>
      <c r="AT149" s="174"/>
      <c r="AU149" s="174"/>
      <c r="AV149" s="184"/>
      <c r="AW149" s="187"/>
    </row>
    <row r="150" spans="1:49" x14ac:dyDescent="0.25">
      <c r="A150" s="4">
        <v>10070038</v>
      </c>
      <c r="B150" s="219">
        <v>104</v>
      </c>
      <c r="D150" s="206"/>
      <c r="E150" s="71">
        <v>10140054</v>
      </c>
      <c r="F150" s="42">
        <v>12800</v>
      </c>
      <c r="H150" s="199"/>
      <c r="I150" s="71">
        <v>10630003</v>
      </c>
      <c r="J150" s="68">
        <v>84000</v>
      </c>
      <c r="W150" s="41">
        <v>10480008</v>
      </c>
      <c r="X150">
        <v>500</v>
      </c>
      <c r="AC150" s="183" t="s">
        <v>972</v>
      </c>
      <c r="AD150" s="177" t="s">
        <v>156</v>
      </c>
      <c r="AE150" s="177" t="s">
        <v>1112</v>
      </c>
      <c r="AF150" s="177" t="s">
        <v>672</v>
      </c>
      <c r="AG150" s="178">
        <v>64000</v>
      </c>
      <c r="AH150" s="179">
        <v>50412.926135313959</v>
      </c>
      <c r="AI150" s="180">
        <v>13587.073864686041</v>
      </c>
      <c r="AJ150" s="179">
        <v>40412.926135313959</v>
      </c>
      <c r="AK150" s="181">
        <v>10000</v>
      </c>
      <c r="AL150" s="184">
        <f t="shared" si="6"/>
        <v>13587.073864686041</v>
      </c>
      <c r="AN150" s="177"/>
      <c r="AO150" s="177"/>
      <c r="AP150" s="177"/>
      <c r="AQ150" s="178"/>
      <c r="AR150" s="179"/>
      <c r="AS150" s="180"/>
      <c r="AT150" s="179"/>
      <c r="AU150" s="179"/>
      <c r="AV150" s="184"/>
      <c r="AW150" s="188"/>
    </row>
    <row r="151" spans="1:49" x14ac:dyDescent="0.25">
      <c r="A151" s="4">
        <v>10080026</v>
      </c>
      <c r="B151" s="219">
        <v>408</v>
      </c>
      <c r="D151" s="206"/>
      <c r="E151" s="71">
        <v>10140014</v>
      </c>
      <c r="F151" s="42">
        <v>6400</v>
      </c>
      <c r="H151" s="199"/>
      <c r="I151" s="71">
        <v>10630004</v>
      </c>
      <c r="J151" s="68">
        <v>85000</v>
      </c>
      <c r="W151" s="41">
        <v>10480019</v>
      </c>
      <c r="X151">
        <v>500</v>
      </c>
      <c r="AC151" s="182" t="s">
        <v>973</v>
      </c>
      <c r="AD151" s="172" t="s">
        <v>231</v>
      </c>
      <c r="AE151" s="172" t="s">
        <v>1112</v>
      </c>
      <c r="AF151" s="172" t="s">
        <v>672</v>
      </c>
      <c r="AG151" s="173">
        <v>110000</v>
      </c>
      <c r="AH151" s="174">
        <v>81563.110920423685</v>
      </c>
      <c r="AI151" s="175">
        <v>28436.889079576315</v>
      </c>
      <c r="AJ151" s="174">
        <v>76563.110920423685</v>
      </c>
      <c r="AK151" s="176">
        <v>5000</v>
      </c>
      <c r="AL151" s="184">
        <f t="shared" si="6"/>
        <v>28436.889079576315</v>
      </c>
      <c r="AN151" s="172"/>
      <c r="AO151" s="172"/>
      <c r="AP151" s="172"/>
      <c r="AQ151" s="173"/>
      <c r="AR151" s="174"/>
      <c r="AS151" s="175"/>
      <c r="AT151" s="174"/>
      <c r="AU151" s="174"/>
      <c r="AV151" s="184"/>
      <c r="AW151" s="187"/>
    </row>
    <row r="152" spans="1:49" x14ac:dyDescent="0.25">
      <c r="A152" s="4">
        <v>10080029</v>
      </c>
      <c r="B152" s="219">
        <v>256</v>
      </c>
      <c r="D152" s="206"/>
      <c r="E152" s="71">
        <v>10060057</v>
      </c>
      <c r="F152" s="42">
        <v>18646.375799999998</v>
      </c>
      <c r="H152" s="199"/>
      <c r="I152" s="71">
        <v>10630005</v>
      </c>
      <c r="J152" s="68">
        <v>85000</v>
      </c>
      <c r="AC152" s="183" t="s">
        <v>974</v>
      </c>
      <c r="AD152" s="177" t="s">
        <v>95</v>
      </c>
      <c r="AE152" s="177" t="s">
        <v>1111</v>
      </c>
      <c r="AF152" s="177" t="s">
        <v>672</v>
      </c>
      <c r="AG152" s="178">
        <v>110000</v>
      </c>
      <c r="AH152" s="179">
        <v>35662</v>
      </c>
      <c r="AI152" s="180">
        <v>74338</v>
      </c>
      <c r="AJ152" s="179">
        <v>35662</v>
      </c>
      <c r="AK152" s="176">
        <v>0</v>
      </c>
      <c r="AL152" s="184">
        <f t="shared" si="6"/>
        <v>74338</v>
      </c>
      <c r="AN152" s="177"/>
      <c r="AO152" s="177"/>
      <c r="AP152" s="177"/>
      <c r="AQ152" s="178"/>
      <c r="AR152" s="179"/>
      <c r="AS152" s="180"/>
      <c r="AT152" s="179"/>
      <c r="AU152" s="179"/>
      <c r="AV152" s="184"/>
      <c r="AW152" s="188"/>
    </row>
    <row r="153" spans="1:49" x14ac:dyDescent="0.25">
      <c r="A153" s="4">
        <v>10090039</v>
      </c>
      <c r="B153" s="219">
        <v>460.56</v>
      </c>
      <c r="D153" s="206"/>
      <c r="E153" s="71">
        <v>10020062</v>
      </c>
      <c r="F153" s="42">
        <v>11212.327325161281</v>
      </c>
      <c r="H153" s="199"/>
      <c r="I153" s="71">
        <v>10630006</v>
      </c>
      <c r="J153" s="68">
        <v>85000</v>
      </c>
      <c r="AC153" s="182" t="s">
        <v>975</v>
      </c>
      <c r="AD153" s="172" t="s">
        <v>730</v>
      </c>
      <c r="AE153" s="172" t="s">
        <v>1111</v>
      </c>
      <c r="AF153" s="172" t="s">
        <v>672</v>
      </c>
      <c r="AG153" s="173">
        <v>110000</v>
      </c>
      <c r="AH153" s="174">
        <v>26450.061999999998</v>
      </c>
      <c r="AI153" s="175">
        <v>83549.937999999995</v>
      </c>
      <c r="AJ153" s="174">
        <v>26450.061999999998</v>
      </c>
      <c r="AK153" s="176">
        <v>0</v>
      </c>
      <c r="AL153" s="184">
        <f t="shared" si="6"/>
        <v>83549.937999999995</v>
      </c>
      <c r="AN153" s="172"/>
      <c r="AO153" s="172"/>
      <c r="AP153" s="172"/>
      <c r="AQ153" s="173"/>
      <c r="AR153" s="174"/>
      <c r="AS153" s="175"/>
      <c r="AT153" s="174"/>
      <c r="AU153" s="174"/>
      <c r="AV153" s="184"/>
      <c r="AW153" s="187"/>
    </row>
    <row r="154" spans="1:49" x14ac:dyDescent="0.25">
      <c r="A154" s="4">
        <v>10090043</v>
      </c>
      <c r="B154" s="219">
        <v>51.3</v>
      </c>
      <c r="D154" s="206"/>
      <c r="E154" s="71">
        <v>10090048</v>
      </c>
      <c r="F154" s="42">
        <v>7711.0590000000002</v>
      </c>
      <c r="H154" s="199"/>
      <c r="I154" s="71">
        <v>10630007</v>
      </c>
      <c r="J154" s="68">
        <v>85000</v>
      </c>
      <c r="AC154" s="183" t="s">
        <v>976</v>
      </c>
      <c r="AD154" s="177" t="s">
        <v>232</v>
      </c>
      <c r="AE154" s="177" t="s">
        <v>1112</v>
      </c>
      <c r="AF154" s="177" t="s">
        <v>672</v>
      </c>
      <c r="AG154" s="178">
        <v>110000</v>
      </c>
      <c r="AH154" s="179">
        <v>37360.057093252697</v>
      </c>
      <c r="AI154" s="180">
        <v>72639.94290674731</v>
      </c>
      <c r="AJ154" s="179">
        <v>32360.057093252697</v>
      </c>
      <c r="AK154" s="181">
        <v>5000</v>
      </c>
      <c r="AL154" s="184">
        <f t="shared" si="6"/>
        <v>72639.94290674731</v>
      </c>
      <c r="AN154" s="177"/>
      <c r="AO154" s="177"/>
      <c r="AP154" s="177"/>
      <c r="AQ154" s="178"/>
      <c r="AR154" s="179"/>
      <c r="AS154" s="180"/>
      <c r="AT154" s="179"/>
      <c r="AU154" s="179"/>
      <c r="AV154" s="184"/>
      <c r="AW154" s="188"/>
    </row>
    <row r="155" spans="1:49" x14ac:dyDescent="0.25">
      <c r="A155" s="4">
        <v>10100002</v>
      </c>
      <c r="B155" s="219">
        <v>3888</v>
      </c>
      <c r="D155" s="206"/>
      <c r="E155" s="71">
        <v>10090042</v>
      </c>
      <c r="F155" s="42">
        <v>11537.557799999999</v>
      </c>
      <c r="H155" s="199"/>
      <c r="I155" s="71">
        <v>10630009</v>
      </c>
      <c r="J155" s="68">
        <v>80996.731241414513</v>
      </c>
      <c r="AC155" s="182" t="s">
        <v>977</v>
      </c>
      <c r="AD155" s="172" t="s">
        <v>94</v>
      </c>
      <c r="AE155" s="172" t="s">
        <v>1111</v>
      </c>
      <c r="AF155" s="172" t="s">
        <v>672</v>
      </c>
      <c r="AG155" s="173">
        <v>110000</v>
      </c>
      <c r="AH155" s="174">
        <v>63709.942957273335</v>
      </c>
      <c r="AI155" s="175">
        <v>46290.057042726665</v>
      </c>
      <c r="AJ155" s="174">
        <v>63709.942957273335</v>
      </c>
      <c r="AK155" s="176">
        <v>0</v>
      </c>
      <c r="AL155" s="184">
        <f t="shared" si="6"/>
        <v>46290.057042726665</v>
      </c>
      <c r="AN155" s="172"/>
      <c r="AO155" s="172"/>
      <c r="AP155" s="172"/>
      <c r="AQ155" s="173"/>
      <c r="AR155" s="174"/>
      <c r="AS155" s="175"/>
      <c r="AT155" s="174"/>
      <c r="AU155" s="174"/>
      <c r="AV155" s="184"/>
      <c r="AW155" s="187"/>
    </row>
    <row r="156" spans="1:49" x14ac:dyDescent="0.25">
      <c r="A156" s="4">
        <v>10100007</v>
      </c>
      <c r="B156" s="219">
        <v>2397.39</v>
      </c>
      <c r="D156" s="206"/>
      <c r="E156" s="71">
        <v>10090050</v>
      </c>
      <c r="F156" s="42">
        <v>17056.866399999999</v>
      </c>
      <c r="H156" s="199"/>
      <c r="I156" s="71">
        <v>10570044</v>
      </c>
      <c r="J156" s="68">
        <v>85000</v>
      </c>
      <c r="AC156" s="183" t="s">
        <v>978</v>
      </c>
      <c r="AD156" s="177" t="s">
        <v>698</v>
      </c>
      <c r="AE156" s="177" t="s">
        <v>1111</v>
      </c>
      <c r="AF156" s="177" t="s">
        <v>672</v>
      </c>
      <c r="AG156" s="178">
        <v>110000</v>
      </c>
      <c r="AH156" s="179">
        <v>19118</v>
      </c>
      <c r="AI156" s="180">
        <v>90882</v>
      </c>
      <c r="AJ156" s="179">
        <v>19118</v>
      </c>
      <c r="AK156" s="176">
        <v>0</v>
      </c>
      <c r="AL156" s="184">
        <f t="shared" si="6"/>
        <v>90882</v>
      </c>
      <c r="AN156" s="177"/>
      <c r="AO156" s="177"/>
      <c r="AP156" s="177"/>
      <c r="AQ156" s="178"/>
      <c r="AR156" s="179"/>
      <c r="AS156" s="180"/>
      <c r="AT156" s="179"/>
      <c r="AU156" s="179"/>
      <c r="AV156" s="184"/>
      <c r="AW156" s="188"/>
    </row>
    <row r="157" spans="1:49" x14ac:dyDescent="0.25">
      <c r="A157" s="4">
        <v>10100011</v>
      </c>
      <c r="B157" s="219">
        <v>2498</v>
      </c>
      <c r="D157" s="206"/>
      <c r="E157" s="71">
        <v>10110049</v>
      </c>
      <c r="F157" s="42">
        <v>4822.3534</v>
      </c>
      <c r="H157" s="199"/>
      <c r="I157" s="71">
        <v>10570045</v>
      </c>
      <c r="J157" s="68">
        <v>67583.663797682995</v>
      </c>
      <c r="AC157" s="182" t="s">
        <v>979</v>
      </c>
      <c r="AD157" s="172" t="s">
        <v>731</v>
      </c>
      <c r="AE157" s="172" t="s">
        <v>1111</v>
      </c>
      <c r="AF157" s="172" t="s">
        <v>672</v>
      </c>
      <c r="AG157" s="173">
        <v>110000</v>
      </c>
      <c r="AH157" s="174">
        <v>2689</v>
      </c>
      <c r="AI157" s="175">
        <v>107311</v>
      </c>
      <c r="AJ157" s="174">
        <v>2689</v>
      </c>
      <c r="AK157" s="176">
        <v>0</v>
      </c>
      <c r="AL157" s="184">
        <f t="shared" si="6"/>
        <v>107311</v>
      </c>
      <c r="AN157" s="172"/>
      <c r="AO157" s="172"/>
      <c r="AP157" s="172"/>
      <c r="AQ157" s="173"/>
      <c r="AR157" s="174"/>
      <c r="AS157" s="175"/>
      <c r="AT157" s="174"/>
      <c r="AU157" s="174"/>
      <c r="AV157" s="184"/>
      <c r="AW157" s="187"/>
    </row>
    <row r="158" spans="1:49" x14ac:dyDescent="0.25">
      <c r="A158" s="4">
        <v>10100017</v>
      </c>
      <c r="B158" s="219">
        <v>104</v>
      </c>
      <c r="D158" s="206"/>
      <c r="E158" s="71">
        <v>10110051</v>
      </c>
      <c r="F158" s="42">
        <v>6177.9898000000003</v>
      </c>
      <c r="H158" s="199"/>
      <c r="I158" s="71">
        <v>10610010</v>
      </c>
      <c r="J158" s="68">
        <v>69841.910505751308</v>
      </c>
      <c r="AC158" s="183" t="s">
        <v>980</v>
      </c>
      <c r="AD158" s="177" t="s">
        <v>273</v>
      </c>
      <c r="AE158" s="177" t="s">
        <v>1112</v>
      </c>
      <c r="AF158" s="177" t="s">
        <v>672</v>
      </c>
      <c r="AG158" s="178">
        <v>110000</v>
      </c>
      <c r="AH158" s="179">
        <v>27797</v>
      </c>
      <c r="AI158" s="180">
        <v>82203</v>
      </c>
      <c r="AJ158" s="179">
        <v>17797</v>
      </c>
      <c r="AK158" s="181">
        <v>10000</v>
      </c>
      <c r="AL158" s="184">
        <f t="shared" si="6"/>
        <v>82203</v>
      </c>
      <c r="AN158" s="177"/>
      <c r="AO158" s="177"/>
      <c r="AP158" s="177"/>
      <c r="AQ158" s="178"/>
      <c r="AR158" s="179"/>
      <c r="AS158" s="180"/>
      <c r="AT158" s="179"/>
      <c r="AU158" s="179"/>
      <c r="AV158" s="184"/>
      <c r="AW158" s="188"/>
    </row>
    <row r="159" spans="1:49" x14ac:dyDescent="0.25">
      <c r="A159" s="4">
        <v>10100024</v>
      </c>
      <c r="B159" s="219">
        <v>4142</v>
      </c>
      <c r="D159" s="206"/>
      <c r="E159" s="71">
        <v>10080055</v>
      </c>
      <c r="F159" s="42">
        <v>7526.9366186572806</v>
      </c>
      <c r="H159" s="199"/>
      <c r="I159" s="71">
        <v>10130117</v>
      </c>
      <c r="J159" s="68">
        <v>72800</v>
      </c>
      <c r="AC159" s="182" t="s">
        <v>981</v>
      </c>
      <c r="AD159" s="172" t="s">
        <v>732</v>
      </c>
      <c r="AE159" s="172" t="s">
        <v>1112</v>
      </c>
      <c r="AF159" s="172" t="s">
        <v>672</v>
      </c>
      <c r="AG159" s="173">
        <v>110000</v>
      </c>
      <c r="AH159" s="174">
        <v>35278</v>
      </c>
      <c r="AI159" s="175">
        <v>74722</v>
      </c>
      <c r="AJ159" s="174">
        <v>25278</v>
      </c>
      <c r="AK159" s="176">
        <v>10000</v>
      </c>
      <c r="AL159" s="184">
        <f t="shared" si="6"/>
        <v>74722</v>
      </c>
      <c r="AN159" s="172"/>
      <c r="AO159" s="172"/>
      <c r="AP159" s="172"/>
      <c r="AQ159" s="173"/>
      <c r="AR159" s="174"/>
      <c r="AS159" s="175"/>
      <c r="AT159" s="174"/>
      <c r="AU159" s="174"/>
      <c r="AV159" s="184"/>
      <c r="AW159" s="187"/>
    </row>
    <row r="160" spans="1:49" x14ac:dyDescent="0.25">
      <c r="A160" s="4">
        <v>10100036</v>
      </c>
      <c r="B160" s="219">
        <v>1904</v>
      </c>
      <c r="D160" s="206"/>
      <c r="E160" s="71">
        <v>10070032</v>
      </c>
      <c r="F160" s="42">
        <v>13026.763199999999</v>
      </c>
      <c r="H160" s="199"/>
      <c r="I160" s="71">
        <v>10530105</v>
      </c>
      <c r="J160" s="68">
        <v>65000</v>
      </c>
      <c r="AC160" s="183" t="s">
        <v>982</v>
      </c>
      <c r="AD160" s="177" t="s">
        <v>274</v>
      </c>
      <c r="AE160" s="177" t="s">
        <v>1112</v>
      </c>
      <c r="AF160" s="177" t="s">
        <v>672</v>
      </c>
      <c r="AG160" s="178">
        <v>110000</v>
      </c>
      <c r="AH160" s="179">
        <v>90516.664713842983</v>
      </c>
      <c r="AI160" s="180">
        <v>19483.335286157017</v>
      </c>
      <c r="AJ160" s="179">
        <v>80516.664713842983</v>
      </c>
      <c r="AK160" s="181">
        <v>10000</v>
      </c>
      <c r="AL160" s="184">
        <f t="shared" si="6"/>
        <v>19483.335286157017</v>
      </c>
      <c r="AN160" s="177"/>
      <c r="AO160" s="177"/>
      <c r="AP160" s="177"/>
      <c r="AQ160" s="178"/>
      <c r="AR160" s="179"/>
      <c r="AS160" s="180"/>
      <c r="AT160" s="179"/>
      <c r="AU160" s="179"/>
      <c r="AV160" s="184"/>
      <c r="AW160" s="188"/>
    </row>
    <row r="161" spans="1:49" x14ac:dyDescent="0.25">
      <c r="A161" s="4">
        <v>10100037</v>
      </c>
      <c r="B161" s="219">
        <v>1988</v>
      </c>
      <c r="D161" s="206"/>
      <c r="E161" s="71">
        <v>10070033</v>
      </c>
      <c r="F161" s="42">
        <v>4104.9205999999995</v>
      </c>
      <c r="H161" s="199"/>
      <c r="I161" s="71">
        <v>10530106</v>
      </c>
      <c r="J161" s="68">
        <v>62881.169596250649</v>
      </c>
      <c r="AC161" s="182" t="s">
        <v>983</v>
      </c>
      <c r="AD161" s="172" t="s">
        <v>733</v>
      </c>
      <c r="AE161" s="172" t="s">
        <v>1112</v>
      </c>
      <c r="AF161" s="172" t="s">
        <v>672</v>
      </c>
      <c r="AG161" s="173">
        <v>110000</v>
      </c>
      <c r="AH161" s="174">
        <v>82144.245026476507</v>
      </c>
      <c r="AI161" s="175">
        <v>27855.754973523493</v>
      </c>
      <c r="AJ161" s="174">
        <v>75144.245026476507</v>
      </c>
      <c r="AK161" s="176">
        <v>7000</v>
      </c>
      <c r="AL161" s="184">
        <f t="shared" si="6"/>
        <v>27855.754973523493</v>
      </c>
      <c r="AN161" s="172"/>
      <c r="AO161" s="172"/>
      <c r="AP161" s="172"/>
      <c r="AQ161" s="173"/>
      <c r="AR161" s="174"/>
      <c r="AS161" s="175"/>
      <c r="AT161" s="174"/>
      <c r="AU161" s="174"/>
      <c r="AV161" s="184"/>
      <c r="AW161" s="187"/>
    </row>
    <row r="162" spans="1:49" x14ac:dyDescent="0.25">
      <c r="A162" s="4">
        <v>10100041</v>
      </c>
      <c r="B162" s="219">
        <v>104</v>
      </c>
      <c r="D162" s="206"/>
      <c r="E162" s="71">
        <v>10070034</v>
      </c>
      <c r="F162" s="42">
        <v>5970.1063999999997</v>
      </c>
      <c r="H162" s="199"/>
      <c r="I162" s="71">
        <v>10560027</v>
      </c>
      <c r="J162" s="68">
        <v>65000</v>
      </c>
      <c r="AC162" s="183" t="s">
        <v>984</v>
      </c>
      <c r="AD162" s="177" t="s">
        <v>292</v>
      </c>
      <c r="AE162" s="177" t="s">
        <v>1112</v>
      </c>
      <c r="AF162" s="177" t="s">
        <v>672</v>
      </c>
      <c r="AG162" s="178">
        <v>110000</v>
      </c>
      <c r="AH162" s="179">
        <v>45426.413277110143</v>
      </c>
      <c r="AI162" s="180">
        <v>64573.586722889857</v>
      </c>
      <c r="AJ162" s="179">
        <v>35426.413277110143</v>
      </c>
      <c r="AK162" s="181">
        <v>10000</v>
      </c>
      <c r="AL162" s="184">
        <f t="shared" si="6"/>
        <v>64573.586722889857</v>
      </c>
      <c r="AN162" s="177"/>
      <c r="AO162" s="177"/>
      <c r="AP162" s="177"/>
      <c r="AQ162" s="178"/>
      <c r="AR162" s="179"/>
      <c r="AS162" s="180"/>
      <c r="AT162" s="179"/>
      <c r="AU162" s="179"/>
      <c r="AV162" s="184"/>
      <c r="AW162" s="188"/>
    </row>
    <row r="163" spans="1:49" x14ac:dyDescent="0.25">
      <c r="A163" s="4">
        <v>10120003</v>
      </c>
      <c r="B163" s="219">
        <v>1188</v>
      </c>
      <c r="D163" s="206"/>
      <c r="E163" s="71">
        <v>10070035</v>
      </c>
      <c r="F163" s="42">
        <v>5329.9417999999996</v>
      </c>
      <c r="H163" s="199"/>
      <c r="I163" s="71">
        <v>10560028</v>
      </c>
      <c r="J163" s="68">
        <v>72607.927550408844</v>
      </c>
      <c r="AC163" s="182" t="s">
        <v>985</v>
      </c>
      <c r="AD163" s="172" t="s">
        <v>734</v>
      </c>
      <c r="AE163" s="172" t="s">
        <v>1112</v>
      </c>
      <c r="AF163" s="172" t="s">
        <v>672</v>
      </c>
      <c r="AG163" s="173">
        <v>110000</v>
      </c>
      <c r="AH163" s="174">
        <v>23818</v>
      </c>
      <c r="AI163" s="175">
        <v>86182</v>
      </c>
      <c r="AJ163" s="174">
        <v>13818</v>
      </c>
      <c r="AK163" s="176">
        <v>10000</v>
      </c>
      <c r="AL163" s="184">
        <f t="shared" si="6"/>
        <v>86182</v>
      </c>
      <c r="AN163" s="172"/>
      <c r="AO163" s="172"/>
      <c r="AP163" s="172"/>
      <c r="AQ163" s="173"/>
      <c r="AR163" s="174"/>
      <c r="AS163" s="175"/>
      <c r="AT163" s="174"/>
      <c r="AU163" s="174"/>
      <c r="AV163" s="184"/>
      <c r="AW163" s="187"/>
    </row>
    <row r="164" spans="1:49" x14ac:dyDescent="0.25">
      <c r="A164" s="4">
        <v>10120006</v>
      </c>
      <c r="B164" s="219">
        <v>109.80000000000001</v>
      </c>
      <c r="D164" s="206"/>
      <c r="E164" s="71">
        <v>10070036</v>
      </c>
      <c r="F164" s="42">
        <v>9600</v>
      </c>
      <c r="H164" s="199"/>
      <c r="I164" s="71">
        <v>10080120</v>
      </c>
      <c r="J164" s="68">
        <v>61797</v>
      </c>
      <c r="AC164" s="183" t="s">
        <v>986</v>
      </c>
      <c r="AD164" s="177" t="s">
        <v>735</v>
      </c>
      <c r="AE164" s="177" t="s">
        <v>1112</v>
      </c>
      <c r="AF164" s="177" t="s">
        <v>672</v>
      </c>
      <c r="AG164" s="178">
        <v>110000</v>
      </c>
      <c r="AH164" s="179">
        <v>14386</v>
      </c>
      <c r="AI164" s="180">
        <v>95614</v>
      </c>
      <c r="AJ164" s="179">
        <v>9386</v>
      </c>
      <c r="AK164" s="181">
        <v>5000</v>
      </c>
      <c r="AL164" s="184">
        <f t="shared" si="6"/>
        <v>95614</v>
      </c>
      <c r="AN164" s="177"/>
      <c r="AO164" s="177"/>
      <c r="AP164" s="177"/>
      <c r="AQ164" s="178"/>
      <c r="AR164" s="179"/>
      <c r="AS164" s="180"/>
      <c r="AT164" s="179"/>
      <c r="AU164" s="179"/>
      <c r="AV164" s="184"/>
      <c r="AW164" s="188"/>
    </row>
    <row r="165" spans="1:49" x14ac:dyDescent="0.25">
      <c r="A165" s="4">
        <v>10120008</v>
      </c>
      <c r="B165" s="219">
        <v>2066</v>
      </c>
      <c r="D165" s="206"/>
      <c r="E165" s="71">
        <v>10070037</v>
      </c>
      <c r="F165" s="42">
        <v>5937.8653999999997</v>
      </c>
      <c r="H165" s="199"/>
      <c r="I165" s="71">
        <v>10080121</v>
      </c>
      <c r="J165" s="68">
        <v>85000</v>
      </c>
      <c r="AC165" s="182" t="s">
        <v>987</v>
      </c>
      <c r="AD165" s="172" t="s">
        <v>736</v>
      </c>
      <c r="AE165" s="172" t="s">
        <v>1112</v>
      </c>
      <c r="AF165" s="172" t="s">
        <v>672</v>
      </c>
      <c r="AG165" s="173">
        <v>110000</v>
      </c>
      <c r="AH165" s="174">
        <v>65447.81157273108</v>
      </c>
      <c r="AI165" s="175">
        <v>44552.18842726892</v>
      </c>
      <c r="AJ165" s="174">
        <v>55447.81157273108</v>
      </c>
      <c r="AK165" s="176">
        <v>10000</v>
      </c>
      <c r="AL165" s="184">
        <f t="shared" si="6"/>
        <v>44552.18842726892</v>
      </c>
      <c r="AN165" s="172"/>
      <c r="AO165" s="172"/>
      <c r="AP165" s="172"/>
      <c r="AQ165" s="173"/>
      <c r="AR165" s="174"/>
      <c r="AS165" s="175"/>
      <c r="AT165" s="174"/>
      <c r="AU165" s="174"/>
      <c r="AV165" s="184"/>
      <c r="AW165" s="187"/>
    </row>
    <row r="166" spans="1:49" x14ac:dyDescent="0.25">
      <c r="A166" s="4">
        <v>10120009</v>
      </c>
      <c r="B166" s="219">
        <v>2066</v>
      </c>
      <c r="D166" s="206"/>
      <c r="E166" s="71">
        <v>10070038</v>
      </c>
      <c r="F166" s="42">
        <v>5636.6487999999999</v>
      </c>
      <c r="H166" s="199"/>
      <c r="I166" s="71">
        <v>10080122</v>
      </c>
      <c r="J166" s="68">
        <v>65640.867077813935</v>
      </c>
      <c r="AC166" s="183" t="s">
        <v>988</v>
      </c>
      <c r="AD166" s="177" t="s">
        <v>275</v>
      </c>
      <c r="AE166" s="177" t="s">
        <v>1112</v>
      </c>
      <c r="AF166" s="177" t="s">
        <v>672</v>
      </c>
      <c r="AG166" s="178">
        <v>110000</v>
      </c>
      <c r="AH166" s="179">
        <v>75390.385229166714</v>
      </c>
      <c r="AI166" s="180">
        <v>34609.614770833286</v>
      </c>
      <c r="AJ166" s="179">
        <v>65390.385229166714</v>
      </c>
      <c r="AK166" s="181">
        <v>10000</v>
      </c>
      <c r="AL166" s="184">
        <f t="shared" si="6"/>
        <v>34609.614770833286</v>
      </c>
      <c r="AN166" s="177"/>
      <c r="AO166" s="177"/>
      <c r="AP166" s="177"/>
      <c r="AQ166" s="178"/>
      <c r="AR166" s="179"/>
      <c r="AS166" s="180"/>
      <c r="AT166" s="179"/>
      <c r="AU166" s="179"/>
      <c r="AV166" s="184"/>
      <c r="AW166" s="188"/>
    </row>
    <row r="167" spans="1:49" x14ac:dyDescent="0.25">
      <c r="A167" s="4">
        <v>10120015</v>
      </c>
      <c r="B167" s="219">
        <v>274.5</v>
      </c>
      <c r="D167" s="206"/>
      <c r="E167" s="71">
        <v>10070039</v>
      </c>
      <c r="F167" s="42">
        <v>9760.260848452479</v>
      </c>
      <c r="H167" s="199"/>
      <c r="I167" s="71">
        <v>10080123</v>
      </c>
      <c r="J167" s="68">
        <v>65000</v>
      </c>
      <c r="AC167" s="182" t="s">
        <v>989</v>
      </c>
      <c r="AD167" s="172" t="s">
        <v>737</v>
      </c>
      <c r="AE167" s="172" t="s">
        <v>1112</v>
      </c>
      <c r="AF167" s="172" t="s">
        <v>672</v>
      </c>
      <c r="AG167" s="173">
        <v>110000</v>
      </c>
      <c r="AH167" s="174">
        <v>84123.21621400975</v>
      </c>
      <c r="AI167" s="175">
        <v>25876.78378599025</v>
      </c>
      <c r="AJ167" s="174">
        <v>74123.21621400975</v>
      </c>
      <c r="AK167" s="176">
        <v>10000</v>
      </c>
      <c r="AL167" s="184">
        <f t="shared" si="6"/>
        <v>25876.78378599025</v>
      </c>
      <c r="AN167" s="172"/>
      <c r="AO167" s="172"/>
      <c r="AP167" s="172"/>
      <c r="AQ167" s="173"/>
      <c r="AR167" s="174"/>
      <c r="AS167" s="175"/>
      <c r="AT167" s="174"/>
      <c r="AU167" s="174"/>
      <c r="AV167" s="184"/>
      <c r="AW167" s="187"/>
    </row>
    <row r="168" spans="1:49" x14ac:dyDescent="0.25">
      <c r="A168" s="4">
        <v>10120016</v>
      </c>
      <c r="B168" s="219">
        <v>274.5</v>
      </c>
      <c r="D168" s="206"/>
      <c r="E168" s="71">
        <v>10010041</v>
      </c>
      <c r="F168" s="42">
        <v>6400</v>
      </c>
      <c r="H168" s="199"/>
      <c r="I168" s="71">
        <v>10110181</v>
      </c>
      <c r="J168" s="68">
        <v>85000</v>
      </c>
      <c r="AC168" s="183" t="s">
        <v>990</v>
      </c>
      <c r="AD168" s="177" t="s">
        <v>317</v>
      </c>
      <c r="AE168" s="177" t="s">
        <v>1112</v>
      </c>
      <c r="AF168" s="177" t="s">
        <v>672</v>
      </c>
      <c r="AG168" s="178">
        <v>64000</v>
      </c>
      <c r="AH168" s="179">
        <v>37390.547999999995</v>
      </c>
      <c r="AI168" s="180">
        <v>26609.452000000005</v>
      </c>
      <c r="AJ168" s="179">
        <v>32390.547999999999</v>
      </c>
      <c r="AK168" s="181">
        <v>5000</v>
      </c>
      <c r="AL168" s="184">
        <f t="shared" si="6"/>
        <v>26609.452000000005</v>
      </c>
      <c r="AN168" s="177"/>
      <c r="AO168" s="177"/>
      <c r="AP168" s="177"/>
      <c r="AQ168" s="178"/>
      <c r="AR168" s="179"/>
      <c r="AS168" s="180"/>
      <c r="AT168" s="179"/>
      <c r="AU168" s="179"/>
      <c r="AV168" s="184"/>
      <c r="AW168" s="188"/>
    </row>
    <row r="169" spans="1:49" x14ac:dyDescent="0.25">
      <c r="A169" s="4">
        <v>10120018</v>
      </c>
      <c r="B169" s="219">
        <v>109.80000000000001</v>
      </c>
      <c r="D169" s="206"/>
      <c r="E169" s="71">
        <v>10010043</v>
      </c>
      <c r="F169" s="42">
        <v>6400</v>
      </c>
      <c r="H169" s="199"/>
      <c r="I169" s="71">
        <v>10550005</v>
      </c>
      <c r="J169" s="68">
        <v>71278</v>
      </c>
      <c r="AC169" s="182" t="s">
        <v>991</v>
      </c>
      <c r="AD169" s="172" t="s">
        <v>738</v>
      </c>
      <c r="AE169" s="172" t="s">
        <v>1112</v>
      </c>
      <c r="AF169" s="172" t="s">
        <v>672</v>
      </c>
      <c r="AG169" s="173">
        <v>110000</v>
      </c>
      <c r="AH169" s="174">
        <v>36568.858451120381</v>
      </c>
      <c r="AI169" s="175">
        <v>73431.141548879619</v>
      </c>
      <c r="AJ169" s="174">
        <v>31568.858451120381</v>
      </c>
      <c r="AK169" s="176">
        <v>5000</v>
      </c>
      <c r="AL169" s="184">
        <f t="shared" si="6"/>
        <v>73431.141548879619</v>
      </c>
      <c r="AN169" s="172"/>
      <c r="AO169" s="172"/>
      <c r="AP169" s="172"/>
      <c r="AQ169" s="173"/>
      <c r="AR169" s="174"/>
      <c r="AS169" s="175"/>
      <c r="AT169" s="174"/>
      <c r="AU169" s="174"/>
      <c r="AV169" s="184"/>
      <c r="AW169" s="187"/>
    </row>
    <row r="170" spans="1:49" x14ac:dyDescent="0.25">
      <c r="A170" s="4">
        <v>10120019</v>
      </c>
      <c r="B170" s="219">
        <v>699.97</v>
      </c>
      <c r="D170" s="206"/>
      <c r="E170" s="71">
        <v>10110011</v>
      </c>
      <c r="F170" s="42">
        <v>5248</v>
      </c>
      <c r="H170" s="199"/>
      <c r="I170" s="71">
        <v>10560029</v>
      </c>
      <c r="J170" s="68">
        <v>75000</v>
      </c>
      <c r="AC170" s="183" t="s">
        <v>992</v>
      </c>
      <c r="AD170" s="177" t="s">
        <v>739</v>
      </c>
      <c r="AE170" s="177" t="s">
        <v>1111</v>
      </c>
      <c r="AF170" s="177" t="s">
        <v>672</v>
      </c>
      <c r="AG170" s="178">
        <v>110000</v>
      </c>
      <c r="AH170" s="179">
        <v>54096.149776674596</v>
      </c>
      <c r="AI170" s="180">
        <v>55903.850223325404</v>
      </c>
      <c r="AJ170" s="179">
        <v>54096.149776674596</v>
      </c>
      <c r="AK170" s="176">
        <v>0</v>
      </c>
      <c r="AL170" s="184">
        <f t="shared" si="6"/>
        <v>55903.850223325404</v>
      </c>
      <c r="AN170" s="177"/>
      <c r="AO170" s="177"/>
      <c r="AP170" s="177"/>
      <c r="AQ170" s="178"/>
      <c r="AR170" s="179"/>
      <c r="AS170" s="180"/>
      <c r="AT170" s="179"/>
      <c r="AU170" s="179"/>
      <c r="AV170" s="184"/>
      <c r="AW170" s="188"/>
    </row>
    <row r="171" spans="1:49" x14ac:dyDescent="0.25">
      <c r="A171" s="4">
        <v>10120022</v>
      </c>
      <c r="B171" s="219">
        <v>596.52</v>
      </c>
      <c r="D171" s="206"/>
      <c r="E171" s="71">
        <v>10110048</v>
      </c>
      <c r="F171" s="42">
        <v>12010.5812974848</v>
      </c>
      <c r="H171" s="199"/>
      <c r="I171" s="71">
        <v>10560030</v>
      </c>
      <c r="J171" s="68">
        <v>80000</v>
      </c>
      <c r="AC171" s="182" t="s">
        <v>993</v>
      </c>
      <c r="AD171" s="172" t="s">
        <v>740</v>
      </c>
      <c r="AE171" s="172" t="s">
        <v>1112</v>
      </c>
      <c r="AF171" s="172" t="s">
        <v>672</v>
      </c>
      <c r="AG171" s="173">
        <v>110000</v>
      </c>
      <c r="AH171" s="174">
        <v>43929</v>
      </c>
      <c r="AI171" s="175">
        <v>66071</v>
      </c>
      <c r="AJ171" s="174">
        <v>33929</v>
      </c>
      <c r="AK171" s="176">
        <v>10000</v>
      </c>
      <c r="AL171" s="184">
        <f t="shared" si="6"/>
        <v>66071</v>
      </c>
      <c r="AN171" s="172"/>
      <c r="AO171" s="172"/>
      <c r="AP171" s="172"/>
      <c r="AQ171" s="173"/>
      <c r="AR171" s="174"/>
      <c r="AS171" s="175"/>
      <c r="AT171" s="174"/>
      <c r="AU171" s="174"/>
      <c r="AV171" s="184"/>
      <c r="AW171" s="187"/>
    </row>
    <row r="172" spans="1:49" x14ac:dyDescent="0.25">
      <c r="A172" s="4">
        <v>10120025</v>
      </c>
      <c r="B172" s="219">
        <v>549</v>
      </c>
      <c r="D172" s="206"/>
      <c r="E172" s="71">
        <v>10110038</v>
      </c>
      <c r="F172" s="42">
        <v>6400</v>
      </c>
      <c r="H172" s="199"/>
      <c r="I172" s="71">
        <v>10560031</v>
      </c>
      <c r="J172" s="68">
        <v>72609.628519530044</v>
      </c>
      <c r="AC172" s="183" t="s">
        <v>994</v>
      </c>
      <c r="AD172" s="177" t="s">
        <v>741</v>
      </c>
      <c r="AE172" s="177" t="s">
        <v>1112</v>
      </c>
      <c r="AF172" s="177" t="s">
        <v>672</v>
      </c>
      <c r="AG172" s="178">
        <v>110000</v>
      </c>
      <c r="AH172" s="179">
        <v>64737.074200000003</v>
      </c>
      <c r="AI172" s="180">
        <v>45262.925799999997</v>
      </c>
      <c r="AJ172" s="179">
        <v>49737.074200000003</v>
      </c>
      <c r="AK172" s="181">
        <v>15000</v>
      </c>
      <c r="AL172" s="184">
        <f t="shared" si="6"/>
        <v>45262.925799999997</v>
      </c>
      <c r="AN172" s="172"/>
      <c r="AO172" s="172"/>
      <c r="AP172" s="172"/>
      <c r="AQ172" s="173"/>
      <c r="AR172" s="174"/>
      <c r="AS172" s="175"/>
      <c r="AT172" s="174"/>
      <c r="AU172" s="174"/>
      <c r="AV172" s="184"/>
      <c r="AW172" s="188"/>
    </row>
    <row r="173" spans="1:49" x14ac:dyDescent="0.25">
      <c r="A173" s="4">
        <v>10120026</v>
      </c>
      <c r="B173" s="219">
        <v>2016</v>
      </c>
      <c r="D173" s="206"/>
      <c r="E173" s="71">
        <v>10080027</v>
      </c>
      <c r="F173" s="42">
        <v>11051.710233427111</v>
      </c>
      <c r="H173" s="199"/>
      <c r="I173" s="71">
        <v>10100061</v>
      </c>
      <c r="J173" s="68">
        <v>74573</v>
      </c>
      <c r="AC173" s="182" t="s">
        <v>995</v>
      </c>
      <c r="AD173" s="172" t="s">
        <v>742</v>
      </c>
      <c r="AE173" s="172" t="s">
        <v>1112</v>
      </c>
      <c r="AF173" s="172" t="s">
        <v>672</v>
      </c>
      <c r="AG173" s="173">
        <v>110000</v>
      </c>
      <c r="AH173" s="174">
        <v>85711.552779102378</v>
      </c>
      <c r="AI173" s="175">
        <v>24288.447220897622</v>
      </c>
      <c r="AJ173" s="174">
        <v>75711.552779102378</v>
      </c>
      <c r="AK173" s="176">
        <v>10000</v>
      </c>
      <c r="AL173" s="184">
        <f t="shared" si="6"/>
        <v>24288.447220897622</v>
      </c>
      <c r="AN173" s="177"/>
      <c r="AO173" s="177"/>
      <c r="AP173" s="177"/>
      <c r="AQ173" s="178"/>
      <c r="AR173" s="179"/>
      <c r="AS173" s="180"/>
      <c r="AT173" s="179"/>
      <c r="AU173" s="179"/>
      <c r="AV173" s="184"/>
      <c r="AW173" s="187"/>
    </row>
    <row r="174" spans="1:49" x14ac:dyDescent="0.25">
      <c r="A174" s="4">
        <v>10120029</v>
      </c>
      <c r="B174" s="219">
        <v>164.70000000000002</v>
      </c>
      <c r="D174" s="206"/>
      <c r="E174" s="71">
        <v>10080025</v>
      </c>
      <c r="F174" s="42">
        <v>10894.771644080796</v>
      </c>
      <c r="H174" s="199"/>
      <c r="I174" s="71">
        <v>10120122</v>
      </c>
      <c r="J174" s="68">
        <v>51963.529450447299</v>
      </c>
      <c r="AC174" s="183" t="s">
        <v>996</v>
      </c>
      <c r="AD174" s="177" t="s">
        <v>743</v>
      </c>
      <c r="AE174" s="177" t="s">
        <v>1112</v>
      </c>
      <c r="AF174" s="177" t="s">
        <v>672</v>
      </c>
      <c r="AG174" s="178">
        <v>110000</v>
      </c>
      <c r="AH174" s="179">
        <v>51835.218568627199</v>
      </c>
      <c r="AI174" s="180">
        <v>58164.781431372801</v>
      </c>
      <c r="AJ174" s="179">
        <v>46835.218568627199</v>
      </c>
      <c r="AK174" s="181">
        <v>5000</v>
      </c>
      <c r="AL174" s="184">
        <f t="shared" si="6"/>
        <v>58164.781431372801</v>
      </c>
      <c r="AN174" s="172"/>
      <c r="AO174" s="172"/>
      <c r="AP174" s="172"/>
      <c r="AQ174" s="173"/>
      <c r="AR174" s="174"/>
      <c r="AS174" s="175"/>
      <c r="AT174" s="174"/>
      <c r="AU174" s="174"/>
      <c r="AV174" s="184"/>
      <c r="AW174" s="188"/>
    </row>
    <row r="175" spans="1:49" x14ac:dyDescent="0.25">
      <c r="A175" s="4">
        <v>10120030</v>
      </c>
      <c r="B175" s="219">
        <v>630.97</v>
      </c>
      <c r="D175" s="206"/>
      <c r="E175" s="71">
        <v>10080023</v>
      </c>
      <c r="F175" s="42">
        <v>5563</v>
      </c>
      <c r="H175" s="199"/>
      <c r="I175" s="71">
        <v>10130115</v>
      </c>
      <c r="J175" s="68">
        <v>71278</v>
      </c>
      <c r="AC175" s="182" t="s">
        <v>997</v>
      </c>
      <c r="AD175" s="172" t="s">
        <v>744</v>
      </c>
      <c r="AE175" s="172" t="s">
        <v>1112</v>
      </c>
      <c r="AF175" s="172" t="s">
        <v>672</v>
      </c>
      <c r="AG175" s="173">
        <v>110000</v>
      </c>
      <c r="AH175" s="174">
        <v>74245.240517312704</v>
      </c>
      <c r="AI175" s="175">
        <v>35754.759482687296</v>
      </c>
      <c r="AJ175" s="174">
        <v>69245.240517312704</v>
      </c>
      <c r="AK175" s="176">
        <v>5000</v>
      </c>
      <c r="AL175" s="184">
        <f t="shared" si="6"/>
        <v>35754.759482687296</v>
      </c>
      <c r="AN175" s="177"/>
      <c r="AO175" s="177"/>
      <c r="AP175" s="177"/>
      <c r="AQ175" s="178"/>
      <c r="AR175" s="179"/>
      <c r="AS175" s="180"/>
      <c r="AT175" s="179"/>
      <c r="AU175" s="179"/>
      <c r="AV175" s="184"/>
      <c r="AW175" s="187"/>
    </row>
    <row r="176" spans="1:49" x14ac:dyDescent="0.25">
      <c r="A176" s="4">
        <v>10120031</v>
      </c>
      <c r="B176" s="219">
        <v>274.5</v>
      </c>
      <c r="D176" s="206"/>
      <c r="E176" s="71">
        <v>10060011</v>
      </c>
      <c r="F176" s="42">
        <v>16000</v>
      </c>
      <c r="H176" s="199"/>
      <c r="I176" s="71">
        <v>10130116</v>
      </c>
      <c r="J176" s="68">
        <v>84067</v>
      </c>
      <c r="AC176" s="183" t="s">
        <v>998</v>
      </c>
      <c r="AD176" s="177" t="s">
        <v>386</v>
      </c>
      <c r="AE176" s="177" t="s">
        <v>1112</v>
      </c>
      <c r="AF176" s="177" t="s">
        <v>672</v>
      </c>
      <c r="AG176" s="178">
        <v>110000</v>
      </c>
      <c r="AH176" s="179">
        <v>61742.481863760608</v>
      </c>
      <c r="AI176" s="180">
        <v>48257.518136239392</v>
      </c>
      <c r="AJ176" s="179">
        <v>51742.481863760608</v>
      </c>
      <c r="AK176" s="181">
        <v>10000</v>
      </c>
      <c r="AL176" s="184">
        <f t="shared" si="6"/>
        <v>48257.518136239392</v>
      </c>
      <c r="AN176" s="172"/>
      <c r="AO176" s="172"/>
      <c r="AP176" s="172"/>
      <c r="AQ176" s="173"/>
      <c r="AR176" s="174"/>
      <c r="AS176" s="175"/>
      <c r="AT176" s="174"/>
      <c r="AU176" s="174"/>
      <c r="AV176" s="184"/>
      <c r="AW176" s="188"/>
    </row>
    <row r="177" spans="1:49" x14ac:dyDescent="0.25">
      <c r="A177" s="4">
        <v>10120034</v>
      </c>
      <c r="B177" s="219">
        <v>403.41999999999996</v>
      </c>
      <c r="D177" s="206"/>
      <c r="E177" s="71">
        <v>10020041</v>
      </c>
      <c r="F177" s="42">
        <v>3669.676205136534</v>
      </c>
      <c r="H177" s="199"/>
      <c r="I177" s="71">
        <v>10570042</v>
      </c>
      <c r="J177" s="68">
        <v>85000</v>
      </c>
      <c r="AC177" s="182" t="s">
        <v>999</v>
      </c>
      <c r="AD177" s="172" t="s">
        <v>745</v>
      </c>
      <c r="AE177" s="172" t="s">
        <v>1112</v>
      </c>
      <c r="AF177" s="172" t="s">
        <v>672</v>
      </c>
      <c r="AG177" s="173">
        <v>64000</v>
      </c>
      <c r="AH177" s="174">
        <v>34032</v>
      </c>
      <c r="AI177" s="175">
        <v>29968</v>
      </c>
      <c r="AJ177" s="174">
        <v>29032</v>
      </c>
      <c r="AK177" s="176">
        <v>5000</v>
      </c>
      <c r="AL177" s="184">
        <f t="shared" si="6"/>
        <v>29968</v>
      </c>
      <c r="AN177" s="177"/>
      <c r="AO177" s="177"/>
      <c r="AP177" s="177"/>
      <c r="AQ177" s="178"/>
      <c r="AR177" s="179"/>
      <c r="AS177" s="180"/>
      <c r="AT177" s="179"/>
      <c r="AU177" s="179"/>
      <c r="AV177" s="184"/>
      <c r="AW177" s="187"/>
    </row>
    <row r="178" spans="1:49" x14ac:dyDescent="0.25">
      <c r="A178" s="4">
        <v>10120036</v>
      </c>
      <c r="B178" s="219">
        <v>1108</v>
      </c>
      <c r="D178" s="206"/>
      <c r="E178" s="71">
        <v>10020042</v>
      </c>
      <c r="F178" s="42">
        <v>8907</v>
      </c>
      <c r="H178" s="199"/>
      <c r="I178" s="71">
        <v>10540043</v>
      </c>
      <c r="J178" s="68">
        <v>75000</v>
      </c>
      <c r="AC178" s="183" t="s">
        <v>831</v>
      </c>
      <c r="AD178" s="177" t="s">
        <v>746</v>
      </c>
      <c r="AE178" s="177" t="s">
        <v>1112</v>
      </c>
      <c r="AF178" s="177" t="s">
        <v>672</v>
      </c>
      <c r="AG178" s="178">
        <v>110000</v>
      </c>
      <c r="AH178" s="179">
        <v>12414</v>
      </c>
      <c r="AI178" s="180">
        <v>97586</v>
      </c>
      <c r="AJ178" s="179">
        <v>2414</v>
      </c>
      <c r="AK178" s="181">
        <v>10000</v>
      </c>
      <c r="AL178" s="184">
        <f t="shared" si="6"/>
        <v>97586</v>
      </c>
      <c r="AN178" s="172"/>
      <c r="AO178" s="172"/>
      <c r="AP178" s="172"/>
      <c r="AQ178" s="173"/>
      <c r="AR178" s="174"/>
      <c r="AS178" s="175"/>
      <c r="AT178" s="174"/>
      <c r="AU178" s="174"/>
      <c r="AV178" s="184"/>
      <c r="AW178" s="188"/>
    </row>
    <row r="179" spans="1:49" x14ac:dyDescent="0.25">
      <c r="A179" s="4">
        <v>10120037</v>
      </c>
      <c r="B179" s="219">
        <v>2682.75</v>
      </c>
      <c r="D179" s="206"/>
      <c r="E179" s="71">
        <v>10030024</v>
      </c>
      <c r="F179" s="42">
        <v>12800</v>
      </c>
      <c r="H179" s="199"/>
      <c r="I179" s="71">
        <v>10600008</v>
      </c>
      <c r="J179" s="68">
        <v>70000</v>
      </c>
      <c r="AC179" s="182" t="s">
        <v>1000</v>
      </c>
      <c r="AD179" s="172" t="s">
        <v>696</v>
      </c>
      <c r="AE179" s="172" t="s">
        <v>1112</v>
      </c>
      <c r="AF179" s="172" t="s">
        <v>672</v>
      </c>
      <c r="AG179" s="173">
        <v>110000</v>
      </c>
      <c r="AH179" s="174">
        <v>29575</v>
      </c>
      <c r="AI179" s="175">
        <v>80425</v>
      </c>
      <c r="AJ179" s="174">
        <v>24575</v>
      </c>
      <c r="AK179" s="176">
        <v>5000</v>
      </c>
      <c r="AL179" s="184">
        <f t="shared" si="6"/>
        <v>80425</v>
      </c>
      <c r="AN179" s="177"/>
      <c r="AO179" s="177"/>
      <c r="AP179" s="177"/>
      <c r="AQ179" s="178"/>
      <c r="AR179" s="179"/>
      <c r="AS179" s="180"/>
      <c r="AT179" s="179"/>
      <c r="AU179" s="179"/>
      <c r="AV179" s="184"/>
      <c r="AW179" s="187"/>
    </row>
    <row r="180" spans="1:49" x14ac:dyDescent="0.25">
      <c r="A180" s="4">
        <v>10120039</v>
      </c>
      <c r="B180" s="219">
        <v>1108</v>
      </c>
      <c r="D180" s="206"/>
      <c r="E180" s="71">
        <v>10060033</v>
      </c>
      <c r="F180" s="42">
        <v>12800</v>
      </c>
      <c r="H180" s="199"/>
      <c r="I180" s="71">
        <v>10610001</v>
      </c>
      <c r="J180" s="68">
        <v>61492.434184792692</v>
      </c>
      <c r="AC180" s="183" t="s">
        <v>1001</v>
      </c>
      <c r="AD180" s="177" t="s">
        <v>384</v>
      </c>
      <c r="AE180" s="177" t="s">
        <v>1112</v>
      </c>
      <c r="AF180" s="177" t="s">
        <v>672</v>
      </c>
      <c r="AG180" s="178">
        <v>110000</v>
      </c>
      <c r="AH180" s="179">
        <v>98351.603239554694</v>
      </c>
      <c r="AI180" s="180">
        <v>11648.396760445306</v>
      </c>
      <c r="AJ180" s="179">
        <v>88351.603239554694</v>
      </c>
      <c r="AK180" s="181">
        <v>10000</v>
      </c>
      <c r="AL180" s="184">
        <f t="shared" si="6"/>
        <v>11648.396760445306</v>
      </c>
      <c r="AN180" s="172"/>
      <c r="AO180" s="172"/>
      <c r="AP180" s="172"/>
      <c r="AQ180" s="173"/>
      <c r="AR180" s="174"/>
      <c r="AS180" s="175"/>
      <c r="AT180" s="174"/>
      <c r="AU180" s="174"/>
      <c r="AV180" s="184"/>
      <c r="AW180" s="188"/>
    </row>
    <row r="181" spans="1:49" x14ac:dyDescent="0.25">
      <c r="A181" s="4">
        <v>10120041</v>
      </c>
      <c r="B181" s="219">
        <v>1058</v>
      </c>
      <c r="D181" s="206"/>
      <c r="E181" s="71">
        <v>10060034</v>
      </c>
      <c r="F181" s="42">
        <v>7946.7305999999999</v>
      </c>
      <c r="H181" s="199"/>
      <c r="I181" s="71">
        <v>10610002</v>
      </c>
      <c r="J181" s="68">
        <v>61878</v>
      </c>
      <c r="AC181" s="182" t="s">
        <v>1002</v>
      </c>
      <c r="AD181" s="172" t="s">
        <v>747</v>
      </c>
      <c r="AE181" s="172" t="s">
        <v>1112</v>
      </c>
      <c r="AF181" s="172" t="s">
        <v>672</v>
      </c>
      <c r="AG181" s="173">
        <v>110000</v>
      </c>
      <c r="AH181" s="174">
        <v>29964.189000000002</v>
      </c>
      <c r="AI181" s="175">
        <v>80035.811000000002</v>
      </c>
      <c r="AJ181" s="174">
        <v>19964.189000000002</v>
      </c>
      <c r="AK181" s="176">
        <v>10000</v>
      </c>
      <c r="AL181" s="184">
        <f t="shared" si="6"/>
        <v>80035.811000000002</v>
      </c>
      <c r="AN181" s="177"/>
      <c r="AO181" s="177"/>
      <c r="AP181" s="177"/>
      <c r="AQ181" s="178"/>
      <c r="AR181" s="179"/>
      <c r="AS181" s="180"/>
      <c r="AT181" s="179"/>
      <c r="AU181" s="179"/>
      <c r="AV181" s="184"/>
      <c r="AW181" s="187"/>
    </row>
    <row r="182" spans="1:49" x14ac:dyDescent="0.25">
      <c r="A182" s="4">
        <v>10120042</v>
      </c>
      <c r="B182" s="219">
        <v>1908</v>
      </c>
      <c r="D182" s="206"/>
      <c r="E182" s="71">
        <v>10060036</v>
      </c>
      <c r="F182" s="42">
        <v>16403.050599999999</v>
      </c>
      <c r="H182" s="199"/>
      <c r="I182" s="71">
        <v>10610003</v>
      </c>
      <c r="J182" s="68">
        <v>63624</v>
      </c>
      <c r="AC182" s="183" t="s">
        <v>1003</v>
      </c>
      <c r="AD182" s="177" t="s">
        <v>1105</v>
      </c>
      <c r="AE182" s="177" t="s">
        <v>1112</v>
      </c>
      <c r="AF182" s="177" t="s">
        <v>672</v>
      </c>
      <c r="AG182" s="178">
        <v>109992</v>
      </c>
      <c r="AH182" s="179">
        <v>109991.57909603723</v>
      </c>
      <c r="AI182" s="180">
        <v>0.42090396277490072</v>
      </c>
      <c r="AJ182" s="179">
        <v>24562.579096037218</v>
      </c>
      <c r="AK182" s="181">
        <v>10000</v>
      </c>
      <c r="AL182" s="184">
        <f t="shared" ref="AL182:AL183" si="8">AG182-AI182</f>
        <v>109991.57909603723</v>
      </c>
      <c r="AN182" s="172"/>
      <c r="AO182" s="172"/>
      <c r="AP182" s="172"/>
      <c r="AQ182" s="173"/>
      <c r="AR182" s="174"/>
      <c r="AS182" s="175"/>
      <c r="AT182" s="174"/>
      <c r="AU182" s="174"/>
      <c r="AV182" s="184"/>
      <c r="AW182" s="188"/>
    </row>
    <row r="183" spans="1:49" x14ac:dyDescent="0.25">
      <c r="A183" s="4">
        <v>10120043</v>
      </c>
      <c r="B183" s="219">
        <v>1476.52</v>
      </c>
      <c r="D183" s="206"/>
      <c r="E183" s="71">
        <v>10060038</v>
      </c>
      <c r="F183" s="42">
        <v>6400</v>
      </c>
      <c r="H183" s="199"/>
      <c r="I183" s="71">
        <v>10610004</v>
      </c>
      <c r="J183" s="68">
        <v>63596</v>
      </c>
      <c r="AC183" s="182" t="s">
        <v>1004</v>
      </c>
      <c r="AD183" s="172" t="s">
        <v>748</v>
      </c>
      <c r="AE183" s="172" t="s">
        <v>1112</v>
      </c>
      <c r="AF183" s="172" t="s">
        <v>672</v>
      </c>
      <c r="AG183" s="173">
        <v>64000</v>
      </c>
      <c r="AH183" s="174">
        <v>56408.014548424195</v>
      </c>
      <c r="AI183" s="175">
        <v>7591.9854515758052</v>
      </c>
      <c r="AJ183" s="174">
        <v>46408.014548424195</v>
      </c>
      <c r="AK183" s="176">
        <v>10000</v>
      </c>
      <c r="AL183" s="184">
        <f t="shared" si="8"/>
        <v>56408.014548424195</v>
      </c>
      <c r="AN183" s="177"/>
      <c r="AO183" s="177"/>
      <c r="AP183" s="177"/>
      <c r="AQ183" s="178"/>
      <c r="AR183" s="179"/>
      <c r="AS183" s="180"/>
      <c r="AT183" s="179"/>
      <c r="AU183" s="179"/>
      <c r="AV183" s="184"/>
      <c r="AW183" s="187"/>
    </row>
    <row r="184" spans="1:49" x14ac:dyDescent="0.25">
      <c r="A184" s="4">
        <v>10120051</v>
      </c>
      <c r="B184" s="219">
        <v>164.70000000000002</v>
      </c>
      <c r="D184" s="206"/>
      <c r="E184" s="71">
        <v>10010005</v>
      </c>
      <c r="F184" s="42">
        <v>16000</v>
      </c>
      <c r="H184" s="199"/>
      <c r="I184" s="71">
        <v>10610005</v>
      </c>
      <c r="J184" s="68">
        <v>62451.398009799064</v>
      </c>
      <c r="AC184" s="183" t="s">
        <v>1005</v>
      </c>
      <c r="AD184" s="177" t="s">
        <v>209</v>
      </c>
      <c r="AE184" s="177" t="s">
        <v>1112</v>
      </c>
      <c r="AF184" s="177" t="s">
        <v>672</v>
      </c>
      <c r="AG184" s="178">
        <v>110000</v>
      </c>
      <c r="AH184" s="179">
        <v>35081</v>
      </c>
      <c r="AI184" s="180">
        <v>74919</v>
      </c>
      <c r="AJ184" s="179">
        <v>25081</v>
      </c>
      <c r="AK184" s="181">
        <v>10000</v>
      </c>
      <c r="AL184" s="184">
        <f t="shared" ref="AL184:AL247" si="9">AG184-AH184</f>
        <v>74919</v>
      </c>
      <c r="AN184" s="172"/>
      <c r="AO184" s="172"/>
      <c r="AP184" s="172"/>
      <c r="AQ184" s="173"/>
      <c r="AR184" s="174"/>
      <c r="AS184" s="175"/>
      <c r="AT184" s="174"/>
      <c r="AU184" s="174"/>
      <c r="AV184" s="184"/>
      <c r="AW184" s="188"/>
    </row>
    <row r="185" spans="1:49" x14ac:dyDescent="0.25">
      <c r="A185" s="4">
        <v>10120052</v>
      </c>
      <c r="B185" s="219">
        <v>274.5</v>
      </c>
      <c r="D185" s="206"/>
      <c r="E185" s="71">
        <v>10010046</v>
      </c>
      <c r="F185" s="42">
        <v>6400</v>
      </c>
      <c r="H185" s="199"/>
      <c r="I185" s="71">
        <v>10610006</v>
      </c>
      <c r="J185" s="68">
        <v>70761</v>
      </c>
      <c r="AC185" s="182" t="s">
        <v>1006</v>
      </c>
      <c r="AD185" s="172" t="s">
        <v>646</v>
      </c>
      <c r="AE185" s="172" t="s">
        <v>1111</v>
      </c>
      <c r="AF185" s="172" t="s">
        <v>672</v>
      </c>
      <c r="AG185" s="173">
        <v>110000</v>
      </c>
      <c r="AH185" s="174">
        <v>28872.158431586562</v>
      </c>
      <c r="AI185" s="175">
        <v>81127.841568413438</v>
      </c>
      <c r="AJ185" s="174">
        <v>28872.158431586562</v>
      </c>
      <c r="AK185" s="176">
        <v>0</v>
      </c>
      <c r="AL185" s="184">
        <f t="shared" si="9"/>
        <v>81127.841568413438</v>
      </c>
      <c r="AN185" s="177"/>
      <c r="AO185" s="177"/>
      <c r="AP185" s="177"/>
      <c r="AQ185" s="178"/>
      <c r="AR185" s="179"/>
      <c r="AS185" s="180"/>
      <c r="AT185" s="179"/>
      <c r="AU185" s="179"/>
      <c r="AV185" s="184"/>
      <c r="AW185" s="187"/>
    </row>
    <row r="186" spans="1:49" x14ac:dyDescent="0.25">
      <c r="A186" s="4">
        <v>10120053</v>
      </c>
      <c r="B186" s="219">
        <v>913.92000000000007</v>
      </c>
      <c r="D186" s="206"/>
      <c r="E186" s="71">
        <v>10010001</v>
      </c>
      <c r="F186" s="42">
        <v>6400</v>
      </c>
      <c r="H186" s="199"/>
      <c r="I186" s="71">
        <v>10610007</v>
      </c>
      <c r="J186" s="68">
        <v>67248</v>
      </c>
      <c r="AC186" s="183" t="s">
        <v>1007</v>
      </c>
      <c r="AD186" s="177" t="s">
        <v>749</v>
      </c>
      <c r="AE186" s="177" t="s">
        <v>1112</v>
      </c>
      <c r="AF186" s="177" t="s">
        <v>672</v>
      </c>
      <c r="AG186" s="178">
        <v>110000</v>
      </c>
      <c r="AH186" s="179">
        <v>64889.86490953133</v>
      </c>
      <c r="AI186" s="180">
        <v>45110.13509046867</v>
      </c>
      <c r="AJ186" s="179">
        <v>54889.86490953133</v>
      </c>
      <c r="AK186" s="181">
        <v>10000</v>
      </c>
      <c r="AL186" s="184">
        <f t="shared" si="9"/>
        <v>45110.13509046867</v>
      </c>
      <c r="AN186" s="172"/>
      <c r="AO186" s="172"/>
      <c r="AP186" s="172"/>
      <c r="AQ186" s="173"/>
      <c r="AR186" s="174"/>
      <c r="AS186" s="175"/>
      <c r="AT186" s="174"/>
      <c r="AU186" s="174"/>
      <c r="AV186" s="184"/>
      <c r="AW186" s="188"/>
    </row>
    <row r="187" spans="1:49" x14ac:dyDescent="0.25">
      <c r="A187" s="4">
        <v>10120054</v>
      </c>
      <c r="B187" s="219">
        <v>348.52</v>
      </c>
      <c r="D187" s="206"/>
      <c r="E187" s="71">
        <v>10010004</v>
      </c>
      <c r="F187" s="42">
        <v>2771.1347534519127</v>
      </c>
      <c r="H187" s="199"/>
      <c r="I187" s="71">
        <v>10610008</v>
      </c>
      <c r="J187" s="68">
        <v>59186.67415530303</v>
      </c>
      <c r="AC187" s="182" t="s">
        <v>1008</v>
      </c>
      <c r="AD187" s="172" t="s">
        <v>750</v>
      </c>
      <c r="AE187" s="172" t="s">
        <v>1111</v>
      </c>
      <c r="AF187" s="172" t="s">
        <v>672</v>
      </c>
      <c r="AG187" s="173">
        <v>110000</v>
      </c>
      <c r="AH187" s="174">
        <v>6452</v>
      </c>
      <c r="AI187" s="175">
        <v>103548</v>
      </c>
      <c r="AJ187" s="174">
        <v>6452</v>
      </c>
      <c r="AK187" s="176">
        <v>0</v>
      </c>
      <c r="AL187" s="184">
        <f t="shared" si="9"/>
        <v>103548</v>
      </c>
      <c r="AN187" s="177"/>
      <c r="AO187" s="177"/>
      <c r="AP187" s="177"/>
      <c r="AQ187" s="178"/>
      <c r="AR187" s="179"/>
      <c r="AS187" s="180"/>
      <c r="AT187" s="179"/>
      <c r="AU187" s="179"/>
      <c r="AV187" s="184"/>
      <c r="AW187" s="187"/>
    </row>
    <row r="188" spans="1:49" x14ac:dyDescent="0.25">
      <c r="A188" s="4">
        <v>10120070</v>
      </c>
      <c r="B188" s="219">
        <v>516.1</v>
      </c>
      <c r="D188" s="206"/>
      <c r="E188" s="71">
        <v>10010013</v>
      </c>
      <c r="F188" s="42">
        <v>16000</v>
      </c>
      <c r="H188" s="199"/>
      <c r="I188" s="71">
        <v>10600009</v>
      </c>
      <c r="J188" s="68">
        <v>77532</v>
      </c>
      <c r="AC188" s="183" t="s">
        <v>1009</v>
      </c>
      <c r="AD188" s="177" t="s">
        <v>564</v>
      </c>
      <c r="AE188" s="177" t="s">
        <v>1111</v>
      </c>
      <c r="AF188" s="177" t="s">
        <v>672</v>
      </c>
      <c r="AG188" s="178">
        <v>110000</v>
      </c>
      <c r="AH188" s="179">
        <v>20333.050999999999</v>
      </c>
      <c r="AI188" s="180">
        <v>89666.948999999993</v>
      </c>
      <c r="AJ188" s="179">
        <v>20333.050999999999</v>
      </c>
      <c r="AK188" s="176">
        <v>0</v>
      </c>
      <c r="AL188" s="184">
        <f t="shared" si="9"/>
        <v>89666.948999999993</v>
      </c>
      <c r="AN188" s="172"/>
      <c r="AO188" s="172"/>
      <c r="AP188" s="172"/>
      <c r="AQ188" s="173"/>
      <c r="AR188" s="174"/>
      <c r="AS188" s="175"/>
      <c r="AT188" s="174"/>
      <c r="AU188" s="174"/>
      <c r="AV188" s="184"/>
      <c r="AW188" s="188"/>
    </row>
    <row r="189" spans="1:49" x14ac:dyDescent="0.25">
      <c r="A189" s="4">
        <v>10120072</v>
      </c>
      <c r="B189" s="219">
        <v>506.90000000000003</v>
      </c>
      <c r="D189" s="206"/>
      <c r="E189" s="71">
        <v>9361</v>
      </c>
      <c r="F189" s="42">
        <v>6400</v>
      </c>
      <c r="H189" s="199"/>
      <c r="I189" s="71">
        <v>10600010</v>
      </c>
      <c r="J189" s="68">
        <v>75227</v>
      </c>
      <c r="AC189" s="182" t="s">
        <v>1010</v>
      </c>
      <c r="AD189" s="172" t="s">
        <v>233</v>
      </c>
      <c r="AE189" s="172" t="s">
        <v>1112</v>
      </c>
      <c r="AF189" s="172" t="s">
        <v>672</v>
      </c>
      <c r="AG189" s="173">
        <v>110000</v>
      </c>
      <c r="AH189" s="174">
        <v>47734.698567910869</v>
      </c>
      <c r="AI189" s="175">
        <v>62265.301432089131</v>
      </c>
      <c r="AJ189" s="174">
        <v>42734.698567910869</v>
      </c>
      <c r="AK189" s="176">
        <v>5000</v>
      </c>
      <c r="AL189" s="184">
        <f t="shared" si="9"/>
        <v>62265.301432089131</v>
      </c>
      <c r="AN189" s="177"/>
      <c r="AO189" s="177"/>
      <c r="AP189" s="177"/>
      <c r="AQ189" s="178"/>
      <c r="AR189" s="179"/>
      <c r="AS189" s="180"/>
      <c r="AT189" s="179"/>
      <c r="AU189" s="179"/>
      <c r="AV189" s="184"/>
      <c r="AW189" s="187"/>
    </row>
    <row r="190" spans="1:49" x14ac:dyDescent="0.25">
      <c r="A190" s="4">
        <v>10120073</v>
      </c>
      <c r="B190" s="219">
        <v>1108</v>
      </c>
      <c r="D190" s="206"/>
      <c r="E190" s="71">
        <v>10010012</v>
      </c>
      <c r="F190" s="42">
        <v>12800</v>
      </c>
      <c r="H190" s="199"/>
      <c r="I190" s="71">
        <v>10600011</v>
      </c>
      <c r="J190" s="68">
        <v>85000</v>
      </c>
      <c r="AC190" s="183" t="s">
        <v>831</v>
      </c>
      <c r="AD190" s="177" t="s">
        <v>751</v>
      </c>
      <c r="AE190" s="177" t="s">
        <v>1112</v>
      </c>
      <c r="AF190" s="177" t="s">
        <v>672</v>
      </c>
      <c r="AG190" s="178">
        <v>110000</v>
      </c>
      <c r="AH190" s="179">
        <v>10000</v>
      </c>
      <c r="AI190" s="180">
        <v>100000</v>
      </c>
      <c r="AJ190" s="179">
        <v>0</v>
      </c>
      <c r="AK190" s="181">
        <v>10000</v>
      </c>
      <c r="AL190" s="184">
        <f t="shared" si="9"/>
        <v>100000</v>
      </c>
      <c r="AN190" s="172"/>
      <c r="AO190" s="172"/>
      <c r="AP190" s="172"/>
      <c r="AQ190" s="173"/>
      <c r="AR190" s="174"/>
      <c r="AS190" s="175"/>
      <c r="AT190" s="174"/>
      <c r="AU190" s="174"/>
      <c r="AV190" s="184"/>
      <c r="AW190" s="188"/>
    </row>
    <row r="191" spans="1:49" x14ac:dyDescent="0.25">
      <c r="A191" s="4">
        <v>10130001</v>
      </c>
      <c r="B191" s="219">
        <v>109.80000000000001</v>
      </c>
      <c r="D191" s="206"/>
      <c r="E191" s="71">
        <v>10010014</v>
      </c>
      <c r="F191" s="42">
        <v>6400</v>
      </c>
      <c r="H191" s="199"/>
      <c r="I191" s="71">
        <v>10540044</v>
      </c>
      <c r="J191" s="68">
        <v>60844</v>
      </c>
      <c r="AC191" s="182" t="s">
        <v>1011</v>
      </c>
      <c r="AD191" s="172" t="s">
        <v>752</v>
      </c>
      <c r="AE191" s="172" t="s">
        <v>1112</v>
      </c>
      <c r="AF191" s="172" t="s">
        <v>672</v>
      </c>
      <c r="AG191" s="173">
        <v>110000</v>
      </c>
      <c r="AH191" s="174">
        <v>34076.150296122622</v>
      </c>
      <c r="AI191" s="175">
        <v>75923.849703877378</v>
      </c>
      <c r="AJ191" s="174">
        <v>24076.150296122622</v>
      </c>
      <c r="AK191" s="176">
        <v>10000</v>
      </c>
      <c r="AL191" s="184">
        <f t="shared" si="9"/>
        <v>75923.849703877378</v>
      </c>
      <c r="AN191" s="177"/>
      <c r="AO191" s="177"/>
      <c r="AP191" s="177"/>
      <c r="AQ191" s="178"/>
      <c r="AR191" s="179"/>
      <c r="AS191" s="180"/>
      <c r="AT191" s="179"/>
      <c r="AU191" s="179"/>
      <c r="AV191" s="184"/>
      <c r="AW191" s="187"/>
    </row>
    <row r="192" spans="1:49" x14ac:dyDescent="0.25">
      <c r="A192" s="4">
        <v>10140015</v>
      </c>
      <c r="B192" s="219">
        <v>58</v>
      </c>
      <c r="D192" s="206"/>
      <c r="E192" s="71">
        <v>10010015</v>
      </c>
      <c r="F192" s="42">
        <v>6400</v>
      </c>
      <c r="H192" s="199"/>
      <c r="I192" s="71">
        <v>10020086</v>
      </c>
      <c r="J192" s="68">
        <v>85000</v>
      </c>
      <c r="AC192" s="183" t="s">
        <v>1012</v>
      </c>
      <c r="AD192" s="177" t="s">
        <v>753</v>
      </c>
      <c r="AE192" s="177" t="s">
        <v>1112</v>
      </c>
      <c r="AF192" s="177" t="s">
        <v>672</v>
      </c>
      <c r="AG192" s="178">
        <v>110000</v>
      </c>
      <c r="AH192" s="179">
        <v>15776.582</v>
      </c>
      <c r="AI192" s="180">
        <v>94223.418000000005</v>
      </c>
      <c r="AJ192" s="179">
        <v>5776.5820000000003</v>
      </c>
      <c r="AK192" s="181">
        <v>10000</v>
      </c>
      <c r="AL192" s="184">
        <f t="shared" si="9"/>
        <v>94223.418000000005</v>
      </c>
      <c r="AN192" s="172"/>
      <c r="AO192" s="172"/>
      <c r="AP192" s="172"/>
      <c r="AQ192" s="173"/>
      <c r="AR192" s="174"/>
      <c r="AS192" s="175"/>
      <c r="AT192" s="174"/>
      <c r="AU192" s="174"/>
      <c r="AV192" s="184"/>
      <c r="AW192" s="188"/>
    </row>
    <row r="193" spans="1:49" x14ac:dyDescent="0.25">
      <c r="A193" s="4">
        <v>10140023</v>
      </c>
      <c r="B193" s="219">
        <v>1164</v>
      </c>
      <c r="D193" s="206"/>
      <c r="E193" s="71">
        <v>10010016</v>
      </c>
      <c r="F193" s="42">
        <v>6400</v>
      </c>
      <c r="H193" s="199"/>
      <c r="I193" s="71">
        <v>10060129</v>
      </c>
      <c r="J193" s="68">
        <v>62307.789161260604</v>
      </c>
      <c r="AC193" s="182" t="s">
        <v>831</v>
      </c>
      <c r="AD193" s="172" t="s">
        <v>754</v>
      </c>
      <c r="AE193" s="172" t="s">
        <v>1112</v>
      </c>
      <c r="AF193" s="172" t="s">
        <v>672</v>
      </c>
      <c r="AG193" s="173">
        <v>110000</v>
      </c>
      <c r="AH193" s="174">
        <v>5335</v>
      </c>
      <c r="AI193" s="175">
        <v>104665</v>
      </c>
      <c r="AJ193" s="174">
        <v>335</v>
      </c>
      <c r="AK193" s="176">
        <v>5000</v>
      </c>
      <c r="AL193" s="184">
        <f t="shared" si="9"/>
        <v>104665</v>
      </c>
      <c r="AN193" s="177"/>
      <c r="AO193" s="177"/>
      <c r="AP193" s="177"/>
      <c r="AQ193" s="178"/>
      <c r="AR193" s="179"/>
      <c r="AS193" s="180"/>
      <c r="AT193" s="179"/>
      <c r="AU193" s="179"/>
      <c r="AV193" s="184"/>
      <c r="AW193" s="187"/>
    </row>
    <row r="194" spans="1:49" x14ac:dyDescent="0.25">
      <c r="A194" s="4">
        <v>10140028</v>
      </c>
      <c r="B194" s="219">
        <v>58</v>
      </c>
      <c r="D194" s="206"/>
      <c r="E194" s="71">
        <v>10010022</v>
      </c>
      <c r="F194" s="42">
        <v>6400</v>
      </c>
      <c r="H194" s="199"/>
      <c r="I194" s="71">
        <v>10060130</v>
      </c>
      <c r="J194" s="68">
        <v>67382.050638543398</v>
      </c>
      <c r="AC194" s="183" t="s">
        <v>1013</v>
      </c>
      <c r="AD194" s="177" t="s">
        <v>755</v>
      </c>
      <c r="AE194" s="177" t="s">
        <v>1111</v>
      </c>
      <c r="AF194" s="177" t="s">
        <v>672</v>
      </c>
      <c r="AG194" s="178">
        <v>110000</v>
      </c>
      <c r="AH194" s="179">
        <v>7335.3904000000002</v>
      </c>
      <c r="AI194" s="180">
        <v>102664.6096</v>
      </c>
      <c r="AJ194" s="179">
        <v>7335.3904000000002</v>
      </c>
      <c r="AK194" s="176">
        <v>0</v>
      </c>
      <c r="AL194" s="184">
        <f t="shared" si="9"/>
        <v>102664.6096</v>
      </c>
      <c r="AN194" s="172"/>
      <c r="AO194" s="172"/>
      <c r="AP194" s="172"/>
      <c r="AQ194" s="173"/>
      <c r="AR194" s="174"/>
      <c r="AS194" s="175"/>
      <c r="AT194" s="174"/>
      <c r="AU194" s="174"/>
      <c r="AV194" s="184"/>
      <c r="AW194" s="188"/>
    </row>
    <row r="195" spans="1:49" x14ac:dyDescent="0.25">
      <c r="A195" s="4">
        <v>10140036</v>
      </c>
      <c r="B195" s="219">
        <v>332</v>
      </c>
      <c r="D195" s="206"/>
      <c r="E195" s="71">
        <v>10010020</v>
      </c>
      <c r="F195" s="42">
        <v>3200</v>
      </c>
      <c r="H195" s="199"/>
      <c r="I195" s="71">
        <v>10090078</v>
      </c>
      <c r="J195" s="68">
        <v>63654</v>
      </c>
      <c r="AC195" s="182" t="s">
        <v>1014</v>
      </c>
      <c r="AD195" s="172" t="s">
        <v>238</v>
      </c>
      <c r="AE195" s="172" t="s">
        <v>1111</v>
      </c>
      <c r="AF195" s="172" t="s">
        <v>672</v>
      </c>
      <c r="AG195" s="173">
        <v>110000</v>
      </c>
      <c r="AH195" s="174">
        <v>87868.007721496324</v>
      </c>
      <c r="AI195" s="175">
        <v>22131.992278503676</v>
      </c>
      <c r="AJ195" s="174">
        <v>87868.007721496324</v>
      </c>
      <c r="AK195" s="176">
        <v>0</v>
      </c>
      <c r="AL195" s="184">
        <f t="shared" si="9"/>
        <v>22131.992278503676</v>
      </c>
      <c r="AN195" s="177"/>
      <c r="AO195" s="177"/>
      <c r="AP195" s="177"/>
      <c r="AQ195" s="178"/>
      <c r="AR195" s="179"/>
      <c r="AS195" s="180"/>
      <c r="AT195" s="179"/>
      <c r="AU195" s="179"/>
      <c r="AV195" s="184"/>
      <c r="AW195" s="187"/>
    </row>
    <row r="196" spans="1:49" x14ac:dyDescent="0.25">
      <c r="A196" s="4">
        <v>10140037</v>
      </c>
      <c r="B196" s="219">
        <v>688</v>
      </c>
      <c r="D196" s="206"/>
      <c r="E196" s="71">
        <v>10010024</v>
      </c>
      <c r="F196" s="42">
        <v>9600</v>
      </c>
      <c r="H196" s="199"/>
      <c r="I196" s="71">
        <v>10590006</v>
      </c>
      <c r="J196" s="68">
        <v>56180.341671358598</v>
      </c>
      <c r="AC196" s="183" t="s">
        <v>1015</v>
      </c>
      <c r="AD196" s="177" t="s">
        <v>237</v>
      </c>
      <c r="AE196" s="177" t="s">
        <v>1111</v>
      </c>
      <c r="AF196" s="177" t="s">
        <v>672</v>
      </c>
      <c r="AG196" s="178">
        <v>110000</v>
      </c>
      <c r="AH196" s="179">
        <v>36468.945873787517</v>
      </c>
      <c r="AI196" s="180">
        <v>73531.05412621249</v>
      </c>
      <c r="AJ196" s="179">
        <v>36468.945873787517</v>
      </c>
      <c r="AK196" s="176">
        <v>0</v>
      </c>
      <c r="AL196" s="184">
        <f t="shared" si="9"/>
        <v>73531.05412621249</v>
      </c>
      <c r="AN196" s="172"/>
      <c r="AO196" s="172"/>
      <c r="AP196" s="172"/>
      <c r="AQ196" s="173"/>
      <c r="AR196" s="174"/>
      <c r="AS196" s="175"/>
      <c r="AT196" s="174"/>
      <c r="AU196" s="174"/>
      <c r="AV196" s="184"/>
      <c r="AW196" s="188"/>
    </row>
    <row r="197" spans="1:49" x14ac:dyDescent="0.25">
      <c r="A197" s="4">
        <v>10140038</v>
      </c>
      <c r="B197" s="219">
        <v>348.52</v>
      </c>
      <c r="D197" s="206"/>
      <c r="E197" s="71">
        <v>10010025</v>
      </c>
      <c r="F197" s="42">
        <v>6400</v>
      </c>
      <c r="H197" s="199"/>
      <c r="I197" s="71">
        <v>10590007</v>
      </c>
      <c r="J197" s="68">
        <v>65000</v>
      </c>
      <c r="AC197" s="182" t="s">
        <v>1016</v>
      </c>
      <c r="AD197" s="172" t="s">
        <v>756</v>
      </c>
      <c r="AE197" s="172" t="s">
        <v>1112</v>
      </c>
      <c r="AF197" s="172" t="s">
        <v>672</v>
      </c>
      <c r="AG197" s="173">
        <v>110000</v>
      </c>
      <c r="AH197" s="174">
        <v>50442.697489977087</v>
      </c>
      <c r="AI197" s="175">
        <v>59557.302510022913</v>
      </c>
      <c r="AJ197" s="174">
        <v>40442.697489977087</v>
      </c>
      <c r="AK197" s="176">
        <v>10000</v>
      </c>
      <c r="AL197" s="184">
        <f t="shared" si="9"/>
        <v>59557.302510022913</v>
      </c>
      <c r="AN197" s="177"/>
      <c r="AO197" s="177"/>
      <c r="AP197" s="177"/>
      <c r="AQ197" s="178"/>
      <c r="AR197" s="179"/>
      <c r="AS197" s="180"/>
      <c r="AT197" s="179"/>
      <c r="AU197" s="179"/>
      <c r="AV197" s="184"/>
      <c r="AW197" s="187"/>
    </row>
    <row r="198" spans="1:49" x14ac:dyDescent="0.25">
      <c r="A198" s="4">
        <v>10140040</v>
      </c>
      <c r="B198" s="219">
        <v>332</v>
      </c>
      <c r="D198" s="206"/>
      <c r="E198" s="71">
        <v>10010026</v>
      </c>
      <c r="F198" s="42">
        <v>6400</v>
      </c>
      <c r="H198" s="199"/>
      <c r="I198" s="71">
        <v>10590008</v>
      </c>
      <c r="J198" s="68">
        <v>63614</v>
      </c>
      <c r="AC198" s="183" t="s">
        <v>1017</v>
      </c>
      <c r="AD198" s="177" t="s">
        <v>315</v>
      </c>
      <c r="AE198" s="177" t="s">
        <v>1111</v>
      </c>
      <c r="AF198" s="177" t="s">
        <v>672</v>
      </c>
      <c r="AG198" s="178">
        <v>110000</v>
      </c>
      <c r="AH198" s="179">
        <v>1678.0800000000002</v>
      </c>
      <c r="AI198" s="180">
        <v>108321.92</v>
      </c>
      <c r="AJ198" s="179">
        <v>1678.0800000000002</v>
      </c>
      <c r="AK198" s="176">
        <v>0</v>
      </c>
      <c r="AL198" s="184">
        <f t="shared" si="9"/>
        <v>108321.92</v>
      </c>
      <c r="AN198" s="172"/>
      <c r="AO198" s="172"/>
      <c r="AP198" s="172"/>
      <c r="AQ198" s="173"/>
      <c r="AR198" s="174"/>
      <c r="AS198" s="175"/>
      <c r="AT198" s="174"/>
      <c r="AU198" s="174"/>
      <c r="AV198" s="184"/>
      <c r="AW198" s="188"/>
    </row>
    <row r="199" spans="1:49" x14ac:dyDescent="0.25">
      <c r="A199" s="4">
        <v>10140042</v>
      </c>
      <c r="B199" s="219">
        <v>332</v>
      </c>
      <c r="D199" s="206"/>
      <c r="E199" s="71">
        <v>10010027</v>
      </c>
      <c r="F199" s="42">
        <v>9600</v>
      </c>
      <c r="H199" s="199"/>
      <c r="I199" s="71">
        <v>10590009</v>
      </c>
      <c r="J199" s="68">
        <v>75000</v>
      </c>
      <c r="AC199" s="182" t="s">
        <v>1018</v>
      </c>
      <c r="AD199" s="172" t="s">
        <v>391</v>
      </c>
      <c r="AE199" s="172" t="s">
        <v>1112</v>
      </c>
      <c r="AF199" s="172" t="s">
        <v>672</v>
      </c>
      <c r="AG199" s="173">
        <v>110000</v>
      </c>
      <c r="AH199" s="174">
        <v>56635.60904096836</v>
      </c>
      <c r="AI199" s="175">
        <v>53364.39095903164</v>
      </c>
      <c r="AJ199" s="174">
        <v>46635.60904096836</v>
      </c>
      <c r="AK199" s="176">
        <v>10000</v>
      </c>
      <c r="AL199" s="184">
        <f t="shared" si="9"/>
        <v>53364.39095903164</v>
      </c>
      <c r="AN199" s="172"/>
      <c r="AO199" s="172"/>
      <c r="AP199" s="172"/>
      <c r="AQ199" s="172"/>
      <c r="AR199" s="173"/>
      <c r="AS199" s="174"/>
      <c r="AT199" s="175"/>
      <c r="AU199" s="174"/>
      <c r="AV199" s="184"/>
      <c r="AW199" s="187"/>
    </row>
    <row r="200" spans="1:49" x14ac:dyDescent="0.25">
      <c r="A200" s="4">
        <v>10140044</v>
      </c>
      <c r="B200" s="219">
        <v>58</v>
      </c>
      <c r="D200" s="206"/>
      <c r="E200" s="71">
        <v>10010039</v>
      </c>
      <c r="F200" s="42">
        <v>3118.3879999999999</v>
      </c>
      <c r="H200" s="199"/>
      <c r="I200" s="71">
        <v>10590010</v>
      </c>
      <c r="J200" s="68">
        <v>56598.764987259143</v>
      </c>
      <c r="AC200" s="183" t="s">
        <v>1019</v>
      </c>
      <c r="AD200" s="177" t="s">
        <v>757</v>
      </c>
      <c r="AE200" s="177" t="s">
        <v>1111</v>
      </c>
      <c r="AF200" s="177" t="s">
        <v>672</v>
      </c>
      <c r="AG200" s="178">
        <v>110000</v>
      </c>
      <c r="AH200" s="179">
        <v>31373.109462299057</v>
      </c>
      <c r="AI200" s="180">
        <v>78626.890537700936</v>
      </c>
      <c r="AJ200" s="179">
        <v>31373.109462299057</v>
      </c>
      <c r="AK200" s="176">
        <v>0</v>
      </c>
      <c r="AL200" s="184">
        <f t="shared" si="9"/>
        <v>78626.890537700936</v>
      </c>
      <c r="AN200" s="177"/>
      <c r="AO200" s="177"/>
      <c r="AP200" s="177"/>
      <c r="AQ200" s="177"/>
      <c r="AR200" s="178"/>
      <c r="AS200" s="179"/>
      <c r="AT200" s="180"/>
      <c r="AU200" s="179"/>
      <c r="AV200" s="184"/>
      <c r="AW200" s="188"/>
    </row>
    <row r="201" spans="1:49" x14ac:dyDescent="0.25">
      <c r="A201" s="4">
        <v>10140046</v>
      </c>
      <c r="B201" s="219">
        <v>58</v>
      </c>
      <c r="D201" s="206"/>
      <c r="E201" s="71">
        <v>10010028</v>
      </c>
      <c r="F201" s="42">
        <v>6400</v>
      </c>
      <c r="H201" s="199"/>
      <c r="I201" s="71">
        <v>10600001</v>
      </c>
      <c r="J201" s="68">
        <v>62050.273000000001</v>
      </c>
      <c r="AC201" s="182" t="s">
        <v>1020</v>
      </c>
      <c r="AD201" s="172" t="s">
        <v>758</v>
      </c>
      <c r="AE201" s="172" t="s">
        <v>1111</v>
      </c>
      <c r="AF201" s="172" t="s">
        <v>672</v>
      </c>
      <c r="AG201" s="173">
        <v>110000</v>
      </c>
      <c r="AH201" s="174">
        <v>12362</v>
      </c>
      <c r="AI201" s="175">
        <v>97638</v>
      </c>
      <c r="AJ201" s="174">
        <v>12362</v>
      </c>
      <c r="AK201" s="176">
        <v>0</v>
      </c>
      <c r="AL201" s="184">
        <f t="shared" si="9"/>
        <v>97638</v>
      </c>
      <c r="AN201" s="172"/>
      <c r="AO201" s="172"/>
      <c r="AP201" s="172"/>
      <c r="AQ201" s="172"/>
      <c r="AR201" s="173"/>
      <c r="AS201" s="174"/>
      <c r="AT201" s="175"/>
      <c r="AU201" s="174"/>
      <c r="AV201" s="184"/>
      <c r="AW201" s="187"/>
    </row>
    <row r="202" spans="1:49" x14ac:dyDescent="0.25">
      <c r="A202" s="4">
        <v>10140050</v>
      </c>
      <c r="B202" s="219">
        <v>312</v>
      </c>
      <c r="D202" s="206"/>
      <c r="E202" s="71">
        <v>10010029</v>
      </c>
      <c r="F202" s="42">
        <v>6400</v>
      </c>
      <c r="H202" s="199"/>
      <c r="I202" s="71">
        <v>10600002</v>
      </c>
      <c r="J202" s="68">
        <v>57755.295702771</v>
      </c>
      <c r="AC202" s="183" t="s">
        <v>1021</v>
      </c>
      <c r="AD202" s="177" t="s">
        <v>759</v>
      </c>
      <c r="AE202" s="177" t="s">
        <v>1112</v>
      </c>
      <c r="AF202" s="177" t="s">
        <v>672</v>
      </c>
      <c r="AG202" s="178">
        <v>110000</v>
      </c>
      <c r="AH202" s="179">
        <v>11051</v>
      </c>
      <c r="AI202" s="180">
        <v>98949</v>
      </c>
      <c r="AJ202" s="179">
        <v>1051</v>
      </c>
      <c r="AK202" s="181">
        <v>10000</v>
      </c>
      <c r="AL202" s="184">
        <f t="shared" si="9"/>
        <v>98949</v>
      </c>
      <c r="AN202" s="177"/>
      <c r="AO202" s="177"/>
      <c r="AP202" s="177"/>
      <c r="AQ202" s="177"/>
      <c r="AR202" s="178"/>
      <c r="AS202" s="179"/>
      <c r="AT202" s="180"/>
      <c r="AU202" s="179"/>
      <c r="AV202" s="184"/>
      <c r="AW202" s="188"/>
    </row>
    <row r="203" spans="1:49" x14ac:dyDescent="0.25">
      <c r="A203" s="4">
        <v>10140052</v>
      </c>
      <c r="B203" s="219">
        <v>58</v>
      </c>
      <c r="D203" s="206"/>
      <c r="E203" s="71">
        <v>10010030</v>
      </c>
      <c r="F203" s="42">
        <v>12800</v>
      </c>
      <c r="H203" s="199"/>
      <c r="I203" s="71">
        <v>10600003</v>
      </c>
      <c r="J203" s="68">
        <v>85000</v>
      </c>
      <c r="AC203" s="182" t="s">
        <v>1022</v>
      </c>
      <c r="AD203" s="172" t="s">
        <v>385</v>
      </c>
      <c r="AE203" s="172" t="s">
        <v>1111</v>
      </c>
      <c r="AF203" s="172" t="s">
        <v>672</v>
      </c>
      <c r="AG203" s="173">
        <v>110000</v>
      </c>
      <c r="AH203" s="174">
        <v>23839.930977029391</v>
      </c>
      <c r="AI203" s="175">
        <v>86160.069022970609</v>
      </c>
      <c r="AJ203" s="174">
        <v>23839.930977029391</v>
      </c>
      <c r="AK203" s="176">
        <v>0</v>
      </c>
      <c r="AL203" s="184">
        <f t="shared" si="9"/>
        <v>86160.069022970609</v>
      </c>
      <c r="AN203" s="172"/>
      <c r="AO203" s="172"/>
      <c r="AP203" s="172"/>
      <c r="AQ203" s="172"/>
      <c r="AR203" s="173"/>
      <c r="AS203" s="174"/>
      <c r="AT203" s="175"/>
      <c r="AU203" s="174"/>
      <c r="AV203" s="184"/>
      <c r="AW203" s="187"/>
    </row>
    <row r="204" spans="1:49" x14ac:dyDescent="0.25">
      <c r="A204" s="4">
        <v>10140056</v>
      </c>
      <c r="B204" s="219">
        <v>58</v>
      </c>
      <c r="D204" s="206"/>
      <c r="E204" s="71">
        <v>10010031</v>
      </c>
      <c r="F204" s="42">
        <v>6400</v>
      </c>
      <c r="H204" s="199"/>
      <c r="I204" s="71">
        <v>10600004</v>
      </c>
      <c r="J204" s="68">
        <v>71278</v>
      </c>
      <c r="AC204" s="183" t="s">
        <v>1023</v>
      </c>
      <c r="AD204" s="177" t="s">
        <v>241</v>
      </c>
      <c r="AE204" s="177" t="s">
        <v>1111</v>
      </c>
      <c r="AF204" s="177" t="s">
        <v>672</v>
      </c>
      <c r="AG204" s="178">
        <v>110000</v>
      </c>
      <c r="AH204" s="179">
        <v>10767</v>
      </c>
      <c r="AI204" s="180">
        <v>99233</v>
      </c>
      <c r="AJ204" s="179">
        <v>10767</v>
      </c>
      <c r="AK204" s="176">
        <v>0</v>
      </c>
      <c r="AL204" s="184">
        <f t="shared" si="9"/>
        <v>99233</v>
      </c>
      <c r="AN204" s="177"/>
      <c r="AO204" s="177"/>
      <c r="AP204" s="177"/>
      <c r="AQ204" s="177"/>
      <c r="AR204" s="178"/>
      <c r="AS204" s="179"/>
      <c r="AT204" s="180"/>
      <c r="AU204" s="179"/>
      <c r="AV204" s="184"/>
      <c r="AW204" s="188"/>
    </row>
    <row r="205" spans="1:49" x14ac:dyDescent="0.25">
      <c r="A205" s="4">
        <v>10140059</v>
      </c>
      <c r="B205" s="219">
        <v>4116</v>
      </c>
      <c r="D205" s="206"/>
      <c r="E205" s="71">
        <v>10010032</v>
      </c>
      <c r="F205" s="42">
        <v>3200</v>
      </c>
      <c r="H205" s="199"/>
      <c r="I205" s="71">
        <v>10600005</v>
      </c>
      <c r="J205" s="68">
        <v>73803</v>
      </c>
      <c r="AC205" s="182" t="s">
        <v>1024</v>
      </c>
      <c r="AD205" s="172" t="s">
        <v>760</v>
      </c>
      <c r="AE205" s="172" t="s">
        <v>1112</v>
      </c>
      <c r="AF205" s="172" t="s">
        <v>672</v>
      </c>
      <c r="AG205" s="173">
        <v>110000</v>
      </c>
      <c r="AH205" s="174">
        <v>55230.595701432139</v>
      </c>
      <c r="AI205" s="175">
        <v>54769.404298567861</v>
      </c>
      <c r="AJ205" s="174">
        <v>45230.595701432139</v>
      </c>
      <c r="AK205" s="176">
        <v>10000</v>
      </c>
      <c r="AL205" s="184">
        <f t="shared" si="9"/>
        <v>54769.404298567861</v>
      </c>
      <c r="AN205" s="172"/>
      <c r="AO205" s="172"/>
      <c r="AP205" s="172"/>
      <c r="AQ205" s="172"/>
      <c r="AR205" s="173"/>
      <c r="AS205" s="174"/>
      <c r="AT205" s="175"/>
      <c r="AU205" s="174"/>
      <c r="AV205" s="184"/>
      <c r="AW205" s="187"/>
    </row>
    <row r="206" spans="1:49" x14ac:dyDescent="0.25">
      <c r="A206" s="4">
        <v>10140060</v>
      </c>
      <c r="B206" s="219">
        <v>156</v>
      </c>
      <c r="D206" s="206"/>
      <c r="E206" s="71">
        <v>10010035</v>
      </c>
      <c r="F206" s="42">
        <v>2723.6482000000001</v>
      </c>
      <c r="H206" s="199"/>
      <c r="I206" s="71">
        <v>10600006</v>
      </c>
      <c r="J206" s="68">
        <v>62438</v>
      </c>
      <c r="AC206" s="183" t="s">
        <v>1025</v>
      </c>
      <c r="AD206" s="177" t="s">
        <v>761</v>
      </c>
      <c r="AE206" s="177" t="s">
        <v>1111</v>
      </c>
      <c r="AF206" s="177" t="s">
        <v>672</v>
      </c>
      <c r="AG206" s="178">
        <v>110000</v>
      </c>
      <c r="AH206" s="179">
        <v>23108</v>
      </c>
      <c r="AI206" s="180">
        <v>86892</v>
      </c>
      <c r="AJ206" s="179">
        <v>23108</v>
      </c>
      <c r="AK206" s="176">
        <v>0</v>
      </c>
      <c r="AL206" s="184">
        <f t="shared" si="9"/>
        <v>86892</v>
      </c>
      <c r="AN206" s="177"/>
      <c r="AO206" s="177"/>
      <c r="AP206" s="177"/>
      <c r="AQ206" s="177"/>
      <c r="AR206" s="178"/>
      <c r="AS206" s="179"/>
      <c r="AT206" s="180"/>
      <c r="AU206" s="179"/>
      <c r="AV206" s="184"/>
      <c r="AW206" s="188"/>
    </row>
    <row r="207" spans="1:49" x14ac:dyDescent="0.25">
      <c r="A207" s="4">
        <v>10140061</v>
      </c>
      <c r="B207" s="219">
        <v>156</v>
      </c>
      <c r="D207" s="206"/>
      <c r="E207" s="71">
        <v>10010038</v>
      </c>
      <c r="F207" s="42">
        <v>5744.9159999999993</v>
      </c>
      <c r="H207" s="199"/>
      <c r="I207" s="71">
        <v>10600007</v>
      </c>
      <c r="J207" s="68">
        <v>85000</v>
      </c>
      <c r="AC207" s="182" t="s">
        <v>1026</v>
      </c>
      <c r="AD207" s="172" t="s">
        <v>762</v>
      </c>
      <c r="AE207" s="172" t="s">
        <v>1112</v>
      </c>
      <c r="AF207" s="172" t="s">
        <v>672</v>
      </c>
      <c r="AG207" s="173">
        <v>110000</v>
      </c>
      <c r="AH207" s="174">
        <v>28214.361996577558</v>
      </c>
      <c r="AI207" s="175">
        <v>81785.638003422442</v>
      </c>
      <c r="AJ207" s="174">
        <v>23214.361996577558</v>
      </c>
      <c r="AK207" s="176">
        <v>5000</v>
      </c>
      <c r="AL207" s="184">
        <f t="shared" si="9"/>
        <v>81785.638003422442</v>
      </c>
      <c r="AN207" s="172"/>
      <c r="AO207" s="172"/>
      <c r="AP207" s="172"/>
      <c r="AQ207" s="172"/>
      <c r="AR207" s="173"/>
      <c r="AS207" s="174"/>
      <c r="AT207" s="175"/>
      <c r="AU207" s="174"/>
      <c r="AV207" s="184"/>
      <c r="AW207" s="187"/>
    </row>
    <row r="208" spans="1:49" x14ac:dyDescent="0.25">
      <c r="A208" s="4">
        <v>10140067</v>
      </c>
      <c r="B208" s="219">
        <v>348.52</v>
      </c>
      <c r="D208" s="206"/>
      <c r="E208" s="71">
        <v>10010044</v>
      </c>
      <c r="F208" s="42">
        <v>5059.8527868101683</v>
      </c>
      <c r="H208" s="199"/>
      <c r="I208" s="71">
        <v>10530100</v>
      </c>
      <c r="J208" s="68">
        <v>61838</v>
      </c>
      <c r="AC208" s="183" t="s">
        <v>1027</v>
      </c>
      <c r="AD208" s="177" t="s">
        <v>279</v>
      </c>
      <c r="AE208" s="177" t="s">
        <v>1111</v>
      </c>
      <c r="AF208" s="177" t="s">
        <v>672</v>
      </c>
      <c r="AG208" s="178">
        <v>110000</v>
      </c>
      <c r="AH208" s="179">
        <v>31521.260754517651</v>
      </c>
      <c r="AI208" s="180">
        <v>78478.739245482342</v>
      </c>
      <c r="AJ208" s="179">
        <v>31521.260754517651</v>
      </c>
      <c r="AK208" s="176">
        <v>0</v>
      </c>
      <c r="AL208" s="184">
        <f t="shared" si="9"/>
        <v>78478.739245482342</v>
      </c>
      <c r="AN208" s="177"/>
      <c r="AO208" s="177"/>
      <c r="AP208" s="177"/>
      <c r="AQ208" s="177"/>
      <c r="AR208" s="178"/>
      <c r="AS208" s="179"/>
      <c r="AT208" s="180"/>
      <c r="AU208" s="179"/>
      <c r="AV208" s="184"/>
      <c r="AW208" s="188"/>
    </row>
    <row r="209" spans="1:49" x14ac:dyDescent="0.25">
      <c r="A209" s="4">
        <v>10140086</v>
      </c>
      <c r="B209" s="219">
        <v>1696</v>
      </c>
      <c r="D209" s="206"/>
      <c r="E209" s="71">
        <v>10010051</v>
      </c>
      <c r="F209" s="42">
        <v>6970.1517999999996</v>
      </c>
      <c r="H209" s="199"/>
      <c r="I209" s="71">
        <v>10530101</v>
      </c>
      <c r="J209" s="68">
        <v>59673.941573638207</v>
      </c>
      <c r="AC209" s="182" t="s">
        <v>1028</v>
      </c>
      <c r="AD209" s="172" t="s">
        <v>242</v>
      </c>
      <c r="AE209" s="172" t="s">
        <v>1111</v>
      </c>
      <c r="AF209" s="172" t="s">
        <v>672</v>
      </c>
      <c r="AG209" s="173">
        <v>110000</v>
      </c>
      <c r="AH209" s="174">
        <v>25064</v>
      </c>
      <c r="AI209" s="175">
        <v>84936</v>
      </c>
      <c r="AJ209" s="174">
        <v>25064</v>
      </c>
      <c r="AK209" s="176">
        <v>0</v>
      </c>
      <c r="AL209" s="184">
        <f t="shared" si="9"/>
        <v>84936</v>
      </c>
      <c r="AN209" s="172"/>
      <c r="AO209" s="172"/>
      <c r="AP209" s="172"/>
      <c r="AQ209" s="172"/>
      <c r="AR209" s="173"/>
      <c r="AS209" s="174"/>
      <c r="AT209" s="175"/>
      <c r="AU209" s="174"/>
      <c r="AV209" s="184"/>
      <c r="AW209" s="187"/>
    </row>
    <row r="210" spans="1:49" x14ac:dyDescent="0.25">
      <c r="A210" s="4">
        <v>10140095</v>
      </c>
      <c r="B210" s="219">
        <v>348.52</v>
      </c>
      <c r="D210" s="206"/>
      <c r="E210" s="71">
        <v>10010052</v>
      </c>
      <c r="F210" s="42">
        <v>6116.3181999999997</v>
      </c>
      <c r="H210" s="199"/>
      <c r="I210" s="71">
        <v>10110180</v>
      </c>
      <c r="J210" s="68">
        <v>85000</v>
      </c>
      <c r="AC210" s="183" t="s">
        <v>1029</v>
      </c>
      <c r="AD210" s="177"/>
      <c r="AE210" s="177" t="s">
        <v>1111</v>
      </c>
      <c r="AF210" s="177" t="s">
        <v>672</v>
      </c>
      <c r="AG210" s="178">
        <v>110000</v>
      </c>
      <c r="AH210" s="179">
        <v>18756</v>
      </c>
      <c r="AI210" s="180">
        <v>91244</v>
      </c>
      <c r="AJ210" s="179">
        <v>18756</v>
      </c>
      <c r="AK210" s="176">
        <v>0</v>
      </c>
      <c r="AL210" s="184">
        <f t="shared" si="9"/>
        <v>91244</v>
      </c>
      <c r="AN210" s="177"/>
      <c r="AO210" s="177"/>
      <c r="AP210" s="177"/>
      <c r="AQ210" s="177"/>
      <c r="AR210" s="178"/>
      <c r="AS210" s="179"/>
      <c r="AT210" s="180"/>
      <c r="AU210" s="179"/>
      <c r="AV210" s="184"/>
      <c r="AW210" s="188"/>
    </row>
    <row r="211" spans="1:49" x14ac:dyDescent="0.25">
      <c r="A211" s="4">
        <v>10360011</v>
      </c>
      <c r="B211" s="219">
        <v>4058</v>
      </c>
      <c r="D211" s="206"/>
      <c r="E211" s="71">
        <v>10090046</v>
      </c>
      <c r="F211" s="42">
        <v>6233.0370000000003</v>
      </c>
      <c r="H211" s="199"/>
      <c r="I211" s="71">
        <v>10580015</v>
      </c>
      <c r="J211" s="68">
        <v>59188.563628903459</v>
      </c>
      <c r="AC211" s="182" t="s">
        <v>1030</v>
      </c>
      <c r="AD211" s="172" t="s">
        <v>763</v>
      </c>
      <c r="AE211" s="172" t="s">
        <v>1111</v>
      </c>
      <c r="AF211" s="172" t="s">
        <v>672</v>
      </c>
      <c r="AG211" s="173">
        <v>110000</v>
      </c>
      <c r="AH211" s="174">
        <v>12893.4297720912</v>
      </c>
      <c r="AI211" s="175">
        <v>97106.5702279088</v>
      </c>
      <c r="AJ211" s="174">
        <v>12893.4297720912</v>
      </c>
      <c r="AK211" s="176">
        <v>0</v>
      </c>
      <c r="AL211" s="184">
        <f t="shared" si="9"/>
        <v>97106.5702279088</v>
      </c>
      <c r="AN211" s="172"/>
      <c r="AO211" s="172"/>
      <c r="AP211" s="172"/>
      <c r="AQ211" s="172"/>
      <c r="AR211" s="173"/>
      <c r="AS211" s="174"/>
      <c r="AT211" s="175"/>
      <c r="AU211" s="174"/>
      <c r="AV211" s="184"/>
      <c r="AW211" s="187"/>
    </row>
    <row r="212" spans="1:49" x14ac:dyDescent="0.25">
      <c r="A212" s="4">
        <v>10480016</v>
      </c>
      <c r="B212" s="219">
        <v>256.5</v>
      </c>
      <c r="D212" s="206"/>
      <c r="E212" s="71">
        <v>10090047</v>
      </c>
      <c r="F212" s="42">
        <v>7346.9286000000002</v>
      </c>
      <c r="H212" s="199"/>
      <c r="I212" s="71">
        <v>10580017</v>
      </c>
      <c r="J212" s="68">
        <v>53209.205469273802</v>
      </c>
      <c r="AC212" s="183" t="s">
        <v>1031</v>
      </c>
      <c r="AD212" s="177" t="s">
        <v>764</v>
      </c>
      <c r="AE212" s="177" t="s">
        <v>1111</v>
      </c>
      <c r="AF212" s="177" t="s">
        <v>672</v>
      </c>
      <c r="AG212" s="178">
        <v>110000</v>
      </c>
      <c r="AH212" s="179">
        <v>9814</v>
      </c>
      <c r="AI212" s="180">
        <v>100186</v>
      </c>
      <c r="AJ212" s="179">
        <v>9814</v>
      </c>
      <c r="AK212" s="176">
        <v>0</v>
      </c>
      <c r="AL212" s="184">
        <f t="shared" si="9"/>
        <v>100186</v>
      </c>
      <c r="AN212" s="177"/>
      <c r="AO212" s="177"/>
      <c r="AP212" s="177"/>
      <c r="AQ212" s="177"/>
      <c r="AR212" s="178"/>
      <c r="AS212" s="179"/>
      <c r="AT212" s="180"/>
      <c r="AU212" s="179"/>
      <c r="AV212" s="184"/>
      <c r="AW212" s="188"/>
    </row>
    <row r="213" spans="1:49" x14ac:dyDescent="0.25">
      <c r="A213" s="4">
        <v>10480018</v>
      </c>
      <c r="B213" s="219">
        <v>214</v>
      </c>
      <c r="D213" s="206"/>
      <c r="E213" s="71">
        <v>10090043</v>
      </c>
      <c r="F213" s="42">
        <v>2616.1276175555313</v>
      </c>
      <c r="H213" s="199"/>
      <c r="I213" s="71">
        <v>10580018</v>
      </c>
      <c r="J213" s="68">
        <v>61000</v>
      </c>
      <c r="AC213" s="182" t="s">
        <v>1032</v>
      </c>
      <c r="AD213" s="172" t="s">
        <v>765</v>
      </c>
      <c r="AE213" s="172" t="s">
        <v>1111</v>
      </c>
      <c r="AF213" s="172" t="s">
        <v>672</v>
      </c>
      <c r="AG213" s="173">
        <v>110000</v>
      </c>
      <c r="AH213" s="174">
        <v>31612.939049766403</v>
      </c>
      <c r="AI213" s="175">
        <v>78387.060950233601</v>
      </c>
      <c r="AJ213" s="174">
        <v>31612.939049766403</v>
      </c>
      <c r="AK213" s="176">
        <v>0</v>
      </c>
      <c r="AL213" s="184">
        <f t="shared" si="9"/>
        <v>78387.060950233601</v>
      </c>
      <c r="AN213" s="172"/>
      <c r="AO213" s="172"/>
      <c r="AP213" s="172"/>
      <c r="AQ213" s="172"/>
      <c r="AR213" s="173"/>
      <c r="AS213" s="174"/>
      <c r="AT213" s="175"/>
      <c r="AU213" s="174"/>
      <c r="AV213" s="184"/>
      <c r="AW213" s="187"/>
    </row>
    <row r="214" spans="1:49" x14ac:dyDescent="0.25">
      <c r="A214" s="4">
        <v>10480019</v>
      </c>
      <c r="B214" s="219">
        <v>2042</v>
      </c>
      <c r="D214" s="206"/>
      <c r="E214" s="71">
        <v>10020049</v>
      </c>
      <c r="F214" s="42">
        <v>4313.4394000000002</v>
      </c>
      <c r="H214" s="199"/>
      <c r="I214" s="71">
        <v>10010141</v>
      </c>
      <c r="J214" s="68">
        <v>61000</v>
      </c>
      <c r="AC214" s="183" t="s">
        <v>1033</v>
      </c>
      <c r="AD214" s="177" t="s">
        <v>236</v>
      </c>
      <c r="AE214" s="177" t="s">
        <v>1111</v>
      </c>
      <c r="AF214" s="177" t="s">
        <v>672</v>
      </c>
      <c r="AG214" s="178">
        <v>110000</v>
      </c>
      <c r="AH214" s="179">
        <v>19200</v>
      </c>
      <c r="AI214" s="180">
        <v>90800</v>
      </c>
      <c r="AJ214" s="179">
        <v>19200</v>
      </c>
      <c r="AK214" s="176">
        <v>0</v>
      </c>
      <c r="AL214" s="184">
        <f t="shared" si="9"/>
        <v>90800</v>
      </c>
      <c r="AN214" s="177"/>
      <c r="AO214" s="177"/>
      <c r="AP214" s="177"/>
      <c r="AQ214" s="177"/>
      <c r="AR214" s="178"/>
      <c r="AS214" s="179"/>
      <c r="AT214" s="180"/>
      <c r="AU214" s="179"/>
      <c r="AV214" s="184"/>
      <c r="AW214" s="188"/>
    </row>
    <row r="215" spans="1:49" x14ac:dyDescent="0.25">
      <c r="A215" s="4">
        <v>10480020</v>
      </c>
      <c r="B215" s="219">
        <v>986</v>
      </c>
      <c r="D215" s="206"/>
      <c r="E215" s="71">
        <v>10030038</v>
      </c>
      <c r="F215" s="42">
        <v>16000</v>
      </c>
      <c r="H215" s="199"/>
      <c r="I215" s="71">
        <v>10580019</v>
      </c>
      <c r="J215" s="68">
        <v>70000</v>
      </c>
      <c r="AC215" s="182" t="s">
        <v>1034</v>
      </c>
      <c r="AD215" s="172" t="s">
        <v>766</v>
      </c>
      <c r="AE215" s="172" t="s">
        <v>1111</v>
      </c>
      <c r="AF215" s="172" t="s">
        <v>672</v>
      </c>
      <c r="AG215" s="173">
        <v>110000</v>
      </c>
      <c r="AH215" s="174">
        <v>3957</v>
      </c>
      <c r="AI215" s="175">
        <v>106043</v>
      </c>
      <c r="AJ215" s="174">
        <v>3957</v>
      </c>
      <c r="AK215" s="176">
        <v>0</v>
      </c>
      <c r="AL215" s="184">
        <f t="shared" si="9"/>
        <v>106043</v>
      </c>
      <c r="AN215" s="172"/>
      <c r="AO215" s="172"/>
      <c r="AP215" s="172"/>
      <c r="AQ215" s="172"/>
      <c r="AR215" s="173"/>
      <c r="AS215" s="174"/>
      <c r="AT215" s="175"/>
      <c r="AU215" s="174"/>
      <c r="AV215" s="184"/>
      <c r="AW215" s="187"/>
    </row>
    <row r="216" spans="1:49" x14ac:dyDescent="0.25">
      <c r="A216" s="4">
        <v>10060066</v>
      </c>
      <c r="B216" s="219">
        <v>328</v>
      </c>
      <c r="D216" s="206"/>
      <c r="E216" s="71">
        <v>10030049</v>
      </c>
      <c r="F216" s="42">
        <v>19200</v>
      </c>
      <c r="H216" s="199"/>
      <c r="I216" s="71">
        <v>10070078</v>
      </c>
      <c r="J216" s="68">
        <v>69280.066186967641</v>
      </c>
      <c r="AC216" s="183" t="s">
        <v>1035</v>
      </c>
      <c r="AD216" s="177" t="s">
        <v>767</v>
      </c>
      <c r="AE216" s="177" t="s">
        <v>1112</v>
      </c>
      <c r="AF216" s="177" t="s">
        <v>672</v>
      </c>
      <c r="AG216" s="178">
        <v>110000</v>
      </c>
      <c r="AH216" s="179">
        <v>18375</v>
      </c>
      <c r="AI216" s="180">
        <v>91625</v>
      </c>
      <c r="AJ216" s="179">
        <v>3375</v>
      </c>
      <c r="AK216" s="181">
        <v>15000</v>
      </c>
      <c r="AL216" s="184">
        <f t="shared" si="9"/>
        <v>91625</v>
      </c>
      <c r="AN216" s="177"/>
      <c r="AO216" s="177"/>
      <c r="AP216" s="177"/>
      <c r="AQ216" s="177"/>
      <c r="AR216" s="178"/>
      <c r="AS216" s="179"/>
      <c r="AT216" s="180"/>
      <c r="AU216" s="179"/>
      <c r="AV216" s="184"/>
      <c r="AW216" s="188"/>
    </row>
    <row r="217" spans="1:49" x14ac:dyDescent="0.25">
      <c r="A217" s="4">
        <v>10110044</v>
      </c>
      <c r="B217" s="219">
        <v>96</v>
      </c>
      <c r="D217" s="206"/>
      <c r="E217" s="71">
        <v>10030050</v>
      </c>
      <c r="F217" s="42">
        <v>19200</v>
      </c>
      <c r="H217" s="199"/>
      <c r="I217" s="71">
        <v>10120120</v>
      </c>
      <c r="J217" s="68">
        <v>73531</v>
      </c>
      <c r="AC217" s="182" t="s">
        <v>1036</v>
      </c>
      <c r="AD217" s="172" t="s">
        <v>424</v>
      </c>
      <c r="AE217" s="172" t="s">
        <v>1111</v>
      </c>
      <c r="AF217" s="172" t="s">
        <v>672</v>
      </c>
      <c r="AG217" s="173">
        <v>110000</v>
      </c>
      <c r="AH217" s="174">
        <v>23160.757766561281</v>
      </c>
      <c r="AI217" s="175">
        <v>86839.242233438723</v>
      </c>
      <c r="AJ217" s="174">
        <v>23160.757766561281</v>
      </c>
      <c r="AK217" s="176">
        <v>0</v>
      </c>
      <c r="AL217" s="184">
        <f t="shared" si="9"/>
        <v>86839.242233438723</v>
      </c>
      <c r="AN217" s="172"/>
      <c r="AO217" s="172"/>
      <c r="AP217" s="172"/>
      <c r="AQ217" s="172"/>
      <c r="AR217" s="173"/>
      <c r="AS217" s="174"/>
      <c r="AT217" s="175"/>
      <c r="AU217" s="174"/>
      <c r="AV217" s="184"/>
      <c r="AW217" s="187"/>
    </row>
    <row r="218" spans="1:49" x14ac:dyDescent="0.25">
      <c r="A218" s="4">
        <v>10110052</v>
      </c>
      <c r="B218" s="219">
        <v>60</v>
      </c>
      <c r="D218" s="206"/>
      <c r="E218" s="71">
        <v>10030052</v>
      </c>
      <c r="F218" s="42">
        <v>6400</v>
      </c>
      <c r="H218" s="199"/>
      <c r="I218" s="71">
        <v>10120121</v>
      </c>
      <c r="J218" s="68">
        <v>72825</v>
      </c>
      <c r="AC218" s="183" t="s">
        <v>1037</v>
      </c>
      <c r="AD218" s="177" t="s">
        <v>235</v>
      </c>
      <c r="AE218" s="177" t="s">
        <v>1111</v>
      </c>
      <c r="AF218" s="177" t="s">
        <v>672</v>
      </c>
      <c r="AG218" s="178">
        <v>110000</v>
      </c>
      <c r="AH218" s="179">
        <v>26855.085847754111</v>
      </c>
      <c r="AI218" s="180">
        <v>83144.914152245881</v>
      </c>
      <c r="AJ218" s="179">
        <v>26855.085847754111</v>
      </c>
      <c r="AK218" s="176">
        <v>0</v>
      </c>
      <c r="AL218" s="184">
        <f t="shared" si="9"/>
        <v>83144.914152245881</v>
      </c>
      <c r="AN218" s="177"/>
      <c r="AO218" s="177"/>
      <c r="AP218" s="177"/>
      <c r="AQ218" s="177"/>
      <c r="AR218" s="178"/>
      <c r="AS218" s="179"/>
      <c r="AT218" s="180"/>
      <c r="AU218" s="179"/>
      <c r="AV218" s="184"/>
      <c r="AW218" s="188"/>
    </row>
    <row r="219" spans="1:49" x14ac:dyDescent="0.25">
      <c r="A219" s="4">
        <v>10110003</v>
      </c>
      <c r="B219" s="219">
        <v>753.06</v>
      </c>
      <c r="D219" s="206"/>
      <c r="E219" s="71">
        <v>10030053</v>
      </c>
      <c r="F219" s="42">
        <v>12800</v>
      </c>
      <c r="H219" s="199"/>
      <c r="I219" s="71">
        <v>10530103</v>
      </c>
      <c r="J219" s="68">
        <v>38999.792834078697</v>
      </c>
      <c r="AC219" s="182" t="s">
        <v>1038</v>
      </c>
      <c r="AD219" s="172" t="s">
        <v>297</v>
      </c>
      <c r="AE219" s="172" t="s">
        <v>1111</v>
      </c>
      <c r="AF219" s="172" t="s">
        <v>672</v>
      </c>
      <c r="AG219" s="173">
        <v>110000</v>
      </c>
      <c r="AH219" s="174">
        <v>23868.265833054906</v>
      </c>
      <c r="AI219" s="175">
        <v>86131.734166945098</v>
      </c>
      <c r="AJ219" s="174">
        <v>23868.265833054906</v>
      </c>
      <c r="AK219" s="176">
        <v>0</v>
      </c>
      <c r="AL219" s="184">
        <f t="shared" si="9"/>
        <v>86131.734166945098</v>
      </c>
      <c r="AN219" s="172"/>
      <c r="AO219" s="172"/>
      <c r="AP219" s="172"/>
      <c r="AQ219" s="172"/>
      <c r="AR219" s="173"/>
      <c r="AS219" s="174"/>
      <c r="AT219" s="175"/>
      <c r="AU219" s="174"/>
      <c r="AV219" s="184"/>
      <c r="AW219" s="187"/>
    </row>
    <row r="220" spans="1:49" x14ac:dyDescent="0.25">
      <c r="A220" s="4">
        <v>10110017</v>
      </c>
      <c r="B220" s="219">
        <v>64</v>
      </c>
      <c r="D220" s="206"/>
      <c r="E220" s="71">
        <v>10030054</v>
      </c>
      <c r="F220" s="42">
        <v>12800</v>
      </c>
      <c r="H220" s="199"/>
      <c r="I220" s="71">
        <v>10540042</v>
      </c>
      <c r="J220" s="68">
        <v>47540.820830891207</v>
      </c>
      <c r="AC220" s="183" t="s">
        <v>1039</v>
      </c>
      <c r="AD220" s="177" t="s">
        <v>365</v>
      </c>
      <c r="AE220" s="177" t="s">
        <v>1111</v>
      </c>
      <c r="AF220" s="177" t="s">
        <v>672</v>
      </c>
      <c r="AG220" s="178">
        <v>110000</v>
      </c>
      <c r="AH220" s="179">
        <v>44808.473050174798</v>
      </c>
      <c r="AI220" s="180">
        <v>65191.526949825202</v>
      </c>
      <c r="AJ220" s="179">
        <v>44808.473050174798</v>
      </c>
      <c r="AK220" s="176">
        <v>0</v>
      </c>
      <c r="AL220" s="184">
        <f t="shared" si="9"/>
        <v>65191.526949825202</v>
      </c>
      <c r="AN220" s="177"/>
      <c r="AO220" s="177"/>
      <c r="AP220" s="177"/>
      <c r="AQ220" s="177"/>
      <c r="AR220" s="178"/>
      <c r="AS220" s="179"/>
      <c r="AT220" s="180"/>
      <c r="AU220" s="179"/>
      <c r="AV220" s="184"/>
      <c r="AW220" s="188"/>
    </row>
    <row r="221" spans="1:49" x14ac:dyDescent="0.25">
      <c r="A221" s="4">
        <v>10110018</v>
      </c>
      <c r="B221" s="219">
        <v>64</v>
      </c>
      <c r="D221" s="206"/>
      <c r="E221" s="71">
        <v>10030055</v>
      </c>
      <c r="F221" s="42">
        <v>4308.3318379994362</v>
      </c>
      <c r="H221" s="199"/>
      <c r="I221" s="71">
        <v>10560026</v>
      </c>
      <c r="J221" s="68">
        <v>61804.757439609879</v>
      </c>
      <c r="AC221" s="182" t="s">
        <v>1040</v>
      </c>
      <c r="AD221" s="172" t="s">
        <v>366</v>
      </c>
      <c r="AE221" s="172" t="s">
        <v>1111</v>
      </c>
      <c r="AF221" s="172" t="s">
        <v>672</v>
      </c>
      <c r="AG221" s="173">
        <v>110000</v>
      </c>
      <c r="AH221" s="174">
        <v>36031.766694571532</v>
      </c>
      <c r="AI221" s="175">
        <v>73968.233305428468</v>
      </c>
      <c r="AJ221" s="174">
        <v>36031.766694571532</v>
      </c>
      <c r="AK221" s="176">
        <v>0</v>
      </c>
      <c r="AL221" s="184">
        <f t="shared" si="9"/>
        <v>73968.233305428468</v>
      </c>
      <c r="AN221" s="172"/>
      <c r="AO221" s="172"/>
      <c r="AP221" s="172"/>
      <c r="AQ221" s="172"/>
      <c r="AR221" s="173"/>
      <c r="AS221" s="174"/>
      <c r="AT221" s="175"/>
      <c r="AU221" s="174"/>
      <c r="AV221" s="184"/>
      <c r="AW221" s="187"/>
    </row>
    <row r="222" spans="1:49" x14ac:dyDescent="0.25">
      <c r="A222" s="4">
        <v>10110020</v>
      </c>
      <c r="B222" s="219">
        <v>64</v>
      </c>
      <c r="D222" s="206"/>
      <c r="E222" s="71">
        <v>10030056</v>
      </c>
      <c r="F222" s="42">
        <v>3890.3617999999997</v>
      </c>
      <c r="H222" s="199"/>
      <c r="I222" s="71">
        <v>10530102</v>
      </c>
      <c r="J222" s="68">
        <v>67966</v>
      </c>
      <c r="AC222" s="183" t="s">
        <v>1041</v>
      </c>
      <c r="AD222" s="177" t="s">
        <v>364</v>
      </c>
      <c r="AE222" s="177" t="s">
        <v>1111</v>
      </c>
      <c r="AF222" s="177" t="s">
        <v>672</v>
      </c>
      <c r="AG222" s="178">
        <v>110000</v>
      </c>
      <c r="AH222" s="179">
        <v>27909.654667865394</v>
      </c>
      <c r="AI222" s="180">
        <v>82090.345332134602</v>
      </c>
      <c r="AJ222" s="179">
        <v>27909.654667865394</v>
      </c>
      <c r="AK222" s="176">
        <v>0</v>
      </c>
      <c r="AL222" s="184">
        <f t="shared" si="9"/>
        <v>82090.345332134602</v>
      </c>
      <c r="AN222" s="177"/>
      <c r="AO222" s="177"/>
      <c r="AP222" s="177"/>
      <c r="AQ222" s="177"/>
      <c r="AR222" s="178"/>
      <c r="AS222" s="179"/>
      <c r="AT222" s="180"/>
      <c r="AU222" s="179"/>
      <c r="AV222" s="184"/>
      <c r="AW222" s="188"/>
    </row>
    <row r="223" spans="1:49" x14ac:dyDescent="0.25">
      <c r="A223" s="4">
        <v>10110022</v>
      </c>
      <c r="B223" s="219">
        <v>64</v>
      </c>
      <c r="D223" s="206"/>
      <c r="E223" s="71">
        <v>10140055</v>
      </c>
      <c r="F223" s="42">
        <v>6400</v>
      </c>
      <c r="H223" s="199"/>
      <c r="I223" s="71">
        <v>10570036</v>
      </c>
      <c r="J223" s="68">
        <v>74046</v>
      </c>
      <c r="AC223" s="182" t="s">
        <v>1042</v>
      </c>
      <c r="AD223" s="172" t="s">
        <v>768</v>
      </c>
      <c r="AE223" s="172" t="s">
        <v>1112</v>
      </c>
      <c r="AF223" s="172" t="s">
        <v>672</v>
      </c>
      <c r="AG223" s="173">
        <v>110000</v>
      </c>
      <c r="AH223" s="174">
        <v>17101.914623189641</v>
      </c>
      <c r="AI223" s="175">
        <v>92898.085376810355</v>
      </c>
      <c r="AJ223" s="174">
        <v>2101.9146231896398</v>
      </c>
      <c r="AK223" s="176">
        <v>15000</v>
      </c>
      <c r="AL223" s="184">
        <f t="shared" si="9"/>
        <v>92898.085376810355</v>
      </c>
      <c r="AN223" s="172"/>
      <c r="AO223" s="172"/>
      <c r="AP223" s="172"/>
      <c r="AQ223" s="172"/>
      <c r="AR223" s="173"/>
      <c r="AS223" s="174"/>
      <c r="AT223" s="175"/>
      <c r="AU223" s="174"/>
      <c r="AV223" s="184"/>
      <c r="AW223" s="187"/>
    </row>
    <row r="224" spans="1:49" x14ac:dyDescent="0.25">
      <c r="A224" s="4">
        <v>10110023</v>
      </c>
      <c r="B224" s="219">
        <v>64</v>
      </c>
      <c r="D224" s="206"/>
      <c r="E224" s="71">
        <v>10140058</v>
      </c>
      <c r="F224" s="42">
        <v>4553.6584051864938</v>
      </c>
      <c r="H224" s="199"/>
      <c r="I224" s="71">
        <v>10590001</v>
      </c>
      <c r="J224" s="68">
        <v>54686.603026859499</v>
      </c>
      <c r="AC224" s="183" t="s">
        <v>1043</v>
      </c>
      <c r="AD224" s="177" t="s">
        <v>769</v>
      </c>
      <c r="AE224" s="177" t="s">
        <v>1112</v>
      </c>
      <c r="AF224" s="177" t="s">
        <v>672</v>
      </c>
      <c r="AG224" s="178">
        <v>110000</v>
      </c>
      <c r="AH224" s="179">
        <v>26886</v>
      </c>
      <c r="AI224" s="180">
        <v>83114</v>
      </c>
      <c r="AJ224" s="179">
        <v>16886</v>
      </c>
      <c r="AK224" s="181">
        <v>10000</v>
      </c>
      <c r="AL224" s="184">
        <f t="shared" si="9"/>
        <v>83114</v>
      </c>
      <c r="AN224" s="177"/>
      <c r="AO224" s="177"/>
      <c r="AP224" s="177"/>
      <c r="AQ224" s="177"/>
      <c r="AR224" s="178"/>
      <c r="AS224" s="179"/>
      <c r="AT224" s="180"/>
      <c r="AU224" s="179"/>
      <c r="AV224" s="184"/>
      <c r="AW224" s="188"/>
    </row>
    <row r="225" spans="1:49" x14ac:dyDescent="0.25">
      <c r="A225" s="4">
        <v>10110025</v>
      </c>
      <c r="B225" s="219">
        <v>64</v>
      </c>
      <c r="D225" s="206"/>
      <c r="E225" s="71">
        <v>10140069</v>
      </c>
      <c r="F225" s="42">
        <v>20608.7408</v>
      </c>
      <c r="H225" s="199"/>
      <c r="I225" s="71">
        <v>10590002</v>
      </c>
      <c r="J225" s="68">
        <v>78467</v>
      </c>
      <c r="AC225" s="182" t="s">
        <v>1044</v>
      </c>
      <c r="AD225" s="172" t="s">
        <v>770</v>
      </c>
      <c r="AE225" s="172" t="s">
        <v>1112</v>
      </c>
      <c r="AF225" s="172" t="s">
        <v>672</v>
      </c>
      <c r="AG225" s="173">
        <v>110000</v>
      </c>
      <c r="AH225" s="174">
        <v>13722</v>
      </c>
      <c r="AI225" s="175">
        <v>96278</v>
      </c>
      <c r="AJ225" s="174">
        <v>3722</v>
      </c>
      <c r="AK225" s="176">
        <v>10000</v>
      </c>
      <c r="AL225" s="184">
        <f t="shared" si="9"/>
        <v>96278</v>
      </c>
      <c r="AN225" s="172"/>
      <c r="AO225" s="172"/>
      <c r="AP225" s="172"/>
      <c r="AQ225" s="172"/>
      <c r="AR225" s="173"/>
      <c r="AS225" s="174"/>
      <c r="AT225" s="175"/>
      <c r="AU225" s="174"/>
      <c r="AV225" s="184"/>
      <c r="AW225" s="187"/>
    </row>
    <row r="226" spans="1:49" x14ac:dyDescent="0.25">
      <c r="A226" s="4">
        <v>10110026</v>
      </c>
      <c r="B226" s="219">
        <v>64</v>
      </c>
      <c r="D226" s="206"/>
      <c r="E226" s="71">
        <v>10140066</v>
      </c>
      <c r="F226" s="42">
        <v>10516.0602</v>
      </c>
      <c r="H226" s="199"/>
      <c r="I226" s="71">
        <v>10590003</v>
      </c>
      <c r="J226" s="68">
        <v>73962</v>
      </c>
      <c r="AC226" s="183" t="s">
        <v>1045</v>
      </c>
      <c r="AD226" s="177" t="s">
        <v>771</v>
      </c>
      <c r="AE226" s="177" t="s">
        <v>1111</v>
      </c>
      <c r="AF226" s="177" t="s">
        <v>672</v>
      </c>
      <c r="AG226" s="178">
        <v>110000</v>
      </c>
      <c r="AH226" s="179">
        <v>20132</v>
      </c>
      <c r="AI226" s="180">
        <v>89868</v>
      </c>
      <c r="AJ226" s="179">
        <v>20132</v>
      </c>
      <c r="AK226" s="176">
        <v>0</v>
      </c>
      <c r="AL226" s="184">
        <f t="shared" si="9"/>
        <v>89868</v>
      </c>
      <c r="AN226" s="177"/>
      <c r="AO226" s="177"/>
      <c r="AP226" s="177"/>
      <c r="AQ226" s="177"/>
      <c r="AR226" s="178"/>
      <c r="AS226" s="179"/>
      <c r="AT226" s="180"/>
      <c r="AU226" s="179"/>
      <c r="AV226" s="184"/>
      <c r="AW226" s="188"/>
    </row>
    <row r="227" spans="1:49" x14ac:dyDescent="0.25">
      <c r="A227" s="4">
        <v>10110027</v>
      </c>
      <c r="B227" s="219">
        <v>64</v>
      </c>
      <c r="D227" s="206"/>
      <c r="E227" s="71">
        <v>10140067</v>
      </c>
      <c r="F227" s="42">
        <v>7332.1943236625211</v>
      </c>
      <c r="H227" s="199"/>
      <c r="I227" s="71">
        <v>10590004</v>
      </c>
      <c r="J227" s="68">
        <v>54049.153322679806</v>
      </c>
      <c r="AC227" s="182" t="s">
        <v>1046</v>
      </c>
      <c r="AD227" s="172" t="s">
        <v>243</v>
      </c>
      <c r="AE227" s="172" t="s">
        <v>1111</v>
      </c>
      <c r="AF227" s="172" t="s">
        <v>672</v>
      </c>
      <c r="AG227" s="173">
        <v>110000</v>
      </c>
      <c r="AH227" s="174">
        <v>28828.692655656359</v>
      </c>
      <c r="AI227" s="175">
        <v>81171.307344343644</v>
      </c>
      <c r="AJ227" s="174">
        <v>28828.692655656359</v>
      </c>
      <c r="AK227" s="176">
        <v>0</v>
      </c>
      <c r="AL227" s="184">
        <f t="shared" si="9"/>
        <v>81171.307344343644</v>
      </c>
      <c r="AN227" s="172"/>
      <c r="AO227" s="172"/>
      <c r="AP227" s="172"/>
      <c r="AQ227" s="172"/>
      <c r="AR227" s="173"/>
      <c r="AS227" s="174"/>
      <c r="AT227" s="175"/>
      <c r="AU227" s="174"/>
      <c r="AV227" s="184"/>
      <c r="AW227" s="187"/>
    </row>
    <row r="228" spans="1:49" x14ac:dyDescent="0.25">
      <c r="A228" s="4">
        <v>10110028</v>
      </c>
      <c r="B228" s="219">
        <v>64</v>
      </c>
      <c r="D228" s="206"/>
      <c r="E228" s="71">
        <v>10140068</v>
      </c>
      <c r="F228" s="42">
        <v>9469.3031999999985</v>
      </c>
      <c r="H228" s="199"/>
      <c r="I228" s="71">
        <v>10590005</v>
      </c>
      <c r="J228" s="68">
        <v>85000</v>
      </c>
      <c r="AC228" s="183" t="s">
        <v>1047</v>
      </c>
      <c r="AD228" s="177" t="s">
        <v>772</v>
      </c>
      <c r="AE228" s="177" t="s">
        <v>1111</v>
      </c>
      <c r="AF228" s="177" t="s">
        <v>672</v>
      </c>
      <c r="AG228" s="178">
        <v>110000</v>
      </c>
      <c r="AH228" s="179">
        <v>31558.897697541226</v>
      </c>
      <c r="AI228" s="180">
        <v>78441.102302458778</v>
      </c>
      <c r="AJ228" s="179">
        <v>31558.897697541226</v>
      </c>
      <c r="AK228" s="176">
        <v>0</v>
      </c>
      <c r="AL228" s="184">
        <f t="shared" si="9"/>
        <v>78441.102302458778</v>
      </c>
      <c r="AN228" s="177"/>
      <c r="AO228" s="177"/>
      <c r="AP228" s="177"/>
      <c r="AQ228" s="177"/>
      <c r="AR228" s="178"/>
      <c r="AS228" s="179"/>
      <c r="AT228" s="180"/>
      <c r="AU228" s="179"/>
      <c r="AV228" s="184"/>
      <c r="AW228" s="188"/>
    </row>
    <row r="229" spans="1:49" x14ac:dyDescent="0.25">
      <c r="A229" s="4">
        <v>10110029</v>
      </c>
      <c r="B229" s="219">
        <v>64</v>
      </c>
      <c r="D229" s="206"/>
      <c r="E229" s="71">
        <v>10010007</v>
      </c>
      <c r="F229" s="42">
        <v>12800</v>
      </c>
      <c r="H229" s="199"/>
      <c r="I229" s="71">
        <v>10070077</v>
      </c>
      <c r="J229" s="68">
        <v>74569</v>
      </c>
      <c r="AC229" s="182" t="s">
        <v>1048</v>
      </c>
      <c r="AD229" s="172" t="s">
        <v>102</v>
      </c>
      <c r="AE229" s="172" t="s">
        <v>1111</v>
      </c>
      <c r="AF229" s="172" t="s">
        <v>672</v>
      </c>
      <c r="AG229" s="173">
        <v>110000</v>
      </c>
      <c r="AH229" s="174">
        <v>25423.704620260502</v>
      </c>
      <c r="AI229" s="175">
        <v>84576.295379739502</v>
      </c>
      <c r="AJ229" s="174">
        <v>25423.704620260502</v>
      </c>
      <c r="AK229" s="176">
        <v>0</v>
      </c>
      <c r="AL229" s="184">
        <f t="shared" si="9"/>
        <v>84576.295379739502</v>
      </c>
      <c r="AN229" s="172"/>
      <c r="AO229" s="172"/>
      <c r="AP229" s="172"/>
      <c r="AQ229" s="172"/>
      <c r="AR229" s="173"/>
      <c r="AS229" s="174"/>
      <c r="AT229" s="175"/>
      <c r="AU229" s="174"/>
      <c r="AV229" s="184"/>
      <c r="AW229" s="187"/>
    </row>
    <row r="230" spans="1:49" x14ac:dyDescent="0.25">
      <c r="A230" s="4">
        <v>10110030</v>
      </c>
      <c r="B230" s="219">
        <v>64</v>
      </c>
      <c r="D230" s="206"/>
      <c r="E230" s="71">
        <v>10010019</v>
      </c>
      <c r="F230" s="42">
        <v>6400</v>
      </c>
      <c r="H230" s="199"/>
      <c r="I230" s="71">
        <v>10560022</v>
      </c>
      <c r="J230" s="68">
        <v>47608.67042078232</v>
      </c>
      <c r="AC230" s="183" t="s">
        <v>1049</v>
      </c>
      <c r="AD230" s="177" t="s">
        <v>773</v>
      </c>
      <c r="AE230" s="177" t="s">
        <v>1111</v>
      </c>
      <c r="AF230" s="177" t="s">
        <v>672</v>
      </c>
      <c r="AG230" s="178">
        <v>110000</v>
      </c>
      <c r="AH230" s="179">
        <v>7674.7212726565322</v>
      </c>
      <c r="AI230" s="180">
        <v>102325.27872734347</v>
      </c>
      <c r="AJ230" s="179">
        <v>7674.7212726565322</v>
      </c>
      <c r="AK230" s="176">
        <v>0</v>
      </c>
      <c r="AL230" s="184">
        <f t="shared" si="9"/>
        <v>102325.27872734347</v>
      </c>
      <c r="AN230" s="177"/>
      <c r="AO230" s="177"/>
      <c r="AP230" s="177"/>
      <c r="AQ230" s="177"/>
      <c r="AR230" s="178"/>
      <c r="AS230" s="179"/>
      <c r="AT230" s="180"/>
      <c r="AU230" s="179"/>
      <c r="AV230" s="184"/>
      <c r="AW230" s="188"/>
    </row>
    <row r="231" spans="1:49" x14ac:dyDescent="0.25">
      <c r="A231" s="4">
        <v>10110031</v>
      </c>
      <c r="B231" s="219">
        <v>64</v>
      </c>
      <c r="D231" s="206"/>
      <c r="E231" s="71">
        <v>10010010</v>
      </c>
      <c r="F231" s="42">
        <v>6400</v>
      </c>
      <c r="H231" s="199"/>
      <c r="I231" s="71">
        <v>10560023</v>
      </c>
      <c r="J231" s="68">
        <v>80000</v>
      </c>
      <c r="AC231" s="182" t="s">
        <v>1050</v>
      </c>
      <c r="AD231" s="172" t="s">
        <v>774</v>
      </c>
      <c r="AE231" s="172" t="s">
        <v>1111</v>
      </c>
      <c r="AF231" s="172" t="s">
        <v>672</v>
      </c>
      <c r="AG231" s="173">
        <v>110000</v>
      </c>
      <c r="AH231" s="174">
        <v>7675</v>
      </c>
      <c r="AI231" s="175">
        <v>102325</v>
      </c>
      <c r="AJ231" s="174">
        <v>7675</v>
      </c>
      <c r="AK231" s="176">
        <v>0</v>
      </c>
      <c r="AL231" s="184">
        <f t="shared" si="9"/>
        <v>102325</v>
      </c>
      <c r="AN231" s="172"/>
      <c r="AO231" s="172"/>
      <c r="AP231" s="172"/>
      <c r="AQ231" s="172"/>
      <c r="AR231" s="173"/>
      <c r="AS231" s="174"/>
      <c r="AT231" s="175"/>
      <c r="AU231" s="174"/>
      <c r="AV231" s="184"/>
      <c r="AW231" s="187"/>
    </row>
    <row r="232" spans="1:49" x14ac:dyDescent="0.25">
      <c r="A232" s="4">
        <v>10110034</v>
      </c>
      <c r="B232" s="220">
        <v>64</v>
      </c>
      <c r="D232" s="206"/>
      <c r="E232" s="71">
        <v>10010034</v>
      </c>
      <c r="F232" s="42">
        <v>4760.8959999999997</v>
      </c>
      <c r="H232" s="199"/>
      <c r="I232" s="71">
        <v>10140197</v>
      </c>
      <c r="J232" s="68">
        <v>83488</v>
      </c>
      <c r="AC232" s="183" t="s">
        <v>1051</v>
      </c>
      <c r="AD232" s="177" t="s">
        <v>301</v>
      </c>
      <c r="AE232" s="177" t="s">
        <v>1111</v>
      </c>
      <c r="AF232" s="177" t="s">
        <v>672</v>
      </c>
      <c r="AG232" s="178">
        <v>110000</v>
      </c>
      <c r="AH232" s="179">
        <v>34155.331892297843</v>
      </c>
      <c r="AI232" s="180">
        <v>75844.668107702164</v>
      </c>
      <c r="AJ232" s="179">
        <v>34155.331892297843</v>
      </c>
      <c r="AK232" s="176">
        <v>0</v>
      </c>
      <c r="AL232" s="184">
        <f t="shared" si="9"/>
        <v>75844.668107702164</v>
      </c>
      <c r="AN232" s="177"/>
      <c r="AO232" s="177"/>
      <c r="AP232" s="177"/>
      <c r="AQ232" s="177"/>
      <c r="AR232" s="178"/>
      <c r="AS232" s="179"/>
      <c r="AT232" s="180"/>
      <c r="AU232" s="179"/>
      <c r="AV232" s="184"/>
      <c r="AW232" s="188"/>
    </row>
    <row r="233" spans="1:49" x14ac:dyDescent="0.25">
      <c r="A233" s="4">
        <v>10110035</v>
      </c>
      <c r="B233" s="219">
        <v>64</v>
      </c>
      <c r="D233" s="206"/>
      <c r="E233" s="71">
        <v>10010023</v>
      </c>
      <c r="F233" s="42">
        <v>6400</v>
      </c>
      <c r="H233" s="199"/>
      <c r="I233" s="71">
        <v>10080119</v>
      </c>
      <c r="J233" s="68">
        <v>61027.422399999996</v>
      </c>
      <c r="AC233" s="182" t="s">
        <v>1052</v>
      </c>
      <c r="AD233" s="172" t="s">
        <v>300</v>
      </c>
      <c r="AE233" s="172" t="s">
        <v>1111</v>
      </c>
      <c r="AF233" s="172" t="s">
        <v>672</v>
      </c>
      <c r="AG233" s="173">
        <v>110000</v>
      </c>
      <c r="AH233" s="174">
        <v>28991.570189911039</v>
      </c>
      <c r="AI233" s="175">
        <v>81008.429810088957</v>
      </c>
      <c r="AJ233" s="174">
        <v>28991.570189911039</v>
      </c>
      <c r="AK233" s="176">
        <v>0</v>
      </c>
      <c r="AL233" s="184">
        <f t="shared" si="9"/>
        <v>81008.429810088957</v>
      </c>
      <c r="AN233" s="172"/>
      <c r="AO233" s="172"/>
      <c r="AP233" s="172"/>
      <c r="AQ233" s="172"/>
      <c r="AR233" s="173"/>
      <c r="AS233" s="174"/>
      <c r="AT233" s="175"/>
      <c r="AU233" s="174"/>
      <c r="AV233" s="184"/>
      <c r="AW233" s="187"/>
    </row>
    <row r="234" spans="1:49" x14ac:dyDescent="0.25">
      <c r="A234" s="4">
        <v>10110037</v>
      </c>
      <c r="B234" s="219">
        <v>64</v>
      </c>
      <c r="D234" s="206"/>
      <c r="E234" s="71">
        <v>10010033</v>
      </c>
      <c r="F234" s="42">
        <v>5965.65</v>
      </c>
      <c r="H234" s="199"/>
      <c r="I234" s="71">
        <v>10110177</v>
      </c>
      <c r="J234" s="68">
        <v>60396.019002686866</v>
      </c>
      <c r="AC234" s="183" t="s">
        <v>1053</v>
      </c>
      <c r="AD234" s="177" t="s">
        <v>775</v>
      </c>
      <c r="AE234" s="177" t="s">
        <v>1111</v>
      </c>
      <c r="AF234" s="177" t="s">
        <v>672</v>
      </c>
      <c r="AG234" s="178">
        <v>110000</v>
      </c>
      <c r="AH234" s="179">
        <v>2643</v>
      </c>
      <c r="AI234" s="180">
        <v>107357</v>
      </c>
      <c r="AJ234" s="179">
        <v>2643</v>
      </c>
      <c r="AK234" s="176">
        <v>0</v>
      </c>
      <c r="AL234" s="184">
        <f t="shared" si="9"/>
        <v>107357</v>
      </c>
      <c r="AN234" s="177"/>
      <c r="AO234" s="177"/>
      <c r="AP234" s="177"/>
      <c r="AQ234" s="177"/>
      <c r="AR234" s="178"/>
      <c r="AS234" s="179"/>
      <c r="AT234" s="180"/>
      <c r="AU234" s="179"/>
      <c r="AV234" s="184"/>
      <c r="AW234" s="188"/>
    </row>
    <row r="235" spans="1:49" x14ac:dyDescent="0.25">
      <c r="A235" s="4">
        <v>10110038</v>
      </c>
      <c r="B235" s="219">
        <v>64</v>
      </c>
      <c r="D235" s="206"/>
      <c r="E235" s="71">
        <v>10010042</v>
      </c>
      <c r="F235" s="42">
        <v>6400</v>
      </c>
      <c r="H235" s="199"/>
      <c r="I235" s="71">
        <v>10550004</v>
      </c>
      <c r="J235" s="68">
        <v>85000</v>
      </c>
      <c r="AC235" s="182" t="s">
        <v>1054</v>
      </c>
      <c r="AD235" s="172" t="s">
        <v>776</v>
      </c>
      <c r="AE235" s="172" t="s">
        <v>1111</v>
      </c>
      <c r="AF235" s="172" t="s">
        <v>672</v>
      </c>
      <c r="AG235" s="173">
        <v>110000</v>
      </c>
      <c r="AH235" s="174">
        <v>28384.150978485322</v>
      </c>
      <c r="AI235" s="175">
        <v>81615.849021514674</v>
      </c>
      <c r="AJ235" s="174">
        <v>28384.150978485322</v>
      </c>
      <c r="AK235" s="176">
        <v>0</v>
      </c>
      <c r="AL235" s="184">
        <f t="shared" si="9"/>
        <v>81615.849021514674</v>
      </c>
      <c r="AN235" s="172"/>
      <c r="AO235" s="172"/>
      <c r="AP235" s="172"/>
      <c r="AQ235" s="172"/>
      <c r="AR235" s="173"/>
      <c r="AS235" s="174"/>
      <c r="AT235" s="175"/>
      <c r="AU235" s="174"/>
      <c r="AV235" s="184"/>
      <c r="AW235" s="187"/>
    </row>
    <row r="236" spans="1:49" x14ac:dyDescent="0.25">
      <c r="A236" s="4">
        <v>10110039</v>
      </c>
      <c r="B236" s="219">
        <v>64</v>
      </c>
      <c r="D236" s="206"/>
      <c r="E236" s="71">
        <v>10010040</v>
      </c>
      <c r="F236" s="42">
        <v>6057.4044000000004</v>
      </c>
      <c r="H236" s="199"/>
      <c r="I236" s="71">
        <v>10580010</v>
      </c>
      <c r="J236" s="68">
        <v>63454</v>
      </c>
      <c r="AC236" s="183" t="s">
        <v>1055</v>
      </c>
      <c r="AD236" s="177" t="s">
        <v>299</v>
      </c>
      <c r="AE236" s="177" t="s">
        <v>1111</v>
      </c>
      <c r="AF236" s="177" t="s">
        <v>672</v>
      </c>
      <c r="AG236" s="178">
        <v>110000</v>
      </c>
      <c r="AH236" s="179">
        <v>22505.874887833968</v>
      </c>
      <c r="AI236" s="180">
        <v>87494.125112166032</v>
      </c>
      <c r="AJ236" s="179">
        <v>22505.874887833968</v>
      </c>
      <c r="AK236" s="176">
        <v>0</v>
      </c>
      <c r="AL236" s="184">
        <f t="shared" si="9"/>
        <v>87494.125112166032</v>
      </c>
      <c r="AN236" s="177"/>
      <c r="AO236" s="177"/>
      <c r="AP236" s="177"/>
      <c r="AQ236" s="177"/>
      <c r="AR236" s="178"/>
      <c r="AS236" s="179"/>
      <c r="AT236" s="180"/>
      <c r="AU236" s="179"/>
      <c r="AV236" s="184"/>
      <c r="AW236" s="188"/>
    </row>
    <row r="237" spans="1:49" x14ac:dyDescent="0.25">
      <c r="A237" s="4">
        <v>10110040</v>
      </c>
      <c r="B237" s="219">
        <v>64</v>
      </c>
      <c r="D237" s="206"/>
      <c r="E237" s="71">
        <v>10010018</v>
      </c>
      <c r="F237" s="42">
        <v>6400</v>
      </c>
      <c r="H237" s="199"/>
      <c r="I237" s="71">
        <v>10060126</v>
      </c>
      <c r="J237" s="68">
        <v>62673</v>
      </c>
      <c r="AC237" s="182" t="s">
        <v>1056</v>
      </c>
      <c r="AD237" s="172" t="s">
        <v>639</v>
      </c>
      <c r="AE237" s="172" t="s">
        <v>1111</v>
      </c>
      <c r="AF237" s="172" t="s">
        <v>672</v>
      </c>
      <c r="AG237" s="173">
        <v>110000</v>
      </c>
      <c r="AH237" s="174">
        <v>21082</v>
      </c>
      <c r="AI237" s="175">
        <v>88918</v>
      </c>
      <c r="AJ237" s="174">
        <v>21082</v>
      </c>
      <c r="AK237" s="176">
        <v>0</v>
      </c>
      <c r="AL237" s="184">
        <f t="shared" si="9"/>
        <v>88918</v>
      </c>
      <c r="AN237" s="172"/>
      <c r="AO237" s="172"/>
      <c r="AP237" s="172"/>
      <c r="AQ237" s="172"/>
      <c r="AR237" s="173"/>
      <c r="AS237" s="174"/>
      <c r="AT237" s="175"/>
      <c r="AU237" s="174"/>
      <c r="AV237" s="184"/>
      <c r="AW237" s="187"/>
    </row>
    <row r="238" spans="1:49" x14ac:dyDescent="0.25">
      <c r="A238" s="4">
        <v>10110041</v>
      </c>
      <c r="B238" s="219">
        <v>64</v>
      </c>
      <c r="D238" s="206"/>
      <c r="E238" s="71">
        <v>10010009</v>
      </c>
      <c r="F238" s="42">
        <v>6400</v>
      </c>
      <c r="H238" s="199"/>
      <c r="I238" s="71">
        <v>10090074</v>
      </c>
      <c r="J238" s="68">
        <v>77009.724000000002</v>
      </c>
      <c r="AC238" s="183" t="s">
        <v>831</v>
      </c>
      <c r="AD238" s="177" t="s">
        <v>777</v>
      </c>
      <c r="AE238" s="177" t="s">
        <v>1112</v>
      </c>
      <c r="AF238" s="177" t="s">
        <v>672</v>
      </c>
      <c r="AG238" s="178">
        <v>110000</v>
      </c>
      <c r="AH238" s="179">
        <v>10000</v>
      </c>
      <c r="AI238" s="180">
        <v>100000</v>
      </c>
      <c r="AJ238" s="179">
        <v>0</v>
      </c>
      <c r="AK238" s="181">
        <v>10000</v>
      </c>
      <c r="AL238" s="184">
        <f t="shared" si="9"/>
        <v>100000</v>
      </c>
      <c r="AN238" s="177"/>
      <c r="AO238" s="177"/>
      <c r="AP238" s="177"/>
      <c r="AQ238" s="177"/>
      <c r="AR238" s="178"/>
      <c r="AS238" s="179"/>
      <c r="AT238" s="180"/>
      <c r="AU238" s="179"/>
      <c r="AV238" s="184"/>
      <c r="AW238" s="188"/>
    </row>
    <row r="239" spans="1:49" x14ac:dyDescent="0.25">
      <c r="A239" s="4">
        <v>10110058</v>
      </c>
      <c r="B239" s="219">
        <v>64</v>
      </c>
      <c r="D239" s="206"/>
      <c r="E239" s="71">
        <v>10010037</v>
      </c>
      <c r="F239" s="42">
        <v>6400</v>
      </c>
      <c r="H239" s="199"/>
      <c r="I239" s="71">
        <v>10090075</v>
      </c>
      <c r="J239" s="68">
        <v>58407.746946631371</v>
      </c>
      <c r="AC239" s="182" t="s">
        <v>1057</v>
      </c>
      <c r="AD239" s="172" t="s">
        <v>778</v>
      </c>
      <c r="AE239" s="172" t="s">
        <v>1112</v>
      </c>
      <c r="AF239" s="172" t="s">
        <v>672</v>
      </c>
      <c r="AG239" s="173">
        <v>110000</v>
      </c>
      <c r="AH239" s="174">
        <v>42264.734400000001</v>
      </c>
      <c r="AI239" s="175">
        <v>67735.265599999999</v>
      </c>
      <c r="AJ239" s="174">
        <v>32264.734400000001</v>
      </c>
      <c r="AK239" s="176">
        <v>10000</v>
      </c>
      <c r="AL239" s="184">
        <f t="shared" si="9"/>
        <v>67735.265599999999</v>
      </c>
      <c r="AN239" s="172"/>
      <c r="AO239" s="172"/>
      <c r="AP239" s="172"/>
      <c r="AQ239" s="172"/>
      <c r="AR239" s="173"/>
      <c r="AS239" s="174"/>
      <c r="AT239" s="175"/>
      <c r="AU239" s="174"/>
      <c r="AV239" s="184"/>
      <c r="AW239" s="187"/>
    </row>
    <row r="240" spans="1:49" x14ac:dyDescent="0.25">
      <c r="A240" s="4">
        <v>10110060</v>
      </c>
      <c r="B240" s="219">
        <v>64</v>
      </c>
      <c r="D240" s="206"/>
      <c r="E240" s="71">
        <v>10080029</v>
      </c>
      <c r="F240" s="42">
        <v>6400</v>
      </c>
      <c r="H240" s="199"/>
      <c r="I240" s="71">
        <v>10580011</v>
      </c>
      <c r="J240" s="68">
        <v>85000</v>
      </c>
      <c r="AC240" s="183" t="s">
        <v>831</v>
      </c>
      <c r="AD240" s="177" t="s">
        <v>779</v>
      </c>
      <c r="AE240" s="177" t="s">
        <v>1112</v>
      </c>
      <c r="AF240" s="177" t="s">
        <v>672</v>
      </c>
      <c r="AG240" s="178">
        <v>110000</v>
      </c>
      <c r="AH240" s="179">
        <v>5000</v>
      </c>
      <c r="AI240" s="180">
        <v>105000</v>
      </c>
      <c r="AJ240" s="179">
        <v>0</v>
      </c>
      <c r="AK240" s="181">
        <v>5000</v>
      </c>
      <c r="AL240" s="184">
        <f t="shared" si="9"/>
        <v>105000</v>
      </c>
      <c r="AN240" s="177"/>
      <c r="AO240" s="177"/>
      <c r="AP240" s="177"/>
      <c r="AQ240" s="177"/>
      <c r="AR240" s="178"/>
      <c r="AS240" s="179"/>
      <c r="AT240" s="180"/>
      <c r="AU240" s="179"/>
      <c r="AV240" s="184"/>
      <c r="AW240" s="188"/>
    </row>
    <row r="241" spans="1:49" x14ac:dyDescent="0.25">
      <c r="A241" s="4">
        <v>10110061</v>
      </c>
      <c r="B241" s="219">
        <v>64</v>
      </c>
      <c r="D241" s="206"/>
      <c r="E241" s="71">
        <v>10080028</v>
      </c>
      <c r="F241" s="42">
        <v>6400</v>
      </c>
      <c r="H241" s="199"/>
      <c r="I241" s="71">
        <v>10580012</v>
      </c>
      <c r="J241" s="68">
        <v>60000</v>
      </c>
      <c r="AC241" s="182" t="s">
        <v>1058</v>
      </c>
      <c r="AD241" s="172" t="s">
        <v>780</v>
      </c>
      <c r="AE241" s="172" t="s">
        <v>1112</v>
      </c>
      <c r="AF241" s="172" t="s">
        <v>672</v>
      </c>
      <c r="AG241" s="173">
        <v>110000</v>
      </c>
      <c r="AH241" s="174">
        <v>32616</v>
      </c>
      <c r="AI241" s="175">
        <v>77384</v>
      </c>
      <c r="AJ241" s="174">
        <v>27616</v>
      </c>
      <c r="AK241" s="176">
        <v>5000</v>
      </c>
      <c r="AL241" s="184">
        <f t="shared" si="9"/>
        <v>77384</v>
      </c>
      <c r="AN241" s="172"/>
      <c r="AO241" s="172"/>
      <c r="AP241" s="172"/>
      <c r="AQ241" s="172"/>
      <c r="AR241" s="173"/>
      <c r="AS241" s="174"/>
      <c r="AT241" s="175"/>
      <c r="AU241" s="174"/>
      <c r="AV241" s="184"/>
      <c r="AW241" s="187"/>
    </row>
    <row r="242" spans="1:49" x14ac:dyDescent="0.25">
      <c r="A242" s="4">
        <v>10110062</v>
      </c>
      <c r="B242" s="219">
        <v>64</v>
      </c>
      <c r="D242" s="206"/>
      <c r="E242" s="71">
        <v>10080020</v>
      </c>
      <c r="F242" s="42">
        <v>5593.0776491584002</v>
      </c>
      <c r="H242" s="199"/>
      <c r="I242" s="71">
        <v>10140194</v>
      </c>
      <c r="J242" s="68">
        <v>66365.361129868601</v>
      </c>
      <c r="AC242" s="183" t="s">
        <v>1059</v>
      </c>
      <c r="AD242" s="177" t="s">
        <v>781</v>
      </c>
      <c r="AE242" s="177" t="s">
        <v>1112</v>
      </c>
      <c r="AF242" s="177" t="s">
        <v>672</v>
      </c>
      <c r="AG242" s="178">
        <v>110000</v>
      </c>
      <c r="AH242" s="179">
        <v>38024.839399999997</v>
      </c>
      <c r="AI242" s="180">
        <v>71975.160600000003</v>
      </c>
      <c r="AJ242" s="179">
        <v>28024.839400000001</v>
      </c>
      <c r="AK242" s="181">
        <v>10000</v>
      </c>
      <c r="AL242" s="184">
        <f t="shared" si="9"/>
        <v>71975.160600000003</v>
      </c>
      <c r="AN242" s="177"/>
      <c r="AO242" s="177"/>
      <c r="AP242" s="177"/>
      <c r="AQ242" s="177"/>
      <c r="AR242" s="178"/>
      <c r="AS242" s="179"/>
      <c r="AT242" s="180"/>
      <c r="AU242" s="179"/>
      <c r="AV242" s="184"/>
      <c r="AW242" s="188"/>
    </row>
    <row r="243" spans="1:49" x14ac:dyDescent="0.25">
      <c r="A243" s="4">
        <v>10110063</v>
      </c>
      <c r="B243" s="219">
        <v>64</v>
      </c>
      <c r="D243" s="206"/>
      <c r="E243" s="71">
        <v>10010006</v>
      </c>
      <c r="F243" s="42">
        <v>3908.3907181823997</v>
      </c>
      <c r="H243" s="199"/>
      <c r="I243" s="71">
        <v>10570018</v>
      </c>
      <c r="J243" s="68">
        <v>55339.962974483999</v>
      </c>
      <c r="AC243" s="182" t="s">
        <v>1060</v>
      </c>
      <c r="AD243" s="172" t="s">
        <v>782</v>
      </c>
      <c r="AE243" s="172" t="s">
        <v>1112</v>
      </c>
      <c r="AF243" s="172" t="s">
        <v>672</v>
      </c>
      <c r="AG243" s="173">
        <v>110000</v>
      </c>
      <c r="AH243" s="174">
        <v>19627.443599999999</v>
      </c>
      <c r="AI243" s="175">
        <v>90372.556400000001</v>
      </c>
      <c r="AJ243" s="174">
        <v>9627.4435999999987</v>
      </c>
      <c r="AK243" s="176">
        <v>10000</v>
      </c>
      <c r="AL243" s="184">
        <f t="shared" si="9"/>
        <v>90372.556400000001</v>
      </c>
      <c r="AN243" s="172"/>
      <c r="AO243" s="172"/>
      <c r="AP243" s="172"/>
      <c r="AQ243" s="172"/>
      <c r="AR243" s="173"/>
      <c r="AS243" s="174"/>
      <c r="AT243" s="175"/>
      <c r="AU243" s="174"/>
      <c r="AV243" s="184"/>
      <c r="AW243" s="187"/>
    </row>
    <row r="244" spans="1:49" x14ac:dyDescent="0.25">
      <c r="A244" s="4">
        <v>10110064</v>
      </c>
      <c r="B244" s="219">
        <v>64</v>
      </c>
      <c r="D244" s="206"/>
      <c r="E244" s="71">
        <v>10010017</v>
      </c>
      <c r="F244" s="42">
        <v>6400</v>
      </c>
      <c r="H244" s="199"/>
      <c r="I244" s="71">
        <v>10130108</v>
      </c>
      <c r="J244" s="68">
        <v>100000</v>
      </c>
      <c r="AC244" s="183" t="s">
        <v>1061</v>
      </c>
      <c r="AD244" s="177" t="s">
        <v>783</v>
      </c>
      <c r="AE244" s="177" t="s">
        <v>1112</v>
      </c>
      <c r="AF244" s="177" t="s">
        <v>672</v>
      </c>
      <c r="AG244" s="178">
        <v>110000</v>
      </c>
      <c r="AH244" s="179">
        <v>10000</v>
      </c>
      <c r="AI244" s="180">
        <v>100000</v>
      </c>
      <c r="AJ244" s="179">
        <v>0</v>
      </c>
      <c r="AK244" s="181">
        <v>10000</v>
      </c>
      <c r="AL244" s="184">
        <f t="shared" si="9"/>
        <v>100000</v>
      </c>
      <c r="AN244" s="177"/>
      <c r="AO244" s="177"/>
      <c r="AP244" s="177"/>
      <c r="AQ244" s="177"/>
      <c r="AR244" s="178"/>
      <c r="AS244" s="179"/>
      <c r="AT244" s="180"/>
      <c r="AU244" s="179"/>
      <c r="AV244" s="184"/>
      <c r="AW244" s="188"/>
    </row>
    <row r="245" spans="1:49" x14ac:dyDescent="0.25">
      <c r="A245" s="4">
        <v>10110067</v>
      </c>
      <c r="B245" s="219">
        <v>64</v>
      </c>
      <c r="D245" s="206"/>
      <c r="E245" s="71">
        <v>10080058</v>
      </c>
      <c r="F245" s="42">
        <v>6400</v>
      </c>
      <c r="H245" s="199"/>
      <c r="I245" s="71">
        <v>10080118</v>
      </c>
      <c r="J245" s="68">
        <v>85000</v>
      </c>
      <c r="AC245" s="182" t="s">
        <v>831</v>
      </c>
      <c r="AD245" s="172" t="s">
        <v>784</v>
      </c>
      <c r="AE245" s="172" t="s">
        <v>1112</v>
      </c>
      <c r="AF245" s="172" t="s">
        <v>672</v>
      </c>
      <c r="AG245" s="173">
        <v>110000</v>
      </c>
      <c r="AH245" s="174">
        <v>10000</v>
      </c>
      <c r="AI245" s="175">
        <v>100000</v>
      </c>
      <c r="AJ245" s="174">
        <v>0</v>
      </c>
      <c r="AK245" s="176">
        <v>10000</v>
      </c>
      <c r="AL245" s="184">
        <f t="shared" si="9"/>
        <v>100000</v>
      </c>
      <c r="AN245" s="172"/>
      <c r="AO245" s="172"/>
      <c r="AP245" s="172"/>
      <c r="AQ245" s="172"/>
      <c r="AR245" s="173"/>
      <c r="AS245" s="174"/>
      <c r="AT245" s="175"/>
      <c r="AU245" s="174"/>
      <c r="AV245" s="184"/>
      <c r="AW245" s="187"/>
    </row>
    <row r="246" spans="1:49" x14ac:dyDescent="0.25">
      <c r="A246" s="4">
        <v>10110068</v>
      </c>
      <c r="B246" s="219">
        <v>64</v>
      </c>
      <c r="D246" s="206"/>
      <c r="E246" s="71">
        <v>10080033</v>
      </c>
      <c r="F246" s="42">
        <v>6232.1556</v>
      </c>
      <c r="H246" s="199"/>
      <c r="I246" s="71">
        <v>10110175</v>
      </c>
      <c r="J246" s="68">
        <v>65000</v>
      </c>
      <c r="AC246" s="183" t="s">
        <v>1062</v>
      </c>
      <c r="AD246" s="177" t="s">
        <v>785</v>
      </c>
      <c r="AE246" s="177" t="s">
        <v>1112</v>
      </c>
      <c r="AF246" s="177" t="s">
        <v>672</v>
      </c>
      <c r="AG246" s="178">
        <v>110000</v>
      </c>
      <c r="AH246" s="179">
        <v>46765.769011810342</v>
      </c>
      <c r="AI246" s="180">
        <v>63234.230988189658</v>
      </c>
      <c r="AJ246" s="179">
        <v>36765.769011810342</v>
      </c>
      <c r="AK246" s="181">
        <v>10000</v>
      </c>
      <c r="AL246" s="184">
        <f t="shared" si="9"/>
        <v>63234.230988189658</v>
      </c>
      <c r="AN246" s="177"/>
      <c r="AO246" s="177"/>
      <c r="AP246" s="177"/>
      <c r="AQ246" s="177"/>
      <c r="AR246" s="178"/>
      <c r="AS246" s="179"/>
      <c r="AT246" s="180"/>
      <c r="AU246" s="179"/>
      <c r="AV246" s="184"/>
      <c r="AW246" s="188"/>
    </row>
    <row r="247" spans="1:49" x14ac:dyDescent="0.25">
      <c r="A247" s="4">
        <v>10110069</v>
      </c>
      <c r="B247" s="219">
        <v>64</v>
      </c>
      <c r="D247" s="206"/>
      <c r="E247" s="71">
        <v>10080059</v>
      </c>
      <c r="F247" s="42">
        <v>6400</v>
      </c>
      <c r="H247" s="199"/>
      <c r="I247" s="71">
        <v>10580008</v>
      </c>
      <c r="J247" s="68">
        <v>65000</v>
      </c>
      <c r="AC247" s="182" t="s">
        <v>1063</v>
      </c>
      <c r="AD247" s="172" t="s">
        <v>786</v>
      </c>
      <c r="AE247" s="172" t="s">
        <v>1111</v>
      </c>
      <c r="AF247" s="172" t="s">
        <v>672</v>
      </c>
      <c r="AG247" s="173">
        <v>110000</v>
      </c>
      <c r="AH247" s="174">
        <v>43536.643003991165</v>
      </c>
      <c r="AI247" s="175">
        <v>66463.356996008835</v>
      </c>
      <c r="AJ247" s="174">
        <v>43536.643003991165</v>
      </c>
      <c r="AK247" s="176">
        <v>0</v>
      </c>
      <c r="AL247" s="184">
        <f t="shared" si="9"/>
        <v>66463.356996008835</v>
      </c>
      <c r="AN247" s="172"/>
      <c r="AO247" s="172"/>
      <c r="AP247" s="172"/>
      <c r="AQ247" s="172"/>
      <c r="AR247" s="173"/>
      <c r="AS247" s="174"/>
      <c r="AT247" s="175"/>
      <c r="AU247" s="174"/>
      <c r="AV247" s="184"/>
      <c r="AW247" s="187"/>
    </row>
    <row r="248" spans="1:49" x14ac:dyDescent="0.25">
      <c r="A248" s="4">
        <v>10110070</v>
      </c>
      <c r="B248" s="219">
        <v>64</v>
      </c>
      <c r="D248" s="206"/>
      <c r="E248" s="71">
        <v>10080022</v>
      </c>
      <c r="F248" s="42">
        <v>3200</v>
      </c>
      <c r="H248" s="199"/>
      <c r="I248" s="71">
        <v>10580009</v>
      </c>
      <c r="J248" s="68">
        <v>62651.645400000001</v>
      </c>
      <c r="AC248" s="183" t="s">
        <v>1064</v>
      </c>
      <c r="AD248" s="177" t="s">
        <v>362</v>
      </c>
      <c r="AE248" s="177" t="s">
        <v>1111</v>
      </c>
      <c r="AF248" s="177" t="s">
        <v>672</v>
      </c>
      <c r="AG248" s="178">
        <v>110000</v>
      </c>
      <c r="AH248" s="179">
        <v>48802.234922935029</v>
      </c>
      <c r="AI248" s="180">
        <v>61197.765077064971</v>
      </c>
      <c r="AJ248" s="179">
        <v>48802.234922935029</v>
      </c>
      <c r="AK248" s="176">
        <v>0</v>
      </c>
      <c r="AL248" s="184">
        <f t="shared" ref="AL248:AL285" si="10">AG248-AH248</f>
        <v>61197.765077064971</v>
      </c>
      <c r="AN248" s="177"/>
      <c r="AO248" s="177"/>
      <c r="AP248" s="177"/>
      <c r="AQ248" s="177"/>
      <c r="AR248" s="178"/>
      <c r="AS248" s="179"/>
      <c r="AT248" s="180"/>
      <c r="AU248" s="179"/>
      <c r="AV248" s="184"/>
      <c r="AW248" s="188"/>
    </row>
    <row r="249" spans="1:49" x14ac:dyDescent="0.25">
      <c r="A249" s="4">
        <v>10110072</v>
      </c>
      <c r="B249" s="219">
        <v>64</v>
      </c>
      <c r="D249" s="206"/>
      <c r="E249" s="71">
        <v>10080026</v>
      </c>
      <c r="F249" s="42">
        <v>6400</v>
      </c>
      <c r="H249" s="199"/>
      <c r="I249" s="71">
        <v>10020085</v>
      </c>
      <c r="J249" s="68">
        <v>85000</v>
      </c>
      <c r="AC249" s="182" t="s">
        <v>1065</v>
      </c>
      <c r="AD249" s="172" t="s">
        <v>335</v>
      </c>
      <c r="AE249" s="172" t="s">
        <v>1112</v>
      </c>
      <c r="AF249" s="172" t="s">
        <v>672</v>
      </c>
      <c r="AG249" s="173">
        <v>110000</v>
      </c>
      <c r="AH249" s="174">
        <v>43345.196599999996</v>
      </c>
      <c r="AI249" s="175">
        <v>66654.803400000004</v>
      </c>
      <c r="AJ249" s="174">
        <v>33345.196599999996</v>
      </c>
      <c r="AK249" s="176">
        <v>10000</v>
      </c>
      <c r="AL249" s="184">
        <f t="shared" si="10"/>
        <v>66654.803400000004</v>
      </c>
      <c r="AN249" s="172"/>
      <c r="AO249" s="172"/>
      <c r="AP249" s="172"/>
      <c r="AQ249" s="172"/>
      <c r="AR249" s="173"/>
      <c r="AS249" s="174"/>
      <c r="AT249" s="175"/>
      <c r="AU249" s="174"/>
      <c r="AV249" s="184"/>
      <c r="AW249" s="187"/>
    </row>
    <row r="250" spans="1:49" x14ac:dyDescent="0.25">
      <c r="A250" s="4">
        <v>10110074</v>
      </c>
      <c r="B250" s="219">
        <v>64</v>
      </c>
      <c r="D250" s="206"/>
      <c r="E250" s="71">
        <v>10080010</v>
      </c>
      <c r="F250" s="42">
        <v>4717.4009999999998</v>
      </c>
      <c r="H250" s="199"/>
      <c r="I250" s="71">
        <v>10030082</v>
      </c>
      <c r="J250" s="68">
        <v>62147.7592149095</v>
      </c>
      <c r="AC250" s="183" t="s">
        <v>1066</v>
      </c>
      <c r="AD250" s="177" t="s">
        <v>336</v>
      </c>
      <c r="AE250" s="177" t="s">
        <v>1112</v>
      </c>
      <c r="AF250" s="177" t="s">
        <v>672</v>
      </c>
      <c r="AG250" s="178">
        <v>110000</v>
      </c>
      <c r="AH250" s="179">
        <v>98912.192532727349</v>
      </c>
      <c r="AI250" s="180">
        <v>11087.807467272651</v>
      </c>
      <c r="AJ250" s="179">
        <v>88912.192532727349</v>
      </c>
      <c r="AK250" s="181">
        <v>10000</v>
      </c>
      <c r="AL250" s="184">
        <f t="shared" si="10"/>
        <v>11087.807467272651</v>
      </c>
      <c r="AN250" s="177"/>
      <c r="AO250" s="177"/>
      <c r="AP250" s="177"/>
      <c r="AQ250" s="177"/>
      <c r="AR250" s="178"/>
      <c r="AS250" s="179"/>
      <c r="AT250" s="180"/>
      <c r="AU250" s="179"/>
      <c r="AV250" s="184"/>
      <c r="AW250" s="188"/>
    </row>
    <row r="251" spans="1:49" x14ac:dyDescent="0.25">
      <c r="A251" s="4">
        <v>10110075</v>
      </c>
      <c r="B251" s="219">
        <v>64</v>
      </c>
      <c r="D251" s="206"/>
      <c r="E251" s="71">
        <v>10080032</v>
      </c>
      <c r="F251" s="42">
        <v>10007.960999999999</v>
      </c>
      <c r="H251" s="199"/>
      <c r="I251" s="71">
        <v>10010121</v>
      </c>
      <c r="J251" s="68">
        <v>42701.196395517196</v>
      </c>
      <c r="AC251" s="182" t="s">
        <v>1067</v>
      </c>
      <c r="AD251" s="172" t="s">
        <v>337</v>
      </c>
      <c r="AE251" s="172" t="s">
        <v>1112</v>
      </c>
      <c r="AF251" s="172" t="s">
        <v>672</v>
      </c>
      <c r="AG251" s="173">
        <v>110000</v>
      </c>
      <c r="AH251" s="174">
        <v>47875.372811854366</v>
      </c>
      <c r="AI251" s="175">
        <v>62124.627188145634</v>
      </c>
      <c r="AJ251" s="174">
        <v>37875.372811854366</v>
      </c>
      <c r="AK251" s="176">
        <v>10000</v>
      </c>
      <c r="AL251" s="184">
        <f t="shared" si="10"/>
        <v>62124.627188145634</v>
      </c>
      <c r="AN251" s="172"/>
      <c r="AO251" s="172"/>
      <c r="AP251" s="172"/>
      <c r="AQ251" s="172"/>
      <c r="AR251" s="173"/>
      <c r="AS251" s="174"/>
      <c r="AT251" s="175"/>
      <c r="AU251" s="174"/>
      <c r="AV251" s="184"/>
      <c r="AW251" s="187"/>
    </row>
    <row r="252" spans="1:49" x14ac:dyDescent="0.25">
      <c r="A252" s="4">
        <v>10110077</v>
      </c>
      <c r="B252" s="219">
        <v>64</v>
      </c>
      <c r="D252" s="206"/>
      <c r="E252" s="71">
        <v>10080021</v>
      </c>
      <c r="F252" s="42">
        <v>6400</v>
      </c>
      <c r="H252" s="199"/>
      <c r="I252" s="71">
        <v>10010140</v>
      </c>
      <c r="J252" s="68">
        <v>61242</v>
      </c>
      <c r="AC252" s="183" t="s">
        <v>1068</v>
      </c>
      <c r="AD252" s="177" t="s">
        <v>338</v>
      </c>
      <c r="AE252" s="177" t="s">
        <v>1112</v>
      </c>
      <c r="AF252" s="177" t="s">
        <v>672</v>
      </c>
      <c r="AG252" s="178">
        <v>110000</v>
      </c>
      <c r="AH252" s="179">
        <v>39595.94229642368</v>
      </c>
      <c r="AI252" s="180">
        <v>70404.057703576313</v>
      </c>
      <c r="AJ252" s="179">
        <v>29595.94229642368</v>
      </c>
      <c r="AK252" s="181">
        <v>10000</v>
      </c>
      <c r="AL252" s="184">
        <f t="shared" si="10"/>
        <v>70404.057703576313</v>
      </c>
      <c r="AN252" s="177"/>
      <c r="AO252" s="177"/>
      <c r="AP252" s="177"/>
      <c r="AQ252" s="177"/>
      <c r="AR252" s="178"/>
      <c r="AS252" s="179"/>
      <c r="AT252" s="180"/>
      <c r="AU252" s="179"/>
      <c r="AV252" s="184"/>
      <c r="AW252" s="188"/>
    </row>
    <row r="253" spans="1:49" x14ac:dyDescent="0.25">
      <c r="A253" s="4">
        <v>10110080</v>
      </c>
      <c r="B253" s="219">
        <v>64</v>
      </c>
      <c r="D253" s="206"/>
      <c r="E253" s="71">
        <v>10110029</v>
      </c>
      <c r="F253" s="42">
        <v>12800</v>
      </c>
      <c r="H253" s="199"/>
      <c r="I253" s="71">
        <v>10080115</v>
      </c>
      <c r="J253" s="68">
        <v>76123.215338036709</v>
      </c>
      <c r="AC253" s="182" t="s">
        <v>1069</v>
      </c>
      <c r="AD253" s="172" t="s">
        <v>171</v>
      </c>
      <c r="AE253" s="172" t="s">
        <v>1111</v>
      </c>
      <c r="AF253" s="172" t="s">
        <v>672</v>
      </c>
      <c r="AG253" s="173">
        <v>110000</v>
      </c>
      <c r="AH253" s="174">
        <v>47190.486220779159</v>
      </c>
      <c r="AI253" s="175">
        <v>62809.513779220841</v>
      </c>
      <c r="AJ253" s="174">
        <v>47190.486220779159</v>
      </c>
      <c r="AK253" s="176">
        <v>0</v>
      </c>
      <c r="AL253" s="184">
        <f t="shared" si="10"/>
        <v>62809.513779220841</v>
      </c>
      <c r="AN253" s="172"/>
      <c r="AO253" s="172"/>
      <c r="AP253" s="172"/>
      <c r="AQ253" s="172"/>
      <c r="AR253" s="173"/>
      <c r="AS253" s="174"/>
      <c r="AT253" s="175"/>
      <c r="AU253" s="174"/>
      <c r="AV253" s="184"/>
      <c r="AW253" s="187"/>
    </row>
    <row r="254" spans="1:49" x14ac:dyDescent="0.25">
      <c r="A254" s="4">
        <v>10110081</v>
      </c>
      <c r="B254" s="219">
        <v>64</v>
      </c>
      <c r="D254" s="206"/>
      <c r="E254" s="71">
        <v>10110035</v>
      </c>
      <c r="F254" s="42">
        <v>6400</v>
      </c>
      <c r="H254" s="199"/>
      <c r="I254" s="71">
        <v>10570027</v>
      </c>
      <c r="J254" s="68">
        <v>85000</v>
      </c>
      <c r="AC254" s="183" t="s">
        <v>1070</v>
      </c>
      <c r="AD254" s="177" t="s">
        <v>172</v>
      </c>
      <c r="AE254" s="177" t="s">
        <v>1111</v>
      </c>
      <c r="AF254" s="177" t="s">
        <v>672</v>
      </c>
      <c r="AG254" s="178">
        <v>110000</v>
      </c>
      <c r="AH254" s="179">
        <v>69405.519852054087</v>
      </c>
      <c r="AI254" s="180">
        <v>40594.480147945913</v>
      </c>
      <c r="AJ254" s="179">
        <v>69405.519852054087</v>
      </c>
      <c r="AK254" s="176">
        <v>0</v>
      </c>
      <c r="AL254" s="184">
        <f t="shared" si="10"/>
        <v>40594.480147945913</v>
      </c>
      <c r="AN254" s="177"/>
      <c r="AO254" s="177"/>
      <c r="AP254" s="177"/>
      <c r="AQ254" s="177"/>
      <c r="AR254" s="178"/>
      <c r="AS254" s="179"/>
      <c r="AT254" s="180"/>
      <c r="AU254" s="179"/>
      <c r="AV254" s="184"/>
      <c r="AW254" s="188"/>
    </row>
    <row r="255" spans="1:49" x14ac:dyDescent="0.25">
      <c r="A255" s="4">
        <v>10110082</v>
      </c>
      <c r="B255" s="219">
        <v>64</v>
      </c>
      <c r="D255" s="206"/>
      <c r="E255" s="71">
        <v>10110032</v>
      </c>
      <c r="F255" s="42">
        <v>6400</v>
      </c>
      <c r="H255" s="199"/>
      <c r="I255" s="71">
        <v>10570028</v>
      </c>
      <c r="J255" s="68">
        <v>80339</v>
      </c>
      <c r="AC255" s="182" t="s">
        <v>1071</v>
      </c>
      <c r="AD255" s="172" t="s">
        <v>174</v>
      </c>
      <c r="AE255" s="172" t="s">
        <v>1111</v>
      </c>
      <c r="AF255" s="172" t="s">
        <v>672</v>
      </c>
      <c r="AG255" s="173">
        <v>110000</v>
      </c>
      <c r="AH255" s="174">
        <v>33748.465262357662</v>
      </c>
      <c r="AI255" s="175">
        <v>76251.534737642331</v>
      </c>
      <c r="AJ255" s="174">
        <v>33748.465262357662</v>
      </c>
      <c r="AK255" s="176">
        <v>0</v>
      </c>
      <c r="AL255" s="184">
        <f t="shared" si="10"/>
        <v>76251.534737642331</v>
      </c>
      <c r="AN255" s="172"/>
      <c r="AO255" s="172"/>
      <c r="AP255" s="172"/>
      <c r="AQ255" s="172"/>
      <c r="AR255" s="173"/>
      <c r="AS255" s="174"/>
      <c r="AT255" s="175"/>
      <c r="AU255" s="174"/>
      <c r="AV255" s="184"/>
      <c r="AW255" s="187"/>
    </row>
    <row r="256" spans="1:49" x14ac:dyDescent="0.25">
      <c r="A256" s="4">
        <v>10110084</v>
      </c>
      <c r="B256" s="219">
        <v>64</v>
      </c>
      <c r="D256" s="206"/>
      <c r="E256" s="71">
        <v>10110027</v>
      </c>
      <c r="F256" s="42">
        <v>6400</v>
      </c>
      <c r="H256" s="199"/>
      <c r="I256" s="71">
        <v>10570029</v>
      </c>
      <c r="J256" s="68">
        <v>82571</v>
      </c>
      <c r="AC256" s="183" t="s">
        <v>1072</v>
      </c>
      <c r="AD256" s="177" t="s">
        <v>175</v>
      </c>
      <c r="AE256" s="177" t="s">
        <v>1111</v>
      </c>
      <c r="AF256" s="177" t="s">
        <v>672</v>
      </c>
      <c r="AG256" s="178">
        <v>110000</v>
      </c>
      <c r="AH256" s="179">
        <v>31415.852355185987</v>
      </c>
      <c r="AI256" s="180">
        <v>78584.147644814017</v>
      </c>
      <c r="AJ256" s="179">
        <v>31415.852355185987</v>
      </c>
      <c r="AK256" s="176">
        <v>0</v>
      </c>
      <c r="AL256" s="184">
        <f t="shared" si="10"/>
        <v>78584.147644814017</v>
      </c>
      <c r="AN256" s="177"/>
      <c r="AO256" s="177"/>
      <c r="AP256" s="177"/>
      <c r="AQ256" s="177"/>
      <c r="AR256" s="178"/>
      <c r="AS256" s="179"/>
      <c r="AT256" s="180"/>
      <c r="AU256" s="179"/>
      <c r="AV256" s="184"/>
      <c r="AW256" s="188"/>
    </row>
    <row r="257" spans="1:49" x14ac:dyDescent="0.25">
      <c r="A257" s="4">
        <v>10140135</v>
      </c>
      <c r="B257" s="219">
        <v>460.56</v>
      </c>
      <c r="D257" s="206"/>
      <c r="E257" s="71">
        <v>10110031</v>
      </c>
      <c r="F257" s="42">
        <v>6400</v>
      </c>
      <c r="H257" s="199"/>
      <c r="I257" s="71">
        <v>10570030</v>
      </c>
      <c r="J257" s="68">
        <v>60421.873599999999</v>
      </c>
      <c r="AC257" s="182" t="s">
        <v>1073</v>
      </c>
      <c r="AD257" s="172" t="s">
        <v>787</v>
      </c>
      <c r="AE257" s="172" t="s">
        <v>1111</v>
      </c>
      <c r="AF257" s="172" t="s">
        <v>672</v>
      </c>
      <c r="AG257" s="173">
        <v>110000</v>
      </c>
      <c r="AH257" s="174">
        <v>23575.572576419214</v>
      </c>
      <c r="AI257" s="175">
        <v>86424.427423580782</v>
      </c>
      <c r="AJ257" s="174">
        <v>23575.572576419214</v>
      </c>
      <c r="AK257" s="176">
        <v>0</v>
      </c>
      <c r="AL257" s="184">
        <f t="shared" si="10"/>
        <v>86424.427423580782</v>
      </c>
      <c r="AN257" s="172"/>
      <c r="AO257" s="172"/>
      <c r="AP257" s="172"/>
      <c r="AQ257" s="172"/>
      <c r="AR257" s="173"/>
      <c r="AS257" s="174"/>
      <c r="AT257" s="175"/>
      <c r="AU257" s="174"/>
      <c r="AV257" s="184"/>
      <c r="AW257" s="187"/>
    </row>
    <row r="258" spans="1:49" x14ac:dyDescent="0.25">
      <c r="A258" s="4">
        <v>10140113</v>
      </c>
      <c r="B258" s="219">
        <v>280</v>
      </c>
      <c r="D258" s="206"/>
      <c r="E258" s="71">
        <v>10110034</v>
      </c>
      <c r="F258" s="42">
        <v>6400</v>
      </c>
      <c r="H258" s="199"/>
      <c r="I258" s="71">
        <v>10570031</v>
      </c>
      <c r="J258" s="68">
        <v>67599</v>
      </c>
      <c r="AC258" s="183" t="s">
        <v>1074</v>
      </c>
      <c r="AD258" s="177" t="s">
        <v>434</v>
      </c>
      <c r="AE258" s="177" t="s">
        <v>1111</v>
      </c>
      <c r="AF258" s="177" t="s">
        <v>672</v>
      </c>
      <c r="AG258" s="178">
        <v>110000</v>
      </c>
      <c r="AH258" s="179">
        <v>30675.143297912415</v>
      </c>
      <c r="AI258" s="180">
        <v>79324.856702087593</v>
      </c>
      <c r="AJ258" s="179">
        <v>30675.143297912415</v>
      </c>
      <c r="AK258" s="176">
        <v>0</v>
      </c>
      <c r="AL258" s="184">
        <f t="shared" si="10"/>
        <v>79324.856702087593</v>
      </c>
      <c r="AN258" s="177"/>
      <c r="AO258" s="177"/>
      <c r="AP258" s="177"/>
      <c r="AQ258" s="177"/>
      <c r="AR258" s="178"/>
      <c r="AS258" s="179"/>
      <c r="AT258" s="180"/>
      <c r="AU258" s="179"/>
      <c r="AV258" s="184"/>
      <c r="AW258" s="188"/>
    </row>
    <row r="259" spans="1:49" x14ac:dyDescent="0.25">
      <c r="A259" s="4">
        <v>10140124</v>
      </c>
      <c r="B259" s="219">
        <v>700</v>
      </c>
      <c r="D259" s="206"/>
      <c r="E259" s="71">
        <v>10110033</v>
      </c>
      <c r="F259" s="42">
        <v>4661.8826580620798</v>
      </c>
      <c r="H259" s="199"/>
      <c r="I259" s="71">
        <v>10110174</v>
      </c>
      <c r="J259" s="68">
        <v>75000</v>
      </c>
      <c r="AC259" s="182" t="s">
        <v>1075</v>
      </c>
      <c r="AD259" s="172" t="s">
        <v>788</v>
      </c>
      <c r="AE259" s="172" t="s">
        <v>1111</v>
      </c>
      <c r="AF259" s="172" t="s">
        <v>672</v>
      </c>
      <c r="AG259" s="173">
        <v>110000</v>
      </c>
      <c r="AH259" s="174">
        <v>14853.3604</v>
      </c>
      <c r="AI259" s="175">
        <v>95146.639599999995</v>
      </c>
      <c r="AJ259" s="174">
        <v>14853.3604</v>
      </c>
      <c r="AK259" s="176">
        <v>0</v>
      </c>
      <c r="AL259" s="184">
        <f t="shared" si="10"/>
        <v>95146.639599999995</v>
      </c>
      <c r="AN259" s="172"/>
      <c r="AO259" s="172"/>
      <c r="AP259" s="172"/>
      <c r="AQ259" s="172"/>
      <c r="AR259" s="173"/>
      <c r="AS259" s="174"/>
      <c r="AT259" s="175"/>
      <c r="AU259" s="174"/>
      <c r="AV259" s="184"/>
      <c r="AW259" s="187"/>
    </row>
    <row r="260" spans="1:49" x14ac:dyDescent="0.25">
      <c r="A260" s="4">
        <v>10140105</v>
      </c>
      <c r="B260" s="219">
        <v>856</v>
      </c>
      <c r="D260" s="206"/>
      <c r="E260" s="71">
        <v>10110028</v>
      </c>
      <c r="F260" s="42">
        <v>12800</v>
      </c>
      <c r="H260" s="199"/>
      <c r="I260" s="71">
        <v>10580006</v>
      </c>
      <c r="J260" s="68">
        <v>86213</v>
      </c>
      <c r="AC260" s="183" t="s">
        <v>1076</v>
      </c>
      <c r="AD260" s="177" t="s">
        <v>789</v>
      </c>
      <c r="AE260" s="177" t="s">
        <v>1112</v>
      </c>
      <c r="AF260" s="177" t="s">
        <v>672</v>
      </c>
      <c r="AG260" s="178">
        <v>110000</v>
      </c>
      <c r="AH260" s="179">
        <v>33243.094706667674</v>
      </c>
      <c r="AI260" s="180">
        <v>76756.905293332326</v>
      </c>
      <c r="AJ260" s="179">
        <v>28243.094706667674</v>
      </c>
      <c r="AK260" s="181">
        <v>5000</v>
      </c>
      <c r="AL260" s="184">
        <f t="shared" si="10"/>
        <v>76756.905293332326</v>
      </c>
      <c r="AN260" s="177"/>
      <c r="AO260" s="177"/>
      <c r="AP260" s="177"/>
      <c r="AQ260" s="177"/>
      <c r="AR260" s="178"/>
      <c r="AS260" s="179"/>
      <c r="AT260" s="180"/>
      <c r="AU260" s="179"/>
      <c r="AV260" s="184"/>
      <c r="AW260" s="188"/>
    </row>
    <row r="261" spans="1:49" x14ac:dyDescent="0.25">
      <c r="A261" s="4">
        <v>10140152</v>
      </c>
      <c r="B261" s="219">
        <v>1060.48</v>
      </c>
      <c r="D261" s="206"/>
      <c r="E261" s="71">
        <v>10110047</v>
      </c>
      <c r="F261" s="42">
        <v>6400</v>
      </c>
      <c r="H261" s="199"/>
      <c r="I261" s="71">
        <v>10580007</v>
      </c>
      <c r="J261" s="68">
        <v>60694</v>
      </c>
      <c r="AC261" s="182" t="s">
        <v>1077</v>
      </c>
      <c r="AD261" s="172" t="s">
        <v>790</v>
      </c>
      <c r="AE261" s="172" t="s">
        <v>1112</v>
      </c>
      <c r="AF261" s="172" t="s">
        <v>672</v>
      </c>
      <c r="AG261" s="173">
        <v>110000</v>
      </c>
      <c r="AH261" s="174">
        <v>26256.890200000002</v>
      </c>
      <c r="AI261" s="175">
        <v>83743.109800000006</v>
      </c>
      <c r="AJ261" s="174">
        <v>16256.890200000002</v>
      </c>
      <c r="AK261" s="176">
        <v>10000</v>
      </c>
      <c r="AL261" s="184">
        <f t="shared" si="10"/>
        <v>83743.109800000006</v>
      </c>
      <c r="AN261" s="172"/>
      <c r="AO261" s="172"/>
      <c r="AP261" s="172"/>
      <c r="AQ261" s="172"/>
      <c r="AR261" s="173"/>
      <c r="AS261" s="174"/>
      <c r="AT261" s="175"/>
      <c r="AU261" s="174"/>
      <c r="AV261" s="184"/>
      <c r="AW261" s="187"/>
    </row>
    <row r="262" spans="1:49" x14ac:dyDescent="0.25">
      <c r="A262" s="4">
        <v>10100052</v>
      </c>
      <c r="B262" s="219">
        <v>2100</v>
      </c>
      <c r="D262" s="206"/>
      <c r="E262" s="71">
        <v>10110072</v>
      </c>
      <c r="F262" s="42">
        <v>6400</v>
      </c>
      <c r="H262" s="199"/>
      <c r="I262" s="71">
        <v>10120116</v>
      </c>
      <c r="J262" s="68">
        <v>39320.72342178633</v>
      </c>
      <c r="AC262" s="183" t="s">
        <v>831</v>
      </c>
      <c r="AD262" s="177" t="s">
        <v>791</v>
      </c>
      <c r="AE262" s="177" t="s">
        <v>1111</v>
      </c>
      <c r="AF262" s="177" t="s">
        <v>672</v>
      </c>
      <c r="AG262" s="178">
        <v>110000</v>
      </c>
      <c r="AH262" s="179">
        <v>0</v>
      </c>
      <c r="AI262" s="180">
        <v>110000</v>
      </c>
      <c r="AJ262" s="179">
        <v>0</v>
      </c>
      <c r="AK262" s="176">
        <v>0</v>
      </c>
      <c r="AL262" s="184">
        <f t="shared" si="10"/>
        <v>110000</v>
      </c>
      <c r="AN262" s="177"/>
      <c r="AO262" s="177"/>
      <c r="AP262" s="177"/>
      <c r="AQ262" s="177"/>
      <c r="AR262" s="178"/>
      <c r="AS262" s="179"/>
      <c r="AT262" s="180"/>
      <c r="AU262" s="179"/>
      <c r="AV262" s="184"/>
      <c r="AW262" s="188"/>
    </row>
    <row r="263" spans="1:49" x14ac:dyDescent="0.25">
      <c r="A263" s="4">
        <v>10070008</v>
      </c>
      <c r="B263" s="219">
        <v>679.32854097868517</v>
      </c>
      <c r="D263" s="206"/>
      <c r="E263" s="71">
        <v>10110039</v>
      </c>
      <c r="F263" s="42">
        <v>12800</v>
      </c>
      <c r="H263" s="199"/>
      <c r="I263" s="71">
        <v>10530096</v>
      </c>
      <c r="J263" s="68">
        <v>44196.786454049434</v>
      </c>
      <c r="AC263" s="182" t="s">
        <v>831</v>
      </c>
      <c r="AD263" s="172" t="s">
        <v>792</v>
      </c>
      <c r="AE263" s="172" t="s">
        <v>1111</v>
      </c>
      <c r="AF263" s="172" t="s">
        <v>672</v>
      </c>
      <c r="AG263" s="173">
        <v>110000</v>
      </c>
      <c r="AH263" s="174">
        <v>0</v>
      </c>
      <c r="AI263" s="175">
        <v>110000</v>
      </c>
      <c r="AJ263" s="174">
        <v>0</v>
      </c>
      <c r="AK263" s="176">
        <v>0</v>
      </c>
      <c r="AL263" s="184">
        <f t="shared" si="10"/>
        <v>110000</v>
      </c>
      <c r="AN263" s="172"/>
      <c r="AO263" s="172"/>
      <c r="AP263" s="172"/>
      <c r="AQ263" s="172"/>
      <c r="AR263" s="173"/>
      <c r="AS263" s="174"/>
      <c r="AT263" s="175"/>
      <c r="AU263" s="174"/>
      <c r="AV263" s="184"/>
      <c r="AW263" s="187"/>
    </row>
    <row r="264" spans="1:49" x14ac:dyDescent="0.25">
      <c r="A264" s="4">
        <v>10070046</v>
      </c>
      <c r="B264" s="219">
        <v>679.32854097868517</v>
      </c>
      <c r="D264" s="206"/>
      <c r="E264" s="71">
        <v>10110040</v>
      </c>
      <c r="F264" s="42">
        <v>6292.2790000000005</v>
      </c>
      <c r="H264" s="199"/>
      <c r="I264" s="71">
        <v>10530097</v>
      </c>
      <c r="J264" s="68">
        <v>52072.141129069161</v>
      </c>
      <c r="AC264" s="183" t="s">
        <v>1078</v>
      </c>
      <c r="AD264" s="177" t="s">
        <v>793</v>
      </c>
      <c r="AE264" s="177" t="s">
        <v>1111</v>
      </c>
      <c r="AF264" s="177" t="s">
        <v>672</v>
      </c>
      <c r="AG264" s="178">
        <v>110000</v>
      </c>
      <c r="AH264" s="179">
        <v>18280.488189902277</v>
      </c>
      <c r="AI264" s="180">
        <v>91719.511810097727</v>
      </c>
      <c r="AJ264" s="179">
        <v>18280.488189902277</v>
      </c>
      <c r="AK264" s="176">
        <v>0</v>
      </c>
      <c r="AL264" s="184">
        <f t="shared" si="10"/>
        <v>91719.511810097727</v>
      </c>
      <c r="AN264" s="177"/>
      <c r="AO264" s="177"/>
      <c r="AP264" s="177"/>
      <c r="AQ264" s="177"/>
      <c r="AR264" s="178"/>
      <c r="AS264" s="179"/>
      <c r="AT264" s="180"/>
      <c r="AU264" s="179"/>
      <c r="AV264" s="184"/>
      <c r="AW264" s="188"/>
    </row>
    <row r="265" spans="1:49" x14ac:dyDescent="0.25">
      <c r="A265" s="4">
        <v>10480021</v>
      </c>
      <c r="B265" s="219">
        <v>2100</v>
      </c>
      <c r="D265" s="206"/>
      <c r="E265" s="71">
        <v>10110041</v>
      </c>
      <c r="F265" s="42">
        <v>6397.8801999999996</v>
      </c>
      <c r="H265" s="199"/>
      <c r="I265" s="71">
        <v>10530098</v>
      </c>
      <c r="J265" s="68">
        <v>78500</v>
      </c>
      <c r="AC265" s="182" t="s">
        <v>1079</v>
      </c>
      <c r="AD265" s="172" t="s">
        <v>794</v>
      </c>
      <c r="AE265" s="172" t="s">
        <v>1111</v>
      </c>
      <c r="AF265" s="172" t="s">
        <v>672</v>
      </c>
      <c r="AG265" s="173">
        <v>110000</v>
      </c>
      <c r="AH265" s="174">
        <v>6978</v>
      </c>
      <c r="AI265" s="175">
        <v>103022</v>
      </c>
      <c r="AJ265" s="174">
        <v>6978</v>
      </c>
      <c r="AK265" s="176">
        <v>0</v>
      </c>
      <c r="AL265" s="184">
        <f t="shared" si="10"/>
        <v>103022</v>
      </c>
      <c r="AN265" s="172"/>
      <c r="AO265" s="172"/>
      <c r="AP265" s="172"/>
      <c r="AQ265" s="172"/>
      <c r="AR265" s="173"/>
      <c r="AS265" s="174"/>
      <c r="AT265" s="175"/>
      <c r="AU265" s="174"/>
      <c r="AV265" s="184"/>
      <c r="AW265" s="187"/>
    </row>
    <row r="266" spans="1:49" x14ac:dyDescent="0.25">
      <c r="A266" s="4">
        <v>10020039</v>
      </c>
      <c r="B266" s="219">
        <v>820</v>
      </c>
      <c r="D266" s="206"/>
      <c r="E266" s="71">
        <v>10110052</v>
      </c>
      <c r="F266" s="42">
        <v>6397.7388000000001</v>
      </c>
      <c r="H266" s="199"/>
      <c r="I266" s="71">
        <v>10030080</v>
      </c>
      <c r="J266" s="68">
        <v>50357.677162802698</v>
      </c>
      <c r="AC266" s="183" t="s">
        <v>1080</v>
      </c>
      <c r="AD266" s="177" t="s">
        <v>482</v>
      </c>
      <c r="AE266" s="177" t="s">
        <v>1112</v>
      </c>
      <c r="AF266" s="177" t="s">
        <v>672</v>
      </c>
      <c r="AG266" s="178">
        <v>110000</v>
      </c>
      <c r="AH266" s="179">
        <v>26540.612648998402</v>
      </c>
      <c r="AI266" s="180">
        <v>83459.387351001598</v>
      </c>
      <c r="AJ266" s="179">
        <v>11540.6126489984</v>
      </c>
      <c r="AK266" s="181">
        <v>15000</v>
      </c>
      <c r="AL266" s="184">
        <f t="shared" si="10"/>
        <v>83459.387351001598</v>
      </c>
      <c r="AN266" s="177"/>
      <c r="AO266" s="177"/>
      <c r="AP266" s="177"/>
      <c r="AQ266" s="177"/>
      <c r="AR266" s="178"/>
      <c r="AS266" s="179"/>
      <c r="AT266" s="180"/>
      <c r="AU266" s="179"/>
      <c r="AV266" s="184"/>
      <c r="AW266" s="188"/>
    </row>
    <row r="267" spans="1:49" x14ac:dyDescent="0.25">
      <c r="A267" s="4">
        <v>10060069</v>
      </c>
      <c r="B267" s="219">
        <v>486.21</v>
      </c>
      <c r="D267" s="206"/>
      <c r="E267" s="71">
        <v>10110044</v>
      </c>
      <c r="F267" s="42">
        <v>6363.1455999999998</v>
      </c>
      <c r="H267" s="199"/>
      <c r="I267" s="71">
        <v>10060124</v>
      </c>
      <c r="J267" s="68">
        <v>69173</v>
      </c>
      <c r="AC267" s="182" t="s">
        <v>1081</v>
      </c>
      <c r="AD267" s="172" t="s">
        <v>795</v>
      </c>
      <c r="AE267" s="172" t="s">
        <v>1111</v>
      </c>
      <c r="AF267" s="172" t="s">
        <v>672</v>
      </c>
      <c r="AG267" s="173">
        <v>110000</v>
      </c>
      <c r="AH267" s="174">
        <v>24873.384669361163</v>
      </c>
      <c r="AI267" s="175">
        <v>85126.61533063883</v>
      </c>
      <c r="AJ267" s="174">
        <v>24873.384669361163</v>
      </c>
      <c r="AK267" s="176">
        <v>0</v>
      </c>
      <c r="AL267" s="184">
        <f t="shared" si="10"/>
        <v>85126.61533063883</v>
      </c>
      <c r="AN267" s="172"/>
      <c r="AO267" s="172"/>
      <c r="AP267" s="172"/>
      <c r="AQ267" s="172"/>
      <c r="AR267" s="173"/>
      <c r="AS267" s="174"/>
      <c r="AT267" s="175"/>
      <c r="AU267" s="174"/>
      <c r="AV267" s="184"/>
      <c r="AW267" s="187"/>
    </row>
    <row r="268" spans="1:49" x14ac:dyDescent="0.25">
      <c r="A268" s="4">
        <v>10060073</v>
      </c>
      <c r="B268" s="219">
        <v>504.51</v>
      </c>
      <c r="D268" s="206"/>
      <c r="E268" s="71">
        <v>10140078</v>
      </c>
      <c r="F268" s="42">
        <v>331.01599999999962</v>
      </c>
      <c r="H268" s="199"/>
      <c r="I268" s="71">
        <v>10140191</v>
      </c>
      <c r="J268" s="68">
        <v>97205</v>
      </c>
      <c r="AC268" s="183" t="s">
        <v>1082</v>
      </c>
      <c r="AD268" s="177" t="s">
        <v>388</v>
      </c>
      <c r="AE268" s="177" t="s">
        <v>1112</v>
      </c>
      <c r="AF268" s="177" t="s">
        <v>672</v>
      </c>
      <c r="AG268" s="178">
        <v>110000</v>
      </c>
      <c r="AH268" s="179">
        <v>69157.396690402413</v>
      </c>
      <c r="AI268" s="180">
        <v>40842.603309597587</v>
      </c>
      <c r="AJ268" s="179">
        <v>59157.396690402413</v>
      </c>
      <c r="AK268" s="181">
        <v>10000</v>
      </c>
      <c r="AL268" s="184">
        <f t="shared" si="10"/>
        <v>40842.603309597587</v>
      </c>
      <c r="AN268" s="177"/>
      <c r="AO268" s="177"/>
      <c r="AP268" s="177"/>
      <c r="AQ268" s="177"/>
      <c r="AR268" s="178"/>
      <c r="AS268" s="179"/>
      <c r="AT268" s="180"/>
      <c r="AU268" s="179"/>
      <c r="AV268" s="184"/>
      <c r="AW268" s="188"/>
    </row>
    <row r="269" spans="1:49" x14ac:dyDescent="0.25">
      <c r="A269" s="4">
        <v>10030014</v>
      </c>
      <c r="B269" s="219">
        <v>1276</v>
      </c>
      <c r="D269" s="206"/>
      <c r="E269" s="71">
        <v>10140081</v>
      </c>
      <c r="F269" s="42">
        <v>12800</v>
      </c>
      <c r="H269" s="199"/>
      <c r="I269" s="71">
        <v>10140192</v>
      </c>
      <c r="J269" s="68">
        <v>108788</v>
      </c>
      <c r="AC269" s="182" t="s">
        <v>1083</v>
      </c>
      <c r="AD269" s="172" t="s">
        <v>640</v>
      </c>
      <c r="AE269" s="172" t="s">
        <v>1112</v>
      </c>
      <c r="AF269" s="172" t="s">
        <v>672</v>
      </c>
      <c r="AG269" s="173">
        <v>110000</v>
      </c>
      <c r="AH269" s="174">
        <v>61155.717492364121</v>
      </c>
      <c r="AI269" s="175">
        <v>48844.282507635879</v>
      </c>
      <c r="AJ269" s="174">
        <v>51155.717492364121</v>
      </c>
      <c r="AK269" s="176">
        <v>10000</v>
      </c>
      <c r="AL269" s="184">
        <f t="shared" si="10"/>
        <v>48844.282507635879</v>
      </c>
      <c r="AN269" s="172"/>
      <c r="AO269" s="172"/>
      <c r="AP269" s="172"/>
      <c r="AQ269" s="172"/>
      <c r="AR269" s="173"/>
      <c r="AS269" s="174"/>
      <c r="AT269" s="175"/>
      <c r="AU269" s="174"/>
      <c r="AV269" s="184"/>
      <c r="AW269" s="187"/>
    </row>
    <row r="270" spans="1:49" x14ac:dyDescent="0.25">
      <c r="A270" s="4">
        <v>10020069</v>
      </c>
      <c r="B270" s="219">
        <v>1397.04</v>
      </c>
      <c r="D270" s="206"/>
      <c r="E270" s="71">
        <v>10140079</v>
      </c>
      <c r="F270" s="42">
        <v>2136.1972000000005</v>
      </c>
      <c r="H270" s="199"/>
      <c r="I270" s="71">
        <v>10110171</v>
      </c>
      <c r="J270" s="68">
        <v>82524</v>
      </c>
      <c r="AC270" s="183" t="s">
        <v>1084</v>
      </c>
      <c r="AD270" s="177" t="s">
        <v>796</v>
      </c>
      <c r="AE270" s="177" t="s">
        <v>1112</v>
      </c>
      <c r="AF270" s="177" t="s">
        <v>672</v>
      </c>
      <c r="AG270" s="178">
        <v>110000</v>
      </c>
      <c r="AH270" s="179">
        <v>16346.2456</v>
      </c>
      <c r="AI270" s="180">
        <v>93653.754400000005</v>
      </c>
      <c r="AJ270" s="179">
        <v>8346.2456000000002</v>
      </c>
      <c r="AK270" s="181">
        <v>8000</v>
      </c>
      <c r="AL270" s="184">
        <f t="shared" si="10"/>
        <v>93653.754400000005</v>
      </c>
      <c r="AN270" s="177"/>
      <c r="AO270" s="177"/>
      <c r="AP270" s="177"/>
      <c r="AQ270" s="177"/>
      <c r="AR270" s="178"/>
      <c r="AS270" s="179"/>
      <c r="AT270" s="180"/>
      <c r="AU270" s="179"/>
      <c r="AV270" s="184"/>
      <c r="AW270" s="188"/>
    </row>
    <row r="271" spans="1:49" x14ac:dyDescent="0.25">
      <c r="A271" s="4">
        <v>10020041</v>
      </c>
      <c r="B271" s="219">
        <v>799.64</v>
      </c>
      <c r="D271" s="206"/>
      <c r="E271" s="71">
        <v>10140087</v>
      </c>
      <c r="F271" s="42">
        <v>7070.1681213311995</v>
      </c>
      <c r="H271" s="199"/>
      <c r="I271" s="71">
        <v>10110172</v>
      </c>
      <c r="J271" s="68">
        <v>59081</v>
      </c>
      <c r="AC271" s="182" t="s">
        <v>1085</v>
      </c>
      <c r="AD271" s="172" t="s">
        <v>797</v>
      </c>
      <c r="AE271" s="172" t="s">
        <v>1112</v>
      </c>
      <c r="AF271" s="172" t="s">
        <v>672</v>
      </c>
      <c r="AG271" s="173">
        <v>110000</v>
      </c>
      <c r="AH271" s="174">
        <v>56909.002210568244</v>
      </c>
      <c r="AI271" s="175">
        <v>53090.997789431756</v>
      </c>
      <c r="AJ271" s="174">
        <v>46909.002210568244</v>
      </c>
      <c r="AK271" s="176">
        <v>10000</v>
      </c>
      <c r="AL271" s="184">
        <f t="shared" si="10"/>
        <v>53090.997789431756</v>
      </c>
      <c r="AN271" s="172"/>
      <c r="AO271" s="172"/>
      <c r="AP271" s="172"/>
      <c r="AQ271" s="172"/>
      <c r="AR271" s="173"/>
      <c r="AS271" s="174"/>
      <c r="AT271" s="175"/>
      <c r="AU271" s="174"/>
      <c r="AV271" s="184"/>
      <c r="AW271" s="187"/>
    </row>
    <row r="272" spans="1:49" x14ac:dyDescent="0.25">
      <c r="A272" s="4">
        <v>10120083</v>
      </c>
      <c r="B272" s="219">
        <v>1046.22</v>
      </c>
      <c r="D272" s="206"/>
      <c r="E272" s="71">
        <v>10140085</v>
      </c>
      <c r="F272" s="42">
        <v>315.11999999999989</v>
      </c>
      <c r="H272" s="199"/>
      <c r="I272" s="71">
        <v>10550003</v>
      </c>
      <c r="J272" s="68">
        <v>85000</v>
      </c>
      <c r="AC272" s="183" t="s">
        <v>1086</v>
      </c>
      <c r="AD272" s="177" t="s">
        <v>288</v>
      </c>
      <c r="AE272" s="177" t="s">
        <v>1111</v>
      </c>
      <c r="AF272" s="177" t="s">
        <v>672</v>
      </c>
      <c r="AG272" s="178">
        <v>110000</v>
      </c>
      <c r="AH272" s="179">
        <v>66134.967615210451</v>
      </c>
      <c r="AI272" s="180">
        <v>43865.032384789549</v>
      </c>
      <c r="AJ272" s="179">
        <v>66134.967615210451</v>
      </c>
      <c r="AK272" s="176">
        <v>0</v>
      </c>
      <c r="AL272" s="184">
        <f t="shared" si="10"/>
        <v>43865.032384789549</v>
      </c>
      <c r="AN272" s="177"/>
      <c r="AO272" s="177"/>
      <c r="AP272" s="177"/>
      <c r="AQ272" s="177"/>
      <c r="AR272" s="178"/>
      <c r="AS272" s="179"/>
      <c r="AT272" s="180"/>
      <c r="AU272" s="179"/>
      <c r="AV272" s="184"/>
      <c r="AW272" s="188"/>
    </row>
    <row r="273" spans="1:49" x14ac:dyDescent="0.25">
      <c r="A273" s="4">
        <v>10130053</v>
      </c>
      <c r="B273" s="219">
        <v>1128</v>
      </c>
      <c r="D273" s="206"/>
      <c r="E273" s="71">
        <v>10140175</v>
      </c>
      <c r="F273" s="42">
        <v>9122.3785728000003</v>
      </c>
      <c r="H273" s="199"/>
      <c r="I273" s="71">
        <v>10580005</v>
      </c>
      <c r="J273" s="68">
        <v>55524.832824940022</v>
      </c>
      <c r="AC273" s="182" t="s">
        <v>1087</v>
      </c>
      <c r="AD273" s="172" t="s">
        <v>363</v>
      </c>
      <c r="AE273" s="172" t="s">
        <v>1112</v>
      </c>
      <c r="AF273" s="172" t="s">
        <v>672</v>
      </c>
      <c r="AG273" s="173">
        <v>110000</v>
      </c>
      <c r="AH273" s="174">
        <v>40638.448799999998</v>
      </c>
      <c r="AI273" s="175">
        <v>69361.551200000002</v>
      </c>
      <c r="AJ273" s="174">
        <v>30638.448799999998</v>
      </c>
      <c r="AK273" s="176">
        <v>10000</v>
      </c>
      <c r="AL273" s="184">
        <f t="shared" si="10"/>
        <v>69361.551200000002</v>
      </c>
      <c r="AN273" s="172"/>
      <c r="AO273" s="172"/>
      <c r="AP273" s="172"/>
      <c r="AQ273" s="172"/>
      <c r="AR273" s="173"/>
      <c r="AS273" s="174"/>
      <c r="AT273" s="175"/>
      <c r="AU273" s="174"/>
      <c r="AV273" s="184"/>
      <c r="AW273" s="187"/>
    </row>
    <row r="274" spans="1:49" x14ac:dyDescent="0.25">
      <c r="A274" s="4">
        <v>10130067</v>
      </c>
      <c r="B274" s="219">
        <v>1128</v>
      </c>
      <c r="D274" s="206"/>
      <c r="E274" s="71">
        <v>10110093</v>
      </c>
      <c r="F274" s="42">
        <v>4576.2305999999999</v>
      </c>
      <c r="H274" s="199"/>
      <c r="I274" s="71">
        <v>10530091</v>
      </c>
      <c r="J274" s="68">
        <v>78646.792820073533</v>
      </c>
      <c r="AC274" s="183" t="s">
        <v>1088</v>
      </c>
      <c r="AD274" s="177" t="s">
        <v>100</v>
      </c>
      <c r="AE274" s="177" t="s">
        <v>1112</v>
      </c>
      <c r="AF274" s="177" t="s">
        <v>672</v>
      </c>
      <c r="AG274" s="178">
        <v>110000</v>
      </c>
      <c r="AH274" s="179">
        <v>51622.839520753187</v>
      </c>
      <c r="AI274" s="180">
        <v>58377.160479246813</v>
      </c>
      <c r="AJ274" s="179">
        <v>41622.839520753187</v>
      </c>
      <c r="AK274" s="181">
        <v>10000</v>
      </c>
      <c r="AL274" s="184">
        <f t="shared" si="10"/>
        <v>58377.160479246813</v>
      </c>
      <c r="AN274" s="177"/>
      <c r="AO274" s="177"/>
      <c r="AP274" s="177"/>
      <c r="AQ274" s="177"/>
      <c r="AR274" s="178"/>
      <c r="AS274" s="179"/>
      <c r="AT274" s="180"/>
      <c r="AU274" s="179"/>
      <c r="AV274" s="181"/>
      <c r="AW274" s="184"/>
    </row>
    <row r="275" spans="1:49" x14ac:dyDescent="0.25">
      <c r="A275" s="4">
        <v>10130070</v>
      </c>
      <c r="B275" s="219">
        <v>533.22</v>
      </c>
      <c r="D275" s="206"/>
      <c r="E275" s="71">
        <v>10110094</v>
      </c>
      <c r="F275" s="42">
        <v>12800</v>
      </c>
      <c r="H275" s="199"/>
      <c r="I275" s="71">
        <v>10530092</v>
      </c>
      <c r="J275" s="68">
        <v>70189.583321807571</v>
      </c>
      <c r="AC275" s="182" t="s">
        <v>831</v>
      </c>
      <c r="AD275" s="172" t="s">
        <v>798</v>
      </c>
      <c r="AE275" s="172" t="s">
        <v>1111</v>
      </c>
      <c r="AF275" s="172" t="s">
        <v>672</v>
      </c>
      <c r="AG275" s="173">
        <v>110000</v>
      </c>
      <c r="AH275" s="174">
        <v>0</v>
      </c>
      <c r="AI275" s="175">
        <v>110000</v>
      </c>
      <c r="AJ275" s="174">
        <v>0</v>
      </c>
      <c r="AK275" s="176">
        <v>0</v>
      </c>
      <c r="AL275" s="184">
        <f t="shared" si="10"/>
        <v>110000</v>
      </c>
      <c r="AN275" s="172"/>
      <c r="AO275" s="172"/>
      <c r="AP275" s="172"/>
      <c r="AQ275" s="172"/>
      <c r="AR275" s="173"/>
      <c r="AS275" s="174"/>
      <c r="AT275" s="175"/>
      <c r="AU275" s="174"/>
      <c r="AV275" s="176"/>
      <c r="AW275" s="184"/>
    </row>
    <row r="276" spans="1:49" x14ac:dyDescent="0.25">
      <c r="A276" s="4">
        <v>10120002</v>
      </c>
      <c r="B276" s="219">
        <v>274.5</v>
      </c>
      <c r="D276" s="206"/>
      <c r="E276" s="71">
        <v>10080087</v>
      </c>
      <c r="F276" s="42">
        <v>7646.9805999999999</v>
      </c>
      <c r="H276" s="199"/>
      <c r="I276" s="71">
        <v>10530093</v>
      </c>
      <c r="J276" s="68">
        <v>60069.17919831325</v>
      </c>
      <c r="AC276" s="183" t="s">
        <v>1089</v>
      </c>
      <c r="AD276" s="177" t="s">
        <v>799</v>
      </c>
      <c r="AE276" s="177" t="s">
        <v>1112</v>
      </c>
      <c r="AF276" s="177" t="s">
        <v>672</v>
      </c>
      <c r="AG276" s="178">
        <v>110000</v>
      </c>
      <c r="AH276" s="179">
        <v>59394.097561004892</v>
      </c>
      <c r="AI276" s="180">
        <v>50605.902438995108</v>
      </c>
      <c r="AJ276" s="179">
        <v>49394.097561004892</v>
      </c>
      <c r="AK276" s="181">
        <v>10000</v>
      </c>
      <c r="AL276" s="184">
        <f t="shared" si="10"/>
        <v>50605.902438995108</v>
      </c>
      <c r="AN276" s="177"/>
      <c r="AO276" s="177"/>
      <c r="AP276" s="177"/>
      <c r="AQ276" s="177"/>
      <c r="AR276" s="178"/>
      <c r="AS276" s="179"/>
      <c r="AT276" s="180"/>
      <c r="AU276" s="179"/>
      <c r="AV276" s="181"/>
      <c r="AW276" s="184"/>
    </row>
    <row r="277" spans="1:49" x14ac:dyDescent="0.25">
      <c r="A277" s="4">
        <v>10130006</v>
      </c>
      <c r="B277" s="219">
        <v>109.80000000000001</v>
      </c>
      <c r="D277" s="206"/>
      <c r="E277" s="71">
        <v>10120084</v>
      </c>
      <c r="F277" s="42">
        <v>4986.1544731430786</v>
      </c>
      <c r="H277" s="199"/>
      <c r="I277" s="71">
        <v>10560011</v>
      </c>
      <c r="J277" s="68">
        <v>62894.911905043002</v>
      </c>
      <c r="AC277" s="182" t="s">
        <v>1090</v>
      </c>
      <c r="AD277" s="172" t="s">
        <v>800</v>
      </c>
      <c r="AE277" s="172" t="s">
        <v>1112</v>
      </c>
      <c r="AF277" s="172" t="s">
        <v>672</v>
      </c>
      <c r="AG277" s="173">
        <v>110000</v>
      </c>
      <c r="AH277" s="174">
        <v>16579</v>
      </c>
      <c r="AI277" s="175">
        <v>93421</v>
      </c>
      <c r="AJ277" s="174">
        <v>6579</v>
      </c>
      <c r="AK277" s="176">
        <v>10000</v>
      </c>
      <c r="AL277" s="184">
        <f t="shared" si="10"/>
        <v>93421</v>
      </c>
      <c r="AN277" s="172"/>
      <c r="AO277" s="172"/>
      <c r="AP277" s="172"/>
      <c r="AQ277" s="172"/>
      <c r="AR277" s="173"/>
      <c r="AS277" s="174"/>
      <c r="AT277" s="175"/>
      <c r="AU277" s="174"/>
      <c r="AV277" s="176"/>
      <c r="AW277" s="184"/>
    </row>
    <row r="278" spans="1:49" x14ac:dyDescent="0.25">
      <c r="A278" s="4">
        <v>10130009</v>
      </c>
      <c r="B278" s="219">
        <v>1128</v>
      </c>
      <c r="D278" s="206"/>
      <c r="E278" s="71">
        <v>10120065</v>
      </c>
      <c r="F278" s="42">
        <v>8550</v>
      </c>
      <c r="H278" s="199"/>
      <c r="I278" s="71">
        <v>10560012</v>
      </c>
      <c r="J278" s="68">
        <v>75104.514237183437</v>
      </c>
      <c r="AC278" s="183" t="s">
        <v>1091</v>
      </c>
      <c r="AD278" s="177" t="s">
        <v>801</v>
      </c>
      <c r="AE278" s="177" t="s">
        <v>1112</v>
      </c>
      <c r="AF278" s="177" t="s">
        <v>672</v>
      </c>
      <c r="AG278" s="178">
        <v>110000</v>
      </c>
      <c r="AH278" s="179">
        <v>31647.258166456319</v>
      </c>
      <c r="AI278" s="180">
        <v>78352.741833543681</v>
      </c>
      <c r="AJ278" s="179">
        <v>21647.258166456319</v>
      </c>
      <c r="AK278" s="181">
        <v>10000</v>
      </c>
      <c r="AL278" s="184">
        <f t="shared" si="10"/>
        <v>78352.741833543681</v>
      </c>
      <c r="AN278" s="177"/>
      <c r="AO278" s="177"/>
      <c r="AP278" s="177"/>
      <c r="AQ278" s="177"/>
      <c r="AR278" s="178"/>
      <c r="AS278" s="179"/>
      <c r="AT278" s="180"/>
      <c r="AU278" s="179"/>
      <c r="AV278" s="181"/>
      <c r="AW278" s="184"/>
    </row>
    <row r="279" spans="1:49" x14ac:dyDescent="0.25">
      <c r="A279" s="4">
        <v>10130013</v>
      </c>
      <c r="B279" s="219">
        <v>1128</v>
      </c>
      <c r="D279" s="206"/>
      <c r="E279" s="71">
        <v>10120053</v>
      </c>
      <c r="F279" s="42">
        <v>9600</v>
      </c>
      <c r="H279" s="199"/>
      <c r="I279" s="71">
        <v>10560014</v>
      </c>
      <c r="J279" s="68">
        <v>90000</v>
      </c>
      <c r="AC279" s="182" t="s">
        <v>1092</v>
      </c>
      <c r="AD279" s="172" t="s">
        <v>802</v>
      </c>
      <c r="AE279" s="172" t="s">
        <v>1112</v>
      </c>
      <c r="AF279" s="172" t="s">
        <v>672</v>
      </c>
      <c r="AG279" s="173">
        <v>110000</v>
      </c>
      <c r="AH279" s="174">
        <v>28550.611400000002</v>
      </c>
      <c r="AI279" s="175">
        <v>81449.388600000006</v>
      </c>
      <c r="AJ279" s="174">
        <v>18550.611400000002</v>
      </c>
      <c r="AK279" s="176">
        <v>10000</v>
      </c>
      <c r="AL279" s="184">
        <f t="shared" si="10"/>
        <v>81449.388600000006</v>
      </c>
      <c r="AN279" s="172"/>
      <c r="AO279" s="172"/>
      <c r="AP279" s="172"/>
      <c r="AQ279" s="172"/>
      <c r="AR279" s="173"/>
      <c r="AS279" s="174"/>
      <c r="AT279" s="175"/>
      <c r="AU279" s="174"/>
      <c r="AV279" s="176"/>
      <c r="AW279" s="184"/>
    </row>
    <row r="280" spans="1:49" x14ac:dyDescent="0.25">
      <c r="A280" s="4">
        <v>10130002</v>
      </c>
      <c r="B280" s="219">
        <v>1128</v>
      </c>
      <c r="D280" s="206"/>
      <c r="E280" s="71">
        <v>10120080</v>
      </c>
      <c r="F280" s="42">
        <v>11750</v>
      </c>
      <c r="H280" s="199"/>
      <c r="I280" s="71">
        <v>10560015</v>
      </c>
      <c r="J280" s="68">
        <v>96450.348643408375</v>
      </c>
      <c r="AC280" s="183" t="s">
        <v>1093</v>
      </c>
      <c r="AD280" s="177" t="s">
        <v>295</v>
      </c>
      <c r="AE280" s="177" t="s">
        <v>1112</v>
      </c>
      <c r="AF280" s="177" t="s">
        <v>672</v>
      </c>
      <c r="AG280" s="178">
        <v>110000</v>
      </c>
      <c r="AH280" s="179">
        <v>47834.095087134854</v>
      </c>
      <c r="AI280" s="180">
        <v>62165.904912865146</v>
      </c>
      <c r="AJ280" s="179">
        <v>37834.095087134854</v>
      </c>
      <c r="AK280" s="181">
        <v>10000</v>
      </c>
      <c r="AL280" s="184">
        <f t="shared" si="10"/>
        <v>62165.904912865146</v>
      </c>
      <c r="AN280" s="177"/>
      <c r="AO280" s="177"/>
      <c r="AP280" s="177"/>
      <c r="AQ280" s="177"/>
      <c r="AR280" s="178"/>
      <c r="AS280" s="179"/>
      <c r="AT280" s="180"/>
      <c r="AU280" s="179"/>
      <c r="AV280" s="176"/>
      <c r="AW280" s="184"/>
    </row>
    <row r="281" spans="1:49" x14ac:dyDescent="0.25">
      <c r="A281" s="4">
        <v>10130032</v>
      </c>
      <c r="B281" s="219">
        <v>348.52</v>
      </c>
      <c r="D281" s="206"/>
      <c r="E281" s="71">
        <v>10030057</v>
      </c>
      <c r="F281" s="42">
        <v>12800</v>
      </c>
      <c r="H281" s="199"/>
      <c r="I281" s="71">
        <v>10560016</v>
      </c>
      <c r="J281" s="68">
        <v>81268.376872347857</v>
      </c>
      <c r="AC281" s="182" t="s">
        <v>1094</v>
      </c>
      <c r="AD281" s="172" t="s">
        <v>1106</v>
      </c>
      <c r="AE281" s="172" t="s">
        <v>1112</v>
      </c>
      <c r="AF281" s="172" t="s">
        <v>672</v>
      </c>
      <c r="AG281" s="173">
        <v>110000</v>
      </c>
      <c r="AH281" s="174">
        <v>14000</v>
      </c>
      <c r="AI281" s="175">
        <v>96000</v>
      </c>
      <c r="AJ281" s="174">
        <v>0</v>
      </c>
      <c r="AK281" s="176">
        <v>14000</v>
      </c>
      <c r="AL281" s="184">
        <f t="shared" si="10"/>
        <v>96000</v>
      </c>
      <c r="AN281" s="172"/>
      <c r="AO281" s="172"/>
      <c r="AP281" s="172"/>
      <c r="AQ281" s="172"/>
      <c r="AR281" s="173"/>
      <c r="AS281" s="174"/>
      <c r="AT281" s="175"/>
      <c r="AU281" s="174"/>
      <c r="AV281" s="176"/>
      <c r="AW281" s="184"/>
    </row>
    <row r="282" spans="1:49" x14ac:dyDescent="0.25">
      <c r="A282" s="4">
        <v>10120001</v>
      </c>
      <c r="B282" s="219">
        <v>348.52</v>
      </c>
      <c r="D282" s="206"/>
      <c r="E282" s="71">
        <v>10030059</v>
      </c>
      <c r="F282" s="42">
        <v>12800</v>
      </c>
      <c r="H282" s="199"/>
      <c r="I282" s="71">
        <v>10020084</v>
      </c>
      <c r="J282" s="68">
        <v>77198.280430327606</v>
      </c>
      <c r="AC282" s="183" t="s">
        <v>1095</v>
      </c>
      <c r="AD282" s="177" t="s">
        <v>1107</v>
      </c>
      <c r="AE282" s="177" t="s">
        <v>1112</v>
      </c>
      <c r="AF282" s="177" t="s">
        <v>672</v>
      </c>
      <c r="AG282" s="178">
        <v>110000</v>
      </c>
      <c r="AH282" s="179">
        <v>10000</v>
      </c>
      <c r="AI282" s="180">
        <v>100000</v>
      </c>
      <c r="AJ282" s="179">
        <v>0</v>
      </c>
      <c r="AK282" s="181">
        <v>10000</v>
      </c>
      <c r="AL282" s="184">
        <f t="shared" si="10"/>
        <v>100000</v>
      </c>
    </row>
    <row r="283" spans="1:49" x14ac:dyDescent="0.25">
      <c r="A283" s="4">
        <v>10130014</v>
      </c>
      <c r="B283" s="219">
        <v>1443.52</v>
      </c>
      <c r="D283" s="206"/>
      <c r="E283" s="71">
        <v>10030061</v>
      </c>
      <c r="F283" s="42">
        <v>9600</v>
      </c>
      <c r="H283" s="199"/>
      <c r="I283" s="71">
        <v>10570017</v>
      </c>
      <c r="J283" s="68">
        <v>82642</v>
      </c>
      <c r="AC283" s="182" t="s">
        <v>1096</v>
      </c>
      <c r="AD283" s="172" t="s">
        <v>1108</v>
      </c>
      <c r="AE283" s="172" t="s">
        <v>1111</v>
      </c>
      <c r="AF283" s="172" t="s">
        <v>672</v>
      </c>
      <c r="AG283" s="173">
        <v>110000</v>
      </c>
      <c r="AH283" s="174">
        <v>0</v>
      </c>
      <c r="AI283" s="175">
        <v>110000</v>
      </c>
      <c r="AJ283" s="174">
        <v>0</v>
      </c>
      <c r="AK283" s="176">
        <v>0</v>
      </c>
      <c r="AL283" s="184">
        <f t="shared" si="10"/>
        <v>110000</v>
      </c>
    </row>
    <row r="284" spans="1:49" x14ac:dyDescent="0.25">
      <c r="A284" s="4">
        <v>10130027</v>
      </c>
      <c r="B284" s="219">
        <v>1476.52</v>
      </c>
      <c r="D284" s="206"/>
      <c r="E284" s="71">
        <v>10030060</v>
      </c>
      <c r="F284" s="42">
        <v>12800</v>
      </c>
      <c r="H284" s="199"/>
      <c r="I284" s="71">
        <v>10030078</v>
      </c>
      <c r="J284" s="68">
        <v>81343.525620316403</v>
      </c>
      <c r="AC284" s="183" t="s">
        <v>1097</v>
      </c>
      <c r="AD284" s="177" t="s">
        <v>803</v>
      </c>
      <c r="AE284" s="177" t="s">
        <v>1111</v>
      </c>
      <c r="AF284" s="177" t="s">
        <v>672</v>
      </c>
      <c r="AG284" s="178">
        <v>110000</v>
      </c>
      <c r="AH284" s="179">
        <v>7118</v>
      </c>
      <c r="AI284" s="180">
        <v>102882</v>
      </c>
      <c r="AJ284" s="179">
        <v>7118</v>
      </c>
      <c r="AK284" s="176">
        <v>0</v>
      </c>
      <c r="AL284" s="184">
        <f t="shared" si="10"/>
        <v>102882</v>
      </c>
    </row>
    <row r="285" spans="1:49" x14ac:dyDescent="0.25">
      <c r="A285" s="4">
        <v>10120021</v>
      </c>
      <c r="B285" s="219">
        <v>1008</v>
      </c>
      <c r="D285" s="206"/>
      <c r="E285" s="71">
        <v>10130084</v>
      </c>
      <c r="F285" s="42">
        <v>10700</v>
      </c>
      <c r="H285" s="199"/>
      <c r="I285" s="71">
        <v>10090072</v>
      </c>
      <c r="J285" s="68">
        <v>83760.108197161899</v>
      </c>
      <c r="AC285" s="182" t="s">
        <v>1098</v>
      </c>
      <c r="AD285" s="172" t="s">
        <v>1109</v>
      </c>
      <c r="AE285" s="172" t="s">
        <v>1112</v>
      </c>
      <c r="AF285" s="172" t="s">
        <v>672</v>
      </c>
      <c r="AG285" s="173">
        <v>110000</v>
      </c>
      <c r="AH285" s="174">
        <v>39741.098781038956</v>
      </c>
      <c r="AI285" s="175">
        <v>70258.901218961051</v>
      </c>
      <c r="AJ285" s="174">
        <v>24741.098781038956</v>
      </c>
      <c r="AK285" s="176">
        <v>15000</v>
      </c>
      <c r="AL285" s="184">
        <f t="shared" si="10"/>
        <v>70258.901218961051</v>
      </c>
    </row>
    <row r="286" spans="1:49" x14ac:dyDescent="0.25">
      <c r="A286" s="4">
        <v>10130051</v>
      </c>
      <c r="B286" s="219">
        <v>1128</v>
      </c>
      <c r="D286" s="206"/>
      <c r="E286" s="71">
        <v>10130073</v>
      </c>
      <c r="F286" s="42">
        <v>13900</v>
      </c>
      <c r="H286" s="199"/>
      <c r="I286" s="71">
        <v>10560017</v>
      </c>
      <c r="J286" s="68">
        <v>68772.562784334616</v>
      </c>
    </row>
    <row r="287" spans="1:49" x14ac:dyDescent="0.25">
      <c r="A287" s="4">
        <v>10120047</v>
      </c>
      <c r="B287" s="219">
        <v>1008</v>
      </c>
      <c r="D287" s="206"/>
      <c r="E287" s="71">
        <v>10120082</v>
      </c>
      <c r="F287" s="42">
        <v>9600</v>
      </c>
      <c r="H287" s="199"/>
      <c r="I287" s="71">
        <v>10560018</v>
      </c>
      <c r="J287" s="68">
        <v>107773.2776968464</v>
      </c>
    </row>
    <row r="288" spans="1:49" x14ac:dyDescent="0.25">
      <c r="A288" s="4">
        <v>10120080</v>
      </c>
      <c r="B288" s="219">
        <v>584.52</v>
      </c>
      <c r="D288" s="206"/>
      <c r="E288" s="71">
        <v>10030064</v>
      </c>
      <c r="F288" s="42">
        <v>16000</v>
      </c>
      <c r="H288" s="199"/>
      <c r="I288" s="71">
        <v>10010137</v>
      </c>
      <c r="J288" s="68">
        <v>84348</v>
      </c>
    </row>
    <row r="289" spans="1:10" x14ac:dyDescent="0.25">
      <c r="A289" s="4">
        <v>10120033</v>
      </c>
      <c r="B289" s="219">
        <v>129.80000000000001</v>
      </c>
      <c r="D289" s="206"/>
      <c r="E289" s="71">
        <v>10130067</v>
      </c>
      <c r="F289" s="42">
        <v>6400</v>
      </c>
      <c r="H289" s="199"/>
      <c r="I289" s="71">
        <v>10010138</v>
      </c>
      <c r="J289" s="68">
        <v>110000</v>
      </c>
    </row>
    <row r="290" spans="1:10" x14ac:dyDescent="0.25">
      <c r="A290" s="4">
        <v>10130055</v>
      </c>
      <c r="B290" s="219">
        <v>1128</v>
      </c>
      <c r="D290" s="206"/>
      <c r="E290" s="71">
        <v>10130053</v>
      </c>
      <c r="F290" s="42">
        <v>6400</v>
      </c>
      <c r="H290" s="199"/>
      <c r="I290" s="71">
        <v>10540031</v>
      </c>
      <c r="J290" s="68">
        <v>110000</v>
      </c>
    </row>
    <row r="291" spans="1:10" x14ac:dyDescent="0.25">
      <c r="A291" s="4">
        <v>10130004</v>
      </c>
      <c r="B291" s="219">
        <v>1128</v>
      </c>
      <c r="D291" s="206"/>
      <c r="E291" s="71">
        <v>10130070</v>
      </c>
      <c r="F291" s="42">
        <v>8550</v>
      </c>
      <c r="H291" s="199"/>
      <c r="I291" s="71">
        <v>10540032</v>
      </c>
      <c r="J291" s="68">
        <v>81883</v>
      </c>
    </row>
    <row r="292" spans="1:10" x14ac:dyDescent="0.25">
      <c r="A292" s="4">
        <v>10120066</v>
      </c>
      <c r="B292" s="219">
        <v>749</v>
      </c>
      <c r="D292" s="206"/>
      <c r="E292" s="71">
        <v>10130051</v>
      </c>
      <c r="F292" s="42">
        <v>6400</v>
      </c>
      <c r="H292" s="199"/>
      <c r="I292" s="71">
        <v>10080114</v>
      </c>
      <c r="J292" s="68">
        <v>109229</v>
      </c>
    </row>
    <row r="293" spans="1:10" x14ac:dyDescent="0.25">
      <c r="A293" s="4">
        <v>10130054</v>
      </c>
      <c r="B293" s="219">
        <v>109.80000000000001</v>
      </c>
      <c r="D293" s="206"/>
      <c r="E293" s="71">
        <v>10120072</v>
      </c>
      <c r="F293" s="42">
        <v>3200</v>
      </c>
      <c r="H293" s="199"/>
      <c r="I293" s="71">
        <v>10580004</v>
      </c>
      <c r="J293" s="68">
        <v>85533</v>
      </c>
    </row>
    <row r="294" spans="1:10" x14ac:dyDescent="0.25">
      <c r="A294" s="4">
        <v>10130022</v>
      </c>
      <c r="B294" s="219">
        <v>1128</v>
      </c>
      <c r="D294" s="206"/>
      <c r="E294" s="71">
        <v>10130046</v>
      </c>
      <c r="F294" s="42">
        <v>14950</v>
      </c>
      <c r="H294" s="199"/>
      <c r="I294" s="71">
        <v>10540033</v>
      </c>
      <c r="J294" s="68">
        <v>90000</v>
      </c>
    </row>
    <row r="295" spans="1:10" x14ac:dyDescent="0.25">
      <c r="A295" s="4">
        <v>10130047</v>
      </c>
      <c r="B295" s="219">
        <v>623.02</v>
      </c>
      <c r="D295" s="206"/>
      <c r="E295" s="71">
        <v>10130054</v>
      </c>
      <c r="F295" s="42">
        <v>11750</v>
      </c>
      <c r="H295" s="199"/>
      <c r="I295" s="71">
        <v>10540034</v>
      </c>
      <c r="J295" s="68">
        <v>108057</v>
      </c>
    </row>
    <row r="296" spans="1:10" x14ac:dyDescent="0.25">
      <c r="A296" s="4">
        <v>10120055</v>
      </c>
      <c r="B296" s="219">
        <v>1008</v>
      </c>
      <c r="D296" s="206"/>
      <c r="E296" s="71">
        <v>10130052</v>
      </c>
      <c r="F296" s="42">
        <v>21350</v>
      </c>
      <c r="H296" s="199"/>
      <c r="I296" s="71">
        <v>10580001</v>
      </c>
      <c r="J296" s="68">
        <v>78968</v>
      </c>
    </row>
    <row r="297" spans="1:10" x14ac:dyDescent="0.25">
      <c r="A297" s="4">
        <v>10120075</v>
      </c>
      <c r="B297" s="219">
        <v>1568</v>
      </c>
      <c r="D297" s="206"/>
      <c r="E297" s="71">
        <v>10080057</v>
      </c>
      <c r="F297" s="42">
        <v>6400</v>
      </c>
      <c r="H297" s="199"/>
      <c r="I297" s="71">
        <v>10580002</v>
      </c>
      <c r="J297" s="68">
        <v>81715</v>
      </c>
    </row>
    <row r="298" spans="1:10" x14ac:dyDescent="0.25">
      <c r="A298" s="4">
        <v>10020066</v>
      </c>
      <c r="B298" s="219">
        <v>399.82</v>
      </c>
      <c r="D298" s="206"/>
      <c r="E298" s="71">
        <v>10080048</v>
      </c>
      <c r="F298" s="42">
        <v>6400</v>
      </c>
      <c r="H298" s="199"/>
      <c r="I298" s="71">
        <v>10580003</v>
      </c>
      <c r="J298" s="68">
        <v>117935</v>
      </c>
    </row>
    <row r="299" spans="1:10" x14ac:dyDescent="0.25">
      <c r="A299" s="4">
        <v>10110131</v>
      </c>
      <c r="B299" s="219">
        <v>748.33999999999992</v>
      </c>
      <c r="D299" s="206"/>
      <c r="E299" s="71">
        <v>10110084</v>
      </c>
      <c r="F299" s="42">
        <v>6400</v>
      </c>
      <c r="H299" s="199"/>
      <c r="I299" s="71">
        <v>10110168</v>
      </c>
      <c r="J299" s="68">
        <v>61464.879783389435</v>
      </c>
    </row>
    <row r="300" spans="1:10" x14ac:dyDescent="0.25">
      <c r="A300" s="4">
        <v>10110145</v>
      </c>
      <c r="B300" s="219">
        <v>773.99</v>
      </c>
      <c r="D300" s="206"/>
      <c r="E300" s="71">
        <v>10120089</v>
      </c>
      <c r="F300" s="42">
        <v>10700</v>
      </c>
      <c r="H300" s="199"/>
      <c r="I300" s="71">
        <v>10130097</v>
      </c>
      <c r="J300" s="68">
        <v>88003</v>
      </c>
    </row>
    <row r="301" spans="1:10" x14ac:dyDescent="0.25">
      <c r="A301" s="4">
        <v>10530003</v>
      </c>
      <c r="B301" s="219">
        <v>404.61543080156116</v>
      </c>
      <c r="D301" s="206"/>
      <c r="E301" s="41">
        <v>10060050</v>
      </c>
      <c r="F301" s="42">
        <v>12800</v>
      </c>
      <c r="H301" s="199"/>
      <c r="I301" s="71">
        <v>10130096</v>
      </c>
      <c r="J301" s="68">
        <v>110000</v>
      </c>
    </row>
    <row r="302" spans="1:10" x14ac:dyDescent="0.25">
      <c r="A302" s="4">
        <v>10530002</v>
      </c>
      <c r="B302" s="219">
        <v>404.6154308015611</v>
      </c>
      <c r="D302" s="206"/>
      <c r="E302" s="71">
        <v>10060069</v>
      </c>
      <c r="F302" s="42">
        <v>5964</v>
      </c>
      <c r="H302" s="199"/>
      <c r="I302" s="71">
        <v>10130094</v>
      </c>
      <c r="J302" s="68">
        <v>91500</v>
      </c>
    </row>
    <row r="303" spans="1:10" x14ac:dyDescent="0.25">
      <c r="A303" s="4">
        <v>10530007</v>
      </c>
      <c r="B303" s="219">
        <v>294.81543080156109</v>
      </c>
      <c r="D303" s="206"/>
      <c r="E303" s="71">
        <v>10030063</v>
      </c>
      <c r="F303" s="42">
        <v>16000</v>
      </c>
      <c r="H303" s="199"/>
      <c r="I303" s="71">
        <v>10120113</v>
      </c>
      <c r="J303" s="68">
        <v>93474</v>
      </c>
    </row>
    <row r="304" spans="1:10" x14ac:dyDescent="0.25">
      <c r="A304" s="4">
        <v>10530032</v>
      </c>
      <c r="B304" s="219">
        <v>294.81543080156109</v>
      </c>
      <c r="D304" s="206"/>
      <c r="E304" s="71">
        <v>10010098</v>
      </c>
      <c r="F304" s="42">
        <v>8032.8168000000005</v>
      </c>
      <c r="H304" s="199"/>
      <c r="I304" s="71">
        <v>10120114</v>
      </c>
      <c r="J304" s="68">
        <v>92474</v>
      </c>
    </row>
    <row r="305" spans="1:10" x14ac:dyDescent="0.25">
      <c r="A305" s="4">
        <v>10530005</v>
      </c>
      <c r="B305" s="219">
        <v>294.81543080156109</v>
      </c>
      <c r="D305" s="206"/>
      <c r="E305" s="71">
        <v>10060049</v>
      </c>
      <c r="F305" s="42">
        <v>12800</v>
      </c>
      <c r="H305" s="199"/>
      <c r="I305" s="71">
        <v>10110169</v>
      </c>
      <c r="J305" s="68">
        <v>110000</v>
      </c>
    </row>
    <row r="306" spans="1:10" x14ac:dyDescent="0.25">
      <c r="A306" s="4">
        <v>10530040</v>
      </c>
      <c r="B306" s="219">
        <v>404.6154308015611</v>
      </c>
      <c r="D306" s="206"/>
      <c r="E306" s="71">
        <v>10140153</v>
      </c>
      <c r="F306" s="42">
        <v>4218.6918025240002</v>
      </c>
      <c r="H306" s="199"/>
      <c r="I306" s="71">
        <v>10540037</v>
      </c>
      <c r="J306" s="68">
        <v>94943</v>
      </c>
    </row>
    <row r="307" spans="1:10" x14ac:dyDescent="0.25">
      <c r="A307" s="4">
        <v>10530034</v>
      </c>
      <c r="B307" s="219">
        <v>404.61543080156116</v>
      </c>
      <c r="D307" s="206"/>
      <c r="E307" s="71">
        <v>10020036</v>
      </c>
      <c r="F307" s="42">
        <v>12800</v>
      </c>
      <c r="H307" s="199"/>
      <c r="I307" s="71">
        <v>10540038</v>
      </c>
      <c r="J307" s="68">
        <v>110000</v>
      </c>
    </row>
    <row r="308" spans="1:10" x14ac:dyDescent="0.25">
      <c r="A308" s="4">
        <v>10530006</v>
      </c>
      <c r="B308" s="219">
        <v>75.215430801561084</v>
      </c>
      <c r="D308" s="206"/>
      <c r="E308" s="71">
        <v>10020059</v>
      </c>
      <c r="F308" s="42">
        <v>12800</v>
      </c>
      <c r="H308" s="199"/>
      <c r="I308" s="71">
        <v>10530083</v>
      </c>
      <c r="J308" s="68">
        <v>102301</v>
      </c>
    </row>
    <row r="309" spans="1:10" x14ac:dyDescent="0.25">
      <c r="A309" s="4">
        <v>10530004</v>
      </c>
      <c r="B309" s="219">
        <v>54.900000000000006</v>
      </c>
      <c r="D309" s="206"/>
      <c r="E309" s="71">
        <v>10080056</v>
      </c>
      <c r="F309" s="42">
        <v>6400</v>
      </c>
      <c r="H309" s="199"/>
      <c r="I309" s="71">
        <v>10530084</v>
      </c>
      <c r="J309" s="68">
        <v>55354.480172400348</v>
      </c>
    </row>
    <row r="310" spans="1:10" x14ac:dyDescent="0.25">
      <c r="A310" s="4">
        <v>10530070</v>
      </c>
      <c r="B310" s="219">
        <v>75.21543080156107</v>
      </c>
      <c r="D310" s="206"/>
      <c r="E310" s="71">
        <v>10120094</v>
      </c>
      <c r="F310" s="42">
        <v>22400</v>
      </c>
      <c r="H310" s="199"/>
      <c r="I310" s="71">
        <v>10530085</v>
      </c>
      <c r="J310" s="68">
        <v>66999.422726643359</v>
      </c>
    </row>
    <row r="311" spans="1:10" x14ac:dyDescent="0.25">
      <c r="A311" s="4">
        <v>10530076</v>
      </c>
      <c r="B311" s="219">
        <v>349.71543080156107</v>
      </c>
      <c r="D311" s="206"/>
      <c r="E311" s="71">
        <v>10120051</v>
      </c>
      <c r="F311" s="42">
        <v>10700</v>
      </c>
      <c r="H311" s="199"/>
      <c r="I311" s="71">
        <v>10570001</v>
      </c>
      <c r="J311" s="68">
        <v>103239</v>
      </c>
    </row>
    <row r="312" spans="1:10" x14ac:dyDescent="0.25">
      <c r="A312" s="4">
        <v>10530033</v>
      </c>
      <c r="B312" s="219">
        <v>624.21543080156107</v>
      </c>
      <c r="D312" s="206"/>
      <c r="E312" s="71">
        <v>10120043</v>
      </c>
      <c r="F312" s="42">
        <v>6400</v>
      </c>
      <c r="H312" s="199"/>
      <c r="I312" s="71">
        <v>10570002</v>
      </c>
      <c r="J312" s="68">
        <v>109469</v>
      </c>
    </row>
    <row r="313" spans="1:10" x14ac:dyDescent="0.25">
      <c r="A313" s="4">
        <v>10530035</v>
      </c>
      <c r="B313" s="219">
        <v>349.71543080156107</v>
      </c>
      <c r="D313" s="206"/>
      <c r="E313" s="71">
        <v>10120087</v>
      </c>
      <c r="F313" s="42">
        <v>5350</v>
      </c>
      <c r="H313" s="199"/>
      <c r="I313" s="71">
        <v>10570003</v>
      </c>
      <c r="J313" s="68">
        <v>102854</v>
      </c>
    </row>
    <row r="314" spans="1:10" x14ac:dyDescent="0.25">
      <c r="A314" s="4">
        <v>10530055</v>
      </c>
      <c r="B314" s="219">
        <v>75.215430801561084</v>
      </c>
      <c r="D314" s="206"/>
      <c r="E314" s="71">
        <v>10080053</v>
      </c>
      <c r="F314" s="42">
        <v>1878.3622716513146</v>
      </c>
      <c r="H314" s="199"/>
      <c r="I314" s="71">
        <v>10570008</v>
      </c>
      <c r="J314" s="68">
        <v>55106.434685538996</v>
      </c>
    </row>
    <row r="315" spans="1:10" x14ac:dyDescent="0.25">
      <c r="A315" s="4">
        <v>10530064</v>
      </c>
      <c r="B315" s="219">
        <v>75.215430801561084</v>
      </c>
      <c r="D315" s="206"/>
      <c r="E315" s="71">
        <v>10030067</v>
      </c>
      <c r="F315" s="42">
        <v>6400</v>
      </c>
      <c r="H315" s="199"/>
      <c r="I315" s="71">
        <v>10570009</v>
      </c>
      <c r="J315" s="68">
        <v>69199.513059969206</v>
      </c>
    </row>
    <row r="316" spans="1:10" x14ac:dyDescent="0.25">
      <c r="A316" s="4">
        <v>10530047</v>
      </c>
      <c r="B316" s="219">
        <v>349.71543080156107</v>
      </c>
      <c r="D316" s="206"/>
      <c r="E316" s="71">
        <v>10010045</v>
      </c>
      <c r="F316" s="42">
        <v>6400</v>
      </c>
      <c r="H316" s="199"/>
      <c r="I316" s="71">
        <v>10020083</v>
      </c>
      <c r="J316" s="68">
        <v>104473</v>
      </c>
    </row>
    <row r="317" spans="1:10" x14ac:dyDescent="0.25">
      <c r="A317" s="4">
        <v>10530044</v>
      </c>
      <c r="B317" s="219">
        <v>349.71543080156107</v>
      </c>
      <c r="D317" s="206"/>
      <c r="E317" s="71">
        <v>10030065</v>
      </c>
      <c r="F317" s="42">
        <v>4526.3190178130099</v>
      </c>
      <c r="H317" s="199"/>
      <c r="I317" s="71">
        <v>10060121</v>
      </c>
      <c r="J317" s="68">
        <v>84496</v>
      </c>
    </row>
    <row r="318" spans="1:10" x14ac:dyDescent="0.25">
      <c r="A318" s="4">
        <v>10530065</v>
      </c>
      <c r="B318" s="219">
        <v>349.71543080156107</v>
      </c>
      <c r="D318" s="206"/>
      <c r="E318" s="71">
        <v>10010095</v>
      </c>
      <c r="F318" s="42">
        <v>3016.2027782248006</v>
      </c>
      <c r="H318" s="199"/>
      <c r="I318" s="71">
        <v>10010135</v>
      </c>
      <c r="J318" s="68">
        <v>82286.028599999991</v>
      </c>
    </row>
    <row r="319" spans="1:10" x14ac:dyDescent="0.25">
      <c r="A319" s="4">
        <v>10530071</v>
      </c>
      <c r="B319" s="219">
        <v>624.21543080156107</v>
      </c>
      <c r="D319" s="206"/>
      <c r="E319" s="71">
        <v>10010094</v>
      </c>
      <c r="F319" s="42">
        <v>6400</v>
      </c>
      <c r="H319" s="199"/>
      <c r="I319" s="71">
        <v>10110167</v>
      </c>
      <c r="J319" s="68">
        <v>109804</v>
      </c>
    </row>
    <row r="320" spans="1:10" x14ac:dyDescent="0.25">
      <c r="A320" s="4">
        <v>10530046</v>
      </c>
      <c r="B320" s="219">
        <v>294.81543080156109</v>
      </c>
      <c r="D320" s="206"/>
      <c r="E320" s="71">
        <v>10010086</v>
      </c>
      <c r="F320" s="42">
        <v>6400</v>
      </c>
      <c r="H320" s="199"/>
      <c r="I320" s="71">
        <v>10140189</v>
      </c>
      <c r="J320" s="68">
        <v>110000</v>
      </c>
    </row>
    <row r="321" spans="1:10" x14ac:dyDescent="0.25">
      <c r="A321" s="4">
        <v>10530001</v>
      </c>
      <c r="B321" s="219">
        <v>404.6154308015611</v>
      </c>
      <c r="D321" s="206"/>
      <c r="E321" s="71">
        <v>10130077</v>
      </c>
      <c r="F321" s="42">
        <v>7500</v>
      </c>
      <c r="H321" s="199"/>
      <c r="I321" s="71">
        <v>10560008</v>
      </c>
      <c r="J321" s="68">
        <v>99287</v>
      </c>
    </row>
    <row r="322" spans="1:10" x14ac:dyDescent="0.25">
      <c r="A322" s="4">
        <v>10530045</v>
      </c>
      <c r="B322" s="219">
        <v>54.900000000000006</v>
      </c>
      <c r="D322" s="206"/>
      <c r="E322" s="71">
        <v>10030066</v>
      </c>
      <c r="F322" s="42">
        <v>12800</v>
      </c>
      <c r="H322" s="199"/>
      <c r="I322" s="71">
        <v>10010082</v>
      </c>
      <c r="J322" s="68">
        <v>17208.325264177576</v>
      </c>
    </row>
    <row r="323" spans="1:10" x14ac:dyDescent="0.25">
      <c r="A323" s="4">
        <v>10530027</v>
      </c>
      <c r="B323" s="219">
        <v>952.42000000000007</v>
      </c>
      <c r="D323" s="206"/>
      <c r="E323" s="71">
        <v>10090052</v>
      </c>
      <c r="F323" s="42">
        <v>9247</v>
      </c>
      <c r="H323" s="199"/>
      <c r="I323" s="71">
        <v>10120111</v>
      </c>
      <c r="J323" s="68">
        <v>55990.426691144647</v>
      </c>
    </row>
    <row r="324" spans="1:10" x14ac:dyDescent="0.25">
      <c r="A324" s="4">
        <v>10530067</v>
      </c>
      <c r="B324" s="198">
        <v>294.81543080156109</v>
      </c>
      <c r="D324" s="206"/>
      <c r="E324" s="71">
        <v>10080077</v>
      </c>
      <c r="F324" s="42">
        <v>3200</v>
      </c>
      <c r="H324" s="199"/>
      <c r="I324" s="71">
        <v>10020080</v>
      </c>
      <c r="J324" s="68">
        <v>91011</v>
      </c>
    </row>
    <row r="325" spans="1:10" x14ac:dyDescent="0.25">
      <c r="A325" s="4">
        <v>10530008</v>
      </c>
      <c r="B325" s="198">
        <v>294.81543080156115</v>
      </c>
      <c r="D325" s="206"/>
      <c r="E325" s="71">
        <v>10080047</v>
      </c>
      <c r="F325" s="42">
        <v>9600</v>
      </c>
      <c r="H325" s="199"/>
      <c r="I325" s="71">
        <v>10530081</v>
      </c>
      <c r="J325" s="68">
        <v>36517.327799839695</v>
      </c>
    </row>
    <row r="326" spans="1:10" x14ac:dyDescent="0.25">
      <c r="A326" s="4">
        <v>10530058</v>
      </c>
      <c r="B326" s="198">
        <v>75.215430801561084</v>
      </c>
      <c r="D326" s="206"/>
      <c r="E326" s="71">
        <v>10080051</v>
      </c>
      <c r="F326" s="42">
        <v>6400</v>
      </c>
      <c r="H326" s="199"/>
      <c r="I326" s="71">
        <v>10530082</v>
      </c>
      <c r="J326" s="68">
        <v>52835.7460084552</v>
      </c>
    </row>
    <row r="327" spans="1:10" x14ac:dyDescent="0.25">
      <c r="A327" s="4">
        <v>10530048</v>
      </c>
      <c r="B327" s="198">
        <v>294.81543080156109</v>
      </c>
      <c r="D327" s="206"/>
      <c r="E327" s="71">
        <v>10010089</v>
      </c>
      <c r="F327" s="42">
        <v>5699</v>
      </c>
      <c r="H327" s="199"/>
      <c r="I327" s="71">
        <v>10130067</v>
      </c>
      <c r="J327" s="68">
        <v>95000</v>
      </c>
    </row>
    <row r="328" spans="1:10" x14ac:dyDescent="0.25">
      <c r="A328" s="4">
        <v>10530062</v>
      </c>
      <c r="B328" s="198">
        <v>294.81543080156109</v>
      </c>
      <c r="D328" s="206"/>
      <c r="E328" s="71">
        <v>10530003</v>
      </c>
      <c r="F328" s="42">
        <v>28800</v>
      </c>
      <c r="H328" s="199"/>
      <c r="I328" s="71">
        <v>10010134</v>
      </c>
      <c r="J328" s="68">
        <v>90000</v>
      </c>
    </row>
    <row r="329" spans="1:10" x14ac:dyDescent="0.25">
      <c r="A329" s="4">
        <v>10530082</v>
      </c>
      <c r="B329" s="198">
        <v>404.6154308015611</v>
      </c>
      <c r="D329" s="201"/>
      <c r="E329" s="71">
        <v>10060073</v>
      </c>
      <c r="F329" s="42">
        <v>6400</v>
      </c>
      <c r="H329" s="199"/>
      <c r="I329" s="71">
        <v>10140186</v>
      </c>
      <c r="J329" s="68">
        <v>103000</v>
      </c>
    </row>
    <row r="330" spans="1:10" x14ac:dyDescent="0.25">
      <c r="A330" s="4">
        <v>10530078</v>
      </c>
      <c r="B330" s="198">
        <v>294.81543080156109</v>
      </c>
      <c r="D330" s="201"/>
      <c r="E330" s="71">
        <v>10530002</v>
      </c>
      <c r="F330" s="42">
        <v>32000</v>
      </c>
      <c r="H330" s="199"/>
      <c r="I330" s="71">
        <v>10030076</v>
      </c>
      <c r="J330" s="68">
        <v>110000</v>
      </c>
    </row>
    <row r="331" spans="1:10" x14ac:dyDescent="0.25">
      <c r="A331" s="4">
        <v>10530074</v>
      </c>
      <c r="B331" s="198">
        <v>349.71543080156107</v>
      </c>
      <c r="D331" s="201"/>
      <c r="E331" s="71">
        <v>10530005</v>
      </c>
      <c r="F331" s="42">
        <v>16000</v>
      </c>
      <c r="H331" s="199"/>
      <c r="I331" s="71">
        <v>10560004</v>
      </c>
      <c r="J331" s="68">
        <v>76067.741924374277</v>
      </c>
    </row>
    <row r="332" spans="1:10" x14ac:dyDescent="0.25">
      <c r="A332" s="4">
        <v>10530085</v>
      </c>
      <c r="B332" s="198">
        <v>294.81543080156109</v>
      </c>
      <c r="D332" s="201"/>
      <c r="E332" s="71">
        <v>10060071</v>
      </c>
      <c r="F332" s="42">
        <v>6400</v>
      </c>
      <c r="H332" s="199"/>
      <c r="I332" s="71">
        <v>10560005</v>
      </c>
      <c r="J332" s="68">
        <v>39385.961612333747</v>
      </c>
    </row>
    <row r="333" spans="1:10" x14ac:dyDescent="0.25">
      <c r="A333" s="4">
        <v>10530093</v>
      </c>
      <c r="B333" s="198">
        <v>404.6154308015611</v>
      </c>
      <c r="D333" s="201"/>
      <c r="E333" s="71">
        <v>10090056</v>
      </c>
      <c r="F333" s="42">
        <v>7182</v>
      </c>
      <c r="H333" s="199"/>
      <c r="I333" s="71">
        <v>10560006</v>
      </c>
      <c r="J333" s="68">
        <v>91918</v>
      </c>
    </row>
    <row r="334" spans="1:10" x14ac:dyDescent="0.25">
      <c r="A334" s="4">
        <v>10120082</v>
      </c>
      <c r="B334" s="198">
        <v>506.90000000000003</v>
      </c>
      <c r="D334" s="201"/>
      <c r="E334" s="71">
        <v>10120047</v>
      </c>
      <c r="F334" s="42">
        <v>6400</v>
      </c>
      <c r="H334" s="199"/>
      <c r="I334" s="71">
        <v>10560007</v>
      </c>
      <c r="J334" s="68">
        <v>76500</v>
      </c>
    </row>
    <row r="335" spans="1:10" x14ac:dyDescent="0.25">
      <c r="A335" s="4">
        <v>10120089</v>
      </c>
      <c r="B335" s="198">
        <v>274.5</v>
      </c>
      <c r="D335" s="201"/>
      <c r="E335" s="71">
        <v>10130078</v>
      </c>
      <c r="F335" s="42">
        <v>7500</v>
      </c>
      <c r="H335" s="199"/>
      <c r="I335" s="71">
        <v>10060116</v>
      </c>
      <c r="J335" s="68">
        <v>80809</v>
      </c>
    </row>
    <row r="336" spans="1:10" x14ac:dyDescent="0.25">
      <c r="A336" s="4">
        <v>10120090</v>
      </c>
      <c r="B336" s="198">
        <v>161.10000000000002</v>
      </c>
      <c r="D336" s="201"/>
      <c r="E336" s="71">
        <v>10530001</v>
      </c>
      <c r="F336" s="42">
        <v>19200</v>
      </c>
      <c r="H336" s="199"/>
      <c r="I336" s="71">
        <v>10070053</v>
      </c>
      <c r="J336" s="68">
        <v>71709</v>
      </c>
    </row>
    <row r="337" spans="1:10" x14ac:dyDescent="0.25">
      <c r="A337" s="4">
        <v>10120095</v>
      </c>
      <c r="B337" s="198">
        <v>296.81999999999994</v>
      </c>
      <c r="D337" s="201"/>
      <c r="E337" s="71">
        <v>10530008</v>
      </c>
      <c r="F337" s="42">
        <v>12800</v>
      </c>
      <c r="H337" s="199"/>
      <c r="I337" s="71">
        <v>10530078</v>
      </c>
      <c r="J337" s="68">
        <v>67670.253154245613</v>
      </c>
    </row>
    <row r="338" spans="1:10" x14ac:dyDescent="0.25">
      <c r="A338" s="4">
        <v>10120087</v>
      </c>
      <c r="B338" s="198">
        <v>503.3</v>
      </c>
      <c r="D338" s="201"/>
      <c r="E338" s="71">
        <v>10120083</v>
      </c>
      <c r="F338" s="42">
        <v>16000</v>
      </c>
      <c r="H338" s="199"/>
      <c r="I338" s="71">
        <v>10080108</v>
      </c>
      <c r="J338" s="68">
        <v>107000</v>
      </c>
    </row>
    <row r="339" spans="1:10" x14ac:dyDescent="0.25">
      <c r="A339" s="4">
        <v>10120084</v>
      </c>
      <c r="B339" s="198">
        <v>274.5</v>
      </c>
      <c r="D339" s="201"/>
      <c r="E339" s="71">
        <v>10130085</v>
      </c>
      <c r="F339" s="42">
        <v>9650</v>
      </c>
      <c r="H339" s="199"/>
      <c r="I339" s="71">
        <v>10140185</v>
      </c>
      <c r="J339" s="68">
        <v>46546.375636862023</v>
      </c>
    </row>
    <row r="340" spans="1:10" x14ac:dyDescent="0.25">
      <c r="A340" s="4">
        <v>10120094</v>
      </c>
      <c r="B340" s="198">
        <v>109.80000000000001</v>
      </c>
      <c r="D340" s="201"/>
      <c r="E340" s="71">
        <v>10090015</v>
      </c>
      <c r="F340" s="42">
        <v>5619.9752842296739</v>
      </c>
      <c r="H340" s="199"/>
      <c r="I340" s="71">
        <v>10030074</v>
      </c>
      <c r="J340" s="68">
        <v>63341.3836270334</v>
      </c>
    </row>
    <row r="341" spans="1:10" x14ac:dyDescent="0.25">
      <c r="A341" s="4">
        <v>10140180</v>
      </c>
      <c r="B341" s="198">
        <v>348.52</v>
      </c>
      <c r="D341" s="201"/>
      <c r="E341" s="71">
        <v>10120054</v>
      </c>
      <c r="F341" s="42">
        <v>12800</v>
      </c>
      <c r="H341" s="199"/>
      <c r="I341" s="71">
        <v>10560002</v>
      </c>
      <c r="J341" s="68">
        <v>75763.269182993259</v>
      </c>
    </row>
    <row r="342" spans="1:10" x14ac:dyDescent="0.25">
      <c r="A342" s="4">
        <v>10140132</v>
      </c>
      <c r="B342" s="198">
        <v>781.02</v>
      </c>
      <c r="D342" s="201"/>
      <c r="E342" s="71">
        <v>10140156</v>
      </c>
      <c r="F342" s="42">
        <v>12800</v>
      </c>
      <c r="H342" s="199"/>
      <c r="I342" s="71">
        <v>10560003</v>
      </c>
      <c r="J342" s="68">
        <v>109875</v>
      </c>
    </row>
    <row r="343" spans="1:10" x14ac:dyDescent="0.25">
      <c r="A343" s="4">
        <v>10140178</v>
      </c>
      <c r="B343" s="198">
        <v>799.64</v>
      </c>
      <c r="D343" s="201"/>
      <c r="E343" s="71">
        <v>10080079</v>
      </c>
      <c r="F343" s="42">
        <v>6400</v>
      </c>
      <c r="H343" s="199"/>
      <c r="I343" s="71">
        <v>10060115</v>
      </c>
      <c r="J343" s="68">
        <v>87186.883799999996</v>
      </c>
    </row>
    <row r="344" spans="1:10" x14ac:dyDescent="0.25">
      <c r="A344" s="4">
        <v>10060100</v>
      </c>
      <c r="B344" s="198">
        <v>522.80999999999995</v>
      </c>
      <c r="D344" s="201"/>
      <c r="E344" s="71">
        <v>10080064</v>
      </c>
      <c r="F344" s="42">
        <v>9600</v>
      </c>
      <c r="H344" s="199"/>
      <c r="I344" s="71">
        <v>10010128</v>
      </c>
      <c r="J344" s="68">
        <v>41865.424786639807</v>
      </c>
    </row>
    <row r="345" spans="1:10" x14ac:dyDescent="0.25">
      <c r="A345" s="4">
        <v>10030071</v>
      </c>
      <c r="B345" s="198">
        <v>289.32</v>
      </c>
      <c r="D345" s="201"/>
      <c r="E345" s="71">
        <v>10010069</v>
      </c>
      <c r="F345" s="42">
        <v>6400</v>
      </c>
      <c r="H345" s="199"/>
      <c r="I345" s="71">
        <v>10010126</v>
      </c>
      <c r="J345" s="68">
        <v>109994</v>
      </c>
    </row>
    <row r="346" spans="1:10" x14ac:dyDescent="0.25">
      <c r="A346" s="4">
        <v>10090046</v>
      </c>
      <c r="B346" s="198">
        <v>102.6</v>
      </c>
      <c r="D346" s="201"/>
      <c r="E346" s="71">
        <v>10010088</v>
      </c>
      <c r="F346" s="42">
        <v>12800</v>
      </c>
      <c r="H346" s="199"/>
      <c r="I346" s="71">
        <v>10080105</v>
      </c>
      <c r="J346" s="68">
        <v>109981</v>
      </c>
    </row>
    <row r="347" spans="1:10" x14ac:dyDescent="0.25">
      <c r="A347" s="4">
        <v>10090057</v>
      </c>
      <c r="B347" s="198">
        <v>76.95</v>
      </c>
      <c r="D347" s="201"/>
      <c r="E347" s="71">
        <v>10140155</v>
      </c>
      <c r="F347" s="42">
        <v>6400</v>
      </c>
      <c r="H347" s="199"/>
      <c r="I347" s="71">
        <v>10110164</v>
      </c>
      <c r="J347" s="68">
        <v>80508</v>
      </c>
    </row>
    <row r="348" spans="1:10" x14ac:dyDescent="0.25">
      <c r="A348" s="4">
        <v>10090061</v>
      </c>
      <c r="B348" s="198">
        <v>102.6</v>
      </c>
      <c r="D348" s="201"/>
      <c r="E348" s="71">
        <v>10130047</v>
      </c>
      <c r="F348" s="42">
        <v>11750</v>
      </c>
      <c r="H348" s="199"/>
      <c r="I348" s="71">
        <v>10110165</v>
      </c>
      <c r="J348" s="68">
        <v>109032</v>
      </c>
    </row>
    <row r="349" spans="1:10" x14ac:dyDescent="0.25">
      <c r="A349" s="4">
        <v>10140186</v>
      </c>
      <c r="B349" s="198">
        <v>145.4</v>
      </c>
      <c r="D349" s="201"/>
      <c r="E349" s="71">
        <v>10120095</v>
      </c>
      <c r="F349" s="42">
        <v>7650.5474332718404</v>
      </c>
      <c r="H349" s="199"/>
      <c r="I349" s="71">
        <v>10540016</v>
      </c>
      <c r="J349" s="68">
        <v>71787.193244226044</v>
      </c>
    </row>
    <row r="350" spans="1:10" x14ac:dyDescent="0.25">
      <c r="A350" s="4">
        <v>10110118</v>
      </c>
      <c r="B350" s="198">
        <v>423.73543080156105</v>
      </c>
      <c r="D350" s="201"/>
      <c r="E350" s="71">
        <v>10080065</v>
      </c>
      <c r="F350" s="42">
        <v>6400</v>
      </c>
      <c r="H350" s="199"/>
      <c r="I350" s="71">
        <v>10540017</v>
      </c>
      <c r="J350" s="68">
        <v>69902.134408168262</v>
      </c>
    </row>
    <row r="351" spans="1:10" x14ac:dyDescent="0.25">
      <c r="A351" s="4">
        <v>10110120</v>
      </c>
      <c r="B351" s="198">
        <v>423.73543080156105</v>
      </c>
      <c r="D351" s="201"/>
      <c r="E351" s="71">
        <v>10080062</v>
      </c>
      <c r="F351" s="42">
        <v>8935</v>
      </c>
      <c r="H351" s="199"/>
      <c r="I351" s="71">
        <v>10540018</v>
      </c>
      <c r="J351" s="68">
        <v>76500</v>
      </c>
    </row>
    <row r="352" spans="1:10" x14ac:dyDescent="0.25">
      <c r="A352" s="4">
        <v>10540017</v>
      </c>
      <c r="B352" s="198">
        <v>498.95086160312212</v>
      </c>
      <c r="D352" s="201"/>
      <c r="E352" s="71">
        <v>10080070</v>
      </c>
      <c r="F352" s="42">
        <v>6400</v>
      </c>
      <c r="H352" s="199"/>
      <c r="I352" s="71">
        <v>10540019</v>
      </c>
      <c r="J352" s="68">
        <v>76257</v>
      </c>
    </row>
    <row r="353" spans="1:10" x14ac:dyDescent="0.25">
      <c r="A353" s="4">
        <v>10540009</v>
      </c>
      <c r="B353" s="198">
        <v>828.27543080156101</v>
      </c>
      <c r="D353" s="201"/>
      <c r="E353" s="71">
        <v>10080060</v>
      </c>
      <c r="F353" s="42">
        <v>6400</v>
      </c>
      <c r="H353" s="199"/>
      <c r="I353" s="71">
        <v>10540020</v>
      </c>
      <c r="J353" s="68">
        <v>79310</v>
      </c>
    </row>
    <row r="354" spans="1:10" x14ac:dyDescent="0.25">
      <c r="A354" s="4">
        <v>10110143</v>
      </c>
      <c r="B354" s="198">
        <v>423.73543080156105</v>
      </c>
      <c r="D354" s="201"/>
      <c r="E354" s="71">
        <v>10080063</v>
      </c>
      <c r="F354" s="42">
        <v>6400</v>
      </c>
      <c r="H354" s="199"/>
      <c r="I354" s="71">
        <v>10030075</v>
      </c>
      <c r="J354" s="68">
        <v>76566.329806128604</v>
      </c>
    </row>
    <row r="355" spans="1:10" x14ac:dyDescent="0.25">
      <c r="A355" s="4">
        <v>10540008</v>
      </c>
      <c r="B355" s="198">
        <v>955.25543080156103</v>
      </c>
      <c r="D355" s="201"/>
      <c r="E355" s="71">
        <v>10100035</v>
      </c>
      <c r="F355" s="42">
        <v>6330</v>
      </c>
      <c r="H355" s="199"/>
      <c r="I355" s="71">
        <v>10530070</v>
      </c>
      <c r="J355" s="68">
        <v>69719.429799999998</v>
      </c>
    </row>
    <row r="356" spans="1:10" x14ac:dyDescent="0.25">
      <c r="A356" s="4">
        <v>10070063</v>
      </c>
      <c r="B356" s="198">
        <v>5.66</v>
      </c>
      <c r="D356" s="201"/>
      <c r="E356" s="71">
        <v>10080034</v>
      </c>
      <c r="F356" s="42">
        <v>9600</v>
      </c>
      <c r="H356" s="199"/>
      <c r="I356" s="71">
        <v>10530071</v>
      </c>
      <c r="J356" s="68">
        <v>72307.15570672162</v>
      </c>
    </row>
    <row r="357" spans="1:10" x14ac:dyDescent="0.25">
      <c r="A357" s="4">
        <v>10070061</v>
      </c>
      <c r="B357" s="198">
        <v>1.5</v>
      </c>
      <c r="D357" s="201"/>
      <c r="E357" s="71">
        <v>10480016</v>
      </c>
      <c r="F357" s="42">
        <v>22400</v>
      </c>
      <c r="H357" s="199"/>
      <c r="I357" s="71">
        <v>10110159</v>
      </c>
      <c r="J357" s="68">
        <v>50741.589629187001</v>
      </c>
    </row>
    <row r="358" spans="1:10" x14ac:dyDescent="0.25">
      <c r="A358" s="4">
        <v>10560007</v>
      </c>
      <c r="B358" s="198">
        <v>997.86854097868513</v>
      </c>
      <c r="D358" s="201"/>
      <c r="E358" s="71">
        <v>10480022</v>
      </c>
      <c r="F358" s="42">
        <v>1945.8801999999998</v>
      </c>
      <c r="H358" s="199"/>
      <c r="I358" s="71">
        <v>10080100</v>
      </c>
      <c r="J358" s="68">
        <v>82514.786483630553</v>
      </c>
    </row>
    <row r="359" spans="1:10" x14ac:dyDescent="0.25">
      <c r="A359" s="4">
        <v>10100056</v>
      </c>
      <c r="B359" s="198">
        <v>2071.56</v>
      </c>
      <c r="D359" s="201"/>
      <c r="E359" s="71">
        <v>10480002</v>
      </c>
      <c r="F359" s="42">
        <v>9262.8678140003703</v>
      </c>
      <c r="H359" s="199"/>
      <c r="I359" s="71">
        <v>10020075</v>
      </c>
      <c r="J359" s="68">
        <v>79290.255999999994</v>
      </c>
    </row>
    <row r="360" spans="1:10" x14ac:dyDescent="0.25">
      <c r="A360" s="4">
        <v>10110119</v>
      </c>
      <c r="B360" s="198">
        <v>1758.9354308015609</v>
      </c>
      <c r="D360" s="201"/>
      <c r="E360" s="71">
        <v>10100015</v>
      </c>
      <c r="F360" s="42">
        <v>12800</v>
      </c>
      <c r="H360" s="199"/>
      <c r="I360" s="71">
        <v>10020076</v>
      </c>
      <c r="J360" s="68">
        <v>90705</v>
      </c>
    </row>
    <row r="361" spans="1:10" x14ac:dyDescent="0.25">
      <c r="A361" s="4">
        <v>10110101</v>
      </c>
      <c r="B361" s="198">
        <v>955.25543080156103</v>
      </c>
      <c r="D361" s="201"/>
      <c r="E361" s="71">
        <v>10100016</v>
      </c>
      <c r="F361" s="42">
        <v>12800</v>
      </c>
      <c r="H361" s="199"/>
      <c r="I361" s="71">
        <v>10020077</v>
      </c>
      <c r="J361" s="68">
        <v>73879.293873505172</v>
      </c>
    </row>
    <row r="362" spans="1:10" x14ac:dyDescent="0.25">
      <c r="A362" s="4">
        <v>10540030</v>
      </c>
      <c r="B362" s="198">
        <v>1101.58</v>
      </c>
      <c r="D362" s="201"/>
      <c r="E362" s="71">
        <v>10070048</v>
      </c>
      <c r="F362" s="42">
        <v>614.09939999999915</v>
      </c>
      <c r="H362" s="199"/>
      <c r="I362" s="71">
        <v>10020078</v>
      </c>
      <c r="J362" s="68">
        <v>88157</v>
      </c>
    </row>
    <row r="363" spans="1:10" x14ac:dyDescent="0.25">
      <c r="A363" s="4">
        <v>10540016</v>
      </c>
      <c r="B363" s="198">
        <v>1114.775430801561</v>
      </c>
      <c r="D363" s="201"/>
      <c r="E363" s="71">
        <v>10100055</v>
      </c>
      <c r="F363" s="42">
        <v>6400</v>
      </c>
      <c r="H363" s="199"/>
      <c r="I363" s="71">
        <v>10020079</v>
      </c>
      <c r="J363" s="68">
        <v>90961</v>
      </c>
    </row>
    <row r="364" spans="1:10" x14ac:dyDescent="0.25">
      <c r="A364" s="4">
        <v>10540033</v>
      </c>
      <c r="B364" s="198">
        <v>1119.8799999999999</v>
      </c>
      <c r="D364" s="201"/>
      <c r="E364" s="71">
        <v>10070049</v>
      </c>
      <c r="F364" s="42">
        <v>6400</v>
      </c>
      <c r="H364" s="199"/>
      <c r="I364" s="71">
        <v>10140187</v>
      </c>
      <c r="J364" s="68">
        <v>109788</v>
      </c>
    </row>
    <row r="365" spans="1:10" x14ac:dyDescent="0.25">
      <c r="A365" s="4">
        <v>10110114</v>
      </c>
      <c r="B365" s="198">
        <v>955.25543080156103</v>
      </c>
      <c r="D365" s="201"/>
      <c r="E365" s="71">
        <v>10100054</v>
      </c>
      <c r="F365" s="42">
        <v>12126</v>
      </c>
      <c r="H365" s="199"/>
      <c r="I365" s="71">
        <v>10140188</v>
      </c>
      <c r="J365" s="68">
        <v>110000</v>
      </c>
    </row>
    <row r="366" spans="1:10" x14ac:dyDescent="0.25">
      <c r="A366" s="4">
        <v>10540026</v>
      </c>
      <c r="B366" s="198">
        <v>423.73543080156105</v>
      </c>
      <c r="D366" s="201"/>
      <c r="E366" s="71">
        <v>10100021</v>
      </c>
      <c r="F366" s="42">
        <v>7665.6537022262</v>
      </c>
      <c r="H366" s="199"/>
      <c r="I366" s="71">
        <v>10120108</v>
      </c>
      <c r="J366" s="68">
        <v>75947.503564829647</v>
      </c>
    </row>
    <row r="367" spans="1:10" x14ac:dyDescent="0.25">
      <c r="A367" s="4">
        <v>10540038</v>
      </c>
      <c r="B367" s="198">
        <v>1082.1599999999999</v>
      </c>
      <c r="D367" s="201"/>
      <c r="E367" s="71">
        <v>10070015</v>
      </c>
      <c r="F367" s="42">
        <v>12800</v>
      </c>
      <c r="H367" s="199"/>
      <c r="I367" s="71">
        <v>10530067</v>
      </c>
      <c r="J367" s="68">
        <v>67694.080110153562</v>
      </c>
    </row>
    <row r="368" spans="1:10" x14ac:dyDescent="0.25">
      <c r="A368" s="4">
        <v>10110134</v>
      </c>
      <c r="B368" s="198">
        <v>1862.6508616031219</v>
      </c>
      <c r="D368" s="201"/>
      <c r="E368" s="71">
        <v>10100037</v>
      </c>
      <c r="F368" s="42">
        <v>6400</v>
      </c>
      <c r="H368" s="199"/>
      <c r="I368" s="71">
        <v>10530074</v>
      </c>
      <c r="J368" s="68">
        <v>57228.041691573679</v>
      </c>
    </row>
    <row r="369" spans="1:10" x14ac:dyDescent="0.25">
      <c r="A369" s="4">
        <v>10120091</v>
      </c>
      <c r="B369" s="198">
        <v>274.5</v>
      </c>
      <c r="D369" s="201"/>
      <c r="E369" s="71">
        <v>10010081</v>
      </c>
      <c r="F369" s="42">
        <v>6400</v>
      </c>
      <c r="H369" s="199"/>
      <c r="I369" s="71">
        <v>10530076</v>
      </c>
      <c r="J369" s="68">
        <v>16298.744521996239</v>
      </c>
    </row>
    <row r="370" spans="1:10" x14ac:dyDescent="0.25">
      <c r="A370" s="4">
        <v>10120104</v>
      </c>
      <c r="B370" s="198">
        <v>164.70000000000002</v>
      </c>
      <c r="D370" s="201"/>
      <c r="E370" s="71">
        <v>10010058</v>
      </c>
      <c r="F370" s="42">
        <v>6400</v>
      </c>
      <c r="H370" s="199"/>
      <c r="I370" s="71">
        <v>10140183</v>
      </c>
      <c r="J370" s="68">
        <v>81323.471400000009</v>
      </c>
    </row>
    <row r="371" spans="1:10" x14ac:dyDescent="0.25">
      <c r="A371" s="4">
        <v>10120108</v>
      </c>
      <c r="B371" s="198">
        <v>274.5</v>
      </c>
      <c r="D371" s="201"/>
      <c r="E371" s="71">
        <v>10010071</v>
      </c>
      <c r="F371" s="42">
        <v>12800</v>
      </c>
      <c r="H371" s="199"/>
      <c r="I371" s="71">
        <v>10140178</v>
      </c>
      <c r="J371" s="68">
        <v>104065</v>
      </c>
    </row>
    <row r="372" spans="1:10" x14ac:dyDescent="0.25">
      <c r="A372" s="4">
        <v>10120111</v>
      </c>
      <c r="B372" s="198">
        <v>274.5</v>
      </c>
      <c r="D372" s="201"/>
      <c r="E372" s="71">
        <v>10010059</v>
      </c>
      <c r="F372" s="42">
        <v>6400</v>
      </c>
      <c r="H372" s="199"/>
      <c r="I372" s="71">
        <v>10140179</v>
      </c>
      <c r="J372" s="68">
        <v>56046.511703208816</v>
      </c>
    </row>
    <row r="373" spans="1:10" x14ac:dyDescent="0.25">
      <c r="A373" s="4">
        <v>10120114</v>
      </c>
      <c r="B373" s="198">
        <v>568.12</v>
      </c>
      <c r="D373" s="201"/>
      <c r="E373" s="71">
        <v>10010082</v>
      </c>
      <c r="F373" s="42">
        <v>25600</v>
      </c>
      <c r="H373" s="199"/>
      <c r="I373" s="71">
        <v>10140180</v>
      </c>
      <c r="J373" s="68">
        <v>81039.266399999993</v>
      </c>
    </row>
    <row r="374" spans="1:10" x14ac:dyDescent="0.25">
      <c r="A374" s="4">
        <v>10130073</v>
      </c>
      <c r="B374" s="198">
        <v>219.60000000000002</v>
      </c>
      <c r="D374" s="201"/>
      <c r="E374" s="71">
        <v>10010021</v>
      </c>
      <c r="F374" s="42">
        <v>6400</v>
      </c>
      <c r="H374" s="199"/>
      <c r="I374" s="71">
        <v>10540008</v>
      </c>
      <c r="J374" s="68">
        <v>78640</v>
      </c>
    </row>
    <row r="375" spans="1:10" x14ac:dyDescent="0.25">
      <c r="A375" s="4">
        <v>10130077</v>
      </c>
      <c r="B375" s="198">
        <v>109.80000000000001</v>
      </c>
      <c r="D375" s="201"/>
      <c r="E375" s="71">
        <v>10110053</v>
      </c>
      <c r="F375" s="42">
        <v>6400</v>
      </c>
      <c r="H375" s="199"/>
      <c r="I375" s="71">
        <v>10540009</v>
      </c>
      <c r="J375" s="68">
        <v>5767.9547057109885</v>
      </c>
    </row>
    <row r="376" spans="1:10" x14ac:dyDescent="0.25">
      <c r="A376" s="4">
        <v>10130085</v>
      </c>
      <c r="B376" s="198">
        <v>15.519999999999982</v>
      </c>
      <c r="D376" s="201"/>
      <c r="E376" s="71">
        <v>10110085</v>
      </c>
      <c r="F376" s="42">
        <v>6400</v>
      </c>
      <c r="H376" s="199"/>
      <c r="I376" s="71">
        <v>10080098</v>
      </c>
      <c r="J376" s="68">
        <v>87675</v>
      </c>
    </row>
    <row r="377" spans="1:10" x14ac:dyDescent="0.25">
      <c r="A377" s="4">
        <v>10130093</v>
      </c>
      <c r="B377" s="198">
        <v>45.800000000000011</v>
      </c>
      <c r="D377" s="201"/>
      <c r="E377" s="71">
        <v>10110089</v>
      </c>
      <c r="F377" s="42">
        <v>6400</v>
      </c>
      <c r="H377" s="199"/>
      <c r="I377" s="71">
        <v>10540005</v>
      </c>
      <c r="J377" s="68">
        <v>60883.713802710394</v>
      </c>
    </row>
    <row r="378" spans="1:10" x14ac:dyDescent="0.25">
      <c r="A378" s="4">
        <v>10130097</v>
      </c>
      <c r="B378" s="198">
        <v>348.52</v>
      </c>
      <c r="D378" s="201"/>
      <c r="E378" s="71">
        <v>10110067</v>
      </c>
      <c r="F378" s="42">
        <v>6400</v>
      </c>
      <c r="H378" s="199"/>
      <c r="I378" s="71">
        <v>10540007</v>
      </c>
      <c r="J378" s="68">
        <v>79350</v>
      </c>
    </row>
    <row r="379" spans="1:10" x14ac:dyDescent="0.25">
      <c r="A379" s="4">
        <v>10130090</v>
      </c>
      <c r="B379" s="198">
        <v>348.52</v>
      </c>
      <c r="D379" s="201"/>
      <c r="E379" s="71">
        <v>10110071</v>
      </c>
      <c r="F379" s="42">
        <v>12800</v>
      </c>
      <c r="H379" s="199"/>
      <c r="I379" s="71">
        <v>10060109</v>
      </c>
      <c r="J379" s="68">
        <v>81763.9666</v>
      </c>
    </row>
    <row r="380" spans="1:10" x14ac:dyDescent="0.25">
      <c r="A380" s="4">
        <v>10130094</v>
      </c>
      <c r="B380" s="198">
        <v>184.70000000000002</v>
      </c>
      <c r="D380" s="201"/>
      <c r="E380" s="71">
        <v>10010103</v>
      </c>
      <c r="F380" s="42">
        <v>9600</v>
      </c>
      <c r="H380" s="199"/>
      <c r="I380" s="71">
        <v>10060110</v>
      </c>
      <c r="J380" s="68">
        <v>83094</v>
      </c>
    </row>
    <row r="381" spans="1:10" x14ac:dyDescent="0.25">
      <c r="A381" s="4">
        <v>10530083</v>
      </c>
      <c r="B381" s="198">
        <v>274.5</v>
      </c>
      <c r="D381" s="201"/>
      <c r="E381" s="235">
        <v>10060064</v>
      </c>
      <c r="F381" s="42">
        <v>9600</v>
      </c>
      <c r="H381" s="199"/>
      <c r="I381" s="71">
        <v>10030072</v>
      </c>
      <c r="J381" s="68">
        <v>60602.393178182901</v>
      </c>
    </row>
    <row r="382" spans="1:10" x14ac:dyDescent="0.25">
      <c r="A382" s="4">
        <v>1010</v>
      </c>
      <c r="B382" s="198">
        <v>10516.986666666668</v>
      </c>
      <c r="D382" s="201"/>
      <c r="E382" s="41">
        <v>10130093</v>
      </c>
      <c r="F382" s="42">
        <v>7786.4009999999998</v>
      </c>
      <c r="H382" s="199"/>
      <c r="I382" s="71">
        <v>10030073</v>
      </c>
      <c r="J382" s="68">
        <v>86988</v>
      </c>
    </row>
    <row r="383" spans="1:10" x14ac:dyDescent="0.25">
      <c r="A383" s="4">
        <v>1059</v>
      </c>
      <c r="B383" s="198">
        <v>2507.2999999999993</v>
      </c>
      <c r="D383" s="201"/>
      <c r="E383" s="41">
        <v>10130094</v>
      </c>
      <c r="F383" s="42">
        <v>6400</v>
      </c>
      <c r="H383" s="199"/>
      <c r="I383" s="71">
        <v>10060111</v>
      </c>
      <c r="J383" s="68">
        <v>66854.641945695374</v>
      </c>
    </row>
    <row r="384" spans="1:10" x14ac:dyDescent="0.25">
      <c r="A384" s="4">
        <v>10020079</v>
      </c>
      <c r="B384" s="198">
        <v>348.52</v>
      </c>
      <c r="D384" s="201"/>
      <c r="E384" s="41">
        <v>10530027</v>
      </c>
      <c r="F384" s="42">
        <v>10700</v>
      </c>
      <c r="H384" s="199"/>
      <c r="I384" s="71">
        <v>10080099</v>
      </c>
      <c r="J384" s="68">
        <v>22286.025332013145</v>
      </c>
    </row>
    <row r="385" spans="1:10" x14ac:dyDescent="0.25">
      <c r="A385" s="4">
        <v>10020075</v>
      </c>
      <c r="B385" s="198">
        <v>348.52</v>
      </c>
      <c r="D385" s="201"/>
      <c r="E385" s="41">
        <v>10530040</v>
      </c>
      <c r="F385" s="42">
        <v>23500</v>
      </c>
      <c r="H385" s="199"/>
      <c r="I385" s="71">
        <v>10110104</v>
      </c>
      <c r="J385" s="68">
        <v>102525.03473313084</v>
      </c>
    </row>
    <row r="386" spans="1:10" x14ac:dyDescent="0.25">
      <c r="A386" s="4">
        <v>1054</v>
      </c>
      <c r="B386" s="198">
        <v>2542</v>
      </c>
      <c r="D386" s="202"/>
      <c r="E386" s="41">
        <v>10110087</v>
      </c>
      <c r="F386" s="42">
        <v>12800</v>
      </c>
      <c r="H386" s="199"/>
      <c r="I386" s="71">
        <v>10110103</v>
      </c>
      <c r="J386" s="68">
        <v>105000</v>
      </c>
    </row>
    <row r="387" spans="1:10" x14ac:dyDescent="0.25">
      <c r="A387" s="4">
        <v>10540019</v>
      </c>
      <c r="B387" s="198">
        <v>1321.255430801561</v>
      </c>
      <c r="D387" s="199"/>
      <c r="E387" s="71">
        <v>10110055</v>
      </c>
      <c r="F387" s="42">
        <v>6400</v>
      </c>
      <c r="H387" s="199"/>
      <c r="I387" s="71">
        <v>10140153</v>
      </c>
      <c r="J387" s="68">
        <v>70044</v>
      </c>
    </row>
    <row r="388" spans="1:10" x14ac:dyDescent="0.25">
      <c r="A388" s="4">
        <v>10540032</v>
      </c>
      <c r="B388" s="198">
        <v>1138.255430801561</v>
      </c>
      <c r="D388" s="199"/>
      <c r="E388" s="41">
        <v>10530044</v>
      </c>
      <c r="F388" s="42">
        <v>13900</v>
      </c>
      <c r="H388" s="199"/>
      <c r="I388" s="71">
        <v>10110141</v>
      </c>
      <c r="J388" s="68">
        <v>36877.216664763706</v>
      </c>
    </row>
    <row r="389" spans="1:10" x14ac:dyDescent="0.25">
      <c r="A389" s="4">
        <v>10540018</v>
      </c>
      <c r="B389" s="198">
        <v>423.73543080156105</v>
      </c>
      <c r="D389" s="199"/>
      <c r="E389" s="41">
        <v>10530035</v>
      </c>
      <c r="F389" s="42">
        <v>17100</v>
      </c>
      <c r="H389" s="199"/>
      <c r="I389" s="71">
        <v>10530027</v>
      </c>
      <c r="J389" s="68">
        <v>73254</v>
      </c>
    </row>
    <row r="390" spans="1:10" x14ac:dyDescent="0.25">
      <c r="A390" s="4">
        <v>10110112</v>
      </c>
      <c r="B390" s="198">
        <v>274.5</v>
      </c>
      <c r="D390" s="199"/>
      <c r="E390" s="41">
        <v>10530047</v>
      </c>
      <c r="F390" s="42">
        <v>13900</v>
      </c>
      <c r="H390" s="199"/>
      <c r="I390" s="71">
        <v>10530044</v>
      </c>
      <c r="J390" s="68">
        <v>31068.753252251976</v>
      </c>
    </row>
    <row r="391" spans="1:10" x14ac:dyDescent="0.25">
      <c r="A391" s="4">
        <v>10110129</v>
      </c>
      <c r="B391" s="198">
        <v>423.73543080156105</v>
      </c>
      <c r="D391" s="199"/>
      <c r="E391" s="41">
        <v>10090058</v>
      </c>
      <c r="F391" s="42">
        <v>9564.0036</v>
      </c>
      <c r="H391" s="199"/>
      <c r="I391" s="71">
        <v>10570019</v>
      </c>
      <c r="J391" s="68">
        <v>70955.647714441016</v>
      </c>
    </row>
    <row r="392" spans="1:10" x14ac:dyDescent="0.25">
      <c r="A392" s="4">
        <v>10540044</v>
      </c>
      <c r="B392" s="198">
        <v>1011.275430801561</v>
      </c>
      <c r="D392" s="201"/>
      <c r="E392" s="41">
        <v>10090064</v>
      </c>
      <c r="F392" s="42">
        <v>6108</v>
      </c>
      <c r="H392" s="199"/>
      <c r="I392" s="71">
        <v>10570020</v>
      </c>
      <c r="J392" s="68">
        <v>71335.261549825751</v>
      </c>
    </row>
    <row r="393" spans="1:10" x14ac:dyDescent="0.25">
      <c r="A393" s="4">
        <v>10120116</v>
      </c>
      <c r="B393" s="198">
        <v>549</v>
      </c>
      <c r="D393" s="199"/>
      <c r="E393" s="41">
        <v>10090062</v>
      </c>
      <c r="F393" s="42">
        <v>12800</v>
      </c>
      <c r="H393" s="199"/>
      <c r="I393" s="71">
        <v>10570021</v>
      </c>
      <c r="J393" s="68">
        <v>72761.231175941604</v>
      </c>
    </row>
    <row r="394" spans="1:10" x14ac:dyDescent="0.25">
      <c r="A394" s="4">
        <v>10130100</v>
      </c>
      <c r="B394" s="198">
        <v>219.60000000000002</v>
      </c>
      <c r="D394" s="199"/>
      <c r="E394" s="41">
        <v>10480014</v>
      </c>
      <c r="F394" s="42">
        <v>6400</v>
      </c>
      <c r="H394" s="199"/>
      <c r="I394" s="71">
        <v>10540026</v>
      </c>
      <c r="J394" s="68">
        <v>56329.091821476628</v>
      </c>
    </row>
    <row r="395" spans="1:10" x14ac:dyDescent="0.25">
      <c r="A395" s="4">
        <v>10530084</v>
      </c>
      <c r="B395" s="198">
        <v>404.6154308015611</v>
      </c>
      <c r="D395" s="199"/>
      <c r="E395" s="41">
        <v>10480012</v>
      </c>
      <c r="F395" s="42">
        <v>17292</v>
      </c>
      <c r="H395" s="199"/>
      <c r="I395" s="71">
        <v>10530047</v>
      </c>
      <c r="J395" s="68">
        <v>66605.312256515434</v>
      </c>
    </row>
    <row r="396" spans="1:10" x14ac:dyDescent="0.25">
      <c r="A396" s="4">
        <v>10530091</v>
      </c>
      <c r="B396" s="198">
        <v>294.81543080156109</v>
      </c>
      <c r="D396" s="199"/>
      <c r="E396" s="41">
        <v>10530007</v>
      </c>
      <c r="F396" s="42">
        <v>16000</v>
      </c>
      <c r="H396" s="199"/>
      <c r="I396" s="71">
        <v>10130098</v>
      </c>
      <c r="J396" s="68">
        <v>37395.041091390478</v>
      </c>
    </row>
    <row r="397" spans="1:10" x14ac:dyDescent="0.25">
      <c r="A397" s="4">
        <v>10530092</v>
      </c>
      <c r="B397" s="198">
        <v>294.81543080156109</v>
      </c>
      <c r="D397" s="199"/>
      <c r="E397" s="41">
        <v>10530006</v>
      </c>
      <c r="F397" s="42">
        <v>28800</v>
      </c>
      <c r="H397" s="199"/>
      <c r="I397" s="71">
        <v>10120107</v>
      </c>
      <c r="J397" s="68">
        <v>45566.31619818334</v>
      </c>
    </row>
    <row r="398" spans="1:10" x14ac:dyDescent="0.25">
      <c r="A398" s="4">
        <v>10530097</v>
      </c>
      <c r="B398" s="198">
        <v>294.81543080156109</v>
      </c>
      <c r="D398" s="199"/>
      <c r="E398" s="41">
        <v>10530004</v>
      </c>
      <c r="F398" s="42">
        <v>12800</v>
      </c>
      <c r="H398" s="199"/>
      <c r="I398" s="71">
        <v>10130100</v>
      </c>
      <c r="J398" s="68">
        <v>83735</v>
      </c>
    </row>
    <row r="399" spans="1:10" x14ac:dyDescent="0.25">
      <c r="A399" s="4">
        <v>10560012</v>
      </c>
      <c r="B399" s="198">
        <v>679.32854097868517</v>
      </c>
      <c r="D399" s="199"/>
      <c r="E399" s="41">
        <v>10090063</v>
      </c>
      <c r="F399" s="42">
        <v>6400</v>
      </c>
      <c r="H399" s="199"/>
      <c r="I399" s="71">
        <v>10530064</v>
      </c>
      <c r="J399" s="68">
        <v>44858.472523842996</v>
      </c>
    </row>
    <row r="400" spans="1:10" x14ac:dyDescent="0.25">
      <c r="A400" s="4">
        <v>10560004</v>
      </c>
      <c r="B400" s="198">
        <v>679.32854097868517</v>
      </c>
      <c r="D400" s="199"/>
      <c r="E400" s="41">
        <v>10090057</v>
      </c>
      <c r="F400" s="42">
        <v>12800</v>
      </c>
      <c r="H400" s="199"/>
      <c r="I400" s="71">
        <v>10530065</v>
      </c>
      <c r="J400" s="68">
        <v>44442.582103368622</v>
      </c>
    </row>
    <row r="401" spans="1:10" x14ac:dyDescent="0.25">
      <c r="A401" s="4">
        <v>10560017</v>
      </c>
      <c r="B401" s="198">
        <v>679.32854097868506</v>
      </c>
      <c r="D401" s="199"/>
      <c r="E401" s="41">
        <v>10530045</v>
      </c>
      <c r="F401" s="42">
        <v>10700</v>
      </c>
      <c r="H401" s="199"/>
      <c r="I401" s="71">
        <v>10530062</v>
      </c>
      <c r="J401" s="68">
        <v>50496.117545712281</v>
      </c>
    </row>
    <row r="402" spans="1:10" x14ac:dyDescent="0.25">
      <c r="A402" s="4">
        <v>10520005</v>
      </c>
      <c r="B402" s="198">
        <v>3486</v>
      </c>
      <c r="D402" s="199"/>
      <c r="E402" s="41">
        <v>10030070</v>
      </c>
      <c r="F402" s="42">
        <v>16000</v>
      </c>
      <c r="H402" s="199"/>
      <c r="I402" s="71">
        <v>10530048</v>
      </c>
      <c r="J402" s="68">
        <v>64508</v>
      </c>
    </row>
    <row r="403" spans="1:10" x14ac:dyDescent="0.25">
      <c r="A403" s="4">
        <v>10570001</v>
      </c>
      <c r="B403" s="198">
        <v>159.9</v>
      </c>
      <c r="D403" s="199"/>
      <c r="E403" s="41">
        <v>10030071</v>
      </c>
      <c r="F403" s="42">
        <v>9600</v>
      </c>
      <c r="H403" s="199"/>
      <c r="I403" s="71">
        <v>10130095</v>
      </c>
      <c r="J403" s="68">
        <v>103615</v>
      </c>
    </row>
    <row r="404" spans="1:10" x14ac:dyDescent="0.25">
      <c r="A404" s="4">
        <v>10570003</v>
      </c>
      <c r="B404" s="198">
        <v>109.80000000000001</v>
      </c>
      <c r="D404" s="199"/>
      <c r="E404" s="41">
        <v>10530048</v>
      </c>
      <c r="F404" s="42">
        <v>10700</v>
      </c>
      <c r="H404" s="199"/>
      <c r="I404" s="71">
        <v>10060106</v>
      </c>
      <c r="J404" s="68">
        <v>76484.74317544169</v>
      </c>
    </row>
    <row r="405" spans="1:10" x14ac:dyDescent="0.25">
      <c r="A405" s="4">
        <v>10570008</v>
      </c>
      <c r="B405" s="198">
        <v>274.5</v>
      </c>
      <c r="D405" s="199"/>
      <c r="E405" s="41">
        <v>10030010</v>
      </c>
      <c r="F405" s="42">
        <v>4335</v>
      </c>
      <c r="H405" s="199"/>
      <c r="I405" s="71">
        <v>10090065</v>
      </c>
      <c r="J405" s="68">
        <v>65169.050760452403</v>
      </c>
    </row>
    <row r="406" spans="1:10" x14ac:dyDescent="0.25">
      <c r="A406" s="4">
        <v>10570017</v>
      </c>
      <c r="B406" s="198">
        <v>352.05</v>
      </c>
      <c r="D406" s="199"/>
      <c r="E406" s="41">
        <v>10110083</v>
      </c>
      <c r="F406" s="42">
        <v>6400</v>
      </c>
      <c r="H406" s="199"/>
      <c r="I406" s="71">
        <v>10130093</v>
      </c>
      <c r="J406" s="68">
        <v>72011</v>
      </c>
    </row>
    <row r="407" spans="1:10" x14ac:dyDescent="0.25">
      <c r="A407" s="4">
        <v>10570018</v>
      </c>
      <c r="B407" s="198">
        <v>109.80000000000001</v>
      </c>
      <c r="D407" s="199"/>
      <c r="E407" s="41">
        <v>10140166</v>
      </c>
      <c r="F407" s="42">
        <v>5090.7209999999995</v>
      </c>
      <c r="H407" s="199"/>
      <c r="I407" s="71">
        <v>10110151</v>
      </c>
      <c r="J407" s="68">
        <v>90000</v>
      </c>
    </row>
    <row r="408" spans="1:10" x14ac:dyDescent="0.25">
      <c r="A408" s="4">
        <v>10570019</v>
      </c>
      <c r="B408" s="198">
        <v>54.900000000000006</v>
      </c>
      <c r="D408" s="199"/>
      <c r="E408" s="41">
        <v>10140152</v>
      </c>
      <c r="F408" s="42">
        <v>5087.1693999999998</v>
      </c>
      <c r="H408" s="199"/>
      <c r="I408" s="71">
        <v>10140156</v>
      </c>
      <c r="J408" s="68">
        <v>40661.74589577943</v>
      </c>
    </row>
    <row r="409" spans="1:10" x14ac:dyDescent="0.25">
      <c r="A409" s="4">
        <v>10570020</v>
      </c>
      <c r="B409" s="198">
        <v>329.40000000000003</v>
      </c>
      <c r="D409" s="199"/>
      <c r="E409" s="41">
        <v>10140159</v>
      </c>
      <c r="F409" s="42">
        <v>9600</v>
      </c>
      <c r="H409" s="199"/>
      <c r="I409" s="71">
        <v>10140120</v>
      </c>
      <c r="J409" s="68">
        <v>67783</v>
      </c>
    </row>
    <row r="410" spans="1:10" x14ac:dyDescent="0.25">
      <c r="A410" s="4">
        <v>10570021</v>
      </c>
      <c r="B410" s="198">
        <v>54.900000000000006</v>
      </c>
      <c r="D410" s="199"/>
      <c r="E410" s="41">
        <v>10140095</v>
      </c>
      <c r="F410" s="42">
        <v>6400</v>
      </c>
      <c r="H410" s="199"/>
      <c r="I410" s="71">
        <v>10140119</v>
      </c>
      <c r="J410" s="68">
        <v>70964.532243855763</v>
      </c>
    </row>
    <row r="411" spans="1:10" x14ac:dyDescent="0.25">
      <c r="A411" s="4">
        <v>10570028</v>
      </c>
      <c r="B411" s="198">
        <v>178.2</v>
      </c>
      <c r="D411" s="199"/>
      <c r="E411" s="41">
        <v>10130074</v>
      </c>
      <c r="F411" s="42">
        <v>10700</v>
      </c>
      <c r="H411" s="199"/>
      <c r="I411" s="71">
        <v>10120105</v>
      </c>
      <c r="J411" s="68">
        <v>96947</v>
      </c>
    </row>
    <row r="412" spans="1:10" x14ac:dyDescent="0.25">
      <c r="A412" s="4">
        <v>10570029</v>
      </c>
      <c r="B412" s="198">
        <v>141.6</v>
      </c>
      <c r="D412" s="199"/>
      <c r="E412" s="41">
        <v>10090060</v>
      </c>
      <c r="F412" s="42">
        <v>4280.6896857994798</v>
      </c>
      <c r="H412" s="199"/>
      <c r="I412" s="71">
        <v>10530055</v>
      </c>
      <c r="J412" s="68">
        <v>2426.1887519985758</v>
      </c>
    </row>
    <row r="413" spans="1:10" x14ac:dyDescent="0.25">
      <c r="A413" s="4">
        <v>10570030</v>
      </c>
      <c r="B413" s="198">
        <v>205.65</v>
      </c>
      <c r="D413" s="199"/>
      <c r="E413" s="41">
        <v>10110118</v>
      </c>
      <c r="F413" s="42">
        <v>9468.7371999999996</v>
      </c>
      <c r="H413" s="199"/>
      <c r="I413" s="71">
        <v>10530058</v>
      </c>
      <c r="J413" s="68">
        <v>70670</v>
      </c>
    </row>
    <row r="414" spans="1:10" x14ac:dyDescent="0.25">
      <c r="A414" s="4">
        <v>10570031</v>
      </c>
      <c r="B414" s="198">
        <v>297.14999999999998</v>
      </c>
      <c r="D414" s="199"/>
      <c r="E414" s="41">
        <v>10110121</v>
      </c>
      <c r="F414" s="42">
        <v>11353.4992</v>
      </c>
      <c r="H414" s="199"/>
      <c r="I414" s="71">
        <v>10080093</v>
      </c>
      <c r="J414" s="68">
        <v>94415.560200000007</v>
      </c>
    </row>
    <row r="415" spans="1:10" x14ac:dyDescent="0.25">
      <c r="A415" s="4">
        <v>10570036</v>
      </c>
      <c r="B415" s="198">
        <v>30.099999999999994</v>
      </c>
      <c r="D415" s="199"/>
      <c r="E415" s="41">
        <v>10110110</v>
      </c>
      <c r="F415" s="42">
        <v>10305.2229682096</v>
      </c>
      <c r="H415" s="199"/>
      <c r="I415" s="71">
        <v>10080095</v>
      </c>
      <c r="J415" s="68">
        <v>86633</v>
      </c>
    </row>
    <row r="416" spans="1:10" x14ac:dyDescent="0.25">
      <c r="A416" s="4">
        <v>10570044</v>
      </c>
      <c r="B416" s="198">
        <v>11.799999999999983</v>
      </c>
      <c r="D416" s="199"/>
      <c r="E416" s="41">
        <v>10110126</v>
      </c>
      <c r="F416" s="42">
        <v>12800</v>
      </c>
      <c r="H416" s="199"/>
      <c r="I416" s="71">
        <v>10080096</v>
      </c>
      <c r="J416" s="68">
        <v>105724</v>
      </c>
    </row>
    <row r="417" spans="1:10" x14ac:dyDescent="0.25">
      <c r="A417" s="4">
        <v>10570045</v>
      </c>
      <c r="B417" s="198">
        <v>54.900000000000006</v>
      </c>
      <c r="D417" s="199"/>
      <c r="E417" s="71">
        <v>10110125</v>
      </c>
      <c r="F417" s="42">
        <v>12800</v>
      </c>
      <c r="H417" s="199"/>
      <c r="I417" s="71">
        <v>10140171</v>
      </c>
      <c r="J417" s="68">
        <v>74758.376122859001</v>
      </c>
    </row>
    <row r="418" spans="1:10" x14ac:dyDescent="0.25">
      <c r="A418" s="4">
        <v>10530099</v>
      </c>
      <c r="B418" s="198">
        <v>329.40000000000003</v>
      </c>
      <c r="D418" s="199"/>
      <c r="E418" s="41">
        <v>10110135</v>
      </c>
      <c r="F418" s="42">
        <v>11013.945599999999</v>
      </c>
      <c r="H418" s="199"/>
      <c r="I418" s="71">
        <v>10140172</v>
      </c>
      <c r="J418" s="68">
        <v>94600.394561805006</v>
      </c>
    </row>
    <row r="419" spans="1:10" x14ac:dyDescent="0.25">
      <c r="A419" s="4">
        <v>10140176</v>
      </c>
      <c r="B419" s="198">
        <v>54.900000000000006</v>
      </c>
      <c r="D419" s="199"/>
      <c r="E419" s="41">
        <v>10110119</v>
      </c>
      <c r="F419" s="42">
        <v>12800</v>
      </c>
      <c r="H419" s="199"/>
      <c r="I419" s="71">
        <v>10140173</v>
      </c>
      <c r="J419" s="68">
        <v>54198.9118945554</v>
      </c>
    </row>
    <row r="420" spans="1:10" x14ac:dyDescent="0.25">
      <c r="A420" s="4">
        <v>10140197</v>
      </c>
      <c r="B420" s="198">
        <v>961.12</v>
      </c>
      <c r="D420" s="199"/>
      <c r="E420" s="41">
        <v>10110122</v>
      </c>
      <c r="F420" s="42">
        <v>12800</v>
      </c>
      <c r="H420" s="199"/>
      <c r="I420" s="71">
        <v>10010108</v>
      </c>
      <c r="J420" s="68">
        <v>87749</v>
      </c>
    </row>
    <row r="421" spans="1:10" x14ac:dyDescent="0.25">
      <c r="A421" s="4">
        <v>10140205</v>
      </c>
      <c r="B421" s="198">
        <v>11.799999999999955</v>
      </c>
      <c r="D421" s="199"/>
      <c r="E421" s="41">
        <v>10100007</v>
      </c>
      <c r="F421" s="42">
        <v>12800</v>
      </c>
      <c r="H421" s="199"/>
      <c r="I421" s="71">
        <v>10140174</v>
      </c>
      <c r="J421" s="68">
        <v>91600</v>
      </c>
    </row>
    <row r="422" spans="1:10" x14ac:dyDescent="0.25">
      <c r="A422" s="4">
        <v>10140181</v>
      </c>
      <c r="B422" s="198">
        <v>838.64</v>
      </c>
      <c r="D422" s="201"/>
      <c r="E422" s="41">
        <v>10070013</v>
      </c>
      <c r="F422" s="42">
        <v>14723.8452</v>
      </c>
      <c r="H422" s="199"/>
      <c r="I422" s="71">
        <v>10120104</v>
      </c>
      <c r="J422" s="68">
        <v>44075.354476185748</v>
      </c>
    </row>
    <row r="423" spans="1:10" x14ac:dyDescent="0.25">
      <c r="A423" s="4">
        <v>10140175</v>
      </c>
      <c r="B423" s="198">
        <v>513</v>
      </c>
      <c r="D423" s="199"/>
      <c r="E423" s="71">
        <v>10100019</v>
      </c>
      <c r="F423" s="42">
        <v>12800</v>
      </c>
      <c r="H423" s="199"/>
      <c r="I423" s="71">
        <v>10130099</v>
      </c>
      <c r="J423" s="68">
        <v>100000</v>
      </c>
    </row>
    <row r="424" spans="1:10" x14ac:dyDescent="0.25">
      <c r="A424" s="4">
        <v>10140191</v>
      </c>
      <c r="B424" s="198">
        <v>451.12</v>
      </c>
      <c r="D424" s="199"/>
      <c r="E424" s="71">
        <v>10010076</v>
      </c>
      <c r="F424" s="42">
        <v>16599</v>
      </c>
      <c r="H424" s="199"/>
      <c r="I424" s="71">
        <v>10110140</v>
      </c>
      <c r="J424" s="68">
        <v>73934.354599999991</v>
      </c>
    </row>
    <row r="425" spans="1:10" x14ac:dyDescent="0.25">
      <c r="A425" s="4">
        <v>10600001</v>
      </c>
      <c r="B425" s="198">
        <v>283.2</v>
      </c>
      <c r="D425" s="199"/>
      <c r="E425" s="71">
        <v>10100004</v>
      </c>
      <c r="F425" s="42">
        <v>6400</v>
      </c>
      <c r="H425" s="199"/>
      <c r="I425" s="71">
        <v>10110143</v>
      </c>
      <c r="J425" s="68">
        <v>33875.741514412453</v>
      </c>
    </row>
    <row r="426" spans="1:10" x14ac:dyDescent="0.25">
      <c r="A426" s="4">
        <v>10600006</v>
      </c>
      <c r="B426" s="198">
        <v>669</v>
      </c>
      <c r="D426" s="199"/>
      <c r="E426" s="71">
        <v>10010055</v>
      </c>
      <c r="F426" s="42">
        <v>6400</v>
      </c>
      <c r="H426" s="199"/>
      <c r="I426" s="71">
        <v>10110144</v>
      </c>
      <c r="J426" s="68">
        <v>46928.429551055866</v>
      </c>
    </row>
    <row r="427" spans="1:10" x14ac:dyDescent="0.25">
      <c r="A427" s="4">
        <v>10600008</v>
      </c>
      <c r="B427" s="198">
        <v>283.2</v>
      </c>
      <c r="D427" s="199"/>
      <c r="E427" s="71">
        <v>10010097</v>
      </c>
      <c r="F427" s="42">
        <v>17290.9666</v>
      </c>
      <c r="H427" s="199"/>
      <c r="I427" s="71">
        <v>10110145</v>
      </c>
      <c r="J427" s="68">
        <v>100074.14165719209</v>
      </c>
    </row>
    <row r="428" spans="1:10" x14ac:dyDescent="0.25">
      <c r="A428" s="4">
        <v>10600009</v>
      </c>
      <c r="B428" s="198">
        <v>424.79999999999995</v>
      </c>
      <c r="D428" s="201"/>
      <c r="E428" s="71">
        <v>10010096</v>
      </c>
      <c r="F428" s="42">
        <v>6400</v>
      </c>
      <c r="H428" s="199"/>
      <c r="I428" s="71">
        <v>10070063</v>
      </c>
      <c r="J428" s="68">
        <v>63934.3257323176</v>
      </c>
    </row>
    <row r="429" spans="1:10" x14ac:dyDescent="0.25">
      <c r="A429" s="4">
        <v>10600010</v>
      </c>
      <c r="B429" s="198">
        <v>617.69999999999993</v>
      </c>
      <c r="D429" s="201"/>
      <c r="E429" s="71">
        <v>10480001</v>
      </c>
      <c r="F429" s="42">
        <v>24802</v>
      </c>
      <c r="H429" s="199"/>
      <c r="I429" s="71">
        <v>10070064</v>
      </c>
      <c r="J429" s="68">
        <v>52280.38882591622</v>
      </c>
    </row>
    <row r="430" spans="1:10" x14ac:dyDescent="0.25">
      <c r="A430" s="4">
        <v>10600013</v>
      </c>
      <c r="B430" s="198">
        <v>23.599999999999966</v>
      </c>
      <c r="D430" s="201"/>
      <c r="E430" s="71">
        <v>10140148</v>
      </c>
      <c r="F430" s="42">
        <v>6400</v>
      </c>
      <c r="H430" s="199"/>
      <c r="I430" s="71">
        <v>10110109</v>
      </c>
      <c r="J430" s="68">
        <v>73225</v>
      </c>
    </row>
    <row r="431" spans="1:10" x14ac:dyDescent="0.25">
      <c r="A431" s="4">
        <v>10540042</v>
      </c>
      <c r="B431" s="198">
        <v>772.25543080156103</v>
      </c>
      <c r="D431" s="201"/>
      <c r="E431" s="71">
        <v>10020068</v>
      </c>
      <c r="F431" s="42">
        <v>9080.5223999999998</v>
      </c>
      <c r="H431" s="199"/>
      <c r="I431" s="71">
        <v>10110132</v>
      </c>
      <c r="J431" s="68">
        <v>85443</v>
      </c>
    </row>
    <row r="432" spans="1:10" x14ac:dyDescent="0.25">
      <c r="A432" s="4">
        <v>10540046</v>
      </c>
      <c r="B432" s="198">
        <v>1053.775430801561</v>
      </c>
      <c r="D432" s="201"/>
      <c r="E432" s="236">
        <v>10130048</v>
      </c>
      <c r="F432" s="42">
        <v>16000</v>
      </c>
      <c r="H432" s="199"/>
      <c r="I432" s="71">
        <v>10070071</v>
      </c>
      <c r="J432" s="68">
        <v>110000</v>
      </c>
    </row>
    <row r="433" spans="1:10" x14ac:dyDescent="0.25">
      <c r="A433" s="4">
        <v>10570055</v>
      </c>
      <c r="B433" s="198">
        <v>64.050000000000011</v>
      </c>
      <c r="D433" s="201"/>
      <c r="E433" s="236">
        <v>10110128</v>
      </c>
      <c r="F433" s="42">
        <v>12496.7984</v>
      </c>
      <c r="H433" s="199"/>
      <c r="I433" s="71">
        <v>10070072</v>
      </c>
      <c r="J433" s="68">
        <v>108646</v>
      </c>
    </row>
    <row r="434" spans="1:10" x14ac:dyDescent="0.25">
      <c r="A434" s="4">
        <v>10570047</v>
      </c>
      <c r="B434" s="198">
        <v>73.2</v>
      </c>
      <c r="D434" s="201"/>
      <c r="E434" s="71">
        <v>10530032</v>
      </c>
      <c r="F434" s="42">
        <v>13900</v>
      </c>
      <c r="H434" s="199"/>
      <c r="I434" s="71">
        <v>10520011</v>
      </c>
      <c r="J434" s="68">
        <v>90000</v>
      </c>
    </row>
    <row r="435" spans="1:10" x14ac:dyDescent="0.25">
      <c r="A435" s="4">
        <v>10570002</v>
      </c>
      <c r="B435" s="198">
        <v>18.3</v>
      </c>
      <c r="D435" s="201"/>
      <c r="E435" s="71">
        <v>10110131</v>
      </c>
      <c r="F435" s="42">
        <v>12800</v>
      </c>
      <c r="H435" s="199"/>
      <c r="I435" s="71">
        <v>10110134</v>
      </c>
      <c r="J435" s="68">
        <v>78732</v>
      </c>
    </row>
    <row r="436" spans="1:10" x14ac:dyDescent="0.25">
      <c r="A436" s="4">
        <v>10090063</v>
      </c>
      <c r="B436" s="198">
        <v>348.52</v>
      </c>
      <c r="D436" s="201"/>
      <c r="E436" s="236">
        <v>10110123</v>
      </c>
      <c r="F436" s="42">
        <v>16000</v>
      </c>
      <c r="H436" s="199"/>
      <c r="I436" s="71">
        <v>10110135</v>
      </c>
      <c r="J436" s="68">
        <v>62863.281116188598</v>
      </c>
    </row>
    <row r="437" spans="1:10" x14ac:dyDescent="0.25">
      <c r="A437" s="4">
        <v>10090059</v>
      </c>
      <c r="B437" s="198">
        <v>404.53999999999996</v>
      </c>
      <c r="D437" s="203"/>
      <c r="E437" s="41">
        <v>10130096</v>
      </c>
      <c r="F437" s="42">
        <v>6400</v>
      </c>
      <c r="H437" s="199"/>
      <c r="I437" s="71">
        <v>10070062</v>
      </c>
      <c r="J437" s="68">
        <v>92978</v>
      </c>
    </row>
    <row r="438" spans="1:10" x14ac:dyDescent="0.25">
      <c r="A438" s="4">
        <v>10090005</v>
      </c>
      <c r="B438" s="198">
        <v>460.56</v>
      </c>
      <c r="D438" s="203"/>
      <c r="E438" s="41">
        <v>10530034</v>
      </c>
      <c r="F438" s="42">
        <v>32000</v>
      </c>
      <c r="H438" s="199"/>
      <c r="I438" s="71">
        <v>10110129</v>
      </c>
      <c r="J438" s="68">
        <v>59490.996186488534</v>
      </c>
    </row>
    <row r="439" spans="1:10" x14ac:dyDescent="0.25">
      <c r="A439" s="4">
        <v>10090007</v>
      </c>
      <c r="B439" s="198">
        <v>404.53999999999996</v>
      </c>
      <c r="D439" s="201"/>
      <c r="E439" s="41">
        <v>10530033</v>
      </c>
      <c r="F439" s="42">
        <v>23500</v>
      </c>
      <c r="H439" s="199"/>
      <c r="I439" s="71">
        <v>10110130</v>
      </c>
      <c r="J439" s="68">
        <v>108937</v>
      </c>
    </row>
    <row r="440" spans="1:10" x14ac:dyDescent="0.25">
      <c r="A440" s="4">
        <v>10090075</v>
      </c>
      <c r="B440" s="198">
        <v>348.52</v>
      </c>
      <c r="D440" s="201"/>
      <c r="E440" s="41">
        <v>10130090</v>
      </c>
      <c r="F440" s="42">
        <v>6400</v>
      </c>
      <c r="H440" s="199"/>
      <c r="I440" s="71">
        <v>10060103</v>
      </c>
      <c r="J440" s="68">
        <v>106141</v>
      </c>
    </row>
    <row r="441" spans="1:10" x14ac:dyDescent="0.25">
      <c r="A441" s="4">
        <v>10090072</v>
      </c>
      <c r="B441" s="198">
        <v>348.52</v>
      </c>
      <c r="D441" s="203"/>
      <c r="E441" s="41">
        <v>10130095</v>
      </c>
      <c r="F441" s="42">
        <v>8550</v>
      </c>
      <c r="H441" s="199"/>
      <c r="I441" s="71">
        <v>10090064</v>
      </c>
      <c r="J441" s="68">
        <v>69408.378370736042</v>
      </c>
    </row>
    <row r="442" spans="1:10" x14ac:dyDescent="0.25">
      <c r="A442" s="4">
        <v>10560028</v>
      </c>
      <c r="B442" s="198">
        <v>679.32854097868517</v>
      </c>
      <c r="D442" s="199"/>
      <c r="E442" s="41">
        <v>10120098</v>
      </c>
      <c r="F442" s="42">
        <v>6400</v>
      </c>
      <c r="H442" s="199"/>
      <c r="I442" s="71">
        <v>10110131</v>
      </c>
      <c r="J442" s="68">
        <v>107606</v>
      </c>
    </row>
    <row r="443" spans="1:10" x14ac:dyDescent="0.25">
      <c r="A443" s="4">
        <v>10070056</v>
      </c>
      <c r="B443" s="198">
        <v>679.32854097868517</v>
      </c>
      <c r="D443" s="199"/>
      <c r="E443" s="41">
        <v>10110056</v>
      </c>
      <c r="F443" s="42">
        <v>12800</v>
      </c>
      <c r="H443" s="199"/>
      <c r="I443" s="71">
        <v>10140166</v>
      </c>
      <c r="J443" s="68">
        <v>72736</v>
      </c>
    </row>
    <row r="444" spans="1:10" x14ac:dyDescent="0.25">
      <c r="A444" s="4">
        <v>10070053</v>
      </c>
      <c r="B444" s="198">
        <v>679.32854097868517</v>
      </c>
      <c r="D444" s="199"/>
      <c r="E444" s="71">
        <v>10110073</v>
      </c>
      <c r="F444" s="42">
        <v>5197</v>
      </c>
      <c r="H444" s="199"/>
      <c r="I444" s="71">
        <v>10010105</v>
      </c>
      <c r="J444" s="68">
        <v>109937</v>
      </c>
    </row>
    <row r="445" spans="1:10" x14ac:dyDescent="0.25">
      <c r="A445" s="4">
        <v>10070064</v>
      </c>
      <c r="B445" s="198">
        <v>679.32854097868517</v>
      </c>
      <c r="D445" s="199"/>
      <c r="E445" s="71">
        <v>10110059</v>
      </c>
      <c r="F445" s="42">
        <v>6400</v>
      </c>
      <c r="H445" s="199"/>
      <c r="I445" s="71">
        <v>10030071</v>
      </c>
      <c r="J445" s="68">
        <v>63064.274422470662</v>
      </c>
    </row>
    <row r="446" spans="1:10" x14ac:dyDescent="0.25">
      <c r="A446" s="4">
        <v>10560031</v>
      </c>
      <c r="B446" s="198">
        <v>679.32854097868517</v>
      </c>
      <c r="D446" s="199"/>
      <c r="E446" s="71">
        <v>10110081</v>
      </c>
      <c r="F446" s="42">
        <v>6400</v>
      </c>
      <c r="H446" s="199"/>
      <c r="I446" s="71">
        <v>10010103</v>
      </c>
      <c r="J446" s="68">
        <v>67263.302171239324</v>
      </c>
    </row>
    <row r="447" spans="1:10" x14ac:dyDescent="0.25">
      <c r="A447" s="4">
        <v>10560026</v>
      </c>
      <c r="B447" s="198">
        <v>679.32854097868517</v>
      </c>
      <c r="D447" s="199"/>
      <c r="E447" s="71">
        <v>10110104</v>
      </c>
      <c r="F447" s="42">
        <v>6400</v>
      </c>
      <c r="H447" s="199"/>
      <c r="I447" s="71">
        <v>10530035</v>
      </c>
      <c r="J447" s="68">
        <v>37575.402951042197</v>
      </c>
    </row>
    <row r="448" spans="1:10" x14ac:dyDescent="0.25">
      <c r="A448" s="4">
        <v>10560016</v>
      </c>
      <c r="B448" s="198">
        <v>679.32854097868517</v>
      </c>
      <c r="D448" s="199"/>
      <c r="E448" s="71">
        <v>10110101</v>
      </c>
      <c r="F448" s="42">
        <v>12800</v>
      </c>
      <c r="H448" s="199"/>
      <c r="I448" s="71">
        <v>10110118</v>
      </c>
      <c r="J448" s="68">
        <v>52891.591316453523</v>
      </c>
    </row>
    <row r="449" spans="1:10" x14ac:dyDescent="0.25">
      <c r="A449" s="4">
        <v>10560035</v>
      </c>
      <c r="B449" s="198">
        <v>679.32854097868517</v>
      </c>
      <c r="D449" s="201"/>
      <c r="E449" s="71">
        <v>10110098</v>
      </c>
      <c r="F449" s="42">
        <v>6400</v>
      </c>
      <c r="H449" s="199"/>
      <c r="I449" s="71">
        <v>10110119</v>
      </c>
      <c r="J449" s="68">
        <v>74662</v>
      </c>
    </row>
    <row r="450" spans="1:10" x14ac:dyDescent="0.25">
      <c r="A450" s="4">
        <v>10560002</v>
      </c>
      <c r="B450" s="198">
        <v>679.32854097868517</v>
      </c>
      <c r="D450" s="201"/>
      <c r="E450" s="71">
        <v>10110097</v>
      </c>
      <c r="F450" s="42">
        <v>12800</v>
      </c>
      <c r="H450" s="199"/>
      <c r="I450" s="71">
        <v>10110120</v>
      </c>
      <c r="J450" s="68">
        <v>41528.920559550039</v>
      </c>
    </row>
    <row r="451" spans="1:10" x14ac:dyDescent="0.25">
      <c r="A451" s="4">
        <v>10560011</v>
      </c>
      <c r="B451" s="198">
        <v>679.32854097868517</v>
      </c>
      <c r="D451" s="201"/>
      <c r="E451" s="237">
        <v>10140191</v>
      </c>
      <c r="F451" s="42">
        <v>2800</v>
      </c>
      <c r="H451" s="199"/>
      <c r="I451" s="71">
        <v>10110121</v>
      </c>
      <c r="J451" s="68">
        <v>71932</v>
      </c>
    </row>
    <row r="452" spans="1:10" x14ac:dyDescent="0.25">
      <c r="A452" s="4">
        <v>10560005</v>
      </c>
      <c r="B452" s="198">
        <v>679.32854097868517</v>
      </c>
      <c r="D452" s="201"/>
      <c r="E452" s="237">
        <v>10110099</v>
      </c>
      <c r="F452" s="42">
        <v>12800</v>
      </c>
      <c r="H452" s="199"/>
      <c r="I452" s="71">
        <v>10110123</v>
      </c>
      <c r="J452" s="68">
        <v>49376.596188183947</v>
      </c>
    </row>
    <row r="453" spans="1:10" x14ac:dyDescent="0.25">
      <c r="A453" s="4">
        <v>10560022</v>
      </c>
      <c r="B453" s="198">
        <v>679.32854097868517</v>
      </c>
      <c r="D453" s="201"/>
      <c r="E453" s="71">
        <v>10080074</v>
      </c>
      <c r="F453" s="42">
        <v>6400</v>
      </c>
      <c r="H453" s="199"/>
      <c r="I453" s="71">
        <v>10110124</v>
      </c>
      <c r="J453" s="68">
        <v>60280.2742534688</v>
      </c>
    </row>
    <row r="454" spans="1:10" x14ac:dyDescent="0.25">
      <c r="A454" s="4">
        <v>10560037</v>
      </c>
      <c r="B454" s="198">
        <v>679.32854097868517</v>
      </c>
      <c r="D454" s="201"/>
      <c r="E454" s="71">
        <v>10080086</v>
      </c>
      <c r="F454" s="42">
        <v>12800</v>
      </c>
      <c r="H454" s="199"/>
      <c r="I454" s="71">
        <v>10080088</v>
      </c>
      <c r="J454" s="68">
        <v>28850.64092862446</v>
      </c>
    </row>
    <row r="455" spans="1:10" x14ac:dyDescent="0.25">
      <c r="A455" s="4">
        <v>10560036</v>
      </c>
      <c r="B455" s="198">
        <v>679.32854097868517</v>
      </c>
      <c r="D455" s="201"/>
      <c r="E455" s="71">
        <v>10080071</v>
      </c>
      <c r="F455" s="42">
        <v>6400</v>
      </c>
      <c r="H455" s="199"/>
      <c r="I455" s="71">
        <v>10530032</v>
      </c>
      <c r="J455" s="68">
        <v>50083.030583236454</v>
      </c>
    </row>
    <row r="456" spans="1:10" x14ac:dyDescent="0.25">
      <c r="A456" s="4">
        <v>10560033</v>
      </c>
      <c r="B456" s="198">
        <v>679.32854097868517</v>
      </c>
      <c r="D456" s="207"/>
      <c r="E456" s="71">
        <v>10100045</v>
      </c>
      <c r="F456" s="42">
        <v>9304.5715999999993</v>
      </c>
      <c r="H456" s="199"/>
      <c r="I456" s="71">
        <v>10530033</v>
      </c>
      <c r="J456" s="68">
        <v>41555.063043496062</v>
      </c>
    </row>
    <row r="457" spans="1:10" x14ac:dyDescent="0.25">
      <c r="A457" s="4">
        <v>10020084</v>
      </c>
      <c r="B457" s="198">
        <v>490.12</v>
      </c>
      <c r="D457" s="207"/>
      <c r="E457" s="71">
        <v>10100014</v>
      </c>
      <c r="F457" s="42">
        <v>14588</v>
      </c>
      <c r="H457" s="199"/>
      <c r="I457" s="71">
        <v>10530034</v>
      </c>
      <c r="J457" s="68">
        <v>3873.8114163771825</v>
      </c>
    </row>
    <row r="458" spans="1:10" x14ac:dyDescent="0.25">
      <c r="A458" s="4">
        <v>10020087</v>
      </c>
      <c r="B458" s="198">
        <v>141.6</v>
      </c>
      <c r="D458" s="208"/>
      <c r="E458" s="71">
        <v>10100024</v>
      </c>
      <c r="F458" s="42">
        <v>6400</v>
      </c>
      <c r="H458" s="199"/>
      <c r="I458" s="71">
        <v>10060098</v>
      </c>
      <c r="J458" s="68">
        <v>36188.010457369295</v>
      </c>
    </row>
    <row r="459" spans="1:10" x14ac:dyDescent="0.25">
      <c r="A459" s="4">
        <v>10520012</v>
      </c>
      <c r="B459" s="198">
        <v>5650.4</v>
      </c>
      <c r="D459" s="208"/>
      <c r="E459" s="71">
        <v>10070045</v>
      </c>
      <c r="F459" s="42">
        <v>21062.8194</v>
      </c>
      <c r="H459" s="199"/>
      <c r="I459" s="71">
        <v>10060100</v>
      </c>
      <c r="J459" s="68">
        <v>83799.375502114155</v>
      </c>
    </row>
    <row r="460" spans="1:10" x14ac:dyDescent="0.25">
      <c r="A460" s="4">
        <v>10540047</v>
      </c>
      <c r="B460" s="198">
        <v>404.53999999999996</v>
      </c>
      <c r="D460" s="208"/>
      <c r="E460" s="71">
        <v>10120100</v>
      </c>
      <c r="F460" s="42">
        <v>3200</v>
      </c>
      <c r="H460" s="199"/>
      <c r="I460" s="71">
        <v>10090063</v>
      </c>
      <c r="J460" s="68">
        <v>70607</v>
      </c>
    </row>
    <row r="461" spans="1:10" x14ac:dyDescent="0.25">
      <c r="A461" s="4">
        <v>10540043</v>
      </c>
      <c r="B461" s="198">
        <v>404.53999999999996</v>
      </c>
      <c r="D461" s="208"/>
      <c r="E461" s="71">
        <v>10120101</v>
      </c>
      <c r="F461" s="42">
        <v>6400</v>
      </c>
      <c r="H461" s="199"/>
      <c r="I461" s="71">
        <v>10060093</v>
      </c>
      <c r="J461" s="68">
        <v>105425</v>
      </c>
    </row>
    <row r="462" spans="1:10" x14ac:dyDescent="0.25">
      <c r="A462" s="4">
        <v>10540050</v>
      </c>
      <c r="B462" s="198">
        <v>404.53999999999996</v>
      </c>
      <c r="D462" s="208"/>
      <c r="E462" s="71">
        <v>10070050</v>
      </c>
      <c r="F462" s="42">
        <v>6400</v>
      </c>
      <c r="H462" s="199"/>
      <c r="I462" s="71">
        <v>10030070</v>
      </c>
      <c r="J462" s="68">
        <v>49909.766476369528</v>
      </c>
    </row>
    <row r="463" spans="1:10" x14ac:dyDescent="0.25">
      <c r="A463" s="4">
        <v>10120120</v>
      </c>
      <c r="B463" s="198">
        <v>109.80000000000001</v>
      </c>
      <c r="D463" s="208"/>
      <c r="E463" s="71">
        <v>10480025</v>
      </c>
      <c r="F463" s="42">
        <v>6400</v>
      </c>
      <c r="H463" s="199"/>
      <c r="I463" s="71">
        <v>10010099</v>
      </c>
      <c r="J463" s="68">
        <v>68485</v>
      </c>
    </row>
    <row r="464" spans="1:10" x14ac:dyDescent="0.25">
      <c r="A464" s="4">
        <v>10120122</v>
      </c>
      <c r="B464" s="198">
        <v>274.5</v>
      </c>
      <c r="D464" s="208"/>
      <c r="E464" s="71">
        <v>10110078</v>
      </c>
      <c r="F464" s="42">
        <v>13072.128265076841</v>
      </c>
      <c r="H464" s="199"/>
      <c r="I464" s="71">
        <v>10080087</v>
      </c>
      <c r="J464" s="68">
        <v>69694.893472171796</v>
      </c>
    </row>
    <row r="465" spans="1:10" x14ac:dyDescent="0.25">
      <c r="A465" s="4">
        <v>10120123</v>
      </c>
      <c r="B465" s="198">
        <v>274.5</v>
      </c>
      <c r="D465" s="208"/>
      <c r="E465" s="71">
        <v>10480020</v>
      </c>
      <c r="F465" s="42">
        <v>6400</v>
      </c>
      <c r="H465" s="199"/>
      <c r="I465" s="71">
        <v>10530040</v>
      </c>
      <c r="J465" s="68">
        <v>32937.562938091316</v>
      </c>
    </row>
    <row r="466" spans="1:10" x14ac:dyDescent="0.25">
      <c r="A466" s="4">
        <v>10530081</v>
      </c>
      <c r="B466" s="198">
        <v>349.71543080156107</v>
      </c>
      <c r="D466" s="208"/>
      <c r="E466" s="71">
        <v>10480024</v>
      </c>
      <c r="F466" s="42">
        <v>6400</v>
      </c>
      <c r="H466" s="199"/>
      <c r="I466" s="71">
        <v>10110127</v>
      </c>
      <c r="J466" s="68">
        <v>98025.835399999996</v>
      </c>
    </row>
    <row r="467" spans="1:10" x14ac:dyDescent="0.25">
      <c r="A467" s="4">
        <v>10530096</v>
      </c>
      <c r="B467" s="198">
        <v>294.81543080156109</v>
      </c>
      <c r="D467" s="208"/>
      <c r="E467" s="71">
        <v>10110066</v>
      </c>
      <c r="F467" s="42">
        <v>6400</v>
      </c>
      <c r="H467" s="199"/>
      <c r="I467" s="71">
        <v>10110128</v>
      </c>
      <c r="J467" s="68">
        <v>57078.936101513798</v>
      </c>
    </row>
    <row r="468" spans="1:10" x14ac:dyDescent="0.25">
      <c r="A468" s="4">
        <v>10530100</v>
      </c>
      <c r="B468" s="198">
        <v>294.81543080156109</v>
      </c>
      <c r="D468" s="208"/>
      <c r="E468" s="71">
        <v>10110065</v>
      </c>
      <c r="F468" s="42">
        <v>6400</v>
      </c>
      <c r="H468" s="199"/>
      <c r="I468" s="71">
        <v>10070057</v>
      </c>
      <c r="J468" s="68">
        <v>83286</v>
      </c>
    </row>
    <row r="469" spans="1:10" x14ac:dyDescent="0.25">
      <c r="A469" s="4">
        <v>10530101</v>
      </c>
      <c r="B469" s="198">
        <v>294.81543080156109</v>
      </c>
      <c r="D469" s="208"/>
      <c r="E469" s="71">
        <v>10110069</v>
      </c>
      <c r="F469" s="42">
        <v>6400</v>
      </c>
      <c r="H469" s="199"/>
      <c r="I469" s="71">
        <v>10080086</v>
      </c>
      <c r="J469" s="68">
        <v>62648.489150940324</v>
      </c>
    </row>
    <row r="470" spans="1:10" x14ac:dyDescent="0.25">
      <c r="A470" s="4">
        <v>10530102</v>
      </c>
      <c r="B470" s="198">
        <v>349.71543080156107</v>
      </c>
      <c r="D470" s="208"/>
      <c r="E470" s="71">
        <v>10110030</v>
      </c>
      <c r="F470" s="42">
        <v>6400</v>
      </c>
      <c r="H470" s="199"/>
      <c r="I470" s="71">
        <v>10110110</v>
      </c>
      <c r="J470" s="68">
        <v>63133</v>
      </c>
    </row>
    <row r="471" spans="1:10" x14ac:dyDescent="0.25">
      <c r="A471" s="4">
        <v>10530103</v>
      </c>
      <c r="B471" s="198">
        <v>349.71543080156107</v>
      </c>
      <c r="D471" s="208"/>
      <c r="E471" s="71">
        <v>10110062</v>
      </c>
      <c r="F471" s="42">
        <v>6400</v>
      </c>
      <c r="H471" s="199"/>
      <c r="I471" s="71">
        <v>10110111</v>
      </c>
      <c r="J471" s="68">
        <v>64626.271935704208</v>
      </c>
    </row>
    <row r="472" spans="1:10" x14ac:dyDescent="0.25">
      <c r="A472" s="4">
        <v>10530106</v>
      </c>
      <c r="B472" s="198">
        <v>294.81543080156109</v>
      </c>
      <c r="D472" s="208"/>
      <c r="E472" s="71">
        <v>10070030</v>
      </c>
      <c r="F472" s="42">
        <v>19200</v>
      </c>
      <c r="H472" s="199"/>
      <c r="I472" s="71">
        <v>10110112</v>
      </c>
      <c r="J472" s="68">
        <v>88448</v>
      </c>
    </row>
    <row r="473" spans="1:10" x14ac:dyDescent="0.25">
      <c r="A473" s="4">
        <v>10530108</v>
      </c>
      <c r="B473" s="198">
        <v>349.71543080156107</v>
      </c>
      <c r="D473" s="208"/>
      <c r="E473" s="71">
        <v>10070004</v>
      </c>
      <c r="F473" s="42">
        <v>13625.346799999999</v>
      </c>
      <c r="H473" s="199"/>
      <c r="I473" s="71">
        <v>10110113</v>
      </c>
      <c r="J473" s="68">
        <v>97811.78330171296</v>
      </c>
    </row>
    <row r="474" spans="1:10" x14ac:dyDescent="0.25">
      <c r="A474" s="4">
        <v>10530109</v>
      </c>
      <c r="B474" s="198">
        <v>404.6154308015611</v>
      </c>
      <c r="D474" s="208"/>
      <c r="E474" s="71">
        <v>10100013</v>
      </c>
      <c r="F474" s="42">
        <v>3200</v>
      </c>
      <c r="H474" s="199"/>
      <c r="I474" s="71">
        <v>10110114</v>
      </c>
      <c r="J474" s="68">
        <v>74001.71160000001</v>
      </c>
    </row>
    <row r="475" spans="1:10" x14ac:dyDescent="0.25">
      <c r="A475" s="4">
        <v>10530110</v>
      </c>
      <c r="B475" s="198">
        <v>349.71543080156107</v>
      </c>
      <c r="D475" s="208"/>
      <c r="E475" s="71">
        <v>10100008</v>
      </c>
      <c r="F475" s="42">
        <v>12800</v>
      </c>
      <c r="H475" s="199"/>
      <c r="I475" s="71">
        <v>10110116</v>
      </c>
      <c r="J475" s="68">
        <v>62191.500342438143</v>
      </c>
    </row>
    <row r="476" spans="1:10" x14ac:dyDescent="0.25">
      <c r="A476" s="4">
        <v>10530111</v>
      </c>
      <c r="B476" s="198">
        <v>349.71543080156107</v>
      </c>
      <c r="D476" s="208"/>
      <c r="E476" s="71">
        <v>10100018</v>
      </c>
      <c r="F476" s="42">
        <v>6400</v>
      </c>
      <c r="H476" s="199"/>
      <c r="I476" s="71">
        <v>10110117</v>
      </c>
      <c r="J476" s="68">
        <v>109967</v>
      </c>
    </row>
    <row r="477" spans="1:10" x14ac:dyDescent="0.25">
      <c r="A477" s="4">
        <v>10530112</v>
      </c>
      <c r="B477" s="198">
        <v>185.01543080156108</v>
      </c>
      <c r="D477" s="208"/>
      <c r="E477" s="71">
        <v>10100034</v>
      </c>
      <c r="F477" s="42">
        <v>19200</v>
      </c>
      <c r="H477" s="199"/>
      <c r="I477" s="71">
        <v>10140155</v>
      </c>
      <c r="J477" s="68">
        <v>72296.462751253755</v>
      </c>
    </row>
    <row r="478" spans="1:10" x14ac:dyDescent="0.25">
      <c r="A478" s="4">
        <v>10530113</v>
      </c>
      <c r="B478" s="198">
        <v>185.01543080156108</v>
      </c>
      <c r="D478" s="208"/>
      <c r="E478" s="71">
        <v>10100010</v>
      </c>
      <c r="F478" s="42">
        <v>6400</v>
      </c>
      <c r="H478" s="199"/>
      <c r="I478" s="71">
        <v>10010094</v>
      </c>
      <c r="J478" s="68">
        <v>101111</v>
      </c>
    </row>
    <row r="479" spans="1:10" x14ac:dyDescent="0.25">
      <c r="A479" s="4">
        <v>10530114</v>
      </c>
      <c r="B479" s="198">
        <v>185.01543080156108</v>
      </c>
      <c r="D479" s="208"/>
      <c r="E479" s="71">
        <v>10110148</v>
      </c>
      <c r="F479" s="42">
        <v>10765</v>
      </c>
      <c r="H479" s="199"/>
      <c r="I479" s="71">
        <v>10010095</v>
      </c>
      <c r="J479" s="68">
        <v>71548</v>
      </c>
    </row>
    <row r="480" spans="1:10" x14ac:dyDescent="0.25">
      <c r="A480" s="4">
        <v>10130120</v>
      </c>
      <c r="B480" s="198">
        <v>219.60000000000002</v>
      </c>
      <c r="D480" s="208"/>
      <c r="E480" s="71">
        <v>10110140</v>
      </c>
      <c r="F480" s="42">
        <v>9600</v>
      </c>
      <c r="H480" s="199"/>
      <c r="I480" s="71">
        <v>10010097</v>
      </c>
      <c r="J480" s="68">
        <v>44473.396705996798</v>
      </c>
    </row>
    <row r="481" spans="4:10" x14ac:dyDescent="0.25">
      <c r="D481" s="208"/>
      <c r="E481" s="71">
        <v>10110149</v>
      </c>
      <c r="F481" s="42">
        <v>9600</v>
      </c>
      <c r="H481" s="199"/>
      <c r="I481" s="71">
        <v>10010098</v>
      </c>
      <c r="J481" s="68">
        <v>63729.140200000002</v>
      </c>
    </row>
    <row r="482" spans="4:10" x14ac:dyDescent="0.25">
      <c r="D482" s="208"/>
      <c r="E482" s="71">
        <v>10110143</v>
      </c>
      <c r="F482" s="42">
        <v>25600</v>
      </c>
      <c r="H482" s="199"/>
      <c r="I482" s="71">
        <v>10060073</v>
      </c>
      <c r="J482" s="68">
        <v>100895</v>
      </c>
    </row>
    <row r="483" spans="4:10" x14ac:dyDescent="0.25">
      <c r="D483" s="208"/>
      <c r="E483" s="71">
        <v>10110144</v>
      </c>
      <c r="F483" s="42">
        <v>15199.221600000001</v>
      </c>
      <c r="H483" s="199"/>
      <c r="I483" s="71">
        <v>10060074</v>
      </c>
      <c r="J483" s="68">
        <v>71957.654401205364</v>
      </c>
    </row>
    <row r="484" spans="4:10" x14ac:dyDescent="0.25">
      <c r="D484" s="208"/>
      <c r="E484" s="71">
        <v>10110141</v>
      </c>
      <c r="F484" s="42">
        <v>15057.386200000001</v>
      </c>
      <c r="H484" s="199"/>
      <c r="I484" s="71">
        <v>10120089</v>
      </c>
      <c r="J484" s="68">
        <v>62240.92972129432</v>
      </c>
    </row>
    <row r="485" spans="4:10" x14ac:dyDescent="0.25">
      <c r="D485" s="208"/>
      <c r="E485" s="71">
        <v>10110142</v>
      </c>
      <c r="F485" s="42">
        <v>12800</v>
      </c>
      <c r="H485" s="199"/>
      <c r="I485" s="71">
        <v>10060076</v>
      </c>
      <c r="J485" s="68">
        <v>53530.838494397765</v>
      </c>
    </row>
    <row r="486" spans="4:10" x14ac:dyDescent="0.25">
      <c r="D486" s="208"/>
      <c r="E486" s="71">
        <v>10540005</v>
      </c>
      <c r="F486" s="42">
        <v>12132</v>
      </c>
      <c r="H486" s="199"/>
      <c r="I486" s="71">
        <v>10140160</v>
      </c>
      <c r="J486" s="68">
        <v>79358.759263393134</v>
      </c>
    </row>
    <row r="487" spans="4:10" x14ac:dyDescent="0.25">
      <c r="D487" s="208"/>
      <c r="E487" s="71">
        <v>10540009</v>
      </c>
      <c r="F487" s="42">
        <v>36584</v>
      </c>
      <c r="H487" s="199"/>
      <c r="I487" s="71">
        <v>10530007</v>
      </c>
      <c r="J487" s="68">
        <v>57529.577151588266</v>
      </c>
    </row>
    <row r="488" spans="4:10" x14ac:dyDescent="0.25">
      <c r="D488" s="208"/>
      <c r="E488" s="71">
        <v>10540008</v>
      </c>
      <c r="F488" s="42">
        <v>6051</v>
      </c>
      <c r="H488" s="199"/>
      <c r="I488" s="71">
        <v>10530008</v>
      </c>
      <c r="J488" s="68">
        <v>62775.924223360533</v>
      </c>
    </row>
    <row r="489" spans="4:10" x14ac:dyDescent="0.25">
      <c r="D489" s="208"/>
      <c r="E489" s="71">
        <v>10540007</v>
      </c>
      <c r="F489" s="42">
        <v>6400</v>
      </c>
      <c r="H489" s="199"/>
      <c r="I489" s="71">
        <v>10530001</v>
      </c>
      <c r="J489" s="68">
        <v>33112.083471138249</v>
      </c>
    </row>
    <row r="490" spans="4:10" x14ac:dyDescent="0.25">
      <c r="D490" s="208"/>
      <c r="E490" s="71">
        <v>10110127</v>
      </c>
      <c r="F490" s="42">
        <v>6400</v>
      </c>
      <c r="H490" s="199"/>
      <c r="I490" s="71">
        <v>10530002</v>
      </c>
      <c r="J490" s="68">
        <v>16390.12343161543</v>
      </c>
    </row>
    <row r="491" spans="4:10" x14ac:dyDescent="0.25">
      <c r="D491" s="208"/>
      <c r="E491" s="71">
        <v>10110129</v>
      </c>
      <c r="F491" s="42">
        <v>9862.2540000000008</v>
      </c>
      <c r="H491" s="199"/>
      <c r="I491" s="71">
        <v>10530003</v>
      </c>
      <c r="J491" s="68">
        <v>18612.283764562366</v>
      </c>
    </row>
    <row r="492" spans="4:10" x14ac:dyDescent="0.25">
      <c r="D492" s="208"/>
      <c r="E492" s="71">
        <v>10110112</v>
      </c>
      <c r="F492" s="42">
        <v>6400</v>
      </c>
      <c r="H492" s="199"/>
      <c r="I492" s="71">
        <v>10530004</v>
      </c>
      <c r="J492" s="68">
        <v>84639</v>
      </c>
    </row>
    <row r="493" spans="4:10" x14ac:dyDescent="0.25">
      <c r="D493" s="208"/>
      <c r="E493" s="71">
        <v>10110133</v>
      </c>
      <c r="F493" s="42">
        <v>9828.4258075318721</v>
      </c>
      <c r="H493" s="199"/>
      <c r="I493" s="71">
        <v>10530005</v>
      </c>
      <c r="J493" s="68">
        <v>53462.382389722377</v>
      </c>
    </row>
    <row r="494" spans="4:10" x14ac:dyDescent="0.25">
      <c r="D494" s="208"/>
      <c r="E494" s="71">
        <v>10540003</v>
      </c>
      <c r="F494" s="42">
        <v>3588.7964541938563</v>
      </c>
      <c r="H494" s="199"/>
      <c r="I494" s="71">
        <v>10530006</v>
      </c>
      <c r="J494" s="68">
        <v>27943.687783119385</v>
      </c>
    </row>
    <row r="495" spans="4:10" x14ac:dyDescent="0.25">
      <c r="D495" s="208"/>
      <c r="E495" s="71">
        <v>10110120</v>
      </c>
      <c r="F495" s="42">
        <v>14699</v>
      </c>
      <c r="H495" s="199"/>
      <c r="I495" s="71">
        <v>10060077</v>
      </c>
      <c r="J495" s="68">
        <v>26339.146255091779</v>
      </c>
    </row>
    <row r="496" spans="4:10" x14ac:dyDescent="0.25">
      <c r="D496" s="208"/>
      <c r="E496" s="71">
        <v>10540020</v>
      </c>
      <c r="F496" s="42">
        <v>9600</v>
      </c>
      <c r="H496" s="199"/>
      <c r="I496" s="71">
        <v>10120094</v>
      </c>
      <c r="J496" s="68">
        <v>36304.671770791087</v>
      </c>
    </row>
    <row r="497" spans="4:10" x14ac:dyDescent="0.25">
      <c r="D497" s="208"/>
      <c r="E497" s="71">
        <v>10540018</v>
      </c>
      <c r="F497" s="42">
        <v>6400</v>
      </c>
      <c r="H497" s="199"/>
      <c r="I497" s="71">
        <v>10130090</v>
      </c>
      <c r="J497" s="68">
        <v>94905</v>
      </c>
    </row>
    <row r="498" spans="4:10" x14ac:dyDescent="0.25">
      <c r="D498" s="208"/>
      <c r="E498" s="71">
        <v>10540017</v>
      </c>
      <c r="F498" s="42">
        <v>10691</v>
      </c>
      <c r="H498" s="199"/>
      <c r="I498" s="71">
        <v>10130091</v>
      </c>
      <c r="J498" s="68">
        <v>55701.555585416907</v>
      </c>
    </row>
    <row r="499" spans="4:10" x14ac:dyDescent="0.25">
      <c r="D499" s="208"/>
      <c r="E499" s="71">
        <v>10540016</v>
      </c>
      <c r="F499" s="42">
        <v>12075</v>
      </c>
      <c r="H499" s="199"/>
      <c r="I499" s="71">
        <v>10070052</v>
      </c>
      <c r="J499" s="68">
        <v>99177</v>
      </c>
    </row>
    <row r="500" spans="4:10" x14ac:dyDescent="0.25">
      <c r="D500" s="208"/>
      <c r="E500" s="71">
        <v>10540031</v>
      </c>
      <c r="F500" s="42">
        <v>12800</v>
      </c>
      <c r="H500" s="199"/>
      <c r="I500" s="71">
        <v>10120095</v>
      </c>
      <c r="J500" s="68">
        <v>68493</v>
      </c>
    </row>
    <row r="501" spans="4:10" x14ac:dyDescent="0.25">
      <c r="D501" s="208"/>
      <c r="E501" s="71">
        <v>10540019</v>
      </c>
      <c r="F501" s="42">
        <v>6400</v>
      </c>
      <c r="H501" s="199"/>
      <c r="I501" s="71">
        <v>10100054</v>
      </c>
      <c r="J501" s="68">
        <v>65135.279803818499</v>
      </c>
    </row>
    <row r="502" spans="4:10" x14ac:dyDescent="0.25">
      <c r="D502" s="208"/>
      <c r="E502" s="71">
        <v>10530065</v>
      </c>
      <c r="F502" s="42">
        <v>25600</v>
      </c>
      <c r="H502" s="199"/>
      <c r="I502" s="71">
        <v>10100060</v>
      </c>
      <c r="J502" s="68">
        <v>57979.944661673871</v>
      </c>
    </row>
    <row r="503" spans="4:10" x14ac:dyDescent="0.25">
      <c r="D503" s="208"/>
      <c r="E503" s="71">
        <v>10530064</v>
      </c>
      <c r="F503" s="42">
        <v>22400</v>
      </c>
      <c r="H503" s="199"/>
      <c r="I503" s="71">
        <v>10480023</v>
      </c>
      <c r="J503" s="68">
        <v>39900.702459485314</v>
      </c>
    </row>
    <row r="504" spans="4:10" x14ac:dyDescent="0.25">
      <c r="D504" s="208"/>
      <c r="E504" s="71">
        <v>10530062</v>
      </c>
      <c r="F504" s="42">
        <v>19200</v>
      </c>
      <c r="H504" s="199"/>
      <c r="I504" s="71">
        <v>10100056</v>
      </c>
      <c r="J504" s="68">
        <v>81294.442225839361</v>
      </c>
    </row>
    <row r="505" spans="4:10" x14ac:dyDescent="0.25">
      <c r="D505" s="208"/>
      <c r="E505" s="71">
        <v>10570001</v>
      </c>
      <c r="F505" s="42">
        <v>6400</v>
      </c>
      <c r="H505" s="199"/>
      <c r="I505" s="71">
        <v>10120091</v>
      </c>
      <c r="J505" s="68">
        <v>57815.520123813287</v>
      </c>
    </row>
    <row r="506" spans="4:10" x14ac:dyDescent="0.25">
      <c r="D506" s="208"/>
      <c r="E506" s="71">
        <v>10570002</v>
      </c>
      <c r="F506" s="42">
        <v>6400</v>
      </c>
      <c r="H506" s="199"/>
      <c r="I506" s="71">
        <v>10140170</v>
      </c>
      <c r="J506" s="68">
        <v>68617.411555030296</v>
      </c>
    </row>
    <row r="507" spans="4:10" x14ac:dyDescent="0.25">
      <c r="D507" s="208"/>
      <c r="E507" s="71">
        <v>10570003</v>
      </c>
      <c r="F507" s="42">
        <v>6400</v>
      </c>
      <c r="H507" s="199"/>
      <c r="I507" s="71">
        <v>10010089</v>
      </c>
      <c r="J507" s="68">
        <v>72787.046799999996</v>
      </c>
    </row>
    <row r="508" spans="4:10" x14ac:dyDescent="0.25">
      <c r="D508" s="208"/>
      <c r="E508" s="71">
        <v>10570007</v>
      </c>
      <c r="F508" s="42">
        <v>413</v>
      </c>
      <c r="H508" s="199"/>
      <c r="I508" s="71">
        <v>10010088</v>
      </c>
      <c r="J508" s="68">
        <v>90000</v>
      </c>
    </row>
    <row r="509" spans="4:10" x14ac:dyDescent="0.25">
      <c r="D509" s="208"/>
      <c r="E509" s="71">
        <v>10570008</v>
      </c>
      <c r="F509" s="42">
        <v>6400</v>
      </c>
      <c r="H509" s="199"/>
      <c r="I509" s="71">
        <v>10010113</v>
      </c>
      <c r="J509" s="68">
        <v>68205.747269015395</v>
      </c>
    </row>
    <row r="510" spans="4:10" x14ac:dyDescent="0.25">
      <c r="D510" s="208"/>
      <c r="E510" s="71">
        <v>10570009</v>
      </c>
      <c r="F510" s="42">
        <v>6400</v>
      </c>
      <c r="H510" s="199"/>
      <c r="I510" s="71">
        <v>10130085</v>
      </c>
      <c r="J510" s="68">
        <v>63386.147718643231</v>
      </c>
    </row>
    <row r="511" spans="4:10" x14ac:dyDescent="0.25">
      <c r="D511" s="208"/>
      <c r="E511" s="71">
        <v>10570017</v>
      </c>
      <c r="F511" s="42">
        <v>6400</v>
      </c>
      <c r="H511" s="199"/>
      <c r="I511" s="71">
        <v>10140148</v>
      </c>
      <c r="J511" s="68">
        <v>90371</v>
      </c>
    </row>
    <row r="512" spans="4:10" x14ac:dyDescent="0.25">
      <c r="D512" s="208"/>
      <c r="E512" s="71">
        <v>10570018</v>
      </c>
      <c r="F512" s="42">
        <v>12800</v>
      </c>
      <c r="H512" s="199"/>
      <c r="I512" s="71">
        <v>10140150</v>
      </c>
      <c r="J512" s="68">
        <v>84928</v>
      </c>
    </row>
    <row r="513" spans="4:10" x14ac:dyDescent="0.25">
      <c r="D513" s="208"/>
      <c r="E513" s="71">
        <v>10570019</v>
      </c>
      <c r="F513" s="42">
        <v>4683</v>
      </c>
      <c r="H513" s="199"/>
      <c r="I513" s="71">
        <v>10140151</v>
      </c>
      <c r="J513" s="68">
        <v>84522</v>
      </c>
    </row>
    <row r="514" spans="4:10" x14ac:dyDescent="0.25">
      <c r="D514" s="208"/>
      <c r="E514" s="71">
        <v>10570020</v>
      </c>
      <c r="F514" s="42">
        <v>6400</v>
      </c>
      <c r="H514" s="199"/>
      <c r="I514" s="71">
        <v>10120090</v>
      </c>
      <c r="J514" s="68">
        <v>89834</v>
      </c>
    </row>
    <row r="515" spans="4:10" x14ac:dyDescent="0.25">
      <c r="D515" s="208"/>
      <c r="E515" s="71">
        <v>10570021</v>
      </c>
      <c r="F515" s="42">
        <v>10705.6054</v>
      </c>
      <c r="H515" s="199"/>
      <c r="I515" s="71">
        <v>10130077</v>
      </c>
      <c r="J515" s="68">
        <v>70686</v>
      </c>
    </row>
    <row r="516" spans="4:10" x14ac:dyDescent="0.25">
      <c r="D516" s="208"/>
      <c r="E516" s="71">
        <v>10570015</v>
      </c>
      <c r="F516" s="42">
        <v>3013.7457170187754</v>
      </c>
      <c r="H516" s="199"/>
      <c r="I516" s="71">
        <v>10130079</v>
      </c>
      <c r="J516" s="68">
        <v>86009.800232053312</v>
      </c>
    </row>
    <row r="517" spans="4:10" x14ac:dyDescent="0.25">
      <c r="D517" s="208"/>
      <c r="E517" s="71">
        <v>10140171</v>
      </c>
      <c r="F517" s="42">
        <v>6400</v>
      </c>
      <c r="H517" s="199"/>
      <c r="I517" s="71">
        <v>10080079</v>
      </c>
      <c r="J517" s="68">
        <v>67778</v>
      </c>
    </row>
    <row r="518" spans="4:10" x14ac:dyDescent="0.25">
      <c r="D518" s="208"/>
      <c r="E518" s="71">
        <v>10140173</v>
      </c>
      <c r="F518" s="42">
        <v>12800</v>
      </c>
      <c r="H518" s="199"/>
      <c r="I518" s="71">
        <v>10140145</v>
      </c>
      <c r="J518" s="68">
        <v>91153.866907052114</v>
      </c>
    </row>
    <row r="519" spans="4:10" x14ac:dyDescent="0.25">
      <c r="D519" s="208"/>
      <c r="E519" s="71">
        <v>10140180</v>
      </c>
      <c r="F519" s="42">
        <v>6400</v>
      </c>
      <c r="H519" s="199"/>
      <c r="I519" s="71">
        <v>10140146</v>
      </c>
      <c r="J519" s="68">
        <v>99136</v>
      </c>
    </row>
    <row r="520" spans="4:10" x14ac:dyDescent="0.25">
      <c r="D520" s="208"/>
      <c r="E520" s="71">
        <v>10140179</v>
      </c>
      <c r="F520" s="42">
        <v>12800</v>
      </c>
      <c r="H520" s="199"/>
      <c r="I520" s="71">
        <v>10140152</v>
      </c>
      <c r="J520" s="68">
        <v>79045</v>
      </c>
    </row>
    <row r="521" spans="4:10" x14ac:dyDescent="0.25">
      <c r="D521" s="208"/>
      <c r="E521" s="71">
        <v>10140183</v>
      </c>
      <c r="F521" s="42">
        <v>12800</v>
      </c>
      <c r="H521" s="199"/>
      <c r="I521" s="71">
        <v>10140137</v>
      </c>
      <c r="J521" s="68">
        <v>31748.46785567113</v>
      </c>
    </row>
    <row r="522" spans="4:10" x14ac:dyDescent="0.25">
      <c r="D522" s="208"/>
      <c r="E522" s="71">
        <v>10140185</v>
      </c>
      <c r="F522" s="42">
        <v>6400</v>
      </c>
      <c r="H522" s="199"/>
      <c r="I522" s="71">
        <v>10110093</v>
      </c>
      <c r="J522" s="68">
        <v>58752.494871608957</v>
      </c>
    </row>
    <row r="523" spans="4:10" x14ac:dyDescent="0.25">
      <c r="D523" s="208"/>
      <c r="E523" s="71">
        <v>10140174</v>
      </c>
      <c r="F523" s="42">
        <v>6400</v>
      </c>
      <c r="H523" s="199"/>
      <c r="I523" s="71">
        <v>10140159</v>
      </c>
      <c r="J523" s="68">
        <v>57648.339265050068</v>
      </c>
    </row>
    <row r="524" spans="4:10" x14ac:dyDescent="0.25">
      <c r="D524" s="208"/>
      <c r="E524" s="71">
        <v>10140186</v>
      </c>
      <c r="F524" s="42">
        <v>6147</v>
      </c>
      <c r="H524" s="199"/>
      <c r="I524" s="71">
        <v>10110097</v>
      </c>
      <c r="J524" s="68">
        <v>83627.038687220876</v>
      </c>
    </row>
    <row r="525" spans="4:10" x14ac:dyDescent="0.25">
      <c r="D525" s="208"/>
      <c r="E525" s="71">
        <v>10140170</v>
      </c>
      <c r="F525" s="42">
        <v>6400</v>
      </c>
      <c r="H525" s="199"/>
      <c r="I525" s="71">
        <v>10110098</v>
      </c>
      <c r="J525" s="68">
        <v>68630</v>
      </c>
    </row>
    <row r="526" spans="4:10" x14ac:dyDescent="0.25">
      <c r="D526" s="208"/>
      <c r="E526" s="71">
        <v>10140197</v>
      </c>
      <c r="F526" s="42">
        <v>6400</v>
      </c>
      <c r="H526" s="199"/>
      <c r="I526" s="71">
        <v>10110099</v>
      </c>
      <c r="J526" s="68">
        <v>109744</v>
      </c>
    </row>
    <row r="527" spans="4:10" x14ac:dyDescent="0.25">
      <c r="D527" s="208"/>
      <c r="E527" s="71">
        <v>10140194</v>
      </c>
      <c r="F527" s="42">
        <v>8711</v>
      </c>
      <c r="H527" s="199"/>
      <c r="I527" s="71">
        <v>10060090</v>
      </c>
      <c r="J527" s="68">
        <v>63136.337517835069</v>
      </c>
    </row>
    <row r="528" spans="4:10" x14ac:dyDescent="0.25">
      <c r="D528" s="208"/>
      <c r="E528" s="71">
        <v>10110159</v>
      </c>
      <c r="F528" s="42">
        <v>12800</v>
      </c>
      <c r="H528" s="199"/>
      <c r="I528" s="71">
        <v>10110101</v>
      </c>
      <c r="J528" s="68">
        <v>63498.002</v>
      </c>
    </row>
    <row r="529" spans="4:10" x14ac:dyDescent="0.25">
      <c r="D529" s="208"/>
      <c r="E529" s="71">
        <v>10110168</v>
      </c>
      <c r="F529" s="42">
        <v>12800</v>
      </c>
      <c r="H529" s="199"/>
      <c r="I529" s="71">
        <v>10110094</v>
      </c>
      <c r="J529" s="68">
        <v>47180.409223911847</v>
      </c>
    </row>
    <row r="530" spans="4:10" x14ac:dyDescent="0.25">
      <c r="D530" s="208"/>
      <c r="E530" s="71">
        <v>10130079</v>
      </c>
      <c r="F530" s="42">
        <v>4300</v>
      </c>
      <c r="H530" s="199"/>
      <c r="I530" s="71">
        <v>10110095</v>
      </c>
      <c r="J530" s="68">
        <v>58980.340098170302</v>
      </c>
    </row>
    <row r="531" spans="4:10" x14ac:dyDescent="0.25">
      <c r="D531" s="208"/>
      <c r="E531" s="71">
        <v>10120090</v>
      </c>
      <c r="F531" s="42">
        <v>4300</v>
      </c>
      <c r="H531" s="199"/>
      <c r="I531" s="71">
        <v>10030065</v>
      </c>
      <c r="J531" s="68">
        <v>63503</v>
      </c>
    </row>
    <row r="532" spans="4:10" x14ac:dyDescent="0.25">
      <c r="D532" s="208"/>
      <c r="E532" s="71">
        <v>10120091</v>
      </c>
      <c r="F532" s="42">
        <v>4300</v>
      </c>
      <c r="H532" s="199"/>
      <c r="I532" s="71">
        <v>10030066</v>
      </c>
      <c r="J532" s="68">
        <v>11860.459564905032</v>
      </c>
    </row>
    <row r="533" spans="4:10" x14ac:dyDescent="0.25">
      <c r="D533" s="208"/>
      <c r="E533" s="71">
        <v>10580001</v>
      </c>
      <c r="F533" s="42">
        <v>9289</v>
      </c>
      <c r="H533" s="199"/>
      <c r="I533" s="71">
        <v>10030067</v>
      </c>
      <c r="J533" s="68">
        <v>101242</v>
      </c>
    </row>
    <row r="534" spans="4:10" x14ac:dyDescent="0.25">
      <c r="D534" s="208"/>
      <c r="E534" s="71">
        <v>10580002</v>
      </c>
      <c r="F534" s="42">
        <v>6400</v>
      </c>
      <c r="H534" s="199"/>
      <c r="I534" s="71">
        <v>10030068</v>
      </c>
      <c r="J534" s="68">
        <v>57756.290361264648</v>
      </c>
    </row>
    <row r="535" spans="4:10" x14ac:dyDescent="0.25">
      <c r="D535" s="208"/>
      <c r="E535" s="71">
        <v>10580003</v>
      </c>
      <c r="F535" s="42">
        <v>6400</v>
      </c>
      <c r="H535" s="199"/>
      <c r="I535" s="71">
        <v>10080077</v>
      </c>
      <c r="J535" s="68">
        <v>55467.362381508457</v>
      </c>
    </row>
    <row r="536" spans="4:10" x14ac:dyDescent="0.25">
      <c r="D536" s="208"/>
      <c r="E536" s="71">
        <v>10580004</v>
      </c>
      <c r="F536" s="42">
        <v>9600</v>
      </c>
      <c r="H536" s="199"/>
      <c r="I536" s="71">
        <v>10060071</v>
      </c>
      <c r="J536" s="68">
        <v>95939</v>
      </c>
    </row>
    <row r="537" spans="4:10" x14ac:dyDescent="0.25">
      <c r="D537" s="208"/>
      <c r="E537" s="71">
        <v>10580005</v>
      </c>
      <c r="F537" s="42">
        <v>7848</v>
      </c>
      <c r="H537" s="199"/>
      <c r="I537" s="71">
        <v>10020070</v>
      </c>
      <c r="J537" s="68">
        <v>31497.079153006081</v>
      </c>
    </row>
    <row r="538" spans="4:10" x14ac:dyDescent="0.25">
      <c r="D538" s="208"/>
      <c r="E538" s="71">
        <v>10580006</v>
      </c>
      <c r="F538" s="42">
        <v>6400</v>
      </c>
      <c r="H538" s="199"/>
      <c r="I538" s="71">
        <v>10010086</v>
      </c>
      <c r="J538" s="68">
        <v>66070</v>
      </c>
    </row>
    <row r="539" spans="4:10" x14ac:dyDescent="0.25">
      <c r="D539" s="208"/>
      <c r="E539" s="71">
        <v>10580007</v>
      </c>
      <c r="F539" s="42">
        <v>5512</v>
      </c>
      <c r="H539" s="199"/>
      <c r="I539" s="71">
        <v>10090056</v>
      </c>
      <c r="J539" s="68">
        <v>50179.582343874572</v>
      </c>
    </row>
    <row r="540" spans="4:10" x14ac:dyDescent="0.25">
      <c r="D540" s="208"/>
      <c r="E540" s="71">
        <v>10580008</v>
      </c>
      <c r="F540" s="42">
        <v>6400</v>
      </c>
      <c r="H540" s="199"/>
      <c r="I540" s="71">
        <v>10140135</v>
      </c>
      <c r="J540" s="68">
        <v>50708.601925478833</v>
      </c>
    </row>
    <row r="541" spans="4:10" x14ac:dyDescent="0.25">
      <c r="D541" s="208"/>
      <c r="E541" s="71">
        <v>10580009</v>
      </c>
      <c r="F541" s="42">
        <v>5608</v>
      </c>
      <c r="H541" s="199"/>
      <c r="I541" s="71">
        <v>10140126</v>
      </c>
      <c r="J541" s="68">
        <v>65187.065571768006</v>
      </c>
    </row>
    <row r="542" spans="4:10" x14ac:dyDescent="0.25">
      <c r="D542" s="208"/>
      <c r="E542" s="71">
        <v>10580010</v>
      </c>
      <c r="F542" s="42">
        <v>6400</v>
      </c>
      <c r="H542" s="199"/>
      <c r="I542" s="71">
        <v>10140129</v>
      </c>
      <c r="J542" s="68">
        <v>42784.719413926781</v>
      </c>
    </row>
    <row r="543" spans="4:10" x14ac:dyDescent="0.25">
      <c r="D543" s="208"/>
      <c r="E543" s="71">
        <v>10580011</v>
      </c>
      <c r="F543" s="42">
        <v>6400</v>
      </c>
      <c r="H543" s="199"/>
      <c r="I543" s="71">
        <v>10140130</v>
      </c>
      <c r="J543" s="68">
        <v>63599.94406612216</v>
      </c>
    </row>
    <row r="544" spans="4:10" x14ac:dyDescent="0.25">
      <c r="D544" s="208"/>
      <c r="E544" s="71">
        <v>10580012</v>
      </c>
      <c r="F544" s="42">
        <v>6400</v>
      </c>
      <c r="H544" s="199"/>
      <c r="I544" s="71">
        <v>10140131</v>
      </c>
      <c r="J544" s="68">
        <v>90992.81877117914</v>
      </c>
    </row>
    <row r="545" spans="4:10" x14ac:dyDescent="0.25">
      <c r="D545" s="208"/>
      <c r="E545" s="71">
        <v>10580015</v>
      </c>
      <c r="F545" s="42">
        <v>6400</v>
      </c>
      <c r="H545" s="199"/>
      <c r="I545" s="71">
        <v>10140132</v>
      </c>
      <c r="J545" s="68">
        <v>57343</v>
      </c>
    </row>
    <row r="546" spans="4:10" x14ac:dyDescent="0.25">
      <c r="D546" s="208"/>
      <c r="E546" s="71">
        <v>10580017</v>
      </c>
      <c r="F546" s="42">
        <v>6400</v>
      </c>
      <c r="H546" s="199"/>
      <c r="I546" s="71">
        <v>10060058</v>
      </c>
      <c r="J546" s="68">
        <v>20083.88941294486</v>
      </c>
    </row>
    <row r="547" spans="4:10" x14ac:dyDescent="0.25">
      <c r="D547" s="208"/>
      <c r="E547" s="71">
        <v>10580018</v>
      </c>
      <c r="F547" s="42">
        <v>6400</v>
      </c>
      <c r="H547" s="199"/>
      <c r="I547" s="71">
        <v>10020068</v>
      </c>
      <c r="J547" s="68">
        <v>17150.122882344294</v>
      </c>
    </row>
    <row r="548" spans="4:10" x14ac:dyDescent="0.25">
      <c r="D548" s="208"/>
      <c r="E548" s="71">
        <v>10580019</v>
      </c>
      <c r="F548" s="42">
        <v>5436.7451999999994</v>
      </c>
      <c r="H548" s="199"/>
      <c r="I548" s="71">
        <v>10020069</v>
      </c>
      <c r="J548" s="68">
        <v>89601.602786046366</v>
      </c>
    </row>
    <row r="549" spans="4:10" x14ac:dyDescent="0.25">
      <c r="D549" s="208"/>
      <c r="E549" s="71">
        <v>10600009</v>
      </c>
      <c r="F549" s="42">
        <v>6400</v>
      </c>
      <c r="H549" s="199"/>
      <c r="I549" s="71">
        <v>10060068</v>
      </c>
      <c r="J549" s="68">
        <v>95986.711793943163</v>
      </c>
    </row>
    <row r="550" spans="4:10" x14ac:dyDescent="0.25">
      <c r="D550" s="208"/>
      <c r="E550" s="71">
        <v>10030078</v>
      </c>
      <c r="F550" s="42">
        <v>3200</v>
      </c>
      <c r="H550" s="199"/>
      <c r="I550" s="71">
        <v>10110086</v>
      </c>
      <c r="J550" s="68">
        <v>51637.948226605455</v>
      </c>
    </row>
    <row r="551" spans="4:10" x14ac:dyDescent="0.25">
      <c r="D551" s="208"/>
      <c r="E551" s="71">
        <v>10030074</v>
      </c>
      <c r="F551" s="42">
        <v>6400</v>
      </c>
      <c r="H551" s="199"/>
      <c r="I551" s="71">
        <v>10110087</v>
      </c>
      <c r="J551" s="68">
        <v>122557</v>
      </c>
    </row>
    <row r="552" spans="4:10" x14ac:dyDescent="0.25">
      <c r="D552" s="208"/>
      <c r="E552" s="71">
        <v>10030072</v>
      </c>
      <c r="F552" s="42">
        <v>12800</v>
      </c>
      <c r="H552" s="199"/>
      <c r="I552" s="71">
        <v>10110088</v>
      </c>
      <c r="J552" s="68">
        <v>85842.88130212111</v>
      </c>
    </row>
    <row r="553" spans="4:10" x14ac:dyDescent="0.25">
      <c r="D553" s="208"/>
      <c r="E553" s="71">
        <v>10570029</v>
      </c>
      <c r="F553" s="42">
        <v>6400</v>
      </c>
      <c r="H553" s="199"/>
      <c r="I553" s="71">
        <v>10480020</v>
      </c>
      <c r="J553" s="68">
        <v>88138</v>
      </c>
    </row>
    <row r="554" spans="4:10" x14ac:dyDescent="0.25">
      <c r="D554" s="208"/>
      <c r="E554" s="71">
        <v>10570036</v>
      </c>
      <c r="F554" s="42">
        <v>6400</v>
      </c>
      <c r="H554" s="199"/>
      <c r="I554" s="71">
        <v>10480019</v>
      </c>
      <c r="J554" s="68">
        <v>108257</v>
      </c>
    </row>
    <row r="555" spans="4:10" x14ac:dyDescent="0.25">
      <c r="D555" s="208"/>
      <c r="E555" s="71">
        <v>10570044</v>
      </c>
      <c r="F555" s="42">
        <v>3200</v>
      </c>
      <c r="H555" s="199"/>
      <c r="I555" s="71">
        <v>10100045</v>
      </c>
      <c r="J555" s="68">
        <v>29628.735196323032</v>
      </c>
    </row>
    <row r="556" spans="4:10" x14ac:dyDescent="0.25">
      <c r="D556" s="208"/>
      <c r="E556" s="71">
        <v>10570028</v>
      </c>
      <c r="F556" s="42">
        <v>6400</v>
      </c>
      <c r="H556" s="199"/>
      <c r="I556" s="71">
        <v>10030062</v>
      </c>
      <c r="J556" s="68">
        <v>89898</v>
      </c>
    </row>
    <row r="557" spans="4:10" x14ac:dyDescent="0.25">
      <c r="D557" s="208"/>
      <c r="E557" s="71">
        <v>10570045</v>
      </c>
      <c r="F557" s="42">
        <v>6400</v>
      </c>
      <c r="H557" s="199"/>
      <c r="I557" s="71">
        <v>10030063</v>
      </c>
      <c r="J557" s="68">
        <v>31993.557708073058</v>
      </c>
    </row>
    <row r="558" spans="4:10" x14ac:dyDescent="0.25">
      <c r="D558" s="208"/>
      <c r="E558" s="71">
        <v>10630007</v>
      </c>
      <c r="F558" s="42">
        <v>6400</v>
      </c>
      <c r="H558" s="199"/>
      <c r="I558" s="71">
        <v>10030064</v>
      </c>
      <c r="J558" s="68">
        <v>15501.314790578821</v>
      </c>
    </row>
    <row r="559" spans="4:10" x14ac:dyDescent="0.25">
      <c r="D559" s="208"/>
      <c r="E559" s="71">
        <v>10570031</v>
      </c>
      <c r="F559" s="42">
        <v>6400</v>
      </c>
      <c r="H559" s="199"/>
      <c r="I559" s="71">
        <v>10090054</v>
      </c>
      <c r="J559" s="68">
        <v>89716.886906352724</v>
      </c>
    </row>
    <row r="560" spans="4:10" x14ac:dyDescent="0.25">
      <c r="D560" s="208"/>
      <c r="E560" s="71">
        <v>10570030</v>
      </c>
      <c r="F560" s="42">
        <v>9600</v>
      </c>
      <c r="H560" s="199"/>
      <c r="I560" s="71">
        <v>10140006</v>
      </c>
      <c r="J560" s="68">
        <v>9627.3816565977613</v>
      </c>
    </row>
    <row r="561" spans="4:10" x14ac:dyDescent="0.25">
      <c r="D561" s="208"/>
      <c r="E561" s="71">
        <v>10630003</v>
      </c>
      <c r="F561" s="42">
        <v>6400</v>
      </c>
      <c r="H561" s="199"/>
      <c r="I561" s="71">
        <v>10140014</v>
      </c>
      <c r="J561" s="68">
        <v>51782.752690716719</v>
      </c>
    </row>
    <row r="562" spans="4:10" x14ac:dyDescent="0.25">
      <c r="D562" s="208"/>
      <c r="E562" s="71">
        <v>10630009</v>
      </c>
      <c r="F562" s="42">
        <v>6400</v>
      </c>
      <c r="H562" s="199"/>
      <c r="I562" s="71">
        <v>10120003</v>
      </c>
      <c r="J562" s="68">
        <v>57803.290399999998</v>
      </c>
    </row>
    <row r="563" spans="4:10" x14ac:dyDescent="0.25">
      <c r="D563" s="208"/>
      <c r="E563" s="71">
        <v>10570042</v>
      </c>
      <c r="F563" s="42">
        <v>6400</v>
      </c>
      <c r="H563" s="199"/>
      <c r="I563" s="71">
        <v>10110148</v>
      </c>
      <c r="J563" s="68">
        <v>79186.656199999998</v>
      </c>
    </row>
    <row r="564" spans="4:10" x14ac:dyDescent="0.25">
      <c r="D564" s="208"/>
      <c r="E564" s="71">
        <v>10570047</v>
      </c>
      <c r="F564" s="42">
        <v>6400</v>
      </c>
      <c r="H564" s="199"/>
      <c r="I564" s="71">
        <v>10110149</v>
      </c>
      <c r="J564" s="68">
        <v>78832</v>
      </c>
    </row>
    <row r="565" spans="4:10" x14ac:dyDescent="0.25">
      <c r="D565" s="208"/>
      <c r="E565" s="71">
        <v>10060116</v>
      </c>
      <c r="F565" s="42">
        <v>6400</v>
      </c>
      <c r="H565" s="199"/>
      <c r="I565" s="71">
        <v>10010114</v>
      </c>
      <c r="J565" s="68">
        <v>100000</v>
      </c>
    </row>
    <row r="566" spans="4:10" x14ac:dyDescent="0.25">
      <c r="D566" s="208"/>
      <c r="E566" s="71">
        <v>10120104</v>
      </c>
      <c r="F566" s="42">
        <v>9600</v>
      </c>
      <c r="H566" s="199"/>
      <c r="I566" s="71">
        <v>10140010</v>
      </c>
      <c r="J566" s="68">
        <v>1572.1526456200227</v>
      </c>
    </row>
    <row r="567" spans="4:10" x14ac:dyDescent="0.25">
      <c r="D567" s="208"/>
      <c r="E567" s="71">
        <v>10120116</v>
      </c>
      <c r="F567" s="42">
        <v>35200</v>
      </c>
      <c r="H567" s="199"/>
      <c r="I567" s="71">
        <v>10140011</v>
      </c>
      <c r="J567" s="68">
        <v>49348.179393945597</v>
      </c>
    </row>
    <row r="568" spans="4:10" x14ac:dyDescent="0.25">
      <c r="D568" s="208"/>
      <c r="E568" s="71">
        <v>10030068</v>
      </c>
      <c r="F568" s="42">
        <v>6400</v>
      </c>
      <c r="H568" s="199"/>
      <c r="I568" s="71">
        <v>10120016</v>
      </c>
      <c r="J568" s="68">
        <v>16915.451360650244</v>
      </c>
    </row>
    <row r="569" spans="4:10" x14ac:dyDescent="0.25">
      <c r="D569" s="208"/>
      <c r="E569" s="71">
        <v>10060115</v>
      </c>
      <c r="F569" s="42">
        <v>9600</v>
      </c>
      <c r="H569" s="199"/>
      <c r="I569" s="71">
        <v>10140019</v>
      </c>
      <c r="J569" s="68">
        <v>21482.309789417443</v>
      </c>
    </row>
    <row r="570" spans="4:10" x14ac:dyDescent="0.25">
      <c r="D570" s="208"/>
      <c r="E570" s="71">
        <v>10020084</v>
      </c>
      <c r="F570" s="42">
        <v>6400</v>
      </c>
      <c r="H570" s="199"/>
      <c r="I570" s="71">
        <v>10140015</v>
      </c>
      <c r="J570" s="68">
        <v>52969.677600000003</v>
      </c>
    </row>
    <row r="571" spans="4:10" x14ac:dyDescent="0.25">
      <c r="D571" s="208"/>
      <c r="E571" s="71">
        <v>10130098</v>
      </c>
      <c r="F571" s="42">
        <v>19200</v>
      </c>
      <c r="H571" s="199"/>
      <c r="I571" s="71">
        <v>10120019</v>
      </c>
      <c r="J571" s="68">
        <v>26457</v>
      </c>
    </row>
    <row r="572" spans="4:10" x14ac:dyDescent="0.25">
      <c r="D572" s="208"/>
      <c r="E572" s="71">
        <v>10060111</v>
      </c>
      <c r="F572" s="42">
        <v>9600</v>
      </c>
      <c r="H572" s="199"/>
      <c r="I572" s="71">
        <v>10140099</v>
      </c>
      <c r="J572" s="68">
        <v>53607</v>
      </c>
    </row>
    <row r="573" spans="4:10" x14ac:dyDescent="0.25">
      <c r="D573" s="208"/>
      <c r="E573" s="71">
        <v>10120123</v>
      </c>
      <c r="F573" s="42">
        <v>12800</v>
      </c>
      <c r="H573" s="199"/>
      <c r="I573" s="71">
        <v>10140100</v>
      </c>
      <c r="J573" s="68">
        <v>87651</v>
      </c>
    </row>
    <row r="574" spans="4:10" x14ac:dyDescent="0.25">
      <c r="D574" s="208"/>
      <c r="E574" s="71">
        <v>10120108</v>
      </c>
      <c r="F574" s="42">
        <v>12800</v>
      </c>
      <c r="H574" s="199"/>
      <c r="I574" s="71">
        <v>10010106</v>
      </c>
      <c r="J574" s="68">
        <v>109987</v>
      </c>
    </row>
    <row r="575" spans="4:10" x14ac:dyDescent="0.25">
      <c r="D575" s="208"/>
      <c r="E575" s="71">
        <v>10010134</v>
      </c>
      <c r="F575" s="42">
        <v>6400</v>
      </c>
      <c r="H575" s="199"/>
      <c r="I575" s="71">
        <v>10010111</v>
      </c>
      <c r="J575" s="68">
        <v>110000</v>
      </c>
    </row>
    <row r="576" spans="4:10" x14ac:dyDescent="0.25">
      <c r="D576" s="208"/>
      <c r="E576" s="71">
        <v>10060130</v>
      </c>
      <c r="F576" s="42">
        <v>6400</v>
      </c>
      <c r="H576" s="199"/>
      <c r="I576" s="71">
        <v>10120071</v>
      </c>
      <c r="J576" s="68">
        <v>37857.600680005518</v>
      </c>
    </row>
    <row r="577" spans="4:10" x14ac:dyDescent="0.25">
      <c r="D577" s="208"/>
      <c r="E577" s="71">
        <v>10120122</v>
      </c>
      <c r="F577" s="42">
        <v>32000</v>
      </c>
      <c r="H577" s="199"/>
      <c r="I577" s="71">
        <v>10120072</v>
      </c>
      <c r="J577" s="68">
        <v>101544</v>
      </c>
    </row>
    <row r="578" spans="4:10" x14ac:dyDescent="0.25">
      <c r="D578" s="208"/>
      <c r="E578" s="71">
        <v>10120120</v>
      </c>
      <c r="F578" s="42">
        <v>6400</v>
      </c>
      <c r="H578" s="199"/>
      <c r="I578" s="71">
        <v>10110079</v>
      </c>
      <c r="J578" s="68">
        <v>73368.888583716529</v>
      </c>
    </row>
    <row r="579" spans="4:10" x14ac:dyDescent="0.25">
      <c r="D579" s="208"/>
      <c r="E579" s="71">
        <v>10030075</v>
      </c>
      <c r="F579" s="42">
        <v>6400</v>
      </c>
      <c r="H579" s="199"/>
      <c r="I579" s="71">
        <v>10080070</v>
      </c>
      <c r="J579" s="68">
        <v>108500</v>
      </c>
    </row>
    <row r="580" spans="4:10" x14ac:dyDescent="0.25">
      <c r="D580" s="208"/>
      <c r="E580" s="71">
        <v>10030082</v>
      </c>
      <c r="F580" s="42">
        <v>6400</v>
      </c>
      <c r="H580" s="199"/>
      <c r="I580" s="71">
        <v>10480016</v>
      </c>
      <c r="J580" s="68">
        <v>33932.976281815849</v>
      </c>
    </row>
    <row r="581" spans="4:10" x14ac:dyDescent="0.25">
      <c r="D581" s="208"/>
      <c r="E581" s="71">
        <v>10130100</v>
      </c>
      <c r="F581" s="42">
        <v>6400</v>
      </c>
      <c r="H581" s="199"/>
      <c r="I581" s="71">
        <v>10140098</v>
      </c>
      <c r="J581" s="68">
        <v>14228.384116397909</v>
      </c>
    </row>
    <row r="582" spans="4:10" x14ac:dyDescent="0.25">
      <c r="D582" s="208"/>
      <c r="E582" s="71">
        <v>10010140</v>
      </c>
      <c r="F582" s="42">
        <v>9600</v>
      </c>
      <c r="H582" s="199"/>
      <c r="I582" s="71">
        <v>10140022</v>
      </c>
      <c r="J582" s="68">
        <v>6619.7644947589433</v>
      </c>
    </row>
    <row r="583" spans="4:10" x14ac:dyDescent="0.25">
      <c r="D583" s="208"/>
      <c r="E583" s="71">
        <v>10010141</v>
      </c>
      <c r="F583" s="42">
        <v>6400</v>
      </c>
      <c r="H583" s="199"/>
      <c r="I583" s="71">
        <v>10140020</v>
      </c>
      <c r="J583" s="68">
        <v>23139.532800000001</v>
      </c>
    </row>
    <row r="584" spans="4:10" x14ac:dyDescent="0.25">
      <c r="D584" s="208"/>
      <c r="E584" s="71">
        <v>10010113</v>
      </c>
      <c r="F584" s="42">
        <v>12800</v>
      </c>
      <c r="H584" s="199"/>
      <c r="I584" s="71">
        <v>10140023</v>
      </c>
      <c r="J584" s="68">
        <v>53258.000666785272</v>
      </c>
    </row>
    <row r="585" spans="4:10" x14ac:dyDescent="0.25">
      <c r="D585" s="208"/>
      <c r="E585" s="71">
        <v>10120121</v>
      </c>
      <c r="F585" s="42">
        <v>6400</v>
      </c>
      <c r="H585" s="199"/>
      <c r="I585" s="71">
        <v>10110074</v>
      </c>
      <c r="J585" s="68">
        <v>32598.739178672597</v>
      </c>
    </row>
    <row r="586" spans="4:10" x14ac:dyDescent="0.25">
      <c r="D586" s="208"/>
      <c r="E586">
        <v>10010128</v>
      </c>
      <c r="F586">
        <v>16000</v>
      </c>
      <c r="H586" s="199"/>
      <c r="I586" s="71">
        <v>10010076</v>
      </c>
      <c r="J586" s="68">
        <v>42586.742821923763</v>
      </c>
    </row>
    <row r="587" spans="4:10" x14ac:dyDescent="0.25">
      <c r="D587" s="208"/>
      <c r="E587">
        <v>10010126</v>
      </c>
      <c r="F587">
        <v>6400</v>
      </c>
      <c r="H587" s="199"/>
      <c r="I587" s="71">
        <v>10130019</v>
      </c>
      <c r="J587" s="68">
        <v>8301.4284000000043</v>
      </c>
    </row>
    <row r="588" spans="4:10" x14ac:dyDescent="0.25">
      <c r="D588" s="208"/>
      <c r="E588">
        <v>10010121</v>
      </c>
      <c r="F588">
        <v>16000</v>
      </c>
      <c r="H588" s="199"/>
      <c r="I588" s="71">
        <v>10130001</v>
      </c>
      <c r="J588" s="68">
        <v>125.22539376100758</v>
      </c>
    </row>
    <row r="589" spans="4:10" x14ac:dyDescent="0.25">
      <c r="D589" s="208"/>
      <c r="E589">
        <v>10120114</v>
      </c>
      <c r="F589">
        <v>6400</v>
      </c>
      <c r="H589" s="199"/>
      <c r="I589" s="71">
        <v>10130022</v>
      </c>
      <c r="J589" s="68">
        <v>68975</v>
      </c>
    </row>
    <row r="590" spans="4:10" x14ac:dyDescent="0.25">
      <c r="D590" s="208"/>
      <c r="E590">
        <v>10010108</v>
      </c>
      <c r="F590">
        <v>6400</v>
      </c>
      <c r="H590" s="199"/>
      <c r="I590" s="71">
        <v>10120030</v>
      </c>
      <c r="J590" s="68">
        <v>37605.532378476666</v>
      </c>
    </row>
    <row r="591" spans="4:10" x14ac:dyDescent="0.25">
      <c r="D591" s="208"/>
      <c r="E591" s="71">
        <v>10010138</v>
      </c>
      <c r="F591" s="42">
        <v>6400</v>
      </c>
      <c r="H591" s="199"/>
      <c r="I591" s="71">
        <v>10130024</v>
      </c>
      <c r="J591" s="68">
        <v>21507.917400000006</v>
      </c>
    </row>
    <row r="592" spans="4:10" x14ac:dyDescent="0.25">
      <c r="D592" s="208"/>
      <c r="E592" s="71">
        <v>10120111</v>
      </c>
      <c r="F592" s="42">
        <v>12800</v>
      </c>
      <c r="H592" s="199"/>
      <c r="I592" s="71">
        <v>10080017</v>
      </c>
      <c r="J592" s="68">
        <v>28740.13699432966</v>
      </c>
    </row>
    <row r="593" spans="4:10" x14ac:dyDescent="0.25">
      <c r="D593" s="208"/>
      <c r="E593" s="71">
        <v>10120113</v>
      </c>
      <c r="F593" s="42">
        <v>6400</v>
      </c>
      <c r="H593" s="199"/>
      <c r="I593" s="71">
        <v>10120082</v>
      </c>
      <c r="J593" s="68">
        <v>85337.817697100851</v>
      </c>
    </row>
    <row r="594" spans="4:10" x14ac:dyDescent="0.25">
      <c r="D594" s="208"/>
      <c r="E594" s="71">
        <v>10080088</v>
      </c>
      <c r="F594" s="42">
        <v>6400</v>
      </c>
      <c r="H594" s="199"/>
      <c r="I594" s="71">
        <v>10130070</v>
      </c>
      <c r="J594" s="68">
        <v>66537.140916285483</v>
      </c>
    </row>
    <row r="595" spans="4:10" x14ac:dyDescent="0.25">
      <c r="D595" s="208"/>
      <c r="E595" s="71">
        <v>10080099</v>
      </c>
      <c r="F595" s="42">
        <v>6400</v>
      </c>
      <c r="H595" s="199"/>
      <c r="I595" s="71">
        <v>10120083</v>
      </c>
      <c r="J595" s="68">
        <v>9758.3246389383858</v>
      </c>
    </row>
    <row r="596" spans="4:10" x14ac:dyDescent="0.25">
      <c r="D596" s="208"/>
      <c r="E596" s="71">
        <v>10080095</v>
      </c>
      <c r="F596" s="42">
        <v>3200</v>
      </c>
      <c r="H596" s="199"/>
      <c r="I596" s="71">
        <v>10140102</v>
      </c>
      <c r="J596" s="68">
        <v>90000</v>
      </c>
    </row>
    <row r="597" spans="4:10" x14ac:dyDescent="0.25">
      <c r="D597" s="208"/>
      <c r="E597" s="71">
        <v>10120107</v>
      </c>
      <c r="F597" s="42">
        <v>12800</v>
      </c>
      <c r="H597" s="199"/>
      <c r="I597" s="71">
        <v>10110108</v>
      </c>
      <c r="J597" s="68">
        <v>90000</v>
      </c>
    </row>
    <row r="598" spans="4:10" x14ac:dyDescent="0.25">
      <c r="D598" s="208"/>
      <c r="E598" s="71">
        <v>10110130</v>
      </c>
      <c r="F598" s="42">
        <v>3200</v>
      </c>
      <c r="H598" s="199"/>
      <c r="I598" s="71">
        <v>10110022</v>
      </c>
      <c r="J598" s="68">
        <v>27099.149999999994</v>
      </c>
    </row>
    <row r="599" spans="4:10" x14ac:dyDescent="0.25">
      <c r="D599" s="208"/>
      <c r="E599" s="71">
        <v>10080122</v>
      </c>
      <c r="F599" s="42">
        <v>6400</v>
      </c>
      <c r="H599" s="199"/>
      <c r="I599" s="71">
        <v>10110046</v>
      </c>
      <c r="J599" s="68">
        <v>56634.731599999999</v>
      </c>
    </row>
    <row r="600" spans="4:10" x14ac:dyDescent="0.25">
      <c r="D600" s="208"/>
      <c r="E600" s="71">
        <v>10130091</v>
      </c>
      <c r="F600" s="42">
        <v>6400</v>
      </c>
      <c r="H600" s="199"/>
      <c r="I600" s="71">
        <v>10110035</v>
      </c>
      <c r="J600" s="68">
        <v>61806.912718183201</v>
      </c>
    </row>
    <row r="601" spans="4:10" x14ac:dyDescent="0.25">
      <c r="D601" s="208"/>
      <c r="E601" s="71">
        <v>10130116</v>
      </c>
      <c r="F601" s="42">
        <v>6400</v>
      </c>
      <c r="H601" s="199"/>
      <c r="I601" s="71">
        <v>10110024</v>
      </c>
      <c r="J601" s="68">
        <v>64959.516451475443</v>
      </c>
    </row>
    <row r="602" spans="4:10" x14ac:dyDescent="0.25">
      <c r="D602" s="208"/>
      <c r="E602" s="71">
        <v>10080118</v>
      </c>
      <c r="F602" s="42">
        <v>6400</v>
      </c>
      <c r="H602" s="199"/>
      <c r="I602" s="71">
        <v>10450001</v>
      </c>
      <c r="J602" s="68">
        <v>61038.064032984315</v>
      </c>
    </row>
    <row r="603" spans="4:10" x14ac:dyDescent="0.25">
      <c r="D603" s="208"/>
      <c r="E603" s="71">
        <v>10530085</v>
      </c>
      <c r="F603" s="42">
        <v>19200</v>
      </c>
      <c r="H603" s="199"/>
      <c r="I603" s="71">
        <v>10020027</v>
      </c>
      <c r="J603" s="68">
        <v>44815.111415384599</v>
      </c>
    </row>
    <row r="604" spans="4:10" x14ac:dyDescent="0.25">
      <c r="D604" s="208"/>
      <c r="E604" s="71">
        <v>10080121</v>
      </c>
      <c r="F604" s="42">
        <v>6400</v>
      </c>
      <c r="H604" s="199"/>
      <c r="I604" s="71">
        <v>10140030</v>
      </c>
      <c r="J604" s="68">
        <v>29434.888516916806</v>
      </c>
    </row>
    <row r="605" spans="4:10" x14ac:dyDescent="0.25">
      <c r="D605" s="208"/>
      <c r="E605" s="71">
        <v>10080098</v>
      </c>
      <c r="F605" s="42">
        <v>6400</v>
      </c>
      <c r="H605" s="199"/>
      <c r="I605" s="71">
        <v>10090037</v>
      </c>
      <c r="J605" s="68">
        <v>4087.4547109910927</v>
      </c>
    </row>
    <row r="606" spans="4:10" x14ac:dyDescent="0.25">
      <c r="D606" s="208"/>
      <c r="E606" s="71">
        <v>10530101</v>
      </c>
      <c r="F606" s="42">
        <v>12800</v>
      </c>
      <c r="H606" s="199"/>
      <c r="I606" s="71">
        <v>10480008</v>
      </c>
      <c r="J606" s="68">
        <v>14397.040572177153</v>
      </c>
    </row>
    <row r="607" spans="4:10" x14ac:dyDescent="0.25">
      <c r="D607" s="208"/>
      <c r="E607" s="71">
        <v>10530100</v>
      </c>
      <c r="F607" s="42">
        <v>12800</v>
      </c>
      <c r="H607" s="199"/>
      <c r="I607" s="71">
        <v>10480006</v>
      </c>
      <c r="J607" s="68">
        <v>60909.590191895928</v>
      </c>
    </row>
    <row r="608" spans="4:10" x14ac:dyDescent="0.25">
      <c r="D608" s="208"/>
      <c r="E608" s="71">
        <v>10530109</v>
      </c>
      <c r="F608" s="42">
        <v>19200</v>
      </c>
      <c r="H608" s="200"/>
      <c r="I608" s="71">
        <v>10140016</v>
      </c>
      <c r="J608" s="68">
        <v>58701.772199999999</v>
      </c>
    </row>
    <row r="609" spans="4:10" x14ac:dyDescent="0.25">
      <c r="D609" s="208"/>
      <c r="E609" s="71">
        <v>10530108</v>
      </c>
      <c r="F609" s="42">
        <v>12800</v>
      </c>
      <c r="H609" s="200"/>
      <c r="I609" s="71">
        <v>10140029</v>
      </c>
      <c r="J609" s="68">
        <v>38038.155520440225</v>
      </c>
    </row>
    <row r="610" spans="4:10" x14ac:dyDescent="0.25">
      <c r="D610" s="208"/>
      <c r="E610" s="71">
        <v>10530071</v>
      </c>
      <c r="F610" s="42">
        <v>16000</v>
      </c>
      <c r="H610" s="200"/>
      <c r="I610" s="71">
        <v>10140097</v>
      </c>
      <c r="J610" s="68">
        <v>72082.237800000003</v>
      </c>
    </row>
    <row r="611" spans="4:10" x14ac:dyDescent="0.25">
      <c r="D611" s="208"/>
      <c r="E611" s="71">
        <v>10530055</v>
      </c>
      <c r="F611" s="42">
        <v>25600</v>
      </c>
      <c r="H611" s="200"/>
      <c r="I611" s="71">
        <v>10020028</v>
      </c>
      <c r="J611" s="68">
        <v>26169.762908353237</v>
      </c>
    </row>
    <row r="612" spans="4:10" x14ac:dyDescent="0.25">
      <c r="D612" s="208"/>
      <c r="E612" s="71">
        <v>10530067</v>
      </c>
      <c r="F612" s="42">
        <v>12800</v>
      </c>
      <c r="H612" s="200"/>
      <c r="I612" s="71">
        <v>10090030</v>
      </c>
      <c r="J612" s="68">
        <v>34963.412679142551</v>
      </c>
    </row>
    <row r="613" spans="4:10" x14ac:dyDescent="0.25">
      <c r="D613" s="208"/>
      <c r="E613" s="71">
        <v>10530092</v>
      </c>
      <c r="F613" s="42">
        <v>19200</v>
      </c>
      <c r="H613" s="200"/>
      <c r="I613" s="71">
        <v>10460002</v>
      </c>
      <c r="J613" s="68">
        <v>22181.576994909643</v>
      </c>
    </row>
    <row r="614" spans="4:10" x14ac:dyDescent="0.25">
      <c r="D614" s="208"/>
      <c r="E614" s="71">
        <v>10530091</v>
      </c>
      <c r="F614" s="42">
        <v>12800</v>
      </c>
      <c r="H614" s="200"/>
      <c r="I614" s="71">
        <v>10120005</v>
      </c>
      <c r="J614" s="68">
        <v>7432.4363347530307</v>
      </c>
    </row>
    <row r="615" spans="4:10" x14ac:dyDescent="0.25">
      <c r="D615" s="208"/>
      <c r="E615" s="71">
        <v>10530106</v>
      </c>
      <c r="F615" s="42">
        <v>12800</v>
      </c>
      <c r="H615" s="200"/>
      <c r="I615" s="71">
        <v>10140034</v>
      </c>
      <c r="J615" s="68">
        <v>17884.029808731255</v>
      </c>
    </row>
    <row r="616" spans="4:10" x14ac:dyDescent="0.25">
      <c r="D616" s="208"/>
      <c r="E616" s="71">
        <v>10530058</v>
      </c>
      <c r="F616" s="42">
        <v>6400</v>
      </c>
      <c r="H616" s="200"/>
      <c r="I616" s="71">
        <v>10030015</v>
      </c>
      <c r="J616" s="68">
        <v>40531.95065287716</v>
      </c>
    </row>
    <row r="617" spans="4:10" x14ac:dyDescent="0.25">
      <c r="D617" s="208"/>
      <c r="E617" s="71">
        <v>10530082</v>
      </c>
      <c r="F617" s="42">
        <v>28800</v>
      </c>
      <c r="H617" s="200"/>
      <c r="I617" s="71">
        <v>10090032</v>
      </c>
      <c r="J617" s="68">
        <v>30958.088792788287</v>
      </c>
    </row>
    <row r="618" spans="4:10" x14ac:dyDescent="0.25">
      <c r="D618" s="208"/>
      <c r="E618" s="71">
        <v>10530093</v>
      </c>
      <c r="F618" s="42">
        <v>28800</v>
      </c>
      <c r="H618" s="200"/>
      <c r="I618" s="71">
        <v>10480004</v>
      </c>
      <c r="J618" s="68">
        <v>92108.932047121751</v>
      </c>
    </row>
    <row r="619" spans="4:10" x14ac:dyDescent="0.25">
      <c r="D619" s="208"/>
      <c r="E619" s="71">
        <v>10540026</v>
      </c>
      <c r="F619" s="42">
        <v>9600</v>
      </c>
      <c r="H619" s="200"/>
      <c r="I619" s="71">
        <v>10120080</v>
      </c>
      <c r="J619" s="68">
        <v>49537.850566233596</v>
      </c>
    </row>
    <row r="620" spans="4:10" x14ac:dyDescent="0.25">
      <c r="D620" s="208"/>
      <c r="E620" s="71">
        <v>10110134</v>
      </c>
      <c r="F620" s="42">
        <v>12800</v>
      </c>
      <c r="H620" s="200"/>
      <c r="I620" s="71">
        <v>10140107</v>
      </c>
      <c r="J620" s="68">
        <v>81613.539722594782</v>
      </c>
    </row>
    <row r="621" spans="4:10" x14ac:dyDescent="0.25">
      <c r="D621" s="208"/>
      <c r="E621" s="71">
        <v>10110109</v>
      </c>
      <c r="F621" s="42">
        <v>12800</v>
      </c>
      <c r="H621" s="200"/>
      <c r="I621" s="71">
        <v>10080022</v>
      </c>
      <c r="J621" s="68">
        <v>21060.466799999995</v>
      </c>
    </row>
    <row r="622" spans="4:10" x14ac:dyDescent="0.25">
      <c r="D622" s="208"/>
      <c r="E622" s="71">
        <v>10130115</v>
      </c>
      <c r="F622" s="42">
        <v>9600</v>
      </c>
      <c r="H622" s="200"/>
      <c r="I622" s="71">
        <v>10480005</v>
      </c>
      <c r="J622" s="68">
        <v>23823.025469606597</v>
      </c>
    </row>
    <row r="623" spans="4:10" x14ac:dyDescent="0.25">
      <c r="D623" s="208"/>
      <c r="E623" s="71">
        <v>10530074</v>
      </c>
      <c r="F623" s="42">
        <v>19200</v>
      </c>
      <c r="H623" s="200"/>
      <c r="I623" s="71">
        <v>10140032</v>
      </c>
      <c r="J623" s="68">
        <v>11930.021566305746</v>
      </c>
    </row>
    <row r="624" spans="4:10" x14ac:dyDescent="0.25">
      <c r="D624" s="208"/>
      <c r="E624" s="71">
        <v>10600006</v>
      </c>
      <c r="F624" s="42">
        <v>19200</v>
      </c>
      <c r="H624" s="200"/>
      <c r="I624" s="71">
        <v>10140033</v>
      </c>
      <c r="J624" s="68">
        <v>23966.214297624058</v>
      </c>
    </row>
    <row r="625" spans="4:10" x14ac:dyDescent="0.25">
      <c r="D625" s="208"/>
      <c r="E625" s="71">
        <v>10060114</v>
      </c>
      <c r="F625" s="42">
        <v>6400</v>
      </c>
      <c r="H625" s="200"/>
      <c r="I625" s="71">
        <v>10110028</v>
      </c>
      <c r="J625" s="68">
        <v>65284.976323323652</v>
      </c>
    </row>
    <row r="626" spans="4:10" x14ac:dyDescent="0.25">
      <c r="D626" s="208"/>
      <c r="E626" s="71">
        <v>10110167</v>
      </c>
      <c r="F626" s="42">
        <v>6400</v>
      </c>
      <c r="H626" s="200"/>
      <c r="I626" s="71">
        <v>10020038</v>
      </c>
      <c r="J626" s="68">
        <v>5970.9338898848073</v>
      </c>
    </row>
    <row r="627" spans="4:10" x14ac:dyDescent="0.25">
      <c r="D627" s="208"/>
      <c r="E627" s="71">
        <v>10090072</v>
      </c>
      <c r="F627" s="42">
        <v>6400</v>
      </c>
      <c r="H627" s="200"/>
      <c r="I627" s="71">
        <v>10030023</v>
      </c>
      <c r="J627" s="68">
        <v>29603.281400000007</v>
      </c>
    </row>
    <row r="628" spans="4:10" x14ac:dyDescent="0.25">
      <c r="D628" s="208"/>
      <c r="E628" s="71">
        <v>10080052</v>
      </c>
      <c r="F628" s="42">
        <v>6400</v>
      </c>
      <c r="H628" s="200"/>
      <c r="I628" s="71">
        <v>10110071</v>
      </c>
      <c r="J628" s="68">
        <v>28571.203814253968</v>
      </c>
    </row>
    <row r="629" spans="4:10" x14ac:dyDescent="0.25">
      <c r="D629" s="208"/>
      <c r="E629" s="71">
        <v>10530078</v>
      </c>
      <c r="F629" s="42">
        <v>19200</v>
      </c>
      <c r="H629" s="200"/>
      <c r="I629" s="71">
        <v>10020039</v>
      </c>
      <c r="J629" s="68">
        <v>72485.472800000003</v>
      </c>
    </row>
    <row r="630" spans="4:10" x14ac:dyDescent="0.25">
      <c r="D630" s="208"/>
      <c r="E630" s="71">
        <v>10110111</v>
      </c>
      <c r="F630" s="42">
        <v>19200</v>
      </c>
      <c r="H630" s="200"/>
      <c r="I630" s="71">
        <v>10110030</v>
      </c>
      <c r="J630" s="68">
        <v>103873</v>
      </c>
    </row>
    <row r="631" spans="4:10" x14ac:dyDescent="0.25">
      <c r="D631" s="208"/>
      <c r="E631" s="71">
        <v>10550003</v>
      </c>
      <c r="F631" s="42">
        <v>6400</v>
      </c>
      <c r="H631" s="200"/>
      <c r="I631" s="71">
        <v>10110047</v>
      </c>
      <c r="J631" s="68">
        <v>35850.981944128929</v>
      </c>
    </row>
    <row r="632" spans="4:10" x14ac:dyDescent="0.25">
      <c r="D632" s="208"/>
      <c r="E632" s="71">
        <v>10110124</v>
      </c>
      <c r="F632" s="42">
        <v>19200</v>
      </c>
      <c r="H632" s="200"/>
      <c r="I632" s="71">
        <v>10080019</v>
      </c>
      <c r="J632" s="68">
        <v>80984.357892411645</v>
      </c>
    </row>
    <row r="633" spans="4:10" x14ac:dyDescent="0.25">
      <c r="D633" s="208"/>
      <c r="E633" s="71">
        <v>10550005</v>
      </c>
      <c r="F633" s="42">
        <v>6400</v>
      </c>
      <c r="H633" s="200"/>
      <c r="I633" s="4">
        <v>10080020</v>
      </c>
      <c r="J633" s="24">
        <v>79361.080928028896</v>
      </c>
    </row>
    <row r="634" spans="4:10" x14ac:dyDescent="0.25">
      <c r="D634" s="208"/>
      <c r="E634" s="71">
        <v>10110145</v>
      </c>
      <c r="F634" s="42">
        <v>12800</v>
      </c>
      <c r="H634" s="200"/>
      <c r="I634" s="4">
        <v>10480001</v>
      </c>
      <c r="J634" s="24">
        <v>35699.526400000002</v>
      </c>
    </row>
    <row r="635" spans="4:10" x14ac:dyDescent="0.25">
      <c r="D635" s="208"/>
      <c r="E635" s="71">
        <v>10550004</v>
      </c>
      <c r="F635" s="42">
        <v>6400</v>
      </c>
      <c r="H635" s="200"/>
      <c r="I635" s="4">
        <v>10030038</v>
      </c>
      <c r="J635" s="24">
        <v>18977.625952053495</v>
      </c>
    </row>
    <row r="636" spans="4:10" x14ac:dyDescent="0.25">
      <c r="D636" s="208"/>
      <c r="E636" s="71">
        <v>10110113</v>
      </c>
      <c r="F636" s="42">
        <v>12800</v>
      </c>
      <c r="H636" s="200"/>
      <c r="I636" s="4">
        <v>10060036</v>
      </c>
      <c r="J636" s="24">
        <v>18902.8221116817</v>
      </c>
    </row>
    <row r="637" spans="4:10" x14ac:dyDescent="0.25">
      <c r="D637" s="208"/>
      <c r="E637" s="71">
        <v>10080115</v>
      </c>
      <c r="F637" s="42">
        <v>9600</v>
      </c>
      <c r="H637" s="200"/>
      <c r="I637" s="4">
        <v>10020042</v>
      </c>
      <c r="J637" s="24">
        <v>3079.9225386926555</v>
      </c>
    </row>
    <row r="638" spans="4:10" x14ac:dyDescent="0.25">
      <c r="D638" s="208"/>
      <c r="E638" s="71">
        <v>10110171</v>
      </c>
      <c r="F638" s="42">
        <v>6400</v>
      </c>
      <c r="H638" s="200"/>
      <c r="I638" s="4">
        <v>10080023</v>
      </c>
      <c r="J638" s="24">
        <v>62254.359540358862</v>
      </c>
    </row>
    <row r="639" spans="4:10" x14ac:dyDescent="0.25">
      <c r="D639" s="208"/>
      <c r="E639" s="71">
        <v>10080100</v>
      </c>
      <c r="F639" s="42">
        <v>6400</v>
      </c>
      <c r="H639" s="200"/>
      <c r="I639" s="4">
        <v>10010006</v>
      </c>
      <c r="J639" s="24">
        <v>53479.945321720821</v>
      </c>
    </row>
    <row r="640" spans="4:10" x14ac:dyDescent="0.25">
      <c r="D640" s="208"/>
      <c r="E640" s="71">
        <v>10110164</v>
      </c>
      <c r="F640" s="42">
        <v>9600</v>
      </c>
      <c r="H640" s="200"/>
      <c r="I640" s="4">
        <v>10030030</v>
      </c>
      <c r="J640" s="24">
        <v>1398.7088573647416</v>
      </c>
    </row>
    <row r="641" spans="4:10" x14ac:dyDescent="0.25">
      <c r="D641" s="208"/>
      <c r="E641" s="71">
        <v>10600005</v>
      </c>
      <c r="F641" s="42">
        <v>6400</v>
      </c>
      <c r="H641" s="200"/>
      <c r="I641" s="4">
        <v>10010017</v>
      </c>
      <c r="J641" s="24">
        <v>64010</v>
      </c>
    </row>
    <row r="642" spans="4:10" x14ac:dyDescent="0.25">
      <c r="D642" s="208"/>
      <c r="E642" s="71">
        <v>10110177</v>
      </c>
      <c r="F642" s="42">
        <v>6400</v>
      </c>
      <c r="H642" s="200"/>
      <c r="I642" s="4">
        <v>10010008</v>
      </c>
      <c r="J642" s="24">
        <v>83549.937999999995</v>
      </c>
    </row>
    <row r="643" spans="4:10" x14ac:dyDescent="0.25">
      <c r="D643" s="208"/>
      <c r="E643" s="71">
        <v>10060090</v>
      </c>
      <c r="F643" s="42">
        <v>9600</v>
      </c>
      <c r="H643" s="200"/>
      <c r="I643" s="4">
        <v>10080027</v>
      </c>
      <c r="J643" s="24">
        <v>66639.94290674731</v>
      </c>
    </row>
    <row r="644" spans="4:10" x14ac:dyDescent="0.25">
      <c r="D644" s="208"/>
      <c r="E644" s="71">
        <v>10530096</v>
      </c>
      <c r="F644" s="42">
        <v>28800</v>
      </c>
      <c r="H644" s="200"/>
      <c r="I644" s="4">
        <v>10010013</v>
      </c>
      <c r="J644" s="24">
        <v>19281.575556958909</v>
      </c>
    </row>
    <row r="645" spans="4:10" x14ac:dyDescent="0.25">
      <c r="D645" s="208"/>
      <c r="E645" s="71">
        <v>10530070</v>
      </c>
      <c r="F645" s="42">
        <v>19200</v>
      </c>
      <c r="H645" s="200"/>
      <c r="I645" s="4">
        <v>10010014</v>
      </c>
      <c r="J645" s="24">
        <v>109882</v>
      </c>
    </row>
    <row r="646" spans="4:10" x14ac:dyDescent="0.25">
      <c r="D646" s="208"/>
      <c r="E646" s="71">
        <v>10080119</v>
      </c>
      <c r="F646" s="42">
        <v>12800</v>
      </c>
      <c r="H646" s="200"/>
      <c r="I646" s="4">
        <v>10010015</v>
      </c>
      <c r="J646" s="24">
        <v>107311</v>
      </c>
    </row>
    <row r="647" spans="4:10" x14ac:dyDescent="0.25">
      <c r="D647" s="208"/>
      <c r="E647" s="71">
        <v>10530097</v>
      </c>
      <c r="F647" s="42">
        <v>16000</v>
      </c>
      <c r="H647" s="200"/>
      <c r="I647" s="4">
        <v>10070048</v>
      </c>
      <c r="J647" s="24">
        <v>11790.42448698185</v>
      </c>
    </row>
    <row r="648" spans="4:10" x14ac:dyDescent="0.25">
      <c r="D648" s="208"/>
      <c r="E648" s="71">
        <v>10530084</v>
      </c>
      <c r="F648" s="42">
        <v>19200</v>
      </c>
      <c r="H648" s="200"/>
      <c r="I648" s="4">
        <v>10070049</v>
      </c>
      <c r="J648" s="24">
        <v>98961.270799999998</v>
      </c>
    </row>
    <row r="649" spans="4:10" x14ac:dyDescent="0.25">
      <c r="D649" s="208"/>
      <c r="E649" s="71">
        <v>10070042</v>
      </c>
      <c r="F649" s="42">
        <v>5349.1332403096003</v>
      </c>
      <c r="H649" s="200"/>
      <c r="I649" s="4">
        <v>10100008</v>
      </c>
      <c r="J649" s="24">
        <v>74722</v>
      </c>
    </row>
    <row r="650" spans="4:10" x14ac:dyDescent="0.25">
      <c r="D650" s="208"/>
      <c r="E650" s="71">
        <v>10630008</v>
      </c>
      <c r="F650" s="42">
        <v>6400</v>
      </c>
      <c r="H650" s="200"/>
      <c r="I650" s="4">
        <v>10110032</v>
      </c>
      <c r="J650" s="24">
        <v>15365.754973523493</v>
      </c>
    </row>
    <row r="651" spans="4:10" x14ac:dyDescent="0.25">
      <c r="D651" s="208"/>
      <c r="E651" s="71">
        <v>10630004</v>
      </c>
      <c r="F651" s="42">
        <v>6400</v>
      </c>
      <c r="H651" s="200"/>
      <c r="I651" s="4">
        <v>10110073</v>
      </c>
      <c r="J651" s="24">
        <v>51341.710735626293</v>
      </c>
    </row>
    <row r="652" spans="4:10" x14ac:dyDescent="0.25">
      <c r="D652" s="208"/>
      <c r="E652" s="71">
        <v>10070028</v>
      </c>
      <c r="F652" s="42">
        <v>19200</v>
      </c>
      <c r="H652" s="200"/>
      <c r="I652" s="4">
        <v>10110033</v>
      </c>
      <c r="J652" s="24">
        <v>55005.586722889857</v>
      </c>
    </row>
    <row r="653" spans="4:10" x14ac:dyDescent="0.25">
      <c r="D653" s="208"/>
      <c r="E653" s="71">
        <v>10090059</v>
      </c>
      <c r="F653" s="42">
        <v>9600</v>
      </c>
      <c r="H653" s="200"/>
      <c r="I653" s="4">
        <v>10090034</v>
      </c>
      <c r="J653" s="24">
        <v>85000</v>
      </c>
    </row>
    <row r="654" spans="4:10" x14ac:dyDescent="0.25">
      <c r="D654" s="208"/>
      <c r="E654" s="71">
        <v>10090066</v>
      </c>
      <c r="F654" s="42">
        <v>9600</v>
      </c>
      <c r="H654" s="200"/>
      <c r="I654" s="4">
        <v>10090035</v>
      </c>
      <c r="J654" s="24">
        <v>80077.023847734643</v>
      </c>
    </row>
    <row r="655" spans="4:10" x14ac:dyDescent="0.25">
      <c r="D655" s="208"/>
      <c r="E655" s="71">
        <v>10090074</v>
      </c>
      <c r="F655" s="42">
        <v>9600</v>
      </c>
      <c r="H655" s="200"/>
      <c r="I655" s="4">
        <v>10100013</v>
      </c>
      <c r="J655" s="24">
        <v>95614</v>
      </c>
    </row>
    <row r="656" spans="4:10" x14ac:dyDescent="0.25">
      <c r="D656" s="208"/>
      <c r="E656" s="71">
        <v>10090075</v>
      </c>
      <c r="F656" s="42">
        <v>6400</v>
      </c>
      <c r="H656" s="200"/>
      <c r="I656" s="4">
        <v>10100014</v>
      </c>
      <c r="J656" s="24">
        <v>28105.18842726892</v>
      </c>
    </row>
    <row r="657" spans="4:10" x14ac:dyDescent="0.25">
      <c r="D657" s="208"/>
      <c r="E657" s="71">
        <v>10110114</v>
      </c>
      <c r="F657" s="42">
        <v>12800</v>
      </c>
      <c r="H657" s="200"/>
      <c r="I657" s="4">
        <v>10100015</v>
      </c>
      <c r="J657" s="24">
        <v>20688.376918094786</v>
      </c>
    </row>
    <row r="658" spans="4:10" x14ac:dyDescent="0.25">
      <c r="D658" s="208"/>
      <c r="E658" s="71">
        <v>10540038</v>
      </c>
      <c r="F658" s="42">
        <v>6400</v>
      </c>
      <c r="H658" s="200"/>
      <c r="I658" s="4">
        <v>10100016</v>
      </c>
      <c r="J658" s="24">
        <v>56120.318094951719</v>
      </c>
    </row>
    <row r="659" spans="4:10" x14ac:dyDescent="0.25">
      <c r="D659" s="208"/>
      <c r="E659" s="71">
        <v>10540034</v>
      </c>
      <c r="F659" s="42">
        <v>6400</v>
      </c>
      <c r="H659" s="200"/>
      <c r="I659" s="4">
        <v>10140038</v>
      </c>
      <c r="J659" s="24">
        <v>27141.399350909371</v>
      </c>
    </row>
    <row r="660" spans="4:10" x14ac:dyDescent="0.25">
      <c r="D660" s="208"/>
      <c r="E660" s="71">
        <v>10540033</v>
      </c>
      <c r="F660" s="42">
        <v>6400</v>
      </c>
      <c r="H660" s="200"/>
      <c r="I660" s="4">
        <v>10140055</v>
      </c>
      <c r="J660" s="24">
        <v>5267.0976870975574</v>
      </c>
    </row>
    <row r="661" spans="4:10" x14ac:dyDescent="0.25">
      <c r="D661" s="208"/>
      <c r="E661" s="71">
        <v>10540030</v>
      </c>
      <c r="F661" s="42">
        <v>6400</v>
      </c>
      <c r="H661" s="200"/>
      <c r="I661" s="4">
        <v>10140058</v>
      </c>
      <c r="J661" s="24">
        <v>25895.264111066455</v>
      </c>
    </row>
    <row r="662" spans="4:10" x14ac:dyDescent="0.25">
      <c r="E662" s="71">
        <v>10540037</v>
      </c>
      <c r="F662" s="42">
        <v>6400</v>
      </c>
      <c r="H662" s="200"/>
      <c r="I662" s="4">
        <v>10130026</v>
      </c>
      <c r="J662" s="24">
        <v>13037.452000000005</v>
      </c>
    </row>
    <row r="663" spans="4:10" x14ac:dyDescent="0.25">
      <c r="E663" s="71">
        <v>10110116</v>
      </c>
      <c r="F663" s="42">
        <v>12800</v>
      </c>
      <c r="H663" s="200"/>
      <c r="I663" s="4">
        <v>10010021</v>
      </c>
      <c r="J663" s="24">
        <v>81931.141548879619</v>
      </c>
    </row>
    <row r="664" spans="4:10" x14ac:dyDescent="0.25">
      <c r="E664" s="71">
        <v>10110132</v>
      </c>
      <c r="F664" s="42">
        <v>6400</v>
      </c>
      <c r="H664" s="200"/>
      <c r="I664" s="4">
        <v>10010019</v>
      </c>
      <c r="J664" s="24">
        <v>24418.274438618479</v>
      </c>
    </row>
    <row r="665" spans="4:10" x14ac:dyDescent="0.25">
      <c r="E665" s="71">
        <v>10480028</v>
      </c>
      <c r="F665" s="42">
        <v>9600</v>
      </c>
      <c r="H665" s="200"/>
      <c r="I665" s="4">
        <v>10060031</v>
      </c>
      <c r="J665" s="24">
        <v>22854.51887535461</v>
      </c>
    </row>
    <row r="666" spans="4:10" x14ac:dyDescent="0.25">
      <c r="E666" s="71">
        <v>10090065</v>
      </c>
      <c r="F666" s="42">
        <v>9600</v>
      </c>
      <c r="H666" s="200"/>
      <c r="I666" s="4">
        <v>10030035</v>
      </c>
      <c r="J666" s="24">
        <v>22290.303683081103</v>
      </c>
    </row>
    <row r="667" spans="4:10" x14ac:dyDescent="0.25">
      <c r="E667" s="71">
        <v>10540044</v>
      </c>
      <c r="F667" s="42">
        <v>6400</v>
      </c>
      <c r="H667" s="200"/>
      <c r="I667" s="4">
        <v>10090040</v>
      </c>
      <c r="J667" s="24">
        <v>45008.412689611017</v>
      </c>
    </row>
    <row r="668" spans="4:10" x14ac:dyDescent="0.25">
      <c r="E668" s="71">
        <v>10540042</v>
      </c>
      <c r="F668" s="42">
        <v>16000</v>
      </c>
      <c r="H668" s="200"/>
      <c r="I668" s="4">
        <v>10070013</v>
      </c>
      <c r="J668" s="24">
        <v>41876.352906864005</v>
      </c>
    </row>
    <row r="669" spans="4:10" x14ac:dyDescent="0.25">
      <c r="E669" s="71">
        <v>10060109</v>
      </c>
      <c r="F669" s="42">
        <v>6400</v>
      </c>
      <c r="H669" s="200"/>
      <c r="I669" s="4">
        <v>10100001</v>
      </c>
      <c r="J669" s="24">
        <v>8166.7530075131799</v>
      </c>
    </row>
    <row r="670" spans="4:10" x14ac:dyDescent="0.25">
      <c r="E670" s="71">
        <v>10560017</v>
      </c>
      <c r="F670" s="42">
        <v>16000</v>
      </c>
      <c r="H670" s="200"/>
      <c r="I670" s="4">
        <v>10140054</v>
      </c>
      <c r="J670" s="24">
        <v>23587.961056414919</v>
      </c>
    </row>
    <row r="671" spans="4:10" x14ac:dyDescent="0.25">
      <c r="E671" s="71">
        <v>10560006</v>
      </c>
      <c r="F671" s="42">
        <v>6400</v>
      </c>
      <c r="H671" s="200"/>
      <c r="I671" s="4">
        <v>10130032</v>
      </c>
      <c r="J671" s="24">
        <v>14916</v>
      </c>
    </row>
    <row r="672" spans="4:10" x14ac:dyDescent="0.25">
      <c r="E672" s="71">
        <v>10560011</v>
      </c>
      <c r="F672" s="42">
        <v>9600</v>
      </c>
      <c r="H672" s="200"/>
      <c r="I672" s="4">
        <v>10140053</v>
      </c>
      <c r="J672" s="24">
        <v>79425</v>
      </c>
    </row>
    <row r="673" spans="5:10" x14ac:dyDescent="0.25">
      <c r="E673" s="71">
        <v>10060129</v>
      </c>
      <c r="F673" s="42">
        <v>9600</v>
      </c>
      <c r="H673" s="200"/>
      <c r="I673" s="4">
        <v>10140036</v>
      </c>
      <c r="J673" s="24">
        <v>80035.811000000002</v>
      </c>
    </row>
    <row r="674" spans="5:10" x14ac:dyDescent="0.25">
      <c r="E674" s="71">
        <v>10020082</v>
      </c>
      <c r="F674" s="42">
        <v>10443.450194369041</v>
      </c>
      <c r="H674" s="200"/>
      <c r="I674" s="4">
        <v>10100017</v>
      </c>
      <c r="J674" s="24">
        <v>0.42090396277490072</v>
      </c>
    </row>
    <row r="675" spans="5:10" x14ac:dyDescent="0.25">
      <c r="E675" s="71">
        <v>10020081</v>
      </c>
      <c r="F675" s="42">
        <v>6793.8868241147011</v>
      </c>
      <c r="H675" s="200"/>
      <c r="I675" s="4">
        <v>10140043</v>
      </c>
      <c r="J675" s="24">
        <v>8191.9453298808803</v>
      </c>
    </row>
    <row r="676" spans="5:10" x14ac:dyDescent="0.25">
      <c r="E676" s="71">
        <v>10110079</v>
      </c>
      <c r="F676" s="42">
        <v>6400</v>
      </c>
      <c r="H676" s="200"/>
      <c r="I676" s="4">
        <v>10070016</v>
      </c>
      <c r="J676" s="24">
        <v>63836</v>
      </c>
    </row>
    <row r="677" spans="5:10" x14ac:dyDescent="0.25">
      <c r="E677" s="71">
        <v>10080120</v>
      </c>
      <c r="F677" s="42">
        <v>6400</v>
      </c>
      <c r="H677" s="200"/>
      <c r="I677" s="4">
        <v>10070015</v>
      </c>
      <c r="J677" s="24">
        <v>91127.841568413438</v>
      </c>
    </row>
    <row r="678" spans="5:10" x14ac:dyDescent="0.25">
      <c r="E678" s="71">
        <v>10070057</v>
      </c>
      <c r="F678" s="42">
        <v>6400</v>
      </c>
      <c r="H678" s="200"/>
      <c r="I678" s="4">
        <v>10060033</v>
      </c>
      <c r="J678" s="24">
        <v>30363.134272778741</v>
      </c>
    </row>
    <row r="679" spans="5:10" x14ac:dyDescent="0.25">
      <c r="E679" s="71">
        <v>10560022</v>
      </c>
      <c r="F679" s="42">
        <v>12800</v>
      </c>
      <c r="H679" s="200"/>
      <c r="I679" s="4">
        <v>10010031</v>
      </c>
      <c r="J679" s="24">
        <v>103548</v>
      </c>
    </row>
    <row r="680" spans="5:10" x14ac:dyDescent="0.25">
      <c r="E680" s="71">
        <v>10070063</v>
      </c>
      <c r="F680" s="42">
        <v>6400</v>
      </c>
      <c r="H680" s="200"/>
      <c r="I680" s="4">
        <v>10110048</v>
      </c>
      <c r="J680" s="24">
        <v>89478.948999999993</v>
      </c>
    </row>
    <row r="681" spans="5:10" x14ac:dyDescent="0.25">
      <c r="E681" s="71">
        <v>10590008</v>
      </c>
      <c r="F681" s="42">
        <v>12800</v>
      </c>
      <c r="H681" s="200"/>
      <c r="I681" s="4">
        <v>10120087</v>
      </c>
      <c r="J681" s="24">
        <v>97600</v>
      </c>
    </row>
    <row r="682" spans="5:10" x14ac:dyDescent="0.25">
      <c r="E682" s="71">
        <v>10590010</v>
      </c>
      <c r="F682" s="42">
        <v>12800</v>
      </c>
      <c r="H682" s="200"/>
      <c r="I682" s="4">
        <v>10130073</v>
      </c>
      <c r="J682" s="24">
        <v>47019.865962866592</v>
      </c>
    </row>
    <row r="683" spans="5:10" x14ac:dyDescent="0.25">
      <c r="E683" s="71">
        <v>10080124</v>
      </c>
      <c r="F683" s="42">
        <v>6400</v>
      </c>
      <c r="H683" s="200"/>
      <c r="I683" s="4">
        <v>10130074</v>
      </c>
      <c r="J683" s="24">
        <v>51555.88801334225</v>
      </c>
    </row>
    <row r="684" spans="5:10" x14ac:dyDescent="0.25">
      <c r="E684" s="71">
        <v>10560012</v>
      </c>
      <c r="F684" s="42">
        <v>6400</v>
      </c>
      <c r="H684" s="200"/>
      <c r="I684" s="4">
        <v>10080032</v>
      </c>
      <c r="J684" s="24">
        <v>38644.57693475837</v>
      </c>
    </row>
    <row r="685" spans="5:10" x14ac:dyDescent="0.25">
      <c r="E685" s="71">
        <v>10560029</v>
      </c>
      <c r="F685" s="42">
        <v>3200</v>
      </c>
      <c r="H685" s="200"/>
      <c r="I685" s="4">
        <v>10100037</v>
      </c>
      <c r="J685" s="24">
        <v>63438.471268697955</v>
      </c>
    </row>
    <row r="686" spans="5:10" x14ac:dyDescent="0.25">
      <c r="E686" s="71">
        <v>10110057</v>
      </c>
      <c r="F686" s="42">
        <v>6400</v>
      </c>
      <c r="H686" s="200"/>
      <c r="I686" s="4">
        <v>10140057</v>
      </c>
      <c r="J686" s="24">
        <v>94223.418000000005</v>
      </c>
    </row>
    <row r="687" spans="5:10" x14ac:dyDescent="0.25">
      <c r="E687" s="71">
        <v>10010137</v>
      </c>
      <c r="F687" s="42">
        <v>9600</v>
      </c>
      <c r="H687" s="200"/>
      <c r="I687" s="4">
        <v>10060053</v>
      </c>
      <c r="J687" s="24">
        <v>102664.6096</v>
      </c>
    </row>
    <row r="688" spans="5:10" x14ac:dyDescent="0.25">
      <c r="E688" s="71">
        <v>10530103</v>
      </c>
      <c r="F688" s="42">
        <v>35200</v>
      </c>
      <c r="H688" s="200"/>
      <c r="I688" s="4">
        <v>10080052</v>
      </c>
      <c r="J688" s="24">
        <v>52224.242317919561</v>
      </c>
    </row>
    <row r="689" spans="5:10" x14ac:dyDescent="0.25">
      <c r="E689" s="71">
        <v>10530112</v>
      </c>
      <c r="F689" s="42">
        <v>12800</v>
      </c>
      <c r="H689" s="200"/>
      <c r="I689" s="4">
        <v>10480014</v>
      </c>
      <c r="J689" s="24">
        <v>73199.746459312053</v>
      </c>
    </row>
    <row r="690" spans="5:10" x14ac:dyDescent="0.25">
      <c r="E690" s="71">
        <v>10530105</v>
      </c>
      <c r="F690" s="42">
        <v>12800</v>
      </c>
      <c r="H690" s="200"/>
      <c r="I690" s="4">
        <v>10480022</v>
      </c>
      <c r="J690" s="24">
        <v>66174.927373104525</v>
      </c>
    </row>
    <row r="691" spans="5:10" x14ac:dyDescent="0.25">
      <c r="E691" s="71">
        <v>10580022</v>
      </c>
      <c r="F691" s="42">
        <v>6400</v>
      </c>
      <c r="H691" s="200"/>
      <c r="I691" s="4">
        <v>10070045</v>
      </c>
      <c r="J691" s="24">
        <v>30381.412602822849</v>
      </c>
    </row>
    <row r="692" spans="5:10" x14ac:dyDescent="0.25">
      <c r="E692" s="71">
        <v>10580029</v>
      </c>
      <c r="F692" s="42">
        <v>6400</v>
      </c>
      <c r="H692" s="200"/>
      <c r="I692" s="4">
        <v>10480013</v>
      </c>
      <c r="J692" s="24">
        <v>108321.92</v>
      </c>
    </row>
    <row r="693" spans="5:10" x14ac:dyDescent="0.25">
      <c r="E693" s="71">
        <v>10580028</v>
      </c>
      <c r="F693" s="42">
        <v>6400</v>
      </c>
      <c r="H693" s="200"/>
      <c r="I693" s="4">
        <v>10140083</v>
      </c>
      <c r="J693" s="24">
        <v>30730.340935902277</v>
      </c>
    </row>
    <row r="694" spans="5:10" x14ac:dyDescent="0.25">
      <c r="E694" s="71">
        <v>10110174</v>
      </c>
      <c r="F694" s="42">
        <v>6400</v>
      </c>
      <c r="H694" s="200"/>
      <c r="I694" s="4">
        <v>10140041</v>
      </c>
      <c r="J694" s="24">
        <v>58853.924908497051</v>
      </c>
    </row>
    <row r="695" spans="5:10" x14ac:dyDescent="0.25">
      <c r="E695" s="71">
        <v>10110088</v>
      </c>
      <c r="F695" s="42">
        <v>6400</v>
      </c>
      <c r="H695" s="200"/>
      <c r="I695" s="4">
        <v>10140095</v>
      </c>
      <c r="J695" s="24">
        <v>74112.472600000008</v>
      </c>
    </row>
    <row r="696" spans="5:10" x14ac:dyDescent="0.25">
      <c r="E696" s="71">
        <v>10010145</v>
      </c>
      <c r="F696" s="42">
        <v>6400</v>
      </c>
      <c r="H696" s="200"/>
      <c r="I696" s="4">
        <v>10140094</v>
      </c>
      <c r="J696" s="24">
        <v>98949</v>
      </c>
    </row>
    <row r="697" spans="5:10" x14ac:dyDescent="0.25">
      <c r="E697" s="71">
        <v>10010143</v>
      </c>
      <c r="F697" s="42">
        <v>6400</v>
      </c>
      <c r="H697" s="200"/>
      <c r="I697" s="4">
        <v>10140048</v>
      </c>
      <c r="J697" s="24">
        <v>53531.069022970609</v>
      </c>
    </row>
    <row r="698" spans="5:10" x14ac:dyDescent="0.25">
      <c r="E698" s="71">
        <v>10010144</v>
      </c>
      <c r="F698" s="42">
        <v>6400</v>
      </c>
      <c r="H698" s="200"/>
      <c r="I698" s="4">
        <v>10030016</v>
      </c>
      <c r="J698" s="24">
        <v>10653.716086656801</v>
      </c>
    </row>
    <row r="699" spans="5:10" x14ac:dyDescent="0.25">
      <c r="E699" s="71">
        <v>10010146</v>
      </c>
      <c r="F699" s="42">
        <v>6400</v>
      </c>
      <c r="H699" s="200"/>
      <c r="I699" s="4">
        <v>10090028</v>
      </c>
      <c r="J699" s="24">
        <v>70032.17518527995</v>
      </c>
    </row>
    <row r="700" spans="5:10" x14ac:dyDescent="0.25">
      <c r="E700" s="71">
        <v>10590011</v>
      </c>
      <c r="F700" s="42">
        <v>12800</v>
      </c>
      <c r="H700" s="200"/>
      <c r="I700" s="4">
        <v>10080016</v>
      </c>
      <c r="J700" s="24">
        <v>71619</v>
      </c>
    </row>
    <row r="701" spans="5:10" x14ac:dyDescent="0.25">
      <c r="E701" s="71">
        <v>10590012</v>
      </c>
      <c r="F701" s="42">
        <v>12800</v>
      </c>
      <c r="H701" s="200"/>
      <c r="I701" s="4">
        <v>10140078</v>
      </c>
      <c r="J701" s="24">
        <v>81785.638003422442</v>
      </c>
    </row>
    <row r="702" spans="5:10" x14ac:dyDescent="0.25">
      <c r="E702" s="71">
        <v>10530076</v>
      </c>
      <c r="F702" s="42">
        <v>9600</v>
      </c>
      <c r="H702" s="200"/>
      <c r="I702" s="4">
        <v>10100035</v>
      </c>
      <c r="J702" s="24">
        <v>54425.692866156285</v>
      </c>
    </row>
    <row r="703" spans="5:10" x14ac:dyDescent="0.25">
      <c r="E703" s="71">
        <v>10560004</v>
      </c>
      <c r="F703" s="42">
        <v>6400</v>
      </c>
      <c r="H703" s="200"/>
      <c r="I703" s="4">
        <v>10080065</v>
      </c>
      <c r="J703" s="24">
        <v>70558</v>
      </c>
    </row>
    <row r="704" spans="5:10" x14ac:dyDescent="0.25">
      <c r="E704" s="71">
        <v>10560007</v>
      </c>
      <c r="F704" s="42">
        <v>6400</v>
      </c>
      <c r="H704" s="200"/>
      <c r="I704" s="4">
        <v>10080062</v>
      </c>
      <c r="J704" s="24">
        <v>81081</v>
      </c>
    </row>
    <row r="705" spans="5:10" x14ac:dyDescent="0.25">
      <c r="E705" s="71">
        <v>10560005</v>
      </c>
      <c r="F705" s="42">
        <v>6400</v>
      </c>
      <c r="H705" s="200"/>
      <c r="I705" s="4">
        <v>10100036</v>
      </c>
      <c r="J705" s="24">
        <v>97106.5702279088</v>
      </c>
    </row>
    <row r="706" spans="5:10" x14ac:dyDescent="0.25">
      <c r="E706" s="71">
        <v>10060110</v>
      </c>
      <c r="F706" s="42">
        <v>6400</v>
      </c>
      <c r="H706" s="200"/>
      <c r="I706" s="4">
        <v>10080063</v>
      </c>
      <c r="J706" s="24">
        <v>143911</v>
      </c>
    </row>
    <row r="707" spans="5:10" x14ac:dyDescent="0.25">
      <c r="E707" s="71">
        <v>10060121</v>
      </c>
      <c r="F707" s="42">
        <v>6400</v>
      </c>
      <c r="H707" s="200"/>
      <c r="I707" s="4">
        <v>10080051</v>
      </c>
      <c r="J707" s="24">
        <v>88186</v>
      </c>
    </row>
    <row r="708" spans="5:10" x14ac:dyDescent="0.25">
      <c r="E708" s="71">
        <v>10580025</v>
      </c>
      <c r="F708" s="42">
        <v>6400</v>
      </c>
      <c r="H708" s="200"/>
      <c r="I708" s="4">
        <v>10080072</v>
      </c>
      <c r="J708" s="24">
        <v>58513</v>
      </c>
    </row>
    <row r="709" spans="5:10" x14ac:dyDescent="0.25">
      <c r="E709" s="71">
        <v>10070064</v>
      </c>
      <c r="F709" s="42">
        <v>9600</v>
      </c>
      <c r="H709" s="200"/>
      <c r="I709" s="4">
        <v>10110084</v>
      </c>
      <c r="J709" s="24">
        <v>86990</v>
      </c>
    </row>
    <row r="710" spans="5:10" x14ac:dyDescent="0.25">
      <c r="E710" s="71">
        <v>10010135</v>
      </c>
      <c r="F710" s="42">
        <v>12800</v>
      </c>
      <c r="H710" s="200"/>
      <c r="I710" s="4">
        <v>10110085</v>
      </c>
      <c r="J710" s="24">
        <v>106043</v>
      </c>
    </row>
    <row r="711" spans="5:10" x14ac:dyDescent="0.25">
      <c r="E711" s="71">
        <v>10580026</v>
      </c>
      <c r="F711" s="42">
        <v>6400</v>
      </c>
      <c r="H711" s="200"/>
      <c r="I711" s="4">
        <v>10110083</v>
      </c>
      <c r="J711" s="24">
        <v>71224.801023811888</v>
      </c>
    </row>
    <row r="712" spans="5:10" x14ac:dyDescent="0.25">
      <c r="E712" s="71">
        <v>10010056</v>
      </c>
      <c r="F712" s="42">
        <v>6400</v>
      </c>
      <c r="H712" s="200"/>
      <c r="I712" s="4">
        <v>10080048</v>
      </c>
      <c r="J712" s="24">
        <v>45099.242423467644</v>
      </c>
    </row>
    <row r="713" spans="5:10" x14ac:dyDescent="0.25">
      <c r="E713" s="71">
        <v>10010099</v>
      </c>
      <c r="F713" s="42">
        <v>6400</v>
      </c>
      <c r="H713" s="200"/>
      <c r="I713" s="4">
        <v>10110053</v>
      </c>
      <c r="J713" s="24">
        <v>73515.734166945098</v>
      </c>
    </row>
    <row r="714" spans="5:10" x14ac:dyDescent="0.25">
      <c r="E714" s="71">
        <v>10110180</v>
      </c>
      <c r="F714" s="42">
        <v>6400</v>
      </c>
      <c r="H714" s="200"/>
      <c r="I714" s="4">
        <v>10480012</v>
      </c>
      <c r="J714" s="24">
        <v>21660.25213635093</v>
      </c>
    </row>
    <row r="715" spans="5:10" x14ac:dyDescent="0.25">
      <c r="E715" s="71">
        <v>10070078</v>
      </c>
      <c r="F715" s="42">
        <v>12800</v>
      </c>
      <c r="H715" s="200"/>
      <c r="I715" s="4">
        <v>10140087</v>
      </c>
      <c r="J715" s="24">
        <v>45176.462652943905</v>
      </c>
    </row>
    <row r="716" spans="5:10" x14ac:dyDescent="0.25">
      <c r="E716" s="71">
        <v>10560016</v>
      </c>
      <c r="F716" s="42">
        <v>9600</v>
      </c>
      <c r="H716" s="200"/>
      <c r="I716" s="4">
        <v>10140085</v>
      </c>
      <c r="J716" s="24">
        <v>85701</v>
      </c>
    </row>
    <row r="717" spans="5:10" x14ac:dyDescent="0.25">
      <c r="E717" s="71">
        <v>10100056</v>
      </c>
      <c r="F717" s="42">
        <v>6400</v>
      </c>
      <c r="H717" s="200"/>
      <c r="I717" s="4">
        <v>10130052</v>
      </c>
      <c r="J717" s="24">
        <v>9506.3206411998108</v>
      </c>
    </row>
    <row r="718" spans="5:10" x14ac:dyDescent="0.25">
      <c r="E718" s="71">
        <v>10560036</v>
      </c>
      <c r="F718" s="42">
        <v>6400</v>
      </c>
      <c r="H718" s="200"/>
      <c r="I718" s="4">
        <v>10130054</v>
      </c>
      <c r="J718" s="24">
        <v>17985.174491763348</v>
      </c>
    </row>
    <row r="719" spans="5:10" x14ac:dyDescent="0.25">
      <c r="E719" s="71">
        <v>10560037</v>
      </c>
      <c r="F719" s="42">
        <v>6400</v>
      </c>
      <c r="H719" s="200"/>
      <c r="I719" s="4">
        <v>10090052</v>
      </c>
      <c r="J719" s="24">
        <v>10148.016664193725</v>
      </c>
    </row>
    <row r="720" spans="5:10" x14ac:dyDescent="0.25">
      <c r="E720" s="71">
        <v>10100061</v>
      </c>
      <c r="F720" s="42">
        <v>6400</v>
      </c>
      <c r="H720" s="200"/>
      <c r="I720" s="4">
        <v>10060064</v>
      </c>
      <c r="J720" s="24">
        <v>77167.368973298508</v>
      </c>
    </row>
    <row r="721" spans="5:10" x14ac:dyDescent="0.25">
      <c r="E721" s="71">
        <v>10110086</v>
      </c>
      <c r="F721" s="42">
        <v>6400</v>
      </c>
      <c r="H721" s="200"/>
      <c r="I721" s="4">
        <v>10110105</v>
      </c>
      <c r="J721" s="24">
        <v>86262.558569797548</v>
      </c>
    </row>
    <row r="722" spans="5:10" x14ac:dyDescent="0.25">
      <c r="E722" s="71">
        <v>10610002</v>
      </c>
      <c r="F722" s="42">
        <v>12800</v>
      </c>
      <c r="H722" s="200"/>
      <c r="I722" s="4">
        <v>10030060</v>
      </c>
      <c r="J722" s="24">
        <v>33727.057123259117</v>
      </c>
    </row>
    <row r="723" spans="5:10" x14ac:dyDescent="0.25">
      <c r="E723" s="71">
        <v>10610005</v>
      </c>
      <c r="F723" s="42">
        <v>12800</v>
      </c>
      <c r="H723" s="200"/>
      <c r="I723" s="4">
        <v>10030057</v>
      </c>
      <c r="J723" s="24">
        <v>80713.601371409022</v>
      </c>
    </row>
    <row r="724" spans="5:10" x14ac:dyDescent="0.25">
      <c r="E724" s="71">
        <v>10610010</v>
      </c>
      <c r="F724" s="42">
        <v>12800</v>
      </c>
      <c r="H724" s="200"/>
      <c r="I724" s="4">
        <v>10030059</v>
      </c>
      <c r="J724" s="24">
        <v>26402.627863707341</v>
      </c>
    </row>
    <row r="725" spans="5:10" x14ac:dyDescent="0.25">
      <c r="E725" s="71">
        <v>10610009</v>
      </c>
      <c r="F725" s="42">
        <v>12800</v>
      </c>
      <c r="H725" s="200"/>
      <c r="I725" s="4">
        <v>10030061</v>
      </c>
      <c r="J725" s="24">
        <v>23276.489303577197</v>
      </c>
    </row>
    <row r="726" spans="5:10" x14ac:dyDescent="0.25">
      <c r="E726" s="71">
        <v>10610007</v>
      </c>
      <c r="F726" s="42">
        <v>12800</v>
      </c>
      <c r="H726" s="200"/>
      <c r="I726" s="4">
        <v>10130055</v>
      </c>
      <c r="J726" s="24">
        <v>83114</v>
      </c>
    </row>
    <row r="727" spans="5:10" x14ac:dyDescent="0.25">
      <c r="E727" s="71">
        <v>10610022</v>
      </c>
      <c r="F727" s="42">
        <v>12800</v>
      </c>
      <c r="H727" s="200"/>
      <c r="I727" s="4">
        <v>10140079</v>
      </c>
      <c r="J727" s="24">
        <v>96278</v>
      </c>
    </row>
    <row r="728" spans="5:10" x14ac:dyDescent="0.25">
      <c r="E728" s="71">
        <v>10610024</v>
      </c>
      <c r="F728" s="42">
        <v>12800</v>
      </c>
      <c r="H728" s="200"/>
      <c r="I728" s="4">
        <v>10080057</v>
      </c>
      <c r="J728" s="24">
        <v>103868</v>
      </c>
    </row>
    <row r="729" spans="5:10" x14ac:dyDescent="0.25">
      <c r="E729" s="71">
        <v>10610018</v>
      </c>
      <c r="F729" s="42">
        <v>12800</v>
      </c>
      <c r="H729" s="200"/>
      <c r="I729" s="4">
        <v>10080067</v>
      </c>
      <c r="J729" s="24">
        <v>63432.880623203484</v>
      </c>
    </row>
    <row r="730" spans="5:10" x14ac:dyDescent="0.25">
      <c r="E730" s="71">
        <v>10610020</v>
      </c>
      <c r="F730" s="42">
        <v>12800</v>
      </c>
      <c r="H730" s="200"/>
      <c r="I730" s="4">
        <v>10080056</v>
      </c>
      <c r="J730" s="24">
        <v>106235</v>
      </c>
    </row>
    <row r="731" spans="5:10" x14ac:dyDescent="0.25">
      <c r="E731" s="71">
        <v>10610001</v>
      </c>
      <c r="F731" s="42">
        <v>16000</v>
      </c>
      <c r="H731" s="200"/>
      <c r="I731" s="4">
        <v>10110059</v>
      </c>
      <c r="J731" s="24">
        <v>74292.102302458778</v>
      </c>
    </row>
    <row r="732" spans="5:10" x14ac:dyDescent="0.25">
      <c r="E732" s="71">
        <v>10610003</v>
      </c>
      <c r="F732" s="42">
        <v>12800</v>
      </c>
      <c r="H732" s="200"/>
      <c r="I732" s="4">
        <v>10010071</v>
      </c>
      <c r="J732" s="24">
        <v>77327.295379739502</v>
      </c>
    </row>
    <row r="733" spans="5:10" x14ac:dyDescent="0.25">
      <c r="E733" s="71">
        <v>10610004</v>
      </c>
      <c r="F733" s="42">
        <v>12800</v>
      </c>
      <c r="H733" s="200"/>
      <c r="I733" s="4">
        <v>10110062</v>
      </c>
      <c r="J733" s="24">
        <v>102325.27872734347</v>
      </c>
    </row>
    <row r="734" spans="5:10" x14ac:dyDescent="0.25">
      <c r="E734" s="71">
        <v>10610026</v>
      </c>
      <c r="F734" s="42">
        <v>12800</v>
      </c>
      <c r="H734" s="4"/>
      <c r="I734" s="4">
        <v>10110063</v>
      </c>
      <c r="J734" s="24">
        <v>122325</v>
      </c>
    </row>
    <row r="735" spans="5:10" x14ac:dyDescent="0.25">
      <c r="E735" s="71">
        <v>10610006</v>
      </c>
      <c r="F735" s="42">
        <v>12800</v>
      </c>
      <c r="H735" s="4"/>
      <c r="I735" s="4">
        <v>10110066</v>
      </c>
      <c r="J735" s="24">
        <v>42500.504012246223</v>
      </c>
    </row>
    <row r="736" spans="5:10" x14ac:dyDescent="0.25">
      <c r="E736" s="71">
        <v>10610008</v>
      </c>
      <c r="F736" s="42">
        <v>12800</v>
      </c>
      <c r="H736" s="4"/>
      <c r="I736" s="4">
        <v>10110065</v>
      </c>
      <c r="J736" s="24">
        <v>31250.275291730562</v>
      </c>
    </row>
    <row r="737" spans="5:10" x14ac:dyDescent="0.25">
      <c r="E737" s="71">
        <v>10610019</v>
      </c>
      <c r="F737" s="42">
        <v>12800</v>
      </c>
      <c r="H737" s="4"/>
      <c r="I737" s="4">
        <v>10110067</v>
      </c>
      <c r="J737" s="24">
        <v>107357</v>
      </c>
    </row>
    <row r="738" spans="5:10" x14ac:dyDescent="0.25">
      <c r="E738" s="71">
        <v>10610017</v>
      </c>
      <c r="F738" s="42">
        <v>12800</v>
      </c>
      <c r="H738" s="4"/>
      <c r="I738" s="4">
        <v>10110056</v>
      </c>
      <c r="J738" s="24">
        <v>75893.849021514674</v>
      </c>
    </row>
    <row r="739" spans="5:10" x14ac:dyDescent="0.25">
      <c r="E739" s="71">
        <v>10070071</v>
      </c>
      <c r="F739" s="42">
        <v>6400</v>
      </c>
      <c r="H739" s="4"/>
      <c r="I739" s="4">
        <v>10110057</v>
      </c>
      <c r="J739" s="24">
        <v>79464.125112166032</v>
      </c>
    </row>
    <row r="740" spans="5:10" x14ac:dyDescent="0.25">
      <c r="E740" s="71">
        <v>10640002</v>
      </c>
      <c r="F740" s="42">
        <v>6400</v>
      </c>
      <c r="H740" s="4"/>
      <c r="I740" s="4">
        <v>10110055</v>
      </c>
      <c r="J740" s="24">
        <v>22188.053068966095</v>
      </c>
    </row>
    <row r="741" spans="5:10" x14ac:dyDescent="0.25">
      <c r="E741" s="71">
        <v>10640006</v>
      </c>
      <c r="F741" s="42">
        <v>6400</v>
      </c>
      <c r="H741" s="4"/>
      <c r="I741" s="4">
        <v>10120042</v>
      </c>
      <c r="J741" s="24">
        <v>76384</v>
      </c>
    </row>
    <row r="742" spans="5:10" x14ac:dyDescent="0.25">
      <c r="E742" s="71">
        <v>10640003</v>
      </c>
      <c r="F742" s="42">
        <v>6400</v>
      </c>
      <c r="H742" s="4"/>
      <c r="I742" s="4">
        <v>10120043</v>
      </c>
      <c r="J742" s="24">
        <v>57475.160600000003</v>
      </c>
    </row>
    <row r="743" spans="5:10" x14ac:dyDescent="0.25">
      <c r="E743" s="71">
        <v>10640005</v>
      </c>
      <c r="F743" s="42">
        <v>6400</v>
      </c>
      <c r="H743" s="4"/>
      <c r="I743" s="4">
        <v>10120044</v>
      </c>
      <c r="J743" s="24">
        <v>90372.556400000001</v>
      </c>
    </row>
    <row r="744" spans="5:10" x14ac:dyDescent="0.25">
      <c r="E744" s="71">
        <v>10640001</v>
      </c>
      <c r="F744" s="42">
        <v>6400</v>
      </c>
      <c r="H744" s="4"/>
      <c r="I744" s="4">
        <v>10120045</v>
      </c>
      <c r="J744" s="24">
        <v>100000</v>
      </c>
    </row>
    <row r="745" spans="5:10" x14ac:dyDescent="0.25">
      <c r="E745" s="71">
        <v>10640004</v>
      </c>
      <c r="F745" s="42">
        <v>6400</v>
      </c>
      <c r="H745" s="4"/>
      <c r="I745" s="4">
        <v>10030010</v>
      </c>
      <c r="J745" s="24">
        <v>38142.522623289609</v>
      </c>
    </row>
    <row r="746" spans="5:10" x14ac:dyDescent="0.25">
      <c r="E746" s="71">
        <v>10070053</v>
      </c>
      <c r="F746" s="42">
        <v>6400</v>
      </c>
      <c r="H746" s="4"/>
      <c r="I746" s="4">
        <v>10090042</v>
      </c>
      <c r="J746" s="24">
        <v>10121.983661551276</v>
      </c>
    </row>
    <row r="747" spans="5:10" x14ac:dyDescent="0.25">
      <c r="E747" s="71">
        <v>10010148</v>
      </c>
      <c r="F747" s="42">
        <v>6400</v>
      </c>
      <c r="H747" s="4"/>
      <c r="I747" s="4">
        <v>10010038</v>
      </c>
      <c r="J747" s="24">
        <v>29772.487118673584</v>
      </c>
    </row>
    <row r="748" spans="5:10" x14ac:dyDescent="0.25">
      <c r="E748" s="71">
        <v>10010149</v>
      </c>
      <c r="F748" s="42">
        <v>3200</v>
      </c>
      <c r="H748" s="4"/>
      <c r="I748" s="4">
        <v>10090057</v>
      </c>
      <c r="J748" s="24">
        <v>78278</v>
      </c>
    </row>
    <row r="749" spans="5:10" x14ac:dyDescent="0.25">
      <c r="E749" s="71">
        <v>10530081</v>
      </c>
      <c r="F749" s="42">
        <v>25600</v>
      </c>
      <c r="H749" s="4"/>
      <c r="I749" s="4">
        <v>10090058</v>
      </c>
      <c r="J749" s="24">
        <v>50033.273448690095</v>
      </c>
    </row>
    <row r="750" spans="5:10" x14ac:dyDescent="0.25">
      <c r="E750" s="71">
        <v>10120105</v>
      </c>
      <c r="F750" s="42">
        <v>6400</v>
      </c>
      <c r="H750" s="4"/>
      <c r="I750" s="4">
        <v>10090059</v>
      </c>
      <c r="J750" s="24">
        <v>65881.539878532785</v>
      </c>
    </row>
    <row r="751" spans="5:10" x14ac:dyDescent="0.25">
      <c r="E751" s="71">
        <v>10130097</v>
      </c>
      <c r="F751" s="42">
        <v>6400</v>
      </c>
      <c r="H751" s="4"/>
      <c r="I751" s="4">
        <v>10090060</v>
      </c>
      <c r="J751" s="24">
        <v>63102</v>
      </c>
    </row>
    <row r="752" spans="5:10" x14ac:dyDescent="0.25">
      <c r="E752" s="71">
        <v>10560035</v>
      </c>
      <c r="F752" s="42">
        <v>6400</v>
      </c>
      <c r="H752" s="4"/>
      <c r="I752" s="4">
        <v>10060057</v>
      </c>
      <c r="J752" s="24">
        <v>66463.356996008835</v>
      </c>
    </row>
    <row r="753" spans="5:10" x14ac:dyDescent="0.25">
      <c r="E753" s="71">
        <v>10590013</v>
      </c>
      <c r="F753" s="42">
        <v>6400</v>
      </c>
      <c r="H753" s="4"/>
      <c r="I753" s="4">
        <v>10020062</v>
      </c>
      <c r="J753" s="24">
        <v>23458.521577673178</v>
      </c>
    </row>
    <row r="754" spans="5:10" x14ac:dyDescent="0.25">
      <c r="E754" s="71">
        <v>10590004</v>
      </c>
      <c r="F754" s="42">
        <v>12800</v>
      </c>
      <c r="H754" s="4"/>
      <c r="I754" s="4">
        <v>10090048</v>
      </c>
      <c r="J754" s="24">
        <v>63738.3482</v>
      </c>
    </row>
    <row r="755" spans="5:10" x14ac:dyDescent="0.25">
      <c r="E755" s="71">
        <v>10590003</v>
      </c>
      <c r="F755" s="42">
        <v>12800</v>
      </c>
      <c r="H755" s="4"/>
      <c r="I755" s="4">
        <v>10090045</v>
      </c>
      <c r="J755" s="24">
        <v>29376.689486501593</v>
      </c>
    </row>
    <row r="756" spans="5:10" x14ac:dyDescent="0.25">
      <c r="E756" s="71">
        <v>10590002</v>
      </c>
      <c r="F756" s="42">
        <v>12800</v>
      </c>
      <c r="H756" s="4"/>
      <c r="I756" s="4">
        <v>10090046</v>
      </c>
      <c r="J756" s="24">
        <v>33382.618600000002</v>
      </c>
    </row>
    <row r="757" spans="5:10" x14ac:dyDescent="0.25">
      <c r="E757" s="71">
        <v>10590001</v>
      </c>
      <c r="F757" s="42">
        <v>12800</v>
      </c>
      <c r="H757" s="4"/>
      <c r="I757" s="4">
        <v>10090047</v>
      </c>
      <c r="J757" s="24">
        <v>22342.458736028842</v>
      </c>
    </row>
    <row r="758" spans="5:10" x14ac:dyDescent="0.25">
      <c r="E758" s="71">
        <v>10590007</v>
      </c>
      <c r="F758" s="42">
        <v>6400</v>
      </c>
      <c r="H758" s="4"/>
      <c r="I758" s="4">
        <v>10060049</v>
      </c>
      <c r="J758" s="24">
        <v>13478.798287118057</v>
      </c>
    </row>
    <row r="759" spans="5:10" x14ac:dyDescent="0.25">
      <c r="E759" s="71">
        <v>10020079</v>
      </c>
      <c r="F759" s="42">
        <v>6400</v>
      </c>
      <c r="H759" s="4"/>
      <c r="I759" s="4">
        <v>10060050</v>
      </c>
      <c r="J759" s="24">
        <v>21867.469790447023</v>
      </c>
    </row>
    <row r="760" spans="5:10" x14ac:dyDescent="0.25">
      <c r="E760" s="71">
        <v>10020075</v>
      </c>
      <c r="F760" s="42">
        <v>9600</v>
      </c>
      <c r="H760" s="4"/>
      <c r="I760" s="4">
        <v>10130046</v>
      </c>
      <c r="J760" s="24">
        <v>36628.854616309371</v>
      </c>
    </row>
    <row r="761" spans="5:10" x14ac:dyDescent="0.25">
      <c r="E761" s="71">
        <v>10590009</v>
      </c>
      <c r="F761" s="42">
        <v>6400</v>
      </c>
      <c r="H761" s="4"/>
      <c r="I761" s="4">
        <v>10120051</v>
      </c>
      <c r="J761" s="24">
        <v>45331.03284127354</v>
      </c>
    </row>
    <row r="762" spans="5:10" x14ac:dyDescent="0.25">
      <c r="E762" s="71">
        <v>10020077</v>
      </c>
      <c r="F762" s="42">
        <v>9600</v>
      </c>
      <c r="H762" s="4"/>
      <c r="I762" s="4">
        <v>10120053</v>
      </c>
      <c r="J762" s="24">
        <v>51433.627188145634</v>
      </c>
    </row>
    <row r="763" spans="5:10" x14ac:dyDescent="0.25">
      <c r="E763" s="71">
        <v>10020076</v>
      </c>
      <c r="F763" s="42">
        <v>6400</v>
      </c>
      <c r="H763" s="4"/>
      <c r="I763" s="4">
        <v>10120054</v>
      </c>
      <c r="J763" s="24">
        <v>72623.057703576313</v>
      </c>
    </row>
    <row r="764" spans="5:10" x14ac:dyDescent="0.25">
      <c r="E764" s="71">
        <v>10020078</v>
      </c>
      <c r="F764" s="42">
        <v>6400</v>
      </c>
      <c r="H764" s="4"/>
      <c r="I764" s="4">
        <v>10030050</v>
      </c>
      <c r="J764" s="24">
        <v>12439.167585386545</v>
      </c>
    </row>
    <row r="765" spans="5:10" x14ac:dyDescent="0.25">
      <c r="E765" s="71">
        <v>10060126</v>
      </c>
      <c r="F765" s="42">
        <v>6400</v>
      </c>
      <c r="H765" s="4"/>
      <c r="I765" s="4">
        <v>10030053</v>
      </c>
      <c r="J765" s="24">
        <v>31787.591486946869</v>
      </c>
    </row>
    <row r="766" spans="5:10" x14ac:dyDescent="0.25">
      <c r="E766" s="71">
        <v>10020083</v>
      </c>
      <c r="F766" s="42">
        <v>6400</v>
      </c>
      <c r="H766" s="4"/>
      <c r="I766" s="4">
        <v>10030055</v>
      </c>
      <c r="J766" s="24">
        <v>38006.601813169415</v>
      </c>
    </row>
    <row r="767" spans="5:10" x14ac:dyDescent="0.25">
      <c r="E767" s="71">
        <v>10060124</v>
      </c>
      <c r="F767" s="42">
        <v>6400</v>
      </c>
      <c r="H767" s="4"/>
      <c r="I767" s="4">
        <v>10030056</v>
      </c>
      <c r="J767" s="24">
        <v>43676.147644814017</v>
      </c>
    </row>
    <row r="768" spans="5:10" x14ac:dyDescent="0.25">
      <c r="E768" s="71">
        <v>10590006</v>
      </c>
      <c r="F768" s="42">
        <v>12800</v>
      </c>
      <c r="H768" s="4"/>
      <c r="I768" s="4">
        <v>10010055</v>
      </c>
      <c r="J768" s="24">
        <v>78375.427423580782</v>
      </c>
    </row>
    <row r="769" spans="5:10" x14ac:dyDescent="0.25">
      <c r="E769" s="71">
        <v>10030069</v>
      </c>
      <c r="F769" s="42">
        <v>19200</v>
      </c>
      <c r="H769" s="4"/>
      <c r="I769" s="4">
        <v>10010059</v>
      </c>
      <c r="J769" s="24">
        <v>74161.856702087593</v>
      </c>
    </row>
    <row r="770" spans="5:10" x14ac:dyDescent="0.25">
      <c r="E770" s="71">
        <v>10090079</v>
      </c>
      <c r="F770" s="42">
        <v>6400</v>
      </c>
      <c r="H770" s="4"/>
      <c r="I770" s="4">
        <v>10010058</v>
      </c>
      <c r="J770" s="24">
        <v>95146.639599999995</v>
      </c>
    </row>
    <row r="771" spans="5:10" x14ac:dyDescent="0.25">
      <c r="E771" s="71">
        <v>10090078</v>
      </c>
      <c r="F771" s="42">
        <v>9600</v>
      </c>
      <c r="H771" s="4"/>
      <c r="I771" s="4">
        <v>10080055</v>
      </c>
      <c r="J771" s="24">
        <v>60763.218893332327</v>
      </c>
    </row>
    <row r="772" spans="5:10" x14ac:dyDescent="0.25">
      <c r="E772" s="71">
        <v>10590014</v>
      </c>
      <c r="F772" s="42">
        <v>9600</v>
      </c>
      <c r="H772" s="4"/>
      <c r="I772" s="4">
        <v>10110051</v>
      </c>
      <c r="J772" s="24">
        <v>83743.109800000006</v>
      </c>
    </row>
    <row r="773" spans="5:10" x14ac:dyDescent="0.25">
      <c r="E773" s="71">
        <v>10060106</v>
      </c>
      <c r="F773" s="42">
        <v>12800</v>
      </c>
      <c r="H773" s="4"/>
      <c r="I773" s="4">
        <v>10110049</v>
      </c>
      <c r="J773" s="24">
        <v>15142.886751593658</v>
      </c>
    </row>
    <row r="774" spans="5:10" x14ac:dyDescent="0.25">
      <c r="E774" s="71">
        <v>10030076</v>
      </c>
      <c r="F774" s="42">
        <v>6400</v>
      </c>
      <c r="H774" s="4"/>
      <c r="I774" s="4">
        <v>10010040</v>
      </c>
      <c r="J774" s="24">
        <v>91719.511810097727</v>
      </c>
    </row>
    <row r="775" spans="5:10" x14ac:dyDescent="0.25">
      <c r="E775" s="71">
        <v>10600013</v>
      </c>
      <c r="F775" s="42">
        <v>12800</v>
      </c>
      <c r="H775" s="4"/>
      <c r="I775" s="4">
        <v>10080034</v>
      </c>
      <c r="J775" s="24">
        <v>103022</v>
      </c>
    </row>
    <row r="776" spans="5:10" x14ac:dyDescent="0.25">
      <c r="E776" s="71">
        <v>10020086</v>
      </c>
      <c r="F776" s="42">
        <v>6400</v>
      </c>
      <c r="H776" s="4"/>
      <c r="I776" s="4">
        <v>10140139</v>
      </c>
      <c r="J776" s="24">
        <v>54920.387351001598</v>
      </c>
    </row>
    <row r="777" spans="5:10" x14ac:dyDescent="0.25">
      <c r="E777" s="71">
        <v>10600002</v>
      </c>
      <c r="F777" s="42">
        <v>12800</v>
      </c>
      <c r="H777" s="4"/>
      <c r="I777" s="4">
        <v>10110011</v>
      </c>
      <c r="J777" s="24">
        <v>73938.126930638828</v>
      </c>
    </row>
    <row r="778" spans="5:10" x14ac:dyDescent="0.25">
      <c r="E778" s="71">
        <v>10110172</v>
      </c>
      <c r="F778" s="42">
        <v>6400</v>
      </c>
      <c r="H778" s="4"/>
      <c r="I778" s="4">
        <v>10140068</v>
      </c>
      <c r="J778" s="24">
        <v>38647.151818725833</v>
      </c>
    </row>
    <row r="779" spans="5:10" x14ac:dyDescent="0.25">
      <c r="E779" s="71">
        <v>10650001</v>
      </c>
      <c r="F779" s="42">
        <v>12800</v>
      </c>
      <c r="H779" s="4"/>
      <c r="I779" s="4">
        <v>10140066</v>
      </c>
      <c r="J779" s="24">
        <v>21560.561313829894</v>
      </c>
    </row>
    <row r="780" spans="5:10" x14ac:dyDescent="0.25">
      <c r="E780" s="71">
        <v>10650011</v>
      </c>
      <c r="F780" s="42">
        <v>12800</v>
      </c>
      <c r="H780" s="4"/>
      <c r="I780" s="4">
        <v>10140061</v>
      </c>
      <c r="J780" s="24">
        <v>67887.596600000004</v>
      </c>
    </row>
    <row r="781" spans="5:10" x14ac:dyDescent="0.25">
      <c r="E781" s="71">
        <v>10580024</v>
      </c>
      <c r="F781" s="42">
        <v>6400</v>
      </c>
      <c r="H781" s="4"/>
      <c r="I781" s="4">
        <v>10120065</v>
      </c>
      <c r="J781" s="24">
        <v>41071.139444125976</v>
      </c>
    </row>
    <row r="782" spans="5:10" x14ac:dyDescent="0.25">
      <c r="E782" s="71">
        <v>10580030</v>
      </c>
      <c r="F782" s="42">
        <v>6400</v>
      </c>
      <c r="H782" s="4"/>
      <c r="I782" s="4">
        <v>10140081</v>
      </c>
      <c r="J782" s="24">
        <v>93653.754400000005</v>
      </c>
    </row>
    <row r="783" spans="5:10" x14ac:dyDescent="0.25">
      <c r="E783" s="71">
        <v>10650004</v>
      </c>
      <c r="F783" s="42">
        <v>12800</v>
      </c>
      <c r="H783" s="4"/>
      <c r="I783" s="4">
        <v>10140067</v>
      </c>
      <c r="J783" s="24">
        <v>43381.87440381838</v>
      </c>
    </row>
    <row r="784" spans="5:10" x14ac:dyDescent="0.25">
      <c r="E784" s="71">
        <v>10600008</v>
      </c>
      <c r="F784" s="42">
        <v>6400</v>
      </c>
      <c r="H784" s="4"/>
      <c r="I784" s="4">
        <v>10010081</v>
      </c>
      <c r="J784" s="24">
        <v>90754</v>
      </c>
    </row>
    <row r="785" spans="5:10" x14ac:dyDescent="0.25">
      <c r="E785" s="71">
        <v>10600012</v>
      </c>
      <c r="F785" s="42">
        <v>6400</v>
      </c>
      <c r="H785" s="4"/>
      <c r="I785" s="4">
        <v>10140069</v>
      </c>
      <c r="J785" s="24">
        <v>17613.740524789057</v>
      </c>
    </row>
    <row r="786" spans="5:10" x14ac:dyDescent="0.25">
      <c r="E786" s="71">
        <v>10650003</v>
      </c>
      <c r="F786" s="42">
        <v>12800</v>
      </c>
      <c r="H786" s="4"/>
      <c r="I786" s="4">
        <v>10130047</v>
      </c>
      <c r="J786" s="24">
        <v>60898.551200000002</v>
      </c>
    </row>
    <row r="787" spans="5:10" x14ac:dyDescent="0.25">
      <c r="E787" s="71">
        <v>10600001</v>
      </c>
      <c r="F787" s="42">
        <v>12800</v>
      </c>
      <c r="H787" s="4"/>
      <c r="I787" s="4">
        <v>10010051</v>
      </c>
      <c r="J787" s="24">
        <v>22582.277062670037</v>
      </c>
    </row>
    <row r="788" spans="5:10" x14ac:dyDescent="0.25">
      <c r="E788" s="71">
        <v>10600010</v>
      </c>
      <c r="F788" s="42">
        <v>9600</v>
      </c>
      <c r="H788" s="4"/>
      <c r="I788" s="4">
        <v>10070032</v>
      </c>
      <c r="J788" s="24">
        <v>8004.0583020796475</v>
      </c>
    </row>
    <row r="789" spans="5:10" x14ac:dyDescent="0.25">
      <c r="E789" s="71">
        <v>10600004</v>
      </c>
      <c r="F789" s="42">
        <v>9600</v>
      </c>
      <c r="H789" s="4"/>
      <c r="I789" s="4">
        <v>10070033</v>
      </c>
      <c r="J789" s="24">
        <v>25421.018373062572</v>
      </c>
    </row>
    <row r="790" spans="5:10" x14ac:dyDescent="0.25">
      <c r="E790" s="71">
        <v>10530110</v>
      </c>
      <c r="F790" s="42">
        <v>16000</v>
      </c>
      <c r="H790" s="4"/>
      <c r="I790" s="4">
        <v>10070036</v>
      </c>
      <c r="J790" s="24">
        <v>53684.954614666851</v>
      </c>
    </row>
    <row r="791" spans="5:10" x14ac:dyDescent="0.25">
      <c r="E791" s="71">
        <v>10530102</v>
      </c>
      <c r="F791" s="42">
        <v>6400</v>
      </c>
      <c r="I791" s="4">
        <v>10070004</v>
      </c>
      <c r="J791" s="24">
        <v>33996.166610008688</v>
      </c>
    </row>
    <row r="792" spans="5:10" x14ac:dyDescent="0.25">
      <c r="E792" s="71">
        <v>10530111</v>
      </c>
      <c r="F792" s="42">
        <v>12800</v>
      </c>
      <c r="I792" s="4">
        <v>10100034</v>
      </c>
      <c r="J792" s="24">
        <v>88352.741833543681</v>
      </c>
    </row>
    <row r="793" spans="5:10" x14ac:dyDescent="0.25">
      <c r="E793" s="71">
        <v>10540032</v>
      </c>
      <c r="F793" s="42">
        <v>6400</v>
      </c>
      <c r="I793" s="4">
        <v>10110044</v>
      </c>
      <c r="J793" s="24">
        <v>85665.904912865139</v>
      </c>
    </row>
    <row r="794" spans="5:10" x14ac:dyDescent="0.25">
      <c r="E794" s="71">
        <v>10070077</v>
      </c>
      <c r="F794" s="42">
        <v>6400</v>
      </c>
      <c r="I794" s="4">
        <v>10060011</v>
      </c>
      <c r="J794" s="24">
        <v>4593.1402003449912</v>
      </c>
    </row>
    <row r="795" spans="5:10" x14ac:dyDescent="0.25">
      <c r="E795" s="71">
        <v>10560027</v>
      </c>
      <c r="F795" s="42">
        <v>6400</v>
      </c>
      <c r="I795" s="4">
        <v>10060114</v>
      </c>
      <c r="J795" s="24">
        <v>81810</v>
      </c>
    </row>
    <row r="796" spans="5:10" x14ac:dyDescent="0.25">
      <c r="E796" s="71">
        <v>10560026</v>
      </c>
      <c r="F796" s="42">
        <v>6400</v>
      </c>
      <c r="I796" s="4">
        <v>10090066</v>
      </c>
      <c r="J796" s="24">
        <v>103431.51240000001</v>
      </c>
    </row>
    <row r="797" spans="5:10" x14ac:dyDescent="0.25">
      <c r="E797" s="71">
        <v>10140206</v>
      </c>
      <c r="F797" s="42">
        <v>12800</v>
      </c>
      <c r="I797" s="4">
        <v>10090067</v>
      </c>
      <c r="J797" s="24">
        <v>110000</v>
      </c>
    </row>
    <row r="798" spans="5:10" x14ac:dyDescent="0.25">
      <c r="E798" s="71"/>
      <c r="F798" s="42"/>
      <c r="I798" s="4">
        <v>10010044</v>
      </c>
      <c r="J798" s="24">
        <v>24511.543332678761</v>
      </c>
    </row>
    <row r="799" spans="5:10" x14ac:dyDescent="0.25">
      <c r="E799" s="71"/>
      <c r="F799" s="42"/>
      <c r="I799" s="4">
        <v>10100050</v>
      </c>
      <c r="J799" s="24">
        <v>102882</v>
      </c>
    </row>
    <row r="800" spans="5:10" x14ac:dyDescent="0.25">
      <c r="E800" s="71"/>
      <c r="F800" s="42"/>
      <c r="I800" s="4">
        <v>10100049</v>
      </c>
      <c r="J800" s="24">
        <v>47372.375169970794</v>
      </c>
    </row>
    <row r="801" spans="5:10" x14ac:dyDescent="0.25">
      <c r="E801" s="71"/>
      <c r="F801" s="42"/>
      <c r="I801" s="4">
        <v>10100051</v>
      </c>
      <c r="J801" s="24">
        <v>14001.770020100303</v>
      </c>
    </row>
    <row r="802" spans="5:10" x14ac:dyDescent="0.25">
      <c r="E802" s="71"/>
      <c r="F802" s="42"/>
      <c r="I802" s="4">
        <v>10060069</v>
      </c>
      <c r="J802" s="24">
        <v>68576</v>
      </c>
    </row>
    <row r="803" spans="5:10" x14ac:dyDescent="0.25">
      <c r="F803" s="6">
        <f>SUM(F3:F802)</f>
        <v>7533461.4629992358</v>
      </c>
      <c r="I803" s="4">
        <v>10100048</v>
      </c>
      <c r="J803" s="24">
        <v>103035</v>
      </c>
    </row>
    <row r="804" spans="5:10" x14ac:dyDescent="0.25">
      <c r="I804" s="4">
        <v>10030069</v>
      </c>
      <c r="J804" s="24">
        <v>67882.152891346894</v>
      </c>
    </row>
    <row r="805" spans="5:10" x14ac:dyDescent="0.25">
      <c r="I805" s="4">
        <v>10010050</v>
      </c>
      <c r="J805" s="24">
        <v>30233.600332837523</v>
      </c>
    </row>
    <row r="806" spans="5:10" x14ac:dyDescent="0.25">
      <c r="I806" s="4">
        <v>10010056</v>
      </c>
      <c r="J806" s="24">
        <v>38683.976028902864</v>
      </c>
    </row>
    <row r="807" spans="5:10" x14ac:dyDescent="0.25">
      <c r="I807" s="4">
        <v>10090061</v>
      </c>
      <c r="J807" s="24">
        <v>95620</v>
      </c>
    </row>
  </sheetData>
  <autoFilter ref="D2:F802" xr:uid="{00000000-0001-0000-0300-000000000000}"/>
  <mergeCells count="3">
    <mergeCell ref="A1:B1"/>
    <mergeCell ref="E1:F1"/>
    <mergeCell ref="I1:J1"/>
  </mergeCells>
  <conditionalFormatting sqref="B3:B323">
    <cfRule type="cellIs" dxfId="86" priority="7" operator="lessThan">
      <formula>-1</formula>
    </cfRule>
  </conditionalFormatting>
  <conditionalFormatting sqref="D3">
    <cfRule type="duplicateValues" dxfId="85" priority="51"/>
    <cfRule type="duplicateValues" dxfId="84" priority="50"/>
  </conditionalFormatting>
  <conditionalFormatting sqref="D3:D44 D85:D86 D90:D95">
    <cfRule type="duplicateValues" dxfId="83" priority="59"/>
  </conditionalFormatting>
  <conditionalFormatting sqref="D3:D44 D85:D126">
    <cfRule type="duplicateValues" dxfId="82" priority="60"/>
  </conditionalFormatting>
  <conditionalFormatting sqref="D3:D44 D85:D328">
    <cfRule type="duplicateValues" dxfId="81" priority="53"/>
  </conditionalFormatting>
  <conditionalFormatting sqref="D3:D328">
    <cfRule type="duplicateValues" dxfId="80" priority="67"/>
  </conditionalFormatting>
  <conditionalFormatting sqref="D7:D9 D14">
    <cfRule type="duplicateValues" dxfId="79" priority="52"/>
  </conditionalFormatting>
  <conditionalFormatting sqref="D10:D13">
    <cfRule type="duplicateValues" dxfId="78" priority="65"/>
  </conditionalFormatting>
  <conditionalFormatting sqref="D10:D14">
    <cfRule type="duplicateValues" dxfId="77" priority="66"/>
  </conditionalFormatting>
  <conditionalFormatting sqref="D15:D18">
    <cfRule type="duplicateValues" dxfId="76" priority="64"/>
  </conditionalFormatting>
  <conditionalFormatting sqref="D19">
    <cfRule type="duplicateValues" dxfId="75" priority="63"/>
    <cfRule type="duplicateValues" dxfId="74" priority="62"/>
  </conditionalFormatting>
  <conditionalFormatting sqref="D45">
    <cfRule type="duplicateValues" dxfId="73" priority="49"/>
  </conditionalFormatting>
  <conditionalFormatting sqref="D46">
    <cfRule type="duplicateValues" dxfId="72" priority="47"/>
  </conditionalFormatting>
  <conditionalFormatting sqref="D47:D50">
    <cfRule type="duplicateValues" dxfId="71" priority="48"/>
  </conditionalFormatting>
  <conditionalFormatting sqref="D51">
    <cfRule type="duplicateValues" dxfId="70" priority="45"/>
    <cfRule type="duplicateValues" dxfId="69" priority="46"/>
  </conditionalFormatting>
  <conditionalFormatting sqref="D52:D60">
    <cfRule type="duplicateValues" dxfId="68" priority="44"/>
  </conditionalFormatting>
  <conditionalFormatting sqref="D61:D84">
    <cfRule type="duplicateValues" dxfId="67" priority="61"/>
  </conditionalFormatting>
  <conditionalFormatting sqref="D127:D128 D130:D135">
    <cfRule type="duplicateValues" dxfId="66" priority="56"/>
  </conditionalFormatting>
  <conditionalFormatting sqref="D129">
    <cfRule type="duplicateValues" dxfId="65" priority="58"/>
    <cfRule type="duplicateValues" dxfId="64" priority="57"/>
  </conditionalFormatting>
  <conditionalFormatting sqref="D136:D328">
    <cfRule type="duplicateValues" dxfId="63" priority="54"/>
  </conditionalFormatting>
  <conditionalFormatting sqref="D146:D147">
    <cfRule type="duplicateValues" dxfId="62" priority="41"/>
    <cfRule type="duplicateValues" dxfId="61" priority="42"/>
    <cfRule type="duplicateValues" dxfId="60" priority="43"/>
  </conditionalFormatting>
  <conditionalFormatting sqref="D329:D385 D428:D431">
    <cfRule type="duplicateValues" dxfId="59" priority="451"/>
  </conditionalFormatting>
  <conditionalFormatting sqref="D329:D385 D428:D457">
    <cfRule type="duplicateValues" dxfId="58" priority="447"/>
  </conditionalFormatting>
  <conditionalFormatting sqref="D329:D385 D428:D661">
    <cfRule type="duplicateValues" dxfId="57" priority="345"/>
  </conditionalFormatting>
  <conditionalFormatting sqref="D329:D661">
    <cfRule type="duplicateValues" dxfId="56" priority="407"/>
  </conditionalFormatting>
  <conditionalFormatting sqref="D386">
    <cfRule type="duplicateValues" dxfId="55" priority="322"/>
  </conditionalFormatting>
  <conditionalFormatting sqref="D387">
    <cfRule type="duplicateValues" dxfId="54" priority="323"/>
  </conditionalFormatting>
  <conditionalFormatting sqref="D388:D391">
    <cfRule type="duplicateValues" dxfId="53" priority="324"/>
  </conditionalFormatting>
  <conditionalFormatting sqref="D392">
    <cfRule type="duplicateValues" dxfId="52" priority="325"/>
    <cfRule type="duplicateValues" dxfId="51" priority="326"/>
  </conditionalFormatting>
  <conditionalFormatting sqref="D393:D401">
    <cfRule type="duplicateValues" dxfId="50" priority="327"/>
  </conditionalFormatting>
  <conditionalFormatting sqref="D402:D427">
    <cfRule type="duplicateValues" dxfId="49" priority="328"/>
  </conditionalFormatting>
  <conditionalFormatting sqref="D458:D461 D464:D471">
    <cfRule type="duplicateValues" dxfId="48" priority="336"/>
  </conditionalFormatting>
  <conditionalFormatting sqref="D462:D463">
    <cfRule type="duplicateValues" dxfId="47" priority="334"/>
    <cfRule type="duplicateValues" dxfId="46" priority="335"/>
  </conditionalFormatting>
  <conditionalFormatting sqref="D470">
    <cfRule type="duplicateValues" dxfId="45" priority="338"/>
  </conditionalFormatting>
  <conditionalFormatting sqref="D472:D661">
    <cfRule type="duplicateValues" dxfId="44" priority="339"/>
  </conditionalFormatting>
  <conditionalFormatting sqref="D2:E2">
    <cfRule type="duplicateValues" dxfId="43" priority="311"/>
  </conditionalFormatting>
  <conditionalFormatting sqref="E3:E802">
    <cfRule type="duplicateValues" dxfId="42" priority="2"/>
    <cfRule type="duplicateValues" dxfId="41" priority="1"/>
  </conditionalFormatting>
  <conditionalFormatting sqref="F3:F585 J3:J632 G325:G531 F591:F802">
    <cfRule type="cellIs" dxfId="40" priority="85" operator="lessThan">
      <formula>0</formula>
    </cfRule>
  </conditionalFormatting>
  <conditionalFormatting sqref="I3:I426">
    <cfRule type="duplicateValues" dxfId="39" priority="488"/>
  </conditionalFormatting>
  <conditionalFormatting sqref="I3:I556">
    <cfRule type="duplicateValues" dxfId="38" priority="490"/>
    <cfRule type="duplicateValues" dxfId="37" priority="489"/>
  </conditionalFormatting>
  <conditionalFormatting sqref="I179:I180">
    <cfRule type="duplicateValues" dxfId="36" priority="394"/>
    <cfRule type="duplicateValues" dxfId="35" priority="396"/>
    <cfRule type="duplicateValues" dxfId="34" priority="395"/>
    <cfRule type="duplicateValues" dxfId="33" priority="393"/>
    <cfRule type="duplicateValues" dxfId="32" priority="392"/>
    <cfRule type="duplicateValues" dxfId="31" priority="391"/>
    <cfRule type="duplicateValues" dxfId="30" priority="390"/>
    <cfRule type="duplicateValues" dxfId="29" priority="389"/>
  </conditionalFormatting>
  <conditionalFormatting sqref="I319:I344 I405:I410">
    <cfRule type="duplicateValues" dxfId="28" priority="398"/>
    <cfRule type="duplicateValues" dxfId="27" priority="397"/>
  </conditionalFormatting>
  <conditionalFormatting sqref="I345">
    <cfRule type="expression" dxfId="26" priority="145">
      <formula>COUNTIF(#REF!,I345)&gt;1</formula>
    </cfRule>
  </conditionalFormatting>
  <conditionalFormatting sqref="I557:I632">
    <cfRule type="duplicateValues" dxfId="25" priority="33"/>
    <cfRule type="duplicateValues" dxfId="24" priority="32"/>
  </conditionalFormatting>
  <conditionalFormatting sqref="M3:M33">
    <cfRule type="duplicateValues" dxfId="23" priority="36"/>
  </conditionalFormatting>
  <conditionalFormatting sqref="M34:M41">
    <cfRule type="duplicateValues" dxfId="22" priority="35"/>
  </conditionalFormatting>
  <conditionalFormatting sqref="M42">
    <cfRule type="duplicateValues" dxfId="21" priority="68"/>
    <cfRule type="duplicateValues" dxfId="20" priority="70"/>
  </conditionalFormatting>
  <conditionalFormatting sqref="M43:M76">
    <cfRule type="duplicateValues" dxfId="19" priority="69"/>
  </conditionalFormatting>
  <conditionalFormatting sqref="M62:M75">
    <cfRule type="duplicateValues" dxfId="18" priority="142"/>
  </conditionalFormatting>
  <conditionalFormatting sqref="M72:M74 L3:L76">
    <cfRule type="duplicateValues" dxfId="17" priority="143"/>
  </conditionalFormatting>
  <conditionalFormatting sqref="M75">
    <cfRule type="duplicateValues" dxfId="16" priority="141"/>
  </conditionalFormatting>
  <conditionalFormatting sqref="N65:N75">
    <cfRule type="cellIs" dxfId="15" priority="140" operator="lessThan">
      <formula>0</formula>
    </cfRule>
  </conditionalFormatting>
  <conditionalFormatting sqref="R23:R29">
    <cfRule type="duplicateValues" dxfId="14" priority="6"/>
  </conditionalFormatting>
  <conditionalFormatting sqref="R30:R42">
    <cfRule type="duplicateValues" dxfId="13" priority="5"/>
  </conditionalFormatting>
  <conditionalFormatting sqref="W2">
    <cfRule type="duplicateValues" dxfId="12" priority="34" stopIfTrue="1"/>
  </conditionalFormatting>
  <conditionalFormatting sqref="AC3:AC285">
    <cfRule type="duplicateValues" dxfId="11" priority="19"/>
  </conditionalFormatting>
  <conditionalFormatting sqref="AE3:AE8">
    <cfRule type="duplicateValues" dxfId="10" priority="18"/>
  </conditionalFormatting>
  <conditionalFormatting sqref="AI3:AI285">
    <cfRule type="cellIs" dxfId="9" priority="17" operator="lessThan">
      <formula>1</formula>
    </cfRule>
  </conditionalFormatting>
  <conditionalFormatting sqref="AN3:AN198">
    <cfRule type="duplicateValues" dxfId="8" priority="11"/>
  </conditionalFormatting>
  <conditionalFormatting sqref="AN199:AN281">
    <cfRule type="duplicateValues" dxfId="7" priority="16"/>
  </conditionalFormatting>
  <conditionalFormatting sqref="AO3:AO18">
    <cfRule type="duplicateValues" dxfId="6" priority="9"/>
  </conditionalFormatting>
  <conditionalFormatting sqref="AS3:AS198">
    <cfRule type="cellIs" dxfId="5" priority="10" operator="lessThan">
      <formula>1</formula>
    </cfRule>
  </conditionalFormatting>
  <conditionalFormatting sqref="AT199:AT281">
    <cfRule type="cellIs" dxfId="4" priority="14" operator="lessThan">
      <formula>1</formula>
    </cfRule>
  </conditionalFormatting>
  <dataValidations disablePrompts="1" count="2">
    <dataValidation allowBlank="1" sqref="AC3:AC6 AN3:AN4 AN11:AN12 AC12:AC13 AC16:AC21 AN23:AN24 AN27:AN32 AC96:AC138 AN97:AN133 AN136:AN243 AC141:AC247 AN245:AN261 AC249:AC265 AN263:AN281 AC267:AC285" xr:uid="{00000000-0002-0000-0400-000000000000}"/>
    <dataValidation type="custom" allowBlank="1" sqref="AW3:AW273" xr:uid="{00000000-0002-0000-0400-000001000000}">
      <formula1>OR(NOT(ISERROR(DATEVALUE(AW3))),AND(ISNUMBER(AW3),LEFT(CELL("format",AW3))="D"))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7E008-1569-4C4A-AAB0-322B2A4B8FB4}">
  <dimension ref="C1:G385"/>
  <sheetViews>
    <sheetView workbookViewId="0">
      <selection activeCell="F37" sqref="F37"/>
    </sheetView>
  </sheetViews>
  <sheetFormatPr defaultRowHeight="15" x14ac:dyDescent="0.25"/>
  <cols>
    <col min="3" max="3" width="10.5703125" bestFit="1" customWidth="1"/>
    <col min="4" max="4" width="12.85546875" bestFit="1" customWidth="1"/>
    <col min="5" max="5" width="34.42578125" bestFit="1" customWidth="1"/>
    <col min="6" max="6" width="13.42578125" bestFit="1" customWidth="1"/>
  </cols>
  <sheetData>
    <row r="1" spans="3:7" ht="15.75" thickBot="1" x14ac:dyDescent="0.3"/>
    <row r="2" spans="3:7" ht="22.5" x14ac:dyDescent="0.25">
      <c r="C2" s="169" t="s">
        <v>667</v>
      </c>
      <c r="D2" s="193" t="s">
        <v>78</v>
      </c>
      <c r="E2" s="193" t="s">
        <v>1</v>
      </c>
      <c r="F2" s="209" t="s">
        <v>1143</v>
      </c>
      <c r="G2" t="s">
        <v>1115</v>
      </c>
    </row>
    <row r="3" spans="3:7" x14ac:dyDescent="0.25">
      <c r="C3" s="216">
        <v>10610009</v>
      </c>
      <c r="D3" s="41"/>
      <c r="E3" s="194"/>
      <c r="F3" s="210"/>
      <c r="G3" s="11">
        <v>10000</v>
      </c>
    </row>
    <row r="4" spans="3:7" x14ac:dyDescent="0.25">
      <c r="C4" s="216">
        <v>10570051</v>
      </c>
      <c r="D4" s="41"/>
      <c r="E4" s="194"/>
      <c r="F4" s="211"/>
      <c r="G4" s="11">
        <v>20000</v>
      </c>
    </row>
    <row r="5" spans="3:7" x14ac:dyDescent="0.25">
      <c r="C5" s="216">
        <v>10570052</v>
      </c>
      <c r="D5" s="41"/>
      <c r="E5" s="194"/>
      <c r="F5" s="210"/>
      <c r="G5" s="11">
        <v>20000</v>
      </c>
    </row>
    <row r="6" spans="3:7" x14ac:dyDescent="0.25">
      <c r="C6" s="216">
        <v>10600012</v>
      </c>
      <c r="D6" s="41"/>
      <c r="E6" s="194"/>
      <c r="F6" s="211"/>
      <c r="G6" s="11">
        <v>10000</v>
      </c>
    </row>
    <row r="7" spans="3:7" x14ac:dyDescent="0.25">
      <c r="C7" s="216">
        <v>10650011</v>
      </c>
      <c r="D7" s="41"/>
      <c r="E7" s="194"/>
      <c r="F7" s="210"/>
      <c r="G7" s="11">
        <v>10000</v>
      </c>
    </row>
    <row r="8" spans="3:7" x14ac:dyDescent="0.25">
      <c r="C8" s="216">
        <v>10570047</v>
      </c>
      <c r="D8" s="41"/>
      <c r="E8" s="194"/>
      <c r="F8" s="211"/>
      <c r="G8" s="11">
        <v>20000</v>
      </c>
    </row>
    <row r="9" spans="3:7" x14ac:dyDescent="0.25">
      <c r="C9" s="216">
        <v>10570048</v>
      </c>
      <c r="D9" s="41"/>
      <c r="E9" s="194"/>
      <c r="F9" s="210"/>
      <c r="G9" s="11">
        <v>20000</v>
      </c>
    </row>
    <row r="10" spans="3:7" x14ac:dyDescent="0.25">
      <c r="C10" s="216">
        <v>10570049</v>
      </c>
      <c r="D10" s="41"/>
      <c r="E10" s="194"/>
      <c r="F10" s="211"/>
      <c r="G10" s="11">
        <v>20000</v>
      </c>
    </row>
    <row r="11" spans="3:7" x14ac:dyDescent="0.25">
      <c r="C11" s="216">
        <v>10010143</v>
      </c>
      <c r="D11" s="41"/>
      <c r="E11" s="194"/>
      <c r="F11" s="210"/>
      <c r="G11" s="11">
        <v>10000</v>
      </c>
    </row>
    <row r="12" spans="3:7" x14ac:dyDescent="0.25">
      <c r="C12" s="216">
        <v>10010144</v>
      </c>
      <c r="D12" s="41"/>
      <c r="E12" s="194"/>
      <c r="F12" s="211"/>
      <c r="G12" s="11">
        <v>10000</v>
      </c>
    </row>
    <row r="13" spans="3:7" x14ac:dyDescent="0.25">
      <c r="C13" s="216">
        <v>10010145</v>
      </c>
      <c r="D13" s="41"/>
      <c r="E13" s="194"/>
      <c r="F13" s="210"/>
      <c r="G13" s="11">
        <v>10000</v>
      </c>
    </row>
    <row r="14" spans="3:7" x14ac:dyDescent="0.25">
      <c r="C14" s="216">
        <v>10010146</v>
      </c>
      <c r="D14" s="41"/>
      <c r="E14" s="194"/>
      <c r="F14" s="211"/>
      <c r="G14" s="11">
        <v>10000</v>
      </c>
    </row>
    <row r="15" spans="3:7" x14ac:dyDescent="0.25">
      <c r="C15" s="216">
        <v>10010147</v>
      </c>
      <c r="D15" s="41"/>
      <c r="E15" s="194"/>
      <c r="F15" s="210"/>
      <c r="G15" s="11">
        <v>20000</v>
      </c>
    </row>
    <row r="16" spans="3:7" x14ac:dyDescent="0.25">
      <c r="C16" s="216">
        <v>10030086</v>
      </c>
      <c r="D16" s="41"/>
      <c r="E16" s="194"/>
      <c r="F16" s="211"/>
      <c r="G16" s="11">
        <v>10000</v>
      </c>
    </row>
    <row r="17" spans="3:7" x14ac:dyDescent="0.25">
      <c r="C17" s="216">
        <v>10030087</v>
      </c>
      <c r="D17" s="41"/>
      <c r="E17" s="194"/>
      <c r="F17" s="210"/>
      <c r="G17" s="11">
        <v>10000</v>
      </c>
    </row>
    <row r="18" spans="3:7" x14ac:dyDescent="0.25">
      <c r="C18" s="216">
        <v>10030088</v>
      </c>
      <c r="D18" s="41"/>
      <c r="E18" s="194"/>
      <c r="F18" s="211"/>
      <c r="G18" s="11">
        <v>10000</v>
      </c>
    </row>
    <row r="19" spans="3:7" x14ac:dyDescent="0.25">
      <c r="C19" s="216">
        <v>10030089</v>
      </c>
      <c r="D19" s="41"/>
      <c r="E19" s="194"/>
      <c r="F19" s="210"/>
      <c r="G19" s="11">
        <v>5000</v>
      </c>
    </row>
    <row r="20" spans="3:7" x14ac:dyDescent="0.25">
      <c r="C20" s="216">
        <v>10030090</v>
      </c>
      <c r="D20" s="41"/>
      <c r="E20" s="194"/>
      <c r="F20" s="211"/>
      <c r="G20" s="11">
        <v>10000</v>
      </c>
    </row>
    <row r="21" spans="3:7" x14ac:dyDescent="0.25">
      <c r="C21" s="216">
        <v>10590014</v>
      </c>
      <c r="D21" s="41"/>
      <c r="E21" s="194"/>
      <c r="F21" s="210"/>
      <c r="G21" s="11">
        <v>5000</v>
      </c>
    </row>
    <row r="22" spans="3:7" x14ac:dyDescent="0.25">
      <c r="C22" s="216">
        <v>10570055</v>
      </c>
      <c r="D22" s="41"/>
      <c r="E22" s="194"/>
      <c r="F22" s="211"/>
      <c r="G22" s="11">
        <v>20000</v>
      </c>
    </row>
    <row r="23" spans="3:7" x14ac:dyDescent="0.25">
      <c r="C23" s="216">
        <v>10110187</v>
      </c>
      <c r="D23" s="41"/>
      <c r="E23" s="194"/>
      <c r="F23" s="210"/>
      <c r="G23" s="11">
        <v>10000</v>
      </c>
    </row>
    <row r="24" spans="3:7" x14ac:dyDescent="0.25">
      <c r="C24" s="216">
        <v>10580024</v>
      </c>
      <c r="D24" s="41"/>
      <c r="E24" s="194"/>
      <c r="F24" s="211"/>
      <c r="G24" s="11">
        <v>10000</v>
      </c>
    </row>
    <row r="25" spans="3:7" x14ac:dyDescent="0.25">
      <c r="C25" s="216">
        <v>10580025</v>
      </c>
      <c r="D25" s="41"/>
      <c r="E25" s="194"/>
      <c r="F25" s="210"/>
      <c r="G25" s="11">
        <v>5000</v>
      </c>
    </row>
    <row r="26" spans="3:7" x14ac:dyDescent="0.25">
      <c r="C26" s="216">
        <v>10580029</v>
      </c>
      <c r="D26" s="41"/>
      <c r="E26" s="194"/>
      <c r="F26" s="211"/>
      <c r="G26" s="11">
        <v>10000</v>
      </c>
    </row>
    <row r="27" spans="3:7" x14ac:dyDescent="0.25">
      <c r="C27" s="216">
        <v>10640008</v>
      </c>
      <c r="D27" s="41"/>
      <c r="E27" s="194"/>
      <c r="F27" s="210"/>
      <c r="G27" s="11">
        <v>20000</v>
      </c>
    </row>
    <row r="28" spans="3:7" x14ac:dyDescent="0.25">
      <c r="C28" s="216">
        <v>10640009</v>
      </c>
      <c r="D28" s="41"/>
      <c r="E28" s="194"/>
      <c r="F28" s="211"/>
      <c r="G28" s="11">
        <v>20000</v>
      </c>
    </row>
    <row r="29" spans="3:7" x14ac:dyDescent="0.25">
      <c r="C29" s="216">
        <v>10530112</v>
      </c>
      <c r="D29" s="41"/>
      <c r="E29" s="194"/>
      <c r="F29" s="210"/>
      <c r="G29" s="11">
        <v>10000</v>
      </c>
    </row>
    <row r="30" spans="3:7" x14ac:dyDescent="0.25">
      <c r="C30" s="216">
        <v>10610026</v>
      </c>
      <c r="D30" s="41"/>
      <c r="E30" s="194"/>
      <c r="F30" s="211"/>
      <c r="G30" s="11">
        <v>10000</v>
      </c>
    </row>
    <row r="31" spans="3:7" x14ac:dyDescent="0.25">
      <c r="C31" s="216">
        <v>10600013</v>
      </c>
      <c r="D31" s="41"/>
      <c r="E31" s="194"/>
      <c r="F31" s="210"/>
      <c r="G31" s="11">
        <v>10000</v>
      </c>
    </row>
    <row r="32" spans="3:7" x14ac:dyDescent="0.25">
      <c r="C32" s="216">
        <v>10560035</v>
      </c>
      <c r="D32" s="41"/>
      <c r="E32" s="194"/>
      <c r="F32" s="211"/>
      <c r="G32" s="11">
        <v>10000</v>
      </c>
    </row>
    <row r="33" spans="3:7" x14ac:dyDescent="0.25">
      <c r="C33" s="216">
        <v>10560036</v>
      </c>
      <c r="D33" s="41"/>
      <c r="E33" s="194"/>
      <c r="F33" s="210"/>
      <c r="G33" s="11">
        <v>10000</v>
      </c>
    </row>
    <row r="34" spans="3:7" x14ac:dyDescent="0.25">
      <c r="C34" s="216">
        <v>10560037</v>
      </c>
      <c r="D34" s="41"/>
      <c r="E34" s="194"/>
      <c r="F34" s="211"/>
      <c r="G34" s="11">
        <v>10000</v>
      </c>
    </row>
    <row r="35" spans="3:7" x14ac:dyDescent="0.25">
      <c r="C35" s="216">
        <v>10630013</v>
      </c>
      <c r="D35" s="41"/>
      <c r="E35" s="194"/>
      <c r="F35" s="210"/>
      <c r="G35" s="11">
        <v>20000</v>
      </c>
    </row>
    <row r="36" spans="3:7" x14ac:dyDescent="0.25">
      <c r="C36" s="216">
        <v>10630014</v>
      </c>
      <c r="D36" s="41"/>
      <c r="E36" s="194"/>
      <c r="F36" s="211"/>
      <c r="G36" s="11">
        <v>20000</v>
      </c>
    </row>
    <row r="37" spans="3:7" x14ac:dyDescent="0.25">
      <c r="C37" s="216">
        <v>10630015</v>
      </c>
      <c r="D37" s="41"/>
      <c r="E37" s="194"/>
      <c r="F37" s="210"/>
      <c r="G37" s="11">
        <v>20000</v>
      </c>
    </row>
    <row r="38" spans="3:7" x14ac:dyDescent="0.25">
      <c r="C38" s="216">
        <v>10650004</v>
      </c>
      <c r="D38" s="41"/>
      <c r="E38" s="194"/>
      <c r="F38" s="211"/>
      <c r="G38" s="11">
        <v>5000</v>
      </c>
    </row>
    <row r="39" spans="3:7" x14ac:dyDescent="0.25">
      <c r="C39" s="216">
        <v>10650005</v>
      </c>
      <c r="D39" s="41"/>
      <c r="E39" s="194"/>
      <c r="F39" s="210"/>
      <c r="G39" s="11">
        <v>20000</v>
      </c>
    </row>
    <row r="40" spans="3:7" x14ac:dyDescent="0.25">
      <c r="C40" s="216">
        <v>10640002</v>
      </c>
      <c r="D40" s="41"/>
      <c r="E40" s="194"/>
      <c r="F40" s="211"/>
      <c r="G40" s="11">
        <v>15000</v>
      </c>
    </row>
    <row r="41" spans="3:7" x14ac:dyDescent="0.25">
      <c r="C41" s="216">
        <v>10640004</v>
      </c>
      <c r="D41" s="41"/>
      <c r="E41" s="194"/>
      <c r="F41" s="210"/>
      <c r="G41" s="11">
        <v>10000</v>
      </c>
    </row>
    <row r="42" spans="3:7" x14ac:dyDescent="0.25">
      <c r="C42" s="216">
        <v>10640005</v>
      </c>
      <c r="D42" s="41"/>
      <c r="E42" s="194"/>
      <c r="F42" s="211"/>
      <c r="G42" s="11">
        <v>15000</v>
      </c>
    </row>
    <row r="43" spans="3:7" x14ac:dyDescent="0.25">
      <c r="C43" s="216">
        <v>10640006</v>
      </c>
      <c r="D43" s="41"/>
      <c r="E43" s="194"/>
      <c r="F43" s="210"/>
      <c r="G43" s="11">
        <v>15000</v>
      </c>
    </row>
    <row r="44" spans="3:7" x14ac:dyDescent="0.25">
      <c r="C44" s="216">
        <v>10120010</v>
      </c>
      <c r="D44" s="43"/>
      <c r="E44" s="195"/>
      <c r="F44" s="211"/>
      <c r="G44" s="11">
        <v>20000</v>
      </c>
    </row>
    <row r="45" spans="3:7" x14ac:dyDescent="0.25">
      <c r="C45" s="216">
        <v>10580022</v>
      </c>
      <c r="D45" s="43"/>
      <c r="E45" s="195"/>
      <c r="F45" s="210"/>
      <c r="G45" s="11">
        <v>20000</v>
      </c>
    </row>
    <row r="46" spans="3:7" x14ac:dyDescent="0.25">
      <c r="C46" s="216">
        <v>10590013</v>
      </c>
      <c r="D46" s="43"/>
      <c r="E46" s="195"/>
      <c r="F46" s="211"/>
      <c r="G46" s="11">
        <v>5000</v>
      </c>
    </row>
    <row r="47" spans="3:7" x14ac:dyDescent="0.25">
      <c r="C47" s="216">
        <v>10610022</v>
      </c>
      <c r="D47" s="43"/>
      <c r="E47" s="195"/>
      <c r="F47" s="210"/>
      <c r="G47" s="11">
        <v>20000</v>
      </c>
    </row>
    <row r="48" spans="3:7" x14ac:dyDescent="0.25">
      <c r="C48" s="216">
        <v>10610017</v>
      </c>
      <c r="D48" s="41"/>
      <c r="E48" s="194"/>
      <c r="F48" s="211"/>
      <c r="G48" s="11">
        <v>10000</v>
      </c>
    </row>
    <row r="49" spans="3:7" x14ac:dyDescent="0.25">
      <c r="C49" s="216">
        <v>10610018</v>
      </c>
      <c r="D49" s="43"/>
      <c r="E49" s="195"/>
      <c r="F49" s="210"/>
      <c r="G49" s="11">
        <v>10000</v>
      </c>
    </row>
    <row r="50" spans="3:7" x14ac:dyDescent="0.25">
      <c r="C50" s="216">
        <v>10610019</v>
      </c>
      <c r="D50" s="41"/>
      <c r="E50" s="194"/>
      <c r="F50" s="211"/>
      <c r="G50" s="11">
        <v>10000</v>
      </c>
    </row>
    <row r="51" spans="3:7" x14ac:dyDescent="0.25">
      <c r="C51" s="216">
        <v>10630001</v>
      </c>
      <c r="D51" s="41"/>
      <c r="E51" s="194"/>
      <c r="F51" s="210"/>
      <c r="G51" s="11">
        <v>20000</v>
      </c>
    </row>
    <row r="52" spans="3:7" x14ac:dyDescent="0.25">
      <c r="C52" s="216">
        <v>10630002</v>
      </c>
      <c r="D52" s="41"/>
      <c r="E52" s="194"/>
      <c r="F52" s="211"/>
      <c r="G52" s="11">
        <v>20000</v>
      </c>
    </row>
    <row r="53" spans="3:7" x14ac:dyDescent="0.25">
      <c r="C53" s="216">
        <v>10630003</v>
      </c>
      <c r="D53" s="43"/>
      <c r="E53" s="195"/>
      <c r="F53" s="210"/>
      <c r="G53" s="11">
        <v>20000</v>
      </c>
    </row>
    <row r="54" spans="3:7" x14ac:dyDescent="0.25">
      <c r="C54" s="216">
        <v>10630004</v>
      </c>
      <c r="D54" s="41"/>
      <c r="E54" s="194"/>
      <c r="F54" s="211"/>
      <c r="G54" s="11">
        <v>20000</v>
      </c>
    </row>
    <row r="55" spans="3:7" x14ac:dyDescent="0.25">
      <c r="C55" s="216">
        <v>10630005</v>
      </c>
      <c r="D55" s="196"/>
      <c r="E55" s="197"/>
      <c r="F55" s="210"/>
      <c r="G55" s="11">
        <v>20000</v>
      </c>
    </row>
    <row r="56" spans="3:7" x14ac:dyDescent="0.25">
      <c r="C56" s="216">
        <v>10630006</v>
      </c>
      <c r="D56" s="41"/>
      <c r="E56" s="194"/>
      <c r="F56" s="211"/>
      <c r="G56" s="11">
        <v>20000</v>
      </c>
    </row>
    <row r="57" spans="3:7" x14ac:dyDescent="0.25">
      <c r="C57" s="216">
        <v>10630007</v>
      </c>
      <c r="D57" s="41"/>
      <c r="E57" s="194"/>
      <c r="F57" s="210"/>
      <c r="G57" s="11">
        <v>20000</v>
      </c>
    </row>
    <row r="58" spans="3:7" x14ac:dyDescent="0.25">
      <c r="C58" s="216">
        <v>10630008</v>
      </c>
      <c r="D58" s="41"/>
      <c r="E58" s="194"/>
      <c r="F58" s="211"/>
      <c r="G58" s="11">
        <v>20000</v>
      </c>
    </row>
    <row r="59" spans="3:7" x14ac:dyDescent="0.25">
      <c r="C59" s="216">
        <v>10630009</v>
      </c>
      <c r="D59" s="41"/>
      <c r="E59" s="194"/>
      <c r="F59" s="210"/>
      <c r="G59" s="11">
        <v>20000</v>
      </c>
    </row>
    <row r="60" spans="3:7" x14ac:dyDescent="0.25">
      <c r="C60" s="216">
        <v>10570044</v>
      </c>
      <c r="D60" s="41"/>
      <c r="E60" s="194"/>
      <c r="F60" s="211"/>
      <c r="G60" s="11">
        <v>20000</v>
      </c>
    </row>
    <row r="61" spans="3:7" x14ac:dyDescent="0.25">
      <c r="C61" s="216">
        <v>10570045</v>
      </c>
      <c r="D61" s="41"/>
      <c r="E61" s="194"/>
      <c r="F61" s="210"/>
      <c r="G61" s="11">
        <v>20000</v>
      </c>
    </row>
    <row r="62" spans="3:7" x14ac:dyDescent="0.25">
      <c r="C62" s="216">
        <v>10610010</v>
      </c>
      <c r="D62" s="41"/>
      <c r="E62" s="194"/>
      <c r="F62" s="211"/>
      <c r="G62" s="11">
        <v>10000</v>
      </c>
    </row>
    <row r="63" spans="3:7" x14ac:dyDescent="0.25">
      <c r="C63" s="216">
        <v>10130117</v>
      </c>
      <c r="D63" s="41"/>
      <c r="E63" s="194"/>
      <c r="F63" s="210"/>
      <c r="G63" s="11">
        <v>10000</v>
      </c>
    </row>
    <row r="64" spans="3:7" x14ac:dyDescent="0.25">
      <c r="C64" s="216">
        <v>10560028</v>
      </c>
      <c r="D64" s="41"/>
      <c r="E64" s="194"/>
      <c r="F64" s="211"/>
      <c r="G64" s="11">
        <v>10000</v>
      </c>
    </row>
    <row r="65" spans="3:7" x14ac:dyDescent="0.25">
      <c r="C65" s="216">
        <v>10080122</v>
      </c>
      <c r="D65" s="41"/>
      <c r="E65" s="194"/>
      <c r="F65" s="210"/>
      <c r="G65" s="11">
        <v>5000</v>
      </c>
    </row>
    <row r="66" spans="3:7" x14ac:dyDescent="0.25">
      <c r="C66" s="216">
        <v>10110181</v>
      </c>
      <c r="D66" s="41"/>
      <c r="E66" s="194"/>
      <c r="F66" s="211"/>
      <c r="G66" s="11">
        <v>10000</v>
      </c>
    </row>
    <row r="67" spans="3:7" x14ac:dyDescent="0.25">
      <c r="C67" s="216">
        <v>10550005</v>
      </c>
      <c r="D67" s="41"/>
      <c r="E67" s="194"/>
      <c r="F67" s="210"/>
      <c r="G67" s="11">
        <v>10000</v>
      </c>
    </row>
    <row r="68" spans="3:7" x14ac:dyDescent="0.25">
      <c r="C68" s="216">
        <v>10560029</v>
      </c>
      <c r="D68" s="41"/>
      <c r="E68" s="194"/>
      <c r="F68" s="211"/>
      <c r="G68" s="11">
        <v>10000</v>
      </c>
    </row>
    <row r="69" spans="3:7" x14ac:dyDescent="0.25">
      <c r="C69" s="216">
        <v>10560030</v>
      </c>
      <c r="D69" s="41"/>
      <c r="E69" s="194"/>
      <c r="F69" s="210"/>
      <c r="G69" s="11">
        <v>15000</v>
      </c>
    </row>
    <row r="70" spans="3:7" x14ac:dyDescent="0.25">
      <c r="C70" s="216">
        <v>10560031</v>
      </c>
      <c r="D70" s="41"/>
      <c r="E70" s="194"/>
      <c r="F70" s="211"/>
      <c r="G70" s="11">
        <v>10000</v>
      </c>
    </row>
    <row r="71" spans="3:7" x14ac:dyDescent="0.25">
      <c r="C71" s="216">
        <v>10100061</v>
      </c>
      <c r="D71" s="41"/>
      <c r="E71" s="194"/>
      <c r="F71" s="210"/>
      <c r="G71" s="11">
        <v>10000</v>
      </c>
    </row>
    <row r="72" spans="3:7" x14ac:dyDescent="0.25">
      <c r="C72" s="216">
        <v>10120122</v>
      </c>
      <c r="D72" s="41"/>
      <c r="E72" s="194"/>
      <c r="F72" s="211"/>
      <c r="G72" s="11">
        <v>9389</v>
      </c>
    </row>
    <row r="73" spans="3:7" x14ac:dyDescent="0.25">
      <c r="C73" s="216">
        <v>10130115</v>
      </c>
      <c r="D73" s="41"/>
      <c r="E73" s="194"/>
      <c r="F73" s="210"/>
      <c r="G73" s="11">
        <v>10000</v>
      </c>
    </row>
    <row r="74" spans="3:7" x14ac:dyDescent="0.25">
      <c r="C74" s="216">
        <v>10130116</v>
      </c>
      <c r="D74" s="41"/>
      <c r="E74" s="194"/>
      <c r="F74" s="211"/>
      <c r="G74" s="11">
        <v>20000</v>
      </c>
    </row>
    <row r="75" spans="3:7" x14ac:dyDescent="0.25">
      <c r="C75" s="216">
        <v>10570042</v>
      </c>
      <c r="D75" s="41"/>
      <c r="E75" s="194"/>
      <c r="F75" s="210"/>
      <c r="G75" s="11">
        <v>20000</v>
      </c>
    </row>
    <row r="76" spans="3:7" x14ac:dyDescent="0.25">
      <c r="C76" s="216">
        <v>10540043</v>
      </c>
      <c r="D76" s="41"/>
      <c r="E76" s="194"/>
      <c r="F76" s="211"/>
      <c r="G76" s="11">
        <v>10000</v>
      </c>
    </row>
    <row r="77" spans="3:7" x14ac:dyDescent="0.25">
      <c r="C77" s="216">
        <v>10600008</v>
      </c>
      <c r="D77" s="41"/>
      <c r="E77" s="194"/>
      <c r="F77" s="210"/>
      <c r="G77" s="11">
        <v>10000</v>
      </c>
    </row>
    <row r="78" spans="3:7" x14ac:dyDescent="0.25">
      <c r="C78" s="216">
        <v>10610004</v>
      </c>
      <c r="D78" s="41"/>
      <c r="E78" s="194"/>
      <c r="F78" s="211"/>
      <c r="G78" s="11">
        <v>10000</v>
      </c>
    </row>
    <row r="79" spans="3:7" x14ac:dyDescent="0.25">
      <c r="C79" s="216">
        <v>10610006</v>
      </c>
      <c r="D79" s="41"/>
      <c r="E79" s="194"/>
      <c r="F79" s="210"/>
      <c r="G79" s="11">
        <v>10000</v>
      </c>
    </row>
    <row r="80" spans="3:7" x14ac:dyDescent="0.25">
      <c r="C80" s="216">
        <v>10610007</v>
      </c>
      <c r="D80" s="41"/>
      <c r="E80" s="194"/>
      <c r="F80" s="211"/>
      <c r="G80" s="11">
        <v>5000</v>
      </c>
    </row>
    <row r="81" spans="3:7" x14ac:dyDescent="0.25">
      <c r="C81" s="216">
        <v>10600009</v>
      </c>
      <c r="D81" s="41"/>
      <c r="E81" s="194"/>
      <c r="F81" s="210"/>
      <c r="G81" s="11">
        <v>14000</v>
      </c>
    </row>
    <row r="82" spans="3:7" x14ac:dyDescent="0.25">
      <c r="C82" s="216">
        <v>10600011</v>
      </c>
      <c r="D82" s="41"/>
      <c r="E82" s="194"/>
      <c r="F82" s="211"/>
      <c r="G82" s="11">
        <v>20000</v>
      </c>
    </row>
    <row r="83" spans="3:7" x14ac:dyDescent="0.25">
      <c r="C83" s="216">
        <v>10060130</v>
      </c>
      <c r="D83" s="41"/>
      <c r="E83" s="194"/>
      <c r="F83" s="210"/>
      <c r="G83" s="11">
        <v>10000</v>
      </c>
    </row>
    <row r="84" spans="3:7" x14ac:dyDescent="0.25">
      <c r="C84" s="216">
        <v>10590006</v>
      </c>
      <c r="D84" s="41"/>
      <c r="E84" s="194"/>
      <c r="F84" s="211"/>
      <c r="G84" s="11">
        <v>3812</v>
      </c>
    </row>
    <row r="85" spans="3:7" x14ac:dyDescent="0.25">
      <c r="C85" s="216">
        <v>10590009</v>
      </c>
      <c r="D85" s="41"/>
      <c r="E85" s="194"/>
      <c r="F85" s="210"/>
      <c r="G85" s="11">
        <v>10000</v>
      </c>
    </row>
    <row r="86" spans="3:7" x14ac:dyDescent="0.25">
      <c r="C86" s="216">
        <v>10600002</v>
      </c>
      <c r="D86" s="41"/>
      <c r="E86" s="194"/>
      <c r="F86" s="211"/>
      <c r="G86" s="11">
        <v>10000</v>
      </c>
    </row>
    <row r="87" spans="3:7" x14ac:dyDescent="0.25">
      <c r="C87" s="216">
        <v>10600003</v>
      </c>
      <c r="D87" s="41"/>
      <c r="E87" s="194"/>
      <c r="F87" s="210"/>
      <c r="G87" s="11">
        <v>20000</v>
      </c>
    </row>
    <row r="88" spans="3:7" x14ac:dyDescent="0.25">
      <c r="C88" s="216">
        <v>10600004</v>
      </c>
      <c r="D88" s="41"/>
      <c r="E88" s="194"/>
      <c r="F88" s="211"/>
      <c r="G88" s="11">
        <v>10000</v>
      </c>
    </row>
    <row r="89" spans="3:7" x14ac:dyDescent="0.25">
      <c r="C89" s="216">
        <v>10600005</v>
      </c>
      <c r="D89" s="43"/>
      <c r="E89" s="195"/>
      <c r="F89" s="210"/>
      <c r="G89" s="11">
        <v>10000</v>
      </c>
    </row>
    <row r="90" spans="3:7" x14ac:dyDescent="0.25">
      <c r="C90" s="216">
        <v>10600007</v>
      </c>
      <c r="D90" s="41"/>
      <c r="E90" s="194"/>
      <c r="F90" s="211"/>
      <c r="G90" s="11">
        <v>20000</v>
      </c>
    </row>
    <row r="91" spans="3:7" x14ac:dyDescent="0.25">
      <c r="C91" s="216">
        <v>10580019</v>
      </c>
      <c r="D91" s="41"/>
      <c r="E91" s="194"/>
      <c r="F91" s="210"/>
      <c r="G91" s="11">
        <v>5000</v>
      </c>
    </row>
    <row r="92" spans="3:7" x14ac:dyDescent="0.25">
      <c r="C92" s="216">
        <v>10070078</v>
      </c>
      <c r="D92" s="41"/>
      <c r="E92" s="194"/>
      <c r="F92" s="211"/>
      <c r="G92" s="11">
        <v>13770</v>
      </c>
    </row>
    <row r="93" spans="3:7" x14ac:dyDescent="0.25">
      <c r="C93" s="216">
        <v>10120120</v>
      </c>
      <c r="D93" s="43"/>
      <c r="E93" s="195"/>
      <c r="F93" s="210"/>
      <c r="G93" s="11">
        <v>10000</v>
      </c>
    </row>
    <row r="94" spans="3:7" x14ac:dyDescent="0.25">
      <c r="C94" s="216">
        <v>10120121</v>
      </c>
      <c r="D94" s="41"/>
      <c r="E94" s="194"/>
      <c r="F94" s="211"/>
      <c r="G94" s="11">
        <v>9603</v>
      </c>
    </row>
    <row r="95" spans="3:7" x14ac:dyDescent="0.25">
      <c r="C95" s="216">
        <v>10540042</v>
      </c>
      <c r="D95" s="41"/>
      <c r="E95" s="194"/>
      <c r="F95" s="210"/>
      <c r="G95" s="11">
        <v>20000</v>
      </c>
    </row>
    <row r="96" spans="3:7" x14ac:dyDescent="0.25">
      <c r="C96" s="216">
        <v>10560026</v>
      </c>
      <c r="D96" s="41"/>
      <c r="E96" s="194"/>
      <c r="F96" s="211"/>
      <c r="G96" s="11">
        <v>8667</v>
      </c>
    </row>
    <row r="97" spans="3:7" x14ac:dyDescent="0.25">
      <c r="C97" s="216">
        <v>10530102</v>
      </c>
      <c r="D97" s="41"/>
      <c r="E97" s="194"/>
      <c r="F97" s="210"/>
      <c r="G97" s="11">
        <v>9702</v>
      </c>
    </row>
    <row r="98" spans="3:7" x14ac:dyDescent="0.25">
      <c r="C98" s="216">
        <v>10570036</v>
      </c>
      <c r="D98" s="41"/>
      <c r="E98" s="194"/>
      <c r="F98" s="211"/>
      <c r="G98" s="11">
        <v>10000</v>
      </c>
    </row>
    <row r="99" spans="3:7" x14ac:dyDescent="0.25">
      <c r="C99" s="216">
        <v>10590001</v>
      </c>
      <c r="D99" s="41"/>
      <c r="E99" s="194"/>
      <c r="F99" s="210"/>
      <c r="G99" s="11">
        <v>2380</v>
      </c>
    </row>
    <row r="100" spans="3:7" x14ac:dyDescent="0.25">
      <c r="C100" s="216">
        <v>10590002</v>
      </c>
      <c r="D100" s="41"/>
      <c r="E100" s="194"/>
      <c r="F100" s="211"/>
      <c r="G100" s="11">
        <v>18467</v>
      </c>
    </row>
    <row r="101" spans="3:7" x14ac:dyDescent="0.25">
      <c r="C101" s="216">
        <v>10590003</v>
      </c>
      <c r="D101" s="41"/>
      <c r="E101" s="194"/>
      <c r="F101" s="210"/>
      <c r="G101" s="11">
        <v>8962</v>
      </c>
    </row>
    <row r="102" spans="3:7" x14ac:dyDescent="0.25">
      <c r="C102" s="216">
        <v>10590004</v>
      </c>
      <c r="D102" s="41"/>
      <c r="E102" s="194"/>
      <c r="F102" s="211"/>
      <c r="G102" s="11">
        <v>3191</v>
      </c>
    </row>
    <row r="103" spans="3:7" x14ac:dyDescent="0.25">
      <c r="C103" s="216">
        <v>10590005</v>
      </c>
      <c r="D103" s="43"/>
      <c r="E103" s="195"/>
      <c r="F103" s="210"/>
      <c r="G103" s="11">
        <v>10000</v>
      </c>
    </row>
    <row r="104" spans="3:7" x14ac:dyDescent="0.25">
      <c r="C104" s="216">
        <v>10070077</v>
      </c>
      <c r="D104" s="4"/>
      <c r="E104" s="4"/>
      <c r="F104" s="211"/>
      <c r="G104" s="11">
        <v>14569</v>
      </c>
    </row>
    <row r="105" spans="3:7" x14ac:dyDescent="0.25">
      <c r="C105" s="216">
        <v>10560022</v>
      </c>
      <c r="D105" s="4"/>
      <c r="E105" s="4"/>
      <c r="F105" s="210"/>
      <c r="G105" s="11">
        <v>7545</v>
      </c>
    </row>
    <row r="106" spans="3:7" x14ac:dyDescent="0.25">
      <c r="C106" s="216">
        <v>10560023</v>
      </c>
      <c r="D106" s="4"/>
      <c r="E106" s="4"/>
      <c r="F106" s="211"/>
      <c r="G106" s="11">
        <v>15000</v>
      </c>
    </row>
    <row r="107" spans="3:7" x14ac:dyDescent="0.25">
      <c r="C107" s="216">
        <v>10140197</v>
      </c>
      <c r="D107" s="4"/>
      <c r="E107" s="4"/>
      <c r="F107" s="210"/>
      <c r="G107" s="11">
        <v>19743</v>
      </c>
    </row>
    <row r="108" spans="3:7" x14ac:dyDescent="0.25">
      <c r="C108" s="216">
        <v>10550004</v>
      </c>
      <c r="D108" s="4"/>
      <c r="E108" s="4"/>
      <c r="F108" s="211"/>
      <c r="G108" s="11">
        <v>4953</v>
      </c>
    </row>
    <row r="109" spans="3:7" x14ac:dyDescent="0.25">
      <c r="C109" s="216">
        <v>10060126</v>
      </c>
      <c r="D109" s="4"/>
      <c r="E109" s="4"/>
      <c r="F109" s="210"/>
      <c r="G109" s="11">
        <v>4845</v>
      </c>
    </row>
    <row r="110" spans="3:7" x14ac:dyDescent="0.25">
      <c r="C110" s="216">
        <v>10090074</v>
      </c>
      <c r="D110" s="4"/>
      <c r="E110" s="4"/>
      <c r="F110" s="211"/>
      <c r="G110" s="11">
        <v>19621</v>
      </c>
    </row>
    <row r="111" spans="3:7" x14ac:dyDescent="0.25">
      <c r="C111" s="216">
        <v>10140194</v>
      </c>
      <c r="D111" s="4"/>
      <c r="E111" s="4"/>
      <c r="F111" s="210"/>
      <c r="G111" s="11">
        <v>7849</v>
      </c>
    </row>
    <row r="112" spans="3:7" x14ac:dyDescent="0.25">
      <c r="C112" s="216">
        <v>10130108</v>
      </c>
      <c r="D112" s="4"/>
      <c r="E112" s="4"/>
      <c r="F112" s="211"/>
      <c r="G112" s="11">
        <v>10000</v>
      </c>
    </row>
    <row r="113" spans="3:7" x14ac:dyDescent="0.25">
      <c r="C113" s="216">
        <v>10020085</v>
      </c>
      <c r="D113" s="4"/>
      <c r="E113" s="4"/>
      <c r="F113" s="210"/>
      <c r="G113" s="11">
        <v>20000</v>
      </c>
    </row>
    <row r="114" spans="3:7" x14ac:dyDescent="0.25">
      <c r="C114" s="216">
        <v>10010121</v>
      </c>
      <c r="D114" s="4"/>
      <c r="E114" s="4"/>
      <c r="F114" s="211"/>
      <c r="G114" s="11">
        <v>6925</v>
      </c>
    </row>
    <row r="115" spans="3:7" x14ac:dyDescent="0.25">
      <c r="C115" s="216">
        <v>10570027</v>
      </c>
      <c r="D115" s="4"/>
      <c r="E115" s="4"/>
      <c r="F115" s="210"/>
      <c r="G115" s="11">
        <v>20000</v>
      </c>
    </row>
    <row r="116" spans="3:7" x14ac:dyDescent="0.25">
      <c r="C116" s="216">
        <v>10570028</v>
      </c>
      <c r="D116" s="4"/>
      <c r="E116" s="4"/>
      <c r="F116" s="211"/>
      <c r="G116" s="11">
        <v>19423</v>
      </c>
    </row>
    <row r="117" spans="3:7" x14ac:dyDescent="0.25">
      <c r="C117" s="216">
        <v>10570029</v>
      </c>
      <c r="D117" s="4"/>
      <c r="E117" s="4"/>
      <c r="F117" s="210"/>
      <c r="G117" s="11">
        <v>19055</v>
      </c>
    </row>
    <row r="118" spans="3:7" x14ac:dyDescent="0.25">
      <c r="C118" s="216">
        <v>10570031</v>
      </c>
      <c r="D118" s="4"/>
      <c r="E118" s="4"/>
      <c r="F118" s="211"/>
      <c r="G118" s="11">
        <v>7099</v>
      </c>
    </row>
    <row r="119" spans="3:7" x14ac:dyDescent="0.25">
      <c r="C119" s="216">
        <v>10110174</v>
      </c>
      <c r="D119" s="4"/>
      <c r="E119" s="4"/>
      <c r="F119" s="210"/>
      <c r="G119" s="11">
        <v>10000</v>
      </c>
    </row>
    <row r="120" spans="3:7" x14ac:dyDescent="0.25">
      <c r="C120" s="216">
        <v>10060124</v>
      </c>
      <c r="D120" s="4"/>
      <c r="E120" s="4"/>
      <c r="F120" s="211"/>
      <c r="G120" s="11">
        <v>4173</v>
      </c>
    </row>
    <row r="121" spans="3:7" x14ac:dyDescent="0.25">
      <c r="C121" s="216">
        <v>10140191</v>
      </c>
      <c r="D121" s="4"/>
      <c r="E121" s="4"/>
      <c r="F121" s="210"/>
      <c r="G121" s="11">
        <v>9080</v>
      </c>
    </row>
    <row r="122" spans="3:7" x14ac:dyDescent="0.25">
      <c r="C122" s="216">
        <v>10140192</v>
      </c>
      <c r="D122" s="4"/>
      <c r="E122" s="4"/>
      <c r="F122" s="211"/>
      <c r="G122" s="11">
        <v>8788</v>
      </c>
    </row>
    <row r="123" spans="3:7" x14ac:dyDescent="0.25">
      <c r="C123" s="216">
        <v>10560015</v>
      </c>
      <c r="D123" s="4"/>
      <c r="E123" s="4"/>
      <c r="F123" s="210"/>
      <c r="G123" s="11">
        <v>18486</v>
      </c>
    </row>
    <row r="124" spans="3:7" x14ac:dyDescent="0.25">
      <c r="C124" s="216">
        <v>10080114</v>
      </c>
      <c r="D124" s="4"/>
      <c r="E124" s="4"/>
      <c r="F124" s="211"/>
      <c r="G124" s="11">
        <v>4229</v>
      </c>
    </row>
    <row r="125" spans="3:7" x14ac:dyDescent="0.25">
      <c r="C125" s="216">
        <v>10130097</v>
      </c>
      <c r="D125" s="4"/>
      <c r="E125" s="4"/>
      <c r="F125" s="210"/>
      <c r="G125" s="11">
        <v>10000</v>
      </c>
    </row>
    <row r="126" spans="3:7" x14ac:dyDescent="0.25">
      <c r="C126" s="216">
        <v>10130096</v>
      </c>
      <c r="D126" s="4"/>
      <c r="E126" s="4"/>
      <c r="F126" s="211"/>
      <c r="G126" s="11">
        <v>10000</v>
      </c>
    </row>
    <row r="127" spans="3:7" x14ac:dyDescent="0.25">
      <c r="C127" s="216">
        <v>10130094</v>
      </c>
      <c r="D127" s="4"/>
      <c r="E127" s="4"/>
      <c r="F127" s="210"/>
      <c r="G127" s="11">
        <v>10000</v>
      </c>
    </row>
    <row r="128" spans="3:7" x14ac:dyDescent="0.25">
      <c r="C128" s="216">
        <v>10120113</v>
      </c>
      <c r="D128" s="4"/>
      <c r="E128" s="4"/>
      <c r="F128" s="211"/>
      <c r="G128" s="11">
        <v>7922</v>
      </c>
    </row>
    <row r="129" spans="3:7" x14ac:dyDescent="0.25">
      <c r="C129" s="216">
        <v>10120114</v>
      </c>
      <c r="D129" s="4"/>
      <c r="E129" s="4"/>
      <c r="F129" s="210"/>
      <c r="G129" s="11">
        <v>7474</v>
      </c>
    </row>
    <row r="130" spans="3:7" x14ac:dyDescent="0.25">
      <c r="C130" s="216">
        <v>10110169</v>
      </c>
      <c r="D130" s="4"/>
      <c r="E130" s="4"/>
      <c r="F130" s="211"/>
      <c r="G130" s="11">
        <v>10000</v>
      </c>
    </row>
    <row r="131" spans="3:7" x14ac:dyDescent="0.25">
      <c r="C131" s="216">
        <v>10540037</v>
      </c>
      <c r="D131" s="4"/>
      <c r="E131" s="4"/>
      <c r="F131" s="210"/>
      <c r="G131" s="11">
        <v>6804</v>
      </c>
    </row>
    <row r="132" spans="3:7" x14ac:dyDescent="0.25">
      <c r="C132" s="216">
        <v>10540038</v>
      </c>
      <c r="D132" s="4"/>
      <c r="E132" s="4"/>
      <c r="F132" s="211"/>
      <c r="G132" s="11">
        <v>10000</v>
      </c>
    </row>
    <row r="133" spans="3:7" x14ac:dyDescent="0.25">
      <c r="C133" s="216">
        <v>10530083</v>
      </c>
      <c r="D133" s="4"/>
      <c r="E133" s="4"/>
      <c r="F133" s="210"/>
      <c r="G133" s="11">
        <v>7301</v>
      </c>
    </row>
    <row r="134" spans="3:7" x14ac:dyDescent="0.25">
      <c r="C134" s="216">
        <v>10570001</v>
      </c>
      <c r="D134" s="4"/>
      <c r="E134" s="4"/>
      <c r="F134" s="211"/>
      <c r="G134" s="11">
        <v>18741</v>
      </c>
    </row>
    <row r="135" spans="3:7" x14ac:dyDescent="0.25">
      <c r="C135" s="216">
        <v>10570002</v>
      </c>
      <c r="D135" s="4"/>
      <c r="E135" s="4"/>
      <c r="F135" s="210"/>
      <c r="G135" s="11">
        <v>19469</v>
      </c>
    </row>
    <row r="136" spans="3:7" x14ac:dyDescent="0.25">
      <c r="C136" s="216">
        <v>10570003</v>
      </c>
      <c r="D136" s="4"/>
      <c r="E136" s="4"/>
      <c r="F136" s="211"/>
      <c r="G136" s="11">
        <v>18165</v>
      </c>
    </row>
    <row r="137" spans="3:7" x14ac:dyDescent="0.25">
      <c r="C137" s="216">
        <v>10570007</v>
      </c>
      <c r="D137" s="4"/>
      <c r="E137" s="4"/>
      <c r="F137" s="210"/>
      <c r="G137" s="11">
        <v>15256</v>
      </c>
    </row>
    <row r="138" spans="3:7" x14ac:dyDescent="0.25">
      <c r="C138" s="216">
        <v>10020083</v>
      </c>
      <c r="D138" s="4"/>
      <c r="E138" s="4"/>
      <c r="F138" s="211"/>
      <c r="G138" s="11">
        <v>19205</v>
      </c>
    </row>
    <row r="139" spans="3:7" x14ac:dyDescent="0.25">
      <c r="C139" s="216">
        <v>10060121</v>
      </c>
      <c r="D139" s="4"/>
      <c r="E139" s="4"/>
      <c r="F139" s="210"/>
      <c r="G139" s="11">
        <v>16357</v>
      </c>
    </row>
    <row r="140" spans="3:7" x14ac:dyDescent="0.25">
      <c r="C140" s="216">
        <v>10140189</v>
      </c>
      <c r="D140" s="4"/>
      <c r="E140" s="4"/>
      <c r="F140" s="211"/>
      <c r="G140" s="11">
        <v>20000</v>
      </c>
    </row>
    <row r="141" spans="3:7" x14ac:dyDescent="0.25">
      <c r="C141" s="216">
        <v>10560008</v>
      </c>
      <c r="D141" s="4"/>
      <c r="E141" s="4"/>
      <c r="F141" s="210"/>
      <c r="G141" s="11">
        <v>9287</v>
      </c>
    </row>
    <row r="142" spans="3:7" x14ac:dyDescent="0.25">
      <c r="C142" s="216">
        <v>10020080</v>
      </c>
      <c r="D142" s="4"/>
      <c r="E142" s="4"/>
      <c r="F142" s="211"/>
      <c r="G142" s="11">
        <v>9511</v>
      </c>
    </row>
    <row r="143" spans="3:7" x14ac:dyDescent="0.25">
      <c r="C143" s="216">
        <v>10130067</v>
      </c>
      <c r="D143" s="4"/>
      <c r="E143" s="4"/>
      <c r="F143" s="210"/>
      <c r="G143" s="11">
        <v>5000</v>
      </c>
    </row>
    <row r="144" spans="3:7" x14ac:dyDescent="0.25">
      <c r="C144" s="216">
        <v>10140186</v>
      </c>
      <c r="D144" s="4"/>
      <c r="E144" s="4"/>
      <c r="F144" s="211"/>
      <c r="G144" s="11">
        <v>20000</v>
      </c>
    </row>
    <row r="145" spans="3:7" x14ac:dyDescent="0.25">
      <c r="C145" s="216">
        <v>10560006</v>
      </c>
      <c r="D145" s="4"/>
      <c r="E145" s="4"/>
      <c r="F145" s="210"/>
      <c r="G145" s="11">
        <v>8918</v>
      </c>
    </row>
    <row r="146" spans="3:7" x14ac:dyDescent="0.25">
      <c r="C146" s="216">
        <v>10070053</v>
      </c>
      <c r="D146" s="4"/>
      <c r="E146" s="4"/>
      <c r="F146" s="211"/>
      <c r="G146" s="11">
        <v>10000</v>
      </c>
    </row>
    <row r="147" spans="3:7" x14ac:dyDescent="0.25">
      <c r="C147" s="216">
        <v>10560003</v>
      </c>
      <c r="D147" s="4"/>
      <c r="E147" s="4"/>
      <c r="F147" s="210"/>
      <c r="G147" s="11">
        <v>19875</v>
      </c>
    </row>
    <row r="148" spans="3:7" x14ac:dyDescent="0.25">
      <c r="C148" s="216">
        <v>10060115</v>
      </c>
      <c r="D148" s="4"/>
      <c r="E148" s="4"/>
      <c r="F148" s="211"/>
      <c r="G148" s="11">
        <v>8153</v>
      </c>
    </row>
    <row r="149" spans="3:7" x14ac:dyDescent="0.25">
      <c r="C149" s="216">
        <v>10010126</v>
      </c>
      <c r="D149" s="4"/>
      <c r="E149" s="4"/>
      <c r="F149" s="210"/>
      <c r="G149" s="11">
        <v>9994</v>
      </c>
    </row>
    <row r="150" spans="3:7" x14ac:dyDescent="0.25">
      <c r="C150" s="216">
        <v>10080105</v>
      </c>
      <c r="D150" s="4"/>
      <c r="E150" s="4"/>
      <c r="F150" s="211"/>
      <c r="G150" s="11">
        <v>19981</v>
      </c>
    </row>
    <row r="151" spans="3:7" x14ac:dyDescent="0.25">
      <c r="C151" s="216">
        <v>10020076</v>
      </c>
      <c r="D151" s="4"/>
      <c r="E151" s="4"/>
      <c r="F151" s="210"/>
      <c r="G151" s="11">
        <v>9652</v>
      </c>
    </row>
    <row r="152" spans="3:7" x14ac:dyDescent="0.25">
      <c r="C152" s="216">
        <v>10020078</v>
      </c>
      <c r="D152" s="4"/>
      <c r="E152" s="4"/>
      <c r="F152" s="211"/>
      <c r="G152" s="11">
        <v>9637</v>
      </c>
    </row>
    <row r="153" spans="3:7" x14ac:dyDescent="0.25">
      <c r="C153" s="216">
        <v>10020079</v>
      </c>
      <c r="D153" s="4"/>
      <c r="E153" s="4"/>
      <c r="F153" s="210"/>
      <c r="G153" s="11">
        <v>9580</v>
      </c>
    </row>
    <row r="154" spans="3:7" x14ac:dyDescent="0.25">
      <c r="C154" s="216">
        <v>10140187</v>
      </c>
      <c r="D154" s="4"/>
      <c r="E154" s="4"/>
      <c r="F154" s="211"/>
      <c r="G154" s="11">
        <v>19788</v>
      </c>
    </row>
    <row r="155" spans="3:7" x14ac:dyDescent="0.25">
      <c r="C155" s="216">
        <v>10140188</v>
      </c>
      <c r="D155" s="4"/>
      <c r="E155" s="4"/>
      <c r="F155" s="210"/>
      <c r="G155" s="11">
        <v>20000</v>
      </c>
    </row>
    <row r="156" spans="3:7" x14ac:dyDescent="0.25">
      <c r="C156" s="216">
        <v>10120108</v>
      </c>
      <c r="D156" s="4"/>
      <c r="E156" s="4"/>
      <c r="F156" s="211"/>
      <c r="G156" s="11">
        <v>8063</v>
      </c>
    </row>
    <row r="157" spans="3:7" x14ac:dyDescent="0.25">
      <c r="C157" s="216">
        <v>10140178</v>
      </c>
      <c r="D157" s="4"/>
      <c r="E157" s="4"/>
      <c r="F157" s="210"/>
      <c r="G157" s="11">
        <v>9470</v>
      </c>
    </row>
    <row r="158" spans="3:7" x14ac:dyDescent="0.25">
      <c r="C158" s="216">
        <v>10140180</v>
      </c>
      <c r="D158" s="4"/>
      <c r="E158" s="4"/>
      <c r="F158" s="211"/>
      <c r="G158" s="11">
        <v>4193</v>
      </c>
    </row>
    <row r="159" spans="3:7" x14ac:dyDescent="0.25">
      <c r="C159" s="216">
        <v>10080098</v>
      </c>
      <c r="D159" s="4"/>
      <c r="E159" s="4"/>
      <c r="F159" s="210"/>
      <c r="G159" s="11">
        <v>2403</v>
      </c>
    </row>
    <row r="160" spans="3:7" x14ac:dyDescent="0.25">
      <c r="C160" s="216">
        <v>10060110</v>
      </c>
      <c r="D160" s="4"/>
      <c r="E160" s="4"/>
      <c r="F160" s="211"/>
      <c r="G160" s="11">
        <v>1226</v>
      </c>
    </row>
    <row r="161" spans="3:7" x14ac:dyDescent="0.25">
      <c r="C161" s="216">
        <v>10110103</v>
      </c>
      <c r="D161" s="4"/>
      <c r="E161" s="4"/>
      <c r="F161" s="210"/>
      <c r="G161" s="11">
        <v>15000</v>
      </c>
    </row>
    <row r="162" spans="3:7" x14ac:dyDescent="0.25">
      <c r="C162" s="216">
        <v>10140153</v>
      </c>
      <c r="D162" s="4"/>
      <c r="E162" s="4"/>
      <c r="F162" s="211"/>
      <c r="G162" s="11">
        <v>4967</v>
      </c>
    </row>
    <row r="163" spans="3:7" x14ac:dyDescent="0.25">
      <c r="C163" s="216">
        <v>10570019</v>
      </c>
      <c r="D163" s="4"/>
      <c r="E163" s="4"/>
      <c r="F163" s="210"/>
      <c r="G163" s="11">
        <v>17905</v>
      </c>
    </row>
    <row r="164" spans="3:7" x14ac:dyDescent="0.25">
      <c r="C164" s="216">
        <v>10570020</v>
      </c>
      <c r="D164" s="4"/>
      <c r="E164" s="4"/>
      <c r="F164" s="211"/>
      <c r="G164" s="11">
        <v>17963</v>
      </c>
    </row>
    <row r="165" spans="3:7" x14ac:dyDescent="0.25">
      <c r="C165" s="216">
        <v>10570021</v>
      </c>
      <c r="D165" s="4"/>
      <c r="E165" s="4"/>
      <c r="F165" s="210"/>
      <c r="G165" s="11">
        <v>17944</v>
      </c>
    </row>
    <row r="166" spans="3:7" x14ac:dyDescent="0.25">
      <c r="C166" s="216">
        <v>10130100</v>
      </c>
      <c r="D166" s="4"/>
      <c r="E166" s="4"/>
      <c r="F166" s="211"/>
      <c r="G166" s="11">
        <v>7957</v>
      </c>
    </row>
    <row r="167" spans="3:7" x14ac:dyDescent="0.25">
      <c r="C167" s="216">
        <v>10130095</v>
      </c>
      <c r="D167" s="4"/>
      <c r="E167" s="4"/>
      <c r="F167" s="210"/>
      <c r="G167" s="11">
        <v>17039</v>
      </c>
    </row>
    <row r="168" spans="3:7" x14ac:dyDescent="0.25">
      <c r="C168" s="216">
        <v>10060106</v>
      </c>
      <c r="D168" s="4"/>
      <c r="E168" s="4"/>
      <c r="F168" s="211"/>
      <c r="G168" s="11">
        <v>5775</v>
      </c>
    </row>
    <row r="169" spans="3:7" x14ac:dyDescent="0.25">
      <c r="C169" s="216">
        <v>10130093</v>
      </c>
      <c r="D169" s="4"/>
      <c r="E169" s="4"/>
      <c r="F169" s="210"/>
      <c r="G169" s="11">
        <v>1355</v>
      </c>
    </row>
    <row r="170" spans="3:7" x14ac:dyDescent="0.25">
      <c r="C170" s="216">
        <v>10140119</v>
      </c>
      <c r="D170" s="4"/>
      <c r="E170" s="4"/>
      <c r="F170" s="211"/>
      <c r="G170" s="11">
        <v>20000</v>
      </c>
    </row>
    <row r="171" spans="3:7" x14ac:dyDescent="0.25">
      <c r="C171" s="216">
        <v>10120105</v>
      </c>
      <c r="D171" s="4"/>
      <c r="E171" s="4"/>
      <c r="F171" s="210"/>
      <c r="G171" s="11">
        <v>10000</v>
      </c>
    </row>
    <row r="172" spans="3:7" x14ac:dyDescent="0.25">
      <c r="C172" s="216">
        <v>10080095</v>
      </c>
      <c r="D172" s="4"/>
      <c r="E172" s="4"/>
      <c r="F172" s="211"/>
      <c r="G172" s="11">
        <v>7654</v>
      </c>
    </row>
    <row r="173" spans="3:7" x14ac:dyDescent="0.25">
      <c r="C173" s="216">
        <v>10080096</v>
      </c>
      <c r="D173" s="4"/>
      <c r="E173" s="4"/>
      <c r="F173" s="210"/>
      <c r="G173" s="11">
        <v>3897</v>
      </c>
    </row>
    <row r="174" spans="3:7" x14ac:dyDescent="0.25">
      <c r="C174" s="216">
        <v>10010108</v>
      </c>
      <c r="D174" s="4"/>
      <c r="E174" s="4"/>
      <c r="F174" s="211"/>
      <c r="G174" s="11">
        <v>9803</v>
      </c>
    </row>
    <row r="175" spans="3:7" x14ac:dyDescent="0.25">
      <c r="C175" s="216">
        <v>10140174</v>
      </c>
      <c r="D175" s="4"/>
      <c r="E175" s="4"/>
      <c r="F175" s="210"/>
      <c r="G175" s="11">
        <v>5916</v>
      </c>
    </row>
    <row r="176" spans="3:7" x14ac:dyDescent="0.25">
      <c r="C176" s="216">
        <v>10130099</v>
      </c>
      <c r="D176" s="4"/>
      <c r="E176" s="4"/>
      <c r="F176" s="211"/>
      <c r="G176" s="11">
        <v>10000</v>
      </c>
    </row>
    <row r="177" spans="3:7" x14ac:dyDescent="0.25">
      <c r="C177" s="216">
        <v>10110109</v>
      </c>
      <c r="D177" s="4"/>
      <c r="E177" s="4"/>
      <c r="F177" s="210"/>
      <c r="G177" s="11">
        <v>5239</v>
      </c>
    </row>
    <row r="178" spans="3:7" x14ac:dyDescent="0.25">
      <c r="C178" s="216">
        <v>10110132</v>
      </c>
      <c r="D178" s="4"/>
      <c r="E178" s="4"/>
      <c r="F178" s="211"/>
      <c r="G178" s="11">
        <v>9492</v>
      </c>
    </row>
    <row r="179" spans="3:7" x14ac:dyDescent="0.25">
      <c r="C179" s="216">
        <v>10070071</v>
      </c>
      <c r="D179" s="4"/>
      <c r="E179" s="4"/>
      <c r="F179" s="210"/>
      <c r="G179" s="11">
        <v>10000</v>
      </c>
    </row>
    <row r="180" spans="3:7" x14ac:dyDescent="0.25">
      <c r="C180" s="216">
        <v>10070072</v>
      </c>
      <c r="D180" s="4"/>
      <c r="E180" s="4"/>
      <c r="F180" s="211"/>
      <c r="G180" s="11">
        <v>8646</v>
      </c>
    </row>
    <row r="181" spans="3:7" x14ac:dyDescent="0.25">
      <c r="C181" s="216">
        <v>10070062</v>
      </c>
      <c r="D181" s="4"/>
      <c r="E181" s="4"/>
      <c r="F181" s="210"/>
      <c r="G181" s="11">
        <v>6708</v>
      </c>
    </row>
    <row r="182" spans="3:7" x14ac:dyDescent="0.25">
      <c r="C182" s="216">
        <v>10110130</v>
      </c>
      <c r="D182" s="4"/>
      <c r="E182" s="4"/>
      <c r="F182" s="211"/>
      <c r="G182" s="11">
        <v>14937</v>
      </c>
    </row>
    <row r="183" spans="3:7" x14ac:dyDescent="0.25">
      <c r="C183" s="216">
        <v>10060103</v>
      </c>
      <c r="D183" s="4"/>
      <c r="E183" s="4"/>
      <c r="F183" s="210"/>
      <c r="G183" s="11">
        <v>9056</v>
      </c>
    </row>
    <row r="184" spans="3:7" x14ac:dyDescent="0.25">
      <c r="C184" s="216">
        <v>10110131</v>
      </c>
      <c r="D184" s="4"/>
      <c r="E184" s="4"/>
      <c r="F184" s="211"/>
      <c r="G184" s="11">
        <v>7438</v>
      </c>
    </row>
    <row r="185" spans="3:7" x14ac:dyDescent="0.25">
      <c r="C185" s="216">
        <v>10140166</v>
      </c>
      <c r="D185" s="4"/>
      <c r="E185" s="4"/>
      <c r="F185" s="210"/>
      <c r="G185" s="11">
        <v>6315</v>
      </c>
    </row>
    <row r="186" spans="3:7" x14ac:dyDescent="0.25">
      <c r="C186" s="216">
        <v>10010105</v>
      </c>
      <c r="D186" s="4"/>
      <c r="E186" s="4"/>
      <c r="F186" s="211"/>
      <c r="G186" s="11">
        <v>9947</v>
      </c>
    </row>
    <row r="187" spans="3:7" x14ac:dyDescent="0.25">
      <c r="C187" s="216">
        <v>10060098</v>
      </c>
      <c r="D187" s="4"/>
      <c r="E187" s="4"/>
      <c r="F187" s="210"/>
      <c r="G187" s="11">
        <v>6308</v>
      </c>
    </row>
    <row r="188" spans="3:7" x14ac:dyDescent="0.25">
      <c r="C188" s="216">
        <v>10060093</v>
      </c>
      <c r="D188" s="4"/>
      <c r="E188" s="4"/>
      <c r="F188" s="211"/>
      <c r="G188" s="11">
        <v>8772</v>
      </c>
    </row>
    <row r="189" spans="3:7" x14ac:dyDescent="0.25">
      <c r="C189" s="216">
        <v>10110128</v>
      </c>
      <c r="D189" s="4"/>
      <c r="E189" s="4"/>
      <c r="F189" s="210"/>
      <c r="G189" s="11">
        <v>2885</v>
      </c>
    </row>
    <row r="190" spans="3:7" x14ac:dyDescent="0.25">
      <c r="C190" s="216">
        <v>10110112</v>
      </c>
      <c r="D190" s="4"/>
      <c r="E190" s="4"/>
      <c r="F190" s="211"/>
      <c r="G190" s="11">
        <v>7414</v>
      </c>
    </row>
    <row r="191" spans="3:7" x14ac:dyDescent="0.25">
      <c r="C191" s="216">
        <v>10110114</v>
      </c>
      <c r="D191" s="4"/>
      <c r="E191" s="4"/>
      <c r="F191" s="210"/>
      <c r="G191" s="11">
        <v>3192</v>
      </c>
    </row>
    <row r="192" spans="3:7" x14ac:dyDescent="0.25">
      <c r="C192" s="216">
        <v>10060074</v>
      </c>
      <c r="D192" s="4"/>
      <c r="E192" s="4"/>
      <c r="F192" s="211"/>
      <c r="G192" s="11">
        <v>4096</v>
      </c>
    </row>
    <row r="193" spans="3:7" x14ac:dyDescent="0.25">
      <c r="C193" s="216">
        <v>10130090</v>
      </c>
      <c r="D193" s="4"/>
      <c r="E193" s="4"/>
      <c r="F193" s="210"/>
      <c r="G193" s="11">
        <v>10000</v>
      </c>
    </row>
    <row r="194" spans="3:7" x14ac:dyDescent="0.25">
      <c r="C194" s="216">
        <v>10070052</v>
      </c>
      <c r="D194" s="4"/>
      <c r="E194" s="4"/>
      <c r="F194" s="211"/>
      <c r="G194" s="11">
        <v>9946</v>
      </c>
    </row>
    <row r="195" spans="3:7" x14ac:dyDescent="0.25">
      <c r="C195" s="216">
        <v>10120095</v>
      </c>
      <c r="D195" s="4"/>
      <c r="E195" s="4"/>
      <c r="F195" s="210"/>
      <c r="G195" s="11">
        <v>6148</v>
      </c>
    </row>
    <row r="196" spans="3:7" x14ac:dyDescent="0.25">
      <c r="C196" s="216">
        <v>10010113</v>
      </c>
      <c r="D196" s="4"/>
      <c r="E196" s="4"/>
      <c r="F196" s="211"/>
      <c r="G196" s="11">
        <v>9570</v>
      </c>
    </row>
    <row r="197" spans="3:7" x14ac:dyDescent="0.25">
      <c r="C197" s="216">
        <v>10140148</v>
      </c>
      <c r="D197" s="4"/>
      <c r="E197" s="4"/>
      <c r="F197" s="210"/>
      <c r="G197" s="11">
        <v>8908</v>
      </c>
    </row>
    <row r="198" spans="3:7" x14ac:dyDescent="0.25">
      <c r="C198" s="216">
        <v>10120090</v>
      </c>
      <c r="D198" s="4"/>
      <c r="E198" s="4"/>
      <c r="F198" s="211"/>
      <c r="G198" s="11">
        <v>9809</v>
      </c>
    </row>
    <row r="199" spans="3:7" x14ac:dyDescent="0.25">
      <c r="C199" s="216">
        <v>10130077</v>
      </c>
      <c r="D199" s="4"/>
      <c r="E199" s="4"/>
      <c r="F199" s="210"/>
      <c r="G199" s="11">
        <v>6461</v>
      </c>
    </row>
    <row r="200" spans="3:7" x14ac:dyDescent="0.25">
      <c r="C200" s="216">
        <v>10130079</v>
      </c>
      <c r="D200" s="4"/>
      <c r="E200" s="4"/>
      <c r="F200" s="211"/>
      <c r="G200" s="11">
        <v>5925</v>
      </c>
    </row>
    <row r="201" spans="3:7" x14ac:dyDescent="0.25">
      <c r="C201" s="216">
        <v>10080079</v>
      </c>
      <c r="D201" s="4"/>
      <c r="E201" s="4"/>
      <c r="F201" s="210"/>
      <c r="G201" s="11">
        <v>5000</v>
      </c>
    </row>
    <row r="202" spans="3:7" x14ac:dyDescent="0.25">
      <c r="C202" s="216">
        <v>10140146</v>
      </c>
      <c r="D202" s="4"/>
      <c r="E202" s="4"/>
      <c r="F202" s="211"/>
      <c r="G202" s="11">
        <v>10000</v>
      </c>
    </row>
    <row r="203" spans="3:7" x14ac:dyDescent="0.25">
      <c r="C203" s="216">
        <v>10140152</v>
      </c>
      <c r="D203" s="4"/>
      <c r="E203" s="4"/>
      <c r="F203" s="210"/>
      <c r="G203" s="11">
        <v>7937</v>
      </c>
    </row>
    <row r="204" spans="3:7" x14ac:dyDescent="0.25">
      <c r="C204" s="216">
        <v>10110099</v>
      </c>
      <c r="D204" s="4"/>
      <c r="E204" s="4"/>
      <c r="F204" s="211"/>
      <c r="G204" s="11">
        <v>20000</v>
      </c>
    </row>
    <row r="205" spans="3:7" x14ac:dyDescent="0.25">
      <c r="C205" s="216">
        <v>10110005</v>
      </c>
      <c r="D205" s="4"/>
      <c r="E205" s="4"/>
      <c r="F205" s="210"/>
      <c r="G205" s="11">
        <v>20000</v>
      </c>
    </row>
    <row r="206" spans="3:7" x14ac:dyDescent="0.25">
      <c r="C206" s="216">
        <v>10110001</v>
      </c>
      <c r="D206" s="4"/>
      <c r="E206" s="4"/>
      <c r="F206" s="211"/>
      <c r="G206" s="11">
        <v>20000</v>
      </c>
    </row>
    <row r="207" spans="3:7" x14ac:dyDescent="0.25">
      <c r="C207" s="216">
        <v>10020069</v>
      </c>
      <c r="D207" s="4"/>
      <c r="E207" s="4"/>
      <c r="F207" s="210"/>
      <c r="G207" s="11">
        <v>20000</v>
      </c>
    </row>
    <row r="208" spans="3:7" x14ac:dyDescent="0.25">
      <c r="C208" s="216">
        <v>10060068</v>
      </c>
      <c r="D208" s="4"/>
      <c r="E208" s="4"/>
      <c r="F208" s="211"/>
      <c r="G208" s="11">
        <v>5000</v>
      </c>
    </row>
    <row r="209" spans="3:7" x14ac:dyDescent="0.25">
      <c r="C209" s="216">
        <v>10120003</v>
      </c>
      <c r="D209" s="4"/>
      <c r="E209" s="4"/>
      <c r="F209" s="210"/>
      <c r="G209" s="11">
        <v>20000</v>
      </c>
    </row>
    <row r="210" spans="3:7" x14ac:dyDescent="0.25">
      <c r="C210" s="216">
        <v>10140011</v>
      </c>
      <c r="D210" s="4"/>
      <c r="E210" s="4"/>
      <c r="F210" s="211"/>
      <c r="G210" s="11">
        <v>10000</v>
      </c>
    </row>
    <row r="211" spans="3:7" x14ac:dyDescent="0.25">
      <c r="C211" s="216">
        <v>10120016</v>
      </c>
      <c r="D211" s="4"/>
      <c r="E211" s="4"/>
      <c r="F211" s="210"/>
      <c r="G211" s="11">
        <v>20000</v>
      </c>
    </row>
    <row r="212" spans="3:7" x14ac:dyDescent="0.25">
      <c r="C212" s="216">
        <v>10120019</v>
      </c>
      <c r="D212" s="4"/>
      <c r="E212" s="4"/>
      <c r="F212" s="211"/>
      <c r="G212" s="11">
        <v>20000</v>
      </c>
    </row>
    <row r="213" spans="3:7" x14ac:dyDescent="0.25">
      <c r="C213" s="216">
        <v>10120072</v>
      </c>
      <c r="D213" s="4"/>
      <c r="E213" s="4"/>
      <c r="F213" s="210"/>
      <c r="G213" s="11">
        <v>20000</v>
      </c>
    </row>
    <row r="214" spans="3:7" x14ac:dyDescent="0.25">
      <c r="C214" s="216">
        <v>10110079</v>
      </c>
      <c r="D214" s="4"/>
      <c r="E214" s="4"/>
      <c r="F214" s="211"/>
      <c r="G214" s="11">
        <v>20000</v>
      </c>
    </row>
    <row r="215" spans="3:7" x14ac:dyDescent="0.25">
      <c r="C215" s="216">
        <v>10080070</v>
      </c>
      <c r="D215" s="4"/>
      <c r="E215" s="4"/>
      <c r="F215" s="210"/>
      <c r="G215" s="11">
        <v>5000</v>
      </c>
    </row>
    <row r="216" spans="3:7" x14ac:dyDescent="0.25">
      <c r="C216" s="216">
        <v>0</v>
      </c>
      <c r="D216" s="4"/>
      <c r="E216" s="4"/>
      <c r="F216" s="211"/>
      <c r="G216" s="11">
        <v>15000</v>
      </c>
    </row>
    <row r="217" spans="3:7" x14ac:dyDescent="0.25">
      <c r="C217" s="216">
        <v>10110074</v>
      </c>
      <c r="D217" s="4"/>
      <c r="E217" s="4"/>
      <c r="F217" s="210"/>
      <c r="G217" s="11">
        <v>10000</v>
      </c>
    </row>
    <row r="218" spans="3:7" x14ac:dyDescent="0.25">
      <c r="C218" s="216">
        <v>0</v>
      </c>
      <c r="D218" s="4"/>
      <c r="E218" s="4"/>
      <c r="F218" s="211"/>
      <c r="G218" s="11">
        <v>10000</v>
      </c>
    </row>
    <row r="219" spans="3:7" x14ac:dyDescent="0.25">
      <c r="C219" s="216">
        <v>0</v>
      </c>
      <c r="D219" s="4"/>
      <c r="E219" s="4"/>
      <c r="F219" s="210"/>
      <c r="G219" s="11">
        <v>20000</v>
      </c>
    </row>
    <row r="220" spans="3:7" x14ac:dyDescent="0.25">
      <c r="C220" s="216">
        <v>10130044</v>
      </c>
      <c r="D220" s="4"/>
      <c r="E220" s="4"/>
      <c r="F220" s="211"/>
      <c r="G220" s="11">
        <v>20000</v>
      </c>
    </row>
    <row r="221" spans="3:7" x14ac:dyDescent="0.25">
      <c r="C221" s="216">
        <v>10010076</v>
      </c>
      <c r="D221" s="4"/>
      <c r="E221" s="4"/>
      <c r="F221" s="210"/>
      <c r="G221" s="11">
        <v>10000</v>
      </c>
    </row>
    <row r="222" spans="3:7" x14ac:dyDescent="0.25">
      <c r="C222" s="216">
        <v>10120029</v>
      </c>
      <c r="D222" s="4"/>
      <c r="E222" s="4"/>
      <c r="F222" s="211"/>
      <c r="G222" s="11">
        <v>10000</v>
      </c>
    </row>
    <row r="223" spans="3:7" x14ac:dyDescent="0.25">
      <c r="C223" s="216">
        <v>10130001</v>
      </c>
      <c r="D223" s="4"/>
      <c r="E223" s="4"/>
      <c r="F223" s="210"/>
      <c r="G223" s="11">
        <v>20000</v>
      </c>
    </row>
    <row r="224" spans="3:7" x14ac:dyDescent="0.25">
      <c r="C224" s="216">
        <v>10120031</v>
      </c>
      <c r="D224" s="4"/>
      <c r="E224" s="4"/>
      <c r="F224" s="211"/>
      <c r="G224" s="11">
        <v>10000</v>
      </c>
    </row>
    <row r="225" spans="3:7" x14ac:dyDescent="0.25">
      <c r="C225" s="216">
        <v>10130022</v>
      </c>
      <c r="D225" s="4"/>
      <c r="E225" s="4"/>
      <c r="F225" s="210"/>
      <c r="G225" s="11">
        <v>10000</v>
      </c>
    </row>
    <row r="226" spans="3:7" x14ac:dyDescent="0.25">
      <c r="C226" s="216">
        <v>10130025</v>
      </c>
      <c r="D226" s="4"/>
      <c r="E226" s="4"/>
      <c r="F226" s="211"/>
      <c r="G226" s="11">
        <v>10000</v>
      </c>
    </row>
    <row r="227" spans="3:7" x14ac:dyDescent="0.25">
      <c r="C227" s="216">
        <v>10120030</v>
      </c>
      <c r="D227" s="4"/>
      <c r="E227" s="4"/>
      <c r="F227" s="210"/>
      <c r="G227" s="11">
        <v>10000</v>
      </c>
    </row>
    <row r="228" spans="3:7" x14ac:dyDescent="0.25">
      <c r="C228" s="216">
        <v>10130024</v>
      </c>
      <c r="D228" s="4"/>
      <c r="E228" s="4"/>
      <c r="F228" s="211"/>
      <c r="G228" s="11">
        <v>10000</v>
      </c>
    </row>
    <row r="229" spans="3:7" x14ac:dyDescent="0.25">
      <c r="C229" s="216">
        <v>10130023</v>
      </c>
      <c r="D229" s="4"/>
      <c r="E229" s="4"/>
      <c r="F229" s="210"/>
      <c r="G229" s="11">
        <v>15000</v>
      </c>
    </row>
    <row r="230" spans="3:7" x14ac:dyDescent="0.25">
      <c r="C230" s="216">
        <v>0</v>
      </c>
      <c r="D230" s="4"/>
      <c r="E230" s="4"/>
      <c r="F230" s="211"/>
      <c r="G230" s="11">
        <v>10000</v>
      </c>
    </row>
    <row r="231" spans="3:7" x14ac:dyDescent="0.25">
      <c r="C231" s="216">
        <v>10120082</v>
      </c>
      <c r="D231" s="4"/>
      <c r="E231" s="4"/>
      <c r="F231" s="210"/>
      <c r="G231" s="11">
        <v>10000</v>
      </c>
    </row>
    <row r="232" spans="3:7" x14ac:dyDescent="0.25">
      <c r="C232" s="216">
        <v>0</v>
      </c>
      <c r="D232" s="4"/>
      <c r="E232" s="4"/>
      <c r="F232" s="211"/>
      <c r="G232" s="11">
        <v>10000</v>
      </c>
    </row>
    <row r="233" spans="3:7" x14ac:dyDescent="0.25">
      <c r="C233" s="216">
        <v>10110004</v>
      </c>
      <c r="D233" s="4"/>
      <c r="E233" s="4"/>
      <c r="F233" s="210"/>
      <c r="G233" s="11">
        <v>10000</v>
      </c>
    </row>
    <row r="234" spans="3:7" x14ac:dyDescent="0.25">
      <c r="C234" s="216">
        <v>10110035</v>
      </c>
      <c r="D234" s="4"/>
      <c r="E234" s="4"/>
      <c r="F234" s="211"/>
      <c r="G234" s="11">
        <v>10000</v>
      </c>
    </row>
    <row r="235" spans="3:7" x14ac:dyDescent="0.25">
      <c r="C235" s="216">
        <v>10450001</v>
      </c>
      <c r="D235" s="4"/>
      <c r="E235" s="4"/>
      <c r="F235" s="210"/>
      <c r="G235" s="11">
        <v>10000</v>
      </c>
    </row>
    <row r="236" spans="3:7" x14ac:dyDescent="0.25">
      <c r="C236" s="216">
        <v>10020027</v>
      </c>
      <c r="D236" s="4"/>
      <c r="E236" s="4"/>
      <c r="F236" s="211"/>
      <c r="G236" s="11">
        <v>10000</v>
      </c>
    </row>
    <row r="237" spans="3:7" x14ac:dyDescent="0.25">
      <c r="C237" s="216">
        <v>10020026</v>
      </c>
      <c r="D237" s="4"/>
      <c r="E237" s="4"/>
      <c r="F237" s="210"/>
      <c r="G237" s="11">
        <v>10000</v>
      </c>
    </row>
    <row r="238" spans="3:7" x14ac:dyDescent="0.25">
      <c r="C238" s="216">
        <v>10020029</v>
      </c>
      <c r="D238" s="4"/>
      <c r="E238" s="4"/>
      <c r="F238" s="211"/>
      <c r="G238" s="11">
        <v>10000</v>
      </c>
    </row>
    <row r="239" spans="3:7" x14ac:dyDescent="0.25">
      <c r="C239" s="216">
        <v>10060025</v>
      </c>
      <c r="D239" s="4"/>
      <c r="E239" s="4"/>
      <c r="F239" s="210"/>
      <c r="G239" s="11">
        <v>10000</v>
      </c>
    </row>
    <row r="240" spans="3:7" x14ac:dyDescent="0.25">
      <c r="C240" s="216">
        <v>10070008</v>
      </c>
      <c r="D240" s="4"/>
      <c r="E240" s="4"/>
      <c r="F240" s="211"/>
      <c r="G240" s="11">
        <v>20000</v>
      </c>
    </row>
    <row r="241" spans="3:7" x14ac:dyDescent="0.25">
      <c r="C241" s="216">
        <v>10140016</v>
      </c>
      <c r="D241" s="4"/>
      <c r="E241" s="4"/>
      <c r="F241" s="210"/>
      <c r="G241" s="11">
        <v>10000</v>
      </c>
    </row>
    <row r="242" spans="3:7" x14ac:dyDescent="0.25">
      <c r="C242" s="216">
        <v>10140097</v>
      </c>
      <c r="D242" s="4"/>
      <c r="E242" s="4"/>
      <c r="F242" s="211"/>
      <c r="G242" s="11">
        <v>10000</v>
      </c>
    </row>
    <row r="243" spans="3:7" x14ac:dyDescent="0.25">
      <c r="C243" s="216">
        <v>10120005</v>
      </c>
      <c r="D243" s="4"/>
      <c r="E243" s="4"/>
      <c r="F243" s="210"/>
      <c r="G243" s="11">
        <v>20000</v>
      </c>
    </row>
    <row r="244" spans="3:7" x14ac:dyDescent="0.25">
      <c r="C244" s="216">
        <v>10140034</v>
      </c>
      <c r="D244" s="4"/>
      <c r="E244" s="4"/>
      <c r="F244" s="211"/>
      <c r="G244" s="11">
        <v>10000</v>
      </c>
    </row>
    <row r="245" spans="3:7" x14ac:dyDescent="0.25">
      <c r="C245" s="216">
        <v>10030015</v>
      </c>
      <c r="D245" s="4"/>
      <c r="E245" s="4"/>
      <c r="F245" s="210"/>
      <c r="G245" s="11">
        <v>10000</v>
      </c>
    </row>
    <row r="246" spans="3:7" x14ac:dyDescent="0.25">
      <c r="C246" s="216">
        <v>10140107</v>
      </c>
      <c r="D246" s="4"/>
      <c r="E246" s="4"/>
      <c r="F246" s="211"/>
      <c r="G246" s="11">
        <v>10000</v>
      </c>
    </row>
    <row r="247" spans="3:7" x14ac:dyDescent="0.25">
      <c r="C247" s="216">
        <v>10140032</v>
      </c>
      <c r="D247" s="4"/>
      <c r="E247" s="4"/>
      <c r="F247" s="210"/>
      <c r="G247" s="11">
        <v>10000</v>
      </c>
    </row>
    <row r="248" spans="3:7" x14ac:dyDescent="0.25">
      <c r="C248" s="216">
        <v>10140033</v>
      </c>
      <c r="D248" s="4"/>
      <c r="E248" s="4"/>
      <c r="F248" s="211"/>
      <c r="G248" s="11">
        <v>10000</v>
      </c>
    </row>
    <row r="249" spans="3:7" x14ac:dyDescent="0.25">
      <c r="C249" s="216">
        <v>10020041</v>
      </c>
      <c r="D249" s="4"/>
      <c r="E249" s="4"/>
      <c r="F249" s="210"/>
      <c r="G249" s="11">
        <v>5000</v>
      </c>
    </row>
    <row r="250" spans="3:7" x14ac:dyDescent="0.25">
      <c r="C250" s="216">
        <v>10020039</v>
      </c>
      <c r="D250" s="4"/>
      <c r="E250" s="4"/>
      <c r="F250" s="211"/>
      <c r="G250" s="11">
        <v>10000</v>
      </c>
    </row>
    <row r="251" spans="3:7" x14ac:dyDescent="0.25">
      <c r="C251" s="216">
        <v>10110030</v>
      </c>
      <c r="D251" s="4"/>
      <c r="E251" s="4"/>
      <c r="F251" s="210"/>
      <c r="G251" s="11">
        <v>15000</v>
      </c>
    </row>
    <row r="252" spans="3:7" x14ac:dyDescent="0.25">
      <c r="C252" s="216">
        <v>10110047</v>
      </c>
      <c r="D252" s="4"/>
      <c r="E252" s="4"/>
      <c r="F252" s="211"/>
      <c r="G252" s="11">
        <v>15000</v>
      </c>
    </row>
    <row r="253" spans="3:7" x14ac:dyDescent="0.25">
      <c r="C253" s="216">
        <v>10130006</v>
      </c>
      <c r="D253" s="4"/>
      <c r="E253" s="4"/>
      <c r="F253" s="210"/>
      <c r="G253" s="11">
        <v>20000</v>
      </c>
    </row>
    <row r="254" spans="3:7" x14ac:dyDescent="0.25">
      <c r="C254" s="216">
        <v>10080019</v>
      </c>
      <c r="D254" s="4"/>
      <c r="E254" s="4"/>
      <c r="F254" s="211"/>
      <c r="G254" s="11">
        <v>15000</v>
      </c>
    </row>
    <row r="255" spans="3:7" x14ac:dyDescent="0.25">
      <c r="C255" s="216">
        <v>10080020</v>
      </c>
      <c r="D255" s="4"/>
      <c r="E255" s="4"/>
      <c r="F255" s="210"/>
      <c r="G255" s="11">
        <v>10000</v>
      </c>
    </row>
    <row r="256" spans="3:7" x14ac:dyDescent="0.25">
      <c r="C256" s="216">
        <v>10480001</v>
      </c>
      <c r="D256" s="4"/>
      <c r="E256" s="4"/>
      <c r="F256" s="211"/>
      <c r="G256" s="11">
        <v>20000</v>
      </c>
    </row>
    <row r="257" spans="3:7" x14ac:dyDescent="0.25">
      <c r="C257" s="216">
        <v>10020043</v>
      </c>
      <c r="D257" s="4"/>
      <c r="E257" s="4"/>
      <c r="F257" s="210"/>
      <c r="G257" s="11">
        <v>5000</v>
      </c>
    </row>
    <row r="258" spans="3:7" x14ac:dyDescent="0.25">
      <c r="C258" s="216">
        <v>10060036</v>
      </c>
      <c r="D258" s="4"/>
      <c r="E258" s="4"/>
      <c r="F258" s="211"/>
      <c r="G258" s="11">
        <v>5000</v>
      </c>
    </row>
    <row r="259" spans="3:7" x14ac:dyDescent="0.25">
      <c r="C259" s="216">
        <v>10090033</v>
      </c>
      <c r="D259" s="4"/>
      <c r="E259" s="4"/>
      <c r="F259" s="210"/>
      <c r="G259" s="11">
        <v>5000</v>
      </c>
    </row>
    <row r="260" spans="3:7" x14ac:dyDescent="0.25">
      <c r="C260" s="216">
        <v>10080023</v>
      </c>
      <c r="D260" s="4"/>
      <c r="E260" s="4"/>
      <c r="F260" s="211"/>
      <c r="G260" s="11">
        <v>10000</v>
      </c>
    </row>
    <row r="261" spans="3:7" x14ac:dyDescent="0.25">
      <c r="C261" s="216">
        <v>10030031</v>
      </c>
      <c r="D261" s="4"/>
      <c r="E261" s="4"/>
      <c r="F261" s="210"/>
      <c r="G261" s="11">
        <v>10000</v>
      </c>
    </row>
    <row r="262" spans="3:7" x14ac:dyDescent="0.25">
      <c r="C262" s="216">
        <v>10080025</v>
      </c>
      <c r="D262" s="4"/>
      <c r="E262" s="4"/>
      <c r="F262" s="211"/>
      <c r="G262" s="11">
        <v>15000</v>
      </c>
    </row>
    <row r="263" spans="3:7" x14ac:dyDescent="0.25">
      <c r="C263" s="216">
        <v>10010017</v>
      </c>
      <c r="D263" s="4"/>
      <c r="E263" s="4"/>
      <c r="F263" s="210"/>
      <c r="G263" s="11">
        <v>20000</v>
      </c>
    </row>
    <row r="264" spans="3:7" x14ac:dyDescent="0.25">
      <c r="C264" s="216">
        <v>10010008</v>
      </c>
      <c r="D264" s="4"/>
      <c r="E264" s="4"/>
      <c r="F264" s="211"/>
      <c r="G264" s="11">
        <v>20000</v>
      </c>
    </row>
    <row r="265" spans="3:7" x14ac:dyDescent="0.25">
      <c r="C265" s="216">
        <v>10080027</v>
      </c>
      <c r="D265" s="4"/>
      <c r="E265" s="4"/>
      <c r="F265" s="210"/>
      <c r="G265" s="11">
        <v>15000</v>
      </c>
    </row>
    <row r="266" spans="3:7" x14ac:dyDescent="0.25">
      <c r="C266" s="216">
        <v>10010013</v>
      </c>
      <c r="D266" s="4"/>
      <c r="E266" s="4"/>
      <c r="F266" s="211"/>
      <c r="G266" s="11">
        <v>20000</v>
      </c>
    </row>
    <row r="267" spans="3:7" x14ac:dyDescent="0.25">
      <c r="C267" s="216">
        <v>10010014</v>
      </c>
      <c r="D267" s="4"/>
      <c r="E267" s="4"/>
      <c r="F267" s="210"/>
      <c r="G267" s="11">
        <v>20000</v>
      </c>
    </row>
    <row r="268" spans="3:7" x14ac:dyDescent="0.25">
      <c r="C268" s="216">
        <v>10010015</v>
      </c>
      <c r="D268" s="4"/>
      <c r="E268" s="4"/>
      <c r="F268" s="211"/>
      <c r="G268" s="11">
        <v>20000</v>
      </c>
    </row>
    <row r="269" spans="3:7" x14ac:dyDescent="0.25">
      <c r="C269" s="216">
        <v>10100007</v>
      </c>
      <c r="D269" s="4"/>
      <c r="E269" s="4"/>
      <c r="F269" s="210"/>
      <c r="G269" s="11">
        <v>10000</v>
      </c>
    </row>
    <row r="270" spans="3:7" x14ac:dyDescent="0.25">
      <c r="C270" s="216">
        <v>10100008</v>
      </c>
      <c r="D270" s="4"/>
      <c r="E270" s="4"/>
      <c r="F270" s="211"/>
      <c r="G270" s="11">
        <v>10000</v>
      </c>
    </row>
    <row r="271" spans="3:7" x14ac:dyDescent="0.25">
      <c r="C271" s="216">
        <v>10100009</v>
      </c>
      <c r="D271" s="4"/>
      <c r="E271" s="4"/>
      <c r="F271" s="210"/>
      <c r="G271" s="11">
        <v>10000</v>
      </c>
    </row>
    <row r="272" spans="3:7" x14ac:dyDescent="0.25">
      <c r="C272" s="216">
        <v>10110032</v>
      </c>
      <c r="D272" s="4"/>
      <c r="E272" s="4"/>
      <c r="F272" s="211"/>
      <c r="G272" s="11">
        <v>12186</v>
      </c>
    </row>
    <row r="273" spans="3:7" x14ac:dyDescent="0.25">
      <c r="C273" s="216">
        <v>10110033</v>
      </c>
      <c r="D273" s="4"/>
      <c r="E273" s="4"/>
      <c r="F273" s="210"/>
      <c r="G273" s="11">
        <v>10000</v>
      </c>
    </row>
    <row r="274" spans="3:7" x14ac:dyDescent="0.25">
      <c r="C274" s="216">
        <v>10100013</v>
      </c>
      <c r="D274" s="4"/>
      <c r="E274" s="4"/>
      <c r="F274" s="211"/>
      <c r="G274" s="11">
        <v>15000</v>
      </c>
    </row>
    <row r="275" spans="3:7" x14ac:dyDescent="0.25">
      <c r="C275" s="216">
        <v>10100014</v>
      </c>
      <c r="D275" s="4"/>
      <c r="E275" s="4"/>
      <c r="F275" s="210"/>
      <c r="G275" s="11">
        <v>10000</v>
      </c>
    </row>
    <row r="276" spans="3:7" x14ac:dyDescent="0.25">
      <c r="C276" s="216">
        <v>10100015</v>
      </c>
      <c r="D276" s="4"/>
      <c r="E276" s="4"/>
      <c r="F276" s="211"/>
      <c r="G276" s="11">
        <v>10000</v>
      </c>
    </row>
    <row r="277" spans="3:7" x14ac:dyDescent="0.25">
      <c r="C277" s="216">
        <v>10140055</v>
      </c>
      <c r="D277" s="4"/>
      <c r="E277" s="4"/>
      <c r="F277" s="210"/>
      <c r="G277" s="11">
        <v>10000</v>
      </c>
    </row>
    <row r="278" spans="3:7" x14ac:dyDescent="0.25">
      <c r="C278" s="216">
        <v>10130026</v>
      </c>
      <c r="D278" s="4"/>
      <c r="E278" s="4"/>
      <c r="F278" s="211"/>
      <c r="G278" s="11">
        <v>15000</v>
      </c>
    </row>
    <row r="279" spans="3:7" x14ac:dyDescent="0.25">
      <c r="C279" s="216">
        <v>10010021</v>
      </c>
      <c r="D279" s="4"/>
      <c r="E279" s="4"/>
      <c r="F279" s="210"/>
      <c r="G279" s="11">
        <v>15000</v>
      </c>
    </row>
    <row r="280" spans="3:7" x14ac:dyDescent="0.25">
      <c r="C280" s="216">
        <v>10010019</v>
      </c>
      <c r="D280" s="4"/>
      <c r="E280" s="4"/>
      <c r="F280" s="211"/>
      <c r="G280" s="11">
        <v>20000</v>
      </c>
    </row>
    <row r="281" spans="3:7" x14ac:dyDescent="0.25">
      <c r="C281" s="216">
        <v>10060031</v>
      </c>
      <c r="D281" s="4"/>
      <c r="E281" s="4"/>
      <c r="F281" s="210"/>
      <c r="G281" s="11">
        <v>5000</v>
      </c>
    </row>
    <row r="282" spans="3:7" x14ac:dyDescent="0.25">
      <c r="C282" s="216">
        <v>10100021</v>
      </c>
      <c r="D282" s="4"/>
      <c r="E282" s="4"/>
      <c r="F282" s="211"/>
      <c r="G282" s="11">
        <v>10000</v>
      </c>
    </row>
    <row r="283" spans="3:7" x14ac:dyDescent="0.25">
      <c r="C283" s="216">
        <v>10070013</v>
      </c>
      <c r="D283" s="4"/>
      <c r="E283" s="4"/>
      <c r="F283" s="210"/>
      <c r="G283" s="11">
        <v>15000</v>
      </c>
    </row>
    <row r="284" spans="3:7" x14ac:dyDescent="0.25">
      <c r="C284" s="216">
        <v>10100001</v>
      </c>
      <c r="D284" s="4"/>
      <c r="E284" s="4"/>
      <c r="F284" s="211"/>
      <c r="G284" s="11">
        <v>15000</v>
      </c>
    </row>
    <row r="285" spans="3:7" x14ac:dyDescent="0.25">
      <c r="C285" s="216">
        <v>10140054</v>
      </c>
      <c r="D285" s="4"/>
      <c r="E285" s="4"/>
      <c r="F285" s="210"/>
      <c r="G285" s="11">
        <v>10000</v>
      </c>
    </row>
    <row r="286" spans="3:7" x14ac:dyDescent="0.25">
      <c r="C286" s="216">
        <v>10130032</v>
      </c>
      <c r="D286" s="4"/>
      <c r="E286" s="4"/>
      <c r="F286" s="211"/>
      <c r="G286" s="11">
        <v>15000</v>
      </c>
    </row>
    <row r="287" spans="3:7" x14ac:dyDescent="0.25">
      <c r="C287" s="216">
        <v>0</v>
      </c>
      <c r="D287" s="4"/>
      <c r="E287" s="4"/>
      <c r="F287" s="210"/>
      <c r="G287" s="11">
        <v>10000</v>
      </c>
    </row>
    <row r="288" spans="3:7" x14ac:dyDescent="0.25">
      <c r="C288" s="216">
        <v>10510004</v>
      </c>
      <c r="D288" s="4"/>
      <c r="E288" s="4"/>
      <c r="F288" s="211"/>
      <c r="G288" s="11">
        <v>10500</v>
      </c>
    </row>
    <row r="289" spans="3:7" x14ac:dyDescent="0.25">
      <c r="C289" s="216">
        <v>10140053</v>
      </c>
      <c r="D289" s="4"/>
      <c r="E289" s="4"/>
      <c r="F289" s="210"/>
      <c r="G289" s="11">
        <v>15000</v>
      </c>
    </row>
    <row r="290" spans="3:7" x14ac:dyDescent="0.25">
      <c r="C290" s="216">
        <v>10140047</v>
      </c>
      <c r="D290" s="4"/>
      <c r="E290" s="4"/>
      <c r="F290" s="211"/>
      <c r="G290" s="11">
        <v>10000</v>
      </c>
    </row>
    <row r="291" spans="3:7" x14ac:dyDescent="0.25">
      <c r="C291" s="216">
        <v>10140045</v>
      </c>
      <c r="D291" s="4"/>
      <c r="E291" s="4"/>
      <c r="F291" s="210"/>
      <c r="G291" s="11">
        <v>10500</v>
      </c>
    </row>
    <row r="292" spans="3:7" x14ac:dyDescent="0.25">
      <c r="C292" s="216">
        <v>10140036</v>
      </c>
      <c r="D292" s="4"/>
      <c r="E292" s="4"/>
      <c r="F292" s="211"/>
      <c r="G292" s="11">
        <v>10000</v>
      </c>
    </row>
    <row r="293" spans="3:7" x14ac:dyDescent="0.25">
      <c r="C293" s="216">
        <v>10100017</v>
      </c>
      <c r="D293" s="4"/>
      <c r="E293" s="4"/>
      <c r="F293" s="210"/>
      <c r="G293" s="11">
        <v>10000</v>
      </c>
    </row>
    <row r="294" spans="3:7" x14ac:dyDescent="0.25">
      <c r="C294" s="216">
        <v>10130030</v>
      </c>
      <c r="D294" s="4"/>
      <c r="E294" s="4"/>
      <c r="F294" s="211"/>
      <c r="G294" s="11">
        <v>15000</v>
      </c>
    </row>
    <row r="295" spans="3:7" x14ac:dyDescent="0.25">
      <c r="C295" s="216">
        <v>10120034</v>
      </c>
      <c r="D295" s="4"/>
      <c r="E295" s="4"/>
      <c r="F295" s="210"/>
      <c r="G295" s="11">
        <v>10000</v>
      </c>
    </row>
    <row r="296" spans="3:7" x14ac:dyDescent="0.25">
      <c r="C296" s="216">
        <v>10120035</v>
      </c>
      <c r="D296" s="4"/>
      <c r="E296" s="4"/>
      <c r="F296" s="211"/>
      <c r="G296" s="11">
        <v>10000</v>
      </c>
    </row>
    <row r="297" spans="3:7" x14ac:dyDescent="0.25">
      <c r="C297" s="216">
        <v>10070016</v>
      </c>
      <c r="D297" s="4"/>
      <c r="E297" s="4"/>
      <c r="F297" s="210"/>
      <c r="G297" s="11">
        <v>10000</v>
      </c>
    </row>
    <row r="298" spans="3:7" x14ac:dyDescent="0.25">
      <c r="C298" s="216">
        <v>10070015</v>
      </c>
      <c r="D298" s="4"/>
      <c r="E298" s="4"/>
      <c r="F298" s="211"/>
      <c r="G298" s="11">
        <v>20000</v>
      </c>
    </row>
    <row r="299" spans="3:7" x14ac:dyDescent="0.25">
      <c r="C299" s="216">
        <v>10060033</v>
      </c>
      <c r="D299" s="4"/>
      <c r="E299" s="4"/>
      <c r="F299" s="210"/>
      <c r="G299" s="11">
        <v>10000</v>
      </c>
    </row>
    <row r="300" spans="3:7" x14ac:dyDescent="0.25">
      <c r="C300" s="216">
        <v>10010031</v>
      </c>
      <c r="D300" s="4"/>
      <c r="E300" s="4"/>
      <c r="F300" s="211"/>
      <c r="G300" s="11">
        <v>20000</v>
      </c>
    </row>
    <row r="301" spans="3:7" x14ac:dyDescent="0.25">
      <c r="C301" s="216">
        <v>10110048</v>
      </c>
      <c r="D301" s="4"/>
      <c r="E301" s="4"/>
      <c r="F301" s="210"/>
      <c r="G301" s="11">
        <v>20000</v>
      </c>
    </row>
    <row r="302" spans="3:7" x14ac:dyDescent="0.25">
      <c r="C302" s="216">
        <v>10080032</v>
      </c>
      <c r="D302" s="4"/>
      <c r="E302" s="4"/>
      <c r="F302" s="211"/>
      <c r="G302" s="11">
        <v>15000</v>
      </c>
    </row>
    <row r="303" spans="3:7" x14ac:dyDescent="0.25">
      <c r="C303" s="216">
        <v>0</v>
      </c>
      <c r="D303" s="4"/>
      <c r="E303" s="4"/>
      <c r="F303" s="210"/>
      <c r="G303" s="11">
        <v>10000</v>
      </c>
    </row>
    <row r="304" spans="3:7" x14ac:dyDescent="0.25">
      <c r="C304" s="216">
        <v>10100037</v>
      </c>
      <c r="D304" s="4"/>
      <c r="E304" s="4"/>
      <c r="F304" s="211"/>
      <c r="G304" s="11">
        <v>10000</v>
      </c>
    </row>
    <row r="305" spans="3:7" x14ac:dyDescent="0.25">
      <c r="C305" s="216">
        <v>10140057</v>
      </c>
      <c r="D305" s="4"/>
      <c r="E305" s="4"/>
      <c r="F305" s="210"/>
      <c r="G305" s="11">
        <v>10000</v>
      </c>
    </row>
    <row r="306" spans="3:7" x14ac:dyDescent="0.25">
      <c r="C306" s="216">
        <v>0</v>
      </c>
      <c r="D306" s="4"/>
      <c r="E306" s="4"/>
      <c r="F306" s="211"/>
      <c r="G306" s="11">
        <v>15000</v>
      </c>
    </row>
    <row r="307" spans="3:7" x14ac:dyDescent="0.25">
      <c r="C307" s="216">
        <v>10060053</v>
      </c>
      <c r="D307" s="4"/>
      <c r="E307" s="4"/>
      <c r="F307" s="210"/>
      <c r="G307" s="11">
        <v>20000</v>
      </c>
    </row>
    <row r="308" spans="3:7" x14ac:dyDescent="0.25">
      <c r="C308" s="216">
        <v>10080053</v>
      </c>
      <c r="D308" s="4"/>
      <c r="E308" s="4"/>
      <c r="F308" s="211"/>
      <c r="G308" s="11">
        <v>20000</v>
      </c>
    </row>
    <row r="309" spans="3:7" x14ac:dyDescent="0.25">
      <c r="C309" s="216">
        <v>10080052</v>
      </c>
      <c r="D309" s="4"/>
      <c r="E309" s="4"/>
      <c r="F309" s="210"/>
      <c r="G309" s="11">
        <v>20000</v>
      </c>
    </row>
    <row r="310" spans="3:7" x14ac:dyDescent="0.25">
      <c r="C310" s="216">
        <v>10480013</v>
      </c>
      <c r="D310" s="4"/>
      <c r="E310" s="4"/>
      <c r="F310" s="211"/>
      <c r="G310" s="11">
        <v>20000</v>
      </c>
    </row>
    <row r="311" spans="3:7" x14ac:dyDescent="0.25">
      <c r="C311" s="216">
        <v>10140083</v>
      </c>
      <c r="D311" s="4"/>
      <c r="E311" s="4"/>
      <c r="F311" s="210"/>
      <c r="G311" s="11">
        <v>10000</v>
      </c>
    </row>
    <row r="312" spans="3:7" x14ac:dyDescent="0.25">
      <c r="C312" s="216">
        <v>10140041</v>
      </c>
      <c r="D312" s="4"/>
      <c r="E312" s="4"/>
      <c r="F312" s="211"/>
      <c r="G312" s="11">
        <v>20000</v>
      </c>
    </row>
    <row r="313" spans="3:7" x14ac:dyDescent="0.25">
      <c r="C313" s="216">
        <v>10140095</v>
      </c>
      <c r="D313" s="4"/>
      <c r="E313" s="4"/>
      <c r="F313" s="210"/>
      <c r="G313" s="11">
        <v>20000</v>
      </c>
    </row>
    <row r="314" spans="3:7" x14ac:dyDescent="0.25">
      <c r="C314" s="216">
        <v>10140094</v>
      </c>
      <c r="D314" s="4"/>
      <c r="E314" s="4"/>
      <c r="F314" s="211"/>
      <c r="G314" s="11">
        <v>10000</v>
      </c>
    </row>
    <row r="315" spans="3:7" x14ac:dyDescent="0.25">
      <c r="C315" s="216">
        <v>10030016</v>
      </c>
      <c r="D315" s="4"/>
      <c r="E315" s="4"/>
      <c r="F315" s="210"/>
      <c r="G315" s="11">
        <v>10000</v>
      </c>
    </row>
    <row r="316" spans="3:7" x14ac:dyDescent="0.25">
      <c r="C316" s="216">
        <v>10080016</v>
      </c>
      <c r="D316" s="4"/>
      <c r="E316" s="4"/>
      <c r="F316" s="211"/>
      <c r="G316" s="11">
        <v>20000</v>
      </c>
    </row>
    <row r="317" spans="3:7" x14ac:dyDescent="0.25">
      <c r="C317" s="216">
        <v>10140078</v>
      </c>
      <c r="D317" s="4"/>
      <c r="E317" s="4"/>
      <c r="F317" s="210"/>
      <c r="G317" s="11">
        <v>15000</v>
      </c>
    </row>
    <row r="318" spans="3:7" x14ac:dyDescent="0.25">
      <c r="C318" s="216">
        <v>10100035</v>
      </c>
      <c r="D318" s="4"/>
      <c r="E318" s="4"/>
      <c r="F318" s="211"/>
      <c r="G318" s="11">
        <v>20000</v>
      </c>
    </row>
    <row r="319" spans="3:7" x14ac:dyDescent="0.25">
      <c r="C319" s="216">
        <v>10080065</v>
      </c>
      <c r="D319" s="4"/>
      <c r="E319" s="4"/>
      <c r="F319" s="210"/>
      <c r="G319" s="11">
        <v>20000</v>
      </c>
    </row>
    <row r="320" spans="3:7" x14ac:dyDescent="0.25">
      <c r="C320" s="216">
        <v>10080062</v>
      </c>
      <c r="D320" s="4"/>
      <c r="E320" s="4"/>
      <c r="F320" s="211"/>
      <c r="G320" s="11">
        <v>20000</v>
      </c>
    </row>
    <row r="321" spans="3:7" x14ac:dyDescent="0.25">
      <c r="C321" s="216">
        <v>10100036</v>
      </c>
      <c r="D321" s="4"/>
      <c r="E321" s="4"/>
      <c r="F321" s="210"/>
      <c r="G321" s="11">
        <v>20000</v>
      </c>
    </row>
    <row r="322" spans="3:7" x14ac:dyDescent="0.25">
      <c r="C322" s="216">
        <v>10080063</v>
      </c>
      <c r="D322" s="4"/>
      <c r="E322" s="4"/>
      <c r="F322" s="211"/>
      <c r="G322" s="11">
        <v>20000</v>
      </c>
    </row>
    <row r="323" spans="3:7" x14ac:dyDescent="0.25">
      <c r="C323" s="216">
        <v>10080051</v>
      </c>
      <c r="D323" s="4"/>
      <c r="E323" s="4"/>
      <c r="F323" s="210"/>
      <c r="G323" s="11">
        <v>10000</v>
      </c>
    </row>
    <row r="324" spans="3:7" x14ac:dyDescent="0.25">
      <c r="C324" s="216">
        <v>10110085</v>
      </c>
      <c r="D324" s="4"/>
      <c r="E324" s="4"/>
      <c r="F324" s="211"/>
      <c r="G324" s="11">
        <v>20000</v>
      </c>
    </row>
    <row r="325" spans="3:7" x14ac:dyDescent="0.25">
      <c r="C325" s="216">
        <v>10110083</v>
      </c>
      <c r="D325" s="4"/>
      <c r="E325" s="4"/>
      <c r="F325" s="210"/>
      <c r="G325" s="11">
        <v>19252</v>
      </c>
    </row>
    <row r="326" spans="3:7" x14ac:dyDescent="0.25">
      <c r="C326" s="216">
        <v>10080048</v>
      </c>
      <c r="D326" s="4"/>
      <c r="E326" s="4"/>
      <c r="F326" s="211"/>
      <c r="G326" s="11">
        <v>20000</v>
      </c>
    </row>
    <row r="327" spans="3:7" x14ac:dyDescent="0.25">
      <c r="C327" s="216">
        <v>10110053</v>
      </c>
      <c r="D327" s="4"/>
      <c r="E327" s="4"/>
      <c r="F327" s="210"/>
      <c r="G327" s="11">
        <v>18122</v>
      </c>
    </row>
    <row r="328" spans="3:7" x14ac:dyDescent="0.25">
      <c r="C328" s="216">
        <v>10130052</v>
      </c>
      <c r="D328" s="4"/>
      <c r="E328" s="4"/>
      <c r="F328" s="211"/>
      <c r="G328" s="11">
        <v>20000</v>
      </c>
    </row>
    <row r="329" spans="3:7" x14ac:dyDescent="0.25">
      <c r="C329" s="216">
        <v>10130055</v>
      </c>
      <c r="D329" s="4"/>
      <c r="E329" s="4"/>
      <c r="F329" s="210"/>
      <c r="G329" s="11">
        <v>10000</v>
      </c>
    </row>
    <row r="330" spans="3:7" x14ac:dyDescent="0.25">
      <c r="C330" s="216">
        <v>10140079</v>
      </c>
      <c r="D330" s="4"/>
      <c r="E330" s="4"/>
      <c r="F330" s="211"/>
      <c r="G330" s="11">
        <v>10000</v>
      </c>
    </row>
    <row r="331" spans="3:7" x14ac:dyDescent="0.25">
      <c r="C331" s="216">
        <v>10080057</v>
      </c>
      <c r="D331" s="4"/>
      <c r="E331" s="4"/>
      <c r="F331" s="210"/>
      <c r="G331" s="11">
        <v>20000</v>
      </c>
    </row>
    <row r="332" spans="3:7" x14ac:dyDescent="0.25">
      <c r="C332" s="216">
        <v>10080067</v>
      </c>
      <c r="D332" s="4"/>
      <c r="E332" s="4"/>
      <c r="F332" s="211"/>
      <c r="G332" s="11">
        <v>20000</v>
      </c>
    </row>
    <row r="333" spans="3:7" x14ac:dyDescent="0.25">
      <c r="C333" s="216">
        <v>10110059</v>
      </c>
      <c r="D333" s="4"/>
      <c r="E333" s="4"/>
      <c r="F333" s="210"/>
      <c r="G333" s="11">
        <v>20000</v>
      </c>
    </row>
    <row r="334" spans="3:7" x14ac:dyDescent="0.25">
      <c r="C334" s="216">
        <v>10010071</v>
      </c>
      <c r="D334" s="4"/>
      <c r="E334" s="4"/>
      <c r="F334" s="211"/>
      <c r="G334" s="11">
        <v>20000</v>
      </c>
    </row>
    <row r="335" spans="3:7" x14ac:dyDescent="0.25">
      <c r="C335" s="216">
        <v>10110062</v>
      </c>
      <c r="D335" s="4"/>
      <c r="E335" s="4"/>
      <c r="F335" s="210"/>
      <c r="G335" s="11">
        <v>20000</v>
      </c>
    </row>
    <row r="336" spans="3:7" x14ac:dyDescent="0.25">
      <c r="C336" s="216">
        <v>10110063</v>
      </c>
      <c r="D336" s="4"/>
      <c r="E336" s="4"/>
      <c r="F336" s="211"/>
      <c r="G336" s="11">
        <v>20000</v>
      </c>
    </row>
    <row r="337" spans="3:7" x14ac:dyDescent="0.25">
      <c r="C337" s="216">
        <v>10110066</v>
      </c>
      <c r="D337" s="4"/>
      <c r="E337" s="4"/>
      <c r="F337" s="210"/>
      <c r="G337" s="11">
        <v>20000</v>
      </c>
    </row>
    <row r="338" spans="3:7" x14ac:dyDescent="0.25">
      <c r="C338">
        <v>10110065</v>
      </c>
      <c r="G338">
        <v>20000</v>
      </c>
    </row>
    <row r="339" spans="3:7" x14ac:dyDescent="0.25">
      <c r="C339">
        <v>10110067</v>
      </c>
      <c r="G339">
        <v>10000</v>
      </c>
    </row>
    <row r="340" spans="3:7" x14ac:dyDescent="0.25">
      <c r="C340">
        <v>10110056</v>
      </c>
      <c r="G340">
        <v>20000</v>
      </c>
    </row>
    <row r="341" spans="3:7" x14ac:dyDescent="0.25">
      <c r="C341">
        <v>10110057</v>
      </c>
      <c r="G341">
        <v>20000</v>
      </c>
    </row>
    <row r="342" spans="3:7" x14ac:dyDescent="0.25">
      <c r="C342">
        <v>0</v>
      </c>
      <c r="G342">
        <v>10000</v>
      </c>
    </row>
    <row r="343" spans="3:7" x14ac:dyDescent="0.25">
      <c r="C343">
        <v>0</v>
      </c>
      <c r="G343">
        <v>15000</v>
      </c>
    </row>
    <row r="344" spans="3:7" x14ac:dyDescent="0.25">
      <c r="C344">
        <v>10120042</v>
      </c>
      <c r="G344">
        <v>15000</v>
      </c>
    </row>
    <row r="345" spans="3:7" x14ac:dyDescent="0.25">
      <c r="C345">
        <v>10120043</v>
      </c>
      <c r="G345">
        <v>10000</v>
      </c>
    </row>
    <row r="346" spans="3:7" x14ac:dyDescent="0.25">
      <c r="C346">
        <v>10120044</v>
      </c>
      <c r="G346">
        <v>10000</v>
      </c>
    </row>
    <row r="347" spans="3:7" x14ac:dyDescent="0.25">
      <c r="C347">
        <v>10120045</v>
      </c>
      <c r="G347">
        <v>10000</v>
      </c>
    </row>
    <row r="348" spans="3:7" x14ac:dyDescent="0.25">
      <c r="C348">
        <v>0</v>
      </c>
      <c r="G348">
        <v>10000</v>
      </c>
    </row>
    <row r="349" spans="3:7" x14ac:dyDescent="0.25">
      <c r="C349">
        <v>10010038</v>
      </c>
      <c r="G349">
        <v>10000</v>
      </c>
    </row>
    <row r="350" spans="3:7" x14ac:dyDescent="0.25">
      <c r="C350">
        <v>10060057</v>
      </c>
      <c r="G350">
        <v>20000</v>
      </c>
    </row>
    <row r="351" spans="3:7" x14ac:dyDescent="0.25">
      <c r="C351">
        <v>10130046</v>
      </c>
      <c r="G351">
        <v>20000</v>
      </c>
    </row>
    <row r="352" spans="3:7" x14ac:dyDescent="0.25">
      <c r="C352">
        <v>10120051</v>
      </c>
      <c r="G352">
        <v>10000</v>
      </c>
    </row>
    <row r="353" spans="3:7" x14ac:dyDescent="0.25">
      <c r="C353">
        <v>10120052</v>
      </c>
      <c r="G353">
        <v>10000</v>
      </c>
    </row>
    <row r="354" spans="3:7" x14ac:dyDescent="0.25">
      <c r="C354">
        <v>10120053</v>
      </c>
      <c r="G354">
        <v>10000</v>
      </c>
    </row>
    <row r="355" spans="3:7" x14ac:dyDescent="0.25">
      <c r="C355">
        <v>10120054</v>
      </c>
      <c r="G355">
        <v>10000</v>
      </c>
    </row>
    <row r="356" spans="3:7" x14ac:dyDescent="0.25">
      <c r="C356">
        <v>10010055</v>
      </c>
      <c r="G356">
        <v>19971</v>
      </c>
    </row>
    <row r="357" spans="3:7" x14ac:dyDescent="0.25">
      <c r="C357">
        <v>10010059</v>
      </c>
      <c r="G357">
        <v>19894</v>
      </c>
    </row>
    <row r="358" spans="3:7" x14ac:dyDescent="0.25">
      <c r="C358">
        <v>10010058</v>
      </c>
      <c r="G358">
        <v>20000</v>
      </c>
    </row>
    <row r="359" spans="3:7" x14ac:dyDescent="0.25">
      <c r="C359">
        <v>10080055</v>
      </c>
      <c r="G359">
        <v>15000</v>
      </c>
    </row>
    <row r="360" spans="3:7" x14ac:dyDescent="0.25">
      <c r="C360">
        <v>10110051</v>
      </c>
      <c r="G360">
        <v>10000</v>
      </c>
    </row>
    <row r="361" spans="3:7" x14ac:dyDescent="0.25">
      <c r="C361">
        <v>0</v>
      </c>
      <c r="G361">
        <v>20000</v>
      </c>
    </row>
    <row r="362" spans="3:7" x14ac:dyDescent="0.25">
      <c r="C362">
        <v>0</v>
      </c>
      <c r="G362">
        <v>20000</v>
      </c>
    </row>
    <row r="363" spans="3:7" x14ac:dyDescent="0.25">
      <c r="C363">
        <v>10010040</v>
      </c>
      <c r="G363">
        <v>20000</v>
      </c>
    </row>
    <row r="364" spans="3:7" x14ac:dyDescent="0.25">
      <c r="C364">
        <v>10080034</v>
      </c>
      <c r="G364">
        <v>20000</v>
      </c>
    </row>
    <row r="365" spans="3:7" x14ac:dyDescent="0.25">
      <c r="C365">
        <v>10110011</v>
      </c>
      <c r="G365">
        <v>20000</v>
      </c>
    </row>
    <row r="366" spans="3:7" x14ac:dyDescent="0.25">
      <c r="C366">
        <v>10140066</v>
      </c>
      <c r="G366">
        <v>10000</v>
      </c>
    </row>
    <row r="367" spans="3:7" x14ac:dyDescent="0.25">
      <c r="C367">
        <v>10120065</v>
      </c>
      <c r="G367">
        <v>10000</v>
      </c>
    </row>
    <row r="368" spans="3:7" x14ac:dyDescent="0.25">
      <c r="C368">
        <v>10140081</v>
      </c>
      <c r="G368">
        <v>12000</v>
      </c>
    </row>
    <row r="369" spans="3:7" x14ac:dyDescent="0.25">
      <c r="C369">
        <v>10140067</v>
      </c>
      <c r="G369">
        <v>10000</v>
      </c>
    </row>
    <row r="370" spans="3:7" x14ac:dyDescent="0.25">
      <c r="C370">
        <v>10140069</v>
      </c>
      <c r="G370">
        <v>20000</v>
      </c>
    </row>
    <row r="371" spans="3:7" x14ac:dyDescent="0.25">
      <c r="C371">
        <v>10130047</v>
      </c>
      <c r="G371">
        <v>10000</v>
      </c>
    </row>
    <row r="372" spans="3:7" x14ac:dyDescent="0.25">
      <c r="C372">
        <v>10010051</v>
      </c>
      <c r="G372">
        <v>10000</v>
      </c>
    </row>
    <row r="373" spans="3:7" x14ac:dyDescent="0.25">
      <c r="C373">
        <v>0</v>
      </c>
      <c r="G373">
        <v>20000</v>
      </c>
    </row>
    <row r="374" spans="3:7" x14ac:dyDescent="0.25">
      <c r="C374">
        <v>10070033</v>
      </c>
      <c r="G374">
        <v>10000</v>
      </c>
    </row>
    <row r="375" spans="3:7" x14ac:dyDescent="0.25">
      <c r="C375">
        <v>10100034</v>
      </c>
      <c r="G375">
        <v>10000</v>
      </c>
    </row>
    <row r="376" spans="3:7" x14ac:dyDescent="0.25">
      <c r="C376">
        <v>10110044</v>
      </c>
      <c r="G376">
        <v>10000</v>
      </c>
    </row>
    <row r="377" spans="3:7" x14ac:dyDescent="0.25">
      <c r="C377">
        <v>10060114</v>
      </c>
      <c r="G377">
        <v>3593</v>
      </c>
    </row>
    <row r="378" spans="3:7" x14ac:dyDescent="0.25">
      <c r="C378">
        <v>10090066</v>
      </c>
      <c r="G378">
        <v>1130</v>
      </c>
    </row>
    <row r="379" spans="3:7" x14ac:dyDescent="0.25">
      <c r="C379">
        <v>10090067</v>
      </c>
      <c r="G379">
        <v>20000</v>
      </c>
    </row>
    <row r="380" spans="3:7" x14ac:dyDescent="0.25">
      <c r="C380">
        <v>0</v>
      </c>
      <c r="G380">
        <v>15000</v>
      </c>
    </row>
    <row r="381" spans="3:7" x14ac:dyDescent="0.25">
      <c r="C381">
        <v>0</v>
      </c>
      <c r="G381">
        <v>10000</v>
      </c>
    </row>
    <row r="382" spans="3:7" x14ac:dyDescent="0.25">
      <c r="C382">
        <v>0</v>
      </c>
      <c r="G382">
        <v>5000</v>
      </c>
    </row>
    <row r="383" spans="3:7" x14ac:dyDescent="0.25">
      <c r="C383">
        <v>10100050</v>
      </c>
      <c r="G383">
        <v>20000</v>
      </c>
    </row>
    <row r="384" spans="3:7" x14ac:dyDescent="0.25">
      <c r="C384">
        <v>10010050</v>
      </c>
      <c r="G384">
        <v>5000</v>
      </c>
    </row>
    <row r="385" spans="3:7" x14ac:dyDescent="0.25">
      <c r="C385">
        <v>10090061</v>
      </c>
      <c r="G385">
        <v>20000</v>
      </c>
    </row>
  </sheetData>
  <autoFilter ref="C2:F103" xr:uid="{4867E008-1569-4C4A-AAB0-322B2A4B8FB4}"/>
  <conditionalFormatting sqref="C3:C337">
    <cfRule type="duplicateValues" dxfId="3" priority="1"/>
  </conditionalFormatting>
  <conditionalFormatting sqref="D2">
    <cfRule type="duplicateValues" dxfId="2" priority="4" stopIfTrue="1"/>
  </conditionalFormatting>
  <conditionalFormatting sqref="D17">
    <cfRule type="duplicateValues" dxfId="1" priority="2"/>
    <cfRule type="duplicateValues" dxfId="0" priority="3"/>
  </conditionalFormatting>
  <dataValidations count="1">
    <dataValidation allowBlank="1" showDropDown="1" sqref="C29:C34 C36:C39 C56:C71 C73 C77:C86 C89:C90 C94:C108 C132 C135 C188:C220 C223:C309 C311:C337" xr:uid="{868A8148-A3BA-4F35-A4C9-75A4036B5A48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PDF</vt:lpstr>
      <vt:lpstr>Shayak Income </vt:lpstr>
      <vt:lpstr>Sheet1</vt:lpstr>
      <vt:lpstr>Sheet2</vt:lpstr>
      <vt:lpstr>MPG Payment </vt:lpstr>
      <vt:lpstr>Monthly Deduction</vt:lpstr>
      <vt:lpstr>Hold DP Pending</vt:lpstr>
      <vt:lpstr>PDF!Print_Titles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Saket Kumar</dc:creator>
  <cp:keywords/>
  <dc:description/>
  <cp:lastModifiedBy>RAHUL PANDIT</cp:lastModifiedBy>
  <cp:lastPrinted>2025-11-24T10:17:55Z</cp:lastPrinted>
  <dcterms:created xsi:type="dcterms:W3CDTF">2022-04-08T11:10:00Z</dcterms:created>
  <dcterms:modified xsi:type="dcterms:W3CDTF">2026-09-15T07:46:44Z</dcterms:modified>
  <cp:category/>
</cp:coreProperties>
</file>